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28"/>
  <workbookPr filterPrivacy="1" autoCompressPictures="0"/>
  <xr:revisionPtr revIDLastSave="0" documentId="13_ncr:1_{F77A83A2-3670-774F-91F6-DA7341A29162}" xr6:coauthVersionLast="47" xr6:coauthVersionMax="47" xr10:uidLastSave="{00000000-0000-0000-0000-000000000000}"/>
  <bookViews>
    <workbookView xWindow="-38400" yWindow="6740" windowWidth="29420" windowHeight="14860" tabRatio="917" activeTab="11" xr2:uid="{00000000-000D-0000-FFFF-FFFF00000000}"/>
  </bookViews>
  <sheets>
    <sheet name="All" sheetId="1" r:id="rId1"/>
    <sheet name="Major" sheetId="14" r:id="rId2"/>
    <sheet name="LogFY15" sheetId="21" r:id="rId3"/>
    <sheet name="LogFY16" sheetId="22" r:id="rId4"/>
    <sheet name="LogFY17" sheetId="24" r:id="rId5"/>
    <sheet name="LogFY18" sheetId="25" r:id="rId6"/>
    <sheet name="LogFY19" sheetId="26" r:id="rId7"/>
    <sheet name="LogFY20" sheetId="27" r:id="rId8"/>
    <sheet name="LogFY21" sheetId="28" r:id="rId9"/>
    <sheet name="LogFY22" sheetId="29" r:id="rId10"/>
    <sheet name="LogFY23" sheetId="30" r:id="rId11"/>
    <sheet name="LogFY24" sheetId="31" r:id="rId12"/>
    <sheet name="Departments - UIPA Statistics" sheetId="19" r:id="rId13"/>
    <sheet name="Departments - OIP Statistics" sheetId="23" r:id="rId14"/>
  </sheets>
  <definedNames>
    <definedName name="_xlnm._FilterDatabase" localSheetId="0" hidden="1">All!$A$1:$R$5292</definedName>
    <definedName name="_xlnm._FilterDatabase" localSheetId="1" hidden="1">Major!$A$1:$Q$1836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T103" i="19" l="1"/>
  <c r="V102" i="23"/>
  <c r="U101" i="23"/>
  <c r="V101" i="23"/>
  <c r="V103" i="23"/>
  <c r="U103" i="23"/>
  <c r="U102" i="23"/>
  <c r="T103" i="23"/>
  <c r="T102" i="23"/>
  <c r="S103" i="23"/>
  <c r="S102" i="23"/>
  <c r="R103" i="23"/>
  <c r="R102" i="23"/>
  <c r="Q103" i="23"/>
  <c r="Q102" i="23"/>
  <c r="Q101" i="23"/>
  <c r="R101" i="23"/>
  <c r="Z103" i="23"/>
  <c r="Z102" i="23"/>
  <c r="Z101" i="23"/>
  <c r="A102" i="23"/>
  <c r="A103" i="23" s="1"/>
  <c r="A104" i="23" s="1"/>
  <c r="A105" i="23" s="1"/>
  <c r="A106" i="23" s="1"/>
  <c r="A107" i="23" s="1"/>
  <c r="A108" i="23" s="1"/>
  <c r="A109" i="23" s="1"/>
  <c r="A110" i="23" s="1"/>
  <c r="A111" i="23" s="1"/>
  <c r="A112" i="23" s="1"/>
  <c r="A113" i="23" s="1"/>
  <c r="A114" i="23" s="1"/>
  <c r="A115" i="23" s="1"/>
  <c r="T115" i="23" l="1"/>
  <c r="T114" i="23"/>
  <c r="T110" i="23"/>
  <c r="T109" i="23"/>
  <c r="T108" i="23"/>
  <c r="T105" i="23"/>
  <c r="T104" i="23"/>
  <c r="T97" i="23"/>
  <c r="T94" i="23"/>
  <c r="T93" i="23"/>
  <c r="T92" i="23"/>
  <c r="T87" i="23"/>
  <c r="T86" i="23"/>
  <c r="T84" i="23"/>
  <c r="T83" i="23"/>
  <c r="T82" i="23"/>
  <c r="T79" i="23"/>
  <c r="T76" i="23"/>
  <c r="T72" i="23"/>
  <c r="T67" i="23"/>
  <c r="T62" i="23"/>
  <c r="T61" i="23"/>
  <c r="T58" i="23"/>
  <c r="T57" i="23"/>
  <c r="T52" i="23"/>
  <c r="T51" i="23"/>
  <c r="T50" i="23"/>
  <c r="T45" i="23"/>
  <c r="T44" i="23"/>
  <c r="T39" i="23"/>
  <c r="T34" i="23"/>
  <c r="T33" i="23"/>
  <c r="T32" i="23"/>
  <c r="T27" i="23"/>
  <c r="T22" i="23"/>
  <c r="T17" i="23"/>
  <c r="T12" i="23"/>
  <c r="T8" i="23"/>
  <c r="T7" i="23"/>
  <c r="T2" i="23"/>
  <c r="S115" i="23"/>
  <c r="S114" i="23"/>
  <c r="S110" i="23"/>
  <c r="S109" i="23"/>
  <c r="S108" i="23"/>
  <c r="S105" i="23"/>
  <c r="S104" i="23"/>
  <c r="S97" i="23"/>
  <c r="S94" i="23"/>
  <c r="S93" i="23"/>
  <c r="S92" i="23"/>
  <c r="S87" i="23"/>
  <c r="S86" i="23"/>
  <c r="S84" i="23"/>
  <c r="S83" i="23"/>
  <c r="S82" i="23"/>
  <c r="S79" i="23"/>
  <c r="S76" i="23"/>
  <c r="S72" i="23"/>
  <c r="S67" i="23"/>
  <c r="S62" i="23"/>
  <c r="S61" i="23"/>
  <c r="S58" i="23"/>
  <c r="S57" i="23"/>
  <c r="S52" i="23"/>
  <c r="S51" i="23"/>
  <c r="S50" i="23"/>
  <c r="S45" i="23"/>
  <c r="S44" i="23"/>
  <c r="S39" i="23"/>
  <c r="S34" i="23"/>
  <c r="S33" i="23"/>
  <c r="S32" i="23"/>
  <c r="S27" i="23"/>
  <c r="S22" i="23"/>
  <c r="S17" i="23"/>
  <c r="S12" i="23"/>
  <c r="S8" i="23"/>
  <c r="S7" i="23"/>
  <c r="S2" i="23"/>
  <c r="Z115" i="23"/>
  <c r="Z114" i="23"/>
  <c r="Z110" i="23"/>
  <c r="Z109" i="23"/>
  <c r="Z108" i="23"/>
  <c r="Z105" i="23"/>
  <c r="Z104" i="23"/>
  <c r="Z97" i="23"/>
  <c r="Z94" i="23"/>
  <c r="Z93" i="23"/>
  <c r="Z92" i="23"/>
  <c r="Z87" i="23"/>
  <c r="Z86" i="23"/>
  <c r="Z84" i="23"/>
  <c r="Z83" i="23"/>
  <c r="Z82" i="23"/>
  <c r="Z79" i="23"/>
  <c r="Z76" i="23"/>
  <c r="Z72" i="23"/>
  <c r="Z67" i="23"/>
  <c r="Z62" i="23"/>
  <c r="Z61" i="23"/>
  <c r="Z58" i="23"/>
  <c r="Z57" i="23"/>
  <c r="Z52" i="23"/>
  <c r="Z51" i="23"/>
  <c r="Z50" i="23"/>
  <c r="Z45" i="23"/>
  <c r="Z44" i="23"/>
  <c r="Z39" i="23"/>
  <c r="Z34" i="23"/>
  <c r="Z33" i="23"/>
  <c r="Z32" i="23"/>
  <c r="Z27" i="23"/>
  <c r="Z22" i="23"/>
  <c r="Z17" i="23"/>
  <c r="Z12" i="23"/>
  <c r="Z8" i="23"/>
  <c r="Z7" i="23"/>
  <c r="Z2" i="23"/>
  <c r="Y115" i="23"/>
  <c r="Y114" i="23"/>
  <c r="Y110" i="23"/>
  <c r="Y109" i="23"/>
  <c r="Y108" i="23"/>
  <c r="Y105" i="23"/>
  <c r="Y104" i="23"/>
  <c r="Y101" i="23"/>
  <c r="Y97" i="23"/>
  <c r="Y94" i="23"/>
  <c r="Y93" i="23"/>
  <c r="Y92" i="23"/>
  <c r="Y87" i="23"/>
  <c r="Y86" i="23"/>
  <c r="Y84" i="23"/>
  <c r="Y83" i="23"/>
  <c r="Y82" i="23"/>
  <c r="Y79" i="23"/>
  <c r="Y76" i="23"/>
  <c r="Y72" i="23"/>
  <c r="Y67" i="23"/>
  <c r="Y62" i="23"/>
  <c r="Y61" i="23"/>
  <c r="Y58" i="23"/>
  <c r="Y57" i="23"/>
  <c r="Y52" i="23"/>
  <c r="Y51" i="23"/>
  <c r="Y50" i="23"/>
  <c r="Y45" i="23"/>
  <c r="Y44" i="23"/>
  <c r="Y39" i="23"/>
  <c r="Y34" i="23"/>
  <c r="Y33" i="23"/>
  <c r="Y32" i="23"/>
  <c r="Y27" i="23"/>
  <c r="Y22" i="23"/>
  <c r="Y17" i="23"/>
  <c r="Y12" i="23"/>
  <c r="Y8" i="23"/>
  <c r="Y7" i="23"/>
  <c r="Y2" i="23"/>
  <c r="R115" i="23"/>
  <c r="R114" i="23"/>
  <c r="R110" i="23"/>
  <c r="R109" i="23"/>
  <c r="R108" i="23"/>
  <c r="R105" i="23"/>
  <c r="R104" i="23"/>
  <c r="R97" i="23"/>
  <c r="R94" i="23"/>
  <c r="R93" i="23"/>
  <c r="R92" i="23"/>
  <c r="R87" i="23"/>
  <c r="R86" i="23"/>
  <c r="R84" i="23"/>
  <c r="R83" i="23"/>
  <c r="R82" i="23"/>
  <c r="R79" i="23"/>
  <c r="R76" i="23"/>
  <c r="R72" i="23"/>
  <c r="R67" i="23"/>
  <c r="R62" i="23"/>
  <c r="R61" i="23"/>
  <c r="R58" i="23"/>
  <c r="R57" i="23"/>
  <c r="R52" i="23"/>
  <c r="R51" i="23"/>
  <c r="R50" i="23"/>
  <c r="R45" i="23"/>
  <c r="R44" i="23"/>
  <c r="R39" i="23"/>
  <c r="R34" i="23"/>
  <c r="R33" i="23"/>
  <c r="R32" i="23"/>
  <c r="R27" i="23"/>
  <c r="R22" i="23"/>
  <c r="R17" i="23"/>
  <c r="R12" i="23"/>
  <c r="R8" i="23"/>
  <c r="R7" i="23"/>
  <c r="R2" i="23"/>
  <c r="O115" i="23"/>
  <c r="O114" i="23"/>
  <c r="O110" i="23"/>
  <c r="O109" i="23"/>
  <c r="O108" i="23"/>
  <c r="O105" i="23"/>
  <c r="O104" i="23"/>
  <c r="O101" i="23"/>
  <c r="O97" i="23"/>
  <c r="O94" i="23"/>
  <c r="O93" i="23"/>
  <c r="O92" i="23"/>
  <c r="O87" i="23"/>
  <c r="O86" i="23"/>
  <c r="O84" i="23"/>
  <c r="O83" i="23"/>
  <c r="O82" i="23"/>
  <c r="O79" i="23"/>
  <c r="O76" i="23"/>
  <c r="O72" i="23"/>
  <c r="O67" i="23"/>
  <c r="O62" i="23"/>
  <c r="O61" i="23"/>
  <c r="O58" i="23"/>
  <c r="O57" i="23"/>
  <c r="O52" i="23"/>
  <c r="O51" i="23"/>
  <c r="O50" i="23"/>
  <c r="O45" i="23"/>
  <c r="O44" i="23"/>
  <c r="O39" i="23"/>
  <c r="O34" i="23"/>
  <c r="O33" i="23"/>
  <c r="O32" i="23"/>
  <c r="O27" i="23"/>
  <c r="O22" i="23"/>
  <c r="O17" i="23"/>
  <c r="O12" i="23"/>
  <c r="O8" i="23"/>
  <c r="O7" i="23"/>
  <c r="O2" i="23"/>
  <c r="M2" i="23"/>
  <c r="Q115" i="23"/>
  <c r="Q114" i="23"/>
  <c r="Q110" i="23"/>
  <c r="Q109" i="23"/>
  <c r="Q108" i="23"/>
  <c r="Q105" i="23"/>
  <c r="Q104" i="23"/>
  <c r="Q97" i="23"/>
  <c r="Q94" i="23"/>
  <c r="Q93" i="23"/>
  <c r="Q92" i="23"/>
  <c r="Q87" i="23"/>
  <c r="Q86" i="23"/>
  <c r="Q84" i="23"/>
  <c r="Q83" i="23"/>
  <c r="Q82" i="23"/>
  <c r="Q79" i="23"/>
  <c r="Q76" i="23"/>
  <c r="Q72" i="23"/>
  <c r="Q67" i="23"/>
  <c r="Q62" i="23"/>
  <c r="Q61" i="23"/>
  <c r="Q58" i="23"/>
  <c r="Q57" i="23"/>
  <c r="Q52" i="23"/>
  <c r="Q51" i="23"/>
  <c r="Q50" i="23"/>
  <c r="Q45" i="23"/>
  <c r="Q44" i="23"/>
  <c r="Q39" i="23"/>
  <c r="Q34" i="23"/>
  <c r="Q33" i="23"/>
  <c r="Q32" i="23"/>
  <c r="Q27" i="23"/>
  <c r="Q22" i="23"/>
  <c r="Q17" i="23"/>
  <c r="Q12" i="23"/>
  <c r="Q8" i="23"/>
  <c r="Q7" i="23"/>
  <c r="Q2" i="23"/>
  <c r="CT102" i="19"/>
  <c r="CT7" i="19"/>
  <c r="CJ7" i="19"/>
  <c r="BZ7" i="19"/>
  <c r="BP7" i="19"/>
  <c r="BF7" i="19"/>
  <c r="AV7" i="19"/>
  <c r="AL7" i="19"/>
  <c r="AB7" i="19"/>
  <c r="R7" i="19"/>
  <c r="H7" i="19"/>
  <c r="CP7" i="19"/>
  <c r="CM7" i="19"/>
  <c r="CL7" i="19"/>
  <c r="CF7" i="19"/>
  <c r="CC7" i="19"/>
  <c r="CB7" i="19"/>
  <c r="BV7" i="19"/>
  <c r="BS7" i="19"/>
  <c r="BR7" i="19"/>
  <c r="BL7" i="19"/>
  <c r="BI7" i="19"/>
  <c r="BH7" i="19"/>
  <c r="BB7" i="19"/>
  <c r="AY7" i="19"/>
  <c r="AX7" i="19"/>
  <c r="AR7" i="19"/>
  <c r="AO7" i="19"/>
  <c r="AN7" i="19"/>
  <c r="AH7" i="19"/>
  <c r="AE7" i="19"/>
  <c r="AD7" i="19"/>
  <c r="X7" i="19"/>
  <c r="U7" i="19"/>
  <c r="T7" i="19"/>
  <c r="N7" i="19"/>
  <c r="K7" i="19"/>
  <c r="J7" i="19"/>
  <c r="F7" i="19"/>
  <c r="D7" i="19"/>
  <c r="C7" i="19"/>
  <c r="CS7" i="19"/>
  <c r="CI7" i="19"/>
  <c r="BY7" i="19"/>
  <c r="BO7" i="19"/>
  <c r="BE7" i="19"/>
  <c r="AU7" i="19"/>
  <c r="AK7" i="19"/>
  <c r="AA7" i="19"/>
  <c r="Q7" i="19"/>
  <c r="CT75" i="19"/>
  <c r="CT71" i="19"/>
  <c r="CT13" i="19"/>
  <c r="BM7" i="19" l="1"/>
  <c r="CN7" i="19"/>
  <c r="BJ7" i="19"/>
  <c r="AF7" i="19"/>
  <c r="V7" i="19"/>
  <c r="AP7" i="19"/>
  <c r="O7" i="19"/>
  <c r="BC7" i="19"/>
  <c r="CD7" i="19"/>
  <c r="CO7" i="19" s="1"/>
  <c r="CG7" i="19"/>
  <c r="AZ7" i="19"/>
  <c r="BT7" i="19"/>
  <c r="CQ7" i="19"/>
  <c r="I7" i="19"/>
  <c r="L7" i="19"/>
  <c r="W7" i="19" s="1"/>
  <c r="AI7" i="19"/>
  <c r="E7" i="19"/>
  <c r="S7" i="19"/>
  <c r="AC7" i="19"/>
  <c r="AM7" i="19"/>
  <c r="AW7" i="19"/>
  <c r="BG7" i="19"/>
  <c r="Y7" i="19"/>
  <c r="BQ7" i="19"/>
  <c r="CA7" i="19"/>
  <c r="CK7" i="19"/>
  <c r="CU7" i="19"/>
  <c r="AS7" i="19"/>
  <c r="BW7" i="19"/>
  <c r="CT116" i="19"/>
  <c r="CJ116" i="19"/>
  <c r="BZ116" i="19"/>
  <c r="BP116" i="19"/>
  <c r="BF116" i="19"/>
  <c r="AV116" i="19"/>
  <c r="AL116" i="19"/>
  <c r="AB116" i="19"/>
  <c r="R116" i="19"/>
  <c r="H116" i="19"/>
  <c r="AQ7" i="19" l="1"/>
  <c r="BK7" i="19"/>
  <c r="AG7" i="19"/>
  <c r="CE7" i="19"/>
  <c r="BA7" i="19"/>
  <c r="M7" i="19"/>
  <c r="BU7" i="19"/>
  <c r="CP116" i="19"/>
  <c r="CM116" i="19"/>
  <c r="CL116" i="19"/>
  <c r="CF116" i="19"/>
  <c r="CC116" i="19"/>
  <c r="CD116" i="19" s="1"/>
  <c r="CB116" i="19"/>
  <c r="BV116" i="19"/>
  <c r="BS116" i="19"/>
  <c r="BR116" i="19"/>
  <c r="BL116" i="19"/>
  <c r="BI116" i="19"/>
  <c r="BH116" i="19"/>
  <c r="BB116" i="19"/>
  <c r="AY116" i="19"/>
  <c r="AX116" i="19"/>
  <c r="AR116" i="19"/>
  <c r="AO116" i="19"/>
  <c r="AN116" i="19"/>
  <c r="AH116" i="19"/>
  <c r="AE116" i="19"/>
  <c r="AD116" i="19"/>
  <c r="X116" i="19"/>
  <c r="U116" i="19"/>
  <c r="T116" i="19"/>
  <c r="N116" i="19"/>
  <c r="K116" i="19"/>
  <c r="J116" i="19"/>
  <c r="F116" i="19"/>
  <c r="D116" i="19"/>
  <c r="C116" i="19"/>
  <c r="I116" i="19" s="1"/>
  <c r="CS116" i="19"/>
  <c r="CK116" i="19"/>
  <c r="CI116" i="19"/>
  <c r="BY116" i="19"/>
  <c r="BO116" i="19"/>
  <c r="BE116" i="19"/>
  <c r="AU116" i="19"/>
  <c r="AK116" i="19"/>
  <c r="AA116" i="19"/>
  <c r="Q116" i="19"/>
  <c r="CN116" i="19" l="1"/>
  <c r="BQ116" i="19"/>
  <c r="CA116" i="19"/>
  <c r="CG116" i="19"/>
  <c r="BJ116" i="19"/>
  <c r="BC116" i="19"/>
  <c r="AZ116" i="19"/>
  <c r="AS116" i="19"/>
  <c r="BT116" i="19"/>
  <c r="CE116" i="19" s="1"/>
  <c r="AP116" i="19"/>
  <c r="BA116" i="19" s="1"/>
  <c r="L116" i="19"/>
  <c r="AI116" i="19"/>
  <c r="AF116" i="19"/>
  <c r="BM116" i="19"/>
  <c r="CU116" i="19"/>
  <c r="CQ116" i="19"/>
  <c r="E116" i="19"/>
  <c r="O116" i="19"/>
  <c r="V116" i="19"/>
  <c r="BG116" i="19"/>
  <c r="S116" i="19"/>
  <c r="AW116" i="19"/>
  <c r="AC116" i="19"/>
  <c r="AM116" i="19"/>
  <c r="CO116" i="19"/>
  <c r="BW116" i="19"/>
  <c r="Y116" i="19"/>
  <c r="W116" i="19" l="1"/>
  <c r="BK116" i="19"/>
  <c r="BU116" i="19"/>
  <c r="M116" i="19"/>
  <c r="AQ116" i="19"/>
  <c r="AG116" i="19"/>
  <c r="CP32" i="19"/>
  <c r="CP22" i="19" l="1"/>
  <c r="CQ22" i="19" s="1"/>
  <c r="CP48" i="19"/>
  <c r="CQ48" i="19" s="1"/>
  <c r="CP102" i="19" l="1"/>
  <c r="CL102" i="19"/>
  <c r="CM102" i="19"/>
  <c r="CS102" i="19" l="1"/>
  <c r="CQ102" i="19"/>
  <c r="CN102" i="19"/>
  <c r="CO102" i="19" s="1"/>
  <c r="CP103" i="19"/>
  <c r="CM103" i="19"/>
  <c r="CL103" i="19"/>
  <c r="R2467" i="14"/>
  <c r="R2463" i="14"/>
  <c r="R2462" i="14"/>
  <c r="R2461" i="14"/>
  <c r="R2457" i="14"/>
  <c r="R2455" i="14"/>
  <c r="R2452" i="14"/>
  <c r="R2449" i="14"/>
  <c r="R2448" i="14"/>
  <c r="R2438" i="14"/>
  <c r="R2437" i="14"/>
  <c r="R2431" i="14"/>
  <c r="R2428" i="14"/>
  <c r="R2424" i="14"/>
  <c r="R2423" i="14"/>
  <c r="R2419" i="14"/>
  <c r="R2416" i="14"/>
  <c r="R2415" i="14"/>
  <c r="R2414" i="14"/>
  <c r="R2413" i="14"/>
  <c r="R2410" i="14"/>
  <c r="R2409" i="14"/>
  <c r="R2408" i="14"/>
  <c r="R2402" i="14"/>
  <c r="R2401" i="14"/>
  <c r="R2400" i="14"/>
  <c r="R2391" i="14"/>
  <c r="R2383" i="14"/>
  <c r="R2381" i="14"/>
  <c r="R2374" i="14"/>
  <c r="R2373" i="14"/>
  <c r="R2364" i="14"/>
  <c r="R2360" i="14"/>
  <c r="R2356" i="14"/>
  <c r="R2355" i="14"/>
  <c r="R2353" i="14"/>
  <c r="R2352" i="14"/>
  <c r="R2351" i="14"/>
  <c r="R2350" i="14"/>
  <c r="R2349" i="14"/>
  <c r="R2348" i="14"/>
  <c r="R2347" i="14"/>
  <c r="R2346" i="14"/>
  <c r="R2345" i="14"/>
  <c r="R2344" i="14"/>
  <c r="R2342" i="14"/>
  <c r="R2341" i="14"/>
  <c r="R2340" i="14"/>
  <c r="R2339" i="14"/>
  <c r="R2338" i="14"/>
  <c r="R2337" i="14"/>
  <c r="R2336" i="14"/>
  <c r="R2335" i="14"/>
  <c r="R2334" i="14"/>
  <c r="R2333" i="14"/>
  <c r="R2332" i="14"/>
  <c r="R2331" i="14"/>
  <c r="R2330" i="14"/>
  <c r="R2329" i="14"/>
  <c r="R2328" i="14"/>
  <c r="R2327" i="14"/>
  <c r="R2326" i="14"/>
  <c r="R2325" i="14"/>
  <c r="R2324" i="14"/>
  <c r="R2323" i="14"/>
  <c r="R2322" i="14"/>
  <c r="R2320" i="14"/>
  <c r="R2319" i="14"/>
  <c r="R2318" i="14"/>
  <c r="R2317" i="14"/>
  <c r="R2316" i="14"/>
  <c r="R2315" i="14"/>
  <c r="R2314" i="14"/>
  <c r="R2313" i="14"/>
  <c r="R2312" i="14"/>
  <c r="R2311" i="14"/>
  <c r="R2310" i="14"/>
  <c r="R2309" i="14"/>
  <c r="R2308" i="14"/>
  <c r="R2307" i="14"/>
  <c r="R2306" i="14"/>
  <c r="R2305" i="14"/>
  <c r="R2304" i="14"/>
  <c r="R2303" i="14"/>
  <c r="R2302" i="14"/>
  <c r="R2301" i="14"/>
  <c r="R2300" i="14"/>
  <c r="R2299" i="14"/>
  <c r="R2298" i="14"/>
  <c r="R2297" i="14"/>
  <c r="R2296" i="14"/>
  <c r="R2295" i="14"/>
  <c r="R2294" i="14"/>
  <c r="R2293" i="14"/>
  <c r="R2292" i="14"/>
  <c r="R2291" i="14"/>
  <c r="R2290" i="14"/>
  <c r="R2289" i="14"/>
  <c r="R2288" i="14"/>
  <c r="R2287" i="14"/>
  <c r="R2286" i="14"/>
  <c r="R2285" i="14"/>
  <c r="R2284" i="14"/>
  <c r="R2283" i="14"/>
  <c r="R2282" i="14"/>
  <c r="R2281" i="14"/>
  <c r="R2280" i="14"/>
  <c r="R2279" i="14"/>
  <c r="R2278" i="14"/>
  <c r="R2277" i="14"/>
  <c r="R2276" i="14"/>
  <c r="R2275" i="14"/>
  <c r="R2274" i="14"/>
  <c r="R2273" i="14"/>
  <c r="R2272" i="14"/>
  <c r="R2271" i="14"/>
  <c r="R2270" i="14"/>
  <c r="R2269" i="14"/>
  <c r="R2268" i="14"/>
  <c r="R2267" i="14"/>
  <c r="R2266" i="14"/>
  <c r="R2265" i="14"/>
  <c r="R2264" i="14"/>
  <c r="R2263" i="14"/>
  <c r="R2262" i="14"/>
  <c r="R2261" i="14"/>
  <c r="R2260" i="14"/>
  <c r="R2259" i="14"/>
  <c r="R2258" i="14"/>
  <c r="R2257" i="14"/>
  <c r="R2256" i="14"/>
  <c r="R2255" i="14"/>
  <c r="R2254" i="14"/>
  <c r="R2253" i="14"/>
  <c r="R2252" i="14"/>
  <c r="R2251" i="14"/>
  <c r="R2250" i="14"/>
  <c r="R2249" i="14"/>
  <c r="R2248" i="14"/>
  <c r="R2247" i="14"/>
  <c r="R2246" i="14"/>
  <c r="R2245" i="14"/>
  <c r="R2244" i="14"/>
  <c r="R2243" i="14"/>
  <c r="R2242" i="14"/>
  <c r="R2241" i="14"/>
  <c r="R2240" i="14"/>
  <c r="R2239" i="14"/>
  <c r="R2238" i="14"/>
  <c r="R2237" i="14"/>
  <c r="R2236" i="14"/>
  <c r="R2235" i="14"/>
  <c r="R2234" i="14"/>
  <c r="R2233" i="14"/>
  <c r="R2232" i="14"/>
  <c r="R2231" i="14"/>
  <c r="R2230" i="14"/>
  <c r="R2229" i="14"/>
  <c r="R2228" i="14"/>
  <c r="R2227" i="14"/>
  <c r="R2226" i="14"/>
  <c r="R2225" i="14"/>
  <c r="R2224" i="14"/>
  <c r="R2223" i="14"/>
  <c r="R2222" i="14"/>
  <c r="R2221" i="14"/>
  <c r="R2220" i="14"/>
  <c r="R2219" i="14"/>
  <c r="R2218" i="14"/>
  <c r="R2217" i="14"/>
  <c r="R2216" i="14"/>
  <c r="R2215" i="14"/>
  <c r="R2214" i="14"/>
  <c r="R2213" i="14"/>
  <c r="R2212" i="14"/>
  <c r="R2211" i="14"/>
  <c r="R2210" i="14"/>
  <c r="R2209" i="14"/>
  <c r="R2208" i="14"/>
  <c r="R2207" i="14"/>
  <c r="R2206" i="14"/>
  <c r="R2205" i="14"/>
  <c r="R2204" i="14"/>
  <c r="R2203" i="14"/>
  <c r="R2202" i="14"/>
  <c r="R2201" i="14"/>
  <c r="R2200" i="14"/>
  <c r="R2199" i="14"/>
  <c r="R2198" i="14"/>
  <c r="R2197" i="14"/>
  <c r="R2196" i="14"/>
  <c r="R2195" i="14"/>
  <c r="R2194" i="14"/>
  <c r="R2193" i="14"/>
  <c r="R2192" i="14"/>
  <c r="R2191" i="14"/>
  <c r="R2190" i="14"/>
  <c r="R2189" i="14"/>
  <c r="R2188" i="14"/>
  <c r="R2187" i="14"/>
  <c r="R2186" i="14"/>
  <c r="R2185" i="14"/>
  <c r="R2184" i="14"/>
  <c r="R2183" i="14"/>
  <c r="R2182" i="14"/>
  <c r="R2181" i="14"/>
  <c r="R2180" i="14"/>
  <c r="R2179" i="14"/>
  <c r="R2178" i="14"/>
  <c r="R2177" i="14"/>
  <c r="R2176" i="14"/>
  <c r="R2175" i="14"/>
  <c r="R2174" i="14"/>
  <c r="R2173" i="14"/>
  <c r="R2172" i="14"/>
  <c r="R2171" i="14"/>
  <c r="R2170" i="14"/>
  <c r="R2169" i="14"/>
  <c r="R2168" i="14"/>
  <c r="R2167" i="14"/>
  <c r="R2166" i="14"/>
  <c r="R2165" i="14"/>
  <c r="R2164" i="14"/>
  <c r="R2163" i="14"/>
  <c r="R2162" i="14"/>
  <c r="R2161" i="14"/>
  <c r="R2160" i="14"/>
  <c r="R2159" i="14"/>
  <c r="R2158" i="14"/>
  <c r="R2157" i="14"/>
  <c r="R2156" i="14"/>
  <c r="R2155" i="14"/>
  <c r="R2154" i="14"/>
  <c r="R2153" i="14"/>
  <c r="R2152" i="14"/>
  <c r="R2151" i="14"/>
  <c r="R2150" i="14"/>
  <c r="R2149" i="14"/>
  <c r="R2148" i="14"/>
  <c r="R2147" i="14"/>
  <c r="R2146" i="14"/>
  <c r="R2145" i="14"/>
  <c r="R2144" i="14"/>
  <c r="R2143" i="14"/>
  <c r="R2142" i="14"/>
  <c r="R2141" i="14"/>
  <c r="R2140" i="14"/>
  <c r="R2139" i="14"/>
  <c r="R2138" i="14"/>
  <c r="R2137" i="14"/>
  <c r="R2136" i="14"/>
  <c r="R2135" i="14"/>
  <c r="R2134" i="14"/>
  <c r="R2133" i="14"/>
  <c r="R2132" i="14"/>
  <c r="R2131" i="14"/>
  <c r="R2130" i="14"/>
  <c r="R2129" i="14"/>
  <c r="R2128" i="14"/>
  <c r="R2127" i="14"/>
  <c r="R2126" i="14"/>
  <c r="R2125" i="14"/>
  <c r="R2124" i="14"/>
  <c r="R2123" i="14"/>
  <c r="R2122" i="14"/>
  <c r="R2121" i="14"/>
  <c r="R2120" i="14"/>
  <c r="R2119" i="14"/>
  <c r="R2118" i="14"/>
  <c r="R2117" i="14"/>
  <c r="R2116" i="14"/>
  <c r="R2115" i="14"/>
  <c r="R2114" i="14"/>
  <c r="R2113" i="14"/>
  <c r="R2112" i="14"/>
  <c r="R2111" i="14"/>
  <c r="R2110" i="14"/>
  <c r="R2109" i="14"/>
  <c r="R2108" i="14"/>
  <c r="R2107" i="14"/>
  <c r="R2106" i="14"/>
  <c r="R2105" i="14"/>
  <c r="R2104" i="14"/>
  <c r="R2103" i="14"/>
  <c r="R2102" i="14"/>
  <c r="R2101" i="14"/>
  <c r="R2100" i="14"/>
  <c r="R2099" i="14"/>
  <c r="R2098" i="14"/>
  <c r="R2097" i="14"/>
  <c r="R2096" i="14"/>
  <c r="R2095" i="14"/>
  <c r="R2094" i="14"/>
  <c r="R2093" i="14"/>
  <c r="R2092" i="14"/>
  <c r="R2091" i="14"/>
  <c r="R2090" i="14"/>
  <c r="R2089" i="14"/>
  <c r="R2088" i="14"/>
  <c r="R2087" i="14"/>
  <c r="R2086" i="14"/>
  <c r="R2085" i="14"/>
  <c r="R2084" i="14"/>
  <c r="R2083" i="14"/>
  <c r="R2082" i="14"/>
  <c r="R2081" i="14"/>
  <c r="R2080" i="14"/>
  <c r="R2079" i="14"/>
  <c r="R2078" i="14"/>
  <c r="R2077" i="14"/>
  <c r="R2076" i="14"/>
  <c r="R2075" i="14"/>
  <c r="R2074" i="14"/>
  <c r="R2073" i="14"/>
  <c r="R2072" i="14"/>
  <c r="R2071" i="14"/>
  <c r="R2070" i="14"/>
  <c r="R2069" i="14"/>
  <c r="R2068" i="14"/>
  <c r="R2067" i="14"/>
  <c r="R2066" i="14"/>
  <c r="R2065" i="14"/>
  <c r="R2064" i="14"/>
  <c r="R2063" i="14"/>
  <c r="R2062" i="14"/>
  <c r="R2061" i="14"/>
  <c r="R2060" i="14"/>
  <c r="R2059" i="14"/>
  <c r="R2058" i="14"/>
  <c r="R2057" i="14"/>
  <c r="R2056" i="14"/>
  <c r="R2055" i="14"/>
  <c r="R2054" i="14"/>
  <c r="R2053" i="14"/>
  <c r="R2052" i="14"/>
  <c r="R2051" i="14"/>
  <c r="R2050" i="14"/>
  <c r="R2049" i="14"/>
  <c r="R2048" i="14"/>
  <c r="R2047" i="14"/>
  <c r="R2046" i="14"/>
  <c r="R2045" i="14"/>
  <c r="R2044" i="14"/>
  <c r="R2043" i="14"/>
  <c r="R2042" i="14"/>
  <c r="R2041" i="14"/>
  <c r="R2040" i="14"/>
  <c r="R2039" i="14"/>
  <c r="R2038" i="14"/>
  <c r="R2037" i="14"/>
  <c r="R2036" i="14"/>
  <c r="R2035" i="14"/>
  <c r="R2034" i="14"/>
  <c r="R2033" i="14"/>
  <c r="R2032" i="14"/>
  <c r="R2031" i="14"/>
  <c r="R2030" i="14"/>
  <c r="R2029" i="14"/>
  <c r="R2028" i="14"/>
  <c r="R2027" i="14"/>
  <c r="R2026" i="14"/>
  <c r="R2025" i="14"/>
  <c r="R2024" i="14"/>
  <c r="R2023" i="14"/>
  <c r="R2022" i="14"/>
  <c r="R2021" i="14"/>
  <c r="R2020" i="14"/>
  <c r="R2019" i="14"/>
  <c r="R2018" i="14"/>
  <c r="R2017" i="14"/>
  <c r="R2016" i="14"/>
  <c r="R2015" i="14"/>
  <c r="R2014" i="14"/>
  <c r="R2013" i="14"/>
  <c r="R2012" i="14"/>
  <c r="R2011" i="14"/>
  <c r="R2010" i="14"/>
  <c r="R2009" i="14"/>
  <c r="R2008" i="14"/>
  <c r="R2007" i="14"/>
  <c r="R2006" i="14"/>
  <c r="R2005" i="14"/>
  <c r="R2004" i="14"/>
  <c r="R2003" i="14"/>
  <c r="R2002" i="14"/>
  <c r="R2001" i="14"/>
  <c r="R2000" i="14"/>
  <c r="R1999" i="14"/>
  <c r="R1998" i="14"/>
  <c r="R1997" i="14"/>
  <c r="R1996" i="14"/>
  <c r="R1995" i="14"/>
  <c r="R1994" i="14"/>
  <c r="R1993" i="14"/>
  <c r="R1992" i="14"/>
  <c r="R1991" i="14"/>
  <c r="R1990" i="14"/>
  <c r="R1989" i="14"/>
  <c r="R1988" i="14"/>
  <c r="R1987" i="14"/>
  <c r="R1986" i="14"/>
  <c r="R1985" i="14"/>
  <c r="R1984" i="14"/>
  <c r="R1983" i="14"/>
  <c r="R1982" i="14"/>
  <c r="R1981" i="14"/>
  <c r="R1980" i="14"/>
  <c r="R1979" i="14"/>
  <c r="R1978" i="14"/>
  <c r="R1977" i="14"/>
  <c r="R1976" i="14"/>
  <c r="R1975" i="14"/>
  <c r="R1974" i="14"/>
  <c r="R1973" i="14"/>
  <c r="R1972" i="14"/>
  <c r="R1971" i="14"/>
  <c r="R1970" i="14"/>
  <c r="R1969" i="14"/>
  <c r="R1968" i="14"/>
  <c r="R1967" i="14"/>
  <c r="R1966" i="14"/>
  <c r="R1965" i="14"/>
  <c r="R1964" i="14"/>
  <c r="R1963" i="14"/>
  <c r="R1962" i="14"/>
  <c r="R1961" i="14"/>
  <c r="R1960" i="14"/>
  <c r="R1959" i="14"/>
  <c r="R1958" i="14"/>
  <c r="R1957" i="14"/>
  <c r="R1956" i="14"/>
  <c r="R1955" i="14"/>
  <c r="R1954" i="14"/>
  <c r="R1953" i="14"/>
  <c r="R1952" i="14"/>
  <c r="R1951" i="14"/>
  <c r="R1950" i="14"/>
  <c r="R1949" i="14"/>
  <c r="R1948" i="14"/>
  <c r="R1947" i="14"/>
  <c r="R1946" i="14"/>
  <c r="R1945" i="14"/>
  <c r="R1944" i="14"/>
  <c r="R1943" i="14"/>
  <c r="R1942" i="14"/>
  <c r="R1941" i="14"/>
  <c r="R1940" i="14"/>
  <c r="R1939" i="14"/>
  <c r="R1938" i="14"/>
  <c r="R1937" i="14"/>
  <c r="R1936" i="14"/>
  <c r="R1935" i="14"/>
  <c r="R1934" i="14"/>
  <c r="R1933" i="14"/>
  <c r="R1932" i="14"/>
  <c r="R1931" i="14"/>
  <c r="R1930" i="14"/>
  <c r="R1929" i="14"/>
  <c r="R1928" i="14"/>
  <c r="R1927" i="14"/>
  <c r="R1926" i="14"/>
  <c r="R1925" i="14"/>
  <c r="R1924" i="14"/>
  <c r="R1923" i="14"/>
  <c r="R1922" i="14"/>
  <c r="R1921" i="14"/>
  <c r="R1920" i="14"/>
  <c r="R1919" i="14"/>
  <c r="R1918" i="14"/>
  <c r="R1917" i="14"/>
  <c r="R1916" i="14"/>
  <c r="R1915" i="14"/>
  <c r="R1914" i="14"/>
  <c r="R1913" i="14"/>
  <c r="R1912" i="14"/>
  <c r="R1911" i="14"/>
  <c r="R1910" i="14"/>
  <c r="R1909" i="14"/>
  <c r="R1908" i="14"/>
  <c r="R1907" i="14"/>
  <c r="R1906" i="14"/>
  <c r="R1905" i="14"/>
  <c r="R1904" i="14"/>
  <c r="R1903" i="14"/>
  <c r="R1902" i="14"/>
  <c r="R1901" i="14"/>
  <c r="R1900" i="14"/>
  <c r="R1899" i="14"/>
  <c r="R1898" i="14"/>
  <c r="R1897" i="14"/>
  <c r="R1896" i="14"/>
  <c r="R1895" i="14"/>
  <c r="R1894" i="14"/>
  <c r="R1893" i="14"/>
  <c r="R1892" i="14"/>
  <c r="R1891" i="14"/>
  <c r="R1890" i="14"/>
  <c r="R1889" i="14"/>
  <c r="R1888" i="14"/>
  <c r="R1887" i="14"/>
  <c r="R1886" i="14"/>
  <c r="R1885" i="14"/>
  <c r="R1884" i="14"/>
  <c r="R1883" i="14"/>
  <c r="R1882" i="14"/>
  <c r="R1881" i="14"/>
  <c r="R1880" i="14"/>
  <c r="R1879" i="14"/>
  <c r="R1878" i="14"/>
  <c r="R1877" i="14"/>
  <c r="R1876" i="14"/>
  <c r="R1875" i="14"/>
  <c r="R1874" i="14"/>
  <c r="R1873" i="14"/>
  <c r="R1872" i="14"/>
  <c r="R1871" i="14"/>
  <c r="R1870" i="14"/>
  <c r="R1869" i="14"/>
  <c r="R1868" i="14"/>
  <c r="R1867" i="14"/>
  <c r="R1866" i="14"/>
  <c r="R1865" i="14"/>
  <c r="R1864" i="14"/>
  <c r="R1863" i="14"/>
  <c r="R1862" i="14"/>
  <c r="R1861" i="14"/>
  <c r="R1860" i="14"/>
  <c r="R1859" i="14"/>
  <c r="R1858" i="14"/>
  <c r="R1857" i="14"/>
  <c r="R1856" i="14"/>
  <c r="R1855" i="14"/>
  <c r="R1854" i="14"/>
  <c r="R1853" i="14"/>
  <c r="R1852" i="14"/>
  <c r="R1851" i="14"/>
  <c r="R1850" i="14"/>
  <c r="R1849" i="14"/>
  <c r="R1848" i="14"/>
  <c r="R1847" i="14"/>
  <c r="R1846" i="14"/>
  <c r="R1845" i="14"/>
  <c r="R1844" i="14"/>
  <c r="R1843" i="14"/>
  <c r="R1842" i="14"/>
  <c r="R1841" i="14"/>
  <c r="R1840" i="14"/>
  <c r="R1839" i="14"/>
  <c r="R1838" i="14"/>
  <c r="R1837" i="14"/>
  <c r="R1836" i="14"/>
  <c r="R1835" i="14"/>
  <c r="R1834" i="14"/>
  <c r="R1833" i="14"/>
  <c r="R1832" i="14"/>
  <c r="R1831" i="14"/>
  <c r="R1830" i="14"/>
  <c r="R1829" i="14"/>
  <c r="R1828" i="14"/>
  <c r="R1827" i="14"/>
  <c r="R1826" i="14"/>
  <c r="R1825" i="14"/>
  <c r="R1824" i="14"/>
  <c r="R1823" i="14"/>
  <c r="R1822" i="14"/>
  <c r="R1821" i="14"/>
  <c r="R1820" i="14"/>
  <c r="R1819" i="14"/>
  <c r="R1818" i="14"/>
  <c r="R1817" i="14"/>
  <c r="R1816" i="14"/>
  <c r="R1815" i="14"/>
  <c r="R1814" i="14"/>
  <c r="R1813" i="14"/>
  <c r="R1812" i="14"/>
  <c r="R1811" i="14"/>
  <c r="R1810" i="14"/>
  <c r="R1809" i="14"/>
  <c r="R1808" i="14"/>
  <c r="R1807" i="14"/>
  <c r="R1806" i="14"/>
  <c r="R1805" i="14"/>
  <c r="R1804" i="14"/>
  <c r="R1803" i="14"/>
  <c r="R1802" i="14"/>
  <c r="R1801" i="14"/>
  <c r="R1800" i="14"/>
  <c r="R1799" i="14"/>
  <c r="R1798" i="14"/>
  <c r="R1797" i="14"/>
  <c r="R1796" i="14"/>
  <c r="R1795" i="14"/>
  <c r="R1794" i="14"/>
  <c r="R1793" i="14"/>
  <c r="R1792" i="14"/>
  <c r="R1791" i="14"/>
  <c r="R1790" i="14"/>
  <c r="R1789" i="14"/>
  <c r="R1788" i="14"/>
  <c r="R1787" i="14"/>
  <c r="R1786" i="14"/>
  <c r="R1785" i="14"/>
  <c r="R1784" i="14"/>
  <c r="R1783" i="14"/>
  <c r="R1782" i="14"/>
  <c r="R1781" i="14"/>
  <c r="R1780" i="14"/>
  <c r="R1779" i="14"/>
  <c r="R1778" i="14"/>
  <c r="R1777" i="14"/>
  <c r="R1776" i="14"/>
  <c r="R1775" i="14"/>
  <c r="R1774" i="14"/>
  <c r="R1773" i="14"/>
  <c r="R1772" i="14"/>
  <c r="R1771" i="14"/>
  <c r="R1770" i="14"/>
  <c r="R1769" i="14"/>
  <c r="R1768" i="14"/>
  <c r="R1767" i="14"/>
  <c r="R1766" i="14"/>
  <c r="R1765" i="14"/>
  <c r="R1764" i="14"/>
  <c r="R1763" i="14"/>
  <c r="R1762" i="14"/>
  <c r="R1761" i="14"/>
  <c r="R1760" i="14"/>
  <c r="R1759" i="14"/>
  <c r="R1758" i="14"/>
  <c r="R1757" i="14"/>
  <c r="R1756" i="14"/>
  <c r="R1755" i="14"/>
  <c r="R1754" i="14"/>
  <c r="R1753" i="14"/>
  <c r="R1752" i="14"/>
  <c r="R1751" i="14"/>
  <c r="R1750" i="14"/>
  <c r="R1749" i="14"/>
  <c r="R1748" i="14"/>
  <c r="R1747" i="14"/>
  <c r="R1746" i="14"/>
  <c r="R1745" i="14"/>
  <c r="R1744" i="14"/>
  <c r="R1743" i="14"/>
  <c r="R1742" i="14"/>
  <c r="R1741" i="14"/>
  <c r="R1740" i="14"/>
  <c r="R1739" i="14"/>
  <c r="R1738" i="14"/>
  <c r="R1737" i="14"/>
  <c r="R1736" i="14"/>
  <c r="R1735" i="14"/>
  <c r="R1734" i="14"/>
  <c r="R1733" i="14"/>
  <c r="R1732" i="14"/>
  <c r="R1731" i="14"/>
  <c r="R1730" i="14"/>
  <c r="R1729" i="14"/>
  <c r="R1728" i="14"/>
  <c r="R1727" i="14"/>
  <c r="R1726" i="14"/>
  <c r="R1725" i="14"/>
  <c r="R1724" i="14"/>
  <c r="R1723" i="14"/>
  <c r="R1722" i="14"/>
  <c r="R1721" i="14"/>
  <c r="R1720" i="14"/>
  <c r="R1719" i="14"/>
  <c r="R1718" i="14"/>
  <c r="R1717" i="14"/>
  <c r="R1716" i="14"/>
  <c r="R1715" i="14"/>
  <c r="R1714" i="14"/>
  <c r="R1713" i="14"/>
  <c r="R1712" i="14"/>
  <c r="R1711" i="14"/>
  <c r="R1710" i="14"/>
  <c r="R1709" i="14"/>
  <c r="R1708" i="14"/>
  <c r="R1707" i="14"/>
  <c r="R1706" i="14"/>
  <c r="R1705" i="14"/>
  <c r="R1704" i="14"/>
  <c r="R1703" i="14"/>
  <c r="R1702" i="14"/>
  <c r="R1701" i="14"/>
  <c r="R1700" i="14"/>
  <c r="R1699" i="14"/>
  <c r="R1698" i="14"/>
  <c r="R1697" i="14"/>
  <c r="R1696" i="14"/>
  <c r="R1695" i="14"/>
  <c r="R1694" i="14"/>
  <c r="R1693" i="14"/>
  <c r="R1692" i="14"/>
  <c r="R1691" i="14"/>
  <c r="R1690" i="14"/>
  <c r="R1689" i="14"/>
  <c r="R1688" i="14"/>
  <c r="R1687" i="14"/>
  <c r="R1686" i="14"/>
  <c r="R1685" i="14"/>
  <c r="R1684" i="14"/>
  <c r="R1683" i="14"/>
  <c r="R1682" i="14"/>
  <c r="R1681" i="14"/>
  <c r="R1680" i="14"/>
  <c r="R1679" i="14"/>
  <c r="R1678" i="14"/>
  <c r="R1677" i="14"/>
  <c r="R1676" i="14"/>
  <c r="R1675" i="14"/>
  <c r="R1674" i="14"/>
  <c r="R1673" i="14"/>
  <c r="R1672" i="14"/>
  <c r="R1671" i="14"/>
  <c r="R1670" i="14"/>
  <c r="R1669" i="14"/>
  <c r="R1668" i="14"/>
  <c r="R1667" i="14"/>
  <c r="R1666" i="14"/>
  <c r="R1665" i="14"/>
  <c r="R1664" i="14"/>
  <c r="R1663" i="14"/>
  <c r="R1662" i="14"/>
  <c r="R1661" i="14"/>
  <c r="R1660" i="14"/>
  <c r="R1659" i="14"/>
  <c r="R1658" i="14"/>
  <c r="R1657" i="14"/>
  <c r="R1656" i="14"/>
  <c r="R1655" i="14"/>
  <c r="R1654" i="14"/>
  <c r="R1653" i="14"/>
  <c r="R1652" i="14"/>
  <c r="R1651" i="14"/>
  <c r="R1650" i="14"/>
  <c r="R1649" i="14"/>
  <c r="R1648" i="14"/>
  <c r="R1647" i="14"/>
  <c r="R1646" i="14"/>
  <c r="R1645" i="14"/>
  <c r="R1644" i="14"/>
  <c r="R1643" i="14"/>
  <c r="R1642" i="14"/>
  <c r="R1641" i="14"/>
  <c r="R1640" i="14"/>
  <c r="R1639" i="14"/>
  <c r="R1638" i="14"/>
  <c r="R1637" i="14"/>
  <c r="R1636" i="14"/>
  <c r="R1635" i="14"/>
  <c r="R1634" i="14"/>
  <c r="R1633" i="14"/>
  <c r="R1632" i="14"/>
  <c r="R1631" i="14"/>
  <c r="R1630" i="14"/>
  <c r="R1629" i="14"/>
  <c r="R1628" i="14"/>
  <c r="R1627" i="14"/>
  <c r="R1626" i="14"/>
  <c r="R1625" i="14"/>
  <c r="R1624" i="14"/>
  <c r="R1623" i="14"/>
  <c r="R1622" i="14"/>
  <c r="R1621" i="14"/>
  <c r="R1620" i="14"/>
  <c r="R1619" i="14"/>
  <c r="R1618" i="14"/>
  <c r="R1617" i="14"/>
  <c r="R1616" i="14"/>
  <c r="R1615" i="14"/>
  <c r="R1614" i="14"/>
  <c r="R1613" i="14"/>
  <c r="R1612" i="14"/>
  <c r="R1611" i="14"/>
  <c r="R1610" i="14"/>
  <c r="R1609" i="14"/>
  <c r="R1608" i="14"/>
  <c r="R1607" i="14"/>
  <c r="R1606" i="14"/>
  <c r="R1605" i="14"/>
  <c r="R1604" i="14"/>
  <c r="R1603" i="14"/>
  <c r="R1602" i="14"/>
  <c r="R1601" i="14"/>
  <c r="R1600" i="14"/>
  <c r="R1599" i="14"/>
  <c r="R1598" i="14"/>
  <c r="R1597" i="14"/>
  <c r="R1596" i="14"/>
  <c r="R1595" i="14"/>
  <c r="R1594" i="14"/>
  <c r="R1593" i="14"/>
  <c r="R1592" i="14"/>
  <c r="R1591" i="14"/>
  <c r="R1590" i="14"/>
  <c r="R1589" i="14"/>
  <c r="R1588" i="14"/>
  <c r="R1587" i="14"/>
  <c r="R1586" i="14"/>
  <c r="R1585" i="14"/>
  <c r="R1584" i="14"/>
  <c r="R1583" i="14"/>
  <c r="R1582" i="14"/>
  <c r="R1581" i="14"/>
  <c r="R1580" i="14"/>
  <c r="R1579" i="14"/>
  <c r="R1578" i="14"/>
  <c r="R1577" i="14"/>
  <c r="R1576" i="14"/>
  <c r="R1575" i="14"/>
  <c r="R1574" i="14"/>
  <c r="R1573" i="14"/>
  <c r="R1572" i="14"/>
  <c r="R1571" i="14"/>
  <c r="R1570" i="14"/>
  <c r="R1569" i="14"/>
  <c r="R1568" i="14"/>
  <c r="R1567" i="14"/>
  <c r="R1566" i="14"/>
  <c r="R1565" i="14"/>
  <c r="R1564" i="14"/>
  <c r="R1563" i="14"/>
  <c r="R1562" i="14"/>
  <c r="R1561" i="14"/>
  <c r="R1560" i="14"/>
  <c r="R1559" i="14"/>
  <c r="R1558" i="14"/>
  <c r="R1557" i="14"/>
  <c r="R1556" i="14"/>
  <c r="R1555" i="14"/>
  <c r="R1554" i="14"/>
  <c r="R1553" i="14"/>
  <c r="R1552" i="14"/>
  <c r="R1551" i="14"/>
  <c r="R1550" i="14"/>
  <c r="R1549" i="14"/>
  <c r="R1548" i="14"/>
  <c r="R1547" i="14"/>
  <c r="R1546" i="14"/>
  <c r="R1545" i="14"/>
  <c r="R1544" i="14"/>
  <c r="R1543" i="14"/>
  <c r="R1542" i="14"/>
  <c r="R1541" i="14"/>
  <c r="R1540" i="14"/>
  <c r="R1539" i="14"/>
  <c r="R1538" i="14"/>
  <c r="R1537" i="14"/>
  <c r="R1536" i="14"/>
  <c r="R1535" i="14"/>
  <c r="R1534" i="14"/>
  <c r="R1533" i="14"/>
  <c r="R1532" i="14"/>
  <c r="R1531" i="14"/>
  <c r="R1530" i="14"/>
  <c r="R1529" i="14"/>
  <c r="R1528" i="14"/>
  <c r="R1527" i="14"/>
  <c r="R1526" i="14"/>
  <c r="R1525" i="14"/>
  <c r="R1524" i="14"/>
  <c r="R1523" i="14"/>
  <c r="R1522" i="14"/>
  <c r="R1521" i="14"/>
  <c r="R1520" i="14"/>
  <c r="R1519" i="14"/>
  <c r="R1518" i="14"/>
  <c r="R1517" i="14"/>
  <c r="R1516" i="14"/>
  <c r="R1515" i="14"/>
  <c r="R1514" i="14"/>
  <c r="R1513" i="14"/>
  <c r="R1512" i="14"/>
  <c r="R1511" i="14"/>
  <c r="R1510" i="14"/>
  <c r="R1509" i="14"/>
  <c r="R1508" i="14"/>
  <c r="R1507" i="14"/>
  <c r="R1506" i="14"/>
  <c r="R1505" i="14"/>
  <c r="R1504" i="14"/>
  <c r="R1503" i="14"/>
  <c r="R1502" i="14"/>
  <c r="R1501" i="14"/>
  <c r="R1500" i="14"/>
  <c r="R1499" i="14"/>
  <c r="R1498" i="14"/>
  <c r="R1497" i="14"/>
  <c r="R1496" i="14"/>
  <c r="R1495" i="14"/>
  <c r="R1494" i="14"/>
  <c r="R1493" i="14"/>
  <c r="R1492" i="14"/>
  <c r="R1491" i="14"/>
  <c r="R1490" i="14"/>
  <c r="R1489" i="14"/>
  <c r="R1488" i="14"/>
  <c r="R1487" i="14"/>
  <c r="R1486" i="14"/>
  <c r="R1485" i="14"/>
  <c r="R1484" i="14"/>
  <c r="R1483" i="14"/>
  <c r="R1482" i="14"/>
  <c r="R1481" i="14"/>
  <c r="R1480" i="14"/>
  <c r="R1479" i="14"/>
  <c r="R1478" i="14"/>
  <c r="R1477" i="14"/>
  <c r="R1476" i="14"/>
  <c r="R1475" i="14"/>
  <c r="R1474" i="14"/>
  <c r="R1473" i="14"/>
  <c r="R1472" i="14"/>
  <c r="R1471" i="14"/>
  <c r="R1470" i="14"/>
  <c r="R1469" i="14"/>
  <c r="R1468" i="14"/>
  <c r="R1467" i="14"/>
  <c r="R1466" i="14"/>
  <c r="R1465" i="14"/>
  <c r="R1464" i="14"/>
  <c r="R1463" i="14"/>
  <c r="R1462" i="14"/>
  <c r="R1461" i="14"/>
  <c r="R1460" i="14"/>
  <c r="R1459" i="14"/>
  <c r="R1458" i="14"/>
  <c r="R1457" i="14"/>
  <c r="R1456" i="14"/>
  <c r="R1455" i="14"/>
  <c r="R1454" i="14"/>
  <c r="R1453" i="14"/>
  <c r="R1452" i="14"/>
  <c r="R1451" i="14"/>
  <c r="R1450" i="14"/>
  <c r="R1449" i="14"/>
  <c r="R1448" i="14"/>
  <c r="R1447" i="14"/>
  <c r="R1446" i="14"/>
  <c r="R1445" i="14"/>
  <c r="R1444" i="14"/>
  <c r="R1443" i="14"/>
  <c r="R1442" i="14"/>
  <c r="R1441" i="14"/>
  <c r="R1440" i="14"/>
  <c r="R1439" i="14"/>
  <c r="R1438" i="14"/>
  <c r="R1437" i="14"/>
  <c r="R1436" i="14"/>
  <c r="R1435" i="14"/>
  <c r="R1434" i="14"/>
  <c r="R1433" i="14"/>
  <c r="R1432" i="14"/>
  <c r="R1431" i="14"/>
  <c r="R1430" i="14"/>
  <c r="R1429" i="14"/>
  <c r="R1428" i="14"/>
  <c r="R1427" i="14"/>
  <c r="R1426" i="14"/>
  <c r="R1425" i="14"/>
  <c r="R1424" i="14"/>
  <c r="R1423" i="14"/>
  <c r="R1422" i="14"/>
  <c r="R1421" i="14"/>
  <c r="R1420" i="14"/>
  <c r="R1419" i="14"/>
  <c r="R1418" i="14"/>
  <c r="R1417" i="14"/>
  <c r="R1416" i="14"/>
  <c r="R1415" i="14"/>
  <c r="R1414" i="14"/>
  <c r="R1413" i="14"/>
  <c r="R1412" i="14"/>
  <c r="R1411" i="14"/>
  <c r="R1410" i="14"/>
  <c r="R1409" i="14"/>
  <c r="R1408" i="14"/>
  <c r="R1407" i="14"/>
  <c r="R1406" i="14"/>
  <c r="R1405" i="14"/>
  <c r="R1404" i="14"/>
  <c r="R1403" i="14"/>
  <c r="R1402" i="14"/>
  <c r="R1401" i="14"/>
  <c r="R1400" i="14"/>
  <c r="R1399" i="14"/>
  <c r="R1398" i="14"/>
  <c r="R1397" i="14"/>
  <c r="R1396" i="14"/>
  <c r="R1395" i="14"/>
  <c r="R1394" i="14"/>
  <c r="R1393" i="14"/>
  <c r="R1392" i="14"/>
  <c r="R1391" i="14"/>
  <c r="R1390" i="14"/>
  <c r="R1389" i="14"/>
  <c r="R1388" i="14"/>
  <c r="R1387" i="14"/>
  <c r="R1386" i="14"/>
  <c r="R1385" i="14"/>
  <c r="R1384" i="14"/>
  <c r="R1383" i="14"/>
  <c r="R1382" i="14"/>
  <c r="R1381" i="14"/>
  <c r="R1380" i="14"/>
  <c r="R1379" i="14"/>
  <c r="R1378" i="14"/>
  <c r="R1377" i="14"/>
  <c r="R1376" i="14"/>
  <c r="R1375" i="14"/>
  <c r="R1374" i="14"/>
  <c r="R1373" i="14"/>
  <c r="R1372" i="14"/>
  <c r="R1371" i="14"/>
  <c r="R1370" i="14"/>
  <c r="R1369" i="14"/>
  <c r="R1368" i="14"/>
  <c r="R1367" i="14"/>
  <c r="R1366" i="14"/>
  <c r="R1365" i="14"/>
  <c r="R1364" i="14"/>
  <c r="R1363" i="14"/>
  <c r="R1362" i="14"/>
  <c r="R1361" i="14"/>
  <c r="R1360" i="14"/>
  <c r="R1359" i="14"/>
  <c r="R1358" i="14"/>
  <c r="R1357" i="14"/>
  <c r="R1356" i="14"/>
  <c r="R1355" i="14"/>
  <c r="R1354" i="14"/>
  <c r="R1353" i="14"/>
  <c r="R1352" i="14"/>
  <c r="R1351" i="14"/>
  <c r="R1350" i="14"/>
  <c r="R1349" i="14"/>
  <c r="R1348" i="14"/>
  <c r="R1347" i="14"/>
  <c r="R1346" i="14"/>
  <c r="R1345" i="14"/>
  <c r="R1344" i="14"/>
  <c r="R1343" i="14"/>
  <c r="R1342" i="14"/>
  <c r="R1341" i="14"/>
  <c r="R1340" i="14"/>
  <c r="R1339" i="14"/>
  <c r="R1338" i="14"/>
  <c r="R1337" i="14"/>
  <c r="R1336" i="14"/>
  <c r="R1335" i="14"/>
  <c r="R1334" i="14"/>
  <c r="R1333" i="14"/>
  <c r="R1332" i="14"/>
  <c r="R1331" i="14"/>
  <c r="R1330" i="14"/>
  <c r="R1329" i="14"/>
  <c r="R1328" i="14"/>
  <c r="R1327" i="14"/>
  <c r="R1326" i="14"/>
  <c r="R1325" i="14"/>
  <c r="R1324" i="14"/>
  <c r="R1323" i="14"/>
  <c r="R1322" i="14"/>
  <c r="R1321" i="14"/>
  <c r="R1320" i="14"/>
  <c r="R1319" i="14"/>
  <c r="R1318" i="14"/>
  <c r="R1317" i="14"/>
  <c r="R1316" i="14"/>
  <c r="R1315" i="14"/>
  <c r="R1314" i="14"/>
  <c r="R1313" i="14"/>
  <c r="R1312" i="14"/>
  <c r="R1311" i="14"/>
  <c r="R1310" i="14"/>
  <c r="R1309" i="14"/>
  <c r="R1308" i="14"/>
  <c r="R1307" i="14"/>
  <c r="R1306" i="14"/>
  <c r="R1305" i="14"/>
  <c r="R1304" i="14"/>
  <c r="R1303" i="14"/>
  <c r="R1302" i="14"/>
  <c r="R1301" i="14"/>
  <c r="R1300" i="14"/>
  <c r="R1299" i="14"/>
  <c r="R1298" i="14"/>
  <c r="R1297" i="14"/>
  <c r="R1296" i="14"/>
  <c r="R1295" i="14"/>
  <c r="R1294" i="14"/>
  <c r="R1293" i="14"/>
  <c r="R1292" i="14"/>
  <c r="R1291" i="14"/>
  <c r="R1290" i="14"/>
  <c r="R1289" i="14"/>
  <c r="R1288" i="14"/>
  <c r="R1287" i="14"/>
  <c r="R1286" i="14"/>
  <c r="R1285" i="14"/>
  <c r="R1284" i="14"/>
  <c r="R1283" i="14"/>
  <c r="R1282" i="14"/>
  <c r="R1281" i="14"/>
  <c r="R1280" i="14"/>
  <c r="R1279" i="14"/>
  <c r="R1278" i="14"/>
  <c r="R1277" i="14"/>
  <c r="R1276" i="14"/>
  <c r="R1275" i="14"/>
  <c r="R1274" i="14"/>
  <c r="R1273" i="14"/>
  <c r="R1272" i="14"/>
  <c r="R1271" i="14"/>
  <c r="R1270" i="14"/>
  <c r="R1269" i="14"/>
  <c r="R1268" i="14"/>
  <c r="R1267" i="14"/>
  <c r="R1266" i="14"/>
  <c r="R1265" i="14"/>
  <c r="R1264" i="14"/>
  <c r="R1263" i="14"/>
  <c r="R1262" i="14"/>
  <c r="R1261" i="14"/>
  <c r="R1260" i="14"/>
  <c r="R1259" i="14"/>
  <c r="R1258" i="14"/>
  <c r="R1257" i="14"/>
  <c r="R1256" i="14"/>
  <c r="R1255" i="14"/>
  <c r="R1254" i="14"/>
  <c r="R1253" i="14"/>
  <c r="R1252" i="14"/>
  <c r="R1251" i="14"/>
  <c r="R1250" i="14"/>
  <c r="R1249" i="14"/>
  <c r="R1248" i="14"/>
  <c r="R1247" i="14"/>
  <c r="R1246" i="14"/>
  <c r="R1245" i="14"/>
  <c r="R1244" i="14"/>
  <c r="R1243" i="14"/>
  <c r="R1242" i="14"/>
  <c r="R1241" i="14"/>
  <c r="R1240" i="14"/>
  <c r="R1239" i="14"/>
  <c r="R1238" i="14"/>
  <c r="R1237" i="14"/>
  <c r="R1236" i="14"/>
  <c r="R1235" i="14"/>
  <c r="R1234" i="14"/>
  <c r="R1233" i="14"/>
  <c r="R1232" i="14"/>
  <c r="R1231" i="14"/>
  <c r="R1230" i="14"/>
  <c r="R1229" i="14"/>
  <c r="R1228" i="14"/>
  <c r="R1227" i="14"/>
  <c r="R1226" i="14"/>
  <c r="R1225" i="14"/>
  <c r="R1224" i="14"/>
  <c r="R1223" i="14"/>
  <c r="R1222" i="14"/>
  <c r="R1221" i="14"/>
  <c r="R1220" i="14"/>
  <c r="R1219" i="14"/>
  <c r="R1218" i="14"/>
  <c r="R1217" i="14"/>
  <c r="R1216" i="14"/>
  <c r="R1215" i="14"/>
  <c r="R1214" i="14"/>
  <c r="R1213" i="14"/>
  <c r="R1212" i="14"/>
  <c r="R1211" i="14"/>
  <c r="R1210" i="14"/>
  <c r="R1209" i="14"/>
  <c r="R1208" i="14"/>
  <c r="R1207" i="14"/>
  <c r="R1206" i="14"/>
  <c r="R1205" i="14"/>
  <c r="R1204" i="14"/>
  <c r="R1203" i="14"/>
  <c r="R1202" i="14"/>
  <c r="R1201" i="14"/>
  <c r="R1200" i="14"/>
  <c r="R1199" i="14"/>
  <c r="R1198" i="14"/>
  <c r="R1197" i="14"/>
  <c r="R1196" i="14"/>
  <c r="R1195" i="14"/>
  <c r="R1194" i="14"/>
  <c r="R1193" i="14"/>
  <c r="R1192" i="14"/>
  <c r="R1191" i="14"/>
  <c r="R1190" i="14"/>
  <c r="R1189" i="14"/>
  <c r="R1188" i="14"/>
  <c r="R1187" i="14"/>
  <c r="R1186" i="14"/>
  <c r="R1185" i="14"/>
  <c r="R1184" i="14"/>
  <c r="R1183" i="14"/>
  <c r="R1182" i="14"/>
  <c r="R1181" i="14"/>
  <c r="R1180" i="14"/>
  <c r="R1179" i="14"/>
  <c r="R1178" i="14"/>
  <c r="R1177" i="14"/>
  <c r="R1176" i="14"/>
  <c r="R1175" i="14"/>
  <c r="R1174" i="14"/>
  <c r="R1173" i="14"/>
  <c r="R1172" i="14"/>
  <c r="R1171" i="14"/>
  <c r="R1170" i="14"/>
  <c r="R1169" i="14"/>
  <c r="R1168" i="14"/>
  <c r="R1167" i="14"/>
  <c r="R1166" i="14"/>
  <c r="R1165" i="14"/>
  <c r="R1164" i="14"/>
  <c r="R1163" i="14"/>
  <c r="R1162" i="14"/>
  <c r="R1161" i="14"/>
  <c r="R1160" i="14"/>
  <c r="R1159" i="14"/>
  <c r="R1158" i="14"/>
  <c r="R1157" i="14"/>
  <c r="R1156" i="14"/>
  <c r="R1155" i="14"/>
  <c r="R1154" i="14"/>
  <c r="R1153" i="14"/>
  <c r="R1152" i="14"/>
  <c r="R1151" i="14"/>
  <c r="R1150" i="14"/>
  <c r="R1149" i="14"/>
  <c r="R1148" i="14"/>
  <c r="R1147" i="14"/>
  <c r="R1146" i="14"/>
  <c r="R1145" i="14"/>
  <c r="R1144" i="14"/>
  <c r="R1143" i="14"/>
  <c r="R1142" i="14"/>
  <c r="R1141" i="14"/>
  <c r="R1140" i="14"/>
  <c r="R1139" i="14"/>
  <c r="R1138" i="14"/>
  <c r="R1137" i="14"/>
  <c r="R1136" i="14"/>
  <c r="R1135" i="14"/>
  <c r="R1134" i="14"/>
  <c r="R1133" i="14"/>
  <c r="R1132" i="14"/>
  <c r="R1131" i="14"/>
  <c r="R1130" i="14"/>
  <c r="R1129" i="14"/>
  <c r="R1128" i="14"/>
  <c r="R1127" i="14"/>
  <c r="R1126" i="14"/>
  <c r="R1125" i="14"/>
  <c r="R1124" i="14"/>
  <c r="R1123" i="14"/>
  <c r="R1122" i="14"/>
  <c r="R1121" i="14"/>
  <c r="R1120" i="14"/>
  <c r="R1119" i="14"/>
  <c r="R1118" i="14"/>
  <c r="R1117" i="14"/>
  <c r="R1116" i="14"/>
  <c r="R1115" i="14"/>
  <c r="R1114" i="14"/>
  <c r="R1113" i="14"/>
  <c r="R1112" i="14"/>
  <c r="R1111" i="14"/>
  <c r="R1110" i="14"/>
  <c r="R1109" i="14"/>
  <c r="R1108" i="14"/>
  <c r="R1107" i="14"/>
  <c r="R1106" i="14"/>
  <c r="R1105" i="14"/>
  <c r="R1104" i="14"/>
  <c r="R1103" i="14"/>
  <c r="R1102" i="14"/>
  <c r="R1101" i="14"/>
  <c r="R1100" i="14"/>
  <c r="R1099" i="14"/>
  <c r="R1098" i="14"/>
  <c r="R1097" i="14"/>
  <c r="R1096" i="14"/>
  <c r="R1095" i="14"/>
  <c r="R1094" i="14"/>
  <c r="R1093" i="14"/>
  <c r="R1092" i="14"/>
  <c r="R1091" i="14"/>
  <c r="R1090" i="14"/>
  <c r="R1089" i="14"/>
  <c r="R1088" i="14"/>
  <c r="R1087" i="14"/>
  <c r="R1086" i="14"/>
  <c r="R1085" i="14"/>
  <c r="R1084" i="14"/>
  <c r="R1083" i="14"/>
  <c r="R1082" i="14"/>
  <c r="R1081" i="14"/>
  <c r="R1080" i="14"/>
  <c r="R1079" i="14"/>
  <c r="R1078" i="14"/>
  <c r="R1077" i="14"/>
  <c r="R1076" i="14"/>
  <c r="R1075" i="14"/>
  <c r="R1074" i="14"/>
  <c r="R1073" i="14"/>
  <c r="R1072" i="14"/>
  <c r="R1071" i="14"/>
  <c r="R1070" i="14"/>
  <c r="R1069" i="14"/>
  <c r="R1068" i="14"/>
  <c r="R1067" i="14"/>
  <c r="R1066" i="14"/>
  <c r="R1065" i="14"/>
  <c r="R1064" i="14"/>
  <c r="R1063" i="14"/>
  <c r="R1062" i="14"/>
  <c r="R1061" i="14"/>
  <c r="R1060" i="14"/>
  <c r="R1059" i="14"/>
  <c r="R1058" i="14"/>
  <c r="R1057" i="14"/>
  <c r="R1056" i="14"/>
  <c r="R1055" i="14"/>
  <c r="R1054" i="14"/>
  <c r="R1053" i="14"/>
  <c r="R1052" i="14"/>
  <c r="R1051" i="14"/>
  <c r="R1050" i="14"/>
  <c r="R1049" i="14"/>
  <c r="R1048" i="14"/>
  <c r="R1047" i="14"/>
  <c r="R1046" i="14"/>
  <c r="R1045" i="14"/>
  <c r="R1044" i="14"/>
  <c r="R1043" i="14"/>
  <c r="R1042" i="14"/>
  <c r="R1041" i="14"/>
  <c r="R1040" i="14"/>
  <c r="R1039" i="14"/>
  <c r="R1038" i="14"/>
  <c r="R1037" i="14"/>
  <c r="R1036" i="14"/>
  <c r="R1035" i="14"/>
  <c r="R1034" i="14"/>
  <c r="R1033" i="14"/>
  <c r="R1032" i="14"/>
  <c r="R1031" i="14"/>
  <c r="R1030" i="14"/>
  <c r="R1029" i="14"/>
  <c r="R1028" i="14"/>
  <c r="R1027" i="14"/>
  <c r="R1026" i="14"/>
  <c r="R1025" i="14"/>
  <c r="R1024" i="14"/>
  <c r="R1023" i="14"/>
  <c r="R1022" i="14"/>
  <c r="R1021" i="14"/>
  <c r="R1020" i="14"/>
  <c r="R1019" i="14"/>
  <c r="R1018" i="14"/>
  <c r="R1017" i="14"/>
  <c r="R1016" i="14"/>
  <c r="R1015" i="14"/>
  <c r="R1014" i="14"/>
  <c r="R1013" i="14"/>
  <c r="R1012" i="14"/>
  <c r="R1011" i="14"/>
  <c r="R1010" i="14"/>
  <c r="R1009" i="14"/>
  <c r="R1008" i="14"/>
  <c r="R1007" i="14"/>
  <c r="R1006" i="14"/>
  <c r="R1005" i="14"/>
  <c r="R1004" i="14"/>
  <c r="R1003" i="14"/>
  <c r="R1002" i="14"/>
  <c r="R1001" i="14"/>
  <c r="R1000" i="14"/>
  <c r="R999" i="14"/>
  <c r="R998" i="14"/>
  <c r="R997" i="14"/>
  <c r="R996" i="14"/>
  <c r="R995" i="14"/>
  <c r="R994" i="14"/>
  <c r="R993" i="14"/>
  <c r="R992" i="14"/>
  <c r="R991" i="14"/>
  <c r="R990" i="14"/>
  <c r="R989" i="14"/>
  <c r="R988" i="14"/>
  <c r="R987" i="14"/>
  <c r="R986" i="14"/>
  <c r="R985" i="14"/>
  <c r="R984" i="14"/>
  <c r="R983" i="14"/>
  <c r="R982" i="14"/>
  <c r="R981" i="14"/>
  <c r="R980" i="14"/>
  <c r="R979" i="14"/>
  <c r="R978" i="14"/>
  <c r="R977" i="14"/>
  <c r="R976" i="14"/>
  <c r="R975" i="14"/>
  <c r="R974" i="14"/>
  <c r="R973" i="14"/>
  <c r="R972" i="14"/>
  <c r="R971" i="14"/>
  <c r="R970" i="14"/>
  <c r="R969" i="14"/>
  <c r="R968" i="14"/>
  <c r="R967" i="14"/>
  <c r="R966" i="14"/>
  <c r="R965" i="14"/>
  <c r="R964" i="14"/>
  <c r="R963" i="14"/>
  <c r="R962" i="14"/>
  <c r="R961" i="14"/>
  <c r="R960" i="14"/>
  <c r="R959" i="14"/>
  <c r="R958" i="14"/>
  <c r="R957" i="14"/>
  <c r="R956" i="14"/>
  <c r="R955" i="14"/>
  <c r="R954" i="14"/>
  <c r="R953" i="14"/>
  <c r="R952" i="14"/>
  <c r="R951" i="14"/>
  <c r="R950" i="14"/>
  <c r="R949" i="14"/>
  <c r="R948" i="14"/>
  <c r="R947" i="14"/>
  <c r="R946" i="14"/>
  <c r="R945" i="14"/>
  <c r="R944" i="14"/>
  <c r="R943" i="14"/>
  <c r="R942" i="14"/>
  <c r="R941" i="14"/>
  <c r="R940" i="14"/>
  <c r="R939" i="14"/>
  <c r="R938" i="14"/>
  <c r="R937" i="14"/>
  <c r="R936" i="14"/>
  <c r="R935" i="14"/>
  <c r="R934" i="14"/>
  <c r="R933" i="14"/>
  <c r="R932" i="14"/>
  <c r="R931" i="14"/>
  <c r="R930" i="14"/>
  <c r="R929" i="14"/>
  <c r="R928" i="14"/>
  <c r="R927" i="14"/>
  <c r="R926" i="14"/>
  <c r="R925" i="14"/>
  <c r="R924" i="14"/>
  <c r="R923" i="14"/>
  <c r="R922" i="14"/>
  <c r="R921" i="14"/>
  <c r="R920" i="14"/>
  <c r="R919" i="14"/>
  <c r="R918" i="14"/>
  <c r="R917" i="14"/>
  <c r="R916" i="14"/>
  <c r="R915" i="14"/>
  <c r="R914" i="14"/>
  <c r="R913" i="14"/>
  <c r="R912" i="14"/>
  <c r="R911" i="14"/>
  <c r="R910" i="14"/>
  <c r="R909" i="14"/>
  <c r="R908" i="14"/>
  <c r="R907" i="14"/>
  <c r="R906" i="14"/>
  <c r="R905" i="14"/>
  <c r="R904" i="14"/>
  <c r="R903" i="14"/>
  <c r="R902" i="14"/>
  <c r="R901" i="14"/>
  <c r="R900" i="14"/>
  <c r="R899" i="14"/>
  <c r="R898" i="14"/>
  <c r="R897" i="14"/>
  <c r="R896" i="14"/>
  <c r="R895" i="14"/>
  <c r="R894" i="14"/>
  <c r="R893" i="14"/>
  <c r="R892" i="14"/>
  <c r="R891" i="14"/>
  <c r="R890" i="14"/>
  <c r="R889" i="14"/>
  <c r="R888" i="14"/>
  <c r="R887" i="14"/>
  <c r="R886" i="14"/>
  <c r="R885" i="14"/>
  <c r="R884" i="14"/>
  <c r="R883" i="14"/>
  <c r="R882" i="14"/>
  <c r="R881" i="14"/>
  <c r="R880" i="14"/>
  <c r="R879" i="14"/>
  <c r="R878" i="14"/>
  <c r="R877" i="14"/>
  <c r="R876" i="14"/>
  <c r="R875" i="14"/>
  <c r="R874" i="14"/>
  <c r="R873" i="14"/>
  <c r="R872" i="14"/>
  <c r="R871" i="14"/>
  <c r="R870" i="14"/>
  <c r="R869" i="14"/>
  <c r="R868" i="14"/>
  <c r="R867" i="14"/>
  <c r="R866" i="14"/>
  <c r="R865" i="14"/>
  <c r="R864" i="14"/>
  <c r="R863" i="14"/>
  <c r="R862" i="14"/>
  <c r="R861" i="14"/>
  <c r="R860" i="14"/>
  <c r="R859" i="14"/>
  <c r="R858" i="14"/>
  <c r="R857" i="14"/>
  <c r="R856" i="14"/>
  <c r="R855" i="14"/>
  <c r="R854" i="14"/>
  <c r="R853" i="14"/>
  <c r="R852" i="14"/>
  <c r="R851" i="14"/>
  <c r="R850" i="14"/>
  <c r="R849" i="14"/>
  <c r="R848" i="14"/>
  <c r="R847" i="14"/>
  <c r="R846" i="14"/>
  <c r="R845" i="14"/>
  <c r="R844" i="14"/>
  <c r="R843" i="14"/>
  <c r="R842" i="14"/>
  <c r="R841" i="14"/>
  <c r="R840" i="14"/>
  <c r="R839" i="14"/>
  <c r="R838" i="14"/>
  <c r="R837" i="14"/>
  <c r="R836" i="14"/>
  <c r="R835" i="14"/>
  <c r="R834" i="14"/>
  <c r="R833" i="14"/>
  <c r="R832" i="14"/>
  <c r="R831" i="14"/>
  <c r="R830" i="14"/>
  <c r="R829" i="14"/>
  <c r="R828" i="14"/>
  <c r="R827" i="14"/>
  <c r="R826" i="14"/>
  <c r="R825" i="14"/>
  <c r="R824" i="14"/>
  <c r="R823" i="14"/>
  <c r="R822" i="14"/>
  <c r="R821" i="14"/>
  <c r="R820" i="14"/>
  <c r="R819" i="14"/>
  <c r="R818" i="14"/>
  <c r="R817" i="14"/>
  <c r="R816" i="14"/>
  <c r="R815" i="14"/>
  <c r="R814" i="14"/>
  <c r="R813" i="14"/>
  <c r="R812" i="14"/>
  <c r="R811" i="14"/>
  <c r="R810" i="14"/>
  <c r="R809" i="14"/>
  <c r="R808" i="14"/>
  <c r="R807" i="14"/>
  <c r="R806" i="14"/>
  <c r="R805" i="14"/>
  <c r="R804" i="14"/>
  <c r="R803" i="14"/>
  <c r="R802" i="14"/>
  <c r="R801" i="14"/>
  <c r="R800" i="14"/>
  <c r="R799" i="14"/>
  <c r="R798" i="14"/>
  <c r="R797" i="14"/>
  <c r="R796" i="14"/>
  <c r="R795" i="14"/>
  <c r="R794" i="14"/>
  <c r="R793" i="14"/>
  <c r="R792" i="14"/>
  <c r="R791" i="14"/>
  <c r="R790" i="14"/>
  <c r="R789" i="14"/>
  <c r="R788" i="14"/>
  <c r="R787" i="14"/>
  <c r="R786" i="14"/>
  <c r="R785" i="14"/>
  <c r="R784" i="14"/>
  <c r="R783" i="14"/>
  <c r="R782" i="14"/>
  <c r="R781" i="14"/>
  <c r="R780" i="14"/>
  <c r="R779" i="14"/>
  <c r="R778" i="14"/>
  <c r="R777" i="14"/>
  <c r="R776" i="14"/>
  <c r="R775" i="14"/>
  <c r="R774" i="14"/>
  <c r="R773" i="14"/>
  <c r="R772" i="14"/>
  <c r="R771" i="14"/>
  <c r="R770" i="14"/>
  <c r="R769" i="14"/>
  <c r="R768" i="14"/>
  <c r="R767" i="14"/>
  <c r="R766" i="14"/>
  <c r="R765" i="14"/>
  <c r="R764" i="14"/>
  <c r="R763" i="14"/>
  <c r="R762" i="14"/>
  <c r="R761" i="14"/>
  <c r="R760" i="14"/>
  <c r="R759" i="14"/>
  <c r="R758" i="14"/>
  <c r="R757" i="14"/>
  <c r="R756" i="14"/>
  <c r="R755" i="14"/>
  <c r="R754" i="14"/>
  <c r="R753" i="14"/>
  <c r="R752" i="14"/>
  <c r="R751" i="14"/>
  <c r="R750" i="14"/>
  <c r="R749" i="14"/>
  <c r="R748" i="14"/>
  <c r="R747" i="14"/>
  <c r="R746" i="14"/>
  <c r="R745" i="14"/>
  <c r="R744" i="14"/>
  <c r="R743" i="14"/>
  <c r="R742" i="14"/>
  <c r="R741" i="14"/>
  <c r="R740" i="14"/>
  <c r="R739" i="14"/>
  <c r="R738" i="14"/>
  <c r="R737" i="14"/>
  <c r="R736" i="14"/>
  <c r="R735" i="14"/>
  <c r="R734" i="14"/>
  <c r="R733" i="14"/>
  <c r="R732" i="14"/>
  <c r="R731" i="14"/>
  <c r="R730" i="14"/>
  <c r="R729" i="14"/>
  <c r="R728" i="14"/>
  <c r="R727" i="14"/>
  <c r="R726" i="14"/>
  <c r="R725" i="14"/>
  <c r="R724" i="14"/>
  <c r="R723" i="14"/>
  <c r="R722" i="14"/>
  <c r="R721" i="14"/>
  <c r="R720" i="14"/>
  <c r="R719" i="14"/>
  <c r="R718" i="14"/>
  <c r="R717" i="14"/>
  <c r="R716" i="14"/>
  <c r="R715" i="14"/>
  <c r="R714" i="14"/>
  <c r="R713" i="14"/>
  <c r="R712" i="14"/>
  <c r="R711" i="14"/>
  <c r="R710" i="14"/>
  <c r="R709" i="14"/>
  <c r="R708" i="14"/>
  <c r="R707" i="14"/>
  <c r="R706" i="14"/>
  <c r="R705" i="14"/>
  <c r="R704" i="14"/>
  <c r="R703" i="14"/>
  <c r="R702" i="14"/>
  <c r="R701" i="14"/>
  <c r="R700" i="14"/>
  <c r="R699" i="14"/>
  <c r="R698" i="14"/>
  <c r="R697" i="14"/>
  <c r="R696" i="14"/>
  <c r="R695" i="14"/>
  <c r="R694" i="14"/>
  <c r="R693" i="14"/>
  <c r="R692" i="14"/>
  <c r="R691" i="14"/>
  <c r="R690" i="14"/>
  <c r="R689" i="14"/>
  <c r="R688" i="14"/>
  <c r="R687" i="14"/>
  <c r="R686" i="14"/>
  <c r="R685" i="14"/>
  <c r="R684" i="14"/>
  <c r="R683" i="14"/>
  <c r="R682" i="14"/>
  <c r="R681" i="14"/>
  <c r="R680" i="14"/>
  <c r="R679" i="14"/>
  <c r="R678" i="14"/>
  <c r="R677" i="14"/>
  <c r="R676" i="14"/>
  <c r="R675" i="14"/>
  <c r="R674" i="14"/>
  <c r="R673" i="14"/>
  <c r="R672" i="14"/>
  <c r="R671" i="14"/>
  <c r="R670" i="14"/>
  <c r="R669" i="14"/>
  <c r="R668" i="14"/>
  <c r="R667" i="14"/>
  <c r="R666" i="14"/>
  <c r="R665" i="14"/>
  <c r="R664" i="14"/>
  <c r="R663" i="14"/>
  <c r="R662" i="14"/>
  <c r="R661" i="14"/>
  <c r="R660" i="14"/>
  <c r="R659" i="14"/>
  <c r="R658" i="14"/>
  <c r="R657" i="14"/>
  <c r="R656" i="14"/>
  <c r="R655" i="14"/>
  <c r="R654" i="14"/>
  <c r="R653" i="14"/>
  <c r="R652" i="14"/>
  <c r="R651" i="14"/>
  <c r="R650" i="14"/>
  <c r="R649" i="14"/>
  <c r="R648" i="14"/>
  <c r="R647" i="14"/>
  <c r="R646" i="14"/>
  <c r="R645" i="14"/>
  <c r="R644" i="14"/>
  <c r="R643" i="14"/>
  <c r="R642" i="14"/>
  <c r="R641" i="14"/>
  <c r="R640" i="14"/>
  <c r="R639" i="14"/>
  <c r="R638" i="14"/>
  <c r="R637" i="14"/>
  <c r="R636" i="14"/>
  <c r="R635" i="14"/>
  <c r="R634" i="14"/>
  <c r="R633" i="14"/>
  <c r="R632" i="14"/>
  <c r="R631" i="14"/>
  <c r="R630" i="14"/>
  <c r="R629" i="14"/>
  <c r="R628" i="14"/>
  <c r="R627" i="14"/>
  <c r="R626" i="14"/>
  <c r="R625" i="14"/>
  <c r="R624" i="14"/>
  <c r="R623" i="14"/>
  <c r="R622" i="14"/>
  <c r="R621" i="14"/>
  <c r="R620" i="14"/>
  <c r="R619" i="14"/>
  <c r="R618" i="14"/>
  <c r="R617" i="14"/>
  <c r="R616" i="14"/>
  <c r="R615" i="14"/>
  <c r="R614" i="14"/>
  <c r="R613" i="14"/>
  <c r="R612" i="14"/>
  <c r="R611" i="14"/>
  <c r="R610" i="14"/>
  <c r="R609" i="14"/>
  <c r="R608" i="14"/>
  <c r="R607" i="14"/>
  <c r="R606" i="14"/>
  <c r="R605" i="14"/>
  <c r="R604" i="14"/>
  <c r="R603" i="14"/>
  <c r="R602" i="14"/>
  <c r="R601" i="14"/>
  <c r="R600" i="14"/>
  <c r="R599" i="14"/>
  <c r="R598" i="14"/>
  <c r="R597" i="14"/>
  <c r="R596" i="14"/>
  <c r="R595" i="14"/>
  <c r="R594" i="14"/>
  <c r="R593" i="14"/>
  <c r="R592" i="14"/>
  <c r="R591" i="14"/>
  <c r="R590" i="14"/>
  <c r="R589" i="14"/>
  <c r="R588" i="14"/>
  <c r="R587" i="14"/>
  <c r="R586" i="14"/>
  <c r="R585" i="14"/>
  <c r="R584" i="14"/>
  <c r="R583" i="14"/>
  <c r="R582" i="14"/>
  <c r="R581" i="14"/>
  <c r="R580" i="14"/>
  <c r="R579" i="14"/>
  <c r="R578" i="14"/>
  <c r="R577" i="14"/>
  <c r="R576" i="14"/>
  <c r="R575" i="14"/>
  <c r="R574" i="14"/>
  <c r="R573" i="14"/>
  <c r="R572" i="14"/>
  <c r="R571" i="14"/>
  <c r="R570" i="14"/>
  <c r="R569" i="14"/>
  <c r="R568" i="14"/>
  <c r="R567" i="14"/>
  <c r="R566" i="14"/>
  <c r="R565" i="14"/>
  <c r="R564" i="14"/>
  <c r="R563" i="14"/>
  <c r="R562" i="14"/>
  <c r="R561" i="14"/>
  <c r="R560" i="14"/>
  <c r="R559" i="14"/>
  <c r="R558" i="14"/>
  <c r="R557" i="14"/>
  <c r="R556" i="14"/>
  <c r="R555" i="14"/>
  <c r="R554" i="14"/>
  <c r="R553" i="14"/>
  <c r="R552" i="14"/>
  <c r="R551" i="14"/>
  <c r="R550" i="14"/>
  <c r="R549" i="14"/>
  <c r="R548" i="14"/>
  <c r="R547" i="14"/>
  <c r="R546" i="14"/>
  <c r="R545" i="14"/>
  <c r="R544" i="14"/>
  <c r="R543" i="14"/>
  <c r="R542" i="14"/>
  <c r="R541" i="14"/>
  <c r="R540" i="14"/>
  <c r="R539" i="14"/>
  <c r="R538" i="14"/>
  <c r="R537" i="14"/>
  <c r="R536" i="14"/>
  <c r="R535" i="14"/>
  <c r="R534" i="14"/>
  <c r="R533" i="14"/>
  <c r="R532" i="14"/>
  <c r="R531" i="14"/>
  <c r="R530" i="14"/>
  <c r="R529" i="14"/>
  <c r="R528" i="14"/>
  <c r="R527" i="14"/>
  <c r="R526" i="14"/>
  <c r="R525" i="14"/>
  <c r="R524" i="14"/>
  <c r="R523" i="14"/>
  <c r="R522" i="14"/>
  <c r="R521" i="14"/>
  <c r="R520" i="14"/>
  <c r="R519" i="14"/>
  <c r="R518" i="14"/>
  <c r="R517" i="14"/>
  <c r="R516" i="14"/>
  <c r="R515" i="14"/>
  <c r="R514" i="14"/>
  <c r="R513" i="14"/>
  <c r="R512" i="14"/>
  <c r="R511" i="14"/>
  <c r="R510" i="14"/>
  <c r="R509" i="14"/>
  <c r="R508" i="14"/>
  <c r="R507" i="14"/>
  <c r="R506" i="14"/>
  <c r="R505" i="14"/>
  <c r="R504" i="14"/>
  <c r="R503" i="14"/>
  <c r="R502" i="14"/>
  <c r="R501" i="14"/>
  <c r="R500" i="14"/>
  <c r="R499" i="14"/>
  <c r="R498" i="14"/>
  <c r="R497" i="14"/>
  <c r="R496" i="14"/>
  <c r="R495" i="14"/>
  <c r="R494" i="14"/>
  <c r="R493" i="14"/>
  <c r="R492" i="14"/>
  <c r="R491" i="14"/>
  <c r="R490" i="14"/>
  <c r="R489" i="14"/>
  <c r="R488" i="14"/>
  <c r="R487" i="14"/>
  <c r="R486" i="14"/>
  <c r="R485" i="14"/>
  <c r="R484" i="14"/>
  <c r="R483" i="14"/>
  <c r="R482" i="14"/>
  <c r="R481" i="14"/>
  <c r="R480" i="14"/>
  <c r="R479" i="14"/>
  <c r="R478" i="14"/>
  <c r="R477" i="14"/>
  <c r="R476" i="14"/>
  <c r="R475" i="14"/>
  <c r="R474" i="14"/>
  <c r="R473" i="14"/>
  <c r="R472" i="14"/>
  <c r="R471" i="14"/>
  <c r="R470" i="14"/>
  <c r="R469" i="14"/>
  <c r="R468" i="14"/>
  <c r="R467" i="14"/>
  <c r="R466" i="14"/>
  <c r="R465" i="14"/>
  <c r="R464" i="14"/>
  <c r="R463" i="14"/>
  <c r="R462" i="14"/>
  <c r="R461" i="14"/>
  <c r="R460" i="14"/>
  <c r="R459" i="14"/>
  <c r="R458" i="14"/>
  <c r="R457" i="14"/>
  <c r="R456" i="14"/>
  <c r="R455" i="14"/>
  <c r="R454" i="14"/>
  <c r="R453" i="14"/>
  <c r="R452" i="14"/>
  <c r="R451" i="14"/>
  <c r="R450" i="14"/>
  <c r="R449" i="14"/>
  <c r="R448" i="14"/>
  <c r="R447" i="14"/>
  <c r="R446" i="14"/>
  <c r="R445" i="14"/>
  <c r="R444" i="14"/>
  <c r="R443" i="14"/>
  <c r="R442" i="14"/>
  <c r="R441" i="14"/>
  <c r="R440" i="14"/>
  <c r="R439" i="14"/>
  <c r="R438" i="14"/>
  <c r="R437" i="14"/>
  <c r="R436" i="14"/>
  <c r="R435" i="14"/>
  <c r="R434" i="14"/>
  <c r="R433" i="14"/>
  <c r="R432" i="14"/>
  <c r="R431" i="14"/>
  <c r="R430" i="14"/>
  <c r="R429" i="14"/>
  <c r="R428" i="14"/>
  <c r="R427" i="14"/>
  <c r="R426" i="14"/>
  <c r="R425" i="14"/>
  <c r="R424" i="14"/>
  <c r="R423" i="14"/>
  <c r="R422" i="14"/>
  <c r="R421" i="14"/>
  <c r="R420" i="14"/>
  <c r="R419" i="14"/>
  <c r="R418" i="14"/>
  <c r="R417" i="14"/>
  <c r="R416" i="14"/>
  <c r="R415" i="14"/>
  <c r="R414" i="14"/>
  <c r="R413" i="14"/>
  <c r="R412" i="14"/>
  <c r="R411" i="14"/>
  <c r="R410" i="14"/>
  <c r="R409" i="14"/>
  <c r="R408" i="14"/>
  <c r="R407" i="14"/>
  <c r="R406" i="14"/>
  <c r="R405" i="14"/>
  <c r="R404" i="14"/>
  <c r="R403" i="14"/>
  <c r="R402" i="14"/>
  <c r="R401" i="14"/>
  <c r="R400" i="14"/>
  <c r="R399" i="14"/>
  <c r="R398" i="14"/>
  <c r="R397" i="14"/>
  <c r="R396" i="14"/>
  <c r="R395" i="14"/>
  <c r="R394" i="14"/>
  <c r="R393" i="14"/>
  <c r="R392" i="14"/>
  <c r="R391" i="14"/>
  <c r="R390" i="14"/>
  <c r="R389" i="14"/>
  <c r="R388" i="14"/>
  <c r="R387" i="14"/>
  <c r="R386" i="14"/>
  <c r="R385" i="14"/>
  <c r="R384" i="14"/>
  <c r="R383" i="14"/>
  <c r="R382" i="14"/>
  <c r="R381" i="14"/>
  <c r="R380" i="14"/>
  <c r="R379" i="14"/>
  <c r="R378" i="14"/>
  <c r="R377" i="14"/>
  <c r="R376" i="14"/>
  <c r="R375" i="14"/>
  <c r="R374" i="14"/>
  <c r="R373" i="14"/>
  <c r="R372" i="14"/>
  <c r="R371" i="14"/>
  <c r="R370" i="14"/>
  <c r="R369" i="14"/>
  <c r="R368" i="14"/>
  <c r="R367" i="14"/>
  <c r="R366" i="14"/>
  <c r="R365" i="14"/>
  <c r="R364" i="14"/>
  <c r="R363" i="14"/>
  <c r="R362" i="14"/>
  <c r="R361" i="14"/>
  <c r="R360" i="14"/>
  <c r="R359" i="14"/>
  <c r="R358" i="14"/>
  <c r="R357" i="14"/>
  <c r="R356" i="14"/>
  <c r="R355" i="14"/>
  <c r="R354" i="14"/>
  <c r="R353" i="14"/>
  <c r="R352" i="14"/>
  <c r="R351" i="14"/>
  <c r="R350" i="14"/>
  <c r="R349" i="14"/>
  <c r="R348" i="14"/>
  <c r="R347" i="14"/>
  <c r="R346" i="14"/>
  <c r="R345" i="14"/>
  <c r="R344" i="14"/>
  <c r="R343" i="14"/>
  <c r="R342" i="14"/>
  <c r="R341" i="14"/>
  <c r="R340" i="14"/>
  <c r="R339" i="14"/>
  <c r="R338" i="14"/>
  <c r="R337" i="14"/>
  <c r="R336" i="14"/>
  <c r="R335" i="14"/>
  <c r="R334" i="14"/>
  <c r="R333" i="14"/>
  <c r="R332" i="14"/>
  <c r="R331" i="14"/>
  <c r="R330" i="14"/>
  <c r="R329" i="14"/>
  <c r="R328" i="14"/>
  <c r="R327" i="14"/>
  <c r="R326" i="14"/>
  <c r="R325" i="14"/>
  <c r="R324" i="14"/>
  <c r="R323" i="14"/>
  <c r="R322" i="14"/>
  <c r="R321" i="14"/>
  <c r="R320" i="14"/>
  <c r="R319" i="14"/>
  <c r="R318" i="14"/>
  <c r="R317" i="14"/>
  <c r="R316" i="14"/>
  <c r="R315" i="14"/>
  <c r="R314" i="14"/>
  <c r="R313" i="14"/>
  <c r="R312" i="14"/>
  <c r="R311" i="14"/>
  <c r="R310" i="14"/>
  <c r="R309" i="14"/>
  <c r="R308" i="14"/>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R246" i="14"/>
  <c r="R245" i="14"/>
  <c r="R244" i="14"/>
  <c r="R243" i="14"/>
  <c r="R242" i="14"/>
  <c r="R241" i="14"/>
  <c r="R240" i="14"/>
  <c r="R239" i="14"/>
  <c r="R238" i="14"/>
  <c r="R237" i="14"/>
  <c r="R236" i="14"/>
  <c r="R235" i="14"/>
  <c r="R234" i="14"/>
  <c r="R233" i="14"/>
  <c r="R232" i="14"/>
  <c r="R231" i="14"/>
  <c r="R230" i="14"/>
  <c r="R229" i="14"/>
  <c r="R228" i="14"/>
  <c r="R227" i="14"/>
  <c r="R226" i="14"/>
  <c r="R225" i="14"/>
  <c r="R224" i="14"/>
  <c r="R223" i="14"/>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R4" i="14"/>
  <c r="R3" i="14"/>
  <c r="R2" i="14"/>
  <c r="R5602" i="1"/>
  <c r="R7059" i="1"/>
  <c r="R7058" i="1"/>
  <c r="R7050" i="1"/>
  <c r="R7048" i="1"/>
  <c r="R7042" i="1"/>
  <c r="R7038" i="1"/>
  <c r="R7037" i="1"/>
  <c r="R7036" i="1"/>
  <c r="R7035" i="1"/>
  <c r="R7034" i="1"/>
  <c r="R7033" i="1"/>
  <c r="R7032" i="1"/>
  <c r="R7031" i="1"/>
  <c r="R7029" i="1"/>
  <c r="R7028" i="1"/>
  <c r="R7027" i="1"/>
  <c r="R7024" i="1"/>
  <c r="R7023" i="1"/>
  <c r="R7022" i="1"/>
  <c r="R7021" i="1"/>
  <c r="R7020" i="1"/>
  <c r="R7019" i="1"/>
  <c r="R7018" i="1"/>
  <c r="R7017" i="1"/>
  <c r="R7016" i="1"/>
  <c r="R7015" i="1"/>
  <c r="R7014" i="1"/>
  <c r="R7012" i="1"/>
  <c r="R7010" i="1"/>
  <c r="R7009" i="1"/>
  <c r="R7008" i="1"/>
  <c r="R7007" i="1"/>
  <c r="R7006" i="1"/>
  <c r="R7003" i="1"/>
  <c r="R7002" i="1"/>
  <c r="R7001" i="1"/>
  <c r="R6999" i="1"/>
  <c r="R6998" i="1"/>
  <c r="R6997" i="1"/>
  <c r="R6996" i="1"/>
  <c r="R6995" i="1"/>
  <c r="R6994" i="1"/>
  <c r="R6993" i="1"/>
  <c r="R6992" i="1"/>
  <c r="R6991" i="1"/>
  <c r="R6987" i="1"/>
  <c r="R6985" i="1"/>
  <c r="R6984" i="1"/>
  <c r="R6983" i="1"/>
  <c r="R6982" i="1"/>
  <c r="R6981" i="1"/>
  <c r="R6980" i="1"/>
  <c r="R6979" i="1"/>
  <c r="R6978" i="1"/>
  <c r="R6977" i="1"/>
  <c r="R6976" i="1"/>
  <c r="R6975" i="1"/>
  <c r="R6974" i="1"/>
  <c r="R6973" i="1"/>
  <c r="R6972" i="1"/>
  <c r="R6971" i="1"/>
  <c r="R6970" i="1"/>
  <c r="R6968" i="1"/>
  <c r="R6967" i="1"/>
  <c r="R6965" i="1"/>
  <c r="R6964" i="1"/>
  <c r="R6963" i="1"/>
  <c r="R6962" i="1"/>
  <c r="R6961" i="1"/>
  <c r="R6960" i="1"/>
  <c r="R6959" i="1"/>
  <c r="R6958" i="1"/>
  <c r="R6957" i="1"/>
  <c r="R6956" i="1"/>
  <c r="R6955" i="1"/>
  <c r="R6954" i="1"/>
  <c r="R6953" i="1"/>
  <c r="R6952" i="1"/>
  <c r="R6950" i="1"/>
  <c r="R6944" i="1"/>
  <c r="R6949" i="1"/>
  <c r="R6948" i="1"/>
  <c r="R6947" i="1"/>
  <c r="R6946" i="1"/>
  <c r="R6945" i="1"/>
  <c r="R6943" i="1"/>
  <c r="R6942" i="1"/>
  <c r="R6941" i="1"/>
  <c r="R6940" i="1"/>
  <c r="R6939" i="1"/>
  <c r="R6937" i="1"/>
  <c r="R6935" i="1"/>
  <c r="R6934" i="1"/>
  <c r="R6933" i="1"/>
  <c r="R6932" i="1"/>
  <c r="R6931" i="1"/>
  <c r="R6930" i="1"/>
  <c r="R6929" i="1"/>
  <c r="R6928" i="1"/>
  <c r="R6927" i="1"/>
  <c r="R6924" i="1"/>
  <c r="R6923" i="1"/>
  <c r="R6922" i="1"/>
  <c r="R6920" i="1"/>
  <c r="R6919" i="1"/>
  <c r="R6917" i="1"/>
  <c r="R6916" i="1"/>
  <c r="R6915" i="1"/>
  <c r="R6914" i="1"/>
  <c r="R6913" i="1"/>
  <c r="R6912" i="1"/>
  <c r="R6911" i="1"/>
  <c r="R6910" i="1"/>
  <c r="R6906" i="1"/>
  <c r="R6905" i="1"/>
  <c r="R6904" i="1"/>
  <c r="R6903" i="1"/>
  <c r="R6902" i="1"/>
  <c r="R6901" i="1"/>
  <c r="R6900" i="1"/>
  <c r="R6898" i="1"/>
  <c r="R6895" i="1"/>
  <c r="R6894" i="1"/>
  <c r="R6893" i="1"/>
  <c r="R6892" i="1"/>
  <c r="R6891" i="1"/>
  <c r="R6890" i="1"/>
  <c r="R6889" i="1"/>
  <c r="R6888" i="1"/>
  <c r="R6887" i="1"/>
  <c r="R6886" i="1"/>
  <c r="R6884" i="1"/>
  <c r="R6883" i="1"/>
  <c r="R6882" i="1"/>
  <c r="R6881" i="1"/>
  <c r="R6880" i="1"/>
  <c r="R6879" i="1"/>
  <c r="R6878" i="1"/>
  <c r="R6877" i="1"/>
  <c r="R6874" i="1"/>
  <c r="R6873" i="1"/>
  <c r="R6872" i="1"/>
  <c r="R6871" i="1"/>
  <c r="R6870" i="1"/>
  <c r="R6868" i="1"/>
  <c r="R6867" i="1"/>
  <c r="R6866" i="1"/>
  <c r="R6865" i="1"/>
  <c r="R6864" i="1"/>
  <c r="R6863" i="1"/>
  <c r="R6862" i="1"/>
  <c r="R6861" i="1"/>
  <c r="R6860" i="1"/>
  <c r="R6859" i="1"/>
  <c r="R6857" i="1"/>
  <c r="R6858" i="1"/>
  <c r="R6855" i="1"/>
  <c r="R6854" i="1"/>
  <c r="R6851" i="1"/>
  <c r="R6849" i="1"/>
  <c r="R6848" i="1"/>
  <c r="R6847" i="1"/>
  <c r="R6846" i="1"/>
  <c r="R6845" i="1"/>
  <c r="R6844" i="1"/>
  <c r="R6842" i="1"/>
  <c r="R6841" i="1"/>
  <c r="R6839" i="1"/>
  <c r="R6838" i="1"/>
  <c r="R6837" i="1"/>
  <c r="R6836" i="1"/>
  <c r="R6832" i="1"/>
  <c r="R6831" i="1"/>
  <c r="R6830" i="1"/>
  <c r="R6829" i="1"/>
  <c r="R6827" i="1"/>
  <c r="R6826" i="1"/>
  <c r="R6825" i="1"/>
  <c r="R6824" i="1"/>
  <c r="R6822" i="1"/>
  <c r="R6821" i="1"/>
  <c r="R6820" i="1"/>
  <c r="R6819" i="1"/>
  <c r="R6818" i="1"/>
  <c r="R6815" i="1"/>
  <c r="R6814" i="1"/>
  <c r="R6813" i="1"/>
  <c r="R6812" i="1"/>
  <c r="R6811" i="1"/>
  <c r="R6810" i="1"/>
  <c r="R6809" i="1"/>
  <c r="R6808" i="1"/>
  <c r="R6807" i="1"/>
  <c r="R6806" i="1"/>
  <c r="R6805" i="1"/>
  <c r="R6804" i="1"/>
  <c r="R6803" i="1"/>
  <c r="R6802" i="1"/>
  <c r="R6801" i="1"/>
  <c r="R6800" i="1"/>
  <c r="R6799" i="1"/>
  <c r="R6798" i="1"/>
  <c r="R6797" i="1"/>
  <c r="R6796" i="1"/>
  <c r="R6795" i="1"/>
  <c r="R6793" i="1"/>
  <c r="R6792" i="1"/>
  <c r="R6791" i="1"/>
  <c r="R6790" i="1"/>
  <c r="R6789" i="1"/>
  <c r="R6788" i="1"/>
  <c r="R6787" i="1"/>
  <c r="R6786" i="1"/>
  <c r="R6785" i="1"/>
  <c r="R6784" i="1"/>
  <c r="R6783" i="1"/>
  <c r="R6781" i="1"/>
  <c r="R6780" i="1"/>
  <c r="R6779" i="1"/>
  <c r="R6778" i="1"/>
  <c r="R6777" i="1"/>
  <c r="R6776" i="1"/>
  <c r="R6775" i="1"/>
  <c r="R6774" i="1"/>
  <c r="R6773" i="1"/>
  <c r="R6772" i="1"/>
  <c r="R6771" i="1"/>
  <c r="R6770" i="1"/>
  <c r="R6769" i="1"/>
  <c r="R6768" i="1"/>
  <c r="R6767" i="1"/>
  <c r="R6766" i="1"/>
  <c r="R6765" i="1"/>
  <c r="R6763" i="1"/>
  <c r="R6761" i="1"/>
  <c r="R6759" i="1"/>
  <c r="R6758" i="1"/>
  <c r="R6756" i="1"/>
  <c r="R6755" i="1"/>
  <c r="R6753" i="1"/>
  <c r="R6752" i="1"/>
  <c r="R6751" i="1"/>
  <c r="R6750" i="1"/>
  <c r="R6749" i="1"/>
  <c r="R6748" i="1"/>
  <c r="R6747" i="1"/>
  <c r="R6745" i="1"/>
  <c r="R6744" i="1"/>
  <c r="R6743" i="1"/>
  <c r="R6742" i="1"/>
  <c r="R6738" i="1"/>
  <c r="R6736" i="1"/>
  <c r="R6735" i="1"/>
  <c r="R6734" i="1"/>
  <c r="R6733" i="1"/>
  <c r="R6732" i="1"/>
  <c r="R6731" i="1"/>
  <c r="R6730" i="1"/>
  <c r="R6729" i="1"/>
  <c r="R6727" i="1"/>
  <c r="R6726" i="1"/>
  <c r="R6725" i="1"/>
  <c r="R6724" i="1"/>
  <c r="R6723" i="1"/>
  <c r="R6722" i="1"/>
  <c r="R6721" i="1"/>
  <c r="R6720" i="1"/>
  <c r="R6719" i="1"/>
  <c r="R6718" i="1"/>
  <c r="R6717" i="1"/>
  <c r="R6716" i="1"/>
  <c r="R6715" i="1"/>
  <c r="R6714" i="1"/>
  <c r="R6712" i="1"/>
  <c r="R6710" i="1"/>
  <c r="R6709" i="1"/>
  <c r="R6708" i="1"/>
  <c r="R6707" i="1"/>
  <c r="R6705" i="1"/>
  <c r="R6704" i="1"/>
  <c r="R6702" i="1"/>
  <c r="R6701" i="1"/>
  <c r="R6700" i="1"/>
  <c r="R6697" i="1"/>
  <c r="R6696" i="1"/>
  <c r="R6693" i="1"/>
  <c r="R6691" i="1"/>
  <c r="R6690" i="1"/>
  <c r="R6689" i="1"/>
  <c r="R6688" i="1"/>
  <c r="R6687" i="1"/>
  <c r="R6686" i="1"/>
  <c r="R6684" i="1"/>
  <c r="R6683" i="1"/>
  <c r="R6681" i="1"/>
  <c r="R6680" i="1"/>
  <c r="R6679" i="1"/>
  <c r="R6677" i="1"/>
  <c r="R6675" i="1"/>
  <c r="R6674" i="1"/>
  <c r="R6673" i="1"/>
  <c r="R6672" i="1"/>
  <c r="R6671" i="1"/>
  <c r="R6669" i="1"/>
  <c r="R6668" i="1"/>
  <c r="R6665" i="1"/>
  <c r="R6664" i="1"/>
  <c r="R6663" i="1"/>
  <c r="R6662" i="1"/>
  <c r="R6661" i="1"/>
  <c r="R6660" i="1"/>
  <c r="R6659" i="1"/>
  <c r="R6658" i="1"/>
  <c r="R6657" i="1"/>
  <c r="R6656" i="1"/>
  <c r="R6655" i="1"/>
  <c r="R6654" i="1"/>
  <c r="R6653" i="1"/>
  <c r="R6652" i="1"/>
  <c r="R6651" i="1"/>
  <c r="R6650" i="1"/>
  <c r="R6648" i="1"/>
  <c r="R6647" i="1"/>
  <c r="R6645" i="1"/>
  <c r="R6644" i="1"/>
  <c r="R6643" i="1"/>
  <c r="R6642" i="1"/>
  <c r="R6641" i="1"/>
  <c r="R6640" i="1"/>
  <c r="R6639" i="1"/>
  <c r="R6637" i="1"/>
  <c r="R6636" i="1"/>
  <c r="R6634" i="1"/>
  <c r="R6632" i="1"/>
  <c r="R6631" i="1"/>
  <c r="R6630" i="1"/>
  <c r="R6629" i="1"/>
  <c r="R6628" i="1"/>
  <c r="R6627" i="1"/>
  <c r="R6626" i="1"/>
  <c r="R6625" i="1"/>
  <c r="R6624" i="1"/>
  <c r="R6623" i="1"/>
  <c r="R6622" i="1"/>
  <c r="R6620" i="1"/>
  <c r="R6619" i="1"/>
  <c r="R6618" i="1"/>
  <c r="R6617" i="1"/>
  <c r="R6615" i="1"/>
  <c r="R6614" i="1"/>
  <c r="R6613" i="1"/>
  <c r="R6611" i="1"/>
  <c r="R6609" i="1"/>
  <c r="R6608" i="1"/>
  <c r="R6606" i="1"/>
  <c r="R6605" i="1"/>
  <c r="R6604" i="1"/>
  <c r="R6602" i="1"/>
  <c r="R6601" i="1"/>
  <c r="R6600" i="1"/>
  <c r="R6599" i="1"/>
  <c r="R6596" i="1"/>
  <c r="R6594" i="1"/>
  <c r="R6593" i="1"/>
  <c r="R6592" i="1"/>
  <c r="R6591" i="1"/>
  <c r="R6590" i="1"/>
  <c r="R6589" i="1"/>
  <c r="R6588" i="1"/>
  <c r="R6586" i="1"/>
  <c r="R6585" i="1"/>
  <c r="R6584" i="1"/>
  <c r="R6583" i="1"/>
  <c r="R6582" i="1"/>
  <c r="R6581" i="1"/>
  <c r="R6580" i="1"/>
  <c r="R6579" i="1"/>
  <c r="R6578" i="1"/>
  <c r="R6577" i="1"/>
  <c r="R6576" i="1"/>
  <c r="R6575" i="1"/>
  <c r="R6574" i="1"/>
  <c r="R6573" i="1"/>
  <c r="R6572" i="1"/>
  <c r="R6571" i="1"/>
  <c r="R6570" i="1"/>
  <c r="R6569" i="1"/>
  <c r="R6568" i="1"/>
  <c r="R6567" i="1"/>
  <c r="R6566" i="1"/>
  <c r="R6565" i="1"/>
  <c r="R6564" i="1"/>
  <c r="R6563" i="1"/>
  <c r="R6562" i="1"/>
  <c r="R6561" i="1"/>
  <c r="R6560" i="1"/>
  <c r="R6559" i="1"/>
  <c r="R6558" i="1"/>
  <c r="R6557" i="1"/>
  <c r="R6556" i="1"/>
  <c r="R6555" i="1"/>
  <c r="R6554" i="1"/>
  <c r="R6553" i="1"/>
  <c r="R6552" i="1"/>
  <c r="R6551" i="1"/>
  <c r="R6550" i="1"/>
  <c r="R6548" i="1"/>
  <c r="R6547" i="1"/>
  <c r="R6546" i="1"/>
  <c r="R6545" i="1"/>
  <c r="R6544" i="1"/>
  <c r="R6543" i="1"/>
  <c r="R6542" i="1"/>
  <c r="R6541" i="1"/>
  <c r="R6540" i="1"/>
  <c r="R6539" i="1"/>
  <c r="R6538" i="1"/>
  <c r="R6537" i="1"/>
  <c r="R6536" i="1"/>
  <c r="R6535" i="1"/>
  <c r="R6534" i="1"/>
  <c r="R6533" i="1"/>
  <c r="R6532" i="1"/>
  <c r="R6531" i="1"/>
  <c r="R6530" i="1"/>
  <c r="R6529" i="1"/>
  <c r="R6528" i="1"/>
  <c r="R6526" i="1"/>
  <c r="R6525" i="1"/>
  <c r="R6524" i="1"/>
  <c r="R6523" i="1"/>
  <c r="R6527" i="1"/>
  <c r="R6522" i="1"/>
  <c r="R6521" i="1"/>
  <c r="R6520" i="1"/>
  <c r="R6519" i="1"/>
  <c r="R6518" i="1"/>
  <c r="R6517" i="1"/>
  <c r="R6516" i="1"/>
  <c r="R6515" i="1"/>
  <c r="R6514" i="1"/>
  <c r="R6513" i="1"/>
  <c r="R6512" i="1"/>
  <c r="R6511" i="1"/>
  <c r="R6510" i="1"/>
  <c r="R6509" i="1"/>
  <c r="R6508" i="1"/>
  <c r="R6507" i="1"/>
  <c r="R6506" i="1"/>
  <c r="R6505" i="1"/>
  <c r="R6504" i="1"/>
  <c r="R6503" i="1"/>
  <c r="R6502" i="1"/>
  <c r="R6501" i="1"/>
  <c r="R6500" i="1"/>
  <c r="R6499" i="1"/>
  <c r="R6498" i="1"/>
  <c r="R6497" i="1"/>
  <c r="R6496" i="1"/>
  <c r="R6495" i="1"/>
  <c r="R6494" i="1"/>
  <c r="R6493" i="1"/>
  <c r="R6492" i="1"/>
  <c r="R6491" i="1"/>
  <c r="R6490" i="1"/>
  <c r="R6489" i="1"/>
  <c r="R6488" i="1"/>
  <c r="R6487" i="1"/>
  <c r="R6486" i="1"/>
  <c r="R6485" i="1"/>
  <c r="R6484" i="1"/>
  <c r="R6483" i="1"/>
  <c r="R6482" i="1"/>
  <c r="R6481" i="1"/>
  <c r="R6480" i="1"/>
  <c r="R6479" i="1"/>
  <c r="R6478" i="1"/>
  <c r="R6477" i="1"/>
  <c r="R6476" i="1"/>
  <c r="R6475" i="1"/>
  <c r="R6474" i="1"/>
  <c r="R6473" i="1"/>
  <c r="R6472" i="1"/>
  <c r="R6471" i="1"/>
  <c r="R6470" i="1"/>
  <c r="R6469" i="1"/>
  <c r="R6468" i="1"/>
  <c r="R6467" i="1"/>
  <c r="R6466" i="1"/>
  <c r="R6465" i="1"/>
  <c r="R6464" i="1"/>
  <c r="R6463" i="1"/>
  <c r="R6462" i="1"/>
  <c r="R6461" i="1"/>
  <c r="R6460" i="1"/>
  <c r="R6459" i="1"/>
  <c r="R6458" i="1"/>
  <c r="R6456" i="1"/>
  <c r="R6455" i="1"/>
  <c r="R6454" i="1"/>
  <c r="R6453" i="1"/>
  <c r="R6452" i="1"/>
  <c r="R6451" i="1"/>
  <c r="R6450" i="1"/>
  <c r="R6449" i="1"/>
  <c r="R6448" i="1"/>
  <c r="R6447" i="1"/>
  <c r="R6446" i="1"/>
  <c r="R6445" i="1"/>
  <c r="R6444" i="1"/>
  <c r="R6443" i="1"/>
  <c r="R6442" i="1"/>
  <c r="R6441" i="1"/>
  <c r="R6440" i="1"/>
  <c r="R6439" i="1"/>
  <c r="R6438" i="1"/>
  <c r="R6437" i="1"/>
  <c r="R6436" i="1"/>
  <c r="R6435" i="1"/>
  <c r="R6434" i="1"/>
  <c r="R6433" i="1"/>
  <c r="R6432" i="1"/>
  <c r="R6431" i="1"/>
  <c r="R6430" i="1"/>
  <c r="R6429" i="1"/>
  <c r="R6428" i="1"/>
  <c r="R6427" i="1"/>
  <c r="R6426" i="1"/>
  <c r="R6425" i="1"/>
  <c r="R6424" i="1"/>
  <c r="R6423" i="1"/>
  <c r="R6422" i="1"/>
  <c r="R6421" i="1"/>
  <c r="R6420" i="1"/>
  <c r="R6419" i="1"/>
  <c r="R6418" i="1"/>
  <c r="R6417" i="1"/>
  <c r="R6416" i="1"/>
  <c r="R6415" i="1"/>
  <c r="R6414" i="1"/>
  <c r="R6413" i="1"/>
  <c r="R6412" i="1"/>
  <c r="R6411" i="1"/>
  <c r="R6410" i="1"/>
  <c r="R6409" i="1"/>
  <c r="R6408" i="1"/>
  <c r="R6407" i="1"/>
  <c r="R6406" i="1"/>
  <c r="R6405" i="1"/>
  <c r="R6404" i="1"/>
  <c r="R6403" i="1"/>
  <c r="R6402" i="1"/>
  <c r="R6401" i="1"/>
  <c r="R6400" i="1"/>
  <c r="R6399" i="1"/>
  <c r="R6398" i="1"/>
  <c r="R6397" i="1"/>
  <c r="R6396" i="1"/>
  <c r="R6395" i="1"/>
  <c r="R6394" i="1"/>
  <c r="R6393" i="1"/>
  <c r="R6392" i="1"/>
  <c r="R6391" i="1"/>
  <c r="R6390" i="1"/>
  <c r="R6389" i="1"/>
  <c r="R6388" i="1"/>
  <c r="R6387" i="1"/>
  <c r="R6386" i="1"/>
  <c r="R6385" i="1"/>
  <c r="R6384" i="1"/>
  <c r="R6383" i="1"/>
  <c r="R6382" i="1"/>
  <c r="R6381" i="1"/>
  <c r="R6380" i="1"/>
  <c r="R6379" i="1"/>
  <c r="R6378" i="1"/>
  <c r="R6377" i="1"/>
  <c r="R6376" i="1"/>
  <c r="R6375" i="1"/>
  <c r="R6374" i="1"/>
  <c r="R6373" i="1"/>
  <c r="R6372" i="1"/>
  <c r="R6371" i="1"/>
  <c r="R6370" i="1"/>
  <c r="R6369" i="1"/>
  <c r="R6368" i="1"/>
  <c r="R6366" i="1"/>
  <c r="R6367" i="1"/>
  <c r="R6365" i="1"/>
  <c r="R6364" i="1"/>
  <c r="R6363" i="1"/>
  <c r="R6362" i="1"/>
  <c r="R6361" i="1"/>
  <c r="R6360" i="1"/>
  <c r="R6359" i="1"/>
  <c r="R6358" i="1"/>
  <c r="R6357" i="1"/>
  <c r="R6356" i="1"/>
  <c r="R6355" i="1"/>
  <c r="R6354" i="1"/>
  <c r="R6353" i="1"/>
  <c r="R6352" i="1"/>
  <c r="R6351" i="1"/>
  <c r="R6350" i="1"/>
  <c r="R6349" i="1"/>
  <c r="R6348" i="1"/>
  <c r="R6347" i="1"/>
  <c r="R6346" i="1"/>
  <c r="R6345" i="1"/>
  <c r="R6344" i="1"/>
  <c r="R6343" i="1"/>
  <c r="R6342" i="1"/>
  <c r="R6341" i="1"/>
  <c r="R6340" i="1"/>
  <c r="R6339" i="1"/>
  <c r="R6338" i="1"/>
  <c r="R6337" i="1"/>
  <c r="R6336" i="1"/>
  <c r="R6335" i="1"/>
  <c r="R6334" i="1"/>
  <c r="R6333" i="1"/>
  <c r="R6332" i="1"/>
  <c r="R6331" i="1"/>
  <c r="R6330" i="1"/>
  <c r="R6329" i="1"/>
  <c r="R6328" i="1"/>
  <c r="R6327" i="1"/>
  <c r="R6326" i="1"/>
  <c r="R6325" i="1"/>
  <c r="R6324" i="1"/>
  <c r="R6323" i="1"/>
  <c r="R6322" i="1"/>
  <c r="R6321" i="1"/>
  <c r="R6320" i="1"/>
  <c r="R6319" i="1"/>
  <c r="R6318" i="1"/>
  <c r="R6317" i="1"/>
  <c r="R6316" i="1"/>
  <c r="R6315" i="1"/>
  <c r="R6314" i="1"/>
  <c r="R6313" i="1"/>
  <c r="R6312" i="1"/>
  <c r="R6311" i="1"/>
  <c r="R6310" i="1"/>
  <c r="R6309" i="1"/>
  <c r="R6308" i="1"/>
  <c r="R6307" i="1"/>
  <c r="R6303" i="1"/>
  <c r="R6306" i="1"/>
  <c r="R6305" i="1"/>
  <c r="R6304" i="1"/>
  <c r="R6302" i="1"/>
  <c r="R6301" i="1"/>
  <c r="R6300" i="1"/>
  <c r="R6299" i="1"/>
  <c r="R6298" i="1"/>
  <c r="R6297" i="1"/>
  <c r="R6296" i="1"/>
  <c r="R6295" i="1"/>
  <c r="R6294" i="1"/>
  <c r="R6293" i="1"/>
  <c r="R6292" i="1"/>
  <c r="R6291" i="1"/>
  <c r="R6290" i="1"/>
  <c r="R6289" i="1"/>
  <c r="R6288" i="1"/>
  <c r="R6287" i="1"/>
  <c r="R6286" i="1"/>
  <c r="R6285" i="1"/>
  <c r="R6284" i="1"/>
  <c r="R6283" i="1"/>
  <c r="R6282" i="1"/>
  <c r="R6281" i="1"/>
  <c r="R6280" i="1"/>
  <c r="R6279" i="1"/>
  <c r="R6278" i="1"/>
  <c r="R6277" i="1"/>
  <c r="R6276" i="1"/>
  <c r="R6275" i="1"/>
  <c r="R6274" i="1"/>
  <c r="R6273" i="1"/>
  <c r="R6272" i="1"/>
  <c r="R6271" i="1"/>
  <c r="R6270" i="1"/>
  <c r="R6269" i="1"/>
  <c r="R6268" i="1"/>
  <c r="R6267" i="1"/>
  <c r="R6266" i="1"/>
  <c r="R6265" i="1"/>
  <c r="R6264" i="1"/>
  <c r="R6263" i="1"/>
  <c r="R6262" i="1"/>
  <c r="R6261" i="1"/>
  <c r="R6260" i="1"/>
  <c r="R6259" i="1"/>
  <c r="R6258" i="1"/>
  <c r="R6257" i="1"/>
  <c r="R6256" i="1"/>
  <c r="R6255" i="1"/>
  <c r="R6254" i="1"/>
  <c r="R6253" i="1"/>
  <c r="R6252" i="1"/>
  <c r="R6251" i="1"/>
  <c r="R6250" i="1"/>
  <c r="R6249" i="1"/>
  <c r="R6248" i="1"/>
  <c r="R6247" i="1"/>
  <c r="R6246" i="1"/>
  <c r="R6245" i="1"/>
  <c r="R6244" i="1"/>
  <c r="R6243" i="1"/>
  <c r="R6242" i="1"/>
  <c r="R6241" i="1"/>
  <c r="R6240" i="1"/>
  <c r="R6239" i="1"/>
  <c r="R6238" i="1"/>
  <c r="R6237" i="1"/>
  <c r="R6236" i="1"/>
  <c r="R6235" i="1"/>
  <c r="R6234" i="1"/>
  <c r="R6233" i="1"/>
  <c r="R6232" i="1"/>
  <c r="R6231" i="1"/>
  <c r="R6230" i="1"/>
  <c r="R6229" i="1"/>
  <c r="R6228" i="1"/>
  <c r="R6227" i="1"/>
  <c r="R6226" i="1"/>
  <c r="R6225" i="1"/>
  <c r="R6224" i="1"/>
  <c r="R6223" i="1"/>
  <c r="R6222" i="1"/>
  <c r="R6221" i="1"/>
  <c r="R6220" i="1"/>
  <c r="R6219" i="1"/>
  <c r="R6218" i="1"/>
  <c r="R6217" i="1"/>
  <c r="R6216" i="1"/>
  <c r="R6215" i="1"/>
  <c r="R6214" i="1"/>
  <c r="R6213" i="1"/>
  <c r="R6212" i="1"/>
  <c r="R6211" i="1"/>
  <c r="R6210" i="1"/>
  <c r="R6209" i="1"/>
  <c r="R6208" i="1"/>
  <c r="R6207" i="1"/>
  <c r="R6206" i="1"/>
  <c r="R6204" i="1"/>
  <c r="R6205" i="1"/>
  <c r="R6203" i="1"/>
  <c r="R6202" i="1"/>
  <c r="R6201" i="1"/>
  <c r="R6200" i="1"/>
  <c r="R6199" i="1"/>
  <c r="R6198" i="1"/>
  <c r="R6197" i="1"/>
  <c r="R6196" i="1"/>
  <c r="R6195" i="1"/>
  <c r="R6194" i="1"/>
  <c r="R6193" i="1"/>
  <c r="R6192" i="1"/>
  <c r="R6191" i="1"/>
  <c r="R6190" i="1"/>
  <c r="R6189" i="1"/>
  <c r="R6188" i="1"/>
  <c r="R6187" i="1"/>
  <c r="R6186" i="1"/>
  <c r="R6185" i="1"/>
  <c r="R6184" i="1"/>
  <c r="R6183" i="1"/>
  <c r="R6182" i="1"/>
  <c r="R6181" i="1"/>
  <c r="R6180" i="1"/>
  <c r="R6179" i="1"/>
  <c r="R6178" i="1"/>
  <c r="R6177" i="1"/>
  <c r="R6176" i="1"/>
  <c r="R6175" i="1"/>
  <c r="R6174" i="1"/>
  <c r="R6173" i="1"/>
  <c r="R6172" i="1"/>
  <c r="R6171" i="1"/>
  <c r="R6170" i="1"/>
  <c r="R6169" i="1"/>
  <c r="R6168" i="1"/>
  <c r="R6167" i="1"/>
  <c r="R6166" i="1"/>
  <c r="R6165" i="1"/>
  <c r="R6164" i="1"/>
  <c r="R6163" i="1"/>
  <c r="R6162" i="1"/>
  <c r="R6161" i="1"/>
  <c r="R6160" i="1"/>
  <c r="R6159" i="1"/>
  <c r="R6158" i="1"/>
  <c r="R6157" i="1"/>
  <c r="R6156" i="1"/>
  <c r="R6155" i="1"/>
  <c r="R6154" i="1"/>
  <c r="R6153" i="1"/>
  <c r="R6152" i="1"/>
  <c r="R6151" i="1"/>
  <c r="R6150" i="1"/>
  <c r="R6149" i="1"/>
  <c r="R6148" i="1"/>
  <c r="R6147" i="1"/>
  <c r="R6146" i="1"/>
  <c r="R6145" i="1"/>
  <c r="R6144" i="1"/>
  <c r="R6143" i="1"/>
  <c r="R6142" i="1"/>
  <c r="R6141" i="1"/>
  <c r="R6140" i="1"/>
  <c r="R6139" i="1"/>
  <c r="R6138" i="1"/>
  <c r="R6137" i="1"/>
  <c r="R6136" i="1"/>
  <c r="R6135" i="1"/>
  <c r="R6134" i="1"/>
  <c r="R6133" i="1"/>
  <c r="R6132" i="1"/>
  <c r="R6131" i="1"/>
  <c r="R6123" i="1"/>
  <c r="R6130" i="1"/>
  <c r="R6129" i="1"/>
  <c r="R6128" i="1"/>
  <c r="R6127" i="1"/>
  <c r="R6126" i="1"/>
  <c r="R6125" i="1"/>
  <c r="R6124" i="1"/>
  <c r="R6122" i="1"/>
  <c r="R6121" i="1"/>
  <c r="R6120" i="1"/>
  <c r="R6119" i="1"/>
  <c r="R6118" i="1"/>
  <c r="R6117" i="1"/>
  <c r="R6116" i="1"/>
  <c r="R6115" i="1"/>
  <c r="R6114" i="1"/>
  <c r="R6113" i="1"/>
  <c r="R6112" i="1"/>
  <c r="R6111" i="1"/>
  <c r="R6110" i="1"/>
  <c r="R6109" i="1"/>
  <c r="R6108" i="1"/>
  <c r="R6107" i="1"/>
  <c r="R6106" i="1"/>
  <c r="R6105" i="1"/>
  <c r="R6104" i="1"/>
  <c r="R6103" i="1"/>
  <c r="R6102" i="1"/>
  <c r="R6101" i="1"/>
  <c r="R6100" i="1"/>
  <c r="R6099" i="1"/>
  <c r="R6098" i="1"/>
  <c r="R6097" i="1"/>
  <c r="R6096" i="1"/>
  <c r="R6095" i="1"/>
  <c r="R6094" i="1"/>
  <c r="R6093" i="1"/>
  <c r="R6092" i="1"/>
  <c r="R6091" i="1"/>
  <c r="R6090" i="1"/>
  <c r="R6089" i="1"/>
  <c r="R6088" i="1"/>
  <c r="R6087" i="1"/>
  <c r="R6086" i="1"/>
  <c r="R6085" i="1"/>
  <c r="R6084" i="1"/>
  <c r="R6083" i="1"/>
  <c r="R6082" i="1"/>
  <c r="R6081" i="1"/>
  <c r="R6080" i="1"/>
  <c r="R6079" i="1"/>
  <c r="R6078" i="1"/>
  <c r="R6077" i="1"/>
  <c r="R6076" i="1"/>
  <c r="R6075" i="1"/>
  <c r="R6074" i="1"/>
  <c r="R6073" i="1"/>
  <c r="R6072" i="1"/>
  <c r="R6071" i="1"/>
  <c r="R6070" i="1"/>
  <c r="R6069" i="1"/>
  <c r="R6068" i="1"/>
  <c r="R6067" i="1"/>
  <c r="R6066" i="1"/>
  <c r="R6065" i="1"/>
  <c r="R6064" i="1"/>
  <c r="R6063" i="1"/>
  <c r="R6062" i="1"/>
  <c r="R6061" i="1"/>
  <c r="R6060" i="1"/>
  <c r="R6059" i="1"/>
  <c r="R6058" i="1"/>
  <c r="R6057" i="1"/>
  <c r="R6056" i="1"/>
  <c r="R6055" i="1"/>
  <c r="R6054" i="1"/>
  <c r="R6053" i="1"/>
  <c r="R6052" i="1"/>
  <c r="R6051" i="1"/>
  <c r="R6050" i="1"/>
  <c r="R6049" i="1"/>
  <c r="R6048" i="1"/>
  <c r="R6047" i="1"/>
  <c r="R6046" i="1"/>
  <c r="R6045" i="1"/>
  <c r="R6044" i="1"/>
  <c r="R6043" i="1"/>
  <c r="R6042" i="1"/>
  <c r="R6041" i="1"/>
  <c r="R6040" i="1"/>
  <c r="R6039" i="1"/>
  <c r="R6038" i="1"/>
  <c r="R6037" i="1"/>
  <c r="R6036" i="1"/>
  <c r="R6035" i="1"/>
  <c r="R6034" i="1"/>
  <c r="R6033" i="1"/>
  <c r="R6032" i="1"/>
  <c r="R6031" i="1"/>
  <c r="R6030" i="1"/>
  <c r="R6029" i="1"/>
  <c r="R6028" i="1"/>
  <c r="R6027" i="1"/>
  <c r="R6026" i="1"/>
  <c r="R6025" i="1"/>
  <c r="R6024" i="1"/>
  <c r="R6023" i="1"/>
  <c r="R6022" i="1"/>
  <c r="R6021" i="1"/>
  <c r="R6020" i="1"/>
  <c r="R6019" i="1"/>
  <c r="R6018" i="1"/>
  <c r="R6017" i="1"/>
  <c r="R6016" i="1"/>
  <c r="R6015" i="1"/>
  <c r="R6014" i="1"/>
  <c r="R6013" i="1"/>
  <c r="R6012" i="1"/>
  <c r="R6011" i="1"/>
  <c r="R6010" i="1"/>
  <c r="R6009" i="1"/>
  <c r="R6008" i="1"/>
  <c r="R6007" i="1"/>
  <c r="R6006" i="1"/>
  <c r="R6005" i="1"/>
  <c r="R6004" i="1"/>
  <c r="R6003" i="1"/>
  <c r="R6002" i="1"/>
  <c r="R6001" i="1"/>
  <c r="R6000" i="1"/>
  <c r="R5999" i="1"/>
  <c r="R5998" i="1"/>
  <c r="R5997" i="1"/>
  <c r="R5996" i="1"/>
  <c r="R5995" i="1"/>
  <c r="R5994" i="1"/>
  <c r="R5993" i="1"/>
  <c r="R5992" i="1"/>
  <c r="R5991" i="1"/>
  <c r="R5989" i="1"/>
  <c r="R5988" i="1"/>
  <c r="R5987" i="1"/>
  <c r="R5986" i="1"/>
  <c r="R5985" i="1"/>
  <c r="R5984" i="1"/>
  <c r="R5983" i="1"/>
  <c r="R5982" i="1"/>
  <c r="R5981" i="1"/>
  <c r="R5980" i="1"/>
  <c r="R5979" i="1"/>
  <c r="R5978" i="1"/>
  <c r="R5977" i="1"/>
  <c r="R5976" i="1"/>
  <c r="R5975" i="1"/>
  <c r="R5974" i="1"/>
  <c r="R5973" i="1"/>
  <c r="R5972" i="1"/>
  <c r="R5971" i="1"/>
  <c r="R5970" i="1"/>
  <c r="R5969" i="1"/>
  <c r="R5968" i="1"/>
  <c r="R5967" i="1"/>
  <c r="R5966" i="1"/>
  <c r="R5965" i="1"/>
  <c r="R5964" i="1"/>
  <c r="R5963" i="1"/>
  <c r="R5961" i="1"/>
  <c r="R5960" i="1"/>
  <c r="R5959" i="1"/>
  <c r="R5958" i="1"/>
  <c r="R5957" i="1"/>
  <c r="R5956" i="1"/>
  <c r="R5955" i="1"/>
  <c r="R5953" i="1"/>
  <c r="R5952" i="1"/>
  <c r="R5951" i="1"/>
  <c r="R5950" i="1"/>
  <c r="R5949" i="1"/>
  <c r="R5948" i="1"/>
  <c r="R5947" i="1"/>
  <c r="R5946" i="1"/>
  <c r="R5944" i="1"/>
  <c r="R5943" i="1"/>
  <c r="R5942" i="1"/>
  <c r="R5941" i="1"/>
  <c r="R5940" i="1"/>
  <c r="R5939" i="1"/>
  <c r="R5938" i="1"/>
  <c r="R5937" i="1"/>
  <c r="R5936" i="1"/>
  <c r="R5935" i="1"/>
  <c r="R5934" i="1"/>
  <c r="R5932" i="1"/>
  <c r="R5931" i="1"/>
  <c r="R5930" i="1"/>
  <c r="R5929" i="1"/>
  <c r="R5928" i="1"/>
  <c r="R5927" i="1"/>
  <c r="R5926" i="1"/>
  <c r="R5924" i="1"/>
  <c r="R5923" i="1"/>
  <c r="R5922" i="1"/>
  <c r="R5920" i="1"/>
  <c r="R5919" i="1"/>
  <c r="R5918" i="1"/>
  <c r="R5917" i="1"/>
  <c r="R5916" i="1"/>
  <c r="R5915" i="1"/>
  <c r="R5914" i="1"/>
  <c r="R5913" i="1"/>
  <c r="R5912" i="1"/>
  <c r="R5911" i="1"/>
  <c r="R5910" i="1"/>
  <c r="R5909" i="1"/>
  <c r="R5908" i="1"/>
  <c r="R5907" i="1"/>
  <c r="R5906" i="1"/>
  <c r="R5905" i="1"/>
  <c r="R5904" i="1"/>
  <c r="R5903" i="1"/>
  <c r="R5902" i="1"/>
  <c r="R5901" i="1"/>
  <c r="R5899" i="1"/>
  <c r="R5898" i="1"/>
  <c r="R5897" i="1"/>
  <c r="R5896" i="1"/>
  <c r="R5895" i="1"/>
  <c r="R5894" i="1"/>
  <c r="R5893" i="1"/>
  <c r="R5892" i="1"/>
  <c r="R5891" i="1"/>
  <c r="R5890" i="1"/>
  <c r="R5889" i="1"/>
  <c r="R5888" i="1"/>
  <c r="R5887" i="1"/>
  <c r="R5885" i="1"/>
  <c r="R5884" i="1"/>
  <c r="R5883" i="1"/>
  <c r="R5882" i="1"/>
  <c r="R5881" i="1"/>
  <c r="R5880" i="1"/>
  <c r="R5879" i="1"/>
  <c r="R5878" i="1"/>
  <c r="R5877" i="1"/>
  <c r="R5876" i="1"/>
  <c r="R5875" i="1"/>
  <c r="R5874" i="1"/>
  <c r="R5873" i="1"/>
  <c r="R5872" i="1"/>
  <c r="R5871" i="1"/>
  <c r="R5870" i="1"/>
  <c r="R5868" i="1"/>
  <c r="R5867" i="1"/>
  <c r="R5866" i="1"/>
  <c r="R5865" i="1"/>
  <c r="R5864" i="1"/>
  <c r="R5863" i="1"/>
  <c r="R5862" i="1"/>
  <c r="R5861" i="1"/>
  <c r="R5860" i="1"/>
  <c r="R5859" i="1"/>
  <c r="R5858" i="1"/>
  <c r="R5856" i="1"/>
  <c r="R5855" i="1"/>
  <c r="R5854" i="1"/>
  <c r="R5853" i="1"/>
  <c r="R5852" i="1"/>
  <c r="R5851" i="1"/>
  <c r="R5850" i="1"/>
  <c r="R5849" i="1"/>
  <c r="R5848" i="1"/>
  <c r="R5847" i="1"/>
  <c r="R5846" i="1"/>
  <c r="R5845" i="1"/>
  <c r="R5844" i="1"/>
  <c r="R5843" i="1"/>
  <c r="R5842" i="1"/>
  <c r="R5841" i="1"/>
  <c r="R5840" i="1"/>
  <c r="R5839" i="1"/>
  <c r="R5838" i="1"/>
  <c r="R5837" i="1"/>
  <c r="R5836" i="1"/>
  <c r="R5835" i="1"/>
  <c r="R5834" i="1"/>
  <c r="R5833" i="1"/>
  <c r="R5832" i="1"/>
  <c r="R5831" i="1"/>
  <c r="R5830" i="1"/>
  <c r="R5829" i="1"/>
  <c r="R5828" i="1"/>
  <c r="R5827" i="1"/>
  <c r="R5826" i="1"/>
  <c r="R5825" i="1"/>
  <c r="R5824" i="1"/>
  <c r="R5823" i="1"/>
  <c r="R5822" i="1"/>
  <c r="R5821" i="1"/>
  <c r="R5820" i="1"/>
  <c r="R5819" i="1"/>
  <c r="R5818" i="1"/>
  <c r="R5817" i="1"/>
  <c r="R5816" i="1"/>
  <c r="R5815" i="1"/>
  <c r="R5814" i="1"/>
  <c r="R5813" i="1"/>
  <c r="R5812" i="1"/>
  <c r="R5811" i="1"/>
  <c r="R5810" i="1"/>
  <c r="R5809" i="1"/>
  <c r="R5808" i="1"/>
  <c r="R5807" i="1"/>
  <c r="R5805" i="1"/>
  <c r="R5804" i="1"/>
  <c r="R5803" i="1"/>
  <c r="R5802" i="1"/>
  <c r="R5801" i="1"/>
  <c r="R5800" i="1"/>
  <c r="R5799" i="1"/>
  <c r="R5798" i="1"/>
  <c r="R5796" i="1"/>
  <c r="R5795" i="1"/>
  <c r="R5794" i="1"/>
  <c r="R5793" i="1"/>
  <c r="R5792" i="1"/>
  <c r="R5789" i="1"/>
  <c r="R5788" i="1"/>
  <c r="R5787" i="1"/>
  <c r="R5786" i="1"/>
  <c r="R5785" i="1"/>
  <c r="R5784" i="1"/>
  <c r="R5783" i="1"/>
  <c r="R5782" i="1"/>
  <c r="R5781" i="1"/>
  <c r="R5780" i="1"/>
  <c r="R5779" i="1"/>
  <c r="R5778" i="1"/>
  <c r="R5776" i="1"/>
  <c r="R5775" i="1"/>
  <c r="R5774" i="1"/>
  <c r="R5773" i="1"/>
  <c r="R5772" i="1"/>
  <c r="R5771" i="1"/>
  <c r="R5770" i="1"/>
  <c r="R5769" i="1"/>
  <c r="R5768" i="1"/>
  <c r="R5767" i="1"/>
  <c r="R5766" i="1"/>
  <c r="R5765" i="1"/>
  <c r="R5764" i="1"/>
  <c r="R5763" i="1"/>
  <c r="R5762" i="1"/>
  <c r="R5761" i="1"/>
  <c r="R5759" i="1"/>
  <c r="R5758" i="1"/>
  <c r="R5757" i="1"/>
  <c r="R5756" i="1"/>
  <c r="R5755" i="1"/>
  <c r="R5754" i="1"/>
  <c r="R5752" i="1"/>
  <c r="R5751" i="1"/>
  <c r="R5750" i="1"/>
  <c r="R5749" i="1"/>
  <c r="R5748" i="1"/>
  <c r="R5747" i="1"/>
  <c r="R5746" i="1"/>
  <c r="R5745" i="1"/>
  <c r="R5744" i="1"/>
  <c r="R5743" i="1"/>
  <c r="R5742" i="1"/>
  <c r="R5741" i="1"/>
  <c r="R5740" i="1"/>
  <c r="R5739" i="1"/>
  <c r="R5738" i="1"/>
  <c r="R5737" i="1"/>
  <c r="R5736" i="1"/>
  <c r="R5735" i="1"/>
  <c r="R5734" i="1"/>
  <c r="R5733" i="1"/>
  <c r="R5732" i="1"/>
  <c r="R5730" i="1"/>
  <c r="R5731" i="1"/>
  <c r="R5729" i="1"/>
  <c r="R5728" i="1"/>
  <c r="R5727" i="1"/>
  <c r="R5726" i="1"/>
  <c r="R5725" i="1"/>
  <c r="R5724" i="1"/>
  <c r="R5723" i="1"/>
  <c r="R5722" i="1"/>
  <c r="R5721" i="1"/>
  <c r="R5720" i="1"/>
  <c r="R5719" i="1"/>
  <c r="R5718" i="1"/>
  <c r="R5717" i="1"/>
  <c r="R5716" i="1"/>
  <c r="R5715" i="1"/>
  <c r="R5714" i="1"/>
  <c r="R5713" i="1"/>
  <c r="R5712" i="1"/>
  <c r="R5711" i="1"/>
  <c r="R5710" i="1"/>
  <c r="R5709" i="1"/>
  <c r="R5708" i="1"/>
  <c r="R5707" i="1"/>
  <c r="R5706" i="1"/>
  <c r="R5705" i="1"/>
  <c r="R5704" i="1"/>
  <c r="R5703" i="1"/>
  <c r="R5702" i="1"/>
  <c r="R5701" i="1"/>
  <c r="R5700" i="1"/>
  <c r="R5699" i="1"/>
  <c r="R5698" i="1"/>
  <c r="R5697" i="1"/>
  <c r="R5696" i="1"/>
  <c r="R5695" i="1"/>
  <c r="R5694" i="1"/>
  <c r="R5693" i="1"/>
  <c r="R5692" i="1"/>
  <c r="R5691" i="1"/>
  <c r="R5690" i="1"/>
  <c r="R5689" i="1"/>
  <c r="R5688" i="1"/>
  <c r="R5687" i="1"/>
  <c r="R5686" i="1"/>
  <c r="R5685" i="1"/>
  <c r="R5684" i="1"/>
  <c r="R5683" i="1"/>
  <c r="R5681" i="1"/>
  <c r="R5680" i="1"/>
  <c r="R5679" i="1"/>
  <c r="R5678" i="1"/>
  <c r="R5677" i="1"/>
  <c r="R5676" i="1"/>
  <c r="R5675" i="1"/>
  <c r="R5674" i="1"/>
  <c r="R5673" i="1"/>
  <c r="R5672" i="1"/>
  <c r="R5671" i="1"/>
  <c r="R5670" i="1"/>
  <c r="R5669" i="1"/>
  <c r="R5668" i="1"/>
  <c r="R5667" i="1"/>
  <c r="R5666" i="1"/>
  <c r="R5665" i="1"/>
  <c r="R5664" i="1"/>
  <c r="R5663" i="1"/>
  <c r="R5662" i="1"/>
  <c r="R5661" i="1"/>
  <c r="R5660" i="1"/>
  <c r="R5659" i="1"/>
  <c r="R5658" i="1"/>
  <c r="R5657" i="1"/>
  <c r="R5655" i="1"/>
  <c r="R5654" i="1"/>
  <c r="R5653" i="1"/>
  <c r="R5652" i="1"/>
  <c r="R5651" i="1"/>
  <c r="R5650" i="1"/>
  <c r="R5649" i="1"/>
  <c r="R5648" i="1"/>
  <c r="R5647" i="1"/>
  <c r="R5646" i="1"/>
  <c r="R5645" i="1"/>
  <c r="R5644" i="1"/>
  <c r="R5643" i="1"/>
  <c r="R5642" i="1"/>
  <c r="R5641" i="1"/>
  <c r="R5640" i="1"/>
  <c r="R5639" i="1"/>
  <c r="R5638" i="1"/>
  <c r="R5637" i="1"/>
  <c r="R5636" i="1"/>
  <c r="R5635" i="1"/>
  <c r="R5634" i="1"/>
  <c r="R5633" i="1"/>
  <c r="R5632" i="1"/>
  <c r="R5631" i="1"/>
  <c r="R5630" i="1"/>
  <c r="R5629" i="1"/>
  <c r="R5628" i="1"/>
  <c r="R5627" i="1"/>
  <c r="R5626" i="1"/>
  <c r="R5625" i="1"/>
  <c r="R5624" i="1"/>
  <c r="R5623" i="1"/>
  <c r="R5622" i="1"/>
  <c r="R5621" i="1"/>
  <c r="R5620" i="1"/>
  <c r="R5619" i="1"/>
  <c r="R5618" i="1"/>
  <c r="R5617" i="1"/>
  <c r="R5616" i="1"/>
  <c r="R5615" i="1"/>
  <c r="R5614" i="1"/>
  <c r="R5613" i="1"/>
  <c r="R5612" i="1"/>
  <c r="R5611" i="1"/>
  <c r="R5610" i="1"/>
  <c r="R5609" i="1"/>
  <c r="R5608" i="1"/>
  <c r="R5607" i="1"/>
  <c r="R5606" i="1"/>
  <c r="R5605" i="1"/>
  <c r="R5604" i="1"/>
  <c r="R5603" i="1"/>
  <c r="R5601" i="1"/>
  <c r="R5600" i="1"/>
  <c r="R5599" i="1"/>
  <c r="R5598" i="1"/>
  <c r="R5596" i="1"/>
  <c r="R5595" i="1"/>
  <c r="R5594" i="1"/>
  <c r="R5593" i="1"/>
  <c r="R5592" i="1"/>
  <c r="R5591" i="1"/>
  <c r="R5590" i="1"/>
  <c r="R5589" i="1"/>
  <c r="R5588" i="1"/>
  <c r="R5587" i="1"/>
  <c r="R5586" i="1"/>
  <c r="R5585" i="1"/>
  <c r="R5583" i="1"/>
  <c r="R5582" i="1"/>
  <c r="R5581" i="1"/>
  <c r="R5580" i="1"/>
  <c r="R5579" i="1"/>
  <c r="R5577" i="1"/>
  <c r="R5576" i="1"/>
  <c r="R5575" i="1"/>
  <c r="R5574" i="1"/>
  <c r="R5572" i="1"/>
  <c r="R5571" i="1"/>
  <c r="R5570" i="1"/>
  <c r="R5569" i="1"/>
  <c r="R5568" i="1"/>
  <c r="R5567" i="1"/>
  <c r="R5566" i="1"/>
  <c r="R5565" i="1"/>
  <c r="R5564" i="1"/>
  <c r="R5563" i="1"/>
  <c r="R5562" i="1"/>
  <c r="R5561" i="1"/>
  <c r="R5560" i="1"/>
  <c r="R5559" i="1"/>
  <c r="R5558" i="1"/>
  <c r="R5557" i="1"/>
  <c r="R5556" i="1"/>
  <c r="R5555" i="1"/>
  <c r="R5554" i="1"/>
  <c r="R5553" i="1"/>
  <c r="R5552" i="1"/>
  <c r="R5551" i="1"/>
  <c r="R5550" i="1"/>
  <c r="R5549" i="1"/>
  <c r="R5548" i="1"/>
  <c r="R5547" i="1"/>
  <c r="R5546" i="1"/>
  <c r="R5545" i="1"/>
  <c r="R5544" i="1"/>
  <c r="R5543" i="1"/>
  <c r="R5542" i="1"/>
  <c r="R5541" i="1"/>
  <c r="R5540" i="1"/>
  <c r="R5539" i="1"/>
  <c r="R5538" i="1"/>
  <c r="R5537" i="1"/>
  <c r="R5536" i="1"/>
  <c r="R5535" i="1"/>
  <c r="R5534" i="1"/>
  <c r="R5533" i="1"/>
  <c r="R5532" i="1"/>
  <c r="R5531" i="1"/>
  <c r="R5530" i="1"/>
  <c r="R5529" i="1"/>
  <c r="R5528" i="1"/>
  <c r="R5527" i="1"/>
  <c r="R5526" i="1"/>
  <c r="R5525" i="1"/>
  <c r="R5524" i="1"/>
  <c r="R5523" i="1"/>
  <c r="R5522" i="1"/>
  <c r="R5521" i="1"/>
  <c r="R5520" i="1"/>
  <c r="R5519" i="1"/>
  <c r="R5518" i="1"/>
  <c r="R5517" i="1"/>
  <c r="R5516" i="1"/>
  <c r="R5515" i="1"/>
  <c r="R5514" i="1"/>
  <c r="R5513" i="1"/>
  <c r="R5512" i="1"/>
  <c r="R5511" i="1"/>
  <c r="R5510" i="1"/>
  <c r="R5509" i="1"/>
  <c r="R5508" i="1"/>
  <c r="R5507" i="1"/>
  <c r="R5506" i="1"/>
  <c r="R5505" i="1"/>
  <c r="R5504" i="1"/>
  <c r="R5503" i="1"/>
  <c r="R5502" i="1"/>
  <c r="R5501" i="1"/>
  <c r="R5500" i="1"/>
  <c r="R5499" i="1"/>
  <c r="R5498" i="1"/>
  <c r="R5497" i="1"/>
  <c r="R5496" i="1"/>
  <c r="R5495" i="1"/>
  <c r="R5494" i="1"/>
  <c r="R5493" i="1"/>
  <c r="R5492" i="1"/>
  <c r="R5491" i="1"/>
  <c r="R5490" i="1"/>
  <c r="R5489" i="1"/>
  <c r="R5488" i="1"/>
  <c r="R5487" i="1"/>
  <c r="R5486" i="1"/>
  <c r="R5485" i="1"/>
  <c r="R5484" i="1"/>
  <c r="R5483" i="1"/>
  <c r="R5481" i="1"/>
  <c r="R5482" i="1"/>
  <c r="R5479" i="1"/>
  <c r="R5478" i="1"/>
  <c r="R5477" i="1"/>
  <c r="R5476" i="1"/>
  <c r="R5475" i="1"/>
  <c r="R5474" i="1"/>
  <c r="R5473" i="1"/>
  <c r="R5472" i="1"/>
  <c r="R5471" i="1"/>
  <c r="R5470" i="1"/>
  <c r="R5469" i="1"/>
  <c r="R5468" i="1"/>
  <c r="R5467" i="1"/>
  <c r="R5466" i="1"/>
  <c r="R5465" i="1"/>
  <c r="R5464" i="1"/>
  <c r="R5463" i="1"/>
  <c r="R5462" i="1"/>
  <c r="R5461" i="1"/>
  <c r="R5460" i="1"/>
  <c r="R5459" i="1"/>
  <c r="R5458" i="1"/>
  <c r="R5457" i="1"/>
  <c r="R5456" i="1"/>
  <c r="R5455" i="1"/>
  <c r="R5454" i="1"/>
  <c r="R5453" i="1"/>
  <c r="R5452" i="1"/>
  <c r="R5451" i="1"/>
  <c r="R5450" i="1"/>
  <c r="R5449" i="1"/>
  <c r="R5448" i="1"/>
  <c r="R5447" i="1"/>
  <c r="R5446" i="1"/>
  <c r="R5445" i="1"/>
  <c r="R5444" i="1"/>
  <c r="R5443" i="1"/>
  <c r="R5442" i="1"/>
  <c r="R5441" i="1"/>
  <c r="R5440" i="1"/>
  <c r="R5439" i="1"/>
  <c r="R5438" i="1"/>
  <c r="R5437" i="1"/>
  <c r="R5436" i="1"/>
  <c r="R5435" i="1"/>
  <c r="R5434" i="1"/>
  <c r="R5433" i="1"/>
  <c r="R5431" i="1"/>
  <c r="R5430" i="1"/>
  <c r="R5429" i="1"/>
  <c r="R5428" i="1"/>
  <c r="R5427" i="1"/>
  <c r="R5426" i="1"/>
  <c r="R5425" i="1"/>
  <c r="R5424" i="1"/>
  <c r="R5423" i="1"/>
  <c r="R5422" i="1"/>
  <c r="R5421" i="1"/>
  <c r="R5420" i="1"/>
  <c r="R5419" i="1"/>
  <c r="R5418" i="1"/>
  <c r="R5416" i="1"/>
  <c r="R5415" i="1"/>
  <c r="R5414" i="1"/>
  <c r="R5413" i="1"/>
  <c r="R5412" i="1"/>
  <c r="R5411" i="1"/>
  <c r="R5410" i="1"/>
  <c r="R5409" i="1"/>
  <c r="R5408" i="1"/>
  <c r="R5407" i="1"/>
  <c r="R5406" i="1"/>
  <c r="R5405" i="1"/>
  <c r="R5404" i="1"/>
  <c r="R5403" i="1"/>
  <c r="R5402" i="1"/>
  <c r="R5401" i="1"/>
  <c r="R5400" i="1"/>
  <c r="R5399" i="1"/>
  <c r="R5398" i="1"/>
  <c r="R5397" i="1"/>
  <c r="R5396" i="1"/>
  <c r="R5395" i="1"/>
  <c r="R5394" i="1"/>
  <c r="R5393" i="1"/>
  <c r="R5392" i="1"/>
  <c r="R5390" i="1"/>
  <c r="R5389" i="1"/>
  <c r="R5388" i="1"/>
  <c r="R5387" i="1"/>
  <c r="R5386" i="1"/>
  <c r="R5385" i="1"/>
  <c r="R5384" i="1"/>
  <c r="R5383" i="1"/>
  <c r="R5382" i="1"/>
  <c r="R5381" i="1"/>
  <c r="R5380" i="1"/>
  <c r="R5379" i="1"/>
  <c r="R5378" i="1"/>
  <c r="R5377" i="1"/>
  <c r="R5376" i="1"/>
  <c r="R5375" i="1"/>
  <c r="R5374" i="1"/>
  <c r="R5373" i="1"/>
  <c r="R5372" i="1"/>
  <c r="R5371" i="1"/>
  <c r="R5370" i="1"/>
  <c r="R5369" i="1"/>
  <c r="R5368" i="1"/>
  <c r="R5367" i="1"/>
  <c r="R5366" i="1"/>
  <c r="R5365" i="1"/>
  <c r="R5364" i="1"/>
  <c r="R5363" i="1"/>
  <c r="R5362" i="1"/>
  <c r="R5361" i="1"/>
  <c r="R5360" i="1"/>
  <c r="R5359" i="1"/>
  <c r="R5358" i="1"/>
  <c r="R5357" i="1"/>
  <c r="R5356" i="1"/>
  <c r="R5355" i="1"/>
  <c r="R5354" i="1"/>
  <c r="R5353" i="1"/>
  <c r="R5352" i="1"/>
  <c r="R5351" i="1"/>
  <c r="R5350" i="1"/>
  <c r="R5349" i="1"/>
  <c r="R5348" i="1"/>
  <c r="R5347" i="1"/>
  <c r="R5346" i="1"/>
  <c r="R5345" i="1"/>
  <c r="R5344" i="1"/>
  <c r="R5343" i="1"/>
  <c r="R5342" i="1"/>
  <c r="R5341" i="1"/>
  <c r="R5339" i="1"/>
  <c r="R5338" i="1"/>
  <c r="R5337" i="1"/>
  <c r="R5336" i="1"/>
  <c r="R5335" i="1"/>
  <c r="R5334" i="1"/>
  <c r="R5333" i="1"/>
  <c r="R5332" i="1"/>
  <c r="R5331" i="1"/>
  <c r="R5330" i="1"/>
  <c r="R5329" i="1"/>
  <c r="R5328" i="1"/>
  <c r="R5327" i="1"/>
  <c r="R5326" i="1"/>
  <c r="R5325" i="1"/>
  <c r="R5324" i="1"/>
  <c r="R5323" i="1"/>
  <c r="R5322" i="1"/>
  <c r="R5321" i="1"/>
  <c r="R5320" i="1"/>
  <c r="R5319" i="1"/>
  <c r="R5318" i="1"/>
  <c r="R5317" i="1"/>
  <c r="R5316" i="1"/>
  <c r="R5315" i="1"/>
  <c r="R5314" i="1"/>
  <c r="R5313" i="1"/>
  <c r="R5312" i="1"/>
  <c r="R5311" i="1"/>
  <c r="R5310" i="1"/>
  <c r="R5309" i="1"/>
  <c r="R5308" i="1"/>
  <c r="R5307" i="1"/>
  <c r="R5306" i="1"/>
  <c r="R5305" i="1"/>
  <c r="R5304" i="1"/>
  <c r="R5303" i="1"/>
  <c r="R5302" i="1"/>
  <c r="R5301" i="1"/>
  <c r="R5300" i="1"/>
  <c r="R5297" i="1"/>
  <c r="R5299" i="1"/>
  <c r="R5298" i="1"/>
  <c r="R5295" i="1"/>
  <c r="R5294" i="1"/>
  <c r="R5292" i="1"/>
  <c r="R5291" i="1"/>
  <c r="R5290" i="1"/>
  <c r="R5289" i="1"/>
  <c r="R5288" i="1"/>
  <c r="R5287" i="1"/>
  <c r="R5286" i="1"/>
  <c r="R5285" i="1"/>
  <c r="R5284" i="1"/>
  <c r="R5283" i="1"/>
  <c r="R5282" i="1"/>
  <c r="R5281" i="1"/>
  <c r="R5280" i="1"/>
  <c r="R5279" i="1"/>
  <c r="R5277" i="1"/>
  <c r="R5276" i="1"/>
  <c r="R5275" i="1"/>
  <c r="R5274" i="1"/>
  <c r="R5273" i="1"/>
  <c r="R5272" i="1"/>
  <c r="R5271" i="1"/>
  <c r="R5270" i="1"/>
  <c r="R5269" i="1"/>
  <c r="R5268" i="1"/>
  <c r="R5267" i="1"/>
  <c r="R5266" i="1"/>
  <c r="R5265" i="1"/>
  <c r="R5264" i="1"/>
  <c r="R5263" i="1"/>
  <c r="R5262" i="1"/>
  <c r="R5261" i="1"/>
  <c r="R5260" i="1"/>
  <c r="R5259" i="1"/>
  <c r="R5258" i="1"/>
  <c r="R5257" i="1"/>
  <c r="R5256" i="1"/>
  <c r="R5255" i="1"/>
  <c r="R5254" i="1"/>
  <c r="R5253" i="1"/>
  <c r="R5252" i="1"/>
  <c r="R5251" i="1"/>
  <c r="R5250" i="1"/>
  <c r="R5249" i="1"/>
  <c r="R5248" i="1"/>
  <c r="R5247" i="1"/>
  <c r="R5246" i="1"/>
  <c r="R5245" i="1"/>
  <c r="R5244" i="1"/>
  <c r="R5243" i="1"/>
  <c r="R5242" i="1"/>
  <c r="R5241" i="1"/>
  <c r="R5240" i="1"/>
  <c r="R5239" i="1"/>
  <c r="R5238" i="1"/>
  <c r="R5237" i="1"/>
  <c r="R5235" i="1"/>
  <c r="R5234" i="1"/>
  <c r="R5233" i="1"/>
  <c r="R5236" i="1"/>
  <c r="R5232" i="1"/>
  <c r="R5231" i="1"/>
  <c r="R5230" i="1"/>
  <c r="R5229" i="1"/>
  <c r="R5228" i="1"/>
  <c r="R5227" i="1"/>
  <c r="R5226" i="1"/>
  <c r="R5224" i="1"/>
  <c r="R5223" i="1"/>
  <c r="R5222" i="1"/>
  <c r="R5221" i="1"/>
  <c r="R5220" i="1"/>
  <c r="R5219" i="1"/>
  <c r="R5176" i="1"/>
  <c r="R5218" i="1"/>
  <c r="R5217" i="1"/>
  <c r="R5216" i="1"/>
  <c r="R5215" i="1"/>
  <c r="R5214" i="1"/>
  <c r="R5213" i="1"/>
  <c r="R5212" i="1"/>
  <c r="R5211" i="1"/>
  <c r="R5210" i="1"/>
  <c r="R5209" i="1"/>
  <c r="R5208" i="1"/>
  <c r="R5207" i="1"/>
  <c r="R5201" i="1"/>
  <c r="R5200" i="1"/>
  <c r="R5206" i="1"/>
  <c r="R5205" i="1"/>
  <c r="R5204" i="1"/>
  <c r="R5203" i="1"/>
  <c r="R5202" i="1"/>
  <c r="R5198" i="1"/>
  <c r="R5197" i="1"/>
  <c r="R5196" i="1"/>
  <c r="R5195" i="1"/>
  <c r="R5194" i="1"/>
  <c r="R5193" i="1"/>
  <c r="R5192" i="1"/>
  <c r="R5191" i="1"/>
  <c r="R5190" i="1"/>
  <c r="R5189" i="1"/>
  <c r="R5188" i="1"/>
  <c r="R5187" i="1"/>
  <c r="R5186" i="1"/>
  <c r="R5185" i="1"/>
  <c r="R5184" i="1"/>
  <c r="R5183" i="1"/>
  <c r="R5182" i="1"/>
  <c r="R5181" i="1"/>
  <c r="R5180" i="1"/>
  <c r="R5179" i="1"/>
  <c r="R5178" i="1"/>
  <c r="R5177" i="1"/>
  <c r="R5175" i="1"/>
  <c r="R5174" i="1"/>
  <c r="R5173" i="1"/>
  <c r="R5172" i="1"/>
  <c r="R5171" i="1"/>
  <c r="R5170" i="1"/>
  <c r="R5169" i="1"/>
  <c r="R5168" i="1"/>
  <c r="R5167" i="1"/>
  <c r="R5166" i="1"/>
  <c r="R5165" i="1"/>
  <c r="R5164" i="1"/>
  <c r="R5163" i="1"/>
  <c r="R5162" i="1"/>
  <c r="R5161" i="1"/>
  <c r="R5160" i="1"/>
  <c r="R5158" i="1"/>
  <c r="R5157" i="1"/>
  <c r="R5156" i="1"/>
  <c r="R5155" i="1"/>
  <c r="R5154" i="1"/>
  <c r="R5153" i="1"/>
  <c r="R5152" i="1"/>
  <c r="R5151" i="1"/>
  <c r="R5150" i="1"/>
  <c r="R5149" i="1"/>
  <c r="R5148" i="1"/>
  <c r="R5147" i="1"/>
  <c r="R5146" i="1"/>
  <c r="R5143" i="1"/>
  <c r="R5145" i="1"/>
  <c r="R5144" i="1"/>
  <c r="R5142" i="1"/>
  <c r="R5141" i="1"/>
  <c r="R5140" i="1"/>
  <c r="R5139" i="1"/>
  <c r="R5138" i="1"/>
  <c r="R5137" i="1"/>
  <c r="R5136" i="1"/>
  <c r="R5135" i="1"/>
  <c r="R5134" i="1"/>
  <c r="R5133" i="1"/>
  <c r="R5132" i="1"/>
  <c r="R5130" i="1"/>
  <c r="R5131" i="1"/>
  <c r="R5129" i="1"/>
  <c r="R5128" i="1"/>
  <c r="R5127" i="1"/>
  <c r="R5126" i="1"/>
  <c r="R5125" i="1"/>
  <c r="R5124" i="1"/>
  <c r="R5122" i="1"/>
  <c r="R5121" i="1"/>
  <c r="R5120" i="1"/>
  <c r="R5119" i="1"/>
  <c r="R5118" i="1"/>
  <c r="R5117" i="1"/>
  <c r="R5116" i="1"/>
  <c r="R5115" i="1"/>
  <c r="R5114" i="1"/>
  <c r="R5113" i="1"/>
  <c r="R5112" i="1"/>
  <c r="R5110" i="1"/>
  <c r="R5111" i="1"/>
  <c r="R5109" i="1"/>
  <c r="R5107" i="1"/>
  <c r="R5108" i="1"/>
  <c r="R5105" i="1"/>
  <c r="R5104" i="1"/>
  <c r="R5103" i="1"/>
  <c r="R5102" i="1"/>
  <c r="R5101" i="1"/>
  <c r="R5100" i="1"/>
  <c r="R5099" i="1"/>
  <c r="R5098" i="1"/>
  <c r="R5097" i="1"/>
  <c r="R5096" i="1"/>
  <c r="R5095" i="1"/>
  <c r="R5094" i="1"/>
  <c r="R5093" i="1"/>
  <c r="R5092" i="1"/>
  <c r="R5091" i="1"/>
  <c r="R5090" i="1"/>
  <c r="R5089" i="1"/>
  <c r="R5088" i="1"/>
  <c r="R5087" i="1"/>
  <c r="R5085" i="1"/>
  <c r="R5084" i="1"/>
  <c r="R5083" i="1"/>
  <c r="R5082" i="1"/>
  <c r="R5081" i="1"/>
  <c r="R5080" i="1"/>
  <c r="R5079" i="1"/>
  <c r="R5076" i="1"/>
  <c r="R5078" i="1"/>
  <c r="R5077" i="1"/>
  <c r="R5075" i="1"/>
  <c r="R5073" i="1"/>
  <c r="R5070" i="1"/>
  <c r="R5069" i="1"/>
  <c r="R5068" i="1"/>
  <c r="R5072" i="1"/>
  <c r="R5071" i="1"/>
  <c r="R5067" i="1"/>
  <c r="R5066" i="1"/>
  <c r="R5065" i="1"/>
  <c r="R5064" i="1"/>
  <c r="R5063" i="1"/>
  <c r="R5062" i="1"/>
  <c r="R5061" i="1"/>
  <c r="R5059" i="1"/>
  <c r="R5060" i="1"/>
  <c r="R5058" i="1"/>
  <c r="R5057" i="1"/>
  <c r="R5056" i="1"/>
  <c r="R5055" i="1"/>
  <c r="R5054" i="1"/>
  <c r="R5053" i="1"/>
  <c r="R5052" i="1"/>
  <c r="R5051" i="1"/>
  <c r="R5050" i="1"/>
  <c r="R5049" i="1"/>
  <c r="R5048" i="1"/>
  <c r="R5047" i="1"/>
  <c r="R5046" i="1"/>
  <c r="R5045" i="1"/>
  <c r="R5044" i="1"/>
  <c r="R5041" i="1"/>
  <c r="R5043" i="1"/>
  <c r="R5042" i="1"/>
  <c r="R5040" i="1"/>
  <c r="R5036" i="1"/>
  <c r="R5039" i="1"/>
  <c r="R5026" i="1"/>
  <c r="R5038" i="1"/>
  <c r="R5037" i="1"/>
  <c r="R5034" i="1"/>
  <c r="R5035" i="1"/>
  <c r="R5033" i="1"/>
  <c r="R5032" i="1"/>
  <c r="R5031" i="1"/>
  <c r="R5030" i="1"/>
  <c r="R5029" i="1"/>
  <c r="R5028" i="1"/>
  <c r="R5027" i="1"/>
  <c r="R5025" i="1"/>
  <c r="R4987" i="1"/>
  <c r="R5024" i="1"/>
  <c r="R5023" i="1"/>
  <c r="R5022" i="1"/>
  <c r="R5021" i="1"/>
  <c r="R5020" i="1"/>
  <c r="R5019" i="1"/>
  <c r="R5018" i="1"/>
  <c r="R5017" i="1"/>
  <c r="R5016" i="1"/>
  <c r="R5015" i="1"/>
  <c r="R5014" i="1"/>
  <c r="R5013" i="1"/>
  <c r="R5012" i="1"/>
  <c r="R5011" i="1"/>
  <c r="R5010" i="1"/>
  <c r="R5009" i="1"/>
  <c r="R5008" i="1"/>
  <c r="R5007" i="1"/>
  <c r="R5006" i="1"/>
  <c r="R5005" i="1"/>
  <c r="R5004" i="1"/>
  <c r="R5003" i="1"/>
  <c r="R5002" i="1"/>
  <c r="R5001" i="1"/>
  <c r="R5000" i="1"/>
  <c r="R4999" i="1"/>
  <c r="R4998" i="1"/>
  <c r="R4997" i="1"/>
  <c r="R4996" i="1"/>
  <c r="R4994" i="1"/>
  <c r="R4993" i="1"/>
  <c r="R4992" i="1"/>
  <c r="R4991" i="1"/>
  <c r="R4990" i="1"/>
  <c r="R4989" i="1"/>
  <c r="R4988" i="1"/>
  <c r="R4986" i="1"/>
  <c r="R4985" i="1"/>
  <c r="R4984" i="1"/>
  <c r="R4983" i="1"/>
  <c r="R4981" i="1"/>
  <c r="R4980" i="1"/>
  <c r="R4979" i="1"/>
  <c r="R4977" i="1"/>
  <c r="R4976" i="1"/>
  <c r="R4975" i="1"/>
  <c r="R4974" i="1"/>
  <c r="R4973" i="1"/>
  <c r="R4972" i="1"/>
  <c r="R4971" i="1"/>
  <c r="R4970" i="1"/>
  <c r="R4969" i="1"/>
  <c r="R4968" i="1"/>
  <c r="R4967" i="1"/>
  <c r="R4966" i="1"/>
  <c r="R4965" i="1"/>
  <c r="R4964" i="1"/>
  <c r="R4963" i="1"/>
  <c r="R4962" i="1"/>
  <c r="R4961" i="1"/>
  <c r="R4960" i="1"/>
  <c r="R4959" i="1"/>
  <c r="R4958" i="1"/>
  <c r="R4957" i="1"/>
  <c r="R4956" i="1"/>
  <c r="R4955" i="1"/>
  <c r="R4954" i="1"/>
  <c r="R4953" i="1"/>
  <c r="R4952" i="1"/>
  <c r="R4951" i="1"/>
  <c r="R4950" i="1"/>
  <c r="R4949" i="1"/>
  <c r="R4948" i="1"/>
  <c r="R4947" i="1"/>
  <c r="R4946" i="1"/>
  <c r="R4945" i="1"/>
  <c r="R4944" i="1"/>
  <c r="R4943" i="1"/>
  <c r="R4942" i="1"/>
  <c r="R4941" i="1"/>
  <c r="R4940" i="1"/>
  <c r="R4938" i="1"/>
  <c r="R4937" i="1"/>
  <c r="R4935" i="1"/>
  <c r="R4934" i="1"/>
  <c r="R4933" i="1"/>
  <c r="R4932" i="1"/>
  <c r="R4931" i="1"/>
  <c r="R4930" i="1"/>
  <c r="R4929" i="1"/>
  <c r="R4928" i="1"/>
  <c r="R4927" i="1"/>
  <c r="R4926" i="1"/>
  <c r="R4925" i="1"/>
  <c r="R4924" i="1"/>
  <c r="R4923" i="1"/>
  <c r="R4922" i="1"/>
  <c r="R4921" i="1"/>
  <c r="R4920" i="1"/>
  <c r="R4919" i="1"/>
  <c r="R4918" i="1"/>
  <c r="R4917" i="1"/>
  <c r="R4916" i="1"/>
  <c r="R4915" i="1"/>
  <c r="R4914" i="1"/>
  <c r="R4913" i="1"/>
  <c r="R4912" i="1"/>
  <c r="R4911" i="1"/>
  <c r="R4910" i="1"/>
  <c r="R4909" i="1"/>
  <c r="R4908" i="1"/>
  <c r="R4907" i="1"/>
  <c r="R4906" i="1"/>
  <c r="R4905" i="1"/>
  <c r="R4904" i="1"/>
  <c r="R4903" i="1"/>
  <c r="R4902" i="1"/>
  <c r="R4901" i="1"/>
  <c r="R4900" i="1"/>
  <c r="R4899" i="1"/>
  <c r="R4898" i="1"/>
  <c r="R4897" i="1"/>
  <c r="R4896" i="1"/>
  <c r="R4895" i="1"/>
  <c r="R4894" i="1"/>
  <c r="R4893" i="1"/>
  <c r="R4892" i="1"/>
  <c r="R4891" i="1"/>
  <c r="R4890" i="1"/>
  <c r="R4889" i="1"/>
  <c r="R4888" i="1"/>
  <c r="R4887" i="1"/>
  <c r="R4886" i="1"/>
  <c r="R4885" i="1"/>
  <c r="R4884" i="1"/>
  <c r="R4883" i="1"/>
  <c r="R4882" i="1"/>
  <c r="R4881" i="1"/>
  <c r="R4880" i="1"/>
  <c r="R4879" i="1"/>
  <c r="R4878" i="1"/>
  <c r="R4877" i="1"/>
  <c r="R4876" i="1"/>
  <c r="R4875" i="1"/>
  <c r="R4874" i="1"/>
  <c r="R4872" i="1"/>
  <c r="R4871" i="1"/>
  <c r="R4870" i="1"/>
  <c r="R4869" i="1"/>
  <c r="R4868" i="1"/>
  <c r="R4867" i="1"/>
  <c r="R4866" i="1"/>
  <c r="R4865" i="1"/>
  <c r="R4864" i="1"/>
  <c r="R4863" i="1"/>
  <c r="R4862" i="1"/>
  <c r="R4861" i="1"/>
  <c r="R4860" i="1"/>
  <c r="R4858" i="1"/>
  <c r="R4857" i="1"/>
  <c r="R4856" i="1"/>
  <c r="R4855" i="1"/>
  <c r="R4854" i="1"/>
  <c r="R4853" i="1"/>
  <c r="R4852" i="1"/>
  <c r="R4851" i="1"/>
  <c r="R4850" i="1"/>
  <c r="R4849" i="1"/>
  <c r="R4848" i="1"/>
  <c r="R4847" i="1"/>
  <c r="R4846" i="1"/>
  <c r="R4845" i="1"/>
  <c r="R4844" i="1"/>
  <c r="R4843" i="1"/>
  <c r="R4842" i="1"/>
  <c r="R4841" i="1"/>
  <c r="R4840" i="1"/>
  <c r="R4839" i="1"/>
  <c r="R4838" i="1"/>
  <c r="R4837" i="1"/>
  <c r="R4836" i="1"/>
  <c r="R4835" i="1"/>
  <c r="R4834" i="1"/>
  <c r="R4832" i="1"/>
  <c r="R4833" i="1"/>
  <c r="R4831" i="1"/>
  <c r="R4830" i="1"/>
  <c r="R4829" i="1"/>
  <c r="R4828" i="1"/>
  <c r="R4827" i="1"/>
  <c r="R4826" i="1"/>
  <c r="R4825" i="1"/>
  <c r="R4824" i="1"/>
  <c r="R4822" i="1"/>
  <c r="R4821" i="1"/>
  <c r="R4820" i="1"/>
  <c r="R4819" i="1"/>
  <c r="R4818" i="1"/>
  <c r="R4817" i="1"/>
  <c r="R4815" i="1"/>
  <c r="R4814" i="1"/>
  <c r="R4813" i="1"/>
  <c r="R4812" i="1"/>
  <c r="R4811" i="1"/>
  <c r="R4810" i="1"/>
  <c r="R4809" i="1"/>
  <c r="R4808" i="1"/>
  <c r="R4807" i="1"/>
  <c r="R4806" i="1"/>
  <c r="R4805" i="1"/>
  <c r="R4804" i="1"/>
  <c r="R4803" i="1"/>
  <c r="R4802" i="1"/>
  <c r="R4801" i="1"/>
  <c r="R4800" i="1"/>
  <c r="R4799" i="1"/>
  <c r="R4798" i="1"/>
  <c r="R4797" i="1"/>
  <c r="R4796" i="1"/>
  <c r="R4795" i="1"/>
  <c r="R4794" i="1"/>
  <c r="R4793" i="1"/>
  <c r="R4791" i="1"/>
  <c r="R4792" i="1"/>
  <c r="R4790" i="1"/>
  <c r="R4789" i="1"/>
  <c r="R4788" i="1"/>
  <c r="R4787" i="1"/>
  <c r="R4786" i="1"/>
  <c r="R4785" i="1"/>
  <c r="R4784" i="1"/>
  <c r="R4783" i="1"/>
  <c r="R4782" i="1"/>
  <c r="R4781" i="1"/>
  <c r="R4780" i="1"/>
  <c r="R4779" i="1"/>
  <c r="R4778" i="1"/>
  <c r="R4777" i="1"/>
  <c r="R4776" i="1"/>
  <c r="R4775" i="1"/>
  <c r="R4774" i="1"/>
  <c r="R4773" i="1"/>
  <c r="R4772" i="1"/>
  <c r="R4771" i="1"/>
  <c r="R4770" i="1"/>
  <c r="R4769" i="1"/>
  <c r="R4768" i="1"/>
  <c r="R4767" i="1"/>
  <c r="R4766" i="1"/>
  <c r="R4765" i="1"/>
  <c r="R4764" i="1"/>
  <c r="R4763" i="1"/>
  <c r="R4762" i="1"/>
  <c r="R4761" i="1"/>
  <c r="R4760" i="1"/>
  <c r="R4759" i="1"/>
  <c r="R4758" i="1"/>
  <c r="R4757" i="1"/>
  <c r="R4756" i="1"/>
  <c r="R4755" i="1"/>
  <c r="R4754" i="1"/>
  <c r="R4753" i="1"/>
  <c r="R4752" i="1"/>
  <c r="R4751" i="1"/>
  <c r="R4750" i="1"/>
  <c r="R4749" i="1"/>
  <c r="R4748" i="1"/>
  <c r="R4747" i="1"/>
  <c r="R4746" i="1"/>
  <c r="R4745" i="1"/>
  <c r="R4744" i="1"/>
  <c r="R4743" i="1"/>
  <c r="R4742" i="1"/>
  <c r="R4741" i="1"/>
  <c r="R4740" i="1"/>
  <c r="R4739" i="1"/>
  <c r="R4738" i="1"/>
  <c r="R4737" i="1"/>
  <c r="R4736" i="1"/>
  <c r="R4735" i="1"/>
  <c r="R4734" i="1"/>
  <c r="R4733" i="1"/>
  <c r="R4732" i="1"/>
  <c r="R4731" i="1"/>
  <c r="R4730" i="1"/>
  <c r="R4729" i="1"/>
  <c r="R4728" i="1"/>
  <c r="R4727" i="1"/>
  <c r="R4726" i="1"/>
  <c r="R4725" i="1"/>
  <c r="R4724" i="1"/>
  <c r="R4723" i="1"/>
  <c r="R4722" i="1"/>
  <c r="R4721" i="1"/>
  <c r="R4720" i="1"/>
  <c r="R4719" i="1"/>
  <c r="R4718" i="1"/>
  <c r="R4717" i="1"/>
  <c r="R4716" i="1"/>
  <c r="R4715" i="1"/>
  <c r="R4714" i="1"/>
  <c r="R4713" i="1"/>
  <c r="R4712" i="1"/>
  <c r="R4711" i="1"/>
  <c r="R4710" i="1"/>
  <c r="R4709" i="1"/>
  <c r="R4708" i="1"/>
  <c r="R4707" i="1"/>
  <c r="R4706" i="1"/>
  <c r="R4705" i="1"/>
  <c r="R4704" i="1"/>
  <c r="R4703" i="1"/>
  <c r="R4702" i="1"/>
  <c r="R4701" i="1"/>
  <c r="R4700" i="1"/>
  <c r="R4699" i="1"/>
  <c r="R4698" i="1"/>
  <c r="R4697" i="1"/>
  <c r="R4696" i="1"/>
  <c r="R4695" i="1"/>
  <c r="R4694" i="1"/>
  <c r="R4693" i="1"/>
  <c r="R4692" i="1"/>
  <c r="R4691" i="1"/>
  <c r="R4688" i="1"/>
  <c r="R4690" i="1"/>
  <c r="R4689" i="1"/>
  <c r="R4687" i="1"/>
  <c r="R4686" i="1"/>
  <c r="R4685" i="1"/>
  <c r="R4684" i="1"/>
  <c r="R4683" i="1"/>
  <c r="R4682" i="1"/>
  <c r="R4681" i="1"/>
  <c r="R4680" i="1"/>
  <c r="R4679" i="1"/>
  <c r="R4678" i="1"/>
  <c r="R4677" i="1"/>
  <c r="R4676" i="1"/>
  <c r="R4675" i="1"/>
  <c r="R4674" i="1"/>
  <c r="R4673" i="1"/>
  <c r="R4672" i="1"/>
  <c r="R4671" i="1"/>
  <c r="R4670" i="1"/>
  <c r="R4669" i="1"/>
  <c r="R4668" i="1"/>
  <c r="R4667" i="1"/>
  <c r="R4666" i="1"/>
  <c r="R4665" i="1"/>
  <c r="R4664" i="1"/>
  <c r="R4663" i="1"/>
  <c r="R4662" i="1"/>
  <c r="R4661" i="1"/>
  <c r="R4660" i="1"/>
  <c r="R4659" i="1"/>
  <c r="R4658" i="1"/>
  <c r="R4657" i="1"/>
  <c r="R4656" i="1"/>
  <c r="R4655" i="1"/>
  <c r="R4654" i="1"/>
  <c r="R4653" i="1"/>
  <c r="R4652" i="1"/>
  <c r="R4651" i="1"/>
  <c r="R4650" i="1"/>
  <c r="R4649" i="1"/>
  <c r="R4648" i="1"/>
  <c r="R4647" i="1"/>
  <c r="R4646" i="1"/>
  <c r="R4645" i="1"/>
  <c r="R4644" i="1"/>
  <c r="R4643" i="1"/>
  <c r="R4642" i="1"/>
  <c r="R4641" i="1"/>
  <c r="R4640" i="1"/>
  <c r="R4639" i="1"/>
  <c r="R4638" i="1"/>
  <c r="R4637" i="1"/>
  <c r="R4636" i="1"/>
  <c r="R4635" i="1"/>
  <c r="R4634" i="1"/>
  <c r="R4633" i="1"/>
  <c r="R4632" i="1"/>
  <c r="R4631" i="1"/>
  <c r="R4630" i="1"/>
  <c r="R4629" i="1"/>
  <c r="R4628" i="1"/>
  <c r="R4627" i="1"/>
  <c r="R4626" i="1"/>
  <c r="R4625" i="1"/>
  <c r="R4624" i="1"/>
  <c r="R4623" i="1"/>
  <c r="R4622" i="1"/>
  <c r="R4621" i="1"/>
  <c r="R4620" i="1"/>
  <c r="R4619" i="1"/>
  <c r="R4618" i="1"/>
  <c r="R4617" i="1"/>
  <c r="R4616" i="1"/>
  <c r="R4615" i="1"/>
  <c r="R4614" i="1"/>
  <c r="R4613" i="1"/>
  <c r="R4612" i="1"/>
  <c r="R4611" i="1"/>
  <c r="R4610" i="1"/>
  <c r="R4609" i="1"/>
  <c r="R4608" i="1"/>
  <c r="R4607" i="1"/>
  <c r="R4606" i="1"/>
  <c r="R4605" i="1"/>
  <c r="R4604" i="1"/>
  <c r="R4603" i="1"/>
  <c r="R4602" i="1"/>
  <c r="R4601" i="1"/>
  <c r="R4600" i="1"/>
  <c r="R4599" i="1"/>
  <c r="R4598" i="1"/>
  <c r="R4597" i="1"/>
  <c r="R4596" i="1"/>
  <c r="R4595" i="1"/>
  <c r="R4594" i="1"/>
  <c r="R4593" i="1"/>
  <c r="R4592" i="1"/>
  <c r="R4591" i="1"/>
  <c r="R4590" i="1"/>
  <c r="R4589" i="1"/>
  <c r="R4588" i="1"/>
  <c r="R4587" i="1"/>
  <c r="R4586" i="1"/>
  <c r="R4585" i="1"/>
  <c r="R4584" i="1"/>
  <c r="R4583" i="1"/>
  <c r="R4582" i="1"/>
  <c r="R4581" i="1"/>
  <c r="R4580" i="1"/>
  <c r="R4579" i="1"/>
  <c r="R4578" i="1"/>
  <c r="R4577" i="1"/>
  <c r="R4576" i="1"/>
  <c r="R4575" i="1"/>
  <c r="R4574" i="1"/>
  <c r="R4573" i="1"/>
  <c r="R4572" i="1"/>
  <c r="R4571" i="1"/>
  <c r="R4570" i="1"/>
  <c r="R4569" i="1"/>
  <c r="R4568" i="1"/>
  <c r="R4567" i="1"/>
  <c r="R4566" i="1"/>
  <c r="R4565" i="1"/>
  <c r="R4564" i="1"/>
  <c r="R4563" i="1"/>
  <c r="R4562" i="1"/>
  <c r="R4561" i="1"/>
  <c r="R4560" i="1"/>
  <c r="R4559" i="1"/>
  <c r="R4558" i="1"/>
  <c r="R4557" i="1"/>
  <c r="R4556" i="1"/>
  <c r="R4555" i="1"/>
  <c r="R4554" i="1"/>
  <c r="R4553" i="1"/>
  <c r="R4552" i="1"/>
  <c r="R4551" i="1"/>
  <c r="R4550" i="1"/>
  <c r="R4549" i="1"/>
  <c r="R4548" i="1"/>
  <c r="R4547" i="1"/>
  <c r="R4546" i="1"/>
  <c r="R4545" i="1"/>
  <c r="R4544" i="1"/>
  <c r="R4543" i="1"/>
  <c r="R4542" i="1"/>
  <c r="R4541" i="1"/>
  <c r="R4540" i="1"/>
  <c r="R4539" i="1"/>
  <c r="R4538" i="1"/>
  <c r="R4537" i="1"/>
  <c r="R4536" i="1"/>
  <c r="R4535" i="1"/>
  <c r="R4534" i="1"/>
  <c r="R4533" i="1"/>
  <c r="R4532" i="1"/>
  <c r="R4531" i="1"/>
  <c r="R4526" i="1"/>
  <c r="R4530" i="1"/>
  <c r="R4529" i="1"/>
  <c r="R4528" i="1"/>
  <c r="R4527" i="1"/>
  <c r="R4525" i="1"/>
  <c r="R4524" i="1"/>
  <c r="R4523" i="1"/>
  <c r="R4522" i="1"/>
  <c r="R4521" i="1"/>
  <c r="R4520" i="1"/>
  <c r="R4519" i="1"/>
  <c r="R4518" i="1"/>
  <c r="R4517" i="1"/>
  <c r="R4516" i="1"/>
  <c r="R4515" i="1"/>
  <c r="R4514" i="1"/>
  <c r="R4513" i="1"/>
  <c r="R4512" i="1"/>
  <c r="R4511" i="1"/>
  <c r="R4510" i="1"/>
  <c r="R4509" i="1"/>
  <c r="R4508" i="1"/>
  <c r="R4507" i="1"/>
  <c r="R4506" i="1"/>
  <c r="R4505" i="1"/>
  <c r="R4504" i="1"/>
  <c r="R4503" i="1"/>
  <c r="R4502" i="1"/>
  <c r="R4501" i="1"/>
  <c r="R4500" i="1"/>
  <c r="R4499" i="1"/>
  <c r="R4498" i="1"/>
  <c r="R4497" i="1"/>
  <c r="R4496" i="1"/>
  <c r="R4495" i="1"/>
  <c r="R4494" i="1"/>
  <c r="R4493" i="1"/>
  <c r="R4492" i="1"/>
  <c r="R4491" i="1"/>
  <c r="R4490" i="1"/>
  <c r="R4489" i="1"/>
  <c r="R4488" i="1"/>
  <c r="R4487" i="1"/>
  <c r="R4486" i="1"/>
  <c r="R4485" i="1"/>
  <c r="R4484" i="1"/>
  <c r="R4483" i="1"/>
  <c r="R4482" i="1"/>
  <c r="R4481" i="1"/>
  <c r="R4480" i="1"/>
  <c r="R4479" i="1"/>
  <c r="R4478" i="1"/>
  <c r="R4477" i="1"/>
  <c r="R4476" i="1"/>
  <c r="R4475" i="1"/>
  <c r="R4474" i="1"/>
  <c r="R4473" i="1"/>
  <c r="R4472" i="1"/>
  <c r="R4471" i="1"/>
  <c r="R4470" i="1"/>
  <c r="R4469" i="1"/>
  <c r="R4468" i="1"/>
  <c r="R4467" i="1"/>
  <c r="R4466" i="1"/>
  <c r="R4465" i="1"/>
  <c r="R4464" i="1"/>
  <c r="R4463" i="1"/>
  <c r="R4462" i="1"/>
  <c r="R4461" i="1"/>
  <c r="R4460" i="1"/>
  <c r="R4459" i="1"/>
  <c r="R4458" i="1"/>
  <c r="R4457" i="1"/>
  <c r="R4456" i="1"/>
  <c r="R4455" i="1"/>
  <c r="R4454" i="1"/>
  <c r="R4453" i="1"/>
  <c r="R4452" i="1"/>
  <c r="R4451" i="1"/>
  <c r="R4450" i="1"/>
  <c r="R4449" i="1"/>
  <c r="R4448" i="1"/>
  <c r="R4447" i="1"/>
  <c r="R4446" i="1"/>
  <c r="R4445" i="1"/>
  <c r="R4444" i="1"/>
  <c r="R4443" i="1"/>
  <c r="R4442" i="1"/>
  <c r="R4441" i="1"/>
  <c r="R4440" i="1"/>
  <c r="R4439" i="1"/>
  <c r="R4438" i="1"/>
  <c r="R4437" i="1"/>
  <c r="R4436" i="1"/>
  <c r="R4435" i="1"/>
  <c r="R4434" i="1"/>
  <c r="R4433" i="1"/>
  <c r="R4432" i="1"/>
  <c r="R4431" i="1"/>
  <c r="R4430" i="1"/>
  <c r="R4429" i="1"/>
  <c r="R4428" i="1"/>
  <c r="R4427" i="1"/>
  <c r="R4426" i="1"/>
  <c r="R4425" i="1"/>
  <c r="R4424" i="1"/>
  <c r="R4423" i="1"/>
  <c r="R4422" i="1"/>
  <c r="R4421" i="1"/>
  <c r="R4420" i="1"/>
  <c r="R4419" i="1"/>
  <c r="R4418" i="1"/>
  <c r="R4417" i="1"/>
  <c r="R4416" i="1"/>
  <c r="R4415" i="1"/>
  <c r="R4414" i="1"/>
  <c r="R4413" i="1"/>
  <c r="R4412" i="1"/>
  <c r="R4411" i="1"/>
  <c r="R4410" i="1"/>
  <c r="R4409" i="1"/>
  <c r="R4408" i="1"/>
  <c r="R4407" i="1"/>
  <c r="R4406" i="1"/>
  <c r="R4405" i="1"/>
  <c r="R4404" i="1"/>
  <c r="R4403" i="1"/>
  <c r="R4402" i="1"/>
  <c r="R4401" i="1"/>
  <c r="R4400" i="1"/>
  <c r="R4399" i="1"/>
  <c r="R4398" i="1"/>
  <c r="R4397" i="1"/>
  <c r="R4396" i="1"/>
  <c r="R4395" i="1"/>
  <c r="R4394" i="1"/>
  <c r="R4393" i="1"/>
  <c r="R4392" i="1"/>
  <c r="R4391" i="1"/>
  <c r="R4390" i="1"/>
  <c r="R4389" i="1"/>
  <c r="R4388" i="1"/>
  <c r="R4387" i="1"/>
  <c r="R4386" i="1"/>
  <c r="R4385" i="1"/>
  <c r="R4384" i="1"/>
  <c r="R4383" i="1"/>
  <c r="R4382" i="1"/>
  <c r="R4381" i="1"/>
  <c r="R4380" i="1"/>
  <c r="R4379" i="1"/>
  <c r="R4378" i="1"/>
  <c r="R4377" i="1"/>
  <c r="R4376" i="1"/>
  <c r="R4375" i="1"/>
  <c r="R4374" i="1"/>
  <c r="R4373" i="1"/>
  <c r="R4372" i="1"/>
  <c r="R4371" i="1"/>
  <c r="R4370" i="1"/>
  <c r="R4369" i="1"/>
  <c r="R4368" i="1"/>
  <c r="R4367" i="1"/>
  <c r="R4366" i="1"/>
  <c r="R4365" i="1"/>
  <c r="R4364" i="1"/>
  <c r="R4363" i="1"/>
  <c r="R4362" i="1"/>
  <c r="R4361" i="1"/>
  <c r="R4360" i="1"/>
  <c r="R4359" i="1"/>
  <c r="R4358" i="1"/>
  <c r="R4357" i="1"/>
  <c r="R4356" i="1"/>
  <c r="R4355" i="1"/>
  <c r="R4354" i="1"/>
  <c r="R4353" i="1"/>
  <c r="R4352" i="1"/>
  <c r="R4351" i="1"/>
  <c r="R4350" i="1"/>
  <c r="R4349" i="1"/>
  <c r="R4348" i="1"/>
  <c r="R4347" i="1"/>
  <c r="R4346" i="1"/>
  <c r="R4345" i="1"/>
  <c r="R4344" i="1"/>
  <c r="R4343" i="1"/>
  <c r="R4342" i="1"/>
  <c r="R4341" i="1"/>
  <c r="R4340" i="1"/>
  <c r="R4339" i="1"/>
  <c r="R4338" i="1"/>
  <c r="R4337" i="1"/>
  <c r="R4336" i="1"/>
  <c r="R4335" i="1"/>
  <c r="R4334" i="1"/>
  <c r="R4333" i="1"/>
  <c r="R4332" i="1"/>
  <c r="R4331" i="1"/>
  <c r="R4330" i="1"/>
  <c r="R4329" i="1"/>
  <c r="R4328" i="1"/>
  <c r="R4327" i="1"/>
  <c r="R4326" i="1"/>
  <c r="R4325" i="1"/>
  <c r="R4324" i="1"/>
  <c r="R4323" i="1"/>
  <c r="R4322" i="1"/>
  <c r="R4321" i="1"/>
  <c r="R4320" i="1"/>
  <c r="R4319" i="1"/>
  <c r="R4318" i="1"/>
  <c r="R4317" i="1"/>
  <c r="R4316" i="1"/>
  <c r="R4315" i="1"/>
  <c r="R4314" i="1"/>
  <c r="R4313" i="1"/>
  <c r="R4312" i="1"/>
  <c r="R4311" i="1"/>
  <c r="R4310" i="1"/>
  <c r="R4309" i="1"/>
  <c r="R4308" i="1"/>
  <c r="R4307" i="1"/>
  <c r="R4306" i="1"/>
  <c r="R4305" i="1"/>
  <c r="R4304" i="1"/>
  <c r="R4303" i="1"/>
  <c r="R4302" i="1"/>
  <c r="R4301" i="1"/>
  <c r="R4300" i="1"/>
  <c r="R4299" i="1"/>
  <c r="R4298" i="1"/>
  <c r="R4297" i="1"/>
  <c r="R4296" i="1"/>
  <c r="R4295" i="1"/>
  <c r="R4294" i="1"/>
  <c r="R4293" i="1"/>
  <c r="R4292" i="1"/>
  <c r="R4291" i="1"/>
  <c r="R4290" i="1"/>
  <c r="R4289" i="1"/>
  <c r="R4288" i="1"/>
  <c r="R4287" i="1"/>
  <c r="R4286" i="1"/>
  <c r="R4285" i="1"/>
  <c r="R4284" i="1"/>
  <c r="R4283" i="1"/>
  <c r="R4282" i="1"/>
  <c r="R4281" i="1"/>
  <c r="R4280" i="1"/>
  <c r="R4279" i="1"/>
  <c r="R4278" i="1"/>
  <c r="R4277" i="1"/>
  <c r="R4276" i="1"/>
  <c r="R4275" i="1"/>
  <c r="R4274" i="1"/>
  <c r="R4273" i="1"/>
  <c r="R4272" i="1"/>
  <c r="R4271" i="1"/>
  <c r="R4270" i="1"/>
  <c r="R4269" i="1"/>
  <c r="R4268" i="1"/>
  <c r="R4267" i="1"/>
  <c r="R4266" i="1"/>
  <c r="R4265" i="1"/>
  <c r="R4264" i="1"/>
  <c r="R4263" i="1"/>
  <c r="R4262" i="1"/>
  <c r="R4261" i="1"/>
  <c r="R4260" i="1"/>
  <c r="R4259" i="1"/>
  <c r="R4258" i="1"/>
  <c r="R4257" i="1"/>
  <c r="R4256" i="1"/>
  <c r="R4255" i="1"/>
  <c r="R4254" i="1"/>
  <c r="R4253" i="1"/>
  <c r="R4252" i="1"/>
  <c r="R4251" i="1"/>
  <c r="R4250" i="1"/>
  <c r="R4249" i="1"/>
  <c r="R4248" i="1"/>
  <c r="R4247" i="1"/>
  <c r="R4246" i="1"/>
  <c r="R4245" i="1"/>
  <c r="R4244" i="1"/>
  <c r="R4243" i="1"/>
  <c r="R4242" i="1"/>
  <c r="R4241" i="1"/>
  <c r="R4240" i="1"/>
  <c r="R4239" i="1"/>
  <c r="R4238" i="1"/>
  <c r="R4237" i="1"/>
  <c r="R4236" i="1"/>
  <c r="R4235" i="1"/>
  <c r="R4234" i="1"/>
  <c r="R4233" i="1"/>
  <c r="R4232" i="1"/>
  <c r="R4231" i="1"/>
  <c r="R4230" i="1"/>
  <c r="R4229" i="1"/>
  <c r="R4228" i="1"/>
  <c r="R4227" i="1"/>
  <c r="R4226" i="1"/>
  <c r="R4225" i="1"/>
  <c r="R4224" i="1"/>
  <c r="R4223" i="1"/>
  <c r="R4222" i="1"/>
  <c r="R4221" i="1"/>
  <c r="R4220" i="1"/>
  <c r="R4219" i="1"/>
  <c r="R4218" i="1"/>
  <c r="R4217" i="1"/>
  <c r="R4216" i="1"/>
  <c r="R4215" i="1"/>
  <c r="R4214" i="1"/>
  <c r="R4213" i="1"/>
  <c r="R4212" i="1"/>
  <c r="R4211" i="1"/>
  <c r="R4210" i="1"/>
  <c r="R4209" i="1"/>
  <c r="R4208" i="1"/>
  <c r="R4207" i="1"/>
  <c r="R4206" i="1"/>
  <c r="R4205" i="1"/>
  <c r="R4204" i="1"/>
  <c r="R4203" i="1"/>
  <c r="R4202" i="1"/>
  <c r="R4201" i="1"/>
  <c r="R4200" i="1"/>
  <c r="R4199" i="1"/>
  <c r="R4198" i="1"/>
  <c r="R4197" i="1"/>
  <c r="R4196" i="1"/>
  <c r="R4195" i="1"/>
  <c r="R4194" i="1"/>
  <c r="R4193" i="1"/>
  <c r="R4192" i="1"/>
  <c r="R4191" i="1"/>
  <c r="R4190" i="1"/>
  <c r="R4189" i="1"/>
  <c r="R4188" i="1"/>
  <c r="R4187" i="1"/>
  <c r="R4186" i="1"/>
  <c r="R4185" i="1"/>
  <c r="R4184" i="1"/>
  <c r="R4183" i="1"/>
  <c r="R4182" i="1"/>
  <c r="R4181" i="1"/>
  <c r="R4180" i="1"/>
  <c r="R4179" i="1"/>
  <c r="R4178" i="1"/>
  <c r="R4177" i="1"/>
  <c r="R4176" i="1"/>
  <c r="R4175" i="1"/>
  <c r="R4174" i="1"/>
  <c r="R4173" i="1"/>
  <c r="R4172" i="1"/>
  <c r="R4171" i="1"/>
  <c r="R4170" i="1"/>
  <c r="R4169" i="1"/>
  <c r="R4168" i="1"/>
  <c r="R4167" i="1"/>
  <c r="R4166" i="1"/>
  <c r="R4165" i="1"/>
  <c r="R4164" i="1"/>
  <c r="R4163" i="1"/>
  <c r="R4162" i="1"/>
  <c r="R4161" i="1"/>
  <c r="R4160" i="1"/>
  <c r="R4159" i="1"/>
  <c r="R4158" i="1"/>
  <c r="R4157" i="1"/>
  <c r="R4156" i="1"/>
  <c r="R4155" i="1"/>
  <c r="R4154" i="1"/>
  <c r="R4153" i="1"/>
  <c r="R4152" i="1"/>
  <c r="R4151" i="1"/>
  <c r="R4150" i="1"/>
  <c r="R4149" i="1"/>
  <c r="R4148" i="1"/>
  <c r="R4147" i="1"/>
  <c r="R4146" i="1"/>
  <c r="R4145" i="1"/>
  <c r="R4144" i="1"/>
  <c r="R4143" i="1"/>
  <c r="R4142" i="1"/>
  <c r="R4141" i="1"/>
  <c r="R4140" i="1"/>
  <c r="R4139" i="1"/>
  <c r="R4138" i="1"/>
  <c r="R4137" i="1"/>
  <c r="R4136" i="1"/>
  <c r="R4135" i="1"/>
  <c r="R4134" i="1"/>
  <c r="R4133" i="1"/>
  <c r="R4132" i="1"/>
  <c r="R4131" i="1"/>
  <c r="R4130" i="1"/>
  <c r="R4129" i="1"/>
  <c r="R4128" i="1"/>
  <c r="R4127" i="1"/>
  <c r="R4126" i="1"/>
  <c r="R4125" i="1"/>
  <c r="R4124" i="1"/>
  <c r="R4123" i="1"/>
  <c r="R4122" i="1"/>
  <c r="R4121" i="1"/>
  <c r="R4120" i="1"/>
  <c r="R4119" i="1"/>
  <c r="R4118" i="1"/>
  <c r="R4117" i="1"/>
  <c r="R4116" i="1"/>
  <c r="R4115" i="1"/>
  <c r="R4114" i="1"/>
  <c r="R4113" i="1"/>
  <c r="R4112" i="1"/>
  <c r="R4111" i="1"/>
  <c r="R4110" i="1"/>
  <c r="R4109" i="1"/>
  <c r="R4108" i="1"/>
  <c r="R4107" i="1"/>
  <c r="R4106" i="1"/>
  <c r="R4105" i="1"/>
  <c r="R4104" i="1"/>
  <c r="R4103" i="1"/>
  <c r="R4102" i="1"/>
  <c r="R4101" i="1"/>
  <c r="R4100" i="1"/>
  <c r="R4099" i="1"/>
  <c r="R4098" i="1"/>
  <c r="R4097" i="1"/>
  <c r="R4095" i="1"/>
  <c r="R4094" i="1"/>
  <c r="R4096" i="1"/>
  <c r="R4093" i="1"/>
  <c r="R4092" i="1"/>
  <c r="R4091" i="1"/>
  <c r="R4090" i="1"/>
  <c r="R4089" i="1"/>
  <c r="R4088" i="1"/>
  <c r="R4087" i="1"/>
  <c r="R4086" i="1"/>
  <c r="R4085" i="1"/>
  <c r="R4084" i="1"/>
  <c r="R4083" i="1"/>
  <c r="R4082" i="1"/>
  <c r="R4081" i="1"/>
  <c r="R4080" i="1"/>
  <c r="R4079" i="1"/>
  <c r="R4078" i="1"/>
  <c r="R4077" i="1"/>
  <c r="R4076" i="1"/>
  <c r="R4075" i="1"/>
  <c r="R4074" i="1"/>
  <c r="R4073" i="1"/>
  <c r="R4072" i="1"/>
  <c r="R4071" i="1"/>
  <c r="R4070" i="1"/>
  <c r="R4069" i="1"/>
  <c r="R4068" i="1"/>
  <c r="R4067" i="1"/>
  <c r="R4066" i="1"/>
  <c r="R4065" i="1"/>
  <c r="R4064" i="1"/>
  <c r="R4063" i="1"/>
  <c r="R4062" i="1"/>
  <c r="R4061" i="1"/>
  <c r="R4060" i="1"/>
  <c r="R4059" i="1"/>
  <c r="R4058" i="1"/>
  <c r="R4057" i="1"/>
  <c r="R4056" i="1"/>
  <c r="R4055" i="1"/>
  <c r="R4054" i="1"/>
  <c r="R4053" i="1"/>
  <c r="R4052" i="1"/>
  <c r="R4051" i="1"/>
  <c r="R4050" i="1"/>
  <c r="R4049" i="1"/>
  <c r="R4048" i="1"/>
  <c r="R4047" i="1"/>
  <c r="R4046" i="1"/>
  <c r="R4045" i="1"/>
  <c r="R4044" i="1"/>
  <c r="R4043" i="1"/>
  <c r="R4042" i="1"/>
  <c r="R4041" i="1"/>
  <c r="R4040" i="1"/>
  <c r="R4039" i="1"/>
  <c r="R4038" i="1"/>
  <c r="R4037" i="1"/>
  <c r="R4036" i="1"/>
  <c r="R4035" i="1"/>
  <c r="R4034" i="1"/>
  <c r="R4033" i="1"/>
  <c r="R4032" i="1"/>
  <c r="R4031" i="1"/>
  <c r="R4030" i="1"/>
  <c r="R4029" i="1"/>
  <c r="R4028" i="1"/>
  <c r="R4027" i="1"/>
  <c r="R4026" i="1"/>
  <c r="R4025" i="1"/>
  <c r="R4024" i="1"/>
  <c r="R4023" i="1"/>
  <c r="R4022" i="1"/>
  <c r="R4021" i="1"/>
  <c r="R4020" i="1"/>
  <c r="R4019" i="1"/>
  <c r="R4018" i="1"/>
  <c r="R4017" i="1"/>
  <c r="R4016" i="1"/>
  <c r="R4015" i="1"/>
  <c r="R4014" i="1"/>
  <c r="R4013" i="1"/>
  <c r="R4012" i="1"/>
  <c r="R4011" i="1"/>
  <c r="R4010" i="1"/>
  <c r="R4009" i="1"/>
  <c r="R4008" i="1"/>
  <c r="R4007" i="1"/>
  <c r="R4006" i="1"/>
  <c r="R4005" i="1"/>
  <c r="R4004" i="1"/>
  <c r="R4003" i="1"/>
  <c r="R4002" i="1"/>
  <c r="R4001" i="1"/>
  <c r="R4000" i="1"/>
  <c r="R3999" i="1"/>
  <c r="R3998" i="1"/>
  <c r="R3997" i="1"/>
  <c r="R3996" i="1"/>
  <c r="R3995" i="1"/>
  <c r="R3994" i="1"/>
  <c r="R3993" i="1"/>
  <c r="R3992" i="1"/>
  <c r="R3991" i="1"/>
  <c r="R3990" i="1"/>
  <c r="R3989" i="1"/>
  <c r="R3988" i="1"/>
  <c r="R3987" i="1"/>
  <c r="R3986" i="1"/>
  <c r="R3985" i="1"/>
  <c r="R3984" i="1"/>
  <c r="R3983" i="1"/>
  <c r="R3982" i="1"/>
  <c r="R3981" i="1"/>
  <c r="R3980" i="1"/>
  <c r="R3979" i="1"/>
  <c r="R3978" i="1"/>
  <c r="R3977" i="1"/>
  <c r="R3976" i="1"/>
  <c r="R3975" i="1"/>
  <c r="R3974" i="1"/>
  <c r="R3973" i="1"/>
  <c r="R3972" i="1"/>
  <c r="R3971" i="1"/>
  <c r="R3970" i="1"/>
  <c r="R3969" i="1"/>
  <c r="R3968" i="1"/>
  <c r="R3967" i="1"/>
  <c r="R3966" i="1"/>
  <c r="R3965" i="1"/>
  <c r="R3964" i="1"/>
  <c r="R3963" i="1"/>
  <c r="R3962" i="1"/>
  <c r="R3961" i="1"/>
  <c r="R3960" i="1"/>
  <c r="R3959" i="1"/>
  <c r="R3958" i="1"/>
  <c r="R3957" i="1"/>
  <c r="R3956" i="1"/>
  <c r="R3955" i="1"/>
  <c r="R3954" i="1"/>
  <c r="R3953" i="1"/>
  <c r="R3952" i="1"/>
  <c r="R3951" i="1"/>
  <c r="R3950" i="1"/>
  <c r="R3949" i="1"/>
  <c r="R3948" i="1"/>
  <c r="R3947" i="1"/>
  <c r="R3946" i="1"/>
  <c r="R3945" i="1"/>
  <c r="R3944" i="1"/>
  <c r="R3943" i="1"/>
  <c r="R3942" i="1"/>
  <c r="R3941" i="1"/>
  <c r="R3940" i="1"/>
  <c r="R3939" i="1"/>
  <c r="R3938" i="1"/>
  <c r="R3937" i="1"/>
  <c r="R3936" i="1"/>
  <c r="R3935" i="1"/>
  <c r="R3934" i="1"/>
  <c r="R3933" i="1"/>
  <c r="R3932" i="1"/>
  <c r="R3931" i="1"/>
  <c r="R3930" i="1"/>
  <c r="R3929" i="1"/>
  <c r="R3928" i="1"/>
  <c r="R3927" i="1"/>
  <c r="R3926" i="1"/>
  <c r="R3925" i="1"/>
  <c r="R3924" i="1"/>
  <c r="R3923" i="1"/>
  <c r="R3922" i="1"/>
  <c r="R3921" i="1"/>
  <c r="R3920" i="1"/>
  <c r="R3919" i="1"/>
  <c r="R3918" i="1"/>
  <c r="R3917" i="1"/>
  <c r="R3916" i="1"/>
  <c r="R3915" i="1"/>
  <c r="R3914" i="1"/>
  <c r="R3913" i="1"/>
  <c r="R3912" i="1"/>
  <c r="R3911" i="1"/>
  <c r="R3910" i="1"/>
  <c r="R3906" i="1"/>
  <c r="R3909" i="1"/>
  <c r="R3908" i="1"/>
  <c r="R3904" i="1"/>
  <c r="R3899" i="1"/>
  <c r="R3907" i="1"/>
  <c r="R3905" i="1"/>
  <c r="R3903" i="1"/>
  <c r="R3902" i="1"/>
  <c r="R3901" i="1"/>
  <c r="R3900" i="1"/>
  <c r="R3898" i="1"/>
  <c r="R3897" i="1"/>
  <c r="R3896" i="1"/>
  <c r="R3895" i="1"/>
  <c r="R3894" i="1"/>
  <c r="R3893" i="1"/>
  <c r="R3892" i="1"/>
  <c r="R3891" i="1"/>
  <c r="R3890" i="1"/>
  <c r="R3889" i="1"/>
  <c r="R3888" i="1"/>
  <c r="R3887" i="1"/>
  <c r="R3886" i="1"/>
  <c r="R3885" i="1"/>
  <c r="R3884" i="1"/>
  <c r="R3883" i="1"/>
  <c r="R3882" i="1"/>
  <c r="R3881" i="1"/>
  <c r="R3880" i="1"/>
  <c r="R3879" i="1"/>
  <c r="R3878" i="1"/>
  <c r="R3877" i="1"/>
  <c r="R3876" i="1"/>
  <c r="R3875" i="1"/>
  <c r="R3874" i="1"/>
  <c r="R3873" i="1"/>
  <c r="R3872" i="1"/>
  <c r="R3871" i="1"/>
  <c r="R3870" i="1"/>
  <c r="R3869" i="1"/>
  <c r="R3868" i="1"/>
  <c r="R3867" i="1"/>
  <c r="R3866" i="1"/>
  <c r="R3865" i="1"/>
  <c r="R3864" i="1"/>
  <c r="R3863" i="1"/>
  <c r="R3862" i="1"/>
  <c r="R3861" i="1"/>
  <c r="R3860" i="1"/>
  <c r="R3859" i="1"/>
  <c r="R3858" i="1"/>
  <c r="R3857" i="1"/>
  <c r="R3856" i="1"/>
  <c r="R3855" i="1"/>
  <c r="R3854" i="1"/>
  <c r="R3853" i="1"/>
  <c r="R3852" i="1"/>
  <c r="R3842" i="1"/>
  <c r="R3851" i="1"/>
  <c r="R3850" i="1"/>
  <c r="R3849" i="1"/>
  <c r="R3848" i="1"/>
  <c r="R3847" i="1"/>
  <c r="R3846" i="1"/>
  <c r="R3845" i="1"/>
  <c r="R3844" i="1"/>
  <c r="R3843" i="1"/>
  <c r="R3841" i="1"/>
  <c r="R3840" i="1"/>
  <c r="R3839" i="1"/>
  <c r="R3838" i="1"/>
  <c r="R3837" i="1"/>
  <c r="R3836" i="1"/>
  <c r="R3835" i="1"/>
  <c r="R3834" i="1"/>
  <c r="R3833" i="1"/>
  <c r="R3832" i="1"/>
  <c r="R3831" i="1"/>
  <c r="R3830" i="1"/>
  <c r="R3829" i="1"/>
  <c r="R3828" i="1"/>
  <c r="R3822" i="1"/>
  <c r="R3827" i="1"/>
  <c r="R3826" i="1"/>
  <c r="R3825" i="1"/>
  <c r="R3824" i="1"/>
  <c r="R3823" i="1"/>
  <c r="R3821" i="1"/>
  <c r="R3820" i="1"/>
  <c r="R3819" i="1"/>
  <c r="R3818" i="1"/>
  <c r="R3817" i="1"/>
  <c r="R3816" i="1"/>
  <c r="R3815" i="1"/>
  <c r="R3814" i="1"/>
  <c r="R3813" i="1"/>
  <c r="R3812" i="1"/>
  <c r="R3811" i="1"/>
  <c r="R3810" i="1"/>
  <c r="R3809" i="1"/>
  <c r="R3808" i="1"/>
  <c r="R3807" i="1"/>
  <c r="R3806" i="1"/>
  <c r="R3805" i="1"/>
  <c r="R3804" i="1"/>
  <c r="R3803" i="1"/>
  <c r="R3802" i="1"/>
  <c r="R3801" i="1"/>
  <c r="R3800" i="1"/>
  <c r="R3799" i="1"/>
  <c r="R3798" i="1"/>
  <c r="R3797" i="1"/>
  <c r="R3796" i="1"/>
  <c r="R3795" i="1"/>
  <c r="R3794" i="1"/>
  <c r="R3793" i="1"/>
  <c r="R3792" i="1"/>
  <c r="R3791" i="1"/>
  <c r="R3790" i="1"/>
  <c r="R3789" i="1"/>
  <c r="R3788" i="1"/>
  <c r="R3787" i="1"/>
  <c r="R3786" i="1"/>
  <c r="R3785" i="1"/>
  <c r="R3784" i="1"/>
  <c r="R3783" i="1"/>
  <c r="R3782" i="1"/>
  <c r="R3781" i="1"/>
  <c r="R3780" i="1"/>
  <c r="R3779" i="1"/>
  <c r="R3778" i="1"/>
  <c r="R3777" i="1"/>
  <c r="R3776" i="1"/>
  <c r="R3775" i="1"/>
  <c r="R3774" i="1"/>
  <c r="R3773" i="1"/>
  <c r="R3772" i="1"/>
  <c r="R3771" i="1"/>
  <c r="R3770" i="1"/>
  <c r="R3769" i="1"/>
  <c r="R3768" i="1"/>
  <c r="R3767" i="1"/>
  <c r="R3766" i="1"/>
  <c r="R3765" i="1"/>
  <c r="R3764" i="1"/>
  <c r="R3763" i="1"/>
  <c r="R3762" i="1"/>
  <c r="R3761" i="1"/>
  <c r="R3760" i="1"/>
  <c r="R3759" i="1"/>
  <c r="R3758" i="1"/>
  <c r="R3757" i="1"/>
  <c r="R3756" i="1"/>
  <c r="R3755" i="1"/>
  <c r="R3754" i="1"/>
  <c r="R3753" i="1"/>
  <c r="R3752" i="1"/>
  <c r="R3751" i="1"/>
  <c r="R3750" i="1"/>
  <c r="R3749" i="1"/>
  <c r="R3746" i="1"/>
  <c r="R3748" i="1"/>
  <c r="R3744" i="1"/>
  <c r="R3747" i="1"/>
  <c r="R3745" i="1"/>
  <c r="R3743" i="1"/>
  <c r="R3742" i="1"/>
  <c r="R3741" i="1"/>
  <c r="R3740" i="1"/>
  <c r="R3739" i="1"/>
  <c r="R3738" i="1"/>
  <c r="R3737" i="1"/>
  <c r="R3736" i="1"/>
  <c r="R3735" i="1"/>
  <c r="R3733" i="1"/>
  <c r="R3734" i="1"/>
  <c r="R3732" i="1"/>
  <c r="R3731" i="1"/>
  <c r="R3730" i="1"/>
  <c r="R3729" i="1"/>
  <c r="R3728" i="1"/>
  <c r="R3727" i="1"/>
  <c r="R3726" i="1"/>
  <c r="R3725" i="1"/>
  <c r="R3724" i="1"/>
  <c r="R3720" i="1"/>
  <c r="R3723" i="1"/>
  <c r="R3722" i="1"/>
  <c r="R3721" i="1"/>
  <c r="R3719" i="1"/>
  <c r="R3718" i="1"/>
  <c r="R3717" i="1"/>
  <c r="R3716" i="1"/>
  <c r="R3715" i="1"/>
  <c r="R3714" i="1"/>
  <c r="R3713" i="1"/>
  <c r="R3712" i="1"/>
  <c r="R3710" i="1"/>
  <c r="R3711" i="1"/>
  <c r="R3709" i="1"/>
  <c r="R3707" i="1"/>
  <c r="R3708" i="1"/>
  <c r="R3706" i="1"/>
  <c r="R3705" i="1"/>
  <c r="R3704" i="1"/>
  <c r="R3703" i="1"/>
  <c r="R3702" i="1"/>
  <c r="R3701" i="1"/>
  <c r="R3700" i="1"/>
  <c r="R3699" i="1"/>
  <c r="R3698" i="1"/>
  <c r="R3697" i="1"/>
  <c r="R3696" i="1"/>
  <c r="R3695" i="1"/>
  <c r="R3694" i="1"/>
  <c r="R3693" i="1"/>
  <c r="R3692" i="1"/>
  <c r="R3691" i="1"/>
  <c r="R3690" i="1"/>
  <c r="R3689" i="1"/>
  <c r="R3688" i="1"/>
  <c r="R3687" i="1"/>
  <c r="R3686" i="1"/>
  <c r="R3685" i="1"/>
  <c r="R3684" i="1"/>
  <c r="R3683" i="1"/>
  <c r="R3682" i="1"/>
  <c r="R3681" i="1"/>
  <c r="R3680" i="1"/>
  <c r="R3679" i="1"/>
  <c r="R3678" i="1"/>
  <c r="R3677" i="1"/>
  <c r="R3673" i="1"/>
  <c r="R3676" i="1"/>
  <c r="R3675" i="1"/>
  <c r="R3674" i="1"/>
  <c r="R3672" i="1"/>
  <c r="R3671" i="1"/>
  <c r="R3670" i="1"/>
  <c r="R3669" i="1"/>
  <c r="R3668" i="1"/>
  <c r="R3667" i="1"/>
  <c r="R3389" i="1"/>
  <c r="R3666" i="1"/>
  <c r="R3653" i="1"/>
  <c r="R3652" i="1"/>
  <c r="R3665" i="1"/>
  <c r="R3664" i="1"/>
  <c r="R3663" i="1"/>
  <c r="R3662" i="1"/>
  <c r="R3661" i="1"/>
  <c r="R3660" i="1"/>
  <c r="R3659" i="1"/>
  <c r="R3658" i="1"/>
  <c r="R3657" i="1"/>
  <c r="R3656" i="1"/>
  <c r="R3655" i="1"/>
  <c r="R3654" i="1"/>
  <c r="R3651" i="1"/>
  <c r="R3622" i="1"/>
  <c r="R3648" i="1"/>
  <c r="R3639" i="1"/>
  <c r="R3638" i="1"/>
  <c r="R3649" i="1"/>
  <c r="R3650" i="1"/>
  <c r="R3647" i="1"/>
  <c r="R3646" i="1"/>
  <c r="R3645" i="1"/>
  <c r="R3644" i="1"/>
  <c r="R3643" i="1"/>
  <c r="R3642" i="1"/>
  <c r="R3641" i="1"/>
  <c r="R3640" i="1"/>
  <c r="R3637" i="1"/>
  <c r="R3634" i="1"/>
  <c r="R3627" i="1"/>
  <c r="R3633" i="1"/>
  <c r="R3623" i="1"/>
  <c r="R3636" i="1"/>
  <c r="R3635" i="1"/>
  <c r="R3628" i="1"/>
  <c r="R3632" i="1"/>
  <c r="R3626" i="1"/>
  <c r="R3621" i="1"/>
  <c r="R3618" i="1"/>
  <c r="R3625" i="1"/>
  <c r="R3631" i="1"/>
  <c r="R3630" i="1"/>
  <c r="R3629" i="1"/>
  <c r="R3624" i="1"/>
  <c r="R3620" i="1"/>
  <c r="R3619" i="1"/>
  <c r="R3617" i="1"/>
  <c r="R3616" i="1"/>
  <c r="R3615" i="1"/>
  <c r="R3614" i="1"/>
  <c r="R3613" i="1"/>
  <c r="R3612" i="1"/>
  <c r="R3611" i="1"/>
  <c r="R3610" i="1"/>
  <c r="R3609" i="1"/>
  <c r="R3608" i="1"/>
  <c r="R3607" i="1"/>
  <c r="R3606" i="1"/>
  <c r="R3605" i="1"/>
  <c r="R3604" i="1"/>
  <c r="R3603" i="1"/>
  <c r="R3602" i="1"/>
  <c r="R3601" i="1"/>
  <c r="R3600" i="1"/>
  <c r="R3599" i="1"/>
  <c r="R3598" i="1"/>
  <c r="R3597" i="1"/>
  <c r="R3596" i="1"/>
  <c r="R3595" i="1"/>
  <c r="R3594" i="1"/>
  <c r="R3593" i="1"/>
  <c r="R3592" i="1"/>
  <c r="R3591" i="1"/>
  <c r="R3590" i="1"/>
  <c r="R3589" i="1"/>
  <c r="R3588" i="1"/>
  <c r="R3587" i="1"/>
  <c r="R3586" i="1"/>
  <c r="R3585" i="1"/>
  <c r="R3584" i="1"/>
  <c r="R3583" i="1"/>
  <c r="R3582" i="1"/>
  <c r="R3581" i="1"/>
  <c r="R3580" i="1"/>
  <c r="R3579" i="1"/>
  <c r="R3578" i="1"/>
  <c r="R3577" i="1"/>
  <c r="R3576" i="1"/>
  <c r="R3575" i="1"/>
  <c r="R3574" i="1"/>
  <c r="R3573" i="1"/>
  <c r="R3572" i="1"/>
  <c r="R3571" i="1"/>
  <c r="R3570" i="1"/>
  <c r="R3569" i="1"/>
  <c r="R3568" i="1"/>
  <c r="R3567" i="1"/>
  <c r="R3566" i="1"/>
  <c r="R3565" i="1"/>
  <c r="R3564" i="1"/>
  <c r="R3563" i="1"/>
  <c r="R3562" i="1"/>
  <c r="R3561" i="1"/>
  <c r="R3560" i="1"/>
  <c r="R3559" i="1"/>
  <c r="R3558" i="1"/>
  <c r="R3557" i="1"/>
  <c r="R3556" i="1"/>
  <c r="R3555" i="1"/>
  <c r="R3553" i="1"/>
  <c r="R3554" i="1"/>
  <c r="R3552" i="1"/>
  <c r="R3551" i="1"/>
  <c r="R3550" i="1"/>
  <c r="R3549" i="1"/>
  <c r="R3548" i="1"/>
  <c r="R3547" i="1"/>
  <c r="R3546" i="1"/>
  <c r="R3545" i="1"/>
  <c r="R3544" i="1"/>
  <c r="R3543" i="1"/>
  <c r="R3542" i="1"/>
  <c r="R3541" i="1"/>
  <c r="R3540" i="1"/>
  <c r="R3539" i="1"/>
  <c r="R3538" i="1"/>
  <c r="R3537" i="1"/>
  <c r="R3536" i="1"/>
  <c r="R3535" i="1"/>
  <c r="R3534" i="1"/>
  <c r="R3533" i="1"/>
  <c r="R3532" i="1"/>
  <c r="R3531" i="1"/>
  <c r="R3530" i="1"/>
  <c r="R3529" i="1"/>
  <c r="R3528" i="1"/>
  <c r="R3527" i="1"/>
  <c r="R3526" i="1"/>
  <c r="R3514" i="1"/>
  <c r="R3525" i="1"/>
  <c r="R3524" i="1"/>
  <c r="R3523" i="1"/>
  <c r="R3522" i="1"/>
  <c r="R3521" i="1"/>
  <c r="R3520" i="1"/>
  <c r="R3519" i="1"/>
  <c r="R3518" i="1"/>
  <c r="R3517" i="1"/>
  <c r="R3516" i="1"/>
  <c r="R3515" i="1"/>
  <c r="R3513" i="1"/>
  <c r="R3512" i="1"/>
  <c r="R3511" i="1"/>
  <c r="R3510" i="1"/>
  <c r="R3509" i="1"/>
  <c r="R3508" i="1"/>
  <c r="R3507" i="1"/>
  <c r="R3506" i="1"/>
  <c r="R3505" i="1"/>
  <c r="R3504" i="1"/>
  <c r="R3497" i="1"/>
  <c r="R3503" i="1"/>
  <c r="R3502" i="1"/>
  <c r="R3501" i="1"/>
  <c r="R3500" i="1"/>
  <c r="R3499" i="1"/>
  <c r="R3498" i="1"/>
  <c r="R3202" i="1"/>
  <c r="R3496" i="1"/>
  <c r="R3495" i="1"/>
  <c r="R3494" i="1"/>
  <c r="R3493" i="1"/>
  <c r="R3492" i="1"/>
  <c r="R3491" i="1"/>
  <c r="R3490" i="1"/>
  <c r="R3489" i="1"/>
  <c r="R3488" i="1"/>
  <c r="R3487" i="1"/>
  <c r="R3486" i="1"/>
  <c r="R3485" i="1"/>
  <c r="R3484" i="1"/>
  <c r="R3483" i="1"/>
  <c r="R3482" i="1"/>
  <c r="R3481" i="1"/>
  <c r="R3480" i="1"/>
  <c r="R3479" i="1"/>
  <c r="R3478" i="1"/>
  <c r="R3477" i="1"/>
  <c r="R3476" i="1"/>
  <c r="R3475" i="1"/>
  <c r="R3474" i="1"/>
  <c r="R3473" i="1"/>
  <c r="R3472" i="1"/>
  <c r="R3471" i="1"/>
  <c r="R3470" i="1"/>
  <c r="R3469" i="1"/>
  <c r="R3468" i="1"/>
  <c r="R3467" i="1"/>
  <c r="R3466" i="1"/>
  <c r="R3465" i="1"/>
  <c r="R3464" i="1"/>
  <c r="R3463" i="1"/>
  <c r="R3462" i="1"/>
  <c r="R3461" i="1"/>
  <c r="R3460" i="1"/>
  <c r="R3459" i="1"/>
  <c r="R3458" i="1"/>
  <c r="R3457" i="1"/>
  <c r="R3456" i="1"/>
  <c r="R3455" i="1"/>
  <c r="R3454" i="1"/>
  <c r="R3453" i="1"/>
  <c r="R3452" i="1"/>
  <c r="R3451" i="1"/>
  <c r="R3450" i="1"/>
  <c r="R3449" i="1"/>
  <c r="R3448" i="1"/>
  <c r="R3447" i="1"/>
  <c r="R3446" i="1"/>
  <c r="R3445" i="1"/>
  <c r="R3444" i="1"/>
  <c r="R3443" i="1"/>
  <c r="R3442" i="1"/>
  <c r="R3441" i="1"/>
  <c r="R3440" i="1"/>
  <c r="R3439" i="1"/>
  <c r="R3438" i="1"/>
  <c r="R3437" i="1"/>
  <c r="R3436" i="1"/>
  <c r="R3435" i="1"/>
  <c r="R3434" i="1"/>
  <c r="R3433" i="1"/>
  <c r="R3432" i="1"/>
  <c r="R3431" i="1"/>
  <c r="R3430" i="1"/>
  <c r="R3429" i="1"/>
  <c r="R3428" i="1"/>
  <c r="R3427" i="1"/>
  <c r="R3426" i="1"/>
  <c r="R3425" i="1"/>
  <c r="R3424" i="1"/>
  <c r="R3423" i="1"/>
  <c r="R3422" i="1"/>
  <c r="R3421" i="1"/>
  <c r="R3420" i="1"/>
  <c r="R3419" i="1"/>
  <c r="R3418" i="1"/>
  <c r="R3417" i="1"/>
  <c r="R3416" i="1"/>
  <c r="R3415" i="1"/>
  <c r="R3414" i="1"/>
  <c r="R3413" i="1"/>
  <c r="R3412" i="1"/>
  <c r="R3411" i="1"/>
  <c r="R3410" i="1"/>
  <c r="R3409" i="1"/>
  <c r="R3408" i="1"/>
  <c r="R3407" i="1"/>
  <c r="R3406" i="1"/>
  <c r="R3405" i="1"/>
  <c r="R3404" i="1"/>
  <c r="R3403" i="1"/>
  <c r="R3402" i="1"/>
  <c r="R3401" i="1"/>
  <c r="R3400" i="1"/>
  <c r="R3398" i="1"/>
  <c r="R3399" i="1"/>
  <c r="R3395" i="1"/>
  <c r="R3397" i="1"/>
  <c r="R3396" i="1"/>
  <c r="R3394" i="1"/>
  <c r="R3393" i="1"/>
  <c r="R3391" i="1"/>
  <c r="R3392" i="1"/>
  <c r="R3390" i="1"/>
  <c r="R3388" i="1"/>
  <c r="R3387" i="1"/>
  <c r="R3386" i="1"/>
  <c r="R3372" i="1"/>
  <c r="R3385" i="1"/>
  <c r="R3384" i="1"/>
  <c r="R3383" i="1"/>
  <c r="R3381" i="1"/>
  <c r="R3382" i="1"/>
  <c r="R3380" i="1"/>
  <c r="R3379" i="1"/>
  <c r="R3354" i="1"/>
  <c r="R3378" i="1"/>
  <c r="R3377" i="1"/>
  <c r="R3376" i="1"/>
  <c r="R3375" i="1"/>
  <c r="R3374" i="1"/>
  <c r="R3373" i="1"/>
  <c r="R3370" i="1"/>
  <c r="R3368" i="1"/>
  <c r="R3367" i="1"/>
  <c r="R3369" i="1"/>
  <c r="R3365" i="1"/>
  <c r="R3366" i="1"/>
  <c r="R3364" i="1"/>
  <c r="R3371" i="1"/>
  <c r="R3350" i="1"/>
  <c r="R3358" i="1"/>
  <c r="R3357" i="1"/>
  <c r="R3363" i="1"/>
  <c r="R3361" i="1"/>
  <c r="R3362" i="1"/>
  <c r="R3360" i="1"/>
  <c r="R3359" i="1"/>
  <c r="R3356" i="1"/>
  <c r="R3355" i="1"/>
  <c r="R3353" i="1"/>
  <c r="R3352" i="1"/>
  <c r="R3201" i="1"/>
  <c r="R3351" i="1"/>
  <c r="R3349" i="1"/>
  <c r="R3348" i="1"/>
  <c r="R3347" i="1"/>
  <c r="R3346" i="1"/>
  <c r="R3345" i="1"/>
  <c r="R3343" i="1"/>
  <c r="R3344" i="1"/>
  <c r="R3342" i="1"/>
  <c r="R3341" i="1"/>
  <c r="R3340" i="1"/>
  <c r="R3339" i="1"/>
  <c r="R3338" i="1"/>
  <c r="R3337" i="1"/>
  <c r="R3336" i="1"/>
  <c r="R3335" i="1"/>
  <c r="R3334" i="1"/>
  <c r="R3333" i="1"/>
  <c r="R3332" i="1"/>
  <c r="R3331" i="1"/>
  <c r="R3330" i="1"/>
  <c r="R3329" i="1"/>
  <c r="R3328" i="1"/>
  <c r="R3327" i="1"/>
  <c r="R3326" i="1"/>
  <c r="R3325" i="1"/>
  <c r="R3324" i="1"/>
  <c r="R3323" i="1"/>
  <c r="R3322" i="1"/>
  <c r="R3321" i="1"/>
  <c r="R3320" i="1"/>
  <c r="R3319" i="1"/>
  <c r="R3318" i="1"/>
  <c r="R3317" i="1"/>
  <c r="R3316" i="1"/>
  <c r="R3315" i="1"/>
  <c r="R3314" i="1"/>
  <c r="R3313" i="1"/>
  <c r="R3216" i="1"/>
  <c r="R3312" i="1"/>
  <c r="R3311" i="1"/>
  <c r="R3310" i="1"/>
  <c r="R3309" i="1"/>
  <c r="R3308" i="1"/>
  <c r="R3307" i="1"/>
  <c r="R3306" i="1"/>
  <c r="R3305" i="1"/>
  <c r="R3304" i="1"/>
  <c r="R3303" i="1"/>
  <c r="R3302" i="1"/>
  <c r="R3301" i="1"/>
  <c r="R3300" i="1"/>
  <c r="R3299" i="1"/>
  <c r="R3297" i="1"/>
  <c r="R3296" i="1"/>
  <c r="R3295" i="1"/>
  <c r="R3275" i="1"/>
  <c r="R3294" i="1"/>
  <c r="R3274" i="1"/>
  <c r="R3293" i="1"/>
  <c r="R3298" i="1"/>
  <c r="R3292" i="1"/>
  <c r="R3273" i="1"/>
  <c r="R3272" i="1"/>
  <c r="R3248" i="1"/>
  <c r="R3247" i="1"/>
  <c r="R3271" i="1"/>
  <c r="R3291" i="1"/>
  <c r="R3290" i="1"/>
  <c r="R3289" i="1"/>
  <c r="R3288" i="1"/>
  <c r="R3287" i="1"/>
  <c r="R3286" i="1"/>
  <c r="R3285" i="1"/>
  <c r="R3284" i="1"/>
  <c r="R3283" i="1"/>
  <c r="R3282" i="1"/>
  <c r="R3281" i="1"/>
  <c r="R3280" i="1"/>
  <c r="R3279" i="1"/>
  <c r="R3278" i="1"/>
  <c r="R3277" i="1"/>
  <c r="R3276" i="1"/>
  <c r="R3270" i="1"/>
  <c r="R3269" i="1"/>
  <c r="R3268" i="1"/>
  <c r="R3267" i="1"/>
  <c r="R3266" i="1"/>
  <c r="R3265" i="1"/>
  <c r="R3264" i="1"/>
  <c r="R3263" i="1"/>
  <c r="R3262" i="1"/>
  <c r="R3261" i="1"/>
  <c r="R3260" i="1"/>
  <c r="R3259" i="1"/>
  <c r="R3258" i="1"/>
  <c r="R3257" i="1"/>
  <c r="R3256" i="1"/>
  <c r="R3255" i="1"/>
  <c r="R3254" i="1"/>
  <c r="R3253" i="1"/>
  <c r="R3252" i="1"/>
  <c r="R3251" i="1"/>
  <c r="R3250" i="1"/>
  <c r="R3249" i="1"/>
  <c r="R3246" i="1"/>
  <c r="R3245" i="1"/>
  <c r="R3244" i="1"/>
  <c r="R3243" i="1"/>
  <c r="R3242" i="1"/>
  <c r="R3241" i="1"/>
  <c r="R3240" i="1"/>
  <c r="R3239" i="1"/>
  <c r="R3238" i="1"/>
  <c r="R3237" i="1"/>
  <c r="R3236" i="1"/>
  <c r="R3235" i="1"/>
  <c r="R3234" i="1"/>
  <c r="R3233" i="1"/>
  <c r="R3232" i="1"/>
  <c r="R3231" i="1"/>
  <c r="R3230" i="1"/>
  <c r="R3229" i="1"/>
  <c r="R3228" i="1"/>
  <c r="R3227" i="1"/>
  <c r="R3226" i="1"/>
  <c r="R3225" i="1"/>
  <c r="R3224" i="1"/>
  <c r="R3223" i="1"/>
  <c r="R3222" i="1"/>
  <c r="R3221" i="1"/>
  <c r="R3220" i="1"/>
  <c r="R3219" i="1"/>
  <c r="R3218" i="1"/>
  <c r="R3217" i="1"/>
  <c r="R3215" i="1"/>
  <c r="R3214" i="1"/>
  <c r="R3213" i="1"/>
  <c r="R3212" i="1"/>
  <c r="R3211" i="1"/>
  <c r="R3210" i="1"/>
  <c r="R3209" i="1"/>
  <c r="R3208" i="1"/>
  <c r="R3207" i="1"/>
  <c r="R3206" i="1"/>
  <c r="R3205" i="1"/>
  <c r="R3204" i="1"/>
  <c r="R3203"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0" i="1"/>
  <c r="R3173" i="1"/>
  <c r="R3172" i="1"/>
  <c r="R3169" i="1"/>
  <c r="R3171" i="1"/>
  <c r="R3168" i="1"/>
  <c r="R3167" i="1"/>
  <c r="R3166" i="1"/>
  <c r="R3164" i="1"/>
  <c r="R3165" i="1"/>
  <c r="R3163" i="1"/>
  <c r="R3156" i="1"/>
  <c r="R3162" i="1"/>
  <c r="R3161" i="1"/>
  <c r="R3160" i="1"/>
  <c r="R3159" i="1"/>
  <c r="R3158" i="1"/>
  <c r="R3157" i="1"/>
  <c r="R3155" i="1"/>
  <c r="R3154" i="1"/>
  <c r="R3153" i="1"/>
  <c r="R3152" i="1"/>
  <c r="R3151" i="1"/>
  <c r="R3150" i="1"/>
  <c r="R3149" i="1"/>
  <c r="R3148" i="1"/>
  <c r="R3147" i="1"/>
  <c r="R3146" i="1"/>
  <c r="R3145" i="1"/>
  <c r="R3144" i="1"/>
  <c r="R3124" i="1"/>
  <c r="R3134" i="1"/>
  <c r="R3143" i="1"/>
  <c r="R3142" i="1"/>
  <c r="R3141" i="1"/>
  <c r="R3140" i="1"/>
  <c r="R3139" i="1"/>
  <c r="R3138" i="1"/>
  <c r="R3137" i="1"/>
  <c r="R3136" i="1"/>
  <c r="R3135" i="1"/>
  <c r="R3127" i="1"/>
  <c r="R3133" i="1"/>
  <c r="R3132" i="1"/>
  <c r="R3131" i="1"/>
  <c r="R3130" i="1"/>
  <c r="R3128" i="1"/>
  <c r="R3129" i="1"/>
  <c r="R3123" i="1"/>
  <c r="R3126" i="1"/>
  <c r="R3125"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2" i="1"/>
  <c r="R3089" i="1"/>
  <c r="R3088" i="1"/>
  <c r="R3087" i="1"/>
  <c r="R3086" i="1"/>
  <c r="R3085" i="1"/>
  <c r="R3084" i="1"/>
  <c r="R3083" i="1"/>
  <c r="R3078" i="1"/>
  <c r="R3077" i="1"/>
  <c r="R3081" i="1"/>
  <c r="R3080" i="1"/>
  <c r="R3079" i="1"/>
  <c r="R3057" i="1"/>
  <c r="R3076" i="1"/>
  <c r="R3075" i="1"/>
  <c r="R3074" i="1"/>
  <c r="R3073" i="1"/>
  <c r="R3072" i="1"/>
  <c r="R3071" i="1"/>
  <c r="R3070" i="1"/>
  <c r="R3069" i="1"/>
  <c r="R3068" i="1"/>
  <c r="R3067" i="1"/>
  <c r="R3066" i="1"/>
  <c r="R3065" i="1"/>
  <c r="R3064" i="1"/>
  <c r="R3063" i="1"/>
  <c r="R3062" i="1"/>
  <c r="R3061" i="1"/>
  <c r="R3060" i="1"/>
  <c r="R3059" i="1"/>
  <c r="R3058" i="1"/>
  <c r="R3056" i="1"/>
  <c r="R3054" i="1"/>
  <c r="R3055" i="1"/>
  <c r="R3053" i="1"/>
  <c r="R3052" i="1"/>
  <c r="R3051" i="1"/>
  <c r="R3033" i="1"/>
  <c r="R3050" i="1"/>
  <c r="R3049" i="1"/>
  <c r="R3048" i="1"/>
  <c r="R3047" i="1"/>
  <c r="R3046" i="1"/>
  <c r="R3045" i="1"/>
  <c r="R3044" i="1"/>
  <c r="R3035" i="1"/>
  <c r="R3043" i="1"/>
  <c r="R3042" i="1"/>
  <c r="R3041" i="1"/>
  <c r="R3040" i="1"/>
  <c r="R3039" i="1"/>
  <c r="R3038" i="1"/>
  <c r="R3037" i="1"/>
  <c r="R3036" i="1"/>
  <c r="R3032" i="1"/>
  <c r="R3034" i="1"/>
  <c r="R3031" i="1"/>
  <c r="R3030" i="1"/>
  <c r="R3029" i="1"/>
  <c r="R3028" i="1"/>
  <c r="R3027" i="1"/>
  <c r="R3026" i="1"/>
  <c r="R3025" i="1"/>
  <c r="R3024" i="1"/>
  <c r="R3023" i="1"/>
  <c r="R3003" i="1"/>
  <c r="R3000" i="1"/>
  <c r="R3001" i="1"/>
  <c r="R3022" i="1"/>
  <c r="R3019" i="1"/>
  <c r="R3018" i="1"/>
  <c r="R3021" i="1"/>
  <c r="R3020" i="1"/>
  <c r="R3017" i="1"/>
  <c r="R3016" i="1"/>
  <c r="R3015" i="1"/>
  <c r="R3014" i="1"/>
  <c r="R3013" i="1"/>
  <c r="R3012" i="1"/>
  <c r="R3011" i="1"/>
  <c r="R2992" i="1"/>
  <c r="R2991" i="1"/>
  <c r="R3010" i="1"/>
  <c r="R3009" i="1"/>
  <c r="R3008" i="1"/>
  <c r="R3007" i="1"/>
  <c r="R3006" i="1"/>
  <c r="R3005" i="1"/>
  <c r="R3004" i="1"/>
  <c r="R3002" i="1"/>
  <c r="R2990" i="1"/>
  <c r="R2999" i="1"/>
  <c r="R2998" i="1"/>
  <c r="R2997" i="1"/>
  <c r="R2996" i="1"/>
  <c r="R2995" i="1"/>
  <c r="R2994" i="1"/>
  <c r="R2993" i="1"/>
  <c r="R2989" i="1"/>
  <c r="R2988" i="1"/>
  <c r="R2987" i="1"/>
  <c r="R2986" i="1"/>
  <c r="R2982" i="1"/>
  <c r="R2927" i="1"/>
  <c r="R2926" i="1"/>
  <c r="R2985" i="1"/>
  <c r="R2981" i="1"/>
  <c r="R2942" i="1"/>
  <c r="R2984" i="1"/>
  <c r="R2983" i="1"/>
  <c r="R2969" i="1"/>
  <c r="R2976" i="1"/>
  <c r="R2979" i="1"/>
  <c r="R2980" i="1"/>
  <c r="R2978" i="1"/>
  <c r="R2977" i="1"/>
  <c r="R2975" i="1"/>
  <c r="R2968" i="1"/>
  <c r="R2974" i="1"/>
  <c r="R2973" i="1"/>
  <c r="R2972" i="1"/>
  <c r="R2971" i="1"/>
  <c r="R2970" i="1"/>
  <c r="R2967" i="1"/>
  <c r="R2966" i="1"/>
  <c r="R2965" i="1"/>
  <c r="R2964" i="1"/>
  <c r="R2963" i="1"/>
  <c r="R2962" i="1"/>
  <c r="R2961" i="1"/>
  <c r="R2960" i="1"/>
  <c r="R2959" i="1"/>
  <c r="R2958" i="1"/>
  <c r="R2957" i="1"/>
  <c r="R2956" i="1"/>
  <c r="R2955" i="1"/>
  <c r="R2954" i="1"/>
  <c r="R2953" i="1"/>
  <c r="R2952" i="1"/>
  <c r="R2951" i="1"/>
  <c r="R2950" i="1"/>
  <c r="R2949" i="1"/>
  <c r="R2948" i="1"/>
  <c r="R2947" i="1"/>
  <c r="R2941" i="1"/>
  <c r="R2946" i="1"/>
  <c r="R2945" i="1"/>
  <c r="R2944" i="1"/>
  <c r="R2940" i="1"/>
  <c r="R2939" i="1"/>
  <c r="R2938" i="1"/>
  <c r="R2937" i="1"/>
  <c r="R2943" i="1"/>
  <c r="R2936" i="1"/>
  <c r="R2925" i="1"/>
  <c r="R2935" i="1"/>
  <c r="R2934" i="1"/>
  <c r="R2933" i="1"/>
  <c r="R2932" i="1"/>
  <c r="R2931" i="1"/>
  <c r="R2930" i="1"/>
  <c r="R2929" i="1"/>
  <c r="R2928" i="1"/>
  <c r="R286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2890" i="1"/>
  <c r="R2889" i="1"/>
  <c r="R2888" i="1"/>
  <c r="R2887" i="1"/>
  <c r="R2886" i="1"/>
  <c r="R2885" i="1"/>
  <c r="R2884" i="1"/>
  <c r="R2883" i="1"/>
  <c r="R2882" i="1"/>
  <c r="R2881" i="1"/>
  <c r="R2880" i="1"/>
  <c r="R2879" i="1"/>
  <c r="R2878" i="1"/>
  <c r="R2877" i="1"/>
  <c r="R2876" i="1"/>
  <c r="R2875" i="1"/>
  <c r="R2874" i="1"/>
  <c r="R2873" i="1"/>
  <c r="R2872" i="1"/>
  <c r="R2871" i="1"/>
  <c r="R2870" i="1"/>
  <c r="R2862" i="1"/>
  <c r="R2869" i="1"/>
  <c r="R2868" i="1"/>
  <c r="R2867" i="1"/>
  <c r="R2866" i="1"/>
  <c r="R2864" i="1"/>
  <c r="R2863" i="1"/>
  <c r="R2861" i="1"/>
  <c r="R2860" i="1"/>
  <c r="R2859" i="1"/>
  <c r="R2858" i="1"/>
  <c r="R2854" i="1"/>
  <c r="R2857" i="1"/>
  <c r="R2856" i="1"/>
  <c r="R2855" i="1"/>
  <c r="R2850" i="1"/>
  <c r="R2849" i="1"/>
  <c r="R2853" i="1"/>
  <c r="R2852" i="1"/>
  <c r="R2851" i="1"/>
  <c r="R2848" i="1"/>
  <c r="R2847" i="1"/>
  <c r="R2846" i="1"/>
  <c r="R2845" i="1"/>
  <c r="R2844" i="1"/>
  <c r="R2843" i="1"/>
  <c r="R2842" i="1"/>
  <c r="R2841" i="1"/>
  <c r="R2840" i="1"/>
  <c r="R2839" i="1"/>
  <c r="R2838" i="1"/>
  <c r="R2837" i="1"/>
  <c r="R2836" i="1"/>
  <c r="R2835" i="1"/>
  <c r="R2831" i="1"/>
  <c r="R2834" i="1"/>
  <c r="R2833" i="1"/>
  <c r="R2829" i="1"/>
  <c r="R2828" i="1"/>
  <c r="R2830" i="1"/>
  <c r="R2826" i="1"/>
  <c r="R2825" i="1"/>
  <c r="R2824" i="1"/>
  <c r="R2827" i="1"/>
  <c r="R2823" i="1"/>
  <c r="R2822" i="1"/>
  <c r="R2821" i="1"/>
  <c r="R2820" i="1"/>
  <c r="R2636" i="1"/>
  <c r="R2819" i="1"/>
  <c r="R2818" i="1"/>
  <c r="R2817" i="1"/>
  <c r="R2816" i="1"/>
  <c r="R2815" i="1"/>
  <c r="R2814" i="1"/>
  <c r="R2813" i="1"/>
  <c r="R2812" i="1"/>
  <c r="R2811" i="1"/>
  <c r="R2810" i="1"/>
  <c r="R2749" i="1"/>
  <c r="R2753" i="1"/>
  <c r="R2771" i="1"/>
  <c r="R2809" i="1"/>
  <c r="R2808" i="1"/>
  <c r="R2807" i="1"/>
  <c r="R2806" i="1"/>
  <c r="R2805" i="1"/>
  <c r="R2803" i="1"/>
  <c r="R2804" i="1"/>
  <c r="R2802" i="1"/>
  <c r="R2799" i="1"/>
  <c r="R2793" i="1"/>
  <c r="R2801" i="1"/>
  <c r="R2800" i="1"/>
  <c r="R2798" i="1"/>
  <c r="R2796" i="1"/>
  <c r="R2797" i="1"/>
  <c r="R2795" i="1"/>
  <c r="R2794" i="1"/>
  <c r="R2792" i="1"/>
  <c r="R2791" i="1"/>
  <c r="R2790" i="1"/>
  <c r="R2789" i="1"/>
  <c r="R2788" i="1"/>
  <c r="R2779" i="1"/>
  <c r="R2785" i="1"/>
  <c r="R2787" i="1"/>
  <c r="R2784" i="1"/>
  <c r="R2786" i="1"/>
  <c r="R2783" i="1"/>
  <c r="R2782" i="1"/>
  <c r="R2781" i="1"/>
  <c r="R2780" i="1"/>
  <c r="R2778" i="1"/>
  <c r="R2777" i="1"/>
  <c r="R2776" i="1"/>
  <c r="R2775" i="1"/>
  <c r="R2774" i="1"/>
  <c r="R2773" i="1"/>
  <c r="R2772" i="1"/>
  <c r="R2770" i="1"/>
  <c r="R2762" i="1"/>
  <c r="R2769" i="1"/>
  <c r="R2767" i="1"/>
  <c r="R2766" i="1"/>
  <c r="R2768" i="1"/>
  <c r="R2765" i="1"/>
  <c r="R2763" i="1"/>
  <c r="R2738" i="1"/>
  <c r="R2748" i="1"/>
  <c r="R2761" i="1"/>
  <c r="R2764" i="1"/>
  <c r="R2752" i="1"/>
  <c r="R2760" i="1"/>
  <c r="R2759" i="1"/>
  <c r="R2758" i="1"/>
  <c r="R2757" i="1"/>
  <c r="R2756" i="1"/>
  <c r="R2755" i="1"/>
  <c r="R2751" i="1"/>
  <c r="R2754" i="1"/>
  <c r="R2750" i="1"/>
  <c r="R2747" i="1"/>
  <c r="R2746" i="1"/>
  <c r="R2745" i="1"/>
  <c r="R2744" i="1"/>
  <c r="R2742" i="1"/>
  <c r="R2743" i="1"/>
  <c r="R2741" i="1"/>
  <c r="R2740" i="1"/>
  <c r="R2739" i="1"/>
  <c r="R2737" i="1"/>
  <c r="R2736" i="1"/>
  <c r="R2735" i="1"/>
  <c r="R2733" i="1"/>
  <c r="R2734" i="1"/>
  <c r="R2732" i="1"/>
  <c r="R2731" i="1"/>
  <c r="R2730" i="1"/>
  <c r="R2729" i="1"/>
  <c r="R2728" i="1"/>
  <c r="R2727" i="1"/>
  <c r="R2726" i="1"/>
  <c r="R2354" i="1"/>
  <c r="R2722" i="1"/>
  <c r="R2725" i="1"/>
  <c r="R2724" i="1"/>
  <c r="R2723" i="1"/>
  <c r="R2721" i="1"/>
  <c r="R2720" i="1"/>
  <c r="R2719" i="1"/>
  <c r="R2718" i="1"/>
  <c r="R2717" i="1"/>
  <c r="R2715" i="1"/>
  <c r="R2716" i="1"/>
  <c r="R2714" i="1"/>
  <c r="R2713" i="1"/>
  <c r="R2712" i="1"/>
  <c r="R2711" i="1"/>
  <c r="R2710" i="1"/>
  <c r="R2708" i="1"/>
  <c r="R2707" i="1"/>
  <c r="R2709" i="1"/>
  <c r="R2706" i="1"/>
  <c r="R2700" i="1"/>
  <c r="R2705" i="1"/>
  <c r="R2704" i="1"/>
  <c r="R2703" i="1"/>
  <c r="R2701" i="1"/>
  <c r="R2695" i="1"/>
  <c r="R2702" i="1"/>
  <c r="R2699" i="1"/>
  <c r="R2698" i="1"/>
  <c r="R2697" i="1"/>
  <c r="R2696" i="1"/>
  <c r="R2693" i="1"/>
  <c r="R2692" i="1"/>
  <c r="R2694" i="1"/>
  <c r="R2691" i="1"/>
  <c r="R2690" i="1"/>
  <c r="R2689" i="1"/>
  <c r="R2688" i="1"/>
  <c r="R2686" i="1"/>
  <c r="R2685" i="1"/>
  <c r="R2687" i="1"/>
  <c r="R2684" i="1"/>
  <c r="R2683" i="1"/>
  <c r="R2682" i="1"/>
  <c r="R2681" i="1"/>
  <c r="R2680" i="1"/>
  <c r="R2679" i="1"/>
  <c r="R2678" i="1"/>
  <c r="R2677" i="1"/>
  <c r="R2658" i="1"/>
  <c r="R2668" i="1"/>
  <c r="R2650" i="1"/>
  <c r="R2676" i="1"/>
  <c r="R2675" i="1"/>
  <c r="R2674" i="1"/>
  <c r="R2671" i="1"/>
  <c r="R2669" i="1"/>
  <c r="R2673" i="1"/>
  <c r="R2672" i="1"/>
  <c r="R2667" i="1"/>
  <c r="R2666" i="1"/>
  <c r="R2665" i="1"/>
  <c r="R2670" i="1"/>
  <c r="R2664" i="1"/>
  <c r="R2663" i="1"/>
  <c r="R2661" i="1"/>
  <c r="R2649" i="1"/>
  <c r="R2652" i="1"/>
  <c r="R2660" i="1"/>
  <c r="R2659" i="1"/>
  <c r="R2657" i="1"/>
  <c r="R2662" i="1"/>
  <c r="R2654" i="1"/>
  <c r="R2656" i="1"/>
  <c r="R2655" i="1"/>
  <c r="R2653" i="1"/>
  <c r="R2651" i="1"/>
  <c r="R2648" i="1"/>
  <c r="R2647" i="1"/>
  <c r="R2646" i="1"/>
  <c r="R2645" i="1"/>
  <c r="R2643" i="1"/>
  <c r="R2641" i="1"/>
  <c r="R2640" i="1"/>
  <c r="R2639" i="1"/>
  <c r="R2638" i="1"/>
  <c r="R2637" i="1"/>
  <c r="R2644" i="1"/>
  <c r="R39" i="1"/>
  <c r="R1903" i="1"/>
  <c r="R7" i="1"/>
  <c r="R9" i="1"/>
  <c r="R2642" i="1"/>
  <c r="R2621" i="1"/>
  <c r="R2635" i="1"/>
  <c r="R2634" i="1"/>
  <c r="R2633" i="1"/>
  <c r="R2632" i="1"/>
  <c r="R2630" i="1"/>
  <c r="R2629" i="1"/>
  <c r="R2631" i="1"/>
  <c r="R1902" i="1"/>
  <c r="R2628" i="1"/>
  <c r="R2627" i="1"/>
  <c r="R2624" i="1"/>
  <c r="R2626" i="1"/>
  <c r="R2625" i="1"/>
  <c r="R2623" i="1"/>
  <c r="R2622" i="1"/>
  <c r="R2620" i="1"/>
  <c r="R2619" i="1"/>
  <c r="R2618" i="1"/>
  <c r="R2617" i="1"/>
  <c r="R8" i="1"/>
  <c r="R14" i="1"/>
  <c r="R18" i="1"/>
  <c r="R22" i="1"/>
  <c r="R63" i="1"/>
  <c r="R20" i="1"/>
  <c r="R21" i="1"/>
  <c r="R19" i="1"/>
  <c r="R2616" i="1"/>
  <c r="R36" i="1"/>
  <c r="R2615" i="1"/>
  <c r="R2614" i="1"/>
  <c r="R2613" i="1"/>
  <c r="R2610" i="1"/>
  <c r="R2609" i="1"/>
  <c r="R2611" i="1"/>
  <c r="R2612" i="1"/>
  <c r="R90" i="1"/>
  <c r="R34" i="1"/>
  <c r="R86" i="1"/>
  <c r="R83" i="1"/>
  <c r="R6" i="1"/>
  <c r="R11" i="1"/>
  <c r="R2" i="1"/>
  <c r="R26" i="1"/>
  <c r="R72" i="1"/>
  <c r="R74" i="1"/>
  <c r="R62" i="1"/>
  <c r="R82" i="1"/>
  <c r="R40" i="1"/>
  <c r="R35" i="1"/>
  <c r="R2602" i="1"/>
  <c r="R2601" i="1"/>
  <c r="R2600" i="1"/>
  <c r="R2608" i="1"/>
  <c r="R2607" i="1"/>
  <c r="R2606" i="1"/>
  <c r="R2605" i="1"/>
  <c r="R2604" i="1"/>
  <c r="R2603" i="1"/>
  <c r="R2599" i="1"/>
  <c r="R2598" i="1"/>
  <c r="R2597" i="1"/>
  <c r="R2596" i="1"/>
  <c r="R2593" i="1"/>
  <c r="R2595" i="1"/>
  <c r="R2594" i="1"/>
  <c r="R2592" i="1"/>
  <c r="R2591" i="1"/>
  <c r="R2590" i="1"/>
  <c r="R2589" i="1"/>
  <c r="R2524" i="1"/>
  <c r="R2586" i="1"/>
  <c r="R2585" i="1"/>
  <c r="R2588" i="1"/>
  <c r="R2582" i="1"/>
  <c r="R2581" i="1"/>
  <c r="R2587" i="1"/>
  <c r="R2584" i="1"/>
  <c r="R2567" i="1"/>
  <c r="R2580" i="1"/>
  <c r="R2583" i="1"/>
  <c r="R2579" i="1"/>
  <c r="R2578" i="1"/>
  <c r="R2577" i="1"/>
  <c r="R2576" i="1"/>
  <c r="R2575" i="1"/>
  <c r="R2574" i="1"/>
  <c r="R2573" i="1"/>
  <c r="R2572" i="1"/>
  <c r="R2571" i="1"/>
  <c r="R2570" i="1"/>
  <c r="R2569" i="1"/>
  <c r="R2568" i="1"/>
  <c r="R2566" i="1"/>
  <c r="R2565" i="1"/>
  <c r="R2564" i="1"/>
  <c r="R2563" i="1"/>
  <c r="R2523" i="1"/>
  <c r="R2522" i="1"/>
  <c r="R2521" i="1"/>
  <c r="R2520" i="1"/>
  <c r="R2519" i="1"/>
  <c r="R2518" i="1"/>
  <c r="R2517" i="1"/>
  <c r="R2516" i="1"/>
  <c r="R2515" i="1"/>
  <c r="R2554" i="1"/>
  <c r="R2553" i="1"/>
  <c r="R2514" i="1"/>
  <c r="R2552" i="1"/>
  <c r="R2551" i="1"/>
  <c r="R2550" i="1"/>
  <c r="R2549" i="1"/>
  <c r="R2548" i="1"/>
  <c r="R2547" i="1"/>
  <c r="R2546" i="1"/>
  <c r="R2562" i="1"/>
  <c r="R2561" i="1"/>
  <c r="R2560" i="1"/>
  <c r="R2513" i="1"/>
  <c r="R2559" i="1"/>
  <c r="R2558" i="1"/>
  <c r="R2512" i="1"/>
  <c r="R2545" i="1"/>
  <c r="R2544" i="1"/>
  <c r="R2543" i="1"/>
  <c r="R2511" i="1"/>
  <c r="R2542" i="1"/>
  <c r="R2445" i="1"/>
  <c r="R2444" i="1"/>
  <c r="R2443" i="1"/>
  <c r="R2442" i="1"/>
  <c r="R2541" i="1"/>
  <c r="R2510" i="1"/>
  <c r="R2509" i="1"/>
  <c r="R2508" i="1"/>
  <c r="R2507" i="1"/>
  <c r="R2506" i="1"/>
  <c r="R2505" i="1"/>
  <c r="R2504" i="1"/>
  <c r="R2503" i="1"/>
  <c r="R2540" i="1"/>
  <c r="R2539" i="1"/>
  <c r="R2538" i="1"/>
  <c r="R2537" i="1"/>
  <c r="R2502" i="1"/>
  <c r="R2501" i="1"/>
  <c r="R2536" i="1"/>
  <c r="R2500" i="1"/>
  <c r="R2557" i="1"/>
  <c r="R2535" i="1"/>
  <c r="R2534" i="1"/>
  <c r="R2533" i="1"/>
  <c r="R2532" i="1"/>
  <c r="R2531" i="1"/>
  <c r="R2499" i="1"/>
  <c r="R2498" i="1"/>
  <c r="R2497" i="1"/>
  <c r="R2496" i="1"/>
  <c r="R2495" i="1"/>
  <c r="R2556" i="1"/>
  <c r="R2555" i="1"/>
  <c r="R2530" i="1"/>
  <c r="R2529" i="1"/>
  <c r="R2528" i="1"/>
  <c r="R2527" i="1"/>
  <c r="R2526" i="1"/>
  <c r="R2441" i="1"/>
  <c r="R2410" i="1"/>
  <c r="R2409" i="1"/>
  <c r="R2494" i="1"/>
  <c r="R2493" i="1"/>
  <c r="R2440" i="1"/>
  <c r="R2492" i="1"/>
  <c r="R2439" i="1"/>
  <c r="R2491" i="1"/>
  <c r="R2438" i="1"/>
  <c r="R2490" i="1"/>
  <c r="R2489" i="1"/>
  <c r="R2437" i="1"/>
  <c r="R2488" i="1"/>
  <c r="R2436" i="1"/>
  <c r="R2487" i="1"/>
  <c r="R2486" i="1"/>
  <c r="R2485" i="1"/>
  <c r="R2484" i="1"/>
  <c r="R2435" i="1"/>
  <c r="R2483" i="1"/>
  <c r="R2482" i="1"/>
  <c r="R2481" i="1"/>
  <c r="R2480" i="1"/>
  <c r="R2525" i="1"/>
  <c r="R2479" i="1"/>
  <c r="R2478" i="1"/>
  <c r="R2477" i="1"/>
  <c r="R2476" i="1"/>
  <c r="R2475" i="1"/>
  <c r="R2474" i="1"/>
  <c r="R2434" i="1"/>
  <c r="R2473" i="1"/>
  <c r="R2433" i="1"/>
  <c r="R2472" i="1"/>
  <c r="R2471" i="1"/>
  <c r="R2470" i="1"/>
  <c r="R2469" i="1"/>
  <c r="R2468" i="1"/>
  <c r="R2467" i="1"/>
  <c r="R2466" i="1"/>
  <c r="R2465" i="1"/>
  <c r="R2464" i="1"/>
  <c r="R2463" i="1"/>
  <c r="R2462" i="1"/>
  <c r="R2461" i="1"/>
  <c r="R2460" i="1"/>
  <c r="R2459" i="1"/>
  <c r="R2458" i="1"/>
  <c r="R2457" i="1"/>
  <c r="R2432" i="1"/>
  <c r="R2431" i="1"/>
  <c r="R2456" i="1"/>
  <c r="R2455" i="1"/>
  <c r="R2454" i="1"/>
  <c r="R2453" i="1"/>
  <c r="R2452" i="1"/>
  <c r="R2451" i="1"/>
  <c r="R2450" i="1"/>
  <c r="R2449" i="1"/>
  <c r="R2448" i="1"/>
  <c r="R2447" i="1"/>
  <c r="R2446" i="1"/>
  <c r="R2399" i="1"/>
  <c r="R2398" i="1"/>
  <c r="R2397" i="1"/>
  <c r="R2430" i="1"/>
  <c r="R2396" i="1"/>
  <c r="R2429" i="1"/>
  <c r="R2428" i="1"/>
  <c r="R2427" i="1"/>
  <c r="R2426" i="1"/>
  <c r="R2425" i="1"/>
  <c r="R2424" i="1"/>
  <c r="R2423" i="1"/>
  <c r="R2422" i="1"/>
  <c r="R2421" i="1"/>
  <c r="R2420" i="1"/>
  <c r="R2419" i="1"/>
  <c r="R2832" i="1"/>
  <c r="R2418" i="1"/>
  <c r="R2417" i="1"/>
  <c r="R2416" i="1"/>
  <c r="R2415" i="1"/>
  <c r="R2395" i="1"/>
  <c r="R2392" i="1"/>
  <c r="R2408" i="1"/>
  <c r="R2407" i="1"/>
  <c r="R2391" i="1"/>
  <c r="R2414" i="1"/>
  <c r="R2390" i="1"/>
  <c r="R2406" i="1"/>
  <c r="R2394" i="1"/>
  <c r="R2405" i="1"/>
  <c r="R2413" i="1"/>
  <c r="R2412" i="1"/>
  <c r="R2411" i="1"/>
  <c r="R2404" i="1"/>
  <c r="R2403" i="1"/>
  <c r="R2389" i="1"/>
  <c r="R2388" i="1"/>
  <c r="R2387" i="1"/>
  <c r="R2386" i="1"/>
  <c r="R2385" i="1"/>
  <c r="R2384" i="1"/>
  <c r="R2383" i="1"/>
  <c r="R2382" i="1"/>
  <c r="R2381" i="1"/>
  <c r="R2380" i="1"/>
  <c r="R2379" i="1"/>
  <c r="R2378" i="1"/>
  <c r="R2377" i="1"/>
  <c r="R2376" i="1"/>
  <c r="R2375" i="1"/>
  <c r="R2374" i="1"/>
  <c r="R2373" i="1"/>
  <c r="R2372" i="1"/>
  <c r="R2371" i="1"/>
  <c r="R2402" i="1"/>
  <c r="R2401" i="1"/>
  <c r="R2400" i="1"/>
  <c r="R2370" i="1"/>
  <c r="R2393" i="1"/>
  <c r="R53" i="1"/>
  <c r="R57" i="1"/>
  <c r="R24" i="1"/>
  <c r="R42" i="1"/>
  <c r="R23" i="1"/>
  <c r="R2369" i="1"/>
  <c r="R2368" i="1"/>
  <c r="R2359" i="1"/>
  <c r="R2358" i="1"/>
  <c r="R2357" i="1"/>
  <c r="R2356" i="1"/>
  <c r="R2367" i="1"/>
  <c r="R2366" i="1"/>
  <c r="R2365" i="1"/>
  <c r="R2364" i="1"/>
  <c r="R2363" i="1"/>
  <c r="R2362" i="1"/>
  <c r="R2361" i="1"/>
  <c r="R2360" i="1"/>
  <c r="R2355" i="1"/>
  <c r="R2347" i="1"/>
  <c r="R2353" i="1"/>
  <c r="R2352" i="1"/>
  <c r="R2351" i="1"/>
  <c r="R2350" i="1"/>
  <c r="R2349" i="1"/>
  <c r="R2346" i="1"/>
  <c r="R3" i="1"/>
  <c r="R10" i="1"/>
  <c r="R4" i="1"/>
  <c r="R66" i="1"/>
  <c r="R2348" i="1"/>
  <c r="R60" i="1"/>
  <c r="R76" i="1"/>
  <c r="R2345" i="1"/>
  <c r="R48" i="1"/>
  <c r="R1901" i="1"/>
  <c r="R85" i="1"/>
  <c r="R2344" i="1"/>
  <c r="R30" i="1"/>
  <c r="R46" i="1"/>
  <c r="R75" i="1"/>
  <c r="R84" i="1"/>
  <c r="R1564" i="1"/>
  <c r="R32" i="1"/>
  <c r="R73" i="1"/>
  <c r="R37" i="1"/>
  <c r="R80" i="1"/>
  <c r="R78" i="1"/>
  <c r="R1586" i="1"/>
  <c r="R2343" i="1"/>
  <c r="R33" i="1"/>
  <c r="R17" i="1"/>
  <c r="R68" i="1"/>
  <c r="R16" i="1"/>
  <c r="R56" i="1"/>
  <c r="R52" i="1"/>
  <c r="R25" i="1"/>
  <c r="R45" i="1"/>
  <c r="R2342" i="1"/>
  <c r="R2341" i="1"/>
  <c r="R2330" i="1"/>
  <c r="R2329" i="1"/>
  <c r="R89" i="1"/>
  <c r="R27" i="1"/>
  <c r="R2340" i="1"/>
  <c r="R2339" i="1"/>
  <c r="R2338" i="1"/>
  <c r="R2337" i="1"/>
  <c r="R41" i="1"/>
  <c r="R47" i="1"/>
  <c r="R49" i="1"/>
  <c r="R58" i="1"/>
  <c r="R70" i="1"/>
  <c r="R13" i="1"/>
  <c r="R1588" i="1"/>
  <c r="R2336" i="1"/>
  <c r="R2335" i="1"/>
  <c r="R1824" i="1"/>
  <c r="R50" i="1"/>
  <c r="R44" i="1"/>
  <c r="R79" i="1"/>
  <c r="R65" i="1"/>
  <c r="R2334" i="1"/>
  <c r="R29" i="1"/>
  <c r="R69" i="1"/>
  <c r="R77" i="1"/>
  <c r="R71" i="1"/>
  <c r="R88" i="1"/>
  <c r="R2333" i="1"/>
  <c r="R2332" i="1"/>
  <c r="R87" i="1"/>
  <c r="R54" i="1"/>
  <c r="R5" i="1"/>
  <c r="R2331" i="1"/>
  <c r="R38" i="1"/>
  <c r="R15" i="1"/>
  <c r="R12" i="1"/>
  <c r="R2327" i="1"/>
  <c r="R2326" i="1"/>
  <c r="R2325" i="1"/>
  <c r="R2324" i="1"/>
  <c r="R67" i="1"/>
  <c r="R2323" i="1"/>
  <c r="R51" i="1"/>
  <c r="R61" i="1"/>
  <c r="R59" i="1"/>
  <c r="R2322" i="1"/>
  <c r="R1966" i="1"/>
  <c r="R2321" i="1"/>
  <c r="R2320" i="1"/>
  <c r="R2319" i="1"/>
  <c r="R2318" i="1"/>
  <c r="R2317" i="1"/>
  <c r="R2316" i="1"/>
  <c r="R55" i="1"/>
  <c r="R28" i="1"/>
  <c r="R81" i="1"/>
  <c r="R2315" i="1"/>
  <c r="R1882" i="1"/>
  <c r="R2314" i="1"/>
  <c r="R1860" i="1"/>
  <c r="R2313" i="1"/>
  <c r="R2312" i="1"/>
  <c r="R1819" i="1"/>
  <c r="R1818" i="1"/>
  <c r="R2135" i="1"/>
  <c r="R1829" i="1"/>
  <c r="R1871"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01" i="1"/>
  <c r="R2200" i="1"/>
  <c r="R2260" i="1"/>
  <c r="R2259" i="1"/>
  <c r="R2258" i="1"/>
  <c r="R2257" i="1"/>
  <c r="R2256" i="1"/>
  <c r="R2254" i="1"/>
  <c r="R2255" i="1"/>
  <c r="R2252" i="1"/>
  <c r="R2251" i="1"/>
  <c r="R2250" i="1"/>
  <c r="R2253" i="1"/>
  <c r="R2248" i="1"/>
  <c r="R2249" i="1"/>
  <c r="R2247" i="1"/>
  <c r="R2246" i="1"/>
  <c r="R2244" i="1"/>
  <c r="R2243" i="1"/>
  <c r="R2242" i="1"/>
  <c r="R2234" i="1"/>
  <c r="R2241" i="1"/>
  <c r="R2240" i="1"/>
  <c r="R2239" i="1"/>
  <c r="R2238" i="1"/>
  <c r="R2237" i="1"/>
  <c r="R2236" i="1"/>
  <c r="R2235" i="1"/>
  <c r="R2233" i="1"/>
  <c r="R2229" i="1"/>
  <c r="R2232" i="1"/>
  <c r="R2231" i="1"/>
  <c r="R2230" i="1"/>
  <c r="R2140" i="1"/>
  <c r="R2099" i="1"/>
  <c r="R1821" i="1"/>
  <c r="R1911" i="1"/>
  <c r="R1910" i="1"/>
  <c r="R1962" i="1"/>
  <c r="R2228" i="1"/>
  <c r="R2227" i="1"/>
  <c r="R2226" i="1"/>
  <c r="R2225" i="1"/>
  <c r="R2224" i="1"/>
  <c r="R2223" i="1"/>
  <c r="R2222" i="1"/>
  <c r="R2221" i="1"/>
  <c r="R2220" i="1"/>
  <c r="R2219" i="1"/>
  <c r="R2218" i="1"/>
  <c r="R2217" i="1"/>
  <c r="R2216" i="1"/>
  <c r="R2215" i="1"/>
  <c r="R2214" i="1"/>
  <c r="R2211" i="1"/>
  <c r="R2213" i="1"/>
  <c r="R2212" i="1"/>
  <c r="R2210" i="1"/>
  <c r="R2209" i="1"/>
  <c r="R2208" i="1"/>
  <c r="R2207" i="1"/>
  <c r="R2206" i="1"/>
  <c r="R2205" i="1"/>
  <c r="R2204" i="1"/>
  <c r="R2203" i="1"/>
  <c r="R2202" i="1"/>
  <c r="R2199" i="1"/>
  <c r="R2198" i="1"/>
  <c r="R2197" i="1"/>
  <c r="R2196" i="1"/>
  <c r="R2195" i="1"/>
  <c r="R2193" i="1"/>
  <c r="R2194" i="1"/>
  <c r="R2192" i="1"/>
  <c r="R2191" i="1"/>
  <c r="R2190" i="1"/>
  <c r="R2189" i="1"/>
  <c r="R2188" i="1"/>
  <c r="R2187" i="1"/>
  <c r="R2180" i="1"/>
  <c r="R2179" i="1"/>
  <c r="R2186" i="1"/>
  <c r="R2185" i="1"/>
  <c r="R2184" i="1"/>
  <c r="R2183" i="1"/>
  <c r="R2182" i="1"/>
  <c r="R2181" i="1"/>
  <c r="R2178" i="1"/>
  <c r="R2177" i="1"/>
  <c r="R2176" i="1"/>
  <c r="R2175" i="1"/>
  <c r="R2174" i="1"/>
  <c r="R2173" i="1"/>
  <c r="R2172" i="1"/>
  <c r="R2171" i="1"/>
  <c r="R2170" i="1"/>
  <c r="R2169" i="1"/>
  <c r="R2168" i="1"/>
  <c r="R2167" i="1"/>
  <c r="R2166" i="1"/>
  <c r="R2165" i="1"/>
  <c r="R2164" i="1"/>
  <c r="R2163" i="1"/>
  <c r="R2162" i="1"/>
  <c r="R2161" i="1"/>
  <c r="R2160" i="1"/>
  <c r="R2159" i="1"/>
  <c r="R2157" i="1"/>
  <c r="R2158" i="1"/>
  <c r="R2156" i="1"/>
  <c r="R2155" i="1"/>
  <c r="R2154" i="1"/>
  <c r="R2153" i="1"/>
  <c r="R2151" i="1"/>
  <c r="R2152" i="1"/>
  <c r="R2150" i="1"/>
  <c r="R2149" i="1"/>
  <c r="R2148" i="1"/>
  <c r="R2147" i="1"/>
  <c r="R2146" i="1"/>
  <c r="R2145" i="1"/>
  <c r="R2142" i="1"/>
  <c r="R2144" i="1"/>
  <c r="R2143" i="1"/>
  <c r="R2141" i="1"/>
  <c r="R2139" i="1"/>
  <c r="R2138" i="1"/>
  <c r="R2137" i="1"/>
  <c r="R2136" i="1"/>
  <c r="R2134" i="1"/>
  <c r="R2133" i="1"/>
  <c r="R2022" i="1"/>
  <c r="R2132" i="1"/>
  <c r="R2131" i="1"/>
  <c r="R2130" i="1"/>
  <c r="R2127" i="1"/>
  <c r="R2129" i="1"/>
  <c r="R2128" i="1"/>
  <c r="R2126" i="1"/>
  <c r="R2125" i="1"/>
  <c r="R2124" i="1"/>
  <c r="R2123" i="1"/>
  <c r="R2122" i="1"/>
  <c r="R2121" i="1"/>
  <c r="R2120" i="1"/>
  <c r="R2119" i="1"/>
  <c r="R2117" i="1"/>
  <c r="R2118" i="1"/>
  <c r="R2116" i="1"/>
  <c r="R2115" i="1"/>
  <c r="R2112" i="1"/>
  <c r="R2114" i="1"/>
  <c r="R2113" i="1"/>
  <c r="R2111" i="1"/>
  <c r="R2110" i="1"/>
  <c r="R2109" i="1"/>
  <c r="R2108" i="1"/>
  <c r="R2107" i="1"/>
  <c r="R2106" i="1"/>
  <c r="R2105" i="1"/>
  <c r="R2104" i="1"/>
  <c r="R2054" i="1"/>
  <c r="R2103" i="1"/>
  <c r="R2101" i="1"/>
  <c r="R2102" i="1"/>
  <c r="R2100" i="1"/>
  <c r="R2094" i="1"/>
  <c r="R2098" i="1"/>
  <c r="R2096" i="1"/>
  <c r="R2097" i="1"/>
  <c r="R2095" i="1"/>
  <c r="R2082" i="1"/>
  <c r="R2093" i="1"/>
  <c r="R2092" i="1"/>
  <c r="R2091" i="1"/>
  <c r="R2090" i="1"/>
  <c r="R2089" i="1"/>
  <c r="R2081" i="1"/>
  <c r="R2088" i="1"/>
  <c r="R2087" i="1"/>
  <c r="R2086" i="1"/>
  <c r="R2085" i="1"/>
  <c r="R2080" i="1"/>
  <c r="R2077" i="1"/>
  <c r="R2084" i="1"/>
  <c r="R2083" i="1"/>
  <c r="R2079" i="1"/>
  <c r="R2076" i="1"/>
  <c r="R2075" i="1"/>
  <c r="R2078" i="1"/>
  <c r="R2070" i="1"/>
  <c r="R2074" i="1"/>
  <c r="R2073" i="1"/>
  <c r="R2072" i="1"/>
  <c r="R2071" i="1"/>
  <c r="R2068" i="1"/>
  <c r="R2067" i="1"/>
  <c r="R2066" i="1"/>
  <c r="R2069" i="1"/>
  <c r="R2065" i="1"/>
  <c r="R2064" i="1"/>
  <c r="R2063" i="1"/>
  <c r="R2062" i="1"/>
  <c r="R2061" i="1"/>
  <c r="R2060" i="1"/>
  <c r="R2059" i="1"/>
  <c r="R2058" i="1"/>
  <c r="R2057" i="1"/>
  <c r="R2050" i="1"/>
  <c r="R2056" i="1"/>
  <c r="R2053" i="1"/>
  <c r="R2055" i="1"/>
  <c r="R2052" i="1"/>
  <c r="R2049" i="1"/>
  <c r="R2051" i="1"/>
  <c r="R1720" i="1"/>
  <c r="R2042" i="1"/>
  <c r="R2043" i="1"/>
  <c r="R2047" i="1"/>
  <c r="R2046" i="1"/>
  <c r="R2045" i="1"/>
  <c r="R2044" i="1"/>
  <c r="R2048" i="1"/>
  <c r="R2041" i="1"/>
  <c r="R2040" i="1"/>
  <c r="R2039" i="1"/>
  <c r="R2036" i="1"/>
  <c r="R2038" i="1"/>
  <c r="R2035" i="1"/>
  <c r="R2037" i="1"/>
  <c r="R2034" i="1"/>
  <c r="R2031" i="1"/>
  <c r="R2033" i="1"/>
  <c r="R2032" i="1"/>
  <c r="R2030" i="1"/>
  <c r="R2029" i="1"/>
  <c r="R2028" i="1"/>
  <c r="R2027" i="1"/>
  <c r="R2026" i="1"/>
  <c r="R2021" i="1"/>
  <c r="R2025" i="1"/>
  <c r="R2024" i="1"/>
  <c r="R2023" i="1"/>
  <c r="R2017" i="1"/>
  <c r="R2012" i="1"/>
  <c r="R2019" i="1"/>
  <c r="R2018" i="1"/>
  <c r="R2020" i="1"/>
  <c r="R2016" i="1"/>
  <c r="R2015" i="1"/>
  <c r="R2014" i="1"/>
  <c r="R2013" i="1"/>
  <c r="R2011" i="1"/>
  <c r="R2010" i="1"/>
  <c r="R2009" i="1"/>
  <c r="R2008" i="1"/>
  <c r="R2007" i="1"/>
  <c r="R2006" i="1"/>
  <c r="R2003" i="1"/>
  <c r="R2005" i="1"/>
  <c r="R2004" i="1"/>
  <c r="R2000" i="1"/>
  <c r="R2002" i="1"/>
  <c r="R2001" i="1"/>
  <c r="R1971" i="1"/>
  <c r="R1999" i="1"/>
  <c r="R1998" i="1"/>
  <c r="R1997" i="1"/>
  <c r="R1996" i="1"/>
  <c r="R1995" i="1"/>
  <c r="R1994" i="1"/>
  <c r="R1993" i="1"/>
  <c r="R1989" i="1"/>
  <c r="R1988" i="1"/>
  <c r="R1992" i="1"/>
  <c r="R1991" i="1"/>
  <c r="R1990" i="1"/>
  <c r="R1987" i="1"/>
  <c r="R1985" i="1"/>
  <c r="R1984" i="1"/>
  <c r="R1983" i="1"/>
  <c r="R1977" i="1"/>
  <c r="R1976" i="1"/>
  <c r="R1979" i="1"/>
  <c r="R1978" i="1"/>
  <c r="R1982" i="1"/>
  <c r="R1981" i="1"/>
  <c r="R1980" i="1"/>
  <c r="R1975" i="1"/>
  <c r="R1974" i="1"/>
  <c r="R1973" i="1"/>
  <c r="R1970" i="1"/>
  <c r="R1972" i="1"/>
  <c r="R1969" i="1"/>
  <c r="R1968" i="1"/>
  <c r="R1967" i="1"/>
  <c r="R1956" i="1"/>
  <c r="R1965" i="1"/>
  <c r="R1964" i="1"/>
  <c r="R1955" i="1"/>
  <c r="R1960" i="1"/>
  <c r="R1961" i="1"/>
  <c r="R1963" i="1"/>
  <c r="R1954" i="1"/>
  <c r="R1952" i="1"/>
  <c r="R1959" i="1"/>
  <c r="R1944" i="1"/>
  <c r="R1953" i="1"/>
  <c r="R1958" i="1"/>
  <c r="R1957" i="1"/>
  <c r="R1951" i="1"/>
  <c r="R1986" i="1"/>
  <c r="R1950" i="1"/>
  <c r="R1948" i="1"/>
  <c r="R1949" i="1"/>
  <c r="R1947" i="1"/>
  <c r="R1946" i="1"/>
  <c r="R1945" i="1"/>
  <c r="R1943" i="1"/>
  <c r="R1942" i="1"/>
  <c r="R1941" i="1"/>
  <c r="R1929" i="1"/>
  <c r="R1940" i="1"/>
  <c r="R1938" i="1"/>
  <c r="R1939" i="1"/>
  <c r="R1937" i="1"/>
  <c r="R1936" i="1"/>
  <c r="R1935" i="1"/>
  <c r="R1934" i="1"/>
  <c r="R1933" i="1"/>
  <c r="R1932" i="1"/>
  <c r="R1931" i="1"/>
  <c r="R1930" i="1"/>
  <c r="R1928" i="1"/>
  <c r="R1926" i="1"/>
  <c r="R1927" i="1"/>
  <c r="R1925" i="1"/>
  <c r="R1924" i="1"/>
  <c r="R1923" i="1"/>
  <c r="R1922" i="1"/>
  <c r="R1921" i="1"/>
  <c r="R1920" i="1"/>
  <c r="R1919" i="1"/>
  <c r="R1917" i="1"/>
  <c r="R1918" i="1"/>
  <c r="R1916" i="1"/>
  <c r="R1915" i="1"/>
  <c r="R1914" i="1"/>
  <c r="R1913" i="1"/>
  <c r="R1912" i="1"/>
  <c r="R1885" i="1"/>
  <c r="R1909" i="1"/>
  <c r="R1908" i="1"/>
  <c r="R1907" i="1"/>
  <c r="R1888" i="1"/>
  <c r="R1884" i="1"/>
  <c r="R1905" i="1"/>
  <c r="R1899" i="1"/>
  <c r="R1900" i="1"/>
  <c r="R1904" i="1"/>
  <c r="R1906" i="1"/>
  <c r="R1898" i="1"/>
  <c r="R1897" i="1"/>
  <c r="R1890" i="1"/>
  <c r="R1896" i="1"/>
  <c r="R1895" i="1"/>
  <c r="R1894" i="1"/>
  <c r="R1893" i="1"/>
  <c r="R1889" i="1"/>
  <c r="R1892" i="1"/>
  <c r="R1891" i="1"/>
  <c r="R1881" i="1"/>
  <c r="R1879" i="1"/>
  <c r="R1887" i="1"/>
  <c r="R1883" i="1"/>
  <c r="R1886" i="1"/>
  <c r="R1880" i="1"/>
  <c r="R1878" i="1"/>
  <c r="R1621" i="1"/>
  <c r="R1877" i="1"/>
  <c r="R1876" i="1"/>
  <c r="R1875" i="1"/>
  <c r="R1874" i="1"/>
  <c r="R1873" i="1"/>
  <c r="R1872" i="1"/>
  <c r="R1870" i="1"/>
  <c r="R1869" i="1"/>
  <c r="R1868" i="1"/>
  <c r="R1867" i="1"/>
  <c r="R1866" i="1"/>
  <c r="R1861" i="1"/>
  <c r="R1865" i="1"/>
  <c r="R1864" i="1"/>
  <c r="R1863" i="1"/>
  <c r="R1862" i="1"/>
  <c r="R1859" i="1"/>
  <c r="R1858" i="1"/>
  <c r="R1857" i="1"/>
  <c r="R1856" i="1"/>
  <c r="R1855" i="1"/>
  <c r="R1854" i="1"/>
  <c r="R1853" i="1"/>
  <c r="R1852" i="1"/>
  <c r="R1851" i="1"/>
  <c r="R1850" i="1"/>
  <c r="R1848" i="1"/>
  <c r="R1847" i="1"/>
  <c r="R1849" i="1"/>
  <c r="R1844" i="1"/>
  <c r="R1843" i="1"/>
  <c r="R1846" i="1"/>
  <c r="R1816" i="1"/>
  <c r="R1845" i="1"/>
  <c r="R1842" i="1"/>
  <c r="R1841" i="1"/>
  <c r="R1840" i="1"/>
  <c r="R1839" i="1"/>
  <c r="R1838" i="1"/>
  <c r="R1837" i="1"/>
  <c r="R1836" i="1"/>
  <c r="R1833" i="1"/>
  <c r="R1835" i="1"/>
  <c r="R1834" i="1"/>
  <c r="R1832" i="1"/>
  <c r="R1831" i="1"/>
  <c r="R1830" i="1"/>
  <c r="R1828" i="1"/>
  <c r="R1825" i="1"/>
  <c r="R1827" i="1"/>
  <c r="R1826" i="1"/>
  <c r="R1823" i="1"/>
  <c r="R1822" i="1"/>
  <c r="R1820" i="1"/>
  <c r="R1817" i="1"/>
  <c r="R1815" i="1"/>
  <c r="R1814" i="1"/>
  <c r="R1813" i="1"/>
  <c r="R1812" i="1"/>
  <c r="R1811" i="1"/>
  <c r="R1810" i="1"/>
  <c r="R1809" i="1"/>
  <c r="R1808" i="1"/>
  <c r="R1807" i="1"/>
  <c r="R1806" i="1"/>
  <c r="R1804" i="1"/>
  <c r="R1803" i="1"/>
  <c r="R1801" i="1"/>
  <c r="R1802" i="1"/>
  <c r="R1800" i="1"/>
  <c r="R1794" i="1"/>
  <c r="R1799" i="1"/>
  <c r="R1798" i="1"/>
  <c r="R1797" i="1"/>
  <c r="R1796" i="1"/>
  <c r="R1795" i="1"/>
  <c r="R1793" i="1"/>
  <c r="R1237" i="1"/>
  <c r="R1792" i="1"/>
  <c r="R1791" i="1"/>
  <c r="R1790" i="1"/>
  <c r="R1789" i="1"/>
  <c r="R1788" i="1"/>
  <c r="R1785" i="1"/>
  <c r="R1784" i="1"/>
  <c r="R1783" i="1"/>
  <c r="R1780" i="1"/>
  <c r="R1782" i="1"/>
  <c r="R1781" i="1"/>
  <c r="R1779" i="1"/>
  <c r="R1805" i="1"/>
  <c r="R1778" i="1"/>
  <c r="R1772" i="1"/>
  <c r="R1777" i="1"/>
  <c r="R1776" i="1"/>
  <c r="R1775" i="1"/>
  <c r="R1774" i="1"/>
  <c r="R1773" i="1"/>
  <c r="R1771" i="1"/>
  <c r="R1769" i="1"/>
  <c r="R1768" i="1"/>
  <c r="R1767" i="1"/>
  <c r="R1787" i="1"/>
  <c r="R1764" i="1"/>
  <c r="R1766" i="1"/>
  <c r="R1525" i="1"/>
  <c r="R1765" i="1"/>
  <c r="R1759" i="1"/>
  <c r="R1763" i="1"/>
  <c r="R1762" i="1"/>
  <c r="R1761" i="1"/>
  <c r="R1760" i="1"/>
  <c r="R1758" i="1"/>
  <c r="R1757" i="1"/>
  <c r="R1755" i="1"/>
  <c r="R1756" i="1"/>
  <c r="R1754" i="1"/>
  <c r="R1315" i="1"/>
  <c r="R1749" i="1"/>
  <c r="R1753" i="1"/>
  <c r="R1752" i="1"/>
  <c r="R1751" i="1"/>
  <c r="R1750" i="1"/>
  <c r="R1748" i="1"/>
  <c r="R1745" i="1"/>
  <c r="R1747" i="1"/>
  <c r="R1746" i="1"/>
  <c r="R1744" i="1"/>
  <c r="R1743" i="1"/>
  <c r="R1742" i="1"/>
  <c r="R1770" i="1"/>
  <c r="R1741" i="1"/>
  <c r="R1740" i="1"/>
  <c r="R1739" i="1"/>
  <c r="R1738" i="1"/>
  <c r="R1737" i="1"/>
  <c r="R1736" i="1"/>
  <c r="R1719" i="1"/>
  <c r="R1735" i="1"/>
  <c r="R1734" i="1"/>
  <c r="R1733" i="1"/>
  <c r="R1732" i="1"/>
  <c r="R1731" i="1"/>
  <c r="R1730" i="1"/>
  <c r="R1729" i="1"/>
  <c r="R1728" i="1"/>
  <c r="R1727" i="1"/>
  <c r="R1726" i="1"/>
  <c r="R1725" i="1"/>
  <c r="R1724" i="1"/>
  <c r="R1723" i="1"/>
  <c r="R1722" i="1"/>
  <c r="R1721" i="1"/>
  <c r="R1718" i="1"/>
  <c r="R1717" i="1"/>
  <c r="R1716" i="1"/>
  <c r="R1715" i="1"/>
  <c r="R1714" i="1"/>
  <c r="R1713" i="1"/>
  <c r="R1712" i="1"/>
  <c r="R1711" i="1"/>
  <c r="R1710" i="1"/>
  <c r="R1709" i="1"/>
  <c r="R1708" i="1"/>
  <c r="R1707" i="1"/>
  <c r="R1706" i="1"/>
  <c r="R1705" i="1"/>
  <c r="R1704" i="1"/>
  <c r="R1703" i="1"/>
  <c r="R1701" i="1"/>
  <c r="R1700" i="1"/>
  <c r="R1699" i="1"/>
  <c r="R1698" i="1"/>
  <c r="R1697" i="1"/>
  <c r="R1696" i="1"/>
  <c r="R1695" i="1"/>
  <c r="R1694" i="1"/>
  <c r="R1681" i="1"/>
  <c r="R1693" i="1"/>
  <c r="R1692" i="1"/>
  <c r="R1691" i="1"/>
  <c r="R1690" i="1"/>
  <c r="R1689" i="1"/>
  <c r="R1688" i="1"/>
  <c r="R1687" i="1"/>
  <c r="R1686" i="1"/>
  <c r="R1685" i="1"/>
  <c r="R1684" i="1"/>
  <c r="R1683" i="1"/>
  <c r="R1682" i="1"/>
  <c r="R1680" i="1"/>
  <c r="R1679" i="1"/>
  <c r="R1678" i="1"/>
  <c r="R1677" i="1"/>
  <c r="R1676" i="1"/>
  <c r="R1675" i="1"/>
  <c r="R1674" i="1"/>
  <c r="R1673" i="1"/>
  <c r="R1786" i="1"/>
  <c r="R1672" i="1"/>
  <c r="R1671" i="1"/>
  <c r="R1670" i="1"/>
  <c r="R1669" i="1"/>
  <c r="R1668" i="1"/>
  <c r="R1667" i="1"/>
  <c r="R1666" i="1"/>
  <c r="R1665" i="1"/>
  <c r="R1664" i="1"/>
  <c r="R1663" i="1"/>
  <c r="R1662" i="1"/>
  <c r="R1661" i="1"/>
  <c r="R1660" i="1"/>
  <c r="R1659" i="1"/>
  <c r="R1658" i="1"/>
  <c r="R1657" i="1"/>
  <c r="R1656" i="1"/>
  <c r="R1655" i="1"/>
  <c r="R1650" i="1"/>
  <c r="R1654" i="1"/>
  <c r="R1653" i="1"/>
  <c r="R1652" i="1"/>
  <c r="R1651" i="1"/>
  <c r="R1649"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0" i="1"/>
  <c r="R1625" i="1"/>
  <c r="R1624" i="1"/>
  <c r="R1623" i="1"/>
  <c r="R1622" i="1"/>
  <c r="R1619" i="1"/>
  <c r="R1618" i="1"/>
  <c r="R1617" i="1"/>
  <c r="R1615" i="1"/>
  <c r="R1616" i="1"/>
  <c r="R1614" i="1"/>
  <c r="R1613" i="1"/>
  <c r="R1612" i="1"/>
  <c r="R1611" i="1"/>
  <c r="R1610" i="1"/>
  <c r="R1609" i="1"/>
  <c r="R1608" i="1"/>
  <c r="R1607" i="1"/>
  <c r="R1606" i="1"/>
  <c r="R1605" i="1"/>
  <c r="R1604" i="1"/>
  <c r="R1603" i="1"/>
  <c r="R1602" i="1"/>
  <c r="R1601" i="1"/>
  <c r="R1600" i="1"/>
  <c r="R1599" i="1"/>
  <c r="R1370" i="1"/>
  <c r="R1598" i="1"/>
  <c r="R1597" i="1"/>
  <c r="R1596" i="1"/>
  <c r="R1595" i="1"/>
  <c r="R1594" i="1"/>
  <c r="R1593" i="1"/>
  <c r="R1592" i="1"/>
  <c r="R1591" i="1"/>
  <c r="R1590" i="1"/>
  <c r="R1589" i="1"/>
  <c r="R1587" i="1"/>
  <c r="R1585" i="1"/>
  <c r="R1584" i="1"/>
  <c r="R1583" i="1"/>
  <c r="R1582" i="1"/>
  <c r="R1581" i="1"/>
  <c r="R1580" i="1"/>
  <c r="R1579" i="1"/>
  <c r="R1578" i="1"/>
  <c r="R1577" i="1"/>
  <c r="R1576" i="1"/>
  <c r="R1575" i="1"/>
  <c r="R1574" i="1"/>
  <c r="R1573" i="1"/>
  <c r="R1572" i="1"/>
  <c r="R1571" i="1"/>
  <c r="R1568" i="1"/>
  <c r="R1570" i="1"/>
  <c r="R1569" i="1"/>
  <c r="R1567" i="1"/>
  <c r="R1566" i="1"/>
  <c r="R1565" i="1"/>
  <c r="R1563" i="1"/>
  <c r="R1562" i="1"/>
  <c r="R1561" i="1"/>
  <c r="R1560" i="1"/>
  <c r="R1559" i="1"/>
  <c r="R1558" i="1"/>
  <c r="R1557" i="1"/>
  <c r="R1556" i="1"/>
  <c r="R1555" i="1"/>
  <c r="R1554" i="1"/>
  <c r="R1553"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4" i="1"/>
  <c r="R1523" i="1"/>
  <c r="R1522" i="1"/>
  <c r="R1521" i="1"/>
  <c r="R1520" i="1"/>
  <c r="R1519" i="1"/>
  <c r="R1518" i="1"/>
  <c r="R1517" i="1"/>
  <c r="R1516" i="1"/>
  <c r="R1515" i="1"/>
  <c r="R1514" i="1"/>
  <c r="R1511" i="1"/>
  <c r="R1513" i="1"/>
  <c r="R1512" i="1"/>
  <c r="R1510" i="1"/>
  <c r="R1509" i="1"/>
  <c r="R1508" i="1"/>
  <c r="R1507" i="1"/>
  <c r="R1506" i="1"/>
  <c r="R1505" i="1"/>
  <c r="R1504" i="1"/>
  <c r="R1503" i="1"/>
  <c r="R1502" i="1"/>
  <c r="R1496" i="1"/>
  <c r="R1501" i="1"/>
  <c r="R1500" i="1"/>
  <c r="R1499" i="1"/>
  <c r="R1498" i="1"/>
  <c r="R1495" i="1"/>
  <c r="R1497" i="1"/>
  <c r="R1491" i="1"/>
  <c r="R1494" i="1"/>
  <c r="R1493" i="1"/>
  <c r="R1492" i="1"/>
  <c r="R1489" i="1"/>
  <c r="R1488" i="1"/>
  <c r="R1487" i="1"/>
  <c r="R1486" i="1"/>
  <c r="R1485" i="1"/>
  <c r="R1490"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8" i="1"/>
  <c r="R1419" i="1"/>
  <c r="R1417" i="1"/>
  <c r="R1416" i="1"/>
  <c r="R1415" i="1"/>
  <c r="R1414" i="1"/>
  <c r="R1413" i="1"/>
  <c r="R1412" i="1"/>
  <c r="R1411" i="1"/>
  <c r="R1410" i="1"/>
  <c r="R1409" i="1"/>
  <c r="R1408" i="1"/>
  <c r="R1407" i="1"/>
  <c r="R1406" i="1"/>
  <c r="R1405" i="1"/>
  <c r="R1404" i="1"/>
  <c r="R1403" i="1"/>
  <c r="R1183" i="1"/>
  <c r="R1402" i="1"/>
  <c r="R1401" i="1"/>
  <c r="R1400" i="1"/>
  <c r="R1399" i="1"/>
  <c r="R1398" i="1"/>
  <c r="R1397" i="1"/>
  <c r="R1396" i="1"/>
  <c r="R1394" i="1"/>
  <c r="R1389" i="1"/>
  <c r="R1393" i="1"/>
  <c r="R1391" i="1"/>
  <c r="R1385" i="1"/>
  <c r="R1395" i="1"/>
  <c r="R1392" i="1"/>
  <c r="R1373" i="1"/>
  <c r="R1390" i="1"/>
  <c r="R1388" i="1"/>
  <c r="R1387" i="1"/>
  <c r="R1386" i="1"/>
  <c r="R1384" i="1"/>
  <c r="R1383" i="1"/>
  <c r="R1382" i="1"/>
  <c r="R1376" i="1"/>
  <c r="R1381" i="1"/>
  <c r="R1377" i="1"/>
  <c r="R1380" i="1"/>
  <c r="R1379" i="1"/>
  <c r="R1378" i="1"/>
  <c r="R1375" i="1"/>
  <c r="R1374" i="1"/>
  <c r="R1372" i="1"/>
  <c r="R1371" i="1"/>
  <c r="R1369" i="1"/>
  <c r="R1368" i="1"/>
  <c r="R1367" i="1"/>
  <c r="R1366" i="1"/>
  <c r="R1365" i="1"/>
  <c r="R1364" i="1"/>
  <c r="R1286" i="1"/>
  <c r="R1342" i="1"/>
  <c r="R1363" i="1"/>
  <c r="R1362" i="1"/>
  <c r="R1361" i="1"/>
  <c r="R1360" i="1"/>
  <c r="R1359" i="1"/>
  <c r="R1358" i="1"/>
  <c r="R1357" i="1"/>
  <c r="R1354" i="1"/>
  <c r="R1356" i="1"/>
  <c r="R1355" i="1"/>
  <c r="R1353" i="1"/>
  <c r="R1341" i="1"/>
  <c r="R1343" i="1"/>
  <c r="R1351" i="1"/>
  <c r="R1352" i="1"/>
  <c r="R1350" i="1"/>
  <c r="R1349" i="1"/>
  <c r="R1348" i="1"/>
  <c r="R1347" i="1"/>
  <c r="R1346" i="1"/>
  <c r="R1345" i="1"/>
  <c r="R1344" i="1"/>
  <c r="R1340" i="1"/>
  <c r="R1339" i="1"/>
  <c r="R1338" i="1"/>
  <c r="R1336" i="1"/>
  <c r="R1337" i="1"/>
  <c r="R1335" i="1"/>
  <c r="R1334" i="1"/>
  <c r="R1285" i="1"/>
  <c r="R1333" i="1"/>
  <c r="R1332" i="1"/>
  <c r="R1331" i="1"/>
  <c r="R1330" i="1"/>
  <c r="R1329" i="1"/>
  <c r="R1328" i="1"/>
  <c r="R1327" i="1"/>
  <c r="R1326" i="1"/>
  <c r="R1325" i="1"/>
  <c r="R1324" i="1"/>
  <c r="R1323" i="1"/>
  <c r="R1322" i="1"/>
  <c r="R1321" i="1"/>
  <c r="R1320" i="1"/>
  <c r="R1319" i="1"/>
  <c r="R1318" i="1"/>
  <c r="R1317" i="1"/>
  <c r="R1316" i="1"/>
  <c r="R1314" i="1"/>
  <c r="R1313" i="1"/>
  <c r="R1312" i="1"/>
  <c r="R1310" i="1"/>
  <c r="R1311" i="1"/>
  <c r="R1309" i="1"/>
  <c r="R1308" i="1"/>
  <c r="R1307" i="1"/>
  <c r="R1306" i="1"/>
  <c r="R1305" i="1"/>
  <c r="R1304" i="1"/>
  <c r="R1303" i="1"/>
  <c r="R1302" i="1"/>
  <c r="R1301" i="1"/>
  <c r="R1300" i="1"/>
  <c r="R1299" i="1"/>
  <c r="R1298" i="1"/>
  <c r="R1297" i="1"/>
  <c r="R1295" i="1"/>
  <c r="R1296" i="1"/>
  <c r="R1294" i="1"/>
  <c r="R1293" i="1"/>
  <c r="R1292" i="1"/>
  <c r="R1291" i="1"/>
  <c r="R1290" i="1"/>
  <c r="R1289" i="1"/>
  <c r="R1288" i="1"/>
  <c r="R1287" i="1"/>
  <c r="R1284" i="1"/>
  <c r="R1282" i="1"/>
  <c r="R1281" i="1"/>
  <c r="R1283" i="1"/>
  <c r="R1280" i="1"/>
  <c r="R1279" i="1"/>
  <c r="R1278" i="1"/>
  <c r="R1274" i="1"/>
  <c r="R1276" i="1"/>
  <c r="R1277" i="1"/>
  <c r="R1273" i="1"/>
  <c r="R1275" i="1"/>
  <c r="R1272" i="1"/>
  <c r="R1271" i="1"/>
  <c r="R1270" i="1"/>
  <c r="R1269" i="1"/>
  <c r="R1268" i="1"/>
  <c r="R1266" i="1"/>
  <c r="R1265" i="1"/>
  <c r="R1267" i="1"/>
  <c r="R1260" i="1"/>
  <c r="R1264" i="1"/>
  <c r="R1263" i="1"/>
  <c r="R1262" i="1"/>
  <c r="R1261" i="1"/>
  <c r="R1259" i="1"/>
  <c r="R1191" i="1"/>
  <c r="R1258" i="1"/>
  <c r="R1257" i="1"/>
  <c r="R1256" i="1"/>
  <c r="R1255" i="1"/>
  <c r="R1254" i="1"/>
  <c r="R1253" i="1"/>
  <c r="R1240" i="1"/>
  <c r="R1252" i="1"/>
  <c r="R1251" i="1"/>
  <c r="R1250" i="1"/>
  <c r="R1249" i="1"/>
  <c r="R1248" i="1"/>
  <c r="R1247" i="1"/>
  <c r="R1246" i="1"/>
  <c r="R1226" i="1"/>
  <c r="R1245" i="1"/>
  <c r="R1243" i="1"/>
  <c r="R1244" i="1"/>
  <c r="R1227" i="1"/>
  <c r="R1242" i="1"/>
  <c r="R1241" i="1"/>
  <c r="R1217" i="1"/>
  <c r="R1239" i="1"/>
  <c r="R1238" i="1"/>
  <c r="R1236" i="1"/>
  <c r="R1234" i="1"/>
  <c r="R1233" i="1"/>
  <c r="R1235" i="1"/>
  <c r="R1232" i="1"/>
  <c r="R1231" i="1"/>
  <c r="R1230" i="1"/>
  <c r="R1229" i="1"/>
  <c r="R1228" i="1"/>
  <c r="R1225" i="1"/>
  <c r="R1224" i="1"/>
  <c r="R1223" i="1"/>
  <c r="R1222" i="1"/>
  <c r="R1221" i="1"/>
  <c r="R1220" i="1"/>
  <c r="R1219" i="1"/>
  <c r="R1218" i="1"/>
  <c r="R1216" i="1"/>
  <c r="R1215" i="1"/>
  <c r="R1214" i="1"/>
  <c r="R1213" i="1"/>
  <c r="R1212" i="1"/>
  <c r="R1210" i="1"/>
  <c r="R1209" i="1"/>
  <c r="R1208" i="1"/>
  <c r="R1207" i="1"/>
  <c r="R1206" i="1"/>
  <c r="R1205" i="1"/>
  <c r="R1204" i="1"/>
  <c r="R1203" i="1"/>
  <c r="R1202" i="1"/>
  <c r="R1193" i="1"/>
  <c r="R1201" i="1"/>
  <c r="R1200" i="1"/>
  <c r="R1196" i="1"/>
  <c r="R1195" i="1"/>
  <c r="R1192" i="1"/>
  <c r="R1199" i="1"/>
  <c r="R1198" i="1"/>
  <c r="R1197" i="1"/>
  <c r="R1194" i="1"/>
  <c r="R1190" i="1"/>
  <c r="R1189" i="1"/>
  <c r="R1184" i="1"/>
  <c r="R1188" i="1"/>
  <c r="R1187" i="1"/>
  <c r="R1186" i="1"/>
  <c r="R1185" i="1"/>
  <c r="R1182" i="1"/>
  <c r="R1181" i="1"/>
  <c r="R1180" i="1"/>
  <c r="R1179" i="1"/>
  <c r="R1178" i="1"/>
  <c r="R1177" i="1"/>
  <c r="R1167" i="1"/>
  <c r="R1166" i="1"/>
  <c r="R1165" i="1"/>
  <c r="R1175" i="1"/>
  <c r="R1176" i="1"/>
  <c r="R1174" i="1"/>
  <c r="R1173" i="1"/>
  <c r="R1172" i="1"/>
  <c r="R1171" i="1"/>
  <c r="R1170" i="1"/>
  <c r="R1169" i="1"/>
  <c r="R1168" i="1"/>
  <c r="R1164" i="1"/>
  <c r="R1163" i="1"/>
  <c r="R1162" i="1"/>
  <c r="R1161" i="1"/>
  <c r="R1160" i="1"/>
  <c r="R1159" i="1"/>
  <c r="R1158" i="1"/>
  <c r="R1157" i="1"/>
  <c r="R1156" i="1"/>
  <c r="R1155" i="1"/>
  <c r="R1154" i="1"/>
  <c r="R1153" i="1"/>
  <c r="R1152" i="1"/>
  <c r="R1149" i="1"/>
  <c r="R1151" i="1"/>
  <c r="R1147" i="1"/>
  <c r="R1148" i="1"/>
  <c r="R1150" i="1"/>
  <c r="R1096" i="1"/>
  <c r="R1146" i="1"/>
  <c r="R1144" i="1"/>
  <c r="R1145" i="1"/>
  <c r="R1143" i="1"/>
  <c r="R1142" i="1"/>
  <c r="R1141" i="1"/>
  <c r="R1140" i="1"/>
  <c r="R1139" i="1"/>
  <c r="R1138" i="1"/>
  <c r="R1137" i="1"/>
  <c r="R1136" i="1"/>
  <c r="R1135" i="1"/>
  <c r="R1134" i="1"/>
  <c r="R1133" i="1"/>
  <c r="R1132" i="1"/>
  <c r="R1131" i="1"/>
  <c r="R1130" i="1"/>
  <c r="R1129" i="1"/>
  <c r="R1128" i="1"/>
  <c r="R1127" i="1"/>
  <c r="R1126" i="1"/>
  <c r="R1125" i="1"/>
  <c r="R1124" i="1"/>
  <c r="R1123" i="1"/>
  <c r="R1122" i="1"/>
  <c r="R1121" i="1"/>
  <c r="R1120" i="1"/>
  <c r="R1119" i="1"/>
  <c r="R1118" i="1"/>
  <c r="R1117" i="1"/>
  <c r="R1116" i="1"/>
  <c r="R1115" i="1"/>
  <c r="R1114" i="1"/>
  <c r="R1113" i="1"/>
  <c r="R1112" i="1"/>
  <c r="R1111" i="1"/>
  <c r="R1110" i="1"/>
  <c r="R1109" i="1"/>
  <c r="R1108" i="1"/>
  <c r="R1107" i="1"/>
  <c r="R1106" i="1"/>
  <c r="R1103" i="1"/>
  <c r="R1105" i="1"/>
  <c r="R1104" i="1"/>
  <c r="R1102" i="1"/>
  <c r="R1101" i="1"/>
  <c r="R1211" i="1"/>
  <c r="R1100" i="1"/>
  <c r="R1099" i="1"/>
  <c r="R1098" i="1"/>
  <c r="R1097" i="1"/>
  <c r="R1094" i="1"/>
  <c r="R1091" i="1"/>
  <c r="R1095" i="1"/>
  <c r="R1093" i="1"/>
  <c r="R1092"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5" i="1"/>
  <c r="R1067" i="1"/>
  <c r="R1066"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2" i="1"/>
  <c r="R1036" i="1"/>
  <c r="R1035" i="1"/>
  <c r="R1034" i="1"/>
  <c r="R1028" i="1"/>
  <c r="R1033" i="1"/>
  <c r="R1031" i="1"/>
  <c r="R1030" i="1"/>
  <c r="R1029" i="1"/>
  <c r="R1027" i="1"/>
  <c r="R1026" i="1"/>
  <c r="R1025" i="1"/>
  <c r="R1024" i="1"/>
  <c r="R1023" i="1"/>
  <c r="R1022" i="1"/>
  <c r="R1021" i="1"/>
  <c r="R1020" i="1"/>
  <c r="R1019" i="1"/>
  <c r="R1018" i="1"/>
  <c r="R1015" i="1"/>
  <c r="R1017" i="1"/>
  <c r="R1016" i="1"/>
  <c r="R1014" i="1"/>
  <c r="R1013" i="1"/>
  <c r="R1012" i="1"/>
  <c r="R1011" i="1"/>
  <c r="R1010" i="1"/>
  <c r="R1009" i="1"/>
  <c r="R1008" i="1"/>
  <c r="R1007" i="1"/>
  <c r="R1006" i="1"/>
  <c r="R1005" i="1"/>
  <c r="R1004" i="1"/>
  <c r="R1003" i="1"/>
  <c r="R1002" i="1"/>
  <c r="R1001" i="1"/>
  <c r="R1000" i="1"/>
  <c r="R998" i="1"/>
  <c r="R997" i="1"/>
  <c r="R999" i="1"/>
  <c r="R996" i="1"/>
  <c r="R995" i="1"/>
  <c r="R994" i="1"/>
  <c r="R993" i="1"/>
  <c r="R992" i="1"/>
  <c r="R991" i="1"/>
  <c r="R990" i="1"/>
  <c r="R989" i="1"/>
  <c r="R988" i="1"/>
  <c r="R987" i="1"/>
  <c r="R986" i="1"/>
  <c r="R985" i="1"/>
  <c r="R984" i="1"/>
  <c r="R983" i="1"/>
  <c r="R982" i="1"/>
  <c r="R981" i="1"/>
  <c r="R980" i="1"/>
  <c r="R978" i="1"/>
  <c r="R979" i="1"/>
  <c r="R974" i="1"/>
  <c r="R973" i="1"/>
  <c r="R977" i="1"/>
  <c r="R976" i="1"/>
  <c r="R975" i="1"/>
  <c r="R972" i="1"/>
  <c r="R970" i="1"/>
  <c r="R969" i="1"/>
  <c r="R968" i="1"/>
  <c r="R967" i="1"/>
  <c r="R966" i="1"/>
  <c r="R965" i="1"/>
  <c r="R964" i="1"/>
  <c r="R971" i="1"/>
  <c r="R963" i="1"/>
  <c r="R962" i="1"/>
  <c r="R961" i="1"/>
  <c r="R960" i="1"/>
  <c r="R959" i="1"/>
  <c r="R958" i="1"/>
  <c r="R957" i="1"/>
  <c r="R956" i="1"/>
  <c r="R955" i="1"/>
  <c r="R954" i="1"/>
  <c r="R952" i="1"/>
  <c r="R953" i="1"/>
  <c r="R951" i="1"/>
  <c r="R950" i="1"/>
  <c r="R949" i="1"/>
  <c r="R948" i="1"/>
  <c r="R947" i="1"/>
  <c r="R946" i="1"/>
  <c r="R945" i="1"/>
  <c r="R944" i="1"/>
  <c r="R943" i="1"/>
  <c r="R942" i="1"/>
  <c r="R941" i="1"/>
  <c r="R940" i="1"/>
  <c r="R939" i="1"/>
  <c r="R938" i="1"/>
  <c r="R937" i="1"/>
  <c r="R936" i="1"/>
  <c r="R935" i="1"/>
  <c r="R934" i="1"/>
  <c r="R933" i="1"/>
  <c r="R932" i="1"/>
  <c r="R931" i="1"/>
  <c r="R930" i="1"/>
  <c r="R926" i="1"/>
  <c r="R929" i="1"/>
  <c r="R928" i="1"/>
  <c r="R927" i="1"/>
  <c r="R925" i="1"/>
  <c r="R924" i="1"/>
  <c r="R921" i="1"/>
  <c r="R897" i="1"/>
  <c r="R923" i="1"/>
  <c r="R922" i="1"/>
  <c r="R920" i="1"/>
  <c r="R919" i="1"/>
  <c r="R918" i="1"/>
  <c r="R917" i="1"/>
  <c r="R916" i="1"/>
  <c r="R915" i="1"/>
  <c r="R914" i="1"/>
  <c r="R913" i="1"/>
  <c r="R912" i="1"/>
  <c r="R910" i="1"/>
  <c r="R911" i="1"/>
  <c r="R909" i="1"/>
  <c r="R903" i="1"/>
  <c r="R908" i="1"/>
  <c r="R907" i="1"/>
  <c r="R906" i="1"/>
  <c r="R902" i="1"/>
  <c r="R901" i="1"/>
  <c r="R900" i="1"/>
  <c r="R899" i="1"/>
  <c r="R898" i="1"/>
  <c r="R905" i="1"/>
  <c r="R904" i="1"/>
  <c r="R896" i="1"/>
  <c r="R894" i="1"/>
  <c r="R895" i="1"/>
  <c r="R893" i="1"/>
  <c r="R892" i="1"/>
  <c r="R891" i="1"/>
  <c r="R890" i="1"/>
  <c r="R888" i="1"/>
  <c r="R886" i="1"/>
  <c r="R887" i="1"/>
  <c r="R885" i="1"/>
  <c r="R884" i="1"/>
  <c r="R889" i="1"/>
  <c r="R64" i="1"/>
  <c r="R43" i="1"/>
  <c r="R31" i="1"/>
  <c r="R883" i="1"/>
  <c r="R726" i="1"/>
  <c r="R697" i="1"/>
  <c r="R882" i="1"/>
  <c r="R861" i="1"/>
  <c r="R881" i="1"/>
  <c r="R880" i="1"/>
  <c r="R879" i="1"/>
  <c r="R878" i="1"/>
  <c r="R877" i="1"/>
  <c r="R876" i="1"/>
  <c r="R875" i="1"/>
  <c r="R874" i="1"/>
  <c r="R873" i="1"/>
  <c r="R872" i="1"/>
  <c r="R871" i="1"/>
  <c r="R870" i="1"/>
  <c r="R869" i="1"/>
  <c r="R868" i="1"/>
  <c r="R867" i="1"/>
  <c r="R865" i="1"/>
  <c r="R864" i="1"/>
  <c r="R866" i="1"/>
  <c r="R863" i="1"/>
  <c r="R862" i="1"/>
  <c r="R860" i="1"/>
  <c r="R859" i="1"/>
  <c r="R857" i="1"/>
  <c r="R856" i="1"/>
  <c r="R855" i="1"/>
  <c r="R858" i="1"/>
  <c r="R854" i="1"/>
  <c r="R853" i="1"/>
  <c r="R852" i="1"/>
  <c r="R851" i="1"/>
  <c r="R849" i="1"/>
  <c r="R848" i="1"/>
  <c r="R847" i="1"/>
  <c r="R846" i="1"/>
  <c r="R850" i="1"/>
  <c r="R845" i="1"/>
  <c r="R844" i="1"/>
  <c r="R843" i="1"/>
  <c r="R842" i="1"/>
  <c r="R840" i="1"/>
  <c r="R841" i="1"/>
  <c r="R838" i="1"/>
  <c r="R839" i="1"/>
  <c r="R837" i="1"/>
  <c r="R836" i="1"/>
  <c r="R835" i="1"/>
  <c r="R834" i="1"/>
  <c r="R833" i="1"/>
  <c r="R832" i="1"/>
  <c r="R831" i="1"/>
  <c r="R830" i="1"/>
  <c r="R829" i="1"/>
  <c r="R828" i="1"/>
  <c r="R827" i="1"/>
  <c r="R826" i="1"/>
  <c r="R824" i="1"/>
  <c r="R825" i="1"/>
  <c r="R823" i="1"/>
  <c r="R822" i="1"/>
  <c r="R821" i="1"/>
  <c r="R820" i="1"/>
  <c r="R819" i="1"/>
  <c r="R818" i="1"/>
  <c r="R817" i="1"/>
  <c r="R816" i="1"/>
  <c r="R815" i="1"/>
  <c r="R814" i="1"/>
  <c r="R813" i="1"/>
  <c r="R812" i="1"/>
  <c r="R811" i="1"/>
  <c r="R810" i="1"/>
  <c r="R809" i="1"/>
  <c r="R800" i="1"/>
  <c r="R806" i="1"/>
  <c r="R805" i="1"/>
  <c r="R808" i="1"/>
  <c r="R804" i="1"/>
  <c r="R803" i="1"/>
  <c r="R802" i="1"/>
  <c r="R801" i="1"/>
  <c r="R799" i="1"/>
  <c r="R798" i="1"/>
  <c r="R797" i="1"/>
  <c r="R796" i="1"/>
  <c r="R795" i="1"/>
  <c r="R794" i="1"/>
  <c r="R793" i="1"/>
  <c r="R792" i="1"/>
  <c r="R791" i="1"/>
  <c r="R790" i="1"/>
  <c r="R789" i="1"/>
  <c r="R788" i="1"/>
  <c r="R787" i="1"/>
  <c r="R786" i="1"/>
  <c r="R778" i="1"/>
  <c r="R785" i="1"/>
  <c r="R784" i="1"/>
  <c r="R783" i="1"/>
  <c r="R782" i="1"/>
  <c r="R781" i="1"/>
  <c r="R780" i="1"/>
  <c r="R779" i="1"/>
  <c r="R777" i="1"/>
  <c r="R766" i="1"/>
  <c r="R776" i="1"/>
  <c r="R775" i="1"/>
  <c r="R774" i="1"/>
  <c r="R773" i="1"/>
  <c r="R772" i="1"/>
  <c r="R771" i="1"/>
  <c r="R770" i="1"/>
  <c r="R769" i="1"/>
  <c r="R768" i="1"/>
  <c r="R767" i="1"/>
  <c r="R765" i="1"/>
  <c r="R764" i="1"/>
  <c r="R762" i="1"/>
  <c r="R763" i="1"/>
  <c r="R761" i="1"/>
  <c r="R760" i="1"/>
  <c r="R759" i="1"/>
  <c r="R758" i="1"/>
  <c r="R807" i="1"/>
  <c r="R738" i="1"/>
  <c r="R757" i="1"/>
  <c r="R756" i="1"/>
  <c r="R755" i="1"/>
  <c r="R753" i="1"/>
  <c r="R730" i="1"/>
  <c r="R754" i="1"/>
  <c r="R752" i="1"/>
  <c r="R751" i="1"/>
  <c r="R750" i="1"/>
  <c r="R748" i="1"/>
  <c r="R749" i="1"/>
  <c r="R747" i="1"/>
  <c r="R746" i="1"/>
  <c r="R745" i="1"/>
  <c r="R744" i="1"/>
  <c r="R743" i="1"/>
  <c r="R742" i="1"/>
  <c r="R741" i="1"/>
  <c r="R740" i="1"/>
  <c r="R739" i="1"/>
  <c r="R737" i="1"/>
  <c r="R736" i="1"/>
  <c r="R735" i="1"/>
  <c r="R734" i="1"/>
  <c r="R733" i="1"/>
  <c r="R732" i="1"/>
  <c r="R729" i="1"/>
  <c r="R728" i="1"/>
  <c r="R727" i="1"/>
  <c r="R731" i="1"/>
  <c r="R724" i="1"/>
  <c r="R723" i="1"/>
  <c r="R722" i="1"/>
  <c r="R720" i="1"/>
  <c r="R719" i="1"/>
  <c r="R718" i="1"/>
  <c r="R721" i="1"/>
  <c r="R716" i="1"/>
  <c r="R717" i="1"/>
  <c r="R715" i="1"/>
  <c r="R714" i="1"/>
  <c r="R713" i="1"/>
  <c r="R712" i="1"/>
  <c r="R711" i="1"/>
  <c r="R710" i="1"/>
  <c r="R709" i="1"/>
  <c r="R708" i="1"/>
  <c r="R707" i="1"/>
  <c r="R706" i="1"/>
  <c r="R705" i="1"/>
  <c r="R704" i="1"/>
  <c r="R703" i="1"/>
  <c r="R702" i="1"/>
  <c r="R701" i="1"/>
  <c r="R700" i="1"/>
  <c r="R699" i="1"/>
  <c r="R698" i="1"/>
  <c r="R696" i="1"/>
  <c r="R695" i="1"/>
  <c r="R694" i="1"/>
  <c r="R693" i="1"/>
  <c r="R692" i="1"/>
  <c r="R691" i="1"/>
  <c r="R690" i="1"/>
  <c r="R689" i="1"/>
  <c r="R688" i="1"/>
  <c r="R687" i="1"/>
  <c r="R686" i="1"/>
  <c r="R685" i="1"/>
  <c r="R683" i="1"/>
  <c r="R684" i="1"/>
  <c r="R682" i="1"/>
  <c r="R681" i="1"/>
  <c r="R680" i="1"/>
  <c r="R679" i="1"/>
  <c r="R678" i="1"/>
  <c r="R676" i="1"/>
  <c r="R675" i="1"/>
  <c r="R674" i="1"/>
  <c r="R673" i="1"/>
  <c r="R672" i="1"/>
  <c r="R671" i="1"/>
  <c r="R669" i="1"/>
  <c r="R670" i="1"/>
  <c r="R668" i="1"/>
  <c r="R667" i="1"/>
  <c r="R666" i="1"/>
  <c r="R665" i="1"/>
  <c r="R677" i="1"/>
  <c r="R664" i="1"/>
  <c r="R660" i="1"/>
  <c r="R663" i="1"/>
  <c r="R662" i="1"/>
  <c r="R661" i="1"/>
  <c r="R659" i="1"/>
  <c r="R658" i="1"/>
  <c r="R655" i="1"/>
  <c r="R657" i="1"/>
  <c r="R654" i="1"/>
  <c r="R653" i="1"/>
  <c r="R652" i="1"/>
  <c r="R656" i="1"/>
  <c r="R651" i="1"/>
  <c r="R650" i="1"/>
  <c r="R649" i="1"/>
  <c r="R648" i="1"/>
  <c r="R647" i="1"/>
  <c r="R646" i="1"/>
  <c r="R645" i="1"/>
  <c r="R644" i="1"/>
  <c r="R643" i="1"/>
  <c r="R642" i="1"/>
  <c r="R641" i="1"/>
  <c r="R640" i="1"/>
  <c r="R639" i="1"/>
  <c r="R638" i="1"/>
  <c r="R637" i="1"/>
  <c r="R636" i="1"/>
  <c r="R635" i="1"/>
  <c r="R632" i="1"/>
  <c r="R634" i="1"/>
  <c r="R633" i="1"/>
  <c r="R631" i="1"/>
  <c r="R630" i="1"/>
  <c r="R629" i="1"/>
  <c r="R628" i="1"/>
  <c r="R627" i="1"/>
  <c r="R624" i="1"/>
  <c r="R626" i="1"/>
  <c r="R625" i="1"/>
  <c r="R623" i="1"/>
  <c r="R621" i="1"/>
  <c r="R622" i="1"/>
  <c r="R620" i="1"/>
  <c r="R619" i="1"/>
  <c r="R618" i="1"/>
  <c r="R617" i="1"/>
  <c r="R616" i="1"/>
  <c r="R615" i="1"/>
  <c r="R614" i="1"/>
  <c r="R613" i="1"/>
  <c r="R612" i="1"/>
  <c r="R595" i="1"/>
  <c r="R611" i="1"/>
  <c r="R610" i="1"/>
  <c r="R609" i="1"/>
  <c r="R608" i="1"/>
  <c r="R607" i="1"/>
  <c r="R606" i="1"/>
  <c r="R605" i="1"/>
  <c r="R604" i="1"/>
  <c r="R603" i="1"/>
  <c r="R602" i="1"/>
  <c r="R601" i="1"/>
  <c r="R600" i="1"/>
  <c r="R599" i="1"/>
  <c r="R596" i="1"/>
  <c r="R598" i="1"/>
  <c r="R597" i="1"/>
  <c r="R594" i="1"/>
  <c r="R593" i="1"/>
  <c r="R568" i="1"/>
  <c r="R592" i="1"/>
  <c r="R591" i="1"/>
  <c r="R590" i="1"/>
  <c r="R589" i="1"/>
  <c r="R588" i="1"/>
  <c r="R587" i="1"/>
  <c r="R586" i="1"/>
  <c r="R585" i="1"/>
  <c r="R584" i="1"/>
  <c r="R583" i="1"/>
  <c r="R582" i="1"/>
  <c r="R581" i="1"/>
  <c r="R580" i="1"/>
  <c r="R579" i="1"/>
  <c r="R578" i="1"/>
  <c r="R577" i="1"/>
  <c r="R576" i="1"/>
  <c r="R575" i="1"/>
  <c r="R573" i="1"/>
  <c r="R574" i="1"/>
  <c r="R572" i="1"/>
  <c r="R571" i="1"/>
  <c r="R570" i="1"/>
  <c r="R569" i="1"/>
  <c r="R567" i="1"/>
  <c r="R566" i="1"/>
  <c r="R565" i="1"/>
  <c r="R564" i="1"/>
  <c r="R563" i="1"/>
  <c r="R562" i="1"/>
  <c r="R561" i="1"/>
  <c r="R560" i="1"/>
  <c r="R559" i="1"/>
  <c r="R558" i="1"/>
  <c r="R557" i="1"/>
  <c r="R556" i="1"/>
  <c r="R555" i="1"/>
  <c r="R72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2" i="1"/>
  <c r="R521" i="1"/>
  <c r="R520" i="1"/>
  <c r="R519" i="1"/>
  <c r="R518" i="1"/>
  <c r="R517" i="1"/>
  <c r="R523" i="1"/>
  <c r="R515" i="1"/>
  <c r="R514" i="1"/>
  <c r="R513" i="1"/>
  <c r="R516"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87"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88" i="1"/>
  <c r="R393" i="1"/>
  <c r="R392" i="1"/>
  <c r="R391" i="1"/>
  <c r="R390" i="1"/>
  <c r="R389"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59" i="1"/>
  <c r="R160"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CJ115" i="19"/>
  <c r="CJ114" i="19"/>
  <c r="CJ110" i="19"/>
  <c r="CJ109" i="19"/>
  <c r="CJ108" i="19"/>
  <c r="CJ105" i="19"/>
  <c r="CJ104" i="19"/>
  <c r="CJ101" i="19"/>
  <c r="CJ97" i="19"/>
  <c r="CJ94" i="19"/>
  <c r="CJ93" i="19"/>
  <c r="CJ92" i="19"/>
  <c r="CJ87" i="19"/>
  <c r="CJ86" i="19"/>
  <c r="CJ84" i="19"/>
  <c r="CJ83" i="19"/>
  <c r="CJ82" i="19"/>
  <c r="CJ79" i="19"/>
  <c r="CJ75" i="19"/>
  <c r="CJ71" i="19"/>
  <c r="CJ68" i="19"/>
  <c r="CJ63" i="19"/>
  <c r="CJ62" i="19"/>
  <c r="CJ59" i="19"/>
  <c r="CJ58" i="19"/>
  <c r="CJ53" i="19"/>
  <c r="CJ52" i="19"/>
  <c r="CJ51" i="19"/>
  <c r="CJ46" i="19"/>
  <c r="CJ45" i="19"/>
  <c r="CJ40" i="19"/>
  <c r="CJ35" i="19"/>
  <c r="CJ34" i="19"/>
  <c r="CJ33" i="19"/>
  <c r="CJ28" i="19"/>
  <c r="CJ23" i="19"/>
  <c r="CJ18" i="19"/>
  <c r="CJ13" i="19"/>
  <c r="CJ9" i="19"/>
  <c r="CJ8" i="19"/>
  <c r="CJ2" i="19"/>
  <c r="CU102" i="19" l="1"/>
  <c r="CF115" i="19" l="1"/>
  <c r="CF114" i="19"/>
  <c r="CF113" i="19"/>
  <c r="CF112" i="19"/>
  <c r="CF111" i="19"/>
  <c r="CF110" i="19"/>
  <c r="CF109" i="19"/>
  <c r="CF108" i="19"/>
  <c r="CF107" i="19"/>
  <c r="CF106" i="19"/>
  <c r="CF105" i="19"/>
  <c r="CF104" i="19"/>
  <c r="CF101" i="19"/>
  <c r="CF100" i="19"/>
  <c r="CF99" i="19"/>
  <c r="CF98" i="19"/>
  <c r="CF97" i="19"/>
  <c r="CF96" i="19"/>
  <c r="CF95" i="19"/>
  <c r="CF94" i="19"/>
  <c r="CF93" i="19"/>
  <c r="CF92" i="19"/>
  <c r="CF91" i="19"/>
  <c r="CF90" i="19"/>
  <c r="CF89" i="19"/>
  <c r="CF88" i="19"/>
  <c r="CF87" i="19"/>
  <c r="CF86" i="19"/>
  <c r="CF85" i="19"/>
  <c r="CF84" i="19"/>
  <c r="CF83" i="19"/>
  <c r="CF82" i="19"/>
  <c r="CF81" i="19"/>
  <c r="CF80" i="19"/>
  <c r="CF79" i="19"/>
  <c r="CF78" i="19"/>
  <c r="CF77" i="19"/>
  <c r="CF76" i="19"/>
  <c r="CF75" i="19"/>
  <c r="CF74" i="19"/>
  <c r="CF73" i="19"/>
  <c r="CF72" i="19"/>
  <c r="CF71" i="19"/>
  <c r="CF70" i="19"/>
  <c r="CF69" i="19"/>
  <c r="CF68" i="19"/>
  <c r="CF67" i="19"/>
  <c r="CF66" i="19"/>
  <c r="CF65" i="19"/>
  <c r="CF64" i="19"/>
  <c r="CF63" i="19"/>
  <c r="CF62" i="19"/>
  <c r="CF61" i="19"/>
  <c r="CF60" i="19"/>
  <c r="CF59" i="19"/>
  <c r="CF57" i="19"/>
  <c r="CF56" i="19"/>
  <c r="CF55" i="19"/>
  <c r="CF54" i="19"/>
  <c r="CF53" i="19"/>
  <c r="CF52" i="19"/>
  <c r="CF51" i="19"/>
  <c r="CF50" i="19"/>
  <c r="CF49" i="19"/>
  <c r="CF47" i="19"/>
  <c r="CF46" i="19"/>
  <c r="CF45" i="19"/>
  <c r="CF43" i="19"/>
  <c r="CF42" i="19"/>
  <c r="CF41" i="19"/>
  <c r="CF40" i="19"/>
  <c r="CF39" i="19"/>
  <c r="CF38" i="19"/>
  <c r="CF37" i="19"/>
  <c r="CF36" i="19"/>
  <c r="CF35" i="19"/>
  <c r="CF34" i="19"/>
  <c r="CF33" i="19"/>
  <c r="CF32" i="19"/>
  <c r="CF31" i="19"/>
  <c r="CF30" i="19"/>
  <c r="CF29" i="19"/>
  <c r="CF28" i="19"/>
  <c r="CF27" i="19"/>
  <c r="CF25" i="19"/>
  <c r="CF24" i="19"/>
  <c r="CF23" i="19"/>
  <c r="CF21" i="19"/>
  <c r="CF20" i="19"/>
  <c r="CF19" i="19"/>
  <c r="CF18" i="19"/>
  <c r="CF17" i="19"/>
  <c r="CF16" i="19"/>
  <c r="CF15" i="19"/>
  <c r="CF13" i="19"/>
  <c r="CF12" i="19"/>
  <c r="CF11" i="19"/>
  <c r="CF10" i="19"/>
  <c r="CF9" i="19"/>
  <c r="CF8" i="19"/>
  <c r="CF6" i="19"/>
  <c r="CF5" i="19"/>
  <c r="CF4" i="19"/>
  <c r="CF3" i="19"/>
  <c r="CF2" i="19"/>
  <c r="CC115" i="19"/>
  <c r="CC114" i="19"/>
  <c r="CC113" i="19"/>
  <c r="CC112" i="19"/>
  <c r="CC111" i="19"/>
  <c r="CC110" i="19"/>
  <c r="CC109" i="19"/>
  <c r="CC108" i="19"/>
  <c r="CC107" i="19"/>
  <c r="CC106" i="19"/>
  <c r="CC105" i="19"/>
  <c r="CC104" i="19"/>
  <c r="CC101" i="19"/>
  <c r="CC100" i="19"/>
  <c r="CC99" i="19"/>
  <c r="CC98" i="19"/>
  <c r="CC97" i="19"/>
  <c r="CC96" i="19"/>
  <c r="CC95" i="19"/>
  <c r="CC94" i="19"/>
  <c r="CC93" i="19"/>
  <c r="CC92" i="19"/>
  <c r="CC91" i="19"/>
  <c r="CC90" i="19"/>
  <c r="CC89" i="19"/>
  <c r="CC88" i="19"/>
  <c r="CC87" i="19"/>
  <c r="CC86" i="19"/>
  <c r="CC85" i="19"/>
  <c r="CC84" i="19"/>
  <c r="CC83" i="19"/>
  <c r="CC82" i="19"/>
  <c r="CC81" i="19"/>
  <c r="CC80" i="19"/>
  <c r="CC79" i="19"/>
  <c r="CC78" i="19"/>
  <c r="CC77" i="19"/>
  <c r="CC76" i="19"/>
  <c r="CC75" i="19"/>
  <c r="CC74" i="19"/>
  <c r="CC73" i="19"/>
  <c r="CC72" i="19"/>
  <c r="CC71" i="19"/>
  <c r="CC70" i="19"/>
  <c r="CC69" i="19"/>
  <c r="CC68" i="19"/>
  <c r="CC67" i="19"/>
  <c r="CC66" i="19"/>
  <c r="CC65" i="19"/>
  <c r="CC64" i="19"/>
  <c r="CC63" i="19"/>
  <c r="CC62" i="19"/>
  <c r="CC61" i="19"/>
  <c r="CC60" i="19"/>
  <c r="CC59" i="19"/>
  <c r="CC58" i="19"/>
  <c r="CC57" i="19"/>
  <c r="CC56" i="19"/>
  <c r="CC55" i="19"/>
  <c r="CC54" i="19"/>
  <c r="CC53" i="19"/>
  <c r="CC52" i="19"/>
  <c r="CC51" i="19"/>
  <c r="CC50" i="19"/>
  <c r="CC49" i="19"/>
  <c r="CC48" i="19"/>
  <c r="CC47" i="19"/>
  <c r="CC46" i="19"/>
  <c r="CC45" i="19"/>
  <c r="CC44" i="19"/>
  <c r="CC43" i="19"/>
  <c r="CC42" i="19"/>
  <c r="CC41" i="19"/>
  <c r="CC40" i="19"/>
  <c r="CC39" i="19"/>
  <c r="CC38" i="19"/>
  <c r="CC37" i="19"/>
  <c r="CC36" i="19"/>
  <c r="CC35" i="19"/>
  <c r="CC34" i="19"/>
  <c r="CC33" i="19"/>
  <c r="CC32" i="19"/>
  <c r="CC31" i="19"/>
  <c r="CC30" i="19"/>
  <c r="CC29" i="19"/>
  <c r="CC28" i="19"/>
  <c r="CC27" i="19"/>
  <c r="CC26" i="19"/>
  <c r="CC25" i="19"/>
  <c r="CC24" i="19"/>
  <c r="CC23" i="19"/>
  <c r="CC22" i="19"/>
  <c r="CC21" i="19"/>
  <c r="CC20" i="19"/>
  <c r="CC19" i="19"/>
  <c r="CC18" i="19"/>
  <c r="CC17" i="19"/>
  <c r="CC16" i="19"/>
  <c r="CC15" i="19"/>
  <c r="CC14" i="19"/>
  <c r="CC13" i="19"/>
  <c r="CC12" i="19"/>
  <c r="CC11" i="19"/>
  <c r="CC10" i="19"/>
  <c r="CC9" i="19"/>
  <c r="CC8" i="19"/>
  <c r="CC6" i="19"/>
  <c r="CC5" i="19"/>
  <c r="CC4" i="19"/>
  <c r="CC3" i="19"/>
  <c r="CC2" i="19"/>
  <c r="CB113" i="19"/>
  <c r="CB112" i="19"/>
  <c r="CB111" i="19"/>
  <c r="CB110" i="19"/>
  <c r="CB107" i="19"/>
  <c r="CB106" i="19"/>
  <c r="CB100" i="19"/>
  <c r="CB99" i="19"/>
  <c r="CB98" i="19"/>
  <c r="CB96" i="19"/>
  <c r="CB95" i="19"/>
  <c r="CB91" i="19"/>
  <c r="CB90" i="19"/>
  <c r="CB89" i="19"/>
  <c r="CB88" i="19"/>
  <c r="CB85" i="19"/>
  <c r="CB82" i="19"/>
  <c r="CB81" i="19"/>
  <c r="CB80" i="19"/>
  <c r="CB79" i="19"/>
  <c r="CB78" i="19"/>
  <c r="CB77" i="19"/>
  <c r="CB76" i="19"/>
  <c r="CB74" i="19"/>
  <c r="CB73" i="19"/>
  <c r="CB72" i="19"/>
  <c r="CB71" i="19"/>
  <c r="CB70" i="19"/>
  <c r="CB69" i="19"/>
  <c r="CB67" i="19"/>
  <c r="CB66" i="19"/>
  <c r="CB65" i="19"/>
  <c r="CB64" i="19"/>
  <c r="CB60" i="19"/>
  <c r="CB59" i="19"/>
  <c r="CB45" i="19"/>
  <c r="CB33" i="19"/>
  <c r="CB29" i="19"/>
  <c r="CB24" i="19"/>
  <c r="CB23" i="19"/>
  <c r="CB14" i="19"/>
  <c r="CB13" i="19"/>
  <c r="CB115" i="19"/>
  <c r="CB114" i="19"/>
  <c r="CB109" i="19"/>
  <c r="CB108" i="19"/>
  <c r="CB105" i="19"/>
  <c r="CB104" i="19"/>
  <c r="CB101" i="19"/>
  <c r="CB97" i="19"/>
  <c r="CB94" i="19"/>
  <c r="CB93" i="19"/>
  <c r="CB92" i="19"/>
  <c r="CB87" i="19"/>
  <c r="CB86" i="19"/>
  <c r="CB84" i="19"/>
  <c r="CB83" i="19"/>
  <c r="CB75" i="19"/>
  <c r="CB68" i="19"/>
  <c r="CB63" i="19"/>
  <c r="CB62" i="19"/>
  <c r="CB61" i="19"/>
  <c r="CB58" i="19"/>
  <c r="CB57" i="19"/>
  <c r="CB56" i="19"/>
  <c r="CB55" i="19"/>
  <c r="CB54" i="19"/>
  <c r="CB53" i="19"/>
  <c r="CB52" i="19"/>
  <c r="CB51" i="19"/>
  <c r="CB50" i="19"/>
  <c r="CB49" i="19"/>
  <c r="CB48" i="19"/>
  <c r="CB47" i="19"/>
  <c r="CB46" i="19"/>
  <c r="CB44" i="19"/>
  <c r="CB43" i="19"/>
  <c r="CB42" i="19"/>
  <c r="CB41" i="19"/>
  <c r="CB40" i="19"/>
  <c r="CB39" i="19"/>
  <c r="CB38" i="19"/>
  <c r="CB37" i="19"/>
  <c r="CB36" i="19"/>
  <c r="CB35" i="19"/>
  <c r="CB34" i="19"/>
  <c r="CB32" i="19"/>
  <c r="CB31" i="19"/>
  <c r="CB30" i="19"/>
  <c r="CB28" i="19"/>
  <c r="CB27" i="19"/>
  <c r="CB26" i="19"/>
  <c r="CB25" i="19"/>
  <c r="CB22" i="19"/>
  <c r="CB21" i="19"/>
  <c r="CB20" i="19"/>
  <c r="CB19" i="19"/>
  <c r="CB18" i="19"/>
  <c r="CB17" i="19"/>
  <c r="CB16" i="19"/>
  <c r="CB15" i="19"/>
  <c r="CB12" i="19"/>
  <c r="CB11" i="19"/>
  <c r="CB10" i="19"/>
  <c r="CB9" i="19"/>
  <c r="CB8" i="19"/>
  <c r="CB6" i="19"/>
  <c r="CB5" i="19"/>
  <c r="CB4" i="19"/>
  <c r="CB3" i="19"/>
  <c r="CB2" i="19"/>
  <c r="CD91" i="19" l="1"/>
  <c r="CD81" i="19"/>
  <c r="CD74" i="19"/>
  <c r="CD71" i="19"/>
  <c r="CD64" i="19"/>
  <c r="CD61" i="19"/>
  <c r="CD54" i="19"/>
  <c r="CD51" i="19"/>
  <c r="CD47" i="19"/>
  <c r="CD43" i="19"/>
  <c r="CD40" i="19"/>
  <c r="CD37" i="19"/>
  <c r="CD35" i="19"/>
  <c r="CD33" i="19"/>
  <c r="CD31" i="19"/>
  <c r="CD30" i="19"/>
  <c r="CD24" i="19"/>
  <c r="CD23" i="19"/>
  <c r="CD20" i="19"/>
  <c r="CD19" i="19"/>
  <c r="CD16" i="19"/>
  <c r="CD13" i="19"/>
  <c r="CD12" i="19"/>
  <c r="CD9" i="19"/>
  <c r="CD8" i="19"/>
  <c r="CD6" i="19"/>
  <c r="CD5" i="19"/>
  <c r="CD3" i="19"/>
  <c r="CD2" i="19"/>
  <c r="CD115" i="19"/>
  <c r="CD114" i="19"/>
  <c r="CD113" i="19"/>
  <c r="CD112" i="19"/>
  <c r="CD111" i="19"/>
  <c r="CD110" i="19"/>
  <c r="CD109" i="19"/>
  <c r="CD108" i="19"/>
  <c r="CD107" i="19"/>
  <c r="CD106" i="19"/>
  <c r="CD105" i="19"/>
  <c r="CD104" i="19"/>
  <c r="CD101" i="19"/>
  <c r="CD100" i="19"/>
  <c r="CD99" i="19"/>
  <c r="CD98" i="19"/>
  <c r="CD97" i="19"/>
  <c r="CD96" i="19"/>
  <c r="CD95" i="19"/>
  <c r="CD94" i="19"/>
  <c r="CD93" i="19"/>
  <c r="CD92" i="19"/>
  <c r="CD90" i="19"/>
  <c r="CD89" i="19"/>
  <c r="CD88" i="19"/>
  <c r="CD87" i="19"/>
  <c r="CD86" i="19"/>
  <c r="CD85" i="19"/>
  <c r="CD84" i="19"/>
  <c r="CD83" i="19"/>
  <c r="CD82" i="19"/>
  <c r="CD80" i="19"/>
  <c r="CD79" i="19"/>
  <c r="CD78" i="19"/>
  <c r="CD77" i="19"/>
  <c r="CD76" i="19"/>
  <c r="CD75" i="19"/>
  <c r="CD73" i="19"/>
  <c r="CD72" i="19"/>
  <c r="CD70" i="19"/>
  <c r="CD69" i="19"/>
  <c r="CD68" i="19"/>
  <c r="CD67" i="19"/>
  <c r="CD66" i="19"/>
  <c r="CD65" i="19"/>
  <c r="CD63" i="19"/>
  <c r="CD62" i="19"/>
  <c r="CD60" i="19"/>
  <c r="CD59" i="19"/>
  <c r="CD57" i="19"/>
  <c r="CD56" i="19"/>
  <c r="CD55" i="19"/>
  <c r="CD53" i="19"/>
  <c r="CD52" i="19"/>
  <c r="CD50" i="19"/>
  <c r="CD49" i="19"/>
  <c r="CD46" i="19"/>
  <c r="CD45" i="19"/>
  <c r="CD42" i="19"/>
  <c r="CD41" i="19"/>
  <c r="CD39" i="19"/>
  <c r="CD38" i="19"/>
  <c r="CD36" i="19"/>
  <c r="CD34" i="19"/>
  <c r="CG32" i="19"/>
  <c r="CD32" i="19"/>
  <c r="CE32" i="19" s="1"/>
  <c r="CD29" i="19"/>
  <c r="CD28" i="19"/>
  <c r="CD27" i="19"/>
  <c r="CD25" i="19"/>
  <c r="CE22" i="19"/>
  <c r="CD21" i="19"/>
  <c r="CD18" i="19"/>
  <c r="CD17" i="19"/>
  <c r="CD15" i="19"/>
  <c r="CD11" i="19"/>
  <c r="CD10" i="19"/>
  <c r="CD4" i="19"/>
  <c r="CS103" i="19"/>
  <c r="CQ103" i="19"/>
  <c r="CN103" i="19"/>
  <c r="CO103" i="19" s="1"/>
  <c r="C104" i="19"/>
  <c r="D104" i="19"/>
  <c r="E104" i="19" s="1"/>
  <c r="F104" i="19"/>
  <c r="H104" i="19"/>
  <c r="I104" i="19" s="1"/>
  <c r="J104" i="19"/>
  <c r="K104" i="19"/>
  <c r="N104" i="19"/>
  <c r="Q104" i="19"/>
  <c r="R104" i="19"/>
  <c r="S104" i="19" s="1"/>
  <c r="T104" i="19"/>
  <c r="U104" i="19"/>
  <c r="X104" i="19"/>
  <c r="AA104" i="19"/>
  <c r="AB104" i="19"/>
  <c r="AD104" i="19"/>
  <c r="AE104" i="19"/>
  <c r="AF104" i="19" s="1"/>
  <c r="AH104" i="19"/>
  <c r="AK104" i="19"/>
  <c r="AL104" i="19"/>
  <c r="AN104" i="19"/>
  <c r="AO104" i="19"/>
  <c r="AR104" i="19"/>
  <c r="AU104" i="19"/>
  <c r="AV104" i="19"/>
  <c r="AX104" i="19"/>
  <c r="AY104" i="19"/>
  <c r="BB104" i="19"/>
  <c r="BE104" i="19"/>
  <c r="BF104" i="19"/>
  <c r="BH104" i="19"/>
  <c r="BI104" i="19"/>
  <c r="BL104" i="19"/>
  <c r="BO104" i="19"/>
  <c r="BP104" i="19"/>
  <c r="BR104" i="19"/>
  <c r="CK104" i="19" s="1"/>
  <c r="BS104" i="19"/>
  <c r="BV104" i="19"/>
  <c r="CG104" i="19" s="1"/>
  <c r="BY104" i="19"/>
  <c r="BZ104" i="19"/>
  <c r="CI104" i="19"/>
  <c r="CL104" i="19"/>
  <c r="CM104" i="19"/>
  <c r="CN104" i="19" s="1"/>
  <c r="CP104" i="19"/>
  <c r="CS104" i="19"/>
  <c r="CT104" i="19"/>
  <c r="AC104" i="19" l="1"/>
  <c r="BQ104" i="19"/>
  <c r="AW104" i="19"/>
  <c r="BJ104" i="19"/>
  <c r="AP104" i="19"/>
  <c r="AQ104" i="19" s="1"/>
  <c r="V104" i="19"/>
  <c r="AG104" i="19" s="1"/>
  <c r="CU104" i="19"/>
  <c r="CU103" i="19"/>
  <c r="BM104" i="19"/>
  <c r="AS104" i="19"/>
  <c r="BT104" i="19"/>
  <c r="CE104" i="19" s="1"/>
  <c r="CA104" i="19"/>
  <c r="AM104" i="19"/>
  <c r="BG104" i="19"/>
  <c r="AI104" i="19"/>
  <c r="O104" i="19"/>
  <c r="CO104" i="19"/>
  <c r="AZ104" i="19"/>
  <c r="BA104" i="19" s="1"/>
  <c r="CQ104" i="19"/>
  <c r="BC104" i="19"/>
  <c r="L104" i="19"/>
  <c r="M104" i="19" s="1"/>
  <c r="Y104" i="19"/>
  <c r="BW104" i="19"/>
  <c r="BK104" i="19" l="1"/>
  <c r="BU104" i="19"/>
  <c r="W104" i="19"/>
  <c r="CI115" i="19" l="1"/>
  <c r="CI114" i="19"/>
  <c r="CI113" i="19"/>
  <c r="CI112" i="19"/>
  <c r="CI111" i="19"/>
  <c r="CI110" i="19"/>
  <c r="CI109" i="19"/>
  <c r="CI108" i="19"/>
  <c r="CI107" i="19"/>
  <c r="CI106" i="19"/>
  <c r="CI105" i="19"/>
  <c r="CI101" i="19"/>
  <c r="CI100" i="19"/>
  <c r="CI99" i="19"/>
  <c r="CI98" i="19"/>
  <c r="CI97" i="19"/>
  <c r="CI96" i="19"/>
  <c r="CI95" i="19"/>
  <c r="CI94" i="19"/>
  <c r="CI93" i="19"/>
  <c r="CI92" i="19"/>
  <c r="CI91" i="19"/>
  <c r="CI90" i="19"/>
  <c r="CI89" i="19"/>
  <c r="CI88" i="19"/>
  <c r="CI87" i="19"/>
  <c r="CI86" i="19"/>
  <c r="CI85" i="19"/>
  <c r="CI84" i="19"/>
  <c r="CI83" i="19"/>
  <c r="CI82" i="19"/>
  <c r="CI81" i="19"/>
  <c r="CI80" i="19"/>
  <c r="CI79" i="19"/>
  <c r="CI78" i="19"/>
  <c r="CI77" i="19"/>
  <c r="CI76" i="19"/>
  <c r="CI75" i="19"/>
  <c r="CI74" i="19"/>
  <c r="CI73" i="19"/>
  <c r="CI72" i="19"/>
  <c r="CI71" i="19"/>
  <c r="CI70" i="19"/>
  <c r="CI69" i="19"/>
  <c r="CI68" i="19"/>
  <c r="CI67" i="19"/>
  <c r="CI66" i="19"/>
  <c r="CI65" i="19"/>
  <c r="CI64" i="19"/>
  <c r="CI63" i="19"/>
  <c r="CI62" i="19"/>
  <c r="CI61" i="19"/>
  <c r="CI60" i="19"/>
  <c r="CI59" i="19"/>
  <c r="CI58" i="19"/>
  <c r="CI57" i="19"/>
  <c r="CI56" i="19"/>
  <c r="CI55" i="19"/>
  <c r="CI54" i="19"/>
  <c r="CI53" i="19"/>
  <c r="CI52" i="19"/>
  <c r="CI51" i="19"/>
  <c r="CI50" i="19"/>
  <c r="CI49" i="19"/>
  <c r="CI48" i="19"/>
  <c r="CI47" i="19"/>
  <c r="CI46" i="19"/>
  <c r="CI45" i="19"/>
  <c r="CI44" i="19"/>
  <c r="CI43" i="19"/>
  <c r="CI42" i="19"/>
  <c r="CI41" i="19"/>
  <c r="CI40" i="19"/>
  <c r="CI39" i="19"/>
  <c r="CI38" i="19"/>
  <c r="CI37" i="19"/>
  <c r="CI36" i="19"/>
  <c r="CI35" i="19"/>
  <c r="CI34" i="19"/>
  <c r="CI33" i="19"/>
  <c r="CI32" i="19"/>
  <c r="CI31" i="19"/>
  <c r="CI30" i="19"/>
  <c r="CI29" i="19"/>
  <c r="CI28" i="19"/>
  <c r="CI27" i="19"/>
  <c r="CI26" i="19"/>
  <c r="CI25" i="19"/>
  <c r="CI24" i="19"/>
  <c r="CI23" i="19"/>
  <c r="CI22" i="19"/>
  <c r="CI21" i="19"/>
  <c r="CI20" i="19"/>
  <c r="CI19" i="19"/>
  <c r="CI18" i="19"/>
  <c r="CI17" i="19"/>
  <c r="CI16" i="19"/>
  <c r="CI15" i="19"/>
  <c r="CI14" i="19"/>
  <c r="CI13" i="19"/>
  <c r="CI12" i="19"/>
  <c r="CI11" i="19"/>
  <c r="CI10" i="19"/>
  <c r="CI9" i="19"/>
  <c r="CI8" i="19"/>
  <c r="CI6" i="19"/>
  <c r="CI5" i="19"/>
  <c r="CI4" i="19"/>
  <c r="CI3" i="19"/>
  <c r="CI2" i="19"/>
  <c r="CT115" i="19" l="1"/>
  <c r="CT114" i="19"/>
  <c r="CT110" i="19"/>
  <c r="CT109" i="19"/>
  <c r="CT108" i="19"/>
  <c r="CT105" i="19"/>
  <c r="CT97" i="19"/>
  <c r="CT94" i="19"/>
  <c r="CT93" i="19"/>
  <c r="CT92" i="19"/>
  <c r="CT87" i="19"/>
  <c r="CT86" i="19"/>
  <c r="CT84" i="19"/>
  <c r="CT83" i="19"/>
  <c r="CT82" i="19"/>
  <c r="CT79" i="19"/>
  <c r="CT68" i="19"/>
  <c r="CT63" i="19"/>
  <c r="CT62" i="19"/>
  <c r="CT59" i="19"/>
  <c r="CT58" i="19"/>
  <c r="CT53" i="19"/>
  <c r="CT52" i="19"/>
  <c r="CT51" i="19"/>
  <c r="CT46" i="19"/>
  <c r="CT45" i="19"/>
  <c r="CT40" i="19"/>
  <c r="CT35" i="19"/>
  <c r="CT34" i="19"/>
  <c r="CT33" i="19"/>
  <c r="CT28" i="19"/>
  <c r="CT23" i="19"/>
  <c r="CT18" i="19"/>
  <c r="CT9" i="19"/>
  <c r="CT8" i="19"/>
  <c r="CT2" i="19"/>
  <c r="CP115" i="19"/>
  <c r="CP114" i="19"/>
  <c r="CP113" i="19"/>
  <c r="CP112" i="19"/>
  <c r="CP111" i="19"/>
  <c r="CP110" i="19"/>
  <c r="CP109" i="19"/>
  <c r="CP108" i="19"/>
  <c r="CP107" i="19"/>
  <c r="CP106" i="19"/>
  <c r="CP105" i="19"/>
  <c r="CP100" i="19"/>
  <c r="CP99" i="19"/>
  <c r="CP98" i="19"/>
  <c r="CP97" i="19"/>
  <c r="CP96" i="19"/>
  <c r="CP95" i="19"/>
  <c r="CP94" i="19"/>
  <c r="CP93" i="19"/>
  <c r="CP92" i="19"/>
  <c r="CP91" i="19"/>
  <c r="CP90" i="19"/>
  <c r="CP89" i="19"/>
  <c r="CP88" i="19"/>
  <c r="CP87" i="19"/>
  <c r="CP86" i="19"/>
  <c r="CP85" i="19"/>
  <c r="CP84" i="19"/>
  <c r="CP83" i="19"/>
  <c r="CP82" i="19"/>
  <c r="CP81" i="19"/>
  <c r="CP80" i="19"/>
  <c r="CP79" i="19"/>
  <c r="CP78" i="19"/>
  <c r="CP77" i="19"/>
  <c r="CP76" i="19"/>
  <c r="CP75" i="19"/>
  <c r="CP74" i="19"/>
  <c r="CP73" i="19"/>
  <c r="CP72" i="19"/>
  <c r="CP71" i="19"/>
  <c r="CP70" i="19"/>
  <c r="CP69" i="19"/>
  <c r="CP68" i="19"/>
  <c r="CP67" i="19"/>
  <c r="CP66" i="19"/>
  <c r="CP65" i="19"/>
  <c r="CP64" i="19"/>
  <c r="CP63" i="19"/>
  <c r="CP62" i="19"/>
  <c r="CP61" i="19"/>
  <c r="CP60" i="19"/>
  <c r="CP59" i="19"/>
  <c r="CP58" i="19"/>
  <c r="CP57" i="19"/>
  <c r="CP56" i="19"/>
  <c r="CP55" i="19"/>
  <c r="CP54" i="19"/>
  <c r="CP53" i="19"/>
  <c r="CP52" i="19"/>
  <c r="CP51" i="19"/>
  <c r="CP50" i="19"/>
  <c r="CP49" i="19"/>
  <c r="CP47" i="19"/>
  <c r="CP46" i="19"/>
  <c r="CP45" i="19"/>
  <c r="CP44" i="19"/>
  <c r="CP43" i="19"/>
  <c r="CP42" i="19"/>
  <c r="CP41" i="19"/>
  <c r="CP40" i="19"/>
  <c r="CP39" i="19"/>
  <c r="CP38" i="19"/>
  <c r="CP37" i="19"/>
  <c r="CP36" i="19"/>
  <c r="CP35" i="19"/>
  <c r="CP34" i="19"/>
  <c r="CP33" i="19"/>
  <c r="CP31" i="19"/>
  <c r="CP30" i="19"/>
  <c r="CP29" i="19"/>
  <c r="CP28" i="19"/>
  <c r="CP27" i="19"/>
  <c r="CP26" i="19"/>
  <c r="CP25" i="19"/>
  <c r="CP24" i="19"/>
  <c r="CP23" i="19"/>
  <c r="CP21" i="19"/>
  <c r="CP20" i="19"/>
  <c r="CP19" i="19"/>
  <c r="CP18" i="19"/>
  <c r="CP17" i="19"/>
  <c r="CP16" i="19"/>
  <c r="CP15" i="19"/>
  <c r="CP14" i="19"/>
  <c r="CP13" i="19"/>
  <c r="CP12" i="19"/>
  <c r="CP11" i="19"/>
  <c r="CP10" i="19"/>
  <c r="CP9" i="19"/>
  <c r="CP8" i="19"/>
  <c r="CP6" i="19"/>
  <c r="CP5" i="19"/>
  <c r="CP4" i="19"/>
  <c r="CP3" i="19"/>
  <c r="CP2" i="19"/>
  <c r="CM115" i="19"/>
  <c r="CM114" i="19"/>
  <c r="CM113" i="19"/>
  <c r="CM112" i="19"/>
  <c r="CM111" i="19"/>
  <c r="CM110" i="19"/>
  <c r="CM109" i="19"/>
  <c r="CM108" i="19"/>
  <c r="CM107" i="19"/>
  <c r="CM106" i="19"/>
  <c r="CM105" i="19"/>
  <c r="CM100" i="19"/>
  <c r="CM99" i="19"/>
  <c r="CM98" i="19"/>
  <c r="CM97" i="19"/>
  <c r="CM96" i="19"/>
  <c r="CM95" i="19"/>
  <c r="CM94" i="19"/>
  <c r="CM93" i="19"/>
  <c r="CM92" i="19"/>
  <c r="CM91" i="19"/>
  <c r="CM90" i="19"/>
  <c r="CM89" i="19"/>
  <c r="CM88" i="19"/>
  <c r="CM87" i="19"/>
  <c r="CM86" i="19"/>
  <c r="CM85" i="19"/>
  <c r="CM84" i="19"/>
  <c r="CM83" i="19"/>
  <c r="CM82" i="19"/>
  <c r="CM81" i="19"/>
  <c r="CM80" i="19"/>
  <c r="CM79" i="19"/>
  <c r="CM78" i="19"/>
  <c r="CM77" i="19"/>
  <c r="CM76" i="19"/>
  <c r="CM75" i="19"/>
  <c r="CM74" i="19"/>
  <c r="CM73" i="19"/>
  <c r="CM72" i="19"/>
  <c r="CM71" i="19"/>
  <c r="CM70" i="19"/>
  <c r="CM69" i="19"/>
  <c r="CM68" i="19"/>
  <c r="CM67" i="19"/>
  <c r="CM66" i="19"/>
  <c r="CM65" i="19"/>
  <c r="CM64" i="19"/>
  <c r="CM63" i="19"/>
  <c r="CM62" i="19"/>
  <c r="CM61" i="19"/>
  <c r="CM60" i="19"/>
  <c r="CM59" i="19"/>
  <c r="CM58" i="19"/>
  <c r="CM57" i="19"/>
  <c r="CM56" i="19"/>
  <c r="CM55" i="19"/>
  <c r="CM54" i="19"/>
  <c r="CM53" i="19"/>
  <c r="CM52" i="19"/>
  <c r="CM51" i="19"/>
  <c r="CM50" i="19"/>
  <c r="CM49" i="19"/>
  <c r="CM48" i="19"/>
  <c r="CM47" i="19"/>
  <c r="CM46" i="19"/>
  <c r="CM45" i="19"/>
  <c r="CM44" i="19"/>
  <c r="CM43" i="19"/>
  <c r="CM42" i="19"/>
  <c r="CM41" i="19"/>
  <c r="CM40" i="19"/>
  <c r="CM39" i="19"/>
  <c r="CM38" i="19"/>
  <c r="CM37" i="19"/>
  <c r="CM36" i="19"/>
  <c r="CM35" i="19"/>
  <c r="CM34" i="19"/>
  <c r="CM33" i="19"/>
  <c r="CM32" i="19"/>
  <c r="CM31" i="19"/>
  <c r="CM30" i="19"/>
  <c r="CM29" i="19"/>
  <c r="CM28" i="19"/>
  <c r="CM27" i="19"/>
  <c r="CM26" i="19"/>
  <c r="CM25" i="19"/>
  <c r="CM24" i="19"/>
  <c r="CM23" i="19"/>
  <c r="CM22" i="19"/>
  <c r="CM21" i="19"/>
  <c r="CM20" i="19"/>
  <c r="CM19" i="19"/>
  <c r="CM18" i="19"/>
  <c r="CM17" i="19"/>
  <c r="CM16" i="19"/>
  <c r="CM15" i="19"/>
  <c r="CM14" i="19"/>
  <c r="CM13" i="19"/>
  <c r="CM12" i="19"/>
  <c r="CM11" i="19"/>
  <c r="CM10" i="19"/>
  <c r="CM9" i="19"/>
  <c r="CM8" i="19"/>
  <c r="CM6" i="19"/>
  <c r="CM5" i="19"/>
  <c r="CM4" i="19"/>
  <c r="CM3" i="19"/>
  <c r="CM2" i="19"/>
  <c r="CL115" i="19"/>
  <c r="CL114" i="19"/>
  <c r="CL113" i="19"/>
  <c r="CL112" i="19"/>
  <c r="CL111" i="19"/>
  <c r="CL110" i="19"/>
  <c r="CL109" i="19"/>
  <c r="CL108" i="19"/>
  <c r="CL107" i="19"/>
  <c r="CL106" i="19"/>
  <c r="CL105" i="19"/>
  <c r="CL100" i="19"/>
  <c r="CL99" i="19"/>
  <c r="CL98" i="19"/>
  <c r="CL97" i="19"/>
  <c r="CL96" i="19"/>
  <c r="CL95" i="19"/>
  <c r="CL94" i="19"/>
  <c r="CL93" i="19"/>
  <c r="CL92" i="19"/>
  <c r="CL91" i="19"/>
  <c r="CL90" i="19"/>
  <c r="CL89" i="19"/>
  <c r="CL88" i="19"/>
  <c r="CL87" i="19"/>
  <c r="CL86" i="19"/>
  <c r="CL85" i="19"/>
  <c r="CL84" i="19"/>
  <c r="CL83" i="19"/>
  <c r="CL82" i="19"/>
  <c r="CL81" i="19"/>
  <c r="CL80" i="19"/>
  <c r="CL79" i="19"/>
  <c r="CL78" i="19"/>
  <c r="CL77" i="19"/>
  <c r="CL76" i="19"/>
  <c r="CL75" i="19"/>
  <c r="CL74" i="19"/>
  <c r="CL73" i="19"/>
  <c r="CL72" i="19"/>
  <c r="CL71" i="19"/>
  <c r="CL70" i="19"/>
  <c r="CL69" i="19"/>
  <c r="CL68" i="19"/>
  <c r="CL67" i="19"/>
  <c r="CL66" i="19"/>
  <c r="CL65" i="19"/>
  <c r="CL64" i="19"/>
  <c r="CL63" i="19"/>
  <c r="CL62" i="19"/>
  <c r="CL61" i="19"/>
  <c r="CL60" i="19"/>
  <c r="CL59" i="19"/>
  <c r="CL58" i="19"/>
  <c r="CL57" i="19"/>
  <c r="CL56" i="19"/>
  <c r="CL55" i="19"/>
  <c r="CL54" i="19"/>
  <c r="CL53" i="19"/>
  <c r="CL52" i="19"/>
  <c r="CL51" i="19"/>
  <c r="CL50" i="19"/>
  <c r="CL49" i="19"/>
  <c r="CL48" i="19"/>
  <c r="CL47" i="19"/>
  <c r="CL46" i="19"/>
  <c r="CL45" i="19"/>
  <c r="CL44" i="19"/>
  <c r="CL43" i="19"/>
  <c r="CL42" i="19"/>
  <c r="CL41" i="19"/>
  <c r="CL40" i="19"/>
  <c r="CL39" i="19"/>
  <c r="CL38" i="19"/>
  <c r="CL37" i="19"/>
  <c r="CL36" i="19"/>
  <c r="CL35" i="19"/>
  <c r="CL34" i="19"/>
  <c r="CL33" i="19"/>
  <c r="CL32" i="19"/>
  <c r="CL31" i="19"/>
  <c r="CL30" i="19"/>
  <c r="CL29" i="19"/>
  <c r="CL28" i="19"/>
  <c r="CL27" i="19"/>
  <c r="CL26" i="19"/>
  <c r="CL25" i="19"/>
  <c r="CL24" i="19"/>
  <c r="CL23" i="19"/>
  <c r="CL22" i="19"/>
  <c r="CL21" i="19"/>
  <c r="CL20" i="19"/>
  <c r="CL19" i="19"/>
  <c r="CL18" i="19"/>
  <c r="CL17" i="19"/>
  <c r="CL16" i="19"/>
  <c r="CL15" i="19"/>
  <c r="CL14" i="19"/>
  <c r="CL13" i="19"/>
  <c r="CL12" i="19"/>
  <c r="CL11" i="19"/>
  <c r="CL10" i="19"/>
  <c r="CL9" i="19"/>
  <c r="CL8" i="19"/>
  <c r="CL6" i="19"/>
  <c r="CL5" i="19"/>
  <c r="CL4" i="19"/>
  <c r="CL3" i="19"/>
  <c r="CL2" i="19"/>
  <c r="CS115" i="19"/>
  <c r="CS114" i="19"/>
  <c r="CS113" i="19"/>
  <c r="CS112" i="19"/>
  <c r="CS111" i="19"/>
  <c r="CS110" i="19"/>
  <c r="CS109" i="19"/>
  <c r="CS108" i="19"/>
  <c r="CS107" i="19"/>
  <c r="CS106" i="19"/>
  <c r="CS105" i="19"/>
  <c r="CS100" i="19"/>
  <c r="CS99" i="19"/>
  <c r="CS98" i="19"/>
  <c r="CS97" i="19"/>
  <c r="CS96" i="19"/>
  <c r="CS95" i="19"/>
  <c r="CS94" i="19"/>
  <c r="CS93" i="19"/>
  <c r="CS92" i="19"/>
  <c r="CS91" i="19"/>
  <c r="CS90" i="19"/>
  <c r="CS89" i="19"/>
  <c r="CS88" i="19"/>
  <c r="CS87" i="19"/>
  <c r="CS86" i="19"/>
  <c r="CS85" i="19"/>
  <c r="CS84" i="19"/>
  <c r="CS83" i="19"/>
  <c r="CS82" i="19"/>
  <c r="CS81" i="19"/>
  <c r="CS80" i="19"/>
  <c r="CS79" i="19"/>
  <c r="CS78" i="19"/>
  <c r="CS77" i="19"/>
  <c r="CS76" i="19"/>
  <c r="CS75" i="19"/>
  <c r="CS74" i="19"/>
  <c r="CS73" i="19"/>
  <c r="CS72" i="19"/>
  <c r="CS71" i="19"/>
  <c r="CS70" i="19"/>
  <c r="CS69" i="19"/>
  <c r="CS68" i="19"/>
  <c r="CS67" i="19"/>
  <c r="CS66" i="19"/>
  <c r="CS65" i="19"/>
  <c r="CS64" i="19"/>
  <c r="CS63" i="19"/>
  <c r="CS62" i="19"/>
  <c r="CS61" i="19"/>
  <c r="CS60" i="19"/>
  <c r="CS59" i="19"/>
  <c r="CS58" i="19"/>
  <c r="CS57" i="19"/>
  <c r="CS56" i="19"/>
  <c r="CS55" i="19"/>
  <c r="CS54" i="19"/>
  <c r="CS53" i="19"/>
  <c r="CS52" i="19"/>
  <c r="CS51" i="19"/>
  <c r="CS50" i="19"/>
  <c r="CS49" i="19"/>
  <c r="CS47" i="19"/>
  <c r="CS46" i="19"/>
  <c r="CS45" i="19"/>
  <c r="CS44" i="19"/>
  <c r="CS43" i="19"/>
  <c r="CS42" i="19"/>
  <c r="CS41" i="19"/>
  <c r="CS40" i="19"/>
  <c r="CS39" i="19"/>
  <c r="CS38" i="19"/>
  <c r="CS37" i="19"/>
  <c r="CS36" i="19"/>
  <c r="CS35" i="19"/>
  <c r="CS34" i="19"/>
  <c r="CS33" i="19"/>
  <c r="CS32" i="19"/>
  <c r="CQ32" i="19"/>
  <c r="CO32" i="19"/>
  <c r="CS31" i="19"/>
  <c r="CS30" i="19"/>
  <c r="CS29" i="19"/>
  <c r="CS28" i="19"/>
  <c r="CS27" i="19"/>
  <c r="CS26" i="19"/>
  <c r="CS25" i="19"/>
  <c r="CS24" i="19"/>
  <c r="CS23" i="19"/>
  <c r="CS22" i="19"/>
  <c r="CS21" i="19"/>
  <c r="CS20" i="19"/>
  <c r="CS19" i="19"/>
  <c r="CS18" i="19"/>
  <c r="CS17" i="19"/>
  <c r="CS16" i="19"/>
  <c r="CS15" i="19"/>
  <c r="CS14" i="19"/>
  <c r="CS13" i="19"/>
  <c r="CS12" i="19"/>
  <c r="CS11" i="19"/>
  <c r="CS10" i="19"/>
  <c r="CS9" i="19"/>
  <c r="CS8" i="19"/>
  <c r="CS6" i="19"/>
  <c r="CS5" i="19"/>
  <c r="CS4" i="19"/>
  <c r="CS3" i="19"/>
  <c r="CS2" i="19"/>
  <c r="CU83" i="19" l="1"/>
  <c r="CN48" i="19"/>
  <c r="CO48" i="19" s="1"/>
  <c r="CN108" i="19"/>
  <c r="CN25" i="19"/>
  <c r="CN113" i="19"/>
  <c r="CN26" i="19"/>
  <c r="CN54" i="19"/>
  <c r="CN84" i="19"/>
  <c r="CN95" i="19"/>
  <c r="CN107" i="19"/>
  <c r="CN112" i="19"/>
  <c r="CN56" i="19"/>
  <c r="CN66" i="19"/>
  <c r="CN76" i="19"/>
  <c r="CN96" i="19"/>
  <c r="CN80" i="19"/>
  <c r="CN90" i="19"/>
  <c r="CN100" i="19"/>
  <c r="CN97" i="19"/>
  <c r="CN109" i="19"/>
  <c r="CN89" i="19"/>
  <c r="CN99" i="19"/>
  <c r="CN91" i="19"/>
  <c r="CN65" i="19"/>
  <c r="CN71" i="19"/>
  <c r="CN81" i="19"/>
  <c r="CN77" i="19"/>
  <c r="CN94" i="19"/>
  <c r="CN82" i="19"/>
  <c r="CN6" i="19"/>
  <c r="CN46" i="19"/>
  <c r="CN11" i="19"/>
  <c r="CN21" i="19"/>
  <c r="CN31" i="19"/>
  <c r="CN41" i="19"/>
  <c r="CN114" i="19"/>
  <c r="CN50" i="19"/>
  <c r="CN74" i="19"/>
  <c r="CN106" i="19"/>
  <c r="CN61" i="19"/>
  <c r="CN105" i="19"/>
  <c r="CN10" i="19"/>
  <c r="CN40" i="19"/>
  <c r="CN60" i="19"/>
  <c r="CN53" i="19"/>
  <c r="CN85" i="19"/>
  <c r="CN79" i="19"/>
  <c r="CN38" i="19"/>
  <c r="CN58" i="19"/>
  <c r="CN2" i="19"/>
  <c r="CN13" i="19"/>
  <c r="CN23" i="19"/>
  <c r="CN36" i="19"/>
  <c r="CN68" i="19"/>
  <c r="CN78" i="19"/>
  <c r="CN88" i="19"/>
  <c r="CN98" i="19"/>
  <c r="CN17" i="19"/>
  <c r="CN49" i="19"/>
  <c r="CN69" i="19"/>
  <c r="CN111" i="19"/>
  <c r="CN59" i="19"/>
  <c r="CN30" i="19"/>
  <c r="CN57" i="19"/>
  <c r="CN18" i="19"/>
  <c r="CN51" i="19"/>
  <c r="CN8" i="19"/>
  <c r="CN12" i="19"/>
  <c r="CN22" i="19"/>
  <c r="CN42" i="19"/>
  <c r="CN52" i="19"/>
  <c r="CN62" i="19"/>
  <c r="CN72" i="19"/>
  <c r="CN92" i="19"/>
  <c r="CN43" i="19"/>
  <c r="CN63" i="19"/>
  <c r="CN73" i="19"/>
  <c r="CN83" i="19"/>
  <c r="CN93" i="19"/>
  <c r="CN115" i="19"/>
  <c r="CN64" i="19"/>
  <c r="CN28" i="19"/>
  <c r="CN5" i="19"/>
  <c r="CN15" i="19"/>
  <c r="CN35" i="19"/>
  <c r="CN45" i="19"/>
  <c r="CN87" i="19"/>
  <c r="CN16" i="19"/>
  <c r="CN27" i="19"/>
  <c r="CN37" i="19"/>
  <c r="CN47" i="19"/>
  <c r="CN67" i="19"/>
  <c r="CN4" i="19"/>
  <c r="CN55" i="19"/>
  <c r="CN9" i="19"/>
  <c r="CN19" i="19"/>
  <c r="CN29" i="19"/>
  <c r="CN39" i="19"/>
  <c r="CN20" i="19"/>
  <c r="CN70" i="19"/>
  <c r="CN3" i="19"/>
  <c r="CN14" i="19"/>
  <c r="CN24" i="19"/>
  <c r="CN44" i="19"/>
  <c r="CN75" i="19"/>
  <c r="CN34" i="19"/>
  <c r="CN86" i="19"/>
  <c r="CN33" i="19"/>
  <c r="CN110" i="19"/>
  <c r="CQ115" i="19" l="1"/>
  <c r="CU115" i="19"/>
  <c r="CQ114" i="19"/>
  <c r="CU114" i="19"/>
  <c r="CQ113" i="19"/>
  <c r="CO113" i="19"/>
  <c r="CQ112" i="19"/>
  <c r="CQ111" i="19"/>
  <c r="CQ110" i="19"/>
  <c r="CO110" i="19"/>
  <c r="CU110" i="19"/>
  <c r="CQ109" i="19"/>
  <c r="CU109" i="19"/>
  <c r="CQ108" i="19"/>
  <c r="CU108" i="19"/>
  <c r="CQ107" i="19"/>
  <c r="CQ106" i="19"/>
  <c r="CQ105" i="19"/>
  <c r="CU105" i="19"/>
  <c r="CQ100" i="19"/>
  <c r="CQ99" i="19"/>
  <c r="CQ98" i="19"/>
  <c r="CQ97" i="19"/>
  <c r="CU97" i="19"/>
  <c r="CQ96" i="19"/>
  <c r="CO96" i="19"/>
  <c r="CQ95" i="19"/>
  <c r="CO95" i="19"/>
  <c r="CQ94" i="19"/>
  <c r="CU94" i="19"/>
  <c r="CQ93" i="19"/>
  <c r="CU93" i="19"/>
  <c r="CQ92" i="19"/>
  <c r="CU92" i="19"/>
  <c r="CQ91" i="19"/>
  <c r="CO91" i="19"/>
  <c r="CQ90" i="19"/>
  <c r="CQ89" i="19"/>
  <c r="CQ88" i="19"/>
  <c r="CQ87" i="19"/>
  <c r="CU87" i="19"/>
  <c r="CQ86" i="19"/>
  <c r="CU86" i="19"/>
  <c r="CQ85" i="19"/>
  <c r="CO85" i="19"/>
  <c r="CQ84" i="19"/>
  <c r="CU84" i="19"/>
  <c r="CQ83" i="19"/>
  <c r="CQ82" i="19"/>
  <c r="CU82" i="19"/>
  <c r="CQ81" i="19"/>
  <c r="CQ80" i="19"/>
  <c r="CQ79" i="19"/>
  <c r="CU79" i="19"/>
  <c r="CQ78" i="19"/>
  <c r="CQ77" i="19"/>
  <c r="CQ75" i="19"/>
  <c r="CU75" i="19"/>
  <c r="CQ74" i="19"/>
  <c r="CQ73" i="19"/>
  <c r="CQ72" i="19"/>
  <c r="CQ71" i="19"/>
  <c r="CU71" i="19"/>
  <c r="CQ70" i="19"/>
  <c r="CQ76" i="19"/>
  <c r="CQ69" i="19"/>
  <c r="CQ68" i="19"/>
  <c r="CU68" i="19"/>
  <c r="CQ67" i="19"/>
  <c r="CQ66" i="19"/>
  <c r="CQ65" i="19"/>
  <c r="CQ64" i="19"/>
  <c r="CQ63" i="19"/>
  <c r="CU63" i="19"/>
  <c r="CQ62" i="19"/>
  <c r="CU62" i="19"/>
  <c r="CQ61" i="19"/>
  <c r="CQ60" i="19"/>
  <c r="CQ59" i="19"/>
  <c r="CU59" i="19"/>
  <c r="CQ58" i="19"/>
  <c r="CU58" i="19"/>
  <c r="CQ57" i="19"/>
  <c r="CQ56" i="19"/>
  <c r="CQ55" i="19"/>
  <c r="CQ54" i="19"/>
  <c r="CQ53" i="19"/>
  <c r="CU53" i="19"/>
  <c r="CQ52" i="19"/>
  <c r="CU52" i="19"/>
  <c r="CQ51" i="19"/>
  <c r="CU51" i="19"/>
  <c r="CQ50" i="19"/>
  <c r="CQ49" i="19"/>
  <c r="CQ47" i="19"/>
  <c r="CQ46" i="19"/>
  <c r="CU46" i="19"/>
  <c r="CQ45" i="19"/>
  <c r="CU45" i="19"/>
  <c r="CQ44" i="19"/>
  <c r="CQ43" i="19"/>
  <c r="CQ42" i="19"/>
  <c r="CQ41" i="19"/>
  <c r="CQ40" i="19"/>
  <c r="CU40" i="19"/>
  <c r="CQ39" i="19"/>
  <c r="CQ38" i="19"/>
  <c r="CQ37" i="19"/>
  <c r="CQ36" i="19"/>
  <c r="CQ35" i="19"/>
  <c r="CU35" i="19"/>
  <c r="CQ34" i="19"/>
  <c r="CU34" i="19"/>
  <c r="CQ33" i="19"/>
  <c r="CU33" i="19"/>
  <c r="CQ31" i="19"/>
  <c r="CQ30" i="19"/>
  <c r="CQ29" i="19"/>
  <c r="CQ28" i="19"/>
  <c r="CU28" i="19"/>
  <c r="CQ27" i="19"/>
  <c r="CQ26" i="19"/>
  <c r="CQ25" i="19"/>
  <c r="CQ24" i="19"/>
  <c r="CQ23" i="19"/>
  <c r="CU23" i="19"/>
  <c r="CQ21" i="19"/>
  <c r="CQ20" i="19"/>
  <c r="CQ19" i="19"/>
  <c r="CQ18" i="19"/>
  <c r="CU18" i="19"/>
  <c r="CQ17" i="19"/>
  <c r="CQ16" i="19"/>
  <c r="CQ15" i="19"/>
  <c r="CQ14" i="19"/>
  <c r="CQ13" i="19"/>
  <c r="CU13" i="19"/>
  <c r="CQ12" i="19"/>
  <c r="CQ11" i="19"/>
  <c r="CQ10" i="19"/>
  <c r="CQ9" i="19"/>
  <c r="CU9" i="19"/>
  <c r="CQ8" i="19"/>
  <c r="CU8" i="19"/>
  <c r="CQ6" i="19"/>
  <c r="CQ5" i="19"/>
  <c r="CQ4" i="19"/>
  <c r="CQ3" i="19"/>
  <c r="CQ2" i="19"/>
  <c r="CU2" i="19"/>
  <c r="CO115" i="19"/>
  <c r="CO109" i="19"/>
  <c r="CO108" i="19"/>
  <c r="CO107" i="19"/>
  <c r="CO106" i="19"/>
  <c r="CO105" i="19"/>
  <c r="CO99" i="19"/>
  <c r="CO87" i="19"/>
  <c r="CO83" i="19"/>
  <c r="CO114" i="19" l="1"/>
  <c r="CO94" i="19"/>
  <c r="CO111" i="19"/>
  <c r="CO93" i="19"/>
  <c r="CO112" i="19"/>
  <c r="CO84" i="19"/>
  <c r="CO69" i="19"/>
  <c r="CO88" i="19"/>
  <c r="CO98" i="19"/>
  <c r="CO72" i="19"/>
  <c r="CO68" i="19"/>
  <c r="CO37" i="19"/>
  <c r="CO64" i="19"/>
  <c r="CO73" i="19"/>
  <c r="CO81" i="19"/>
  <c r="CO70" i="19"/>
  <c r="CO78" i="19"/>
  <c r="CO30" i="19"/>
  <c r="CO54" i="19"/>
  <c r="CO38" i="19"/>
  <c r="CO34" i="19"/>
  <c r="CO44" i="19"/>
  <c r="CO20" i="19"/>
  <c r="CO27" i="19"/>
  <c r="CO51" i="19"/>
  <c r="CO61" i="19"/>
  <c r="CO66" i="19"/>
  <c r="CO75" i="19"/>
  <c r="CO86" i="19"/>
  <c r="CO15" i="19"/>
  <c r="CO3" i="19"/>
  <c r="CO79" i="19"/>
  <c r="CO89" i="19"/>
  <c r="CO92" i="19"/>
  <c r="CO56" i="19"/>
  <c r="CO23" i="19"/>
  <c r="CO40" i="19"/>
  <c r="CO47" i="19"/>
  <c r="CO9" i="19"/>
  <c r="CO2" i="19"/>
  <c r="CO31" i="19"/>
  <c r="CO55" i="19"/>
  <c r="CO65" i="19"/>
  <c r="CO74" i="19"/>
  <c r="CO11" i="19"/>
  <c r="CO21" i="19"/>
  <c r="CO28" i="19"/>
  <c r="CO35" i="19"/>
  <c r="CO45" i="19"/>
  <c r="CO52" i="19"/>
  <c r="CO62" i="19"/>
  <c r="CO71" i="19"/>
  <c r="CO82" i="19"/>
  <c r="CO10" i="19"/>
  <c r="CO12" i="19"/>
  <c r="CO29" i="19"/>
  <c r="CO36" i="19"/>
  <c r="CO46" i="19"/>
  <c r="CO53" i="19"/>
  <c r="CO63" i="19"/>
  <c r="CO19" i="19"/>
  <c r="CO26" i="19"/>
  <c r="CO33" i="19"/>
  <c r="CO43" i="19"/>
  <c r="CO50" i="19"/>
  <c r="CO60" i="19"/>
  <c r="CO76" i="19"/>
  <c r="CO80" i="19"/>
  <c r="CO90" i="19"/>
  <c r="CO100" i="19"/>
  <c r="CO24" i="19"/>
  <c r="CO41" i="19"/>
  <c r="CO58" i="19"/>
  <c r="CO6" i="19"/>
  <c r="CO14" i="19"/>
  <c r="CO4" i="19"/>
  <c r="CO8" i="19"/>
  <c r="CO18" i="19"/>
  <c r="CO39" i="19"/>
  <c r="CO42" i="19"/>
  <c r="CO49" i="19"/>
  <c r="CO59" i="19"/>
  <c r="CO57" i="19"/>
  <c r="CO67" i="19"/>
  <c r="CO77" i="19"/>
  <c r="CO97" i="19"/>
  <c r="CO16" i="19"/>
  <c r="CO5" i="19"/>
  <c r="CO13" i="19"/>
  <c r="CO17" i="19"/>
  <c r="CO25" i="19"/>
  <c r="BY96" i="19"/>
  <c r="BY95" i="19"/>
  <c r="CO22" i="19" l="1"/>
  <c r="BV14" i="19"/>
  <c r="BY14" i="19"/>
  <c r="BV26" i="19"/>
  <c r="BY26" i="19"/>
  <c r="BV58" i="19"/>
  <c r="BY58" i="19"/>
  <c r="BV44" i="19"/>
  <c r="BY44" i="19"/>
  <c r="BZ115" i="19"/>
  <c r="BZ114" i="19"/>
  <c r="BZ110" i="19"/>
  <c r="BZ109" i="19"/>
  <c r="BZ108" i="19"/>
  <c r="BZ105" i="19"/>
  <c r="BZ101" i="19"/>
  <c r="BZ97" i="19"/>
  <c r="BZ94" i="19"/>
  <c r="BZ93" i="19"/>
  <c r="BZ92" i="19"/>
  <c r="BZ87" i="19"/>
  <c r="BZ86" i="19"/>
  <c r="BZ84" i="19"/>
  <c r="BZ83" i="19"/>
  <c r="BZ82" i="19"/>
  <c r="BZ79" i="19"/>
  <c r="BZ75" i="19"/>
  <c r="BZ71" i="19"/>
  <c r="BZ68" i="19"/>
  <c r="BZ63" i="19"/>
  <c r="BZ62" i="19"/>
  <c r="BZ59" i="19"/>
  <c r="BZ58" i="19"/>
  <c r="BZ53" i="19"/>
  <c r="BZ52" i="19"/>
  <c r="BZ51" i="19"/>
  <c r="BZ46" i="19"/>
  <c r="BZ45" i="19"/>
  <c r="BZ40" i="19"/>
  <c r="BZ35" i="19"/>
  <c r="BZ34" i="19"/>
  <c r="BZ33" i="19"/>
  <c r="BZ28" i="19"/>
  <c r="BZ23" i="19"/>
  <c r="BZ18" i="19"/>
  <c r="BZ13" i="19"/>
  <c r="BZ9" i="19"/>
  <c r="BZ8" i="19"/>
  <c r="BZ2" i="19"/>
  <c r="BV115" i="19"/>
  <c r="CG115" i="19" s="1"/>
  <c r="BS115" i="19"/>
  <c r="BR115" i="19"/>
  <c r="CK115" i="19" s="1"/>
  <c r="BV114" i="19"/>
  <c r="CG114" i="19" s="1"/>
  <c r="BS114" i="19"/>
  <c r="BR114" i="19"/>
  <c r="CK114" i="19" s="1"/>
  <c r="BV113" i="19"/>
  <c r="CG113" i="19" s="1"/>
  <c r="BS113" i="19"/>
  <c r="BR113" i="19"/>
  <c r="BV112" i="19"/>
  <c r="CG112" i="19" s="1"/>
  <c r="BS112" i="19"/>
  <c r="BR112" i="19"/>
  <c r="BV111" i="19"/>
  <c r="CG111" i="19" s="1"/>
  <c r="BS111" i="19"/>
  <c r="BR111" i="19"/>
  <c r="BV110" i="19"/>
  <c r="CG110" i="19" s="1"/>
  <c r="BS110" i="19"/>
  <c r="BR110" i="19"/>
  <c r="BV109" i="19"/>
  <c r="CG109" i="19" s="1"/>
  <c r="BS109" i="19"/>
  <c r="BR109" i="19"/>
  <c r="BV108" i="19"/>
  <c r="CG108" i="19" s="1"/>
  <c r="BS108" i="19"/>
  <c r="BR108" i="19"/>
  <c r="BV107" i="19"/>
  <c r="CG107" i="19" s="1"/>
  <c r="BS107" i="19"/>
  <c r="BR107" i="19"/>
  <c r="BV106" i="19"/>
  <c r="CG106" i="19" s="1"/>
  <c r="BS106" i="19"/>
  <c r="BR106" i="19"/>
  <c r="BV105" i="19"/>
  <c r="CG105" i="19" s="1"/>
  <c r="BS105" i="19"/>
  <c r="BR105" i="19"/>
  <c r="CK105" i="19" s="1"/>
  <c r="BV101" i="19"/>
  <c r="CG101" i="19" s="1"/>
  <c r="BS101" i="19"/>
  <c r="BR101" i="19"/>
  <c r="CK101" i="19" s="1"/>
  <c r="BV100" i="19"/>
  <c r="CG100" i="19" s="1"/>
  <c r="BS100" i="19"/>
  <c r="BR100" i="19"/>
  <c r="BV99" i="19"/>
  <c r="CG99" i="19" s="1"/>
  <c r="BS99" i="19"/>
  <c r="BR99" i="19"/>
  <c r="BV98" i="19"/>
  <c r="CG98" i="19" s="1"/>
  <c r="BS98" i="19"/>
  <c r="BR98" i="19"/>
  <c r="BV97" i="19"/>
  <c r="CG97" i="19" s="1"/>
  <c r="BS97" i="19"/>
  <c r="BR97" i="19"/>
  <c r="CK97" i="19" s="1"/>
  <c r="BV96" i="19"/>
  <c r="CG96" i="19" s="1"/>
  <c r="BS96" i="19"/>
  <c r="BR96" i="19"/>
  <c r="BV95" i="19"/>
  <c r="CG95" i="19" s="1"/>
  <c r="BS95" i="19"/>
  <c r="BR95" i="19"/>
  <c r="BV94" i="19"/>
  <c r="CG94" i="19" s="1"/>
  <c r="BS94" i="19"/>
  <c r="BR94" i="19"/>
  <c r="CK94" i="19" s="1"/>
  <c r="BV93" i="19"/>
  <c r="CG93" i="19" s="1"/>
  <c r="BS93" i="19"/>
  <c r="BR93" i="19"/>
  <c r="CK93" i="19" s="1"/>
  <c r="BV92" i="19"/>
  <c r="CG92" i="19" s="1"/>
  <c r="BS92" i="19"/>
  <c r="BR92" i="19"/>
  <c r="CK92" i="19" s="1"/>
  <c r="BV91" i="19"/>
  <c r="CG91" i="19" s="1"/>
  <c r="BS91" i="19"/>
  <c r="BR91" i="19"/>
  <c r="BV90" i="19"/>
  <c r="CG90" i="19" s="1"/>
  <c r="BS90" i="19"/>
  <c r="BR90" i="19"/>
  <c r="BV89" i="19"/>
  <c r="CG89" i="19" s="1"/>
  <c r="BS89" i="19"/>
  <c r="BT89" i="19" s="1"/>
  <c r="CE89" i="19" s="1"/>
  <c r="BR89" i="19"/>
  <c r="BV88" i="19"/>
  <c r="CG88" i="19" s="1"/>
  <c r="BS88" i="19"/>
  <c r="BR88" i="19"/>
  <c r="BV87" i="19"/>
  <c r="CG87" i="19" s="1"/>
  <c r="BS87" i="19"/>
  <c r="BR87" i="19"/>
  <c r="CK87" i="19" s="1"/>
  <c r="BV86" i="19"/>
  <c r="CG86" i="19" s="1"/>
  <c r="BS86" i="19"/>
  <c r="BR86" i="19"/>
  <c r="CK86" i="19" s="1"/>
  <c r="BV85" i="19"/>
  <c r="CG85" i="19" s="1"/>
  <c r="BS85" i="19"/>
  <c r="BR85" i="19"/>
  <c r="BV84" i="19"/>
  <c r="CG84" i="19" s="1"/>
  <c r="BS84" i="19"/>
  <c r="BR84" i="19"/>
  <c r="CK84" i="19" s="1"/>
  <c r="BV83" i="19"/>
  <c r="CG83" i="19" s="1"/>
  <c r="BS83" i="19"/>
  <c r="BR83" i="19"/>
  <c r="BV82" i="19"/>
  <c r="CG82" i="19" s="1"/>
  <c r="BS82" i="19"/>
  <c r="BR82" i="19"/>
  <c r="CK82" i="19" s="1"/>
  <c r="BV81" i="19"/>
  <c r="CG81" i="19" s="1"/>
  <c r="BS81" i="19"/>
  <c r="BR81" i="19"/>
  <c r="BV80" i="19"/>
  <c r="CG80" i="19" s="1"/>
  <c r="BS80" i="19"/>
  <c r="BR80" i="19"/>
  <c r="BV79" i="19"/>
  <c r="CG79" i="19" s="1"/>
  <c r="BS79" i="19"/>
  <c r="BR79" i="19"/>
  <c r="CK79" i="19" s="1"/>
  <c r="BV78" i="19"/>
  <c r="CG78" i="19" s="1"/>
  <c r="BS78" i="19"/>
  <c r="BR78" i="19"/>
  <c r="BV77" i="19"/>
  <c r="CG77" i="19" s="1"/>
  <c r="BS77" i="19"/>
  <c r="BR77" i="19"/>
  <c r="BV75" i="19"/>
  <c r="CG75" i="19" s="1"/>
  <c r="BS75" i="19"/>
  <c r="BR75" i="19"/>
  <c r="CK75" i="19" s="1"/>
  <c r="BV74" i="19"/>
  <c r="CG74" i="19" s="1"/>
  <c r="BS74" i="19"/>
  <c r="BR74" i="19"/>
  <c r="BV73" i="19"/>
  <c r="CG73" i="19" s="1"/>
  <c r="BS73" i="19"/>
  <c r="BR73" i="19"/>
  <c r="BV72" i="19"/>
  <c r="CG72" i="19" s="1"/>
  <c r="BS72" i="19"/>
  <c r="BR72" i="19"/>
  <c r="BV71" i="19"/>
  <c r="CG71" i="19" s="1"/>
  <c r="BS71" i="19"/>
  <c r="BR71" i="19"/>
  <c r="CK71" i="19" s="1"/>
  <c r="BV70" i="19"/>
  <c r="CG70" i="19" s="1"/>
  <c r="BS70" i="19"/>
  <c r="BR70" i="19"/>
  <c r="BV76" i="19"/>
  <c r="CG76" i="19" s="1"/>
  <c r="BS76" i="19"/>
  <c r="BR76" i="19"/>
  <c r="BV69" i="19"/>
  <c r="CG69" i="19" s="1"/>
  <c r="BS69" i="19"/>
  <c r="BR69" i="19"/>
  <c r="BV68" i="19"/>
  <c r="CG68" i="19" s="1"/>
  <c r="BS68" i="19"/>
  <c r="BR68" i="19"/>
  <c r="CK68" i="19" s="1"/>
  <c r="BV67" i="19"/>
  <c r="CG67" i="19" s="1"/>
  <c r="BS67" i="19"/>
  <c r="BR67" i="19"/>
  <c r="BV66" i="19"/>
  <c r="CG66" i="19" s="1"/>
  <c r="BS66" i="19"/>
  <c r="BR66" i="19"/>
  <c r="BV65" i="19"/>
  <c r="CG65" i="19" s="1"/>
  <c r="BS65" i="19"/>
  <c r="BR65" i="19"/>
  <c r="BV64" i="19"/>
  <c r="CG64" i="19" s="1"/>
  <c r="BS64" i="19"/>
  <c r="BR64" i="19"/>
  <c r="BV63" i="19"/>
  <c r="CG63" i="19" s="1"/>
  <c r="BS63" i="19"/>
  <c r="BR63" i="19"/>
  <c r="CK63" i="19" s="1"/>
  <c r="BV62" i="19"/>
  <c r="CG62" i="19" s="1"/>
  <c r="BS62" i="19"/>
  <c r="BR62" i="19"/>
  <c r="CK62" i="19" s="1"/>
  <c r="BV61" i="19"/>
  <c r="CG61" i="19" s="1"/>
  <c r="BS61" i="19"/>
  <c r="BR61" i="19"/>
  <c r="BV60" i="19"/>
  <c r="CG60" i="19" s="1"/>
  <c r="BS60" i="19"/>
  <c r="BR60" i="19"/>
  <c r="BV59" i="19"/>
  <c r="CG59" i="19" s="1"/>
  <c r="BS59" i="19"/>
  <c r="BR59" i="19"/>
  <c r="CK59" i="19" s="1"/>
  <c r="BS58" i="19"/>
  <c r="BR58" i="19"/>
  <c r="CK58" i="19" s="1"/>
  <c r="BV57" i="19"/>
  <c r="CG57" i="19" s="1"/>
  <c r="BS57" i="19"/>
  <c r="BR57" i="19"/>
  <c r="BV56" i="19"/>
  <c r="CG56" i="19" s="1"/>
  <c r="BS56" i="19"/>
  <c r="BR56" i="19"/>
  <c r="BV55" i="19"/>
  <c r="CG55" i="19" s="1"/>
  <c r="BS55" i="19"/>
  <c r="BR55" i="19"/>
  <c r="BV54" i="19"/>
  <c r="CG54" i="19" s="1"/>
  <c r="BS54" i="19"/>
  <c r="BR54" i="19"/>
  <c r="BV53" i="19"/>
  <c r="CG53" i="19" s="1"/>
  <c r="BS53" i="19"/>
  <c r="BR53" i="19"/>
  <c r="CK53" i="19" s="1"/>
  <c r="BV52" i="19"/>
  <c r="CG52" i="19" s="1"/>
  <c r="BS52" i="19"/>
  <c r="BR52" i="19"/>
  <c r="CK52" i="19" s="1"/>
  <c r="BV51" i="19"/>
  <c r="CG51" i="19" s="1"/>
  <c r="BS51" i="19"/>
  <c r="BR51" i="19"/>
  <c r="CK51" i="19" s="1"/>
  <c r="BV50" i="19"/>
  <c r="CG50" i="19" s="1"/>
  <c r="BS50" i="19"/>
  <c r="BR50" i="19"/>
  <c r="BV49" i="19"/>
  <c r="CG49" i="19" s="1"/>
  <c r="BS49" i="19"/>
  <c r="BR49" i="19"/>
  <c r="BS48" i="19"/>
  <c r="BR48" i="19"/>
  <c r="BV47" i="19"/>
  <c r="CG47" i="19" s="1"/>
  <c r="BS47" i="19"/>
  <c r="BR47" i="19"/>
  <c r="BV46" i="19"/>
  <c r="CG46" i="19" s="1"/>
  <c r="BS46" i="19"/>
  <c r="BR46" i="19"/>
  <c r="CK46" i="19" s="1"/>
  <c r="BV45" i="19"/>
  <c r="CG45" i="19" s="1"/>
  <c r="BS45" i="19"/>
  <c r="BR45" i="19"/>
  <c r="CK45" i="19" s="1"/>
  <c r="BS44" i="19"/>
  <c r="BR44" i="19"/>
  <c r="BV43" i="19"/>
  <c r="CG43" i="19" s="1"/>
  <c r="BS43" i="19"/>
  <c r="BR43" i="19"/>
  <c r="BV42" i="19"/>
  <c r="CG42" i="19" s="1"/>
  <c r="BS42" i="19"/>
  <c r="BR42" i="19"/>
  <c r="BV41" i="19"/>
  <c r="CG41" i="19" s="1"/>
  <c r="BS41" i="19"/>
  <c r="BR41" i="19"/>
  <c r="BV40" i="19"/>
  <c r="CG40" i="19" s="1"/>
  <c r="BS40" i="19"/>
  <c r="BR40" i="19"/>
  <c r="CK40" i="19" s="1"/>
  <c r="BV39" i="19"/>
  <c r="CG39" i="19" s="1"/>
  <c r="BS39" i="19"/>
  <c r="BR39" i="19"/>
  <c r="BV38" i="19"/>
  <c r="CG38" i="19" s="1"/>
  <c r="BS38" i="19"/>
  <c r="BR38" i="19"/>
  <c r="BV37" i="19"/>
  <c r="CG37" i="19" s="1"/>
  <c r="BS37" i="19"/>
  <c r="BR37" i="19"/>
  <c r="BV36" i="19"/>
  <c r="CG36" i="19" s="1"/>
  <c r="BS36" i="19"/>
  <c r="BR36" i="19"/>
  <c r="BV35" i="19"/>
  <c r="CG35" i="19" s="1"/>
  <c r="BS35" i="19"/>
  <c r="BR35" i="19"/>
  <c r="CK35" i="19" s="1"/>
  <c r="BV34" i="19"/>
  <c r="CG34" i="19" s="1"/>
  <c r="BS34" i="19"/>
  <c r="BR34" i="19"/>
  <c r="CK34" i="19" s="1"/>
  <c r="BV33" i="19"/>
  <c r="CG33" i="19" s="1"/>
  <c r="BS33" i="19"/>
  <c r="BR33" i="19"/>
  <c r="CK33" i="19" s="1"/>
  <c r="BS32" i="19"/>
  <c r="BR32" i="19"/>
  <c r="BV31" i="19"/>
  <c r="CG31" i="19" s="1"/>
  <c r="BS31" i="19"/>
  <c r="BR31" i="19"/>
  <c r="BV30" i="19"/>
  <c r="CG30" i="19" s="1"/>
  <c r="BS30" i="19"/>
  <c r="BR30" i="19"/>
  <c r="BV29" i="19"/>
  <c r="CG29" i="19" s="1"/>
  <c r="BS29" i="19"/>
  <c r="BR29" i="19"/>
  <c r="BV28" i="19"/>
  <c r="CG28" i="19" s="1"/>
  <c r="BS28" i="19"/>
  <c r="BR28" i="19"/>
  <c r="CK28" i="19" s="1"/>
  <c r="BV27" i="19"/>
  <c r="CG27" i="19" s="1"/>
  <c r="BS27" i="19"/>
  <c r="BR27" i="19"/>
  <c r="BS26" i="19"/>
  <c r="BR26" i="19"/>
  <c r="BV25" i="19"/>
  <c r="CG25" i="19" s="1"/>
  <c r="BS25" i="19"/>
  <c r="BR25" i="19"/>
  <c r="BV24" i="19"/>
  <c r="CG24" i="19" s="1"/>
  <c r="BS24" i="19"/>
  <c r="BR24" i="19"/>
  <c r="BV23" i="19"/>
  <c r="CG23" i="19" s="1"/>
  <c r="BS23" i="19"/>
  <c r="BR23" i="19"/>
  <c r="CK23" i="19" s="1"/>
  <c r="BS22" i="19"/>
  <c r="BR22" i="19"/>
  <c r="BV21" i="19"/>
  <c r="CG21" i="19" s="1"/>
  <c r="BS21" i="19"/>
  <c r="BR21" i="19"/>
  <c r="BV20" i="19"/>
  <c r="CG20" i="19" s="1"/>
  <c r="BS20" i="19"/>
  <c r="BR20" i="19"/>
  <c r="BV19" i="19"/>
  <c r="CG19" i="19" s="1"/>
  <c r="BS19" i="19"/>
  <c r="BR19" i="19"/>
  <c r="BV18" i="19"/>
  <c r="CG18" i="19" s="1"/>
  <c r="BS18" i="19"/>
  <c r="BR18" i="19"/>
  <c r="CK18" i="19" s="1"/>
  <c r="BV17" i="19"/>
  <c r="CG17" i="19" s="1"/>
  <c r="BS17" i="19"/>
  <c r="BR17" i="19"/>
  <c r="BV16" i="19"/>
  <c r="CG16" i="19" s="1"/>
  <c r="BS16" i="19"/>
  <c r="BR16" i="19"/>
  <c r="BV15" i="19"/>
  <c r="CG15" i="19" s="1"/>
  <c r="BS15" i="19"/>
  <c r="BR15" i="19"/>
  <c r="BS14" i="19"/>
  <c r="BR14" i="19"/>
  <c r="BV13" i="19"/>
  <c r="CG13" i="19" s="1"/>
  <c r="BS13" i="19"/>
  <c r="BR13" i="19"/>
  <c r="CK13" i="19" s="1"/>
  <c r="BV12" i="19"/>
  <c r="CG12" i="19" s="1"/>
  <c r="BS12" i="19"/>
  <c r="BR12" i="19"/>
  <c r="BV11" i="19"/>
  <c r="CG11" i="19" s="1"/>
  <c r="BS11" i="19"/>
  <c r="BR11" i="19"/>
  <c r="BV10" i="19"/>
  <c r="CG10" i="19" s="1"/>
  <c r="BS10" i="19"/>
  <c r="BR10" i="19"/>
  <c r="BV9" i="19"/>
  <c r="CG9" i="19" s="1"/>
  <c r="BS9" i="19"/>
  <c r="BR9" i="19"/>
  <c r="CK9" i="19" s="1"/>
  <c r="BV8" i="19"/>
  <c r="CG8" i="19" s="1"/>
  <c r="BS8" i="19"/>
  <c r="BR8" i="19"/>
  <c r="CK8" i="19" s="1"/>
  <c r="BV6" i="19"/>
  <c r="CG6" i="19" s="1"/>
  <c r="BS6" i="19"/>
  <c r="BR6" i="19"/>
  <c r="BV5" i="19"/>
  <c r="CG5" i="19" s="1"/>
  <c r="BS5" i="19"/>
  <c r="BR5" i="19"/>
  <c r="BV4" i="19"/>
  <c r="CG4" i="19" s="1"/>
  <c r="BS4" i="19"/>
  <c r="BR4" i="19"/>
  <c r="BV3" i="19"/>
  <c r="CG3" i="19" s="1"/>
  <c r="BS3" i="19"/>
  <c r="BR3" i="19"/>
  <c r="BV2" i="19"/>
  <c r="CG2" i="19" s="1"/>
  <c r="BS2" i="19"/>
  <c r="BR2" i="19"/>
  <c r="CK2" i="19" s="1"/>
  <c r="BY115" i="19"/>
  <c r="BT115" i="19"/>
  <c r="CE115" i="19" s="1"/>
  <c r="BY114" i="19"/>
  <c r="BT114" i="19"/>
  <c r="CE114" i="19" s="1"/>
  <c r="BY113" i="19"/>
  <c r="BT113" i="19"/>
  <c r="CE113" i="19" s="1"/>
  <c r="BY112" i="19"/>
  <c r="BT112" i="19"/>
  <c r="CE112" i="19" s="1"/>
  <c r="BY111" i="19"/>
  <c r="BT111" i="19"/>
  <c r="CE111" i="19" s="1"/>
  <c r="BY110" i="19"/>
  <c r="BY109" i="19"/>
  <c r="BT109" i="19"/>
  <c r="CE109" i="19" s="1"/>
  <c r="BY108" i="19"/>
  <c r="BT108" i="19"/>
  <c r="CE108" i="19" s="1"/>
  <c r="BY107" i="19"/>
  <c r="BY106" i="19"/>
  <c r="BT106" i="19"/>
  <c r="CE106" i="19" s="1"/>
  <c r="BY105" i="19"/>
  <c r="BT105" i="19"/>
  <c r="CE105" i="19" s="1"/>
  <c r="BY101" i="19"/>
  <c r="BT101" i="19"/>
  <c r="CE101" i="19" s="1"/>
  <c r="BY100" i="19"/>
  <c r="BT100" i="19"/>
  <c r="CE100" i="19" s="1"/>
  <c r="BY99" i="19"/>
  <c r="BT99" i="19"/>
  <c r="CE99" i="19" s="1"/>
  <c r="BY98" i="19"/>
  <c r="BT98" i="19"/>
  <c r="CE98" i="19" s="1"/>
  <c r="BY97" i="19"/>
  <c r="BY94" i="19"/>
  <c r="BY93" i="19"/>
  <c r="BY92" i="19"/>
  <c r="BY91" i="19"/>
  <c r="BY90" i="19"/>
  <c r="BY89" i="19"/>
  <c r="BY88" i="19"/>
  <c r="BY87" i="19"/>
  <c r="BY86" i="19"/>
  <c r="BY85" i="19"/>
  <c r="BY84" i="19"/>
  <c r="BY83" i="19"/>
  <c r="BY82" i="19"/>
  <c r="BY81" i="19"/>
  <c r="BY80" i="19"/>
  <c r="BY79" i="19"/>
  <c r="BY78" i="19"/>
  <c r="BY77" i="19"/>
  <c r="BY75" i="19"/>
  <c r="BY74" i="19"/>
  <c r="BY73" i="19"/>
  <c r="BY72" i="19"/>
  <c r="BY71" i="19"/>
  <c r="BY70" i="19"/>
  <c r="BY76" i="19"/>
  <c r="BY69" i="19"/>
  <c r="BY68" i="19"/>
  <c r="BY67" i="19"/>
  <c r="BY66" i="19"/>
  <c r="BY65" i="19"/>
  <c r="BY64" i="19"/>
  <c r="BY63" i="19"/>
  <c r="BY62" i="19"/>
  <c r="BY61" i="19"/>
  <c r="BY60" i="19"/>
  <c r="BY59" i="19"/>
  <c r="BY57" i="19"/>
  <c r="BY56" i="19"/>
  <c r="BY55" i="19"/>
  <c r="BY54" i="19"/>
  <c r="BY53" i="19"/>
  <c r="BY52" i="19"/>
  <c r="BY51" i="19"/>
  <c r="BY50" i="19"/>
  <c r="BY49" i="19"/>
  <c r="BY47" i="19"/>
  <c r="BY46" i="19"/>
  <c r="BY45" i="19"/>
  <c r="BY43" i="19"/>
  <c r="BY42" i="19"/>
  <c r="BY41" i="19"/>
  <c r="BY40" i="19"/>
  <c r="BY39" i="19"/>
  <c r="BY38" i="19"/>
  <c r="BY37" i="19"/>
  <c r="BY36" i="19"/>
  <c r="BY35" i="19"/>
  <c r="BY34" i="19"/>
  <c r="BY33" i="19"/>
  <c r="BY32" i="19"/>
  <c r="BY31" i="19"/>
  <c r="BY30" i="19"/>
  <c r="BY29" i="19"/>
  <c r="BY28" i="19"/>
  <c r="BY27" i="19"/>
  <c r="BY25" i="19"/>
  <c r="BY24" i="19"/>
  <c r="BY23" i="19"/>
  <c r="BY22" i="19"/>
  <c r="BU22" i="19"/>
  <c r="BY21" i="19"/>
  <c r="BY20" i="19"/>
  <c r="BY19" i="19"/>
  <c r="BY18" i="19"/>
  <c r="BY17" i="19"/>
  <c r="BY15" i="19"/>
  <c r="BY13" i="19"/>
  <c r="BY12" i="19"/>
  <c r="BY11" i="19"/>
  <c r="BY10" i="19"/>
  <c r="BY9" i="19"/>
  <c r="BY8" i="19"/>
  <c r="BY6" i="19"/>
  <c r="BY5" i="19"/>
  <c r="BY4" i="19"/>
  <c r="BY3" i="19"/>
  <c r="BY2" i="19"/>
  <c r="D2" i="23"/>
  <c r="BL83" i="19"/>
  <c r="BM83" i="19" s="1"/>
  <c r="BI83" i="19"/>
  <c r="BL77" i="19"/>
  <c r="BM77" i="19" s="1"/>
  <c r="BO77" i="19"/>
  <c r="BL32" i="19"/>
  <c r="BM32" i="19" s="1"/>
  <c r="BO32" i="19"/>
  <c r="BP115" i="19"/>
  <c r="BP114" i="19"/>
  <c r="BP110" i="19"/>
  <c r="BP109" i="19"/>
  <c r="BP108" i="19"/>
  <c r="BP105" i="19"/>
  <c r="BP101" i="19"/>
  <c r="BP97" i="19"/>
  <c r="BP94" i="19"/>
  <c r="BP93" i="19"/>
  <c r="BP92" i="19"/>
  <c r="BP87" i="19"/>
  <c r="BP86" i="19"/>
  <c r="BP84" i="19"/>
  <c r="BP83" i="19"/>
  <c r="BP82" i="19"/>
  <c r="BP79" i="19"/>
  <c r="BP75" i="19"/>
  <c r="BP71" i="19"/>
  <c r="BP68" i="19"/>
  <c r="BP63" i="19"/>
  <c r="BP62" i="19"/>
  <c r="BP59" i="19"/>
  <c r="BP58" i="19"/>
  <c r="BP53" i="19"/>
  <c r="BP52" i="19"/>
  <c r="BP51" i="19"/>
  <c r="BP46" i="19"/>
  <c r="BP45" i="19"/>
  <c r="BP40" i="19"/>
  <c r="BP35" i="19"/>
  <c r="BP34" i="19"/>
  <c r="BP33" i="19"/>
  <c r="BP28" i="19"/>
  <c r="BP23" i="19"/>
  <c r="BP18" i="19"/>
  <c r="BP13" i="19"/>
  <c r="BP9" i="19"/>
  <c r="BP8" i="19"/>
  <c r="BP2" i="19"/>
  <c r="BL115" i="19"/>
  <c r="BW115" i="19" s="1"/>
  <c r="BI115" i="19"/>
  <c r="BH115" i="19"/>
  <c r="CA115" i="19" s="1"/>
  <c r="BL114" i="19"/>
  <c r="BW114" i="19" s="1"/>
  <c r="BI114" i="19"/>
  <c r="BH114" i="19"/>
  <c r="CA114" i="19" s="1"/>
  <c r="BL113" i="19"/>
  <c r="BW113" i="19" s="1"/>
  <c r="BI113" i="19"/>
  <c r="BH113" i="19"/>
  <c r="BL112" i="19"/>
  <c r="BW112" i="19" s="1"/>
  <c r="BI112" i="19"/>
  <c r="BH112" i="19"/>
  <c r="BL111" i="19"/>
  <c r="BW111" i="19" s="1"/>
  <c r="BI111" i="19"/>
  <c r="BH111" i="19"/>
  <c r="BL110" i="19"/>
  <c r="BW110" i="19" s="1"/>
  <c r="BI110" i="19"/>
  <c r="BH110" i="19"/>
  <c r="BL109" i="19"/>
  <c r="BW109" i="19" s="1"/>
  <c r="BI109" i="19"/>
  <c r="BH109" i="19"/>
  <c r="BL108" i="19"/>
  <c r="BW108" i="19" s="1"/>
  <c r="BI108" i="19"/>
  <c r="BH108" i="19"/>
  <c r="CA108" i="19" s="1"/>
  <c r="BL107" i="19"/>
  <c r="BW107" i="19" s="1"/>
  <c r="BI107" i="19"/>
  <c r="BH107" i="19"/>
  <c r="BL106" i="19"/>
  <c r="BI106" i="19"/>
  <c r="BH106" i="19"/>
  <c r="BL105" i="19"/>
  <c r="BW105" i="19" s="1"/>
  <c r="BI105" i="19"/>
  <c r="BH105" i="19"/>
  <c r="CA105" i="19" s="1"/>
  <c r="BL101" i="19"/>
  <c r="BI101" i="19"/>
  <c r="BH101" i="19"/>
  <c r="CA101" i="19" s="1"/>
  <c r="BL100" i="19"/>
  <c r="BW100" i="19" s="1"/>
  <c r="BI100" i="19"/>
  <c r="BH100" i="19"/>
  <c r="BL99" i="19"/>
  <c r="BW99" i="19" s="1"/>
  <c r="BI99" i="19"/>
  <c r="BH99" i="19"/>
  <c r="BL98" i="19"/>
  <c r="BW98" i="19" s="1"/>
  <c r="BI98" i="19"/>
  <c r="BH98" i="19"/>
  <c r="BL97" i="19"/>
  <c r="BW97" i="19" s="1"/>
  <c r="BI97" i="19"/>
  <c r="BH97" i="19"/>
  <c r="BL96" i="19"/>
  <c r="BW96" i="19" s="1"/>
  <c r="BI96" i="19"/>
  <c r="BH96" i="19"/>
  <c r="BJ96" i="19" s="1"/>
  <c r="BL95" i="19"/>
  <c r="BW95" i="19" s="1"/>
  <c r="BI95" i="19"/>
  <c r="BH95" i="19"/>
  <c r="BL94" i="19"/>
  <c r="BW94" i="19" s="1"/>
  <c r="BI94" i="19"/>
  <c r="BH94" i="19"/>
  <c r="CA94" i="19" s="1"/>
  <c r="BL93" i="19"/>
  <c r="BI93" i="19"/>
  <c r="BH93" i="19"/>
  <c r="BL92" i="19"/>
  <c r="BW92" i="19" s="1"/>
  <c r="BI92" i="19"/>
  <c r="BH92" i="19"/>
  <c r="CA92" i="19" s="1"/>
  <c r="BL91" i="19"/>
  <c r="BI91" i="19"/>
  <c r="BH91" i="19"/>
  <c r="BL90" i="19"/>
  <c r="BW90" i="19" s="1"/>
  <c r="BI90" i="19"/>
  <c r="BH90" i="19"/>
  <c r="BL89" i="19"/>
  <c r="BI89" i="19"/>
  <c r="BH89" i="19"/>
  <c r="BL88" i="19"/>
  <c r="BW88" i="19" s="1"/>
  <c r="BI88" i="19"/>
  <c r="BH88" i="19"/>
  <c r="BL87" i="19"/>
  <c r="BI87" i="19"/>
  <c r="BH87" i="19"/>
  <c r="BL86" i="19"/>
  <c r="BW86" i="19" s="1"/>
  <c r="BI86" i="19"/>
  <c r="BH86" i="19"/>
  <c r="BJ86" i="19" s="1"/>
  <c r="BL85" i="19"/>
  <c r="BW85" i="19" s="1"/>
  <c r="BI85" i="19"/>
  <c r="BH85" i="19"/>
  <c r="BL84" i="19"/>
  <c r="BW84" i="19" s="1"/>
  <c r="BI84" i="19"/>
  <c r="BH84" i="19"/>
  <c r="CA84" i="19" s="1"/>
  <c r="BH83" i="19"/>
  <c r="BL82" i="19"/>
  <c r="BW82" i="19" s="1"/>
  <c r="BI82" i="19"/>
  <c r="BH82" i="19"/>
  <c r="BL81" i="19"/>
  <c r="BI81" i="19"/>
  <c r="BH81" i="19"/>
  <c r="BL80" i="19"/>
  <c r="BI80" i="19"/>
  <c r="BH80" i="19"/>
  <c r="BL79" i="19"/>
  <c r="BI79" i="19"/>
  <c r="BH79" i="19"/>
  <c r="CA79" i="19" s="1"/>
  <c r="BL78" i="19"/>
  <c r="BI78" i="19"/>
  <c r="BH78" i="19"/>
  <c r="BI77" i="19"/>
  <c r="BH77" i="19"/>
  <c r="BL75" i="19"/>
  <c r="BW75" i="19" s="1"/>
  <c r="BI75" i="19"/>
  <c r="BH75" i="19"/>
  <c r="CA75" i="19" s="1"/>
  <c r="BL74" i="19"/>
  <c r="BW74" i="19" s="1"/>
  <c r="BI74" i="19"/>
  <c r="BH74" i="19"/>
  <c r="BL73" i="19"/>
  <c r="BI73" i="19"/>
  <c r="BH73" i="19"/>
  <c r="BL72" i="19"/>
  <c r="BI72" i="19"/>
  <c r="BH72" i="19"/>
  <c r="BL71" i="19"/>
  <c r="BW71" i="19" s="1"/>
  <c r="BI71" i="19"/>
  <c r="BH71" i="19"/>
  <c r="BL70" i="19"/>
  <c r="BI70" i="19"/>
  <c r="BH70" i="19"/>
  <c r="BL76" i="19"/>
  <c r="BI76" i="19"/>
  <c r="BH76" i="19"/>
  <c r="BL69" i="19"/>
  <c r="BI69" i="19"/>
  <c r="BH69" i="19"/>
  <c r="BL68" i="19"/>
  <c r="BI68" i="19"/>
  <c r="BH68" i="19"/>
  <c r="CA68" i="19" s="1"/>
  <c r="BL67" i="19"/>
  <c r="BI67" i="19"/>
  <c r="BH67" i="19"/>
  <c r="BL66" i="19"/>
  <c r="BW66" i="19" s="1"/>
  <c r="BI66" i="19"/>
  <c r="BH66" i="19"/>
  <c r="BL65" i="19"/>
  <c r="BI65" i="19"/>
  <c r="BH65" i="19"/>
  <c r="BL64" i="19"/>
  <c r="BW64" i="19" s="1"/>
  <c r="BI64" i="19"/>
  <c r="BH64" i="19"/>
  <c r="BL63" i="19"/>
  <c r="BI63" i="19"/>
  <c r="BH63" i="19"/>
  <c r="BL62" i="19"/>
  <c r="BI62" i="19"/>
  <c r="BH62" i="19"/>
  <c r="BL61" i="19"/>
  <c r="BI61" i="19"/>
  <c r="BH61" i="19"/>
  <c r="BL60" i="19"/>
  <c r="BI60" i="19"/>
  <c r="BH60" i="19"/>
  <c r="BL59" i="19"/>
  <c r="BI59" i="19"/>
  <c r="BH59" i="19"/>
  <c r="BI58" i="19"/>
  <c r="BH58" i="19"/>
  <c r="BL57" i="19"/>
  <c r="BI57" i="19"/>
  <c r="BH57" i="19"/>
  <c r="BL56" i="19"/>
  <c r="BI56" i="19"/>
  <c r="BH56" i="19"/>
  <c r="BL55" i="19"/>
  <c r="BI55" i="19"/>
  <c r="BH55" i="19"/>
  <c r="BL54" i="19"/>
  <c r="BI54" i="19"/>
  <c r="BH54" i="19"/>
  <c r="BL53" i="19"/>
  <c r="BI53" i="19"/>
  <c r="BH53" i="19"/>
  <c r="BL52" i="19"/>
  <c r="BI52" i="19"/>
  <c r="BH52" i="19"/>
  <c r="BL51" i="19"/>
  <c r="BI51" i="19"/>
  <c r="BH51" i="19"/>
  <c r="BL50" i="19"/>
  <c r="BI50" i="19"/>
  <c r="BH50" i="19"/>
  <c r="BL49" i="19"/>
  <c r="BW49" i="19" s="1"/>
  <c r="BI49" i="19"/>
  <c r="BH49" i="19"/>
  <c r="BI48" i="19"/>
  <c r="BH48" i="19"/>
  <c r="BL47" i="19"/>
  <c r="BI47" i="19"/>
  <c r="BH47" i="19"/>
  <c r="BL46" i="19"/>
  <c r="BI46" i="19"/>
  <c r="BH46" i="19"/>
  <c r="BL45" i="19"/>
  <c r="BI45" i="19"/>
  <c r="BH45" i="19"/>
  <c r="BI44" i="19"/>
  <c r="BH44" i="19"/>
  <c r="BL43" i="19"/>
  <c r="BI43" i="19"/>
  <c r="BH43" i="19"/>
  <c r="BL42" i="19"/>
  <c r="BI42" i="19"/>
  <c r="BH42" i="19"/>
  <c r="BL41" i="19"/>
  <c r="BI41" i="19"/>
  <c r="BH41" i="19"/>
  <c r="BL40" i="19"/>
  <c r="BI40" i="19"/>
  <c r="BH40" i="19"/>
  <c r="BL39" i="19"/>
  <c r="BI39" i="19"/>
  <c r="BH39" i="19"/>
  <c r="BL38" i="19"/>
  <c r="BI38" i="19"/>
  <c r="BH38" i="19"/>
  <c r="BL37" i="19"/>
  <c r="BI37" i="19"/>
  <c r="BH37" i="19"/>
  <c r="BL36" i="19"/>
  <c r="BI36" i="19"/>
  <c r="BH36" i="19"/>
  <c r="BL35" i="19"/>
  <c r="BI35" i="19"/>
  <c r="BH35" i="19"/>
  <c r="BL34" i="19"/>
  <c r="BI34" i="19"/>
  <c r="BH34" i="19"/>
  <c r="BL33" i="19"/>
  <c r="BI33" i="19"/>
  <c r="BH33" i="19"/>
  <c r="BI32" i="19"/>
  <c r="BH32" i="19"/>
  <c r="BL31" i="19"/>
  <c r="BI31" i="19"/>
  <c r="BH31" i="19"/>
  <c r="BL30" i="19"/>
  <c r="BI30" i="19"/>
  <c r="BH30" i="19"/>
  <c r="BL29" i="19"/>
  <c r="BI29" i="19"/>
  <c r="BH29" i="19"/>
  <c r="BL28" i="19"/>
  <c r="BI28" i="19"/>
  <c r="BH28" i="19"/>
  <c r="BL27" i="19"/>
  <c r="BI27" i="19"/>
  <c r="BH27" i="19"/>
  <c r="BI26" i="19"/>
  <c r="BH26" i="19"/>
  <c r="BL25" i="19"/>
  <c r="BI25" i="19"/>
  <c r="BH25" i="19"/>
  <c r="BL24" i="19"/>
  <c r="BI24" i="19"/>
  <c r="BH24" i="19"/>
  <c r="BL23" i="19"/>
  <c r="BI23" i="19"/>
  <c r="BH23" i="19"/>
  <c r="BI22" i="19"/>
  <c r="BH22" i="19"/>
  <c r="BL21" i="19"/>
  <c r="BI21" i="19"/>
  <c r="BH21" i="19"/>
  <c r="BL20" i="19"/>
  <c r="BI20" i="19"/>
  <c r="BH20" i="19"/>
  <c r="BL19" i="19"/>
  <c r="BI19" i="19"/>
  <c r="BH19" i="19"/>
  <c r="BL18" i="19"/>
  <c r="BI18" i="19"/>
  <c r="BH18" i="19"/>
  <c r="BL17" i="19"/>
  <c r="BI17" i="19"/>
  <c r="BH17" i="19"/>
  <c r="BL16" i="19"/>
  <c r="BI16" i="19"/>
  <c r="BH16" i="19"/>
  <c r="BL15" i="19"/>
  <c r="BI15" i="19"/>
  <c r="BH15" i="19"/>
  <c r="BI14" i="19"/>
  <c r="BH14" i="19"/>
  <c r="BL13" i="19"/>
  <c r="BI13" i="19"/>
  <c r="BH13" i="19"/>
  <c r="BL12" i="19"/>
  <c r="BI12" i="19"/>
  <c r="BH12" i="19"/>
  <c r="BL11" i="19"/>
  <c r="BI11" i="19"/>
  <c r="BH11" i="19"/>
  <c r="BL10" i="19"/>
  <c r="BI10" i="19"/>
  <c r="BH10" i="19"/>
  <c r="BL9" i="19"/>
  <c r="BI9" i="19"/>
  <c r="BH9" i="19"/>
  <c r="BL8" i="19"/>
  <c r="BI8" i="19"/>
  <c r="BH8" i="19"/>
  <c r="BL6" i="19"/>
  <c r="BI6" i="19"/>
  <c r="BH6" i="19"/>
  <c r="BL5" i="19"/>
  <c r="BI5" i="19"/>
  <c r="BH5" i="19"/>
  <c r="BL4" i="19"/>
  <c r="BI4" i="19"/>
  <c r="BH4" i="19"/>
  <c r="BL3" i="19"/>
  <c r="BI3" i="19"/>
  <c r="BH3" i="19"/>
  <c r="BL2" i="19"/>
  <c r="BI2" i="19"/>
  <c r="BH2" i="19"/>
  <c r="BO115" i="19"/>
  <c r="BO114" i="19"/>
  <c r="BO113" i="19"/>
  <c r="BO112" i="19"/>
  <c r="BO111" i="19"/>
  <c r="BO110" i="19"/>
  <c r="BO109" i="19"/>
  <c r="BO108" i="19"/>
  <c r="BO107" i="19"/>
  <c r="BO106" i="19"/>
  <c r="BO105" i="19"/>
  <c r="BO101" i="19"/>
  <c r="BO100" i="19"/>
  <c r="BO99" i="19"/>
  <c r="BO98" i="19"/>
  <c r="BO97" i="19"/>
  <c r="BO96" i="19"/>
  <c r="BO95" i="19"/>
  <c r="BO94" i="19"/>
  <c r="BO93" i="19"/>
  <c r="BO92" i="19"/>
  <c r="BO91" i="19"/>
  <c r="BO90" i="19"/>
  <c r="BO89" i="19"/>
  <c r="BO88" i="19"/>
  <c r="BO87" i="19"/>
  <c r="BO86" i="19"/>
  <c r="BO85" i="19"/>
  <c r="BO84" i="19"/>
  <c r="BO83" i="19"/>
  <c r="BO82" i="19"/>
  <c r="BO81" i="19"/>
  <c r="BO80" i="19"/>
  <c r="BO79" i="19"/>
  <c r="BO78" i="19"/>
  <c r="BO75" i="19"/>
  <c r="BO74" i="19"/>
  <c r="BO73" i="19"/>
  <c r="BO72" i="19"/>
  <c r="BO71" i="19"/>
  <c r="BO70" i="19"/>
  <c r="BO76" i="19"/>
  <c r="BO69" i="19"/>
  <c r="BO68" i="19"/>
  <c r="BO67" i="19"/>
  <c r="BO66" i="19"/>
  <c r="BO65" i="19"/>
  <c r="BO64" i="19"/>
  <c r="BO63" i="19"/>
  <c r="BO62" i="19"/>
  <c r="BO61" i="19"/>
  <c r="BO60" i="19"/>
  <c r="BO59" i="19"/>
  <c r="BO57" i="19"/>
  <c r="BO56" i="19"/>
  <c r="BO55" i="19"/>
  <c r="BO54" i="19"/>
  <c r="BO53" i="19"/>
  <c r="BO52" i="19"/>
  <c r="BO51" i="19"/>
  <c r="BO50" i="19"/>
  <c r="BO49" i="19"/>
  <c r="BO47" i="19"/>
  <c r="BO46" i="19"/>
  <c r="BO45" i="19"/>
  <c r="BO43" i="19"/>
  <c r="BO42" i="19"/>
  <c r="BO41" i="19"/>
  <c r="BO40" i="19"/>
  <c r="BO39" i="19"/>
  <c r="BO38" i="19"/>
  <c r="BO37" i="19"/>
  <c r="BO36" i="19"/>
  <c r="BO35" i="19"/>
  <c r="BO34" i="19"/>
  <c r="BO33" i="19"/>
  <c r="BO31" i="19"/>
  <c r="BO30" i="19"/>
  <c r="BO29" i="19"/>
  <c r="BO28" i="19"/>
  <c r="BO27" i="19"/>
  <c r="BO25" i="19"/>
  <c r="BO24" i="19"/>
  <c r="BO23" i="19"/>
  <c r="BO22" i="19"/>
  <c r="BK22" i="19"/>
  <c r="BO21" i="19"/>
  <c r="BO20" i="19"/>
  <c r="BO19" i="19"/>
  <c r="BO18" i="19"/>
  <c r="BO17" i="19"/>
  <c r="BO15" i="19"/>
  <c r="BO13" i="19"/>
  <c r="BO12" i="19"/>
  <c r="BO11" i="19"/>
  <c r="BO10" i="19"/>
  <c r="BO9" i="19"/>
  <c r="BO8" i="19"/>
  <c r="BO6" i="19"/>
  <c r="BO5" i="19"/>
  <c r="BO4" i="19"/>
  <c r="BO3" i="19"/>
  <c r="BO2" i="19"/>
  <c r="V7" i="23"/>
  <c r="BB30" i="19"/>
  <c r="BC30" i="19" s="1"/>
  <c r="BE37" i="19"/>
  <c r="BB16" i="19"/>
  <c r="BE16" i="19"/>
  <c r="BE56" i="19"/>
  <c r="BE11" i="19"/>
  <c r="BB11" i="19"/>
  <c r="BC11" i="19" s="1"/>
  <c r="BB100" i="19"/>
  <c r="BM100" i="19" s="1"/>
  <c r="AY100" i="19"/>
  <c r="AX100" i="19"/>
  <c r="AR100" i="19"/>
  <c r="AO100" i="19"/>
  <c r="AN100" i="19"/>
  <c r="BE96" i="19"/>
  <c r="BB96" i="19"/>
  <c r="AU96" i="19"/>
  <c r="AR96" i="19"/>
  <c r="AS96" i="19" s="1"/>
  <c r="V2" i="23"/>
  <c r="AY115" i="19"/>
  <c r="AY114" i="19"/>
  <c r="AY113" i="19"/>
  <c r="AY112" i="19"/>
  <c r="AY111" i="19"/>
  <c r="AY110" i="19"/>
  <c r="AY109" i="19"/>
  <c r="AY108" i="19"/>
  <c r="AY107" i="19"/>
  <c r="AY106" i="19"/>
  <c r="AY105" i="19"/>
  <c r="AY101" i="19"/>
  <c r="AY99" i="19"/>
  <c r="AY98" i="19"/>
  <c r="AY97" i="19"/>
  <c r="AY96" i="19"/>
  <c r="AY95" i="19"/>
  <c r="AY94" i="19"/>
  <c r="AY93" i="19"/>
  <c r="AY92" i="19"/>
  <c r="AY91" i="19"/>
  <c r="AY90" i="19"/>
  <c r="AY89" i="19"/>
  <c r="AY88" i="19"/>
  <c r="AY87" i="19"/>
  <c r="AY86" i="19"/>
  <c r="AY85" i="19"/>
  <c r="AY84" i="19"/>
  <c r="AY83" i="19"/>
  <c r="AY82" i="19"/>
  <c r="AY81" i="19"/>
  <c r="AY80" i="19"/>
  <c r="AY79" i="19"/>
  <c r="AY78" i="19"/>
  <c r="AY77" i="19"/>
  <c r="AY75" i="19"/>
  <c r="AY74" i="19"/>
  <c r="AY73" i="19"/>
  <c r="AY72" i="19"/>
  <c r="AY71" i="19"/>
  <c r="AY70" i="19"/>
  <c r="AY76" i="19"/>
  <c r="AY69" i="19"/>
  <c r="AY68" i="19"/>
  <c r="AY67" i="19"/>
  <c r="AY66" i="19"/>
  <c r="AY65" i="19"/>
  <c r="AY64" i="19"/>
  <c r="AY63" i="19"/>
  <c r="AY62" i="19"/>
  <c r="AY61" i="19"/>
  <c r="AY60" i="19"/>
  <c r="AY59" i="19"/>
  <c r="AY58" i="19"/>
  <c r="AY57" i="19"/>
  <c r="AY56" i="19"/>
  <c r="AY55" i="19"/>
  <c r="AY54" i="19"/>
  <c r="AY53" i="19"/>
  <c r="AY52" i="19"/>
  <c r="AY51" i="19"/>
  <c r="AY50" i="19"/>
  <c r="AY49" i="19"/>
  <c r="AY48" i="19"/>
  <c r="AY47" i="19"/>
  <c r="AY46" i="19"/>
  <c r="AY45" i="19"/>
  <c r="AY44" i="19"/>
  <c r="AY43" i="19"/>
  <c r="AY42" i="19"/>
  <c r="AY41" i="19"/>
  <c r="AY40" i="19"/>
  <c r="AY39" i="19"/>
  <c r="AY38" i="19"/>
  <c r="AY37" i="19"/>
  <c r="AY36" i="19"/>
  <c r="AY35" i="19"/>
  <c r="AY34" i="19"/>
  <c r="AY33" i="19"/>
  <c r="AY32" i="19"/>
  <c r="AY31" i="19"/>
  <c r="AY30" i="19"/>
  <c r="AY29" i="19"/>
  <c r="AY28" i="19"/>
  <c r="AY27" i="19"/>
  <c r="AY26" i="19"/>
  <c r="AY25" i="19"/>
  <c r="AY24" i="19"/>
  <c r="AY23" i="19"/>
  <c r="AY22" i="19"/>
  <c r="AY21" i="19"/>
  <c r="AY20" i="19"/>
  <c r="AY19" i="19"/>
  <c r="AY18" i="19"/>
  <c r="AY17" i="19"/>
  <c r="AY16" i="19"/>
  <c r="AY15" i="19"/>
  <c r="AY14" i="19"/>
  <c r="AY13" i="19"/>
  <c r="AY12" i="19"/>
  <c r="AY11" i="19"/>
  <c r="AY10" i="19"/>
  <c r="AY9" i="19"/>
  <c r="AY8" i="19"/>
  <c r="AY6" i="19"/>
  <c r="AY5" i="19"/>
  <c r="AY4" i="19"/>
  <c r="AY3" i="19"/>
  <c r="AY2" i="19"/>
  <c r="BB115" i="19"/>
  <c r="BB114" i="19"/>
  <c r="BB113" i="19"/>
  <c r="BB112" i="19"/>
  <c r="BM112" i="19" s="1"/>
  <c r="BB111" i="19"/>
  <c r="BB110" i="19"/>
  <c r="BM110" i="19" s="1"/>
  <c r="BB109" i="19"/>
  <c r="BB108" i="19"/>
  <c r="BB107" i="19"/>
  <c r="BB106" i="19"/>
  <c r="BM106" i="19" s="1"/>
  <c r="BB105" i="19"/>
  <c r="BB101" i="19"/>
  <c r="BB99" i="19"/>
  <c r="BM99" i="19" s="1"/>
  <c r="BB98" i="19"/>
  <c r="BB97" i="19"/>
  <c r="BB95" i="19"/>
  <c r="BB94" i="19"/>
  <c r="BB93" i="19"/>
  <c r="BB92" i="19"/>
  <c r="BM92" i="19" s="1"/>
  <c r="BB91" i="19"/>
  <c r="BB90" i="19"/>
  <c r="BM90" i="19" s="1"/>
  <c r="BB89" i="19"/>
  <c r="BM89" i="19" s="1"/>
  <c r="BB88" i="19"/>
  <c r="BB87" i="19"/>
  <c r="BM87" i="19" s="1"/>
  <c r="BB86" i="19"/>
  <c r="BB85" i="19"/>
  <c r="BB84" i="19"/>
  <c r="BB82" i="19"/>
  <c r="BB81" i="19"/>
  <c r="BB80" i="19"/>
  <c r="BB79" i="19"/>
  <c r="BB78" i="19"/>
  <c r="BM78" i="19" s="1"/>
  <c r="BB75" i="19"/>
  <c r="BB74" i="19"/>
  <c r="BB73" i="19"/>
  <c r="BB72" i="19"/>
  <c r="BB71" i="19"/>
  <c r="BB70" i="19"/>
  <c r="BB76" i="19"/>
  <c r="BB69" i="19"/>
  <c r="BB68" i="19"/>
  <c r="BM68" i="19" s="1"/>
  <c r="BB67" i="19"/>
  <c r="BB66" i="19"/>
  <c r="BB65" i="19"/>
  <c r="BB64" i="19"/>
  <c r="BB63" i="19"/>
  <c r="BB62" i="19"/>
  <c r="BB61" i="19"/>
  <c r="BB60" i="19"/>
  <c r="BB59" i="19"/>
  <c r="BB58" i="19"/>
  <c r="BB57" i="19"/>
  <c r="BB56" i="19"/>
  <c r="BB55" i="19"/>
  <c r="BB54" i="19"/>
  <c r="BB53" i="19"/>
  <c r="BB52" i="19"/>
  <c r="BB51" i="19"/>
  <c r="BB50" i="19"/>
  <c r="BB49" i="19"/>
  <c r="BB47" i="19"/>
  <c r="BB46" i="19"/>
  <c r="BB45" i="19"/>
  <c r="BB43" i="19"/>
  <c r="BB42" i="19"/>
  <c r="BB41" i="19"/>
  <c r="BB40" i="19"/>
  <c r="BB39" i="19"/>
  <c r="BB38" i="19"/>
  <c r="BB37" i="19"/>
  <c r="BM37" i="19" s="1"/>
  <c r="BB36" i="19"/>
  <c r="BB35" i="19"/>
  <c r="BB34" i="19"/>
  <c r="BB33" i="19"/>
  <c r="BB31" i="19"/>
  <c r="BB29" i="19"/>
  <c r="BB28" i="19"/>
  <c r="BB27" i="19"/>
  <c r="BB25" i="19"/>
  <c r="BB24" i="19"/>
  <c r="BB23" i="19"/>
  <c r="BB21" i="19"/>
  <c r="BB20" i="19"/>
  <c r="BB19" i="19"/>
  <c r="BB18" i="19"/>
  <c r="BB17" i="19"/>
  <c r="BB15" i="19"/>
  <c r="BB14" i="19"/>
  <c r="BB13" i="19"/>
  <c r="BB12" i="19"/>
  <c r="BB10" i="19"/>
  <c r="BB9" i="19"/>
  <c r="BB8" i="19"/>
  <c r="BB6" i="19"/>
  <c r="BB5" i="19"/>
  <c r="BB4" i="19"/>
  <c r="BB3" i="19"/>
  <c r="BB2" i="19"/>
  <c r="BF115" i="19"/>
  <c r="BF114" i="19"/>
  <c r="BF110" i="19"/>
  <c r="BF109" i="19"/>
  <c r="BF108" i="19"/>
  <c r="BF105" i="19"/>
  <c r="BF101" i="19"/>
  <c r="BF97" i="19"/>
  <c r="BF94" i="19"/>
  <c r="BF93" i="19"/>
  <c r="BF92" i="19"/>
  <c r="BF87" i="19"/>
  <c r="BF86" i="19"/>
  <c r="BF84" i="19"/>
  <c r="BF83" i="19"/>
  <c r="BF82" i="19"/>
  <c r="BF79" i="19"/>
  <c r="BF75" i="19"/>
  <c r="BF71" i="19"/>
  <c r="BF68" i="19"/>
  <c r="BF63" i="19"/>
  <c r="BF62" i="19"/>
  <c r="BF59" i="19"/>
  <c r="BF58" i="19"/>
  <c r="BF53" i="19"/>
  <c r="BF52" i="19"/>
  <c r="BF51" i="19"/>
  <c r="BF46" i="19"/>
  <c r="BF45" i="19"/>
  <c r="BF40" i="19"/>
  <c r="BF35" i="19"/>
  <c r="BF34" i="19"/>
  <c r="BF33" i="19"/>
  <c r="BF28" i="19"/>
  <c r="BF23" i="19"/>
  <c r="BF18" i="19"/>
  <c r="BF13" i="19"/>
  <c r="BF9" i="19"/>
  <c r="BF8" i="19"/>
  <c r="BF2" i="19"/>
  <c r="AX115" i="19"/>
  <c r="AX114" i="19"/>
  <c r="AX113" i="19"/>
  <c r="AX112" i="19"/>
  <c r="AX111" i="19"/>
  <c r="AX110" i="19"/>
  <c r="AX109" i="19"/>
  <c r="AX108" i="19"/>
  <c r="AX107" i="19"/>
  <c r="AX106" i="19"/>
  <c r="AX105" i="19"/>
  <c r="AX101" i="19"/>
  <c r="AX99" i="19"/>
  <c r="AX98" i="19"/>
  <c r="AX97" i="19"/>
  <c r="AX96" i="19"/>
  <c r="AX95" i="19"/>
  <c r="AZ95" i="19" s="1"/>
  <c r="AX94" i="19"/>
  <c r="BQ94" i="19" s="1"/>
  <c r="AX93" i="19"/>
  <c r="BQ93" i="19" s="1"/>
  <c r="AX92" i="19"/>
  <c r="AX91" i="19"/>
  <c r="AX90" i="19"/>
  <c r="AX89" i="19"/>
  <c r="AX88" i="19"/>
  <c r="AX87" i="19"/>
  <c r="AX86" i="19"/>
  <c r="AX85" i="19"/>
  <c r="AZ85" i="19" s="1"/>
  <c r="AX84" i="19"/>
  <c r="AX83" i="19"/>
  <c r="AX82" i="19"/>
  <c r="AX81" i="19"/>
  <c r="AX80" i="19"/>
  <c r="AX79" i="19"/>
  <c r="AX78" i="19"/>
  <c r="AX77" i="19"/>
  <c r="AX75" i="19"/>
  <c r="AX74" i="19"/>
  <c r="AX73" i="19"/>
  <c r="AX72" i="19"/>
  <c r="AX71" i="19"/>
  <c r="BQ71" i="19" s="1"/>
  <c r="AX70" i="19"/>
  <c r="AX76" i="19"/>
  <c r="AX69" i="19"/>
  <c r="AX68" i="19"/>
  <c r="AX67" i="19"/>
  <c r="AX66" i="19"/>
  <c r="AX65" i="19"/>
  <c r="AX64" i="19"/>
  <c r="AX63" i="19"/>
  <c r="AX62" i="19"/>
  <c r="AX61" i="19"/>
  <c r="AX60" i="19"/>
  <c r="AX59" i="19"/>
  <c r="AX58" i="19"/>
  <c r="AX57" i="19"/>
  <c r="AX56" i="19"/>
  <c r="AX55" i="19"/>
  <c r="AX54" i="19"/>
  <c r="AX53" i="19"/>
  <c r="AX52" i="19"/>
  <c r="AX51" i="19"/>
  <c r="AX50" i="19"/>
  <c r="AX49" i="19"/>
  <c r="AX48" i="19"/>
  <c r="AX47" i="19"/>
  <c r="AX46" i="19"/>
  <c r="AX45" i="19"/>
  <c r="AX44" i="19"/>
  <c r="AX43" i="19"/>
  <c r="AX42" i="19"/>
  <c r="AX41" i="19"/>
  <c r="AX40" i="19"/>
  <c r="AX39" i="19"/>
  <c r="AX38" i="19"/>
  <c r="AX37" i="19"/>
  <c r="AX36" i="19"/>
  <c r="AX35" i="19"/>
  <c r="AX34" i="19"/>
  <c r="AX33" i="19"/>
  <c r="AX32" i="19"/>
  <c r="AX31" i="19"/>
  <c r="AX30" i="19"/>
  <c r="AX29" i="19"/>
  <c r="AX28" i="19"/>
  <c r="AX27" i="19"/>
  <c r="AX26" i="19"/>
  <c r="AX25" i="19"/>
  <c r="AX24" i="19"/>
  <c r="AX23" i="19"/>
  <c r="AX22" i="19"/>
  <c r="AX21" i="19"/>
  <c r="AX20" i="19"/>
  <c r="AX19" i="19"/>
  <c r="AX18" i="19"/>
  <c r="BQ18" i="19" s="1"/>
  <c r="AX17" i="19"/>
  <c r="AX16" i="19"/>
  <c r="AX15" i="19"/>
  <c r="AX14" i="19"/>
  <c r="AX13" i="19"/>
  <c r="AX12" i="19"/>
  <c r="AX11" i="19"/>
  <c r="AX10" i="19"/>
  <c r="AX9" i="19"/>
  <c r="AX8" i="19"/>
  <c r="AX6" i="19"/>
  <c r="AX5" i="19"/>
  <c r="AX4" i="19"/>
  <c r="AX3" i="19"/>
  <c r="AX2" i="19"/>
  <c r="BE115" i="19"/>
  <c r="BE114" i="19"/>
  <c r="BE113" i="19"/>
  <c r="BE112" i="19"/>
  <c r="BE111" i="19"/>
  <c r="BE110" i="19"/>
  <c r="BE109" i="19"/>
  <c r="BE108" i="19"/>
  <c r="BE107" i="19"/>
  <c r="BE106" i="19"/>
  <c r="BE105" i="19"/>
  <c r="BE101" i="19"/>
  <c r="BE100" i="19"/>
  <c r="BE99" i="19"/>
  <c r="BE98" i="19"/>
  <c r="BE97" i="19"/>
  <c r="BE95" i="19"/>
  <c r="BE94" i="19"/>
  <c r="BE93" i="19"/>
  <c r="BE92" i="19"/>
  <c r="BE91" i="19"/>
  <c r="BE90" i="19"/>
  <c r="BE89" i="19"/>
  <c r="BE88" i="19"/>
  <c r="BE87" i="19"/>
  <c r="BE86" i="19"/>
  <c r="BE85" i="19"/>
  <c r="BE84" i="19"/>
  <c r="BE83" i="19"/>
  <c r="BA83" i="19"/>
  <c r="BE82" i="19"/>
  <c r="BE81" i="19"/>
  <c r="BE80" i="19"/>
  <c r="BE79" i="19"/>
  <c r="BE78" i="19"/>
  <c r="BE75" i="19"/>
  <c r="BE74" i="19"/>
  <c r="BE73" i="19"/>
  <c r="BE72" i="19"/>
  <c r="BE71" i="19"/>
  <c r="BE70" i="19"/>
  <c r="BE76" i="19"/>
  <c r="BE69" i="19"/>
  <c r="BE68" i="19"/>
  <c r="BE67" i="19"/>
  <c r="BE66" i="19"/>
  <c r="BE65" i="19"/>
  <c r="BE64" i="19"/>
  <c r="BE63" i="19"/>
  <c r="BE62" i="19"/>
  <c r="BE61" i="19"/>
  <c r="BE60" i="19"/>
  <c r="BE59" i="19"/>
  <c r="BE58" i="19"/>
  <c r="BE57" i="19"/>
  <c r="BE55" i="19"/>
  <c r="BE54" i="19"/>
  <c r="BE53" i="19"/>
  <c r="BE52" i="19"/>
  <c r="BE51" i="19"/>
  <c r="BE50" i="19"/>
  <c r="BE49" i="19"/>
  <c r="BE47" i="19"/>
  <c r="BE46" i="19"/>
  <c r="BE45" i="19"/>
  <c r="BE43" i="19"/>
  <c r="BE42" i="19"/>
  <c r="BE41" i="19"/>
  <c r="BE40" i="19"/>
  <c r="BE39" i="19"/>
  <c r="BE38" i="19"/>
  <c r="BE36" i="19"/>
  <c r="BE35" i="19"/>
  <c r="BE34" i="19"/>
  <c r="BE33" i="19"/>
  <c r="BE31" i="19"/>
  <c r="BE30" i="19"/>
  <c r="BE29" i="19"/>
  <c r="BE28" i="19"/>
  <c r="BE27" i="19"/>
  <c r="BE25" i="19"/>
  <c r="BE24" i="19"/>
  <c r="BE23" i="19"/>
  <c r="BE22" i="19"/>
  <c r="BA22" i="19"/>
  <c r="BE21" i="19"/>
  <c r="BE20" i="19"/>
  <c r="BE19" i="19"/>
  <c r="BE18" i="19"/>
  <c r="BE17" i="19"/>
  <c r="BE15" i="19"/>
  <c r="BE14" i="19"/>
  <c r="BE13" i="19"/>
  <c r="BE12" i="19"/>
  <c r="BE10" i="19"/>
  <c r="BE9" i="19"/>
  <c r="BE8" i="19"/>
  <c r="BE6" i="19"/>
  <c r="BE5" i="19"/>
  <c r="BE4" i="19"/>
  <c r="BE3" i="19"/>
  <c r="BE2" i="19"/>
  <c r="P115" i="23"/>
  <c r="P114" i="23"/>
  <c r="P110" i="23"/>
  <c r="P109" i="23"/>
  <c r="P108" i="23"/>
  <c r="P105" i="23"/>
  <c r="P104" i="23"/>
  <c r="P101" i="23"/>
  <c r="P97" i="23"/>
  <c r="P94" i="23"/>
  <c r="P93" i="23"/>
  <c r="P92" i="23"/>
  <c r="P87" i="23"/>
  <c r="P86" i="23"/>
  <c r="P84" i="23"/>
  <c r="P83" i="23"/>
  <c r="P82" i="23"/>
  <c r="P79" i="23"/>
  <c r="P76" i="23"/>
  <c r="P72" i="23"/>
  <c r="P67" i="23"/>
  <c r="P62" i="23"/>
  <c r="P61" i="23"/>
  <c r="P58" i="23"/>
  <c r="P57" i="23"/>
  <c r="P52" i="23"/>
  <c r="P51" i="23"/>
  <c r="P50" i="23"/>
  <c r="P45" i="23"/>
  <c r="P44" i="23"/>
  <c r="P39" i="23"/>
  <c r="P34" i="23"/>
  <c r="P33" i="23"/>
  <c r="P32" i="23"/>
  <c r="P27" i="23"/>
  <c r="P22" i="23"/>
  <c r="P17" i="23"/>
  <c r="P12" i="23"/>
  <c r="P8" i="23"/>
  <c r="P7" i="23"/>
  <c r="P2" i="23"/>
  <c r="AU115" i="19"/>
  <c r="AU114" i="19"/>
  <c r="AU113" i="19"/>
  <c r="AU112" i="19"/>
  <c r="AU111" i="19"/>
  <c r="AU110" i="19"/>
  <c r="AU109" i="19"/>
  <c r="AU108" i="19"/>
  <c r="AU107" i="19"/>
  <c r="AU106" i="19"/>
  <c r="AU105" i="19"/>
  <c r="AU101" i="19"/>
  <c r="AU100" i="19"/>
  <c r="AU99" i="19"/>
  <c r="AU98" i="19"/>
  <c r="AU97" i="19"/>
  <c r="AU95" i="19"/>
  <c r="AU94" i="19"/>
  <c r="AU93" i="19"/>
  <c r="AU92" i="19"/>
  <c r="AU91" i="19"/>
  <c r="AU90" i="19"/>
  <c r="AU89" i="19"/>
  <c r="AU88" i="19"/>
  <c r="AU87" i="19"/>
  <c r="AU86" i="19"/>
  <c r="AU85" i="19"/>
  <c r="AU84" i="19"/>
  <c r="AU83" i="19"/>
  <c r="AU82" i="19"/>
  <c r="AU81" i="19"/>
  <c r="AU80" i="19"/>
  <c r="AU79" i="19"/>
  <c r="AU78" i="19"/>
  <c r="AU77" i="19"/>
  <c r="AU75" i="19"/>
  <c r="AU74" i="19"/>
  <c r="AU73" i="19"/>
  <c r="AU72" i="19"/>
  <c r="AU71" i="19"/>
  <c r="AU70" i="19"/>
  <c r="AU76" i="19"/>
  <c r="AU69" i="19"/>
  <c r="AU68" i="19"/>
  <c r="AU67" i="19"/>
  <c r="AU66" i="19"/>
  <c r="AU65" i="19"/>
  <c r="AU64" i="19"/>
  <c r="AU63" i="19"/>
  <c r="AU62" i="19"/>
  <c r="AU61" i="19"/>
  <c r="AU60" i="19"/>
  <c r="AU59" i="19"/>
  <c r="AU58" i="19"/>
  <c r="AU57" i="19"/>
  <c r="AU55" i="19"/>
  <c r="AU54" i="19"/>
  <c r="AU53" i="19"/>
  <c r="AU52" i="19"/>
  <c r="AU51" i="19"/>
  <c r="AU50" i="19"/>
  <c r="AU49" i="19"/>
  <c r="AU47" i="19"/>
  <c r="AU46" i="19"/>
  <c r="AU45" i="19"/>
  <c r="AU43" i="19"/>
  <c r="AU42" i="19"/>
  <c r="AU41" i="19"/>
  <c r="AU40" i="19"/>
  <c r="AU39" i="19"/>
  <c r="AU38" i="19"/>
  <c r="AU36" i="19"/>
  <c r="AU35" i="19"/>
  <c r="AU34" i="19"/>
  <c r="AU33" i="19"/>
  <c r="AU31" i="19"/>
  <c r="AU30" i="19"/>
  <c r="AU29" i="19"/>
  <c r="AU28" i="19"/>
  <c r="AU27" i="19"/>
  <c r="AU25" i="19"/>
  <c r="AU24" i="19"/>
  <c r="AU23" i="19"/>
  <c r="AU22" i="19"/>
  <c r="AU21" i="19"/>
  <c r="AU20" i="19"/>
  <c r="AU19" i="19"/>
  <c r="AU18" i="19"/>
  <c r="AU17" i="19"/>
  <c r="AU15" i="19"/>
  <c r="AU14" i="19"/>
  <c r="AU13" i="19"/>
  <c r="AU12" i="19"/>
  <c r="AU10" i="19"/>
  <c r="AU9" i="19"/>
  <c r="AU8" i="19"/>
  <c r="AU6" i="19"/>
  <c r="AU5" i="19"/>
  <c r="AU4" i="19"/>
  <c r="AU3" i="19"/>
  <c r="AU2" i="19"/>
  <c r="AR37" i="19"/>
  <c r="AS37" i="19" s="1"/>
  <c r="AR27" i="19"/>
  <c r="AS27" i="19" s="1"/>
  <c r="AV115" i="19"/>
  <c r="AV114" i="19"/>
  <c r="AV110" i="19"/>
  <c r="AV109" i="19"/>
  <c r="AV108" i="19"/>
  <c r="AV105" i="19"/>
  <c r="AV101" i="19"/>
  <c r="AV97" i="19"/>
  <c r="AV94" i="19"/>
  <c r="AV93" i="19"/>
  <c r="AV92" i="19"/>
  <c r="AV87" i="19"/>
  <c r="AV86" i="19"/>
  <c r="AV84" i="19"/>
  <c r="AV83" i="19"/>
  <c r="AV82" i="19"/>
  <c r="AV79" i="19"/>
  <c r="AV75" i="19"/>
  <c r="AV71" i="19"/>
  <c r="AV68" i="19"/>
  <c r="AV63" i="19"/>
  <c r="AV62" i="19"/>
  <c r="AV59" i="19"/>
  <c r="AV58" i="19"/>
  <c r="AV53" i="19"/>
  <c r="AV52" i="19"/>
  <c r="AV51" i="19"/>
  <c r="AV46" i="19"/>
  <c r="AV45" i="19"/>
  <c r="AV40" i="19"/>
  <c r="AV35" i="19"/>
  <c r="AV34" i="19"/>
  <c r="AV33" i="19"/>
  <c r="AV28" i="19"/>
  <c r="AV23" i="19"/>
  <c r="AV18" i="19"/>
  <c r="AV13" i="19"/>
  <c r="AV9" i="19"/>
  <c r="AV8" i="19"/>
  <c r="AV2" i="19"/>
  <c r="AO96" i="19"/>
  <c r="AO95" i="19"/>
  <c r="AR115" i="19"/>
  <c r="AO115" i="19"/>
  <c r="AN115" i="19"/>
  <c r="AR114" i="19"/>
  <c r="AO114" i="19"/>
  <c r="AN114" i="19"/>
  <c r="AR113" i="19"/>
  <c r="AO113" i="19"/>
  <c r="AN113" i="19"/>
  <c r="AR112" i="19"/>
  <c r="AO112" i="19"/>
  <c r="AN112" i="19"/>
  <c r="AR111" i="19"/>
  <c r="AO111" i="19"/>
  <c r="AN111" i="19"/>
  <c r="AR110" i="19"/>
  <c r="AO110" i="19"/>
  <c r="AN110" i="19"/>
  <c r="AR109" i="19"/>
  <c r="AO109" i="19"/>
  <c r="AN109" i="19"/>
  <c r="AR108" i="19"/>
  <c r="AO108" i="19"/>
  <c r="AN108" i="19"/>
  <c r="AR107" i="19"/>
  <c r="AO107" i="19"/>
  <c r="AN107" i="19"/>
  <c r="AR106" i="19"/>
  <c r="AO106" i="19"/>
  <c r="AN106" i="19"/>
  <c r="AR105" i="19"/>
  <c r="AO105" i="19"/>
  <c r="AN105" i="19"/>
  <c r="AR101" i="19"/>
  <c r="AO101" i="19"/>
  <c r="AN101" i="19"/>
  <c r="AR99" i="19"/>
  <c r="AO99" i="19"/>
  <c r="AN99" i="19"/>
  <c r="AR98" i="19"/>
  <c r="AO98" i="19"/>
  <c r="AN98" i="19"/>
  <c r="AR97" i="19"/>
  <c r="AO97" i="19"/>
  <c r="AN97" i="19"/>
  <c r="AN96" i="19"/>
  <c r="AR95" i="19"/>
  <c r="AN95" i="19"/>
  <c r="AR94" i="19"/>
  <c r="AO94" i="19"/>
  <c r="AN94" i="19"/>
  <c r="AR93" i="19"/>
  <c r="AO93" i="19"/>
  <c r="AN93" i="19"/>
  <c r="AR92" i="19"/>
  <c r="AO92" i="19"/>
  <c r="AN92" i="19"/>
  <c r="AR91" i="19"/>
  <c r="AO91" i="19"/>
  <c r="AN91" i="19"/>
  <c r="AR90" i="19"/>
  <c r="AO90" i="19"/>
  <c r="AN90" i="19"/>
  <c r="AR89" i="19"/>
  <c r="AO89" i="19"/>
  <c r="AN89" i="19"/>
  <c r="AR88" i="19"/>
  <c r="AO88" i="19"/>
  <c r="AN88" i="19"/>
  <c r="AR87" i="19"/>
  <c r="AO87" i="19"/>
  <c r="AN87" i="19"/>
  <c r="AR86" i="19"/>
  <c r="AO86" i="19"/>
  <c r="AN86" i="19"/>
  <c r="AR85" i="19"/>
  <c r="AO85" i="19"/>
  <c r="AN85" i="19"/>
  <c r="AR84" i="19"/>
  <c r="AO84" i="19"/>
  <c r="AN84" i="19"/>
  <c r="AO83" i="19"/>
  <c r="AN83" i="19"/>
  <c r="AR82" i="19"/>
  <c r="AO82" i="19"/>
  <c r="AN82" i="19"/>
  <c r="AR81" i="19"/>
  <c r="AO81" i="19"/>
  <c r="AN81" i="19"/>
  <c r="AR80" i="19"/>
  <c r="AO80" i="19"/>
  <c r="AN80" i="19"/>
  <c r="AR79" i="19"/>
  <c r="AO79" i="19"/>
  <c r="AN79" i="19"/>
  <c r="AR78" i="19"/>
  <c r="AO78" i="19"/>
  <c r="AN78" i="19"/>
  <c r="AR77" i="19"/>
  <c r="AO77" i="19"/>
  <c r="AN77" i="19"/>
  <c r="AR75" i="19"/>
  <c r="AO75" i="19"/>
  <c r="AN75" i="19"/>
  <c r="AR74" i="19"/>
  <c r="AO74" i="19"/>
  <c r="AN74" i="19"/>
  <c r="AR73" i="19"/>
  <c r="AO73" i="19"/>
  <c r="AN73" i="19"/>
  <c r="AR72" i="19"/>
  <c r="AO72" i="19"/>
  <c r="AN72" i="19"/>
  <c r="AR71" i="19"/>
  <c r="AO71" i="19"/>
  <c r="AN71" i="19"/>
  <c r="AR70" i="19"/>
  <c r="AO70" i="19"/>
  <c r="AN70" i="19"/>
  <c r="AR76" i="19"/>
  <c r="AO76" i="19"/>
  <c r="AN76" i="19"/>
  <c r="AR69" i="19"/>
  <c r="AO69" i="19"/>
  <c r="AN69" i="19"/>
  <c r="AR68" i="19"/>
  <c r="AO68" i="19"/>
  <c r="AN68" i="19"/>
  <c r="AR67" i="19"/>
  <c r="AO67" i="19"/>
  <c r="AN67" i="19"/>
  <c r="AR66" i="19"/>
  <c r="AO66" i="19"/>
  <c r="AN66" i="19"/>
  <c r="AR65" i="19"/>
  <c r="AO65" i="19"/>
  <c r="AN65" i="19"/>
  <c r="AR64" i="19"/>
  <c r="AO64" i="19"/>
  <c r="AN64" i="19"/>
  <c r="AR63" i="19"/>
  <c r="AO63" i="19"/>
  <c r="AN63" i="19"/>
  <c r="AR62" i="19"/>
  <c r="AO62" i="19"/>
  <c r="AN62" i="19"/>
  <c r="AR61" i="19"/>
  <c r="AO61" i="19"/>
  <c r="AN61" i="19"/>
  <c r="AR60" i="19"/>
  <c r="AO60" i="19"/>
  <c r="AN60" i="19"/>
  <c r="AR59" i="19"/>
  <c r="AO59" i="19"/>
  <c r="AN59" i="19"/>
  <c r="AR58" i="19"/>
  <c r="AO58" i="19"/>
  <c r="AN58" i="19"/>
  <c r="AR57" i="19"/>
  <c r="AO57" i="19"/>
  <c r="AN57" i="19"/>
  <c r="AR56" i="19"/>
  <c r="AO56" i="19"/>
  <c r="AN56" i="19"/>
  <c r="AR55" i="19"/>
  <c r="AO55" i="19"/>
  <c r="AN55" i="19"/>
  <c r="AR54" i="19"/>
  <c r="AO54" i="19"/>
  <c r="AN54" i="19"/>
  <c r="AR53" i="19"/>
  <c r="AO53" i="19"/>
  <c r="AN53" i="19"/>
  <c r="AR52" i="19"/>
  <c r="AO52" i="19"/>
  <c r="AN52" i="19"/>
  <c r="AR51" i="19"/>
  <c r="AO51" i="19"/>
  <c r="AN51" i="19"/>
  <c r="AR50" i="19"/>
  <c r="AO50" i="19"/>
  <c r="AN50" i="19"/>
  <c r="AR49" i="19"/>
  <c r="AO49" i="19"/>
  <c r="AN49" i="19"/>
  <c r="AO48" i="19"/>
  <c r="AN48" i="19"/>
  <c r="AR47" i="19"/>
  <c r="AO47" i="19"/>
  <c r="AN47" i="19"/>
  <c r="AR46" i="19"/>
  <c r="AO46" i="19"/>
  <c r="AN46" i="19"/>
  <c r="AR45" i="19"/>
  <c r="AO45" i="19"/>
  <c r="AN45" i="19"/>
  <c r="AO44" i="19"/>
  <c r="AN44" i="19"/>
  <c r="AR43" i="19"/>
  <c r="AO43" i="19"/>
  <c r="AN43" i="19"/>
  <c r="AR42" i="19"/>
  <c r="AO42" i="19"/>
  <c r="AN42" i="19"/>
  <c r="AR41" i="19"/>
  <c r="AO41" i="19"/>
  <c r="AN41" i="19"/>
  <c r="AR40" i="19"/>
  <c r="AO40" i="19"/>
  <c r="AN40" i="19"/>
  <c r="AR39" i="19"/>
  <c r="AO39" i="19"/>
  <c r="AN39" i="19"/>
  <c r="AR38" i="19"/>
  <c r="AO38" i="19"/>
  <c r="AN38" i="19"/>
  <c r="AO37" i="19"/>
  <c r="AN37" i="19"/>
  <c r="AR36" i="19"/>
  <c r="AO36" i="19"/>
  <c r="AN36" i="19"/>
  <c r="AR35" i="19"/>
  <c r="AO35" i="19"/>
  <c r="AN35" i="19"/>
  <c r="AR34" i="19"/>
  <c r="AO34" i="19"/>
  <c r="AN34" i="19"/>
  <c r="AR33" i="19"/>
  <c r="AO33" i="19"/>
  <c r="AN33" i="19"/>
  <c r="AO32" i="19"/>
  <c r="AN32" i="19"/>
  <c r="AR31" i="19"/>
  <c r="AO31" i="19"/>
  <c r="AN31" i="19"/>
  <c r="AO30" i="19"/>
  <c r="AN30" i="19"/>
  <c r="AR29" i="19"/>
  <c r="AO29" i="19"/>
  <c r="AN29" i="19"/>
  <c r="AR28" i="19"/>
  <c r="AO28" i="19"/>
  <c r="AN28" i="19"/>
  <c r="AO27" i="19"/>
  <c r="AN27" i="19"/>
  <c r="AO26" i="19"/>
  <c r="AN26" i="19"/>
  <c r="AR25" i="19"/>
  <c r="AO25" i="19"/>
  <c r="AN25" i="19"/>
  <c r="AR24" i="19"/>
  <c r="AO24" i="19"/>
  <c r="AN24" i="19"/>
  <c r="AR23" i="19"/>
  <c r="AO23" i="19"/>
  <c r="AN23" i="19"/>
  <c r="AO22" i="19"/>
  <c r="AN22" i="19"/>
  <c r="AR21" i="19"/>
  <c r="AO21" i="19"/>
  <c r="AN21" i="19"/>
  <c r="AR20" i="19"/>
  <c r="AO20" i="19"/>
  <c r="AN20" i="19"/>
  <c r="AR19" i="19"/>
  <c r="AO19" i="19"/>
  <c r="AN19" i="19"/>
  <c r="AR18" i="19"/>
  <c r="AO18" i="19"/>
  <c r="AN18" i="19"/>
  <c r="AR17" i="19"/>
  <c r="AO17" i="19"/>
  <c r="AN17" i="19"/>
  <c r="AO16" i="19"/>
  <c r="AN16" i="19"/>
  <c r="AR15" i="19"/>
  <c r="AO15" i="19"/>
  <c r="AN15" i="19"/>
  <c r="AR14" i="19"/>
  <c r="AO14" i="19"/>
  <c r="AN14" i="19"/>
  <c r="AR13" i="19"/>
  <c r="AO13" i="19"/>
  <c r="AN13" i="19"/>
  <c r="AR12" i="19"/>
  <c r="AO12" i="19"/>
  <c r="AN12" i="19"/>
  <c r="AO11" i="19"/>
  <c r="AN11" i="19"/>
  <c r="AR10" i="19"/>
  <c r="AO10" i="19"/>
  <c r="AN10" i="19"/>
  <c r="AR9" i="19"/>
  <c r="AO9" i="19"/>
  <c r="AN9" i="19"/>
  <c r="AR8" i="19"/>
  <c r="AO8" i="19"/>
  <c r="AN8" i="19"/>
  <c r="AR6" i="19"/>
  <c r="AO6" i="19"/>
  <c r="AN6" i="19"/>
  <c r="AR5" i="19"/>
  <c r="AO5" i="19"/>
  <c r="AN5" i="19"/>
  <c r="AR4" i="19"/>
  <c r="AO4" i="19"/>
  <c r="AN4" i="19"/>
  <c r="AR3" i="19"/>
  <c r="AO3" i="19"/>
  <c r="AN3" i="19"/>
  <c r="AR2" i="19"/>
  <c r="AO2" i="19"/>
  <c r="AN2" i="19"/>
  <c r="AL115" i="19"/>
  <c r="AK115" i="19"/>
  <c r="AH115" i="19"/>
  <c r="AE115" i="19"/>
  <c r="AD115" i="19"/>
  <c r="AL114" i="19"/>
  <c r="AK114" i="19"/>
  <c r="AH114" i="19"/>
  <c r="AE114" i="19"/>
  <c r="AD114" i="19"/>
  <c r="AK113" i="19"/>
  <c r="AH113" i="19"/>
  <c r="AE113" i="19"/>
  <c r="AD113" i="19"/>
  <c r="AK112" i="19"/>
  <c r="AH112" i="19"/>
  <c r="AE112" i="19"/>
  <c r="AD112" i="19"/>
  <c r="AK111" i="19"/>
  <c r="AH111" i="19"/>
  <c r="AE111" i="19"/>
  <c r="AD111" i="19"/>
  <c r="AL110" i="19"/>
  <c r="AK110" i="19"/>
  <c r="AH110" i="19"/>
  <c r="AE110" i="19"/>
  <c r="AD110" i="19"/>
  <c r="AL109" i="19"/>
  <c r="AK109" i="19"/>
  <c r="AH109" i="19"/>
  <c r="AE109" i="19"/>
  <c r="AD109" i="19"/>
  <c r="AL108" i="19"/>
  <c r="AK108" i="19"/>
  <c r="AH108" i="19"/>
  <c r="AE108" i="19"/>
  <c r="AD108" i="19"/>
  <c r="AK107" i="19"/>
  <c r="AH107" i="19"/>
  <c r="AE107" i="19"/>
  <c r="AD107" i="19"/>
  <c r="AK106" i="19"/>
  <c r="AH106" i="19"/>
  <c r="AE106" i="19"/>
  <c r="AD106" i="19"/>
  <c r="AL105" i="19"/>
  <c r="AK105" i="19"/>
  <c r="AH105" i="19"/>
  <c r="AE105" i="19"/>
  <c r="AD105" i="19"/>
  <c r="AL101" i="19"/>
  <c r="AK101" i="19"/>
  <c r="AH101" i="19"/>
  <c r="AE101" i="19"/>
  <c r="AD101" i="19"/>
  <c r="AK100" i="19"/>
  <c r="AH100" i="19"/>
  <c r="AS100" i="19" s="1"/>
  <c r="AE100" i="19"/>
  <c r="AD100" i="19"/>
  <c r="AK99" i="19"/>
  <c r="AH99" i="19"/>
  <c r="AE99" i="19"/>
  <c r="AD99" i="19"/>
  <c r="AK98" i="19"/>
  <c r="AH98" i="19"/>
  <c r="AE98" i="19"/>
  <c r="AD98" i="19"/>
  <c r="AL97" i="19"/>
  <c r="AK97" i="19"/>
  <c r="AH97" i="19"/>
  <c r="AE97" i="19"/>
  <c r="AD97" i="19"/>
  <c r="AD96" i="19"/>
  <c r="AK95" i="19"/>
  <c r="AH95" i="19"/>
  <c r="AE95" i="19"/>
  <c r="AD95" i="19"/>
  <c r="AL94" i="19"/>
  <c r="AK94" i="19"/>
  <c r="AH94" i="19"/>
  <c r="AE94" i="19"/>
  <c r="AD94" i="19"/>
  <c r="AL93" i="19"/>
  <c r="AK93" i="19"/>
  <c r="AH93" i="19"/>
  <c r="AE93" i="19"/>
  <c r="AD93" i="19"/>
  <c r="AL92" i="19"/>
  <c r="AK92" i="19"/>
  <c r="AH92" i="19"/>
  <c r="AE92" i="19"/>
  <c r="AD92" i="19"/>
  <c r="AK91" i="19"/>
  <c r="AH91" i="19"/>
  <c r="AE91" i="19"/>
  <c r="AD91" i="19"/>
  <c r="AK90" i="19"/>
  <c r="AH90" i="19"/>
  <c r="AE90" i="19"/>
  <c r="AD90" i="19"/>
  <c r="AK89" i="19"/>
  <c r="AH89" i="19"/>
  <c r="AE89" i="19"/>
  <c r="AD89" i="19"/>
  <c r="AK88" i="19"/>
  <c r="AH88" i="19"/>
  <c r="AE88" i="19"/>
  <c r="AD88" i="19"/>
  <c r="AL87" i="19"/>
  <c r="AK87" i="19"/>
  <c r="AH87" i="19"/>
  <c r="AE87" i="19"/>
  <c r="AD87" i="19"/>
  <c r="AL86" i="19"/>
  <c r="AK86" i="19"/>
  <c r="AH86" i="19"/>
  <c r="AE86" i="19"/>
  <c r="AD86" i="19"/>
  <c r="AK85" i="19"/>
  <c r="AH85" i="19"/>
  <c r="AE85" i="19"/>
  <c r="AD85" i="19"/>
  <c r="AL84" i="19"/>
  <c r="AK84" i="19"/>
  <c r="AH84" i="19"/>
  <c r="AE84" i="19"/>
  <c r="AD84" i="19"/>
  <c r="AL83" i="19"/>
  <c r="AK83" i="19"/>
  <c r="AH83" i="19"/>
  <c r="AI83" i="19" s="1"/>
  <c r="AE83" i="19"/>
  <c r="AD83" i="19"/>
  <c r="AL82" i="19"/>
  <c r="AK82" i="19"/>
  <c r="AH82" i="19"/>
  <c r="AE82" i="19"/>
  <c r="AD82" i="19"/>
  <c r="AK81" i="19"/>
  <c r="AH81" i="19"/>
  <c r="AE81" i="19"/>
  <c r="AD81" i="19"/>
  <c r="AK80" i="19"/>
  <c r="AH80" i="19"/>
  <c r="AE80" i="19"/>
  <c r="AD80" i="19"/>
  <c r="AL79" i="19"/>
  <c r="AK79" i="19"/>
  <c r="AH79" i="19"/>
  <c r="AE79" i="19"/>
  <c r="AD79" i="19"/>
  <c r="AK78" i="19"/>
  <c r="AH78" i="19"/>
  <c r="AE78" i="19"/>
  <c r="AD78" i="19"/>
  <c r="AK77" i="19"/>
  <c r="AH77" i="19"/>
  <c r="AE77" i="19"/>
  <c r="AD77" i="19"/>
  <c r="AL75" i="19"/>
  <c r="AK75" i="19"/>
  <c r="AH75" i="19"/>
  <c r="AE75" i="19"/>
  <c r="AD75" i="19"/>
  <c r="AK74" i="19"/>
  <c r="AH74" i="19"/>
  <c r="AE74" i="19"/>
  <c r="AD74" i="19"/>
  <c r="AK73" i="19"/>
  <c r="AH73" i="19"/>
  <c r="AE73" i="19"/>
  <c r="AD73" i="19"/>
  <c r="AK72" i="19"/>
  <c r="AH72" i="19"/>
  <c r="AE72" i="19"/>
  <c r="AD72" i="19"/>
  <c r="AL71" i="19"/>
  <c r="AK71" i="19"/>
  <c r="AH71" i="19"/>
  <c r="AE71" i="19"/>
  <c r="AD71" i="19"/>
  <c r="AK70" i="19"/>
  <c r="AH70" i="19"/>
  <c r="AE70" i="19"/>
  <c r="AD70" i="19"/>
  <c r="AK76" i="19"/>
  <c r="AH76" i="19"/>
  <c r="AE76" i="19"/>
  <c r="AD76" i="19"/>
  <c r="AK69" i="19"/>
  <c r="AH69" i="19"/>
  <c r="AE69" i="19"/>
  <c r="AD69" i="19"/>
  <c r="AL68" i="19"/>
  <c r="AK68" i="19"/>
  <c r="AH68" i="19"/>
  <c r="AE68" i="19"/>
  <c r="AD68" i="19"/>
  <c r="AK67" i="19"/>
  <c r="AH67" i="19"/>
  <c r="AE67" i="19"/>
  <c r="AD67" i="19"/>
  <c r="AK66" i="19"/>
  <c r="AH66" i="19"/>
  <c r="AE66" i="19"/>
  <c r="AD66" i="19"/>
  <c r="AK65" i="19"/>
  <c r="AH65" i="19"/>
  <c r="AE65" i="19"/>
  <c r="AD65" i="19"/>
  <c r="AK64" i="19"/>
  <c r="AH64" i="19"/>
  <c r="AE64" i="19"/>
  <c r="AD64" i="19"/>
  <c r="AL63" i="19"/>
  <c r="AK63" i="19"/>
  <c r="AH63" i="19"/>
  <c r="AE63" i="19"/>
  <c r="AD63" i="19"/>
  <c r="AL62" i="19"/>
  <c r="AK62" i="19"/>
  <c r="AH62" i="19"/>
  <c r="AE62" i="19"/>
  <c r="AD62" i="19"/>
  <c r="AK61" i="19"/>
  <c r="AH61" i="19"/>
  <c r="AE61" i="19"/>
  <c r="AD61" i="19"/>
  <c r="AK60" i="19"/>
  <c r="AH60" i="19"/>
  <c r="AE60" i="19"/>
  <c r="AD60" i="19"/>
  <c r="AL59" i="19"/>
  <c r="AK59" i="19"/>
  <c r="AH59" i="19"/>
  <c r="AE59" i="19"/>
  <c r="AD59" i="19"/>
  <c r="AL58" i="19"/>
  <c r="AK58" i="19"/>
  <c r="AH58" i="19"/>
  <c r="AE58" i="19"/>
  <c r="AD58" i="19"/>
  <c r="AK57" i="19"/>
  <c r="AH57" i="19"/>
  <c r="AE57" i="19"/>
  <c r="AD57" i="19"/>
  <c r="AH56" i="19"/>
  <c r="AE56" i="19"/>
  <c r="AD56" i="19"/>
  <c r="AK55" i="19"/>
  <c r="AH55" i="19"/>
  <c r="AE55" i="19"/>
  <c r="AD55" i="19"/>
  <c r="AK54" i="19"/>
  <c r="AH54" i="19"/>
  <c r="AE54" i="19"/>
  <c r="AD54" i="19"/>
  <c r="AL53" i="19"/>
  <c r="AK53" i="19"/>
  <c r="AH53" i="19"/>
  <c r="AE53" i="19"/>
  <c r="AD53" i="19"/>
  <c r="AL52" i="19"/>
  <c r="AK52" i="19"/>
  <c r="AH52" i="19"/>
  <c r="AE52" i="19"/>
  <c r="AD52" i="19"/>
  <c r="AL51" i="19"/>
  <c r="AK51" i="19"/>
  <c r="AH51" i="19"/>
  <c r="AE51" i="19"/>
  <c r="AD51" i="19"/>
  <c r="AK50" i="19"/>
  <c r="AH50" i="19"/>
  <c r="AE50" i="19"/>
  <c r="AD50" i="19"/>
  <c r="AK49" i="19"/>
  <c r="AH49" i="19"/>
  <c r="AE49" i="19"/>
  <c r="AD49" i="19"/>
  <c r="AE48" i="19"/>
  <c r="AD48" i="19"/>
  <c r="AK47" i="19"/>
  <c r="AH47" i="19"/>
  <c r="AE47" i="19"/>
  <c r="AD47" i="19"/>
  <c r="AL46" i="19"/>
  <c r="AK46" i="19"/>
  <c r="AH46" i="19"/>
  <c r="AE46" i="19"/>
  <c r="AD46" i="19"/>
  <c r="AL45" i="19"/>
  <c r="AK45" i="19"/>
  <c r="AH45" i="19"/>
  <c r="AE45" i="19"/>
  <c r="AD45" i="19"/>
  <c r="AE44" i="19"/>
  <c r="AD44" i="19"/>
  <c r="AK43" i="19"/>
  <c r="AH43" i="19"/>
  <c r="AE43" i="19"/>
  <c r="AD43" i="19"/>
  <c r="AK42" i="19"/>
  <c r="AH42" i="19"/>
  <c r="AE42" i="19"/>
  <c r="AD42" i="19"/>
  <c r="AK41" i="19"/>
  <c r="AH41" i="19"/>
  <c r="AE41" i="19"/>
  <c r="AD41" i="19"/>
  <c r="AL40" i="19"/>
  <c r="AK40" i="19"/>
  <c r="AH40" i="19"/>
  <c r="AE40" i="19"/>
  <c r="AD40" i="19"/>
  <c r="AK39" i="19"/>
  <c r="AH39" i="19"/>
  <c r="AE39" i="19"/>
  <c r="AD39" i="19"/>
  <c r="AK38" i="19"/>
  <c r="AH38" i="19"/>
  <c r="AE38" i="19"/>
  <c r="AD38" i="19"/>
  <c r="AE37" i="19"/>
  <c r="AD37" i="19"/>
  <c r="AK36" i="19"/>
  <c r="AH36" i="19"/>
  <c r="AE36" i="19"/>
  <c r="AD36" i="19"/>
  <c r="AL35" i="19"/>
  <c r="AK35" i="19"/>
  <c r="AH35" i="19"/>
  <c r="AE35" i="19"/>
  <c r="AD35" i="19"/>
  <c r="AL34" i="19"/>
  <c r="AK34" i="19"/>
  <c r="AH34" i="19"/>
  <c r="AE34" i="19"/>
  <c r="AD34" i="19"/>
  <c r="AL33" i="19"/>
  <c r="AK33" i="19"/>
  <c r="AH33" i="19"/>
  <c r="AE33" i="19"/>
  <c r="AD33" i="19"/>
  <c r="AE32" i="19"/>
  <c r="AD32" i="19"/>
  <c r="AK31" i="19"/>
  <c r="AH31" i="19"/>
  <c r="AE31" i="19"/>
  <c r="AD31" i="19"/>
  <c r="AK30" i="19"/>
  <c r="AH30" i="19"/>
  <c r="AE30" i="19"/>
  <c r="AD30" i="19"/>
  <c r="AK29" i="19"/>
  <c r="AH29" i="19"/>
  <c r="AE29" i="19"/>
  <c r="AD29" i="19"/>
  <c r="AL28" i="19"/>
  <c r="AK28" i="19"/>
  <c r="AH28" i="19"/>
  <c r="AE28" i="19"/>
  <c r="AD28" i="19"/>
  <c r="AK27" i="19"/>
  <c r="AE27" i="19"/>
  <c r="AD27" i="19"/>
  <c r="AE26" i="19"/>
  <c r="AD26" i="19"/>
  <c r="AK25" i="19"/>
  <c r="AH25" i="19"/>
  <c r="AE25" i="19"/>
  <c r="AD25" i="19"/>
  <c r="AK24" i="19"/>
  <c r="AH24" i="19"/>
  <c r="AE24" i="19"/>
  <c r="AD24" i="19"/>
  <c r="AL23" i="19"/>
  <c r="AK23" i="19"/>
  <c r="AH23" i="19"/>
  <c r="AE23" i="19"/>
  <c r="AD23" i="19"/>
  <c r="AK22" i="19"/>
  <c r="AE22" i="19"/>
  <c r="AD22" i="19"/>
  <c r="AK21" i="19"/>
  <c r="AH21" i="19"/>
  <c r="AE21" i="19"/>
  <c r="AD21" i="19"/>
  <c r="AK20" i="19"/>
  <c r="AH20" i="19"/>
  <c r="AE20" i="19"/>
  <c r="AD20" i="19"/>
  <c r="AK19" i="19"/>
  <c r="AH19" i="19"/>
  <c r="AE19" i="19"/>
  <c r="AD19" i="19"/>
  <c r="AL18" i="19"/>
  <c r="AK18" i="19"/>
  <c r="AH18" i="19"/>
  <c r="AE18" i="19"/>
  <c r="AD18" i="19"/>
  <c r="AK17" i="19"/>
  <c r="AH17" i="19"/>
  <c r="AE17" i="19"/>
  <c r="AD17" i="19"/>
  <c r="AE16" i="19"/>
  <c r="AD16" i="19"/>
  <c r="AK15" i="19"/>
  <c r="AH15" i="19"/>
  <c r="AE15" i="19"/>
  <c r="AD15" i="19"/>
  <c r="AK14" i="19"/>
  <c r="AH14" i="19"/>
  <c r="AE14" i="19"/>
  <c r="AD14" i="19"/>
  <c r="AL13" i="19"/>
  <c r="AK13" i="19"/>
  <c r="AH13" i="19"/>
  <c r="AE13" i="19"/>
  <c r="AD13" i="19"/>
  <c r="AK12" i="19"/>
  <c r="AH12" i="19"/>
  <c r="AE12" i="19"/>
  <c r="AD12" i="19"/>
  <c r="AE11" i="19"/>
  <c r="AD11" i="19"/>
  <c r="AK10" i="19"/>
  <c r="AH10" i="19"/>
  <c r="AE10" i="19"/>
  <c r="AD10" i="19"/>
  <c r="AL9" i="19"/>
  <c r="AK9" i="19"/>
  <c r="AH9" i="19"/>
  <c r="AE9" i="19"/>
  <c r="AD9" i="19"/>
  <c r="AL8" i="19"/>
  <c r="AK8" i="19"/>
  <c r="AH8" i="19"/>
  <c r="AE8" i="19"/>
  <c r="AD8" i="19"/>
  <c r="AK6" i="19"/>
  <c r="AH6" i="19"/>
  <c r="AE6" i="19"/>
  <c r="AD6" i="19"/>
  <c r="AK5" i="19"/>
  <c r="AH5" i="19"/>
  <c r="AI5" i="19" s="1"/>
  <c r="AE5" i="19"/>
  <c r="AD5" i="19"/>
  <c r="AK4" i="19"/>
  <c r="AH4" i="19"/>
  <c r="AE4" i="19"/>
  <c r="AD4" i="19"/>
  <c r="AK3" i="19"/>
  <c r="AH3" i="19"/>
  <c r="AE3" i="19"/>
  <c r="AD3" i="19"/>
  <c r="AL2" i="19"/>
  <c r="AK2" i="19"/>
  <c r="AH2" i="19"/>
  <c r="AE2" i="19"/>
  <c r="AD2" i="19"/>
  <c r="AB97" i="19"/>
  <c r="R97" i="19"/>
  <c r="H97" i="19"/>
  <c r="H71" i="19"/>
  <c r="R71" i="19"/>
  <c r="AB71" i="19"/>
  <c r="AB2" i="19"/>
  <c r="X97" i="23"/>
  <c r="W97" i="23"/>
  <c r="U97" i="23"/>
  <c r="N97" i="23"/>
  <c r="M97" i="23"/>
  <c r="L97" i="23"/>
  <c r="K97" i="23"/>
  <c r="J97" i="23"/>
  <c r="I97" i="23"/>
  <c r="H97" i="23"/>
  <c r="G97" i="23"/>
  <c r="F97" i="23"/>
  <c r="E97" i="23"/>
  <c r="D97" i="23"/>
  <c r="C97" i="23"/>
  <c r="X72" i="23"/>
  <c r="W72" i="23"/>
  <c r="U72" i="23"/>
  <c r="N72" i="23"/>
  <c r="M72" i="23"/>
  <c r="L72" i="23"/>
  <c r="K72" i="23"/>
  <c r="J72" i="23"/>
  <c r="I72" i="23"/>
  <c r="H72" i="23"/>
  <c r="G72" i="23"/>
  <c r="E72" i="23"/>
  <c r="F72" i="23"/>
  <c r="D72" i="23"/>
  <c r="C72" i="23"/>
  <c r="X2" i="23"/>
  <c r="W2" i="23"/>
  <c r="U2" i="23"/>
  <c r="N2" i="23"/>
  <c r="L2" i="23"/>
  <c r="K2" i="23"/>
  <c r="J2" i="23"/>
  <c r="I2" i="23"/>
  <c r="H2" i="23"/>
  <c r="G2" i="23"/>
  <c r="F2" i="23"/>
  <c r="E2" i="23"/>
  <c r="C2" i="23"/>
  <c r="D87" i="23"/>
  <c r="D76" i="23"/>
  <c r="D7" i="23"/>
  <c r="D8" i="23"/>
  <c r="D39" i="23"/>
  <c r="V72" i="23"/>
  <c r="V76" i="23"/>
  <c r="V87" i="23"/>
  <c r="V39" i="23"/>
  <c r="V97" i="23"/>
  <c r="X39" i="19"/>
  <c r="X48" i="19"/>
  <c r="X2" i="19"/>
  <c r="U2" i="19"/>
  <c r="T2" i="19"/>
  <c r="N2" i="19"/>
  <c r="K2" i="19"/>
  <c r="J2" i="19"/>
  <c r="F2" i="19"/>
  <c r="D2" i="19"/>
  <c r="C2" i="19"/>
  <c r="X93" i="23"/>
  <c r="W93" i="23"/>
  <c r="U93" i="23"/>
  <c r="N93" i="23"/>
  <c r="M93" i="23"/>
  <c r="L93" i="23"/>
  <c r="K93" i="23"/>
  <c r="J93" i="23"/>
  <c r="I93" i="23"/>
  <c r="H93" i="23"/>
  <c r="G93" i="23"/>
  <c r="F93" i="23"/>
  <c r="E93" i="23"/>
  <c r="R93" i="19"/>
  <c r="H93" i="19"/>
  <c r="AB93" i="19"/>
  <c r="C93" i="23"/>
  <c r="X76" i="23"/>
  <c r="W76" i="23"/>
  <c r="U76" i="23"/>
  <c r="N76" i="23"/>
  <c r="M76" i="23"/>
  <c r="L76" i="23"/>
  <c r="K76" i="23"/>
  <c r="J76" i="23"/>
  <c r="I76" i="23"/>
  <c r="H76" i="23"/>
  <c r="G76" i="23"/>
  <c r="F76" i="23"/>
  <c r="E76" i="23"/>
  <c r="X39" i="23"/>
  <c r="W39" i="23"/>
  <c r="U39" i="23"/>
  <c r="N39" i="23"/>
  <c r="M39" i="23"/>
  <c r="L39" i="23"/>
  <c r="K39" i="23"/>
  <c r="J39" i="23"/>
  <c r="I39" i="23"/>
  <c r="H39" i="23"/>
  <c r="G39" i="23"/>
  <c r="F39" i="23"/>
  <c r="E39" i="23"/>
  <c r="C76" i="23"/>
  <c r="C39" i="23"/>
  <c r="X99" i="19"/>
  <c r="U99" i="19"/>
  <c r="T99" i="19"/>
  <c r="N99" i="19"/>
  <c r="K99" i="19"/>
  <c r="J99" i="19"/>
  <c r="F99" i="19"/>
  <c r="D99" i="19"/>
  <c r="C99" i="19"/>
  <c r="AB40" i="19"/>
  <c r="AB101" i="19"/>
  <c r="AB115" i="19"/>
  <c r="AB114" i="19"/>
  <c r="AB110" i="19"/>
  <c r="AB109" i="19"/>
  <c r="AB108" i="19"/>
  <c r="AB105" i="19"/>
  <c r="AB94" i="19"/>
  <c r="AB92" i="19"/>
  <c r="AB87" i="19"/>
  <c r="AB86" i="19"/>
  <c r="AB84" i="19"/>
  <c r="AB83" i="19"/>
  <c r="AB82" i="19"/>
  <c r="AB79" i="19"/>
  <c r="AB75" i="19"/>
  <c r="AB68" i="19"/>
  <c r="AB63" i="19"/>
  <c r="AB62" i="19"/>
  <c r="AB59" i="19"/>
  <c r="AB58" i="19"/>
  <c r="AB53" i="19"/>
  <c r="AB52" i="19"/>
  <c r="AB51" i="19"/>
  <c r="AB46" i="19"/>
  <c r="AB45" i="19"/>
  <c r="AB35" i="19"/>
  <c r="AB34" i="19"/>
  <c r="AB33" i="19"/>
  <c r="AB28" i="19"/>
  <c r="AB23" i="19"/>
  <c r="AB18" i="19"/>
  <c r="AB13" i="19"/>
  <c r="AB9" i="19"/>
  <c r="AB8" i="19"/>
  <c r="X115" i="19"/>
  <c r="U115" i="19"/>
  <c r="N115" i="19"/>
  <c r="K115" i="19"/>
  <c r="J115" i="19"/>
  <c r="F115" i="19"/>
  <c r="D115" i="19"/>
  <c r="C115" i="19"/>
  <c r="T115" i="19"/>
  <c r="X56" i="19"/>
  <c r="Y56" i="19" s="1"/>
  <c r="F56" i="19"/>
  <c r="U56" i="19"/>
  <c r="T56" i="19"/>
  <c r="X29" i="19"/>
  <c r="U29" i="19"/>
  <c r="T29" i="19"/>
  <c r="N29" i="19"/>
  <c r="K29" i="19"/>
  <c r="J29" i="19"/>
  <c r="F29" i="19"/>
  <c r="D29" i="19"/>
  <c r="C29" i="19"/>
  <c r="X25" i="19"/>
  <c r="F25" i="19"/>
  <c r="U25" i="19"/>
  <c r="T25" i="19"/>
  <c r="X114" i="19"/>
  <c r="U114" i="19"/>
  <c r="T114" i="19"/>
  <c r="X113" i="19"/>
  <c r="U113" i="19"/>
  <c r="T113" i="19"/>
  <c r="X112" i="19"/>
  <c r="U112" i="19"/>
  <c r="T112" i="19"/>
  <c r="X111" i="19"/>
  <c r="U111" i="19"/>
  <c r="T111" i="19"/>
  <c r="X110" i="19"/>
  <c r="U110" i="19"/>
  <c r="T110" i="19"/>
  <c r="X109" i="19"/>
  <c r="U109" i="19"/>
  <c r="T109" i="19"/>
  <c r="X108" i="19"/>
  <c r="U108" i="19"/>
  <c r="T108" i="19"/>
  <c r="X107" i="19"/>
  <c r="U107" i="19"/>
  <c r="T107" i="19"/>
  <c r="X106" i="19"/>
  <c r="U106" i="19"/>
  <c r="T106" i="19"/>
  <c r="X105" i="19"/>
  <c r="AI105" i="19" s="1"/>
  <c r="U105" i="19"/>
  <c r="T105" i="19"/>
  <c r="X101" i="19"/>
  <c r="U101" i="19"/>
  <c r="T101" i="19"/>
  <c r="X100" i="19"/>
  <c r="U100" i="19"/>
  <c r="T100" i="19"/>
  <c r="X98" i="19"/>
  <c r="U98" i="19"/>
  <c r="T98" i="19"/>
  <c r="X97" i="19"/>
  <c r="U97" i="19"/>
  <c r="T97" i="19"/>
  <c r="X96" i="19"/>
  <c r="T96" i="19"/>
  <c r="X95" i="19"/>
  <c r="U95" i="19"/>
  <c r="T95" i="19"/>
  <c r="X94" i="19"/>
  <c r="U94" i="19"/>
  <c r="V94" i="19" s="1"/>
  <c r="T94" i="19"/>
  <c r="X93" i="19"/>
  <c r="U93" i="19"/>
  <c r="T93" i="19"/>
  <c r="X92" i="19"/>
  <c r="U92" i="19"/>
  <c r="T92" i="19"/>
  <c r="X91" i="19"/>
  <c r="U91" i="19"/>
  <c r="T91" i="19"/>
  <c r="X90" i="19"/>
  <c r="U90" i="19"/>
  <c r="T90" i="19"/>
  <c r="X89" i="19"/>
  <c r="U89" i="19"/>
  <c r="T89" i="19"/>
  <c r="X88" i="19"/>
  <c r="U88" i="19"/>
  <c r="T88" i="19"/>
  <c r="X87" i="19"/>
  <c r="U87" i="19"/>
  <c r="T87" i="19"/>
  <c r="X86" i="19"/>
  <c r="U86" i="19"/>
  <c r="T86" i="19"/>
  <c r="X85" i="19"/>
  <c r="U85" i="19"/>
  <c r="T85" i="19"/>
  <c r="X84" i="19"/>
  <c r="U84" i="19"/>
  <c r="V84" i="19" s="1"/>
  <c r="T84" i="19"/>
  <c r="U83" i="19"/>
  <c r="T83" i="19"/>
  <c r="X82" i="19"/>
  <c r="U82" i="19"/>
  <c r="T82" i="19"/>
  <c r="X81" i="19"/>
  <c r="U81" i="19"/>
  <c r="T81" i="19"/>
  <c r="X80" i="19"/>
  <c r="U80" i="19"/>
  <c r="T80" i="19"/>
  <c r="X79" i="19"/>
  <c r="U79" i="19"/>
  <c r="T79" i="19"/>
  <c r="X78" i="19"/>
  <c r="U78" i="19"/>
  <c r="T78" i="19"/>
  <c r="X77" i="19"/>
  <c r="U77" i="19"/>
  <c r="T77" i="19"/>
  <c r="X75" i="19"/>
  <c r="U75" i="19"/>
  <c r="T75" i="19"/>
  <c r="X74" i="19"/>
  <c r="U74" i="19"/>
  <c r="T74" i="19"/>
  <c r="X73" i="19"/>
  <c r="U73" i="19"/>
  <c r="T73" i="19"/>
  <c r="X72" i="19"/>
  <c r="U72" i="19"/>
  <c r="T72" i="19"/>
  <c r="X71" i="19"/>
  <c r="U71" i="19"/>
  <c r="T71" i="19"/>
  <c r="X70" i="19"/>
  <c r="U70" i="19"/>
  <c r="T70" i="19"/>
  <c r="X76" i="19"/>
  <c r="U76" i="19"/>
  <c r="T76" i="19"/>
  <c r="X69" i="19"/>
  <c r="U69" i="19"/>
  <c r="T69" i="19"/>
  <c r="X68" i="19"/>
  <c r="U68" i="19"/>
  <c r="T68" i="19"/>
  <c r="X67" i="19"/>
  <c r="U67" i="19"/>
  <c r="V67" i="19" s="1"/>
  <c r="T67" i="19"/>
  <c r="X66" i="19"/>
  <c r="U66" i="19"/>
  <c r="T66" i="19"/>
  <c r="X65" i="19"/>
  <c r="U65" i="19"/>
  <c r="T65" i="19"/>
  <c r="X64" i="19"/>
  <c r="U64" i="19"/>
  <c r="T64" i="19"/>
  <c r="X63" i="19"/>
  <c r="U63" i="19"/>
  <c r="T63" i="19"/>
  <c r="X62" i="19"/>
  <c r="U62" i="19"/>
  <c r="T62" i="19"/>
  <c r="X61" i="19"/>
  <c r="U61" i="19"/>
  <c r="T61" i="19"/>
  <c r="X60" i="19"/>
  <c r="U60" i="19"/>
  <c r="T60" i="19"/>
  <c r="X59" i="19"/>
  <c r="U59" i="19"/>
  <c r="T59" i="19"/>
  <c r="X58" i="19"/>
  <c r="U58" i="19"/>
  <c r="T58" i="19"/>
  <c r="X57" i="19"/>
  <c r="U57" i="19"/>
  <c r="T57" i="19"/>
  <c r="X55" i="19"/>
  <c r="U55" i="19"/>
  <c r="T55" i="19"/>
  <c r="X54" i="19"/>
  <c r="U54" i="19"/>
  <c r="T54" i="19"/>
  <c r="X53" i="19"/>
  <c r="U53" i="19"/>
  <c r="T53" i="19"/>
  <c r="X52" i="19"/>
  <c r="U52" i="19"/>
  <c r="T52" i="19"/>
  <c r="X51" i="19"/>
  <c r="U51" i="19"/>
  <c r="T51" i="19"/>
  <c r="X50" i="19"/>
  <c r="U50" i="19"/>
  <c r="T50" i="19"/>
  <c r="X49" i="19"/>
  <c r="U49" i="19"/>
  <c r="T49" i="19"/>
  <c r="U48" i="19"/>
  <c r="T48" i="19"/>
  <c r="X47" i="19"/>
  <c r="U47" i="19"/>
  <c r="T47" i="19"/>
  <c r="X46" i="19"/>
  <c r="U46" i="19"/>
  <c r="T46" i="19"/>
  <c r="X45" i="19"/>
  <c r="U45" i="19"/>
  <c r="T45" i="19"/>
  <c r="U44" i="19"/>
  <c r="T44" i="19"/>
  <c r="X43" i="19"/>
  <c r="U43" i="19"/>
  <c r="T43" i="19"/>
  <c r="X42" i="19"/>
  <c r="U42" i="19"/>
  <c r="T42" i="19"/>
  <c r="X41" i="19"/>
  <c r="U41" i="19"/>
  <c r="T41" i="19"/>
  <c r="X40" i="19"/>
  <c r="U40" i="19"/>
  <c r="T40" i="19"/>
  <c r="T39" i="19"/>
  <c r="X38" i="19"/>
  <c r="U38" i="19"/>
  <c r="T38" i="19"/>
  <c r="X37" i="19"/>
  <c r="U37" i="19"/>
  <c r="T37" i="19"/>
  <c r="X36" i="19"/>
  <c r="U36" i="19"/>
  <c r="T36" i="19"/>
  <c r="X35" i="19"/>
  <c r="U35" i="19"/>
  <c r="T35" i="19"/>
  <c r="X34" i="19"/>
  <c r="U34" i="19"/>
  <c r="T34" i="19"/>
  <c r="X33" i="19"/>
  <c r="U33" i="19"/>
  <c r="T33" i="19"/>
  <c r="X32" i="19"/>
  <c r="U32" i="19"/>
  <c r="T32" i="19"/>
  <c r="X31" i="19"/>
  <c r="U31" i="19"/>
  <c r="T31" i="19"/>
  <c r="X30" i="19"/>
  <c r="U30" i="19"/>
  <c r="T30" i="19"/>
  <c r="X28" i="19"/>
  <c r="U28" i="19"/>
  <c r="T28" i="19"/>
  <c r="T27" i="19"/>
  <c r="U26" i="19"/>
  <c r="T26" i="19"/>
  <c r="X24" i="19"/>
  <c r="U24" i="19"/>
  <c r="T24" i="19"/>
  <c r="X23" i="19"/>
  <c r="U23" i="19"/>
  <c r="T23" i="19"/>
  <c r="U22" i="19"/>
  <c r="T22" i="19"/>
  <c r="X21" i="19"/>
  <c r="U21" i="19"/>
  <c r="T21" i="19"/>
  <c r="X20" i="19"/>
  <c r="U20" i="19"/>
  <c r="T20" i="19"/>
  <c r="X19" i="19"/>
  <c r="U19" i="19"/>
  <c r="T19" i="19"/>
  <c r="X18" i="19"/>
  <c r="U18" i="19"/>
  <c r="T18" i="19"/>
  <c r="X17" i="19"/>
  <c r="U17" i="19"/>
  <c r="T17" i="19"/>
  <c r="U16" i="19"/>
  <c r="T16" i="19"/>
  <c r="X15" i="19"/>
  <c r="U15" i="19"/>
  <c r="T15" i="19"/>
  <c r="X14" i="19"/>
  <c r="U14" i="19"/>
  <c r="T14" i="19"/>
  <c r="X13" i="19"/>
  <c r="U13" i="19"/>
  <c r="T13" i="19"/>
  <c r="X12" i="19"/>
  <c r="U12" i="19"/>
  <c r="T12" i="19"/>
  <c r="U11" i="19"/>
  <c r="T11" i="19"/>
  <c r="X10" i="19"/>
  <c r="U10" i="19"/>
  <c r="T10" i="19"/>
  <c r="X9" i="19"/>
  <c r="U9" i="19"/>
  <c r="T9" i="19"/>
  <c r="X8" i="19"/>
  <c r="U8" i="19"/>
  <c r="T8" i="19"/>
  <c r="X6" i="19"/>
  <c r="U6" i="19"/>
  <c r="T6" i="19"/>
  <c r="U5" i="19"/>
  <c r="T5" i="19"/>
  <c r="X4" i="19"/>
  <c r="U4" i="19"/>
  <c r="T4" i="19"/>
  <c r="X3" i="19"/>
  <c r="U3" i="19"/>
  <c r="T3" i="19"/>
  <c r="AA115" i="19"/>
  <c r="AA114" i="19"/>
  <c r="AA113" i="19"/>
  <c r="AA112" i="19"/>
  <c r="AA111" i="19"/>
  <c r="AA110" i="19"/>
  <c r="AA109" i="19"/>
  <c r="AA108" i="19"/>
  <c r="AA107" i="19"/>
  <c r="AA106" i="19"/>
  <c r="AA105" i="19"/>
  <c r="AA101" i="19"/>
  <c r="AA100" i="19"/>
  <c r="AA99" i="19"/>
  <c r="AA98" i="19"/>
  <c r="AA97" i="19"/>
  <c r="AA96" i="19"/>
  <c r="AA95" i="19"/>
  <c r="AA94" i="19"/>
  <c r="AA93" i="19"/>
  <c r="AA92" i="19"/>
  <c r="AA91" i="19"/>
  <c r="AA90" i="19"/>
  <c r="AA89" i="19"/>
  <c r="AA88" i="19"/>
  <c r="AA87" i="19"/>
  <c r="AA86" i="19"/>
  <c r="AA85" i="19"/>
  <c r="AA84" i="19"/>
  <c r="AA82" i="19"/>
  <c r="AA81" i="19"/>
  <c r="AA80" i="19"/>
  <c r="AA79" i="19"/>
  <c r="AA78" i="19"/>
  <c r="AA77" i="19"/>
  <c r="AA75" i="19"/>
  <c r="AA74" i="19"/>
  <c r="AA73" i="19"/>
  <c r="AA72" i="19"/>
  <c r="AA71" i="19"/>
  <c r="AA70" i="19"/>
  <c r="AA76" i="19"/>
  <c r="AA69" i="19"/>
  <c r="AA68" i="19"/>
  <c r="AA67" i="19"/>
  <c r="AA66" i="19"/>
  <c r="AA65" i="19"/>
  <c r="AA64" i="19"/>
  <c r="AA63" i="19"/>
  <c r="AA62" i="19"/>
  <c r="AA61" i="19"/>
  <c r="AA60" i="19"/>
  <c r="AA59" i="19"/>
  <c r="AA58" i="19"/>
  <c r="AA57"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4" i="19"/>
  <c r="AA23" i="19"/>
  <c r="AA21" i="19"/>
  <c r="AA20" i="19"/>
  <c r="AA19" i="19"/>
  <c r="AA18" i="19"/>
  <c r="AA17" i="19"/>
  <c r="AA15" i="19"/>
  <c r="AA14" i="19"/>
  <c r="AA13" i="19"/>
  <c r="AA12" i="19"/>
  <c r="AA11" i="19"/>
  <c r="AA10" i="19"/>
  <c r="AA9" i="19"/>
  <c r="AA8" i="19"/>
  <c r="AA6" i="19"/>
  <c r="AA4" i="19"/>
  <c r="AA3" i="19"/>
  <c r="AA2" i="19"/>
  <c r="K110" i="19"/>
  <c r="K106" i="19"/>
  <c r="C7" i="23"/>
  <c r="X7" i="23"/>
  <c r="W7" i="23"/>
  <c r="U7" i="23"/>
  <c r="N7" i="23"/>
  <c r="M7" i="23"/>
  <c r="L7" i="23"/>
  <c r="K7" i="23"/>
  <c r="J7" i="23"/>
  <c r="I7" i="23"/>
  <c r="H7" i="23"/>
  <c r="G7" i="23"/>
  <c r="F7" i="23"/>
  <c r="E7" i="23"/>
  <c r="R8" i="19"/>
  <c r="H8" i="19"/>
  <c r="H9" i="19"/>
  <c r="R9" i="19"/>
  <c r="X8" i="23"/>
  <c r="W8" i="23"/>
  <c r="U8" i="23"/>
  <c r="N8" i="23"/>
  <c r="M8" i="23"/>
  <c r="L8" i="23"/>
  <c r="K8" i="23"/>
  <c r="J8" i="23"/>
  <c r="I8" i="23"/>
  <c r="H8" i="23"/>
  <c r="G8" i="23"/>
  <c r="F8" i="23"/>
  <c r="E8" i="23"/>
  <c r="C8" i="23"/>
  <c r="X115" i="23"/>
  <c r="W115" i="23"/>
  <c r="U115" i="23"/>
  <c r="N115" i="23"/>
  <c r="M115" i="23"/>
  <c r="L115" i="23"/>
  <c r="K115" i="23"/>
  <c r="J115" i="23"/>
  <c r="I115" i="23"/>
  <c r="H115" i="23"/>
  <c r="G115" i="23"/>
  <c r="F115" i="23"/>
  <c r="E115" i="23"/>
  <c r="C115" i="23"/>
  <c r="R115" i="19"/>
  <c r="H115" i="19"/>
  <c r="R40" i="19"/>
  <c r="H40" i="19"/>
  <c r="R86" i="19"/>
  <c r="J86" i="19"/>
  <c r="C86" i="19"/>
  <c r="R58" i="19"/>
  <c r="J58" i="19"/>
  <c r="C58" i="19"/>
  <c r="R114" i="19"/>
  <c r="J114" i="19"/>
  <c r="C114" i="19"/>
  <c r="R109" i="19"/>
  <c r="J109" i="19"/>
  <c r="C109" i="19"/>
  <c r="R33" i="19"/>
  <c r="J33" i="19"/>
  <c r="C33" i="19"/>
  <c r="R108" i="19"/>
  <c r="J108" i="19"/>
  <c r="C108" i="19"/>
  <c r="R13" i="19"/>
  <c r="J13" i="19"/>
  <c r="C13" i="19"/>
  <c r="R23" i="19"/>
  <c r="J23" i="19"/>
  <c r="C23" i="19"/>
  <c r="R52" i="19"/>
  <c r="J52" i="19"/>
  <c r="C52" i="19"/>
  <c r="J9" i="19"/>
  <c r="C9" i="19"/>
  <c r="R46" i="19"/>
  <c r="J46" i="19"/>
  <c r="C46" i="19"/>
  <c r="R94" i="19"/>
  <c r="J94" i="19"/>
  <c r="C94" i="19"/>
  <c r="R92" i="19"/>
  <c r="J92" i="19"/>
  <c r="C92" i="19"/>
  <c r="R34" i="19"/>
  <c r="J34" i="19"/>
  <c r="C34" i="19"/>
  <c r="R63" i="19"/>
  <c r="J63" i="19"/>
  <c r="C63" i="19"/>
  <c r="R53" i="19"/>
  <c r="J53" i="19"/>
  <c r="C53" i="19"/>
  <c r="R51" i="19"/>
  <c r="J51" i="19"/>
  <c r="C51" i="19"/>
  <c r="R59" i="19"/>
  <c r="J59" i="19"/>
  <c r="R82" i="19"/>
  <c r="J82" i="19"/>
  <c r="C82" i="19"/>
  <c r="R45" i="19"/>
  <c r="J45" i="19"/>
  <c r="C45" i="19"/>
  <c r="J8" i="19"/>
  <c r="C8" i="19"/>
  <c r="R87" i="19"/>
  <c r="J87" i="19"/>
  <c r="C87" i="19"/>
  <c r="R18" i="19"/>
  <c r="J18" i="19"/>
  <c r="C18" i="19"/>
  <c r="R79" i="19"/>
  <c r="J79" i="19"/>
  <c r="C79" i="19"/>
  <c r="R35" i="19"/>
  <c r="J35" i="19"/>
  <c r="C35" i="19"/>
  <c r="R68" i="19"/>
  <c r="J68" i="19"/>
  <c r="C68" i="19"/>
  <c r="J40" i="19"/>
  <c r="C40" i="19"/>
  <c r="R84" i="19"/>
  <c r="J84" i="19"/>
  <c r="C84" i="19"/>
  <c r="J71" i="19"/>
  <c r="C71" i="19"/>
  <c r="R28" i="19"/>
  <c r="J28" i="19"/>
  <c r="C28" i="19"/>
  <c r="J93" i="19"/>
  <c r="C93" i="19"/>
  <c r="J97" i="19"/>
  <c r="C97" i="19"/>
  <c r="R110" i="19"/>
  <c r="J110" i="19"/>
  <c r="R105" i="19"/>
  <c r="J105" i="19"/>
  <c r="C105" i="19"/>
  <c r="R75" i="19"/>
  <c r="J75" i="19"/>
  <c r="C75" i="19"/>
  <c r="R2" i="19"/>
  <c r="R101" i="19"/>
  <c r="J101" i="19"/>
  <c r="C101" i="19"/>
  <c r="R62" i="19"/>
  <c r="J62" i="19"/>
  <c r="C62" i="19"/>
  <c r="H86" i="19"/>
  <c r="H58" i="19"/>
  <c r="H114" i="19"/>
  <c r="H109" i="19"/>
  <c r="H33" i="19"/>
  <c r="H108" i="19"/>
  <c r="H13" i="19"/>
  <c r="H23" i="19"/>
  <c r="H52" i="19"/>
  <c r="H83" i="19"/>
  <c r="H46" i="19"/>
  <c r="H94" i="19"/>
  <c r="H92" i="19"/>
  <c r="H34" i="19"/>
  <c r="H63" i="19"/>
  <c r="H53" i="19"/>
  <c r="H51" i="19"/>
  <c r="H59" i="19"/>
  <c r="H82" i="19"/>
  <c r="H45" i="19"/>
  <c r="H35" i="19"/>
  <c r="H75" i="19"/>
  <c r="H2" i="19"/>
  <c r="H79" i="19"/>
  <c r="H18" i="19"/>
  <c r="H68" i="19"/>
  <c r="H62" i="19"/>
  <c r="H28" i="19"/>
  <c r="H110" i="19"/>
  <c r="H105" i="19"/>
  <c r="H87" i="19"/>
  <c r="H84" i="19"/>
  <c r="H101" i="19"/>
  <c r="R83" i="19"/>
  <c r="D109" i="23"/>
  <c r="X114" i="23"/>
  <c r="W114" i="23"/>
  <c r="U114" i="23"/>
  <c r="N114" i="23"/>
  <c r="M114" i="23"/>
  <c r="L114" i="23"/>
  <c r="K114" i="23"/>
  <c r="J114" i="23"/>
  <c r="I114" i="23"/>
  <c r="H114" i="23"/>
  <c r="G114" i="23"/>
  <c r="F114" i="23"/>
  <c r="E114" i="23"/>
  <c r="C114" i="23"/>
  <c r="X110" i="23"/>
  <c r="W110" i="23"/>
  <c r="U110" i="23"/>
  <c r="N110" i="23"/>
  <c r="M110" i="23"/>
  <c r="L110" i="23"/>
  <c r="K110" i="23"/>
  <c r="J110" i="23"/>
  <c r="I110" i="23"/>
  <c r="H110" i="23"/>
  <c r="G110" i="23"/>
  <c r="F110" i="23"/>
  <c r="E110" i="23"/>
  <c r="C110" i="23"/>
  <c r="X109" i="23"/>
  <c r="W109" i="23"/>
  <c r="U109" i="23"/>
  <c r="N109" i="23"/>
  <c r="M109" i="23"/>
  <c r="L109" i="23"/>
  <c r="K109" i="23"/>
  <c r="J109" i="23"/>
  <c r="I109" i="23"/>
  <c r="H109" i="23"/>
  <c r="G109" i="23"/>
  <c r="F109" i="23"/>
  <c r="E109" i="23"/>
  <c r="C109" i="23"/>
  <c r="X108" i="23"/>
  <c r="W108" i="23"/>
  <c r="U108" i="23"/>
  <c r="N108" i="23"/>
  <c r="M108" i="23"/>
  <c r="L108" i="23"/>
  <c r="K108" i="23"/>
  <c r="J108" i="23"/>
  <c r="I108" i="23"/>
  <c r="H108" i="23"/>
  <c r="G108" i="23"/>
  <c r="F108" i="23"/>
  <c r="E108" i="23"/>
  <c r="D108" i="23"/>
  <c r="C108" i="23"/>
  <c r="X105" i="23"/>
  <c r="W105" i="23"/>
  <c r="U105" i="23"/>
  <c r="N105" i="23"/>
  <c r="M105" i="23"/>
  <c r="L105" i="23"/>
  <c r="K105" i="23"/>
  <c r="J105" i="23"/>
  <c r="I105" i="23"/>
  <c r="H105" i="23"/>
  <c r="G105" i="23"/>
  <c r="F105" i="23"/>
  <c r="E105" i="23"/>
  <c r="D105" i="23"/>
  <c r="C105" i="23"/>
  <c r="X104" i="23"/>
  <c r="W104" i="23"/>
  <c r="U104" i="23"/>
  <c r="N104" i="23"/>
  <c r="M104" i="23"/>
  <c r="L104" i="23"/>
  <c r="K104" i="23"/>
  <c r="J104" i="23"/>
  <c r="I104" i="23"/>
  <c r="H104" i="23"/>
  <c r="G104" i="23"/>
  <c r="F104" i="23"/>
  <c r="E104" i="23"/>
  <c r="C104" i="23"/>
  <c r="X101" i="23"/>
  <c r="W101" i="23"/>
  <c r="N101" i="23"/>
  <c r="M101" i="23"/>
  <c r="L101" i="23"/>
  <c r="K101" i="23"/>
  <c r="J101" i="23"/>
  <c r="I101" i="23"/>
  <c r="H101" i="23"/>
  <c r="G101" i="23"/>
  <c r="F101" i="23"/>
  <c r="E101" i="23"/>
  <c r="D101" i="23"/>
  <c r="C101" i="23"/>
  <c r="X94" i="23"/>
  <c r="W94" i="23"/>
  <c r="U94" i="23"/>
  <c r="N94" i="23"/>
  <c r="M94" i="23"/>
  <c r="L94" i="23"/>
  <c r="K94" i="23"/>
  <c r="J94" i="23"/>
  <c r="I94" i="23"/>
  <c r="H94" i="23"/>
  <c r="G94" i="23"/>
  <c r="F94" i="23"/>
  <c r="E94" i="23"/>
  <c r="D94" i="23"/>
  <c r="C94" i="23"/>
  <c r="X92" i="23"/>
  <c r="W92" i="23"/>
  <c r="U92" i="23"/>
  <c r="N92" i="23"/>
  <c r="M92" i="23"/>
  <c r="L92" i="23"/>
  <c r="K92" i="23"/>
  <c r="J92" i="23"/>
  <c r="I92" i="23"/>
  <c r="H92" i="23"/>
  <c r="G92" i="23"/>
  <c r="F92" i="23"/>
  <c r="E92" i="23"/>
  <c r="D92" i="23"/>
  <c r="C92" i="23"/>
  <c r="X87" i="23"/>
  <c r="W87" i="23"/>
  <c r="U87" i="23"/>
  <c r="N87" i="23"/>
  <c r="M87" i="23"/>
  <c r="L87" i="23"/>
  <c r="K87" i="23"/>
  <c r="J87" i="23"/>
  <c r="I87" i="23"/>
  <c r="H87" i="23"/>
  <c r="G87" i="23"/>
  <c r="F87" i="23"/>
  <c r="E87" i="23"/>
  <c r="C87" i="23"/>
  <c r="X86" i="23"/>
  <c r="W86" i="23"/>
  <c r="U86" i="23"/>
  <c r="N86" i="23"/>
  <c r="M86" i="23"/>
  <c r="L86" i="23"/>
  <c r="K86" i="23"/>
  <c r="J86" i="23"/>
  <c r="I86" i="23"/>
  <c r="H86" i="23"/>
  <c r="G86" i="23"/>
  <c r="F86" i="23"/>
  <c r="E86" i="23"/>
  <c r="D86" i="23"/>
  <c r="C86" i="23"/>
  <c r="X84" i="23"/>
  <c r="W84" i="23"/>
  <c r="U84" i="23"/>
  <c r="N84" i="23"/>
  <c r="M84" i="23"/>
  <c r="L84" i="23"/>
  <c r="K84" i="23"/>
  <c r="J84" i="23"/>
  <c r="I84" i="23"/>
  <c r="H84" i="23"/>
  <c r="G84" i="23"/>
  <c r="F84" i="23"/>
  <c r="E84" i="23"/>
  <c r="D84" i="23"/>
  <c r="C84" i="23"/>
  <c r="X83" i="23"/>
  <c r="W83" i="23"/>
  <c r="V83" i="23"/>
  <c r="U83" i="23"/>
  <c r="N83" i="23"/>
  <c r="M83" i="23"/>
  <c r="L83" i="23"/>
  <c r="K83" i="23"/>
  <c r="J83" i="23"/>
  <c r="I83" i="23"/>
  <c r="H83" i="23"/>
  <c r="G83" i="23"/>
  <c r="F83" i="23"/>
  <c r="E83" i="23"/>
  <c r="D83" i="23"/>
  <c r="C83" i="23"/>
  <c r="X82" i="23"/>
  <c r="W82" i="23"/>
  <c r="U82" i="23"/>
  <c r="N82" i="23"/>
  <c r="M82" i="23"/>
  <c r="L82" i="23"/>
  <c r="K82" i="23"/>
  <c r="J82" i="23"/>
  <c r="I82" i="23"/>
  <c r="H82" i="23"/>
  <c r="G82" i="23"/>
  <c r="F82" i="23"/>
  <c r="E82" i="23"/>
  <c r="D82" i="23"/>
  <c r="C82" i="23"/>
  <c r="X79" i="23"/>
  <c r="W79" i="23"/>
  <c r="U79" i="23"/>
  <c r="N79" i="23"/>
  <c r="M79" i="23"/>
  <c r="L79" i="23"/>
  <c r="K79" i="23"/>
  <c r="J79" i="23"/>
  <c r="I79" i="23"/>
  <c r="H79" i="23"/>
  <c r="G79" i="23"/>
  <c r="F79" i="23"/>
  <c r="E79" i="23"/>
  <c r="D79" i="23"/>
  <c r="C79" i="23"/>
  <c r="X67" i="23"/>
  <c r="W67" i="23"/>
  <c r="U67" i="23"/>
  <c r="N67" i="23"/>
  <c r="M67" i="23"/>
  <c r="L67" i="23"/>
  <c r="K67" i="23"/>
  <c r="J67" i="23"/>
  <c r="I67" i="23"/>
  <c r="H67" i="23"/>
  <c r="G67" i="23"/>
  <c r="F67" i="23"/>
  <c r="E67" i="23"/>
  <c r="D67" i="23"/>
  <c r="C67" i="23"/>
  <c r="X62" i="23"/>
  <c r="W62" i="23"/>
  <c r="U62" i="23"/>
  <c r="N62" i="23"/>
  <c r="M62" i="23"/>
  <c r="L62" i="23"/>
  <c r="K62" i="23"/>
  <c r="J62" i="23"/>
  <c r="I62" i="23"/>
  <c r="H62" i="23"/>
  <c r="G62" i="23"/>
  <c r="F62" i="23"/>
  <c r="E62" i="23"/>
  <c r="D62" i="23"/>
  <c r="C62" i="23"/>
  <c r="X61" i="23"/>
  <c r="W61" i="23"/>
  <c r="U61" i="23"/>
  <c r="N61" i="23"/>
  <c r="M61" i="23"/>
  <c r="L61" i="23"/>
  <c r="K61" i="23"/>
  <c r="J61" i="23"/>
  <c r="I61" i="23"/>
  <c r="H61" i="23"/>
  <c r="G61" i="23"/>
  <c r="F61" i="23"/>
  <c r="E61" i="23"/>
  <c r="D61" i="23"/>
  <c r="C61" i="23"/>
  <c r="X58" i="23"/>
  <c r="W58" i="23"/>
  <c r="V58" i="23"/>
  <c r="U58" i="23"/>
  <c r="N58" i="23"/>
  <c r="M58" i="23"/>
  <c r="L58" i="23"/>
  <c r="K58" i="23"/>
  <c r="J58" i="23"/>
  <c r="I58" i="23"/>
  <c r="H58" i="23"/>
  <c r="G58" i="23"/>
  <c r="F58" i="23"/>
  <c r="E58" i="23"/>
  <c r="D58" i="23"/>
  <c r="C58" i="23"/>
  <c r="X57" i="23"/>
  <c r="W57" i="23"/>
  <c r="U57" i="23"/>
  <c r="N57" i="23"/>
  <c r="M57" i="23"/>
  <c r="L57" i="23"/>
  <c r="K57" i="23"/>
  <c r="J57" i="23"/>
  <c r="I57" i="23"/>
  <c r="H57" i="23"/>
  <c r="G57" i="23"/>
  <c r="F57" i="23"/>
  <c r="E57" i="23"/>
  <c r="D57" i="23"/>
  <c r="C57" i="23"/>
  <c r="X52" i="23"/>
  <c r="W52" i="23"/>
  <c r="U52" i="23"/>
  <c r="N52" i="23"/>
  <c r="M52" i="23"/>
  <c r="L52" i="23"/>
  <c r="K52" i="23"/>
  <c r="J52" i="23"/>
  <c r="I52" i="23"/>
  <c r="H52" i="23"/>
  <c r="G52" i="23"/>
  <c r="F52" i="23"/>
  <c r="E52" i="23"/>
  <c r="D52" i="23"/>
  <c r="C52" i="23"/>
  <c r="X51" i="23"/>
  <c r="W51" i="23"/>
  <c r="V51" i="23"/>
  <c r="U51" i="23"/>
  <c r="N51" i="23"/>
  <c r="M51" i="23"/>
  <c r="L51" i="23"/>
  <c r="K51" i="23"/>
  <c r="J51" i="23"/>
  <c r="I51" i="23"/>
  <c r="H51" i="23"/>
  <c r="G51" i="23"/>
  <c r="F51" i="23"/>
  <c r="E51" i="23"/>
  <c r="D51" i="23"/>
  <c r="C51" i="23"/>
  <c r="X50" i="23"/>
  <c r="W50" i="23"/>
  <c r="V50" i="23"/>
  <c r="U50" i="23"/>
  <c r="N50" i="23"/>
  <c r="M50" i="23"/>
  <c r="L50" i="23"/>
  <c r="K50" i="23"/>
  <c r="J50" i="23"/>
  <c r="I50" i="23"/>
  <c r="H50" i="23"/>
  <c r="G50" i="23"/>
  <c r="F50" i="23"/>
  <c r="E50" i="23"/>
  <c r="D50" i="23"/>
  <c r="C50" i="23"/>
  <c r="X45" i="23"/>
  <c r="W45" i="23"/>
  <c r="V45" i="23"/>
  <c r="U45" i="23"/>
  <c r="N45" i="23"/>
  <c r="M45" i="23"/>
  <c r="L45" i="23"/>
  <c r="K45" i="23"/>
  <c r="J45" i="23"/>
  <c r="I45" i="23"/>
  <c r="H45" i="23"/>
  <c r="G45" i="23"/>
  <c r="F45" i="23"/>
  <c r="E45" i="23"/>
  <c r="D45" i="23"/>
  <c r="C45" i="23"/>
  <c r="X44" i="23"/>
  <c r="W44" i="23"/>
  <c r="V44" i="23"/>
  <c r="U44" i="23"/>
  <c r="N44" i="23"/>
  <c r="M44" i="23"/>
  <c r="L44" i="23"/>
  <c r="K44" i="23"/>
  <c r="J44" i="23"/>
  <c r="I44" i="23"/>
  <c r="H44" i="23"/>
  <c r="G44" i="23"/>
  <c r="F44" i="23"/>
  <c r="E44" i="23"/>
  <c r="D44" i="23"/>
  <c r="C44" i="23"/>
  <c r="X34" i="23"/>
  <c r="W34" i="23"/>
  <c r="V34" i="23"/>
  <c r="U34" i="23"/>
  <c r="N34" i="23"/>
  <c r="M34" i="23"/>
  <c r="L34" i="23"/>
  <c r="K34" i="23"/>
  <c r="J34" i="23"/>
  <c r="I34" i="23"/>
  <c r="H34" i="23"/>
  <c r="G34" i="23"/>
  <c r="F34" i="23"/>
  <c r="E34" i="23"/>
  <c r="D34" i="23"/>
  <c r="C34" i="23"/>
  <c r="X33" i="23"/>
  <c r="W33" i="23"/>
  <c r="V33" i="23"/>
  <c r="U33" i="23"/>
  <c r="N33" i="23"/>
  <c r="M33" i="23"/>
  <c r="L33" i="23"/>
  <c r="K33" i="23"/>
  <c r="J33" i="23"/>
  <c r="I33" i="23"/>
  <c r="H33" i="23"/>
  <c r="G33" i="23"/>
  <c r="F33" i="23"/>
  <c r="E33" i="23"/>
  <c r="D33" i="23"/>
  <c r="C33" i="23"/>
  <c r="X32" i="23"/>
  <c r="W32" i="23"/>
  <c r="V32" i="23"/>
  <c r="U32" i="23"/>
  <c r="N32" i="23"/>
  <c r="M32" i="23"/>
  <c r="L32" i="23"/>
  <c r="K32" i="23"/>
  <c r="J32" i="23"/>
  <c r="I32" i="23"/>
  <c r="H32" i="23"/>
  <c r="G32" i="23"/>
  <c r="F32" i="23"/>
  <c r="E32" i="23"/>
  <c r="D32" i="23"/>
  <c r="C32" i="23"/>
  <c r="X27" i="23"/>
  <c r="W27" i="23"/>
  <c r="V27" i="23"/>
  <c r="U27" i="23"/>
  <c r="N27" i="23"/>
  <c r="M27" i="23"/>
  <c r="L27" i="23"/>
  <c r="K27" i="23"/>
  <c r="J27" i="23"/>
  <c r="I27" i="23"/>
  <c r="H27" i="23"/>
  <c r="G27" i="23"/>
  <c r="F27" i="23"/>
  <c r="E27" i="23"/>
  <c r="D27" i="23"/>
  <c r="C27" i="23"/>
  <c r="X22" i="23"/>
  <c r="W22" i="23"/>
  <c r="V22" i="23"/>
  <c r="U22" i="23"/>
  <c r="N22" i="23"/>
  <c r="M22" i="23"/>
  <c r="L22" i="23"/>
  <c r="K22" i="23"/>
  <c r="J22" i="23"/>
  <c r="I22" i="23"/>
  <c r="H22" i="23"/>
  <c r="G22" i="23"/>
  <c r="F22" i="23"/>
  <c r="E22" i="23"/>
  <c r="D22" i="23"/>
  <c r="C22" i="23"/>
  <c r="X17" i="23"/>
  <c r="W17" i="23"/>
  <c r="V17" i="23"/>
  <c r="U17" i="23"/>
  <c r="N17" i="23"/>
  <c r="M17" i="23"/>
  <c r="L17" i="23"/>
  <c r="K17" i="23"/>
  <c r="J17" i="23"/>
  <c r="I17" i="23"/>
  <c r="H17" i="23"/>
  <c r="G17" i="23"/>
  <c r="F17" i="23"/>
  <c r="E17" i="23"/>
  <c r="D17" i="23"/>
  <c r="C17" i="23"/>
  <c r="X12" i="23"/>
  <c r="W12" i="23"/>
  <c r="V12" i="23"/>
  <c r="U12" i="23"/>
  <c r="N12" i="23"/>
  <c r="M12" i="23"/>
  <c r="L12" i="23"/>
  <c r="K12" i="23"/>
  <c r="J12" i="23"/>
  <c r="I12" i="23"/>
  <c r="H12" i="23"/>
  <c r="G12" i="23"/>
  <c r="F12" i="23"/>
  <c r="E12" i="23"/>
  <c r="D12" i="23"/>
  <c r="C12" i="23"/>
  <c r="Q31" i="19"/>
  <c r="Q4" i="19"/>
  <c r="Q69" i="19"/>
  <c r="Q77" i="19"/>
  <c r="Q107" i="19"/>
  <c r="Q36" i="19"/>
  <c r="Q35" i="19"/>
  <c r="Q72" i="19"/>
  <c r="Q41" i="19"/>
  <c r="Q38" i="19"/>
  <c r="Q105" i="19"/>
  <c r="Q75" i="19"/>
  <c r="Q86" i="19"/>
  <c r="Q115" i="19"/>
  <c r="Q71" i="19"/>
  <c r="Q57" i="19"/>
  <c r="Q49" i="19"/>
  <c r="Q95" i="19"/>
  <c r="Q2" i="19"/>
  <c r="Q99" i="19"/>
  <c r="Q114" i="19"/>
  <c r="Q89" i="19"/>
  <c r="Q27" i="19"/>
  <c r="Q17" i="19"/>
  <c r="Q29" i="19"/>
  <c r="Q40" i="19"/>
  <c r="Q58" i="19"/>
  <c r="Q37" i="19"/>
  <c r="Q109" i="19"/>
  <c r="Q33" i="19"/>
  <c r="Q87" i="19"/>
  <c r="Q108" i="19"/>
  <c r="Q12" i="19"/>
  <c r="Q80" i="19"/>
  <c r="Q50" i="19"/>
  <c r="Q106" i="19"/>
  <c r="Q81" i="19"/>
  <c r="Q85" i="19"/>
  <c r="Q65" i="19"/>
  <c r="Q79" i="19"/>
  <c r="Q91" i="19"/>
  <c r="Q90" i="19"/>
  <c r="Q64" i="19"/>
  <c r="Q43" i="19"/>
  <c r="Q47" i="19"/>
  <c r="Q73" i="19"/>
  <c r="Q42" i="19"/>
  <c r="Q13" i="19"/>
  <c r="Q94" i="19"/>
  <c r="Q46" i="19"/>
  <c r="Q9" i="19"/>
  <c r="Q23" i="19"/>
  <c r="Q101" i="19"/>
  <c r="Q24" i="19"/>
  <c r="Q19" i="19"/>
  <c r="Q18" i="19"/>
  <c r="Q96" i="19"/>
  <c r="Q78" i="19"/>
  <c r="Q76" i="19"/>
  <c r="Q30" i="19"/>
  <c r="Q52" i="19"/>
  <c r="Q15" i="19"/>
  <c r="Q26" i="19"/>
  <c r="Q88" i="19"/>
  <c r="Q67" i="19"/>
  <c r="Q14" i="19"/>
  <c r="Q21" i="19"/>
  <c r="Q100" i="19"/>
  <c r="Q10" i="19"/>
  <c r="Q92" i="19"/>
  <c r="Q68" i="19"/>
  <c r="Q34" i="19"/>
  <c r="Q55" i="19"/>
  <c r="Q63" i="19"/>
  <c r="Q84" i="19"/>
  <c r="Q6" i="19"/>
  <c r="Q97" i="19"/>
  <c r="Q53" i="19"/>
  <c r="Q112" i="19"/>
  <c r="Q28" i="19"/>
  <c r="Q60" i="19"/>
  <c r="Q74" i="19"/>
  <c r="Q113" i="19"/>
  <c r="Q32" i="19"/>
  <c r="Q51" i="19"/>
  <c r="Q70" i="19"/>
  <c r="Q82" i="19"/>
  <c r="Q54" i="19"/>
  <c r="Q59" i="19"/>
  <c r="Q110" i="19"/>
  <c r="Q45" i="19"/>
  <c r="Q111" i="19"/>
  <c r="Q8" i="19"/>
  <c r="Q61" i="19"/>
  <c r="Q11" i="19"/>
  <c r="Q3" i="19"/>
  <c r="Q93" i="19"/>
  <c r="Q98" i="19"/>
  <c r="Q66" i="19"/>
  <c r="Q39" i="19"/>
  <c r="Q20" i="19"/>
  <c r="Q44" i="19"/>
  <c r="Q48" i="19"/>
  <c r="Q62" i="19"/>
  <c r="N20" i="19"/>
  <c r="F20" i="19"/>
  <c r="N8" i="19"/>
  <c r="F8" i="19"/>
  <c r="N48" i="19"/>
  <c r="F48" i="19"/>
  <c r="N94" i="19"/>
  <c r="F94" i="19"/>
  <c r="N4" i="19"/>
  <c r="F4" i="19"/>
  <c r="N95" i="19"/>
  <c r="F95" i="19"/>
  <c r="N34" i="19"/>
  <c r="F34" i="19"/>
  <c r="N11" i="19"/>
  <c r="F11" i="19"/>
  <c r="N50" i="19"/>
  <c r="F50" i="19"/>
  <c r="N36" i="19"/>
  <c r="F36" i="19"/>
  <c r="N37" i="19"/>
  <c r="F37" i="19"/>
  <c r="N106" i="19"/>
  <c r="F106" i="19"/>
  <c r="N98" i="19"/>
  <c r="F98" i="19"/>
  <c r="N46" i="19"/>
  <c r="F46" i="19"/>
  <c r="N81" i="19"/>
  <c r="F81" i="19"/>
  <c r="N109" i="19"/>
  <c r="F109" i="19"/>
  <c r="N35" i="19"/>
  <c r="F35" i="19"/>
  <c r="N108" i="19"/>
  <c r="F108" i="19"/>
  <c r="N107" i="19"/>
  <c r="F107" i="19"/>
  <c r="N105" i="19"/>
  <c r="F105" i="19"/>
  <c r="N9" i="19"/>
  <c r="F9" i="19"/>
  <c r="N10" i="19"/>
  <c r="F10" i="19"/>
  <c r="N33" i="19"/>
  <c r="F33" i="19"/>
  <c r="N85" i="19"/>
  <c r="F85" i="19"/>
  <c r="N65" i="19"/>
  <c r="F65" i="19"/>
  <c r="N12" i="19"/>
  <c r="F12" i="19"/>
  <c r="N114" i="19"/>
  <c r="F114" i="19"/>
  <c r="N23" i="19"/>
  <c r="F23" i="19"/>
  <c r="N101" i="19"/>
  <c r="F101" i="19"/>
  <c r="N75" i="19"/>
  <c r="F75" i="19"/>
  <c r="N32" i="19"/>
  <c r="F32" i="19"/>
  <c r="N24" i="19"/>
  <c r="F24" i="19"/>
  <c r="N79" i="19"/>
  <c r="F79" i="19"/>
  <c r="N91" i="19"/>
  <c r="F91" i="19"/>
  <c r="N19" i="19"/>
  <c r="F19" i="19"/>
  <c r="N3" i="19"/>
  <c r="F3" i="19"/>
  <c r="N18" i="19"/>
  <c r="F18" i="19"/>
  <c r="N72" i="19"/>
  <c r="F72" i="19"/>
  <c r="N92" i="19"/>
  <c r="F92" i="19"/>
  <c r="N86" i="19"/>
  <c r="F86" i="19"/>
  <c r="N89" i="19"/>
  <c r="F89" i="19"/>
  <c r="N69" i="19"/>
  <c r="F69" i="19"/>
  <c r="N80" i="19"/>
  <c r="F80" i="19"/>
  <c r="N71" i="19"/>
  <c r="F71" i="19"/>
  <c r="N112" i="19"/>
  <c r="O112" i="19" s="1"/>
  <c r="N96" i="19"/>
  <c r="F96" i="19"/>
  <c r="N90" i="19"/>
  <c r="F90" i="19"/>
  <c r="N78" i="19"/>
  <c r="F78" i="19"/>
  <c r="N77" i="19"/>
  <c r="F77" i="19"/>
  <c r="N76" i="19"/>
  <c r="F76" i="19"/>
  <c r="N64" i="19"/>
  <c r="F64" i="19"/>
  <c r="N55" i="19"/>
  <c r="O55" i="19" s="1"/>
  <c r="N45" i="19"/>
  <c r="F45" i="19"/>
  <c r="N39" i="19"/>
  <c r="N31" i="19"/>
  <c r="F31" i="19"/>
  <c r="N30" i="19"/>
  <c r="F30" i="19"/>
  <c r="N27" i="19"/>
  <c r="F27" i="19"/>
  <c r="N26" i="19"/>
  <c r="O26" i="19" s="1"/>
  <c r="F22" i="19"/>
  <c r="N6" i="19"/>
  <c r="O6" i="19" s="1"/>
  <c r="F5" i="19"/>
  <c r="N28" i="19"/>
  <c r="F28" i="19"/>
  <c r="N51" i="19"/>
  <c r="F51" i="19"/>
  <c r="N70" i="19"/>
  <c r="F70" i="19"/>
  <c r="N17" i="19"/>
  <c r="F17" i="19"/>
  <c r="N66" i="19"/>
  <c r="F66" i="19"/>
  <c r="N88" i="19"/>
  <c r="F88" i="19"/>
  <c r="N63" i="19"/>
  <c r="F63" i="19"/>
  <c r="N68" i="19"/>
  <c r="F68" i="19"/>
  <c r="N84" i="19"/>
  <c r="F84" i="19"/>
  <c r="N87" i="19"/>
  <c r="F87" i="19"/>
  <c r="N43" i="19"/>
  <c r="F43" i="19"/>
  <c r="N47" i="19"/>
  <c r="F47" i="19"/>
  <c r="N73" i="19"/>
  <c r="F73" i="19"/>
  <c r="N82" i="19"/>
  <c r="F82" i="19"/>
  <c r="N97" i="19"/>
  <c r="F97" i="19"/>
  <c r="N67" i="19"/>
  <c r="F67" i="19"/>
  <c r="N60" i="19"/>
  <c r="O60" i="19" s="1"/>
  <c r="N40" i="19"/>
  <c r="F40" i="19"/>
  <c r="N42" i="19"/>
  <c r="F42" i="19"/>
  <c r="N53" i="19"/>
  <c r="F53" i="19"/>
  <c r="N13" i="19"/>
  <c r="F13" i="19"/>
  <c r="N57" i="19"/>
  <c r="F57" i="19"/>
  <c r="N58" i="19"/>
  <c r="F58" i="19"/>
  <c r="N54" i="19"/>
  <c r="F54" i="19"/>
  <c r="N14" i="19"/>
  <c r="F14" i="19"/>
  <c r="N59" i="19"/>
  <c r="O59" i="19" s="1"/>
  <c r="N93" i="19"/>
  <c r="F93" i="19"/>
  <c r="N41" i="19"/>
  <c r="F41" i="19"/>
  <c r="N21" i="19"/>
  <c r="F21" i="19"/>
  <c r="N100" i="19"/>
  <c r="F100" i="19"/>
  <c r="N74" i="19"/>
  <c r="F74" i="19"/>
  <c r="N38" i="19"/>
  <c r="F38" i="19"/>
  <c r="N52" i="19"/>
  <c r="F52" i="19"/>
  <c r="N61" i="19"/>
  <c r="N15" i="19"/>
  <c r="F15" i="19"/>
  <c r="N49" i="19"/>
  <c r="F49" i="19"/>
  <c r="N111" i="19"/>
  <c r="O111" i="19" s="1"/>
  <c r="N110" i="19"/>
  <c r="O110" i="19" s="1"/>
  <c r="N113" i="19"/>
  <c r="O113" i="19" s="1"/>
  <c r="N44" i="19"/>
  <c r="O44" i="19" s="1"/>
  <c r="N62" i="19"/>
  <c r="F62" i="19"/>
  <c r="K114" i="19"/>
  <c r="D114" i="19"/>
  <c r="K113" i="19"/>
  <c r="J113" i="19"/>
  <c r="K112" i="19"/>
  <c r="J112" i="19"/>
  <c r="K111" i="19"/>
  <c r="J111" i="19"/>
  <c r="K109" i="19"/>
  <c r="D109" i="19"/>
  <c r="K108" i="19"/>
  <c r="D108" i="19"/>
  <c r="K107" i="19"/>
  <c r="J107" i="19"/>
  <c r="D107" i="19"/>
  <c r="C107" i="19"/>
  <c r="J106" i="19"/>
  <c r="D106" i="19"/>
  <c r="C106" i="19"/>
  <c r="K105" i="19"/>
  <c r="D105" i="19"/>
  <c r="K101" i="19"/>
  <c r="D101" i="19"/>
  <c r="K100" i="19"/>
  <c r="J100" i="19"/>
  <c r="D100" i="19"/>
  <c r="C100" i="19"/>
  <c r="K98" i="19"/>
  <c r="J98" i="19"/>
  <c r="D98" i="19"/>
  <c r="C98" i="19"/>
  <c r="K97" i="19"/>
  <c r="D97" i="19"/>
  <c r="K96" i="19"/>
  <c r="J96" i="19"/>
  <c r="D96" i="19"/>
  <c r="C96" i="19"/>
  <c r="K95" i="19"/>
  <c r="J95" i="19"/>
  <c r="D95" i="19"/>
  <c r="C95" i="19"/>
  <c r="K94" i="19"/>
  <c r="D94" i="19"/>
  <c r="K93" i="19"/>
  <c r="D93" i="19"/>
  <c r="K92" i="19"/>
  <c r="D92" i="19"/>
  <c r="K91" i="19"/>
  <c r="J91" i="19"/>
  <c r="D91" i="19"/>
  <c r="C91" i="19"/>
  <c r="K90" i="19"/>
  <c r="J90" i="19"/>
  <c r="D90" i="19"/>
  <c r="C90" i="19"/>
  <c r="K89" i="19"/>
  <c r="J89" i="19"/>
  <c r="D89" i="19"/>
  <c r="C89" i="19"/>
  <c r="K88" i="19"/>
  <c r="J88" i="19"/>
  <c r="D88" i="19"/>
  <c r="C88" i="19"/>
  <c r="K87" i="19"/>
  <c r="D87" i="19"/>
  <c r="K86" i="19"/>
  <c r="D86" i="19"/>
  <c r="K85" i="19"/>
  <c r="J85" i="19"/>
  <c r="D85" i="19"/>
  <c r="C85" i="19"/>
  <c r="K84" i="19"/>
  <c r="D84" i="19"/>
  <c r="K82" i="19"/>
  <c r="D82" i="19"/>
  <c r="K81" i="19"/>
  <c r="J81" i="19"/>
  <c r="D81" i="19"/>
  <c r="C81" i="19"/>
  <c r="K80" i="19"/>
  <c r="J80" i="19"/>
  <c r="D80" i="19"/>
  <c r="C80" i="19"/>
  <c r="K79" i="19"/>
  <c r="D79" i="19"/>
  <c r="K78" i="19"/>
  <c r="J78" i="19"/>
  <c r="D78" i="19"/>
  <c r="C78" i="19"/>
  <c r="K77" i="19"/>
  <c r="J77" i="19"/>
  <c r="D77" i="19"/>
  <c r="C77" i="19"/>
  <c r="K75" i="19"/>
  <c r="D75" i="19"/>
  <c r="K74" i="19"/>
  <c r="J74" i="19"/>
  <c r="D74" i="19"/>
  <c r="C74" i="19"/>
  <c r="K73" i="19"/>
  <c r="J73" i="19"/>
  <c r="D73" i="19"/>
  <c r="C73" i="19"/>
  <c r="K72" i="19"/>
  <c r="J72" i="19"/>
  <c r="D72" i="19"/>
  <c r="C72" i="19"/>
  <c r="K71" i="19"/>
  <c r="D71" i="19"/>
  <c r="K70" i="19"/>
  <c r="J70" i="19"/>
  <c r="D70" i="19"/>
  <c r="C70" i="19"/>
  <c r="K76" i="19"/>
  <c r="J76" i="19"/>
  <c r="D76" i="19"/>
  <c r="C76" i="19"/>
  <c r="K69" i="19"/>
  <c r="J69" i="19"/>
  <c r="D69" i="19"/>
  <c r="C69" i="19"/>
  <c r="K68" i="19"/>
  <c r="D68" i="19"/>
  <c r="K67" i="19"/>
  <c r="J67" i="19"/>
  <c r="D67" i="19"/>
  <c r="C67" i="19"/>
  <c r="K66" i="19"/>
  <c r="J66" i="19"/>
  <c r="D66" i="19"/>
  <c r="C66" i="19"/>
  <c r="K65" i="19"/>
  <c r="J65" i="19"/>
  <c r="D65" i="19"/>
  <c r="C65" i="19"/>
  <c r="K64" i="19"/>
  <c r="J64" i="19"/>
  <c r="D64" i="19"/>
  <c r="C64" i="19"/>
  <c r="K63" i="19"/>
  <c r="D63" i="19"/>
  <c r="K62" i="19"/>
  <c r="D62" i="19"/>
  <c r="K61" i="19"/>
  <c r="J61" i="19"/>
  <c r="K60" i="19"/>
  <c r="J60" i="19"/>
  <c r="K59" i="19"/>
  <c r="K58" i="19"/>
  <c r="D58" i="19"/>
  <c r="K57" i="19"/>
  <c r="J57" i="19"/>
  <c r="D57" i="19"/>
  <c r="C57" i="19"/>
  <c r="D56" i="19"/>
  <c r="C56" i="19"/>
  <c r="K55" i="19"/>
  <c r="J55" i="19"/>
  <c r="K54" i="19"/>
  <c r="J54" i="19"/>
  <c r="D54" i="19"/>
  <c r="C54" i="19"/>
  <c r="K53" i="19"/>
  <c r="D53" i="19"/>
  <c r="K52" i="19"/>
  <c r="D52" i="19"/>
  <c r="K51" i="19"/>
  <c r="D51" i="19"/>
  <c r="K50" i="19"/>
  <c r="J50" i="19"/>
  <c r="D50" i="19"/>
  <c r="C50" i="19"/>
  <c r="K49" i="19"/>
  <c r="J49" i="19"/>
  <c r="D49" i="19"/>
  <c r="C49" i="19"/>
  <c r="K48" i="19"/>
  <c r="J48" i="19"/>
  <c r="D48" i="19"/>
  <c r="C48" i="19"/>
  <c r="K47" i="19"/>
  <c r="J47" i="19"/>
  <c r="D47" i="19"/>
  <c r="C47" i="19"/>
  <c r="K46" i="19"/>
  <c r="D46" i="19"/>
  <c r="K45" i="19"/>
  <c r="D45" i="19"/>
  <c r="K44" i="19"/>
  <c r="J44" i="19"/>
  <c r="K43" i="19"/>
  <c r="J43" i="19"/>
  <c r="D43" i="19"/>
  <c r="C43" i="19"/>
  <c r="K42" i="19"/>
  <c r="J42" i="19"/>
  <c r="D42" i="19"/>
  <c r="C42" i="19"/>
  <c r="K41" i="19"/>
  <c r="J41" i="19"/>
  <c r="D41" i="19"/>
  <c r="C41" i="19"/>
  <c r="K40" i="19"/>
  <c r="D40" i="19"/>
  <c r="K39" i="19"/>
  <c r="J39" i="19"/>
  <c r="K38" i="19"/>
  <c r="J38" i="19"/>
  <c r="D38" i="19"/>
  <c r="C38" i="19"/>
  <c r="K37" i="19"/>
  <c r="J37" i="19"/>
  <c r="D37" i="19"/>
  <c r="C37" i="19"/>
  <c r="K36" i="19"/>
  <c r="J36" i="19"/>
  <c r="D36" i="19"/>
  <c r="C36" i="19"/>
  <c r="K35" i="19"/>
  <c r="D35" i="19"/>
  <c r="K34" i="19"/>
  <c r="D34" i="19"/>
  <c r="K33" i="19"/>
  <c r="D33" i="19"/>
  <c r="K32" i="19"/>
  <c r="J32" i="19"/>
  <c r="D32" i="19"/>
  <c r="C32" i="19"/>
  <c r="K31" i="19"/>
  <c r="J31" i="19"/>
  <c r="D31" i="19"/>
  <c r="C31" i="19"/>
  <c r="K30" i="19"/>
  <c r="J30" i="19"/>
  <c r="D30" i="19"/>
  <c r="C30" i="19"/>
  <c r="K28" i="19"/>
  <c r="D28" i="19"/>
  <c r="K27" i="19"/>
  <c r="J27" i="19"/>
  <c r="D27" i="19"/>
  <c r="C27" i="19"/>
  <c r="K26" i="19"/>
  <c r="J26" i="19"/>
  <c r="D26" i="19"/>
  <c r="C26" i="19"/>
  <c r="D25" i="19"/>
  <c r="C25" i="19"/>
  <c r="K24" i="19"/>
  <c r="J24" i="19"/>
  <c r="D24" i="19"/>
  <c r="C24" i="19"/>
  <c r="K23" i="19"/>
  <c r="D23" i="19"/>
  <c r="D22" i="19"/>
  <c r="C22" i="19"/>
  <c r="K21" i="19"/>
  <c r="J21" i="19"/>
  <c r="D21" i="19"/>
  <c r="C21" i="19"/>
  <c r="K20" i="19"/>
  <c r="J20" i="19"/>
  <c r="D20" i="19"/>
  <c r="C20" i="19"/>
  <c r="K19" i="19"/>
  <c r="J19" i="19"/>
  <c r="D19" i="19"/>
  <c r="C19" i="19"/>
  <c r="K18" i="19"/>
  <c r="D18" i="19"/>
  <c r="K17" i="19"/>
  <c r="J17" i="19"/>
  <c r="D17" i="19"/>
  <c r="C17" i="19"/>
  <c r="D16" i="19"/>
  <c r="C16" i="19"/>
  <c r="K15" i="19"/>
  <c r="J15" i="19"/>
  <c r="D15" i="19"/>
  <c r="C15" i="19"/>
  <c r="K14" i="19"/>
  <c r="J14" i="19"/>
  <c r="D14" i="19"/>
  <c r="C14" i="19"/>
  <c r="K13" i="19"/>
  <c r="D13" i="19"/>
  <c r="K12" i="19"/>
  <c r="J12" i="19"/>
  <c r="D12" i="19"/>
  <c r="C12" i="19"/>
  <c r="K11" i="19"/>
  <c r="J11" i="19"/>
  <c r="D11" i="19"/>
  <c r="C11" i="19"/>
  <c r="K10" i="19"/>
  <c r="J10" i="19"/>
  <c r="D10" i="19"/>
  <c r="C10" i="19"/>
  <c r="K9" i="19"/>
  <c r="D9" i="19"/>
  <c r="K8" i="19"/>
  <c r="D8" i="19"/>
  <c r="K6" i="19"/>
  <c r="J6" i="19"/>
  <c r="D5" i="19"/>
  <c r="C5" i="19"/>
  <c r="K4" i="19"/>
  <c r="J4" i="19"/>
  <c r="D4" i="19"/>
  <c r="C4" i="19"/>
  <c r="K3" i="19"/>
  <c r="J3" i="19"/>
  <c r="D3" i="19"/>
  <c r="C3" i="19"/>
  <c r="K56" i="19"/>
  <c r="J56" i="19"/>
  <c r="D55" i="19"/>
  <c r="C55" i="19"/>
  <c r="D44" i="19"/>
  <c r="C44" i="19"/>
  <c r="D39" i="19"/>
  <c r="C39" i="19"/>
  <c r="K25" i="19"/>
  <c r="J25" i="19"/>
  <c r="K22" i="19"/>
  <c r="J22" i="19"/>
  <c r="K16" i="19"/>
  <c r="J16" i="19"/>
  <c r="C6" i="19"/>
  <c r="D6" i="19"/>
  <c r="K5" i="19"/>
  <c r="J5" i="19"/>
  <c r="K83" i="19"/>
  <c r="J83" i="19"/>
  <c r="D83" i="19"/>
  <c r="C83" i="19"/>
  <c r="E99" i="19"/>
  <c r="D115" i="23"/>
  <c r="V115" i="23"/>
  <c r="V8" i="23"/>
  <c r="V110" i="23"/>
  <c r="V114" i="23"/>
  <c r="D114" i="23"/>
  <c r="D110" i="23"/>
  <c r="D104" i="23"/>
  <c r="V109" i="23"/>
  <c r="V108" i="23"/>
  <c r="V115" i="19"/>
  <c r="V108" i="19"/>
  <c r="L115" i="19"/>
  <c r="V111" i="19"/>
  <c r="L29" i="19"/>
  <c r="Y115" i="19"/>
  <c r="Y25" i="19"/>
  <c r="AC75" i="19"/>
  <c r="Y29" i="19"/>
  <c r="V56" i="19"/>
  <c r="W56" i="19" s="1"/>
  <c r="D93" i="23"/>
  <c r="V52" i="23"/>
  <c r="V82" i="23"/>
  <c r="V84" i="23"/>
  <c r="V57" i="23"/>
  <c r="V62" i="23"/>
  <c r="V79" i="23"/>
  <c r="V67" i="23"/>
  <c r="V61" i="23"/>
  <c r="V86" i="23"/>
  <c r="V92" i="23"/>
  <c r="V94" i="23"/>
  <c r="V104" i="23"/>
  <c r="V105" i="23"/>
  <c r="V93" i="23"/>
  <c r="V106" i="19"/>
  <c r="AC115" i="19"/>
  <c r="AZ40" i="19" l="1"/>
  <c r="AZ60" i="19"/>
  <c r="AZ80" i="19"/>
  <c r="AZ90" i="19"/>
  <c r="V78" i="19"/>
  <c r="AZ113" i="19"/>
  <c r="E28" i="19"/>
  <c r="BM85" i="19"/>
  <c r="BM95" i="19"/>
  <c r="BM19" i="19"/>
  <c r="E29" i="19"/>
  <c r="V68" i="19"/>
  <c r="V95" i="19"/>
  <c r="AC58" i="19"/>
  <c r="AP111" i="19"/>
  <c r="V28" i="19"/>
  <c r="V85" i="19"/>
  <c r="BT96" i="19"/>
  <c r="CE96" i="19" s="1"/>
  <c r="Y64" i="19"/>
  <c r="AP96" i="19"/>
  <c r="BT83" i="19"/>
  <c r="CE83" i="19" s="1"/>
  <c r="AI79" i="19"/>
  <c r="V113" i="19"/>
  <c r="AP114" i="19"/>
  <c r="V59" i="19"/>
  <c r="V79" i="19"/>
  <c r="V86" i="19"/>
  <c r="V71" i="19"/>
  <c r="V93" i="19"/>
  <c r="L71" i="19"/>
  <c r="AS81" i="19"/>
  <c r="E51" i="19"/>
  <c r="AI52" i="19"/>
  <c r="AI91" i="19"/>
  <c r="V21" i="19"/>
  <c r="CK108" i="19"/>
  <c r="CK109" i="19"/>
  <c r="BC80" i="19"/>
  <c r="CK110" i="19"/>
  <c r="V57" i="19"/>
  <c r="V105" i="19"/>
  <c r="V25" i="19"/>
  <c r="V29" i="19"/>
  <c r="V46" i="19"/>
  <c r="V91" i="19"/>
  <c r="Y71" i="19"/>
  <c r="BQ84" i="19"/>
  <c r="I18" i="19"/>
  <c r="AZ6" i="19"/>
  <c r="AZ17" i="19"/>
  <c r="AZ27" i="19"/>
  <c r="AZ37" i="19"/>
  <c r="AZ47" i="19"/>
  <c r="AZ57" i="19"/>
  <c r="AZ67" i="19"/>
  <c r="AZ87" i="19"/>
  <c r="AZ97" i="19"/>
  <c r="AZ111" i="19"/>
  <c r="L34" i="19"/>
  <c r="S84" i="19"/>
  <c r="V65" i="19"/>
  <c r="V82" i="19"/>
  <c r="BT110" i="19"/>
  <c r="CE110" i="19" s="1"/>
  <c r="AP105" i="19"/>
  <c r="AZ68" i="19"/>
  <c r="AZ78" i="19"/>
  <c r="AZ98" i="19"/>
  <c r="O95" i="19"/>
  <c r="V24" i="19"/>
  <c r="V37" i="19"/>
  <c r="V52" i="19"/>
  <c r="V63" i="19"/>
  <c r="V66" i="19"/>
  <c r="V72" i="19"/>
  <c r="V83" i="19"/>
  <c r="W83" i="19" s="1"/>
  <c r="V97" i="19"/>
  <c r="V114" i="19"/>
  <c r="E115" i="19"/>
  <c r="AC13" i="19"/>
  <c r="AC114" i="19"/>
  <c r="BC29" i="19"/>
  <c r="Y18" i="19"/>
  <c r="V81" i="19"/>
  <c r="V88" i="19"/>
  <c r="BM88" i="19"/>
  <c r="L62" i="19"/>
  <c r="Y90" i="19"/>
  <c r="AI31" i="19"/>
  <c r="AI49" i="19"/>
  <c r="BQ105" i="19"/>
  <c r="BQ115" i="19"/>
  <c r="BT93" i="19"/>
  <c r="CE93" i="19" s="1"/>
  <c r="BQ92" i="19"/>
  <c r="BW89" i="19"/>
  <c r="CA93" i="19"/>
  <c r="BQ108" i="19"/>
  <c r="BM111" i="19"/>
  <c r="BW79" i="19"/>
  <c r="CA87" i="19"/>
  <c r="BW93" i="19"/>
  <c r="BW106" i="19"/>
  <c r="CA110" i="19"/>
  <c r="Y97" i="19"/>
  <c r="BQ86" i="19"/>
  <c r="BM98" i="19"/>
  <c r="Y49" i="19"/>
  <c r="V38" i="19"/>
  <c r="L59" i="19"/>
  <c r="M59" i="19" s="1"/>
  <c r="Y107" i="19"/>
  <c r="AI81" i="19"/>
  <c r="AS24" i="19"/>
  <c r="L63" i="19"/>
  <c r="W63" i="19" s="1"/>
  <c r="O96" i="19"/>
  <c r="Y109" i="19"/>
  <c r="Y95" i="19"/>
  <c r="AS15" i="19"/>
  <c r="BM79" i="19"/>
  <c r="I109" i="19"/>
  <c r="AF106" i="19"/>
  <c r="Y38" i="19"/>
  <c r="AZ5" i="19"/>
  <c r="BC79" i="19"/>
  <c r="I45" i="19"/>
  <c r="AS41" i="19"/>
  <c r="AS65" i="19"/>
  <c r="BT76" i="19"/>
  <c r="CE76" i="19" s="1"/>
  <c r="BC18" i="19"/>
  <c r="BC54" i="19"/>
  <c r="Y87" i="19"/>
  <c r="I53" i="19"/>
  <c r="AC92" i="19"/>
  <c r="S115" i="19"/>
  <c r="V30" i="19"/>
  <c r="AS6" i="19"/>
  <c r="AS13" i="19"/>
  <c r="Y81" i="19"/>
  <c r="AI60" i="19"/>
  <c r="AZ21" i="19"/>
  <c r="AZ31" i="19"/>
  <c r="AZ81" i="19"/>
  <c r="AZ91" i="19"/>
  <c r="BM107" i="19"/>
  <c r="O51" i="19"/>
  <c r="I51" i="19"/>
  <c r="AC110" i="19"/>
  <c r="V8" i="19"/>
  <c r="V15" i="19"/>
  <c r="V35" i="19"/>
  <c r="V70" i="19"/>
  <c r="V98" i="19"/>
  <c r="V109" i="19"/>
  <c r="AS93" i="19"/>
  <c r="V4" i="19"/>
  <c r="AI19" i="19"/>
  <c r="AM33" i="19"/>
  <c r="V100" i="19"/>
  <c r="I84" i="19"/>
  <c r="V13" i="19"/>
  <c r="V20" i="19"/>
  <c r="AP24" i="19"/>
  <c r="AP53" i="19"/>
  <c r="BJ115" i="19"/>
  <c r="BU115" i="19" s="1"/>
  <c r="E93" i="19"/>
  <c r="I79" i="19"/>
  <c r="AC8" i="19"/>
  <c r="V12" i="19"/>
  <c r="V19" i="19"/>
  <c r="V43" i="19"/>
  <c r="V58" i="19"/>
  <c r="AZ43" i="19"/>
  <c r="AZ72" i="19"/>
  <c r="BJ109" i="19"/>
  <c r="BU109" i="19" s="1"/>
  <c r="S2" i="19"/>
  <c r="S9" i="19"/>
  <c r="I115" i="19"/>
  <c r="V89" i="19"/>
  <c r="AZ54" i="19"/>
  <c r="AZ64" i="19"/>
  <c r="BC34" i="19"/>
  <c r="BW55" i="19"/>
  <c r="E18" i="19"/>
  <c r="E35" i="19"/>
  <c r="Y89" i="19"/>
  <c r="Y9" i="19"/>
  <c r="Y20" i="19"/>
  <c r="BJ84" i="19"/>
  <c r="BJ94" i="19"/>
  <c r="E34" i="19"/>
  <c r="E58" i="19"/>
  <c r="L109" i="19"/>
  <c r="AI10" i="19"/>
  <c r="O115" i="19"/>
  <c r="AS114" i="19"/>
  <c r="AP60" i="19"/>
  <c r="AP98" i="19"/>
  <c r="O32" i="19"/>
  <c r="O37" i="19"/>
  <c r="Y3" i="19"/>
  <c r="V32" i="19"/>
  <c r="V50" i="19"/>
  <c r="V61" i="19"/>
  <c r="AS99" i="19"/>
  <c r="AP88" i="19"/>
  <c r="Y58" i="19"/>
  <c r="V112" i="19"/>
  <c r="S97" i="19"/>
  <c r="Y88" i="19"/>
  <c r="Y77" i="19"/>
  <c r="V45" i="19"/>
  <c r="V90" i="19"/>
  <c r="V110" i="19"/>
  <c r="O29" i="19"/>
  <c r="Y84" i="19"/>
  <c r="AC59" i="19"/>
  <c r="AM18" i="19"/>
  <c r="AI97" i="19"/>
  <c r="AI110" i="19"/>
  <c r="O76" i="19"/>
  <c r="AS17" i="19"/>
  <c r="AP77" i="19"/>
  <c r="AP91" i="19"/>
  <c r="BA91" i="19" s="1"/>
  <c r="AP108" i="19"/>
  <c r="AP115" i="19"/>
  <c r="O89" i="19"/>
  <c r="O38" i="19"/>
  <c r="O67" i="19"/>
  <c r="L97" i="19"/>
  <c r="Y39" i="19"/>
  <c r="Y91" i="19"/>
  <c r="L8" i="19"/>
  <c r="Y78" i="19"/>
  <c r="E9" i="19"/>
  <c r="Y98" i="19"/>
  <c r="AI24" i="19"/>
  <c r="AI66" i="19"/>
  <c r="AI75" i="19"/>
  <c r="L9" i="19"/>
  <c r="I71" i="19"/>
  <c r="AC86" i="19"/>
  <c r="AM114" i="19"/>
  <c r="BM113" i="19"/>
  <c r="Y35" i="19"/>
  <c r="V64" i="19"/>
  <c r="AI80" i="19"/>
  <c r="L79" i="19"/>
  <c r="E45" i="19"/>
  <c r="S92" i="19"/>
  <c r="O58" i="19"/>
  <c r="Y73" i="19"/>
  <c r="Y70" i="19"/>
  <c r="O65" i="19"/>
  <c r="O81" i="19"/>
  <c r="Y36" i="19"/>
  <c r="Y4" i="19"/>
  <c r="S79" i="19"/>
  <c r="S45" i="19"/>
  <c r="S53" i="19"/>
  <c r="I52" i="19"/>
  <c r="V9" i="19"/>
  <c r="V23" i="19"/>
  <c r="V36" i="19"/>
  <c r="V47" i="19"/>
  <c r="V51" i="19"/>
  <c r="V54" i="19"/>
  <c r="V62" i="19"/>
  <c r="V74" i="19"/>
  <c r="V92" i="19"/>
  <c r="AP58" i="19"/>
  <c r="AP68" i="19"/>
  <c r="AP78" i="19"/>
  <c r="O94" i="19"/>
  <c r="Y66" i="19"/>
  <c r="S18" i="19"/>
  <c r="AC94" i="19"/>
  <c r="V17" i="19"/>
  <c r="Y30" i="19"/>
  <c r="V41" i="19"/>
  <c r="V48" i="19"/>
  <c r="AC52" i="19"/>
  <c r="V55" i="19"/>
  <c r="O2" i="19"/>
  <c r="O17" i="19"/>
  <c r="V14" i="19"/>
  <c r="V31" i="19"/>
  <c r="Y41" i="19"/>
  <c r="V60" i="19"/>
  <c r="V80" i="19"/>
  <c r="V87" i="19"/>
  <c r="V107" i="19"/>
  <c r="AC79" i="19"/>
  <c r="O27" i="19"/>
  <c r="Y8" i="19"/>
  <c r="L110" i="19"/>
  <c r="M110" i="19" s="1"/>
  <c r="S13" i="19"/>
  <c r="AC109" i="19"/>
  <c r="Y21" i="19"/>
  <c r="AC35" i="19"/>
  <c r="AC53" i="19"/>
  <c r="AS61" i="19"/>
  <c r="AS95" i="19"/>
  <c r="BC9" i="19"/>
  <c r="BC31" i="19"/>
  <c r="AI67" i="19"/>
  <c r="BC5" i="19"/>
  <c r="BJ91" i="19"/>
  <c r="BJ113" i="19"/>
  <c r="BK113" i="19" s="1"/>
  <c r="V33" i="19"/>
  <c r="L98" i="19"/>
  <c r="O114" i="19"/>
  <c r="I63" i="19"/>
  <c r="V42" i="19"/>
  <c r="V76" i="19"/>
  <c r="BM84" i="19"/>
  <c r="BM94" i="19"/>
  <c r="Y106" i="19"/>
  <c r="BC25" i="19"/>
  <c r="BQ75" i="19"/>
  <c r="BM63" i="19"/>
  <c r="BM72" i="19"/>
  <c r="L45" i="19"/>
  <c r="AI114" i="19"/>
  <c r="BM42" i="19"/>
  <c r="E13" i="19"/>
  <c r="AI3" i="19"/>
  <c r="AS2" i="19"/>
  <c r="AS90" i="19"/>
  <c r="AC87" i="19"/>
  <c r="AC46" i="19"/>
  <c r="AP69" i="19"/>
  <c r="AP110" i="19"/>
  <c r="BC38" i="19"/>
  <c r="BM21" i="19"/>
  <c r="AI47" i="19"/>
  <c r="AS98" i="19"/>
  <c r="AW105" i="19"/>
  <c r="AS111" i="19"/>
  <c r="AP75" i="19"/>
  <c r="O87" i="19"/>
  <c r="Y101" i="19"/>
  <c r="Y85" i="19"/>
  <c r="AM75" i="19"/>
  <c r="BC93" i="19"/>
  <c r="BM80" i="19"/>
  <c r="AS12" i="19"/>
  <c r="AW108" i="19"/>
  <c r="BM41" i="19"/>
  <c r="BJ88" i="19"/>
  <c r="BJ98" i="19"/>
  <c r="BU98" i="19" s="1"/>
  <c r="Y43" i="19"/>
  <c r="AI54" i="19"/>
  <c r="AS20" i="19"/>
  <c r="BC70" i="19"/>
  <c r="I23" i="19"/>
  <c r="S62" i="19"/>
  <c r="AP101" i="19"/>
  <c r="AC18" i="19"/>
  <c r="L108" i="19"/>
  <c r="W108" i="19" s="1"/>
  <c r="O33" i="19"/>
  <c r="O108" i="19"/>
  <c r="O11" i="19"/>
  <c r="S105" i="19"/>
  <c r="AC63" i="19"/>
  <c r="AC23" i="19"/>
  <c r="S33" i="19"/>
  <c r="S8" i="19"/>
  <c r="V10" i="19"/>
  <c r="V34" i="19"/>
  <c r="AI41" i="19"/>
  <c r="AS56" i="19"/>
  <c r="Y112" i="19"/>
  <c r="E52" i="19"/>
  <c r="Y68" i="19"/>
  <c r="BC39" i="19"/>
  <c r="O69" i="19"/>
  <c r="O18" i="19"/>
  <c r="Y24" i="19"/>
  <c r="Y10" i="19"/>
  <c r="S35" i="19"/>
  <c r="S59" i="19"/>
  <c r="S86" i="19"/>
  <c r="Y14" i="19"/>
  <c r="V18" i="19"/>
  <c r="AP23" i="19"/>
  <c r="AP82" i="19"/>
  <c r="O98" i="19"/>
  <c r="Y17" i="19"/>
  <c r="O21" i="19"/>
  <c r="E46" i="19"/>
  <c r="O12" i="19"/>
  <c r="O9" i="19"/>
  <c r="O109" i="19"/>
  <c r="I114" i="19"/>
  <c r="AC34" i="19"/>
  <c r="S109" i="19"/>
  <c r="I40" i="19"/>
  <c r="V3" i="19"/>
  <c r="AS34" i="19"/>
  <c r="AS36" i="19"/>
  <c r="AS77" i="19"/>
  <c r="AS86" i="19"/>
  <c r="AF109" i="19"/>
  <c r="AG109" i="19" s="1"/>
  <c r="AP35" i="19"/>
  <c r="BC52" i="19"/>
  <c r="AP66" i="19"/>
  <c r="AP93" i="19"/>
  <c r="AP97" i="19"/>
  <c r="AS101" i="19"/>
  <c r="AP107" i="19"/>
  <c r="BC100" i="19"/>
  <c r="O107" i="19"/>
  <c r="I86" i="19"/>
  <c r="E2" i="19"/>
  <c r="BJ101" i="19"/>
  <c r="BU101" i="19" s="1"/>
  <c r="O39" i="19"/>
  <c r="E87" i="19"/>
  <c r="AC9" i="19"/>
  <c r="AI12" i="19"/>
  <c r="E86" i="19"/>
  <c r="L84" i="19"/>
  <c r="L101" i="19"/>
  <c r="I28" i="19"/>
  <c r="AC93" i="19"/>
  <c r="S52" i="19"/>
  <c r="AI65" i="19"/>
  <c r="AI100" i="19"/>
  <c r="AF75" i="19"/>
  <c r="AS78" i="19"/>
  <c r="AF87" i="19"/>
  <c r="AG87" i="19" s="1"/>
  <c r="AW92" i="19"/>
  <c r="AW110" i="19"/>
  <c r="AF112" i="19"/>
  <c r="BC10" i="19"/>
  <c r="AP14" i="19"/>
  <c r="AP36" i="19"/>
  <c r="AP43" i="19"/>
  <c r="AP67" i="19"/>
  <c r="BJ65" i="19"/>
  <c r="BJ74" i="19"/>
  <c r="BJ82" i="19"/>
  <c r="S68" i="19"/>
  <c r="AW23" i="19"/>
  <c r="AS55" i="19"/>
  <c r="AW71" i="19"/>
  <c r="AS85" i="19"/>
  <c r="AS92" i="19"/>
  <c r="AS94" i="19"/>
  <c r="AS108" i="19"/>
  <c r="AS110" i="19"/>
  <c r="BC3" i="19"/>
  <c r="BC33" i="19"/>
  <c r="BC47" i="19"/>
  <c r="AP61" i="19"/>
  <c r="AP70" i="19"/>
  <c r="AP81" i="19"/>
  <c r="AP99" i="19"/>
  <c r="BM109" i="19"/>
  <c r="BT79" i="19"/>
  <c r="CE79" i="19" s="1"/>
  <c r="AS4" i="19"/>
  <c r="BM97" i="19"/>
  <c r="BJ45" i="19"/>
  <c r="BJ90" i="19"/>
  <c r="BJ112" i="19"/>
  <c r="BU112" i="19" s="1"/>
  <c r="S101" i="19"/>
  <c r="S63" i="19"/>
  <c r="V6" i="19"/>
  <c r="V49" i="19"/>
  <c r="O35" i="19"/>
  <c r="O88" i="19"/>
  <c r="AC62" i="19"/>
  <c r="S93" i="19"/>
  <c r="E84" i="19"/>
  <c r="E94" i="19"/>
  <c r="Y93" i="19"/>
  <c r="Y105" i="19"/>
  <c r="AC108" i="19"/>
  <c r="AI28" i="19"/>
  <c r="AM40" i="19"/>
  <c r="AI88" i="19"/>
  <c r="AM92" i="19"/>
  <c r="AI108" i="19"/>
  <c r="Y99" i="19"/>
  <c r="AS10" i="19"/>
  <c r="AS49" i="19"/>
  <c r="BQ59" i="19"/>
  <c r="BJ41" i="19"/>
  <c r="BW58" i="19"/>
  <c r="BJ17" i="19"/>
  <c r="BJ24" i="19"/>
  <c r="BJ31" i="19"/>
  <c r="BK31" i="19" s="1"/>
  <c r="BJ38" i="19"/>
  <c r="BJ52" i="19"/>
  <c r="BJ59" i="19"/>
  <c r="BJ69" i="19"/>
  <c r="BJ100" i="19"/>
  <c r="BU100" i="19" s="1"/>
  <c r="BW26" i="19"/>
  <c r="AI89" i="19"/>
  <c r="AS59" i="19"/>
  <c r="AP10" i="19"/>
  <c r="BC35" i="19"/>
  <c r="BQ52" i="19"/>
  <c r="BQ62" i="19"/>
  <c r="BM105" i="19"/>
  <c r="BM115" i="19"/>
  <c r="BT66" i="19"/>
  <c r="CE66" i="19" s="1"/>
  <c r="BT86" i="19"/>
  <c r="CE86" i="19" s="1"/>
  <c r="Y55" i="19"/>
  <c r="Y59" i="19"/>
  <c r="M115" i="19"/>
  <c r="O106" i="19"/>
  <c r="L18" i="19"/>
  <c r="L58" i="19"/>
  <c r="O42" i="19"/>
  <c r="Y33" i="19"/>
  <c r="BA60" i="19"/>
  <c r="BW14" i="19"/>
  <c r="BM27" i="19"/>
  <c r="BM93" i="19"/>
  <c r="AF108" i="19"/>
  <c r="BC21" i="19"/>
  <c r="BC36" i="19"/>
  <c r="BC67" i="19"/>
  <c r="BQ45" i="19"/>
  <c r="BM71" i="19"/>
  <c r="BM108" i="19"/>
  <c r="L13" i="19"/>
  <c r="AM28" i="19"/>
  <c r="AM108" i="19"/>
  <c r="BM5" i="19"/>
  <c r="BM86" i="19"/>
  <c r="BW44" i="19"/>
  <c r="E33" i="19"/>
  <c r="L75" i="19"/>
  <c r="L87" i="19"/>
  <c r="L93" i="19"/>
  <c r="Y113" i="19"/>
  <c r="Y51" i="19"/>
  <c r="AC97" i="19"/>
  <c r="I33" i="19"/>
  <c r="BT94" i="19"/>
  <c r="CE94" i="19" s="1"/>
  <c r="L46" i="19"/>
  <c r="E82" i="19"/>
  <c r="Y32" i="19"/>
  <c r="I87" i="19"/>
  <c r="I94" i="19"/>
  <c r="I97" i="19"/>
  <c r="AI38" i="19"/>
  <c r="AI94" i="19"/>
  <c r="AS18" i="19"/>
  <c r="AS23" i="19"/>
  <c r="AS106" i="19"/>
  <c r="AS115" i="19"/>
  <c r="BC8" i="19"/>
  <c r="AP19" i="19"/>
  <c r="AP34" i="19"/>
  <c r="AP52" i="19"/>
  <c r="AP62" i="19"/>
  <c r="AP65" i="19"/>
  <c r="AP71" i="19"/>
  <c r="AP92" i="19"/>
  <c r="AP106" i="19"/>
  <c r="BC109" i="19"/>
  <c r="O93" i="19"/>
  <c r="L114" i="19"/>
  <c r="BJ108" i="19"/>
  <c r="BU108" i="19" s="1"/>
  <c r="Y50" i="19"/>
  <c r="AF111" i="19"/>
  <c r="AG111" i="19" s="1"/>
  <c r="AP49" i="19"/>
  <c r="AP59" i="19"/>
  <c r="AP79" i="19"/>
  <c r="AP86" i="19"/>
  <c r="BM9" i="19"/>
  <c r="L107" i="19"/>
  <c r="L113" i="19"/>
  <c r="M113" i="19" s="1"/>
  <c r="O31" i="19"/>
  <c r="O101" i="19"/>
  <c r="O50" i="19"/>
  <c r="S75" i="19"/>
  <c r="S40" i="19"/>
  <c r="AM82" i="19"/>
  <c r="AM109" i="19"/>
  <c r="AS21" i="19"/>
  <c r="AS84" i="19"/>
  <c r="BC97" i="19"/>
  <c r="BC110" i="19"/>
  <c r="BM23" i="19"/>
  <c r="AS91" i="19"/>
  <c r="BC42" i="19"/>
  <c r="Y53" i="19"/>
  <c r="I62" i="19"/>
  <c r="E105" i="19"/>
  <c r="AC28" i="19"/>
  <c r="S82" i="19"/>
  <c r="S94" i="19"/>
  <c r="S23" i="19"/>
  <c r="S58" i="19"/>
  <c r="BQ2" i="19"/>
  <c r="BQ13" i="19"/>
  <c r="BJ53" i="19"/>
  <c r="BT75" i="19"/>
  <c r="CE75" i="19" s="1"/>
  <c r="AM52" i="19"/>
  <c r="AI59" i="19"/>
  <c r="AM63" i="19"/>
  <c r="AI69" i="19"/>
  <c r="AI86" i="19"/>
  <c r="Y2" i="19"/>
  <c r="AS14" i="19"/>
  <c r="AS40" i="19"/>
  <c r="AS70" i="19"/>
  <c r="AP18" i="19"/>
  <c r="AP40" i="19"/>
  <c r="BA40" i="19" s="1"/>
  <c r="AP47" i="19"/>
  <c r="BW63" i="19"/>
  <c r="BW72" i="19"/>
  <c r="Y47" i="19"/>
  <c r="O8" i="19"/>
  <c r="S71" i="19"/>
  <c r="L35" i="19"/>
  <c r="E71" i="19"/>
  <c r="E81" i="19"/>
  <c r="Y100" i="19"/>
  <c r="O72" i="19"/>
  <c r="Y79" i="19"/>
  <c r="Y108" i="19"/>
  <c r="O48" i="19"/>
  <c r="AI71" i="19"/>
  <c r="L2" i="19"/>
  <c r="BC19" i="19"/>
  <c r="AP27" i="19"/>
  <c r="BC41" i="19"/>
  <c r="AS89" i="19"/>
  <c r="AZ88" i="19"/>
  <c r="AS29" i="19"/>
  <c r="AF47" i="19"/>
  <c r="AS68" i="19"/>
  <c r="AS82" i="19"/>
  <c r="AF107" i="19"/>
  <c r="AS109" i="19"/>
  <c r="AW114" i="19"/>
  <c r="AP5" i="19"/>
  <c r="L86" i="19"/>
  <c r="W86" i="19" s="1"/>
  <c r="AI34" i="19"/>
  <c r="V53" i="19"/>
  <c r="AI76" i="19"/>
  <c r="V73" i="19"/>
  <c r="AS3" i="19"/>
  <c r="BC53" i="19"/>
  <c r="BC63" i="19"/>
  <c r="AP80" i="19"/>
  <c r="BA80" i="19" s="1"/>
  <c r="BG84" i="19"/>
  <c r="BG94" i="19"/>
  <c r="BQ51" i="19"/>
  <c r="S108" i="19"/>
  <c r="BC87" i="19"/>
  <c r="E11" i="19"/>
  <c r="E14" i="19"/>
  <c r="L33" i="19"/>
  <c r="L40" i="19"/>
  <c r="L53" i="19"/>
  <c r="E97" i="19"/>
  <c r="E101" i="19"/>
  <c r="Y67" i="19"/>
  <c r="O43" i="19"/>
  <c r="O28" i="19"/>
  <c r="BC43" i="19"/>
  <c r="BG51" i="19"/>
  <c r="BQ33" i="19"/>
  <c r="BM25" i="19"/>
  <c r="BM76" i="19"/>
  <c r="BJ87" i="19"/>
  <c r="BK87" i="19" s="1"/>
  <c r="BJ106" i="19"/>
  <c r="BU106" i="19" s="1"/>
  <c r="L20" i="19"/>
  <c r="E24" i="19"/>
  <c r="E27" i="19"/>
  <c r="E31" i="19"/>
  <c r="L37" i="19"/>
  <c r="E41" i="19"/>
  <c r="L47" i="19"/>
  <c r="E50" i="19"/>
  <c r="E63" i="19"/>
  <c r="O14" i="19"/>
  <c r="Y92" i="19"/>
  <c r="Y94" i="19"/>
  <c r="AM71" i="19"/>
  <c r="AI78" i="19"/>
  <c r="AI85" i="19"/>
  <c r="AW93" i="19"/>
  <c r="AS25" i="19"/>
  <c r="AS58" i="19"/>
  <c r="AS73" i="19"/>
  <c r="AF90" i="19"/>
  <c r="AG90" i="19" s="1"/>
  <c r="AP8" i="19"/>
  <c r="AP15" i="19"/>
  <c r="AP41" i="19"/>
  <c r="BW42" i="19"/>
  <c r="BW56" i="19"/>
  <c r="O15" i="19"/>
  <c r="E23" i="19"/>
  <c r="L61" i="19"/>
  <c r="M61" i="19" s="1"/>
  <c r="E65" i="19"/>
  <c r="L67" i="19"/>
  <c r="W67" i="19" s="1"/>
  <c r="L76" i="19"/>
  <c r="L72" i="19"/>
  <c r="L89" i="19"/>
  <c r="L92" i="19"/>
  <c r="E96" i="19"/>
  <c r="E100" i="19"/>
  <c r="E106" i="19"/>
  <c r="L111" i="19"/>
  <c r="M111" i="19" s="1"/>
  <c r="Y62" i="19"/>
  <c r="Y61" i="19"/>
  <c r="O64" i="19"/>
  <c r="I34" i="19"/>
  <c r="AI112" i="19"/>
  <c r="AF17" i="19"/>
  <c r="AS19" i="19"/>
  <c r="AW35" i="19"/>
  <c r="AS45" i="19"/>
  <c r="AS47" i="19"/>
  <c r="AP46" i="19"/>
  <c r="AP63" i="19"/>
  <c r="AP76" i="19"/>
  <c r="BC75" i="19"/>
  <c r="AP87" i="19"/>
  <c r="AS9" i="19"/>
  <c r="AW28" i="19"/>
  <c r="Y72" i="19"/>
  <c r="O79" i="19"/>
  <c r="L68" i="19"/>
  <c r="E70" i="19"/>
  <c r="E77" i="19"/>
  <c r="E80" i="19"/>
  <c r="L82" i="19"/>
  <c r="W82" i="19" s="1"/>
  <c r="E90" i="19"/>
  <c r="Y37" i="19"/>
  <c r="I75" i="19"/>
  <c r="S110" i="19"/>
  <c r="I8" i="19"/>
  <c r="S46" i="19"/>
  <c r="O99" i="19"/>
  <c r="AP57" i="19"/>
  <c r="BA57" i="19" s="1"/>
  <c r="AP84" i="19"/>
  <c r="AZ19" i="19"/>
  <c r="BJ93" i="19"/>
  <c r="BJ2" i="19"/>
  <c r="BJ71" i="19"/>
  <c r="BJ79" i="19"/>
  <c r="BJ105" i="19"/>
  <c r="BU105" i="19" s="1"/>
  <c r="BT70" i="19"/>
  <c r="CE70" i="19" s="1"/>
  <c r="AW2" i="19"/>
  <c r="L90" i="19"/>
  <c r="AZ11" i="19"/>
  <c r="BA11" i="19" s="1"/>
  <c r="BJ80" i="19"/>
  <c r="BK80" i="19" s="1"/>
  <c r="L44" i="19"/>
  <c r="M44" i="19" s="1"/>
  <c r="Y31" i="19"/>
  <c r="V77" i="19"/>
  <c r="AS71" i="19"/>
  <c r="AP4" i="19"/>
  <c r="AZ52" i="19"/>
  <c r="AZ105" i="19"/>
  <c r="E85" i="19"/>
  <c r="L88" i="19"/>
  <c r="E91" i="19"/>
  <c r="E95" i="19"/>
  <c r="E108" i="19"/>
  <c r="O74" i="19"/>
  <c r="AS31" i="19"/>
  <c r="AF77" i="19"/>
  <c r="BG23" i="19"/>
  <c r="BC96" i="19"/>
  <c r="BJ25" i="19"/>
  <c r="L73" i="19"/>
  <c r="L69" i="19"/>
  <c r="Y19" i="19"/>
  <c r="Y12" i="19"/>
  <c r="V40" i="19"/>
  <c r="AC40" i="19"/>
  <c r="L28" i="19"/>
  <c r="M28" i="19" s="1"/>
  <c r="L38" i="19"/>
  <c r="L51" i="19"/>
  <c r="L55" i="19"/>
  <c r="M55" i="19" s="1"/>
  <c r="O53" i="19"/>
  <c r="O80" i="19"/>
  <c r="AS39" i="19"/>
  <c r="AF82" i="19"/>
  <c r="AS88" i="19"/>
  <c r="BG101" i="19"/>
  <c r="BM51" i="19"/>
  <c r="BJ8" i="19"/>
  <c r="BJ15" i="19"/>
  <c r="BJ29" i="19"/>
  <c r="BJ36" i="19"/>
  <c r="BJ50" i="19"/>
  <c r="BJ67" i="19"/>
  <c r="BJ77" i="19"/>
  <c r="BK77" i="19" s="1"/>
  <c r="BG35" i="19"/>
  <c r="AC101" i="19"/>
  <c r="AI58" i="19"/>
  <c r="AM62" i="19"/>
  <c r="AI68" i="19"/>
  <c r="AI95" i="19"/>
  <c r="AS54" i="19"/>
  <c r="AP28" i="19"/>
  <c r="BT72" i="19"/>
  <c r="CE72" i="19" s="1"/>
  <c r="O92" i="19"/>
  <c r="L106" i="19"/>
  <c r="W106" i="19" s="1"/>
  <c r="O70" i="19"/>
  <c r="Y96" i="19"/>
  <c r="AI9" i="19"/>
  <c r="AI36" i="19"/>
  <c r="AM59" i="19"/>
  <c r="V69" i="19"/>
  <c r="AM79" i="19"/>
  <c r="AI92" i="19"/>
  <c r="AP94" i="19"/>
  <c r="AF4" i="19"/>
  <c r="AF25" i="19"/>
  <c r="AS33" i="19"/>
  <c r="AF60" i="19"/>
  <c r="AS62" i="19"/>
  <c r="AS75" i="19"/>
  <c r="AF81" i="19"/>
  <c r="AS87" i="19"/>
  <c r="BC14" i="19"/>
  <c r="BC28" i="19"/>
  <c r="AW53" i="19"/>
  <c r="AP56" i="19"/>
  <c r="BC69" i="19"/>
  <c r="BC86" i="19"/>
  <c r="AP113" i="19"/>
  <c r="BA113" i="19" s="1"/>
  <c r="AZ12" i="19"/>
  <c r="AZ82" i="19"/>
  <c r="E4" i="19"/>
  <c r="L77" i="19"/>
  <c r="O47" i="19"/>
  <c r="O63" i="19"/>
  <c r="O30" i="19"/>
  <c r="O19" i="19"/>
  <c r="O75" i="19"/>
  <c r="O105" i="19"/>
  <c r="V75" i="19"/>
  <c r="V101" i="19"/>
  <c r="AC45" i="19"/>
  <c r="AF2" i="19"/>
  <c r="AF49" i="19"/>
  <c r="AS60" i="19"/>
  <c r="AF71" i="19"/>
  <c r="AF79" i="19"/>
  <c r="AP29" i="19"/>
  <c r="AP50" i="19"/>
  <c r="BJ6" i="19"/>
  <c r="BJ28" i="19"/>
  <c r="BJ35" i="19"/>
  <c r="BJ49" i="19"/>
  <c r="BM52" i="19"/>
  <c r="BJ66" i="19"/>
  <c r="BJ75" i="19"/>
  <c r="BJ97" i="19"/>
  <c r="BK97" i="19" s="1"/>
  <c r="L80" i="19"/>
  <c r="O71" i="19"/>
  <c r="O46" i="19"/>
  <c r="L99" i="19"/>
  <c r="M99" i="19" s="1"/>
  <c r="AS8" i="19"/>
  <c r="AF34" i="19"/>
  <c r="AF36" i="19"/>
  <c r="AF39" i="19"/>
  <c r="AG39" i="19" s="1"/>
  <c r="AF56" i="19"/>
  <c r="AG56" i="19" s="1"/>
  <c r="AF88" i="19"/>
  <c r="AF98" i="19"/>
  <c r="AS113" i="19"/>
  <c r="AP73" i="19"/>
  <c r="AZ46" i="19"/>
  <c r="AZ56" i="19"/>
  <c r="AZ66" i="19"/>
  <c r="AZ96" i="19"/>
  <c r="AZ109" i="19"/>
  <c r="AZ34" i="19"/>
  <c r="BJ39" i="19"/>
  <c r="BG58" i="19"/>
  <c r="BC91" i="19"/>
  <c r="BM18" i="19"/>
  <c r="BT92" i="19"/>
  <c r="CE92" i="19" s="1"/>
  <c r="BT95" i="19"/>
  <c r="CE95" i="19" s="1"/>
  <c r="BT107" i="19"/>
  <c r="CE107" i="19" s="1"/>
  <c r="L19" i="19"/>
  <c r="L36" i="19"/>
  <c r="L42" i="19"/>
  <c r="E49" i="19"/>
  <c r="L52" i="19"/>
  <c r="L64" i="19"/>
  <c r="E76" i="19"/>
  <c r="L85" i="19"/>
  <c r="L95" i="19"/>
  <c r="W95" i="19" s="1"/>
  <c r="L105" i="19"/>
  <c r="E109" i="19"/>
  <c r="O82" i="19"/>
  <c r="O84" i="19"/>
  <c r="O23" i="19"/>
  <c r="I105" i="19"/>
  <c r="S28" i="19"/>
  <c r="AC68" i="19"/>
  <c r="AC33" i="19"/>
  <c r="AM23" i="19"/>
  <c r="AI46" i="19"/>
  <c r="AI73" i="19"/>
  <c r="AI98" i="19"/>
  <c r="AM105" i="19"/>
  <c r="AI111" i="19"/>
  <c r="V99" i="19"/>
  <c r="AI39" i="19"/>
  <c r="AF3" i="19"/>
  <c r="AF19" i="19"/>
  <c r="AF24" i="19"/>
  <c r="AG24" i="19" s="1"/>
  <c r="AF27" i="19"/>
  <c r="AW40" i="19"/>
  <c r="AF42" i="19"/>
  <c r="AF45" i="19"/>
  <c r="AS52" i="19"/>
  <c r="AF66" i="19"/>
  <c r="AF80" i="19"/>
  <c r="AF101" i="19"/>
  <c r="AF105" i="19"/>
  <c r="AS107" i="19"/>
  <c r="AP20" i="19"/>
  <c r="BC23" i="19"/>
  <c r="BC95" i="19"/>
  <c r="BC105" i="19"/>
  <c r="AP112" i="19"/>
  <c r="BM20" i="19"/>
  <c r="BM34" i="19"/>
  <c r="BM55" i="19"/>
  <c r="BM65" i="19"/>
  <c r="BM96" i="19"/>
  <c r="BQ40" i="19"/>
  <c r="BJ64" i="19"/>
  <c r="AS42" i="19"/>
  <c r="AS72" i="19"/>
  <c r="BC2" i="19"/>
  <c r="AP38" i="19"/>
  <c r="AP45" i="19"/>
  <c r="AP89" i="19"/>
  <c r="BC92" i="19"/>
  <c r="AP109" i="19"/>
  <c r="AZ18" i="19"/>
  <c r="I35" i="19"/>
  <c r="S87" i="19"/>
  <c r="AI29" i="19"/>
  <c r="AZ59" i="19"/>
  <c r="AZ112" i="19"/>
  <c r="AP100" i="19"/>
  <c r="BM16" i="19"/>
  <c r="BT71" i="19"/>
  <c r="CE71" i="19" s="1"/>
  <c r="BT80" i="19"/>
  <c r="CE80" i="19" s="1"/>
  <c r="BT90" i="19"/>
  <c r="CE90" i="19" s="1"/>
  <c r="E22" i="19"/>
  <c r="O13" i="19"/>
  <c r="AC105" i="19"/>
  <c r="AI8" i="19"/>
  <c r="AM35" i="19"/>
  <c r="AI45" i="19"/>
  <c r="AI63" i="19"/>
  <c r="AI72" i="19"/>
  <c r="AM84" i="19"/>
  <c r="AM87" i="19"/>
  <c r="AF35" i="19"/>
  <c r="AF55" i="19"/>
  <c r="AF62" i="19"/>
  <c r="AF64" i="19"/>
  <c r="AF83" i="19"/>
  <c r="AQ83" i="19" s="1"/>
  <c r="AF85" i="19"/>
  <c r="AF92" i="19"/>
  <c r="AF94" i="19"/>
  <c r="AF99" i="19"/>
  <c r="AP6" i="19"/>
  <c r="BC51" i="19"/>
  <c r="AW68" i="19"/>
  <c r="AZ2" i="19"/>
  <c r="AZ13" i="19"/>
  <c r="AZ23" i="19"/>
  <c r="AZ63" i="19"/>
  <c r="AZ106" i="19"/>
  <c r="BM43" i="19"/>
  <c r="BJ99" i="19"/>
  <c r="BU99" i="19" s="1"/>
  <c r="BG105" i="19"/>
  <c r="BC111" i="19"/>
  <c r="AZ115" i="19"/>
  <c r="AZ28" i="19"/>
  <c r="AZ38" i="19"/>
  <c r="AZ58" i="19"/>
  <c r="CA82" i="19"/>
  <c r="O61" i="19"/>
  <c r="E3" i="19"/>
  <c r="E40" i="19"/>
  <c r="L81" i="19"/>
  <c r="W81" i="19" s="1"/>
  <c r="E92" i="19"/>
  <c r="I2" i="19"/>
  <c r="AC71" i="19"/>
  <c r="AI4" i="19"/>
  <c r="AM13" i="19"/>
  <c r="AI42" i="19"/>
  <c r="AI77" i="19"/>
  <c r="AI87" i="19"/>
  <c r="AI101" i="19"/>
  <c r="AI113" i="19"/>
  <c r="AI56" i="19"/>
  <c r="AW87" i="19"/>
  <c r="AF20" i="19"/>
  <c r="AF43" i="19"/>
  <c r="AF51" i="19"/>
  <c r="AF53" i="19"/>
  <c r="AF58" i="19"/>
  <c r="AF67" i="19"/>
  <c r="AG67" i="19" s="1"/>
  <c r="AF110" i="19"/>
  <c r="AP3" i="19"/>
  <c r="AP21" i="19"/>
  <c r="BC24" i="19"/>
  <c r="AP42" i="19"/>
  <c r="BC58" i="19"/>
  <c r="BC78" i="19"/>
  <c r="BC99" i="19"/>
  <c r="AZ89" i="19"/>
  <c r="AZ99" i="19"/>
  <c r="BM8" i="19"/>
  <c r="BJ55" i="19"/>
  <c r="BJ62" i="19"/>
  <c r="AI35" i="19"/>
  <c r="AI64" i="19"/>
  <c r="AP25" i="19"/>
  <c r="AP39" i="19"/>
  <c r="BG46" i="19"/>
  <c r="BG109" i="19"/>
  <c r="BC115" i="19"/>
  <c r="O73" i="19"/>
  <c r="Y6" i="19"/>
  <c r="O85" i="19"/>
  <c r="W29" i="19"/>
  <c r="O91" i="19"/>
  <c r="O68" i="19"/>
  <c r="E8" i="19"/>
  <c r="E62" i="19"/>
  <c r="M62" i="19" s="1"/>
  <c r="L65" i="19"/>
  <c r="E68" i="19"/>
  <c r="O78" i="19"/>
  <c r="Y86" i="19"/>
  <c r="Y75" i="19"/>
  <c r="Y65" i="19"/>
  <c r="AI13" i="19"/>
  <c r="AI20" i="19"/>
  <c r="AI50" i="19"/>
  <c r="AI107" i="19"/>
  <c r="AW34" i="19"/>
  <c r="AS46" i="19"/>
  <c r="AW63" i="19"/>
  <c r="AS79" i="19"/>
  <c r="AP12" i="19"/>
  <c r="BG33" i="19"/>
  <c r="BC82" i="19"/>
  <c r="BC89" i="19"/>
  <c r="BC112" i="19"/>
  <c r="AP95" i="19"/>
  <c r="BA95" i="19" s="1"/>
  <c r="BC56" i="19"/>
  <c r="O90" i="19"/>
  <c r="AF5" i="19"/>
  <c r="AG5" i="19" s="1"/>
  <c r="AM51" i="19"/>
  <c r="AF61" i="19"/>
  <c r="AF68" i="19"/>
  <c r="AG68" i="19" s="1"/>
  <c r="AF93" i="19"/>
  <c r="AG93" i="19" s="1"/>
  <c r="AI106" i="19"/>
  <c r="O40" i="19"/>
  <c r="AI30" i="19"/>
  <c r="AI33" i="19"/>
  <c r="AS66" i="19"/>
  <c r="BJ72" i="19"/>
  <c r="E15" i="19"/>
  <c r="E21" i="19"/>
  <c r="L24" i="19"/>
  <c r="L27" i="19"/>
  <c r="L31" i="19"/>
  <c r="E38" i="19"/>
  <c r="E48" i="19"/>
  <c r="L50" i="19"/>
  <c r="L54" i="19"/>
  <c r="E66" i="19"/>
  <c r="L94" i="19"/>
  <c r="Y80" i="19"/>
  <c r="Y46" i="19"/>
  <c r="AI6" i="19"/>
  <c r="AI62" i="19"/>
  <c r="AI99" i="19"/>
  <c r="AF54" i="19"/>
  <c r="AF59" i="19"/>
  <c r="AP9" i="19"/>
  <c r="BG13" i="19"/>
  <c r="BC90" i="19"/>
  <c r="AZ24" i="19"/>
  <c r="AZ10" i="19"/>
  <c r="AZ30" i="19"/>
  <c r="BA30" i="19" s="1"/>
  <c r="AZ50" i="19"/>
  <c r="AZ76" i="19"/>
  <c r="E36" i="19"/>
  <c r="E42" i="19"/>
  <c r="AM45" i="19"/>
  <c r="AF9" i="19"/>
  <c r="AF14" i="19"/>
  <c r="AF70" i="19"/>
  <c r="AF89" i="19"/>
  <c r="AF114" i="19"/>
  <c r="AQ114" i="19" s="1"/>
  <c r="AP2" i="19"/>
  <c r="AP54" i="19"/>
  <c r="AS76" i="19"/>
  <c r="Y76" i="19"/>
  <c r="BC40" i="19"/>
  <c r="BT18" i="19"/>
  <c r="CE18" i="19" s="1"/>
  <c r="BT39" i="19"/>
  <c r="CE39" i="19" s="1"/>
  <c r="BT60" i="19"/>
  <c r="CE60" i="19" s="1"/>
  <c r="BT67" i="19"/>
  <c r="CE67" i="19" s="1"/>
  <c r="BT77" i="19"/>
  <c r="CE77" i="19" s="1"/>
  <c r="BT87" i="19"/>
  <c r="CE87" i="19" s="1"/>
  <c r="BT97" i="19"/>
  <c r="CE97" i="19" s="1"/>
  <c r="BT61" i="19"/>
  <c r="CE61" i="19" s="1"/>
  <c r="BT91" i="19"/>
  <c r="CE91" i="19" s="1"/>
  <c r="BW39" i="19"/>
  <c r="BJ11" i="19"/>
  <c r="BJ32" i="19"/>
  <c r="BK32" i="19" s="1"/>
  <c r="BJ46" i="19"/>
  <c r="BJ60" i="19"/>
  <c r="BK60" i="19" s="1"/>
  <c r="BW77" i="19"/>
  <c r="BW32" i="19"/>
  <c r="BJ40" i="19"/>
  <c r="BK40" i="19" s="1"/>
  <c r="BJ47" i="19"/>
  <c r="BK47" i="19" s="1"/>
  <c r="BJ70" i="19"/>
  <c r="BJ78" i="19"/>
  <c r="BJ89" i="19"/>
  <c r="BJ92" i="19"/>
  <c r="BJ111" i="19"/>
  <c r="BU111" i="19" s="1"/>
  <c r="BJ114" i="19"/>
  <c r="BU114" i="19" s="1"/>
  <c r="BM10" i="19"/>
  <c r="BM35" i="19"/>
  <c r="BM45" i="19"/>
  <c r="BM24" i="19"/>
  <c r="BM75" i="19"/>
  <c r="BM2" i="19"/>
  <c r="BM38" i="19"/>
  <c r="BQ53" i="19"/>
  <c r="BM3" i="19"/>
  <c r="BM15" i="19"/>
  <c r="BM28" i="19"/>
  <c r="BM59" i="19"/>
  <c r="BM69" i="19"/>
  <c r="BM4" i="19"/>
  <c r="BM17" i="19"/>
  <c r="BM29" i="19"/>
  <c r="BM31" i="19"/>
  <c r="BT84" i="19"/>
  <c r="CE84" i="19" s="1"/>
  <c r="BW67" i="19"/>
  <c r="BW50" i="19"/>
  <c r="BT14" i="19"/>
  <c r="E10" i="19"/>
  <c r="E19" i="19"/>
  <c r="L3" i="19"/>
  <c r="O100" i="19"/>
  <c r="AI57" i="19"/>
  <c r="Y57" i="19"/>
  <c r="E54" i="19"/>
  <c r="L57" i="19"/>
  <c r="E73" i="19"/>
  <c r="S34" i="19"/>
  <c r="O36" i="19"/>
  <c r="O4" i="19"/>
  <c r="O62" i="19"/>
  <c r="L12" i="19"/>
  <c r="L15" i="19"/>
  <c r="E25" i="19"/>
  <c r="E69" i="19"/>
  <c r="L70" i="19"/>
  <c r="Y60" i="19"/>
  <c r="E5" i="19"/>
  <c r="L66" i="19"/>
  <c r="Y23" i="19"/>
  <c r="Y15" i="19"/>
  <c r="E74" i="19"/>
  <c r="E78" i="19"/>
  <c r="L21" i="19"/>
  <c r="W21" i="19" s="1"/>
  <c r="E26" i="19"/>
  <c r="E30" i="19"/>
  <c r="L6" i="19"/>
  <c r="M6" i="19" s="1"/>
  <c r="E75" i="19"/>
  <c r="E79" i="19"/>
  <c r="E114" i="19"/>
  <c r="Y111" i="19"/>
  <c r="Y45" i="19"/>
  <c r="I13" i="19"/>
  <c r="AC82" i="19"/>
  <c r="AI61" i="19"/>
  <c r="AI70" i="19"/>
  <c r="AM110" i="19"/>
  <c r="AI115" i="19"/>
  <c r="AS63" i="19"/>
  <c r="AF28" i="19"/>
  <c r="AP33" i="19"/>
  <c r="AF15" i="19"/>
  <c r="AF18" i="19"/>
  <c r="AF23" i="19"/>
  <c r="AF41" i="19"/>
  <c r="AS43" i="19"/>
  <c r="AF46" i="19"/>
  <c r="AF65" i="19"/>
  <c r="AS67" i="19"/>
  <c r="AP37" i="19"/>
  <c r="AQ37" i="19" s="1"/>
  <c r="BC59" i="19"/>
  <c r="BG63" i="19"/>
  <c r="BC85" i="19"/>
  <c r="BC107" i="19"/>
  <c r="AW101" i="19"/>
  <c r="BC37" i="19"/>
  <c r="AZ20" i="19"/>
  <c r="AZ49" i="19"/>
  <c r="AZ69" i="19"/>
  <c r="BM36" i="19"/>
  <c r="BM64" i="19"/>
  <c r="BC16" i="19"/>
  <c r="BM11" i="19"/>
  <c r="BJ33" i="19"/>
  <c r="BM39" i="19"/>
  <c r="BJ43" i="19"/>
  <c r="BJ57" i="19"/>
  <c r="BJ81" i="19"/>
  <c r="BK81" i="19" s="1"/>
  <c r="BJ85" i="19"/>
  <c r="BK85" i="19" s="1"/>
  <c r="BJ95" i="19"/>
  <c r="BK95" i="19" s="1"/>
  <c r="BJ107" i="19"/>
  <c r="BW3" i="19"/>
  <c r="BW21" i="19"/>
  <c r="BW29" i="19"/>
  <c r="O20" i="19"/>
  <c r="Y74" i="19"/>
  <c r="AM86" i="19"/>
  <c r="AS105" i="19"/>
  <c r="AS35" i="19"/>
  <c r="AF84" i="19"/>
  <c r="AG84" i="19" s="1"/>
  <c r="AF91" i="19"/>
  <c r="AF95" i="19"/>
  <c r="AG95" i="19" s="1"/>
  <c r="BC4" i="19"/>
  <c r="BC15" i="19"/>
  <c r="AP51" i="19"/>
  <c r="AP64" i="19"/>
  <c r="BC72" i="19"/>
  <c r="AZ42" i="19"/>
  <c r="BQ82" i="19"/>
  <c r="AZ101" i="19"/>
  <c r="BM57" i="19"/>
  <c r="BM67" i="19"/>
  <c r="BM73" i="19"/>
  <c r="BC114" i="19"/>
  <c r="AZ41" i="19"/>
  <c r="AZ61" i="19"/>
  <c r="AZ70" i="19"/>
  <c r="BJ9" i="19"/>
  <c r="BJ16" i="19"/>
  <c r="BJ23" i="19"/>
  <c r="BJ30" i="19"/>
  <c r="BJ37" i="19"/>
  <c r="BK37" i="19" s="1"/>
  <c r="BJ51" i="19"/>
  <c r="BJ68" i="19"/>
  <c r="BK68" i="19" s="1"/>
  <c r="BT19" i="19"/>
  <c r="CE19" i="19" s="1"/>
  <c r="BT26" i="19"/>
  <c r="BW33" i="19"/>
  <c r="BT40" i="19"/>
  <c r="CE40" i="19" s="1"/>
  <c r="BW57" i="19"/>
  <c r="AF50" i="19"/>
  <c r="AF72" i="19"/>
  <c r="AG72" i="19" s="1"/>
  <c r="AZ93" i="19"/>
  <c r="AZ100" i="19"/>
  <c r="CA58" i="19"/>
  <c r="BW70" i="19"/>
  <c r="BW81" i="19"/>
  <c r="BC50" i="19"/>
  <c r="BW30" i="19"/>
  <c r="BT44" i="19"/>
  <c r="BT58" i="19"/>
  <c r="BT82" i="19"/>
  <c r="CE82" i="19" s="1"/>
  <c r="L112" i="19"/>
  <c r="M112" i="19" s="1"/>
  <c r="Y54" i="19"/>
  <c r="Y28" i="19"/>
  <c r="I46" i="19"/>
  <c r="AI17" i="19"/>
  <c r="AM53" i="19"/>
  <c r="AM93" i="19"/>
  <c r="AF6" i="19"/>
  <c r="AF22" i="19"/>
  <c r="AQ22" i="19" s="1"/>
  <c r="AF30" i="19"/>
  <c r="AG30" i="19" s="1"/>
  <c r="AF33" i="19"/>
  <c r="AS50" i="19"/>
  <c r="AS80" i="19"/>
  <c r="BC45" i="19"/>
  <c r="AP55" i="19"/>
  <c r="BC84" i="19"/>
  <c r="BG110" i="19"/>
  <c r="BM33" i="19"/>
  <c r="BJ10" i="19"/>
  <c r="BT69" i="19"/>
  <c r="CE69" i="19" s="1"/>
  <c r="BC55" i="19"/>
  <c r="BC68" i="19"/>
  <c r="BC106" i="19"/>
  <c r="E17" i="19"/>
  <c r="E20" i="19"/>
  <c r="L23" i="19"/>
  <c r="L26" i="19"/>
  <c r="L30" i="19"/>
  <c r="E37" i="19"/>
  <c r="E43" i="19"/>
  <c r="E47" i="19"/>
  <c r="L49" i="19"/>
  <c r="E53" i="19"/>
  <c r="L60" i="19"/>
  <c r="E67" i="19"/>
  <c r="E72" i="19"/>
  <c r="L74" i="19"/>
  <c r="W74" i="19" s="1"/>
  <c r="L78" i="19"/>
  <c r="W78" i="19" s="1"/>
  <c r="E98" i="19"/>
  <c r="M98" i="19" s="1"/>
  <c r="O52" i="19"/>
  <c r="Y69" i="19"/>
  <c r="O24" i="19"/>
  <c r="AI14" i="19"/>
  <c r="AM58" i="19"/>
  <c r="AI93" i="19"/>
  <c r="AM101" i="19"/>
  <c r="AS112" i="19"/>
  <c r="AS97" i="19"/>
  <c r="AW84" i="19"/>
  <c r="AF38" i="19"/>
  <c r="AW51" i="19"/>
  <c r="AW58" i="19"/>
  <c r="AS64" i="19"/>
  <c r="BC17" i="19"/>
  <c r="BG59" i="19"/>
  <c r="AP85" i="19"/>
  <c r="BA85" i="19" s="1"/>
  <c r="BC98" i="19"/>
  <c r="BC113" i="19"/>
  <c r="BG86" i="19"/>
  <c r="BG68" i="19"/>
  <c r="BG93" i="19"/>
  <c r="BG115" i="19"/>
  <c r="BC62" i="19"/>
  <c r="BC101" i="19"/>
  <c r="BJ3" i="19"/>
  <c r="BJ18" i="19"/>
  <c r="BJ21" i="19"/>
  <c r="BK21" i="19" s="1"/>
  <c r="BJ42" i="19"/>
  <c r="BJ56" i="19"/>
  <c r="BJ63" i="19"/>
  <c r="BJ76" i="19"/>
  <c r="BW87" i="19"/>
  <c r="L14" i="19"/>
  <c r="L43" i="19"/>
  <c r="E89" i="19"/>
  <c r="L91" i="19"/>
  <c r="O57" i="19"/>
  <c r="Y40" i="19"/>
  <c r="O77" i="19"/>
  <c r="Y114" i="19"/>
  <c r="Y48" i="19"/>
  <c r="AM8" i="19"/>
  <c r="AI21" i="19"/>
  <c r="AI40" i="19"/>
  <c r="AM68" i="19"/>
  <c r="AI84" i="19"/>
  <c r="AI90" i="19"/>
  <c r="AM94" i="19"/>
  <c r="AM97" i="19"/>
  <c r="AI109" i="19"/>
  <c r="AS28" i="19"/>
  <c r="AS38" i="19"/>
  <c r="AS69" i="19"/>
  <c r="BC20" i="19"/>
  <c r="BC46" i="19"/>
  <c r="BG82" i="19"/>
  <c r="BC94" i="19"/>
  <c r="AZ75" i="19"/>
  <c r="AZ9" i="19"/>
  <c r="AZ29" i="19"/>
  <c r="AZ39" i="19"/>
  <c r="BQ68" i="19"/>
  <c r="BQ97" i="19"/>
  <c r="BW80" i="19"/>
  <c r="BW78" i="19"/>
  <c r="BT43" i="19"/>
  <c r="CE43" i="19" s="1"/>
  <c r="BT88" i="19"/>
  <c r="CE88" i="19" s="1"/>
  <c r="BW15" i="19"/>
  <c r="BW36" i="19"/>
  <c r="BW43" i="19"/>
  <c r="BT36" i="19"/>
  <c r="CE36" i="19" s="1"/>
  <c r="BT57" i="19"/>
  <c r="CE57" i="19" s="1"/>
  <c r="BT64" i="19"/>
  <c r="CE64" i="19" s="1"/>
  <c r="BT47" i="19"/>
  <c r="CE47" i="19" s="1"/>
  <c r="BT54" i="19"/>
  <c r="CE54" i="19" s="1"/>
  <c r="BT81" i="19"/>
  <c r="CE81" i="19" s="1"/>
  <c r="BT74" i="19"/>
  <c r="CE74" i="19" s="1"/>
  <c r="BT85" i="19"/>
  <c r="CE85" i="19" s="1"/>
  <c r="BW18" i="19"/>
  <c r="BW25" i="19"/>
  <c r="BW46" i="19"/>
  <c r="BW53" i="19"/>
  <c r="BW60" i="19"/>
  <c r="BW76" i="19"/>
  <c r="L96" i="19"/>
  <c r="L100" i="19"/>
  <c r="I92" i="19"/>
  <c r="AI74" i="19"/>
  <c r="AI82" i="19"/>
  <c r="BC49" i="19"/>
  <c r="L17" i="19"/>
  <c r="AF57" i="19"/>
  <c r="L11" i="19"/>
  <c r="E56" i="19"/>
  <c r="AC51" i="19"/>
  <c r="V2" i="19"/>
  <c r="AF40" i="19"/>
  <c r="AP13" i="19"/>
  <c r="E88" i="19"/>
  <c r="Y110" i="19"/>
  <c r="W115" i="19"/>
  <c r="E12" i="19"/>
  <c r="L41" i="19"/>
  <c r="E57" i="19"/>
  <c r="E107" i="19"/>
  <c r="O49" i="19"/>
  <c r="O3" i="19"/>
  <c r="I58" i="19"/>
  <c r="AM9" i="19"/>
  <c r="AI2" i="19"/>
  <c r="AS5" i="19"/>
  <c r="AF12" i="19"/>
  <c r="W71" i="19"/>
  <c r="Y13" i="19"/>
  <c r="O10" i="19"/>
  <c r="I82" i="19"/>
  <c r="AC84" i="19"/>
  <c r="L48" i="19"/>
  <c r="S51" i="19"/>
  <c r="AI25" i="19"/>
  <c r="AI51" i="19"/>
  <c r="AI53" i="19"/>
  <c r="AM115" i="19"/>
  <c r="AF115" i="19"/>
  <c r="W25" i="19"/>
  <c r="Y63" i="19"/>
  <c r="E32" i="19"/>
  <c r="L10" i="19"/>
  <c r="E16" i="19"/>
  <c r="L32" i="19"/>
  <c r="W32" i="19" s="1"/>
  <c r="L39" i="19"/>
  <c r="M39" i="19" s="1"/>
  <c r="O34" i="19"/>
  <c r="I68" i="19"/>
  <c r="S114" i="19"/>
  <c r="AF8" i="19"/>
  <c r="AF10" i="19"/>
  <c r="AF13" i="19"/>
  <c r="AG13" i="19" s="1"/>
  <c r="AI15" i="19"/>
  <c r="AI23" i="19"/>
  <c r="AF31" i="19"/>
  <c r="AF76" i="19"/>
  <c r="AF86" i="19"/>
  <c r="AW86" i="19"/>
  <c r="O66" i="19"/>
  <c r="AM2" i="19"/>
  <c r="E64" i="19"/>
  <c r="O41" i="19"/>
  <c r="Y42" i="19"/>
  <c r="I101" i="19"/>
  <c r="I108" i="19"/>
  <c r="I9" i="19"/>
  <c r="AC2" i="19"/>
  <c r="BG34" i="19"/>
  <c r="BQ35" i="19"/>
  <c r="BQ63" i="19"/>
  <c r="BW4" i="19"/>
  <c r="BT12" i="19"/>
  <c r="CE12" i="19" s="1"/>
  <c r="BT33" i="19"/>
  <c r="CE33" i="19" s="1"/>
  <c r="AP74" i="19"/>
  <c r="BG92" i="19"/>
  <c r="BQ46" i="19"/>
  <c r="BM49" i="19"/>
  <c r="BM62" i="19"/>
  <c r="BM114" i="19"/>
  <c r="BW12" i="19"/>
  <c r="BW19" i="19"/>
  <c r="BW73" i="19"/>
  <c r="BT78" i="19"/>
  <c r="CE78" i="19" s="1"/>
  <c r="AW8" i="19"/>
  <c r="AW45" i="19"/>
  <c r="BG2" i="19"/>
  <c r="BU96" i="19"/>
  <c r="BU113" i="19"/>
  <c r="BW9" i="19"/>
  <c r="BW16" i="19"/>
  <c r="BW23" i="19"/>
  <c r="BW40" i="19"/>
  <c r="BW47" i="19"/>
  <c r="BW54" i="19"/>
  <c r="BW61" i="19"/>
  <c r="AF21" i="19"/>
  <c r="AG21" i="19" s="1"/>
  <c r="AF29" i="19"/>
  <c r="AF52" i="19"/>
  <c r="AF74" i="19"/>
  <c r="AF100" i="19"/>
  <c r="AF113" i="19"/>
  <c r="BC71" i="19"/>
  <c r="BG75" i="19"/>
  <c r="AP90" i="19"/>
  <c r="BC108" i="19"/>
  <c r="AW9" i="19"/>
  <c r="AW97" i="19"/>
  <c r="AZ86" i="19"/>
  <c r="BK86" i="19" s="1"/>
  <c r="BQ109" i="19"/>
  <c r="BG45" i="19"/>
  <c r="BG71" i="19"/>
  <c r="BC27" i="19"/>
  <c r="BM50" i="19"/>
  <c r="BM56" i="19"/>
  <c r="AZ71" i="19"/>
  <c r="AZ92" i="19"/>
  <c r="BW5" i="19"/>
  <c r="BW27" i="19"/>
  <c r="BW37" i="19"/>
  <c r="BW51" i="19"/>
  <c r="BW68" i="19"/>
  <c r="AW79" i="19"/>
  <c r="AZ33" i="19"/>
  <c r="AZ53" i="19"/>
  <c r="BM91" i="19"/>
  <c r="BM101" i="19"/>
  <c r="BJ110" i="19"/>
  <c r="BW11" i="19"/>
  <c r="BW2" i="19"/>
  <c r="BW13" i="19"/>
  <c r="BW20" i="19"/>
  <c r="CA28" i="19"/>
  <c r="BW34" i="19"/>
  <c r="BT55" i="19"/>
  <c r="CE55" i="19" s="1"/>
  <c r="BT62" i="19"/>
  <c r="CE62" i="19" s="1"/>
  <c r="BW65" i="19"/>
  <c r="AP72" i="19"/>
  <c r="BA72" i="19" s="1"/>
  <c r="AW18" i="19"/>
  <c r="AW52" i="19"/>
  <c r="AW82" i="19"/>
  <c r="AZ3" i="19"/>
  <c r="AZ73" i="19"/>
  <c r="AZ84" i="19"/>
  <c r="AZ94" i="19"/>
  <c r="AZ107" i="19"/>
  <c r="BJ4" i="19"/>
  <c r="BJ73" i="19"/>
  <c r="BW83" i="19"/>
  <c r="BW10" i="19"/>
  <c r="BW17" i="19"/>
  <c r="BW24" i="19"/>
  <c r="BW31" i="19"/>
  <c r="BT38" i="19"/>
  <c r="CE38" i="19" s="1"/>
  <c r="BW41" i="19"/>
  <c r="BW62" i="19"/>
  <c r="AF78" i="19"/>
  <c r="BC64" i="19"/>
  <c r="BG97" i="19"/>
  <c r="AZ108" i="19"/>
  <c r="BQ9" i="19"/>
  <c r="BG18" i="19"/>
  <c r="BG52" i="19"/>
  <c r="BC81" i="19"/>
  <c r="AZ4" i="19"/>
  <c r="AZ15" i="19"/>
  <c r="AZ25" i="19"/>
  <c r="AZ35" i="19"/>
  <c r="AZ45" i="19"/>
  <c r="AZ55" i="19"/>
  <c r="AZ65" i="19"/>
  <c r="AZ74" i="19"/>
  <c r="BJ12" i="19"/>
  <c r="BJ19" i="19"/>
  <c r="BJ54" i="19"/>
  <c r="BJ61" i="19"/>
  <c r="BQ23" i="19"/>
  <c r="BJ83" i="19"/>
  <c r="BK83" i="19" s="1"/>
  <c r="BW6" i="19"/>
  <c r="BT11" i="19"/>
  <c r="CE11" i="19" s="1"/>
  <c r="BT25" i="19"/>
  <c r="CE25" i="19" s="1"/>
  <c r="BW28" i="19"/>
  <c r="BW38" i="19"/>
  <c r="BT42" i="19"/>
  <c r="CE42" i="19" s="1"/>
  <c r="BW45" i="19"/>
  <c r="BW52" i="19"/>
  <c r="BT56" i="19"/>
  <c r="CE56" i="19" s="1"/>
  <c r="BW59" i="19"/>
  <c r="BT63" i="19"/>
  <c r="CE63" i="19" s="1"/>
  <c r="BW69" i="19"/>
  <c r="AZ62" i="19"/>
  <c r="BG53" i="19"/>
  <c r="BC12" i="19"/>
  <c r="BQ34" i="19"/>
  <c r="BM40" i="19"/>
  <c r="BM47" i="19"/>
  <c r="BM54" i="19"/>
  <c r="BW91" i="19"/>
  <c r="BW35" i="19"/>
  <c r="CA46" i="19"/>
  <c r="AF69" i="19"/>
  <c r="AW94" i="19"/>
  <c r="AF97" i="19"/>
  <c r="BG9" i="19"/>
  <c r="AP31" i="19"/>
  <c r="BA31" i="19" s="1"/>
  <c r="BC88" i="19"/>
  <c r="AW33" i="19"/>
  <c r="AW59" i="19"/>
  <c r="AW109" i="19"/>
  <c r="BQ28" i="19"/>
  <c r="BG28" i="19"/>
  <c r="BG108" i="19"/>
  <c r="BM46" i="19"/>
  <c r="BK98" i="19"/>
  <c r="BJ5" i="19"/>
  <c r="BJ27" i="19"/>
  <c r="BK27" i="19" s="1"/>
  <c r="BM30" i="19"/>
  <c r="BJ34" i="19"/>
  <c r="BW101" i="19"/>
  <c r="BT46" i="19"/>
  <c r="CE46" i="19" s="1"/>
  <c r="BT50" i="19"/>
  <c r="CE50" i="19" s="1"/>
  <c r="CA97" i="19"/>
  <c r="BM53" i="19"/>
  <c r="BJ13" i="19"/>
  <c r="BJ20" i="19"/>
  <c r="BM82" i="19"/>
  <c r="BW8" i="19"/>
  <c r="BT9" i="19"/>
  <c r="CE9" i="19" s="1"/>
  <c r="BT73" i="19"/>
  <c r="CE73" i="19" s="1"/>
  <c r="BT45" i="19"/>
  <c r="CE45" i="19" s="1"/>
  <c r="BT52" i="19"/>
  <c r="CE52" i="19" s="1"/>
  <c r="BT59" i="19"/>
  <c r="CE59" i="19" s="1"/>
  <c r="BT15" i="19"/>
  <c r="CE15" i="19" s="1"/>
  <c r="BT29" i="19"/>
  <c r="CE29" i="19" s="1"/>
  <c r="BT35" i="19"/>
  <c r="CE35" i="19" s="1"/>
  <c r="BT16" i="19"/>
  <c r="CE16" i="19" s="1"/>
  <c r="BT23" i="19"/>
  <c r="CE23" i="19" s="1"/>
  <c r="BT30" i="19"/>
  <c r="CE30" i="19" s="1"/>
  <c r="BT28" i="19"/>
  <c r="CE28" i="19" s="1"/>
  <c r="BT6" i="19"/>
  <c r="CE6" i="19" s="1"/>
  <c r="BT21" i="19"/>
  <c r="CE21" i="19" s="1"/>
  <c r="BT53" i="19"/>
  <c r="CE53" i="19" s="1"/>
  <c r="BT3" i="19"/>
  <c r="CE3" i="19" s="1"/>
  <c r="BT49" i="19"/>
  <c r="CE49" i="19" s="1"/>
  <c r="BT65" i="19"/>
  <c r="CE65" i="19" s="1"/>
  <c r="BT68" i="19"/>
  <c r="CE68" i="19" s="1"/>
  <c r="CA45" i="19"/>
  <c r="CA71" i="19"/>
  <c r="CA53" i="19"/>
  <c r="BT8" i="19"/>
  <c r="CE8" i="19" s="1"/>
  <c r="CA18" i="19"/>
  <c r="CA63" i="19"/>
  <c r="BT4" i="19"/>
  <c r="CE4" i="19" s="1"/>
  <c r="CA23" i="19"/>
  <c r="CA33" i="19"/>
  <c r="CA86" i="19"/>
  <c r="CA109" i="19"/>
  <c r="BT5" i="19"/>
  <c r="CE5" i="19" s="1"/>
  <c r="BT27" i="19"/>
  <c r="CE27" i="19" s="1"/>
  <c r="BT37" i="19"/>
  <c r="CE37" i="19" s="1"/>
  <c r="BT51" i="19"/>
  <c r="CE51" i="19" s="1"/>
  <c r="CA62" i="19"/>
  <c r="BT2" i="19"/>
  <c r="CE2" i="19" s="1"/>
  <c r="BT10" i="19"/>
  <c r="CE10" i="19" s="1"/>
  <c r="BT13" i="19"/>
  <c r="CE13" i="19" s="1"/>
  <c r="BT17" i="19"/>
  <c r="CE17" i="19" s="1"/>
  <c r="BT20" i="19"/>
  <c r="CE20" i="19" s="1"/>
  <c r="BT24" i="19"/>
  <c r="CE24" i="19" s="1"/>
  <c r="BT31" i="19"/>
  <c r="CE31" i="19" s="1"/>
  <c r="BT34" i="19"/>
  <c r="CE34" i="19" s="1"/>
  <c r="BT41" i="19"/>
  <c r="CE41" i="19" s="1"/>
  <c r="CA40" i="19"/>
  <c r="CA51" i="19"/>
  <c r="CA9" i="19"/>
  <c r="CA35" i="19"/>
  <c r="CA52" i="19"/>
  <c r="CA59" i="19"/>
  <c r="CA2" i="19"/>
  <c r="CA34" i="19"/>
  <c r="CA13" i="19"/>
  <c r="CA8" i="19"/>
  <c r="AM34" i="19"/>
  <c r="AW62" i="19"/>
  <c r="I93" i="19"/>
  <c r="AW46" i="19"/>
  <c r="AW13" i="19"/>
  <c r="AW75" i="19"/>
  <c r="BQ58" i="19"/>
  <c r="W109" i="19"/>
  <c r="W84" i="19"/>
  <c r="W79" i="19"/>
  <c r="O97" i="19"/>
  <c r="Y82" i="19"/>
  <c r="L4" i="19"/>
  <c r="AG106" i="19"/>
  <c r="Y52" i="19"/>
  <c r="O45" i="19"/>
  <c r="O54" i="19"/>
  <c r="W34" i="19"/>
  <c r="M29" i="19"/>
  <c r="O86" i="19"/>
  <c r="Y34" i="19"/>
  <c r="M34" i="19"/>
  <c r="AI18" i="19"/>
  <c r="AQ96" i="19"/>
  <c r="AS51" i="19"/>
  <c r="BQ87" i="19"/>
  <c r="AS74" i="19"/>
  <c r="AZ110" i="19"/>
  <c r="BQ110" i="19"/>
  <c r="BM66" i="19"/>
  <c r="BC66" i="19"/>
  <c r="AP17" i="19"/>
  <c r="AZ14" i="19"/>
  <c r="BM13" i="19"/>
  <c r="BC13" i="19"/>
  <c r="AM46" i="19"/>
  <c r="AI55" i="19"/>
  <c r="AS53" i="19"/>
  <c r="AW115" i="19"/>
  <c r="AF63" i="19"/>
  <c r="AG63" i="19" s="1"/>
  <c r="BQ79" i="19"/>
  <c r="BG79" i="19"/>
  <c r="AZ79" i="19"/>
  <c r="BM60" i="19"/>
  <c r="BC60" i="19"/>
  <c r="AZ16" i="19"/>
  <c r="AZ36" i="19"/>
  <c r="AI43" i="19"/>
  <c r="BQ114" i="19"/>
  <c r="BG114" i="19"/>
  <c r="AZ114" i="19"/>
  <c r="BG62" i="19"/>
  <c r="BG87" i="19"/>
  <c r="BC6" i="19"/>
  <c r="BM6" i="19"/>
  <c r="BC61" i="19"/>
  <c r="BC74" i="19"/>
  <c r="BM12" i="19"/>
  <c r="BM61" i="19"/>
  <c r="BM70" i="19"/>
  <c r="AF73" i="19"/>
  <c r="AS57" i="19"/>
  <c r="BC57" i="19"/>
  <c r="BG8" i="19"/>
  <c r="BQ8" i="19"/>
  <c r="AZ8" i="19"/>
  <c r="BG40" i="19"/>
  <c r="BM74" i="19"/>
  <c r="BM81" i="19"/>
  <c r="BQ101" i="19"/>
  <c r="AZ51" i="19"/>
  <c r="BC65" i="19"/>
  <c r="BC76" i="19"/>
  <c r="BC73" i="19"/>
  <c r="BK90" i="19" l="1"/>
  <c r="W110" i="19"/>
  <c r="BK5" i="19"/>
  <c r="W52" i="19"/>
  <c r="W68" i="19"/>
  <c r="BA27" i="19"/>
  <c r="BU110" i="19"/>
  <c r="W85" i="19"/>
  <c r="W30" i="19"/>
  <c r="W66" i="19"/>
  <c r="BA21" i="19"/>
  <c r="AG35" i="19"/>
  <c r="BA111" i="19"/>
  <c r="BA24" i="19"/>
  <c r="BA96" i="19"/>
  <c r="BA107" i="19"/>
  <c r="AG38" i="19"/>
  <c r="AG91" i="19"/>
  <c r="AG85" i="19"/>
  <c r="M51" i="19"/>
  <c r="AG59" i="19"/>
  <c r="AG58" i="19"/>
  <c r="BK6" i="19"/>
  <c r="W62" i="19"/>
  <c r="BK64" i="19"/>
  <c r="W59" i="19"/>
  <c r="W114" i="19"/>
  <c r="AQ78" i="19"/>
  <c r="AQ105" i="19"/>
  <c r="W88" i="19"/>
  <c r="AG66" i="19"/>
  <c r="W38" i="19"/>
  <c r="M71" i="19"/>
  <c r="BK78" i="19"/>
  <c r="BA6" i="19"/>
  <c r="BU93" i="19"/>
  <c r="M18" i="19"/>
  <c r="BA68" i="19"/>
  <c r="AG82" i="19"/>
  <c r="AG81" i="19"/>
  <c r="BA88" i="19"/>
  <c r="BA14" i="19"/>
  <c r="AG4" i="19"/>
  <c r="W72" i="19"/>
  <c r="BA64" i="19"/>
  <c r="AG45" i="19"/>
  <c r="W37" i="19"/>
  <c r="AG36" i="19"/>
  <c r="BU86" i="19"/>
  <c r="BK43" i="19"/>
  <c r="W70" i="19"/>
  <c r="W57" i="19"/>
  <c r="AG43" i="19"/>
  <c r="AQ88" i="19"/>
  <c r="AG9" i="19"/>
  <c r="M109" i="19"/>
  <c r="M93" i="19"/>
  <c r="BA81" i="19"/>
  <c r="BK57" i="19"/>
  <c r="AG46" i="19"/>
  <c r="M8" i="19"/>
  <c r="BA105" i="19"/>
  <c r="BA97" i="19"/>
  <c r="W13" i="19"/>
  <c r="BA43" i="19"/>
  <c r="BA98" i="19"/>
  <c r="BA70" i="19"/>
  <c r="AG51" i="19"/>
  <c r="AG25" i="19"/>
  <c r="BA67" i="19"/>
  <c r="BK67" i="19"/>
  <c r="BA87" i="19"/>
  <c r="AQ52" i="19"/>
  <c r="AQ71" i="19"/>
  <c r="W20" i="19"/>
  <c r="W35" i="19"/>
  <c r="BK17" i="19"/>
  <c r="W97" i="19"/>
  <c r="AG6" i="19"/>
  <c r="M79" i="19"/>
  <c r="AQ99" i="19"/>
  <c r="W87" i="19"/>
  <c r="M13" i="19"/>
  <c r="M9" i="19"/>
  <c r="AQ106" i="19"/>
  <c r="W45" i="19"/>
  <c r="BA78" i="19"/>
  <c r="AQ87" i="19"/>
  <c r="BK109" i="19"/>
  <c r="M63" i="19"/>
  <c r="BA5" i="19"/>
  <c r="M87" i="19"/>
  <c r="BK101" i="19"/>
  <c r="AG55" i="19"/>
  <c r="AQ75" i="19"/>
  <c r="W9" i="19"/>
  <c r="W8" i="19"/>
  <c r="W43" i="19"/>
  <c r="BU79" i="19"/>
  <c r="BA99" i="19"/>
  <c r="AG17" i="19"/>
  <c r="BA54" i="19"/>
  <c r="BK54" i="19"/>
  <c r="W60" i="19"/>
  <c r="AG89" i="19"/>
  <c r="W58" i="19"/>
  <c r="AG112" i="19"/>
  <c r="M35" i="19"/>
  <c r="W41" i="19"/>
  <c r="W10" i="19"/>
  <c r="BU76" i="19"/>
  <c r="AG33" i="19"/>
  <c r="W15" i="19"/>
  <c r="W12" i="19"/>
  <c r="AG80" i="19"/>
  <c r="M97" i="19"/>
  <c r="W3" i="19"/>
  <c r="BK115" i="19"/>
  <c r="W80" i="19"/>
  <c r="BA52" i="19"/>
  <c r="M84" i="19"/>
  <c r="AQ93" i="19"/>
  <c r="W19" i="19"/>
  <c r="W55" i="19"/>
  <c r="BK25" i="19"/>
  <c r="BA19" i="19"/>
  <c r="W18" i="19"/>
  <c r="W76" i="19"/>
  <c r="M31" i="19"/>
  <c r="BA63" i="19"/>
  <c r="BA66" i="19"/>
  <c r="AG47" i="19"/>
  <c r="M75" i="19"/>
  <c r="BK19" i="19"/>
  <c r="M91" i="19"/>
  <c r="AG61" i="19"/>
  <c r="AG98" i="19"/>
  <c r="AQ60" i="19"/>
  <c r="AQ108" i="19"/>
  <c r="W98" i="19"/>
  <c r="BK12" i="19"/>
  <c r="AG31" i="19"/>
  <c r="M45" i="19"/>
  <c r="AG54" i="19"/>
  <c r="W54" i="19"/>
  <c r="AQ77" i="19"/>
  <c r="W47" i="19"/>
  <c r="BA73" i="19"/>
  <c r="W50" i="19"/>
  <c r="BK72" i="19"/>
  <c r="AQ110" i="19"/>
  <c r="W42" i="19"/>
  <c r="W93" i="19"/>
  <c r="AG23" i="19"/>
  <c r="BK91" i="19"/>
  <c r="M46" i="19"/>
  <c r="BU94" i="19"/>
  <c r="AQ10" i="19"/>
  <c r="AQ109" i="19"/>
  <c r="AG42" i="19"/>
  <c r="W36" i="19"/>
  <c r="W40" i="19"/>
  <c r="AQ18" i="19"/>
  <c r="M108" i="19"/>
  <c r="W92" i="19"/>
  <c r="BA10" i="19"/>
  <c r="AG34" i="19"/>
  <c r="BA58" i="19"/>
  <c r="BK88" i="19"/>
  <c r="W107" i="19"/>
  <c r="BA42" i="19"/>
  <c r="M86" i="19"/>
  <c r="W90" i="19"/>
  <c r="AG71" i="19"/>
  <c r="M101" i="19"/>
  <c r="AQ47" i="19"/>
  <c r="AQ82" i="19"/>
  <c r="M23" i="19"/>
  <c r="W14" i="19"/>
  <c r="BA61" i="19"/>
  <c r="AG64" i="19"/>
  <c r="W73" i="19"/>
  <c r="W111" i="19"/>
  <c r="W46" i="19"/>
  <c r="W64" i="19"/>
  <c r="M70" i="19"/>
  <c r="AG75" i="19"/>
  <c r="M67" i="19"/>
  <c r="M20" i="19"/>
  <c r="AG49" i="19"/>
  <c r="BU97" i="19"/>
  <c r="AG114" i="19"/>
  <c r="AQ39" i="19"/>
  <c r="M2" i="19"/>
  <c r="M107" i="19"/>
  <c r="M19" i="19"/>
  <c r="M24" i="19"/>
  <c r="BK112" i="19"/>
  <c r="AQ113" i="19"/>
  <c r="BA47" i="19"/>
  <c r="BU95" i="19"/>
  <c r="M94" i="19"/>
  <c r="AG62" i="19"/>
  <c r="BK59" i="19"/>
  <c r="AQ101" i="19"/>
  <c r="AG3" i="19"/>
  <c r="W101" i="19"/>
  <c r="BA82" i="19"/>
  <c r="M80" i="19"/>
  <c r="AQ23" i="19"/>
  <c r="BK23" i="19"/>
  <c r="AG108" i="19"/>
  <c r="BK28" i="19"/>
  <c r="W53" i="19"/>
  <c r="AQ24" i="19"/>
  <c r="BA13" i="19"/>
  <c r="AG73" i="19"/>
  <c r="AG83" i="19"/>
  <c r="M53" i="19"/>
  <c r="AQ65" i="19"/>
  <c r="BK39" i="19"/>
  <c r="AQ79" i="19"/>
  <c r="BK105" i="19"/>
  <c r="BA56" i="19"/>
  <c r="W33" i="19"/>
  <c r="AQ111" i="19"/>
  <c r="M72" i="19"/>
  <c r="AQ15" i="19"/>
  <c r="AQ112" i="19"/>
  <c r="M38" i="19"/>
  <c r="M88" i="19"/>
  <c r="BK11" i="19"/>
  <c r="BK106" i="19"/>
  <c r="AQ92" i="19"/>
  <c r="BA34" i="19"/>
  <c r="W51" i="19"/>
  <c r="AG79" i="19"/>
  <c r="M64" i="19"/>
  <c r="BK69" i="19"/>
  <c r="AQ14" i="19"/>
  <c r="AG53" i="19"/>
  <c r="M40" i="19"/>
  <c r="BK38" i="19"/>
  <c r="BA23" i="19"/>
  <c r="BA15" i="19"/>
  <c r="BK111" i="19"/>
  <c r="AQ81" i="19"/>
  <c r="M58" i="19"/>
  <c r="BA100" i="19"/>
  <c r="W113" i="19"/>
  <c r="AG88" i="19"/>
  <c r="BA28" i="19"/>
  <c r="BA20" i="19"/>
  <c r="M106" i="19"/>
  <c r="M65" i="19"/>
  <c r="BK89" i="19"/>
  <c r="BU70" i="19"/>
  <c r="BU90" i="19"/>
  <c r="AQ43" i="19"/>
  <c r="BA109" i="19"/>
  <c r="BK13" i="19"/>
  <c r="M77" i="19"/>
  <c r="M95" i="19"/>
  <c r="M81" i="19"/>
  <c r="BK71" i="19"/>
  <c r="M100" i="19"/>
  <c r="BK63" i="19"/>
  <c r="M36" i="19"/>
  <c r="M69" i="19"/>
  <c r="BU80" i="19"/>
  <c r="M90" i="19"/>
  <c r="AQ84" i="19"/>
  <c r="AQ58" i="19"/>
  <c r="M114" i="19"/>
  <c r="BA46" i="19"/>
  <c r="BK82" i="19"/>
  <c r="AQ107" i="19"/>
  <c r="M66" i="19"/>
  <c r="BU71" i="19"/>
  <c r="M47" i="19"/>
  <c r="AQ51" i="19"/>
  <c r="W75" i="19"/>
  <c r="AG107" i="19"/>
  <c r="AQ49" i="19"/>
  <c r="BU41" i="19"/>
  <c r="BU52" i="19"/>
  <c r="AG105" i="19"/>
  <c r="BU31" i="19"/>
  <c r="M3" i="19"/>
  <c r="M37" i="19"/>
  <c r="BK41" i="19"/>
  <c r="W77" i="19"/>
  <c r="BA112" i="19"/>
  <c r="BU91" i="19"/>
  <c r="M27" i="19"/>
  <c r="AQ3" i="19"/>
  <c r="BU92" i="19"/>
  <c r="W69" i="19"/>
  <c r="M82" i="19"/>
  <c r="M89" i="19"/>
  <c r="BU8" i="19"/>
  <c r="AQ40" i="19"/>
  <c r="BU33" i="19"/>
  <c r="AQ28" i="19"/>
  <c r="BU14" i="19"/>
  <c r="BU36" i="19"/>
  <c r="BU69" i="19"/>
  <c r="BU82" i="19"/>
  <c r="BK49" i="19"/>
  <c r="M76" i="19"/>
  <c r="BU6" i="19"/>
  <c r="BU26" i="19"/>
  <c r="M33" i="19"/>
  <c r="BA18" i="19"/>
  <c r="BK52" i="19"/>
  <c r="BU45" i="19"/>
  <c r="BU24" i="19"/>
  <c r="BU65" i="19"/>
  <c r="BU35" i="19"/>
  <c r="BU62" i="19"/>
  <c r="BK29" i="19"/>
  <c r="BU44" i="19"/>
  <c r="BU84" i="19"/>
  <c r="M42" i="19"/>
  <c r="AQ59" i="19"/>
  <c r="BK62" i="19"/>
  <c r="BU58" i="19"/>
  <c r="BU49" i="19"/>
  <c r="BU29" i="19"/>
  <c r="BU55" i="19"/>
  <c r="AQ50" i="19"/>
  <c r="BU67" i="19"/>
  <c r="BA115" i="19"/>
  <c r="BU38" i="19"/>
  <c r="BU50" i="19"/>
  <c r="BU2" i="19"/>
  <c r="BK66" i="19"/>
  <c r="BA76" i="19"/>
  <c r="AG60" i="19"/>
  <c r="AQ27" i="19"/>
  <c r="M105" i="19"/>
  <c r="BU17" i="19"/>
  <c r="BU75" i="19"/>
  <c r="BU25" i="19"/>
  <c r="BK93" i="19"/>
  <c r="BU15" i="19"/>
  <c r="BU74" i="19"/>
  <c r="BU88" i="19"/>
  <c r="AQ98" i="19"/>
  <c r="W65" i="19"/>
  <c r="BU53" i="19"/>
  <c r="BU59" i="19"/>
  <c r="BU66" i="19"/>
  <c r="BA3" i="19"/>
  <c r="BU81" i="19"/>
  <c r="M49" i="19"/>
  <c r="AQ55" i="19"/>
  <c r="BU40" i="19"/>
  <c r="BU39" i="19"/>
  <c r="BK50" i="19"/>
  <c r="AQ42" i="19"/>
  <c r="BU18" i="19"/>
  <c r="AQ4" i="19"/>
  <c r="W61" i="19"/>
  <c r="AQ66" i="19"/>
  <c r="W89" i="19"/>
  <c r="AQ19" i="19"/>
  <c r="AQ34" i="19"/>
  <c r="BK2" i="19"/>
  <c r="AQ76" i="19"/>
  <c r="BU64" i="19"/>
  <c r="AQ62" i="19"/>
  <c r="M52" i="19"/>
  <c r="BU87" i="19"/>
  <c r="M92" i="19"/>
  <c r="M11" i="19"/>
  <c r="BK46" i="19"/>
  <c r="AQ9" i="19"/>
  <c r="AG40" i="19"/>
  <c r="BU72" i="19"/>
  <c r="BK24" i="19"/>
  <c r="AG99" i="19"/>
  <c r="BK33" i="19"/>
  <c r="AG110" i="19"/>
  <c r="AQ94" i="19"/>
  <c r="AG27" i="19"/>
  <c r="BU30" i="19"/>
  <c r="BU9" i="19"/>
  <c r="AG69" i="19"/>
  <c r="BK35" i="19"/>
  <c r="BU89" i="19"/>
  <c r="M48" i="19"/>
  <c r="M96" i="19"/>
  <c r="AQ25" i="19"/>
  <c r="M15" i="19"/>
  <c r="BA9" i="19"/>
  <c r="W24" i="19"/>
  <c r="AQ56" i="19"/>
  <c r="BA101" i="19"/>
  <c r="AQ21" i="19"/>
  <c r="AQ67" i="19"/>
  <c r="M73" i="19"/>
  <c r="BU77" i="19"/>
  <c r="AQ45" i="19"/>
  <c r="W49" i="19"/>
  <c r="BK42" i="19"/>
  <c r="BA29" i="19"/>
  <c r="W6" i="19"/>
  <c r="M43" i="19"/>
  <c r="BK99" i="19"/>
  <c r="BA38" i="19"/>
  <c r="AG78" i="19"/>
  <c r="W105" i="19"/>
  <c r="W31" i="19"/>
  <c r="BU28" i="19"/>
  <c r="AQ100" i="19"/>
  <c r="W94" i="19"/>
  <c r="AQ80" i="19"/>
  <c r="AG77" i="19"/>
  <c r="M57" i="19"/>
  <c r="AG10" i="19"/>
  <c r="AQ5" i="19"/>
  <c r="BA50" i="19"/>
  <c r="BA12" i="19"/>
  <c r="BA89" i="19"/>
  <c r="AG101" i="19"/>
  <c r="BK18" i="19"/>
  <c r="BU23" i="19"/>
  <c r="BU16" i="19"/>
  <c r="BK34" i="19"/>
  <c r="BU60" i="19"/>
  <c r="AQ91" i="19"/>
  <c r="W28" i="19"/>
  <c r="BK75" i="19"/>
  <c r="BK56" i="19"/>
  <c r="BA2" i="19"/>
  <c r="M68" i="19"/>
  <c r="M50" i="19"/>
  <c r="BK96" i="19"/>
  <c r="BA59" i="19"/>
  <c r="M85" i="19"/>
  <c r="BA106" i="19"/>
  <c r="AQ54" i="19"/>
  <c r="BU11" i="19"/>
  <c r="M12" i="19"/>
  <c r="AG19" i="19"/>
  <c r="AQ20" i="19"/>
  <c r="BU20" i="19"/>
  <c r="BU68" i="19"/>
  <c r="BA55" i="19"/>
  <c r="BU78" i="19"/>
  <c r="BA39" i="19"/>
  <c r="AG14" i="19"/>
  <c r="M74" i="19"/>
  <c r="W99" i="19"/>
  <c r="BU57" i="19"/>
  <c r="BK20" i="19"/>
  <c r="W100" i="19"/>
  <c r="W48" i="19"/>
  <c r="BK30" i="19"/>
  <c r="AQ61" i="19"/>
  <c r="BU107" i="19"/>
  <c r="M54" i="19"/>
  <c r="BK76" i="19"/>
  <c r="AQ36" i="19"/>
  <c r="AG94" i="19"/>
  <c r="BU3" i="19"/>
  <c r="BK3" i="19"/>
  <c r="AG92" i="19"/>
  <c r="AG20" i="19"/>
  <c r="BK10" i="19"/>
  <c r="AQ70" i="19"/>
  <c r="AG70" i="19"/>
  <c r="M10" i="19"/>
  <c r="AQ72" i="19"/>
  <c r="AQ68" i="19"/>
  <c r="BU13" i="19"/>
  <c r="AG65" i="19"/>
  <c r="M14" i="19"/>
  <c r="AG52" i="19"/>
  <c r="W23" i="19"/>
  <c r="AQ89" i="19"/>
  <c r="BA75" i="19"/>
  <c r="AQ33" i="19"/>
  <c r="BA33" i="19"/>
  <c r="AQ53" i="19"/>
  <c r="W112" i="19"/>
  <c r="AQ35" i="19"/>
  <c r="AQ13" i="19"/>
  <c r="BK9" i="19"/>
  <c r="M41" i="19"/>
  <c r="BA51" i="19"/>
  <c r="BK100" i="19"/>
  <c r="BU46" i="19"/>
  <c r="BK61" i="19"/>
  <c r="BK92" i="19"/>
  <c r="AQ12" i="19"/>
  <c r="AQ46" i="19"/>
  <c r="BA49" i="19"/>
  <c r="M21" i="19"/>
  <c r="AQ2" i="19"/>
  <c r="BU19" i="19"/>
  <c r="BU54" i="19"/>
  <c r="BU43" i="19"/>
  <c r="BU63" i="19"/>
  <c r="BU10" i="19"/>
  <c r="BU32" i="19"/>
  <c r="BU47" i="19"/>
  <c r="BK70" i="19"/>
  <c r="BU42" i="19"/>
  <c r="AQ6" i="19"/>
  <c r="BA93" i="19"/>
  <c r="AQ38" i="19"/>
  <c r="AG15" i="19"/>
  <c r="AQ95" i="19"/>
  <c r="M17" i="19"/>
  <c r="M60" i="19"/>
  <c r="BA69" i="19"/>
  <c r="BA41" i="19"/>
  <c r="AQ85" i="19"/>
  <c r="AG18" i="19"/>
  <c r="BA62" i="19"/>
  <c r="BU12" i="19"/>
  <c r="BA37" i="19"/>
  <c r="BU51" i="19"/>
  <c r="BU21" i="19"/>
  <c r="BU56" i="19"/>
  <c r="AQ74" i="19"/>
  <c r="AQ64" i="19"/>
  <c r="BU34" i="19"/>
  <c r="BU37" i="19"/>
  <c r="M32" i="19"/>
  <c r="AG50" i="19"/>
  <c r="W91" i="19"/>
  <c r="AG22" i="19"/>
  <c r="M78" i="19"/>
  <c r="M30" i="19"/>
  <c r="AQ41" i="19"/>
  <c r="AG41" i="19"/>
  <c r="BK107" i="19"/>
  <c r="BK15" i="19"/>
  <c r="BU27" i="19"/>
  <c r="BK73" i="19"/>
  <c r="W17" i="19"/>
  <c r="BU85" i="19"/>
  <c r="M26" i="19"/>
  <c r="AG28" i="19"/>
  <c r="AQ8" i="19"/>
  <c r="AG8" i="19"/>
  <c r="AQ115" i="19"/>
  <c r="AG115" i="19"/>
  <c r="BK65" i="19"/>
  <c r="BA65" i="19"/>
  <c r="BK74" i="19"/>
  <c r="BA74" i="19"/>
  <c r="BU5" i="19"/>
  <c r="BU73" i="19"/>
  <c r="BK45" i="19"/>
  <c r="BA45" i="19"/>
  <c r="BK108" i="19"/>
  <c r="BA108" i="19"/>
  <c r="BK53" i="19"/>
  <c r="BA53" i="19"/>
  <c r="AG86" i="19"/>
  <c r="AQ86" i="19"/>
  <c r="AG76" i="19"/>
  <c r="AG97" i="19"/>
  <c r="AQ97" i="19"/>
  <c r="BU61" i="19"/>
  <c r="AQ29" i="19"/>
  <c r="AG29" i="19"/>
  <c r="BA86" i="19"/>
  <c r="AQ57" i="19"/>
  <c r="AG57" i="19"/>
  <c r="BK94" i="19"/>
  <c r="BA94" i="19"/>
  <c r="AG74" i="19"/>
  <c r="AQ31" i="19"/>
  <c r="AQ69" i="19"/>
  <c r="BK55" i="19"/>
  <c r="BK84" i="19"/>
  <c r="BA84" i="19"/>
  <c r="AQ73" i="19"/>
  <c r="BK4" i="19"/>
  <c r="BA4" i="19"/>
  <c r="BU83" i="19"/>
  <c r="BA90" i="19"/>
  <c r="AQ90" i="19"/>
  <c r="BA71" i="19"/>
  <c r="AG100" i="19"/>
  <c r="AG113" i="19"/>
  <c r="BU4" i="19"/>
  <c r="BA25" i="19"/>
  <c r="AG12" i="19"/>
  <c r="AG2" i="19"/>
  <c r="W2" i="19"/>
  <c r="BA92" i="19"/>
  <c r="BA35" i="19"/>
  <c r="BA8" i="19"/>
  <c r="BK8" i="19"/>
  <c r="BK36" i="19"/>
  <c r="BA36" i="19"/>
  <c r="AQ63" i="19"/>
  <c r="BA16" i="19"/>
  <c r="BK16" i="19"/>
  <c r="BK51" i="19"/>
  <c r="BA17" i="19"/>
  <c r="AQ17" i="19"/>
  <c r="M4" i="19"/>
  <c r="W4" i="19"/>
  <c r="BK114" i="19"/>
  <c r="BA114" i="19"/>
  <c r="BK79" i="19"/>
  <c r="BA79" i="19"/>
  <c r="BA110" i="19"/>
  <c r="BK110" i="19"/>
  <c r="A3" i="19" l="1"/>
  <c r="A4" i="19"/>
  <c r="A5" i="19"/>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tc={007295D4-3BCE-E04E-82CB-799269FB036F}</author>
    <author>tc={50438304-60E3-764A-802E-D7CCF554C2DF}</author>
    <author>tc={C70D8FC3-29B7-5C4A-904F-E205DE4650D0}</author>
    <author>tc={CF9A10FA-8B8F-A448-AF9E-CBF135556655}</author>
  </authors>
  <commentList>
    <comment ref="D1" authorId="0" shapeId="0" xr:uid="{00000000-0006-0000-0500-000001000000}">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K1" authorId="0" shapeId="0" xr:uid="{00000000-0006-0000-0500-000002000000}">
      <text>
        <r>
          <rPr>
            <b/>
            <sz val="9"/>
            <color indexed="81"/>
            <rFont val="Calibri"/>
            <family val="2"/>
          </rPr>
          <t>Author:</t>
        </r>
        <r>
          <rPr>
            <sz val="9"/>
            <color indexed="81"/>
            <rFont val="Calibri"/>
            <family val="2"/>
          </rPr>
          <t xml:space="preserve">
Total requests less requests granted in full or denied only in part</t>
        </r>
      </text>
    </comment>
    <comment ref="U1" authorId="0" shapeId="0" xr:uid="{00000000-0006-0000-0500-000003000000}">
      <text>
        <r>
          <rPr>
            <b/>
            <sz val="9"/>
            <color indexed="81"/>
            <rFont val="Calibri"/>
            <family val="2"/>
          </rPr>
          <t>Author:</t>
        </r>
        <r>
          <rPr>
            <sz val="9"/>
            <color indexed="81"/>
            <rFont val="Calibri"/>
            <family val="2"/>
          </rPr>
          <t xml:space="preserve">
Total requests less requests granted in full or denied only in part</t>
        </r>
      </text>
    </comment>
    <comment ref="AE1" authorId="0" shapeId="0" xr:uid="{98D7027A-7BC0-804B-B492-80D85843F9E1}">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AO1" authorId="0" shapeId="0" xr:uid="{0EC8A881-1552-3647-9E76-CC594A5F5BCD}">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AY1" authorId="0" shapeId="0" xr:uid="{FC581CBA-4713-D040-8A3D-38307D7D6958}">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BI1" authorId="0" shapeId="0" xr:uid="{A7768172-FF60-0D40-9229-2A81FBD21E06}">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BS1" authorId="0" shapeId="0" xr:uid="{4EA72833-0D2F-C040-BF50-3A34E84BF5C7}">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CC1" authorId="0" shapeId="0" xr:uid="{3A5244EF-E376-5046-AFF7-81F7664A2EFB}">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CM1" authorId="0" shapeId="0" xr:uid="{2FD43475-9D7C-8641-83C2-96762075D72B}">
      <text>
        <r>
          <rPr>
            <b/>
            <sz val="9"/>
            <color rgb="FF000000"/>
            <rFont val="Calibri"/>
            <family val="2"/>
          </rPr>
          <t>Author:</t>
        </r>
        <r>
          <rPr>
            <sz val="9"/>
            <color rgb="FF000000"/>
            <rFont val="Calibri"/>
            <family val="2"/>
          </rPr>
          <t xml:space="preserve">
</t>
        </r>
        <r>
          <rPr>
            <sz val="9"/>
            <color rgb="FF000000"/>
            <rFont val="Calibri"/>
            <family val="2"/>
          </rPr>
          <t>Total requests less requests granted in full or denied only in part</t>
        </r>
      </text>
    </comment>
    <comment ref="B2" authorId="0" shapeId="0" xr:uid="{00000000-0006-0000-0500-000004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2" authorId="0" shapeId="0" xr:uid="{00000000-0006-0000-0500-000005000000}">
      <text>
        <r>
          <rPr>
            <b/>
            <sz val="9"/>
            <color indexed="81"/>
            <rFont val="Calibri"/>
            <family val="2"/>
          </rPr>
          <t>Author:</t>
        </r>
        <r>
          <rPr>
            <sz val="9"/>
            <color indexed="81"/>
            <rFont val="Calibri"/>
            <family val="2"/>
          </rPr>
          <t xml:space="preserve">
Maui COR.xlsx</t>
        </r>
      </text>
    </comment>
    <comment ref="P2" authorId="0" shapeId="0" xr:uid="{00000000-0006-0000-0500-000006000000}">
      <text>
        <r>
          <rPr>
            <b/>
            <sz val="9"/>
            <color indexed="81"/>
            <rFont val="Calibri"/>
            <family val="2"/>
          </rPr>
          <t>Author:
City/Corp Counsel log</t>
        </r>
        <r>
          <rPr>
            <sz val="9"/>
            <color indexed="81"/>
            <rFont val="Calibri"/>
            <family val="2"/>
          </rPr>
          <t>.xlsx</t>
        </r>
      </text>
    </comment>
    <comment ref="Z2" authorId="0" shapeId="0" xr:uid="{00000000-0006-0000-0500-000007000000}">
      <text>
        <r>
          <rPr>
            <b/>
            <sz val="9"/>
            <color indexed="81"/>
            <rFont val="Calibri"/>
            <family val="2"/>
          </rPr>
          <t>Author:
Honolulu/Corp Counsel log.xlsx</t>
        </r>
      </text>
    </comment>
    <comment ref="G3" authorId="0" shapeId="0" xr:uid="{00000000-0006-0000-0500-000008000000}">
      <text>
        <r>
          <rPr>
            <b/>
            <sz val="9"/>
            <color indexed="81"/>
            <rFont val="Calibri"/>
            <family val="2"/>
          </rPr>
          <t>Author:
Honolulu</t>
        </r>
        <r>
          <rPr>
            <sz val="9"/>
            <color indexed="81"/>
            <rFont val="Calibri"/>
            <family val="2"/>
          </rPr>
          <t xml:space="preserve"> COR.xlsx</t>
        </r>
      </text>
    </comment>
    <comment ref="P3" authorId="0" shapeId="0" xr:uid="{00000000-0006-0000-0500-000009000000}">
      <text>
        <r>
          <rPr>
            <b/>
            <sz val="9"/>
            <color indexed="81"/>
            <rFont val="Calibri"/>
            <family val="2"/>
          </rPr>
          <t>Author:
City/Corp Counsel log</t>
        </r>
        <r>
          <rPr>
            <sz val="9"/>
            <color indexed="81"/>
            <rFont val="Calibri"/>
            <family val="2"/>
          </rPr>
          <t>.xlsx</t>
        </r>
      </text>
    </comment>
    <comment ref="Z3" authorId="0" shapeId="0" xr:uid="{00000000-0006-0000-0500-00000A000000}">
      <text>
        <r>
          <rPr>
            <b/>
            <sz val="9"/>
            <color indexed="81"/>
            <rFont val="Calibri"/>
            <family val="2"/>
          </rPr>
          <t>Author:
Honolulu/Corp Counsel log</t>
        </r>
        <r>
          <rPr>
            <sz val="9"/>
            <color indexed="81"/>
            <rFont val="Calibri"/>
            <family val="2"/>
          </rPr>
          <t>.xlsx</t>
        </r>
      </text>
    </comment>
    <comment ref="G4" authorId="0" shapeId="0" xr:uid="{00000000-0006-0000-0500-00000B000000}">
      <text>
        <r>
          <rPr>
            <b/>
            <sz val="9"/>
            <color indexed="81"/>
            <rFont val="Calibri"/>
            <family val="2"/>
          </rPr>
          <t>Author:</t>
        </r>
        <r>
          <rPr>
            <sz val="9"/>
            <color indexed="81"/>
            <rFont val="Calibri"/>
            <family val="2"/>
          </rPr>
          <t xml:space="preserve">
Maui COR.xlsx</t>
        </r>
      </text>
    </comment>
    <comment ref="P4" authorId="0" shapeId="0" xr:uid="{00000000-0006-0000-0500-00000C000000}">
      <text>
        <r>
          <rPr>
            <b/>
            <sz val="9"/>
            <color indexed="81"/>
            <rFont val="Calibri"/>
            <family val="2"/>
          </rPr>
          <t>Author:</t>
        </r>
        <r>
          <rPr>
            <sz val="9"/>
            <color indexed="81"/>
            <rFont val="Calibri"/>
            <family val="2"/>
          </rPr>
          <t xml:space="preserve">
Maui COR.xlsx</t>
        </r>
      </text>
    </comment>
    <comment ref="Z4" authorId="0" shapeId="0" xr:uid="{00000000-0006-0000-0500-00000D000000}">
      <text>
        <r>
          <rPr>
            <b/>
            <sz val="9"/>
            <color indexed="81"/>
            <rFont val="Calibri"/>
            <family val="2"/>
          </rPr>
          <t>Author:</t>
        </r>
        <r>
          <rPr>
            <sz val="9"/>
            <color indexed="81"/>
            <rFont val="Calibri"/>
            <family val="2"/>
          </rPr>
          <t xml:space="preserve">
Maui/Corp Counsel log.xlsx</t>
        </r>
      </text>
    </comment>
    <comment ref="G5" authorId="0" shapeId="0" xr:uid="{00000000-0006-0000-0500-00000E000000}">
      <text>
        <r>
          <rPr>
            <b/>
            <sz val="9"/>
            <color indexed="81"/>
            <rFont val="Calibri"/>
            <family val="2"/>
          </rPr>
          <t>Author:</t>
        </r>
        <r>
          <rPr>
            <sz val="9"/>
            <color indexed="81"/>
            <rFont val="Calibri"/>
            <family val="2"/>
          </rPr>
          <t xml:space="preserve">
Kauai County Attorney.xlsx</t>
        </r>
      </text>
    </comment>
    <comment ref="P6" authorId="0" shapeId="0" xr:uid="{00000000-0006-0000-0500-00000F000000}">
      <text>
        <r>
          <rPr>
            <b/>
            <sz val="9"/>
            <color indexed="81"/>
            <rFont val="Calibri"/>
            <family val="2"/>
          </rPr>
          <t>Author:</t>
        </r>
        <r>
          <rPr>
            <sz val="9"/>
            <color indexed="81"/>
            <rFont val="Calibri"/>
            <family val="2"/>
          </rPr>
          <t xml:space="preserve">
Hawai`i/Corp Counsel log.xlsx</t>
        </r>
      </text>
    </comment>
    <comment ref="Z6" authorId="0" shapeId="0" xr:uid="{00000000-0006-0000-0500-000010000000}">
      <text>
        <r>
          <rPr>
            <b/>
            <sz val="9"/>
            <color indexed="81"/>
            <rFont val="Calibri"/>
            <family val="2"/>
          </rPr>
          <t>Author:</t>
        </r>
        <r>
          <rPr>
            <sz val="9"/>
            <color indexed="81"/>
            <rFont val="Calibri"/>
            <family val="2"/>
          </rPr>
          <t xml:space="preserve">
Hawai`i/COH Corporation Counsel log.xlsx</t>
        </r>
      </text>
    </comment>
    <comment ref="CR7" authorId="0" shapeId="0" xr:uid="{01C43634-88D9-BB4C-A389-446D79E1DB94}">
      <text>
        <r>
          <rPr>
            <sz val="10"/>
            <color rgb="FF000000"/>
            <rFont val="Tahoma"/>
            <family val="2"/>
          </rPr>
          <t xml:space="preserve">Author:
</t>
        </r>
        <r>
          <rPr>
            <sz val="10"/>
            <color rgb="FF000000"/>
            <rFont val="Tahoma"/>
            <family val="2"/>
          </rPr>
          <t>Hawaii County</t>
        </r>
      </text>
    </comment>
    <comment ref="G8" authorId="0" shapeId="0" xr:uid="{00000000-0006-0000-0500-000011000000}">
      <text>
        <r>
          <rPr>
            <b/>
            <sz val="9"/>
            <color indexed="81"/>
            <rFont val="Calibri"/>
            <family val="2"/>
          </rPr>
          <t>Author:</t>
        </r>
        <r>
          <rPr>
            <sz val="9"/>
            <color indexed="81"/>
            <rFont val="Calibri"/>
            <family val="2"/>
          </rPr>
          <t xml:space="preserve">
Maui Council.xlsx</t>
        </r>
      </text>
    </comment>
    <comment ref="P8" authorId="0" shapeId="0" xr:uid="{00000000-0006-0000-0500-000012000000}">
      <text>
        <r>
          <rPr>
            <b/>
            <sz val="9"/>
            <color indexed="81"/>
            <rFont val="Calibri"/>
            <family val="2"/>
          </rPr>
          <t>Author:</t>
        </r>
        <r>
          <rPr>
            <sz val="9"/>
            <color indexed="81"/>
            <rFont val="Calibri"/>
            <family val="2"/>
          </rPr>
          <t xml:space="preserve">
Maui/Maui County Council log st Half.xlsx</t>
        </r>
      </text>
    </comment>
    <comment ref="Z8" authorId="0" shapeId="0" xr:uid="{00000000-0006-0000-0500-000013000000}">
      <text>
        <r>
          <rPr>
            <b/>
            <sz val="9"/>
            <color indexed="81"/>
            <rFont val="Calibri"/>
            <family val="2"/>
          </rPr>
          <t>Author:</t>
        </r>
        <r>
          <rPr>
            <sz val="9"/>
            <color indexed="81"/>
            <rFont val="Calibri"/>
            <family val="2"/>
          </rPr>
          <t xml:space="preserve">
Maui/Council.xlsx</t>
        </r>
      </text>
    </comment>
    <comment ref="AJ8" authorId="0" shapeId="0" xr:uid="{7BCC7D0E-A625-C04A-AC28-43D238394276}">
      <text>
        <r>
          <rPr>
            <sz val="10"/>
            <color rgb="FF000000"/>
            <rFont val="Tahoma"/>
            <family val="2"/>
          </rPr>
          <t xml:space="preserve">Author:
</t>
        </r>
        <r>
          <rPr>
            <sz val="10"/>
            <color rgb="FF000000"/>
            <rFont val="Tahoma"/>
            <family val="2"/>
          </rPr>
          <t>Maui</t>
        </r>
      </text>
    </comment>
    <comment ref="AT8" authorId="0" shapeId="0" xr:uid="{8BEB02C5-ADBA-4944-8BF1-6759E7C1D10C}">
      <text>
        <r>
          <rPr>
            <sz val="10"/>
            <color rgb="FF000000"/>
            <rFont val="Tahoma"/>
            <family val="2"/>
          </rPr>
          <t xml:space="preserve">Author:
</t>
        </r>
        <r>
          <rPr>
            <sz val="10"/>
            <color rgb="FF000000"/>
            <rFont val="Tahoma"/>
            <family val="2"/>
          </rPr>
          <t>Maui</t>
        </r>
      </text>
    </comment>
    <comment ref="BD8" authorId="0" shapeId="0" xr:uid="{EC97A71D-FBC4-D349-8ADA-06341D38E999}">
      <text>
        <r>
          <rPr>
            <sz val="10"/>
            <color rgb="FF000000"/>
            <rFont val="Tahoma"/>
            <family val="2"/>
          </rPr>
          <t xml:space="preserve">Author:
</t>
        </r>
        <r>
          <rPr>
            <sz val="10"/>
            <color rgb="FF000000"/>
            <rFont val="Tahoma"/>
            <family val="2"/>
          </rPr>
          <t>Maui</t>
        </r>
      </text>
    </comment>
    <comment ref="BN8" authorId="0" shapeId="0" xr:uid="{931BB7B9-4BF1-C94F-A4D6-2CC350A8C522}">
      <text>
        <r>
          <rPr>
            <b/>
            <sz val="10"/>
            <color rgb="FF000000"/>
            <rFont val="Tahoma"/>
            <family val="2"/>
          </rPr>
          <t>Author:</t>
        </r>
        <r>
          <rPr>
            <sz val="10"/>
            <color rgb="FF000000"/>
            <rFont val="Tahoma"/>
            <family val="2"/>
          </rPr>
          <t xml:space="preserve">
</t>
        </r>
        <r>
          <rPr>
            <sz val="10"/>
            <color rgb="FF000000"/>
            <rFont val="Tahoma"/>
            <family val="2"/>
          </rPr>
          <t>Maui</t>
        </r>
      </text>
    </comment>
    <comment ref="BX8" authorId="0" shapeId="0" xr:uid="{787E4F2A-9DA5-774A-ABD3-E8E3FD147026}">
      <text>
        <r>
          <rPr>
            <b/>
            <sz val="10"/>
            <color rgb="FF000000"/>
            <rFont val="Tahoma"/>
            <family val="2"/>
          </rPr>
          <t>Author:</t>
        </r>
        <r>
          <rPr>
            <sz val="10"/>
            <color rgb="FF000000"/>
            <rFont val="Tahoma"/>
            <family val="2"/>
          </rPr>
          <t xml:space="preserve">
</t>
        </r>
        <r>
          <rPr>
            <sz val="10"/>
            <color rgb="FF000000"/>
            <rFont val="Tahoma"/>
            <family val="2"/>
          </rPr>
          <t>Maui</t>
        </r>
      </text>
    </comment>
    <comment ref="CH8" authorId="0" shapeId="0" xr:uid="{0B1AA8A5-F31E-BB40-B9E0-8652864013CD}">
      <text>
        <r>
          <rPr>
            <b/>
            <sz val="10"/>
            <color rgb="FF000000"/>
            <rFont val="Tahoma"/>
            <family val="2"/>
          </rPr>
          <t>Author:</t>
        </r>
        <r>
          <rPr>
            <sz val="10"/>
            <color rgb="FF000000"/>
            <rFont val="Tahoma"/>
            <family val="2"/>
          </rPr>
          <t xml:space="preserve">
</t>
        </r>
        <r>
          <rPr>
            <sz val="10"/>
            <color rgb="FF000000"/>
            <rFont val="Tahoma"/>
            <family val="2"/>
          </rPr>
          <t>Hawaii</t>
        </r>
      </text>
    </comment>
    <comment ref="CR8" authorId="0" shapeId="0" xr:uid="{C77E0BE8-B773-7144-A5DD-C8F75220CE9F}">
      <text>
        <r>
          <rPr>
            <b/>
            <sz val="10"/>
            <color rgb="FF000000"/>
            <rFont val="Tahoma"/>
            <family val="2"/>
          </rPr>
          <t>Author:</t>
        </r>
        <r>
          <rPr>
            <sz val="10"/>
            <color rgb="FF000000"/>
            <rFont val="Tahoma"/>
            <family val="2"/>
          </rPr>
          <t xml:space="preserve">
</t>
        </r>
        <r>
          <rPr>
            <sz val="10"/>
            <color rgb="FF000000"/>
            <rFont val="Tahoma"/>
            <family val="2"/>
          </rPr>
          <t>Maui</t>
        </r>
      </text>
    </comment>
    <comment ref="B9" authorId="0" shapeId="0" xr:uid="{00000000-0006-0000-0500-000014000000}">
      <text>
        <r>
          <rPr>
            <b/>
            <sz val="10"/>
            <color rgb="FF000000"/>
            <rFont val="Calibri"/>
            <family val="2"/>
          </rPr>
          <t>Author:</t>
        </r>
        <r>
          <rPr>
            <sz val="10"/>
            <color rgb="FF000000"/>
            <rFont val="Calibri"/>
            <family val="2"/>
          </rPr>
          <t xml:space="preserve">
</t>
        </r>
        <r>
          <rPr>
            <sz val="10"/>
            <color rgb="FF000000"/>
            <rFont val="Calibri"/>
            <family val="2"/>
          </rPr>
          <t>Kauai's environmental resources are part of its Department of Public Works (separated out below).  Also, it is not possible to break down OIP matters by specific county because OIP data entry for COUNTY_AB is inconsistent (e.g., some State Department of agency matters are coded by Island where the issue arose).</t>
        </r>
      </text>
    </comment>
    <comment ref="G9" authorId="0" shapeId="0" xr:uid="{00000000-0006-0000-0500-000015000000}">
      <text>
        <r>
          <rPr>
            <b/>
            <sz val="9"/>
            <color indexed="81"/>
            <rFont val="Calibri"/>
            <family val="2"/>
          </rPr>
          <t>Author:</t>
        </r>
        <r>
          <rPr>
            <sz val="9"/>
            <color indexed="81"/>
            <rFont val="Calibri"/>
            <family val="2"/>
          </rPr>
          <t xml:space="preserve">
Honolulu ENV.xlsx and Hawaii DEM - 1st Half.xlsx</t>
        </r>
      </text>
    </comment>
    <comment ref="P9" authorId="0" shapeId="0" xr:uid="{00000000-0006-0000-0500-000016000000}">
      <text>
        <r>
          <rPr>
            <b/>
            <sz val="9"/>
            <color indexed="81"/>
            <rFont val="Calibri"/>
            <family val="2"/>
          </rPr>
          <t>Author:</t>
        </r>
        <r>
          <rPr>
            <sz val="9"/>
            <color indexed="81"/>
            <rFont val="Calibri"/>
            <family val="2"/>
          </rPr>
          <t xml:space="preserve">
Hawaii/DEM Log.xlsx</t>
        </r>
      </text>
    </comment>
    <comment ref="Z9" authorId="0" shapeId="0" xr:uid="{6D60E94C-87C8-1149-A45A-5673AB00B270}">
      <text>
        <r>
          <rPr>
            <b/>
            <sz val="9"/>
            <color rgb="FF000000"/>
            <rFont val="Calibri"/>
            <family val="2"/>
          </rPr>
          <t>Author:</t>
        </r>
        <r>
          <rPr>
            <sz val="9"/>
            <color rgb="FF000000"/>
            <rFont val="Calibri"/>
            <family val="2"/>
          </rPr>
          <t xml:space="preserve">
</t>
        </r>
        <r>
          <rPr>
            <sz val="9"/>
            <color rgb="FF000000"/>
            <rFont val="Calibri"/>
            <family val="2"/>
          </rPr>
          <t>Honolulu/ENV log.xlsx</t>
        </r>
      </text>
    </comment>
    <comment ref="G10" authorId="0" shapeId="0" xr:uid="{00000000-0006-0000-0500-000018000000}">
      <text>
        <r>
          <rPr>
            <b/>
            <sz val="9"/>
            <color indexed="81"/>
            <rFont val="Calibri"/>
            <family val="2"/>
          </rPr>
          <t>Author:</t>
        </r>
        <r>
          <rPr>
            <sz val="9"/>
            <color indexed="81"/>
            <rFont val="Calibri"/>
            <family val="2"/>
          </rPr>
          <t xml:space="preserve">
Honolulu ENV.xlsx</t>
        </r>
      </text>
    </comment>
    <comment ref="P10" authorId="0" shapeId="0" xr:uid="{00000000-0006-0000-0500-000019000000}">
      <text>
        <r>
          <rPr>
            <b/>
            <sz val="9"/>
            <color indexed="81"/>
            <rFont val="Calibri"/>
            <family val="2"/>
          </rPr>
          <t>Author:</t>
        </r>
        <r>
          <rPr>
            <sz val="9"/>
            <color indexed="81"/>
            <rFont val="Calibri"/>
            <family val="2"/>
          </rPr>
          <t xml:space="preserve">
City/Environmental Svcs.xlsx</t>
        </r>
      </text>
    </comment>
    <comment ref="Z10" authorId="0" shapeId="0" xr:uid="{00000000-0006-0000-0500-00001A000000}">
      <text>
        <r>
          <rPr>
            <b/>
            <sz val="9"/>
            <color rgb="FF000000"/>
            <rFont val="Calibri"/>
            <family val="2"/>
          </rPr>
          <t>Author:</t>
        </r>
        <r>
          <rPr>
            <sz val="9"/>
            <color rgb="FF000000"/>
            <rFont val="Calibri"/>
            <family val="2"/>
          </rPr>
          <t xml:space="preserve">
</t>
        </r>
        <r>
          <rPr>
            <sz val="9"/>
            <color rgb="FF000000"/>
            <rFont val="Calibri"/>
            <family val="2"/>
          </rPr>
          <t>Honolulu/ENV log.xlsx</t>
        </r>
      </text>
    </comment>
    <comment ref="G11" authorId="0" shapeId="0" xr:uid="{00000000-0006-0000-0500-00001B000000}">
      <text>
        <r>
          <rPr>
            <b/>
            <sz val="9"/>
            <color indexed="81"/>
            <rFont val="Calibri"/>
            <family val="2"/>
          </rPr>
          <t>Author:</t>
        </r>
        <r>
          <rPr>
            <sz val="9"/>
            <color indexed="81"/>
            <rFont val="Calibri"/>
            <family val="2"/>
          </rPr>
          <t xml:space="preserve">
Maui DEM.xlsx</t>
        </r>
      </text>
    </comment>
    <comment ref="P11" authorId="0" shapeId="0" xr:uid="{00000000-0006-0000-0500-00001C000000}">
      <text>
        <r>
          <rPr>
            <b/>
            <sz val="9"/>
            <color rgb="FF000000"/>
            <rFont val="Calibri"/>
            <family val="2"/>
          </rPr>
          <t>Author:</t>
        </r>
        <r>
          <rPr>
            <sz val="9"/>
            <color rgb="FF000000"/>
            <rFont val="Calibri"/>
            <family val="2"/>
          </rPr>
          <t xml:space="preserve">
</t>
        </r>
        <r>
          <rPr>
            <sz val="9"/>
            <color rgb="FF000000"/>
            <rFont val="Calibri"/>
            <family val="2"/>
          </rPr>
          <t>Maui DEM Log.xlsx</t>
        </r>
      </text>
    </comment>
    <comment ref="G12" authorId="0" shapeId="0" xr:uid="{00000000-0006-0000-0500-00001E000000}">
      <text>
        <r>
          <rPr>
            <b/>
            <sz val="9"/>
            <color indexed="81"/>
            <rFont val="Calibri"/>
            <family val="2"/>
          </rPr>
          <t>Author:</t>
        </r>
        <r>
          <rPr>
            <sz val="9"/>
            <color indexed="81"/>
            <rFont val="Calibri"/>
            <family val="2"/>
          </rPr>
          <t xml:space="preserve">
Hawaii DEM - 1st Half.xlsx</t>
        </r>
      </text>
    </comment>
    <comment ref="P12" authorId="0" shapeId="0" xr:uid="{00000000-0006-0000-0500-00001F000000}">
      <text>
        <r>
          <rPr>
            <b/>
            <sz val="9"/>
            <color indexed="81"/>
            <rFont val="Calibri"/>
            <family val="2"/>
          </rPr>
          <t>Author:</t>
        </r>
        <r>
          <rPr>
            <sz val="9"/>
            <color indexed="81"/>
            <rFont val="Calibri"/>
            <family val="2"/>
          </rPr>
          <t xml:space="preserve">
Hawaii/DEM Log.xlsx</t>
        </r>
      </text>
    </comment>
    <comment ref="Z12" authorId="0" shapeId="0" xr:uid="{00000000-0006-0000-0500-000020000000}">
      <text>
        <r>
          <rPr>
            <b/>
            <sz val="9"/>
            <color indexed="81"/>
            <rFont val="Calibri"/>
            <family val="2"/>
          </rPr>
          <t>Author:</t>
        </r>
        <r>
          <rPr>
            <sz val="9"/>
            <color indexed="81"/>
            <rFont val="Calibri"/>
            <family val="2"/>
          </rPr>
          <t xml:space="preserve">
Hawaii/DEMAgnecy (Jan-June).xlsx</t>
        </r>
      </text>
    </comment>
    <comment ref="B13" authorId="0" shapeId="0" xr:uid="{00000000-0006-0000-0500-000021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13" authorId="0" shapeId="0" xr:uid="{00000000-0006-0000-0500-000022000000}">
      <text>
        <r>
          <rPr>
            <b/>
            <sz val="9"/>
            <color indexed="81"/>
            <rFont val="Calibri"/>
            <family val="2"/>
          </rPr>
          <t>Author:</t>
        </r>
        <r>
          <rPr>
            <sz val="9"/>
            <color indexed="81"/>
            <rFont val="Calibri"/>
            <family val="2"/>
          </rPr>
          <t xml:space="preserve">
Hawaii FIN.xlsx (Hawai‘i County)</t>
        </r>
      </text>
    </comment>
    <comment ref="P13" authorId="0" shapeId="0" xr:uid="{00000000-0006-0000-0500-000023000000}">
      <text>
        <r>
          <rPr>
            <b/>
            <sz val="9"/>
            <color indexed="81"/>
            <rFont val="Calibri"/>
            <family val="2"/>
          </rPr>
          <t>Author:</t>
        </r>
        <r>
          <rPr>
            <sz val="9"/>
            <color indexed="81"/>
            <rFont val="Calibri"/>
            <family val="2"/>
          </rPr>
          <t xml:space="preserve">
City/BFS Purchasing Log (corrected).xlsx</t>
        </r>
      </text>
    </comment>
    <comment ref="Z13" authorId="0" shapeId="0" xr:uid="{00000000-0006-0000-0500-000024000000}">
      <text>
        <r>
          <rPr>
            <b/>
            <sz val="9"/>
            <color indexed="81"/>
            <rFont val="Calibri"/>
            <family val="2"/>
          </rPr>
          <t>Author:</t>
        </r>
        <r>
          <rPr>
            <sz val="9"/>
            <color indexed="81"/>
            <rFont val="Calibri"/>
            <family val="2"/>
          </rPr>
          <t xml:space="preserve">
Hawai`i/COH Finance log.xlsx</t>
        </r>
      </text>
    </comment>
    <comment ref="G14" authorId="0" shapeId="0" xr:uid="{00000000-0006-0000-0500-000025000000}">
      <text>
        <r>
          <rPr>
            <b/>
            <sz val="9"/>
            <color indexed="81"/>
            <rFont val="Calibri"/>
            <family val="2"/>
          </rPr>
          <t>Author:</t>
        </r>
        <r>
          <rPr>
            <sz val="9"/>
            <color indexed="81"/>
            <rFont val="Calibri"/>
            <family val="2"/>
          </rPr>
          <t xml:space="preserve">
Honolulu BFS Purchasing.xlsx</t>
        </r>
      </text>
    </comment>
    <comment ref="P14" authorId="0" shapeId="0" xr:uid="{00000000-0006-0000-0500-000026000000}">
      <text>
        <r>
          <rPr>
            <b/>
            <sz val="9"/>
            <color indexed="81"/>
            <rFont val="Calibri"/>
            <family val="2"/>
          </rPr>
          <t>Author:</t>
        </r>
        <r>
          <rPr>
            <sz val="9"/>
            <color indexed="81"/>
            <rFont val="Calibri"/>
            <family val="2"/>
          </rPr>
          <t xml:space="preserve">
City/BFS Purchasing Log (corrected).xlsx</t>
        </r>
      </text>
    </comment>
    <comment ref="Z14" authorId="0" shapeId="0" xr:uid="{00000000-0006-0000-0500-000027000000}">
      <text>
        <r>
          <rPr>
            <b/>
            <sz val="9"/>
            <color rgb="FF000000"/>
            <rFont val="Calibri"/>
            <family val="2"/>
          </rPr>
          <t>Author:</t>
        </r>
        <r>
          <rPr>
            <sz val="9"/>
            <color rgb="FF000000"/>
            <rFont val="Calibri"/>
            <family val="2"/>
          </rPr>
          <t xml:space="preserve">
</t>
        </r>
        <r>
          <rPr>
            <sz val="9"/>
            <color rgb="FF000000"/>
            <rFont val="Calibri"/>
            <family val="2"/>
          </rPr>
          <t>Honolulu/BFS Treasury Log.xlsx</t>
        </r>
      </text>
    </comment>
    <comment ref="BD14" authorId="0" shapeId="0" xr:uid="{57907AB5-7B7E-6448-AC12-FD54CF83682A}">
      <text>
        <r>
          <rPr>
            <sz val="10"/>
            <color rgb="FF000000"/>
            <rFont val="Tahoma"/>
            <family val="2"/>
          </rPr>
          <t xml:space="preserve">Author:
</t>
        </r>
        <r>
          <rPr>
            <sz val="10"/>
            <color rgb="FF000000"/>
            <rFont val="Tahoma"/>
            <family val="2"/>
          </rPr>
          <t>Purchasing</t>
        </r>
      </text>
    </comment>
    <comment ref="BH14" authorId="0" shapeId="0" xr:uid="{D0208B1E-2CA9-A04E-B5B5-D16DB3E189ED}">
      <text>
        <r>
          <rPr>
            <b/>
            <sz val="10"/>
            <color rgb="FF000000"/>
            <rFont val="Tahoma"/>
            <family val="2"/>
          </rPr>
          <t>BFS insisted that it had no requests in FY21</t>
        </r>
      </text>
    </comment>
    <comment ref="BX14" authorId="0" shapeId="0" xr:uid="{473FC8D3-7B43-394E-9D05-1659519E837D}">
      <text>
        <r>
          <rPr>
            <b/>
            <sz val="10"/>
            <color rgb="FF000000"/>
            <rFont val="Tahoma"/>
            <family val="2"/>
          </rPr>
          <t xml:space="preserve">Author:
</t>
        </r>
        <r>
          <rPr>
            <sz val="10"/>
            <color rgb="FF000000"/>
            <rFont val="Tahoma"/>
            <family val="2"/>
          </rPr>
          <t>Purchasing</t>
        </r>
      </text>
    </comment>
    <comment ref="CH14" authorId="0" shapeId="0" xr:uid="{1E2D52A8-24B9-AD47-A569-1E30D0ECFEAE}">
      <text>
        <r>
          <rPr>
            <b/>
            <sz val="10"/>
            <color rgb="FF000000"/>
            <rFont val="Tahoma"/>
            <family val="2"/>
          </rPr>
          <t xml:space="preserve">Author:
</t>
        </r>
        <r>
          <rPr>
            <sz val="10"/>
            <color rgb="FF000000"/>
            <rFont val="Tahoma"/>
            <family val="2"/>
          </rPr>
          <t>Purchasing</t>
        </r>
      </text>
    </comment>
    <comment ref="CR14" authorId="0" shapeId="0" xr:uid="{954F1F38-100B-1040-BB42-40A90B3ED3A7}">
      <text>
        <r>
          <rPr>
            <b/>
            <sz val="10"/>
            <color rgb="FF000000"/>
            <rFont val="Tahoma"/>
            <family val="2"/>
          </rPr>
          <t xml:space="preserve">Author:
</t>
        </r>
        <r>
          <rPr>
            <sz val="10"/>
            <color rgb="FF000000"/>
            <rFont val="Tahoma"/>
            <family val="2"/>
          </rPr>
          <t>Purchasing</t>
        </r>
      </text>
    </comment>
    <comment ref="G15" authorId="0" shapeId="0" xr:uid="{00000000-0006-0000-0500-000028000000}">
      <text>
        <r>
          <rPr>
            <b/>
            <sz val="9"/>
            <color indexed="81"/>
            <rFont val="Calibri"/>
            <family val="2"/>
          </rPr>
          <t>Author:</t>
        </r>
        <r>
          <rPr>
            <sz val="9"/>
            <color indexed="81"/>
            <rFont val="Calibri"/>
            <family val="2"/>
          </rPr>
          <t xml:space="preserve">
Maui Finance.xlsx</t>
        </r>
      </text>
    </comment>
    <comment ref="P15" authorId="0" shapeId="0" xr:uid="{00000000-0006-0000-0500-000029000000}">
      <text>
        <r>
          <rPr>
            <b/>
            <sz val="9"/>
            <color indexed="81"/>
            <rFont val="Calibri"/>
            <family val="2"/>
          </rPr>
          <t>Author:</t>
        </r>
        <r>
          <rPr>
            <sz val="9"/>
            <color indexed="81"/>
            <rFont val="Calibri"/>
            <family val="2"/>
          </rPr>
          <t xml:space="preserve">
Maui/Maui Finance log corrected.xlsx</t>
        </r>
      </text>
    </comment>
    <comment ref="Z15" authorId="0" shapeId="0" xr:uid="{00000000-0006-0000-0500-00002A000000}">
      <text>
        <r>
          <rPr>
            <b/>
            <sz val="9"/>
            <color indexed="81"/>
            <rFont val="Calibri"/>
            <family val="2"/>
          </rPr>
          <t>Author:</t>
        </r>
        <r>
          <rPr>
            <sz val="9"/>
            <color indexed="81"/>
            <rFont val="Calibri"/>
            <family val="2"/>
          </rPr>
          <t xml:space="preserve">
Maui/Finance log.xlsx</t>
        </r>
      </text>
    </comment>
    <comment ref="CL15" authorId="1" shapeId="0" xr:uid="{007295D4-3BCE-E04E-82CB-799269FB036F}">
      <text>
        <t>[Threaded comment]
Your version of Excel allows you to read this threaded comment; however, any edits to it will get removed if the file is opened in a newer version of Excel. Learn more: https://go.microsoft.com/fwlink/?linkid=870924
Comment:
    Maui FIN did not complete the form properly.</t>
      </text>
    </comment>
    <comment ref="G16" authorId="0" shapeId="0" xr:uid="{00000000-0006-0000-0500-00002B000000}">
      <text>
        <r>
          <rPr>
            <b/>
            <sz val="9"/>
            <color indexed="81"/>
            <rFont val="Calibri"/>
            <family val="2"/>
          </rPr>
          <t>Author:</t>
        </r>
        <r>
          <rPr>
            <sz val="9"/>
            <color indexed="81"/>
            <rFont val="Calibri"/>
            <family val="2"/>
          </rPr>
          <t xml:space="preserve">
Log incomplete</t>
        </r>
      </text>
    </comment>
    <comment ref="BN16" authorId="0" shapeId="0" xr:uid="{78156469-AF4E-AD4D-AE2E-EAF5ABAAAB6A}">
      <text>
        <r>
          <rPr>
            <sz val="10"/>
            <color rgb="FF000000"/>
            <rFont val="Tahoma"/>
            <family val="2"/>
          </rPr>
          <t xml:space="preserve">Author:
</t>
        </r>
        <r>
          <rPr>
            <sz val="10"/>
            <color rgb="FF000000"/>
            <rFont val="Tahoma"/>
            <family val="2"/>
          </rPr>
          <t>Form not completed correctly</t>
        </r>
      </text>
    </comment>
    <comment ref="BX16" authorId="0" shapeId="0" xr:uid="{C4ECC3E6-B79E-A14D-9925-DCC2C8915BEC}">
      <text>
        <r>
          <rPr>
            <sz val="10"/>
            <color rgb="FF000000"/>
            <rFont val="Tahoma"/>
            <family val="2"/>
          </rPr>
          <t xml:space="preserve">Author:
</t>
        </r>
        <r>
          <rPr>
            <sz val="10"/>
            <color rgb="FF000000"/>
            <rFont val="Tahoma"/>
            <family val="2"/>
          </rPr>
          <t>Form not completed correctly</t>
        </r>
      </text>
    </comment>
    <comment ref="CH16" authorId="0" shapeId="0" xr:uid="{A6CD282F-802E-9E4F-9438-D4484E1A46A1}">
      <text>
        <r>
          <rPr>
            <sz val="10"/>
            <color rgb="FF000000"/>
            <rFont val="Tahoma"/>
            <family val="2"/>
          </rPr>
          <t xml:space="preserve">Author:
</t>
        </r>
        <r>
          <rPr>
            <sz val="10"/>
            <color rgb="FF000000"/>
            <rFont val="Tahoma"/>
            <family val="2"/>
          </rPr>
          <t>Collections</t>
        </r>
      </text>
    </comment>
    <comment ref="CR16" authorId="0" shapeId="0" xr:uid="{3F9AE3E2-6E04-8347-B32B-33B62F1E4977}">
      <text>
        <r>
          <rPr>
            <sz val="10"/>
            <color rgb="FF000000"/>
            <rFont val="Tahoma"/>
            <family val="2"/>
          </rPr>
          <t xml:space="preserve">Author:
</t>
        </r>
        <r>
          <rPr>
            <sz val="10"/>
            <color rgb="FF000000"/>
            <rFont val="Tahoma"/>
            <family val="2"/>
          </rPr>
          <t>Real Property</t>
        </r>
      </text>
    </comment>
    <comment ref="G17" authorId="0" shapeId="0" xr:uid="{00000000-0006-0000-0500-00002C000000}">
      <text>
        <r>
          <rPr>
            <b/>
            <sz val="9"/>
            <color indexed="81"/>
            <rFont val="Calibri"/>
            <family val="2"/>
          </rPr>
          <t>Author:</t>
        </r>
        <r>
          <rPr>
            <sz val="9"/>
            <color indexed="81"/>
            <rFont val="Calibri"/>
            <family val="2"/>
          </rPr>
          <t xml:space="preserve">
Hawaii FIN.xlsx (Hawai‘i County)</t>
        </r>
      </text>
    </comment>
    <comment ref="P17" authorId="0" shapeId="0" xr:uid="{00000000-0006-0000-0500-00002D000000}">
      <text>
        <r>
          <rPr>
            <b/>
            <sz val="9"/>
            <color indexed="81"/>
            <rFont val="Calibri"/>
            <family val="2"/>
          </rPr>
          <t>Author:</t>
        </r>
        <r>
          <rPr>
            <sz val="9"/>
            <color indexed="81"/>
            <rFont val="Calibri"/>
            <family val="2"/>
          </rPr>
          <t xml:space="preserve">
Hawai`i/Finance log (corrected with formulas).xlsx</t>
        </r>
      </text>
    </comment>
    <comment ref="Z17" authorId="0" shapeId="0" xr:uid="{00000000-0006-0000-0500-00002E000000}">
      <text>
        <r>
          <rPr>
            <b/>
            <sz val="9"/>
            <color indexed="81"/>
            <rFont val="Calibri"/>
            <family val="2"/>
          </rPr>
          <t>Author:</t>
        </r>
        <r>
          <rPr>
            <sz val="9"/>
            <color indexed="81"/>
            <rFont val="Calibri"/>
            <family val="2"/>
          </rPr>
          <t xml:space="preserve">
Hawai`i/COH Finance log.xlsx</t>
        </r>
      </text>
    </comment>
    <comment ref="B18" authorId="0" shapeId="0" xr:uid="{00000000-0006-0000-0500-00002F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18" authorId="0" shapeId="0" xr:uid="{00000000-0006-0000-0500-000030000000}">
      <text>
        <r>
          <rPr>
            <b/>
            <sz val="9"/>
            <color indexed="81"/>
            <rFont val="Calibri"/>
            <family val="2"/>
          </rPr>
          <t>Author:</t>
        </r>
        <r>
          <rPr>
            <sz val="9"/>
            <color indexed="81"/>
            <rFont val="Calibri"/>
            <family val="2"/>
          </rPr>
          <t xml:space="preserve">
Honolulu HFD.xlsx (City &amp; County of Honolulu)</t>
        </r>
      </text>
    </comment>
    <comment ref="P18" authorId="0" shapeId="0" xr:uid="{00000000-0006-0000-0500-000031000000}">
      <text>
        <r>
          <rPr>
            <b/>
            <sz val="9"/>
            <color indexed="81"/>
            <rFont val="Calibri"/>
            <family val="2"/>
          </rPr>
          <t>Author:</t>
        </r>
        <r>
          <rPr>
            <sz val="9"/>
            <color indexed="81"/>
            <rFont val="Calibri"/>
            <family val="2"/>
          </rPr>
          <t xml:space="preserve">
City/Fire Dept log - 2d half.xlsx (City &amp; County of Honolulu)</t>
        </r>
      </text>
    </comment>
    <comment ref="Z18" authorId="0" shapeId="0" xr:uid="{00000000-0006-0000-0500-000032000000}">
      <text>
        <r>
          <rPr>
            <b/>
            <sz val="9"/>
            <color indexed="81"/>
            <rFont val="Calibri"/>
            <family val="2"/>
          </rPr>
          <t>Author:</t>
        </r>
        <r>
          <rPr>
            <sz val="9"/>
            <color indexed="81"/>
            <rFont val="Calibri"/>
            <family val="2"/>
          </rPr>
          <t xml:space="preserve">
Honolulu/HFD log.xlsx</t>
        </r>
      </text>
    </comment>
    <comment ref="G19" authorId="0" shapeId="0" xr:uid="{00000000-0006-0000-0500-000033000000}">
      <text>
        <r>
          <rPr>
            <b/>
            <sz val="9"/>
            <color indexed="81"/>
            <rFont val="Calibri"/>
            <family val="2"/>
          </rPr>
          <t>Author:
Honolulu HFD.xlsx (City &amp; County of Honolulu)</t>
        </r>
      </text>
    </comment>
    <comment ref="P19" authorId="0" shapeId="0" xr:uid="{00000000-0006-0000-0500-000034000000}">
      <text>
        <r>
          <rPr>
            <b/>
            <sz val="9"/>
            <color indexed="81"/>
            <rFont val="Calibri"/>
            <family val="2"/>
          </rPr>
          <t>Author:</t>
        </r>
        <r>
          <rPr>
            <sz val="9"/>
            <color indexed="81"/>
            <rFont val="Calibri"/>
            <family val="2"/>
          </rPr>
          <t xml:space="preserve">
City/Fire Dept log - 2d half.xlsx</t>
        </r>
      </text>
    </comment>
    <comment ref="Z19" authorId="0" shapeId="0" xr:uid="{00000000-0006-0000-0500-000035000000}">
      <text>
        <r>
          <rPr>
            <b/>
            <sz val="9"/>
            <color indexed="81"/>
            <rFont val="Calibri"/>
            <family val="2"/>
          </rPr>
          <t>Author:</t>
        </r>
        <r>
          <rPr>
            <sz val="9"/>
            <color indexed="81"/>
            <rFont val="Calibri"/>
            <family val="2"/>
          </rPr>
          <t xml:space="preserve">
Honolulu/HFD log.xlsx</t>
        </r>
      </text>
    </comment>
    <comment ref="G20" authorId="0" shapeId="0" xr:uid="{00000000-0006-0000-0500-000036000000}">
      <text>
        <r>
          <rPr>
            <b/>
            <sz val="9"/>
            <color indexed="81"/>
            <rFont val="Calibri"/>
            <family val="2"/>
          </rPr>
          <t>Author:</t>
        </r>
        <r>
          <rPr>
            <sz val="9"/>
            <color indexed="81"/>
            <rFont val="Calibri"/>
            <family val="2"/>
          </rPr>
          <t xml:space="preserve">
Maui Fire.xlsx</t>
        </r>
      </text>
    </comment>
    <comment ref="P20" authorId="0" shapeId="0" xr:uid="{00000000-0006-0000-0500-000037000000}">
      <text>
        <r>
          <rPr>
            <b/>
            <sz val="10"/>
            <color indexed="81"/>
            <rFont val="Calibri"/>
            <family val="2"/>
          </rPr>
          <t>Author:</t>
        </r>
        <r>
          <rPr>
            <sz val="10"/>
            <color indexed="81"/>
            <rFont val="Calibri"/>
            <family val="2"/>
          </rPr>
          <t xml:space="preserve">
Maui Fire log corrected 26oct16.xlsx</t>
        </r>
      </text>
    </comment>
    <comment ref="Z20" authorId="0" shapeId="0" xr:uid="{00000000-0006-0000-0500-000038000000}">
      <text>
        <r>
          <rPr>
            <b/>
            <sz val="10"/>
            <color indexed="81"/>
            <rFont val="Calibri"/>
            <family val="2"/>
          </rPr>
          <t>Author:</t>
        </r>
        <r>
          <rPr>
            <sz val="10"/>
            <color indexed="81"/>
            <rFont val="Calibri"/>
            <family val="2"/>
          </rPr>
          <t xml:space="preserve">
Maui/Maui Fire log.xlsx</t>
        </r>
      </text>
    </comment>
    <comment ref="G21" authorId="0" shapeId="0" xr:uid="{00000000-0006-0000-0500-000039000000}">
      <text>
        <r>
          <rPr>
            <b/>
            <sz val="9"/>
            <color indexed="81"/>
            <rFont val="Calibri"/>
            <family val="2"/>
          </rPr>
          <t>Author:</t>
        </r>
        <r>
          <rPr>
            <sz val="9"/>
            <color indexed="81"/>
            <rFont val="Calibri"/>
            <family val="2"/>
          </rPr>
          <t xml:space="preserve">
Kauai Fire.xlsx</t>
        </r>
      </text>
    </comment>
    <comment ref="P21" authorId="0" shapeId="0" xr:uid="{00000000-0006-0000-0500-00003A000000}">
      <text>
        <r>
          <rPr>
            <b/>
            <sz val="10"/>
            <color indexed="81"/>
            <rFont val="Calibri"/>
            <family val="2"/>
          </rPr>
          <t>Author:</t>
        </r>
        <r>
          <rPr>
            <sz val="10"/>
            <color indexed="81"/>
            <rFont val="Calibri"/>
            <family val="2"/>
          </rPr>
          <t xml:space="preserve">
Kaua`i Fire log.xlsx</t>
        </r>
      </text>
    </comment>
    <comment ref="Z21" authorId="0" shapeId="0" xr:uid="{00000000-0006-0000-0500-00003B000000}">
      <text>
        <r>
          <rPr>
            <b/>
            <sz val="10"/>
            <color indexed="81"/>
            <rFont val="Calibri"/>
            <family val="2"/>
          </rPr>
          <t>Author:</t>
        </r>
        <r>
          <rPr>
            <sz val="10"/>
            <color indexed="81"/>
            <rFont val="Calibri"/>
            <family val="2"/>
          </rPr>
          <t xml:space="preserve">
Kaua`i/Fire Dept log.xlsx</t>
        </r>
      </text>
    </comment>
    <comment ref="G22" authorId="0" shapeId="0" xr:uid="{00000000-0006-0000-0500-00003C000000}">
      <text>
        <r>
          <rPr>
            <b/>
            <sz val="10"/>
            <color indexed="81"/>
            <rFont val="Calibri"/>
            <family val="2"/>
          </rPr>
          <t>Author:</t>
        </r>
        <r>
          <rPr>
            <sz val="10"/>
            <color indexed="81"/>
            <rFont val="Calibri"/>
            <family val="2"/>
          </rPr>
          <t xml:space="preserve">
Hawaii Fire.xlsx</t>
        </r>
      </text>
    </comment>
    <comment ref="B23" authorId="0" shapeId="0" xr:uid="{00000000-0006-0000-0500-00003D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23" authorId="0" shapeId="0" xr:uid="{00000000-0006-0000-0500-00003E000000}">
      <text>
        <r>
          <rPr>
            <b/>
            <sz val="9"/>
            <color indexed="81"/>
            <rFont val="Calibri"/>
            <family val="2"/>
          </rPr>
          <t>Author:</t>
        </r>
        <r>
          <rPr>
            <sz val="9"/>
            <color indexed="81"/>
            <rFont val="Calibri"/>
            <family val="2"/>
          </rPr>
          <t xml:space="preserve">
Honolulu Liquor.xlsx (City &amp; County of Honolulu)</t>
        </r>
      </text>
    </comment>
    <comment ref="P23" authorId="0" shapeId="0" xr:uid="{00000000-0006-0000-0500-00003F000000}">
      <text>
        <r>
          <rPr>
            <b/>
            <sz val="9"/>
            <color indexed="81"/>
            <rFont val="Calibri"/>
            <family val="2"/>
          </rPr>
          <t>Author:</t>
        </r>
        <r>
          <rPr>
            <sz val="9"/>
            <color indexed="81"/>
            <rFont val="Calibri"/>
            <family val="2"/>
          </rPr>
          <t xml:space="preserve">
City/Liquor log (corrected).xlsx</t>
        </r>
      </text>
    </comment>
    <comment ref="Z23" authorId="0" shapeId="0" xr:uid="{00000000-0006-0000-0500-000040000000}">
      <text>
        <r>
          <rPr>
            <b/>
            <sz val="9"/>
            <color indexed="81"/>
            <rFont val="Calibri"/>
            <family val="2"/>
          </rPr>
          <t>Author:</t>
        </r>
        <r>
          <rPr>
            <sz val="9"/>
            <color indexed="81"/>
            <rFont val="Calibri"/>
            <family val="2"/>
          </rPr>
          <t xml:space="preserve">
Honolulu/Liquor Commission log.xlsx</t>
        </r>
      </text>
    </comment>
    <comment ref="G24" authorId="0" shapeId="0" xr:uid="{00000000-0006-0000-0500-000041000000}">
      <text>
        <r>
          <rPr>
            <b/>
            <sz val="9"/>
            <color indexed="81"/>
            <rFont val="Calibri"/>
            <family val="2"/>
          </rPr>
          <t>Author:
Honolulu Liquor.xlsx (City &amp; County of Honolulu)</t>
        </r>
      </text>
    </comment>
    <comment ref="P24" authorId="0" shapeId="0" xr:uid="{00000000-0006-0000-0500-000042000000}">
      <text>
        <r>
          <rPr>
            <b/>
            <sz val="9"/>
            <color indexed="81"/>
            <rFont val="Calibri"/>
            <family val="2"/>
          </rPr>
          <t>Author:</t>
        </r>
        <r>
          <rPr>
            <sz val="9"/>
            <color indexed="81"/>
            <rFont val="Calibri"/>
            <family val="2"/>
          </rPr>
          <t xml:space="preserve">
City/Liquor log (corrected).xlsx</t>
        </r>
      </text>
    </comment>
    <comment ref="Z24" authorId="0" shapeId="0" xr:uid="{00000000-0006-0000-0500-000043000000}">
      <text>
        <r>
          <rPr>
            <b/>
            <sz val="9"/>
            <color indexed="81"/>
            <rFont val="Calibri"/>
            <family val="2"/>
          </rPr>
          <t>Author:</t>
        </r>
        <r>
          <rPr>
            <sz val="9"/>
            <color indexed="81"/>
            <rFont val="Calibri"/>
            <family val="2"/>
          </rPr>
          <t xml:space="preserve">
Honolulu/Liquor Commission log.xlsx</t>
        </r>
      </text>
    </comment>
    <comment ref="G25" authorId="0" shapeId="0" xr:uid="{00000000-0006-0000-0500-000044000000}">
      <text>
        <r>
          <rPr>
            <b/>
            <sz val="9"/>
            <color indexed="81"/>
            <rFont val="Calibri"/>
            <family val="2"/>
          </rPr>
          <t>Author:</t>
        </r>
        <r>
          <rPr>
            <sz val="9"/>
            <color indexed="81"/>
            <rFont val="Calibri"/>
            <family val="2"/>
          </rPr>
          <t xml:space="preserve">
Maui Liquor.xlsx</t>
        </r>
      </text>
    </comment>
    <comment ref="Z25" authorId="0" shapeId="0" xr:uid="{00000000-0006-0000-0500-000045000000}">
      <text>
        <r>
          <rPr>
            <b/>
            <sz val="10"/>
            <color indexed="81"/>
            <rFont val="Calibri"/>
            <family val="2"/>
          </rPr>
          <t>Author:</t>
        </r>
        <r>
          <rPr>
            <sz val="10"/>
            <color indexed="81"/>
            <rFont val="Calibri"/>
            <family val="2"/>
          </rPr>
          <t xml:space="preserve">
Maui/Liquor Control log.xlsx</t>
        </r>
      </text>
    </comment>
    <comment ref="G26" authorId="0" shapeId="0" xr:uid="{00000000-0006-0000-0500-000046000000}">
      <text>
        <r>
          <rPr>
            <b/>
            <sz val="9"/>
            <color indexed="81"/>
            <rFont val="Calibri"/>
            <family val="2"/>
          </rPr>
          <t>Author:
Log incomplete</t>
        </r>
      </text>
    </comment>
    <comment ref="P26" authorId="0" shapeId="0" xr:uid="{00000000-0006-0000-0500-000047000000}">
      <text>
        <r>
          <rPr>
            <b/>
            <sz val="10"/>
            <color indexed="81"/>
            <rFont val="Calibri"/>
            <family val="2"/>
          </rPr>
          <t>Author:</t>
        </r>
        <r>
          <rPr>
            <sz val="10"/>
            <color indexed="81"/>
            <rFont val="Calibri"/>
            <family val="2"/>
          </rPr>
          <t xml:space="preserve">
Kaua`i Liquor Log.xlsx</t>
        </r>
      </text>
    </comment>
    <comment ref="G27" authorId="0" shapeId="0" xr:uid="{00000000-0006-0000-0500-000048000000}">
      <text>
        <r>
          <rPr>
            <b/>
            <sz val="10"/>
            <color indexed="81"/>
            <rFont val="Calibri"/>
            <family val="2"/>
          </rPr>
          <t>Author:</t>
        </r>
        <r>
          <rPr>
            <sz val="10"/>
            <color indexed="81"/>
            <rFont val="Calibri"/>
            <family val="2"/>
          </rPr>
          <t xml:space="preserve">
Hawaii Liquor.xlsx</t>
        </r>
      </text>
    </comment>
    <comment ref="P27" authorId="0" shapeId="0" xr:uid="{00000000-0006-0000-0500-000049000000}">
      <text>
        <r>
          <rPr>
            <b/>
            <sz val="9"/>
            <color rgb="FF000000"/>
            <rFont val="Calibri"/>
            <family val="2"/>
          </rPr>
          <t>Author:</t>
        </r>
        <r>
          <rPr>
            <sz val="9"/>
            <color rgb="FF000000"/>
            <rFont val="Calibri"/>
            <family val="2"/>
          </rPr>
          <t xml:space="preserve">
</t>
        </r>
        <r>
          <rPr>
            <sz val="9"/>
            <color rgb="FF000000"/>
            <rFont val="Calibri"/>
            <family val="2"/>
          </rPr>
          <t>Hawai`i/Liquor log.xlsx</t>
        </r>
      </text>
    </comment>
    <comment ref="U27" authorId="0" shapeId="0" xr:uid="{00000000-0006-0000-0500-00004A000000}">
      <text>
        <r>
          <rPr>
            <b/>
            <sz val="10"/>
            <color rgb="FF000000"/>
            <rFont val="Calibri"/>
            <family val="2"/>
          </rPr>
          <t>Author:</t>
        </r>
        <r>
          <rPr>
            <sz val="10"/>
            <color rgb="FF000000"/>
            <rFont val="Calibri"/>
            <family val="2"/>
          </rPr>
          <t xml:space="preserve">
</t>
        </r>
        <r>
          <rPr>
            <sz val="10"/>
            <color rgb="FF000000"/>
            <rFont val="Calibri"/>
            <family val="2"/>
          </rPr>
          <t>Incomplete Log</t>
        </r>
      </text>
    </comment>
    <comment ref="Z27" authorId="0" shapeId="0" xr:uid="{00000000-0006-0000-0500-00004B000000}">
      <text>
        <r>
          <rPr>
            <b/>
            <sz val="9"/>
            <color rgb="FF000000"/>
            <rFont val="Calibri"/>
            <family val="2"/>
          </rPr>
          <t>Author:</t>
        </r>
        <r>
          <rPr>
            <sz val="9"/>
            <color rgb="FF000000"/>
            <rFont val="Calibri"/>
            <family val="2"/>
          </rPr>
          <t xml:space="preserve">
</t>
        </r>
        <r>
          <rPr>
            <sz val="9"/>
            <color rgb="FF000000"/>
            <rFont val="Calibri"/>
            <family val="2"/>
          </rPr>
          <t>The Liquor Department used an ad hoc format this year that failed to record completion dates.</t>
        </r>
      </text>
    </comment>
    <comment ref="G28" authorId="0" shapeId="0" xr:uid="{00000000-0006-0000-0500-00004C000000}">
      <text>
        <r>
          <rPr>
            <b/>
            <sz val="9"/>
            <color indexed="81"/>
            <rFont val="Calibri"/>
            <family val="2"/>
          </rPr>
          <t>Author:</t>
        </r>
        <r>
          <rPr>
            <sz val="9"/>
            <color indexed="81"/>
            <rFont val="Calibri"/>
            <family val="2"/>
          </rPr>
          <t xml:space="preserve">
Honolulu Mayor - 1st half.xlsx</t>
        </r>
      </text>
    </comment>
    <comment ref="P28" authorId="0" shapeId="0" xr:uid="{00000000-0006-0000-0500-00004D000000}">
      <text>
        <r>
          <rPr>
            <b/>
            <sz val="9"/>
            <color indexed="81"/>
            <rFont val="Calibri"/>
            <family val="2"/>
          </rPr>
          <t>Author:</t>
        </r>
        <r>
          <rPr>
            <sz val="9"/>
            <color indexed="81"/>
            <rFont val="Calibri"/>
            <family val="2"/>
          </rPr>
          <t xml:space="preserve">
City/Mayor-Managing Dir log.xlsx (City &amp; County of Honolulu)</t>
        </r>
      </text>
    </comment>
    <comment ref="Z28" authorId="0" shapeId="0" xr:uid="{77966610-2AB7-A14B-8DF0-30A636A7C70B}">
      <text>
        <r>
          <rPr>
            <b/>
            <sz val="9"/>
            <color rgb="FF000000"/>
            <rFont val="Calibri"/>
            <family val="2"/>
          </rPr>
          <t>Author:</t>
        </r>
        <r>
          <rPr>
            <sz val="9"/>
            <color rgb="FF000000"/>
            <rFont val="Calibri"/>
            <family val="2"/>
          </rPr>
          <t xml:space="preserve">
</t>
        </r>
        <r>
          <rPr>
            <sz val="9"/>
            <color rgb="FF000000"/>
            <rFont val="Calibri"/>
            <family val="2"/>
          </rPr>
          <t>Honolulu/MAY-MDO log.xlsx</t>
        </r>
      </text>
    </comment>
    <comment ref="G29" authorId="0" shapeId="0" xr:uid="{00000000-0006-0000-0500-00004F000000}">
      <text>
        <r>
          <rPr>
            <b/>
            <sz val="9"/>
            <color indexed="81"/>
            <rFont val="Calibri"/>
            <family val="2"/>
          </rPr>
          <t>Author:</t>
        </r>
        <r>
          <rPr>
            <sz val="9"/>
            <color indexed="81"/>
            <rFont val="Calibri"/>
            <family val="2"/>
          </rPr>
          <t xml:space="preserve">
Honolulu Mayor - 1st half.xlsx</t>
        </r>
      </text>
    </comment>
    <comment ref="P29" authorId="0" shapeId="0" xr:uid="{00000000-0006-0000-0500-000050000000}">
      <text>
        <r>
          <rPr>
            <b/>
            <sz val="9"/>
            <color indexed="81"/>
            <rFont val="Calibri"/>
            <family val="2"/>
          </rPr>
          <t>Author:</t>
        </r>
        <r>
          <rPr>
            <sz val="9"/>
            <color indexed="81"/>
            <rFont val="Calibri"/>
            <family val="2"/>
          </rPr>
          <t xml:space="preserve">
City/Mayor-Managing Dir log.xlsx</t>
        </r>
      </text>
    </comment>
    <comment ref="Z29" authorId="0" shapeId="0" xr:uid="{00000000-0006-0000-0500-000051000000}">
      <text>
        <r>
          <rPr>
            <b/>
            <sz val="9"/>
            <color rgb="FF000000"/>
            <rFont val="Calibri"/>
            <family val="2"/>
          </rPr>
          <t>Author:</t>
        </r>
        <r>
          <rPr>
            <sz val="9"/>
            <color rgb="FF000000"/>
            <rFont val="Calibri"/>
            <family val="2"/>
          </rPr>
          <t xml:space="preserve">
</t>
        </r>
        <r>
          <rPr>
            <sz val="9"/>
            <color rgb="FF000000"/>
            <rFont val="Calibri"/>
            <family val="2"/>
          </rPr>
          <t>Honolulu/MAY-MDO log.xlsx</t>
        </r>
      </text>
    </comment>
    <comment ref="G30" authorId="0" shapeId="0" xr:uid="{00000000-0006-0000-0500-000052000000}">
      <text>
        <r>
          <rPr>
            <b/>
            <sz val="9"/>
            <color rgb="FF000000"/>
            <rFont val="Calibri"/>
            <family val="2"/>
          </rPr>
          <t>Author:</t>
        </r>
        <r>
          <rPr>
            <sz val="9"/>
            <color rgb="FF000000"/>
            <rFont val="Calibri"/>
            <family val="2"/>
          </rPr>
          <t xml:space="preserve">
</t>
        </r>
        <r>
          <rPr>
            <sz val="9"/>
            <color rgb="FF000000"/>
            <rFont val="Calibri"/>
            <family val="2"/>
          </rPr>
          <t>Maui Mayor.xlsx</t>
        </r>
      </text>
    </comment>
    <comment ref="P30" authorId="0" shapeId="0" xr:uid="{00000000-0006-0000-0500-000053000000}">
      <text>
        <r>
          <rPr>
            <b/>
            <sz val="10"/>
            <color indexed="81"/>
            <rFont val="Calibri"/>
            <family val="2"/>
          </rPr>
          <t>Author:</t>
        </r>
        <r>
          <rPr>
            <sz val="10"/>
            <color indexed="81"/>
            <rFont val="Calibri"/>
            <family val="2"/>
          </rPr>
          <t xml:space="preserve">
Maui Mayor Log.xlsx</t>
        </r>
      </text>
    </comment>
    <comment ref="Z30" authorId="0" shapeId="0" xr:uid="{00000000-0006-0000-0500-000054000000}">
      <text>
        <r>
          <rPr>
            <b/>
            <sz val="10"/>
            <color rgb="FF000000"/>
            <rFont val="Calibri"/>
            <family val="2"/>
          </rPr>
          <t>Author:</t>
        </r>
        <r>
          <rPr>
            <sz val="10"/>
            <color rgb="FF000000"/>
            <rFont val="Calibri"/>
            <family val="2"/>
          </rPr>
          <t xml:space="preserve">
</t>
        </r>
        <r>
          <rPr>
            <sz val="10"/>
            <color rgb="FF000000"/>
            <rFont val="Calibri"/>
            <family val="2"/>
          </rPr>
          <t>Maui/MayorsOffice.xlsx</t>
        </r>
      </text>
    </comment>
    <comment ref="CR30" authorId="0" shapeId="0" xr:uid="{F4E72123-18CC-F847-B8FF-E00336AE9DE7}">
      <text>
        <r>
          <rPr>
            <b/>
            <sz val="10"/>
            <color rgb="FF000000"/>
            <rFont val="Tahoma"/>
            <family val="2"/>
          </rPr>
          <t xml:space="preserve">Author:
</t>
        </r>
        <r>
          <rPr>
            <sz val="10"/>
            <color rgb="FF000000"/>
            <rFont val="Tahoma"/>
            <family val="2"/>
          </rPr>
          <t>Mayor</t>
        </r>
      </text>
    </comment>
    <comment ref="G31" authorId="0" shapeId="0" xr:uid="{00000000-0006-0000-0500-000055000000}">
      <text>
        <r>
          <rPr>
            <b/>
            <sz val="9"/>
            <color indexed="81"/>
            <rFont val="Calibri"/>
            <family val="2"/>
          </rPr>
          <t>Author:</t>
        </r>
        <r>
          <rPr>
            <sz val="9"/>
            <color indexed="81"/>
            <rFont val="Calibri"/>
            <family val="2"/>
          </rPr>
          <t xml:space="preserve">
Kauai Mayor.xlsx (Kaua‘i County)</t>
        </r>
      </text>
    </comment>
    <comment ref="P31" authorId="0" shapeId="0" xr:uid="{00000000-0006-0000-0500-000056000000}">
      <text>
        <r>
          <rPr>
            <b/>
            <sz val="9"/>
            <color indexed="81"/>
            <rFont val="Calibri"/>
            <family val="2"/>
          </rPr>
          <t>Author:</t>
        </r>
        <r>
          <rPr>
            <sz val="9"/>
            <color indexed="81"/>
            <rFont val="Calibri"/>
            <family val="2"/>
          </rPr>
          <t xml:space="preserve">
Kaua`i Mayor log.xlsx</t>
        </r>
      </text>
    </comment>
    <comment ref="Z31" authorId="0" shapeId="0" xr:uid="{00000000-0006-0000-0500-000057000000}">
      <text>
        <r>
          <rPr>
            <b/>
            <sz val="9"/>
            <color rgb="FF000000"/>
            <rFont val="Calibri"/>
            <family val="2"/>
          </rPr>
          <t>Author:</t>
        </r>
        <r>
          <rPr>
            <sz val="9"/>
            <color rgb="FF000000"/>
            <rFont val="Calibri"/>
            <family val="2"/>
          </rPr>
          <t xml:space="preserve">
</t>
        </r>
        <r>
          <rPr>
            <sz val="9"/>
            <color rgb="FF000000"/>
            <rFont val="Calibri"/>
            <family val="2"/>
          </rPr>
          <t>Kaua`i/Mayor log.xlsx</t>
        </r>
      </text>
    </comment>
    <comment ref="G32" authorId="0" shapeId="0" xr:uid="{00000000-0006-0000-0500-000058000000}">
      <text>
        <r>
          <rPr>
            <b/>
            <sz val="9"/>
            <color indexed="81"/>
            <rFont val="Calibri"/>
            <family val="2"/>
          </rPr>
          <t>Author:</t>
        </r>
        <r>
          <rPr>
            <sz val="9"/>
            <color indexed="81"/>
            <rFont val="Calibri"/>
            <family val="2"/>
          </rPr>
          <t xml:space="preserve">
Hawai`i Mayor-2d half.xlsx</t>
        </r>
      </text>
    </comment>
    <comment ref="P32" authorId="0" shapeId="0" xr:uid="{00000000-0006-0000-0500-000059000000}">
      <text>
        <r>
          <rPr>
            <b/>
            <sz val="9"/>
            <color indexed="81"/>
            <rFont val="Calibri"/>
            <family val="2"/>
          </rPr>
          <t>Author:</t>
        </r>
        <r>
          <rPr>
            <sz val="9"/>
            <color indexed="81"/>
            <rFont val="Calibri"/>
            <family val="2"/>
          </rPr>
          <t xml:space="preserve">
Hawaii/Mayor log.xlsx</t>
        </r>
      </text>
    </comment>
    <comment ref="T32" authorId="0" shapeId="0" xr:uid="{00000000-0006-0000-0500-00005A000000}">
      <text>
        <r>
          <rPr>
            <b/>
            <sz val="10"/>
            <color indexed="81"/>
            <rFont val="Calibri"/>
            <family val="2"/>
          </rPr>
          <t>Author:</t>
        </r>
        <r>
          <rPr>
            <sz val="10"/>
            <color indexed="81"/>
            <rFont val="Calibri"/>
            <family val="2"/>
          </rPr>
          <t xml:space="preserve">
Because of the change in administration, the Hawai`i County Mayor's office had no information about requests made in the first half of FY 2017.</t>
        </r>
      </text>
    </comment>
    <comment ref="Z32" authorId="0" shapeId="0" xr:uid="{00000000-0006-0000-0500-00005B000000}">
      <text>
        <r>
          <rPr>
            <b/>
            <sz val="9"/>
            <color rgb="FF000000"/>
            <rFont val="Calibri"/>
            <family val="2"/>
          </rPr>
          <t>Author:</t>
        </r>
        <r>
          <rPr>
            <sz val="9"/>
            <color rgb="FF000000"/>
            <rFont val="Calibri"/>
            <family val="2"/>
          </rPr>
          <t xml:space="preserve">
</t>
        </r>
        <r>
          <rPr>
            <sz val="9"/>
            <color rgb="FF000000"/>
            <rFont val="Calibri"/>
            <family val="2"/>
          </rPr>
          <t>Hawaii/Mayor 1st half.xlsx</t>
        </r>
      </text>
    </comment>
    <comment ref="G33" authorId="0" shapeId="0" xr:uid="{00000000-0006-0000-0500-00005C000000}">
      <text>
        <r>
          <rPr>
            <b/>
            <sz val="9"/>
            <color indexed="81"/>
            <rFont val="Calibri"/>
            <family val="2"/>
          </rPr>
          <t>Author:</t>
        </r>
        <r>
          <rPr>
            <sz val="9"/>
            <color indexed="81"/>
            <rFont val="Calibri"/>
            <family val="2"/>
          </rPr>
          <t xml:space="preserve">
Honolulu DPR.xlsx (City &amp; County of Honolulu)</t>
        </r>
      </text>
    </comment>
    <comment ref="P33" authorId="0" shapeId="0" xr:uid="{00000000-0006-0000-0500-00005D000000}">
      <text>
        <r>
          <rPr>
            <b/>
            <sz val="9"/>
            <color indexed="81"/>
            <rFont val="Calibri"/>
            <family val="2"/>
          </rPr>
          <t>Author:</t>
        </r>
        <r>
          <rPr>
            <sz val="9"/>
            <color indexed="81"/>
            <rFont val="Calibri"/>
            <family val="2"/>
          </rPr>
          <t xml:space="preserve">
City/Parks and rec log.xlsx</t>
        </r>
      </text>
    </comment>
    <comment ref="Z33" authorId="0" shapeId="0" xr:uid="{00000000-0006-0000-0500-00005E000000}">
      <text>
        <r>
          <rPr>
            <b/>
            <sz val="9"/>
            <color indexed="81"/>
            <rFont val="Calibri"/>
            <family val="2"/>
          </rPr>
          <t>Author:</t>
        </r>
        <r>
          <rPr>
            <sz val="9"/>
            <color indexed="81"/>
            <rFont val="Calibri"/>
            <family val="2"/>
          </rPr>
          <t xml:space="preserve">
Honolulu/DPR log.xlsx</t>
        </r>
      </text>
    </comment>
    <comment ref="AJ33" authorId="0" shapeId="0" xr:uid="{94522A71-69CA-F041-BD6D-A2157BE0DD3E}">
      <text>
        <r>
          <rPr>
            <sz val="10"/>
            <color rgb="FF000000"/>
            <rFont val="Tahoma"/>
            <family val="2"/>
          </rPr>
          <t xml:space="preserve">Author:
</t>
        </r>
        <r>
          <rPr>
            <sz val="10"/>
            <color rgb="FF000000"/>
            <rFont val="Tahoma"/>
            <family val="2"/>
          </rPr>
          <t>Hawaii County</t>
        </r>
      </text>
    </comment>
    <comment ref="AT33" authorId="0" shapeId="0" xr:uid="{8EDAAA7E-61CF-934A-877C-0581B385B8F4}">
      <text>
        <r>
          <rPr>
            <sz val="10"/>
            <color rgb="FF000000"/>
            <rFont val="Tahoma"/>
            <family val="2"/>
          </rPr>
          <t xml:space="preserve">Author:
</t>
        </r>
        <r>
          <rPr>
            <sz val="10"/>
            <color rgb="FF000000"/>
            <rFont val="Tahoma"/>
            <family val="2"/>
          </rPr>
          <t>Oahu</t>
        </r>
      </text>
    </comment>
    <comment ref="BD33" authorId="0" shapeId="0" xr:uid="{C4996666-DBC5-6846-8731-BF05ED6009EA}">
      <text>
        <r>
          <rPr>
            <sz val="10"/>
            <color rgb="FF000000"/>
            <rFont val="Tahoma"/>
            <family val="2"/>
          </rPr>
          <t xml:space="preserve">Author:
</t>
        </r>
        <r>
          <rPr>
            <sz val="10"/>
            <color rgb="FF000000"/>
            <rFont val="Tahoma"/>
            <family val="2"/>
          </rPr>
          <t>Hawaii County</t>
        </r>
      </text>
    </comment>
    <comment ref="BN33" authorId="0" shapeId="0" xr:uid="{C4BAF5CA-D865-094D-89C5-8442B83F5CF5}">
      <text>
        <r>
          <rPr>
            <b/>
            <sz val="10"/>
            <color rgb="FF000000"/>
            <rFont val="Tahoma"/>
            <family val="2"/>
          </rPr>
          <t>Author:</t>
        </r>
        <r>
          <rPr>
            <sz val="10"/>
            <color rgb="FF000000"/>
            <rFont val="Tahoma"/>
            <family val="2"/>
          </rPr>
          <t xml:space="preserve">
</t>
        </r>
        <r>
          <rPr>
            <sz val="10"/>
            <color rgb="FF000000"/>
            <rFont val="Tahoma"/>
            <family val="2"/>
          </rPr>
          <t>Hawaii County</t>
        </r>
      </text>
    </comment>
    <comment ref="BX33" authorId="0" shapeId="0" xr:uid="{830184B3-F8B5-E94B-91FF-F0ADD64FC8DE}">
      <text>
        <r>
          <rPr>
            <b/>
            <sz val="10"/>
            <color rgb="FF000000"/>
            <rFont val="Tahoma"/>
            <family val="2"/>
          </rPr>
          <t>Author:</t>
        </r>
        <r>
          <rPr>
            <sz val="10"/>
            <color rgb="FF000000"/>
            <rFont val="Tahoma"/>
            <family val="2"/>
          </rPr>
          <t xml:space="preserve">
</t>
        </r>
        <r>
          <rPr>
            <sz val="10"/>
            <color rgb="FF000000"/>
            <rFont val="Tahoma"/>
            <family val="2"/>
          </rPr>
          <t>Honolulu</t>
        </r>
      </text>
    </comment>
    <comment ref="CH33" authorId="0" shapeId="0" xr:uid="{3E3F5772-E699-7542-8B1A-503C30529A48}">
      <text>
        <r>
          <rPr>
            <b/>
            <sz val="10"/>
            <color rgb="FF000000"/>
            <rFont val="Tahoma"/>
            <family val="2"/>
          </rPr>
          <t>Author:</t>
        </r>
        <r>
          <rPr>
            <sz val="10"/>
            <color rgb="FF000000"/>
            <rFont val="Tahoma"/>
            <family val="2"/>
          </rPr>
          <t xml:space="preserve">
</t>
        </r>
        <r>
          <rPr>
            <sz val="10"/>
            <color rgb="FF000000"/>
            <rFont val="Tahoma"/>
            <family val="2"/>
          </rPr>
          <t>Hawaii</t>
        </r>
      </text>
    </comment>
    <comment ref="CR33" authorId="0" shapeId="0" xr:uid="{BED6D0CC-0D4E-B149-BDC0-5668621CACDF}">
      <text>
        <r>
          <rPr>
            <b/>
            <sz val="10"/>
            <color rgb="FF000000"/>
            <rFont val="Tahoma"/>
            <family val="2"/>
          </rPr>
          <t>Author:</t>
        </r>
        <r>
          <rPr>
            <sz val="10"/>
            <color rgb="FF000000"/>
            <rFont val="Tahoma"/>
            <family val="2"/>
          </rPr>
          <t xml:space="preserve">
</t>
        </r>
        <r>
          <rPr>
            <sz val="10"/>
            <color rgb="FF000000"/>
            <rFont val="Tahoma"/>
            <family val="2"/>
          </rPr>
          <t>Honolulu</t>
        </r>
      </text>
    </comment>
    <comment ref="G34" authorId="0" shapeId="0" xr:uid="{00000000-0006-0000-0500-00005F000000}">
      <text>
        <r>
          <rPr>
            <b/>
            <sz val="9"/>
            <color indexed="81"/>
            <rFont val="Calibri"/>
            <family val="2"/>
          </rPr>
          <t>Author:</t>
        </r>
        <r>
          <rPr>
            <sz val="9"/>
            <color indexed="81"/>
            <rFont val="Calibri"/>
            <family val="2"/>
          </rPr>
          <t xml:space="preserve">
Hawaii HR.xlsx (Hawai‘i County)</t>
        </r>
      </text>
    </comment>
    <comment ref="P34" authorId="0" shapeId="0" xr:uid="{00000000-0006-0000-0500-000060000000}">
      <text>
        <r>
          <rPr>
            <b/>
            <sz val="9"/>
            <color indexed="81"/>
            <rFont val="Calibri"/>
            <family val="2"/>
          </rPr>
          <t>Author:</t>
        </r>
        <r>
          <rPr>
            <sz val="9"/>
            <color indexed="81"/>
            <rFont val="Calibri"/>
            <family val="2"/>
          </rPr>
          <t xml:space="preserve">
Kauai DHR.xlsx (Kaua`i County)</t>
        </r>
      </text>
    </comment>
    <comment ref="Z34" authorId="0" shapeId="0" xr:uid="{00000000-0006-0000-0500-000061000000}">
      <text>
        <r>
          <rPr>
            <b/>
            <sz val="9"/>
            <color indexed="81"/>
            <rFont val="Calibri"/>
            <family val="2"/>
          </rPr>
          <t>Author:</t>
        </r>
        <r>
          <rPr>
            <sz val="9"/>
            <color indexed="81"/>
            <rFont val="Calibri"/>
            <family val="2"/>
          </rPr>
          <t xml:space="preserve">
Hawai`i/COH HR.xlsx</t>
        </r>
      </text>
    </comment>
    <comment ref="AJ34" authorId="0" shapeId="0" xr:uid="{45931481-327A-EF45-8514-BFE248B3A03F}">
      <text>
        <r>
          <rPr>
            <sz val="10"/>
            <color rgb="FF000000"/>
            <rFont val="Tahoma"/>
            <family val="2"/>
          </rPr>
          <t xml:space="preserve">Author:
</t>
        </r>
        <r>
          <rPr>
            <sz val="10"/>
            <color rgb="FF000000"/>
            <rFont val="Tahoma"/>
            <family val="2"/>
          </rPr>
          <t>Kauai</t>
        </r>
      </text>
    </comment>
    <comment ref="AT34" authorId="0" shapeId="0" xr:uid="{FCB238F2-511A-F247-8E3A-2C6D75121E4B}">
      <text>
        <r>
          <rPr>
            <sz val="10"/>
            <color rgb="FF000000"/>
            <rFont val="Tahoma"/>
            <family val="2"/>
          </rPr>
          <t xml:space="preserve">Author:
</t>
        </r>
        <r>
          <rPr>
            <sz val="10"/>
            <color rgb="FF000000"/>
            <rFont val="Tahoma"/>
            <family val="2"/>
          </rPr>
          <t>Hawaii County</t>
        </r>
      </text>
    </comment>
    <comment ref="BD34" authorId="0" shapeId="0" xr:uid="{F43B7934-4DC3-C949-8CA3-E9134E6766FD}">
      <text>
        <r>
          <rPr>
            <b/>
            <sz val="10"/>
            <color rgb="FF000000"/>
            <rFont val="Tahoma"/>
            <family val="2"/>
          </rPr>
          <t xml:space="preserve">Author:
</t>
        </r>
        <r>
          <rPr>
            <sz val="10"/>
            <color rgb="FF000000"/>
            <rFont val="Tahoma"/>
            <family val="2"/>
          </rPr>
          <t>Honolulu</t>
        </r>
      </text>
    </comment>
    <comment ref="BN34" authorId="0" shapeId="0" xr:uid="{23463FB0-845C-894B-8F3B-AE2A2B523D69}">
      <text>
        <r>
          <rPr>
            <b/>
            <sz val="10"/>
            <color rgb="FF000000"/>
            <rFont val="Tahoma"/>
            <family val="2"/>
          </rPr>
          <t>Author:</t>
        </r>
        <r>
          <rPr>
            <sz val="10"/>
            <color rgb="FF000000"/>
            <rFont val="Tahoma"/>
            <family val="2"/>
          </rPr>
          <t xml:space="preserve">
Hawaii County</t>
        </r>
      </text>
    </comment>
    <comment ref="BX34" authorId="0" shapeId="0" xr:uid="{64FE8C3F-C9B2-E246-A6C5-5FF4BBFD3594}">
      <text>
        <r>
          <rPr>
            <sz val="10"/>
            <color rgb="FF000000"/>
            <rFont val="Tahoma"/>
            <family val="2"/>
          </rPr>
          <t xml:space="preserve">Author:
</t>
        </r>
        <r>
          <rPr>
            <sz val="10"/>
            <color rgb="FF000000"/>
            <rFont val="Tahoma"/>
            <family val="2"/>
          </rPr>
          <t>Honolulu</t>
        </r>
      </text>
    </comment>
    <comment ref="CH34" authorId="0" shapeId="0" xr:uid="{2DAAED0E-A781-6941-B161-575BADD3705B}">
      <text>
        <r>
          <rPr>
            <sz val="10"/>
            <color rgb="FF000000"/>
            <rFont val="Tahoma"/>
            <family val="2"/>
          </rPr>
          <t xml:space="preserve">Author:
</t>
        </r>
        <r>
          <rPr>
            <sz val="10"/>
            <color rgb="FF000000"/>
            <rFont val="Tahoma"/>
            <family val="2"/>
          </rPr>
          <t>Honolulu</t>
        </r>
      </text>
    </comment>
    <comment ref="CR34" authorId="0" shapeId="0" xr:uid="{0F35FA9D-4BCF-D34F-99C3-AA9494FF7A2E}">
      <text>
        <r>
          <rPr>
            <sz val="10"/>
            <color rgb="FF000000"/>
            <rFont val="Tahoma"/>
            <family val="2"/>
          </rPr>
          <t xml:space="preserve">Author:
</t>
        </r>
        <r>
          <rPr>
            <sz val="10"/>
            <color rgb="FF000000"/>
            <rFont val="Tahoma"/>
            <family val="2"/>
          </rPr>
          <t>Honolulu</t>
        </r>
      </text>
    </comment>
    <comment ref="B35" authorId="0" shapeId="0" xr:uid="{00000000-0006-0000-0500-000062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35" authorId="0" shapeId="0" xr:uid="{00000000-0006-0000-0500-000063000000}">
      <text>
        <r>
          <rPr>
            <b/>
            <sz val="9"/>
            <color indexed="81"/>
            <rFont val="Calibri"/>
            <family val="2"/>
          </rPr>
          <t>Author:</t>
        </r>
        <r>
          <rPr>
            <sz val="9"/>
            <color indexed="81"/>
            <rFont val="Calibri"/>
            <family val="2"/>
          </rPr>
          <t xml:space="preserve">
Honolulu DPP.xlsx</t>
        </r>
      </text>
    </comment>
    <comment ref="P35" authorId="0" shapeId="0" xr:uid="{00000000-0006-0000-0500-000064000000}">
      <text>
        <r>
          <rPr>
            <b/>
            <sz val="9"/>
            <color indexed="81"/>
            <rFont val="Calibri"/>
            <family val="2"/>
          </rPr>
          <t>Author:</t>
        </r>
        <r>
          <rPr>
            <sz val="9"/>
            <color indexed="81"/>
            <rFont val="Calibri"/>
            <family val="2"/>
          </rPr>
          <t xml:space="preserve">
Maui/Maui Planning log (corrected error).xlsx</t>
        </r>
      </text>
    </comment>
    <comment ref="Z35" authorId="0" shapeId="0" xr:uid="{00000000-0006-0000-0500-000065000000}">
      <text>
        <r>
          <rPr>
            <b/>
            <sz val="9"/>
            <color rgb="FF000000"/>
            <rFont val="Calibri"/>
            <family val="2"/>
          </rPr>
          <t>Author:</t>
        </r>
        <r>
          <rPr>
            <sz val="9"/>
            <color rgb="FF000000"/>
            <rFont val="Calibri"/>
            <family val="2"/>
          </rPr>
          <t xml:space="preserve">
</t>
        </r>
        <r>
          <rPr>
            <sz val="9"/>
            <color rgb="FF000000"/>
            <rFont val="Calibri"/>
            <family val="2"/>
          </rPr>
          <t>DPP - 1-17to6-17.xlsx</t>
        </r>
      </text>
    </comment>
    <comment ref="G36" authorId="0" shapeId="0" xr:uid="{00000000-0006-0000-0500-000066000000}">
      <text>
        <r>
          <rPr>
            <b/>
            <sz val="9"/>
            <color indexed="81"/>
            <rFont val="Calibri"/>
            <family val="2"/>
          </rPr>
          <t>Author:
Honolulu DPP</t>
        </r>
        <r>
          <rPr>
            <sz val="9"/>
            <color indexed="81"/>
            <rFont val="Calibri"/>
            <family val="2"/>
          </rPr>
          <t>.xlsx</t>
        </r>
      </text>
    </comment>
    <comment ref="P36" authorId="0" shapeId="0" xr:uid="{00000000-0006-0000-0500-000067000000}">
      <text>
        <r>
          <rPr>
            <b/>
            <sz val="9"/>
            <color indexed="81"/>
            <rFont val="Calibri"/>
            <family val="2"/>
          </rPr>
          <t>Author:</t>
        </r>
        <r>
          <rPr>
            <sz val="9"/>
            <color indexed="81"/>
            <rFont val="Calibri"/>
            <family val="2"/>
          </rPr>
          <t xml:space="preserve">
City/Planning and Permitting log.xlsx</t>
        </r>
      </text>
    </comment>
    <comment ref="Z36" authorId="0" shapeId="0" xr:uid="{00000000-0006-0000-0500-000068000000}">
      <text>
        <r>
          <rPr>
            <b/>
            <sz val="9"/>
            <color rgb="FF000000"/>
            <rFont val="Calibri"/>
            <family val="2"/>
          </rPr>
          <t>Author:</t>
        </r>
        <r>
          <rPr>
            <sz val="9"/>
            <color rgb="FF000000"/>
            <rFont val="Calibri"/>
            <family val="2"/>
          </rPr>
          <t xml:space="preserve">
</t>
        </r>
        <r>
          <rPr>
            <sz val="9"/>
            <color rgb="FF000000"/>
            <rFont val="Calibri"/>
            <family val="2"/>
          </rPr>
          <t>DPP - 1-17to6-17.xlsx</t>
        </r>
      </text>
    </comment>
    <comment ref="G37" authorId="0" shapeId="0" xr:uid="{00000000-0006-0000-0500-000069000000}">
      <text>
        <r>
          <rPr>
            <b/>
            <sz val="10"/>
            <color indexed="81"/>
            <rFont val="Calibri"/>
            <family val="2"/>
          </rPr>
          <t>Author:</t>
        </r>
        <r>
          <rPr>
            <sz val="10"/>
            <color indexed="81"/>
            <rFont val="Calibri"/>
            <family val="2"/>
          </rPr>
          <t xml:space="preserve">
Maui Planning.xlsx</t>
        </r>
      </text>
    </comment>
    <comment ref="P37" authorId="0" shapeId="0" xr:uid="{00000000-0006-0000-0500-00006A000000}">
      <text>
        <r>
          <rPr>
            <b/>
            <sz val="9"/>
            <color indexed="81"/>
            <rFont val="Calibri"/>
            <family val="2"/>
          </rPr>
          <t>Author:</t>
        </r>
        <r>
          <rPr>
            <sz val="9"/>
            <color indexed="81"/>
            <rFont val="Calibri"/>
            <family val="2"/>
          </rPr>
          <t xml:space="preserve">
Maui/Maui Planning log (corrected error).xlsx</t>
        </r>
      </text>
    </comment>
    <comment ref="Z37" authorId="0" shapeId="0" xr:uid="{00000000-0006-0000-0500-00006B000000}">
      <text>
        <r>
          <rPr>
            <b/>
            <sz val="9"/>
            <color indexed="81"/>
            <rFont val="Calibri"/>
            <family val="2"/>
          </rPr>
          <t>Author:</t>
        </r>
        <r>
          <rPr>
            <sz val="9"/>
            <color indexed="81"/>
            <rFont val="Calibri"/>
            <family val="2"/>
          </rPr>
          <t xml:space="preserve">
Maui/Planning log.xlsx</t>
        </r>
      </text>
    </comment>
    <comment ref="AD37" authorId="0" shapeId="0" xr:uid="{2240C3C9-D3DD-664E-8647-8CF6AA565BC1}">
      <text>
        <r>
          <rPr>
            <b/>
            <sz val="10"/>
            <color rgb="FF000000"/>
            <rFont val="Tahoma"/>
            <family val="2"/>
          </rPr>
          <t>Author:</t>
        </r>
        <r>
          <rPr>
            <sz val="10"/>
            <color rgb="FF000000"/>
            <rFont val="Tahoma"/>
            <family val="2"/>
          </rPr>
          <t xml:space="preserve">
Incomplete records</t>
        </r>
      </text>
    </comment>
    <comment ref="AN37" authorId="0" shapeId="0" xr:uid="{1335D4EF-7BB3-1A4C-92AF-3E60613057CE}">
      <text>
        <r>
          <rPr>
            <b/>
            <sz val="10"/>
            <color rgb="FF000000"/>
            <rFont val="Tahoma"/>
            <family val="2"/>
          </rPr>
          <t>Author:</t>
        </r>
        <r>
          <rPr>
            <sz val="10"/>
            <color rgb="FF000000"/>
            <rFont val="Tahoma"/>
            <family val="2"/>
          </rPr>
          <t xml:space="preserve">
</t>
        </r>
        <r>
          <rPr>
            <sz val="10"/>
            <color rgb="FF000000"/>
            <rFont val="Tahoma"/>
            <family val="2"/>
          </rPr>
          <t>Incomplete log</t>
        </r>
      </text>
    </comment>
    <comment ref="G38" authorId="0" shapeId="0" xr:uid="{00000000-0006-0000-0500-00006C000000}">
      <text>
        <r>
          <rPr>
            <b/>
            <sz val="9"/>
            <color indexed="81"/>
            <rFont val="Calibri"/>
            <family val="2"/>
          </rPr>
          <t>Author:</t>
        </r>
        <r>
          <rPr>
            <sz val="9"/>
            <color indexed="81"/>
            <rFont val="Calibri"/>
            <family val="2"/>
          </rPr>
          <t xml:space="preserve">
Kaua`i Planning.xlsx</t>
        </r>
      </text>
    </comment>
    <comment ref="P38" authorId="0" shapeId="0" xr:uid="{00000000-0006-0000-0500-00006D000000}">
      <text>
        <r>
          <rPr>
            <b/>
            <sz val="10"/>
            <color indexed="81"/>
            <rFont val="Calibri"/>
            <family val="2"/>
          </rPr>
          <t>Author:</t>
        </r>
        <r>
          <rPr>
            <sz val="10"/>
            <color indexed="81"/>
            <rFont val="Calibri"/>
            <family val="2"/>
          </rPr>
          <t xml:space="preserve">
Kaua`i/Planning log.xlsx</t>
        </r>
      </text>
    </comment>
    <comment ref="Z38" authorId="0" shapeId="0" xr:uid="{00000000-0006-0000-0500-00006E000000}">
      <text>
        <r>
          <rPr>
            <b/>
            <sz val="10"/>
            <color indexed="81"/>
            <rFont val="Calibri"/>
            <family val="2"/>
          </rPr>
          <t>Author:</t>
        </r>
        <r>
          <rPr>
            <sz val="10"/>
            <color indexed="81"/>
            <rFont val="Calibri"/>
            <family val="2"/>
          </rPr>
          <t xml:space="preserve">
Kaua`i/Planning log.xlsx</t>
        </r>
      </text>
    </comment>
    <comment ref="P39" authorId="0" shapeId="0" xr:uid="{00000000-0006-0000-0500-00006F000000}">
      <text>
        <r>
          <rPr>
            <b/>
            <sz val="9"/>
            <color rgb="FF000000"/>
            <rFont val="Calibri"/>
            <family val="2"/>
          </rPr>
          <t>Author:</t>
        </r>
        <r>
          <rPr>
            <sz val="9"/>
            <color rgb="FF000000"/>
            <rFont val="Calibri"/>
            <family val="2"/>
          </rPr>
          <t xml:space="preserve">
</t>
        </r>
        <r>
          <rPr>
            <sz val="9"/>
            <color rgb="FF000000"/>
            <rFont val="Calibri"/>
            <family val="2"/>
          </rPr>
          <t>Hawai`i/Planning log.xlsx</t>
        </r>
      </text>
    </comment>
    <comment ref="U39" authorId="0" shapeId="0" xr:uid="{00000000-0006-0000-0500-000070000000}">
      <text>
        <r>
          <rPr>
            <b/>
            <sz val="10"/>
            <color rgb="FF000000"/>
            <rFont val="Tahoma"/>
            <family val="2"/>
          </rPr>
          <t>Author:</t>
        </r>
        <r>
          <rPr>
            <sz val="10"/>
            <color rgb="FF000000"/>
            <rFont val="Tahoma"/>
            <family val="2"/>
          </rPr>
          <t xml:space="preserve">
Agency incorrectly completed the log</t>
        </r>
      </text>
    </comment>
    <comment ref="Z39" authorId="0" shapeId="0" xr:uid="{00000000-0006-0000-0500-000071000000}">
      <text>
        <r>
          <rPr>
            <b/>
            <sz val="9"/>
            <color rgb="FF000000"/>
            <rFont val="Calibri"/>
            <family val="2"/>
          </rPr>
          <t>Author:</t>
        </r>
        <r>
          <rPr>
            <sz val="9"/>
            <color rgb="FF000000"/>
            <rFont val="Calibri"/>
            <family val="2"/>
          </rPr>
          <t xml:space="preserve">
</t>
        </r>
        <r>
          <rPr>
            <sz val="9"/>
            <color rgb="FF000000"/>
            <rFont val="Calibri"/>
            <family val="2"/>
          </rPr>
          <t>Hawai`i/Planning log.xlsx</t>
        </r>
      </text>
    </comment>
    <comment ref="B40" authorId="0" shapeId="0" xr:uid="{00000000-0006-0000-0500-000072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40" authorId="0" shapeId="0" xr:uid="{00000000-0006-0000-0500-000073000000}">
      <text>
        <r>
          <rPr>
            <b/>
            <sz val="9"/>
            <color indexed="81"/>
            <rFont val="Calibri"/>
            <family val="2"/>
          </rPr>
          <t>Author:</t>
        </r>
        <r>
          <rPr>
            <sz val="9"/>
            <color indexed="81"/>
            <rFont val="Calibri"/>
            <family val="2"/>
          </rPr>
          <t xml:space="preserve">
Honolulu HPD.xlsx (City &amp; County of Honolulu)</t>
        </r>
      </text>
    </comment>
    <comment ref="P40" authorId="0" shapeId="0" xr:uid="{00000000-0006-0000-0500-000074000000}">
      <text>
        <r>
          <rPr>
            <b/>
            <sz val="9"/>
            <color indexed="81"/>
            <rFont val="Calibri"/>
            <family val="2"/>
          </rPr>
          <t>Author:</t>
        </r>
        <r>
          <rPr>
            <sz val="9"/>
            <color indexed="81"/>
            <rFont val="Calibri"/>
            <family val="2"/>
          </rPr>
          <t xml:space="preserve">
City/Police Dept log.xlsx</t>
        </r>
      </text>
    </comment>
    <comment ref="Z40" authorId="0" shapeId="0" xr:uid="{00000000-0006-0000-0500-000075000000}">
      <text>
        <r>
          <rPr>
            <b/>
            <sz val="9"/>
            <color rgb="FF000000"/>
            <rFont val="Calibri"/>
            <family val="2"/>
          </rPr>
          <t>Author:</t>
        </r>
        <r>
          <rPr>
            <sz val="9"/>
            <color rgb="FF000000"/>
            <rFont val="Calibri"/>
            <family val="2"/>
          </rPr>
          <t xml:space="preserve">
</t>
        </r>
        <r>
          <rPr>
            <sz val="9"/>
            <color rgb="FF000000"/>
            <rFont val="Calibri"/>
            <family val="2"/>
          </rPr>
          <t>Honolulu/HPD log.xlsx</t>
        </r>
      </text>
    </comment>
    <comment ref="G41" authorId="0" shapeId="0" xr:uid="{00000000-0006-0000-0500-000076000000}">
      <text>
        <r>
          <rPr>
            <b/>
            <sz val="9"/>
            <color indexed="81"/>
            <rFont val="Calibri"/>
            <family val="2"/>
          </rPr>
          <t>Author:
Honolulu HPD.xlsx (City &amp; County of Honolulu)</t>
        </r>
      </text>
    </comment>
    <comment ref="P41" authorId="0" shapeId="0" xr:uid="{00000000-0006-0000-0500-000077000000}">
      <text>
        <r>
          <rPr>
            <b/>
            <sz val="9"/>
            <color indexed="81"/>
            <rFont val="Calibri"/>
            <family val="2"/>
          </rPr>
          <t>Author:</t>
        </r>
        <r>
          <rPr>
            <sz val="9"/>
            <color indexed="81"/>
            <rFont val="Calibri"/>
            <family val="2"/>
          </rPr>
          <t xml:space="preserve">
City/Police Dept log.xlsx</t>
        </r>
      </text>
    </comment>
    <comment ref="Z41" authorId="0" shapeId="0" xr:uid="{00000000-0006-0000-0500-000078000000}">
      <text>
        <r>
          <rPr>
            <b/>
            <sz val="9"/>
            <color rgb="FF000000"/>
            <rFont val="Calibri"/>
            <family val="2"/>
          </rPr>
          <t>Author:</t>
        </r>
        <r>
          <rPr>
            <sz val="9"/>
            <color rgb="FF000000"/>
            <rFont val="Calibri"/>
            <family val="2"/>
          </rPr>
          <t xml:space="preserve">
</t>
        </r>
        <r>
          <rPr>
            <sz val="9"/>
            <color rgb="FF000000"/>
            <rFont val="Calibri"/>
            <family val="2"/>
          </rPr>
          <t>Honolulu/HPD log.xlsx</t>
        </r>
      </text>
    </comment>
    <comment ref="CH41" authorId="0" shapeId="0" xr:uid="{3EEC3795-20FE-C44A-95BD-5B4A26AD2038}">
      <text>
        <r>
          <rPr>
            <b/>
            <sz val="10"/>
            <color rgb="FF000000"/>
            <rFont val="Tahoma"/>
            <family val="2"/>
          </rPr>
          <t xml:space="preserve">Author:
</t>
        </r>
        <r>
          <rPr>
            <sz val="10"/>
            <color rgb="FF000000"/>
            <rFont val="Tahoma"/>
            <family val="2"/>
          </rPr>
          <t>Commission</t>
        </r>
      </text>
    </comment>
    <comment ref="G42" authorId="0" shapeId="0" xr:uid="{00000000-0006-0000-0500-000079000000}">
      <text>
        <r>
          <rPr>
            <b/>
            <sz val="9"/>
            <color indexed="81"/>
            <rFont val="Calibri"/>
            <family val="2"/>
          </rPr>
          <t>Author:</t>
        </r>
        <r>
          <rPr>
            <sz val="9"/>
            <color indexed="81"/>
            <rFont val="Calibri"/>
            <family val="2"/>
          </rPr>
          <t xml:space="preserve">
Maui Police.xlsx</t>
        </r>
      </text>
    </comment>
    <comment ref="P42" authorId="0" shapeId="0" xr:uid="{00000000-0006-0000-0500-00007A000000}">
      <text>
        <r>
          <rPr>
            <b/>
            <sz val="9"/>
            <color indexed="81"/>
            <rFont val="Calibri"/>
            <family val="2"/>
          </rPr>
          <t>Author:</t>
        </r>
        <r>
          <rPr>
            <sz val="9"/>
            <color indexed="81"/>
            <rFont val="Calibri"/>
            <family val="2"/>
          </rPr>
          <t xml:space="preserve">
Maui/Maui Police log.xlsx</t>
        </r>
      </text>
    </comment>
    <comment ref="Z42" authorId="0" shapeId="0" xr:uid="{00000000-0006-0000-0500-00007B000000}">
      <text>
        <r>
          <rPr>
            <b/>
            <sz val="9"/>
            <color rgb="FF000000"/>
            <rFont val="Calibri"/>
            <family val="2"/>
          </rPr>
          <t>Author:</t>
        </r>
        <r>
          <rPr>
            <sz val="9"/>
            <color rgb="FF000000"/>
            <rFont val="Calibri"/>
            <family val="2"/>
          </rPr>
          <t xml:space="preserve">
</t>
        </r>
        <r>
          <rPr>
            <sz val="9"/>
            <color rgb="FF000000"/>
            <rFont val="Calibri"/>
            <family val="2"/>
          </rPr>
          <t>Maui/Maui Police log.xlsx</t>
        </r>
      </text>
    </comment>
    <comment ref="G43" authorId="0" shapeId="0" xr:uid="{00000000-0006-0000-0500-00007C000000}">
      <text>
        <r>
          <rPr>
            <b/>
            <sz val="9"/>
            <color indexed="81"/>
            <rFont val="Calibri"/>
            <family val="2"/>
          </rPr>
          <t>Author:</t>
        </r>
        <r>
          <rPr>
            <sz val="9"/>
            <color indexed="81"/>
            <rFont val="Calibri"/>
            <family val="2"/>
          </rPr>
          <t xml:space="preserve">
Kauai Police 1.xlsx</t>
        </r>
      </text>
    </comment>
    <comment ref="P43" authorId="0" shapeId="0" xr:uid="{00000000-0006-0000-0500-00007D000000}">
      <text>
        <r>
          <rPr>
            <b/>
            <sz val="10"/>
            <color indexed="81"/>
            <rFont val="Calibri"/>
            <family val="2"/>
          </rPr>
          <t>Author:</t>
        </r>
        <r>
          <rPr>
            <sz val="10"/>
            <color indexed="81"/>
            <rFont val="Calibri"/>
            <family val="2"/>
          </rPr>
          <t xml:space="preserve">
Kaua`i/KPD log.xlsx</t>
        </r>
      </text>
    </comment>
    <comment ref="Z43" authorId="0" shapeId="0" xr:uid="{00000000-0006-0000-0500-00007E000000}">
      <text>
        <r>
          <rPr>
            <b/>
            <sz val="10"/>
            <color indexed="81"/>
            <rFont val="Calibri"/>
            <family val="2"/>
          </rPr>
          <t>Author:</t>
        </r>
        <r>
          <rPr>
            <sz val="10"/>
            <color indexed="81"/>
            <rFont val="Calibri"/>
            <family val="2"/>
          </rPr>
          <t xml:space="preserve">
Kaua`i/Police log.xlsx</t>
        </r>
      </text>
    </comment>
    <comment ref="P44" authorId="0" shapeId="0" xr:uid="{00000000-0006-0000-0500-00007F000000}">
      <text>
        <r>
          <rPr>
            <b/>
            <sz val="9"/>
            <color rgb="FF000000"/>
            <rFont val="Calibri"/>
            <family val="2"/>
          </rPr>
          <t>Author:</t>
        </r>
        <r>
          <rPr>
            <sz val="9"/>
            <color rgb="FF000000"/>
            <rFont val="Calibri"/>
            <family val="2"/>
          </rPr>
          <t xml:space="preserve">
</t>
        </r>
        <r>
          <rPr>
            <sz val="9"/>
            <color rgb="FF000000"/>
            <rFont val="Calibri"/>
            <family val="2"/>
          </rPr>
          <t>Hawai`i/HPD log.xlsx</t>
        </r>
      </text>
    </comment>
    <comment ref="G45" authorId="0" shapeId="0" xr:uid="{00000000-0006-0000-0500-000080000000}">
      <text>
        <r>
          <rPr>
            <b/>
            <sz val="9"/>
            <color indexed="81"/>
            <rFont val="Calibri"/>
            <family val="2"/>
          </rPr>
          <t>Author:</t>
        </r>
        <r>
          <rPr>
            <sz val="9"/>
            <color indexed="81"/>
            <rFont val="Calibri"/>
            <family val="2"/>
          </rPr>
          <t xml:space="preserve">
Honolulu PAT.xlsx (City &amp; County of Honolulu)</t>
        </r>
      </text>
    </comment>
    <comment ref="P45" authorId="0" shapeId="0" xr:uid="{00000000-0006-0000-0500-000081000000}">
      <text>
        <r>
          <rPr>
            <b/>
            <sz val="9"/>
            <color indexed="81"/>
            <rFont val="Calibri"/>
            <family val="2"/>
          </rPr>
          <t>Author:</t>
        </r>
        <r>
          <rPr>
            <sz val="9"/>
            <color indexed="81"/>
            <rFont val="Calibri"/>
            <family val="2"/>
          </rPr>
          <t xml:space="preserve">
Hawai`i/Prosecuting Attorney log.xlsx (County of Hawai`i)</t>
        </r>
      </text>
    </comment>
    <comment ref="Z45" authorId="0" shapeId="0" xr:uid="{00000000-0006-0000-0500-000082000000}">
      <text>
        <r>
          <rPr>
            <b/>
            <sz val="9"/>
            <color rgb="FF000000"/>
            <rFont val="Calibri"/>
            <family val="2"/>
          </rPr>
          <t>Author:</t>
        </r>
        <r>
          <rPr>
            <sz val="9"/>
            <color rgb="FF000000"/>
            <rFont val="Calibri"/>
            <family val="2"/>
          </rPr>
          <t xml:space="preserve">
</t>
        </r>
        <r>
          <rPr>
            <sz val="9"/>
            <color rgb="FF000000"/>
            <rFont val="Calibri"/>
            <family val="2"/>
          </rPr>
          <t>Honolulu/Prosecuting Atty log.xlsx</t>
        </r>
      </text>
    </comment>
    <comment ref="AJ45" authorId="0" shapeId="0" xr:uid="{D794D4C1-8680-0442-87D6-0841A5AE01AB}">
      <text>
        <r>
          <rPr>
            <sz val="10"/>
            <color rgb="FF000000"/>
            <rFont val="Tahoma"/>
            <family val="2"/>
          </rPr>
          <t xml:space="preserve">Author:
</t>
        </r>
        <r>
          <rPr>
            <sz val="10"/>
            <color rgb="FF000000"/>
            <rFont val="Tahoma"/>
            <family val="2"/>
          </rPr>
          <t>Honolulu</t>
        </r>
      </text>
    </comment>
    <comment ref="AT45" authorId="0" shapeId="0" xr:uid="{56DC1D26-7EB2-DD46-925A-7DAF7900EF63}">
      <text>
        <r>
          <rPr>
            <sz val="10"/>
            <color rgb="FF000000"/>
            <rFont val="Tahoma"/>
            <family val="2"/>
          </rPr>
          <t xml:space="preserve">Author:
</t>
        </r>
        <r>
          <rPr>
            <sz val="10"/>
            <color rgb="FF000000"/>
            <rFont val="Tahoma"/>
            <family val="2"/>
          </rPr>
          <t>Honolulu</t>
        </r>
      </text>
    </comment>
    <comment ref="BD45" authorId="0" shapeId="0" xr:uid="{0E80917D-A604-CF4B-94F0-35B503118F46}">
      <text>
        <r>
          <rPr>
            <sz val="10"/>
            <color rgb="FF000000"/>
            <rFont val="Tahoma"/>
            <family val="2"/>
          </rPr>
          <t xml:space="preserve">Author:
</t>
        </r>
        <r>
          <rPr>
            <sz val="10"/>
            <color rgb="FF000000"/>
            <rFont val="Tahoma"/>
            <family val="2"/>
          </rPr>
          <t>Maui</t>
        </r>
      </text>
    </comment>
    <comment ref="BN45" authorId="0" shapeId="0" xr:uid="{94FC6DFC-1A4B-1F4B-B29F-0D5410E75CC2}">
      <text>
        <r>
          <rPr>
            <sz val="10"/>
            <color rgb="FF000000"/>
            <rFont val="Tahoma"/>
            <family val="2"/>
          </rPr>
          <t xml:space="preserve">Author:
</t>
        </r>
        <r>
          <rPr>
            <sz val="10"/>
            <color rgb="FF000000"/>
            <rFont val="Tahoma"/>
            <family val="2"/>
          </rPr>
          <t>Honolulu</t>
        </r>
      </text>
    </comment>
    <comment ref="BX45" authorId="0" shapeId="0" xr:uid="{4330F55B-A040-3645-9DF0-2BA8930F8625}">
      <text>
        <r>
          <rPr>
            <sz val="10"/>
            <color rgb="FF000000"/>
            <rFont val="Tahoma"/>
            <family val="2"/>
          </rPr>
          <t xml:space="preserve">Author:
</t>
        </r>
        <r>
          <rPr>
            <sz val="10"/>
            <color rgb="FF000000"/>
            <rFont val="Tahoma"/>
            <family val="2"/>
          </rPr>
          <t>Hawaii</t>
        </r>
      </text>
    </comment>
    <comment ref="CH45" authorId="0" shapeId="0" xr:uid="{A325F099-A612-7B44-8E73-D6AC0CD4F981}">
      <text>
        <r>
          <rPr>
            <sz val="10"/>
            <color rgb="FF000000"/>
            <rFont val="Tahoma"/>
            <family val="2"/>
          </rPr>
          <t xml:space="preserve">Author:
</t>
        </r>
        <r>
          <rPr>
            <sz val="10"/>
            <color rgb="FF000000"/>
            <rFont val="Tahoma"/>
            <family val="2"/>
          </rPr>
          <t>Hawaii</t>
        </r>
      </text>
    </comment>
    <comment ref="CR45" authorId="0" shapeId="0" xr:uid="{0B73BB24-FAF9-0745-B5BF-DEA75BCDB178}">
      <text>
        <r>
          <rPr>
            <sz val="10"/>
            <color rgb="FF000000"/>
            <rFont val="Tahoma"/>
            <family val="2"/>
          </rPr>
          <t xml:space="preserve">Author:
</t>
        </r>
        <r>
          <rPr>
            <sz val="10"/>
            <color rgb="FF000000"/>
            <rFont val="Tahoma"/>
            <family val="2"/>
          </rPr>
          <t>Honolulu</t>
        </r>
      </text>
    </comment>
    <comment ref="B46" authorId="0" shapeId="0" xr:uid="{00000000-0006-0000-0500-000083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G46" authorId="0" shapeId="0" xr:uid="{00000000-0006-0000-0500-000084000000}">
      <text>
        <r>
          <rPr>
            <b/>
            <sz val="9"/>
            <color indexed="81"/>
            <rFont val="Calibri"/>
            <family val="2"/>
          </rPr>
          <t>Author:</t>
        </r>
        <r>
          <rPr>
            <sz val="9"/>
            <color indexed="81"/>
            <rFont val="Calibri"/>
            <family val="2"/>
          </rPr>
          <t xml:space="preserve">
Hawaii PW-2d half.xlsx (Hawai‘i County)</t>
        </r>
      </text>
    </comment>
    <comment ref="P46" authorId="0" shapeId="0" xr:uid="{00000000-0006-0000-0500-000085000000}">
      <text>
        <r>
          <rPr>
            <b/>
            <sz val="9"/>
            <color indexed="81"/>
            <rFont val="Calibri"/>
            <family val="2"/>
          </rPr>
          <t>Author:</t>
        </r>
        <r>
          <rPr>
            <sz val="9"/>
            <color indexed="81"/>
            <rFont val="Calibri"/>
            <family val="2"/>
          </rPr>
          <t xml:space="preserve">
Maui PWD Log.xlsx</t>
        </r>
      </text>
    </comment>
    <comment ref="Z46" authorId="0" shapeId="0" xr:uid="{00000000-0006-0000-0500-000086000000}">
      <text>
        <r>
          <rPr>
            <b/>
            <sz val="9"/>
            <color rgb="FF000000"/>
            <rFont val="Calibri"/>
            <family val="2"/>
          </rPr>
          <t>Author:</t>
        </r>
        <r>
          <rPr>
            <sz val="9"/>
            <color rgb="FF000000"/>
            <rFont val="Calibri"/>
            <family val="2"/>
          </rPr>
          <t xml:space="preserve">
</t>
        </r>
        <r>
          <rPr>
            <sz val="9"/>
            <color rgb="FF000000"/>
            <rFont val="Calibri"/>
            <family val="2"/>
          </rPr>
          <t>Honolulu/DDC log.xlsx</t>
        </r>
      </text>
    </comment>
    <comment ref="G47" authorId="0" shapeId="0" xr:uid="{00000000-0006-0000-0500-000087000000}">
      <text>
        <r>
          <rPr>
            <b/>
            <sz val="9"/>
            <color indexed="81"/>
            <rFont val="Calibri"/>
            <family val="2"/>
          </rPr>
          <t>Author:
Honolulu</t>
        </r>
        <r>
          <rPr>
            <sz val="9"/>
            <color indexed="81"/>
            <rFont val="Calibri"/>
            <family val="2"/>
          </rPr>
          <t xml:space="preserve"> DDC.xlsx</t>
        </r>
      </text>
    </comment>
    <comment ref="P47" authorId="0" shapeId="0" xr:uid="{00000000-0006-0000-0500-000088000000}">
      <text>
        <r>
          <rPr>
            <b/>
            <sz val="9"/>
            <color indexed="81"/>
            <rFont val="Calibri"/>
            <family val="2"/>
          </rPr>
          <t>Author:</t>
        </r>
        <r>
          <rPr>
            <sz val="9"/>
            <color indexed="81"/>
            <rFont val="Calibri"/>
            <family val="2"/>
          </rPr>
          <t xml:space="preserve">
City/Design and Construction log.xlsx</t>
        </r>
      </text>
    </comment>
    <comment ref="Z47" authorId="0" shapeId="0" xr:uid="{00000000-0006-0000-0500-000089000000}">
      <text>
        <r>
          <rPr>
            <b/>
            <sz val="9"/>
            <color rgb="FF000000"/>
            <rFont val="Calibri"/>
            <family val="2"/>
          </rPr>
          <t>Author:</t>
        </r>
        <r>
          <rPr>
            <sz val="9"/>
            <color rgb="FF000000"/>
            <rFont val="Calibri"/>
            <family val="2"/>
          </rPr>
          <t xml:space="preserve">
</t>
        </r>
        <r>
          <rPr>
            <sz val="9"/>
            <color rgb="FF000000"/>
            <rFont val="Calibri"/>
            <family val="2"/>
          </rPr>
          <t>Honolulu/DDC log.xlsx</t>
        </r>
      </text>
    </comment>
    <comment ref="G48" authorId="0" shapeId="0" xr:uid="{00000000-0006-0000-0500-00008A000000}">
      <text>
        <r>
          <rPr>
            <b/>
            <sz val="9"/>
            <color indexed="81"/>
            <rFont val="Calibri"/>
            <family val="2"/>
          </rPr>
          <t>Author:</t>
        </r>
        <r>
          <rPr>
            <sz val="9"/>
            <color indexed="81"/>
            <rFont val="Calibri"/>
            <family val="2"/>
          </rPr>
          <t xml:space="preserve">
Maui DPW.xlsx</t>
        </r>
      </text>
    </comment>
    <comment ref="P48" authorId="0" shapeId="0" xr:uid="{00000000-0006-0000-0500-00008B000000}">
      <text>
        <r>
          <rPr>
            <b/>
            <sz val="9"/>
            <color indexed="81"/>
            <rFont val="Calibri"/>
            <family val="2"/>
          </rPr>
          <t>Author:</t>
        </r>
        <r>
          <rPr>
            <sz val="9"/>
            <color indexed="81"/>
            <rFont val="Calibri"/>
            <family val="2"/>
          </rPr>
          <t xml:space="preserve">
Maui PWD Log.xlsx</t>
        </r>
      </text>
    </comment>
    <comment ref="Z48" authorId="0" shapeId="0" xr:uid="{00000000-0006-0000-0500-00008C000000}">
      <text>
        <r>
          <rPr>
            <b/>
            <sz val="9"/>
            <color rgb="FF000000"/>
            <rFont val="Calibri"/>
            <family val="2"/>
          </rPr>
          <t>Author:</t>
        </r>
        <r>
          <rPr>
            <sz val="9"/>
            <color rgb="FF000000"/>
            <rFont val="Calibri"/>
            <family val="2"/>
          </rPr>
          <t xml:space="preserve">
</t>
        </r>
        <r>
          <rPr>
            <sz val="9"/>
            <color rgb="FF000000"/>
            <rFont val="Calibri"/>
            <family val="2"/>
          </rPr>
          <t>Maui/Public Works Log (recreated).xlsx</t>
        </r>
      </text>
    </comment>
    <comment ref="CL48" authorId="2" shapeId="0" xr:uid="{50438304-60E3-764A-802E-D7CCF554C2DF}">
      <text>
        <t>[Threaded comment]
Your version of Excel allows you to read this threaded comment; however, any edits to it will get removed if the file is opened in a newer version of Excel. Learn more: https://go.microsoft.com/fwlink/?linkid=870924
Comment:
    Maui PW did not properly complete the form.</t>
      </text>
    </comment>
    <comment ref="G49" authorId="0" shapeId="0" xr:uid="{00000000-0006-0000-0500-00008D000000}">
      <text>
        <r>
          <rPr>
            <b/>
            <sz val="9"/>
            <color indexed="81"/>
            <rFont val="Calibri"/>
            <family val="2"/>
          </rPr>
          <t>Author:</t>
        </r>
        <r>
          <rPr>
            <sz val="9"/>
            <color indexed="81"/>
            <rFont val="Calibri"/>
            <family val="2"/>
          </rPr>
          <t xml:space="preserve">
Kauai Public Works.xlsx</t>
        </r>
      </text>
    </comment>
    <comment ref="P49" authorId="0" shapeId="0" xr:uid="{00000000-0006-0000-0500-00008E000000}">
      <text>
        <r>
          <rPr>
            <b/>
            <sz val="10"/>
            <color indexed="81"/>
            <rFont val="Calibri"/>
            <family val="2"/>
          </rPr>
          <t>Author:</t>
        </r>
        <r>
          <rPr>
            <sz val="10"/>
            <color indexed="81"/>
            <rFont val="Calibri"/>
            <family val="2"/>
          </rPr>
          <t xml:space="preserve">
Kaua`i Public Works log.xlsx</t>
        </r>
      </text>
    </comment>
    <comment ref="Z49" authorId="0" shapeId="0" xr:uid="{00000000-0006-0000-0500-00008F000000}">
      <text>
        <r>
          <rPr>
            <b/>
            <sz val="10"/>
            <color indexed="81"/>
            <rFont val="Calibri"/>
            <family val="2"/>
          </rPr>
          <t>Author:</t>
        </r>
        <r>
          <rPr>
            <sz val="10"/>
            <color indexed="81"/>
            <rFont val="Calibri"/>
            <family val="2"/>
          </rPr>
          <t xml:space="preserve">
Kaua`i/Public Works Building Div log.xlsx</t>
        </r>
      </text>
    </comment>
    <comment ref="CL49" authorId="3" shapeId="0" xr:uid="{C70D8FC3-29B7-5C4A-904F-E205DE4650D0}">
      <text>
        <t>[Threaded comment]
Your version of Excel allows you to read this threaded comment; however, any edits to it will get removed if the file is opened in a newer version of Excel. Learn more: https://go.microsoft.com/fwlink/?linkid=870924
Comment:
    Kauai PW did not properly complete the form.</t>
      </text>
    </comment>
    <comment ref="G50" authorId="0" shapeId="0" xr:uid="{00000000-0006-0000-0500-000090000000}">
      <text>
        <r>
          <rPr>
            <b/>
            <sz val="10"/>
            <color indexed="81"/>
            <rFont val="Calibri"/>
            <family val="2"/>
          </rPr>
          <t>Author:</t>
        </r>
        <r>
          <rPr>
            <sz val="10"/>
            <color indexed="81"/>
            <rFont val="Calibri"/>
            <family val="2"/>
          </rPr>
          <t xml:space="preserve">
Hawaii PW-2d half.xlsx (Hawai‘i County)</t>
        </r>
      </text>
    </comment>
    <comment ref="P50" authorId="0" shapeId="0" xr:uid="{00000000-0006-0000-0500-000091000000}">
      <text>
        <r>
          <rPr>
            <b/>
            <sz val="9"/>
            <color indexed="81"/>
            <rFont val="Calibri"/>
            <family val="2"/>
          </rPr>
          <t>Author:</t>
        </r>
        <r>
          <rPr>
            <sz val="9"/>
            <color indexed="81"/>
            <rFont val="Calibri"/>
            <family val="2"/>
          </rPr>
          <t xml:space="preserve">
Hawai`i/DPW log.xlsx</t>
        </r>
      </text>
    </comment>
    <comment ref="Z50" authorId="0" shapeId="0" xr:uid="{00000000-0006-0000-0500-000092000000}">
      <text>
        <r>
          <rPr>
            <b/>
            <sz val="9"/>
            <color indexed="81"/>
            <rFont val="Calibri"/>
            <family val="2"/>
          </rPr>
          <t>Author:</t>
        </r>
        <r>
          <rPr>
            <sz val="9"/>
            <color indexed="81"/>
            <rFont val="Calibri"/>
            <family val="2"/>
          </rPr>
          <t xml:space="preserve">
Hawai`i/COH DPW log.xlsx</t>
        </r>
      </text>
    </comment>
    <comment ref="G51" authorId="0" shapeId="0" xr:uid="{00000000-0006-0000-0500-000093000000}">
      <text>
        <r>
          <rPr>
            <b/>
            <sz val="9"/>
            <color indexed="81"/>
            <rFont val="Calibri"/>
            <family val="2"/>
          </rPr>
          <t>Author:</t>
        </r>
        <r>
          <rPr>
            <sz val="9"/>
            <color indexed="81"/>
            <rFont val="Calibri"/>
            <family val="2"/>
          </rPr>
          <t xml:space="preserve">
Honolulu DTS.xlsx</t>
        </r>
      </text>
    </comment>
    <comment ref="P51" authorId="0" shapeId="0" xr:uid="{00000000-0006-0000-0500-000094000000}">
      <text>
        <r>
          <rPr>
            <b/>
            <sz val="9"/>
            <color indexed="81"/>
            <rFont val="Calibri"/>
            <family val="2"/>
          </rPr>
          <t>Author:</t>
        </r>
        <r>
          <rPr>
            <sz val="9"/>
            <color indexed="81"/>
            <rFont val="Calibri"/>
            <family val="2"/>
          </rPr>
          <t xml:space="preserve">
City/Transportation Svcs log.xlsx (City &amp; County of Honolulu)</t>
        </r>
      </text>
    </comment>
    <comment ref="Z51" authorId="0" shapeId="0" xr:uid="{00000000-0006-0000-0500-000095000000}">
      <text>
        <r>
          <rPr>
            <b/>
            <sz val="9"/>
            <color indexed="81"/>
            <rFont val="Calibri"/>
            <family val="2"/>
          </rPr>
          <t>Author:</t>
        </r>
        <r>
          <rPr>
            <sz val="9"/>
            <color indexed="81"/>
            <rFont val="Calibri"/>
            <family val="2"/>
          </rPr>
          <t xml:space="preserve">
Maui/Transportation log.xlsx</t>
        </r>
      </text>
    </comment>
    <comment ref="AJ51" authorId="0" shapeId="0" xr:uid="{87560CCF-8836-B344-B264-539CB118453D}">
      <text>
        <r>
          <rPr>
            <sz val="10"/>
            <color rgb="FF000000"/>
            <rFont val="Tahoma"/>
            <family val="2"/>
          </rPr>
          <t xml:space="preserve">Author:
</t>
        </r>
        <r>
          <rPr>
            <sz val="10"/>
            <color rgb="FF000000"/>
            <rFont val="Tahoma"/>
            <family val="2"/>
          </rPr>
          <t>Honolulu</t>
        </r>
      </text>
    </comment>
    <comment ref="AT51" authorId="0" shapeId="0" xr:uid="{FDB44A79-9B40-F34A-8195-C6ED0B8237C1}">
      <text>
        <r>
          <rPr>
            <sz val="10"/>
            <color rgb="FF000000"/>
            <rFont val="Tahoma"/>
            <family val="2"/>
          </rPr>
          <t xml:space="preserve">Author:
</t>
        </r>
        <r>
          <rPr>
            <sz val="10"/>
            <color rgb="FF000000"/>
            <rFont val="Tahoma"/>
            <family val="2"/>
          </rPr>
          <t>Honolulu</t>
        </r>
      </text>
    </comment>
    <comment ref="BD51" authorId="0" shapeId="0" xr:uid="{8E8C6913-2BD9-E745-A49E-9ECD67527A5C}">
      <text>
        <r>
          <rPr>
            <b/>
            <sz val="10"/>
            <color rgb="FF000000"/>
            <rFont val="Tahoma"/>
            <family val="2"/>
          </rPr>
          <t xml:space="preserve">Author:
</t>
        </r>
        <r>
          <rPr>
            <sz val="10"/>
            <color rgb="FF000000"/>
            <rFont val="Tahoma"/>
            <family val="2"/>
          </rPr>
          <t>Honolulu</t>
        </r>
      </text>
    </comment>
    <comment ref="BN51" authorId="0" shapeId="0" xr:uid="{1910EE20-3B58-4F4C-890C-40D5B6E5CF85}">
      <text>
        <r>
          <rPr>
            <b/>
            <sz val="10"/>
            <color rgb="FF000000"/>
            <rFont val="Tahoma"/>
            <family val="2"/>
          </rPr>
          <t>Author:</t>
        </r>
        <r>
          <rPr>
            <sz val="10"/>
            <color rgb="FF000000"/>
            <rFont val="Tahoma"/>
            <family val="2"/>
          </rPr>
          <t xml:space="preserve">
Kauai</t>
        </r>
      </text>
    </comment>
    <comment ref="BX51" authorId="0" shapeId="0" xr:uid="{69C5B217-A319-CD47-B235-C0E6E2BED9DA}">
      <text>
        <r>
          <rPr>
            <b/>
            <sz val="10"/>
            <color rgb="FF000000"/>
            <rFont val="Tahoma"/>
            <family val="2"/>
          </rPr>
          <t>Author:</t>
        </r>
        <r>
          <rPr>
            <sz val="10"/>
            <color rgb="FF000000"/>
            <rFont val="Tahoma"/>
            <family val="2"/>
          </rPr>
          <t xml:space="preserve">
</t>
        </r>
        <r>
          <rPr>
            <sz val="10"/>
            <color rgb="FF000000"/>
            <rFont val="Tahoma"/>
            <family val="2"/>
          </rPr>
          <t>Honolulu</t>
        </r>
      </text>
    </comment>
    <comment ref="CH51" authorId="0" shapeId="0" xr:uid="{410AE769-D378-DF46-B9C7-58A8C5515151}">
      <text>
        <r>
          <rPr>
            <b/>
            <sz val="10"/>
            <color rgb="FF000000"/>
            <rFont val="Tahoma"/>
            <family val="2"/>
          </rPr>
          <t>Author:</t>
        </r>
        <r>
          <rPr>
            <sz val="10"/>
            <color rgb="FF000000"/>
            <rFont val="Tahoma"/>
            <family val="2"/>
          </rPr>
          <t xml:space="preserve">
</t>
        </r>
        <r>
          <rPr>
            <sz val="10"/>
            <color rgb="FF000000"/>
            <rFont val="Tahoma"/>
            <family val="2"/>
          </rPr>
          <t>Honolulu</t>
        </r>
      </text>
    </comment>
    <comment ref="CR51" authorId="0" shapeId="0" xr:uid="{54EAC2A6-03DF-7C46-AD73-537A327C47B0}">
      <text>
        <r>
          <rPr>
            <b/>
            <sz val="10"/>
            <color rgb="FF000000"/>
            <rFont val="Tahoma"/>
            <family val="2"/>
          </rPr>
          <t>Author:</t>
        </r>
        <r>
          <rPr>
            <sz val="10"/>
            <color rgb="FF000000"/>
            <rFont val="Tahoma"/>
            <family val="2"/>
          </rPr>
          <t xml:space="preserve">
</t>
        </r>
        <r>
          <rPr>
            <sz val="10"/>
            <color rgb="FF000000"/>
            <rFont val="Tahoma"/>
            <family val="2"/>
          </rPr>
          <t>Maui</t>
        </r>
      </text>
    </comment>
    <comment ref="G52" authorId="0" shapeId="0" xr:uid="{00000000-0006-0000-0500-000096000000}">
      <text>
        <r>
          <rPr>
            <b/>
            <sz val="9"/>
            <color indexed="81"/>
            <rFont val="Calibri"/>
            <family val="2"/>
          </rPr>
          <t>Author:</t>
        </r>
        <r>
          <rPr>
            <sz val="9"/>
            <color indexed="81"/>
            <rFont val="Calibri"/>
            <family val="2"/>
          </rPr>
          <t xml:space="preserve">
Honolulu HART.xlsx</t>
        </r>
      </text>
    </comment>
    <comment ref="P52" authorId="0" shapeId="0" xr:uid="{00000000-0006-0000-0500-000097000000}">
      <text>
        <r>
          <rPr>
            <b/>
            <sz val="9"/>
            <color indexed="81"/>
            <rFont val="Calibri"/>
            <family val="2"/>
          </rPr>
          <t>Author:</t>
        </r>
        <r>
          <rPr>
            <sz val="9"/>
            <color indexed="81"/>
            <rFont val="Calibri"/>
            <family val="2"/>
          </rPr>
          <t xml:space="preserve">
HART Log (recreated).xlsx</t>
        </r>
      </text>
    </comment>
    <comment ref="Z52" authorId="0" shapeId="0" xr:uid="{00000000-0006-0000-0500-000098000000}">
      <text>
        <r>
          <rPr>
            <b/>
            <sz val="9"/>
            <color indexed="81"/>
            <rFont val="Calibri"/>
            <family val="2"/>
          </rPr>
          <t>Author:</t>
        </r>
        <r>
          <rPr>
            <sz val="9"/>
            <color indexed="81"/>
            <rFont val="Calibri"/>
            <family val="2"/>
          </rPr>
          <t xml:space="preserve">
Honolulu/HART log.xlsx</t>
        </r>
      </text>
    </comment>
    <comment ref="B53" authorId="0" shapeId="0" xr:uid="{00000000-0006-0000-0500-000099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G53" authorId="0" shapeId="0" xr:uid="{00000000-0006-0000-0500-00009A000000}">
      <text>
        <r>
          <rPr>
            <b/>
            <sz val="9"/>
            <color indexed="81"/>
            <rFont val="Calibri"/>
            <family val="2"/>
          </rPr>
          <t>Author:</t>
        </r>
        <r>
          <rPr>
            <sz val="9"/>
            <color indexed="81"/>
            <rFont val="Calibri"/>
            <family val="2"/>
          </rPr>
          <t xml:space="preserve">
Honolulu BWS.xlsx (City &amp; County of Honolulu)</t>
        </r>
      </text>
    </comment>
    <comment ref="P53" authorId="0" shapeId="0" xr:uid="{00000000-0006-0000-0500-00009B000000}">
      <text>
        <r>
          <rPr>
            <b/>
            <sz val="9"/>
            <color indexed="81"/>
            <rFont val="Calibri"/>
            <family val="2"/>
          </rPr>
          <t>Author:</t>
        </r>
        <r>
          <rPr>
            <sz val="9"/>
            <color indexed="81"/>
            <rFont val="Calibri"/>
            <family val="2"/>
          </rPr>
          <t xml:space="preserve">
BWS UIPA Log FY 2016 (original).xlsx</t>
        </r>
      </text>
    </comment>
    <comment ref="Z53" authorId="0" shapeId="0" xr:uid="{00000000-0006-0000-0500-00009C000000}">
      <text>
        <r>
          <rPr>
            <b/>
            <sz val="9"/>
            <color indexed="81"/>
            <rFont val="Calibri"/>
            <family val="2"/>
          </rPr>
          <t>Author:</t>
        </r>
        <r>
          <rPr>
            <sz val="9"/>
            <color indexed="81"/>
            <rFont val="Calibri"/>
            <family val="2"/>
          </rPr>
          <t xml:space="preserve">
Honolulu/BWS log.xlsx</t>
        </r>
      </text>
    </comment>
    <comment ref="G54" authorId="0" shapeId="0" xr:uid="{00000000-0006-0000-0500-00009D000000}">
      <text>
        <r>
          <rPr>
            <b/>
            <sz val="9"/>
            <color indexed="81"/>
            <rFont val="Calibri"/>
            <family val="2"/>
          </rPr>
          <t>Author:
Honolulu BWS.xlsx</t>
        </r>
      </text>
    </comment>
    <comment ref="P54" authorId="0" shapeId="0" xr:uid="{00000000-0006-0000-0500-00009E000000}">
      <text>
        <r>
          <rPr>
            <b/>
            <sz val="9"/>
            <color indexed="81"/>
            <rFont val="Calibri"/>
            <family val="2"/>
          </rPr>
          <t>Author:</t>
        </r>
        <r>
          <rPr>
            <sz val="9"/>
            <color indexed="81"/>
            <rFont val="Calibri"/>
            <family val="2"/>
          </rPr>
          <t xml:space="preserve">
BWS UIPA Log FY 2016 (original).xlsx</t>
        </r>
      </text>
    </comment>
    <comment ref="Z54" authorId="0" shapeId="0" xr:uid="{00000000-0006-0000-0500-00009F000000}">
      <text>
        <r>
          <rPr>
            <b/>
            <sz val="9"/>
            <color indexed="81"/>
            <rFont val="Calibri"/>
            <family val="2"/>
          </rPr>
          <t>Author:</t>
        </r>
        <r>
          <rPr>
            <sz val="9"/>
            <color indexed="81"/>
            <rFont val="Calibri"/>
            <family val="2"/>
          </rPr>
          <t xml:space="preserve">
Honolulu/BWS log.xlsx</t>
        </r>
      </text>
    </comment>
    <comment ref="P55" authorId="0" shapeId="0" xr:uid="{00000000-0006-0000-0500-0000A0000000}">
      <text>
        <r>
          <rPr>
            <b/>
            <sz val="9"/>
            <color indexed="81"/>
            <rFont val="Calibri"/>
            <family val="2"/>
          </rPr>
          <t>Author:</t>
        </r>
        <r>
          <rPr>
            <sz val="9"/>
            <color indexed="81"/>
            <rFont val="Calibri"/>
            <family val="2"/>
          </rPr>
          <t xml:space="preserve">
Maui/Maui Water Supply log.xlsx</t>
        </r>
      </text>
    </comment>
    <comment ref="Z55" authorId="0" shapeId="0" xr:uid="{00000000-0006-0000-0500-0000A1000000}">
      <text>
        <r>
          <rPr>
            <b/>
            <sz val="9"/>
            <color indexed="81"/>
            <rFont val="Calibri"/>
            <family val="2"/>
          </rPr>
          <t>Author:</t>
        </r>
        <r>
          <rPr>
            <sz val="9"/>
            <color indexed="81"/>
            <rFont val="Calibri"/>
            <family val="2"/>
          </rPr>
          <t xml:space="preserve">
Maui/Water Supply log.xlsx</t>
        </r>
      </text>
    </comment>
    <comment ref="BX55" authorId="0" shapeId="0" xr:uid="{6BB7D0F0-A561-CC43-8A9D-4664FC75884D}">
      <text>
        <r>
          <rPr>
            <b/>
            <sz val="10"/>
            <color rgb="FF000000"/>
            <rFont val="Tahoma"/>
            <family val="2"/>
          </rPr>
          <t xml:space="preserve">Author:
</t>
        </r>
      </text>
    </comment>
    <comment ref="CH55" authorId="0" shapeId="0" xr:uid="{FA1FADCA-E362-0D49-9022-52CD277F884F}">
      <text>
        <r>
          <rPr>
            <b/>
            <sz val="10"/>
            <color rgb="FF000000"/>
            <rFont val="Tahoma"/>
            <family val="2"/>
          </rPr>
          <t xml:space="preserve">Author:
</t>
        </r>
        <r>
          <rPr>
            <sz val="10"/>
            <color rgb="FF000000"/>
            <rFont val="Tahoma"/>
            <family val="2"/>
          </rPr>
          <t>Engineering</t>
        </r>
      </text>
    </comment>
    <comment ref="CR55" authorId="0" shapeId="0" xr:uid="{7A98856E-D59F-4A42-8701-52958FE22925}">
      <text>
        <r>
          <rPr>
            <b/>
            <sz val="10"/>
            <color rgb="FF000000"/>
            <rFont val="Tahoma"/>
            <family val="2"/>
          </rPr>
          <t xml:space="preserve">Author:
</t>
        </r>
        <r>
          <rPr>
            <sz val="10"/>
            <color rgb="FF000000"/>
            <rFont val="Tahoma"/>
            <family val="2"/>
          </rPr>
          <t>Engineering</t>
        </r>
      </text>
    </comment>
    <comment ref="G56" authorId="0" shapeId="0" xr:uid="{00000000-0006-0000-0500-0000A2000000}">
      <text>
        <r>
          <rPr>
            <b/>
            <sz val="9"/>
            <color indexed="81"/>
            <rFont val="Calibri"/>
            <family val="2"/>
          </rPr>
          <t>Author:</t>
        </r>
        <r>
          <rPr>
            <sz val="9"/>
            <color indexed="81"/>
            <rFont val="Calibri"/>
            <family val="2"/>
          </rPr>
          <t xml:space="preserve">
Kauai Water.xlsx</t>
        </r>
      </text>
    </comment>
    <comment ref="Z56" authorId="0" shapeId="0" xr:uid="{00000000-0006-0000-0500-0000A3000000}">
      <text>
        <r>
          <rPr>
            <b/>
            <sz val="10"/>
            <color indexed="81"/>
            <rFont val="Calibri"/>
            <family val="2"/>
          </rPr>
          <t>Author:</t>
        </r>
        <r>
          <rPr>
            <sz val="10"/>
            <color indexed="81"/>
            <rFont val="Calibri"/>
            <family val="2"/>
          </rPr>
          <t xml:space="preserve">
Kaua`i/Water log.xlsx</t>
        </r>
      </text>
    </comment>
    <comment ref="G57" authorId="0" shapeId="0" xr:uid="{00000000-0006-0000-0500-0000A4000000}">
      <text>
        <r>
          <rPr>
            <b/>
            <sz val="10"/>
            <color indexed="81"/>
            <rFont val="Calibri"/>
            <family val="2"/>
          </rPr>
          <t>Author:</t>
        </r>
        <r>
          <rPr>
            <sz val="10"/>
            <color indexed="81"/>
            <rFont val="Calibri"/>
            <family val="2"/>
          </rPr>
          <t xml:space="preserve">
Hawaii DWS.xlsx</t>
        </r>
      </text>
    </comment>
    <comment ref="P57" authorId="0" shapeId="0" xr:uid="{00000000-0006-0000-0500-0000A5000000}">
      <text>
        <r>
          <rPr>
            <b/>
            <sz val="9"/>
            <color indexed="81"/>
            <rFont val="Calibri"/>
            <family val="2"/>
          </rPr>
          <t>Author:</t>
        </r>
        <r>
          <rPr>
            <sz val="9"/>
            <color indexed="81"/>
            <rFont val="Calibri"/>
            <family val="2"/>
          </rPr>
          <t xml:space="preserve">
Hawai`i/Water log.xlsx</t>
        </r>
      </text>
    </comment>
    <comment ref="Z57" authorId="0" shapeId="0" xr:uid="{00000000-0006-0000-0500-0000A6000000}">
      <text>
        <r>
          <rPr>
            <b/>
            <sz val="9"/>
            <color indexed="81"/>
            <rFont val="Calibri"/>
            <family val="2"/>
          </rPr>
          <t>Author:</t>
        </r>
        <r>
          <rPr>
            <sz val="9"/>
            <color indexed="81"/>
            <rFont val="Calibri"/>
            <family val="2"/>
          </rPr>
          <t xml:space="preserve">
Hawai`i/UIPA…DWS.xlsx</t>
        </r>
      </text>
    </comment>
    <comment ref="G58" authorId="0" shapeId="0" xr:uid="{00000000-0006-0000-0500-0000A7000000}">
      <text>
        <r>
          <rPr>
            <b/>
            <sz val="9"/>
            <color indexed="81"/>
            <rFont val="Calibri"/>
            <family val="2"/>
          </rPr>
          <t>Author:</t>
        </r>
        <r>
          <rPr>
            <sz val="9"/>
            <color indexed="81"/>
            <rFont val="Calibri"/>
            <family val="2"/>
          </rPr>
          <t xml:space="preserve">
Honolulu MED.xlsx</t>
        </r>
      </text>
    </comment>
    <comment ref="P58" authorId="0" shapeId="0" xr:uid="{00000000-0006-0000-0500-0000A8000000}">
      <text>
        <r>
          <rPr>
            <b/>
            <sz val="9"/>
            <color indexed="81"/>
            <rFont val="Calibri"/>
            <family val="2"/>
          </rPr>
          <t>Author:</t>
        </r>
        <r>
          <rPr>
            <sz val="9"/>
            <color indexed="81"/>
            <rFont val="Calibri"/>
            <family val="2"/>
          </rPr>
          <t xml:space="preserve">
MED Log.xlsx</t>
        </r>
      </text>
    </comment>
    <comment ref="Z58" authorId="0" shapeId="0" xr:uid="{00000000-0006-0000-0500-0000A9000000}">
      <text>
        <r>
          <rPr>
            <b/>
            <sz val="9"/>
            <color indexed="81"/>
            <rFont val="Calibri"/>
            <family val="2"/>
          </rPr>
          <t>Author:</t>
        </r>
        <r>
          <rPr>
            <sz val="9"/>
            <color indexed="81"/>
            <rFont val="Calibri"/>
            <family val="2"/>
          </rPr>
          <t xml:space="preserve">
Honolulu/MED FY2017 UIPA Log.xlsx</t>
        </r>
      </text>
    </comment>
    <comment ref="C59" authorId="0" shapeId="0" xr:uid="{00000000-0006-0000-0500-0000AA000000}">
      <text>
        <r>
          <rPr>
            <b/>
            <sz val="9"/>
            <color indexed="81"/>
            <rFont val="Calibri"/>
            <family val="2"/>
          </rPr>
          <t>Author:</t>
        </r>
        <r>
          <rPr>
            <sz val="9"/>
            <color indexed="81"/>
            <rFont val="Calibri"/>
            <family val="2"/>
          </rPr>
          <t xml:space="preserve">
No log data on Ethics (FY15): (1) OIP does not separately log the Board of Ethics for Hawai‘i, Kaua‘i, and Maui Counties; (2) the City Ethics Commission did not use the OIP log in FY15; and (3) OIP did not require legislative agencies (including the State Ethics Commission) to use the log until FY16</t>
        </r>
      </text>
    </comment>
    <comment ref="D59" authorId="0" shapeId="0" xr:uid="{00000000-0006-0000-0500-0000AB000000}">
      <text>
        <r>
          <rPr>
            <b/>
            <sz val="9"/>
            <color rgb="FF000000"/>
            <rFont val="Calibri"/>
            <family val="2"/>
          </rPr>
          <t>Author:</t>
        </r>
        <r>
          <rPr>
            <sz val="9"/>
            <color rgb="FF000000"/>
            <rFont val="Calibri"/>
            <family val="2"/>
          </rPr>
          <t xml:space="preserve">
</t>
        </r>
        <r>
          <rPr>
            <sz val="9"/>
            <color rgb="FF000000"/>
            <rFont val="Calibri"/>
            <family val="2"/>
          </rPr>
          <t>No log data on Ethics (FY15): (1) OIP does not separately log the Board of Ethics for Hawai‘i, Kaua‘i, and Maui Counties; (2) the City Ethics Commission did not use the OIP log in FY15; and (3) OIP did not require legislative agencies (including the State Ethics Commission) to use the log until FY16</t>
        </r>
      </text>
    </comment>
    <comment ref="F59" authorId="0" shapeId="0" xr:uid="{00000000-0006-0000-0500-0000AC000000}">
      <text>
        <r>
          <rPr>
            <b/>
            <sz val="9"/>
            <color indexed="81"/>
            <rFont val="Calibri"/>
            <family val="2"/>
          </rPr>
          <t>Author:</t>
        </r>
        <r>
          <rPr>
            <sz val="9"/>
            <color indexed="81"/>
            <rFont val="Calibri"/>
            <family val="2"/>
          </rPr>
          <t xml:space="preserve">
No log data on Ethics (FY15): (1) OIP does not separately log the Board of Ethics for Hawai‘i, Kaua‘i, and Maui Counties; (2) the City Ethics Commission did not use the OIP log in FY15; and (3) OIP did not require legislative agencies (including the State Ethics Commission) to use the log until FY16</t>
        </r>
      </text>
    </comment>
    <comment ref="G59" authorId="0" shapeId="0" xr:uid="{00000000-0006-0000-0500-0000AD000000}">
      <text>
        <r>
          <rPr>
            <b/>
            <sz val="9"/>
            <color indexed="81"/>
            <rFont val="Calibri"/>
            <family val="2"/>
          </rPr>
          <t>Author:</t>
        </r>
        <r>
          <rPr>
            <sz val="9"/>
            <color indexed="81"/>
            <rFont val="Calibri"/>
            <family val="2"/>
          </rPr>
          <t xml:space="preserve">
No log data on Ethics (FY15): (1) OIP does not separately log the Board of Ethics for Hawai‘i, Kaua‘i, and Maui Counties; (2) the City Ethics Commission did not use the OIP log in FY15; and (3) OIP did not require legislative agencies (including the State Ethics Commission) to use the log until FY16</t>
        </r>
      </text>
    </comment>
    <comment ref="J59" authorId="0" shapeId="0" xr:uid="{00000000-0006-0000-0500-0000AE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K59" authorId="0" shapeId="0" xr:uid="{00000000-0006-0000-0500-0000AF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N59" authorId="0" shapeId="0" xr:uid="{00000000-0006-0000-0500-0000B0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P59" authorId="0" shapeId="0" xr:uid="{00000000-0006-0000-0500-0000B1000000}">
      <text>
        <r>
          <rPr>
            <b/>
            <sz val="10"/>
            <color indexed="81"/>
            <rFont val="Calibri"/>
            <family val="2"/>
          </rPr>
          <t>Author:</t>
        </r>
        <r>
          <rPr>
            <sz val="10"/>
            <color indexed="81"/>
            <rFont val="Calibri"/>
            <family val="2"/>
          </rPr>
          <t xml:space="preserve">
City/Ethics Commission log.xlsx</t>
        </r>
      </text>
    </comment>
    <comment ref="T59" authorId="0" shapeId="0" xr:uid="{00000000-0006-0000-0500-0000B2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U59" authorId="0" shapeId="0" xr:uid="{00000000-0006-0000-0500-0000B3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X59" authorId="0" shapeId="0" xr:uid="{00000000-0006-0000-0500-0000B4000000}">
      <text>
        <r>
          <rPr>
            <b/>
            <sz val="10"/>
            <color indexed="81"/>
            <rFont val="Calibri"/>
            <family val="2"/>
          </rPr>
          <t>Author:</t>
        </r>
        <r>
          <rPr>
            <sz val="10"/>
            <color indexed="81"/>
            <rFont val="Calibri"/>
            <family val="2"/>
          </rPr>
          <t xml:space="preserve">
This calculation only includes the State and City Ethics Commissions; OIP does not separately log the Board of Ethics for Hawai‘i, Kaua‘i, and Maui Counties.</t>
        </r>
      </text>
    </comment>
    <comment ref="Z59" authorId="0" shapeId="0" xr:uid="{00000000-0006-0000-0500-0000B5000000}">
      <text>
        <r>
          <rPr>
            <b/>
            <sz val="10"/>
            <color indexed="81"/>
            <rFont val="Calibri"/>
            <family val="2"/>
          </rPr>
          <t>Author:</t>
        </r>
        <r>
          <rPr>
            <sz val="10"/>
            <color indexed="81"/>
            <rFont val="Calibri"/>
            <family val="2"/>
          </rPr>
          <t xml:space="preserve">
Legislature/Ethics log.xlsx</t>
        </r>
      </text>
    </comment>
    <comment ref="AD59" authorId="0" shapeId="0" xr:uid="{02FBA7BE-82B5-F344-AA1E-2F756FF6164E}">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E59" authorId="0" shapeId="0" xr:uid="{44AE8DE9-F26E-244D-9E5F-CFD4BCB43D9E}">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H59" authorId="0" shapeId="0" xr:uid="{B7A61741-CA3F-5B4D-8EF7-FEA3F9325689}">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N59" authorId="0" shapeId="0" xr:uid="{3679EBE3-5EA0-D245-A0C7-C4F9DC66C628}">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O59" authorId="0" shapeId="0" xr:uid="{47269528-703C-6D48-A7A5-202119810426}">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AR59" authorId="0" shapeId="0" xr:uid="{C474C4A7-F673-314C-B93B-AB12A23DD3A0}">
      <text>
        <r>
          <rPr>
            <b/>
            <sz val="10"/>
            <color rgb="FF000000"/>
            <rFont val="Calibri"/>
            <family val="2"/>
          </rPr>
          <t>Author:</t>
        </r>
        <r>
          <rPr>
            <sz val="10"/>
            <color rgb="FF000000"/>
            <rFont val="Calibri"/>
            <family val="2"/>
          </rPr>
          <t xml:space="preserve">
</t>
        </r>
        <r>
          <rPr>
            <sz val="10"/>
            <color rgb="FF000000"/>
            <rFont val="Calibri"/>
            <family val="2"/>
          </rPr>
          <t>This calculation only includes the State and City Ethics Commissions; OIP does not separately log the Board of Ethics for Hawai‘i, Kaua‘i, and Maui Counties.</t>
        </r>
      </text>
    </comment>
    <comment ref="P60" authorId="0" shapeId="0" xr:uid="{00000000-0006-0000-0500-0000B6000000}">
      <text>
        <r>
          <rPr>
            <b/>
            <sz val="10"/>
            <color indexed="81"/>
            <rFont val="Calibri"/>
            <family val="2"/>
          </rPr>
          <t>Author:</t>
        </r>
        <r>
          <rPr>
            <sz val="10"/>
            <color indexed="81"/>
            <rFont val="Calibri"/>
            <family val="2"/>
          </rPr>
          <t xml:space="preserve">
Legislature/Leg Ethics Comm log.xlsx</t>
        </r>
      </text>
    </comment>
    <comment ref="Z60" authorId="0" shapeId="0" xr:uid="{00000000-0006-0000-0500-0000B7000000}">
      <text>
        <r>
          <rPr>
            <b/>
            <sz val="10"/>
            <color indexed="81"/>
            <rFont val="Calibri"/>
            <family val="2"/>
          </rPr>
          <t>Author:</t>
        </r>
        <r>
          <rPr>
            <sz val="10"/>
            <color indexed="81"/>
            <rFont val="Calibri"/>
            <family val="2"/>
          </rPr>
          <t xml:space="preserve">
Legislature/Ethics log.xlsx</t>
        </r>
      </text>
    </comment>
    <comment ref="P61" authorId="0" shapeId="0" xr:uid="{00000000-0006-0000-0500-0000B8000000}">
      <text>
        <r>
          <rPr>
            <b/>
            <sz val="10"/>
            <color indexed="81"/>
            <rFont val="Calibri"/>
            <family val="2"/>
          </rPr>
          <t>Author:</t>
        </r>
        <r>
          <rPr>
            <sz val="10"/>
            <color indexed="81"/>
            <rFont val="Calibri"/>
            <family val="2"/>
          </rPr>
          <t xml:space="preserve">
City/Ethics Commission log.xlsx</t>
        </r>
      </text>
    </comment>
    <comment ref="Z61" authorId="0" shapeId="0" xr:uid="{00000000-0006-0000-0500-0000B9000000}">
      <text>
        <r>
          <rPr>
            <b/>
            <sz val="10"/>
            <color indexed="81"/>
            <rFont val="Calibri"/>
            <family val="2"/>
          </rPr>
          <t>Author:</t>
        </r>
        <r>
          <rPr>
            <sz val="10"/>
            <color indexed="81"/>
            <rFont val="Calibri"/>
            <family val="2"/>
          </rPr>
          <t xml:space="preserve">
Honolulu/Ethics Commission log.xlsx</t>
        </r>
      </text>
    </comment>
    <comment ref="G62" authorId="0" shapeId="0" xr:uid="{00000000-0006-0000-0500-0000BA000000}">
      <text>
        <r>
          <rPr>
            <b/>
            <sz val="9"/>
            <color indexed="81"/>
            <rFont val="Calibri"/>
            <family val="2"/>
          </rPr>
          <t>Author:</t>
        </r>
        <r>
          <rPr>
            <sz val="9"/>
            <color indexed="81"/>
            <rFont val="Calibri"/>
            <family val="2"/>
          </rPr>
          <t xml:space="preserve">
AG-1st Half.xls</t>
        </r>
      </text>
    </comment>
    <comment ref="P62" authorId="0" shapeId="0" xr:uid="{00000000-0006-0000-0500-0000BB000000}">
      <text>
        <r>
          <rPr>
            <b/>
            <sz val="9"/>
            <color indexed="81"/>
            <rFont val="Calibri"/>
            <family val="2"/>
          </rPr>
          <t>Author:</t>
        </r>
        <r>
          <rPr>
            <sz val="9"/>
            <color indexed="81"/>
            <rFont val="Calibri"/>
            <family val="2"/>
          </rPr>
          <t xml:space="preserve">
AG failed to maintain a log and could not provide any supporting documentation for its data.</t>
        </r>
      </text>
    </comment>
    <comment ref="Z62" authorId="0" shapeId="0" xr:uid="{00000000-0006-0000-0500-0000BC000000}">
      <text>
        <r>
          <rPr>
            <b/>
            <sz val="9"/>
            <color indexed="81"/>
            <rFont val="Calibri"/>
            <family val="2"/>
          </rPr>
          <t>Author:</t>
        </r>
        <r>
          <rPr>
            <sz val="9"/>
            <color indexed="81"/>
            <rFont val="Calibri"/>
            <family val="2"/>
          </rPr>
          <t xml:space="preserve">
AG/AG log.xlsx</t>
        </r>
      </text>
    </comment>
    <comment ref="AJ62" authorId="0" shapeId="0" xr:uid="{F9D23694-46DE-EF45-8DCB-99AFD3F08F6D}">
      <text>
        <r>
          <rPr>
            <b/>
            <sz val="10"/>
            <color rgb="FF000000"/>
            <rFont val="Tahoma"/>
            <family val="2"/>
          </rPr>
          <t>Author:</t>
        </r>
        <r>
          <rPr>
            <sz val="10"/>
            <color rgb="FF000000"/>
            <rFont val="Tahoma"/>
            <family val="2"/>
          </rPr>
          <t xml:space="preserve">
CSEA</t>
        </r>
      </text>
    </comment>
    <comment ref="AN62" authorId="0" shapeId="0" xr:uid="{3C6C713E-2D06-1E45-A3DA-9DF9446BB7BF}">
      <text>
        <r>
          <rPr>
            <sz val="10"/>
            <color rgb="FF000000"/>
            <rFont val="Tahoma"/>
            <family val="2"/>
          </rPr>
          <t xml:space="preserve">Author:
</t>
        </r>
        <r>
          <rPr>
            <sz val="10"/>
            <color rgb="FF000000"/>
            <rFont val="Tahoma"/>
            <family val="2"/>
          </rPr>
          <t>Incomplete log</t>
        </r>
      </text>
    </comment>
    <comment ref="G63" authorId="0" shapeId="0" xr:uid="{00000000-0006-0000-0500-0000BD000000}">
      <text>
        <r>
          <rPr>
            <b/>
            <sz val="9"/>
            <color indexed="81"/>
            <rFont val="Calibri"/>
            <family val="2"/>
          </rPr>
          <t>Author:</t>
        </r>
        <r>
          <rPr>
            <sz val="9"/>
            <color indexed="81"/>
            <rFont val="Calibri"/>
            <family val="2"/>
          </rPr>
          <t xml:space="preserve">
DAGS-PWD.xlsx (Public Works Division)</t>
        </r>
      </text>
    </comment>
    <comment ref="P63" authorId="0" shapeId="0" xr:uid="{00000000-0006-0000-0500-0000BE000000}">
      <text>
        <r>
          <rPr>
            <b/>
            <sz val="9"/>
            <color indexed="81"/>
            <rFont val="Calibri"/>
            <family val="2"/>
          </rPr>
          <t>Author:</t>
        </r>
        <r>
          <rPr>
            <sz val="9"/>
            <color indexed="81"/>
            <rFont val="Calibri"/>
            <family val="2"/>
          </rPr>
          <t xml:space="preserve">
DAGS Pre-Aduit Branch log.xlsx</t>
        </r>
      </text>
    </comment>
    <comment ref="Z63" authorId="0" shapeId="0" xr:uid="{00000000-0006-0000-0500-0000BF000000}">
      <text>
        <r>
          <rPr>
            <b/>
            <sz val="9"/>
            <color indexed="81"/>
            <rFont val="Calibri"/>
            <family val="2"/>
          </rPr>
          <t>Author:</t>
        </r>
        <r>
          <rPr>
            <sz val="9"/>
            <color indexed="81"/>
            <rFont val="Calibri"/>
            <family val="2"/>
          </rPr>
          <t xml:space="preserve">
DAGS/OIP.xlsx</t>
        </r>
      </text>
    </comment>
    <comment ref="AJ63" authorId="0" shapeId="0" xr:uid="{D305B979-FE2E-F446-9865-F60904929024}">
      <text>
        <r>
          <rPr>
            <b/>
            <sz val="10"/>
            <color rgb="FF000000"/>
            <rFont val="Tahoma"/>
            <family val="2"/>
          </rPr>
          <t>Author:</t>
        </r>
        <r>
          <rPr>
            <sz val="10"/>
            <color rgb="FF000000"/>
            <rFont val="Tahoma"/>
            <family val="2"/>
          </rPr>
          <t xml:space="preserve">
ETS</t>
        </r>
      </text>
    </comment>
    <comment ref="AT63" authorId="0" shapeId="0" xr:uid="{BDDC93A5-5748-8546-BD89-40A63735E723}">
      <text>
        <r>
          <rPr>
            <b/>
            <sz val="10"/>
            <color rgb="FF000000"/>
            <rFont val="Tahoma"/>
            <family val="2"/>
          </rPr>
          <t>Author:</t>
        </r>
        <r>
          <rPr>
            <sz val="10"/>
            <color rgb="FF000000"/>
            <rFont val="Tahoma"/>
            <family val="2"/>
          </rPr>
          <t xml:space="preserve">
</t>
        </r>
        <r>
          <rPr>
            <sz val="10"/>
            <color rgb="FF000000"/>
            <rFont val="Tahoma"/>
            <family val="2"/>
          </rPr>
          <t>SPO</t>
        </r>
      </text>
    </comment>
    <comment ref="G64" authorId="0" shapeId="0" xr:uid="{00000000-0006-0000-0500-0000C0000000}">
      <text>
        <r>
          <rPr>
            <b/>
            <sz val="9"/>
            <color indexed="81"/>
            <rFont val="Calibri"/>
            <family val="2"/>
          </rPr>
          <t>Author:
DAGS-ACCT.xlsx</t>
        </r>
      </text>
    </comment>
    <comment ref="P64" authorId="0" shapeId="0" xr:uid="{00000000-0006-0000-0500-0000C1000000}">
      <text>
        <r>
          <rPr>
            <b/>
            <sz val="9"/>
            <color indexed="81"/>
            <rFont val="Calibri"/>
            <family val="2"/>
          </rPr>
          <t>Author:</t>
        </r>
        <r>
          <rPr>
            <sz val="9"/>
            <color indexed="81"/>
            <rFont val="Calibri"/>
            <family val="2"/>
          </rPr>
          <t xml:space="preserve">
DAGS Uniform Acctg Branch log.xlsx</t>
        </r>
      </text>
    </comment>
    <comment ref="Z64" authorId="0" shapeId="0" xr:uid="{00000000-0006-0000-0500-0000C2000000}">
      <text>
        <r>
          <rPr>
            <b/>
            <sz val="9"/>
            <color indexed="81"/>
            <rFont val="Calibri"/>
            <family val="2"/>
          </rPr>
          <t>Author:</t>
        </r>
        <r>
          <rPr>
            <sz val="9"/>
            <color indexed="81"/>
            <rFont val="Calibri"/>
            <family val="2"/>
          </rPr>
          <t xml:space="preserve">
DAGS/Accounting Div UARB.xlsx</t>
        </r>
      </text>
    </comment>
    <comment ref="G65" authorId="0" shapeId="0" xr:uid="{00000000-0006-0000-0500-0000C3000000}">
      <text>
        <r>
          <rPr>
            <b/>
            <sz val="9"/>
            <color indexed="81"/>
            <rFont val="Calibri"/>
            <family val="2"/>
          </rPr>
          <t>Author:
DAGS-PWD.xlsx</t>
        </r>
      </text>
    </comment>
    <comment ref="P65" authorId="0" shapeId="0" xr:uid="{00000000-0006-0000-0500-0000C4000000}">
      <text>
        <r>
          <rPr>
            <b/>
            <sz val="9"/>
            <color indexed="81"/>
            <rFont val="Calibri"/>
            <family val="2"/>
          </rPr>
          <t>Author:</t>
        </r>
        <r>
          <rPr>
            <sz val="9"/>
            <color indexed="81"/>
            <rFont val="Calibri"/>
            <family val="2"/>
          </rPr>
          <t xml:space="preserve">
DAGS Public Works Div log.xlsx</t>
        </r>
      </text>
    </comment>
    <comment ref="Z65" authorId="0" shapeId="0" xr:uid="{00000000-0006-0000-0500-0000C5000000}">
      <text>
        <r>
          <rPr>
            <b/>
            <sz val="9"/>
            <color indexed="81"/>
            <rFont val="Calibri"/>
            <family val="2"/>
          </rPr>
          <t>Author:</t>
        </r>
        <r>
          <rPr>
            <sz val="9"/>
            <color indexed="81"/>
            <rFont val="Calibri"/>
            <family val="2"/>
          </rPr>
          <t xml:space="preserve">
DAGS/Public Works Division.xlsx</t>
        </r>
      </text>
    </comment>
    <comment ref="G66" authorId="0" shapeId="0" xr:uid="{00000000-0006-0000-0500-0000C6000000}">
      <text>
        <r>
          <rPr>
            <b/>
            <sz val="9"/>
            <color indexed="81"/>
            <rFont val="Calibri"/>
            <family val="2"/>
          </rPr>
          <t>Author:
DAGS-PreAudit.xlsx</t>
        </r>
      </text>
    </comment>
    <comment ref="P66" authorId="0" shapeId="0" xr:uid="{00000000-0006-0000-0500-0000C7000000}">
      <text>
        <r>
          <rPr>
            <b/>
            <sz val="9"/>
            <color indexed="81"/>
            <rFont val="Calibri"/>
            <family val="2"/>
          </rPr>
          <t>Author:</t>
        </r>
        <r>
          <rPr>
            <sz val="9"/>
            <color indexed="81"/>
            <rFont val="Calibri"/>
            <family val="2"/>
          </rPr>
          <t xml:space="preserve">
DAGS Pre-Aduit Branch log.xlsx</t>
        </r>
      </text>
    </comment>
    <comment ref="Z66" authorId="0" shapeId="0" xr:uid="{00000000-0006-0000-0500-0000C8000000}">
      <text>
        <r>
          <rPr>
            <b/>
            <sz val="9"/>
            <color indexed="81"/>
            <rFont val="Calibri"/>
            <family val="2"/>
          </rPr>
          <t>Author:</t>
        </r>
        <r>
          <rPr>
            <sz val="9"/>
            <color indexed="81"/>
            <rFont val="Calibri"/>
            <family val="2"/>
          </rPr>
          <t xml:space="preserve">
DAGS/Accounting Div PreAudit.xlsx</t>
        </r>
      </text>
    </comment>
    <comment ref="G67" authorId="0" shapeId="0" xr:uid="{00000000-0006-0000-0500-0000C9000000}">
      <text>
        <r>
          <rPr>
            <b/>
            <sz val="9"/>
            <color indexed="81"/>
            <rFont val="Calibri"/>
            <family val="2"/>
          </rPr>
          <t>Author:
DAGS-SPO.xlsx</t>
        </r>
      </text>
    </comment>
    <comment ref="P67" authorId="0" shapeId="0" xr:uid="{00000000-0006-0000-0500-0000CA000000}">
      <text>
        <r>
          <rPr>
            <b/>
            <sz val="9"/>
            <color indexed="81"/>
            <rFont val="Calibri"/>
            <family val="2"/>
          </rPr>
          <t>Author:</t>
        </r>
        <r>
          <rPr>
            <sz val="9"/>
            <color indexed="81"/>
            <rFont val="Calibri"/>
            <family val="2"/>
          </rPr>
          <t xml:space="preserve">
DAGS SPO log.xlsx</t>
        </r>
      </text>
    </comment>
    <comment ref="Z67" authorId="0" shapeId="0" xr:uid="{00000000-0006-0000-0500-0000CB000000}">
      <text>
        <r>
          <rPr>
            <b/>
            <sz val="9"/>
            <color indexed="81"/>
            <rFont val="Calibri"/>
            <family val="2"/>
          </rPr>
          <t>Author:</t>
        </r>
        <r>
          <rPr>
            <sz val="9"/>
            <color indexed="81"/>
            <rFont val="Calibri"/>
            <family val="2"/>
          </rPr>
          <t xml:space="preserve">
DAGS/State Procurement Office.xlsx</t>
        </r>
      </text>
    </comment>
    <comment ref="G68" authorId="0" shapeId="0" xr:uid="{00000000-0006-0000-0500-0000CC000000}">
      <text>
        <r>
          <rPr>
            <b/>
            <sz val="9"/>
            <color indexed="81"/>
            <rFont val="Calibri"/>
            <family val="2"/>
          </rPr>
          <t>Author:</t>
        </r>
        <r>
          <rPr>
            <sz val="9"/>
            <color indexed="81"/>
            <rFont val="Calibri"/>
            <family val="2"/>
          </rPr>
          <t xml:space="preserve">
DOA-CHR.xlsx (Office of the Chairperson)</t>
        </r>
      </text>
    </comment>
    <comment ref="P68" authorId="0" shapeId="0" xr:uid="{00000000-0006-0000-0500-0000CD000000}">
      <text>
        <r>
          <rPr>
            <b/>
            <sz val="9"/>
            <color indexed="81"/>
            <rFont val="Calibri"/>
            <family val="2"/>
          </rPr>
          <t>Author:</t>
        </r>
        <r>
          <rPr>
            <sz val="9"/>
            <color indexed="81"/>
            <rFont val="Calibri"/>
            <family val="2"/>
          </rPr>
          <t xml:space="preserve">
AGRIC-PEST log.xlsx</t>
        </r>
      </text>
    </comment>
    <comment ref="Z68" authorId="0" shapeId="0" xr:uid="{00000000-0006-0000-0500-0000CE000000}">
      <text>
        <r>
          <rPr>
            <b/>
            <sz val="9"/>
            <color indexed="81"/>
            <rFont val="Calibri"/>
            <family val="2"/>
          </rPr>
          <t>Author:</t>
        </r>
        <r>
          <rPr>
            <sz val="9"/>
            <color indexed="81"/>
            <rFont val="Calibri"/>
            <family val="2"/>
          </rPr>
          <t xml:space="preserve">
AGRIC/CHR log.xlsx</t>
        </r>
      </text>
    </comment>
    <comment ref="G69" authorId="0" shapeId="0" xr:uid="{00000000-0006-0000-0500-0000CF000000}">
      <text>
        <r>
          <rPr>
            <b/>
            <sz val="9"/>
            <color indexed="81"/>
            <rFont val="Calibri"/>
            <family val="2"/>
          </rPr>
          <t>Author:
DOA-CHR.xlsx</t>
        </r>
      </text>
    </comment>
    <comment ref="P69" authorId="0" shapeId="0" xr:uid="{00000000-0006-0000-0500-0000D0000000}">
      <text>
        <r>
          <rPr>
            <b/>
            <sz val="9"/>
            <color indexed="81"/>
            <rFont val="Calibri"/>
            <family val="2"/>
          </rPr>
          <t>Author:</t>
        </r>
        <r>
          <rPr>
            <sz val="9"/>
            <color indexed="81"/>
            <rFont val="Calibri"/>
            <family val="2"/>
          </rPr>
          <t xml:space="preserve">
AGRIC-CHR.xlsx</t>
        </r>
      </text>
    </comment>
    <comment ref="Z69" authorId="0" shapeId="0" xr:uid="{00000000-0006-0000-0500-0000D1000000}">
      <text>
        <r>
          <rPr>
            <b/>
            <sz val="9"/>
            <color indexed="81"/>
            <rFont val="Calibri"/>
            <family val="2"/>
          </rPr>
          <t>Author:</t>
        </r>
        <r>
          <rPr>
            <sz val="9"/>
            <color indexed="81"/>
            <rFont val="Calibri"/>
            <family val="2"/>
          </rPr>
          <t xml:space="preserve">
AGRIC/CHR log.xlsx</t>
        </r>
      </text>
    </comment>
    <comment ref="G70" authorId="0" shapeId="0" xr:uid="{00000000-0006-0000-0500-0000D5000000}">
      <text>
        <r>
          <rPr>
            <b/>
            <sz val="9"/>
            <color indexed="81"/>
            <rFont val="Calibri"/>
            <family val="2"/>
          </rPr>
          <t>Author:
DOA-PEST.xlsx</t>
        </r>
      </text>
    </comment>
    <comment ref="P70" authorId="0" shapeId="0" xr:uid="{00000000-0006-0000-0500-0000D6000000}">
      <text>
        <r>
          <rPr>
            <b/>
            <sz val="9"/>
            <color indexed="81"/>
            <rFont val="Calibri"/>
            <family val="2"/>
          </rPr>
          <t>Author:</t>
        </r>
        <r>
          <rPr>
            <sz val="9"/>
            <color indexed="81"/>
            <rFont val="Calibri"/>
            <family val="2"/>
          </rPr>
          <t xml:space="preserve">
AGRIC-PEST log.xlsx</t>
        </r>
      </text>
    </comment>
    <comment ref="Z70" authorId="0" shapeId="0" xr:uid="{00000000-0006-0000-0500-0000D7000000}">
      <text>
        <r>
          <rPr>
            <b/>
            <sz val="9"/>
            <color indexed="81"/>
            <rFont val="Calibri"/>
            <family val="2"/>
          </rPr>
          <t>Author:</t>
        </r>
        <r>
          <rPr>
            <sz val="9"/>
            <color indexed="81"/>
            <rFont val="Calibri"/>
            <family val="2"/>
          </rPr>
          <t xml:space="preserve">
AGRIC/PEST log.xlsx</t>
        </r>
      </text>
    </comment>
    <comment ref="G71" authorId="0" shapeId="0" xr:uid="{00000000-0006-0000-0500-0000DB000000}">
      <text>
        <r>
          <rPr>
            <b/>
            <sz val="9"/>
            <color indexed="81"/>
            <rFont val="Calibri"/>
            <family val="2"/>
          </rPr>
          <t>Author:</t>
        </r>
        <r>
          <rPr>
            <sz val="9"/>
            <color indexed="81"/>
            <rFont val="Calibri"/>
            <family val="2"/>
          </rPr>
          <t xml:space="preserve">
BF-FAD.xlsx (Financial Administration Divison)</t>
        </r>
      </text>
    </comment>
    <comment ref="P71" authorId="0" shapeId="0" xr:uid="{00000000-0006-0000-0500-0000DC000000}">
      <text>
        <r>
          <rPr>
            <b/>
            <sz val="9"/>
            <color indexed="81"/>
            <rFont val="Calibri"/>
            <family val="2"/>
          </rPr>
          <t>Author:</t>
        </r>
        <r>
          <rPr>
            <sz val="9"/>
            <color indexed="81"/>
            <rFont val="Calibri"/>
            <family val="2"/>
          </rPr>
          <t xml:space="preserve">
B&amp;F ERS log.xlsx</t>
        </r>
      </text>
    </comment>
    <comment ref="Z71" authorId="0" shapeId="0" xr:uid="{00000000-0006-0000-0500-0000DD000000}">
      <text>
        <r>
          <rPr>
            <b/>
            <sz val="9"/>
            <color indexed="81"/>
            <rFont val="Calibri"/>
            <family val="2"/>
          </rPr>
          <t>Author:
B&amp;F/EUTF log</t>
        </r>
        <r>
          <rPr>
            <sz val="9"/>
            <color indexed="81"/>
            <rFont val="Calibri"/>
            <family val="2"/>
          </rPr>
          <t>.xlsx</t>
        </r>
      </text>
    </comment>
    <comment ref="G72" authorId="0" shapeId="0" xr:uid="{00000000-0006-0000-0500-0000DE000000}">
      <text>
        <r>
          <rPr>
            <b/>
            <sz val="9"/>
            <color indexed="81"/>
            <rFont val="Calibri"/>
            <family val="2"/>
          </rPr>
          <t>Author:
BF-FAD.xlsx</t>
        </r>
      </text>
    </comment>
    <comment ref="P72" authorId="0" shapeId="0" xr:uid="{00000000-0006-0000-0500-0000DF000000}">
      <text>
        <r>
          <rPr>
            <b/>
            <sz val="9"/>
            <color indexed="81"/>
            <rFont val="Calibri"/>
            <family val="2"/>
          </rPr>
          <t>Author:</t>
        </r>
        <r>
          <rPr>
            <sz val="9"/>
            <color indexed="81"/>
            <rFont val="Calibri"/>
            <family val="2"/>
          </rPr>
          <t xml:space="preserve">
B&amp;F Unclaimed Property log.xlsx</t>
        </r>
      </text>
    </comment>
    <comment ref="Z72" authorId="0" shapeId="0" xr:uid="{00000000-0006-0000-0500-0000E0000000}">
      <text>
        <r>
          <rPr>
            <b/>
            <sz val="9"/>
            <color indexed="81"/>
            <rFont val="Calibri"/>
            <family val="2"/>
          </rPr>
          <t>Author:</t>
        </r>
        <r>
          <rPr>
            <sz val="9"/>
            <color indexed="81"/>
            <rFont val="Calibri"/>
            <family val="2"/>
          </rPr>
          <t xml:space="preserve">
B&amp;F/FAD-UP log.xlsx</t>
        </r>
      </text>
    </comment>
    <comment ref="G73" authorId="0" shapeId="0" xr:uid="{00000000-0006-0000-0500-0000E1000000}">
      <text>
        <r>
          <rPr>
            <b/>
            <sz val="9"/>
            <color indexed="81"/>
            <rFont val="Calibri"/>
            <family val="2"/>
          </rPr>
          <t>Author:
BF-ERS.xlsx</t>
        </r>
      </text>
    </comment>
    <comment ref="P73" authorId="0" shapeId="0" xr:uid="{00000000-0006-0000-0500-0000E2000000}">
      <text>
        <r>
          <rPr>
            <b/>
            <sz val="9"/>
            <color indexed="81"/>
            <rFont val="Calibri"/>
            <family val="2"/>
          </rPr>
          <t>Author:</t>
        </r>
        <r>
          <rPr>
            <sz val="9"/>
            <color indexed="81"/>
            <rFont val="Calibri"/>
            <family val="2"/>
          </rPr>
          <t xml:space="preserve">
B&amp;F ERS log.xlsx</t>
        </r>
      </text>
    </comment>
    <comment ref="Z73" authorId="0" shapeId="0" xr:uid="{00000000-0006-0000-0500-0000E3000000}">
      <text>
        <r>
          <rPr>
            <b/>
            <sz val="9"/>
            <color indexed="81"/>
            <rFont val="Calibri"/>
            <family val="2"/>
          </rPr>
          <t>Author:</t>
        </r>
        <r>
          <rPr>
            <sz val="9"/>
            <color indexed="81"/>
            <rFont val="Calibri"/>
            <family val="2"/>
          </rPr>
          <t xml:space="preserve">
B&amp;F/ERS log.xlsx</t>
        </r>
      </text>
    </comment>
    <comment ref="G74" authorId="0" shapeId="0" xr:uid="{00000000-0006-0000-0500-0000E4000000}">
      <text>
        <r>
          <rPr>
            <b/>
            <sz val="9"/>
            <color indexed="81"/>
            <rFont val="Calibri"/>
            <family val="2"/>
          </rPr>
          <t>Author:
BF-EUTF.xlsx</t>
        </r>
      </text>
    </comment>
    <comment ref="P74" authorId="0" shapeId="0" xr:uid="{00000000-0006-0000-0500-0000E5000000}">
      <text>
        <r>
          <rPr>
            <b/>
            <sz val="9"/>
            <color indexed="81"/>
            <rFont val="Calibri"/>
            <family val="2"/>
          </rPr>
          <t>Author:
B&amp;F EUTF log</t>
        </r>
        <r>
          <rPr>
            <sz val="9"/>
            <color indexed="81"/>
            <rFont val="Calibri"/>
            <family val="2"/>
          </rPr>
          <t>.xlsx</t>
        </r>
      </text>
    </comment>
    <comment ref="Z74" authorId="0" shapeId="0" xr:uid="{00000000-0006-0000-0500-0000E6000000}">
      <text>
        <r>
          <rPr>
            <b/>
            <sz val="9"/>
            <color indexed="81"/>
            <rFont val="Calibri"/>
            <family val="2"/>
          </rPr>
          <t>Author:
B&amp;F/EUTF log</t>
        </r>
        <r>
          <rPr>
            <sz val="9"/>
            <color indexed="81"/>
            <rFont val="Calibri"/>
            <family val="2"/>
          </rPr>
          <t>.xlsx</t>
        </r>
      </text>
    </comment>
    <comment ref="G75" authorId="0" shapeId="0" xr:uid="{00000000-0006-0000-0500-0000E7000000}">
      <text>
        <r>
          <rPr>
            <b/>
            <sz val="9"/>
            <color indexed="81"/>
            <rFont val="Calibri"/>
            <family val="2"/>
          </rPr>
          <t>Author:</t>
        </r>
        <r>
          <rPr>
            <sz val="9"/>
            <color indexed="81"/>
            <rFont val="Calibri"/>
            <family val="2"/>
          </rPr>
          <t xml:space="preserve">
DBEDT-SEO.xlsx (State Energy Office)</t>
        </r>
      </text>
    </comment>
    <comment ref="P75" authorId="0" shapeId="0" xr:uid="{00000000-0006-0000-0500-0000E8000000}">
      <text>
        <r>
          <rPr>
            <b/>
            <sz val="9"/>
            <color indexed="81"/>
            <rFont val="Calibri"/>
            <family val="2"/>
          </rPr>
          <t>Author:</t>
        </r>
        <r>
          <rPr>
            <sz val="9"/>
            <color indexed="81"/>
            <rFont val="Calibri"/>
            <family val="2"/>
          </rPr>
          <t xml:space="preserve">
DBEDT HHFDC Log (deleted extra).xlsx</t>
        </r>
      </text>
    </comment>
    <comment ref="Z75" authorId="0" shapeId="0" xr:uid="{00000000-0006-0000-0500-0000E9000000}">
      <text>
        <r>
          <rPr>
            <b/>
            <sz val="9"/>
            <color indexed="81"/>
            <rFont val="Calibri"/>
            <family val="2"/>
          </rPr>
          <t>Author:</t>
        </r>
        <r>
          <rPr>
            <sz val="9"/>
            <color indexed="81"/>
            <rFont val="Calibri"/>
            <family val="2"/>
          </rPr>
          <t xml:space="preserve">
DBEDT/HTA log.xlsx</t>
        </r>
      </text>
    </comment>
    <comment ref="AJ75" authorId="0" shapeId="0" xr:uid="{1CC5B056-C034-2D41-AD03-6F95069F3E4A}">
      <text>
        <r>
          <rPr>
            <sz val="10"/>
            <color rgb="FF000000"/>
            <rFont val="Tahoma"/>
            <family val="2"/>
          </rPr>
          <t xml:space="preserve">Author:
</t>
        </r>
        <r>
          <rPr>
            <sz val="10"/>
            <color rgb="FF000000"/>
            <rFont val="Tahoma"/>
            <family val="2"/>
          </rPr>
          <t>HTA</t>
        </r>
      </text>
    </comment>
    <comment ref="AT75" authorId="0" shapeId="0" xr:uid="{8A7EBB5F-93D6-2A4F-9D15-E3D126BA5DBF}">
      <text>
        <r>
          <rPr>
            <sz val="10"/>
            <color rgb="FF000000"/>
            <rFont val="Tahoma"/>
            <family val="2"/>
          </rPr>
          <t xml:space="preserve">Author:
</t>
        </r>
        <r>
          <rPr>
            <sz val="10"/>
            <color rgb="FF000000"/>
            <rFont val="Tahoma"/>
            <family val="2"/>
          </rPr>
          <t>Office of Planning</t>
        </r>
      </text>
    </comment>
    <comment ref="BD75" authorId="0" shapeId="0" xr:uid="{81466B62-A0FB-D44F-8314-4A6C4F7DF9EA}">
      <text>
        <r>
          <rPr>
            <sz val="10"/>
            <color rgb="FF000000"/>
            <rFont val="Tahoma"/>
            <family val="2"/>
          </rPr>
          <t xml:space="preserve">Author:
</t>
        </r>
        <r>
          <rPr>
            <sz val="10"/>
            <color rgb="FF000000"/>
            <rFont val="Tahoma"/>
            <family val="2"/>
          </rPr>
          <t>DBEDT Dir</t>
        </r>
      </text>
    </comment>
    <comment ref="BN75" authorId="0" shapeId="0" xr:uid="{4353BEE7-C44D-804E-BF3E-B99374E4D1DB}">
      <text>
        <r>
          <rPr>
            <sz val="10"/>
            <color rgb="FF000000"/>
            <rFont val="Tahoma"/>
            <family val="2"/>
          </rPr>
          <t xml:space="preserve">Author:
</t>
        </r>
        <r>
          <rPr>
            <sz val="10"/>
            <color rgb="FF000000"/>
            <rFont val="Tahoma"/>
            <family val="2"/>
          </rPr>
          <t>Director's Office</t>
        </r>
      </text>
    </comment>
    <comment ref="CH75" authorId="0" shapeId="0" xr:uid="{EA04718A-0084-7144-9BAD-04E8C422E105}">
      <text>
        <r>
          <rPr>
            <sz val="10"/>
            <color rgb="FF000000"/>
            <rFont val="Tahoma"/>
            <family val="2"/>
          </rPr>
          <t xml:space="preserve">Author:
</t>
        </r>
        <r>
          <rPr>
            <sz val="10"/>
            <color rgb="FF000000"/>
            <rFont val="Tahoma"/>
            <family val="2"/>
          </rPr>
          <t>HCDA</t>
        </r>
      </text>
    </comment>
    <comment ref="G76" authorId="0" shapeId="0" xr:uid="{00000000-0006-0000-0500-0000D2000000}">
      <text>
        <r>
          <rPr>
            <b/>
            <sz val="9"/>
            <color indexed="81"/>
            <rFont val="Calibri"/>
            <family val="2"/>
          </rPr>
          <t>Author:
DOA-ADC.xlsx</t>
        </r>
      </text>
    </comment>
    <comment ref="P76" authorId="0" shapeId="0" xr:uid="{00000000-0006-0000-0500-0000D3000000}">
      <text>
        <r>
          <rPr>
            <b/>
            <sz val="9"/>
            <color indexed="81"/>
            <rFont val="Calibri"/>
            <family val="2"/>
          </rPr>
          <t>Author:</t>
        </r>
        <r>
          <rPr>
            <sz val="9"/>
            <color indexed="81"/>
            <rFont val="Calibri"/>
            <family val="2"/>
          </rPr>
          <t xml:space="preserve">
AGRIC-ADC.xlsx</t>
        </r>
      </text>
    </comment>
    <comment ref="Z76" authorId="0" shapeId="0" xr:uid="{00000000-0006-0000-0500-0000D4000000}">
      <text>
        <r>
          <rPr>
            <b/>
            <sz val="9"/>
            <color indexed="81"/>
            <rFont val="Calibri"/>
            <family val="2"/>
          </rPr>
          <t>Author:</t>
        </r>
        <r>
          <rPr>
            <sz val="9"/>
            <color indexed="81"/>
            <rFont val="Calibri"/>
            <family val="2"/>
          </rPr>
          <t xml:space="preserve">
AGRIC/ADC log.xlsx</t>
        </r>
      </text>
    </comment>
    <comment ref="G77" authorId="0" shapeId="0" xr:uid="{00000000-0006-0000-0500-0000EA000000}">
      <text>
        <r>
          <rPr>
            <b/>
            <sz val="9"/>
            <color indexed="81"/>
            <rFont val="Calibri"/>
            <family val="2"/>
          </rPr>
          <t>Author:
DBEDT-SEO.xlsx</t>
        </r>
      </text>
    </comment>
    <comment ref="P77" authorId="0" shapeId="0" xr:uid="{00000000-0006-0000-0500-0000EB000000}">
      <text>
        <r>
          <rPr>
            <b/>
            <sz val="9"/>
            <color indexed="81"/>
            <rFont val="Calibri"/>
            <family val="2"/>
          </rPr>
          <t>Author:</t>
        </r>
        <r>
          <rPr>
            <sz val="9"/>
            <color indexed="81"/>
            <rFont val="Calibri"/>
            <family val="2"/>
          </rPr>
          <t xml:space="preserve">
DBEDT ED log.xlsx</t>
        </r>
      </text>
    </comment>
    <comment ref="Z77" authorId="0" shapeId="0" xr:uid="{00000000-0006-0000-0500-0000EC000000}">
      <text>
        <r>
          <rPr>
            <b/>
            <sz val="9"/>
            <color indexed="81"/>
            <rFont val="Calibri"/>
            <family val="2"/>
          </rPr>
          <t>Author:</t>
        </r>
        <r>
          <rPr>
            <sz val="9"/>
            <color indexed="81"/>
            <rFont val="Calibri"/>
            <family val="2"/>
          </rPr>
          <t xml:space="preserve">
DBEDT/Hawai`i State Energy Ofc log.xlsx</t>
        </r>
      </text>
    </comment>
    <comment ref="G78" authorId="0" shapeId="0" xr:uid="{00000000-0006-0000-0500-0000ED000000}">
      <text>
        <r>
          <rPr>
            <b/>
            <sz val="9"/>
            <color indexed="81"/>
            <rFont val="Calibri"/>
            <family val="2"/>
          </rPr>
          <t>Author:
BEDT-HHFDC.xlsx</t>
        </r>
      </text>
    </comment>
    <comment ref="P78" authorId="0" shapeId="0" xr:uid="{00000000-0006-0000-0500-0000EE000000}">
      <text>
        <r>
          <rPr>
            <b/>
            <sz val="9"/>
            <color indexed="81"/>
            <rFont val="Calibri"/>
            <family val="2"/>
          </rPr>
          <t>Author:</t>
        </r>
        <r>
          <rPr>
            <sz val="9"/>
            <color indexed="81"/>
            <rFont val="Calibri"/>
            <family val="2"/>
          </rPr>
          <t xml:space="preserve">
DBEDT HHFDC Log (deleted extra).xlsx</t>
        </r>
      </text>
    </comment>
    <comment ref="Z78" authorId="0" shapeId="0" xr:uid="{00000000-0006-0000-0500-0000EF000000}">
      <text>
        <r>
          <rPr>
            <b/>
            <sz val="9"/>
            <color indexed="81"/>
            <rFont val="Calibri"/>
            <family val="2"/>
          </rPr>
          <t>Author:</t>
        </r>
        <r>
          <rPr>
            <sz val="9"/>
            <color indexed="81"/>
            <rFont val="Calibri"/>
            <family val="2"/>
          </rPr>
          <t xml:space="preserve">
DBEDT/CopyofUIPA....xlsx</t>
        </r>
      </text>
    </comment>
    <comment ref="G79" authorId="0" shapeId="0" xr:uid="{00000000-0006-0000-0500-0000F0000000}">
      <text>
        <r>
          <rPr>
            <b/>
            <sz val="9"/>
            <color indexed="81"/>
            <rFont val="Calibri"/>
            <family val="2"/>
          </rPr>
          <t>Author:</t>
        </r>
        <r>
          <rPr>
            <sz val="9"/>
            <color indexed="81"/>
            <rFont val="Calibri"/>
            <family val="2"/>
          </rPr>
          <t xml:space="preserve">
DCCA-PVL.xlsx (Professional &amp; Vocational Licensing)</t>
        </r>
      </text>
    </comment>
    <comment ref="P79" authorId="0" shapeId="0" xr:uid="{00000000-0006-0000-0500-0000F1000000}">
      <text>
        <r>
          <rPr>
            <b/>
            <sz val="9"/>
            <color indexed="81"/>
            <rFont val="Calibri"/>
            <family val="2"/>
          </rPr>
          <t>Author:</t>
        </r>
        <r>
          <rPr>
            <sz val="9"/>
            <color indexed="81"/>
            <rFont val="Calibri"/>
            <family val="2"/>
          </rPr>
          <t xml:space="preserve">
DCCA DFI log.xlsx (Division of Financial Institutions)</t>
        </r>
      </text>
    </comment>
    <comment ref="Z79" authorId="0" shapeId="0" xr:uid="{00000000-0006-0000-0500-0000F2000000}">
      <text>
        <r>
          <rPr>
            <b/>
            <sz val="9"/>
            <color indexed="81"/>
            <rFont val="Calibri"/>
            <family val="2"/>
          </rPr>
          <t>Author:</t>
        </r>
        <r>
          <rPr>
            <sz val="9"/>
            <color indexed="81"/>
            <rFont val="Calibri"/>
            <family val="2"/>
          </rPr>
          <t xml:space="preserve">
DCCA/PVL.xlsx</t>
        </r>
      </text>
    </comment>
    <comment ref="AJ79" authorId="0" shapeId="0" xr:uid="{E66C9AE3-52AA-044A-9BDD-09D2EE1A9415}">
      <text>
        <r>
          <rPr>
            <b/>
            <sz val="10"/>
            <color rgb="FF000000"/>
            <rFont val="Tahoma"/>
            <family val="2"/>
          </rPr>
          <t>Author:</t>
        </r>
        <r>
          <rPr>
            <sz val="10"/>
            <color rgb="FF000000"/>
            <rFont val="Tahoma"/>
            <family val="2"/>
          </rPr>
          <t xml:space="preserve">
INS</t>
        </r>
      </text>
    </comment>
    <comment ref="AT79" authorId="0" shapeId="0" xr:uid="{662ADF11-16FB-7D43-9C9A-D7A8EA2D57F5}">
      <text>
        <r>
          <rPr>
            <b/>
            <sz val="10"/>
            <color rgb="FF000000"/>
            <rFont val="Tahoma"/>
            <family val="2"/>
          </rPr>
          <t>Author:</t>
        </r>
        <r>
          <rPr>
            <sz val="10"/>
            <color rgb="FF000000"/>
            <rFont val="Tahoma"/>
            <family val="2"/>
          </rPr>
          <t xml:space="preserve">
</t>
        </r>
        <r>
          <rPr>
            <sz val="10"/>
            <color rgb="FF000000"/>
            <rFont val="Tahoma"/>
            <family val="2"/>
          </rPr>
          <t>BREG</t>
        </r>
      </text>
    </comment>
    <comment ref="BD79" authorId="0" shapeId="0" xr:uid="{50633635-6802-E94D-BB41-D9CBA4824556}">
      <text>
        <r>
          <rPr>
            <b/>
            <sz val="10"/>
            <color rgb="FF000000"/>
            <rFont val="Tahoma"/>
            <family val="2"/>
          </rPr>
          <t>Author:</t>
        </r>
        <r>
          <rPr>
            <sz val="10"/>
            <color rgb="FF000000"/>
            <rFont val="Tahoma"/>
            <family val="2"/>
          </rPr>
          <t xml:space="preserve">
</t>
        </r>
        <r>
          <rPr>
            <sz val="10"/>
            <color rgb="FF000000"/>
            <rFont val="Tahoma"/>
            <family val="2"/>
          </rPr>
          <t>DFI</t>
        </r>
      </text>
    </comment>
    <comment ref="BN79" authorId="0" shapeId="0" xr:uid="{D587A0E5-4992-E145-9C38-25D999FA06A1}">
      <text>
        <r>
          <rPr>
            <sz val="10"/>
            <color rgb="FF000000"/>
            <rFont val="Tahoma"/>
            <family val="2"/>
          </rPr>
          <t xml:space="preserve">Author:
</t>
        </r>
        <r>
          <rPr>
            <sz val="10"/>
            <color rgb="FF000000"/>
            <rFont val="Tahoma"/>
            <family val="2"/>
          </rPr>
          <t>Insurance Division</t>
        </r>
      </text>
    </comment>
    <comment ref="CH79" authorId="0" shapeId="0" xr:uid="{54281377-0FBA-7345-BDBD-2127715FD2E4}">
      <text>
        <r>
          <rPr>
            <b/>
            <sz val="10"/>
            <color rgb="FF000000"/>
            <rFont val="Tahoma"/>
            <family val="2"/>
          </rPr>
          <t xml:space="preserve">Author:
</t>
        </r>
        <r>
          <rPr>
            <sz val="10"/>
            <color rgb="FF000000"/>
            <rFont val="Tahoma"/>
            <family val="2"/>
          </rPr>
          <t>Director</t>
        </r>
      </text>
    </comment>
    <comment ref="G80" authorId="0" shapeId="0" xr:uid="{00000000-0006-0000-0500-0000F3000000}">
      <text>
        <r>
          <rPr>
            <b/>
            <sz val="9"/>
            <color indexed="81"/>
            <rFont val="Calibri"/>
            <family val="2"/>
          </rPr>
          <t xml:space="preserve">Author:
DCCA-PVL.xlsx </t>
        </r>
      </text>
    </comment>
    <comment ref="P80" authorId="0" shapeId="0" xr:uid="{00000000-0006-0000-0500-0000F4000000}">
      <text>
        <r>
          <rPr>
            <b/>
            <sz val="9"/>
            <color indexed="81"/>
            <rFont val="Calibri"/>
            <family val="2"/>
          </rPr>
          <t>Author:</t>
        </r>
        <r>
          <rPr>
            <sz val="9"/>
            <color indexed="81"/>
            <rFont val="Calibri"/>
            <family val="2"/>
          </rPr>
          <t xml:space="preserve">
DCCA PVL log.xlsx</t>
        </r>
      </text>
    </comment>
    <comment ref="Z80" authorId="0" shapeId="0" xr:uid="{00000000-0006-0000-0500-0000F5000000}">
      <text>
        <r>
          <rPr>
            <b/>
            <sz val="9"/>
            <color indexed="81"/>
            <rFont val="Calibri"/>
            <family val="2"/>
          </rPr>
          <t>Author:</t>
        </r>
        <r>
          <rPr>
            <sz val="9"/>
            <color indexed="81"/>
            <rFont val="Calibri"/>
            <family val="2"/>
          </rPr>
          <t xml:space="preserve">
DCCA/PVL.xlsx</t>
        </r>
      </text>
    </comment>
    <comment ref="G81" authorId="0" shapeId="0" xr:uid="{00000000-0006-0000-0500-0000F6000000}">
      <text>
        <r>
          <rPr>
            <b/>
            <sz val="9"/>
            <color indexed="81"/>
            <rFont val="Calibri"/>
            <family val="2"/>
          </rPr>
          <t>Author:
DCCA-RICO.xlsx</t>
        </r>
      </text>
    </comment>
    <comment ref="P81" authorId="0" shapeId="0" xr:uid="{00000000-0006-0000-0500-0000F7000000}">
      <text>
        <r>
          <rPr>
            <b/>
            <sz val="9"/>
            <color indexed="81"/>
            <rFont val="Calibri"/>
            <family val="2"/>
          </rPr>
          <t>Author:</t>
        </r>
        <r>
          <rPr>
            <sz val="9"/>
            <color indexed="81"/>
            <rFont val="Calibri"/>
            <family val="2"/>
          </rPr>
          <t xml:space="preserve">
DCCA RICO log.xlsx</t>
        </r>
      </text>
    </comment>
    <comment ref="Z81" authorId="0" shapeId="0" xr:uid="{00000000-0006-0000-0500-0000F8000000}">
      <text>
        <r>
          <rPr>
            <b/>
            <sz val="9"/>
            <color indexed="81"/>
            <rFont val="Calibri"/>
            <family val="2"/>
          </rPr>
          <t>Author:</t>
        </r>
        <r>
          <rPr>
            <sz val="9"/>
            <color indexed="81"/>
            <rFont val="Calibri"/>
            <family val="2"/>
          </rPr>
          <t xml:space="preserve">
DCCA/RICO log.xlsx</t>
        </r>
      </text>
    </comment>
    <comment ref="G82" authorId="0" shapeId="0" xr:uid="{00000000-0006-0000-0500-0000F9000000}">
      <text>
        <r>
          <rPr>
            <b/>
            <sz val="9"/>
            <color indexed="81"/>
            <rFont val="Calibri"/>
            <family val="2"/>
          </rPr>
          <t>Author:</t>
        </r>
        <r>
          <rPr>
            <sz val="9"/>
            <color indexed="81"/>
            <rFont val="Calibri"/>
            <family val="2"/>
          </rPr>
          <t xml:space="preserve">
PUC.xlsx</t>
        </r>
      </text>
    </comment>
    <comment ref="P82" authorId="0" shapeId="0" xr:uid="{00000000-0006-0000-0500-0000FA000000}">
      <text>
        <r>
          <rPr>
            <b/>
            <sz val="9"/>
            <color rgb="FF000000"/>
            <rFont val="Calibri"/>
            <family val="2"/>
          </rPr>
          <t>Author:</t>
        </r>
        <r>
          <rPr>
            <sz val="9"/>
            <color rgb="FF000000"/>
            <rFont val="Calibri"/>
            <family val="2"/>
          </rPr>
          <t xml:space="preserve">
</t>
        </r>
        <r>
          <rPr>
            <sz val="9"/>
            <color rgb="FF000000"/>
            <rFont val="Calibri"/>
            <family val="2"/>
          </rPr>
          <t>DCCA PUC log.xlsx</t>
        </r>
      </text>
    </comment>
    <comment ref="Z82" authorId="0" shapeId="0" xr:uid="{00000000-0006-0000-0500-0000FB000000}">
      <text>
        <r>
          <rPr>
            <b/>
            <sz val="9"/>
            <color indexed="81"/>
            <rFont val="Calibri"/>
            <family val="2"/>
          </rPr>
          <t>Author:</t>
        </r>
        <r>
          <rPr>
            <sz val="9"/>
            <color indexed="81"/>
            <rFont val="Calibri"/>
            <family val="2"/>
          </rPr>
          <t xml:space="preserve">
DCCA/PUC log.xlsx</t>
        </r>
      </text>
    </comment>
    <comment ref="Z83" authorId="0" shapeId="0" xr:uid="{00000000-0006-0000-0500-0000FC000000}">
      <text>
        <r>
          <rPr>
            <b/>
            <sz val="10"/>
            <color indexed="81"/>
            <rFont val="Calibri"/>
            <family val="2"/>
          </rPr>
          <t>Author:</t>
        </r>
        <r>
          <rPr>
            <sz val="10"/>
            <color indexed="81"/>
            <rFont val="Calibri"/>
            <family val="2"/>
          </rPr>
          <t xml:space="preserve">
DOD/DOD log.xlsx</t>
        </r>
      </text>
    </comment>
    <comment ref="AJ83" authorId="0" shapeId="0" xr:uid="{ABD64237-3806-7448-9FB6-6AB29A9300A2}">
      <text>
        <r>
          <rPr>
            <b/>
            <sz val="10"/>
            <color rgb="FF000000"/>
            <rFont val="Tahoma"/>
            <family val="2"/>
          </rPr>
          <t>Author:</t>
        </r>
        <r>
          <rPr>
            <sz val="10"/>
            <color rgb="FF000000"/>
            <rFont val="Tahoma"/>
            <family val="2"/>
          </rPr>
          <t xml:space="preserve">
HIEMA</t>
        </r>
      </text>
    </comment>
    <comment ref="BH83" authorId="0" shapeId="0" xr:uid="{5938975F-CC00-2A45-8E66-DE70041414F5}">
      <text>
        <r>
          <rPr>
            <b/>
            <sz val="10"/>
            <color rgb="FF000000"/>
            <rFont val="Tahoma"/>
            <family val="2"/>
          </rPr>
          <t xml:space="preserve">Author:
</t>
        </r>
        <r>
          <rPr>
            <sz val="10"/>
            <color rgb="FF000000"/>
            <rFont val="Tahoma"/>
            <family val="2"/>
          </rPr>
          <t>Failed to complete UIPA log</t>
        </r>
      </text>
    </comment>
    <comment ref="BR83" authorId="0" shapeId="0" xr:uid="{1D41ECF2-8B85-EC4A-A84B-52FD4C7E1575}">
      <text>
        <r>
          <rPr>
            <b/>
            <sz val="10"/>
            <color rgb="FF000000"/>
            <rFont val="Tahoma"/>
            <family val="2"/>
          </rPr>
          <t xml:space="preserve">Author:
</t>
        </r>
        <r>
          <rPr>
            <sz val="10"/>
            <color rgb="FF000000"/>
            <rFont val="Tahoma"/>
            <family val="2"/>
          </rPr>
          <t>Failed to complete UIPA log</t>
        </r>
      </text>
    </comment>
    <comment ref="G84" authorId="0" shapeId="0" xr:uid="{00000000-0006-0000-0500-0000FD000000}">
      <text>
        <r>
          <rPr>
            <b/>
            <sz val="9"/>
            <color indexed="81"/>
            <rFont val="Calibri"/>
            <family val="2"/>
          </rPr>
          <t>Author:</t>
        </r>
        <r>
          <rPr>
            <sz val="9"/>
            <color indexed="81"/>
            <rFont val="Calibri"/>
            <family val="2"/>
          </rPr>
          <t xml:space="preserve">
DOE.xlsx</t>
        </r>
      </text>
    </comment>
    <comment ref="P84" authorId="0" shapeId="0" xr:uid="{00000000-0006-0000-0500-0000FE000000}">
      <text>
        <r>
          <rPr>
            <b/>
            <sz val="9"/>
            <color indexed="81"/>
            <rFont val="Calibri"/>
            <family val="2"/>
          </rPr>
          <t>Author:</t>
        </r>
        <r>
          <rPr>
            <sz val="9"/>
            <color indexed="81"/>
            <rFont val="Calibri"/>
            <family val="2"/>
          </rPr>
          <t xml:space="preserve">
DOE Superintendent log.xlsx</t>
        </r>
      </text>
    </comment>
    <comment ref="Z84" authorId="0" shapeId="0" xr:uid="{00000000-0006-0000-0500-0000FF000000}">
      <text>
        <r>
          <rPr>
            <b/>
            <sz val="9"/>
            <color indexed="81"/>
            <rFont val="Calibri"/>
            <family val="2"/>
          </rPr>
          <t>Author:</t>
        </r>
        <r>
          <rPr>
            <sz val="9"/>
            <color indexed="81"/>
            <rFont val="Calibri"/>
            <family val="2"/>
          </rPr>
          <t xml:space="preserve">
DOE/Kua o Ka La PCS.xlsx</t>
        </r>
      </text>
    </comment>
    <comment ref="BD84" authorId="0" shapeId="0" xr:uid="{9F5DD816-6E44-0246-B98F-BCE63E534560}">
      <text>
        <r>
          <rPr>
            <sz val="10"/>
            <color rgb="FF000000"/>
            <rFont val="Tahoma"/>
            <family val="2"/>
          </rPr>
          <t xml:space="preserve">Author:
</t>
        </r>
        <r>
          <rPr>
            <sz val="10"/>
            <color rgb="FF000000"/>
            <rFont val="Tahoma"/>
            <family val="2"/>
          </rPr>
          <t>Laupahoehoe</t>
        </r>
      </text>
    </comment>
    <comment ref="G85" authorId="0" shapeId="0" xr:uid="{00000000-0006-0000-0500-000000010000}">
      <text>
        <r>
          <rPr>
            <b/>
            <sz val="9"/>
            <color indexed="81"/>
            <rFont val="Calibri"/>
            <family val="2"/>
          </rPr>
          <t xml:space="preserve">Author:
DOE.xlsx </t>
        </r>
      </text>
    </comment>
    <comment ref="P85" authorId="0" shapeId="0" xr:uid="{00000000-0006-0000-0500-000001010000}">
      <text>
        <r>
          <rPr>
            <b/>
            <sz val="9"/>
            <color indexed="81"/>
            <rFont val="Calibri"/>
            <family val="2"/>
          </rPr>
          <t>Author:</t>
        </r>
        <r>
          <rPr>
            <sz val="9"/>
            <color indexed="81"/>
            <rFont val="Calibri"/>
            <family val="2"/>
          </rPr>
          <t xml:space="preserve">
DOE Superintendent log.xlsx</t>
        </r>
      </text>
    </comment>
    <comment ref="Z85" authorId="0" shapeId="0" xr:uid="{00000000-0006-0000-0500-000002010000}">
      <text>
        <r>
          <rPr>
            <b/>
            <sz val="9"/>
            <color indexed="81"/>
            <rFont val="Calibri"/>
            <family val="2"/>
          </rPr>
          <t>Author:</t>
        </r>
        <r>
          <rPr>
            <sz val="9"/>
            <color indexed="81"/>
            <rFont val="Calibri"/>
            <family val="2"/>
          </rPr>
          <t xml:space="preserve">
DOE/DOE log.xlsx</t>
        </r>
      </text>
    </comment>
    <comment ref="G86" authorId="0" shapeId="0" xr:uid="{00000000-0006-0000-0500-000003010000}">
      <text>
        <r>
          <rPr>
            <b/>
            <sz val="9"/>
            <color indexed="81"/>
            <rFont val="Calibri"/>
            <family val="2"/>
          </rPr>
          <t>Author:</t>
        </r>
        <r>
          <rPr>
            <sz val="9"/>
            <color indexed="81"/>
            <rFont val="Calibri"/>
            <family val="2"/>
          </rPr>
          <t xml:space="preserve">
DHHL.xlsx</t>
        </r>
      </text>
    </comment>
    <comment ref="P86" authorId="0" shapeId="0" xr:uid="{00000000-0006-0000-0500-000004010000}">
      <text>
        <r>
          <rPr>
            <b/>
            <sz val="9"/>
            <color indexed="81"/>
            <rFont val="Calibri"/>
            <family val="2"/>
          </rPr>
          <t>Author:</t>
        </r>
        <r>
          <rPr>
            <sz val="9"/>
            <color indexed="81"/>
            <rFont val="Calibri"/>
            <family val="2"/>
          </rPr>
          <t xml:space="preserve">
DHHL log.xlsx</t>
        </r>
      </text>
    </comment>
    <comment ref="Z86" authorId="0" shapeId="0" xr:uid="{00000000-0006-0000-0500-000005010000}">
      <text>
        <r>
          <rPr>
            <b/>
            <sz val="9"/>
            <color indexed="81"/>
            <rFont val="Calibri"/>
            <family val="2"/>
          </rPr>
          <t>Author:</t>
        </r>
        <r>
          <rPr>
            <sz val="9"/>
            <color indexed="81"/>
            <rFont val="Calibri"/>
            <family val="2"/>
          </rPr>
          <t xml:space="preserve">
DHHL/Conformed log.xlsx</t>
        </r>
      </text>
    </comment>
    <comment ref="AN86" authorId="0" shapeId="0" xr:uid="{875F96A3-AB04-DD40-9A90-C6DED52A87C4}">
      <text>
        <r>
          <rPr>
            <sz val="10"/>
            <color rgb="FF000000"/>
            <rFont val="Tahoma"/>
            <family val="2"/>
          </rPr>
          <t xml:space="preserve">Author:
</t>
        </r>
        <r>
          <rPr>
            <sz val="10"/>
            <color rgb="FF000000"/>
            <rFont val="Tahoma"/>
            <family val="2"/>
          </rPr>
          <t>Incomplete log</t>
        </r>
      </text>
    </comment>
    <comment ref="G87" authorId="0" shapeId="0" xr:uid="{00000000-0006-0000-0500-000006010000}">
      <text>
        <r>
          <rPr>
            <b/>
            <sz val="9"/>
            <color indexed="81"/>
            <rFont val="Calibri"/>
            <family val="2"/>
          </rPr>
          <t>Author:</t>
        </r>
        <r>
          <rPr>
            <sz val="9"/>
            <color indexed="81"/>
            <rFont val="Calibri"/>
            <family val="2"/>
          </rPr>
          <t xml:space="preserve">
DOH-WWB.xlsx (Wastewater Branch)</t>
        </r>
      </text>
    </comment>
    <comment ref="P87" authorId="0" shapeId="0" xr:uid="{00000000-0006-0000-0500-000007010000}">
      <text>
        <r>
          <rPr>
            <b/>
            <sz val="9"/>
            <color indexed="81"/>
            <rFont val="Calibri"/>
            <family val="2"/>
          </rPr>
          <t>Author:</t>
        </r>
        <r>
          <rPr>
            <sz val="9"/>
            <color indexed="81"/>
            <rFont val="Calibri"/>
            <family val="2"/>
          </rPr>
          <t xml:space="preserve">
SOH DOH OHCA log.xlsx (Office of Health Care Assurance)</t>
        </r>
      </text>
    </comment>
    <comment ref="Z87" authorId="0" shapeId="0" xr:uid="{00000000-0006-0000-0500-000008010000}">
      <text>
        <r>
          <rPr>
            <b/>
            <sz val="9"/>
            <color rgb="FF000000"/>
            <rFont val="Calibri"/>
            <family val="2"/>
          </rPr>
          <t>Author:</t>
        </r>
        <r>
          <rPr>
            <sz val="9"/>
            <color rgb="FF000000"/>
            <rFont val="Calibri"/>
            <family val="2"/>
          </rPr>
          <t xml:space="preserve">
</t>
        </r>
        <r>
          <rPr>
            <sz val="9"/>
            <color rgb="FF000000"/>
            <rFont val="Calibri"/>
            <family val="2"/>
          </rPr>
          <t>DOH/29 EPO....xlsx (Environmental Planning Office)</t>
        </r>
      </text>
    </comment>
    <comment ref="G88" authorId="0" shapeId="0" xr:uid="{00000000-0006-0000-0500-000009010000}">
      <text>
        <r>
          <rPr>
            <b/>
            <sz val="9"/>
            <color rgb="FF000000"/>
            <rFont val="Calibri"/>
            <family val="2"/>
          </rPr>
          <t>Author:</t>
        </r>
        <r>
          <rPr>
            <sz val="9"/>
            <color rgb="FF000000"/>
            <rFont val="Calibri"/>
            <family val="2"/>
          </rPr>
          <t xml:space="preserve">
</t>
        </r>
        <r>
          <rPr>
            <sz val="9"/>
            <color rgb="FF000000"/>
            <rFont val="Calibri"/>
            <family val="2"/>
          </rPr>
          <t>DOH-WWB.xlsx (Wastewater Branch)</t>
        </r>
      </text>
    </comment>
    <comment ref="P88" authorId="0" shapeId="0" xr:uid="{00000000-0006-0000-0500-00000A010000}">
      <text>
        <r>
          <rPr>
            <b/>
            <sz val="9"/>
            <color indexed="81"/>
            <rFont val="Calibri"/>
            <family val="2"/>
          </rPr>
          <t>Author:</t>
        </r>
        <r>
          <rPr>
            <sz val="9"/>
            <color indexed="81"/>
            <rFont val="Calibri"/>
            <family val="2"/>
          </rPr>
          <t xml:space="preserve">
SOH DOH OHCA log.xlsx (Office of Health Care Assurance)</t>
        </r>
      </text>
    </comment>
    <comment ref="Z88" authorId="0" shapeId="0" xr:uid="{00000000-0006-0000-0500-00000B010000}">
      <text>
        <r>
          <rPr>
            <b/>
            <sz val="9"/>
            <color rgb="FF000000"/>
            <rFont val="Calibri"/>
            <family val="2"/>
          </rPr>
          <t>Author:</t>
        </r>
        <r>
          <rPr>
            <sz val="9"/>
            <color rgb="FF000000"/>
            <rFont val="Calibri"/>
            <family val="2"/>
          </rPr>
          <t xml:space="preserve">
</t>
        </r>
        <r>
          <rPr>
            <sz val="9"/>
            <color rgb="FF000000"/>
            <rFont val="Calibri"/>
            <family val="2"/>
          </rPr>
          <t>DOH/29 EPO....xlsx (Environmental Planning Office)</t>
        </r>
      </text>
    </comment>
    <comment ref="AJ88" authorId="0" shapeId="0" xr:uid="{C9E659F0-583B-D74A-AEEF-0882EFE6E2E6}">
      <text>
        <r>
          <rPr>
            <b/>
            <sz val="10"/>
            <color rgb="FF000000"/>
            <rFont val="Tahoma"/>
            <family val="2"/>
          </rPr>
          <t>Author:</t>
        </r>
        <r>
          <rPr>
            <sz val="10"/>
            <color rgb="FF000000"/>
            <rFont val="Tahoma"/>
            <family val="2"/>
          </rPr>
          <t xml:space="preserve">
</t>
        </r>
        <r>
          <rPr>
            <sz val="10"/>
            <color rgb="FF000000"/>
            <rFont val="Tahoma"/>
            <family val="2"/>
          </rPr>
          <t>DIB</t>
        </r>
      </text>
    </comment>
    <comment ref="AT88" authorId="0" shapeId="0" xr:uid="{92970C32-D13E-FF40-B25B-94FFDE76C305}">
      <text>
        <r>
          <rPr>
            <b/>
            <sz val="10"/>
            <color rgb="FF000000"/>
            <rFont val="Tahoma"/>
            <family val="2"/>
          </rPr>
          <t>Author:</t>
        </r>
        <r>
          <rPr>
            <sz val="10"/>
            <color rgb="FF000000"/>
            <rFont val="Tahoma"/>
            <family val="2"/>
          </rPr>
          <t xml:space="preserve">
</t>
        </r>
        <r>
          <rPr>
            <sz val="10"/>
            <color rgb="FF000000"/>
            <rFont val="Tahoma"/>
            <family val="2"/>
          </rPr>
          <t>IRHB</t>
        </r>
      </text>
    </comment>
    <comment ref="G89" authorId="0" shapeId="0" xr:uid="{00000000-0006-0000-0500-00000C010000}">
      <text>
        <r>
          <rPr>
            <b/>
            <sz val="9"/>
            <color indexed="81"/>
            <rFont val="Calibri"/>
            <family val="2"/>
          </rPr>
          <t>Author:</t>
        </r>
        <r>
          <rPr>
            <sz val="9"/>
            <color indexed="81"/>
            <rFont val="Calibri"/>
            <family val="2"/>
          </rPr>
          <t xml:space="preserve">
DOH-SHWB II.xlsx</t>
        </r>
      </text>
    </comment>
    <comment ref="P89" authorId="0" shapeId="0" xr:uid="{00000000-0006-0000-0500-00000D010000}">
      <text>
        <r>
          <rPr>
            <b/>
            <sz val="9"/>
            <color indexed="81"/>
            <rFont val="Calibri"/>
            <family val="2"/>
          </rPr>
          <t>Author:</t>
        </r>
        <r>
          <rPr>
            <sz val="9"/>
            <color indexed="81"/>
            <rFont val="Calibri"/>
            <family val="2"/>
          </rPr>
          <t xml:space="preserve">
SOH DOH SHWB log - 2d half.xlsx</t>
        </r>
      </text>
    </comment>
    <comment ref="Z89" authorId="0" shapeId="0" xr:uid="{00000000-0006-0000-0500-00000E010000}">
      <text>
        <r>
          <rPr>
            <b/>
            <sz val="9"/>
            <color indexed="81"/>
            <rFont val="Calibri"/>
            <family val="2"/>
          </rPr>
          <t>Author:</t>
        </r>
        <r>
          <rPr>
            <sz val="9"/>
            <color indexed="81"/>
            <rFont val="Calibri"/>
            <family val="2"/>
          </rPr>
          <t xml:space="preserve">
DOH/38 c &amp; d SHWB log.xlsx</t>
        </r>
      </text>
    </comment>
    <comment ref="AJ89" authorId="0" shapeId="0" xr:uid="{7AB5F10B-4E89-9441-AFE9-C2F7BC8F05F3}">
      <text>
        <r>
          <rPr>
            <b/>
            <sz val="10"/>
            <color rgb="FF000000"/>
            <rFont val="Tahoma"/>
            <family val="2"/>
          </rPr>
          <t>Author:</t>
        </r>
        <r>
          <rPr>
            <sz val="10"/>
            <color rgb="FF000000"/>
            <rFont val="Tahoma"/>
            <family val="2"/>
          </rPr>
          <t xml:space="preserve">
July - Oct</t>
        </r>
      </text>
    </comment>
    <comment ref="AT89" authorId="0" shapeId="0" xr:uid="{9B2850E7-FEB0-764C-8CA8-D688FD227D82}">
      <text>
        <r>
          <rPr>
            <b/>
            <sz val="10"/>
            <color rgb="FF000000"/>
            <rFont val="Tahoma"/>
            <family val="2"/>
          </rPr>
          <t>Author:</t>
        </r>
        <r>
          <rPr>
            <sz val="10"/>
            <color rgb="FF000000"/>
            <rFont val="Tahoma"/>
            <family val="2"/>
          </rPr>
          <t xml:space="preserve">
</t>
        </r>
        <r>
          <rPr>
            <sz val="10"/>
            <color rgb="FF000000"/>
            <rFont val="Tahoma"/>
            <family val="2"/>
          </rPr>
          <t>Sept - Oct (possible typo--if so then longest 44 days)</t>
        </r>
      </text>
    </comment>
    <comment ref="G90" authorId="0" shapeId="0" xr:uid="{00000000-0006-0000-0500-00000F010000}">
      <text>
        <r>
          <rPr>
            <b/>
            <sz val="9"/>
            <color indexed="81"/>
            <rFont val="Calibri"/>
            <family val="2"/>
          </rPr>
          <t>Author:</t>
        </r>
        <r>
          <rPr>
            <sz val="9"/>
            <color indexed="81"/>
            <rFont val="Calibri"/>
            <family val="2"/>
          </rPr>
          <t xml:space="preserve">
DOH-CAB.xlsx</t>
        </r>
      </text>
    </comment>
    <comment ref="P90" authorId="0" shapeId="0" xr:uid="{00000000-0006-0000-0500-000010010000}">
      <text>
        <r>
          <rPr>
            <b/>
            <sz val="9"/>
            <color indexed="81"/>
            <rFont val="Calibri"/>
            <family val="2"/>
          </rPr>
          <t>Author:</t>
        </r>
        <r>
          <rPr>
            <sz val="9"/>
            <color indexed="81"/>
            <rFont val="Calibri"/>
            <family val="2"/>
          </rPr>
          <t xml:space="preserve">
SOH DOH CAB log.xlsx</t>
        </r>
      </text>
    </comment>
    <comment ref="Z90" authorId="0" shapeId="0" xr:uid="{00000000-0006-0000-0500-000011010000}">
      <text>
        <r>
          <rPr>
            <b/>
            <sz val="9"/>
            <color indexed="81"/>
            <rFont val="Calibri"/>
            <family val="2"/>
          </rPr>
          <t>Author:</t>
        </r>
        <r>
          <rPr>
            <sz val="9"/>
            <color indexed="81"/>
            <rFont val="Calibri"/>
            <family val="2"/>
          </rPr>
          <t xml:space="preserve">
DOH/45 CAB log.xlsx</t>
        </r>
      </text>
    </comment>
    <comment ref="G91" authorId="0" shapeId="0" xr:uid="{00000000-0006-0000-0500-000012010000}">
      <text>
        <r>
          <rPr>
            <b/>
            <sz val="9"/>
            <color indexed="81"/>
            <rFont val="Calibri"/>
            <family val="2"/>
          </rPr>
          <t>Author:</t>
        </r>
        <r>
          <rPr>
            <sz val="9"/>
            <color indexed="81"/>
            <rFont val="Calibri"/>
            <family val="2"/>
          </rPr>
          <t xml:space="preserve">
DOH-CWB.xlsx</t>
        </r>
      </text>
    </comment>
    <comment ref="P91" authorId="0" shapeId="0" xr:uid="{00000000-0006-0000-0500-000013010000}">
      <text>
        <r>
          <rPr>
            <b/>
            <sz val="9"/>
            <color indexed="81"/>
            <rFont val="Calibri"/>
            <family val="2"/>
          </rPr>
          <t>Author:</t>
        </r>
        <r>
          <rPr>
            <sz val="9"/>
            <color indexed="81"/>
            <rFont val="Calibri"/>
            <family val="2"/>
          </rPr>
          <t xml:space="preserve">
SOH DOH CWB log.xlsx</t>
        </r>
      </text>
    </comment>
    <comment ref="Z91" authorId="0" shapeId="0" xr:uid="{00000000-0006-0000-0500-000014010000}">
      <text>
        <r>
          <rPr>
            <b/>
            <sz val="9"/>
            <color indexed="81"/>
            <rFont val="Calibri"/>
            <family val="2"/>
          </rPr>
          <t>Author:</t>
        </r>
        <r>
          <rPr>
            <sz val="9"/>
            <color indexed="81"/>
            <rFont val="Calibri"/>
            <family val="2"/>
          </rPr>
          <t xml:space="preserve">
DOH/32 CWB log.xlsx</t>
        </r>
      </text>
    </comment>
    <comment ref="G92" authorId="0" shapeId="0" xr:uid="{00000000-0006-0000-0500-000015010000}">
      <text>
        <r>
          <rPr>
            <b/>
            <sz val="9"/>
            <color indexed="81"/>
            <rFont val="Calibri"/>
            <family val="2"/>
          </rPr>
          <t>Author:</t>
        </r>
        <r>
          <rPr>
            <sz val="9"/>
            <color indexed="81"/>
            <rFont val="Calibri"/>
            <family val="2"/>
          </rPr>
          <t xml:space="preserve">
DHRD.xlsx</t>
        </r>
      </text>
    </comment>
    <comment ref="P92" authorId="0" shapeId="0" xr:uid="{00000000-0006-0000-0500-000016010000}">
      <text>
        <r>
          <rPr>
            <b/>
            <sz val="9"/>
            <color indexed="81"/>
            <rFont val="Calibri"/>
            <family val="2"/>
          </rPr>
          <t>Author:</t>
        </r>
        <r>
          <rPr>
            <sz val="9"/>
            <color indexed="81"/>
            <rFont val="Calibri"/>
            <family val="2"/>
          </rPr>
          <t xml:space="preserve">
DHRD log.xlsx</t>
        </r>
      </text>
    </comment>
    <comment ref="Z92" authorId="0" shapeId="0" xr:uid="{00000000-0006-0000-0500-000017010000}">
      <text>
        <r>
          <rPr>
            <b/>
            <sz val="9"/>
            <color rgb="FF000000"/>
            <rFont val="Calibri"/>
            <family val="2"/>
          </rPr>
          <t>Author:</t>
        </r>
        <r>
          <rPr>
            <sz val="9"/>
            <color rgb="FF000000"/>
            <rFont val="Calibri"/>
            <family val="2"/>
          </rPr>
          <t xml:space="preserve">
</t>
        </r>
        <r>
          <rPr>
            <sz val="9"/>
            <color rgb="FF000000"/>
            <rFont val="Calibri"/>
            <family val="2"/>
          </rPr>
          <t>DHRD/7-18-17 Copy.xlsx</t>
        </r>
      </text>
    </comment>
    <comment ref="CL92" authorId="4" shapeId="0" xr:uid="{CF9A10FA-8B8F-A448-AF9E-CBF135556655}">
      <text>
        <t>[Threaded comment]
Your version of Excel allows you to read this threaded comment; however, any edits to it will get removed if the file is opened in a newer version of Excel. Learn more: https://go.microsoft.com/fwlink/?linkid=870924
Comment:
    DHRD did not properly complete the form.</t>
      </text>
    </comment>
    <comment ref="G93" authorId="0" shapeId="0" xr:uid="{00000000-0006-0000-0500-000018010000}">
      <text>
        <r>
          <rPr>
            <b/>
            <sz val="9"/>
            <color indexed="81"/>
            <rFont val="Calibri"/>
            <family val="2"/>
          </rPr>
          <t>Author:</t>
        </r>
        <r>
          <rPr>
            <sz val="9"/>
            <color indexed="81"/>
            <rFont val="Calibri"/>
            <family val="2"/>
          </rPr>
          <t xml:space="preserve">
DHS-MQD 2d Half.xlsx (MedQuest Division)</t>
        </r>
      </text>
    </comment>
    <comment ref="P93" authorId="0" shapeId="0" xr:uid="{00000000-0006-0000-0500-000019010000}">
      <text>
        <r>
          <rPr>
            <b/>
            <sz val="9"/>
            <color rgb="FF000000"/>
            <rFont val="Calibri"/>
            <family val="2"/>
          </rPr>
          <t>Author:</t>
        </r>
        <r>
          <rPr>
            <sz val="9"/>
            <color rgb="FF000000"/>
            <rFont val="Calibri"/>
            <family val="2"/>
          </rPr>
          <t xml:space="preserve">
</t>
        </r>
        <r>
          <rPr>
            <sz val="9"/>
            <color rgb="FF000000"/>
            <rFont val="Calibri"/>
            <family val="2"/>
          </rPr>
          <t>DHS HPHA.xlsx (Hawai`i Public Housing Authority)</t>
        </r>
      </text>
    </comment>
    <comment ref="Z93" authorId="0" shapeId="0" xr:uid="{00000000-0006-0000-0500-00001A010000}">
      <text>
        <r>
          <rPr>
            <b/>
            <sz val="9"/>
            <color indexed="81"/>
            <rFont val="Calibri"/>
            <family val="2"/>
          </rPr>
          <t>Author:</t>
        </r>
        <r>
          <rPr>
            <sz val="9"/>
            <color indexed="81"/>
            <rFont val="Calibri"/>
            <family val="2"/>
          </rPr>
          <t xml:space="preserve">
DHS/HPHA.logxlsx</t>
        </r>
      </text>
    </comment>
    <comment ref="AJ93" authorId="0" shapeId="0" xr:uid="{F4FFF577-75E9-454A-BEF5-AF9F0F895ED7}">
      <text>
        <r>
          <rPr>
            <b/>
            <sz val="10"/>
            <color rgb="FF000000"/>
            <rFont val="Tahoma"/>
            <family val="2"/>
          </rPr>
          <t>Author:</t>
        </r>
        <r>
          <rPr>
            <sz val="10"/>
            <color rgb="FF000000"/>
            <rFont val="Tahoma"/>
            <family val="2"/>
          </rPr>
          <t xml:space="preserve">
</t>
        </r>
        <r>
          <rPr>
            <sz val="10"/>
            <color rgb="FF000000"/>
            <rFont val="Tahoma"/>
            <family val="2"/>
          </rPr>
          <t>DIR</t>
        </r>
      </text>
    </comment>
    <comment ref="CH93" authorId="0" shapeId="0" xr:uid="{C089D078-208E-F345-A4B1-E90CC79158A2}">
      <text>
        <r>
          <rPr>
            <b/>
            <sz val="10"/>
            <color rgb="FF000000"/>
            <rFont val="Tahoma"/>
            <family val="2"/>
          </rPr>
          <t xml:space="preserve">Author:
</t>
        </r>
        <r>
          <rPr>
            <sz val="10"/>
            <color rgb="FF000000"/>
            <rFont val="Tahoma"/>
            <family val="2"/>
          </rPr>
          <t>MedQuest</t>
        </r>
      </text>
    </comment>
    <comment ref="CR93" authorId="0" shapeId="0" xr:uid="{4E9357E2-F823-8245-AA92-6B1E7BF375CF}">
      <text>
        <r>
          <rPr>
            <b/>
            <sz val="10"/>
            <color rgb="FF000000"/>
            <rFont val="Tahoma"/>
            <family val="2"/>
          </rPr>
          <t xml:space="preserve">Author:
</t>
        </r>
        <r>
          <rPr>
            <sz val="10"/>
            <color rgb="FF000000"/>
            <rFont val="Tahoma"/>
            <family val="2"/>
          </rPr>
          <t>Benefit, Employment &amp; Support Servs Div</t>
        </r>
      </text>
    </comment>
    <comment ref="G94" authorId="0" shapeId="0" xr:uid="{00000000-0006-0000-0500-00001B010000}">
      <text>
        <r>
          <rPr>
            <b/>
            <sz val="9"/>
            <color indexed="81"/>
            <rFont val="Calibri"/>
            <family val="2"/>
          </rPr>
          <t>Author:</t>
        </r>
        <r>
          <rPr>
            <sz val="9"/>
            <color indexed="81"/>
            <rFont val="Calibri"/>
            <family val="2"/>
          </rPr>
          <t xml:space="preserve">
DLIR-HIOSH.xlsx (Occupational Health &amp; Safety Divison)</t>
        </r>
      </text>
    </comment>
    <comment ref="P94" authorId="0" shapeId="0" xr:uid="{00000000-0006-0000-0500-00001C010000}">
      <text>
        <r>
          <rPr>
            <b/>
            <sz val="9"/>
            <color indexed="81"/>
            <rFont val="Calibri"/>
            <family val="2"/>
          </rPr>
          <t>Author:</t>
        </r>
        <r>
          <rPr>
            <sz val="9"/>
            <color indexed="81"/>
            <rFont val="Calibri"/>
            <family val="2"/>
          </rPr>
          <t xml:space="preserve">
DLIR Maui log.xlsx (Maui District Office)</t>
        </r>
      </text>
    </comment>
    <comment ref="Z94" authorId="0" shapeId="0" xr:uid="{00000000-0006-0000-0500-00001D010000}">
      <text>
        <r>
          <rPr>
            <b/>
            <sz val="9"/>
            <color indexed="81"/>
            <rFont val="Calibri"/>
            <family val="2"/>
          </rPr>
          <t>Author:</t>
        </r>
        <r>
          <rPr>
            <sz val="9"/>
            <color indexed="81"/>
            <rFont val="Calibri"/>
            <family val="2"/>
          </rPr>
          <t xml:space="preserve">
DLIR/HIOSH log.xlsx</t>
        </r>
      </text>
    </comment>
    <comment ref="AT94" authorId="0" shapeId="0" xr:uid="{880E9566-E9C1-BC46-95A1-5FB159AE9340}">
      <text>
        <r>
          <rPr>
            <sz val="10"/>
            <color rgb="FF000000"/>
            <rFont val="Tahoma"/>
            <family val="2"/>
          </rPr>
          <t xml:space="preserve">Author:
</t>
        </r>
        <r>
          <rPr>
            <sz val="10"/>
            <color rgb="FF000000"/>
            <rFont val="Tahoma"/>
            <family val="2"/>
          </rPr>
          <t>Director</t>
        </r>
      </text>
    </comment>
    <comment ref="G95" authorId="0" shapeId="0" xr:uid="{00000000-0006-0000-0500-00001E010000}">
      <text>
        <r>
          <rPr>
            <b/>
            <sz val="9"/>
            <color indexed="81"/>
            <rFont val="Calibri"/>
            <family val="2"/>
          </rPr>
          <t>Author:</t>
        </r>
        <r>
          <rPr>
            <sz val="9"/>
            <color indexed="81"/>
            <rFont val="Calibri"/>
            <family val="2"/>
          </rPr>
          <t xml:space="preserve">
DLIR-HIOSH.xlsx</t>
        </r>
      </text>
    </comment>
    <comment ref="P95" authorId="0" shapeId="0" xr:uid="{00000000-0006-0000-0500-00001F010000}">
      <text>
        <r>
          <rPr>
            <b/>
            <sz val="9"/>
            <color indexed="81"/>
            <rFont val="Calibri"/>
            <family val="2"/>
          </rPr>
          <t>Author:</t>
        </r>
        <r>
          <rPr>
            <sz val="9"/>
            <color indexed="81"/>
            <rFont val="Calibri"/>
            <family val="2"/>
          </rPr>
          <t xml:space="preserve">
DLIR HIOSH log.xlsx</t>
        </r>
      </text>
    </comment>
    <comment ref="Z95" authorId="0" shapeId="0" xr:uid="{00000000-0006-0000-0500-000020010000}">
      <text>
        <r>
          <rPr>
            <b/>
            <sz val="9"/>
            <color indexed="81"/>
            <rFont val="Calibri"/>
            <family val="2"/>
          </rPr>
          <t>Author:</t>
        </r>
        <r>
          <rPr>
            <sz val="9"/>
            <color indexed="81"/>
            <rFont val="Calibri"/>
            <family val="2"/>
          </rPr>
          <t xml:space="preserve">
DLIR/HIOSH log.xlsx</t>
        </r>
      </text>
    </comment>
    <comment ref="G96" authorId="0" shapeId="0" xr:uid="{00000000-0006-0000-0500-000021010000}">
      <text>
        <r>
          <rPr>
            <b/>
            <sz val="9"/>
            <color indexed="81"/>
            <rFont val="Calibri"/>
            <family val="2"/>
          </rPr>
          <t>Author:</t>
        </r>
        <r>
          <rPr>
            <sz val="9"/>
            <color indexed="81"/>
            <rFont val="Calibri"/>
            <family val="2"/>
          </rPr>
          <t xml:space="preserve">
DLIR-HLRB.xlsx</t>
        </r>
      </text>
    </comment>
    <comment ref="P96" authorId="0" shapeId="0" xr:uid="{00000000-0006-0000-0500-000022010000}">
      <text>
        <r>
          <rPr>
            <b/>
            <sz val="9"/>
            <color indexed="81"/>
            <rFont val="Calibri"/>
            <family val="2"/>
          </rPr>
          <t>Author:</t>
        </r>
        <r>
          <rPr>
            <sz val="9"/>
            <color indexed="81"/>
            <rFont val="Calibri"/>
            <family val="2"/>
          </rPr>
          <t xml:space="preserve">
DLIR HLRB log.xlsx</t>
        </r>
      </text>
    </comment>
    <comment ref="U96" authorId="0" shapeId="0" xr:uid="{00000000-0006-0000-0500-000023010000}">
      <text>
        <r>
          <rPr>
            <b/>
            <sz val="10"/>
            <color rgb="FF000000"/>
            <rFont val="Calibri"/>
            <family val="2"/>
          </rPr>
          <t>Author:</t>
        </r>
        <r>
          <rPr>
            <sz val="10"/>
            <color rgb="FF000000"/>
            <rFont val="Calibri"/>
            <family val="2"/>
          </rPr>
          <t xml:space="preserve">
</t>
        </r>
        <r>
          <rPr>
            <sz val="10"/>
            <color rgb="FF000000"/>
            <rFont val="Calibri"/>
            <family val="2"/>
          </rPr>
          <t>Incomplete Log</t>
        </r>
      </text>
    </comment>
    <comment ref="Z96" authorId="0" shapeId="0" xr:uid="{00000000-0006-0000-0500-000024010000}">
      <text>
        <r>
          <rPr>
            <b/>
            <sz val="9"/>
            <color rgb="FF000000"/>
            <rFont val="Calibri"/>
            <family val="2"/>
          </rPr>
          <t>Author:</t>
        </r>
        <r>
          <rPr>
            <sz val="9"/>
            <color rgb="FF000000"/>
            <rFont val="Calibri"/>
            <family val="2"/>
          </rPr>
          <t xml:space="preserve">
</t>
        </r>
        <r>
          <rPr>
            <sz val="9"/>
            <color rgb="FF000000"/>
            <rFont val="Calibri"/>
            <family val="2"/>
          </rPr>
          <t>DLIR/HLRB log.xlsx</t>
        </r>
      </text>
    </comment>
    <comment ref="AE96" authorId="0" shapeId="0" xr:uid="{97BC47EB-A129-5944-A26D-E54B8A5BE879}">
      <text>
        <r>
          <rPr>
            <b/>
            <sz val="10"/>
            <color rgb="FF000000"/>
            <rFont val="Calibri"/>
            <family val="2"/>
          </rPr>
          <t>Author:</t>
        </r>
        <r>
          <rPr>
            <sz val="10"/>
            <color rgb="FF000000"/>
            <rFont val="Calibri"/>
            <family val="2"/>
          </rPr>
          <t xml:space="preserve">
</t>
        </r>
        <r>
          <rPr>
            <sz val="10"/>
            <color rgb="FF000000"/>
            <rFont val="Calibri"/>
            <family val="2"/>
          </rPr>
          <t>Incomplete Log</t>
        </r>
      </text>
    </comment>
    <comment ref="G97" authorId="0" shapeId="0" xr:uid="{00000000-0006-0000-0500-000025010000}">
      <text>
        <r>
          <rPr>
            <b/>
            <sz val="9"/>
            <color rgb="FF000000"/>
            <rFont val="Calibri"/>
            <family val="2"/>
          </rPr>
          <t>Author:</t>
        </r>
        <r>
          <rPr>
            <sz val="9"/>
            <color rgb="FF000000"/>
            <rFont val="Calibri"/>
            <family val="2"/>
          </rPr>
          <t xml:space="preserve">
</t>
        </r>
        <r>
          <rPr>
            <sz val="9"/>
            <color rgb="FF000000"/>
            <rFont val="Calibri"/>
            <family val="2"/>
          </rPr>
          <t>DLNR-DOCARE.xlsx (Division of Conservation &amp; Resource Enforcement)</t>
        </r>
      </text>
    </comment>
    <comment ref="P97" authorId="0" shapeId="0" xr:uid="{00000000-0006-0000-0500-000026010000}">
      <text>
        <r>
          <rPr>
            <b/>
            <sz val="9"/>
            <color rgb="FF000000"/>
            <rFont val="Calibri"/>
            <family val="2"/>
          </rPr>
          <t>Author:</t>
        </r>
        <r>
          <rPr>
            <sz val="9"/>
            <color rgb="FF000000"/>
            <rFont val="Calibri"/>
            <family val="2"/>
          </rPr>
          <t xml:space="preserve">
</t>
        </r>
        <r>
          <rPr>
            <sz val="9"/>
            <color rgb="FF000000"/>
            <rFont val="Calibri"/>
            <family val="2"/>
          </rPr>
          <t>DLNR-CO log.xlsx (Office of the Chairperson)</t>
        </r>
      </text>
    </comment>
    <comment ref="Z97" authorId="0" shapeId="0" xr:uid="{00000000-0006-0000-0500-000027010000}">
      <text>
        <r>
          <rPr>
            <b/>
            <sz val="9"/>
            <color rgb="FF000000"/>
            <rFont val="Calibri"/>
            <family val="2"/>
          </rPr>
          <t>Author:</t>
        </r>
        <r>
          <rPr>
            <sz val="9"/>
            <color rgb="FF000000"/>
            <rFont val="Calibri"/>
            <family val="2"/>
          </rPr>
          <t xml:space="preserve">
</t>
        </r>
        <r>
          <rPr>
            <sz val="9"/>
            <color rgb="FF000000"/>
            <rFont val="Calibri"/>
            <family val="2"/>
          </rPr>
          <t>DLNR/Chair log.xlsx</t>
        </r>
      </text>
    </comment>
    <comment ref="AT97" authorId="0" shapeId="0" xr:uid="{5AAC185A-1CE6-E144-B185-793B418F57F6}">
      <text>
        <r>
          <rPr>
            <sz val="10"/>
            <color rgb="FF000000"/>
            <rFont val="Tahoma"/>
            <family val="2"/>
          </rPr>
          <t xml:space="preserve">Author:
</t>
        </r>
        <r>
          <rPr>
            <sz val="10"/>
            <color rgb="FF000000"/>
            <rFont val="Tahoma"/>
            <family val="2"/>
          </rPr>
          <t>KIRC</t>
        </r>
      </text>
    </comment>
    <comment ref="BD97" authorId="0" shapeId="0" xr:uid="{7539FE5C-0478-5A40-8D54-3B4BF67D30BA}">
      <text>
        <r>
          <rPr>
            <sz val="10"/>
            <color rgb="FF000000"/>
            <rFont val="Tahoma"/>
            <family val="2"/>
          </rPr>
          <t xml:space="preserve">Author:
</t>
        </r>
        <r>
          <rPr>
            <sz val="10"/>
            <color rgb="FF000000"/>
            <rFont val="Tahoma"/>
            <family val="2"/>
          </rPr>
          <t>KIRC</t>
        </r>
      </text>
    </comment>
    <comment ref="BN97" authorId="0" shapeId="0" xr:uid="{0E855090-EB80-8A47-9AD2-9DEFC6BD162D}">
      <text>
        <r>
          <rPr>
            <sz val="10"/>
            <color rgb="FF000000"/>
            <rFont val="Tahoma"/>
            <family val="2"/>
          </rPr>
          <t xml:space="preserve">Author:
</t>
        </r>
        <r>
          <rPr>
            <sz val="10"/>
            <color rgb="FF000000"/>
            <rFont val="Tahoma"/>
            <family val="2"/>
          </rPr>
          <t>DAR</t>
        </r>
      </text>
    </comment>
    <comment ref="BX97" authorId="0" shapeId="0" xr:uid="{851BE45F-C425-8447-8057-66691EBE8F13}">
      <text>
        <r>
          <rPr>
            <sz val="10"/>
            <color rgb="FF000000"/>
            <rFont val="Tahoma"/>
            <family val="2"/>
          </rPr>
          <t xml:space="preserve">Author:
</t>
        </r>
        <r>
          <rPr>
            <sz val="10"/>
            <color rgb="FF000000"/>
            <rFont val="Tahoma"/>
            <family val="2"/>
          </rPr>
          <t>KIRC</t>
        </r>
      </text>
    </comment>
    <comment ref="CH97" authorId="0" shapeId="0" xr:uid="{F4A25559-1757-1B4D-BA05-1EDE61092054}">
      <text>
        <r>
          <rPr>
            <sz val="10"/>
            <color rgb="FF000000"/>
            <rFont val="Tahoma"/>
            <family val="2"/>
          </rPr>
          <t xml:space="preserve">Author:
</t>
        </r>
        <r>
          <rPr>
            <sz val="10"/>
            <color rgb="FF000000"/>
            <rFont val="Tahoma"/>
            <family val="2"/>
          </rPr>
          <t>KIRC</t>
        </r>
      </text>
    </comment>
    <comment ref="G98" authorId="0" shapeId="0" xr:uid="{00000000-0006-0000-0500-000028010000}">
      <text>
        <r>
          <rPr>
            <b/>
            <sz val="9"/>
            <color indexed="81"/>
            <rFont val="Calibri"/>
            <family val="2"/>
          </rPr>
          <t>Author:</t>
        </r>
        <r>
          <rPr>
            <sz val="9"/>
            <color indexed="81"/>
            <rFont val="Calibri"/>
            <family val="2"/>
          </rPr>
          <t xml:space="preserve">
DLNR-Chair.xlsx</t>
        </r>
      </text>
    </comment>
    <comment ref="P98" authorId="0" shapeId="0" xr:uid="{00000000-0006-0000-0500-000029010000}">
      <text>
        <r>
          <rPr>
            <b/>
            <sz val="9"/>
            <color indexed="81"/>
            <rFont val="Calibri"/>
            <family val="2"/>
          </rPr>
          <t>Author:</t>
        </r>
        <r>
          <rPr>
            <sz val="9"/>
            <color indexed="81"/>
            <rFont val="Calibri"/>
            <family val="2"/>
          </rPr>
          <t xml:space="preserve">
DLNR-CO log.xlsx</t>
        </r>
      </text>
    </comment>
    <comment ref="Z98" authorId="0" shapeId="0" xr:uid="{00000000-0006-0000-0500-00002A010000}">
      <text>
        <r>
          <rPr>
            <b/>
            <sz val="9"/>
            <color indexed="81"/>
            <rFont val="Calibri"/>
            <family val="2"/>
          </rPr>
          <t>Author:</t>
        </r>
        <r>
          <rPr>
            <sz val="9"/>
            <color indexed="81"/>
            <rFont val="Calibri"/>
            <family val="2"/>
          </rPr>
          <t xml:space="preserve">
DLNR/Chair log.xlsx</t>
        </r>
      </text>
    </comment>
    <comment ref="G99" authorId="0" shapeId="0" xr:uid="{00000000-0006-0000-0500-00002B010000}">
      <text>
        <r>
          <rPr>
            <b/>
            <sz val="9"/>
            <color indexed="81"/>
            <rFont val="Calibri"/>
            <family val="2"/>
          </rPr>
          <t>Author:</t>
        </r>
        <r>
          <rPr>
            <sz val="9"/>
            <color indexed="81"/>
            <rFont val="Calibri"/>
            <family val="2"/>
          </rPr>
          <t xml:space="preserve">
DLNR-ENG.xlsx</t>
        </r>
      </text>
    </comment>
    <comment ref="P99" authorId="0" shapeId="0" xr:uid="{00000000-0006-0000-0500-00002C010000}">
      <text>
        <r>
          <rPr>
            <b/>
            <sz val="9"/>
            <color indexed="81"/>
            <rFont val="Calibri"/>
            <family val="2"/>
          </rPr>
          <t>Author:</t>
        </r>
        <r>
          <rPr>
            <sz val="9"/>
            <color indexed="81"/>
            <rFont val="Calibri"/>
            <family val="2"/>
          </rPr>
          <t xml:space="preserve">
DLNR-ENG log.xlsx</t>
        </r>
      </text>
    </comment>
    <comment ref="Z99" authorId="0" shapeId="0" xr:uid="{00000000-0006-0000-0500-00002D010000}">
      <text>
        <r>
          <rPr>
            <b/>
            <sz val="9"/>
            <color indexed="81"/>
            <rFont val="Calibri"/>
            <family val="2"/>
          </rPr>
          <t>Author:</t>
        </r>
        <r>
          <rPr>
            <sz val="9"/>
            <color indexed="81"/>
            <rFont val="Calibri"/>
            <family val="2"/>
          </rPr>
          <t xml:space="preserve">
DLNR/ENG log.xlsx</t>
        </r>
      </text>
    </comment>
    <comment ref="G100" authorId="0" shapeId="0" xr:uid="{00000000-0006-0000-0500-00002E010000}">
      <text>
        <r>
          <rPr>
            <b/>
            <sz val="9"/>
            <color indexed="81"/>
            <rFont val="Calibri"/>
            <family val="2"/>
          </rPr>
          <t>Author:</t>
        </r>
        <r>
          <rPr>
            <sz val="9"/>
            <color indexed="81"/>
            <rFont val="Calibri"/>
            <family val="2"/>
          </rPr>
          <t xml:space="preserve">
DLNR-DLM.xlsx</t>
        </r>
      </text>
    </comment>
    <comment ref="P100" authorId="0" shapeId="0" xr:uid="{00000000-0006-0000-0500-00002F010000}">
      <text>
        <r>
          <rPr>
            <b/>
            <sz val="9"/>
            <color indexed="81"/>
            <rFont val="Calibri"/>
            <family val="2"/>
          </rPr>
          <t>Author:</t>
        </r>
        <r>
          <rPr>
            <sz val="9"/>
            <color indexed="81"/>
            <rFont val="Calibri"/>
            <family val="2"/>
          </rPr>
          <t xml:space="preserve">
DLNR-LAND log.xlsx</t>
        </r>
      </text>
    </comment>
    <comment ref="Z100" authorId="0" shapeId="0" xr:uid="{00000000-0006-0000-0500-000030010000}">
      <text>
        <r>
          <rPr>
            <b/>
            <sz val="9"/>
            <color indexed="81"/>
            <rFont val="Calibri"/>
            <family val="2"/>
          </rPr>
          <t>Author:</t>
        </r>
        <r>
          <rPr>
            <sz val="9"/>
            <color indexed="81"/>
            <rFont val="Calibri"/>
            <family val="2"/>
          </rPr>
          <t xml:space="preserve">
DLNR/DLNR-LAND log.xlsx</t>
        </r>
      </text>
    </comment>
    <comment ref="G101" authorId="0" shapeId="0" xr:uid="{00000000-0006-0000-0500-000031010000}">
      <text>
        <r>
          <rPr>
            <b/>
            <sz val="9"/>
            <color rgb="FF000000"/>
            <rFont val="Calibri"/>
            <family val="2"/>
          </rPr>
          <t>Author:</t>
        </r>
        <r>
          <rPr>
            <sz val="9"/>
            <color rgb="FF000000"/>
            <rFont val="Calibri"/>
            <family val="2"/>
          </rPr>
          <t xml:space="preserve">
</t>
        </r>
        <r>
          <rPr>
            <sz val="9"/>
            <color rgb="FF000000"/>
            <rFont val="Calibri"/>
            <family val="2"/>
          </rPr>
          <t>PSD.xls</t>
        </r>
      </text>
    </comment>
    <comment ref="P101" authorId="0" shapeId="0" xr:uid="{00000000-0006-0000-0500-000032010000}">
      <text>
        <r>
          <rPr>
            <b/>
            <sz val="9"/>
            <color indexed="81"/>
            <rFont val="Calibri"/>
            <family val="2"/>
          </rPr>
          <t>Author:</t>
        </r>
        <r>
          <rPr>
            <sz val="9"/>
            <color indexed="81"/>
            <rFont val="Calibri"/>
            <family val="2"/>
          </rPr>
          <t xml:space="preserve">
SOH PSD log.xlsx</t>
        </r>
      </text>
    </comment>
    <comment ref="Z101" authorId="0" shapeId="0" xr:uid="{00000000-0006-0000-0500-000033010000}">
      <text>
        <r>
          <rPr>
            <b/>
            <sz val="9"/>
            <color indexed="81"/>
            <rFont val="Calibri"/>
            <family val="2"/>
          </rPr>
          <t>Author:
PSD/</t>
        </r>
        <r>
          <rPr>
            <sz val="9"/>
            <color indexed="81"/>
            <rFont val="Calibri"/>
            <family val="2"/>
          </rPr>
          <t>PSD log.xlsx</t>
        </r>
      </text>
    </comment>
    <comment ref="G104" authorId="0" shapeId="0" xr:uid="{00000000-0006-0000-0500-000034010000}">
      <text>
        <r>
          <rPr>
            <b/>
            <sz val="9"/>
            <color indexed="81"/>
            <rFont val="Calibri"/>
            <family val="2"/>
          </rPr>
          <t>Author:</t>
        </r>
        <r>
          <rPr>
            <sz val="9"/>
            <color indexed="81"/>
            <rFont val="Calibri"/>
            <family val="2"/>
          </rPr>
          <t xml:space="preserve">
DOTAX.xlsx</t>
        </r>
      </text>
    </comment>
    <comment ref="P104" authorId="0" shapeId="0" xr:uid="{00000000-0006-0000-0500-000035010000}">
      <text>
        <r>
          <rPr>
            <b/>
            <sz val="9"/>
            <color indexed="81"/>
            <rFont val="Calibri"/>
            <family val="2"/>
          </rPr>
          <t>Author:</t>
        </r>
        <r>
          <rPr>
            <sz val="9"/>
            <color indexed="81"/>
            <rFont val="Calibri"/>
            <family val="2"/>
          </rPr>
          <t xml:space="preserve">
SOH DOTAX log (corrected).xlsx</t>
        </r>
      </text>
    </comment>
    <comment ref="Z104" authorId="0" shapeId="0" xr:uid="{00000000-0006-0000-0500-000036010000}">
      <text>
        <r>
          <rPr>
            <b/>
            <sz val="9"/>
            <color indexed="81"/>
            <rFont val="Calibri"/>
            <family val="2"/>
          </rPr>
          <t>Author:</t>
        </r>
        <r>
          <rPr>
            <sz val="9"/>
            <color indexed="81"/>
            <rFont val="Calibri"/>
            <family val="2"/>
          </rPr>
          <t xml:space="preserve">
TAX/TAX log (corrected).xlsx</t>
        </r>
      </text>
    </comment>
    <comment ref="G105" authorId="0" shapeId="0" xr:uid="{00000000-0006-0000-0500-000037010000}">
      <text>
        <r>
          <rPr>
            <b/>
            <sz val="9"/>
            <color indexed="81"/>
            <rFont val="Calibri"/>
            <family val="2"/>
          </rPr>
          <t>Author:</t>
        </r>
        <r>
          <rPr>
            <sz val="9"/>
            <color indexed="81"/>
            <rFont val="Calibri"/>
            <family val="2"/>
          </rPr>
          <t xml:space="preserve">
HDOT-HWY.xlsx (Highways Division)</t>
        </r>
      </text>
    </comment>
    <comment ref="P105" authorId="0" shapeId="0" xr:uid="{00000000-0006-0000-0500-000038010000}">
      <text>
        <r>
          <rPr>
            <b/>
            <sz val="9"/>
            <color indexed="81"/>
            <rFont val="Calibri"/>
            <family val="2"/>
          </rPr>
          <t>Author:</t>
        </r>
        <r>
          <rPr>
            <sz val="9"/>
            <color indexed="81"/>
            <rFont val="Calibri"/>
            <family val="2"/>
          </rPr>
          <t xml:space="preserve">
SOH DOT HWY log.xlsx (Highways Division)</t>
        </r>
      </text>
    </comment>
    <comment ref="Z105" authorId="0" shapeId="0" xr:uid="{00000000-0006-0000-0500-000039010000}">
      <text>
        <r>
          <rPr>
            <b/>
            <sz val="9"/>
            <color indexed="81"/>
            <rFont val="Calibri"/>
            <family val="2"/>
          </rPr>
          <t>Author:</t>
        </r>
        <r>
          <rPr>
            <sz val="9"/>
            <color indexed="81"/>
            <rFont val="Calibri"/>
            <family val="2"/>
          </rPr>
          <t xml:space="preserve">
DOT/HWY log.xlsx</t>
        </r>
      </text>
    </comment>
    <comment ref="BD105" authorId="0" shapeId="0" xr:uid="{2937FFBD-BDFE-4749-BD44-3C3AC0DAD739}">
      <text>
        <r>
          <rPr>
            <sz val="10"/>
            <color rgb="FF000000"/>
            <rFont val="Tahoma"/>
            <family val="2"/>
          </rPr>
          <t xml:space="preserve">Author:
</t>
        </r>
        <r>
          <rPr>
            <sz val="10"/>
            <color rgb="FF000000"/>
            <rFont val="Tahoma"/>
            <family val="2"/>
          </rPr>
          <t>Airports</t>
        </r>
      </text>
    </comment>
    <comment ref="BX105" authorId="0" shapeId="0" xr:uid="{C3E32A83-FAAF-F643-9E03-B41EFEDBBEA0}">
      <text>
        <r>
          <rPr>
            <sz val="10"/>
            <color rgb="FF000000"/>
            <rFont val="Tahoma"/>
            <family val="2"/>
          </rPr>
          <t xml:space="preserve">Author:
</t>
        </r>
        <r>
          <rPr>
            <sz val="10"/>
            <color rgb="FF000000"/>
            <rFont val="Tahoma"/>
            <family val="2"/>
          </rPr>
          <t>Airports</t>
        </r>
      </text>
    </comment>
    <comment ref="CR105" authorId="0" shapeId="0" xr:uid="{346FB880-49BB-2746-8714-885D09D57946}">
      <text>
        <r>
          <rPr>
            <sz val="10"/>
            <color rgb="FF000000"/>
            <rFont val="Tahoma"/>
            <family val="2"/>
          </rPr>
          <t xml:space="preserve">Author:
</t>
        </r>
        <r>
          <rPr>
            <sz val="10"/>
            <color rgb="FF000000"/>
            <rFont val="Tahoma"/>
            <family val="2"/>
          </rPr>
          <t>Airports Div</t>
        </r>
      </text>
    </comment>
    <comment ref="G106" authorId="0" shapeId="0" xr:uid="{00000000-0006-0000-0500-00003A010000}">
      <text>
        <r>
          <rPr>
            <b/>
            <sz val="9"/>
            <color indexed="81"/>
            <rFont val="Calibri"/>
            <family val="2"/>
          </rPr>
          <t>Author:</t>
        </r>
        <r>
          <rPr>
            <sz val="9"/>
            <color indexed="81"/>
            <rFont val="Calibri"/>
            <family val="2"/>
          </rPr>
          <t xml:space="preserve">
HDOT-ADM.xlsx</t>
        </r>
      </text>
    </comment>
    <comment ref="P106" authorId="0" shapeId="0" xr:uid="{00000000-0006-0000-0500-00003B010000}">
      <text>
        <r>
          <rPr>
            <b/>
            <sz val="9"/>
            <color indexed="81"/>
            <rFont val="Calibri"/>
            <family val="2"/>
          </rPr>
          <t>Author:</t>
        </r>
        <r>
          <rPr>
            <sz val="9"/>
            <color indexed="81"/>
            <rFont val="Calibri"/>
            <family val="2"/>
          </rPr>
          <t xml:space="preserve">
SOH DOT ADMIN log.xlsx (Division of Conservation &amp; Resource Enforcement)</t>
        </r>
      </text>
    </comment>
    <comment ref="Z106" authorId="0" shapeId="0" xr:uid="{00000000-0006-0000-0500-00003C010000}">
      <text>
        <r>
          <rPr>
            <b/>
            <sz val="9"/>
            <color indexed="81"/>
            <rFont val="Calibri"/>
            <family val="2"/>
          </rPr>
          <t>Author:</t>
        </r>
        <r>
          <rPr>
            <sz val="9"/>
            <color indexed="81"/>
            <rFont val="Calibri"/>
            <family val="2"/>
          </rPr>
          <t xml:space="preserve">
DOT/Admin log.xlsx</t>
        </r>
      </text>
    </comment>
    <comment ref="G107" authorId="0" shapeId="0" xr:uid="{00000000-0006-0000-0500-00003D010000}">
      <text>
        <r>
          <rPr>
            <b/>
            <sz val="9"/>
            <color indexed="81"/>
            <rFont val="Calibri"/>
            <family val="2"/>
          </rPr>
          <t>Author:</t>
        </r>
        <r>
          <rPr>
            <sz val="9"/>
            <color indexed="81"/>
            <rFont val="Calibri"/>
            <family val="2"/>
          </rPr>
          <t xml:space="preserve">
HDOT-HWY.xlsx</t>
        </r>
      </text>
    </comment>
    <comment ref="P107" authorId="0" shapeId="0" xr:uid="{00000000-0006-0000-0500-00003E010000}">
      <text>
        <r>
          <rPr>
            <b/>
            <sz val="9"/>
            <color indexed="81"/>
            <rFont val="Calibri"/>
            <family val="2"/>
          </rPr>
          <t>Author:</t>
        </r>
        <r>
          <rPr>
            <sz val="9"/>
            <color indexed="81"/>
            <rFont val="Calibri"/>
            <family val="2"/>
          </rPr>
          <t xml:space="preserve">
SOH DOT HWY log.xlsx</t>
        </r>
      </text>
    </comment>
    <comment ref="Z107" authorId="0" shapeId="0" xr:uid="{00000000-0006-0000-0500-00003F010000}">
      <text>
        <r>
          <rPr>
            <b/>
            <sz val="9"/>
            <color indexed="81"/>
            <rFont val="Calibri"/>
            <family val="2"/>
          </rPr>
          <t>Author:</t>
        </r>
        <r>
          <rPr>
            <sz val="9"/>
            <color indexed="81"/>
            <rFont val="Calibri"/>
            <family val="2"/>
          </rPr>
          <t xml:space="preserve">
DOT/HWY log.xlsx</t>
        </r>
      </text>
    </comment>
    <comment ref="G108" authorId="0" shapeId="0" xr:uid="{00000000-0006-0000-0500-000040010000}">
      <text>
        <r>
          <rPr>
            <b/>
            <sz val="9"/>
            <color rgb="FF000000"/>
            <rFont val="Calibri"/>
            <family val="2"/>
          </rPr>
          <t>Author:</t>
        </r>
        <r>
          <rPr>
            <sz val="9"/>
            <color rgb="FF000000"/>
            <rFont val="Calibri"/>
            <family val="2"/>
          </rPr>
          <t xml:space="preserve">
</t>
        </r>
        <r>
          <rPr>
            <sz val="9"/>
            <color rgb="FF000000"/>
            <rFont val="Calibri"/>
            <family val="2"/>
          </rPr>
          <t>GOV.xlsx</t>
        </r>
      </text>
    </comment>
    <comment ref="P108" authorId="0" shapeId="0" xr:uid="{00000000-0006-0000-0500-000041010000}">
      <text>
        <r>
          <rPr>
            <b/>
            <sz val="9"/>
            <color indexed="81"/>
            <rFont val="Calibri"/>
            <family val="2"/>
          </rPr>
          <t>Author:</t>
        </r>
        <r>
          <rPr>
            <sz val="9"/>
            <color indexed="81"/>
            <rFont val="Calibri"/>
            <family val="2"/>
          </rPr>
          <t xml:space="preserve">
GOV log.xlsx</t>
        </r>
      </text>
    </comment>
    <comment ref="Z108" authorId="0" shapeId="0" xr:uid="{00000000-0006-0000-0500-000042010000}">
      <text>
        <r>
          <rPr>
            <b/>
            <sz val="9"/>
            <color indexed="81"/>
            <rFont val="Calibri"/>
            <family val="2"/>
          </rPr>
          <t>Author:</t>
        </r>
        <r>
          <rPr>
            <sz val="9"/>
            <color indexed="81"/>
            <rFont val="Calibri"/>
            <family val="2"/>
          </rPr>
          <t xml:space="preserve">
GOV/GOV log.xlsx</t>
        </r>
      </text>
    </comment>
    <comment ref="G109" authorId="0" shapeId="0" xr:uid="{00000000-0006-0000-0500-000043010000}">
      <text>
        <r>
          <rPr>
            <b/>
            <sz val="9"/>
            <color indexed="81"/>
            <rFont val="Calibri"/>
            <family val="2"/>
          </rPr>
          <t>Author:</t>
        </r>
        <r>
          <rPr>
            <sz val="9"/>
            <color indexed="81"/>
            <rFont val="Calibri"/>
            <family val="2"/>
          </rPr>
          <t xml:space="preserve">
JUD-1st half.xlsx</t>
        </r>
      </text>
    </comment>
    <comment ref="P109" authorId="0" shapeId="0" xr:uid="{00000000-0006-0000-0500-000044010000}">
      <text>
        <r>
          <rPr>
            <b/>
            <sz val="9"/>
            <color indexed="81"/>
            <rFont val="Calibri"/>
            <family val="2"/>
          </rPr>
          <t>Author:</t>
        </r>
        <r>
          <rPr>
            <sz val="9"/>
            <color indexed="81"/>
            <rFont val="Calibri"/>
            <family val="2"/>
          </rPr>
          <t xml:space="preserve">
SOH Judiciary log.xlsx</t>
        </r>
      </text>
    </comment>
    <comment ref="Z109" authorId="0" shapeId="0" xr:uid="{00000000-0006-0000-0500-000045010000}">
      <text>
        <r>
          <rPr>
            <b/>
            <sz val="9"/>
            <color indexed="81"/>
            <rFont val="Calibri"/>
            <family val="2"/>
          </rPr>
          <t>Author:</t>
        </r>
        <r>
          <rPr>
            <sz val="9"/>
            <color indexed="81"/>
            <rFont val="Calibri"/>
            <family val="2"/>
          </rPr>
          <t xml:space="preserve">
Judiciary/Third Circuit log.xlsx</t>
        </r>
      </text>
    </comment>
    <comment ref="AJ109" authorId="0" shapeId="0" xr:uid="{0BCFDE04-6446-FD45-9B17-C30ECB4D0652}">
      <text>
        <r>
          <rPr>
            <b/>
            <sz val="10"/>
            <color rgb="FF000000"/>
            <rFont val="Tahoma"/>
            <family val="2"/>
          </rPr>
          <t>Author:</t>
        </r>
        <r>
          <rPr>
            <sz val="10"/>
            <color rgb="FF000000"/>
            <rFont val="Tahoma"/>
            <family val="2"/>
          </rPr>
          <t xml:space="preserve">
ITCD</t>
        </r>
      </text>
    </comment>
    <comment ref="AT109" authorId="0" shapeId="0" xr:uid="{416A1517-8D86-0641-AE21-22C5AE22F0F5}">
      <text>
        <r>
          <rPr>
            <b/>
            <sz val="10"/>
            <color rgb="FF000000"/>
            <rFont val="Tahoma"/>
            <family val="2"/>
          </rPr>
          <t>Author:</t>
        </r>
        <r>
          <rPr>
            <sz val="10"/>
            <color rgb="FF000000"/>
            <rFont val="Tahoma"/>
            <family val="2"/>
          </rPr>
          <t xml:space="preserve">
</t>
        </r>
        <r>
          <rPr>
            <sz val="10"/>
            <color rgb="FF000000"/>
            <rFont val="Tahoma"/>
            <family val="2"/>
          </rPr>
          <t>2CC</t>
        </r>
      </text>
    </comment>
    <comment ref="BD109" authorId="0" shapeId="0" xr:uid="{4EA7521B-DFC7-0348-BA20-A145EA6A41C3}">
      <text>
        <r>
          <rPr>
            <sz val="10"/>
            <color rgb="FF000000"/>
            <rFont val="Tahoma"/>
            <family val="2"/>
          </rPr>
          <t xml:space="preserve">Author:
</t>
        </r>
        <r>
          <rPr>
            <sz val="10"/>
            <color rgb="FF000000"/>
            <rFont val="Tahoma"/>
            <family val="2"/>
          </rPr>
          <t>FSD</t>
        </r>
      </text>
    </comment>
    <comment ref="BN109" authorId="0" shapeId="0" xr:uid="{C85A9830-63AB-EB45-AEA8-F46987CAD429}">
      <text>
        <r>
          <rPr>
            <sz val="10"/>
            <color rgb="FF000000"/>
            <rFont val="Tahoma"/>
            <family val="2"/>
          </rPr>
          <t xml:space="preserve">Author:
</t>
        </r>
        <r>
          <rPr>
            <sz val="10"/>
            <color rgb="FF000000"/>
            <rFont val="Tahoma"/>
            <family val="2"/>
          </rPr>
          <t>OEAC</t>
        </r>
      </text>
    </comment>
    <comment ref="BX109" authorId="0" shapeId="0" xr:uid="{54585D26-8E7E-224A-BA2D-C5AE1C8B0599}">
      <text>
        <r>
          <rPr>
            <sz val="10"/>
            <color rgb="FF000000"/>
            <rFont val="Tahoma"/>
            <family val="2"/>
          </rPr>
          <t xml:space="preserve">Author:
</t>
        </r>
        <r>
          <rPr>
            <sz val="10"/>
            <color rgb="FF000000"/>
            <rFont val="Tahoma"/>
            <family val="2"/>
          </rPr>
          <t>Public Affairs</t>
        </r>
      </text>
    </comment>
    <comment ref="CH109" authorId="0" shapeId="0" xr:uid="{C564BD80-F80E-434C-A895-4C0949308C59}">
      <text>
        <r>
          <rPr>
            <sz val="10"/>
            <color rgb="FF000000"/>
            <rFont val="Tahoma"/>
            <family val="2"/>
          </rPr>
          <t xml:space="preserve">Author:
</t>
        </r>
        <r>
          <rPr>
            <sz val="10"/>
            <color rgb="FF000000"/>
            <rFont val="Tahoma"/>
            <family val="2"/>
          </rPr>
          <t>Public Affairs</t>
        </r>
      </text>
    </comment>
    <comment ref="CR109" authorId="0" shapeId="0" xr:uid="{8F09E7DA-871B-DB44-81F3-00F26EC1B085}">
      <text>
        <r>
          <rPr>
            <sz val="10"/>
            <color rgb="FF000000"/>
            <rFont val="Tahoma"/>
            <family val="2"/>
          </rPr>
          <t xml:space="preserve">Author:
</t>
        </r>
        <r>
          <rPr>
            <sz val="10"/>
            <color rgb="FF000000"/>
            <rFont val="Tahoma"/>
            <family val="2"/>
          </rPr>
          <t>Public Affairs</t>
        </r>
      </text>
    </comment>
    <comment ref="C110" authorId="0" shapeId="0" xr:uid="{00000000-0006-0000-0500-000046010000}">
      <text>
        <r>
          <rPr>
            <b/>
            <sz val="9"/>
            <color indexed="81"/>
            <rFont val="Calibri"/>
            <family val="2"/>
          </rPr>
          <t>Author:</t>
        </r>
        <r>
          <rPr>
            <sz val="9"/>
            <color indexed="81"/>
            <rFont val="Calibri"/>
            <family val="2"/>
          </rPr>
          <t xml:space="preserve">
No log data on Legislature (FY15) because OIP did not require legislative agencies to use the log until FY16</t>
        </r>
      </text>
    </comment>
    <comment ref="D110" authorId="0" shapeId="0" xr:uid="{00000000-0006-0000-0500-000047010000}">
      <text>
        <r>
          <rPr>
            <b/>
            <sz val="9"/>
            <color rgb="FF000000"/>
            <rFont val="Calibri"/>
            <family val="2"/>
          </rPr>
          <t>Author:</t>
        </r>
        <r>
          <rPr>
            <sz val="9"/>
            <color rgb="FF000000"/>
            <rFont val="Calibri"/>
            <family val="2"/>
          </rPr>
          <t xml:space="preserve">
</t>
        </r>
        <r>
          <rPr>
            <sz val="9"/>
            <color rgb="FF000000"/>
            <rFont val="Calibri"/>
            <family val="2"/>
          </rPr>
          <t>No log data on Legislature (FY15) because OIP did not require legislative agencies to use the log until FY16</t>
        </r>
      </text>
    </comment>
    <comment ref="F110" authorId="0" shapeId="0" xr:uid="{00000000-0006-0000-0500-000048010000}">
      <text>
        <r>
          <rPr>
            <b/>
            <sz val="9"/>
            <color indexed="81"/>
            <rFont val="Calibri"/>
            <family val="2"/>
          </rPr>
          <t>Author:</t>
        </r>
        <r>
          <rPr>
            <sz val="9"/>
            <color indexed="81"/>
            <rFont val="Calibri"/>
            <family val="2"/>
          </rPr>
          <t xml:space="preserve">
No log data on Legislature (FY15) because OIP did not require legislative agencies to use the log until FY16</t>
        </r>
      </text>
    </comment>
    <comment ref="G110" authorId="0" shapeId="0" xr:uid="{00000000-0006-0000-0500-000049010000}">
      <text>
        <r>
          <rPr>
            <b/>
            <sz val="9"/>
            <color indexed="81"/>
            <rFont val="Calibri"/>
            <family val="2"/>
          </rPr>
          <t>Author:</t>
        </r>
        <r>
          <rPr>
            <sz val="9"/>
            <color indexed="81"/>
            <rFont val="Calibri"/>
            <family val="2"/>
          </rPr>
          <t xml:space="preserve">
No log data on Legislature (FY15) because OIP did not require legislative agencies to use the log until FY16</t>
        </r>
      </text>
    </comment>
    <comment ref="P110" authorId="0" shapeId="0" xr:uid="{00000000-0006-0000-0500-00004A010000}">
      <text>
        <r>
          <rPr>
            <b/>
            <sz val="9"/>
            <color indexed="81"/>
            <rFont val="Calibri"/>
            <family val="2"/>
          </rPr>
          <t>Author:</t>
        </r>
        <r>
          <rPr>
            <sz val="9"/>
            <color indexed="81"/>
            <rFont val="Calibri"/>
            <family val="2"/>
          </rPr>
          <t xml:space="preserve">
LEG Senate Clerk log.xlsx</t>
        </r>
      </text>
    </comment>
    <comment ref="Z110" authorId="0" shapeId="0" xr:uid="{00000000-0006-0000-0500-00004B010000}">
      <text>
        <r>
          <rPr>
            <b/>
            <sz val="9"/>
            <color indexed="81"/>
            <rFont val="Calibri"/>
            <family val="2"/>
          </rPr>
          <t>Author:</t>
        </r>
        <r>
          <rPr>
            <sz val="9"/>
            <color indexed="81"/>
            <rFont val="Calibri"/>
            <family val="2"/>
          </rPr>
          <t xml:space="preserve">
Legislature/Senate log.xlsx</t>
        </r>
      </text>
    </comment>
    <comment ref="P111" authorId="0" shapeId="0" xr:uid="{00000000-0006-0000-0500-00004C010000}">
      <text>
        <r>
          <rPr>
            <b/>
            <sz val="9"/>
            <color indexed="81"/>
            <rFont val="Calibri"/>
            <family val="2"/>
          </rPr>
          <t>Author:</t>
        </r>
        <r>
          <rPr>
            <sz val="9"/>
            <color indexed="81"/>
            <rFont val="Calibri"/>
            <family val="2"/>
          </rPr>
          <t xml:space="preserve">
LEG Senate Clerk log.xlsx</t>
        </r>
      </text>
    </comment>
    <comment ref="Z111" authorId="0" shapeId="0" xr:uid="{00000000-0006-0000-0500-00004D010000}">
      <text>
        <r>
          <rPr>
            <b/>
            <sz val="9"/>
            <color indexed="81"/>
            <rFont val="Calibri"/>
            <family val="2"/>
          </rPr>
          <t>Author:</t>
        </r>
        <r>
          <rPr>
            <sz val="9"/>
            <color indexed="81"/>
            <rFont val="Calibri"/>
            <family val="2"/>
          </rPr>
          <t xml:space="preserve">
Legislature/Senate log.xlsx</t>
        </r>
      </text>
    </comment>
    <comment ref="AJ111" authorId="0" shapeId="0" xr:uid="{5F272CF6-69AB-DF41-9E17-94C083605C50}">
      <text>
        <r>
          <rPr>
            <b/>
            <sz val="10"/>
            <color rgb="FF000000"/>
            <rFont val="Tahoma"/>
            <family val="2"/>
          </rPr>
          <t>Author:</t>
        </r>
        <r>
          <rPr>
            <sz val="10"/>
            <color rgb="FF000000"/>
            <rFont val="Tahoma"/>
            <family val="2"/>
          </rPr>
          <t xml:space="preserve">
</t>
        </r>
        <r>
          <rPr>
            <sz val="10"/>
            <color rgb="FF000000"/>
            <rFont val="Tahoma"/>
            <family val="2"/>
          </rPr>
          <t>Senate</t>
        </r>
      </text>
    </comment>
    <comment ref="AT111" authorId="0" shapeId="0" xr:uid="{E235D371-12A5-094D-8CC1-88B108CE19D3}">
      <text>
        <r>
          <rPr>
            <b/>
            <sz val="10"/>
            <color rgb="FF000000"/>
            <rFont val="Tahoma"/>
            <family val="2"/>
          </rPr>
          <t>Author:</t>
        </r>
        <r>
          <rPr>
            <sz val="10"/>
            <color rgb="FF000000"/>
            <rFont val="Tahoma"/>
            <family val="2"/>
          </rPr>
          <t xml:space="preserve">
</t>
        </r>
        <r>
          <rPr>
            <sz val="10"/>
            <color rgb="FF000000"/>
            <rFont val="Tahoma"/>
            <family val="2"/>
          </rPr>
          <t>House</t>
        </r>
      </text>
    </comment>
    <comment ref="BD111" authorId="0" shapeId="0" xr:uid="{53B384C9-616D-6346-97B6-ED6DAE436C6D}">
      <text>
        <r>
          <rPr>
            <sz val="10"/>
            <color rgb="FF000000"/>
            <rFont val="Tahoma"/>
            <family val="2"/>
          </rPr>
          <t xml:space="preserve">Author:
</t>
        </r>
        <r>
          <rPr>
            <sz val="10"/>
            <color rgb="FF000000"/>
            <rFont val="Tahoma"/>
            <family val="2"/>
          </rPr>
          <t>House</t>
        </r>
      </text>
    </comment>
    <comment ref="BN111" authorId="0" shapeId="0" xr:uid="{64630662-D3DB-BF4C-9D43-859BC206B75D}">
      <text>
        <r>
          <rPr>
            <sz val="10"/>
            <color rgb="FF000000"/>
            <rFont val="Tahoma"/>
            <family val="2"/>
          </rPr>
          <t xml:space="preserve">Author:
</t>
        </r>
        <r>
          <rPr>
            <sz val="10"/>
            <color rgb="FF000000"/>
            <rFont val="Tahoma"/>
            <family val="2"/>
          </rPr>
          <t>Senate</t>
        </r>
      </text>
    </comment>
    <comment ref="BX111" authorId="0" shapeId="0" xr:uid="{A05B9972-3428-FC4D-9B47-FDC8DE012884}">
      <text>
        <r>
          <rPr>
            <sz val="10"/>
            <color rgb="FF000000"/>
            <rFont val="Tahoma"/>
            <family val="2"/>
          </rPr>
          <t xml:space="preserve">Author:
</t>
        </r>
        <r>
          <rPr>
            <sz val="10"/>
            <color rgb="FF000000"/>
            <rFont val="Tahoma"/>
            <family val="2"/>
          </rPr>
          <t>Senate</t>
        </r>
      </text>
    </comment>
    <comment ref="CH111" authorId="0" shapeId="0" xr:uid="{59197526-3095-E74F-9771-0C3E1F60EB59}">
      <text>
        <r>
          <rPr>
            <sz val="10"/>
            <color rgb="FF000000"/>
            <rFont val="Tahoma"/>
            <family val="2"/>
          </rPr>
          <t xml:space="preserve">Author:
</t>
        </r>
        <r>
          <rPr>
            <sz val="10"/>
            <color rgb="FF000000"/>
            <rFont val="Tahoma"/>
            <family val="2"/>
          </rPr>
          <t>Senate</t>
        </r>
      </text>
    </comment>
    <comment ref="CR111" authorId="0" shapeId="0" xr:uid="{718EDAC7-6202-984C-8FAD-9894E48520D0}">
      <text>
        <r>
          <rPr>
            <sz val="10"/>
            <color rgb="FF000000"/>
            <rFont val="Tahoma"/>
            <family val="2"/>
          </rPr>
          <t xml:space="preserve">Author:
</t>
        </r>
        <r>
          <rPr>
            <sz val="10"/>
            <color rgb="FF000000"/>
            <rFont val="Tahoma"/>
            <family val="2"/>
          </rPr>
          <t>Senate</t>
        </r>
      </text>
    </comment>
    <comment ref="P112" authorId="0" shapeId="0" xr:uid="{00000000-0006-0000-0500-00004E010000}">
      <text>
        <r>
          <rPr>
            <b/>
            <sz val="9"/>
            <color indexed="81"/>
            <rFont val="Calibri"/>
            <family val="2"/>
          </rPr>
          <t>Author:</t>
        </r>
        <r>
          <rPr>
            <sz val="9"/>
            <color indexed="81"/>
            <rFont val="Calibri"/>
            <family val="2"/>
          </rPr>
          <t xml:space="preserve">
LEG Auditor log.xlsx</t>
        </r>
      </text>
    </comment>
    <comment ref="Z112" authorId="0" shapeId="0" xr:uid="{00000000-0006-0000-0500-00004F010000}">
      <text>
        <r>
          <rPr>
            <b/>
            <sz val="9"/>
            <color indexed="81"/>
            <rFont val="Calibri"/>
            <family val="2"/>
          </rPr>
          <t>Author:</t>
        </r>
        <r>
          <rPr>
            <sz val="9"/>
            <color indexed="81"/>
            <rFont val="Calibri"/>
            <family val="2"/>
          </rPr>
          <t xml:space="preserve">
Legislature/Auditor log.xlsx</t>
        </r>
      </text>
    </comment>
    <comment ref="P113" authorId="0" shapeId="0" xr:uid="{00000000-0006-0000-0500-000050010000}">
      <text>
        <r>
          <rPr>
            <b/>
            <sz val="9"/>
            <color indexed="81"/>
            <rFont val="Calibri"/>
            <family val="2"/>
          </rPr>
          <t>Author:</t>
        </r>
        <r>
          <rPr>
            <sz val="9"/>
            <color indexed="81"/>
            <rFont val="Calibri"/>
            <family val="2"/>
          </rPr>
          <t xml:space="preserve">
LEG Ombudsman log.xlsx</t>
        </r>
      </text>
    </comment>
    <comment ref="Z113" authorId="0" shapeId="0" xr:uid="{00000000-0006-0000-0500-000051010000}">
      <text>
        <r>
          <rPr>
            <b/>
            <sz val="9"/>
            <color indexed="81"/>
            <rFont val="Calibri"/>
            <family val="2"/>
          </rPr>
          <t>Author:</t>
        </r>
        <r>
          <rPr>
            <sz val="9"/>
            <color indexed="81"/>
            <rFont val="Calibri"/>
            <family val="2"/>
          </rPr>
          <t xml:space="preserve">
Legislature/Ombudsman log.xlsx</t>
        </r>
      </text>
    </comment>
    <comment ref="G114" authorId="0" shapeId="0" xr:uid="{00000000-0006-0000-0500-000052010000}">
      <text>
        <r>
          <rPr>
            <b/>
            <sz val="9"/>
            <color indexed="81"/>
            <rFont val="Calibri"/>
            <family val="2"/>
          </rPr>
          <t>Author:</t>
        </r>
        <r>
          <rPr>
            <sz val="9"/>
            <color indexed="81"/>
            <rFont val="Calibri"/>
            <family val="2"/>
          </rPr>
          <t xml:space="preserve">
OHA.xlsx</t>
        </r>
      </text>
    </comment>
    <comment ref="P114" authorId="0" shapeId="0" xr:uid="{00000000-0006-0000-0500-000053010000}">
      <text>
        <r>
          <rPr>
            <b/>
            <sz val="9"/>
            <color indexed="81"/>
            <rFont val="Calibri"/>
            <family val="2"/>
          </rPr>
          <t>Author:</t>
        </r>
        <r>
          <rPr>
            <sz val="9"/>
            <color indexed="81"/>
            <rFont val="Calibri"/>
            <family val="2"/>
          </rPr>
          <t xml:space="preserve">
OHA log.xlsx</t>
        </r>
      </text>
    </comment>
    <comment ref="Z114" authorId="0" shapeId="0" xr:uid="{00000000-0006-0000-0500-000054010000}">
      <text>
        <r>
          <rPr>
            <b/>
            <sz val="9"/>
            <color indexed="81"/>
            <rFont val="Calibri"/>
            <family val="2"/>
          </rPr>
          <t>Author:</t>
        </r>
        <r>
          <rPr>
            <sz val="9"/>
            <color indexed="81"/>
            <rFont val="Calibri"/>
            <family val="2"/>
          </rPr>
          <t xml:space="preserve">
OHA/OHA log.xlsx</t>
        </r>
      </text>
    </comment>
    <comment ref="G115" authorId="0" shapeId="0" xr:uid="{00000000-0006-0000-0500-000055010000}">
      <text>
        <r>
          <rPr>
            <b/>
            <sz val="9"/>
            <color indexed="81"/>
            <rFont val="Calibri"/>
            <family val="2"/>
          </rPr>
          <t>Author:</t>
        </r>
        <r>
          <rPr>
            <sz val="9"/>
            <color indexed="81"/>
            <rFont val="Calibri"/>
            <family val="2"/>
          </rPr>
          <t xml:space="preserve">
UH.xlsx</t>
        </r>
      </text>
    </comment>
    <comment ref="P115" authorId="0" shapeId="0" xr:uid="{00000000-0006-0000-0500-000056010000}">
      <text>
        <r>
          <rPr>
            <b/>
            <sz val="9"/>
            <color indexed="81"/>
            <rFont val="Calibri"/>
            <family val="2"/>
          </rPr>
          <t>Author:</t>
        </r>
        <r>
          <rPr>
            <sz val="9"/>
            <color indexed="81"/>
            <rFont val="Calibri"/>
            <family val="2"/>
          </rPr>
          <t xml:space="preserve">
SOH UH log.xlsx</t>
        </r>
      </text>
    </comment>
    <comment ref="Z115" authorId="0" shapeId="0" xr:uid="{00000000-0006-0000-0500-000057010000}">
      <text>
        <r>
          <rPr>
            <b/>
            <sz val="9"/>
            <color rgb="FF000000"/>
            <rFont val="Calibri"/>
            <family val="2"/>
          </rPr>
          <t>Author:</t>
        </r>
        <r>
          <rPr>
            <sz val="9"/>
            <color rgb="FF000000"/>
            <rFont val="Calibri"/>
            <family val="2"/>
          </rPr>
          <t xml:space="preserve">
</t>
        </r>
        <r>
          <rPr>
            <sz val="9"/>
            <color rgb="FF000000"/>
            <rFont val="Calibri"/>
            <family val="2"/>
          </rPr>
          <t>UH/UH log.xlsx</t>
        </r>
      </text>
    </comment>
    <comment ref="AJ115" authorId="0" shapeId="0" xr:uid="{B24001FB-132F-0E4A-B5AA-6643F1D5CF06}">
      <text>
        <r>
          <rPr>
            <b/>
            <sz val="10"/>
            <color rgb="FF000000"/>
            <rFont val="Tahoma"/>
            <family val="2"/>
          </rPr>
          <t>Author:</t>
        </r>
        <r>
          <rPr>
            <sz val="10"/>
            <color rgb="FF000000"/>
            <rFont val="Tahoma"/>
            <family val="2"/>
          </rPr>
          <t xml:space="preserve">
</t>
        </r>
        <r>
          <rPr>
            <sz val="10"/>
            <color rgb="FF000000"/>
            <rFont val="Tahoma"/>
            <family val="2"/>
          </rPr>
          <t>UH Manoa</t>
        </r>
      </text>
    </comment>
    <comment ref="AT115" authorId="0" shapeId="0" xr:uid="{2919283D-CF02-AD4E-AC62-0E67AA0AD660}">
      <text>
        <r>
          <rPr>
            <b/>
            <sz val="10"/>
            <color rgb="FF000000"/>
            <rFont val="Tahoma"/>
            <family val="2"/>
          </rPr>
          <t>Author:</t>
        </r>
        <r>
          <rPr>
            <sz val="10"/>
            <color rgb="FF000000"/>
            <rFont val="Tahoma"/>
            <family val="2"/>
          </rPr>
          <t xml:space="preserve">
</t>
        </r>
        <r>
          <rPr>
            <sz val="10"/>
            <color rgb="FF000000"/>
            <rFont val="Tahoma"/>
            <family val="2"/>
          </rPr>
          <t>UH Manoa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 authorId="0" shapeId="0" xr:uid="{00000000-0006-0000-0600-000001000000}">
      <text>
        <r>
          <rPr>
            <b/>
            <sz val="10"/>
            <color rgb="FF000000"/>
            <rFont val="Calibri"/>
            <family val="2"/>
          </rPr>
          <t>Author:</t>
        </r>
        <r>
          <rPr>
            <sz val="10"/>
            <color rgb="FF000000"/>
            <rFont val="Calibri"/>
            <family val="2"/>
          </rPr>
          <t xml:space="preserve">
</t>
        </r>
        <r>
          <rPr>
            <sz val="10"/>
            <color rgb="FF000000"/>
            <rFont val="Calibri"/>
            <family val="2"/>
          </rPr>
          <t>It is not possible to break down OIP matters by specific county because OIP data entry for COUNTY_AB is inconsistent (e.g., some State Department of agency matters are coded by Island where the issue arose).</t>
        </r>
      </text>
    </comment>
    <comment ref="X7" authorId="0" shapeId="0" xr:uid="{00000000-0006-0000-0600-000002000000}">
      <text>
        <r>
          <rPr>
            <b/>
            <sz val="9"/>
            <color rgb="FF000000"/>
            <rFont val="Tahoma"/>
            <family val="2"/>
          </rPr>
          <t>Author:</t>
        </r>
        <r>
          <rPr>
            <sz val="9"/>
            <color rgb="FF000000"/>
            <rFont val="Tahoma"/>
            <family val="2"/>
          </rPr>
          <t xml:space="preserve">
</t>
        </r>
        <r>
          <rPr>
            <sz val="9"/>
            <color rgb="FF000000"/>
            <rFont val="Tahoma"/>
            <family val="2"/>
          </rPr>
          <t>Significant increase likely attributable to OIP jurisdiction over Sunshine in 1998.</t>
        </r>
      </text>
    </comment>
    <comment ref="B8" authorId="0" shapeId="0" xr:uid="{00000000-0006-0000-0600-000003000000}">
      <text>
        <r>
          <rPr>
            <b/>
            <sz val="10"/>
            <color rgb="FF000000"/>
            <rFont val="Calibri"/>
            <family val="2"/>
          </rPr>
          <t>Author:</t>
        </r>
        <r>
          <rPr>
            <sz val="10"/>
            <color rgb="FF000000"/>
            <rFont val="Calibri"/>
            <family val="2"/>
          </rPr>
          <t xml:space="preserve">
</t>
        </r>
        <r>
          <rPr>
            <sz val="10"/>
            <color rgb="FF000000"/>
            <rFont val="Calibri"/>
            <family val="2"/>
          </rPr>
          <t>Kauai's environmental resources are part of its Department of Public Works (separated out below).  Also, it is not possible to break down OIP matters by specific county because OIP data entry for COUNTY_AB is inconsistent (e.g., some State Department of agency matters are coded by Island where the issue arose).</t>
        </r>
      </text>
    </comment>
    <comment ref="B12" authorId="0" shapeId="0" xr:uid="{00000000-0006-0000-0600-000004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17" authorId="0" shapeId="0" xr:uid="{00000000-0006-0000-0600-000005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22" authorId="0" shapeId="0" xr:uid="{00000000-0006-0000-0600-000006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34" authorId="0" shapeId="0" xr:uid="{00000000-0006-0000-0600-000007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39" authorId="0" shapeId="0" xr:uid="{00000000-0006-0000-0600-000008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45" authorId="0" shapeId="0" xr:uid="{00000000-0006-0000-0600-000009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B52" authorId="0" shapeId="0" xr:uid="{00000000-0006-0000-0600-00000A000000}">
      <text>
        <r>
          <rPr>
            <b/>
            <sz val="10"/>
            <color indexed="81"/>
            <rFont val="Calibri"/>
            <family val="2"/>
          </rPr>
          <t>Author:</t>
        </r>
        <r>
          <rPr>
            <sz val="10"/>
            <color indexed="81"/>
            <rFont val="Calibri"/>
            <family val="2"/>
          </rPr>
          <t xml:space="preserve">
It is not possible to break down OIP matters by specific county because OIP data entry for COUNTY_AB is inconsistent (e.g., some State Department of agency matters are coded by Island where the issue arose).</t>
        </r>
      </text>
    </comment>
    <comment ref="V102" authorId="0" shapeId="0" xr:uid="{FEEE2906-EA64-CD4A-93FB-2A11E67689A6}">
      <text>
        <r>
          <rPr>
            <b/>
            <sz val="10"/>
            <color rgb="FF000000"/>
            <rFont val="Tahoma"/>
            <family val="2"/>
          </rPr>
          <t xml:space="preserve">Author:
</t>
        </r>
        <r>
          <rPr>
            <sz val="10"/>
            <color rgb="FF000000"/>
            <rFont val="Tahoma"/>
            <family val="2"/>
          </rPr>
          <t>Remove HPA?</t>
        </r>
      </text>
    </comment>
  </commentList>
</comments>
</file>

<file path=xl/sharedStrings.xml><?xml version="1.0" encoding="utf-8"?>
<sst xmlns="http://schemas.openxmlformats.org/spreadsheetml/2006/main" count="107180" uniqueCount="23554">
  <si>
    <t>DATABASE ID NO</t>
  </si>
  <si>
    <t>DTENTRY1</t>
  </si>
  <si>
    <t>OIPREC_ID1</t>
  </si>
  <si>
    <t>DOC_DT1</t>
  </si>
  <si>
    <t>DOC_TYPE</t>
  </si>
  <si>
    <t>AGENCY_AB</t>
  </si>
  <si>
    <t>STATE_AB</t>
  </si>
  <si>
    <t>ISLAND_AB</t>
  </si>
  <si>
    <t>COUNTY_AB</t>
  </si>
  <si>
    <t>KEYWORD1</t>
  </si>
  <si>
    <t>KEYWORD2</t>
  </si>
  <si>
    <t>ASSIGNEE</t>
  </si>
  <si>
    <t>REASSIGNED</t>
  </si>
  <si>
    <t>DUE_DATE1</t>
  </si>
  <si>
    <t>COMPL_DT1</t>
  </si>
  <si>
    <t>PUBLIC ?</t>
  </si>
  <si>
    <t>COMPLAINT
AGAINST
AGENCY?</t>
  </si>
  <si>
    <t>1990-02251</t>
  </si>
  <si>
    <t>RFO (90-019)</t>
  </si>
  <si>
    <t>DOT</t>
  </si>
  <si>
    <t>HI</t>
  </si>
  <si>
    <t/>
  </si>
  <si>
    <t>WORK PRODUCT</t>
  </si>
  <si>
    <t>ATTORNEY-CLIENT PRIVILEGE</t>
  </si>
  <si>
    <t>HRJ</t>
  </si>
  <si>
    <t>1990-012903</t>
  </si>
  <si>
    <t>RFO (90-020)</t>
  </si>
  <si>
    <t>DLNR</t>
  </si>
  <si>
    <t>ACCESS TO RECORDS</t>
  </si>
  <si>
    <t>COURT RECORDS</t>
  </si>
  <si>
    <t>LJL</t>
  </si>
  <si>
    <t>-1</t>
  </si>
  <si>
    <t>1989-090801</t>
  </si>
  <si>
    <t>RFO (90-023)</t>
  </si>
  <si>
    <t>UH-RCUH</t>
  </si>
  <si>
    <t>DEFINITION OF AGENCY</t>
  </si>
  <si>
    <t>MLY</t>
  </si>
  <si>
    <t>1990-010501</t>
  </si>
  <si>
    <t>CORR</t>
  </si>
  <si>
    <t>DBEDT</t>
  </si>
  <si>
    <t>A+</t>
  </si>
  <si>
    <t>1990-020501</t>
  </si>
  <si>
    <t>RFO (90-021)</t>
  </si>
  <si>
    <t>DHS-HHA</t>
  </si>
  <si>
    <t>BIDS</t>
  </si>
  <si>
    <t>BID COMPONENTS</t>
  </si>
  <si>
    <t>1990-020601</t>
  </si>
  <si>
    <t>RFO (90-028)</t>
  </si>
  <si>
    <t>SITE FILE</t>
  </si>
  <si>
    <t>RELEASE OF NAME</t>
  </si>
  <si>
    <t>1990-020701</t>
  </si>
  <si>
    <t>RFO (90-022)</t>
  </si>
  <si>
    <t>DOE</t>
  </si>
  <si>
    <t>ATTENDANCE RECORD</t>
  </si>
  <si>
    <t>TEACHER</t>
  </si>
  <si>
    <t>1990-020901</t>
  </si>
  <si>
    <t>AG</t>
  </si>
  <si>
    <t>LEGISLATOR</t>
  </si>
  <si>
    <t>INVESTIGATIVE REPORT</t>
  </si>
  <si>
    <t>KAC</t>
  </si>
  <si>
    <t>1990-021402</t>
  </si>
  <si>
    <t>GEN</t>
  </si>
  <si>
    <t>1990-021403</t>
  </si>
  <si>
    <t>RFO (90-024)</t>
  </si>
  <si>
    <t>TECHNICAL STUDIES CONSULTANT REPORTS</t>
  </si>
  <si>
    <t>BUOY AND MOORING DESIGNS</t>
  </si>
  <si>
    <t>CMD</t>
  </si>
  <si>
    <t>JMLC</t>
  </si>
  <si>
    <t>1990-021404</t>
  </si>
  <si>
    <t>RFO (90-025)</t>
  </si>
  <si>
    <t>POLICE-HON</t>
  </si>
  <si>
    <t>O</t>
  </si>
  <si>
    <t>HON</t>
  </si>
  <si>
    <t>GUN PERMITS</t>
  </si>
  <si>
    <t>POLICE RECORDS</t>
  </si>
  <si>
    <t>1990-021501</t>
  </si>
  <si>
    <t>CONSENT FORM</t>
  </si>
  <si>
    <t>ATTORNEY GENERAL</t>
  </si>
  <si>
    <t>1990-021602</t>
  </si>
  <si>
    <t>RFO (90-027)</t>
  </si>
  <si>
    <t>NAMES OF POLICE OFFICERS</t>
  </si>
  <si>
    <t>EVICTION</t>
  </si>
  <si>
    <t>SML</t>
  </si>
  <si>
    <t>1990-022003</t>
  </si>
  <si>
    <t>RFO (90-026)</t>
  </si>
  <si>
    <t>DLIR</t>
  </si>
  <si>
    <t>COMPLAINTS</t>
  </si>
  <si>
    <t>WAGE CLAIMS</t>
  </si>
  <si>
    <t>RJP</t>
  </si>
  <si>
    <t>1990-022301</t>
  </si>
  <si>
    <t>RFO (90-029)</t>
  </si>
  <si>
    <t>STANDARDS OF CONDUCT</t>
  </si>
  <si>
    <t>1990-022801</t>
  </si>
  <si>
    <t>RFO (90-030)</t>
  </si>
  <si>
    <t>TAX</t>
  </si>
  <si>
    <t>PUBLIC RECORD</t>
  </si>
  <si>
    <t>GOVERNMENT RECORD</t>
  </si>
  <si>
    <t>1990-022804</t>
  </si>
  <si>
    <t>DCCA</t>
  </si>
  <si>
    <t>STATUS REPORT ON RFO 89-119</t>
  </si>
  <si>
    <t>1990-030101</t>
  </si>
  <si>
    <t>HALL-KIMBRELL NON-SCHOOL SURVEY RPT</t>
  </si>
  <si>
    <t>1990-030102</t>
  </si>
  <si>
    <t>RFO (90-031)</t>
  </si>
  <si>
    <t>UH</t>
  </si>
  <si>
    <t>INTERVIEW NOTES</t>
  </si>
  <si>
    <t>1990-030602</t>
  </si>
  <si>
    <t>RFO (90-032)</t>
  </si>
  <si>
    <t>SEC. 92F-19</t>
  </si>
  <si>
    <t>CHILD SUPPORT ENFORCEMENT</t>
  </si>
  <si>
    <t>1990-030603</t>
  </si>
  <si>
    <t>RFO (90-033)</t>
  </si>
  <si>
    <t>REGISTRATION OF OUT OF STATE CORP.</t>
  </si>
  <si>
    <t>WORK COMP/UNEMPLOYMENT INSURANCE</t>
  </si>
  <si>
    <t>1990-031901</t>
  </si>
  <si>
    <t>RFO (90-038)</t>
  </si>
  <si>
    <t>LEG-REP</t>
  </si>
  <si>
    <t>NAME, POSITION, HIRE DATE</t>
  </si>
  <si>
    <t>SALARY OR SALARY RANGE</t>
  </si>
  <si>
    <t>1990-030901</t>
  </si>
  <si>
    <t>RFO (90-037)</t>
  </si>
  <si>
    <t>FORMAL CHARGES</t>
  </si>
  <si>
    <t>HPD INTERNAL AFFAIRS, POL. COMMISS.</t>
  </si>
  <si>
    <t>1990-031401</t>
  </si>
  <si>
    <t>PSD</t>
  </si>
  <si>
    <t>WILCOX HOSPITAL RECORDS</t>
  </si>
  <si>
    <t>INMATES</t>
  </si>
  <si>
    <t>1990-040601</t>
  </si>
  <si>
    <t>RFO (90-046)</t>
  </si>
  <si>
    <t>DHRD</t>
  </si>
  <si>
    <t>EE ASST. PROGRAM</t>
  </si>
  <si>
    <t>MEDICAL/PSYCHIATRIC INFO.</t>
  </si>
  <si>
    <t>1990-033001</t>
  </si>
  <si>
    <t>DAGS-ARCHIVES</t>
  </si>
  <si>
    <t>RECORD RETENTION</t>
  </si>
  <si>
    <t>1990-040201</t>
  </si>
  <si>
    <t>RFO (90-044)</t>
  </si>
  <si>
    <t>PARKS-HON</t>
  </si>
  <si>
    <t>INTER-AGENCY MEMOS/DRAFTS</t>
  </si>
  <si>
    <t>SAFETY SURVEY</t>
  </si>
  <si>
    <t>1990-040501</t>
  </si>
  <si>
    <t>RFO (90-045)</t>
  </si>
  <si>
    <t>CRIM. HIST. RECORD</t>
  </si>
  <si>
    <t>92F-22</t>
  </si>
  <si>
    <t>1990-032301</t>
  </si>
  <si>
    <t>GOV</t>
  </si>
  <si>
    <t>PARDONS, COMMUTATIONS</t>
  </si>
  <si>
    <t>MAUI POLICE OFFICERS</t>
  </si>
  <si>
    <t>1990-032701</t>
  </si>
  <si>
    <t>DOH</t>
  </si>
  <si>
    <t>NURSE AIDE REGISTRY</t>
  </si>
  <si>
    <t>REVIEW MEMO, COORDINATE RESPONSE</t>
  </si>
  <si>
    <t>1990-032901</t>
  </si>
  <si>
    <t>RFO (90-040)</t>
  </si>
  <si>
    <t>DEVELOPMENT PROPOSAL</t>
  </si>
  <si>
    <t>GEOTHERMAL PROJECT</t>
  </si>
  <si>
    <t>1990-032902</t>
  </si>
  <si>
    <t>DISCOVERY AIRWAYS</t>
  </si>
  <si>
    <t>1990-030604</t>
  </si>
  <si>
    <t>RFO (90-034)</t>
  </si>
  <si>
    <t>ACCESS TO OWN FILE</t>
  </si>
  <si>
    <t>1990-030701</t>
  </si>
  <si>
    <t>RFO (90-035)</t>
  </si>
  <si>
    <t>UH SEXUAL HARASS., CLARIFY OP 90-12</t>
  </si>
  <si>
    <t>CH. 89 GRIEVANCES, RETROACTIVITY</t>
  </si>
  <si>
    <t>1990-030702</t>
  </si>
  <si>
    <t>RFO (90-036)</t>
  </si>
  <si>
    <t>DRAFT/INTERAGENCY MEMO</t>
  </si>
  <si>
    <t>ENVIRONMENTAL IMPACT STATEMENT</t>
  </si>
  <si>
    <t>1990-030703</t>
  </si>
  <si>
    <t>ILLINOIS LEGISLATURE RESEARCH PROJ</t>
  </si>
  <si>
    <t>QUASI-PUBLIC AGENCIES</t>
  </si>
  <si>
    <t>1990-032802</t>
  </si>
  <si>
    <t>RFO (90-039)</t>
  </si>
  <si>
    <t>DISCIPLINARY ACTION</t>
  </si>
  <si>
    <t>1990-022805</t>
  </si>
  <si>
    <t>ASK-2000</t>
  </si>
  <si>
    <t>1990-041102</t>
  </si>
  <si>
    <t>RFO (90-042)</t>
  </si>
  <si>
    <t>QUASI-HON</t>
  </si>
  <si>
    <t>DEF. OF AGENCY</t>
  </si>
  <si>
    <t>DOG LICENSING LAWS</t>
  </si>
  <si>
    <t>0</t>
  </si>
  <si>
    <t>1990-020101</t>
  </si>
  <si>
    <t>HONOLULU INFO. SERVICE LETTER</t>
  </si>
  <si>
    <t>PREPARE MEMO FOR GOV'S SIGNATURE</t>
  </si>
  <si>
    <t>1990-020502</t>
  </si>
  <si>
    <t>RFO (90-017)</t>
  </si>
  <si>
    <t>CIV SER-H</t>
  </si>
  <si>
    <t>H</t>
  </si>
  <si>
    <t>SEC. 89-16.5</t>
  </si>
  <si>
    <t>CERTIFICATION LISTS</t>
  </si>
  <si>
    <t>1990-011202</t>
  </si>
  <si>
    <t>RFO 90-7</t>
  </si>
  <si>
    <t>ETHICS-HON</t>
  </si>
  <si>
    <t>INTER/INTRA AGENCY MEMOS (PUB. MTG)</t>
  </si>
  <si>
    <t>DRAFTS (GUIDELINES ON GIFTS) CR891</t>
  </si>
  <si>
    <t>1990-011901</t>
  </si>
  <si>
    <t>RFO (90-014)</t>
  </si>
  <si>
    <t>TENANT INFORMATION</t>
  </si>
  <si>
    <t>PUBLIC ASSISTANCE</t>
  </si>
  <si>
    <t>1990-010402</t>
  </si>
  <si>
    <t>RFO (90-002)</t>
  </si>
  <si>
    <t>WAIKIKI CONVENTION CENTER AUTHORITY</t>
  </si>
  <si>
    <t>RFPS</t>
  </si>
  <si>
    <t>1990-011201</t>
  </si>
  <si>
    <t>RFO (90-011)</t>
  </si>
  <si>
    <t>POLICE RECORDS (CR 90-12)</t>
  </si>
  <si>
    <t>ARREST LOGS</t>
  </si>
  <si>
    <t>1990-011601</t>
  </si>
  <si>
    <t>RFO (90-012)</t>
  </si>
  <si>
    <t>POLICE-K</t>
  </si>
  <si>
    <t>K</t>
  </si>
  <si>
    <t>POLICE RECORDS (CR 90-11)</t>
  </si>
  <si>
    <t>1990-011602</t>
  </si>
  <si>
    <t>RFO (90-013)</t>
  </si>
  <si>
    <t>DHHL</t>
  </si>
  <si>
    <t>LESSEE DATA FILE</t>
  </si>
  <si>
    <t>LESSEE LEDGER TRIAL BALANCE</t>
  </si>
  <si>
    <t>1990-013002</t>
  </si>
  <si>
    <t>RFO (90-016)</t>
  </si>
  <si>
    <t>SUBPOENA DUCES TECUM</t>
  </si>
  <si>
    <t>ACCIDENT REPORTS</t>
  </si>
  <si>
    <t>1990-010401</t>
  </si>
  <si>
    <t>RFO (90-001)</t>
  </si>
  <si>
    <t>UH PROGRAM REVIEWS</t>
  </si>
  <si>
    <t>1990-010801</t>
  </si>
  <si>
    <t>RFO (90-003)</t>
  </si>
  <si>
    <t>JUD</t>
  </si>
  <si>
    <t>DISCLOSURE OF T. OKUDA'S VAC. TIME</t>
  </si>
  <si>
    <t>1990-010201</t>
  </si>
  <si>
    <t>RFO (90-005)</t>
  </si>
  <si>
    <t>INSURANCE</t>
  </si>
  <si>
    <t>1990-010202</t>
  </si>
  <si>
    <t>RFO (90-006)</t>
  </si>
  <si>
    <t>LICENSES</t>
  </si>
  <si>
    <t>REAL ESTATE</t>
  </si>
  <si>
    <t>1990-011002</t>
  </si>
  <si>
    <t>RFO (90-008)</t>
  </si>
  <si>
    <t>TRAINING MATERIALS</t>
  </si>
  <si>
    <t>1990-011101</t>
  </si>
  <si>
    <t>RFO (90-010)</t>
  </si>
  <si>
    <t>DHS</t>
  </si>
  <si>
    <t>SUMMONS</t>
  </si>
  <si>
    <t>IRS/DSS RECORDS</t>
  </si>
  <si>
    <t>1990-012601</t>
  </si>
  <si>
    <t>RFO (90-015)</t>
  </si>
  <si>
    <t>MARRIAGE LICENSE</t>
  </si>
  <si>
    <t>LICENSE APPLICATION DATE</t>
  </si>
  <si>
    <t>1990-041201</t>
  </si>
  <si>
    <t>RFO (90-047)</t>
  </si>
  <si>
    <t>APPLICATION FOR REGISTRATION</t>
  </si>
  <si>
    <t>SHARING--U.S. ATT. GEN.</t>
  </si>
  <si>
    <t>1990-041202</t>
  </si>
  <si>
    <t>RFO (90-043)</t>
  </si>
  <si>
    <t>RULES</t>
  </si>
  <si>
    <t>HAZARDOUS WASTES</t>
  </si>
  <si>
    <t>1990-010206</t>
  </si>
  <si>
    <t>RFO (90-004)</t>
  </si>
  <si>
    <t>B&amp;F-HFDC</t>
  </si>
  <si>
    <t>ARBITRATION AWARDS</t>
  </si>
  <si>
    <t>LAND LEASE RENEGOTIATIONS</t>
  </si>
  <si>
    <t>1990-010802</t>
  </si>
  <si>
    <t>RFO (90-009)</t>
  </si>
  <si>
    <t>INSURANCE EXAM</t>
  </si>
  <si>
    <t>1990-031301</t>
  </si>
  <si>
    <t>DIAMOND HEAD FILM STUDIO</t>
  </si>
  <si>
    <t>1990-041901</t>
  </si>
  <si>
    <t>RFO (90-041)</t>
  </si>
  <si>
    <t>AUDIT REPORT</t>
  </si>
  <si>
    <t>PREP'D BY CONSULTANT</t>
  </si>
  <si>
    <t>1990-042001</t>
  </si>
  <si>
    <t>PERSONAL RECORDS</t>
  </si>
  <si>
    <t>INMATE ACCESS</t>
  </si>
  <si>
    <t>RFO (90-048)</t>
  </si>
  <si>
    <t>AG- HCJDC</t>
  </si>
  <si>
    <t>REVIEW HCJDC RULES</t>
  </si>
  <si>
    <t>IMPACT OF UIPA</t>
  </si>
  <si>
    <t>1989-112201</t>
  </si>
  <si>
    <t>A+ PROGRAM</t>
  </si>
  <si>
    <t>CRIMINAL HISTORY RECORDS</t>
  </si>
  <si>
    <t>1990-042502</t>
  </si>
  <si>
    <t>RFO (90-049)</t>
  </si>
  <si>
    <t>LEG</t>
  </si>
  <si>
    <t>LEGISLATIVE COMMITTEE REPORTS</t>
  </si>
  <si>
    <t>NOT FILED</t>
  </si>
  <si>
    <t>1990-043001</t>
  </si>
  <si>
    <t>RFO (90-050)</t>
  </si>
  <si>
    <t>PROTECT. &amp; ADVOC. AG.</t>
  </si>
  <si>
    <t>AUDIT RPT</t>
  </si>
  <si>
    <t>1990-050101</t>
  </si>
  <si>
    <t>RFO (90-051)</t>
  </si>
  <si>
    <t>RECORDS RETENTION</t>
  </si>
  <si>
    <t>RECORDS DESTRUCTION</t>
  </si>
  <si>
    <t>1990-050102</t>
  </si>
  <si>
    <t>RFO (90-052)</t>
  </si>
  <si>
    <t>HCJDC CRIM. HIS. REC.</t>
  </si>
  <si>
    <t>FOREIGN STUDENTS</t>
  </si>
  <si>
    <t>1990-050903</t>
  </si>
  <si>
    <t>RR</t>
  </si>
  <si>
    <t>MAY0R-HON</t>
  </si>
  <si>
    <t>LTR TO GAIL KOTAKA</t>
  </si>
  <si>
    <t>C &amp; C CONFID. REC. LIST</t>
  </si>
  <si>
    <t>MTK</t>
  </si>
  <si>
    <t>1990-050801</t>
  </si>
  <si>
    <t>RFO (90-053)</t>
  </si>
  <si>
    <t>B&amp;F</t>
  </si>
  <si>
    <t>UNCLAIMED PROP.</t>
  </si>
  <si>
    <t>RECONSIDERATION</t>
  </si>
  <si>
    <t>1990-051001</t>
  </si>
  <si>
    <t>RFO (90-054)</t>
  </si>
  <si>
    <t>LEG -ETHICS</t>
  </si>
  <si>
    <t>FIN. ASSETS/92F-12</t>
  </si>
  <si>
    <t>ETHICS OPS./92F-12</t>
  </si>
  <si>
    <t>SRK</t>
  </si>
  <si>
    <t>GLF/RJP/JMLC/JEC</t>
  </si>
  <si>
    <t>1990-051401</t>
  </si>
  <si>
    <t>RFO (90-055)</t>
  </si>
  <si>
    <t>PROPRIETARY/CBI</t>
  </si>
  <si>
    <t>KELLOGG CO.</t>
  </si>
  <si>
    <t>1990-052102</t>
  </si>
  <si>
    <t>RFO (90-056)</t>
  </si>
  <si>
    <t>FIN-HON</t>
  </si>
  <si>
    <t>EMPLOYEE PAYCHECKS</t>
  </si>
  <si>
    <t>ENVELOPES</t>
  </si>
  <si>
    <t>1990-052501</t>
  </si>
  <si>
    <t>RFO (90-057)</t>
  </si>
  <si>
    <t>DCCA-RICO</t>
  </si>
  <si>
    <t>FEES</t>
  </si>
  <si>
    <t>COPYING</t>
  </si>
  <si>
    <t>1990-060701</t>
  </si>
  <si>
    <t>RFO (90-058)</t>
  </si>
  <si>
    <t>PERSONNEL RECORDS</t>
  </si>
  <si>
    <t>APPLICANTS</t>
  </si>
  <si>
    <t>1990-061201</t>
  </si>
  <si>
    <t>RFO (90-059)</t>
  </si>
  <si>
    <t>AG- CSEA</t>
  </si>
  <si>
    <t>SOCIAL SECURITY #</t>
  </si>
  <si>
    <t>DISCL/PARENTS</t>
  </si>
  <si>
    <t>1990-061301</t>
  </si>
  <si>
    <t>RFO (90-060)</t>
  </si>
  <si>
    <t>COMPLAINANT</t>
  </si>
  <si>
    <t>INVESTIG. OUTCOME</t>
  </si>
  <si>
    <t>1990-061401</t>
  </si>
  <si>
    <t>RFO (90-064)</t>
  </si>
  <si>
    <t>CORP CNSL-HON</t>
  </si>
  <si>
    <t>GOV'T CREATED DATABASES</t>
  </si>
  <si>
    <t>COST RECOVERY</t>
  </si>
  <si>
    <t>1990-062001</t>
  </si>
  <si>
    <t>RFO (90-062)</t>
  </si>
  <si>
    <t>DOA</t>
  </si>
  <si>
    <t>PESTICIDES</t>
  </si>
  <si>
    <t>INFO RE CERT. APP.</t>
  </si>
  <si>
    <t>1990-062701</t>
  </si>
  <si>
    <t>RFO (90-061)</t>
  </si>
  <si>
    <t>MAPS</t>
  </si>
  <si>
    <t>IRRIGATION SYSTEM</t>
  </si>
  <si>
    <t>1990-070201</t>
  </si>
  <si>
    <t>RFO (90-063)</t>
  </si>
  <si>
    <t>B&amp;F-ERS</t>
  </si>
  <si>
    <t>INVESTMENTS</t>
  </si>
  <si>
    <t>RETIREMENT SYSTEM</t>
  </si>
  <si>
    <t>1990-070301</t>
  </si>
  <si>
    <t>FIREARM APPL</t>
  </si>
  <si>
    <t>REVIEW</t>
  </si>
  <si>
    <t>1990-070302</t>
  </si>
  <si>
    <t>RFO (90-065)</t>
  </si>
  <si>
    <t>LIQC-HON</t>
  </si>
  <si>
    <t>SSN; HOME ADD</t>
  </si>
  <si>
    <t>LIQUOR LIC HOST</t>
  </si>
  <si>
    <t>1990-062702</t>
  </si>
  <si>
    <t>PSD-HPA</t>
  </si>
  <si>
    <t>CORRECTIONS/INMATE</t>
  </si>
  <si>
    <t>RULES REQUEST</t>
  </si>
  <si>
    <t>1990-061302</t>
  </si>
  <si>
    <t>RICO</t>
  </si>
  <si>
    <t>INVESTIG. FILE</t>
  </si>
  <si>
    <t>1990-070601</t>
  </si>
  <si>
    <t>EPA</t>
  </si>
  <si>
    <t>COPYING FEES</t>
  </si>
  <si>
    <t>1990-071306</t>
  </si>
  <si>
    <t>RFO (90-066)</t>
  </si>
  <si>
    <t>SUP. CT. CALENDAR</t>
  </si>
  <si>
    <t>ACCESS</t>
  </si>
  <si>
    <t>1990-071601</t>
  </si>
  <si>
    <t>RFO (90-067)</t>
  </si>
  <si>
    <t>AETNA LIFE</t>
  </si>
  <si>
    <t>WORKERS COMP.</t>
  </si>
  <si>
    <t>1990-072001</t>
  </si>
  <si>
    <t>RFO (90-068)</t>
  </si>
  <si>
    <t>REPAIR PROG VOL</t>
  </si>
  <si>
    <t>1990-072302</t>
  </si>
  <si>
    <t>LTR FORWARDED TO OAG</t>
  </si>
  <si>
    <t>1990-072303</t>
  </si>
  <si>
    <t>RFO (90-069)</t>
  </si>
  <si>
    <t>OLG-ELEC</t>
  </si>
  <si>
    <t>OPIN. POLL RECS</t>
  </si>
  <si>
    <t>CHUN/CACHOLA</t>
  </si>
  <si>
    <t>1990-072304</t>
  </si>
  <si>
    <t>RFO (90-070)</t>
  </si>
  <si>
    <t>RFP</t>
  </si>
  <si>
    <t>DATA HOUSE</t>
  </si>
  <si>
    <t>1990-072501</t>
  </si>
  <si>
    <t>RFO (90-071)</t>
  </si>
  <si>
    <t>SUPERVISOR'S NOTES</t>
  </si>
  <si>
    <t>NOTICE</t>
  </si>
  <si>
    <t>1990-072502</t>
  </si>
  <si>
    <t>RFO (90-072)</t>
  </si>
  <si>
    <t>ETHICS</t>
  </si>
  <si>
    <t>ETHICS COMM. RECS.</t>
  </si>
  <si>
    <t>HOW MUCH PUBLIC</t>
  </si>
  <si>
    <t>1990-072601</t>
  </si>
  <si>
    <t>UIPA TIME DEADLINES</t>
  </si>
  <si>
    <t>1990-072702</t>
  </si>
  <si>
    <t>RFO (90-073)</t>
  </si>
  <si>
    <t>VOCATIONAL LIC. APPLICATIONS</t>
  </si>
  <si>
    <t>SEC. 92F-14(b)(7)</t>
  </si>
  <si>
    <t>1990-073002</t>
  </si>
  <si>
    <t>RFO (90-074)</t>
  </si>
  <si>
    <t>CHP. 378, HRS</t>
  </si>
  <si>
    <t>WRONG DISCHARGE COMPLAINTS</t>
  </si>
  <si>
    <t>1990-073101</t>
  </si>
  <si>
    <t>RFO (90-076)</t>
  </si>
  <si>
    <t>POLICE ACCIDENT REPORT</t>
  </si>
  <si>
    <t>ALOHA ISLAND AIR CRASH</t>
  </si>
  <si>
    <t>1990-080701</t>
  </si>
  <si>
    <t>RFO (90-077)</t>
  </si>
  <si>
    <t>DECLARATION OF WATER USE</t>
  </si>
  <si>
    <t>ACCESS TO DATABASE</t>
  </si>
  <si>
    <t>1990-080801</t>
  </si>
  <si>
    <t>LIST OF NOTARIES</t>
  </si>
  <si>
    <t>1990-080802</t>
  </si>
  <si>
    <t>LTR RE DHS RFP (DATA HOUSE)</t>
  </si>
  <si>
    <t>1990-081301</t>
  </si>
  <si>
    <t>RFO (90-083)</t>
  </si>
  <si>
    <t>EE STANDARDS CONDUCT</t>
  </si>
  <si>
    <t>CORRECTIONS P &amp; PS</t>
  </si>
  <si>
    <t>1990-081302</t>
  </si>
  <si>
    <t>RFO (90-079)</t>
  </si>
  <si>
    <t>EMS-HON</t>
  </si>
  <si>
    <t>C &amp; C AMBULANCE SERVICE</t>
  </si>
  <si>
    <t>AMBUL. RPT.</t>
  </si>
  <si>
    <t>1990-081501</t>
  </si>
  <si>
    <t>RFO (90-078)</t>
  </si>
  <si>
    <t>HPA RULES</t>
  </si>
  <si>
    <t>CASE MGMT. CLASSIF.</t>
  </si>
  <si>
    <t>1990-082001</t>
  </si>
  <si>
    <t>RFO (90-080)</t>
  </si>
  <si>
    <t>SALARIES</t>
  </si>
  <si>
    <t>1990-082002</t>
  </si>
  <si>
    <t>RFO (90-086)</t>
  </si>
  <si>
    <t>REGISTER OF BLIND PERSONS</t>
  </si>
  <si>
    <t>GOVT. SHARING</t>
  </si>
  <si>
    <t>1990-082202</t>
  </si>
  <si>
    <t>RFO (90-085)</t>
  </si>
  <si>
    <t>PROS ATTY-HON</t>
  </si>
  <si>
    <t>OMBUD. ASSAULT CASE</t>
  </si>
  <si>
    <t>INVESTIGATIONS</t>
  </si>
  <si>
    <t>1990-082901</t>
  </si>
  <si>
    <t>RFO (90-082)</t>
  </si>
  <si>
    <t>POLICE RPTS/DRUG USE</t>
  </si>
  <si>
    <t>AT PRIV. BUSINESS</t>
  </si>
  <si>
    <t>1990-083101</t>
  </si>
  <si>
    <t>RFO (90-084)</t>
  </si>
  <si>
    <t>POLICE ACTIVITY FILES</t>
  </si>
  <si>
    <t>MOTOR VEHIC. ACCID. RPTS.</t>
  </si>
  <si>
    <t>1990-090401</t>
  </si>
  <si>
    <t>RFO (90-081)</t>
  </si>
  <si>
    <t>BRD OF MASSAGE</t>
  </si>
  <si>
    <t>VARIOUS DOCS.</t>
  </si>
  <si>
    <t>1990-090502</t>
  </si>
  <si>
    <t>PERSONAL INFO./DEPT OF WELFARE</t>
  </si>
  <si>
    <t>1990-090702</t>
  </si>
  <si>
    <t>RRS--CRIM. INVESTIGATIONS</t>
  </si>
  <si>
    <t>1990-091301</t>
  </si>
  <si>
    <t>RFO (90-087)</t>
  </si>
  <si>
    <t>RELEASE OF ID OF INFO REQUESTER</t>
  </si>
  <si>
    <t>1990-091101</t>
  </si>
  <si>
    <t>POLICY &amp; PROCEDURE STMTS</t>
  </si>
  <si>
    <t>D. PUB. SAFETY &amp; HPA</t>
  </si>
  <si>
    <t>1990-091401</t>
  </si>
  <si>
    <t>RFO (90-088)</t>
  </si>
  <si>
    <t>AG-OIP</t>
  </si>
  <si>
    <t>INTERP. 92F-42(11)(F)</t>
  </si>
  <si>
    <t>STMT IN RECORD</t>
  </si>
  <si>
    <t>1990-091402</t>
  </si>
  <si>
    <t>RFO (90-089)</t>
  </si>
  <si>
    <t>TENURE &amp; PROM. COMM.</t>
  </si>
  <si>
    <t>ID OF MEMBERS</t>
  </si>
  <si>
    <t>1990-091901</t>
  </si>
  <si>
    <t>RFO (90-091)</t>
  </si>
  <si>
    <t>APPRAISAL RPTS</t>
  </si>
  <si>
    <t>1990-092001</t>
  </si>
  <si>
    <t>RFO (90-090)</t>
  </si>
  <si>
    <t>PERS-K</t>
  </si>
  <si>
    <t>APPLICANT EVALS</t>
  </si>
  <si>
    <t>RECOMMENDATIONS</t>
  </si>
  <si>
    <t>1990-100101</t>
  </si>
  <si>
    <t>QUESTIONNAIRE RE ADMIN LAW JUDGE</t>
  </si>
  <si>
    <t>SYSTEM</t>
  </si>
  <si>
    <t>1990-100103</t>
  </si>
  <si>
    <t>RFO (90-093)</t>
  </si>
  <si>
    <t>CONSUMER CASE FILE</t>
  </si>
  <si>
    <t>1990-100104</t>
  </si>
  <si>
    <t>RFO (90-092)</t>
  </si>
  <si>
    <t>Ks AND BIDS</t>
  </si>
  <si>
    <t>SELEX SERVICE</t>
  </si>
  <si>
    <t>1990-100301</t>
  </si>
  <si>
    <t>RFO (90-094)</t>
  </si>
  <si>
    <t>PUBLIC GUARDIANSHIP</t>
  </si>
  <si>
    <t>WARDS</t>
  </si>
  <si>
    <t>1990-100401</t>
  </si>
  <si>
    <t>RFO (90-095)</t>
  </si>
  <si>
    <t>DOE-HSPLS</t>
  </si>
  <si>
    <t>PATRONS ID</t>
  </si>
  <si>
    <t>LOANS/FINES</t>
  </si>
  <si>
    <t>1990-101004</t>
  </si>
  <si>
    <t>OTHER</t>
  </si>
  <si>
    <t>REVIEW CRIM. HISTORY RULES</t>
  </si>
  <si>
    <t>ATTEND 10/19/90 MTG.</t>
  </si>
  <si>
    <t>1990-101101</t>
  </si>
  <si>
    <t>RFO (90-096)</t>
  </si>
  <si>
    <t>BOTTLED WATER</t>
  </si>
  <si>
    <t>NOVS, CORR., ETC.</t>
  </si>
  <si>
    <t>1990-101501</t>
  </si>
  <si>
    <t>RFO (90-097)</t>
  </si>
  <si>
    <t>BOND</t>
  </si>
  <si>
    <t>AIRPORT K</t>
  </si>
  <si>
    <t>1990-101801</t>
  </si>
  <si>
    <t>APPEAL</t>
  </si>
  <si>
    <t>CORRECTIONS Ps &amp; Ps</t>
  </si>
  <si>
    <t>1990-102301</t>
  </si>
  <si>
    <t>RFO (90-098)</t>
  </si>
  <si>
    <t>DLIR-HCRC</t>
  </si>
  <si>
    <t>HI CIVIL RTS COMMISSION</t>
  </si>
  <si>
    <t>PUBLIC MTG DOCUMENTS</t>
  </si>
  <si>
    <t>1990-102501</t>
  </si>
  <si>
    <t>RFO (90-099)</t>
  </si>
  <si>
    <t>CONSENT FORM TO REVIEW, OBTAIN,</t>
  </si>
  <si>
    <t>RELEASE INFO. -- JOBS PROGRAM</t>
  </si>
  <si>
    <t>1990-102601</t>
  </si>
  <si>
    <t>ACCESS TO CARE HOME FILE BY</t>
  </si>
  <si>
    <t>COUNSEL FOR ARCH OPERATOR</t>
  </si>
  <si>
    <t>1990-102602</t>
  </si>
  <si>
    <t>RFO (90-100)</t>
  </si>
  <si>
    <t>DOT-AIRPORTS</t>
  </si>
  <si>
    <t>CROSS REF RFO 90-91</t>
  </si>
  <si>
    <t>1990-103001</t>
  </si>
  <si>
    <t>RFO (90-101)</t>
  </si>
  <si>
    <t>ACCESS TO TESTS</t>
  </si>
  <si>
    <t>BRD OF ENG/ARCH</t>
  </si>
  <si>
    <t>1990-103002</t>
  </si>
  <si>
    <t>RFO (90-102)</t>
  </si>
  <si>
    <t>PRESS ACCESS TO INFO.</t>
  </si>
  <si>
    <t>PROCEDURES</t>
  </si>
  <si>
    <t>1990-110502</t>
  </si>
  <si>
    <t>RFO (90-103)</t>
  </si>
  <si>
    <t>INVESTIGATIVE RPT</t>
  </si>
  <si>
    <t>DOA, ANIMAL IND., INSPECT. BRANCH</t>
  </si>
  <si>
    <t>1990-111303</t>
  </si>
  <si>
    <t>RFO (90-105A)</t>
  </si>
  <si>
    <t>REAL PROPERTY MASTER FILE</t>
  </si>
  <si>
    <t>COMPUTER TAPE FORMAT</t>
  </si>
  <si>
    <t>1990-111304</t>
  </si>
  <si>
    <t>RFO (90-105B)</t>
  </si>
  <si>
    <t>FIN-M</t>
  </si>
  <si>
    <t>M</t>
  </si>
  <si>
    <t>1990-111305</t>
  </si>
  <si>
    <t>RFO (90-104)</t>
  </si>
  <si>
    <t>REFUNDING TRUST AGRMT &amp; REPORT</t>
  </si>
  <si>
    <t>SOH GEN. OBLIG. REFUNDING BONDS</t>
  </si>
  <si>
    <t>1990-111601</t>
  </si>
  <si>
    <t>POLICIES &amp; PROCEDURES</t>
  </si>
  <si>
    <t>1990-112801</t>
  </si>
  <si>
    <t>1990-120301</t>
  </si>
  <si>
    <t>RFO (90-106)</t>
  </si>
  <si>
    <t>NCARB=AGENCY?</t>
  </si>
  <si>
    <t>WIT. EXAM GRADING</t>
  </si>
  <si>
    <t>1990-120302</t>
  </si>
  <si>
    <t>MINISTRY OF CONSUMER &amp; COMMERCIAL</t>
  </si>
  <si>
    <t>RELATIONS, COPY OF UIPA</t>
  </si>
  <si>
    <t>1990-120601</t>
  </si>
  <si>
    <t>RFO (90-107)</t>
  </si>
  <si>
    <t>DISCLOSURE OF DRIVER LIC. INFO.</t>
  </si>
  <si>
    <t>LIABILITY</t>
  </si>
  <si>
    <t>1990-120602</t>
  </si>
  <si>
    <t>HOW TO REQUEST RECS</t>
  </si>
  <si>
    <t>GLs</t>
  </si>
  <si>
    <t>1990-121001</t>
  </si>
  <si>
    <t>REQUEST FOR COPY OF UIPA</t>
  </si>
  <si>
    <t>1990-121201</t>
  </si>
  <si>
    <t>RFO (90-108)</t>
  </si>
  <si>
    <t>MOLOKAI RANCH PARK</t>
  </si>
  <si>
    <t>1990-121202</t>
  </si>
  <si>
    <t>RFO (90-109)</t>
  </si>
  <si>
    <t>MAUI FACTORS CATTLE</t>
  </si>
  <si>
    <t>1990-121401</t>
  </si>
  <si>
    <t>RFO (90-110)</t>
  </si>
  <si>
    <t>EOA GRANT APPLIC.</t>
  </si>
  <si>
    <t>FIN. INFO.</t>
  </si>
  <si>
    <t>1990-121702</t>
  </si>
  <si>
    <t>RFO (90-111)</t>
  </si>
  <si>
    <t>RICO INVESTIGATIVE FILES</t>
  </si>
  <si>
    <t>1990-121801</t>
  </si>
  <si>
    <t>RFO (90-112)</t>
  </si>
  <si>
    <t>RULES PROC/STMT GEN'L POL.</t>
  </si>
  <si>
    <t>(SUNSHINE LAW)</t>
  </si>
  <si>
    <t>1990-122401</t>
  </si>
  <si>
    <t>RFO (90-113)</t>
  </si>
  <si>
    <t>DEAN'S MTG NOTES</t>
  </si>
  <si>
    <t>DISCL. TO PUBLIC</t>
  </si>
  <si>
    <t>1990-122801</t>
  </si>
  <si>
    <t>REFERRAL TO AG</t>
  </si>
  <si>
    <t>DLNR REGS</t>
  </si>
  <si>
    <t>1990-122403</t>
  </si>
  <si>
    <t>RFO (90-115)</t>
  </si>
  <si>
    <t>INVESTIGATION OF</t>
  </si>
  <si>
    <t>HAUNANI-KAY TRASK</t>
  </si>
  <si>
    <t>1991-010201</t>
  </si>
  <si>
    <t>UIPA/OIP INFO.</t>
  </si>
  <si>
    <t>1991-010301</t>
  </si>
  <si>
    <t>RFO (91-001)</t>
  </si>
  <si>
    <t>CORRECTIONS POLICIES</t>
  </si>
  <si>
    <t>1991-010701</t>
  </si>
  <si>
    <t>REQ FOR COPY OF OP.</t>
  </si>
  <si>
    <t>1991-010403</t>
  </si>
  <si>
    <t>SEX HARASS. CHARGES</t>
  </si>
  <si>
    <t>SCOPE OF TERM "EMPLOYEE"</t>
  </si>
  <si>
    <t>1991-010901</t>
  </si>
  <si>
    <t>RFO (91-002)</t>
  </si>
  <si>
    <t>SEX HARASS. CHARGES DISCLOSURE</t>
  </si>
  <si>
    <t>UNDER 2 SITUATIONS</t>
  </si>
  <si>
    <t>1991-010902</t>
  </si>
  <si>
    <t>RFO (91-003)</t>
  </si>
  <si>
    <t>GOV BRD/COMM.</t>
  </si>
  <si>
    <t>SUCC/UNSUCC APPL.</t>
  </si>
  <si>
    <t>1991-010903</t>
  </si>
  <si>
    <t>HANDICAPPED SITE SURVEY</t>
  </si>
  <si>
    <t>1991-012301</t>
  </si>
  <si>
    <t>COMM. ON PERSONS W/ DISABILITIES</t>
  </si>
  <si>
    <t>INFORMAL REVIEW OF DRAFT</t>
  </si>
  <si>
    <t>1991-012501</t>
  </si>
  <si>
    <t>ADDRESSES OF MISSING PERSONS</t>
  </si>
  <si>
    <t>1991-012502</t>
  </si>
  <si>
    <t>RFO (91-004)</t>
  </si>
  <si>
    <t>HPD SPECIAL DUTY PAY</t>
  </si>
  <si>
    <t>1991-013002</t>
  </si>
  <si>
    <t>ALLEGED BREACH OF CONFID. BY CPS</t>
  </si>
  <si>
    <t>1991-013101</t>
  </si>
  <si>
    <t>DOH-EOA</t>
  </si>
  <si>
    <t>DEV. OF ELDERCARE POLICY</t>
  </si>
  <si>
    <t>SAS</t>
  </si>
  <si>
    <t>1991-020101</t>
  </si>
  <si>
    <t>RFO (91-005)</t>
  </si>
  <si>
    <t>JIM DOOLEY ACCESS TO SMS RESEARCH</t>
  </si>
  <si>
    <t>RPT</t>
  </si>
  <si>
    <t>1991-020401</t>
  </si>
  <si>
    <t>RFO (91-006)</t>
  </si>
  <si>
    <t>SPACEPORT MASTER PLAN</t>
  </si>
  <si>
    <t>MISC. DOCS.</t>
  </si>
  <si>
    <t>1991-020402</t>
  </si>
  <si>
    <t>RFO (91-007)</t>
  </si>
  <si>
    <t>MISC. DOCS</t>
  </si>
  <si>
    <t>1991-020801</t>
  </si>
  <si>
    <t>RFO (91-008)</t>
  </si>
  <si>
    <t>UH-LAW</t>
  </si>
  <si>
    <t>ACCESS TO LTRS RE ACCRED</t>
  </si>
  <si>
    <t>OIP OP. LTR. REQUEST</t>
  </si>
  <si>
    <t>1991-012503</t>
  </si>
  <si>
    <t>INFO RE PRESENT/FORMER</t>
  </si>
  <si>
    <t>ACOS AT HALAWA</t>
  </si>
  <si>
    <t>1991-022001</t>
  </si>
  <si>
    <t>LTR OF APOLOGY</t>
  </si>
  <si>
    <t>1991-022002</t>
  </si>
  <si>
    <t>RULES REGS</t>
  </si>
  <si>
    <t>HAWAII PAROLING AUTHORITY</t>
  </si>
  <si>
    <t>1991-022003</t>
  </si>
  <si>
    <t>VITAL STATS</t>
  </si>
  <si>
    <t>AG LTR REVIEW</t>
  </si>
  <si>
    <t>1991-022102</t>
  </si>
  <si>
    <t>MTG</t>
  </si>
  <si>
    <t>RE ACCESS TO DHS RECORDS</t>
  </si>
  <si>
    <t>1991-022201</t>
  </si>
  <si>
    <t>RFO (91-009)</t>
  </si>
  <si>
    <t>CRIMINAL HISTORY RECORD INFORMATION</t>
  </si>
  <si>
    <t>CONFLICTS ?/CHP 846</t>
  </si>
  <si>
    <t>LMO</t>
  </si>
  <si>
    <t>1991-022502</t>
  </si>
  <si>
    <t>RFO (91-10A)</t>
  </si>
  <si>
    <t>FIN-K</t>
  </si>
  <si>
    <t>RPT TAPE REPRO</t>
  </si>
  <si>
    <t>1991-022503</t>
  </si>
  <si>
    <t>RFO (91-10B)</t>
  </si>
  <si>
    <t>FIN-H</t>
  </si>
  <si>
    <t>1991-020503</t>
  </si>
  <si>
    <t>RFO (91-012)</t>
  </si>
  <si>
    <t>CRIMINAL HISTORY RECORD INFO</t>
  </si>
  <si>
    <t>FROM FBI</t>
  </si>
  <si>
    <t>1991-012302</t>
  </si>
  <si>
    <t>RFO (91-011)</t>
  </si>
  <si>
    <t>COMM. ON DISABIL.</t>
  </si>
  <si>
    <t>DEFICIENCY REVIEWS</t>
  </si>
  <si>
    <t>1991-022506</t>
  </si>
  <si>
    <t>RFO (91-013)</t>
  </si>
  <si>
    <t>FAMILY &amp; ADULT SERVICES DIV.</t>
  </si>
  <si>
    <t>1991-022701</t>
  </si>
  <si>
    <t>RFO (91-014)</t>
  </si>
  <si>
    <t>NAMES OF INDIVIDUALS</t>
  </si>
  <si>
    <t>PARKING/TRAFFIC FINE AMOUNTS</t>
  </si>
  <si>
    <t>1991-022801</t>
  </si>
  <si>
    <t>(RFO 91-6 AND 91-7)</t>
  </si>
  <si>
    <t>1991-030101</t>
  </si>
  <si>
    <t>RFO (91-015)</t>
  </si>
  <si>
    <t>MASSAGE LIC. APPLS.</t>
  </si>
  <si>
    <t>1991-030401</t>
  </si>
  <si>
    <t>RFO (91-016)</t>
  </si>
  <si>
    <t>RFP PROPRIETARY INFO.</t>
  </si>
  <si>
    <t>1991-030402</t>
  </si>
  <si>
    <t>RFO (91-017)</t>
  </si>
  <si>
    <t>EMPLOYER RELEASE OF PATIENT MED</t>
  </si>
  <si>
    <t>INFO TO UPW</t>
  </si>
  <si>
    <t>1991-030403</t>
  </si>
  <si>
    <t>SEND INFO TO THIS PERSON</t>
  </si>
  <si>
    <t>RE PUBLIC RECORDS</t>
  </si>
  <si>
    <t>1991-030701</t>
  </si>
  <si>
    <t>RFO (91-018)</t>
  </si>
  <si>
    <t>BID AMOUNT, CO. AWARDED TO,</t>
  </si>
  <si>
    <t>BID REQUIREMENTS</t>
  </si>
  <si>
    <t>1991-030801</t>
  </si>
  <si>
    <t>RFO (91-019)</t>
  </si>
  <si>
    <t>GOV'S SURVEY</t>
  </si>
  <si>
    <t>1991-030802</t>
  </si>
  <si>
    <t>RFO (91-020)</t>
  </si>
  <si>
    <t>LEG-ETHICS</t>
  </si>
  <si>
    <t>LOBBYISTS</t>
  </si>
  <si>
    <t>ELEC. MAIL. LIST</t>
  </si>
  <si>
    <t>1991-030803</t>
  </si>
  <si>
    <t>RFO (91-021)</t>
  </si>
  <si>
    <t>DOH IMMIGRANT INFO.</t>
  </si>
  <si>
    <t>SHARING</t>
  </si>
  <si>
    <t>1991-031302</t>
  </si>
  <si>
    <t>DAGS</t>
  </si>
  <si>
    <t>ESCHEATED WARRANTS</t>
  </si>
  <si>
    <t>1991-031401</t>
  </si>
  <si>
    <t>PAROLE POLICIES</t>
  </si>
  <si>
    <t>RECS RPT Q</t>
  </si>
  <si>
    <t>1991-031402</t>
  </si>
  <si>
    <t>RFO (91-023)</t>
  </si>
  <si>
    <t>PAROLING AUTHORITY</t>
  </si>
  <si>
    <t>FIREARM'S APPLIC.</t>
  </si>
  <si>
    <t>1991-031501</t>
  </si>
  <si>
    <t>RFO (91-022)</t>
  </si>
  <si>
    <t>HCD-HON</t>
  </si>
  <si>
    <t>LOW INCOME HOUSING</t>
  </si>
  <si>
    <t>WAITING LIST</t>
  </si>
  <si>
    <t>1991-031801</t>
  </si>
  <si>
    <t>EEOC CHARGE</t>
  </si>
  <si>
    <t>SETTLEMENT AGRMT</t>
  </si>
  <si>
    <t>1991-031901</t>
  </si>
  <si>
    <t>RFO (91-024)</t>
  </si>
  <si>
    <t>CORP CNSL-K</t>
  </si>
  <si>
    <t>EX PARTE MOTION</t>
  </si>
  <si>
    <t>FOR POLICE RECS</t>
  </si>
  <si>
    <t>1991-032101</t>
  </si>
  <si>
    <t>RECOURSE FOR CONFID. SOURCE</t>
  </si>
  <si>
    <t>IF EXPOSED UNDER PRIVACY LAW</t>
  </si>
  <si>
    <t>1991-032201</t>
  </si>
  <si>
    <t>POLICEC- HON</t>
  </si>
  <si>
    <t>POLICE MISCONDUCT COMPLAINTS</t>
  </si>
  <si>
    <t>1991-032202</t>
  </si>
  <si>
    <t>UIPA (G)</t>
  </si>
  <si>
    <t>1991-032203</t>
  </si>
  <si>
    <t>1991-032701</t>
  </si>
  <si>
    <t>RFO (91-025)</t>
  </si>
  <si>
    <t>FUNDED PROPOSALS FOR SERVICE K</t>
  </si>
  <si>
    <t>1991-032802</t>
  </si>
  <si>
    <t>CRITERIA/HRS 353-64</t>
  </si>
  <si>
    <t>1991-040101</t>
  </si>
  <si>
    <t>RFO (91-027)</t>
  </si>
  <si>
    <t>MASSAGE APPLIC.</t>
  </si>
  <si>
    <t>FURTHER Qs</t>
  </si>
  <si>
    <t>1991-040102</t>
  </si>
  <si>
    <t>RFO (91-028)</t>
  </si>
  <si>
    <t>1991-040201</t>
  </si>
  <si>
    <t>RFO (91-029)</t>
  </si>
  <si>
    <t>DOT PERFORM. BOND</t>
  </si>
  <si>
    <t>AIRPORT CONCESSIONS</t>
  </si>
  <si>
    <t>1991-040301</t>
  </si>
  <si>
    <t>RFO (91-030)</t>
  </si>
  <si>
    <t>MOTOR VEH. REG. RECORDS</t>
  </si>
  <si>
    <t>FOR INVESTIG. PURPOSES</t>
  </si>
  <si>
    <t>1991-040401</t>
  </si>
  <si>
    <t>RFO (91-026)</t>
  </si>
  <si>
    <t>AG-HCJDC</t>
  </si>
  <si>
    <t>ARREST REC EXPUNGEMENT</t>
  </si>
  <si>
    <t>CRIMINAL HIST REC</t>
  </si>
  <si>
    <t>1991-040501</t>
  </si>
  <si>
    <t>STATUS OF HB 1019</t>
  </si>
  <si>
    <t>NEWS MEDIA &amp; THE LAW ISSUE</t>
  </si>
  <si>
    <t>1991-041101</t>
  </si>
  <si>
    <t>RFO (91-031)</t>
  </si>
  <si>
    <t>MASSAGE LICS</t>
  </si>
  <si>
    <t>CLARIFICATION</t>
  </si>
  <si>
    <t>1991-041102</t>
  </si>
  <si>
    <t>RFO (91-032)</t>
  </si>
  <si>
    <t>HPA POLICIES &amp; PROCEDURES</t>
  </si>
  <si>
    <t>1991-041103</t>
  </si>
  <si>
    <t>RFO (91-033)</t>
  </si>
  <si>
    <t>HIC HANGAR TENANTS</t>
  </si>
  <si>
    <t>1991-041501</t>
  </si>
  <si>
    <t>RFO (91-034)</t>
  </si>
  <si>
    <t>H.B. 1059</t>
  </si>
  <si>
    <t>DISCL. CABINET MEMBERS</t>
  </si>
  <si>
    <t>1991-041503</t>
  </si>
  <si>
    <t>RFO (91-035)</t>
  </si>
  <si>
    <t>ARCH</t>
  </si>
  <si>
    <t>SEX ABUSE CONVICTION</t>
  </si>
  <si>
    <t>1991-041601</t>
  </si>
  <si>
    <t>RFO (91-036)</t>
  </si>
  <si>
    <t>EVAL FOR EPA</t>
  </si>
  <si>
    <t>INTER-AGEN. COMM.</t>
  </si>
  <si>
    <t>JEC</t>
  </si>
  <si>
    <t>1991-041701</t>
  </si>
  <si>
    <t>RFO (91-037)</t>
  </si>
  <si>
    <t>FIRE-HON</t>
  </si>
  <si>
    <t>INCIDENT RPTS</t>
  </si>
  <si>
    <t>HAZARDOUS SPILLS</t>
  </si>
  <si>
    <t>1991-041602</t>
  </si>
  <si>
    <t>RFO (91-038)</t>
  </si>
  <si>
    <t>INVESTIG. RPTS</t>
  </si>
  <si>
    <t>1991-042301</t>
  </si>
  <si>
    <t>GENL REC REQUEST</t>
  </si>
  <si>
    <t>1991-042401</t>
  </si>
  <si>
    <t>RFO (91-039)</t>
  </si>
  <si>
    <t>PROPOSALS-USCP</t>
  </si>
  <si>
    <t>EVALS OF PROPOSALS</t>
  </si>
  <si>
    <t>1991-050101</t>
  </si>
  <si>
    <t>RFO (91-040)</t>
  </si>
  <si>
    <t>HOME ADDRESSES</t>
  </si>
  <si>
    <t>ALOHA UNITED WAY</t>
  </si>
  <si>
    <t>1991-050301</t>
  </si>
  <si>
    <t>RFO (91-041)</t>
  </si>
  <si>
    <t>JURY LISTS</t>
  </si>
  <si>
    <t>CT ORDER DENIES INSPECTION</t>
  </si>
  <si>
    <t>1991-050601</t>
  </si>
  <si>
    <t>AUTO INS</t>
  </si>
  <si>
    <t>1991-050602</t>
  </si>
  <si>
    <t>CERTIFIED JURY LIST</t>
  </si>
  <si>
    <t>1991-050701</t>
  </si>
  <si>
    <t>RFO (91-042)</t>
  </si>
  <si>
    <t>JURY COMMISSION</t>
  </si>
  <si>
    <t>1991-050901</t>
  </si>
  <si>
    <t>RFO (91-044)</t>
  </si>
  <si>
    <t>SCIENTIFIC COLL. PERMITS</t>
  </si>
  <si>
    <t>1991-051301</t>
  </si>
  <si>
    <t>AUTO INS LAWS</t>
  </si>
  <si>
    <t>NO JURIS</t>
  </si>
  <si>
    <t>1991-051401</t>
  </si>
  <si>
    <t>COPY FEES</t>
  </si>
  <si>
    <t>POLICIES</t>
  </si>
  <si>
    <t>1991-051502</t>
  </si>
  <si>
    <t>POLICE-M</t>
  </si>
  <si>
    <t>WEAPONS INFO.</t>
  </si>
  <si>
    <t>1991-051601</t>
  </si>
  <si>
    <t>RFO (91-045)</t>
  </si>
  <si>
    <t>RFP RATING SHEET</t>
  </si>
  <si>
    <t>COMMENTS SECTION</t>
  </si>
  <si>
    <t>1991-051602</t>
  </si>
  <si>
    <t>RFO (91-046)</t>
  </si>
  <si>
    <t>RICO COMPLAINTS</t>
  </si>
  <si>
    <t>LICENSEE'S RESPONSE</t>
  </si>
  <si>
    <t>1991-052001</t>
  </si>
  <si>
    <t>EDUC FOR CONSUMER</t>
  </si>
  <si>
    <t>RE INS CO/DCCA</t>
  </si>
  <si>
    <t>1991-052101</t>
  </si>
  <si>
    <t>RFO (91-047)</t>
  </si>
  <si>
    <t>FIREARMS INVENTORY/STATS/COSTS</t>
  </si>
  <si>
    <t>MAUI COUNTY</t>
  </si>
  <si>
    <t>1991-052401</t>
  </si>
  <si>
    <t>RFO (91-048)</t>
  </si>
  <si>
    <t>INVENTORY OF TRAILS</t>
  </si>
  <si>
    <t>CONFID. OF SOME DATA</t>
  </si>
  <si>
    <t>1991-052901</t>
  </si>
  <si>
    <t>RFO (91-049)</t>
  </si>
  <si>
    <t>PRISON NEWSPAPER CLIP FILES</t>
  </si>
  <si>
    <t>RT TO COPY</t>
  </si>
  <si>
    <t>1991-053004</t>
  </si>
  <si>
    <t>RFO (91-050)</t>
  </si>
  <si>
    <t>ATTY DISCIP. PROCEEDINGS</t>
  </si>
  <si>
    <t>FINAL DISPOSITIONS</t>
  </si>
  <si>
    <t>1991-053104</t>
  </si>
  <si>
    <t>RFO (91-051)</t>
  </si>
  <si>
    <t>INMATE POLICY &amp; PROCS</t>
  </si>
  <si>
    <t>DENIAL TO COPY</t>
  </si>
  <si>
    <t>1991-060601</t>
  </si>
  <si>
    <t>RFO (91-056)</t>
  </si>
  <si>
    <t>ACCESS TO FILE</t>
  </si>
  <si>
    <t>RULES AND REGS</t>
  </si>
  <si>
    <t>1991-060602</t>
  </si>
  <si>
    <t>RFO (91-055)</t>
  </si>
  <si>
    <t>INVESTIGATIVE FILE</t>
  </si>
  <si>
    <t>DLIR, ENFORCE DIV</t>
  </si>
  <si>
    <t>1991-060603</t>
  </si>
  <si>
    <t>RFO (91-052)</t>
  </si>
  <si>
    <t>GOV-OSP</t>
  </si>
  <si>
    <t>MAPS, CENSUS INFO, ETC.</t>
  </si>
  <si>
    <t>ELECTRONIC DATA</t>
  </si>
  <si>
    <t>1991-060605</t>
  </si>
  <si>
    <t>RFO (91-053)</t>
  </si>
  <si>
    <t>FED FACIL AGMT</t>
  </si>
  <si>
    <t>DISCL CLAUSES</t>
  </si>
  <si>
    <t>1991-061901</t>
  </si>
  <si>
    <t>RFO (91-054)</t>
  </si>
  <si>
    <t>MANAGEMENT SURVEY</t>
  </si>
  <si>
    <t>1991-061903</t>
  </si>
  <si>
    <t>RFO (91-057)</t>
  </si>
  <si>
    <t>CONFIDENTIALITY AGMT</t>
  </si>
  <si>
    <t>KELLOGG SALES CO.</t>
  </si>
  <si>
    <t>1991-062101</t>
  </si>
  <si>
    <t>RFO (91-058)</t>
  </si>
  <si>
    <t>ATTY-CLIENT PRIV</t>
  </si>
  <si>
    <t>ENVIRON. COUNCIL</t>
  </si>
  <si>
    <t>1991-062401</t>
  </si>
  <si>
    <t>RFO (91-059)</t>
  </si>
  <si>
    <t>EVALUATIONS</t>
  </si>
  <si>
    <t>ENGINEERS, ARCH., ETC.</t>
  </si>
  <si>
    <t>1991-062701</t>
  </si>
  <si>
    <t>RFO (91-060)</t>
  </si>
  <si>
    <t>GOMOTO'S MEMO</t>
  </si>
  <si>
    <t>RE GOV APPTEES</t>
  </si>
  <si>
    <t>1991-062801</t>
  </si>
  <si>
    <t>RFO (91-062)</t>
  </si>
  <si>
    <t>ENFORCEMENT FILES</t>
  </si>
  <si>
    <t>DURING/AFTER INVESTIG.</t>
  </si>
  <si>
    <t>1991-070103</t>
  </si>
  <si>
    <t>RFO (91-063)</t>
  </si>
  <si>
    <t>BOARD AGENDA</t>
  </si>
  <si>
    <t>SUPPORT DOCUMENTS</t>
  </si>
  <si>
    <t>1991-070104</t>
  </si>
  <si>
    <t>MASSAGE THERAPIST</t>
  </si>
  <si>
    <t>Q RE STATUS</t>
  </si>
  <si>
    <t>1991-070201</t>
  </si>
  <si>
    <t>FURTHER CONCERNS</t>
  </si>
  <si>
    <t>1991-070202</t>
  </si>
  <si>
    <t>HHA</t>
  </si>
  <si>
    <t>1991-070301</t>
  </si>
  <si>
    <t>RFO (91-061)</t>
  </si>
  <si>
    <t>RELEASE OF NAMES</t>
  </si>
  <si>
    <t>FOOD EST. (BOTULISM)</t>
  </si>
  <si>
    <t>1991-070501</t>
  </si>
  <si>
    <t>RFO (91-065)</t>
  </si>
  <si>
    <t>OPERATING BUDGET ORD</t>
  </si>
  <si>
    <t>DETAILED BUDGET</t>
  </si>
  <si>
    <t>1991-070801</t>
  </si>
  <si>
    <t>RFO (91-079)</t>
  </si>
  <si>
    <t>ALL-GOV</t>
  </si>
  <si>
    <t>ACCESS TO FED STATS</t>
  </si>
  <si>
    <t>DOE (FED)</t>
  </si>
  <si>
    <t>1991-070901</t>
  </si>
  <si>
    <t>RFO (91-066)</t>
  </si>
  <si>
    <t>HI ST EMPLOY SERVICE</t>
  </si>
  <si>
    <t>DISCL TO CIV RTS COMM</t>
  </si>
  <si>
    <t>1991-070902</t>
  </si>
  <si>
    <t>MASSAGE APPS</t>
  </si>
  <si>
    <t>UPDATED OP LTR</t>
  </si>
  <si>
    <t>1991-071204</t>
  </si>
  <si>
    <t>APP RTS</t>
  </si>
  <si>
    <t>1991-071205</t>
  </si>
  <si>
    <t>CONTINUING</t>
  </si>
  <si>
    <t>1991-071206</t>
  </si>
  <si>
    <t>STATUS UPDATE</t>
  </si>
  <si>
    <t>AIRPORT APPRAISALS</t>
  </si>
  <si>
    <t>1991-071207</t>
  </si>
  <si>
    <t>RFO (91-067)</t>
  </si>
  <si>
    <t>COUNCIL-K</t>
  </si>
  <si>
    <t>OPERATING BUDGET</t>
  </si>
  <si>
    <t>1991-071601</t>
  </si>
  <si>
    <t>RFO (91-068)</t>
  </si>
  <si>
    <t>REAL EST. LICENSEES</t>
  </si>
  <si>
    <t>PAPER VS. TAPE</t>
  </si>
  <si>
    <t>1991-071703</t>
  </si>
  <si>
    <t>WORLEY</t>
  </si>
  <si>
    <t>1991-071801</t>
  </si>
  <si>
    <t>RFO (91-069)</t>
  </si>
  <si>
    <t>OHA</t>
  </si>
  <si>
    <t>STATE CONTRACTS</t>
  </si>
  <si>
    <t>JOHN VAN DYKE</t>
  </si>
  <si>
    <t>1991-071802</t>
  </si>
  <si>
    <t>MORE COMPLAINTS</t>
  </si>
  <si>
    <t>1991-072202</t>
  </si>
  <si>
    <t>LEG-OMBUD</t>
  </si>
  <si>
    <t>NO ACTION TAKEN</t>
  </si>
  <si>
    <t>1991-072203</t>
  </si>
  <si>
    <t>RFO (91-071)</t>
  </si>
  <si>
    <t>NEWSPAPERS</t>
  </si>
  <si>
    <t>1991-072204</t>
  </si>
  <si>
    <t>RFO (91-070)</t>
  </si>
  <si>
    <t>1991-072301</t>
  </si>
  <si>
    <t>RFO (91-072)</t>
  </si>
  <si>
    <t>MEDEX-HON</t>
  </si>
  <si>
    <t>AUTOPSY RPT</t>
  </si>
  <si>
    <t>DISCL TO ADMINISTRATOR</t>
  </si>
  <si>
    <t>1991-072401</t>
  </si>
  <si>
    <t>CIV RTS COMM</t>
  </si>
  <si>
    <t>OP LTR STATUS</t>
  </si>
  <si>
    <t>1991-073001</t>
  </si>
  <si>
    <t>RFO (91-074)</t>
  </si>
  <si>
    <t>CRIM INVEST RPT</t>
  </si>
  <si>
    <t>SHARING W/ ERS</t>
  </si>
  <si>
    <t>1991-073002</t>
  </si>
  <si>
    <t>RFO (91-073)</t>
  </si>
  <si>
    <t>HHA CONTRACT</t>
  </si>
  <si>
    <t>DISCL DENIED</t>
  </si>
  <si>
    <t>1991-073102</t>
  </si>
  <si>
    <t>RFO (91-076)</t>
  </si>
  <si>
    <t>ANTITRUST INVESTIG</t>
  </si>
  <si>
    <t>SHARED BTWN STATES</t>
  </si>
  <si>
    <t>1991-080101</t>
  </si>
  <si>
    <t>RFO (91-075)</t>
  </si>
  <si>
    <t>B&amp;F-HPEHF</t>
  </si>
  <si>
    <t>HEALTH FUND TAPES</t>
  </si>
  <si>
    <t>AGENCY SHARING</t>
  </si>
  <si>
    <t>1991-080202</t>
  </si>
  <si>
    <t>RFO (91-077)</t>
  </si>
  <si>
    <t>SEXUAL HARASSMENT CASE</t>
  </si>
  <si>
    <t>HPERB</t>
  </si>
  <si>
    <t>1991-080102</t>
  </si>
  <si>
    <t>RFO (91-078)</t>
  </si>
  <si>
    <t>ELECTRONIC RECS</t>
  </si>
  <si>
    <t>GEO INFO SYS</t>
  </si>
  <si>
    <t>1991-080203</t>
  </si>
  <si>
    <t>RFO (91-080)</t>
  </si>
  <si>
    <t>NEWSPAPER</t>
  </si>
  <si>
    <t>1991-080601</t>
  </si>
  <si>
    <t>RFO (91-081)</t>
  </si>
  <si>
    <t>CRIM INVESTIG FILES</t>
  </si>
  <si>
    <t>DISCL TO CORP CNSL</t>
  </si>
  <si>
    <t>1991-080903</t>
  </si>
  <si>
    <t>RFO (91-082)</t>
  </si>
  <si>
    <t>OLG-CSC</t>
  </si>
  <si>
    <t>CAMPAIGN SPEND OP LTRS FROM AG</t>
  </si>
  <si>
    <t>1991-081201</t>
  </si>
  <si>
    <t>INS COVERAGE FOR DRS</t>
  </si>
  <si>
    <t>1991-081501</t>
  </si>
  <si>
    <t>COMPLAINT RE OPEN MTG VIOLATION</t>
  </si>
  <si>
    <t>HI PAROLE BRD</t>
  </si>
  <si>
    <t>1991-081502</t>
  </si>
  <si>
    <t>BWS-HON</t>
  </si>
  <si>
    <t>TRAINING RE RRS</t>
  </si>
  <si>
    <t>RWN</t>
  </si>
  <si>
    <t>1991-082101</t>
  </si>
  <si>
    <t>RFO (91-084)</t>
  </si>
  <si>
    <t>MASSAGE THERAPIST REVISITED</t>
  </si>
  <si>
    <t>REPEAL OF 91-1</t>
  </si>
  <si>
    <t>1991-082301</t>
  </si>
  <si>
    <t>RFO (91-085)</t>
  </si>
  <si>
    <t>DESTRUCTION OF DOH FILES</t>
  </si>
  <si>
    <t>CHILDS IQ TESTS, ETC.</t>
  </si>
  <si>
    <t>1991-082303</t>
  </si>
  <si>
    <t>B. WORLEY</t>
  </si>
  <si>
    <t>1991-082601</t>
  </si>
  <si>
    <t>ALL</t>
  </si>
  <si>
    <t>LTR TO ALL AGENCIES</t>
  </si>
  <si>
    <t>CONNECTIVITY INSTRUCTIONS</t>
  </si>
  <si>
    <t>1991-082801</t>
  </si>
  <si>
    <t>RFO (91-086)</t>
  </si>
  <si>
    <t>PSD POLICIES/PROC</t>
  </si>
  <si>
    <t>ACCESS BY INMATE</t>
  </si>
  <si>
    <t>1991-083001</t>
  </si>
  <si>
    <t>1991-090301</t>
  </si>
  <si>
    <t>RFO (91-087)</t>
  </si>
  <si>
    <t>CERTIFIED PAYROLL REC</t>
  </si>
  <si>
    <t>DOT CONTRACTOR</t>
  </si>
  <si>
    <t>1991-090501</t>
  </si>
  <si>
    <t>RFO (91-088)</t>
  </si>
  <si>
    <t>HIV STATUS LEGIS</t>
  </si>
  <si>
    <t>ARCHS</t>
  </si>
  <si>
    <t>1991-090903</t>
  </si>
  <si>
    <t>RFO (91-089)</t>
  </si>
  <si>
    <t>ELECTION DIST. REAPPORTIONMENT</t>
  </si>
  <si>
    <t>MAGNETIC TAPES (CR 91-91)</t>
  </si>
  <si>
    <t>1991-091001</t>
  </si>
  <si>
    <t>RFO (91-090)</t>
  </si>
  <si>
    <t>PSD POLICIES &amp; PROC.</t>
  </si>
  <si>
    <t>PSD INDEXING</t>
  </si>
  <si>
    <t>1991-091201</t>
  </si>
  <si>
    <t>RFO (91-091)</t>
  </si>
  <si>
    <t>MAGNETIC TAPES (CR 91-89)</t>
  </si>
  <si>
    <t>1991-091601</t>
  </si>
  <si>
    <t>RFO (91-092)</t>
  </si>
  <si>
    <t>SPACEPORT PROPOSALS</t>
  </si>
  <si>
    <t>1991-091701</t>
  </si>
  <si>
    <t>RFO (91-093)</t>
  </si>
  <si>
    <t>SPACEPORT</t>
  </si>
  <si>
    <t>PATSY MINK</t>
  </si>
  <si>
    <t>1991-091702</t>
  </si>
  <si>
    <t>STATUS INQUIRY</t>
  </si>
  <si>
    <t>IMMIGRANTS</t>
  </si>
  <si>
    <t>1991-091801</t>
  </si>
  <si>
    <t>RFO (91-094)</t>
  </si>
  <si>
    <t>MED. EXAMINERS RECORDS</t>
  </si>
  <si>
    <t>TOXICOLOGY SCREEN</t>
  </si>
  <si>
    <t>1991-091802</t>
  </si>
  <si>
    <t>RFO (91-095)</t>
  </si>
  <si>
    <t>UH SALARIES</t>
  </si>
  <si>
    <t>ATHLETIC DEPT.</t>
  </si>
  <si>
    <t>1989-121301</t>
  </si>
  <si>
    <t>RFO (89-097)</t>
  </si>
  <si>
    <t>DRAFT APPRENTICESHIP PLANS</t>
  </si>
  <si>
    <t>1989-090901</t>
  </si>
  <si>
    <t>RFO (89-005)</t>
  </si>
  <si>
    <t>OLG</t>
  </si>
  <si>
    <t>VOTER REGISTRATION</t>
  </si>
  <si>
    <t>1991-092301</t>
  </si>
  <si>
    <t>KAUAI CTY OPERATING BUDGET</t>
  </si>
  <si>
    <t>1991-100301</t>
  </si>
  <si>
    <t>RFO (91-096)</t>
  </si>
  <si>
    <t>UNION GRIEVANCE</t>
  </si>
  <si>
    <t>1991-100302</t>
  </si>
  <si>
    <t>RFO (91-097)</t>
  </si>
  <si>
    <t>HANSEN'S DISEASE RECORDS</t>
  </si>
  <si>
    <t>HOW/WHO TO RELEASE TO</t>
  </si>
  <si>
    <t>1991-100402</t>
  </si>
  <si>
    <t>KAUAI BUDGET</t>
  </si>
  <si>
    <t>EES SALARIES</t>
  </si>
  <si>
    <t>1991-100403</t>
  </si>
  <si>
    <t>DOE RULES</t>
  </si>
  <si>
    <t>CRIM HIS RECS</t>
  </si>
  <si>
    <t>1991-100701</t>
  </si>
  <si>
    <t>RFO (91-098)</t>
  </si>
  <si>
    <t>UNION APPEAL</t>
  </si>
  <si>
    <t>APPLICANT SCORES, ETC.</t>
  </si>
  <si>
    <t>1991-092501</t>
  </si>
  <si>
    <t>RFO (91-099)</t>
  </si>
  <si>
    <t>DBEDT POLICY</t>
  </si>
  <si>
    <t>MEDIA RELATIONS</t>
  </si>
  <si>
    <t>1991-101002</t>
  </si>
  <si>
    <t>REVIEW DOT MEMO</t>
  </si>
  <si>
    <t>RE CONTRACT DOCS</t>
  </si>
  <si>
    <t>1991-101101</t>
  </si>
  <si>
    <t>RRS</t>
  </si>
  <si>
    <t>MULTIPLE STATUS QS</t>
  </si>
  <si>
    <t>1991-101601</t>
  </si>
  <si>
    <t>RFO (91-100)</t>
  </si>
  <si>
    <t>DEF/ OF GOV'T AGENCY</t>
  </si>
  <si>
    <t>UH FACULTY SENATES</t>
  </si>
  <si>
    <t>SML/MKH</t>
  </si>
  <si>
    <t>1991-101602</t>
  </si>
  <si>
    <t>RFO (91-104)</t>
  </si>
  <si>
    <t>POLICE</t>
  </si>
  <si>
    <t>POLICE OFFICER'S PERSONAL RECS</t>
  </si>
  <si>
    <t>INVESTIGATION RECS</t>
  </si>
  <si>
    <t>MKH</t>
  </si>
  <si>
    <t>1991-101701</t>
  </si>
  <si>
    <t>RFO (91-101)</t>
  </si>
  <si>
    <t>HCJDC CONVICTION INFO</t>
  </si>
  <si>
    <t>INS</t>
  </si>
  <si>
    <t>1991-101702</t>
  </si>
  <si>
    <t>RFO (91-102)</t>
  </si>
  <si>
    <t>TRANS-HON</t>
  </si>
  <si>
    <t>RAPID TRANSIT DOCS</t>
  </si>
  <si>
    <t>C&amp;C HONO/ADVERTISER</t>
  </si>
  <si>
    <t>1991-101704</t>
  </si>
  <si>
    <t>RFO (91-103)</t>
  </si>
  <si>
    <t>TRADE SECRET/PROP. INFO</t>
  </si>
  <si>
    <t>ALPHA BIO PROCESS</t>
  </si>
  <si>
    <t>1991-102201</t>
  </si>
  <si>
    <t>RFO (91-123)</t>
  </si>
  <si>
    <t>CORRECTIONS</t>
  </si>
  <si>
    <t>INTERIM RECLASSIF INSTRUMENT</t>
  </si>
  <si>
    <t>1991-102202</t>
  </si>
  <si>
    <t>RFO (91-105)</t>
  </si>
  <si>
    <t>UH FOUNDATION</t>
  </si>
  <si>
    <t>CONTRIBUTION RECORDS</t>
  </si>
  <si>
    <t>1991-102203</t>
  </si>
  <si>
    <t>INTERIM RESPONSE TO GERRY KEIR</t>
  </si>
  <si>
    <t>RAPID TRANSIT</t>
  </si>
  <si>
    <t>1991-102301</t>
  </si>
  <si>
    <t>RFO (91-106)</t>
  </si>
  <si>
    <t>AG CSEA</t>
  </si>
  <si>
    <t>SEC. 576D-12 DISCL. TO AGENCIES</t>
  </si>
  <si>
    <t>WRITTEN/AUTHORIZATION</t>
  </si>
  <si>
    <t>1991-102302</t>
  </si>
  <si>
    <t>RFO (91-107)</t>
  </si>
  <si>
    <t>SEC.92F-16 SCOPE</t>
  </si>
  <si>
    <t>IMMUNITY FROM LIABILITY</t>
  </si>
  <si>
    <t>1991-102303</t>
  </si>
  <si>
    <t>RFO (91-108)</t>
  </si>
  <si>
    <t>SEXUAL HARASSMENT</t>
  </si>
  <si>
    <t>NAMES OF UH NON-UNION EES.</t>
  </si>
  <si>
    <t>1991-102304</t>
  </si>
  <si>
    <t>ATDC REVIEW AOR MEMO</t>
  </si>
  <si>
    <t>MASTER LEASE</t>
  </si>
  <si>
    <t>1991-102501</t>
  </si>
  <si>
    <t>RFO (91-109)</t>
  </si>
  <si>
    <t>COMPLAINT RE NON-DISCLOSURE BY AG</t>
  </si>
  <si>
    <t>RE LALAMILO WELL D FILE</t>
  </si>
  <si>
    <t>1991-102803</t>
  </si>
  <si>
    <t>SALARY RECOMMENDATIONS</t>
  </si>
  <si>
    <t>FOR ATTORNEYS</t>
  </si>
  <si>
    <t>1991-102901</t>
  </si>
  <si>
    <t>STATUS OF EAST-WEST CTR</t>
  </si>
  <si>
    <t>IS IT AN AGENCY</t>
  </si>
  <si>
    <t>1991-103001</t>
  </si>
  <si>
    <t>ADMIN</t>
  </si>
  <si>
    <t>GOV'S STATE SERVICE DIRECTORY</t>
  </si>
  <si>
    <t>1991-103002</t>
  </si>
  <si>
    <t>RFO (91-110)</t>
  </si>
  <si>
    <t>UH PRES. USE OF</t>
  </si>
  <si>
    <t>UH FOUNDATION MONIES</t>
  </si>
  <si>
    <t>1991-103003</t>
  </si>
  <si>
    <t>RFO (91-111)</t>
  </si>
  <si>
    <t>AG -CSEA</t>
  </si>
  <si>
    <t>CSEA</t>
  </si>
  <si>
    <t>PUBLISH OBLIGORS' NAMES</t>
  </si>
  <si>
    <t>1991-103101</t>
  </si>
  <si>
    <t>RFO (91-115)</t>
  </si>
  <si>
    <t>SEQUEL TO DLNR REQUEST</t>
  </si>
  <si>
    <t>UNION/GRIEVANCE</t>
  </si>
  <si>
    <t>1991-110101</t>
  </si>
  <si>
    <t>RFO (91-112)</t>
  </si>
  <si>
    <t>DEPT. CORRECTIONS</t>
  </si>
  <si>
    <t>1991-110103</t>
  </si>
  <si>
    <t>RFO (91-113)</t>
  </si>
  <si>
    <t>POLICE GRIEVANCE</t>
  </si>
  <si>
    <t>OIP JURIS?</t>
  </si>
  <si>
    <t>1991-110401</t>
  </si>
  <si>
    <t>RFO (91-114)</t>
  </si>
  <si>
    <t>HECO CONTRACT</t>
  </si>
  <si>
    <t>CONFIDENTIALITY CLAUSE</t>
  </si>
  <si>
    <t>1991-111202</t>
  </si>
  <si>
    <t>RFO (91-116)</t>
  </si>
  <si>
    <t>COUNCIL-H</t>
  </si>
  <si>
    <t>HAWAII COUNTY COUNCIL</t>
  </si>
  <si>
    <t>RFP-FIN DATA</t>
  </si>
  <si>
    <t>1991-111201</t>
  </si>
  <si>
    <t>UH HLRB CASE</t>
  </si>
  <si>
    <t>REVIEW STMT FACTS</t>
  </si>
  <si>
    <t>1991-111301</t>
  </si>
  <si>
    <t>RFO (91-117)</t>
  </si>
  <si>
    <t>NAMES RE CAMPUS CRIMES</t>
  </si>
  <si>
    <t>FERPA</t>
  </si>
  <si>
    <t>1991-111901</t>
  </si>
  <si>
    <t>AG OPINION</t>
  </si>
  <si>
    <t>INMATE MEDICAL SERVICES</t>
  </si>
  <si>
    <t>1991-112002</t>
  </si>
  <si>
    <t>RFO (91-118)</t>
  </si>
  <si>
    <t>INDIVIDUAL ACCESS</t>
  </si>
  <si>
    <t>INVESTIGATIVE RECORD</t>
  </si>
  <si>
    <t>1991-112101</t>
  </si>
  <si>
    <t>RFO (91-119)</t>
  </si>
  <si>
    <t>DPS</t>
  </si>
  <si>
    <t>AFFIRMATIVE ACTION PLANS</t>
  </si>
  <si>
    <t>1991-112201</t>
  </si>
  <si>
    <t>UNSOLVED MURDER</t>
  </si>
  <si>
    <t>EXPLAIN PROCESS</t>
  </si>
  <si>
    <t>1991-120501</t>
  </si>
  <si>
    <t>RFO (91-121)</t>
  </si>
  <si>
    <t>CBI</t>
  </si>
  <si>
    <t>MATSON</t>
  </si>
  <si>
    <t>1991-121102</t>
  </si>
  <si>
    <t>RFO (91-122)</t>
  </si>
  <si>
    <t>KALAHEO HS COACH</t>
  </si>
  <si>
    <t>1991-121202</t>
  </si>
  <si>
    <t>RFO (91-127)</t>
  </si>
  <si>
    <t>INVESTIGATIONS BY PSD</t>
  </si>
  <si>
    <t>ACCESS TO INVEST. RPT.</t>
  </si>
  <si>
    <t>1991-121701</t>
  </si>
  <si>
    <t>LASSITER/DLNR</t>
  </si>
  <si>
    <t>AG INVEST. RPT.</t>
  </si>
  <si>
    <t>1991-121704</t>
  </si>
  <si>
    <t>CR RFO 91-119</t>
  </si>
  <si>
    <t>KINGSLEY, JOHN</t>
  </si>
  <si>
    <t>1991-121901</t>
  </si>
  <si>
    <t>RFO (91-120)</t>
  </si>
  <si>
    <t>RICO FILES</t>
  </si>
  <si>
    <t>RESIDENT'S ANS. TO COMPLAINT</t>
  </si>
  <si>
    <t>RJP, HRJ/JEC/GLF</t>
  </si>
  <si>
    <t>1991-121902</t>
  </si>
  <si>
    <t>SOH</t>
  </si>
  <si>
    <t>MASTER THESIS</t>
  </si>
  <si>
    <t>RECS REQUEST TO GOV.</t>
  </si>
  <si>
    <t>1991-122001</t>
  </si>
  <si>
    <t>RFO (91-064)</t>
  </si>
  <si>
    <t>DOH DOC LOG</t>
  </si>
  <si>
    <t>RE K AWARD</t>
  </si>
  <si>
    <t>1991-122002</t>
  </si>
  <si>
    <t>RFO (91-126)</t>
  </si>
  <si>
    <t>PRES. SIMONE'S RECEIPTS</t>
  </si>
  <si>
    <t>1991-122602</t>
  </si>
  <si>
    <t>RFO (91-124)</t>
  </si>
  <si>
    <t>PSD SOC</t>
  </si>
  <si>
    <t>FORMERLY PUBLIC DOC</t>
  </si>
  <si>
    <t>1991-123001</t>
  </si>
  <si>
    <t>RFO (91-125)</t>
  </si>
  <si>
    <t>REAL PROP ASSESSMENT</t>
  </si>
  <si>
    <t>FOREIGN INVESTORS</t>
  </si>
  <si>
    <t>LMO/JMLC</t>
  </si>
  <si>
    <t>1992-010201</t>
  </si>
  <si>
    <t>CIV SERV-H</t>
  </si>
  <si>
    <t>HAWAII COUNTY</t>
  </si>
  <si>
    <t>20 RR DISKS</t>
  </si>
  <si>
    <t>1992-010301</t>
  </si>
  <si>
    <t>RFO (92-001)</t>
  </si>
  <si>
    <t>SEIDER PARCELS IN HANA</t>
  </si>
  <si>
    <t>1992-010701</t>
  </si>
  <si>
    <t>KINGSLEY</t>
  </si>
  <si>
    <t>OIP/PSD COMPLAINT</t>
  </si>
  <si>
    <t>1992-010702</t>
  </si>
  <si>
    <t>CLARIFY OIP OP LTR NO. 91-29</t>
  </si>
  <si>
    <t>1992-011501</t>
  </si>
  <si>
    <t>RFO (92-002)</t>
  </si>
  <si>
    <t>SECTION 378-6</t>
  </si>
  <si>
    <t>MEMO TO AGENCIES/ERD</t>
  </si>
  <si>
    <t>1992-011502</t>
  </si>
  <si>
    <t>RFO (92-003)</t>
  </si>
  <si>
    <t>TORT CLAIM</t>
  </si>
  <si>
    <t>DAGS INVEST. FILE</t>
  </si>
  <si>
    <t>1992-012101</t>
  </si>
  <si>
    <t>RFO (92-004)</t>
  </si>
  <si>
    <t>CRIMINAL INVESTIG REPORT</t>
  </si>
  <si>
    <t>HOME RULE</t>
  </si>
  <si>
    <t>1992-012102</t>
  </si>
  <si>
    <t>RICO REPLY (CR RFO 91-120)</t>
  </si>
  <si>
    <t>1992-012103</t>
  </si>
  <si>
    <t>GOVT LAWYERS</t>
  </si>
  <si>
    <t>PRO BONO</t>
  </si>
  <si>
    <t>1992-012401</t>
  </si>
  <si>
    <t>RFO (92-005)</t>
  </si>
  <si>
    <t>CONFID AGREEMENT</t>
  </si>
  <si>
    <t>1992-012806</t>
  </si>
  <si>
    <t>SURVEY OF DAGS SERVICES</t>
  </si>
  <si>
    <t>1992-012901</t>
  </si>
  <si>
    <t>ADULT PROBATION RECORDS</t>
  </si>
  <si>
    <t>SECTION 13(4)</t>
  </si>
  <si>
    <t>1992-012902</t>
  </si>
  <si>
    <t>1992-013007</t>
  </si>
  <si>
    <t>RFO (92-019)</t>
  </si>
  <si>
    <t>DOD</t>
  </si>
  <si>
    <t>MAILING LISTS</t>
  </si>
  <si>
    <t>INTER-AGENCY DISCLOSURE</t>
  </si>
  <si>
    <t>1992-013101</t>
  </si>
  <si>
    <t>RFO (92-006)</t>
  </si>
  <si>
    <t>INTER-AGENCY CORRESPONDENCE</t>
  </si>
  <si>
    <t>1992-020501</t>
  </si>
  <si>
    <t>CR RFO (91-117)</t>
  </si>
  <si>
    <t>CAMPUS CRIMES/FERPA</t>
  </si>
  <si>
    <t>1992-021101</t>
  </si>
  <si>
    <t>RFO (92-007)</t>
  </si>
  <si>
    <t>PART III</t>
  </si>
  <si>
    <t>RE KALAHEO COACH</t>
  </si>
  <si>
    <t>1992-021201</t>
  </si>
  <si>
    <t>RFO (92-008)</t>
  </si>
  <si>
    <t>1992-021203</t>
  </si>
  <si>
    <t>RFO (92-009)</t>
  </si>
  <si>
    <t>LIST OF INSUREDS</t>
  </si>
  <si>
    <t>REGISTER (CR RFO 92-16)</t>
  </si>
  <si>
    <t>1992-021301</t>
  </si>
  <si>
    <t>RFO (92-010)</t>
  </si>
  <si>
    <t>SECTION 92F-19</t>
  </si>
  <si>
    <t>1992-021401</t>
  </si>
  <si>
    <t>RFO (92-011)</t>
  </si>
  <si>
    <t>1992-022402</t>
  </si>
  <si>
    <t>SB 2551, SD 1 (SSC4 1629)</t>
  </si>
  <si>
    <t>AMEND SECTION 350-2</t>
  </si>
  <si>
    <t>1992-022501</t>
  </si>
  <si>
    <t>CORP-CNSL-K</t>
  </si>
  <si>
    <t>KAUAI TRAINING</t>
  </si>
  <si>
    <t>RE RRS</t>
  </si>
  <si>
    <t>1992-022802</t>
  </si>
  <si>
    <t>RFO (92-012)</t>
  </si>
  <si>
    <t>DENIAL OF ACCESS TO DOTX RECORDS</t>
  </si>
  <si>
    <t>DOTX ADVISORY LTRS</t>
  </si>
  <si>
    <t>1992-022803</t>
  </si>
  <si>
    <t>RFO (92-014)</t>
  </si>
  <si>
    <t>HAWAII VISITORS BUREAU</t>
  </si>
  <si>
    <t>1992-022804</t>
  </si>
  <si>
    <t>RFO (92-013)</t>
  </si>
  <si>
    <t>PUBLIC ACCESS TERMINAL</t>
  </si>
  <si>
    <t>CONVICTION DATA</t>
  </si>
  <si>
    <t>1992-030501</t>
  </si>
  <si>
    <t>RFO (92-015)</t>
  </si>
  <si>
    <t>ASST. CHIEF VACANCY</t>
  </si>
  <si>
    <t>DISCL OF INFO REQUEST BY HGEA</t>
  </si>
  <si>
    <t>1992-030502</t>
  </si>
  <si>
    <t>RFO (92-016)</t>
  </si>
  <si>
    <t>LIST OF INSURED</t>
  </si>
  <si>
    <t>REGISTERED (CR RFO 92-09)</t>
  </si>
  <si>
    <t>1992-031002</t>
  </si>
  <si>
    <t>LTR TO SENATE</t>
  </si>
  <si>
    <t>SUPPORTING CW'S NOM.</t>
  </si>
  <si>
    <t>1992-031102</t>
  </si>
  <si>
    <t>RFO (92-017)</t>
  </si>
  <si>
    <t>JUDICIAL SELECTION COMM. (LJL)</t>
  </si>
  <si>
    <t>INFO REQUEST RE NOMINEES, ETC.</t>
  </si>
  <si>
    <t>1992-031201</t>
  </si>
  <si>
    <t>RFO (92-018)</t>
  </si>
  <si>
    <t>REVIEW &amp; COMMENT (W/RWN)</t>
  </si>
  <si>
    <t>PROCEDURES RE RECS MGMT &amp; GOVT RECS</t>
  </si>
  <si>
    <t>1992-031701</t>
  </si>
  <si>
    <t>RFO (92-020)</t>
  </si>
  <si>
    <t>REVIEW &amp; COMMENT</t>
  </si>
  <si>
    <t>HGEA'S PRETRIAL STMT</t>
  </si>
  <si>
    <t>1992-031901</t>
  </si>
  <si>
    <t>RFO (92-021)</t>
  </si>
  <si>
    <t>APPRAISAL REPORT</t>
  </si>
  <si>
    <t>BY DOT</t>
  </si>
  <si>
    <t>1992-032001</t>
  </si>
  <si>
    <t>RFO (92-022)</t>
  </si>
  <si>
    <t>FIRE-H</t>
  </si>
  <si>
    <t>"911"/DISPATCH TAPES</t>
  </si>
  <si>
    <t>DANA IRELAND CASE</t>
  </si>
  <si>
    <t>1992-032301</t>
  </si>
  <si>
    <t>RFO (92-023)</t>
  </si>
  <si>
    <t>PERS-HON</t>
  </si>
  <si>
    <t>SPECIAL MASTER LIST</t>
  </si>
  <si>
    <t>DISCLOSURE OF "ALSO RANS"</t>
  </si>
  <si>
    <t>1992-032403</t>
  </si>
  <si>
    <t>LTR TO MICHAEL HARE</t>
  </si>
  <si>
    <t>INFO RE OIP/UIPA</t>
  </si>
  <si>
    <t>1992-032701</t>
  </si>
  <si>
    <t>RFO (92-024)</t>
  </si>
  <si>
    <t>HVB CONTRACT</t>
  </si>
  <si>
    <t>DEF GOV'T REC</t>
  </si>
  <si>
    <t>1992-033001</t>
  </si>
  <si>
    <t>RFO (92-025)</t>
  </si>
  <si>
    <t>AUDIO TAPE OF PUBLIC MTG</t>
  </si>
  <si>
    <t>VETERAN'S MEMORIALS</t>
  </si>
  <si>
    <t>1992-033102</t>
  </si>
  <si>
    <t>AMUSEMENT RIDE LAWS</t>
  </si>
  <si>
    <t>REDIRECT INQUIRY</t>
  </si>
  <si>
    <t>1992-033103</t>
  </si>
  <si>
    <t>LIT</t>
  </si>
  <si>
    <t>ALOHA TOWER DEVELOP.</t>
  </si>
  <si>
    <t>APP TO SUP. CT.</t>
  </si>
  <si>
    <t>1992-033105</t>
  </si>
  <si>
    <t>AG POLICY</t>
  </si>
  <si>
    <t>STANDARD CONSULTANT Ks</t>
  </si>
  <si>
    <t>1992-040102</t>
  </si>
  <si>
    <t>RFO (92-026)</t>
  </si>
  <si>
    <t>FEES FOR COPIES</t>
  </si>
  <si>
    <t>FOR INMATE</t>
  </si>
  <si>
    <t>1992-040202</t>
  </si>
  <si>
    <t>REV</t>
  </si>
  <si>
    <t>HLRB</t>
  </si>
  <si>
    <t>MOTION FOR RECONSID.</t>
  </si>
  <si>
    <t>1992-040701</t>
  </si>
  <si>
    <t>RFO (92-027)</t>
  </si>
  <si>
    <t>ARCH RECORDS</t>
  </si>
  <si>
    <t>LIMIT REQUEST?</t>
  </si>
  <si>
    <t>1992-040801</t>
  </si>
  <si>
    <t>INMATE COMPENSATION PAY</t>
  </si>
  <si>
    <t>REQUEST FOR INFO</t>
  </si>
  <si>
    <t>1992-040902</t>
  </si>
  <si>
    <t>BLDG CONF ROOM</t>
  </si>
  <si>
    <t>CHAIR REQUEST</t>
  </si>
  <si>
    <t>1992-041303</t>
  </si>
  <si>
    <t>BEV KEEVER'S</t>
  </si>
  <si>
    <t>GUIDE TO CHP. 92F</t>
  </si>
  <si>
    <t>1992-041501</t>
  </si>
  <si>
    <t>RFO (92-028)</t>
  </si>
  <si>
    <t>DESMOND BYRNE'S</t>
  </si>
  <si>
    <t>REQUEST FOR STO INFO</t>
  </si>
  <si>
    <t>1992-041603</t>
  </si>
  <si>
    <t>RRS PC DISKETTES</t>
  </si>
  <si>
    <t>1992-041604</t>
  </si>
  <si>
    <t>BLDG</t>
  </si>
  <si>
    <t>CREATE STD TRANS FORM FOR DISKS</t>
  </si>
  <si>
    <t>1992-042201</t>
  </si>
  <si>
    <t>RFO (92-029)</t>
  </si>
  <si>
    <t>TO OHA/FROM OHA</t>
  </si>
  <si>
    <t>1992-042202</t>
  </si>
  <si>
    <t>ACCREDITATION</t>
  </si>
  <si>
    <t>OP LTR 91-15</t>
  </si>
  <si>
    <t>1992-042302</t>
  </si>
  <si>
    <t>RFO (89-072)</t>
  </si>
  <si>
    <t>DLIR APPRENTICESHIP DIV</t>
  </si>
  <si>
    <t>SHARING INFO W/ FEDS</t>
  </si>
  <si>
    <t>1992-050101</t>
  </si>
  <si>
    <t>RFO (92-030)</t>
  </si>
  <si>
    <t>ERIC SCHROEDER</t>
  </si>
  <si>
    <t>PSD P&amp;PS</t>
  </si>
  <si>
    <t>1992-050401</t>
  </si>
  <si>
    <t>PARKS</t>
  </si>
  <si>
    <t>1992-050406</t>
  </si>
  <si>
    <t>RRS TRNG GUIDE</t>
  </si>
  <si>
    <t>LAYOUT REVISIONS</t>
  </si>
  <si>
    <t>MD</t>
  </si>
  <si>
    <t>1992-050410</t>
  </si>
  <si>
    <t>RFO (92-031)</t>
  </si>
  <si>
    <t>STAFF REPORT</t>
  </si>
  <si>
    <t>RE SPACEPORT EIS</t>
  </si>
  <si>
    <t>1992-051103</t>
  </si>
  <si>
    <t>RFO (92-032)</t>
  </si>
  <si>
    <t>HI HUMANE SOC</t>
  </si>
  <si>
    <t>JURIS - AGENCY</t>
  </si>
  <si>
    <t>1992-051502</t>
  </si>
  <si>
    <t>RFO (92-033)</t>
  </si>
  <si>
    <t>PERSONAL REC. REQ.</t>
  </si>
  <si>
    <t>PERSONNEL FILE</t>
  </si>
  <si>
    <t>1992-051901</t>
  </si>
  <si>
    <t>RFO (92-034)</t>
  </si>
  <si>
    <t>"AG RAG"</t>
  </si>
  <si>
    <t>HEMP ARTICLE</t>
  </si>
  <si>
    <t>1992-052001</t>
  </si>
  <si>
    <t>RFO (92-035)</t>
  </si>
  <si>
    <t>UH HILO</t>
  </si>
  <si>
    <t>HIRING DATA REQUEST</t>
  </si>
  <si>
    <t>1992-052106</t>
  </si>
  <si>
    <t>SUBPOENA'S</t>
  </si>
  <si>
    <t>PRIVACY</t>
  </si>
  <si>
    <t>1992-052703</t>
  </si>
  <si>
    <t>RFO (92-036)</t>
  </si>
  <si>
    <t>FRUSTRATION</t>
  </si>
  <si>
    <t>1992-052801</t>
  </si>
  <si>
    <t>MRRC-HON</t>
  </si>
  <si>
    <t>CODING CHANGE</t>
  </si>
  <si>
    <t>1992-052802</t>
  </si>
  <si>
    <t>ICRP CONSENT DECREE</t>
  </si>
  <si>
    <t>1992-060303</t>
  </si>
  <si>
    <t>STATUS LETTER</t>
  </si>
  <si>
    <t>UPDATE</t>
  </si>
  <si>
    <t>1992-060502</t>
  </si>
  <si>
    <t>RFO (92-037)</t>
  </si>
  <si>
    <t>CLOSED INVESTIGATION</t>
  </si>
  <si>
    <t>1992-061501</t>
  </si>
  <si>
    <t>RFO (92-038)</t>
  </si>
  <si>
    <t>ADMN DISCIPLINE INVESTIGATION</t>
  </si>
  <si>
    <t>1992-061803</t>
  </si>
  <si>
    <t>RFO (92-039)</t>
  </si>
  <si>
    <t>OHA GRANT</t>
  </si>
  <si>
    <t>LUNALILO HOME</t>
  </si>
  <si>
    <t>1992-062302</t>
  </si>
  <si>
    <t>RFO (92-040)</t>
  </si>
  <si>
    <t>INMATE P&amp;P</t>
  </si>
  <si>
    <t>1992-062902</t>
  </si>
  <si>
    <t>RFO (92-041)</t>
  </si>
  <si>
    <t>DOT-HARBORS</t>
  </si>
  <si>
    <t>DEMURRAGE CHARGES</t>
  </si>
  <si>
    <t>1992-070803</t>
  </si>
  <si>
    <t>RFO (92-042)</t>
  </si>
  <si>
    <t>ACO GRIEVANCE</t>
  </si>
  <si>
    <t>1992-070901</t>
  </si>
  <si>
    <t>PAROLE REPORT</t>
  </si>
  <si>
    <t>EXEMPT</t>
  </si>
  <si>
    <t>1992-070904</t>
  </si>
  <si>
    <t>PROS ATTY</t>
  </si>
  <si>
    <t>1992-071301</t>
  </si>
  <si>
    <t>RFO (92-043)</t>
  </si>
  <si>
    <t>SEGREGATION</t>
  </si>
  <si>
    <t>PRIVACY EXCEPTION</t>
  </si>
  <si>
    <t>1992-071402</t>
  </si>
  <si>
    <t>1992-071403</t>
  </si>
  <si>
    <t>HEARINGS</t>
  </si>
  <si>
    <t>1992-073101</t>
  </si>
  <si>
    <t>RFO (92-046)</t>
  </si>
  <si>
    <t>DEMURRAGE FEES</t>
  </si>
  <si>
    <t>1992-072002</t>
  </si>
  <si>
    <t>RFO (92-044)</t>
  </si>
  <si>
    <t>POLICIES AND PROCEDURES</t>
  </si>
  <si>
    <t>1992-072202</t>
  </si>
  <si>
    <t>EMERG PROCEDURE</t>
  </si>
  <si>
    <t>1992-073001</t>
  </si>
  <si>
    <t>RFO (92-045)</t>
  </si>
  <si>
    <t>AFFORDABLE HOUSING</t>
  </si>
  <si>
    <t>1992-081703</t>
  </si>
  <si>
    <t>RFO (92-049)</t>
  </si>
  <si>
    <t>BAR EXAMINATION</t>
  </si>
  <si>
    <t>NON ADMINISTRATIVE RECORD</t>
  </si>
  <si>
    <t>1992-080301</t>
  </si>
  <si>
    <t>RFO (92-47)</t>
  </si>
  <si>
    <t>HPD ASSAULT II REP</t>
  </si>
  <si>
    <t>SUBPOENAS</t>
  </si>
  <si>
    <t>1992-080302</t>
  </si>
  <si>
    <t>HVB</t>
  </si>
  <si>
    <t>1992-080303</t>
  </si>
  <si>
    <t>"LISTS"</t>
  </si>
  <si>
    <t>COMPILATIONS</t>
  </si>
  <si>
    <t>1992-080501</t>
  </si>
  <si>
    <t>CLOSE-OUT</t>
  </si>
  <si>
    <t>1992-081102</t>
  </si>
  <si>
    <t>PWF</t>
  </si>
  <si>
    <t>INVESTIGATION</t>
  </si>
  <si>
    <t>1992-081301</t>
  </si>
  <si>
    <t>RFO (92-048)</t>
  </si>
  <si>
    <t>CRIMINAL SUSPECT</t>
  </si>
  <si>
    <t>1992-081702</t>
  </si>
  <si>
    <t>AG CED</t>
  </si>
  <si>
    <t>PRETRIAL STATEMENT</t>
  </si>
  <si>
    <t>1992-081704</t>
  </si>
  <si>
    <t>TESTING/EXAMINATION</t>
  </si>
  <si>
    <t>EMBALMERS LICENSE</t>
  </si>
  <si>
    <t>1992-081401</t>
  </si>
  <si>
    <t>AG OPINIONS</t>
  </si>
  <si>
    <t>1992-082001</t>
  </si>
  <si>
    <t>RFO (92-050)</t>
  </si>
  <si>
    <t>ACO</t>
  </si>
  <si>
    <t>1992-082002</t>
  </si>
  <si>
    <t>RFO (92-051)</t>
  </si>
  <si>
    <t>1992-082601</t>
  </si>
  <si>
    <t>RFO (92-052)</t>
  </si>
  <si>
    <t>INVESTIGATION REPORTS</t>
  </si>
  <si>
    <t>LIQUOR COMMISSION RECORDS</t>
  </si>
  <si>
    <t>1992-082602</t>
  </si>
  <si>
    <t>PUBLIC MEETINGS</t>
  </si>
  <si>
    <t>1992-082701</t>
  </si>
  <si>
    <t>RFO (92-053)</t>
  </si>
  <si>
    <t>1992-083101</t>
  </si>
  <si>
    <t>1992-090202</t>
  </si>
  <si>
    <t>1992-090401</t>
  </si>
  <si>
    <t>RFO (92-054)</t>
  </si>
  <si>
    <t>RIGHT OF WAY AGREEMENTS</t>
  </si>
  <si>
    <t>1992-090402</t>
  </si>
  <si>
    <t>RFO (92-055)</t>
  </si>
  <si>
    <t>INTER-AGENCY MEMOS</t>
  </si>
  <si>
    <t>EIS</t>
  </si>
  <si>
    <t>1992-090804</t>
  </si>
  <si>
    <t>RFO (92-056)</t>
  </si>
  <si>
    <t>TRANSFER OF LEASE AWARDS</t>
  </si>
  <si>
    <t>HAWAIIAN HOME LANDS</t>
  </si>
  <si>
    <t>1992-090803</t>
  </si>
  <si>
    <t>OIP REPLY</t>
  </si>
  <si>
    <t>PUBLIC SAFETY</t>
  </si>
  <si>
    <t>1992-091401</t>
  </si>
  <si>
    <t>RFO (92-057)</t>
  </si>
  <si>
    <t>DRUG-TESTING</t>
  </si>
  <si>
    <t>CONFIDENTIALITY RULE</t>
  </si>
  <si>
    <t>1992-091402</t>
  </si>
  <si>
    <t>RFO (92-058)</t>
  </si>
  <si>
    <t>BOARD MINUTES</t>
  </si>
  <si>
    <t>BUY-SELL RECOMMENDATIONS</t>
  </si>
  <si>
    <t>1992-091501</t>
  </si>
  <si>
    <t>TOURISM</t>
  </si>
  <si>
    <t>CONSULTANTS CONTRACTS</t>
  </si>
  <si>
    <t>1992-091701</t>
  </si>
  <si>
    <t>RFO (92-059)</t>
  </si>
  <si>
    <t>GRIEVANCE</t>
  </si>
  <si>
    <t>1992-093002</t>
  </si>
  <si>
    <t>RFO (92-062)</t>
  </si>
  <si>
    <t>MINUTES</t>
  </si>
  <si>
    <t>PUBLIC MEETING</t>
  </si>
  <si>
    <t>1992-093001</t>
  </si>
  <si>
    <t>RFO (92-061)</t>
  </si>
  <si>
    <t>ADDRESSES</t>
  </si>
  <si>
    <t>1992-100502</t>
  </si>
  <si>
    <t>RFO (92-063)</t>
  </si>
  <si>
    <t>HUNTING</t>
  </si>
  <si>
    <t>1992-100602</t>
  </si>
  <si>
    <t>1992-100701</t>
  </si>
  <si>
    <t>ERS MEMORANDA</t>
  </si>
  <si>
    <t>1992-100702</t>
  </si>
  <si>
    <t>OIP MEDIATION</t>
  </si>
  <si>
    <t>1992-101201</t>
  </si>
  <si>
    <t>RFO (92-064)</t>
  </si>
  <si>
    <t>CONFIDENTIALITY</t>
  </si>
  <si>
    <t>AGREEMENT</t>
  </si>
  <si>
    <t>1992-101202</t>
  </si>
  <si>
    <t>RECORDS REPORT</t>
  </si>
  <si>
    <t>1992-101303</t>
  </si>
  <si>
    <t>HARBOR PATROL</t>
  </si>
  <si>
    <t>1992-102701</t>
  </si>
  <si>
    <t>RFO (92-065)</t>
  </si>
  <si>
    <t>UH-FOUND</t>
  </si>
  <si>
    <t>BOARD MINUTES/AGENDAS</t>
  </si>
  <si>
    <t>1992-102803</t>
  </si>
  <si>
    <t>REPLY LTR</t>
  </si>
  <si>
    <t>1992-102804</t>
  </si>
  <si>
    <t>RFO (92-066)</t>
  </si>
  <si>
    <t>1992-103001</t>
  </si>
  <si>
    <t>RFO (92-067)</t>
  </si>
  <si>
    <t>CBI OF DISADVANTAGED BUSINESSES</t>
  </si>
  <si>
    <t>LA 92-067/JMLC</t>
  </si>
  <si>
    <t>JMLC/JJC</t>
  </si>
  <si>
    <t>1992-110501</t>
  </si>
  <si>
    <t>OIP POLICY</t>
  </si>
  <si>
    <t>ADVISORY OPINIONS</t>
  </si>
  <si>
    <t>1992-110502</t>
  </si>
  <si>
    <t>RFO (92-068)</t>
  </si>
  <si>
    <t>PERS-M</t>
  </si>
  <si>
    <t>WHISTLE BLOWER</t>
  </si>
  <si>
    <t>FEDERAL LAW</t>
  </si>
  <si>
    <t>1992-110201</t>
  </si>
  <si>
    <t>DOSH</t>
  </si>
  <si>
    <t>RESPONSE</t>
  </si>
  <si>
    <t>1992-111201</t>
  </si>
  <si>
    <t>RFO (92-069)</t>
  </si>
  <si>
    <t>LEG-AUD</t>
  </si>
  <si>
    <t>AUDITOR'S WORKPAPERS</t>
  </si>
  <si>
    <t>1992-111601</t>
  </si>
  <si>
    <t>RRS LOGON</t>
  </si>
  <si>
    <t>1992-111701</t>
  </si>
  <si>
    <t>RFO (92-070)</t>
  </si>
  <si>
    <t>CLAIM INFORMATION</t>
  </si>
  <si>
    <t>1992-111702</t>
  </si>
  <si>
    <t>RFO (92-071)</t>
  </si>
  <si>
    <t>JOB CLASSIFICATIONS</t>
  </si>
  <si>
    <t>1992-111901</t>
  </si>
  <si>
    <t>SPEECH</t>
  </si>
  <si>
    <t>UIPA OVERVIEW</t>
  </si>
  <si>
    <t>LEEWARD DISTRICT PRINCIPALS</t>
  </si>
  <si>
    <t>1992-111902</t>
  </si>
  <si>
    <t>SVS</t>
  </si>
  <si>
    <t>VOLUNTEER ASSESSMENT</t>
  </si>
  <si>
    <t>1992-112301</t>
  </si>
  <si>
    <t>MAINTAIN</t>
  </si>
  <si>
    <t>GOV'T RECORD</t>
  </si>
  <si>
    <t>1992-112302</t>
  </si>
  <si>
    <t>RFO (92-072)</t>
  </si>
  <si>
    <t>POLICE -H</t>
  </si>
  <si>
    <t>WITNESSES</t>
  </si>
  <si>
    <t>1992-112303</t>
  </si>
  <si>
    <t>RFO (92-073)</t>
  </si>
  <si>
    <t>PERSONAL RECORD</t>
  </si>
  <si>
    <t>APPLICATION FILE</t>
  </si>
  <si>
    <t>1992-112401</t>
  </si>
  <si>
    <t>RFO (92-074)</t>
  </si>
  <si>
    <t>DRAFTS</t>
  </si>
  <si>
    <t>REPORTS</t>
  </si>
  <si>
    <t>1992-112701</t>
  </si>
  <si>
    <t>BUDGET INFO</t>
  </si>
  <si>
    <t>TOURISM OFFICE</t>
  </si>
  <si>
    <t>1992-120101</t>
  </si>
  <si>
    <t>GOV'S MGT STUDY</t>
  </si>
  <si>
    <t>CONSULTANT REPORTS</t>
  </si>
  <si>
    <t>1992-120202</t>
  </si>
  <si>
    <t>PROMISES CONFIDENTIALITY</t>
  </si>
  <si>
    <t>NON-DISCLOSURE AGREEMENT</t>
  </si>
  <si>
    <t>1992-120203</t>
  </si>
  <si>
    <t>RFO (92-075)</t>
  </si>
  <si>
    <t>COMPUTER TAPES</t>
  </si>
  <si>
    <t>BUS REG DATABASE</t>
  </si>
  <si>
    <t>1992-120301</t>
  </si>
  <si>
    <t>1992-120204</t>
  </si>
  <si>
    <t>RFO (92-076)</t>
  </si>
  <si>
    <t>FINAL REPORT</t>
  </si>
  <si>
    <t>CONVENTION CENTER AUTHORITY</t>
  </si>
  <si>
    <t>1992-120401</t>
  </si>
  <si>
    <t>PUBLIC RECORDS REPORTS</t>
  </si>
  <si>
    <t>1992-120402</t>
  </si>
  <si>
    <t>RFO (92-077)</t>
  </si>
  <si>
    <t>CONSULTANT</t>
  </si>
  <si>
    <t>QUALIFICATIONS</t>
  </si>
  <si>
    <t>1992-120703</t>
  </si>
  <si>
    <t>OIP</t>
  </si>
  <si>
    <t>1992-120801</t>
  </si>
  <si>
    <t>RFO (92-078)</t>
  </si>
  <si>
    <t>PROPOSED MINUTES</t>
  </si>
  <si>
    <t>1992-121001</t>
  </si>
  <si>
    <t>ENCUMBRANCE</t>
  </si>
  <si>
    <t>WANG</t>
  </si>
  <si>
    <t>1992-121002</t>
  </si>
  <si>
    <t>RFO (92-079)</t>
  </si>
  <si>
    <t>GIS DATABASE</t>
  </si>
  <si>
    <t>PROPRIETARY/TRADE SEC</t>
  </si>
  <si>
    <t>1992-121101</t>
  </si>
  <si>
    <t>GRIEVANCE INVESTIG.</t>
  </si>
  <si>
    <t>BACK PAY</t>
  </si>
  <si>
    <t>1992-121501</t>
  </si>
  <si>
    <t>COMPUTER TAPE</t>
  </si>
  <si>
    <t>HHL LEASE DATA</t>
  </si>
  <si>
    <t>1992-121703</t>
  </si>
  <si>
    <t>RFO (92-080)</t>
  </si>
  <si>
    <t>RCUH</t>
  </si>
  <si>
    <t>1992-121701</t>
  </si>
  <si>
    <t>PERSONNEL INVESTIGATION</t>
  </si>
  <si>
    <t>1992-122101</t>
  </si>
  <si>
    <t>RFO (92-081)</t>
  </si>
  <si>
    <t>STATE LOAN PROGRAM</t>
  </si>
  <si>
    <t>92F-4</t>
  </si>
  <si>
    <t>1992-122102</t>
  </si>
  <si>
    <t>RFO (92-082)</t>
  </si>
  <si>
    <t>POLICE-H</t>
  </si>
  <si>
    <t>POLICE GENERAL ORDERS</t>
  </si>
  <si>
    <t>SPECIAL MASTER</t>
  </si>
  <si>
    <t>RJP, HRJ</t>
  </si>
  <si>
    <t>1992-122304</t>
  </si>
  <si>
    <t>RFO (92-083)</t>
  </si>
  <si>
    <t>FEDERAL LOAN PROGRAM</t>
  </si>
  <si>
    <t>1992-123001</t>
  </si>
  <si>
    <t>RFO (92-084)</t>
  </si>
  <si>
    <t>GIFT DISCLOSURE</t>
  </si>
  <si>
    <t>LOGS/PERSONAL FILE</t>
  </si>
  <si>
    <t>1993-010401</t>
  </si>
  <si>
    <t>ERS</t>
  </si>
  <si>
    <t>1993-010501</t>
  </si>
  <si>
    <t>RFO (93-001)</t>
  </si>
  <si>
    <t>LIST OF PROPERTIES</t>
  </si>
  <si>
    <t>HAWAIIAN HOME LANDS TRUST</t>
  </si>
  <si>
    <t>1993-010602</t>
  </si>
  <si>
    <t>ERS BUY SELL</t>
  </si>
  <si>
    <t>1993-010801</t>
  </si>
  <si>
    <t>SUMMARY WARRANT VOUCHERS</t>
  </si>
  <si>
    <t>1992-112403</t>
  </si>
  <si>
    <t>RFO (92-085)</t>
  </si>
  <si>
    <t>BAT</t>
  </si>
  <si>
    <t>OIP OP. LTR. 92-20</t>
  </si>
  <si>
    <t>1993-011101</t>
  </si>
  <si>
    <t>RFO (93-002)</t>
  </si>
  <si>
    <t>QUARANTINE</t>
  </si>
  <si>
    <t>PET OWNERS NAMES</t>
  </si>
  <si>
    <t>RJP/JEC/GLF</t>
  </si>
  <si>
    <t>1993-011102</t>
  </si>
  <si>
    <t>DRAFT OIP OPINIONS</t>
  </si>
  <si>
    <t>1993-011401</t>
  </si>
  <si>
    <t>MISC-M</t>
  </si>
  <si>
    <t>WORKERS COMP</t>
  </si>
  <si>
    <t>1993-011501</t>
  </si>
  <si>
    <t>ALTERATION</t>
  </si>
  <si>
    <t>ASBESTOS EVIDENCE</t>
  </si>
  <si>
    <t>1993-011301</t>
  </si>
  <si>
    <t>RFO (93-003)</t>
  </si>
  <si>
    <t>LEGISLATORS EXPENDITURES</t>
  </si>
  <si>
    <t>PERSONAL FILES</t>
  </si>
  <si>
    <t>1993-011502</t>
  </si>
  <si>
    <t>AUDIO TAPE</t>
  </si>
  <si>
    <t>1993-012101</t>
  </si>
  <si>
    <t>HAWAII AIR NAT. GUARD</t>
  </si>
  <si>
    <t>TESTIMONY</t>
  </si>
  <si>
    <t>1993-012102</t>
  </si>
  <si>
    <t>1993-012201</t>
  </si>
  <si>
    <t>RFO (93-004)</t>
  </si>
  <si>
    <t>CITATIONS</t>
  </si>
  <si>
    <t>HPD OFFICER</t>
  </si>
  <si>
    <t>1993-012604</t>
  </si>
  <si>
    <t>1993-020101</t>
  </si>
  <si>
    <t>RFO (93-005)</t>
  </si>
  <si>
    <t>PROTECTIVE ORDER</t>
  </si>
  <si>
    <t>DRAFT REPORT</t>
  </si>
  <si>
    <t>1993-020201</t>
  </si>
  <si>
    <t>RFO (93-006)</t>
  </si>
  <si>
    <t>AG-CSEA</t>
  </si>
  <si>
    <t>BID PROPOSALS</t>
  </si>
  <si>
    <t>1993-020305</t>
  </si>
  <si>
    <t>RFO (93-007)</t>
  </si>
  <si>
    <t>INTRA-AGENCY REQUEST</t>
  </si>
  <si>
    <t>CONDITIONS ON ACCESS</t>
  </si>
  <si>
    <t>1993-020307</t>
  </si>
  <si>
    <t>RFO (93-008)</t>
  </si>
  <si>
    <t>U. S. DOE SURVEY</t>
  </si>
  <si>
    <t>FACULTY INFO</t>
  </si>
  <si>
    <t>1993-020501</t>
  </si>
  <si>
    <t>FOIA REQUEST</t>
  </si>
  <si>
    <t>1993-020801</t>
  </si>
  <si>
    <t>RFO (93-009)</t>
  </si>
  <si>
    <t>PUC</t>
  </si>
  <si>
    <t>DRAFT CONSULTANT REPORT</t>
  </si>
  <si>
    <t>1993-020901</t>
  </si>
  <si>
    <t>RFO (93-010)</t>
  </si>
  <si>
    <t>SATELLITE DISCLOSURE</t>
  </si>
  <si>
    <t>1993-021201</t>
  </si>
  <si>
    <t>RFO (93-011)</t>
  </si>
  <si>
    <t>1993-021202</t>
  </si>
  <si>
    <t>RFO (93-012)</t>
  </si>
  <si>
    <t>COMMERCIAL RESTRICTIONS</t>
  </si>
  <si>
    <t>1993-021601</t>
  </si>
  <si>
    <t>FINANCE COMMITTEE</t>
  </si>
  <si>
    <t>1993-021701</t>
  </si>
  <si>
    <t>CIVIL RIGHTS COMMISSION</t>
  </si>
  <si>
    <t>COMPLAINT FILE</t>
  </si>
  <si>
    <t>1993-022302</t>
  </si>
  <si>
    <t>RFO (93-013)</t>
  </si>
  <si>
    <t>POLICE EE MISCONDUCT RPT (file missing, close per MG)</t>
  </si>
  <si>
    <t>DISCL OF COMPLAINT, ETC.</t>
  </si>
  <si>
    <t>1993-022501</t>
  </si>
  <si>
    <t>RFO (93-014)</t>
  </si>
  <si>
    <t>H-3 CONSTRUCTION PROJECT</t>
  </si>
  <si>
    <t>DOC REQUEST</t>
  </si>
  <si>
    <t>1993-022502</t>
  </si>
  <si>
    <t>RFO (93-015)</t>
  </si>
  <si>
    <t>PLANTPOWER 2003</t>
  </si>
  <si>
    <t>CBI/TRADE SECRET</t>
  </si>
  <si>
    <t>1993-022603</t>
  </si>
  <si>
    <t>RPT TO TRNG COMM</t>
  </si>
  <si>
    <t>RE CLIENT TRAINING</t>
  </si>
  <si>
    <t>1993-022601</t>
  </si>
  <si>
    <t>REVIEW SOC SERV MEMO</t>
  </si>
  <si>
    <t>RE INMATE COMPLAINTS</t>
  </si>
  <si>
    <t>1993-030102</t>
  </si>
  <si>
    <t>BUDGET RESTRICTIONS</t>
  </si>
  <si>
    <t>DETAILS</t>
  </si>
  <si>
    <t>1993-030103</t>
  </si>
  <si>
    <t>RFO (93-017)</t>
  </si>
  <si>
    <t>U. S. NEWS &amp; WORLD REPORT</t>
  </si>
  <si>
    <t>LAW SCH SURVEY</t>
  </si>
  <si>
    <t>1993-030201</t>
  </si>
  <si>
    <t>RFO (93-018)</t>
  </si>
  <si>
    <t>CIVIL RIGHTS COMM</t>
  </si>
  <si>
    <t>COMPLAINANT ACCESS</t>
  </si>
  <si>
    <t>1993-030101</t>
  </si>
  <si>
    <t>RFO (93-016)</t>
  </si>
  <si>
    <t>HPD TESTING MATERIALS</t>
  </si>
  <si>
    <t>MMPI</t>
  </si>
  <si>
    <t>1993-030401</t>
  </si>
  <si>
    <t>1993-030503</t>
  </si>
  <si>
    <t>RFO (93-019)</t>
  </si>
  <si>
    <t>ARMY/PROS. ATTY</t>
  </si>
  <si>
    <t>1993-030501</t>
  </si>
  <si>
    <t>"STEALING" RCUH DOCS</t>
  </si>
  <si>
    <t>ACCESS DENIAL</t>
  </si>
  <si>
    <t>1993-030406</t>
  </si>
  <si>
    <t>THANK YOU LTR</t>
  </si>
  <si>
    <t>CED RE ALOHA TOWER</t>
  </si>
  <si>
    <t>1993-030902</t>
  </si>
  <si>
    <t>RFO (93-020)</t>
  </si>
  <si>
    <t>WORKERS COMPENSATION CAPTIVE INS</t>
  </si>
  <si>
    <t>ANNUAL REPORT HAWN TEL</t>
  </si>
  <si>
    <t>1993-031101</t>
  </si>
  <si>
    <t>RFO (93-021)</t>
  </si>
  <si>
    <t>BREG COMPUTER RECORDS</t>
  </si>
  <si>
    <t>READILY RETRIEVABLE?</t>
  </si>
  <si>
    <t>1993-031802</t>
  </si>
  <si>
    <t>DPS LANG RE ATG-7</t>
  </si>
  <si>
    <t>COORDINATE W/DPS</t>
  </si>
  <si>
    <t>1993-032201</t>
  </si>
  <si>
    <t>RFO (93-022)</t>
  </si>
  <si>
    <t>DAGS BID FILES</t>
  </si>
  <si>
    <t>PURGING MEMO/NOTES</t>
  </si>
  <si>
    <t>1993-032207</t>
  </si>
  <si>
    <t>RFO (93-023)</t>
  </si>
  <si>
    <t>HPD, PA RECS RE</t>
  </si>
  <si>
    <t>DEATH OF B. KIMURA</t>
  </si>
  <si>
    <t>1993-032501</t>
  </si>
  <si>
    <t>RFO (93-024)</t>
  </si>
  <si>
    <t>KA'ILI'ULI OHANA</t>
  </si>
  <si>
    <t>DISCL. OF GRANT APPLIC.</t>
  </si>
  <si>
    <t>1993-032502</t>
  </si>
  <si>
    <t>RFO (93-025)</t>
  </si>
  <si>
    <t>DISCL OF INFO RE SEC. 8 HOUSING</t>
  </si>
  <si>
    <t>UIPA</t>
  </si>
  <si>
    <t>1993-032401</t>
  </si>
  <si>
    <t>RFO (93-026)</t>
  </si>
  <si>
    <t>RICO COMPLAINTS DISCLOSURE</t>
  </si>
  <si>
    <t>G. ORNELLAS/HAUOLI ROOFING</t>
  </si>
  <si>
    <t>1993-032901</t>
  </si>
  <si>
    <t>RFO (93-027)</t>
  </si>
  <si>
    <t>RCUH RECORDS</t>
  </si>
  <si>
    <t>RELEASE TO EE</t>
  </si>
  <si>
    <t>1993-033101</t>
  </si>
  <si>
    <t>RFO (93-028)</t>
  </si>
  <si>
    <t>B&amp;F-PUC</t>
  </si>
  <si>
    <t>PUC ANNUAL RPTS</t>
  </si>
  <si>
    <t>CONTAINING UTIL. FIN. INFO</t>
  </si>
  <si>
    <t>1993-033102</t>
  </si>
  <si>
    <t>RFO (93-029)</t>
  </si>
  <si>
    <t>WORKERS' COMP. RECORDS</t>
  </si>
  <si>
    <t>DISCL. TO PRIVATE INVESTIGATOR</t>
  </si>
  <si>
    <t>LLA</t>
  </si>
  <si>
    <t>LJL/JEC/GLF/SRK</t>
  </si>
  <si>
    <t>1993-040102</t>
  </si>
  <si>
    <t>RFO (93-030)</t>
  </si>
  <si>
    <t>RELEASE OF MEDICAID RECIPIENT</t>
  </si>
  <si>
    <t>NAMES TO EMPLOYERS</t>
  </si>
  <si>
    <t>1993-040103</t>
  </si>
  <si>
    <t>AG-PERS</t>
  </si>
  <si>
    <t>EXTEND TEMP. POSITIONS</t>
  </si>
  <si>
    <t>PREP. 4 PERS. TRANSACTIONS</t>
  </si>
  <si>
    <t>1993-040603</t>
  </si>
  <si>
    <t>RFO (93-031)</t>
  </si>
  <si>
    <t>CONDO. ASSOC. REGISTRY</t>
  </si>
  <si>
    <t>ADDRESSES/COMPUTER TAPE</t>
  </si>
  <si>
    <t>1993-040702</t>
  </si>
  <si>
    <t>JOB SHARING POLICY</t>
  </si>
  <si>
    <t>REVIEW &amp; COMMENTS</t>
  </si>
  <si>
    <t>1993-040801</t>
  </si>
  <si>
    <t>RFO (93-032)</t>
  </si>
  <si>
    <t>TRAFFIC VIOLATION RECS</t>
  </si>
  <si>
    <t>ACCESS BY INS COS</t>
  </si>
  <si>
    <t>1993-041202</t>
  </si>
  <si>
    <t>RFO (93-033)</t>
  </si>
  <si>
    <t>CRIME STATISTICS</t>
  </si>
  <si>
    <t>HPD/COMPUTERIZED</t>
  </si>
  <si>
    <t>1993-041201</t>
  </si>
  <si>
    <t>RFO (93-034)</t>
  </si>
  <si>
    <t>LIST OF ELIGIBLES</t>
  </si>
  <si>
    <t>BIG ISLAND/MICHAEL BEN</t>
  </si>
  <si>
    <t>1993-041501</t>
  </si>
  <si>
    <t>RFO (93-035)</t>
  </si>
  <si>
    <t>LIST OF USERS</t>
  </si>
  <si>
    <t>LIBRARY MTG ROOMS</t>
  </si>
  <si>
    <t>1993-041502</t>
  </si>
  <si>
    <t>SURVEY RE ACCESS TO SERVICES</t>
  </si>
  <si>
    <t>LEGIS AUDITOR</t>
  </si>
  <si>
    <t>1993-042002</t>
  </si>
  <si>
    <t>LTR TO G. YOSHIMI</t>
  </si>
  <si>
    <t>RE ACCESS TO TEL NOS</t>
  </si>
  <si>
    <t>1993-042101</t>
  </si>
  <si>
    <t>RFO (93-036)</t>
  </si>
  <si>
    <t>APPOINTMENT CALENDAR</t>
  </si>
  <si>
    <t>PRES. OF UH</t>
  </si>
  <si>
    <t>1993-042102</t>
  </si>
  <si>
    <t>ASBESTOS LIT.</t>
  </si>
  <si>
    <t>DOC. REQUEST</t>
  </si>
  <si>
    <t>1993-042202</t>
  </si>
  <si>
    <t>OFF OF AG</t>
  </si>
  <si>
    <t>PENDING ASSIGN RPT</t>
  </si>
  <si>
    <t>1993-042201</t>
  </si>
  <si>
    <t>RFO (93-037)</t>
  </si>
  <si>
    <t>HPD GEN'L ORDER</t>
  </si>
  <si>
    <t>RE NEWS MEDIA, ETC.</t>
  </si>
  <si>
    <t>1993-042902</t>
  </si>
  <si>
    <t>RFO (93-039)</t>
  </si>
  <si>
    <t>FISH CATCH RPT DATA</t>
  </si>
  <si>
    <t>AGMT BTWN BLNR/NMFS</t>
  </si>
  <si>
    <t>1993-042701</t>
  </si>
  <si>
    <t>RFO (93-038)</t>
  </si>
  <si>
    <t>KENAI AIR HAWAII</t>
  </si>
  <si>
    <t>DLNR ENFORCEMENT FILES</t>
  </si>
  <si>
    <t>1993-042801</t>
  </si>
  <si>
    <t>RFO (93-041)</t>
  </si>
  <si>
    <t>SURVEY RESULTS</t>
  </si>
  <si>
    <t>DCCS TO GRAD. STUDENTS</t>
  </si>
  <si>
    <t>1993-042905</t>
  </si>
  <si>
    <t>DLIR EMPLOY SERVICE</t>
  </si>
  <si>
    <t>APPLICANT RESULTS</t>
  </si>
  <si>
    <t>RWK</t>
  </si>
  <si>
    <t>1993-042802</t>
  </si>
  <si>
    <t>MEDICAID RECIPIENTS</t>
  </si>
  <si>
    <t>1993-050301</t>
  </si>
  <si>
    <t>RFO (93-042)</t>
  </si>
  <si>
    <t>ARCHITECTUAL LIC EXAM</t>
  </si>
  <si>
    <t>REVIEW &amp; COPY</t>
  </si>
  <si>
    <t>1993-050602</t>
  </si>
  <si>
    <t>HURRICANE INIKI</t>
  </si>
  <si>
    <t>ADMIN LEAVE</t>
  </si>
  <si>
    <t>1993-050703</t>
  </si>
  <si>
    <t>MEMO TO STEVE CHANG</t>
  </si>
  <si>
    <t>FOOD BANK DRIVE</t>
  </si>
  <si>
    <t>ALH</t>
  </si>
  <si>
    <t>1993-050704</t>
  </si>
  <si>
    <t>SUNSHINE COMM</t>
  </si>
  <si>
    <t>LTR TO BOB MARKS</t>
  </si>
  <si>
    <t>1993-050701</t>
  </si>
  <si>
    <t>RFO (93-044)</t>
  </si>
  <si>
    <t>UH SURVEY REPORTS</t>
  </si>
  <si>
    <t>FOR MARKETING PLAN</t>
  </si>
  <si>
    <t>1993-050604</t>
  </si>
  <si>
    <t>LTR RESP TO COMPLAINT</t>
  </si>
  <si>
    <t>RE ACCESS DENIAL</t>
  </si>
  <si>
    <t>1993-050705</t>
  </si>
  <si>
    <t>RFO (93-043)</t>
  </si>
  <si>
    <t>LIBRARY NOTICE</t>
  </si>
  <si>
    <t>ON POSTCARD</t>
  </si>
  <si>
    <t>1993-052201</t>
  </si>
  <si>
    <t>RFO (93-059)</t>
  </si>
  <si>
    <t>IFP</t>
  </si>
  <si>
    <t>1993-051201</t>
  </si>
  <si>
    <t>SB 1363 SD2 HD2 CD1</t>
  </si>
  <si>
    <t>COMMENT FOR GOV'S ACTION</t>
  </si>
  <si>
    <t>1993-051204</t>
  </si>
  <si>
    <t>RFO (93-045)</t>
  </si>
  <si>
    <t>AMBULANCE SERV. BID</t>
  </si>
  <si>
    <t>FINANCIAL DOCS</t>
  </si>
  <si>
    <t>1993-051205</t>
  </si>
  <si>
    <t>REPLY LETTER</t>
  </si>
  <si>
    <t>1993-051202</t>
  </si>
  <si>
    <t>RFO (93-046)</t>
  </si>
  <si>
    <t>CORRECTIONS' PRACTICES</t>
  </si>
  <si>
    <t>RE DISCLOSURE OF RECS</t>
  </si>
  <si>
    <t>1993-051701</t>
  </si>
  <si>
    <t>RFO (93-047)</t>
  </si>
  <si>
    <t>IRS</t>
  </si>
  <si>
    <t>ACCESS TO LIQUOR COMM. FILES</t>
  </si>
  <si>
    <t>1993-051401</t>
  </si>
  <si>
    <t>RFO (93-048)</t>
  </si>
  <si>
    <t>ID QUARANTINE ANIMAL'S OWNER</t>
  </si>
  <si>
    <t>DOG BITES EE</t>
  </si>
  <si>
    <t>1993-051702</t>
  </si>
  <si>
    <t>RFO (93-049)</t>
  </si>
  <si>
    <t>1992 FERPA AMEND.</t>
  </si>
  <si>
    <t>LAW ENFORCE. RECS</t>
  </si>
  <si>
    <t>1993-051802</t>
  </si>
  <si>
    <t>RFO (93-050)</t>
  </si>
  <si>
    <t>CLARIFICATION OF 91-29</t>
  </si>
  <si>
    <t>PUC/CBI</t>
  </si>
  <si>
    <t>1993-051806</t>
  </si>
  <si>
    <t>RFO (93-052)</t>
  </si>
  <si>
    <t>UNDERGROUND TANK</t>
  </si>
  <si>
    <t>CASE FILE NOTICE</t>
  </si>
  <si>
    <t>1993-051902</t>
  </si>
  <si>
    <t>RFO (93-051)</t>
  </si>
  <si>
    <t>UH GRAD DIVISION</t>
  </si>
  <si>
    <t>APPLICANT RECORDS</t>
  </si>
  <si>
    <t>1993-052001</t>
  </si>
  <si>
    <t>RFO (93-053)</t>
  </si>
  <si>
    <t>COMPLAINT RE ETHICS/HARASS.</t>
  </si>
  <si>
    <t>SUMMARY OF FINDINGS</t>
  </si>
  <si>
    <t>1993-052002</t>
  </si>
  <si>
    <t>RFO (93-054)</t>
  </si>
  <si>
    <t>STATE LEGISLATURE</t>
  </si>
  <si>
    <t>1993-052402</t>
  </si>
  <si>
    <t>RFO (93-056)</t>
  </si>
  <si>
    <t>GIFT LOG</t>
  </si>
  <si>
    <t>LEGIS. DISCLOSURE</t>
  </si>
  <si>
    <t>1993-052403</t>
  </si>
  <si>
    <t>RFO (93-057)</t>
  </si>
  <si>
    <t>MOTOR VEHICLE REGIS INFO</t>
  </si>
  <si>
    <t>OF JUDGMENT DEBTORS</t>
  </si>
  <si>
    <t>1993-052404</t>
  </si>
  <si>
    <t>PREPARE RESPONSE</t>
  </si>
  <si>
    <t>1993-052401</t>
  </si>
  <si>
    <t>RFO (93-055)</t>
  </si>
  <si>
    <t>SUBSTANCE ABUSE CERTIFICATION</t>
  </si>
  <si>
    <t>ACCESS TO EXAM/EVALS</t>
  </si>
  <si>
    <t>1993-052501</t>
  </si>
  <si>
    <t>RFO (93-058)</t>
  </si>
  <si>
    <t>MAYOR-H</t>
  </si>
  <si>
    <t>OFF OF INFO &amp; COMPLAINT</t>
  </si>
  <si>
    <t>COMPLAINT FORM/ACTION</t>
  </si>
  <si>
    <t>1993-052602</t>
  </si>
  <si>
    <t>RFO (93-060)</t>
  </si>
  <si>
    <t>PROS ATTY- H</t>
  </si>
  <si>
    <t>HI PROSECUTOR'S (ROSS CASE)</t>
  </si>
  <si>
    <t>POLICY/PROC.  MANUAL</t>
  </si>
  <si>
    <t>1993-052502</t>
  </si>
  <si>
    <t>PRIV REQUEST DAGS INFO</t>
  </si>
  <si>
    <t>SPECIFICITY</t>
  </si>
  <si>
    <t>1993-052601</t>
  </si>
  <si>
    <t>RELATED TO OLD RFO</t>
  </si>
  <si>
    <t>DO RECORDS EXIST</t>
  </si>
  <si>
    <t>1993-060104</t>
  </si>
  <si>
    <t>RFO (93-061)</t>
  </si>
  <si>
    <t>BIG ISLAND POLICE COMM.</t>
  </si>
  <si>
    <t>DISCL. OF SANITIZED COMPLAINTS</t>
  </si>
  <si>
    <t>1993-060201</t>
  </si>
  <si>
    <t>RFO (93-062)</t>
  </si>
  <si>
    <t>AMBULANCE CONTRACT</t>
  </si>
  <si>
    <t>MAUI/MERCY/ILS</t>
  </si>
  <si>
    <t>1993-060202</t>
  </si>
  <si>
    <t>RFO (93-063)</t>
  </si>
  <si>
    <t>ATTY CLIENT PRIV</t>
  </si>
  <si>
    <t>CRC COMPLAINT CLASSIFICATION</t>
  </si>
  <si>
    <t>1993-060801</t>
  </si>
  <si>
    <t>RFO (93-064)</t>
  </si>
  <si>
    <t>MERCY AMBULANCE</t>
  </si>
  <si>
    <t>QUALIFICATION DOCUMENTS</t>
  </si>
  <si>
    <t>1993-060901</t>
  </si>
  <si>
    <t>SUNSHINE COMM.</t>
  </si>
  <si>
    <t>COLLECT OP LTRS/CORR</t>
  </si>
  <si>
    <t>1993-060903</t>
  </si>
  <si>
    <t>S. KINSLER</t>
  </si>
  <si>
    <t>1993-061001</t>
  </si>
  <si>
    <t>RFO (93-065)</t>
  </si>
  <si>
    <t>RCUH EEO COMPLAINT</t>
  </si>
  <si>
    <t>DISCL. INDIV. INTERVIEWED</t>
  </si>
  <si>
    <t>1993-061401</t>
  </si>
  <si>
    <t>RFO (93-066)</t>
  </si>
  <si>
    <t>PLAN-H</t>
  </si>
  <si>
    <t>MEMBERSHIP LIST</t>
  </si>
  <si>
    <t>STANDING FOR CONTESTED CASE</t>
  </si>
  <si>
    <t>1993-061501</t>
  </si>
  <si>
    <t>RFO (93-067)</t>
  </si>
  <si>
    <t>ERS/D.BYRNE</t>
  </si>
  <si>
    <t>AGENDA ITEM DOCS.</t>
  </si>
  <si>
    <t>1993-061602</t>
  </si>
  <si>
    <t>HAWAII INC</t>
  </si>
  <si>
    <t>REQUESTER ID</t>
  </si>
  <si>
    <t>1993-061703</t>
  </si>
  <si>
    <t>RFO (93-068)</t>
  </si>
  <si>
    <t>IFB FIN DOCS</t>
  </si>
  <si>
    <t>1993-062101</t>
  </si>
  <si>
    <t>UH SEXUAL HARASSMENT</t>
  </si>
  <si>
    <t>SETTLEMENT PROPOSAL</t>
  </si>
  <si>
    <t>1993-062102</t>
  </si>
  <si>
    <t>AIR QUALITY</t>
  </si>
  <si>
    <t>1993-062201</t>
  </si>
  <si>
    <t>RFO (93-070)</t>
  </si>
  <si>
    <t>ETHICS COMM NOMINEE LIST</t>
  </si>
  <si>
    <t>PUB/CONF</t>
  </si>
  <si>
    <t>1993-062301</t>
  </si>
  <si>
    <t>STEVEN PHILLIPS UIPA REQUEST</t>
  </si>
  <si>
    <t>REPLY FROM AGENCY</t>
  </si>
  <si>
    <t>1993-063402</t>
  </si>
  <si>
    <t>RFO (93-071)</t>
  </si>
  <si>
    <t>INMATE CELL INSPECT. RPT</t>
  </si>
  <si>
    <t>LIBRARY CASSETTE INDEX</t>
  </si>
  <si>
    <t>1993-062502</t>
  </si>
  <si>
    <t>RFO (93-072)</t>
  </si>
  <si>
    <t>ACCESS TO INVESTIG RPT</t>
  </si>
  <si>
    <t>GRIEVANCE/HALAWA</t>
  </si>
  <si>
    <t>1993-062503</t>
  </si>
  <si>
    <t>RFO (93-073)</t>
  </si>
  <si>
    <t>JUDICIAL COUNCIL</t>
  </si>
  <si>
    <t>1993-062801</t>
  </si>
  <si>
    <t>RFO (93-074)</t>
  </si>
  <si>
    <t>ANIMAL CARE ADVISORY COMMITTEE</t>
  </si>
  <si>
    <t>DISCL. OF MINUTES</t>
  </si>
  <si>
    <t>1993-070101</t>
  </si>
  <si>
    <t>RFO (93-075)</t>
  </si>
  <si>
    <t>HALAWA PROCEDURES</t>
  </si>
  <si>
    <t>MISCONDUCT HERGS.</t>
  </si>
  <si>
    <t>1993-070102</t>
  </si>
  <si>
    <t>RFO (93-076)</t>
  </si>
  <si>
    <t>ACT 191 - FORMAL CHARGES</t>
  </si>
  <si>
    <t>INTERPRETATION</t>
  </si>
  <si>
    <t>1993-070103</t>
  </si>
  <si>
    <t>RFO (93-077)</t>
  </si>
  <si>
    <t>UH/BEV KEEVER</t>
  </si>
  <si>
    <t>1993-070105</t>
  </si>
  <si>
    <t>RFO (93-078)</t>
  </si>
  <si>
    <t>MINUTES OF MTGS.</t>
  </si>
  <si>
    <t>1993-070602</t>
  </si>
  <si>
    <t>RFO (93-079)</t>
  </si>
  <si>
    <t>CIV SER -H</t>
  </si>
  <si>
    <t>MAYOR'S DEC. IN GRIEVANCE</t>
  </si>
  <si>
    <t>HI CNTY/UPW</t>
  </si>
  <si>
    <t>WKP</t>
  </si>
  <si>
    <t>LLA/RJP/CMD/CLT</t>
  </si>
  <si>
    <t>1993-070801</t>
  </si>
  <si>
    <t>RFO (93-080)</t>
  </si>
  <si>
    <t>ENVIRON. ACCESS PUBLICATION</t>
  </si>
  <si>
    <t>SURVEY RESPONSES</t>
  </si>
  <si>
    <t>1993-071201</t>
  </si>
  <si>
    <t>RFO (93-081)</t>
  </si>
  <si>
    <t>CAMPAIGN SPENDING COMM NOMINEES</t>
  </si>
  <si>
    <t>1993-072001</t>
  </si>
  <si>
    <t>RFO (93-082)</t>
  </si>
  <si>
    <t>INVOICE/BUG SWEEP</t>
  </si>
  <si>
    <t>GRAND JURY</t>
  </si>
  <si>
    <t>1993-072002</t>
  </si>
  <si>
    <t>RFO (93-083)</t>
  </si>
  <si>
    <t>EXEC. SESS. MINUTES</t>
  </si>
  <si>
    <t>OF ERS</t>
  </si>
  <si>
    <t>RJP/JMLC</t>
  </si>
  <si>
    <t>1993-072003</t>
  </si>
  <si>
    <t>AG HCJDC</t>
  </si>
  <si>
    <t>SUNSHINE LAW COMM.</t>
  </si>
  <si>
    <t>SURVEY</t>
  </si>
  <si>
    <t>1993-072101</t>
  </si>
  <si>
    <t>RFO (93-084)</t>
  </si>
  <si>
    <t>DESIGN CONCIL. PANEL</t>
  </si>
  <si>
    <t>REC REQUEST/D. WHITNEY</t>
  </si>
  <si>
    <t>1993-072008</t>
  </si>
  <si>
    <t>RE ERS</t>
  </si>
  <si>
    <t>1993-071403</t>
  </si>
  <si>
    <t>ATTEND SETTLEMENT CONFERENCE</t>
  </si>
  <si>
    <t>UHPA/HGEA/UH CASES</t>
  </si>
  <si>
    <t>1993-072103</t>
  </si>
  <si>
    <t>REVIEW SETTLEMENT PROPOSALS</t>
  </si>
  <si>
    <t>UHPA &amp; HGEA</t>
  </si>
  <si>
    <t>1993-072106</t>
  </si>
  <si>
    <t>EVALUATION</t>
  </si>
  <si>
    <t>LAW CLERK</t>
  </si>
  <si>
    <t>1993-072102</t>
  </si>
  <si>
    <t>RFO (93-085)</t>
  </si>
  <si>
    <t>DUE DILIGENCE SEARCHES</t>
  </si>
  <si>
    <t>ON CORPS. BY PRIV. INVESTIG.</t>
  </si>
  <si>
    <t>1993-072701</t>
  </si>
  <si>
    <t>SOC SERV/GLENN GRAYSON</t>
  </si>
  <si>
    <t>PAROLE INFO</t>
  </si>
  <si>
    <t>1993-073001</t>
  </si>
  <si>
    <t>RFO (93-086)</t>
  </si>
  <si>
    <t>HFDC UNSOLICITED PROPOSAL</t>
  </si>
  <si>
    <t>KAPOLEI GOLF COURSE</t>
  </si>
  <si>
    <t>1993-080203</t>
  </si>
  <si>
    <t>RFO (93-088)</t>
  </si>
  <si>
    <t>WORKER'S COMP.</t>
  </si>
  <si>
    <t>UPW-SAFETY BINGO</t>
  </si>
  <si>
    <t>1993-081303</t>
  </si>
  <si>
    <t>RFO (93-092)</t>
  </si>
  <si>
    <t>IDENTIFICATION REQUESTED</t>
  </si>
  <si>
    <t>CIR. CT. FILE ROOM</t>
  </si>
  <si>
    <t>1993-080501</t>
  </si>
  <si>
    <t>RFO (93-089)</t>
  </si>
  <si>
    <t>RCUH HYPERBARIC ISSUE</t>
  </si>
  <si>
    <t>DISCLOSURE RE "BENDS"</t>
  </si>
  <si>
    <t>1993-080507</t>
  </si>
  <si>
    <t>PSD POLICY</t>
  </si>
  <si>
    <t>REVIEW/COMMENT</t>
  </si>
  <si>
    <t>1993-081101</t>
  </si>
  <si>
    <t>RFO (93-090)</t>
  </si>
  <si>
    <t>STD CLINICS/ASSAULT</t>
  </si>
  <si>
    <t>POLICE INVESTIGATION</t>
  </si>
  <si>
    <t>1993-081703</t>
  </si>
  <si>
    <t>UH NEWS ARTICLE</t>
  </si>
  <si>
    <t>RE SEXUAL HARRAS. CASES</t>
  </si>
  <si>
    <t>1993-082301</t>
  </si>
  <si>
    <t>RFO (93-093)</t>
  </si>
  <si>
    <t>AFIS/HCJDC</t>
  </si>
  <si>
    <t>JUVENILE FINGERPRINT INFO</t>
  </si>
  <si>
    <t>1993-082304</t>
  </si>
  <si>
    <t>INFO RE PRISON EES</t>
  </si>
  <si>
    <t>REQUEST BY INMATE</t>
  </si>
  <si>
    <t>1993-082305</t>
  </si>
  <si>
    <t>MAIL CENSORING</t>
  </si>
  <si>
    <t>INMATE REQUEST</t>
  </si>
  <si>
    <t>1993-082401</t>
  </si>
  <si>
    <t>RFO (93-094)</t>
  </si>
  <si>
    <t>PSD POLICIES</t>
  </si>
  <si>
    <t>1993-082501</t>
  </si>
  <si>
    <t>EXISTING RECORDS</t>
  </si>
  <si>
    <t>1993-082601</t>
  </si>
  <si>
    <t>RFO (93-095)</t>
  </si>
  <si>
    <t>ACCESS TO AG TIMESHEETS</t>
  </si>
  <si>
    <t>RE SUNSHINE LAW INVESTIG.</t>
  </si>
  <si>
    <t>1993-090101</t>
  </si>
  <si>
    <t>RFO (93-096)</t>
  </si>
  <si>
    <t>CORP CNSL-M</t>
  </si>
  <si>
    <t>MAUI CONTRACTS FOR ATTYS</t>
  </si>
  <si>
    <t>ATTY/CLIENT ISSUE</t>
  </si>
  <si>
    <t>1993-090102</t>
  </si>
  <si>
    <t>DOA/TRADE SECRET/EKHOLM</t>
  </si>
  <si>
    <t>MICROORGANISMS</t>
  </si>
  <si>
    <t>1993-090802</t>
  </si>
  <si>
    <t>DRAFT PSD POLICY</t>
  </si>
  <si>
    <t>1993-090901</t>
  </si>
  <si>
    <t>RFO (93-097)</t>
  </si>
  <si>
    <t>PRESENTENCE RPT</t>
  </si>
  <si>
    <t>1993-090902</t>
  </si>
  <si>
    <t>RFO (93-098)</t>
  </si>
  <si>
    <t>CITY ETHICS COMM.</t>
  </si>
  <si>
    <t>RELEASE OF OP.LTRS</t>
  </si>
  <si>
    <t>1993-090903</t>
  </si>
  <si>
    <t>DOTX OP. LTRS</t>
  </si>
  <si>
    <t>LEGIS AMEND.</t>
  </si>
  <si>
    <t>1993-091002</t>
  </si>
  <si>
    <t>RFO (93-099)</t>
  </si>
  <si>
    <t>BIG ISLE SPACE PORT</t>
  </si>
  <si>
    <t>SECRET DATA</t>
  </si>
  <si>
    <t>1993-091307</t>
  </si>
  <si>
    <t>REFER LTR TO ANOTHER</t>
  </si>
  <si>
    <t>RE: RAFFLES/LOTTERIES</t>
  </si>
  <si>
    <t>1993-091601</t>
  </si>
  <si>
    <t>REQUEST FORWARDED BY LIBRARY</t>
  </si>
  <si>
    <t>FOR INFO RE CIRCULATION RECORDS</t>
  </si>
  <si>
    <t>1993-091501</t>
  </si>
  <si>
    <t>RFO (93-100)</t>
  </si>
  <si>
    <t>ACCESS TO INMATE RECORDS</t>
  </si>
  <si>
    <t>SEX OFFENDER TREATMENT PROGRAM</t>
  </si>
  <si>
    <t>1993-091701</t>
  </si>
  <si>
    <t>JUVENILE FINGERPRINT LEGISLATION</t>
  </si>
  <si>
    <t>AUTOMATED FINGERPRINT I.D. SYSTEM</t>
  </si>
  <si>
    <t>1993-091703</t>
  </si>
  <si>
    <t>RFO (93-102)</t>
  </si>
  <si>
    <t>KAUAI COUNTY POLICE RECORDS</t>
  </si>
  <si>
    <t>JUVENILES</t>
  </si>
  <si>
    <t>1993-091702</t>
  </si>
  <si>
    <t>RFO (93-101)</t>
  </si>
  <si>
    <t>COURT CASE FILES</t>
  </si>
  <si>
    <t>NON ADMINISTRATIVE RECORDS</t>
  </si>
  <si>
    <t>1993-092201</t>
  </si>
  <si>
    <t>RFO (93-103)</t>
  </si>
  <si>
    <t>HPD PSYCHOLOGICAL TESTING/EVAL.</t>
  </si>
  <si>
    <t>1993-081203</t>
  </si>
  <si>
    <t>RFO (93-091)</t>
  </si>
  <si>
    <t>NATIVE HI LEGAL CORP/HHL</t>
  </si>
  <si>
    <t>NON-COMPLIANCE W/REQUEST</t>
  </si>
  <si>
    <t>1993-092001</t>
  </si>
  <si>
    <t>RFO (93-106)</t>
  </si>
  <si>
    <t>ERS RECORDS</t>
  </si>
  <si>
    <t>SUMMARY OF REQUESTS</t>
  </si>
  <si>
    <t>1993-092301</t>
  </si>
  <si>
    <t>RFO (93-104)</t>
  </si>
  <si>
    <t>PRISON POLICIES</t>
  </si>
  <si>
    <t>INMATE SECURITY CLASSIFICATION</t>
  </si>
  <si>
    <t>1993-092403</t>
  </si>
  <si>
    <t>RFO (93-107)</t>
  </si>
  <si>
    <t>"AGENCY" DEFINITION; COMM. ON JUD</t>
  </si>
  <si>
    <t>CONDUCT; BE OF EXAM; DISCIPL. BD.</t>
  </si>
  <si>
    <t>RFO (93-108)</t>
  </si>
  <si>
    <t>MAYOR-HON</t>
  </si>
  <si>
    <t>OFFICE OF MAYOR</t>
  </si>
  <si>
    <t>1993-112401</t>
  </si>
  <si>
    <t>TAX BILL RE OP. LTRS</t>
  </si>
  <si>
    <t>WHEN TO DISCLOSE</t>
  </si>
  <si>
    <t>1993-092702</t>
  </si>
  <si>
    <t>REQUEST TO RECONSIDER</t>
  </si>
  <si>
    <t>OP LTR 93-6/SEC 436b-8.5</t>
  </si>
  <si>
    <t>1993-092704</t>
  </si>
  <si>
    <t>RFO (93-110)</t>
  </si>
  <si>
    <t>POLICE INVESTIGATION RPT.</t>
  </si>
  <si>
    <t>MINN. SENATOR'S INQUIRY</t>
  </si>
  <si>
    <t>1993-092703</t>
  </si>
  <si>
    <t>RFO (93-111)</t>
  </si>
  <si>
    <t>SEX OFFENDER CUSTODY FORM</t>
  </si>
  <si>
    <t>REVIEW RE UIPA COMPLIANCE</t>
  </si>
  <si>
    <t>1993-092901</t>
  </si>
  <si>
    <t>RFO (93-112)</t>
  </si>
  <si>
    <t>JUDICIAL COUNCIL OP LTR 93-13</t>
  </si>
  <si>
    <t>CLARIFICATION RE RETROACTIVITY</t>
  </si>
  <si>
    <t>1993-092701</t>
  </si>
  <si>
    <t>RFO (93-109)</t>
  </si>
  <si>
    <t>BIDS AND CONTRACTS</t>
  </si>
  <si>
    <t>W/DATA HOUSE 1980-PRESENT</t>
  </si>
  <si>
    <t>1992-092906</t>
  </si>
  <si>
    <t>RFO (93-113)</t>
  </si>
  <si>
    <t>HAWAII BOND ISSUES</t>
  </si>
  <si>
    <t>AGMTS W/FIRMS</t>
  </si>
  <si>
    <t>1993-093001</t>
  </si>
  <si>
    <t>RFO (93-114)</t>
  </si>
  <si>
    <t>DOH &amp; SEC. 8 POLICIES/PROC.</t>
  </si>
  <si>
    <t>RE CMI ELIGIBILITY ETC.</t>
  </si>
  <si>
    <t>1993-093093</t>
  </si>
  <si>
    <t>RFO (93-115)</t>
  </si>
  <si>
    <t>HI SOVEREIGNTY ADV. COMM.</t>
  </si>
  <si>
    <t>RESUMES OF MEMBERS</t>
  </si>
  <si>
    <t>1993-100101</t>
  </si>
  <si>
    <t>CT CASE</t>
  </si>
  <si>
    <t>SETTLEMENT AGMT REVIEW</t>
  </si>
  <si>
    <t>HGEA/UH SEX HARASS. CASE</t>
  </si>
  <si>
    <t>1993-100102</t>
  </si>
  <si>
    <t>RFO (93-116)</t>
  </si>
  <si>
    <t>LIST OF BUS. CONDUCT MV</t>
  </si>
  <si>
    <t>SAFETY INSPECTIONS &amp; SEP RPT</t>
  </si>
  <si>
    <t>1993-100103</t>
  </si>
  <si>
    <t>RFO (93-117)</t>
  </si>
  <si>
    <t>HGEA SEX HARASS CASE</t>
  </si>
  <si>
    <t>NEED OIP OP LTR TO SETTLE CASE</t>
  </si>
  <si>
    <t>1993-100601</t>
  </si>
  <si>
    <t>RFO (93-118)</t>
  </si>
  <si>
    <t>SOVEREIGNTY ADVISORY COMM</t>
  </si>
  <si>
    <t>COMM MEMBERS' RESUMES</t>
  </si>
  <si>
    <t>1993-100602</t>
  </si>
  <si>
    <t>RFO (93-119)</t>
  </si>
  <si>
    <t>DCCA-CATV</t>
  </si>
  <si>
    <t>AKAKU: MAUI COMMUNITY TV</t>
  </si>
  <si>
    <t>IS IT AN "AGENCY"</t>
  </si>
  <si>
    <t>1993-101202</t>
  </si>
  <si>
    <t>RFO (93-120)</t>
  </si>
  <si>
    <t>LTR TO JUDGE HEELY</t>
  </si>
  <si>
    <t>RE CRIM CHGS AG INDIV</t>
  </si>
  <si>
    <t>1993-101203</t>
  </si>
  <si>
    <t>RFO (93-121)</t>
  </si>
  <si>
    <t>ELECTRONIC ACCESS</t>
  </si>
  <si>
    <t>ROSTER OF PROFESSIONAL LICENSEES</t>
  </si>
  <si>
    <t>1993-101404</t>
  </si>
  <si>
    <t>LTR FROM INMATE</t>
  </si>
  <si>
    <t>RE COPYING FEES</t>
  </si>
  <si>
    <t>1993-101405</t>
  </si>
  <si>
    <t>RFO (93-122)</t>
  </si>
  <si>
    <t>DLIR OSHA RECORDS</t>
  </si>
  <si>
    <t>INVESTIGATION RPT</t>
  </si>
  <si>
    <t>1993-101504</t>
  </si>
  <si>
    <t>RFO (93-123)</t>
  </si>
  <si>
    <t>OAHU TRANSIT GROUP'S</t>
  </si>
  <si>
    <t>CLAIM AG. CITY</t>
  </si>
  <si>
    <t>1993-093003</t>
  </si>
  <si>
    <t>HHA/DOH POLICIES RE</t>
  </si>
  <si>
    <t>ELIGIBILITY HSG/MENTAL HEALTH</t>
  </si>
  <si>
    <t>1993-102003</t>
  </si>
  <si>
    <t>FY 92-93</t>
  </si>
  <si>
    <t>VOLUNTEER SURVEY</t>
  </si>
  <si>
    <t>1993-102101</t>
  </si>
  <si>
    <t>COMPUTER PROJECT REPORT</t>
  </si>
  <si>
    <t>1993-95 FISCAL BIENNIUM</t>
  </si>
  <si>
    <t>1993-102102</t>
  </si>
  <si>
    <t>RFO (93-124)</t>
  </si>
  <si>
    <t>HALAWA CORR. FACIL.</t>
  </si>
  <si>
    <t>ACCESS TO DIRECTORIES/PHONE BOOKS</t>
  </si>
  <si>
    <t>1993-102201</t>
  </si>
  <si>
    <t>QTRLY RPT TO GOV</t>
  </si>
  <si>
    <t>RE DATA PROCESSING KS</t>
  </si>
  <si>
    <t>1993-102205</t>
  </si>
  <si>
    <t>RFO (93-126)</t>
  </si>
  <si>
    <t>OMBUDSMAN'S OFFICE RPT.</t>
  </si>
  <si>
    <t>EE MISCONDUCT SUMMARIES</t>
  </si>
  <si>
    <t>1993-102204</t>
  </si>
  <si>
    <t>RFO (93-125)</t>
  </si>
  <si>
    <t>COMPLAINT RE B&amp;F/ERS FAILURE</t>
  </si>
  <si>
    <t>TO RESPOND TO D. BYRNE</t>
  </si>
  <si>
    <t>1993-102601</t>
  </si>
  <si>
    <t>RFO (93-128)</t>
  </si>
  <si>
    <t>KAUAI POLICE ARREST LOG</t>
  </si>
  <si>
    <t>KAUAI POLICE DAILY BULLETIN</t>
  </si>
  <si>
    <t>1993-102004</t>
  </si>
  <si>
    <t>DEFERRED COMPENSATION MEETING</t>
  </si>
  <si>
    <t>OIP LIST</t>
  </si>
  <si>
    <t>1993-102702</t>
  </si>
  <si>
    <t>RFO (93-129)</t>
  </si>
  <si>
    <t>DLIR ENFORCEMENT DIV.</t>
  </si>
  <si>
    <t>INVESTIGATIVE RECORDS</t>
  </si>
  <si>
    <t>1993-102703</t>
  </si>
  <si>
    <t>RFO (93-130)</t>
  </si>
  <si>
    <t>UH ETHICS COMMITTEE</t>
  </si>
  <si>
    <t>INVESTIGATE RECORDS DISCLOSURE Q</t>
  </si>
  <si>
    <t>1993-102801</t>
  </si>
  <si>
    <t>NAT'L MARINE FISHERIES SERVICE</t>
  </si>
  <si>
    <t>REVIEW REVISED AGMT</t>
  </si>
  <si>
    <t>1993-102902</t>
  </si>
  <si>
    <t>RFO (93-131)</t>
  </si>
  <si>
    <t>DEMAND LTR TO ERS/B&amp;F</t>
  </si>
  <si>
    <t>FAILURE TO RESPOND TO D. BYRNE</t>
  </si>
  <si>
    <t>1993-110202</t>
  </si>
  <si>
    <t>RFO (93-132)</t>
  </si>
  <si>
    <t>CRIMINAL INVESTIGATION FAMILY</t>
  </si>
  <si>
    <t>CRISIS SHELTER WITNESS STATEMENTS</t>
  </si>
  <si>
    <t>1993-110301</t>
  </si>
  <si>
    <t>RFO (93-133)</t>
  </si>
  <si>
    <t>ACT 191 INFO/HPD</t>
  </si>
  <si>
    <t>EXCESSIVE SEARCH FEES</t>
  </si>
  <si>
    <t>1993-110306</t>
  </si>
  <si>
    <t>RFO (93-134)</t>
  </si>
  <si>
    <t>WASTE HOTLINE</t>
  </si>
  <si>
    <t>COMPLAINT SUMMARIES</t>
  </si>
  <si>
    <t>1993-110802</t>
  </si>
  <si>
    <t>RFO (93-136)</t>
  </si>
  <si>
    <t>COURT APPEARANCE/TRANSPORTATION</t>
  </si>
  <si>
    <t>1993-110803</t>
  </si>
  <si>
    <t>RFO (93-135)</t>
  </si>
  <si>
    <t>UH-HILO INCIDENT RPTS</t>
  </si>
  <si>
    <t>ACCESS DENIED/STUDENT PAPER</t>
  </si>
  <si>
    <t>1993-111502</t>
  </si>
  <si>
    <t>DPS PERSONNEL NEWS</t>
  </si>
  <si>
    <t>REDUCED COUNTY</t>
  </si>
  <si>
    <t>1993-111501</t>
  </si>
  <si>
    <t>RFO (93-137)</t>
  </si>
  <si>
    <t>JUDICIAL SELECTION</t>
  </si>
  <si>
    <t>NOMINEE LISTS OF 6</t>
  </si>
  <si>
    <t>1993-111601</t>
  </si>
  <si>
    <t>RFO (93-138)</t>
  </si>
  <si>
    <t>UH SEXUAL HARASS. INVESTIG.</t>
  </si>
  <si>
    <t>CLAIM CHILLS FREEDOM OF SPEECH</t>
  </si>
  <si>
    <t>1993-111602</t>
  </si>
  <si>
    <t>RFO (93-139)</t>
  </si>
  <si>
    <t>UH ETHICS COMMISSION</t>
  </si>
  <si>
    <t>CHARGES AGAINST UH EMPLOYEE</t>
  </si>
  <si>
    <t>1993-111603</t>
  </si>
  <si>
    <t>RFO (93-140)</t>
  </si>
  <si>
    <t>MOLOKAI VISITOR ASSOC.</t>
  </si>
  <si>
    <t>ACCESS TO FINANCIAL RECORDS</t>
  </si>
  <si>
    <t>1993-111701</t>
  </si>
  <si>
    <t>RFO (93-141)</t>
  </si>
  <si>
    <t>ETHICS-M</t>
  </si>
  <si>
    <t>MAUI BRD ETHICS/COUNCIL REQUEST</t>
  </si>
  <si>
    <t>DATE OF FILING FINANCIAL DISCL.</t>
  </si>
  <si>
    <t>1993-111801</t>
  </si>
  <si>
    <t>RFO (93-142)</t>
  </si>
  <si>
    <t>REQUEST TO INSPECT PERSONAL FILES</t>
  </si>
  <si>
    <t>POSITION UPGRADE DOCUMENTS</t>
  </si>
  <si>
    <t>1993-111802</t>
  </si>
  <si>
    <t>RFO (93-143)</t>
  </si>
  <si>
    <t>CAMPAIGN SPENDING COMM.</t>
  </si>
  <si>
    <t>JUDICIAL COUNCIL NOMINEES</t>
  </si>
  <si>
    <t>1993-111901</t>
  </si>
  <si>
    <t>RFO (93-144)</t>
  </si>
  <si>
    <t>DPS PHOTOGRAPHS</t>
  </si>
  <si>
    <t>CURRENT FORMER INMATES</t>
  </si>
  <si>
    <t>LJL/JEC/GLF</t>
  </si>
  <si>
    <t>1993-112901</t>
  </si>
  <si>
    <t>INFORMATION REQUEST</t>
  </si>
  <si>
    <t>1993-111902</t>
  </si>
  <si>
    <t>RFO (93-145)</t>
  </si>
  <si>
    <t>COURT REPORTER</t>
  </si>
  <si>
    <t>TRANSCRIPTS</t>
  </si>
  <si>
    <t>1993-112201</t>
  </si>
  <si>
    <t>RFO (93-146)</t>
  </si>
  <si>
    <t>1993-112601</t>
  </si>
  <si>
    <t>RFO (93-147)</t>
  </si>
  <si>
    <t>MEDICAL RECORDS</t>
  </si>
  <si>
    <t>RJP/JMLC/JEC/GLF</t>
  </si>
  <si>
    <t>1993-120806</t>
  </si>
  <si>
    <t>RFO (93-148)</t>
  </si>
  <si>
    <t>TOM MOORE ACCESS TO</t>
  </si>
  <si>
    <t>OWN HSG FILE (C&amp;C)</t>
  </si>
  <si>
    <t>1993-120902</t>
  </si>
  <si>
    <t>LTR TO ROWENA AKANA NO OIP</t>
  </si>
  <si>
    <t>JURISDICTION OVER OPEN MEETING LAWS</t>
  </si>
  <si>
    <t>1993-121402</t>
  </si>
  <si>
    <t>RFO (93-150)</t>
  </si>
  <si>
    <t>CONTRACT RENEWAL EVALUATION</t>
  </si>
  <si>
    <t>1993-121403</t>
  </si>
  <si>
    <t>RFO (93-149)</t>
  </si>
  <si>
    <t>JUDICIAL SELECTION COMM</t>
  </si>
  <si>
    <t>LIST OF 6 NOMINEES</t>
  </si>
  <si>
    <t>1993-121602</t>
  </si>
  <si>
    <t>RFO (93-151)</t>
  </si>
  <si>
    <t>ETHICS-H</t>
  </si>
  <si>
    <t>BIG ISLE BOARD OF ETHICS</t>
  </si>
  <si>
    <t>PETITION &amp; OP. LTR.</t>
  </si>
  <si>
    <t>1993-122001</t>
  </si>
  <si>
    <t>RFO (93-152)</t>
  </si>
  <si>
    <t>DENIAL OF ACCESS TO DLIR</t>
  </si>
  <si>
    <t>WORKERS COMP. FILE</t>
  </si>
  <si>
    <t>1993-122201</t>
  </si>
  <si>
    <t>COPIES</t>
  </si>
  <si>
    <t>1993-122202</t>
  </si>
  <si>
    <t>RFO (93-153)</t>
  </si>
  <si>
    <t>MAUI COUNTY ETHICS COMMISSION</t>
  </si>
  <si>
    <t>COUNCIL REQUEST FOR FINANCIAL DISCL</t>
  </si>
  <si>
    <t>1993-122203</t>
  </si>
  <si>
    <t>RFO (93-154)</t>
  </si>
  <si>
    <t>BLDG-HON</t>
  </si>
  <si>
    <t>BLDG NOTICES OF VIOLATION</t>
  </si>
  <si>
    <t>W/PROSECUTORS OFFICE</t>
  </si>
  <si>
    <t>1993-122801</t>
  </si>
  <si>
    <t>RFO (93-155)</t>
  </si>
  <si>
    <t>NO RESPONSE/RECORD REQUEST</t>
  </si>
  <si>
    <t>DHS RECORDS</t>
  </si>
  <si>
    <t>1993-122802</t>
  </si>
  <si>
    <t>RFO (93-156)</t>
  </si>
  <si>
    <t>INMATE ACCESS TO</t>
  </si>
  <si>
    <t>LIBRARY RECORDS</t>
  </si>
  <si>
    <t>1993-123012</t>
  </si>
  <si>
    <t>RFO (93-157)</t>
  </si>
  <si>
    <t>RPT ON FAMILY CRISIS SHELTER</t>
  </si>
  <si>
    <t>COORDINATE W/SOC. SERVS.</t>
  </si>
  <si>
    <t>1994-011001</t>
  </si>
  <si>
    <t>RFO (94-002)</t>
  </si>
  <si>
    <t>LEG-LRB</t>
  </si>
  <si>
    <t>ACCESS TO HRS/ELECTRONIC FORM</t>
  </si>
  <si>
    <t>SECS. 21D-3 &amp; 21D-4 HRS</t>
  </si>
  <si>
    <t>1994-011002</t>
  </si>
  <si>
    <t>RFO (94-003)</t>
  </si>
  <si>
    <t>VILLAGES OF KAPOLEI</t>
  </si>
  <si>
    <t>1994-011202</t>
  </si>
  <si>
    <t>RFO (94-004)</t>
  </si>
  <si>
    <t>LIQUOR LICENSE PROTEST PETITION</t>
  </si>
  <si>
    <t>1994-011103</t>
  </si>
  <si>
    <t>CORR RELATED TO RFO 93-142</t>
  </si>
  <si>
    <t>DBED/HAMID JAHANMIR</t>
  </si>
  <si>
    <t>1994-011206</t>
  </si>
  <si>
    <t>1994-011205</t>
  </si>
  <si>
    <t>RFO (94-005)</t>
  </si>
  <si>
    <t>HAWAII CIVIL RIGHTS COMMISSION</t>
  </si>
  <si>
    <t>PROCEDURES MANUAL</t>
  </si>
  <si>
    <t>1994-011302</t>
  </si>
  <si>
    <t>OMBUDSMAN/ALBERTINI</t>
  </si>
  <si>
    <t>SEND INFO/ONGOING</t>
  </si>
  <si>
    <t>RJP, MKH/JEC/GLF</t>
  </si>
  <si>
    <t>1994-011901</t>
  </si>
  <si>
    <t>REVIEW REVISED TAX BILL</t>
  </si>
  <si>
    <t>RE WRITTEN OPINIONS</t>
  </si>
  <si>
    <t>1994-011902</t>
  </si>
  <si>
    <t>RFO (94-006)</t>
  </si>
  <si>
    <t>TRAFFIC ACCIDENT RPTS</t>
  </si>
  <si>
    <t>WITNESS IDENTITY</t>
  </si>
  <si>
    <t>1994-012101</t>
  </si>
  <si>
    <t>RFO (94-007)</t>
  </si>
  <si>
    <t>DOT PALI TREE CUTTING</t>
  </si>
  <si>
    <t>NUMBER OF CLAIMS AGAINST STATE</t>
  </si>
  <si>
    <t>1994-012103</t>
  </si>
  <si>
    <t>MOLOKAI OFFICE</t>
  </si>
  <si>
    <t>1994-012104</t>
  </si>
  <si>
    <t>RRS QUESTIONS POSED BY DOTX</t>
  </si>
  <si>
    <t>STELLA S. YOU</t>
  </si>
  <si>
    <t>JMY</t>
  </si>
  <si>
    <t>1994-020201</t>
  </si>
  <si>
    <t>RFO (94-008)</t>
  </si>
  <si>
    <t>TAPES OF BOARD MEETINGS</t>
  </si>
  <si>
    <t>ACCESS/DESTRUCTION</t>
  </si>
  <si>
    <t>1994-020203</t>
  </si>
  <si>
    <t>RFO (94-009)</t>
  </si>
  <si>
    <t>UH SEXUAL HARASSMENT PROCEDURES</t>
  </si>
  <si>
    <t>DISCL OF INTERNAL INVESTIG RPT</t>
  </si>
  <si>
    <t>1994-020204</t>
  </si>
  <si>
    <t>RFO (94-010)</t>
  </si>
  <si>
    <t>CLARIFICATION OP LTR 90-38</t>
  </si>
  <si>
    <t>ESCHEATED WARRANT RPTS</t>
  </si>
  <si>
    <t>1994-020205</t>
  </si>
  <si>
    <t>RFO (94-011)</t>
  </si>
  <si>
    <t>STATE &amp; COUNTY BONDS</t>
  </si>
  <si>
    <t>DISCL NAMES ADDRESS $AMOUNT</t>
  </si>
  <si>
    <t>1994-020901</t>
  </si>
  <si>
    <t>AGREEMENT BETWEEN BLNR AND</t>
  </si>
  <si>
    <t>NATIONAL MARINE FISHERIES</t>
  </si>
  <si>
    <t>1994-020801</t>
  </si>
  <si>
    <t>RFO (94-012)</t>
  </si>
  <si>
    <t>MAUI ETHICS COMM LISTING OF</t>
  </si>
  <si>
    <t>WHO FILED CONFID FINANCIAL DISCL</t>
  </si>
  <si>
    <t>1992-021501</t>
  </si>
  <si>
    <t>RFO (94-013)</t>
  </si>
  <si>
    <t>STATE WATER CODE REVIEW COMMISSION</t>
  </si>
  <si>
    <t>AGENCY/UIPA JURISDICTION</t>
  </si>
  <si>
    <t>1994-021406</t>
  </si>
  <si>
    <t>RFO (94-014)</t>
  </si>
  <si>
    <t>INVASION OF PRIVACY</t>
  </si>
  <si>
    <t>INTRA-AGENCY DISCLOSURE</t>
  </si>
  <si>
    <t>1994-021701</t>
  </si>
  <si>
    <t>RFO (94-015)</t>
  </si>
  <si>
    <t>INMATE'S ACCESS TO</t>
  </si>
  <si>
    <t>1994-022202</t>
  </si>
  <si>
    <t>RFO (94-016)</t>
  </si>
  <si>
    <t>SUPPLEMENTAL HOMICIDE REPORTS</t>
  </si>
  <si>
    <t>FROM BOB MARKS, AG</t>
  </si>
  <si>
    <t>1994-022206</t>
  </si>
  <si>
    <t>RFO (94-017)</t>
  </si>
  <si>
    <t>INFO RE UH HIRING ANNOUNCEMENTS</t>
  </si>
  <si>
    <t>REFER TO PROPER AGENCY</t>
  </si>
  <si>
    <t>1994-022501</t>
  </si>
  <si>
    <t>RFO (94-018)</t>
  </si>
  <si>
    <t>DEPT ATTY GEN/NO RESPONSE RE</t>
  </si>
  <si>
    <t>REQUEST FOR AFFIRMATIVE ACTION PLAN</t>
  </si>
  <si>
    <t>1994-030901</t>
  </si>
  <si>
    <t>RFO (94-022)</t>
  </si>
  <si>
    <t>MMPI AT HPD</t>
  </si>
  <si>
    <t>PART III REQUEST R. DEAL</t>
  </si>
  <si>
    <t>1994-030101</t>
  </si>
  <si>
    <t>HPD MMPI RPTS</t>
  </si>
  <si>
    <t>LEWIS W. POE</t>
  </si>
  <si>
    <t>1994-030104</t>
  </si>
  <si>
    <t>RFO (94-019)</t>
  </si>
  <si>
    <t>REQUEST FOR INFO FROM HHA</t>
  </si>
  <si>
    <t>BY JOHN KINGSLEY</t>
  </si>
  <si>
    <t>1994-030201</t>
  </si>
  <si>
    <t>RFO (94-020)</t>
  </si>
  <si>
    <t>POLICE REPORTS</t>
  </si>
  <si>
    <t>INTERAGENCY DISCLOSURE</t>
  </si>
  <si>
    <t>1994-030204</t>
  </si>
  <si>
    <t>RFO (94-021)</t>
  </si>
  <si>
    <t>SHOPO LTR RE UH STUDENT INFO</t>
  </si>
  <si>
    <t>PUBLIC OR CONFIDENTIAL</t>
  </si>
  <si>
    <t>1994-031001</t>
  </si>
  <si>
    <t>RFO (94-023)</t>
  </si>
  <si>
    <t>OMBUDSMAN/CSEA CORR</t>
  </si>
  <si>
    <t>ACCESS TO BY COMPLAINANT</t>
  </si>
  <si>
    <t>1994-031002</t>
  </si>
  <si>
    <t>PUBLIC SAFETY INCIDENT REPORT</t>
  </si>
  <si>
    <t>DRAFT REPLY BY SOCIAL SERVICES</t>
  </si>
  <si>
    <t>1994-031003</t>
  </si>
  <si>
    <t>RFO (94-024)</t>
  </si>
  <si>
    <t>UH ACADEMIC GRIEVANCE PROCEDURES</t>
  </si>
  <si>
    <t>STUDENT CONDUCT CODE RECORDS</t>
  </si>
  <si>
    <t>1994-031401</t>
  </si>
  <si>
    <t>RFO (94-025)</t>
  </si>
  <si>
    <t>IMPORTED GREEN COFFEE BEANS</t>
  </si>
  <si>
    <t>KONA COFFEE COUNCIL/DEPT AG</t>
  </si>
  <si>
    <t>1994-033101</t>
  </si>
  <si>
    <t>RFO (94-029)</t>
  </si>
  <si>
    <t>POLICY &amp; PROC RE INMATE TRANSFER</t>
  </si>
  <si>
    <t>1994-032801</t>
  </si>
  <si>
    <t>RFO (94-027)</t>
  </si>
  <si>
    <t>ARE WORKER'S COMP DECISION PUBLIC</t>
  </si>
  <si>
    <t>ARE WC CASE FILES PUBLIC</t>
  </si>
  <si>
    <t>1994-032803</t>
  </si>
  <si>
    <t>RFO (94-028)</t>
  </si>
  <si>
    <t>SAND ISLAND BUS ASSOC</t>
  </si>
  <si>
    <t>INFO FROM DLNR</t>
  </si>
  <si>
    <t>1994-032806</t>
  </si>
  <si>
    <t>CUST SVC-HON</t>
  </si>
  <si>
    <t>C&amp;C INFO &amp; COMPLAINT</t>
  </si>
  <si>
    <t>OMBUDSMAN/MOORE</t>
  </si>
  <si>
    <t>1994-040508</t>
  </si>
  <si>
    <t>TOM MOORE</t>
  </si>
  <si>
    <t>DOH MEETING RECORDS</t>
  </si>
  <si>
    <t>1994-040509</t>
  </si>
  <si>
    <t>DOH RECORD REVIEW</t>
  </si>
  <si>
    <t>1994-040803</t>
  </si>
  <si>
    <t>RFO (94-030)</t>
  </si>
  <si>
    <t>PHOTOCOPY LOGBOOK</t>
  </si>
  <si>
    <t>HALAWA PRISON</t>
  </si>
  <si>
    <t>1994-040805</t>
  </si>
  <si>
    <t>AG OP LTRS</t>
  </si>
  <si>
    <t>FORMAL/INFORMAL</t>
  </si>
  <si>
    <t>1989-021701</t>
  </si>
  <si>
    <t>RFO (89-002)</t>
  </si>
  <si>
    <t>GOVERNOR'S RECORDS</t>
  </si>
  <si>
    <t>10 YEAR TERM</t>
  </si>
  <si>
    <t>1994-040806</t>
  </si>
  <si>
    <t>RFO (94-031)</t>
  </si>
  <si>
    <t>INMATE FILE</t>
  </si>
  <si>
    <t>1994-040807</t>
  </si>
  <si>
    <t>RFO (94-032)</t>
  </si>
  <si>
    <t>DOE EMPLOYMENT INFO RE</t>
  </si>
  <si>
    <t>PR SPECIALIST POSITION</t>
  </si>
  <si>
    <t>1994-041201</t>
  </si>
  <si>
    <t>RFO (94-033)</t>
  </si>
  <si>
    <t>HPD INTERNAL AFFAIRS REPORT</t>
  </si>
  <si>
    <t>FOR MODAFFERI COURT CASE</t>
  </si>
  <si>
    <t>1989-070501</t>
  </si>
  <si>
    <t>RFO (89-014)</t>
  </si>
  <si>
    <t>HEARINGS &amp; ENFORCEMENT FILES</t>
  </si>
  <si>
    <t>DLIR (CR RF0 90-74)</t>
  </si>
  <si>
    <t>1989-082101</t>
  </si>
  <si>
    <t>RFO (89-033)</t>
  </si>
  <si>
    <t>TRADE SECRETS</t>
  </si>
  <si>
    <t>PEST CONTROL AG DEPT</t>
  </si>
  <si>
    <t>1989-090601</t>
  </si>
  <si>
    <t>RFO (89-040)</t>
  </si>
  <si>
    <t>HAWAII COUNTY POLICE RECORDS</t>
  </si>
  <si>
    <t>1989-100501</t>
  </si>
  <si>
    <t>RFO (89-051)</t>
  </si>
  <si>
    <t>CONSUMER COMPLAINTS</t>
  </si>
  <si>
    <t>1989-080701</t>
  </si>
  <si>
    <t>RFO (89-056)</t>
  </si>
  <si>
    <t>HOSPITAL AUDIT REPORTS</t>
  </si>
  <si>
    <t>1989-101501</t>
  </si>
  <si>
    <t>RFO (89-065)</t>
  </si>
  <si>
    <t>RICO INVESTIGATIVE REPORTS</t>
  </si>
  <si>
    <t>1989-110601</t>
  </si>
  <si>
    <t>RFO (89-076)</t>
  </si>
  <si>
    <t>POLICE RECORDS ACCIDENTS</t>
  </si>
  <si>
    <t>1989-110602</t>
  </si>
  <si>
    <t>RFO (89-077)</t>
  </si>
  <si>
    <t>POLICEC-HON</t>
  </si>
  <si>
    <t>POLICE COMMISSION</t>
  </si>
  <si>
    <t>INVESTIGATIONS CHARGES</t>
  </si>
  <si>
    <t>1989-050801</t>
  </si>
  <si>
    <t>RFO (89-082)</t>
  </si>
  <si>
    <t>LAUNDRY LIST OF QUESTIONS</t>
  </si>
  <si>
    <t>1994-041301</t>
  </si>
  <si>
    <t>RFO (94-034)</t>
  </si>
  <si>
    <t>ASBESTOS LITIGATION INFO REQUEST</t>
  </si>
  <si>
    <t>EXPERTS/CONSULTANT CONTRACTS</t>
  </si>
  <si>
    <t>1994-041303</t>
  </si>
  <si>
    <t>RFO (94-035)</t>
  </si>
  <si>
    <t>SANDALWOOD APTS</t>
  </si>
  <si>
    <t>POLICE REPORT RE "SURVEY"</t>
  </si>
  <si>
    <t>1994-041401</t>
  </si>
  <si>
    <t>RFO (94-036)</t>
  </si>
  <si>
    <t>REGISTERED FIREARMS OWNERS</t>
  </si>
  <si>
    <t>ELECTRONIC LIST FROM HPD</t>
  </si>
  <si>
    <t>1994-041402</t>
  </si>
  <si>
    <t>RFO (94-037)</t>
  </si>
  <si>
    <t>ADULT RESIDENTIAL CARE HOME</t>
  </si>
  <si>
    <t>APPLICATION</t>
  </si>
  <si>
    <t>1994-041406</t>
  </si>
  <si>
    <t>RFO (94-038)</t>
  </si>
  <si>
    <t>DLIR UNEMPLOYMENT INSURANCE</t>
  </si>
  <si>
    <t>ACCESS TO CASE FILE</t>
  </si>
  <si>
    <t>1994-040601</t>
  </si>
  <si>
    <t>RFO (94-026)</t>
  </si>
  <si>
    <t>PUBLIC ACCESS CORPORATION RECORDS</t>
  </si>
  <si>
    <t>REFER TO APPRO AGENCY</t>
  </si>
  <si>
    <t>1994-041803</t>
  </si>
  <si>
    <t>RFO (94-039)</t>
  </si>
  <si>
    <t>HCJDC/OBTS-CCH (RICHARD BORRECA)</t>
  </si>
  <si>
    <t>COMPUTER TAPE/CONVICTION INFO</t>
  </si>
  <si>
    <t>1993-061801</t>
  </si>
  <si>
    <t>RFO (93-069)</t>
  </si>
  <si>
    <t>ANNUAL REPORT; REAL ESTATE FILES</t>
  </si>
  <si>
    <t>1993-080403</t>
  </si>
  <si>
    <t>RFO (93-87)</t>
  </si>
  <si>
    <t>PRESS RELEASES</t>
  </si>
  <si>
    <t>RE CIVIL RIGHTS VIOLATIONS</t>
  </si>
  <si>
    <t>1994-042201</t>
  </si>
  <si>
    <t>RFO (94-041)</t>
  </si>
  <si>
    <t>ACT 191 DISCLOSURES</t>
  </si>
  <si>
    <t>BY UH TO J. BYRNE</t>
  </si>
  <si>
    <t>1989-081701</t>
  </si>
  <si>
    <t>RFO (89-041)</t>
  </si>
  <si>
    <t>NONDISCLOSURE AGMTS</t>
  </si>
  <si>
    <t>PROPRIETARY INFO</t>
  </si>
  <si>
    <t>1989-091301</t>
  </si>
  <si>
    <t>RFO (89-057)</t>
  </si>
  <si>
    <t>LICENSED COMPUTER SERVICE</t>
  </si>
  <si>
    <t>1989-111601</t>
  </si>
  <si>
    <t>RFO (89-084)</t>
  </si>
  <si>
    <t>NONDISCLOSURE AGMT</t>
  </si>
  <si>
    <t>1994-050301</t>
  </si>
  <si>
    <t>DCCA-INS</t>
  </si>
  <si>
    <t>PROPOSED RULES</t>
  </si>
  <si>
    <t>HURRICANE RELIEF</t>
  </si>
  <si>
    <t>1994-042501</t>
  </si>
  <si>
    <t>RFO (94-040)</t>
  </si>
  <si>
    <t>PSD POLICIES &amp; PROCEDURES</t>
  </si>
  <si>
    <t>SEARCHES &amp; INMATE SEARCHES</t>
  </si>
  <si>
    <t>1994-042705</t>
  </si>
  <si>
    <t>RFO (94-042)</t>
  </si>
  <si>
    <t>ACT 191</t>
  </si>
  <si>
    <t>DRUG TESTING SHOPO</t>
  </si>
  <si>
    <t>1994-042901</t>
  </si>
  <si>
    <t>HCRC</t>
  </si>
  <si>
    <t>SB 2949 HCRC</t>
  </si>
  <si>
    <t>1994-042801</t>
  </si>
  <si>
    <t>RFO (94-043)</t>
  </si>
  <si>
    <t>ACADEMIC FREEDOM</t>
  </si>
  <si>
    <t>1994-050201</t>
  </si>
  <si>
    <t>RFO (94-044)</t>
  </si>
  <si>
    <t>FIREARMS</t>
  </si>
  <si>
    <t>1994-050501</t>
  </si>
  <si>
    <t>HB 3190 DOT</t>
  </si>
  <si>
    <t>COMMENTS FOR GOV'S ACTION</t>
  </si>
  <si>
    <t>1994-050601</t>
  </si>
  <si>
    <t>RFO (94-045)</t>
  </si>
  <si>
    <t>PURCHASE OF SERVICE</t>
  </si>
  <si>
    <t>GRANTS-IN-AID</t>
  </si>
  <si>
    <t>1994-050901</t>
  </si>
  <si>
    <t>RFO (94-046)</t>
  </si>
  <si>
    <t>ACCIDENT REPORT</t>
  </si>
  <si>
    <t>INMATE</t>
  </si>
  <si>
    <t>LLA, LMO</t>
  </si>
  <si>
    <t>1994-051001</t>
  </si>
  <si>
    <t>RFO (94-047)</t>
  </si>
  <si>
    <t>GENERAL ORDERS DIRECTIVES GUIDELINE</t>
  </si>
  <si>
    <t>1994-051102</t>
  </si>
  <si>
    <t>DATA-HON</t>
  </si>
  <si>
    <t>GIS RULES/CITY</t>
  </si>
  <si>
    <t>LICENSING FEES</t>
  </si>
  <si>
    <t>1994-051002</t>
  </si>
  <si>
    <t>DBED&amp;T</t>
  </si>
  <si>
    <t>UIPA REQUEST OF DR. DAVID REZACHEK</t>
  </si>
  <si>
    <t>1994-051901</t>
  </si>
  <si>
    <t>RFO (94-049)</t>
  </si>
  <si>
    <t>MAYOR-M</t>
  </si>
  <si>
    <t>SALARIES DISCLOSURE (93-10)</t>
  </si>
  <si>
    <t>MAYOR EXEMPT EMPLOYEES</t>
  </si>
  <si>
    <t>1994-052701</t>
  </si>
  <si>
    <t>STRIKE FORMS</t>
  </si>
  <si>
    <t>IMPACT ON PUBLIC</t>
  </si>
  <si>
    <t>1994-052703</t>
  </si>
  <si>
    <t>RFO (94-054)</t>
  </si>
  <si>
    <t>911 TAPE</t>
  </si>
  <si>
    <t>CHANG MURDER CASE</t>
  </si>
  <si>
    <t>1994-052605</t>
  </si>
  <si>
    <t>RFO (94-050)</t>
  </si>
  <si>
    <t>CSEA OP. PROCEDURES, RULES, ETC.</t>
  </si>
  <si>
    <t>R. KURIHARA REC. REQUEST</t>
  </si>
  <si>
    <t>1994-052606</t>
  </si>
  <si>
    <t>RFO (94-051)</t>
  </si>
  <si>
    <t>PROOF OF RESIDENCY RECS</t>
  </si>
  <si>
    <t>DPS RECRUITMENT</t>
  </si>
  <si>
    <t>1994-052607</t>
  </si>
  <si>
    <t>RFO (94-052)</t>
  </si>
  <si>
    <t>NOTICE OF VIOLATION BLDG CODE</t>
  </si>
  <si>
    <t>TIME EXTENSIONS, ETC.</t>
  </si>
  <si>
    <t>1994-052608</t>
  </si>
  <si>
    <t>UIPA REQUEST</t>
  </si>
  <si>
    <t>1994-052609</t>
  </si>
  <si>
    <t>RFO (94-053)</t>
  </si>
  <si>
    <t>INMATE EVALUATION FOR</t>
  </si>
  <si>
    <t>1994-052704</t>
  </si>
  <si>
    <t>RFO (94-056)</t>
  </si>
  <si>
    <t>AUTOMATED PARKING SYSTEM</t>
  </si>
  <si>
    <t>CITY LOT/DOT</t>
  </si>
  <si>
    <t>1994-053101</t>
  </si>
  <si>
    <t>RFO (94-055)</t>
  </si>
  <si>
    <t>POLICE BLOTTER INFO</t>
  </si>
  <si>
    <t>ELECTRONIC FORMAT</t>
  </si>
  <si>
    <t>1994-060101</t>
  </si>
  <si>
    <t>RFO (94-057)</t>
  </si>
  <si>
    <t>HI PAROLING AUTHORITY RECORDS</t>
  </si>
  <si>
    <t>ADVERTISER STAR BULLETIN</t>
  </si>
  <si>
    <t>1994-052610</t>
  </si>
  <si>
    <t>BANCORP HAWAII INC</t>
  </si>
  <si>
    <t>MARILYN M. DEMATTOS RECOMM</t>
  </si>
  <si>
    <t>1994-060203</t>
  </si>
  <si>
    <t>RSCH</t>
  </si>
  <si>
    <t>COLLECTIVE BARGAINING AGREEMENT</t>
  </si>
  <si>
    <t>KMS</t>
  </si>
  <si>
    <t>1994-060301</t>
  </si>
  <si>
    <t>RFO (94-059)</t>
  </si>
  <si>
    <t>FILES RE R. REWALD &amp; MANOA FINANCE</t>
  </si>
  <si>
    <t>LACK OF DCCA RESPONSE</t>
  </si>
  <si>
    <t>1994-060201</t>
  </si>
  <si>
    <t>RFO (94-058)</t>
  </si>
  <si>
    <t>UH PROF AMY KASTELY</t>
  </si>
  <si>
    <t>RECORDS RE RESIGNATION</t>
  </si>
  <si>
    <t>1994-060306</t>
  </si>
  <si>
    <t>RFO (94-060)</t>
  </si>
  <si>
    <t>INVESTIGATION REPORT RE INMATE</t>
  </si>
  <si>
    <t>ALL RECORDS RE INCIDENT</t>
  </si>
  <si>
    <t>1994-060309</t>
  </si>
  <si>
    <t>1989-042601</t>
  </si>
  <si>
    <t>RFO (89-087)</t>
  </si>
  <si>
    <t>DBEDT-HCDCH</t>
  </si>
  <si>
    <t>SHARING INFORMATION</t>
  </si>
  <si>
    <t>1989-062901</t>
  </si>
  <si>
    <t>RFO (89-009)</t>
  </si>
  <si>
    <t>LICENSING</t>
  </si>
  <si>
    <t>REGISTRATION APPLICATION</t>
  </si>
  <si>
    <t>1989-072801</t>
  </si>
  <si>
    <t>RFO (89-029)</t>
  </si>
  <si>
    <t>HIRING PROCEDURES</t>
  </si>
  <si>
    <t>1989-081001</t>
  </si>
  <si>
    <t>RFO (89-023)</t>
  </si>
  <si>
    <t>STUDENT LOAN</t>
  </si>
  <si>
    <t>1989-111301</t>
  </si>
  <si>
    <t>RFO (89-085)</t>
  </si>
  <si>
    <t>SANITATION</t>
  </si>
  <si>
    <t>COMPLAINT FORM</t>
  </si>
  <si>
    <t>1994-060701</t>
  </si>
  <si>
    <t>RFO (94-061)</t>
  </si>
  <si>
    <t>COMPTROLLERS SHOWER</t>
  </si>
  <si>
    <t>ALOHA STADIUM OFFICE IMPROV</t>
  </si>
  <si>
    <t>1994-060702</t>
  </si>
  <si>
    <t>RFO (94-062)</t>
  </si>
  <si>
    <t>HPD FILE RE LEWIS POE</t>
  </si>
  <si>
    <t>1994-060801</t>
  </si>
  <si>
    <t>INMATE ACCIDENT REPORT</t>
  </si>
  <si>
    <t>ATTORNEY WORKPRODUCT</t>
  </si>
  <si>
    <t>1994-060802</t>
  </si>
  <si>
    <t>INMATE'S PHOTO</t>
  </si>
  <si>
    <t>1994-052505</t>
  </si>
  <si>
    <t>UIPA REQUEST (G)</t>
  </si>
  <si>
    <t>DAVID REZACHEK</t>
  </si>
  <si>
    <t>1994-060706</t>
  </si>
  <si>
    <t>RFO (94-063)</t>
  </si>
  <si>
    <t>DLIR STATISTICAL RECORDS</t>
  </si>
  <si>
    <t>WORKER'S COMP</t>
  </si>
  <si>
    <t>1994-060803</t>
  </si>
  <si>
    <t>1993 SB 1798</t>
  </si>
  <si>
    <t>WRITTEN TESTIMONY</t>
  </si>
  <si>
    <t>1994-060805</t>
  </si>
  <si>
    <t>RFO (94-064)</t>
  </si>
  <si>
    <t>FIREARMS PERMIT DENIAL</t>
  </si>
  <si>
    <t>BY HPD FOR M. MIZOKAMI</t>
  </si>
  <si>
    <t>1994-061401</t>
  </si>
  <si>
    <t>OSHA</t>
  </si>
  <si>
    <t>OSHA LOG</t>
  </si>
  <si>
    <t>CONFIDENTIALITY STATUTE</t>
  </si>
  <si>
    <t>1994-061403</t>
  </si>
  <si>
    <t>RFO (94-066)</t>
  </si>
  <si>
    <t>CONFID. OF BIDS SUBMITTALS</t>
  </si>
  <si>
    <t>TRAVEL CREDIT CARD FOR STATE</t>
  </si>
  <si>
    <t>1994-061405</t>
  </si>
  <si>
    <t>POLICE BLOTTERS ARREST LOG</t>
  </si>
  <si>
    <t>HAWAII TRIBUNE HERALD CASE</t>
  </si>
  <si>
    <t>1994-060901</t>
  </si>
  <si>
    <t>RFO (94-065)</t>
  </si>
  <si>
    <t>DBEDT MOLOKAI G. PEABODY USE</t>
  </si>
  <si>
    <t>OF EMPLOYEE TIME, FAX &amp; EQUIPMENT</t>
  </si>
  <si>
    <t>1994-061602</t>
  </si>
  <si>
    <t>RFO (94-067)</t>
  </si>
  <si>
    <t>EMPLOYMENT APPLICATIONS</t>
  </si>
  <si>
    <t>HAWAII PROTECTIVE ASSN</t>
  </si>
  <si>
    <t>1994-062201</t>
  </si>
  <si>
    <t>RFO (94-068)</t>
  </si>
  <si>
    <t>ANNUAL REPORT 1993-1994</t>
  </si>
  <si>
    <t>1994-062302</t>
  </si>
  <si>
    <t>RFO (94-069)</t>
  </si>
  <si>
    <t>WICHE PROGRAM</t>
  </si>
  <si>
    <t>NAMES OF STUDENTS SUPPORTED</t>
  </si>
  <si>
    <t>1994-062303</t>
  </si>
  <si>
    <t>HHA RECORDS</t>
  </si>
  <si>
    <t>JOHN K. KINGSLEY</t>
  </si>
  <si>
    <t>1994-062408</t>
  </si>
  <si>
    <t>RFO (94-070)</t>
  </si>
  <si>
    <t>BOE EXECUTIVE SESSION</t>
  </si>
  <si>
    <t>1994-062409</t>
  </si>
  <si>
    <t>RFO (94-071)</t>
  </si>
  <si>
    <t>UH FACULTY REQUEST</t>
  </si>
  <si>
    <t>PERSONAL FILE</t>
  </si>
  <si>
    <t>1994-062701</t>
  </si>
  <si>
    <t>RFO (94-072)</t>
  </si>
  <si>
    <t>MUG SHOT</t>
  </si>
  <si>
    <t>SAMUEL REEVES BIG ISLE</t>
  </si>
  <si>
    <t>1994-062803</t>
  </si>
  <si>
    <t>RFO (94-073)</t>
  </si>
  <si>
    <t>DOE EMPLOYEE MISCONDUCT</t>
  </si>
  <si>
    <t>KGMB-TV/GENEVA CHIN</t>
  </si>
  <si>
    <t>1994-063002</t>
  </si>
  <si>
    <t>DRAFT COOPERATIVE AGREEMENT</t>
  </si>
  <si>
    <t>BETWEEN BL&amp;NR AND NMFS</t>
  </si>
  <si>
    <t>1994-070101</t>
  </si>
  <si>
    <t>RFO (94-074)</t>
  </si>
  <si>
    <t>COMPLAINANT'S ID SAKAMOTO ROBBINS</t>
  </si>
  <si>
    <t>MOCHI ICE CREAM</t>
  </si>
  <si>
    <t>1994-070501</t>
  </si>
  <si>
    <t>OTG</t>
  </si>
  <si>
    <t>OTG OPINION TO CITY COUNCIL STATUS</t>
  </si>
  <si>
    <t>GOVERNOR'S SIGNATURE</t>
  </si>
  <si>
    <t>1994-070502</t>
  </si>
  <si>
    <t>RFO (94-075)</t>
  </si>
  <si>
    <t>HAWAII DPS</t>
  </si>
  <si>
    <t>REQUEST FOR DOCUMENTS</t>
  </si>
  <si>
    <t>1994-070604</t>
  </si>
  <si>
    <t>EDUC</t>
  </si>
  <si>
    <t>COGEL</t>
  </si>
  <si>
    <t>COGEL GUARDIAN</t>
  </si>
  <si>
    <t>AUGUST FOI NOTES</t>
  </si>
  <si>
    <t>1994-070703</t>
  </si>
  <si>
    <t>RFO (94-077)</t>
  </si>
  <si>
    <t>CONFIDENTIAL PETITION</t>
  </si>
  <si>
    <t>OATH OF OFFICE</t>
  </si>
  <si>
    <t>1994-070704</t>
  </si>
  <si>
    <t>RFO (94-078)</t>
  </si>
  <si>
    <t>DISCL. OF WITNESS INFO</t>
  </si>
  <si>
    <t>MOTOR VEHICLE ACCIDENT REPORTS</t>
  </si>
  <si>
    <t>1994-071101</t>
  </si>
  <si>
    <t>RFO (94-079)</t>
  </si>
  <si>
    <t>DISCL OF MINUTES</t>
  </si>
  <si>
    <t>HAW BD SHORTHAND REPORTERS</t>
  </si>
  <si>
    <t>1994-071102</t>
  </si>
  <si>
    <t>DAGS-SFCA</t>
  </si>
  <si>
    <t>DISPLAY SITE FORM</t>
  </si>
  <si>
    <t>SFCA</t>
  </si>
  <si>
    <t>1994-071103</t>
  </si>
  <si>
    <t>RFO (94-080)</t>
  </si>
  <si>
    <t>CONFIDENTIAL RECORDS BIG ISLE</t>
  </si>
  <si>
    <t>F. HARRIS</t>
  </si>
  <si>
    <t>1994-071201</t>
  </si>
  <si>
    <t>DISCL OF WRITTEN OPS</t>
  </si>
  <si>
    <t>1994-071301</t>
  </si>
  <si>
    <t>RFO (94-081)</t>
  </si>
  <si>
    <t>PUBLIC UTILITY</t>
  </si>
  <si>
    <t>"AGENCY" UNDER UIPA</t>
  </si>
  <si>
    <t>1994-071402</t>
  </si>
  <si>
    <t>DPS REQUEST FOR INFO</t>
  </si>
  <si>
    <t>FROM DESMOND BRYNE</t>
  </si>
  <si>
    <t>1994-071406</t>
  </si>
  <si>
    <t>NAMES OF STUDENTS</t>
  </si>
  <si>
    <t>1994-071502</t>
  </si>
  <si>
    <t>RFO (94-083)</t>
  </si>
  <si>
    <t>CLARIFICATION OF OP LTR 94-12</t>
  </si>
  <si>
    <t>MUG SHOTS</t>
  </si>
  <si>
    <t>1994-071413</t>
  </si>
  <si>
    <t>RFO (94-082)</t>
  </si>
  <si>
    <t>DLNR RECORDS</t>
  </si>
  <si>
    <t>VESSELS</t>
  </si>
  <si>
    <t>1994-071501</t>
  </si>
  <si>
    <t>BLNR MINUTES</t>
  </si>
  <si>
    <t>PLANS INCOME STMTS ETC.</t>
  </si>
  <si>
    <t>1994-071804</t>
  </si>
  <si>
    <t>POLICE LINE-UP</t>
  </si>
  <si>
    <t>VALIDITY</t>
  </si>
  <si>
    <t>1994-071902</t>
  </si>
  <si>
    <t>HRD</t>
  </si>
  <si>
    <t>CODE CHANGE REQUEST</t>
  </si>
  <si>
    <t>DPS TO DEPT OF HUMAN RESOURCES DEV</t>
  </si>
  <si>
    <t>SEV</t>
  </si>
  <si>
    <t>1994-071903</t>
  </si>
  <si>
    <t>DLIR DISABILITY COMP RECORDS</t>
  </si>
  <si>
    <t>TERRY COSTA TELEPHONE INQUIRY</t>
  </si>
  <si>
    <t>1994-072001</t>
  </si>
  <si>
    <t>RFO (94-084)</t>
  </si>
  <si>
    <t>DISCL INDIVIDUAL APPLICATION</t>
  </si>
  <si>
    <t>CONTRACTOR'S LICENSE</t>
  </si>
  <si>
    <t>1994-072103</t>
  </si>
  <si>
    <t>DBEDT MOLOKAI RE: GEORGE PEABODY</t>
  </si>
  <si>
    <t>RESPOND TO GOVERNOR</t>
  </si>
  <si>
    <t>1994-072201</t>
  </si>
  <si>
    <t>DBED RITTE</t>
  </si>
  <si>
    <t>OIP CORR TO DBED</t>
  </si>
  <si>
    <t>1994-072202</t>
  </si>
  <si>
    <t>STATE HIGHER EDUC LOANS</t>
  </si>
  <si>
    <t>UH FREITAS</t>
  </si>
  <si>
    <t>1994-072503</t>
  </si>
  <si>
    <t>RFCG</t>
  </si>
  <si>
    <t>PUBLIC ACCESS RECORDS</t>
  </si>
  <si>
    <t>PROCEDURE</t>
  </si>
  <si>
    <t>1994-072602</t>
  </si>
  <si>
    <t>L. POE MMPI OP LTR</t>
  </si>
  <si>
    <t>STATUS EXPLAIN CT APPEAL</t>
  </si>
  <si>
    <t>1994-081502</t>
  </si>
  <si>
    <t>SUNSHINE LAW COMMITTEE</t>
  </si>
  <si>
    <t>LEGIS PROPOSAL</t>
  </si>
  <si>
    <t>1994-072801</t>
  </si>
  <si>
    <t>RFO (94-085)</t>
  </si>
  <si>
    <t>INMATE HALAWA CORR FACILITY</t>
  </si>
  <si>
    <t>OUTSIDE MEDICAL CARE</t>
  </si>
  <si>
    <t>1994-080101</t>
  </si>
  <si>
    <t>RFO (94-123)</t>
  </si>
  <si>
    <t>WORKER'S COMP CLAIM</t>
  </si>
  <si>
    <t>COPY OF OP LTR</t>
  </si>
  <si>
    <t>1994-080401</t>
  </si>
  <si>
    <t>JOHN KINGSLEY RE</t>
  </si>
  <si>
    <t>1994-080804</t>
  </si>
  <si>
    <t>RFO (94-86)</t>
  </si>
  <si>
    <t>DLNR DIV LAND MGMT</t>
  </si>
  <si>
    <t>RECORDS OFF LIMIT</t>
  </si>
  <si>
    <t>1994-081003</t>
  </si>
  <si>
    <t>MAUI ETHICS FIN DISCL STMT</t>
  </si>
  <si>
    <t>INQUIRY FROM BOARD OF ETHICS</t>
  </si>
  <si>
    <t>1994-081101</t>
  </si>
  <si>
    <t>RFO (94-088)</t>
  </si>
  <si>
    <t>INMATE GREGORY BARNETT</t>
  </si>
  <si>
    <t>REQUEST INFORMATION</t>
  </si>
  <si>
    <t>1994-081201</t>
  </si>
  <si>
    <t>UH EDUCATION LOAN</t>
  </si>
  <si>
    <t>REQUEST INFO</t>
  </si>
  <si>
    <t>1994-081501</t>
  </si>
  <si>
    <t>RFO (94-089)</t>
  </si>
  <si>
    <t>REQUEST OF REP P. MINK</t>
  </si>
  <si>
    <t>INVEST FILE OF MARIE HARIAKHAN</t>
  </si>
  <si>
    <t>1994-082203</t>
  </si>
  <si>
    <t>RFO (94-094)</t>
  </si>
  <si>
    <t>DOT &amp; PARK ENGINEERING RECORDS</t>
  </si>
  <si>
    <t>GUSALINO BROS CONSTRUCTION</t>
  </si>
  <si>
    <t>1994-082202</t>
  </si>
  <si>
    <t>RFO (94-093)</t>
  </si>
  <si>
    <t>DOT &amp; M&amp;E PACIFIC RECORDS</t>
  </si>
  <si>
    <t>1994-082201</t>
  </si>
  <si>
    <t>RFO (94-092)</t>
  </si>
  <si>
    <t>LIQUOR LICENSE APPLICATION</t>
  </si>
  <si>
    <t>JEC/LJL/GLF</t>
  </si>
  <si>
    <t>1994-081801</t>
  </si>
  <si>
    <t>RFO (94-090)</t>
  </si>
  <si>
    <t>DOH, POLICE, CLERK</t>
  </si>
  <si>
    <t>VARIOUS PERSONAL RECORDS</t>
  </si>
  <si>
    <t>FREEDOM OF INFO ACT</t>
  </si>
  <si>
    <t>1994-081802</t>
  </si>
  <si>
    <t>RFO (94-091)</t>
  </si>
  <si>
    <t>COUNCIL-M</t>
  </si>
  <si>
    <t>STANDARDS TO FOLLOW</t>
  </si>
  <si>
    <t>RE DISCLOSURE OF INFORMATION</t>
  </si>
  <si>
    <t>1994-082303</t>
  </si>
  <si>
    <t>TRANSMIT TO D. BYRNE</t>
  </si>
  <si>
    <t>INFO RE ERS</t>
  </si>
  <si>
    <t>1994-082208</t>
  </si>
  <si>
    <t>DPW</t>
  </si>
  <si>
    <t>RR REPORTING INSTRUCTIONS</t>
  </si>
  <si>
    <t>TO C&amp;C PUBLIC WORKS</t>
  </si>
  <si>
    <t>1994-082401</t>
  </si>
  <si>
    <t>RFO (94-095)</t>
  </si>
  <si>
    <t>DBED&amp;T TU DUC PHAM</t>
  </si>
  <si>
    <t>1994-082901</t>
  </si>
  <si>
    <t>1994-94 VOLUNTEER</t>
  </si>
  <si>
    <t>ASSESSMENT IN GOVT</t>
  </si>
  <si>
    <t>1994-090701</t>
  </si>
  <si>
    <t>RFO (94-096)</t>
  </si>
  <si>
    <t>DISCL EVALUATION &amp; SCORING</t>
  </si>
  <si>
    <t>1994-090702</t>
  </si>
  <si>
    <t>RFO (94-097)</t>
  </si>
  <si>
    <t>DISCLOSURE OF CHILD SUPPORT</t>
  </si>
  <si>
    <t>HEARING RECORDS</t>
  </si>
  <si>
    <t>1994-090703</t>
  </si>
  <si>
    <t>RFO (94-087)</t>
  </si>
  <si>
    <t>GOV WAIHEE</t>
  </si>
  <si>
    <t>ABSENCES EXPENSES TRAVEL</t>
  </si>
  <si>
    <t>1994-090704</t>
  </si>
  <si>
    <t>RFO (94-098)</t>
  </si>
  <si>
    <t>SCORE SHEETS</t>
  </si>
  <si>
    <t>1994-090705</t>
  </si>
  <si>
    <t>KINGSLEY HHA</t>
  </si>
  <si>
    <t>PROCUREMENT RECORDS</t>
  </si>
  <si>
    <t>1994-090706</t>
  </si>
  <si>
    <t>ETHICS QUESTIONS</t>
  </si>
  <si>
    <t>1994-090801</t>
  </si>
  <si>
    <t>COGEL MAILING LIST</t>
  </si>
  <si>
    <t>CROSS-CHECK ETHICS/OIP</t>
  </si>
  <si>
    <t>1994-091306</t>
  </si>
  <si>
    <t>LRB</t>
  </si>
  <si>
    <t>WATER CODE REVIEW COMM. 09/14/94</t>
  </si>
  <si>
    <t>NO. ATTENDEES:</t>
  </si>
  <si>
    <t>1994-091603</t>
  </si>
  <si>
    <t>OTG TIMELINE</t>
  </si>
  <si>
    <t>RE OP LTR 94-17</t>
  </si>
  <si>
    <t>1994-091604</t>
  </si>
  <si>
    <t>DLNR CONSULTANT CONTRACT</t>
  </si>
  <si>
    <t>WAIHOLE WATER CO.</t>
  </si>
  <si>
    <t>1994-091602</t>
  </si>
  <si>
    <t>RFO (94-099)</t>
  </si>
  <si>
    <t>SEX OFFENDER TREATMENT BUDGET</t>
  </si>
  <si>
    <t>PSD REQUESTS FOR SOT FUNDS</t>
  </si>
  <si>
    <t>1994-091605</t>
  </si>
  <si>
    <t>RFO (94-101)</t>
  </si>
  <si>
    <t>NEWSLETTER MAIL LIST - CPD</t>
  </si>
  <si>
    <t>NAMES HOME ADDRESSES</t>
  </si>
  <si>
    <t>1994-091901</t>
  </si>
  <si>
    <t>RFO (94-100)</t>
  </si>
  <si>
    <t>INTENT TO BID</t>
  </si>
  <si>
    <t>BIDDERS' CONF ATTENDEES</t>
  </si>
  <si>
    <t>1994-092001</t>
  </si>
  <si>
    <t>SURVEY QUESTIONS</t>
  </si>
  <si>
    <t>FEDERALLY MANDATED STATE PROGRAM</t>
  </si>
  <si>
    <t>1994-092101</t>
  </si>
  <si>
    <t>RFO (94-102)</t>
  </si>
  <si>
    <t>DCCA-HOIKE</t>
  </si>
  <si>
    <t>HOIKE KAUAI COMMERCIAL TV</t>
  </si>
  <si>
    <t>SUBJECT PUBLIC RECORDS LAW</t>
  </si>
  <si>
    <t>1994-092702</t>
  </si>
  <si>
    <t>INMATE SAM KALILIKANE</t>
  </si>
  <si>
    <t>RESPOND TO LTRS OF 8/22, 9/7, 9/14</t>
  </si>
  <si>
    <t>1994-092602</t>
  </si>
  <si>
    <t>RFO (94-103)</t>
  </si>
  <si>
    <t>MARCIA LINVILLE GRIEVANCE</t>
  </si>
  <si>
    <t>ARB. DECISION DISTRIBUTION</t>
  </si>
  <si>
    <t>1994-092601</t>
  </si>
  <si>
    <t>VARIANCE REPORT DATA</t>
  </si>
  <si>
    <t>FY 1994-95</t>
  </si>
  <si>
    <t>1994-092707</t>
  </si>
  <si>
    <t>AG LEG</t>
  </si>
  <si>
    <t>REVIEW CCA-26</t>
  </si>
  <si>
    <t>MASSAGE THERAPISTS LIC RECORDS</t>
  </si>
  <si>
    <t>1994-092907</t>
  </si>
  <si>
    <t>RFO (94-104)</t>
  </si>
  <si>
    <t>KAHULUI AIRPORT PLANS</t>
  </si>
  <si>
    <t>DIST CT RECORDS</t>
  </si>
  <si>
    <t>1994-092909</t>
  </si>
  <si>
    <t>RFO (94-105)</t>
  </si>
  <si>
    <t>WATERFRONT EXEC COMM</t>
  </si>
  <si>
    <t>ENVIRON ASSESS RELEASE OF DOCS</t>
  </si>
  <si>
    <t>1994-093001</t>
  </si>
  <si>
    <t>GRANT APPLICATION OF</t>
  </si>
  <si>
    <t>KAILIULA OHANA CORP</t>
  </si>
  <si>
    <t>1994-100301</t>
  </si>
  <si>
    <t>DISCL. FILES</t>
  </si>
  <si>
    <t>FEPH-5019 &amp; EEOC 37B-91-0105</t>
  </si>
  <si>
    <t>1994-101003</t>
  </si>
  <si>
    <t>OIP TRNG</t>
  </si>
  <si>
    <t>RRS PROF KEEVER'S CLASS 11/10/94</t>
  </si>
  <si>
    <t># ATTENDEES: 7</t>
  </si>
  <si>
    <t>MVL</t>
  </si>
  <si>
    <t>1994-101103</t>
  </si>
  <si>
    <t>RFO (94-107)</t>
  </si>
  <si>
    <t>MM</t>
  </si>
  <si>
    <t>MAUI COUNTY BD OF ETHICS</t>
  </si>
  <si>
    <t>CONF FINANCIAL DISCL FILINGS</t>
  </si>
  <si>
    <t>1994-101102</t>
  </si>
  <si>
    <t>RFO (94-106)</t>
  </si>
  <si>
    <t>UPW REQUEST FOR</t>
  </si>
  <si>
    <t>EMPLOYEE INFO</t>
  </si>
  <si>
    <t>1994-101201</t>
  </si>
  <si>
    <t>RFO (94-108)</t>
  </si>
  <si>
    <t>PSD-CVCC</t>
  </si>
  <si>
    <t>DOUGLAS HIRANO</t>
  </si>
  <si>
    <t>RELEASE APPL FOR COMPENSATION</t>
  </si>
  <si>
    <t>1994-101202</t>
  </si>
  <si>
    <t>RFO (94-109)</t>
  </si>
  <si>
    <t>CRIMINAL INJURY COMPENSATION COMM</t>
  </si>
  <si>
    <t>AGENCY RECORDS</t>
  </si>
  <si>
    <t>1994-101404</t>
  </si>
  <si>
    <t>RFO (94-110)</t>
  </si>
  <si>
    <t>DWS-H</t>
  </si>
  <si>
    <t>INTENT TO BID DISCLOSURE</t>
  </si>
  <si>
    <t>PRIOR TO BID OPENING</t>
  </si>
  <si>
    <t>1994-101701</t>
  </si>
  <si>
    <t>RFO (94-111)</t>
  </si>
  <si>
    <t>UFO PARASAIL &amp; PACIFIC</t>
  </si>
  <si>
    <t>JET SKI CITATIONS</t>
  </si>
  <si>
    <t>1994-102002</t>
  </si>
  <si>
    <t>LTR TO HPD</t>
  </si>
  <si>
    <t>MONTHLY REPORTS RE DISCIPLINE</t>
  </si>
  <si>
    <t>1994-102001</t>
  </si>
  <si>
    <t>RFO (94-112)</t>
  </si>
  <si>
    <t>DOH RECORDS</t>
  </si>
  <si>
    <t>ACCESSIBILITY</t>
  </si>
  <si>
    <t>1994-102501</t>
  </si>
  <si>
    <t>MARIE HARIAKHAN</t>
  </si>
  <si>
    <t>DISCL OF FILES</t>
  </si>
  <si>
    <t>1994-110401</t>
  </si>
  <si>
    <t>POLICY DISCL OF POLICE</t>
  </si>
  <si>
    <t>REPORTS OF HAWAII COUNTY</t>
  </si>
  <si>
    <t>1994-110402</t>
  </si>
  <si>
    <t>11/04/94 MTG MEDIATE</t>
  </si>
  <si>
    <t>GUSALINO DOT LAWSUIT</t>
  </si>
  <si>
    <t>1994-110304</t>
  </si>
  <si>
    <t>RFO (94-113)</t>
  </si>
  <si>
    <t>CONNIE CHUN</t>
  </si>
  <si>
    <t>WORKERS' COMP</t>
  </si>
  <si>
    <t>1994-111001</t>
  </si>
  <si>
    <t>AG LIB MTG</t>
  </si>
  <si>
    <t>11/17/94 AT 9:00</t>
  </si>
  <si>
    <t>1994-111802</t>
  </si>
  <si>
    <t>RFO (94-114)</t>
  </si>
  <si>
    <t>KAUAI BURIAL RECORDS</t>
  </si>
  <si>
    <t>PUBLIC DISCLOSURE</t>
  </si>
  <si>
    <t>1994-112201</t>
  </si>
  <si>
    <t>REVIEW BILL</t>
  </si>
  <si>
    <t>CLEAN HAWAII CENTER</t>
  </si>
  <si>
    <t>1994-112301</t>
  </si>
  <si>
    <t>RE PUBLIC MEETINGS</t>
  </si>
  <si>
    <t>1994-112303</t>
  </si>
  <si>
    <t>RFO (94-115)</t>
  </si>
  <si>
    <t>DCCA-NA LEO</t>
  </si>
  <si>
    <t>NA LEO 'O HAWAII</t>
  </si>
  <si>
    <t>SUBJECT TO UIPA</t>
  </si>
  <si>
    <t>1994-112304</t>
  </si>
  <si>
    <t>RFO (94-116)</t>
  </si>
  <si>
    <t>DOH MENTAL HEALTH DIR</t>
  </si>
  <si>
    <t>REPORT PUBLIC RECORD</t>
  </si>
  <si>
    <t>1994-120101</t>
  </si>
  <si>
    <t>RFO (94-117)</t>
  </si>
  <si>
    <t>LAW SCHOOL APPLICANTS</t>
  </si>
  <si>
    <t>DISCL OF INFO</t>
  </si>
  <si>
    <t>1994-120801</t>
  </si>
  <si>
    <t>BILL RE LICENSING RECORDS</t>
  </si>
  <si>
    <t>MASSAGE THERAPISTS</t>
  </si>
  <si>
    <t>1994-121401</t>
  </si>
  <si>
    <t>RFO (94-118)</t>
  </si>
  <si>
    <t>CHARLES KHIM REQUEST FOR</t>
  </si>
  <si>
    <t>ERS INFO (reassigned from LLA)</t>
  </si>
  <si>
    <t>1994-121501</t>
  </si>
  <si>
    <t>RFO (94-119)</t>
  </si>
  <si>
    <t>HPD PAWN SHOP</t>
  </si>
  <si>
    <t>RECORDS</t>
  </si>
  <si>
    <t>1994-121601</t>
  </si>
  <si>
    <t>RFO (94-120)</t>
  </si>
  <si>
    <t>ERS LIST OF DERIVATIVES</t>
  </si>
  <si>
    <t>AND ADVISORS</t>
  </si>
  <si>
    <t>1994-121602</t>
  </si>
  <si>
    <t>REVIEW BILL HEALTH CARE</t>
  </si>
  <si>
    <t>INFO CONFIDEN</t>
  </si>
  <si>
    <t>1994-121603</t>
  </si>
  <si>
    <t>REVIEW BILL CLEAN HAWAII</t>
  </si>
  <si>
    <t>CENTER (DBED&amp;T)</t>
  </si>
  <si>
    <t>1994-122001</t>
  </si>
  <si>
    <t>RFO (94-121)</t>
  </si>
  <si>
    <t>COMMISSION SEXUAL ORIENTATION &amp; LAW</t>
  </si>
  <si>
    <t>"AGENCY" SUBJECT TO UIPA</t>
  </si>
  <si>
    <t>1994-121502</t>
  </si>
  <si>
    <t>LIBRARY PATRON SURVEY</t>
  </si>
  <si>
    <t>1995-010301</t>
  </si>
  <si>
    <t>GUN PERMIT DENIAL</t>
  </si>
  <si>
    <t>MAUI PD</t>
  </si>
  <si>
    <t>1995-010302</t>
  </si>
  <si>
    <t>RFO (95-001)</t>
  </si>
  <si>
    <t>COUNCIL -M</t>
  </si>
  <si>
    <t>DRAFT CONSULTANT RPT</t>
  </si>
  <si>
    <t>CONFID. CLAUSES</t>
  </si>
  <si>
    <t>1995-010401</t>
  </si>
  <si>
    <t>MTG RE LIBRARY SURVEY</t>
  </si>
  <si>
    <t>01/05/95 - 2:30 P.M.</t>
  </si>
  <si>
    <t>1994-121901</t>
  </si>
  <si>
    <t>RFO (94-122)</t>
  </si>
  <si>
    <t>DBEDT-CCA</t>
  </si>
  <si>
    <t>CCA ACCESS CONTRACT</t>
  </si>
  <si>
    <t>DOCUMENTS/SPECIFICATIONS</t>
  </si>
  <si>
    <t>1995-010505</t>
  </si>
  <si>
    <t>RFO (95-002)</t>
  </si>
  <si>
    <t>RECS W/MAUI PD</t>
  </si>
  <si>
    <t>1995-010905</t>
  </si>
  <si>
    <t>RFO (95-003)</t>
  </si>
  <si>
    <t>BENCH WARRANT DISCL.</t>
  </si>
  <si>
    <t>IN HPD POSSESSION</t>
  </si>
  <si>
    <t>1995-011301</t>
  </si>
  <si>
    <t>NATIONAL GUARD</t>
  </si>
  <si>
    <t>1995-011302</t>
  </si>
  <si>
    <t>RFO (95-004)</t>
  </si>
  <si>
    <t>ERS CONTESTED CASE</t>
  </si>
  <si>
    <t>INFO RE RETIREES</t>
  </si>
  <si>
    <t>1995-011701</t>
  </si>
  <si>
    <t>CLARIFY OP LTR 94-23</t>
  </si>
  <si>
    <t>HOIKE KAUAI COMMUNITY TV</t>
  </si>
  <si>
    <t>1995-011804</t>
  </si>
  <si>
    <t>RFO (95-005)</t>
  </si>
  <si>
    <t>DAILY BULLETINS</t>
  </si>
  <si>
    <t>MAUI POLICE DEPT.</t>
  </si>
  <si>
    <t>1995-011902</t>
  </si>
  <si>
    <t>RFO (95-006)</t>
  </si>
  <si>
    <t>C&amp;C FIRE DEPT INFO</t>
  </si>
  <si>
    <t>SOUGHT BY MIRIKITANI</t>
  </si>
  <si>
    <t>1995-011901</t>
  </si>
  <si>
    <t>HEALTH CARE INFO</t>
  </si>
  <si>
    <t>COORDINATE W/REG</t>
  </si>
  <si>
    <t>1995-012001</t>
  </si>
  <si>
    <t>RFO (95-007)</t>
  </si>
  <si>
    <t>HILO HS SCBM COUNCIL</t>
  </si>
  <si>
    <t>MTG MINUTES</t>
  </si>
  <si>
    <t>1995-012002</t>
  </si>
  <si>
    <t>MTG ON 1/24/95 - 1:30</t>
  </si>
  <si>
    <t>LITERACY COUNCIL</t>
  </si>
  <si>
    <t>1995-012301</t>
  </si>
  <si>
    <t>RFO (95-008)</t>
  </si>
  <si>
    <t>PROCUREMENT OFC. INFO</t>
  </si>
  <si>
    <t>JOHN KINGSLEY</t>
  </si>
  <si>
    <t>1995-012302</t>
  </si>
  <si>
    <t>COMMON CAUSE LTR RE</t>
  </si>
  <si>
    <t>DEPT HEAD NOMINEES</t>
  </si>
  <si>
    <t>1995-012503</t>
  </si>
  <si>
    <t>RFO (95-009)</t>
  </si>
  <si>
    <t>COUNCIL-HON</t>
  </si>
  <si>
    <t>LTRS OF SUPPORT/OPPOSITION</t>
  </si>
  <si>
    <t>1995-012604</t>
  </si>
  <si>
    <t>RFO (95-010)</t>
  </si>
  <si>
    <t>LEG-SEN</t>
  </si>
  <si>
    <t>HSE &amp; SENATE BUDGETS</t>
  </si>
  <si>
    <t>SA;AROES &amp; OTHER INFO</t>
  </si>
  <si>
    <t>1995-013105</t>
  </si>
  <si>
    <t>GOV REFERRAL</t>
  </si>
  <si>
    <t>SHOPO/SPJ</t>
  </si>
  <si>
    <t>1995-013106</t>
  </si>
  <si>
    <t>RFO (95-011)</t>
  </si>
  <si>
    <t>VIDEO TAPES</t>
  </si>
  <si>
    <t>PRISON LAW LIBRARY</t>
  </si>
  <si>
    <t>1995-020101</t>
  </si>
  <si>
    <t>RFO (95-012)</t>
  </si>
  <si>
    <t>CONSULTANT REC=GOVT REC?</t>
  </si>
  <si>
    <t>WARREN GOOLSBY/DOT</t>
  </si>
  <si>
    <t>1995-020201</t>
  </si>
  <si>
    <t>SCBM MINUTES</t>
  </si>
  <si>
    <t>SHERRELL FRANKS</t>
  </si>
  <si>
    <t>1995-020602</t>
  </si>
  <si>
    <t>RFO (95-013)</t>
  </si>
  <si>
    <t>GUSALINO/GOOLSBY</t>
  </si>
  <si>
    <t>HYPOTHETICAL Q</t>
  </si>
  <si>
    <t>1995-020605</t>
  </si>
  <si>
    <t>RFO (95-014)</t>
  </si>
  <si>
    <t>DPW-K</t>
  </si>
  <si>
    <t>APPLIC/TIPPING &amp; FEE</t>
  </si>
  <si>
    <t>KAUAI SOLID WASTE DIV</t>
  </si>
  <si>
    <t>1995-020606</t>
  </si>
  <si>
    <t>DPW-SWP</t>
  </si>
  <si>
    <t>CODE CHANGE &amp; INFO</t>
  </si>
  <si>
    <t>1995-020802</t>
  </si>
  <si>
    <t>LTR OF NO JURISDICTION</t>
  </si>
  <si>
    <t>INMATE/FED CT Q</t>
  </si>
  <si>
    <t>1995-021002</t>
  </si>
  <si>
    <t>RFO (95-015)</t>
  </si>
  <si>
    <t>MAUI POLICE DEPT</t>
  </si>
  <si>
    <t>RFP &amp; EVALS</t>
  </si>
  <si>
    <t>1995-021302</t>
  </si>
  <si>
    <t>RFO (95-016)</t>
  </si>
  <si>
    <t>TRANSITION RPTS</t>
  </si>
  <si>
    <t>AT GOV'S OFC</t>
  </si>
  <si>
    <t>1995-022401</t>
  </si>
  <si>
    <t>RFO (95-017)</t>
  </si>
  <si>
    <t>ACCESS TO REVISED COPY</t>
  </si>
  <si>
    <t>1995-030102</t>
  </si>
  <si>
    <t>RFO (95-018)</t>
  </si>
  <si>
    <t>DPS POLICY 02.12</t>
  </si>
  <si>
    <t>1995-030106</t>
  </si>
  <si>
    <t>RE RFO 93-130</t>
  </si>
  <si>
    <t>PAUL SINGLETON</t>
  </si>
  <si>
    <t>1995-030901</t>
  </si>
  <si>
    <t>RFO (95-019)</t>
  </si>
  <si>
    <t>DHHL--HI CLAIMS OFF</t>
  </si>
  <si>
    <t>CONSTRUCTION INFO RE LESSEE</t>
  </si>
  <si>
    <t>1995-031403</t>
  </si>
  <si>
    <t>RFO (95-020)</t>
  </si>
  <si>
    <t>DILLINGHAM AIRFIELD</t>
  </si>
  <si>
    <t>COMPLAINTS/RESIDENT/NOISE</t>
  </si>
  <si>
    <t>1995-031507</t>
  </si>
  <si>
    <t>RFO (95-021)</t>
  </si>
  <si>
    <t>KAUAI PROCUREMENT GLs</t>
  </si>
  <si>
    <t>REVIEW AND COMMENT</t>
  </si>
  <si>
    <t>1995-031002</t>
  </si>
  <si>
    <t>J;TJ FIMD/BANK ACCNTS #</t>
  </si>
  <si>
    <t>INTERAGENCY DISCL</t>
  </si>
  <si>
    <t>1995-031509</t>
  </si>
  <si>
    <t>BOB LOY REQUEST FOR INFO</t>
  </si>
  <si>
    <t>AUDIO/VIDEO/PR</t>
  </si>
  <si>
    <t>1995-031602</t>
  </si>
  <si>
    <t>RFO (95-022)</t>
  </si>
  <si>
    <t>DOT-OMPO</t>
  </si>
  <si>
    <t>TRAVEL SURVEY</t>
  </si>
  <si>
    <t>BY OMPO</t>
  </si>
  <si>
    <t>1995-032102</t>
  </si>
  <si>
    <t>RFO (95-023)</t>
  </si>
  <si>
    <t>KAUAI ELECTRIC DATA</t>
  </si>
  <si>
    <t>HELD BY PUC</t>
  </si>
  <si>
    <t>1995-032206</t>
  </si>
  <si>
    <t>RFO  (95-024)</t>
  </si>
  <si>
    <t>SUBPOENAS MED RECORDS</t>
  </si>
  <si>
    <t>STATE HOSPITALS</t>
  </si>
  <si>
    <t>1995-032902</t>
  </si>
  <si>
    <t>RFO (95-025)</t>
  </si>
  <si>
    <t>HHA RECORDS/RETENTION LIST</t>
  </si>
  <si>
    <t>1995-032903</t>
  </si>
  <si>
    <t>RFO (95-026)</t>
  </si>
  <si>
    <t>PROS ATTY-M</t>
  </si>
  <si>
    <t>MAUI PROS. ATTY</t>
  </si>
  <si>
    <t>RULES, ORDERS, POLICIES</t>
  </si>
  <si>
    <t>1995-033101</t>
  </si>
  <si>
    <t>RFO (95-027)</t>
  </si>
  <si>
    <t>OMBUDSMAN RPTS</t>
  </si>
  <si>
    <t>ACCESS BY PUBLIC</t>
  </si>
  <si>
    <t>GLF</t>
  </si>
  <si>
    <t>RJP/JEC</t>
  </si>
  <si>
    <t>1995-040303</t>
  </si>
  <si>
    <t>RFO (95-028)</t>
  </si>
  <si>
    <t>RECONSIDERATION OIP OP. LTR. NO. 95-5</t>
  </si>
  <si>
    <t>DLIR OCCUPATIONAL SAFETY &amp; HLTH INVES RECORDS</t>
  </si>
  <si>
    <t>1995-040304</t>
  </si>
  <si>
    <t>RFO (95-029)</t>
  </si>
  <si>
    <t>SEXUAL HARASSMENT COMPLAINT</t>
  </si>
  <si>
    <t>C&amp;C OF HONOLULU</t>
  </si>
  <si>
    <t>1995-041201</t>
  </si>
  <si>
    <t>POLICE MISCONDUCT</t>
  </si>
  <si>
    <t>DISCLOSURE</t>
  </si>
  <si>
    <t>1995-041301</t>
  </si>
  <si>
    <t>DLNR COMPLAINT</t>
  </si>
  <si>
    <t>PAT TUMMONS</t>
  </si>
  <si>
    <t>1995-041705</t>
  </si>
  <si>
    <t>RFO (95-030)</t>
  </si>
  <si>
    <t>CONCEALED WEAPONS</t>
  </si>
  <si>
    <t>HPD/HON ADVERT.</t>
  </si>
  <si>
    <t>1995-041708</t>
  </si>
  <si>
    <t>RFO (95-031)</t>
  </si>
  <si>
    <t>MINUTES &amp; OTHER DOCS</t>
  </si>
  <si>
    <t>1995-042401</t>
  </si>
  <si>
    <t>RFO (95-032)</t>
  </si>
  <si>
    <t>PRE-SENTENCE RPT</t>
  </si>
  <si>
    <t>INMATE KULANI</t>
  </si>
  <si>
    <t>1995-042402</t>
  </si>
  <si>
    <t>RFO (95-033)</t>
  </si>
  <si>
    <t>OHA CONTRACTS</t>
  </si>
  <si>
    <t>LEGAL COUNSEL</t>
  </si>
  <si>
    <t>1995-042403</t>
  </si>
  <si>
    <t>RFO (95-034)</t>
  </si>
  <si>
    <t>OHA OAHU LIAISON STATUS</t>
  </si>
  <si>
    <t>COMPUTER TRNG</t>
  </si>
  <si>
    <t>1995-042505</t>
  </si>
  <si>
    <t>RFO (95-035)</t>
  </si>
  <si>
    <t>WORKERS COMPENSATION FILE</t>
  </si>
  <si>
    <t>REQUEST BY EMPLOYER</t>
  </si>
  <si>
    <t>1995-042506</t>
  </si>
  <si>
    <t>RFO (95-036)</t>
  </si>
  <si>
    <t>TRAFFIC VIOL. REC JUD</t>
  </si>
  <si>
    <t>ADMIN OR NON-ADMIN REC</t>
  </si>
  <si>
    <t>LJL/JEC</t>
  </si>
  <si>
    <t>1995-042701</t>
  </si>
  <si>
    <t>HI ADMIN RULES</t>
  </si>
  <si>
    <t>AVAIL FOR PUBLIC INSPECTION</t>
  </si>
  <si>
    <t>1995-050301</t>
  </si>
  <si>
    <t>RFO (95-037)</t>
  </si>
  <si>
    <t>DBED LOAN INFO</t>
  </si>
  <si>
    <t>KINETIX/FORRESTER</t>
  </si>
  <si>
    <t>1995-050501</t>
  </si>
  <si>
    <t>RFO (95-038)</t>
  </si>
  <si>
    <t>DBEDT-ATDC</t>
  </si>
  <si>
    <t>ALOHA TOWER DEVELOPMENT CORP</t>
  </si>
  <si>
    <t>COMPLAINT</t>
  </si>
  <si>
    <t>1995-050801</t>
  </si>
  <si>
    <t>DOT DAILY REPORTS</t>
  </si>
  <si>
    <t>1995-050901</t>
  </si>
  <si>
    <t>RFO (95-039)</t>
  </si>
  <si>
    <t>CONSUMER PROTECTION</t>
  </si>
  <si>
    <t>VOLUNTARY ASSURANCES</t>
  </si>
  <si>
    <t>LHJ</t>
  </si>
  <si>
    <t>LLT/JEC/RJP/JMLC/GLF/SRK/WKP</t>
  </si>
  <si>
    <t>1995-051005</t>
  </si>
  <si>
    <t>RFO (95-040)</t>
  </si>
  <si>
    <t>GROUP HOME LOCATIONS</t>
  </si>
  <si>
    <t>1995-051801</t>
  </si>
  <si>
    <t>RFO (95-041)</t>
  </si>
  <si>
    <t>MUTUAL BENEFIT SOCIETIES</t>
  </si>
  <si>
    <t>AGENCY</t>
  </si>
  <si>
    <t>1995-052501</t>
  </si>
  <si>
    <t>RFO (95-044)</t>
  </si>
  <si>
    <t>REPORTS FOR PAROL HEARINGS</t>
  </si>
  <si>
    <t>1995-050902</t>
  </si>
  <si>
    <t>RFO (95-043)</t>
  </si>
  <si>
    <t>UIPA COMPLIANCE</t>
  </si>
  <si>
    <t>OCB</t>
  </si>
  <si>
    <t>1995-052301</t>
  </si>
  <si>
    <t>RFO (95-042)</t>
  </si>
  <si>
    <t>CRIMINAL INVESTIGATION</t>
  </si>
  <si>
    <t>DLNR--TRESPASS</t>
  </si>
  <si>
    <t>1995-053103</t>
  </si>
  <si>
    <t>RFO (95-046)</t>
  </si>
  <si>
    <t>UNION CBA GRIEVANCES</t>
  </si>
  <si>
    <t>UPW REQUESTS FOR RQI</t>
  </si>
  <si>
    <t>SML/CMD/CLT</t>
  </si>
  <si>
    <t>1995-060502</t>
  </si>
  <si>
    <t>RFO (95-047)</t>
  </si>
  <si>
    <t>PARKS-H</t>
  </si>
  <si>
    <t>SUBPOENA</t>
  </si>
  <si>
    <t>1995-060601</t>
  </si>
  <si>
    <t>RFO (95-048)</t>
  </si>
  <si>
    <t>INMATE CLASSIFICATION</t>
  </si>
  <si>
    <t>1995-060701</t>
  </si>
  <si>
    <t>MAUI PUBLIC ACCESS COM TV</t>
  </si>
  <si>
    <t>1995-060702</t>
  </si>
  <si>
    <t>RFO (95-049)</t>
  </si>
  <si>
    <t>MAUI CTY DEPT OF FIN</t>
  </si>
  <si>
    <t>TAXI LICENSE</t>
  </si>
  <si>
    <t>1995-060901</t>
  </si>
  <si>
    <t>RFO (95-050)</t>
  </si>
  <si>
    <t>GOV-OCY</t>
  </si>
  <si>
    <t>ACCESS TO CONF INFO RE</t>
  </si>
  <si>
    <t>DHS-PRESCHOOL OPEN DOORS</t>
  </si>
  <si>
    <t>1995-061401</t>
  </si>
  <si>
    <t>MAUI COUNTY COUNCIL</t>
  </si>
  <si>
    <t>COMMITTEE DELIBERATIONS</t>
  </si>
  <si>
    <t>1995-062102</t>
  </si>
  <si>
    <t>RFO (95-052)</t>
  </si>
  <si>
    <t>1995-062103</t>
  </si>
  <si>
    <t>RFO (95-053)</t>
  </si>
  <si>
    <t>SUICIDE</t>
  </si>
  <si>
    <t>POLICE REPORT</t>
  </si>
  <si>
    <t>1995-062001</t>
  </si>
  <si>
    <t>PVL</t>
  </si>
  <si>
    <t>SEGREGATION FEES</t>
  </si>
  <si>
    <t>1995-062201</t>
  </si>
  <si>
    <t>RFO (95-054)</t>
  </si>
  <si>
    <t>COMPLAINANT'S REQ FOR INVESTIG</t>
  </si>
  <si>
    <t>MPD POLICE COMM'S INVESTIG FILES</t>
  </si>
  <si>
    <t>1995-062603</t>
  </si>
  <si>
    <t>RFO (95-055)</t>
  </si>
  <si>
    <t>COMPLAINT HISTORY</t>
  </si>
  <si>
    <t>1995-070501</t>
  </si>
  <si>
    <t>ACCESS TO INFO</t>
  </si>
  <si>
    <t>AT SUP CT</t>
  </si>
  <si>
    <t>1995-071001</t>
  </si>
  <si>
    <t>RFO (95-057)</t>
  </si>
  <si>
    <t>PERSONAL RECORD REQUEST</t>
  </si>
  <si>
    <t>1995-071101</t>
  </si>
  <si>
    <t>RFO (95-056)</t>
  </si>
  <si>
    <t>ACCESS TO CIVIL DISCOVERY</t>
  </si>
  <si>
    <t>GROSS RECPT INFO COMM PERMITTEES</t>
  </si>
  <si>
    <t>1995-071401</t>
  </si>
  <si>
    <t>RFO (95-058)</t>
  </si>
  <si>
    <t>FAMIS ACCESS</t>
  </si>
  <si>
    <t>1995-071701</t>
  </si>
  <si>
    <t>RECRUITMENT</t>
  </si>
  <si>
    <t>RRS REPORT REQUEST</t>
  </si>
  <si>
    <t>1995-071901</t>
  </si>
  <si>
    <t>ATTORNEY-CLIENT</t>
  </si>
  <si>
    <t>SIERRA CLUB</t>
  </si>
  <si>
    <t>1995-072101</t>
  </si>
  <si>
    <t>RFO (95-059)</t>
  </si>
  <si>
    <t>DISPUTES RESOLUTIONS BOARD</t>
  </si>
  <si>
    <t>OAHU TRANSIT GROUP, C&amp;CofHON</t>
  </si>
  <si>
    <t>1995-072402</t>
  </si>
  <si>
    <t>RFO (95-060)</t>
  </si>
  <si>
    <t>GOVT DISCL. OF 3RD PARTY SECRETS</t>
  </si>
  <si>
    <t>1995-072501</t>
  </si>
  <si>
    <t>RFO (95-061)</t>
  </si>
  <si>
    <t>EMPLOYEE RETENTION POINTS</t>
  </si>
  <si>
    <t>RECON OF TEL. ADVICE</t>
  </si>
  <si>
    <t>1995-072601</t>
  </si>
  <si>
    <t>ACCESS TO MEDEX FILES</t>
  </si>
  <si>
    <t>RE ROSE FERGUSON'S DEATH</t>
  </si>
  <si>
    <t>1995-072701</t>
  </si>
  <si>
    <t>RFO (95-063)</t>
  </si>
  <si>
    <t>BANKING BID PROPOSAL</t>
  </si>
  <si>
    <t>1995-080101</t>
  </si>
  <si>
    <t>RFO (95-064)</t>
  </si>
  <si>
    <t>TIME SHARE APPROVAL</t>
  </si>
  <si>
    <t>COUNSEL APPROVAL</t>
  </si>
  <si>
    <t>1995-080102</t>
  </si>
  <si>
    <t>RFO (95-065)</t>
  </si>
  <si>
    <t>ETHICS OPINION (reassigned from HRJ)</t>
  </si>
  <si>
    <t>1995-081101</t>
  </si>
  <si>
    <t>GOVERNOR REFERRAL</t>
  </si>
  <si>
    <t>JOE BLANCO</t>
  </si>
  <si>
    <t>1995-081401</t>
  </si>
  <si>
    <t>RFO (95-066)</t>
  </si>
  <si>
    <t>RICO INVESTIGATIONS</t>
  </si>
  <si>
    <t>UNLICENSED ACTIVITY, UNFAIR OR DEC</t>
  </si>
  <si>
    <t>1995-081601</t>
  </si>
  <si>
    <t>RFO (95-067)</t>
  </si>
  <si>
    <t>ACCESS TO HPD REPORTS</t>
  </si>
  <si>
    <t>1995-082201</t>
  </si>
  <si>
    <t>RFO (95-069)</t>
  </si>
  <si>
    <t>CONFID OF MEDICAL FEE SCHEDULES</t>
  </si>
  <si>
    <t>HEALTH CARE PLAN CONTRACTORS</t>
  </si>
  <si>
    <t>1995-082301</t>
  </si>
  <si>
    <t>RFO (95-070)</t>
  </si>
  <si>
    <t>INMATE PRISON FILES</t>
  </si>
  <si>
    <t>PROCEDURE TO PROVIDE ACCESS</t>
  </si>
  <si>
    <t>1995-082401</t>
  </si>
  <si>
    <t>RFO (95-071)</t>
  </si>
  <si>
    <t>DOTX DRAFT RULES</t>
  </si>
  <si>
    <t>OIP REVIEW AND COMMENT</t>
  </si>
  <si>
    <t>1995-082402</t>
  </si>
  <si>
    <t>RFO (95-072)</t>
  </si>
  <si>
    <t>CORR STATE FARM</t>
  </si>
  <si>
    <t>INS COMMISSIONER</t>
  </si>
  <si>
    <t>1995-082802</t>
  </si>
  <si>
    <t>RFO (95-073)</t>
  </si>
  <si>
    <t>GENERAL ORDERS</t>
  </si>
  <si>
    <t>FIREARMS/RADIOS</t>
  </si>
  <si>
    <t>1995-082901</t>
  </si>
  <si>
    <t>RFO (95-074)</t>
  </si>
  <si>
    <t>NA LEO O HAWAII BD MEMBERS INFO</t>
  </si>
  <si>
    <t>PUB/CONFID</t>
  </si>
  <si>
    <t>1995-083101</t>
  </si>
  <si>
    <t>RFO (95-075)</t>
  </si>
  <si>
    <t>AG SUBPOENA</t>
  </si>
  <si>
    <t>INMATE MED RECORDS</t>
  </si>
  <si>
    <t>1995-090101</t>
  </si>
  <si>
    <t>RFO (95-076)</t>
  </si>
  <si>
    <t>DLNR VESSEL REGISTRATION FORM</t>
  </si>
  <si>
    <t>PUBLIC/CONFID. (reassigned from LJL)</t>
  </si>
  <si>
    <t>1995-090102</t>
  </si>
  <si>
    <t>RFO (95-077)</t>
  </si>
  <si>
    <t>INSURANCE DIV</t>
  </si>
  <si>
    <t>POLICYHOLDERS NAMES</t>
  </si>
  <si>
    <t>1995-090501</t>
  </si>
  <si>
    <t>RFO (95-078)</t>
  </si>
  <si>
    <t>BOAT SLIPS</t>
  </si>
  <si>
    <t>DELINQUENT ACCTS</t>
  </si>
  <si>
    <t>1995-091201</t>
  </si>
  <si>
    <t>RFO (95-080)</t>
  </si>
  <si>
    <t>DEVELOPMENT AGREEMENTS PHASE I</t>
  </si>
  <si>
    <t>JMLC, RJP</t>
  </si>
  <si>
    <t>1995-091202</t>
  </si>
  <si>
    <t>RFO (95-081)</t>
  </si>
  <si>
    <t>ACCESS TO OHA CONTRACTS/FEES WITH</t>
  </si>
  <si>
    <t>FIRST HONOLULU SECURITIES</t>
  </si>
  <si>
    <t>1995-091401</t>
  </si>
  <si>
    <t>HAW COMMUNITY COLLEGE</t>
  </si>
  <si>
    <t>RESUMES</t>
  </si>
  <si>
    <t>1995-091402</t>
  </si>
  <si>
    <t>1995-091403</t>
  </si>
  <si>
    <t>RFO (95-082)</t>
  </si>
  <si>
    <t>PERSONAL RECORD WORKERS COMP FILE</t>
  </si>
  <si>
    <t>1995-091404</t>
  </si>
  <si>
    <t>HARRIS</t>
  </si>
  <si>
    <t>1995-091501</t>
  </si>
  <si>
    <t>RFO (95-083)</t>
  </si>
  <si>
    <t>VESSEL REGISTRATION/DATABASE</t>
  </si>
  <si>
    <t>MAILING LIST OF VESSEL OWNERS</t>
  </si>
  <si>
    <t>1995-091901</t>
  </si>
  <si>
    <t>RFO (95-084)</t>
  </si>
  <si>
    <t>PROSECUTOR'S OFFICE</t>
  </si>
  <si>
    <t>1995-092001</t>
  </si>
  <si>
    <t>RFO (95-085)</t>
  </si>
  <si>
    <t>PROCEDURES TO DISCLOSE PUBLIC PROC.</t>
  </si>
  <si>
    <t>HAW COUNTY POLICE COMM</t>
  </si>
  <si>
    <t>1995-092201</t>
  </si>
  <si>
    <t>1995-092801</t>
  </si>
  <si>
    <t>RFO (95-086)</t>
  </si>
  <si>
    <t>CAPTIVE INSURERS</t>
  </si>
  <si>
    <t>FINANCIAL RECORDS</t>
  </si>
  <si>
    <t>1995-092601</t>
  </si>
  <si>
    <t>PSD TRNG MANUAL</t>
  </si>
  <si>
    <t>CLINICAL TRNG PROJECT</t>
  </si>
  <si>
    <t>1995-092802</t>
  </si>
  <si>
    <t>RFO (95-087)</t>
  </si>
  <si>
    <t>GUARDIAN OF MINOR</t>
  </si>
  <si>
    <t>CONSENT OF DISCLOSURE</t>
  </si>
  <si>
    <t>1995-052502</t>
  </si>
  <si>
    <t>RFO (95-045)</t>
  </si>
  <si>
    <t>SCHOOL OF PUBLIC HEALTH</t>
  </si>
  <si>
    <t>1995-101801</t>
  </si>
  <si>
    <t>RFO (95-089)</t>
  </si>
  <si>
    <t>ACCESS TO RECD'S &amp; INFO</t>
  </si>
  <si>
    <t>KULANI CORRECTIONAL FAC.</t>
  </si>
  <si>
    <t>1995-101101</t>
  </si>
  <si>
    <t>PACIFIC INSURANCE</t>
  </si>
  <si>
    <t>1995-101001</t>
  </si>
  <si>
    <t>RFA-P (95-90)</t>
  </si>
  <si>
    <t>COMMUNITY CABLE TV COMPANIES</t>
  </si>
  <si>
    <t>DEFINITION OF "AGENCY"</t>
  </si>
  <si>
    <t>1995-101802</t>
  </si>
  <si>
    <t>MED RECORD POLICY</t>
  </si>
  <si>
    <t>1995-101302</t>
  </si>
  <si>
    <t>REQUEST TO DESTROY</t>
  </si>
  <si>
    <t>1995-103002</t>
  </si>
  <si>
    <t>RFO (95-091)</t>
  </si>
  <si>
    <t>C&amp;C BLDG DEPT</t>
  </si>
  <si>
    <t>1995-103003</t>
  </si>
  <si>
    <t>RFO (95-092)</t>
  </si>
  <si>
    <t>HANDLING PERSONAL RECORDS</t>
  </si>
  <si>
    <t>WITHIN KULANI CORRECTIONAL FACILITY</t>
  </si>
  <si>
    <t>1995-103101</t>
  </si>
  <si>
    <t>RFO (95-093)</t>
  </si>
  <si>
    <t>KAUAI WORLDWIDE COMMUNICATIONS</t>
  </si>
  <si>
    <t>ACCESS TO KPD FILES</t>
  </si>
  <si>
    <t>1995-110201</t>
  </si>
  <si>
    <t>RFO (95-094)</t>
  </si>
  <si>
    <t>INMATE PAROLE/GRIEVANCE FILES</t>
  </si>
  <si>
    <t>1995-110202</t>
  </si>
  <si>
    <t>RFO (95-095)</t>
  </si>
  <si>
    <t>APPLICATIONS AND REPORTS</t>
  </si>
  <si>
    <t>JEC/RJP/GLF</t>
  </si>
  <si>
    <t>1995-110701</t>
  </si>
  <si>
    <t>RFO (95-096)</t>
  </si>
  <si>
    <t>DHS REQUEST FOR MINUTES OF MTGS</t>
  </si>
  <si>
    <t>DHS EMPLOYEES' REQUEST FOR RECORDS</t>
  </si>
  <si>
    <t>1995-110702</t>
  </si>
  <si>
    <t>RFO (95-097)</t>
  </si>
  <si>
    <t>ELECTRONIC DATA RETRIEVAL</t>
  </si>
  <si>
    <t>1995-110801</t>
  </si>
  <si>
    <t>RFO (95-098)</t>
  </si>
  <si>
    <t>PROPOSALS FOR AIRPORT TAXI SERVICE</t>
  </si>
  <si>
    <t>1995-111701</t>
  </si>
  <si>
    <t>RFO (95-099)</t>
  </si>
  <si>
    <t>ACCESS TO INSTITUTIONAL-PAROLE FILE</t>
  </si>
  <si>
    <t>PRISONER REQUEST</t>
  </si>
  <si>
    <t>1995-112101</t>
  </si>
  <si>
    <t>RFO (95-100)</t>
  </si>
  <si>
    <t>USE OF CONFIDENTIAL DATA</t>
  </si>
  <si>
    <t>NON-GOVT USE OF CONFIDENTIAL DATA</t>
  </si>
  <si>
    <t>1995-111202</t>
  </si>
  <si>
    <t>RFO (95-101)</t>
  </si>
  <si>
    <t>USE OF SOCIAL SECURITY NUMBERS</t>
  </si>
  <si>
    <t>DISCLOSURE TO NATIONAL ASSOC OF INSURANCE COMMISSIONERS</t>
  </si>
  <si>
    <t>1995-111301</t>
  </si>
  <si>
    <t>RFO (95-102)</t>
  </si>
  <si>
    <t>CITY COUNCIL MTGS.</t>
  </si>
  <si>
    <t>CLOSED CAPTIONING</t>
  </si>
  <si>
    <t>1995-120101</t>
  </si>
  <si>
    <t>PRESENTATION AG REGULATORY DIVISION</t>
  </si>
  <si>
    <t>1995-120102</t>
  </si>
  <si>
    <t>ALL GOV</t>
  </si>
  <si>
    <t>AGENCY FEEDBACK ON RULES</t>
  </si>
  <si>
    <t>WORKING MEETINGS</t>
  </si>
  <si>
    <t>1995-120104</t>
  </si>
  <si>
    <t>COGEL PRGRAM PROPOSALS</t>
  </si>
  <si>
    <t>DRAFT</t>
  </si>
  <si>
    <t>1995-120105</t>
  </si>
  <si>
    <t>RFO (95-106)</t>
  </si>
  <si>
    <t>LEG- LRB</t>
  </si>
  <si>
    <t>NATIVE HAWAIIN WATER RIGHTS</t>
  </si>
  <si>
    <t>WATER CODE REVIEW</t>
  </si>
  <si>
    <t>1995-120801</t>
  </si>
  <si>
    <t>COMPLAINT AGAINST STATE FARM</t>
  </si>
  <si>
    <t>DAVID ROLF</t>
  </si>
  <si>
    <t>1995-120602</t>
  </si>
  <si>
    <t>RFO (95-107)</t>
  </si>
  <si>
    <t>AGRICULTURE/UIPA VIOLATION</t>
  </si>
  <si>
    <t>1995-121201</t>
  </si>
  <si>
    <t>RFO (95-108)</t>
  </si>
  <si>
    <t>INMATE INITIAL CLASSIFICATION</t>
  </si>
  <si>
    <t>1995-113001</t>
  </si>
  <si>
    <t>AUTOPSY</t>
  </si>
  <si>
    <t>COMMUNITY HOSPITALS</t>
  </si>
  <si>
    <t>1995-121801</t>
  </si>
  <si>
    <t>RFO (95-109)</t>
  </si>
  <si>
    <t>SECOND REQUEST FOR INFO ON DCCA</t>
  </si>
  <si>
    <t>OTHER REQUEST FOR INFO ON FILES MAT</t>
  </si>
  <si>
    <t>1995-113002</t>
  </si>
  <si>
    <t>RFO (95-103)</t>
  </si>
  <si>
    <t>CROSS-REF RFO 95-80</t>
  </si>
  <si>
    <t>1995-113003</t>
  </si>
  <si>
    <t>RFO (95-104)</t>
  </si>
  <si>
    <t>REQUEST FOR HLTH FUND DATA</t>
  </si>
  <si>
    <t>1995-113004</t>
  </si>
  <si>
    <t>RFO (95-105)</t>
  </si>
  <si>
    <t>PRISON PROCESS &amp; PROCEDURES</t>
  </si>
  <si>
    <t>KULANI CORRECTIONAL FACILITY</t>
  </si>
  <si>
    <t>1996-010201</t>
  </si>
  <si>
    <t>RFO (96-001)</t>
  </si>
  <si>
    <t>DOH WASTEWATER</t>
  </si>
  <si>
    <t>1996-010403</t>
  </si>
  <si>
    <t>PROS ATTY-K</t>
  </si>
  <si>
    <t>COMPLAINT RE RELEASE OF NAMES</t>
  </si>
  <si>
    <t>OFFICERS NOT CHARGED</t>
  </si>
  <si>
    <t>1996-010803</t>
  </si>
  <si>
    <t>ANSAC</t>
  </si>
  <si>
    <t>1996-011802</t>
  </si>
  <si>
    <t>UIPA REQUEST TO B&amp;F</t>
  </si>
  <si>
    <t>1996-012607</t>
  </si>
  <si>
    <t>'96 BUDGET LEGISLATION</t>
  </si>
  <si>
    <t>REQUEST ASSISTANCE</t>
  </si>
  <si>
    <t>1996-012908</t>
  </si>
  <si>
    <t>COPY OF OPINION</t>
  </si>
  <si>
    <t>SPOUSAL PRIVILEGE</t>
  </si>
  <si>
    <t>1996-021301</t>
  </si>
  <si>
    <t>RFO (96-004)</t>
  </si>
  <si>
    <t>TRANSCRIPTS--PAROLE BD HRGS.</t>
  </si>
  <si>
    <t>1996-021601</t>
  </si>
  <si>
    <t>RFO (96-005)</t>
  </si>
  <si>
    <t>ACCESS TO HPA TRANSCRIPTS</t>
  </si>
  <si>
    <t>1996-021602</t>
  </si>
  <si>
    <t>RFO (96-006)</t>
  </si>
  <si>
    <t>REQUEST FOR INFO FROM PSD</t>
  </si>
  <si>
    <t>RE TRANSFER</t>
  </si>
  <si>
    <t>1996-022001</t>
  </si>
  <si>
    <t>ACCESS TO NAMES</t>
  </si>
  <si>
    <t>SUBSCRIBERS TO BULLETIN OF OEQC</t>
  </si>
  <si>
    <t>1996-020501</t>
  </si>
  <si>
    <t>INMATE'S PAROLE FILE</t>
  </si>
  <si>
    <t>1996-030801</t>
  </si>
  <si>
    <t>RFO (96-007)</t>
  </si>
  <si>
    <t>INDEX DATA</t>
  </si>
  <si>
    <t>1996-030802</t>
  </si>
  <si>
    <t>RFO (96-008)</t>
  </si>
  <si>
    <t>LRB ELECTRONIC CONSITUTION</t>
  </si>
  <si>
    <t>FORMAT</t>
  </si>
  <si>
    <t>1996-042302</t>
  </si>
  <si>
    <t>RFO (96-009)</t>
  </si>
  <si>
    <t>AGENCY CONTACT</t>
  </si>
  <si>
    <t>COMPLAINT RE HAW. PAROLING AUTH.</t>
  </si>
  <si>
    <t>SMK</t>
  </si>
  <si>
    <t>1996-050601</t>
  </si>
  <si>
    <t>CONFIDENTIALITY OF IND</t>
  </si>
  <si>
    <t>MTDG</t>
  </si>
  <si>
    <t>1996-050696</t>
  </si>
  <si>
    <t>1996-040301</t>
  </si>
  <si>
    <t>RFO (96-010)</t>
  </si>
  <si>
    <t>STEP II FACT</t>
  </si>
  <si>
    <t>UH DISCRIMINATION</t>
  </si>
  <si>
    <t>1996-042301</t>
  </si>
  <si>
    <t>VALUE ADDED PRODUCTS</t>
  </si>
  <si>
    <t>GIS</t>
  </si>
  <si>
    <t>1996-050201</t>
  </si>
  <si>
    <t>UH FOOD SERVICE CONTRACTOR</t>
  </si>
  <si>
    <t>SERVICES CONTRACT</t>
  </si>
  <si>
    <t>1996-050602</t>
  </si>
  <si>
    <t>RFO (96-011)</t>
  </si>
  <si>
    <t>CONFIDENTIALITY OF GROSS RECEIPTS</t>
  </si>
  <si>
    <t>STATEMENTS</t>
  </si>
  <si>
    <t>1996-040801</t>
  </si>
  <si>
    <t>RFO (96-013)</t>
  </si>
  <si>
    <t>CONFIDENTIAL ENDOWMENT</t>
  </si>
  <si>
    <t>1996-050801</t>
  </si>
  <si>
    <t>RFO (96-012)</t>
  </si>
  <si>
    <t>PERSONNEL KULA ELEMENTARY</t>
  </si>
  <si>
    <t>1996-051602</t>
  </si>
  <si>
    <t>RFO (96-015)</t>
  </si>
  <si>
    <t>H-3 EMMINENT DOMAIN RECORDS</t>
  </si>
  <si>
    <t>1996-051701</t>
  </si>
  <si>
    <t>REVIEW SB2401</t>
  </si>
  <si>
    <t>REVIEW SB 2446</t>
  </si>
  <si>
    <t>1996-051702</t>
  </si>
  <si>
    <t>RFO (96-016)</t>
  </si>
  <si>
    <t>CONFIDENTIALITY OF GUN REGISTRATION</t>
  </si>
  <si>
    <t>PRIVACY OF PERSONAL RECORD</t>
  </si>
  <si>
    <t>1996-052201</t>
  </si>
  <si>
    <t>RFO (96-017)</t>
  </si>
  <si>
    <t>TRADE SECRETS &amp; PROPRIETARY INFO</t>
  </si>
  <si>
    <t>WIC FOOD DELIVERY &amp; INFO OF SYSTEMS</t>
  </si>
  <si>
    <t>1996-052202</t>
  </si>
  <si>
    <t>RFA-G (96-01)</t>
  </si>
  <si>
    <t>DESTRUCTION OF PERSONAL RECORDS</t>
  </si>
  <si>
    <t>JJC</t>
  </si>
  <si>
    <t>1996-052301</t>
  </si>
  <si>
    <t>ALL-H</t>
  </si>
  <si>
    <t>PERSONAL RECORD FOR ROBERT A. OBER</t>
  </si>
  <si>
    <t>1996-052302</t>
  </si>
  <si>
    <t>CONTRIBUTIONS RE ARTICLES FOR AGRAG</t>
  </si>
  <si>
    <t>1996-052801</t>
  </si>
  <si>
    <t>RFO (96-018)</t>
  </si>
  <si>
    <t>PAYMENT FOR EXAMINATION OF RECORDS</t>
  </si>
  <si>
    <t>1996-062001</t>
  </si>
  <si>
    <t>REORGANIZATION PLAN</t>
  </si>
  <si>
    <t>1996-031101</t>
  </si>
  <si>
    <t>NAME CHANGES OF CONVICTED FELONS</t>
  </si>
  <si>
    <t>INFORMATION MATCHING</t>
  </si>
  <si>
    <t>1996-070101</t>
  </si>
  <si>
    <t>RFO (96-019)</t>
  </si>
  <si>
    <t>PRIVACY OF BUSINESS CUSTOMERS</t>
  </si>
  <si>
    <t>SALES OF PUBLIC INFORMATION</t>
  </si>
  <si>
    <t>1996-070102</t>
  </si>
  <si>
    <t>RFO (96-020)</t>
  </si>
  <si>
    <t>COMMUNITY HOSPITALS AUTOPSY REPORTS</t>
  </si>
  <si>
    <t>1996-070501</t>
  </si>
  <si>
    <t>RFO (96-022)</t>
  </si>
  <si>
    <t>INMATE PERSONAL RECORDS</t>
  </si>
  <si>
    <t>1996-070901</t>
  </si>
  <si>
    <t>INMATE DATA WITH PSD</t>
  </si>
  <si>
    <t>PUBLIC RECORD DATABASE</t>
  </si>
  <si>
    <t>1996-070902</t>
  </si>
  <si>
    <t>RFO (96-021)</t>
  </si>
  <si>
    <t>RACEWAY PARK LAND EXCHANGE DOCS</t>
  </si>
  <si>
    <t>1996-071101</t>
  </si>
  <si>
    <t>CITY ETHICS OPINIONS</t>
  </si>
  <si>
    <t>IDENTITIES</t>
  </si>
  <si>
    <t>1996-072401</t>
  </si>
  <si>
    <t>RFO (96-023)</t>
  </si>
  <si>
    <t>POLICE- H</t>
  </si>
  <si>
    <t>IDENTIFICATION OF DECEASED</t>
  </si>
  <si>
    <t>NOTIFICATION OF KIN</t>
  </si>
  <si>
    <t>JZB,JEC/RJP/GLF/SRK/WKP/LLT</t>
  </si>
  <si>
    <t>1996-072402</t>
  </si>
  <si>
    <t>REPORTING FEDERAL RECORDS</t>
  </si>
  <si>
    <t>1996-072403</t>
  </si>
  <si>
    <t>REPORTING FEDERAL RECORDS (reassigned from MTDG)</t>
  </si>
  <si>
    <t>ADHIS</t>
  </si>
  <si>
    <t>LLA/JEC/GLF/SRK</t>
  </si>
  <si>
    <t>1996-072501</t>
  </si>
  <si>
    <t>RFO (96-024)</t>
  </si>
  <si>
    <t>APPLICATION FOR TAX CREDITS</t>
  </si>
  <si>
    <t>LOW INCOME HOUSING TAX CREDIT</t>
  </si>
  <si>
    <t>1996-072601</t>
  </si>
  <si>
    <t>GOVERNMENT AGENCY REORGANIZATION</t>
  </si>
  <si>
    <t>AGENCY CODE CHANGES</t>
  </si>
  <si>
    <t>1996-080201</t>
  </si>
  <si>
    <t>RFO (96-025)</t>
  </si>
  <si>
    <t>CONTRACTORS' VIOLATION</t>
  </si>
  <si>
    <t>1996-080202</t>
  </si>
  <si>
    <t>RFO (96-026)</t>
  </si>
  <si>
    <t>PRIVACY OF REQUESTORS</t>
  </si>
  <si>
    <t>NOTICE OF REQUESTS FOR INFORMATION</t>
  </si>
  <si>
    <t>1996-080203</t>
  </si>
  <si>
    <t>RFO (96-027)</t>
  </si>
  <si>
    <t>ARREST REPORTS WHEN NO PROSECUTION</t>
  </si>
  <si>
    <t>1996-080601</t>
  </si>
  <si>
    <t>AG OAG</t>
  </si>
  <si>
    <t>INFORMATION ON UIPA</t>
  </si>
  <si>
    <t>MOTOR VEHICLE/DRIVER'S LIC. REGIS.</t>
  </si>
  <si>
    <t>1996-080701</t>
  </si>
  <si>
    <t>RFO (96-028)</t>
  </si>
  <si>
    <t>CONFIDENTIAL BUSINESS INFORMATION</t>
  </si>
  <si>
    <t>GROUNDHANDLERS LANDING REPORTS</t>
  </si>
  <si>
    <t>1996-081301</t>
  </si>
  <si>
    <t>RFO (96-029)</t>
  </si>
  <si>
    <t>PERSONAL RECORDS REQUEST</t>
  </si>
  <si>
    <t>1996-080702</t>
  </si>
  <si>
    <t>RFO (96-030)</t>
  </si>
  <si>
    <t>REQUEST FOR PERSONAL RECORDS FROM</t>
  </si>
  <si>
    <t>HPD AND HCJC</t>
  </si>
  <si>
    <t>1996-080801</t>
  </si>
  <si>
    <t>OFFENDER DATA</t>
  </si>
  <si>
    <t>PRIVATE INFO SERVICE PROVIDER</t>
  </si>
  <si>
    <t>JEC/RJP</t>
  </si>
  <si>
    <t>1996-081901</t>
  </si>
  <si>
    <t>RFO (96-031)</t>
  </si>
  <si>
    <t>RCUH AN AGENCY</t>
  </si>
  <si>
    <t>DISCL OF PROPRIETARY OR CLASSIFIED RESEARCH</t>
  </si>
  <si>
    <t>1996-083001</t>
  </si>
  <si>
    <t>RFO (96-032)</t>
  </si>
  <si>
    <t>INVESTIGATIVE REPORTS-CLOSED</t>
  </si>
  <si>
    <t>DCCA - RICO &amp; MCCP</t>
  </si>
  <si>
    <t>1996-090401</t>
  </si>
  <si>
    <t>RFO (96-033)</t>
  </si>
  <si>
    <t>PRIVACY INT IN FINANCING SUPP COMP</t>
  </si>
  <si>
    <t>AUDITOR'S REPORT</t>
  </si>
  <si>
    <t>1996-070502</t>
  </si>
  <si>
    <t>RFO (96-034)</t>
  </si>
  <si>
    <t>CITY CHARTER DISC. OF ETHICS OP.</t>
  </si>
  <si>
    <t>UNIFORMITY OF LAWS</t>
  </si>
  <si>
    <t>1996-090501</t>
  </si>
  <si>
    <t>1996-090502</t>
  </si>
  <si>
    <t>LTGOV-CAMPAIGN SPEND</t>
  </si>
  <si>
    <t>VIOLATIONS OF CHAPTER 92</t>
  </si>
  <si>
    <t>1996-073101</t>
  </si>
  <si>
    <t>SHARING INFO BETWEEN GOV. AGENCIES</t>
  </si>
  <si>
    <t>CARE PLAN NOTES</t>
  </si>
  <si>
    <t>1996-091801</t>
  </si>
  <si>
    <t>RFO (96-035)</t>
  </si>
  <si>
    <t>PERSONAL RECORDS OF ARTISTS</t>
  </si>
  <si>
    <t>CONSENT TO DISCLOSE PERSONAL DATA</t>
  </si>
  <si>
    <t>1996-091201</t>
  </si>
  <si>
    <t>RFO (96-036)</t>
  </si>
  <si>
    <t>INFO RE NHRLF</t>
  </si>
  <si>
    <t>1996-091901</t>
  </si>
  <si>
    <t>RFO (96-037)</t>
  </si>
  <si>
    <t>INVESTIGATIVE TECHNIQUES</t>
  </si>
  <si>
    <t>ARREST RECORDS</t>
  </si>
  <si>
    <t>1996-073001</t>
  </si>
  <si>
    <t>RFO (97-036)</t>
  </si>
  <si>
    <t>B&amp;F- HFDC</t>
  </si>
  <si>
    <t>HFDC LIHTC MINUTES</t>
  </si>
  <si>
    <t>LIHTC DECISION DOCUMENTS</t>
  </si>
  <si>
    <t>1996-092301</t>
  </si>
  <si>
    <t>TITLES OF OVERDUE BOOKS FROM SPLS</t>
  </si>
  <si>
    <t>1996-092401</t>
  </si>
  <si>
    <t>CHILD-DEATH REVIEW TEAM</t>
  </si>
  <si>
    <t>INTER-AGENCY SHARING</t>
  </si>
  <si>
    <t>1996-082801</t>
  </si>
  <si>
    <t>UNDERCOVER EMPLOYEES</t>
  </si>
  <si>
    <t>1996-092701</t>
  </si>
  <si>
    <t>EXCESSIVE INTERFERENCE W/RECORDS</t>
  </si>
  <si>
    <t>IDENTIFICATION OF REQUESTERS</t>
  </si>
  <si>
    <t>1996-100101</t>
  </si>
  <si>
    <t>RESEARCH - TRAFFIC ACCIDENT RPTS</t>
  </si>
  <si>
    <t>DOT DATA &amp; RESEARCH</t>
  </si>
  <si>
    <t>1996-100701</t>
  </si>
  <si>
    <t>COUNTY ETHICS OPINIONS</t>
  </si>
  <si>
    <t>PUBLIC INTEREST IN ADVISORY OP.</t>
  </si>
  <si>
    <t>1996-092402</t>
  </si>
  <si>
    <t>RFO (96-038)</t>
  </si>
  <si>
    <t>SHORT LIST OF ELIGIBLE CANDIDATES</t>
  </si>
  <si>
    <t>PRIVACY INTERESTS OF JOB APPLICANTS</t>
  </si>
  <si>
    <t>1996-090402</t>
  </si>
  <si>
    <t>AG LAB</t>
  </si>
  <si>
    <t>PUBLICATION OF LAB DECISIONS</t>
  </si>
  <si>
    <t>PRINCIPLES OF ACCESS</t>
  </si>
  <si>
    <t>1996-101601</t>
  </si>
  <si>
    <t>RFO (96-039)</t>
  </si>
  <si>
    <t>PSD NUMBERED MEMORANDA</t>
  </si>
  <si>
    <t>1996-092702</t>
  </si>
  <si>
    <t>RFO (96-100)</t>
  </si>
  <si>
    <t>VIDEO TAPING OF PUBLIC AREAS</t>
  </si>
  <si>
    <t>COLLECTION OF INFORMATION</t>
  </si>
  <si>
    <t>JEC/LJL/GLF/SRK</t>
  </si>
  <si>
    <t>1996-101401</t>
  </si>
  <si>
    <t>RFO (96-040)</t>
  </si>
  <si>
    <t>ARREST RECORD</t>
  </si>
  <si>
    <t>PRIVACY INTERESTS IN RAP SHEETS</t>
  </si>
  <si>
    <t>1996-101602</t>
  </si>
  <si>
    <t>RFO (96-041)</t>
  </si>
  <si>
    <t>RECONSIDERATION OF OP. LTR. 89-8</t>
  </si>
  <si>
    <t>CERTIFIED PAYROLL RECORDS</t>
  </si>
  <si>
    <t>1996-101801</t>
  </si>
  <si>
    <t>APPLIC. FOR COMMUTATION OF SERVICE</t>
  </si>
  <si>
    <t>1996-102101</t>
  </si>
  <si>
    <t>RFO (96-042)</t>
  </si>
  <si>
    <t>EMPLOYERS OF CURRENT BD MEMBERS</t>
  </si>
  <si>
    <t>1996-031801</t>
  </si>
  <si>
    <t>RFO (96-014)</t>
  </si>
  <si>
    <t>UIPA REQUESTS</t>
  </si>
  <si>
    <t>INVESTORS EQUITY LIFE INS.</t>
  </si>
  <si>
    <t>1996-102401</t>
  </si>
  <si>
    <t>RFO (96-043)</t>
  </si>
  <si>
    <t>RELEASE. OF PERSONNEL RECORDS FOR FEDERAL  AUDIT</t>
  </si>
  <si>
    <t>reassigned from JMLC</t>
  </si>
  <si>
    <t>1996-110601</t>
  </si>
  <si>
    <t>COMPLIANCE WITH 92F-18</t>
  </si>
  <si>
    <t>1996-110701</t>
  </si>
  <si>
    <t>RFO (96-044)</t>
  </si>
  <si>
    <t>DISCIPLNRY INFO RE FOSTER HOME LIC.</t>
  </si>
  <si>
    <t>ROSTER OF FOSTER HOME LICENSEES</t>
  </si>
  <si>
    <t>MTDG/JEC/RJP/GLF/SRK</t>
  </si>
  <si>
    <t>1996-111201</t>
  </si>
  <si>
    <t>AUDITORS' ACCESS TO FORM 5 RE ERS</t>
  </si>
  <si>
    <t>1996-111301</t>
  </si>
  <si>
    <t>RFO (96-045)</t>
  </si>
  <si>
    <t>RFP &amp; CBI</t>
  </si>
  <si>
    <t>1996-110401</t>
  </si>
  <si>
    <t>RFO (96-049)</t>
  </si>
  <si>
    <t>DEFINITION OF "GOV. RECORD"</t>
  </si>
  <si>
    <t>TEMPORARY MAINTENANCE OF RECORDS</t>
  </si>
  <si>
    <t>1996-111801</t>
  </si>
  <si>
    <t>RFO (96-048)</t>
  </si>
  <si>
    <t>DISCLOSURE OF GRIEVANCE INVEST. RPT</t>
  </si>
  <si>
    <t>1996-111502</t>
  </si>
  <si>
    <t>RFO (96-046)</t>
  </si>
  <si>
    <t>STATE ETHICS COMM. TIME RECORDS</t>
  </si>
  <si>
    <t>1996-111503</t>
  </si>
  <si>
    <t>RFO (96-047)</t>
  </si>
  <si>
    <t>CBI LANAI COMM HOSPITAL</t>
  </si>
  <si>
    <t>ER SERVICES CONTRACT</t>
  </si>
  <si>
    <t>1996-112101</t>
  </si>
  <si>
    <t>N/A</t>
  </si>
  <si>
    <t>HOW TO FILE UIPA REQUEST</t>
  </si>
  <si>
    <t>1996-112601</t>
  </si>
  <si>
    <t>INVES</t>
  </si>
  <si>
    <t>HPA'S COMPLIANCE W/UIPA</t>
  </si>
  <si>
    <t>reassigned from RJP</t>
  </si>
  <si>
    <t>LJL/RJP</t>
  </si>
  <si>
    <t>1996-112602</t>
  </si>
  <si>
    <t>RFO (96-050)</t>
  </si>
  <si>
    <t>PROPOSAL FOR HOSPITAL GENERAL AND</t>
  </si>
  <si>
    <t>PROFESSIONAL LIABILITY INSURANCE</t>
  </si>
  <si>
    <t>1996-101101</t>
  </si>
  <si>
    <t>RFA (96-003)</t>
  </si>
  <si>
    <t>ABSTRACT OF TITLE-AHUPUA'A KI'ILAE</t>
  </si>
  <si>
    <t>ATTORNEY WORK PRODUCT</t>
  </si>
  <si>
    <t>1996-120401</t>
  </si>
  <si>
    <t>RFA-P (96-004)</t>
  </si>
  <si>
    <t>DOCUMENTS FROM DHS</t>
  </si>
  <si>
    <t>1996-121601</t>
  </si>
  <si>
    <t>RFA (96-05)</t>
  </si>
  <si>
    <t>92F-15(F)</t>
  </si>
  <si>
    <t>1996-121001</t>
  </si>
  <si>
    <t>RFO (96-051)</t>
  </si>
  <si>
    <t>INTERAGENCY SHARING OF FILES</t>
  </si>
  <si>
    <t>INVESTIGATION BY HHLTRC PANEL</t>
  </si>
  <si>
    <t>1996-122001</t>
  </si>
  <si>
    <t>RFO (96-053)</t>
  </si>
  <si>
    <t>POLICE DISCIPLINARY RECORDS</t>
  </si>
  <si>
    <t>1996-121901</t>
  </si>
  <si>
    <t>RFO (96-052)</t>
  </si>
  <si>
    <t>KAUAI POLICE BLOTTER INFORMATION</t>
  </si>
  <si>
    <t>1996-121501</t>
  </si>
  <si>
    <t>ARBITRATION SCORE SHEETS</t>
  </si>
  <si>
    <t>HFDC</t>
  </si>
  <si>
    <t>1996-122002</t>
  </si>
  <si>
    <t>RFO (96-054)</t>
  </si>
  <si>
    <t>JUDICIARY RECORDS</t>
  </si>
  <si>
    <t>RELEASE OF MICHAEL LAU'S PHOTO</t>
  </si>
  <si>
    <t>1996-123001</t>
  </si>
  <si>
    <t>RFO (96-055)</t>
  </si>
  <si>
    <t>CLERK-HON</t>
  </si>
  <si>
    <t>VOTER REGISTRATION AFFIDAVITS</t>
  </si>
  <si>
    <t>1996 ELECTION POLL BOOKS</t>
  </si>
  <si>
    <t>1997-010202</t>
  </si>
  <si>
    <t>RFO (97-001)</t>
  </si>
  <si>
    <t>RECORDS RE PRINCEVILLE AIRPORT</t>
  </si>
  <si>
    <t>1997-010801</t>
  </si>
  <si>
    <t>RFA (97-01)</t>
  </si>
  <si>
    <t>DISC CNSL OR HSB</t>
  </si>
  <si>
    <t>1997-010803</t>
  </si>
  <si>
    <t>RFO (97-002)</t>
  </si>
  <si>
    <t>DISCLOSABILITY OF DOCUMENTS</t>
  </si>
  <si>
    <t>DOH-CHILDREN/ADOLESCENTS</t>
  </si>
  <si>
    <t>1997-010802</t>
  </si>
  <si>
    <t>RFA (97-002)</t>
  </si>
  <si>
    <t>EMPLOYMENT RECORDS OF EX-EMPLOYEE</t>
  </si>
  <si>
    <t>1997-011501</t>
  </si>
  <si>
    <t>OHA ACCESS LAWSUIT</t>
  </si>
  <si>
    <t>BILLIE BEAMER</t>
  </si>
  <si>
    <t>1997-012101</t>
  </si>
  <si>
    <t>397-12 CONFIDENTIALITY OF WHISTLE</t>
  </si>
  <si>
    <t>BLOWER ID; DISCL AFTER PROCEEDNGS</t>
  </si>
  <si>
    <t>1997-012201</t>
  </si>
  <si>
    <t>RFO (97-03)</t>
  </si>
  <si>
    <t>JUD-ODC</t>
  </si>
  <si>
    <t>DISCIPLINARY BOARD OF SUPREME CT.</t>
  </si>
  <si>
    <t>RULES AND POLICIES</t>
  </si>
  <si>
    <t>1997-012311</t>
  </si>
  <si>
    <t>RFO (97-04)</t>
  </si>
  <si>
    <t>1997-012338</t>
  </si>
  <si>
    <t>RFO (97-005)</t>
  </si>
  <si>
    <t>1997-012401</t>
  </si>
  <si>
    <t>RFO (97-006)</t>
  </si>
  <si>
    <t>CORP CNSL-H</t>
  </si>
  <si>
    <t>BLDG PLANS &amp; SAFETY OF HOMEOWNERS</t>
  </si>
  <si>
    <t>ARCHITECTS' COPYRIGHT</t>
  </si>
  <si>
    <t>1997-012941</t>
  </si>
  <si>
    <t>RFO (97-007)</t>
  </si>
  <si>
    <t>RFP PATIENT MONITORS CBI DISCL.</t>
  </si>
  <si>
    <t>SUCCESSFUL BID FILE</t>
  </si>
  <si>
    <t>1997-013001</t>
  </si>
  <si>
    <t>RFO (97-008)</t>
  </si>
  <si>
    <t>DISCLOSURE OF DATA ON GOVT EMPEE</t>
  </si>
  <si>
    <t>1997-020301</t>
  </si>
  <si>
    <t>RFO (97-009)</t>
  </si>
  <si>
    <t>APPLICATION FORMS</t>
  </si>
  <si>
    <t>HUMAN SUBJECTS IN RESEARCH</t>
  </si>
  <si>
    <t>1997-020302</t>
  </si>
  <si>
    <t>RFO (97-010)</t>
  </si>
  <si>
    <t>STATE CONTRACT WITH HMSA</t>
  </si>
  <si>
    <t>1997-020303</t>
  </si>
  <si>
    <t>RFO (97-011)</t>
  </si>
  <si>
    <t>OSHA FILES ON WAIAWA CORR. FACILITY</t>
  </si>
  <si>
    <t>COMPLAINTS BY MEMBERS OF THE PUBLIC</t>
  </si>
  <si>
    <t>1997-020402</t>
  </si>
  <si>
    <t>RFO (97-012)</t>
  </si>
  <si>
    <t>DISCIPLINARY RECORDS OF DECEASED</t>
  </si>
  <si>
    <t>POLICE OFFICERS</t>
  </si>
  <si>
    <t>1997-020403</t>
  </si>
  <si>
    <t>RFO (97-013)</t>
  </si>
  <si>
    <t>PRIVACY RIGHT OF SUSPENDED EMPEES</t>
  </si>
  <si>
    <t>1997-020501</t>
  </si>
  <si>
    <t>RFO (97-014)</t>
  </si>
  <si>
    <t>HOUSING MOVEMENT STATUS DETERM.</t>
  </si>
  <si>
    <t>1997-020701</t>
  </si>
  <si>
    <t>RFO (97-015)</t>
  </si>
  <si>
    <t>CASSETTE TAPES</t>
  </si>
  <si>
    <t>DISCLOSURE OF MINUTES</t>
  </si>
  <si>
    <t>1997-021001</t>
  </si>
  <si>
    <t>RFO (97-016)</t>
  </si>
  <si>
    <t>CIV SER- H</t>
  </si>
  <si>
    <t>UNION'S PUBLICATION OF PRIVATE DATA</t>
  </si>
  <si>
    <t>DISCL. OF GOVT. EMPLYE PRIV. DATA BY UNION           * FILE W/JZB (RFO 99-019)</t>
  </si>
  <si>
    <t>JZB</t>
  </si>
  <si>
    <t>LLA/JEC</t>
  </si>
  <si>
    <t>1997-021101</t>
  </si>
  <si>
    <t>RFO (97-017)</t>
  </si>
  <si>
    <t>RELEASE OF JUVENILES' NAMES ON</t>
  </si>
  <si>
    <t>TRAFFIC ACCIDENT BULLETINS</t>
  </si>
  <si>
    <t>1997-021302</t>
  </si>
  <si>
    <t>RFO (97-018)</t>
  </si>
  <si>
    <t>EXISTENCE OF GOVT. RECORDS</t>
  </si>
  <si>
    <t>OSP RECORDS</t>
  </si>
  <si>
    <t>JEC/CMD/LJL/GLF</t>
  </si>
  <si>
    <t>1997-021303</t>
  </si>
  <si>
    <t>RFO (97-019)</t>
  </si>
  <si>
    <t>CLARIFICATION - GENERAL ORDERS</t>
  </si>
  <si>
    <t>606 AND 810</t>
  </si>
  <si>
    <t>JEC/RJP/GLF/SRK</t>
  </si>
  <si>
    <t>1997-011301</t>
  </si>
  <si>
    <t>RFO (97-020)</t>
  </si>
  <si>
    <t>GOVT. EMPLOYEE SUSPENSION</t>
  </si>
  <si>
    <t>ATTORNEY DISCIPLINE RECORDS</t>
  </si>
  <si>
    <t>1997-020702</t>
  </si>
  <si>
    <t>RFO (97-020B)</t>
  </si>
  <si>
    <t>BOARD MEETINGS</t>
  </si>
  <si>
    <t>MATERIALS FOR MEMBERS</t>
  </si>
  <si>
    <t>1997-022601</t>
  </si>
  <si>
    <t>RFO (97-021)</t>
  </si>
  <si>
    <t>COST FOR MEDICAL RECORDS</t>
  </si>
  <si>
    <t>1997-022602</t>
  </si>
  <si>
    <t>RFO (97-022)</t>
  </si>
  <si>
    <t>ATTY-CLIENT PRIVILEGE &amp; 92F</t>
  </si>
  <si>
    <t>INSTRUCTIONS TO ATTORNEY</t>
  </si>
  <si>
    <t>1997-022801</t>
  </si>
  <si>
    <t>RFO (97-023)</t>
  </si>
  <si>
    <t>CCA-DESIGN/BUILD CONTRACT</t>
  </si>
  <si>
    <t>CCA-GENERAL &amp; SUBCONTRACTORS</t>
  </si>
  <si>
    <t>1997-030701</t>
  </si>
  <si>
    <t>CONFIDENTIAL BUS. INFO GUIDELINES</t>
  </si>
  <si>
    <t>(CONSOL. WITH OIP #97-0519-01)</t>
  </si>
  <si>
    <t>1997-022802</t>
  </si>
  <si>
    <t>RFO (97-024)</t>
  </si>
  <si>
    <t>BODY CAVITY SEARCHES</t>
  </si>
  <si>
    <t>1997-030702</t>
  </si>
  <si>
    <t>RFO (97-025)</t>
  </si>
  <si>
    <t>INFO RE CALCULATING GA PAYMENTS</t>
  </si>
  <si>
    <t>1997-031001</t>
  </si>
  <si>
    <t>RFO (97-026)</t>
  </si>
  <si>
    <t>DATABASE OF HHRF</t>
  </si>
  <si>
    <t>PRIVACY RIGHTS OF INSUREDS</t>
  </si>
  <si>
    <t>1997-031002</t>
  </si>
  <si>
    <t>RFO (97-027)</t>
  </si>
  <si>
    <t>TRANSFER OF HOMESTEAD LEASES</t>
  </si>
  <si>
    <t>HAWAIIAN HOMESTEAD LEASE RECORDS</t>
  </si>
  <si>
    <t>1997-031201</t>
  </si>
  <si>
    <t>RFO (97-028)</t>
  </si>
  <si>
    <t>INMATES PERSONAL RECORDS</t>
  </si>
  <si>
    <t>DENIAL OF PAROLE</t>
  </si>
  <si>
    <t>1997-031701</t>
  </si>
  <si>
    <t>RFO (97-029)</t>
  </si>
  <si>
    <t>INVES.-OFFCR'S RAPE/SEXUAL ASSAULT</t>
  </si>
  <si>
    <t>POLICE OFFICER'S ACTIONS</t>
  </si>
  <si>
    <t>1997-032001</t>
  </si>
  <si>
    <t>RFO (97-030)</t>
  </si>
  <si>
    <t>WATER-K</t>
  </si>
  <si>
    <t>DISC. SHARED PERSONAL RECORD</t>
  </si>
  <si>
    <t>PRIV.INTS. OTHER THAN PRSNL RECORDS</t>
  </si>
  <si>
    <t>1997-040101</t>
  </si>
  <si>
    <t>RESEARCH AT OCEANIC INSTITUTE</t>
  </si>
  <si>
    <t>1997-040102</t>
  </si>
  <si>
    <t>RFO (97-031)</t>
  </si>
  <si>
    <t>STATE WORKERS COMP DIVISION CLAIMS</t>
  </si>
  <si>
    <t>DHRD'S CASE FILES</t>
  </si>
  <si>
    <t>1997-040301</t>
  </si>
  <si>
    <t>RFO (97-032)</t>
  </si>
  <si>
    <t>PERSONAL RECORDS AT PSD</t>
  </si>
  <si>
    <t>1997-040302</t>
  </si>
  <si>
    <t>RFO (97-033)</t>
  </si>
  <si>
    <t>WORKERS COMPENSATION CLAIM FILES</t>
  </si>
  <si>
    <t>1997-040401</t>
  </si>
  <si>
    <t>GUIDELINES RE SHARING DATA</t>
  </si>
  <si>
    <t>1997-040402</t>
  </si>
  <si>
    <t>RFO (97-034)</t>
  </si>
  <si>
    <t>ACCESS TO PERSONAL RECORDS</t>
  </si>
  <si>
    <t>1997-040403</t>
  </si>
  <si>
    <t>GUIDELINES ACCESS TO PERSONAL RCDS</t>
  </si>
  <si>
    <t>1997-040801</t>
  </si>
  <si>
    <t>RFO (97-035)</t>
  </si>
  <si>
    <t>IMPACT OF ACT 236 (96)</t>
  </si>
  <si>
    <t>IS FOUNDATION A GOVT AGENCY</t>
  </si>
  <si>
    <t>1997-040901</t>
  </si>
  <si>
    <t>RFO (97-037)</t>
  </si>
  <si>
    <t>INVESTIGATIVE REPORTS - JUVENILE</t>
  </si>
  <si>
    <t>JUVENILE ARRESTS AND RECORDS</t>
  </si>
  <si>
    <t>1997-041001</t>
  </si>
  <si>
    <t>RFO (97-038)</t>
  </si>
  <si>
    <t>DOCUMENTS RE LETTER OF INTENT</t>
  </si>
  <si>
    <t>1997-041002</t>
  </si>
  <si>
    <t>RFO (97-039)</t>
  </si>
  <si>
    <t>PAROLE RECORDS</t>
  </si>
  <si>
    <t>1997-041401</t>
  </si>
  <si>
    <t>RFO (97-040)</t>
  </si>
  <si>
    <t>FIRE-K</t>
  </si>
  <si>
    <t>HI STATE ENERG/CASUALTY REPORT</t>
  </si>
  <si>
    <t>PERSONAL DATA</t>
  </si>
  <si>
    <t>1997-041501</t>
  </si>
  <si>
    <t>RFO (97-041)</t>
  </si>
  <si>
    <t>PERSONAL RECORDS OF WCCC</t>
  </si>
  <si>
    <t>1997-041701</t>
  </si>
  <si>
    <t>RFO (97-042)</t>
  </si>
  <si>
    <t>RESPONDING TO REQUESTS TO DOT</t>
  </si>
  <si>
    <t>1997-041702</t>
  </si>
  <si>
    <t>RFO (97-043)</t>
  </si>
  <si>
    <t>OFFICE OF DISC. COUNSEL</t>
  </si>
  <si>
    <t>"AGENCY?"</t>
  </si>
  <si>
    <t>1997-011502</t>
  </si>
  <si>
    <t>INMATE CLASSIFICATION SYSTEM MANUAL</t>
  </si>
  <si>
    <t>1997-042101</t>
  </si>
  <si>
    <t>RFO (97-044)</t>
  </si>
  <si>
    <t>SHARING STATE DATA W/FEDERAL GOVT</t>
  </si>
  <si>
    <t>PUBLIC ACCESS TO SHARED DATA</t>
  </si>
  <si>
    <t>1997-043001</t>
  </si>
  <si>
    <t>RRS COMPLIANCE</t>
  </si>
  <si>
    <t>92F-18 COMPLIANCE</t>
  </si>
  <si>
    <t>1997-050501</t>
  </si>
  <si>
    <t>RFO (97-046)</t>
  </si>
  <si>
    <t>OPEN INVESTIGATIVE REPORT</t>
  </si>
  <si>
    <t>RJP/JMLC/JEC</t>
  </si>
  <si>
    <t>1997-050201</t>
  </si>
  <si>
    <t>RFO (97-045)</t>
  </si>
  <si>
    <t>CBI MOLOKAI RANCH</t>
  </si>
  <si>
    <t>DAIRY OPERATIONS</t>
  </si>
  <si>
    <t>1997-051001</t>
  </si>
  <si>
    <t>COMPETITORS RELEASE OF INFORMATION</t>
  </si>
  <si>
    <t>1997-051002</t>
  </si>
  <si>
    <t>RFO (97-047)</t>
  </si>
  <si>
    <t>RICO FILES-CLOSED</t>
  </si>
  <si>
    <t>1997-051003</t>
  </si>
  <si>
    <t>RFO (97-048)</t>
  </si>
  <si>
    <t>ACCESS TO MEDICAL RECORDS</t>
  </si>
  <si>
    <t>MISSING RECORDS</t>
  </si>
  <si>
    <t>LLA/JMLC/JEC</t>
  </si>
  <si>
    <t>1997-052701</t>
  </si>
  <si>
    <t>RFO (97-050)</t>
  </si>
  <si>
    <t>TAPE RECORDING OF HEARING</t>
  </si>
  <si>
    <t>1997-060401</t>
  </si>
  <si>
    <t>RFO (97-051)</t>
  </si>
  <si>
    <t>HALAWA CORRECTIONAL FACILITY RECORDS</t>
  </si>
  <si>
    <t>INSTITUTIONAL RECORDS</t>
  </si>
  <si>
    <t>1997-060501</t>
  </si>
  <si>
    <t>RFO (97-052)</t>
  </si>
  <si>
    <t>CRIMINAL HISTORY OF GOVT EMPLOYEE</t>
  </si>
  <si>
    <t>DOE'S RECORDS OF CRIMINAL HIST CHECK</t>
  </si>
  <si>
    <t>1997-061901</t>
  </si>
  <si>
    <t>RFO (97-053)</t>
  </si>
  <si>
    <t>JOB APPLICANT'S REASONS FOR DENIAL</t>
  </si>
  <si>
    <t>1997-061902</t>
  </si>
  <si>
    <t>RFO (97-054)</t>
  </si>
  <si>
    <t>LICENSING OF GIS DATA</t>
  </si>
  <si>
    <t>1997-062301</t>
  </si>
  <si>
    <t>RFO (97-055)</t>
  </si>
  <si>
    <t>STUDENT DISCIPLINARY RECORDS</t>
  </si>
  <si>
    <t>EMPLOYMENT RECOMMENDATIONS</t>
  </si>
  <si>
    <t>1997-062401</t>
  </si>
  <si>
    <t>911</t>
  </si>
  <si>
    <t>1997-062701</t>
  </si>
  <si>
    <t>RFO (97-056)</t>
  </si>
  <si>
    <t>CONTRACTOR'S AUDITED FIN STMTS</t>
  </si>
  <si>
    <t>1997-062503</t>
  </si>
  <si>
    <t>CUSTODY INVESTIGATIONS</t>
  </si>
  <si>
    <t>1997-051601</t>
  </si>
  <si>
    <t>PRISONER ACCESS TO OIP OP LTRS</t>
  </si>
  <si>
    <t>RELATES TO 97-0513-01 (SEE FILE)</t>
  </si>
  <si>
    <t>1997-051301</t>
  </si>
  <si>
    <t>RFA-G (97-03)</t>
  </si>
  <si>
    <t>LEGAL MATERIALS OF PRISONERS</t>
  </si>
  <si>
    <t>OIP OPINION LETTERS</t>
  </si>
  <si>
    <t>1997-062702</t>
  </si>
  <si>
    <t>RFO (97-057)</t>
  </si>
  <si>
    <t>POLICE INVESTIGATIONS</t>
  </si>
  <si>
    <t>1997-071003</t>
  </si>
  <si>
    <t>WESTERN STATES DATA SHARING</t>
  </si>
  <si>
    <t>CONSORTIUM</t>
  </si>
  <si>
    <t>1997-071005</t>
  </si>
  <si>
    <t>RRS COORDINATOR</t>
  </si>
  <si>
    <t>1997-070701</t>
  </si>
  <si>
    <t>REFERRAL TO GOVERNOR'S OFFICE</t>
  </si>
  <si>
    <t>1997-071502</t>
  </si>
  <si>
    <t>EXPUNGEMENT OF RECORDS</t>
  </si>
  <si>
    <t>REQUEST FOR CRIMINAL DATA</t>
  </si>
  <si>
    <t>1997-071701</t>
  </si>
  <si>
    <t>RFO (97-058)</t>
  </si>
  <si>
    <t>1997-072101</t>
  </si>
  <si>
    <t>TRAFFIC PLAN</t>
  </si>
  <si>
    <t>1997-072202</t>
  </si>
  <si>
    <t>RFO (97-059)</t>
  </si>
  <si>
    <t>DISCLOSURE OF EMPLOYEE DATA</t>
  </si>
  <si>
    <t>EMPLOYEE'S MV ABSTRACTS</t>
  </si>
  <si>
    <t>1997-072501</t>
  </si>
  <si>
    <t>RFO (97-060)</t>
  </si>
  <si>
    <t>PROJECT RECORDS RE DAGS JOB</t>
  </si>
  <si>
    <t>#12-31-4978</t>
  </si>
  <si>
    <t>1997-072801</t>
  </si>
  <si>
    <t>RFO (97-061)</t>
  </si>
  <si>
    <t>HCJDC</t>
  </si>
  <si>
    <t>REQUESTERS' IDENTITIES</t>
  </si>
  <si>
    <t>1997-073001</t>
  </si>
  <si>
    <t>RFO (97-062)</t>
  </si>
  <si>
    <t>INVESTIGATION RECORDS</t>
  </si>
  <si>
    <t>1997-051302</t>
  </si>
  <si>
    <t>RFO (97-049)</t>
  </si>
  <si>
    <t>1997-011601</t>
  </si>
  <si>
    <t>HTH-39 CHILD DEATH REVIEW</t>
  </si>
  <si>
    <t>INFO SHARING</t>
  </si>
  <si>
    <t>1997-080101</t>
  </si>
  <si>
    <t>RFA-P (97-004)</t>
  </si>
  <si>
    <t>STUDENT RECORDS</t>
  </si>
  <si>
    <t>1997-080701</t>
  </si>
  <si>
    <t>RFA-G (97-06)</t>
  </si>
  <si>
    <t>LTGOV RULES</t>
  </si>
  <si>
    <t>1997-080401</t>
  </si>
  <si>
    <t>RFO (97-063)</t>
  </si>
  <si>
    <t>RECORDS RE DENIAL OF PAROLE</t>
  </si>
  <si>
    <t>CMD/JJC</t>
  </si>
  <si>
    <t>1997-080801</t>
  </si>
  <si>
    <t>RFA-G (97-08)</t>
  </si>
  <si>
    <t>VOCATIONAL REHAB RECORDS</t>
  </si>
  <si>
    <t>RECORDS RE COUNSELORS</t>
  </si>
  <si>
    <t>1997-081101</t>
  </si>
  <si>
    <t>RFA-G (97-009)</t>
  </si>
  <si>
    <t>IDENTITY OF EMPLOYEES</t>
  </si>
  <si>
    <t>SALARIES OF EMPLOYEES</t>
  </si>
  <si>
    <t>1997-081102</t>
  </si>
  <si>
    <t>RFA-P (97-007)</t>
  </si>
  <si>
    <t>CRITERIA FOR TRANSFER OF INMATES</t>
  </si>
  <si>
    <t>1997-081801</t>
  </si>
  <si>
    <t>RFA-P (97-010)</t>
  </si>
  <si>
    <t>CORRECTION OF PERSONAL RECORD</t>
  </si>
  <si>
    <t>1997-082101</t>
  </si>
  <si>
    <t>RFO (97-064)</t>
  </si>
  <si>
    <t>GLOMARIZATION</t>
  </si>
  <si>
    <t>1997-090201</t>
  </si>
  <si>
    <t>RFA-P (97-011)</t>
  </si>
  <si>
    <t>RECORDS IN SUPPORT OF DECISION</t>
  </si>
  <si>
    <t>RFA-P (97-005)</t>
  </si>
  <si>
    <t>ACCESS TO POLICE RECORDS</t>
  </si>
  <si>
    <t>1997-091601</t>
  </si>
  <si>
    <t>RFO (97-067)</t>
  </si>
  <si>
    <t>DISCIPLINARY COUNSEL</t>
  </si>
  <si>
    <t>1997-091602</t>
  </si>
  <si>
    <t>RFO (97-068)</t>
  </si>
  <si>
    <t>PERSONAL DISCIPLINE RECORDS</t>
  </si>
  <si>
    <t>1997-091801</t>
  </si>
  <si>
    <t>RFO (97-069)</t>
  </si>
  <si>
    <t>CORP-CNSL-HON</t>
  </si>
  <si>
    <t>911 CALL</t>
  </si>
  <si>
    <t>PHYSICIAN CLIENT PRIVILEGE</t>
  </si>
  <si>
    <t>1997-091201</t>
  </si>
  <si>
    <t>RFA-G (97-012)</t>
  </si>
  <si>
    <t>PSD CONTRACT</t>
  </si>
  <si>
    <t>TEXAS INMATES</t>
  </si>
  <si>
    <t>1997-092201</t>
  </si>
  <si>
    <t>RFA-P (97-013)</t>
  </si>
  <si>
    <t>BILLING DATA</t>
  </si>
  <si>
    <t>1997-090801</t>
  </si>
  <si>
    <t>RFO (97-066)</t>
  </si>
  <si>
    <t>CAR RENTAL LEASEES GROSS RECEIPTS</t>
  </si>
  <si>
    <t>GROSS RECEIPTS FEE STATS REPORTS</t>
  </si>
  <si>
    <t>1997-090802</t>
  </si>
  <si>
    <t>SEX OFFENDER ASSESSMENT</t>
  </si>
  <si>
    <t>1997-092401</t>
  </si>
  <si>
    <t>BOARDS &amp; COMMISSIONS 1997</t>
  </si>
  <si>
    <t>MTDG/MVL/RJP</t>
  </si>
  <si>
    <t>1997-092501</t>
  </si>
  <si>
    <t>RFO (97-071)</t>
  </si>
  <si>
    <t>DISCIPLINARY INFORMATION</t>
  </si>
  <si>
    <t>1997-092901</t>
  </si>
  <si>
    <t>ADA COMPLIANCE TEAM</t>
  </si>
  <si>
    <t>1997-092902</t>
  </si>
  <si>
    <t>RFO (97-072)</t>
  </si>
  <si>
    <t>EXPENDITURE RECORDS</t>
  </si>
  <si>
    <t>1997-092903</t>
  </si>
  <si>
    <t>RFA-P (97-14)</t>
  </si>
  <si>
    <t>AGENCY STATUS</t>
  </si>
  <si>
    <t>MAKIKI COMMUNITY GARDEN ASSOCIATES</t>
  </si>
  <si>
    <t>1997-100201</t>
  </si>
  <si>
    <t>VIGILANTE EFFORTS VS. SEX OFFENDERS</t>
  </si>
  <si>
    <t>MEGAN'S LAW &amp; PRIVACY</t>
  </si>
  <si>
    <t>1997-090202</t>
  </si>
  <si>
    <t>RFO (97-070)</t>
  </si>
  <si>
    <t>911 TAPES</t>
  </si>
  <si>
    <t>1997-100802</t>
  </si>
  <si>
    <t>RFA-P (97-16)</t>
  </si>
  <si>
    <t>INMATE STORE RECORDS</t>
  </si>
  <si>
    <t>INMATE STORE VENDOR BID RESULTS</t>
  </si>
  <si>
    <t>1997-082601</t>
  </si>
  <si>
    <t>RFO (97-065)</t>
  </si>
  <si>
    <t>UNCASHED PAYCHECKS</t>
  </si>
  <si>
    <t>OP LTR NO 90-38</t>
  </si>
  <si>
    <t>CLT</t>
  </si>
  <si>
    <t>1997-092502</t>
  </si>
  <si>
    <t>REVIEW POSITION OF WESTERN ATTY GEN</t>
  </si>
  <si>
    <t>1997-100202</t>
  </si>
  <si>
    <t>FINANCIAL RECORDS OF UH</t>
  </si>
  <si>
    <t>MTDG/JJC</t>
  </si>
  <si>
    <t>1997-101001</t>
  </si>
  <si>
    <t>RFO (97-073)</t>
  </si>
  <si>
    <t>PAROLE DENIAL</t>
  </si>
  <si>
    <t>1997-093001</t>
  </si>
  <si>
    <t>RFA-P (97-15)</t>
  </si>
  <si>
    <t>REQ FOR DLNR RECORDS</t>
  </si>
  <si>
    <t>1997-101501</t>
  </si>
  <si>
    <t>VESSEL REGISTRATION DISCLOSURE</t>
  </si>
  <si>
    <t>CROSS-REF RFO 95-76 (LJL)</t>
  </si>
  <si>
    <t>1997-101701</t>
  </si>
  <si>
    <t>RFO (97-074)</t>
  </si>
  <si>
    <t>DOH-HHSC</t>
  </si>
  <si>
    <t>CLINICAL LABS CONTRACT</t>
  </si>
  <si>
    <t>1997-102101</t>
  </si>
  <si>
    <t>RFA-G (97-018)</t>
  </si>
  <si>
    <t>DOCS IN SUPPORT OF LAWSUIT</t>
  </si>
  <si>
    <t>DISCRIMINATION LAWSUIT</t>
  </si>
  <si>
    <t>1997-102102</t>
  </si>
  <si>
    <t>NON-UIPA ISSUES</t>
  </si>
  <si>
    <t>1997-102103</t>
  </si>
  <si>
    <t>RFA-P (97-019)</t>
  </si>
  <si>
    <t>CASE RECORDS OF CRIMINAL CASES</t>
  </si>
  <si>
    <t>DEFENSE RECORDS</t>
  </si>
  <si>
    <t>HIM</t>
  </si>
  <si>
    <t>1997-103101</t>
  </si>
  <si>
    <t>RFA-P (97-021)</t>
  </si>
  <si>
    <t>1997-103102</t>
  </si>
  <si>
    <t>RFA-G (97-020)</t>
  </si>
  <si>
    <t>EXECUTIVE SESSION TAPES</t>
  </si>
  <si>
    <t>1997-103103</t>
  </si>
  <si>
    <t>CONFIDENTIALITY OF INSURS BUS PLAN</t>
  </si>
  <si>
    <t>OFFER OF HURRICAN INS COVRAGE</t>
  </si>
  <si>
    <t>1996-013006</t>
  </si>
  <si>
    <t>ACCESS TO HAWAII ADMIN RULES</t>
  </si>
  <si>
    <t>1997-110701</t>
  </si>
  <si>
    <t>EXEMPTION FROM UIPA</t>
  </si>
  <si>
    <t>GOVT RECORD</t>
  </si>
  <si>
    <t>1997-110801</t>
  </si>
  <si>
    <t>RFA-G (97-017)</t>
  </si>
  <si>
    <t>IMMUNIZATION PROGRAM</t>
  </si>
  <si>
    <t>1997-110301</t>
  </si>
  <si>
    <t>RFA-G (97-023)</t>
  </si>
  <si>
    <t>SHARING &amp; DISCL OF PRIVATE DATA</t>
  </si>
  <si>
    <t>1997-110401</t>
  </si>
  <si>
    <t>RFA-G (97-024)</t>
  </si>
  <si>
    <t>UIPA &amp; SUBPOENAS</t>
  </si>
  <si>
    <t>1997-110601</t>
  </si>
  <si>
    <t>RFA-G (97-026)</t>
  </si>
  <si>
    <t>FELIX-WAIHEE CONSENT DECREE</t>
  </si>
  <si>
    <t>INFO SYSTEM FOR CASE TRACKING</t>
  </si>
  <si>
    <t>1997-111301</t>
  </si>
  <si>
    <t>RFO (97-075)</t>
  </si>
  <si>
    <t>1997-111701</t>
  </si>
  <si>
    <t>RFA-P (97-22)</t>
  </si>
  <si>
    <t>TIME LIMIT</t>
  </si>
  <si>
    <t>1997-111702</t>
  </si>
  <si>
    <t>PAROLE</t>
  </si>
  <si>
    <t>NO UIPA ISSUE</t>
  </si>
  <si>
    <t>1996-071996</t>
  </si>
  <si>
    <t>RFA (96-002)</t>
  </si>
  <si>
    <t>DISCLOSURE TO TENANTS</t>
  </si>
  <si>
    <t>1997-112401</t>
  </si>
  <si>
    <t>RFA-G (97-027)</t>
  </si>
  <si>
    <t>INTERAGENCY DATA SHARING SYSTEM</t>
  </si>
  <si>
    <t>1997-120201</t>
  </si>
  <si>
    <t>RFO (97-076)</t>
  </si>
  <si>
    <t>TRAFFIC ACCIDENT REPORTS</t>
  </si>
  <si>
    <t>LMO/CMD</t>
  </si>
  <si>
    <t>1997-120401</t>
  </si>
  <si>
    <t>RFO (97-077)</t>
  </si>
  <si>
    <t>LIST OF UNCASHED CHECKS</t>
  </si>
  <si>
    <t>NON-ESCHEATED CHECKS</t>
  </si>
  <si>
    <t>1997-120402</t>
  </si>
  <si>
    <t>RFO (97-078)</t>
  </si>
  <si>
    <t>MAYOR -M</t>
  </si>
  <si>
    <t>MAYOR'S INFORMATION PRACTICES</t>
  </si>
  <si>
    <t>1997-120301</t>
  </si>
  <si>
    <t>EPIDEMIOLOGY INVESTIGATIONS</t>
  </si>
  <si>
    <t>1997-120302</t>
  </si>
  <si>
    <t>IMMUNIZATION DATABSE</t>
  </si>
  <si>
    <t>1997-110302</t>
  </si>
  <si>
    <t>HTH 22: HEALTH SYSTEMS CORPORATION</t>
  </si>
  <si>
    <t>EXEMPTING PEER REV &amp; CREDENTIALING</t>
  </si>
  <si>
    <t>1997-120501</t>
  </si>
  <si>
    <t>HHRF: INSURERS BUSINESS PLAN</t>
  </si>
  <si>
    <t>CCA-8</t>
  </si>
  <si>
    <t>1997-120801</t>
  </si>
  <si>
    <t>RFO (97-079)</t>
  </si>
  <si>
    <t>NEIGHBORHOOD BOARD'S MAILING LIST</t>
  </si>
  <si>
    <t>1997-120802</t>
  </si>
  <si>
    <t>JOB REFERENCE LIABILITY</t>
  </si>
  <si>
    <t>1997-120901</t>
  </si>
  <si>
    <t>DCCA/DLIR</t>
  </si>
  <si>
    <t>COORDINATED CARE ORGANIZATIONS</t>
  </si>
  <si>
    <t>1997-081103</t>
  </si>
  <si>
    <t>RFO (97-80)</t>
  </si>
  <si>
    <t>INSURANCE CONTRACTS-CBI</t>
  </si>
  <si>
    <t>1997-121001</t>
  </si>
  <si>
    <t>RFA-P (97-028)</t>
  </si>
  <si>
    <t>INTERNAL MEMORANDUM</t>
  </si>
  <si>
    <t>1997-122301</t>
  </si>
  <si>
    <t>RFA-P (97-29)</t>
  </si>
  <si>
    <t>REQUEST FOR OIP RECORD</t>
  </si>
  <si>
    <t>1997-122901</t>
  </si>
  <si>
    <t>RFA-G (97-025)</t>
  </si>
  <si>
    <t>EXECUTIVE SESSION</t>
  </si>
  <si>
    <t>1998-010601</t>
  </si>
  <si>
    <t>RFA-P (98-001)</t>
  </si>
  <si>
    <t>INVESTIGATIVE REPORTS</t>
  </si>
  <si>
    <t>1998-010602</t>
  </si>
  <si>
    <t>RFO (98-001)</t>
  </si>
  <si>
    <t>LMO/RJP</t>
  </si>
  <si>
    <t>1997-122302</t>
  </si>
  <si>
    <t>RECORDS RE: DOG NAMED BUDDHA</t>
  </si>
  <si>
    <t>1998-010702</t>
  </si>
  <si>
    <t>92F-18 REPORTING</t>
  </si>
  <si>
    <t>1998-010703</t>
  </si>
  <si>
    <t>ARREST &amp; COURT RECORDS</t>
  </si>
  <si>
    <t>PUBLIC HIRING</t>
  </si>
  <si>
    <t>1998-010801</t>
  </si>
  <si>
    <t>AVIATION NUISANCE &amp; SOUND ABATEMENT</t>
  </si>
  <si>
    <t>1998-010802</t>
  </si>
  <si>
    <t>CONFIDENTIALITY OF MEDICAL RECORDS</t>
  </si>
  <si>
    <t>CIV #96-1379-04 E. BLOSSOM WANG M.D. V. HMSA ET AL.</t>
  </si>
  <si>
    <t>1998-010901</t>
  </si>
  <si>
    <t>RFO (98-002)</t>
  </si>
  <si>
    <t>MAKIKI COMM GARDEN ASSN</t>
  </si>
  <si>
    <t>GOVT AGENCY</t>
  </si>
  <si>
    <t>LMO/JJC</t>
  </si>
  <si>
    <t>1998-010902</t>
  </si>
  <si>
    <t>SIERRA CLUB V DLNR</t>
  </si>
  <si>
    <t>1998-011301</t>
  </si>
  <si>
    <t>RESPONSE TIME</t>
  </si>
  <si>
    <t>METHOD OF PAYMENT</t>
  </si>
  <si>
    <t>1998-012001</t>
  </si>
  <si>
    <t>SB 2006</t>
  </si>
  <si>
    <t>PROHIBIT SSN ON DRIVER'S LICENSE</t>
  </si>
  <si>
    <t>1998-012101</t>
  </si>
  <si>
    <t>HB 2347</t>
  </si>
  <si>
    <t>PROHIBITS SSN ON MVL</t>
  </si>
  <si>
    <t>1998-012601</t>
  </si>
  <si>
    <t>HB 2430</t>
  </si>
  <si>
    <t>PHOTO RADAR/RED LIGHT SYSTEMS</t>
  </si>
  <si>
    <t>1998-012602</t>
  </si>
  <si>
    <t>RFA-G (98-002)</t>
  </si>
  <si>
    <t>DATA ON ABANDONMENT MV IN AZ</t>
  </si>
  <si>
    <t>1998-012702</t>
  </si>
  <si>
    <t>SB 2179</t>
  </si>
  <si>
    <t>CONFIDENTIALITY OF JUVENILE RECORDS</t>
  </si>
  <si>
    <t>CMD/LMO</t>
  </si>
  <si>
    <t>1998-012801</t>
  </si>
  <si>
    <t>SB 2374</t>
  </si>
  <si>
    <t>PHOTO RADAR/REDLIGHT SYSTEMS</t>
  </si>
  <si>
    <t>1998-012802</t>
  </si>
  <si>
    <t>SB 2527</t>
  </si>
  <si>
    <t>1998-012809</t>
  </si>
  <si>
    <t>SB 1288</t>
  </si>
  <si>
    <t>APPOINT 2 ASST AG'S</t>
  </si>
  <si>
    <t>1998-012810</t>
  </si>
  <si>
    <t>BARNETT V HPA</t>
  </si>
  <si>
    <t>1998-012901</t>
  </si>
  <si>
    <t>SB 2126</t>
  </si>
  <si>
    <t>CONFIDENTIALITY OF VOTER REGISTRATION RECORDS</t>
  </si>
  <si>
    <t>LLA/LMO</t>
  </si>
  <si>
    <t>1998-012902</t>
  </si>
  <si>
    <t>HB 2530</t>
  </si>
  <si>
    <t>1998-012903</t>
  </si>
  <si>
    <t>MAYOR</t>
  </si>
  <si>
    <t>SB 2119</t>
  </si>
  <si>
    <t>GENERAL COUNTIES' REGISTERS</t>
  </si>
  <si>
    <t>1998-012904</t>
  </si>
  <si>
    <t>HB 2523</t>
  </si>
  <si>
    <t>1998-012906</t>
  </si>
  <si>
    <t>SB 785</t>
  </si>
  <si>
    <t>FIN DISCLOSURE OF STATE BOARDS/COMMISSIONS</t>
  </si>
  <si>
    <t>1998-012907</t>
  </si>
  <si>
    <t>SB 3112</t>
  </si>
  <si>
    <t>EXPUNGE  REAL ESTATE SALES/BROKERS RECORDS</t>
  </si>
  <si>
    <t>1998-012908</t>
  </si>
  <si>
    <t>HB 2429</t>
  </si>
  <si>
    <t>EXPUNGE CONTRACTORS RECORDS</t>
  </si>
  <si>
    <t>1998-012909</t>
  </si>
  <si>
    <t>HB 2503</t>
  </si>
  <si>
    <t>MV INSURANCE DATABASE</t>
  </si>
  <si>
    <t>1998-012911</t>
  </si>
  <si>
    <t>HB 2825</t>
  </si>
  <si>
    <t>INSURANCE FRAUD</t>
  </si>
  <si>
    <t>1998-012912</t>
  </si>
  <si>
    <t>SB 2836</t>
  </si>
  <si>
    <t>1998-012915</t>
  </si>
  <si>
    <t>HB 2090</t>
  </si>
  <si>
    <t>UNIFORM HEALTH CARE BILLING</t>
  </si>
  <si>
    <t>1998-012916</t>
  </si>
  <si>
    <t>SB 2018</t>
  </si>
  <si>
    <t>EXPUNGE CONVICTION RECORDS</t>
  </si>
  <si>
    <t>1998-012917</t>
  </si>
  <si>
    <t>HB 2860</t>
  </si>
  <si>
    <t>HAWN GENEALOGICAL RECORDS AUTOMATION</t>
  </si>
  <si>
    <t>1998-012918</t>
  </si>
  <si>
    <t>SB 2863</t>
  </si>
  <si>
    <t>1998-012919</t>
  </si>
  <si>
    <t>SB 2570</t>
  </si>
  <si>
    <t>REPEAL HUNTING LICENSE</t>
  </si>
  <si>
    <t>1998-012920</t>
  </si>
  <si>
    <t>SB 2561</t>
  </si>
  <si>
    <t>HML/MBS DISCLOSURE OF HEALTH INS</t>
  </si>
  <si>
    <t>1998-012921</t>
  </si>
  <si>
    <t>SB 2297</t>
  </si>
  <si>
    <t>HEALTH CARE BILL OF RIGHTS</t>
  </si>
  <si>
    <t>1998-012922</t>
  </si>
  <si>
    <t>HB 2848</t>
  </si>
  <si>
    <t>IMMUNIZATION DATABASE</t>
  </si>
  <si>
    <t>1998-012924</t>
  </si>
  <si>
    <t>HB 1425</t>
  </si>
  <si>
    <t>CLOSEST RELATIVE DESIG FOR UNMARRIED ADULTS</t>
  </si>
  <si>
    <t>1998-012926</t>
  </si>
  <si>
    <t>AG -HCJDC</t>
  </si>
  <si>
    <t>HB 1520</t>
  </si>
  <si>
    <t>CRIMINAL HISTORY CHECKS</t>
  </si>
  <si>
    <t>1998-012927</t>
  </si>
  <si>
    <t>SB 2386</t>
  </si>
  <si>
    <t>COORDINATED CARE ORGANIZATION</t>
  </si>
  <si>
    <t>1998-012929</t>
  </si>
  <si>
    <t>SB 2723</t>
  </si>
  <si>
    <t>EXEMPT INDUSTRIAL HEMP RESEARCH</t>
  </si>
  <si>
    <t>1998-012931</t>
  </si>
  <si>
    <t>SB 1744</t>
  </si>
  <si>
    <t>1998-012932</t>
  </si>
  <si>
    <t>SB 2851</t>
  </si>
  <si>
    <t>1998-012934</t>
  </si>
  <si>
    <t>SB 704</t>
  </si>
  <si>
    <t>DISPOSITION OF JUDICIARY RECORDS</t>
  </si>
  <si>
    <t>1998-012935</t>
  </si>
  <si>
    <t>SB 703</t>
  </si>
  <si>
    <t>DISPOSITION OF NOTARY RECORDS</t>
  </si>
  <si>
    <t>1998-012938</t>
  </si>
  <si>
    <t>FIN</t>
  </si>
  <si>
    <t>SB 1163</t>
  </si>
  <si>
    <t>MOTOR VEHICLE INSURANCE DATABASE</t>
  </si>
  <si>
    <t>1998-012939</t>
  </si>
  <si>
    <t>SB 2007</t>
  </si>
  <si>
    <t>ABOLISH SAFETY CHECKS</t>
  </si>
  <si>
    <t>1998-012941</t>
  </si>
  <si>
    <t>SB 2748</t>
  </si>
  <si>
    <t>UNACCREDITED INSTITUTIONS DISCLOSURE</t>
  </si>
  <si>
    <t>1998-012943</t>
  </si>
  <si>
    <t>HB 2536</t>
  </si>
  <si>
    <t>ADULT DEATH REVIEW TEAMS</t>
  </si>
  <si>
    <t>1998-012948</t>
  </si>
  <si>
    <t>SB 2379</t>
  </si>
  <si>
    <t>PARTY PREF VOTING IN PRIMARY ELECTIONS</t>
  </si>
  <si>
    <t>1998-012950</t>
  </si>
  <si>
    <t>LTGOV</t>
  </si>
  <si>
    <t>HB 2406</t>
  </si>
  <si>
    <t>INTERNATIONAL TRADE PROGRAMS</t>
  </si>
  <si>
    <t>1998-020308</t>
  </si>
  <si>
    <t>HB 3472</t>
  </si>
  <si>
    <t>PATIENT ACCESS TO MEDICAL RECORDS</t>
  </si>
  <si>
    <t>1998-020309</t>
  </si>
  <si>
    <t>HB 3605</t>
  </si>
  <si>
    <t>PARENTS' ACCESS TO SCHOOL INFORMATION</t>
  </si>
  <si>
    <t>1998-020310</t>
  </si>
  <si>
    <t>HB 3578</t>
  </si>
  <si>
    <t>CONFIDENTIALITY OF LAW ENF OFF HOME ADDRESSES</t>
  </si>
  <si>
    <t>1998-020311</t>
  </si>
  <si>
    <t>HB 3179</t>
  </si>
  <si>
    <t>DRIVER'S LICENSE NO.</t>
  </si>
  <si>
    <t>1998-020312</t>
  </si>
  <si>
    <t>HCR 18</t>
  </si>
  <si>
    <t>STATE EMPLOYEE MISCONDUCT/CONFIDENTIALITY</t>
  </si>
  <si>
    <t>1998-020314</t>
  </si>
  <si>
    <t>RFA-P (98-003)</t>
  </si>
  <si>
    <t>SCBM MULTI-TRACK RECORDS</t>
  </si>
  <si>
    <t>DOE MINUTES</t>
  </si>
  <si>
    <t>1998-020315</t>
  </si>
  <si>
    <t>HB 3223</t>
  </si>
  <si>
    <t>HAWAII HEALTH SYSTEMS CORP RECORDS</t>
  </si>
  <si>
    <t>1998-020501</t>
  </si>
  <si>
    <t>RFO (98-018)</t>
  </si>
  <si>
    <t>OLELO PROGRAM</t>
  </si>
  <si>
    <t>1998-020403</t>
  </si>
  <si>
    <t>HB 2773</t>
  </si>
  <si>
    <t>STATE/COUNTY BOARDS MEETINGS</t>
  </si>
  <si>
    <t>1998-020405</t>
  </si>
  <si>
    <t>HB 2889</t>
  </si>
  <si>
    <t>UNIFORM CONTROLLED SUBSTANCES ACT</t>
  </si>
  <si>
    <t>1998-020406</t>
  </si>
  <si>
    <t>HB 2899</t>
  </si>
  <si>
    <t>UH DONOR CONFIDENTIALITY</t>
  </si>
  <si>
    <t>1998-020409</t>
  </si>
  <si>
    <t>HB 3163</t>
  </si>
  <si>
    <t>HMO/MBS DISCLOSURE OF HEALTH RECORDS</t>
  </si>
  <si>
    <t>1998-020423</t>
  </si>
  <si>
    <t>DHRD/DLIR</t>
  </si>
  <si>
    <t>SB 3129</t>
  </si>
  <si>
    <t>DHRD FUNCTIONS TO DLIR</t>
  </si>
  <si>
    <t>1998-021201</t>
  </si>
  <si>
    <t>HB 3257</t>
  </si>
  <si>
    <t>CRIMINAL HISTORY RECORDS CHECKS</t>
  </si>
  <si>
    <t>1998-021202</t>
  </si>
  <si>
    <t>1998-021210</t>
  </si>
  <si>
    <t>HB 2866</t>
  </si>
  <si>
    <t>PUBLIC WORKS CONTRACTS &amp; PAYROLL RECORDS</t>
  </si>
  <si>
    <t>1998-021101</t>
  </si>
  <si>
    <t>RFA-P (98-005)</t>
  </si>
  <si>
    <t>MOTOR VEHICLE REGISTRATION</t>
  </si>
  <si>
    <t>OWNER INFORMATION</t>
  </si>
  <si>
    <t>1998-021301</t>
  </si>
  <si>
    <t>ADA COMPLIANCE &amp; PUBLIC RECORDS</t>
  </si>
  <si>
    <t>1998-021213</t>
  </si>
  <si>
    <t>HB 2817</t>
  </si>
  <si>
    <t>PHARMACIES AND PRESCRIPTION RECORDS</t>
  </si>
  <si>
    <t>1998-021302</t>
  </si>
  <si>
    <t>HB 2915</t>
  </si>
  <si>
    <t>EXEMPTION ON FEES FOR HEALTH CERTIFICATES</t>
  </si>
  <si>
    <t>1998-021303</t>
  </si>
  <si>
    <t>SB  2867</t>
  </si>
  <si>
    <t>HAWAII HEALTH SYSTEMS CORPORATION</t>
  </si>
  <si>
    <t>1998-021304</t>
  </si>
  <si>
    <t>HB 2595</t>
  </si>
  <si>
    <t>VITAL STATISTICS/CERTIFICATE FEES</t>
  </si>
  <si>
    <t>1998-021305</t>
  </si>
  <si>
    <t>HB 2864</t>
  </si>
  <si>
    <t>1998-021216</t>
  </si>
  <si>
    <t>SB 2828</t>
  </si>
  <si>
    <t>1998-021802</t>
  </si>
  <si>
    <t>SB 2325</t>
  </si>
  <si>
    <t>DISALLOWS STRESS-RELATED CLAIMS</t>
  </si>
  <si>
    <t>1998-022301</t>
  </si>
  <si>
    <t>HB 2865</t>
  </si>
  <si>
    <t>INCREASE FEES FOR RECORDS</t>
  </si>
  <si>
    <t>1998-022501</t>
  </si>
  <si>
    <t>SB 2987</t>
  </si>
  <si>
    <t>CPS DISCLOSURE OF RECORDS</t>
  </si>
  <si>
    <t>1998-022302</t>
  </si>
  <si>
    <t>RFA-G (98-006)</t>
  </si>
  <si>
    <t>ADDRESS OF INDIVIDUAL</t>
  </si>
  <si>
    <t>GENERAL CONSUL OF GERMANY</t>
  </si>
  <si>
    <t>1998-022303</t>
  </si>
  <si>
    <t>RFA-G (98-007)</t>
  </si>
  <si>
    <t>MV REGISTRATION (INS ADJUSTERS)</t>
  </si>
  <si>
    <t>OWNER'S INFORMATION</t>
  </si>
  <si>
    <t>1998-022304</t>
  </si>
  <si>
    <t>RFA-G (98-008)</t>
  </si>
  <si>
    <t>MV REGISTRATION (SO OREGON U)</t>
  </si>
  <si>
    <t>1998-022305</t>
  </si>
  <si>
    <t>RFO (98-003)</t>
  </si>
  <si>
    <t>CLINICAL LABORATORIES CONTRACT</t>
  </si>
  <si>
    <t>1998-022306</t>
  </si>
  <si>
    <t>RFO (98-004)</t>
  </si>
  <si>
    <t>INTERNAL AFFAIRS REPORTS</t>
  </si>
  <si>
    <t>POLICE SHOOTINGS</t>
  </si>
  <si>
    <t>1998-022601</t>
  </si>
  <si>
    <t>RFO (98-005)</t>
  </si>
  <si>
    <t>SEGREGATION OF HPD REPORTS</t>
  </si>
  <si>
    <t>POLICE OFFICER DISCHARGE OF FIREARMS</t>
  </si>
  <si>
    <t>1998-030301</t>
  </si>
  <si>
    <t>HB1823</t>
  </si>
  <si>
    <t>CONFIDENTIALITY OF HEALTH CARE INFORMATION</t>
  </si>
  <si>
    <t>1998-030302</t>
  </si>
  <si>
    <t>SB 1559</t>
  </si>
  <si>
    <t>LEAD HAZARD SCREENING PROGRAM</t>
  </si>
  <si>
    <t>1998-030201</t>
  </si>
  <si>
    <t>SB 1564</t>
  </si>
  <si>
    <t>EPIDEMIOLOGIC INVESTIGATIONS</t>
  </si>
  <si>
    <t>1998-032001</t>
  </si>
  <si>
    <t>PRIVATE CONTRACT CERTIFIED PAYROLLS</t>
  </si>
  <si>
    <t>1998-032301</t>
  </si>
  <si>
    <t>TRANS</t>
  </si>
  <si>
    <t>SB 632</t>
  </si>
  <si>
    <t>PHOTO RADAR/RED LIGHT SYSTEM</t>
  </si>
  <si>
    <t>1998-032501</t>
  </si>
  <si>
    <t>INFORMATIONAL SERVICES</t>
  </si>
  <si>
    <t>INFORMATIONAL PRODUCTS</t>
  </si>
  <si>
    <t>1998-032502</t>
  </si>
  <si>
    <t>MULTI-TRACKING</t>
  </si>
  <si>
    <t>1998-032504</t>
  </si>
  <si>
    <t>NAZI WAR CRIMES DISCLOSURE ACT</t>
  </si>
  <si>
    <t>1998-033001</t>
  </si>
  <si>
    <t>HB 3313</t>
  </si>
  <si>
    <t>TESTING OF POLICE/SUSPECTS FOR LIFE-THREATENING DISEASES</t>
  </si>
  <si>
    <t>1998-033002</t>
  </si>
  <si>
    <t>RFA-G (98-009)</t>
  </si>
  <si>
    <t>CONTRACT REVIEW - THE NATURE CONSERVANCY</t>
  </si>
  <si>
    <t>1998-033003</t>
  </si>
  <si>
    <t>MULTI-TRACK SYSTEM</t>
  </si>
  <si>
    <t>1998-033102</t>
  </si>
  <si>
    <t>PRESIDENT'S COMMISSION ON INTL PROG</t>
  </si>
  <si>
    <t>AWARDS</t>
  </si>
  <si>
    <t>1998-033103</t>
  </si>
  <si>
    <t>RFA-P (98-06)</t>
  </si>
  <si>
    <t>COMPLAINTS OF JETSKI OPERATIONS</t>
  </si>
  <si>
    <t>1998-040301</t>
  </si>
  <si>
    <t>RFO (98-006)</t>
  </si>
  <si>
    <t>PUBLICATIONS OF THE HVCB</t>
  </si>
  <si>
    <t>1998-040601</t>
  </si>
  <si>
    <t>UIPA &amp; TAXPAYER RELIEF ACT 1997</t>
  </si>
  <si>
    <t>SSN</t>
  </si>
  <si>
    <t>1998-040801</t>
  </si>
  <si>
    <t>1998-040802</t>
  </si>
  <si>
    <t>RFA-P (98-007)</t>
  </si>
  <si>
    <t>1998-040803</t>
  </si>
  <si>
    <t>SCR 46</t>
  </si>
  <si>
    <t>HMSA REIMBURSEMENT RATES</t>
  </si>
  <si>
    <t>1998-040804</t>
  </si>
  <si>
    <t>RFA-P (98-008)</t>
  </si>
  <si>
    <t>INTERNAL AFFAIRS INVESTIGATION</t>
  </si>
  <si>
    <t>1998-040805</t>
  </si>
  <si>
    <t>RFA-P (98-009)</t>
  </si>
  <si>
    <t>STOP-WORK NOTICE OF VIOLATIONS</t>
  </si>
  <si>
    <t>HISTORY OF CASES</t>
  </si>
  <si>
    <t>1998-040806</t>
  </si>
  <si>
    <t>RFA-P (98-010)</t>
  </si>
  <si>
    <t>TRAINING RE BLDG CODE VIOLATIONS</t>
  </si>
  <si>
    <t>1998-041401</t>
  </si>
  <si>
    <t>RFA-P (98-011)</t>
  </si>
  <si>
    <t>RESEARCH DATA</t>
  </si>
  <si>
    <t>IDENTIFIABLE DATA IN RESEARCH</t>
  </si>
  <si>
    <t>CMD/MTDG</t>
  </si>
  <si>
    <t>1998-041601</t>
  </si>
  <si>
    <t>TERMINIX INTERNATIONAL CO L.P.</t>
  </si>
  <si>
    <t>1998-042001</t>
  </si>
  <si>
    <t>RFA-P (98-012)</t>
  </si>
  <si>
    <t>TIME SHEET</t>
  </si>
  <si>
    <t>ENTRY ON PROPERTY</t>
  </si>
  <si>
    <t>1998-042002</t>
  </si>
  <si>
    <t>RFA-P (98-013)</t>
  </si>
  <si>
    <t>WASTE WTR-HON</t>
  </si>
  <si>
    <t>WORK ORDER</t>
  </si>
  <si>
    <t>WATER METER</t>
  </si>
  <si>
    <t>1998-042101</t>
  </si>
  <si>
    <t>PRIVATIZING CSEA</t>
  </si>
  <si>
    <t>1998-042102</t>
  </si>
  <si>
    <t>RFO (98-020)</t>
  </si>
  <si>
    <t>MINUTES OF BOARD OF CERT SHORTHAND RPTRS</t>
  </si>
  <si>
    <t>1998-042201</t>
  </si>
  <si>
    <t>RFA-G (98-010)</t>
  </si>
  <si>
    <t>CYTOLOGY LAB-QUEENS</t>
  </si>
  <si>
    <t>1998-042202</t>
  </si>
  <si>
    <t>RFO (98-007)</t>
  </si>
  <si>
    <t>CLOSED POLICE REPORTS-JUVENILE VICTIM</t>
  </si>
  <si>
    <t>1998-042301</t>
  </si>
  <si>
    <t>RFA-G (98-011)</t>
  </si>
  <si>
    <t>DISSEMINATION OF POLICE REPORTS</t>
  </si>
  <si>
    <t>1998-042701</t>
  </si>
  <si>
    <t>SHORTHAND REPORTERS CONTRACT</t>
  </si>
  <si>
    <t>1998-043001</t>
  </si>
  <si>
    <t>CLOSURE OF MRRC-HON &amp; UIPA</t>
  </si>
  <si>
    <t>1998-042901</t>
  </si>
  <si>
    <t>RFA-G (98-013)</t>
  </si>
  <si>
    <t>CONTRACTOR SCHEDULES-MEDICAL FEES</t>
  </si>
  <si>
    <t>1998-050101</t>
  </si>
  <si>
    <t>RFA-G (98-014)</t>
  </si>
  <si>
    <t>FAMILY RECORDS</t>
  </si>
  <si>
    <t>1998-050103</t>
  </si>
  <si>
    <t>RFA-P (98-031)</t>
  </si>
  <si>
    <t>DATA REQUEST FROM REQUESTER BY AGENCY</t>
  </si>
  <si>
    <t>1998-050601</t>
  </si>
  <si>
    <t>RFA-P (98-014)</t>
  </si>
  <si>
    <t>JUVENILE VICTIMS</t>
  </si>
  <si>
    <t>1998-050701</t>
  </si>
  <si>
    <t>SOCIAL SECURITY NUMBERS</t>
  </si>
  <si>
    <t>DRIVERS LICENSES</t>
  </si>
  <si>
    <t>1998-050801</t>
  </si>
  <si>
    <t>RFA-G (98-015)</t>
  </si>
  <si>
    <t>CIVIL RIGHTS COMPLAINT</t>
  </si>
  <si>
    <t>1998-050802</t>
  </si>
  <si>
    <t>RFA-P (98-015)</t>
  </si>
  <si>
    <t>TEST SCORES</t>
  </si>
  <si>
    <t>1998-051201</t>
  </si>
  <si>
    <t>RFA-G (98-016)</t>
  </si>
  <si>
    <t>FRUSTRATION OF GOVT FUNCTION</t>
  </si>
  <si>
    <t>ATTORNEY/CLIENT PRIVILEGE</t>
  </si>
  <si>
    <t>1998-051202</t>
  </si>
  <si>
    <t>SUNSHINE COALITION-MISSISSIPPI</t>
  </si>
  <si>
    <t>98:0511-11</t>
  </si>
  <si>
    <t>1998-060401</t>
  </si>
  <si>
    <t>RFA-P (98-016)</t>
  </si>
  <si>
    <t>DISCLOSURE OF INQUIRY</t>
  </si>
  <si>
    <t>IMPROPER REFERRAL OF REQUESTER</t>
  </si>
  <si>
    <t>1998-043002</t>
  </si>
  <si>
    <t>PRESCRIPTION DISCLOSURE</t>
  </si>
  <si>
    <t>MEDICAL PRIVACY</t>
  </si>
  <si>
    <t>1998-060901</t>
  </si>
  <si>
    <t>RFA-P (98-017)</t>
  </si>
  <si>
    <t>1998-061201</t>
  </si>
  <si>
    <t>RFA-G (98-017)</t>
  </si>
  <si>
    <t>READILY RETRIEVABLE (REF 98061701 RFO 98-09)</t>
  </si>
  <si>
    <t>PROGRAMMING</t>
  </si>
  <si>
    <t>1998-061601</t>
  </si>
  <si>
    <t>RFO (98-008)</t>
  </si>
  <si>
    <t>REPORTS/RECOMMEND DISCIPLINE</t>
  </si>
  <si>
    <t>REPORTS/JUVENILE</t>
  </si>
  <si>
    <t>LLA/MTDG</t>
  </si>
  <si>
    <t>1998-061701</t>
  </si>
  <si>
    <t>RFO (98-009)</t>
  </si>
  <si>
    <t>ISBN LISTING OF COURSE BOOKS (REF 98061201 RFA-G 98-17)</t>
  </si>
  <si>
    <t>TIME TO DISCLOSE</t>
  </si>
  <si>
    <t>1998-061702</t>
  </si>
  <si>
    <t>PUBLIC DISTRIBUTION OF PROPOSED RULES</t>
  </si>
  <si>
    <t>1998-061703</t>
  </si>
  <si>
    <t>RFO (98-010)</t>
  </si>
  <si>
    <t>WEBSITE LOG ACCESS</t>
  </si>
  <si>
    <t>IDENTIFICATION IP ADDRESS</t>
  </si>
  <si>
    <t>1998-061801</t>
  </si>
  <si>
    <t>RFO (98-011)</t>
  </si>
  <si>
    <t>CLERK-H</t>
  </si>
  <si>
    <t>ELECTION PETITIONS</t>
  </si>
  <si>
    <t>1998-062201</t>
  </si>
  <si>
    <t>RFA-P (98-018)</t>
  </si>
  <si>
    <t>TRANSMITTAL RECORDS TO HPD</t>
  </si>
  <si>
    <t>1998-062601</t>
  </si>
  <si>
    <t>RFA-P (98-019)</t>
  </si>
  <si>
    <t>MISCONDUCT OF ACO</t>
  </si>
  <si>
    <t>1998-070801</t>
  </si>
  <si>
    <t>RFA-M (98-001)</t>
  </si>
  <si>
    <t>MEETING W/MAYOR HARRIS</t>
  </si>
  <si>
    <t>1998-070901</t>
  </si>
  <si>
    <t>UPW ARBITRATION</t>
  </si>
  <si>
    <t>JPR (REFERENCE OIP#97021001)</t>
  </si>
  <si>
    <t>1998-071601</t>
  </si>
  <si>
    <t>RFO (98-012)</t>
  </si>
  <si>
    <t>DISCLOSURE OF RPT TO ARMY NATIONAL GUARD</t>
  </si>
  <si>
    <t>SHARING OF INFORMATION (See 98071601)</t>
  </si>
  <si>
    <t>1998-070601</t>
  </si>
  <si>
    <t>DONREY MEDIA V COUNTY OF HAWAII</t>
  </si>
  <si>
    <t>911 POLICE SHOOTINGS</t>
  </si>
  <si>
    <t>1998-072101</t>
  </si>
  <si>
    <t>ACO EMPLOYMENT MISCONDUCT</t>
  </si>
  <si>
    <t>see RFA-P 98-24 (LMO)</t>
  </si>
  <si>
    <t>1998-072002</t>
  </si>
  <si>
    <t>HANGING SIGNS ON LIBRARY BLDG.</t>
  </si>
  <si>
    <t>USE OF E-MAIL</t>
  </si>
  <si>
    <t>MDG</t>
  </si>
  <si>
    <t>1998-072701</t>
  </si>
  <si>
    <t>RFA-M (98-002)</t>
  </si>
  <si>
    <t>RECORDS FOR OPEN MEETINGS</t>
  </si>
  <si>
    <t>1998-072702</t>
  </si>
  <si>
    <t>HEART WALK '98</t>
  </si>
  <si>
    <t>1998-080501</t>
  </si>
  <si>
    <t>RFA-P (98-038)</t>
  </si>
  <si>
    <t>INFORMAL INVESTIGATION</t>
  </si>
  <si>
    <t>COUNTY COUNCIL</t>
  </si>
  <si>
    <t>1998-080701</t>
  </si>
  <si>
    <t>YEARLY PAROLE HEARING</t>
  </si>
  <si>
    <t>N/A TO UIPA</t>
  </si>
  <si>
    <t>1998-081101</t>
  </si>
  <si>
    <t>RFO (98-013)</t>
  </si>
  <si>
    <t>REOPENED POLICE INVESTIGATION</t>
  </si>
  <si>
    <t>RFA-P (98-020)</t>
  </si>
  <si>
    <t>REQUEST FOR PERSONAL RECORDS</t>
  </si>
  <si>
    <t>1998-073002</t>
  </si>
  <si>
    <t>RFA-G (98-018)</t>
  </si>
  <si>
    <t>AUDIT CONTRACT REVIEW</t>
  </si>
  <si>
    <t>1998-081901</t>
  </si>
  <si>
    <t>RFA-P (98-021)</t>
  </si>
  <si>
    <t>PETROLEUM VIOLATION ESCROW FUNDS</t>
  </si>
  <si>
    <t>RJP/GLF</t>
  </si>
  <si>
    <t>1998-090101</t>
  </si>
  <si>
    <t>RFA-P (98-022)</t>
  </si>
  <si>
    <t>MAKAHA VALLEY TOWERS</t>
  </si>
  <si>
    <t>SURVEYS OF PROPERTY</t>
  </si>
  <si>
    <t>1998-090102</t>
  </si>
  <si>
    <t>RFA-P (98-023)</t>
  </si>
  <si>
    <t>USE OF SSN BY GOVERNMENT</t>
  </si>
  <si>
    <t>DISCLOSURE OF SSN</t>
  </si>
  <si>
    <t>1998-090103</t>
  </si>
  <si>
    <t>RFO (98-014)</t>
  </si>
  <si>
    <t>REVIEW OF HEALTH PLANS</t>
  </si>
  <si>
    <t>PLANN UHA 2OOO</t>
  </si>
  <si>
    <t>1998-090302</t>
  </si>
  <si>
    <t>RFO (98-015)</t>
  </si>
  <si>
    <t>LIQC -M</t>
  </si>
  <si>
    <t>UIPA DISCLOSURE</t>
  </si>
  <si>
    <t>ADMINISTRATIVE LITIGATION</t>
  </si>
  <si>
    <t>1998-090401</t>
  </si>
  <si>
    <t>RFA-P (98-024)</t>
  </si>
  <si>
    <t>DENIAL OF ACCESS</t>
  </si>
  <si>
    <t>NAMES OF SUSPENDED/TERMINATED ACO'S</t>
  </si>
  <si>
    <t>LMO/JEC</t>
  </si>
  <si>
    <t>1998-090901</t>
  </si>
  <si>
    <t>RFO (98-016)</t>
  </si>
  <si>
    <t>CLOSED CONFESSION/MURDER REPORT</t>
  </si>
  <si>
    <t>PRIVACY RIGHTS OF FAMILY</t>
  </si>
  <si>
    <t>1998-091801</t>
  </si>
  <si>
    <t>RFO (98-017)</t>
  </si>
  <si>
    <t>ADLRO RECORDS</t>
  </si>
  <si>
    <t>1998-092201</t>
  </si>
  <si>
    <t>RFA-P (98-025)</t>
  </si>
  <si>
    <t>BURIAL COUNCIL RECORDS</t>
  </si>
  <si>
    <t>MINUTES                                                                                                                 Closed 3/14/00, Reopened on 6/7/00.</t>
  </si>
  <si>
    <t>1998-092502</t>
  </si>
  <si>
    <t>RFA-P (98-026)</t>
  </si>
  <si>
    <t>BUILDING 450 TRANSFER</t>
  </si>
  <si>
    <t>1998-092901</t>
  </si>
  <si>
    <t>CONFIDENTIALITY OF EPIDEMIOLOGIC STUDIES</t>
  </si>
  <si>
    <t>1998-100101</t>
  </si>
  <si>
    <t>REQUEST FOR RECORDS</t>
  </si>
  <si>
    <t>1998-100103</t>
  </si>
  <si>
    <t>HPA</t>
  </si>
  <si>
    <t>1998-100601</t>
  </si>
  <si>
    <t>RFA-P (98-027)</t>
  </si>
  <si>
    <t>IDENTIFICATION OF REQUESTER</t>
  </si>
  <si>
    <t>1998-101501</t>
  </si>
  <si>
    <t>RFA-P (98-028)</t>
  </si>
  <si>
    <t>reopened 5/31/00</t>
  </si>
  <si>
    <t>LLT/LMO/RJP/CMD/SRK/WKP</t>
  </si>
  <si>
    <t>1998-102602</t>
  </si>
  <si>
    <t>RFA-P (98-004)</t>
  </si>
  <si>
    <t>RECORDS RE ESTABLISHMENT OF SPEED LIMIT</t>
  </si>
  <si>
    <t>1998-102603</t>
  </si>
  <si>
    <t>RFA-P (98-029)</t>
  </si>
  <si>
    <t>LASER GUN DIRECTIONS</t>
  </si>
  <si>
    <t>RECORDS OF CALIBRATIONS</t>
  </si>
  <si>
    <t>1998-102604</t>
  </si>
  <si>
    <t>RFA-P (98-030)</t>
  </si>
  <si>
    <t>ACT 201</t>
  </si>
  <si>
    <t>1998-102801</t>
  </si>
  <si>
    <t>ASSESS FOR INTERVENTION</t>
  </si>
  <si>
    <t>RIVERA V. DOE; CIV. NO. 97-258K</t>
  </si>
  <si>
    <t>1997-081802</t>
  </si>
  <si>
    <t>REQUEST FOR REVIEW OF FILES</t>
  </si>
  <si>
    <t>1998-111001</t>
  </si>
  <si>
    <t>PUB</t>
  </si>
  <si>
    <t>LITIGATION PRIMER UPDATE</t>
  </si>
  <si>
    <t>ATTORNEY'S FEES</t>
  </si>
  <si>
    <t>1998-111201</t>
  </si>
  <si>
    <t>RFO (98-019)</t>
  </si>
  <si>
    <t>MINUTES - EXECUTIVE SESSION</t>
  </si>
  <si>
    <t>see RFA-P 98-36 (LLA)</t>
  </si>
  <si>
    <t>JEC/LLA/GLF/SRK/LLA</t>
  </si>
  <si>
    <t>1998-111702</t>
  </si>
  <si>
    <t>RFA-P (98-032)</t>
  </si>
  <si>
    <t>INMATE RECORDS</t>
  </si>
  <si>
    <t>1998-111901</t>
  </si>
  <si>
    <t>RFO (98-021)</t>
  </si>
  <si>
    <t>DRAFT BUDGET</t>
  </si>
  <si>
    <t>BOARD MEETING/CONVENTION CENTER AUTHORITY</t>
  </si>
  <si>
    <t>1998-111902</t>
  </si>
  <si>
    <t>RFO (98-022)</t>
  </si>
  <si>
    <t>CONTRACT W/GASPRO</t>
  </si>
  <si>
    <t>GASPRO'S CBI IN CONTRACT/HHSC</t>
  </si>
  <si>
    <t>1998-112001</t>
  </si>
  <si>
    <t>RFA-P (98-033)</t>
  </si>
  <si>
    <t>CHARGES FOR RECORDS</t>
  </si>
  <si>
    <t>RELATED - 98112002, 98112003</t>
  </si>
  <si>
    <t>1998-112002</t>
  </si>
  <si>
    <t>RFA-P (98-034)</t>
  </si>
  <si>
    <t>RELATED - 98112001, 98112003</t>
  </si>
  <si>
    <t>1998-112003</t>
  </si>
  <si>
    <t>RFA-P (98-035)</t>
  </si>
  <si>
    <t>RELATED - 98112001, 98112002/HCJDC</t>
  </si>
  <si>
    <t>1998-112006</t>
  </si>
  <si>
    <t>HON SHIPYARDS LEASE AND SETTLEMENT</t>
  </si>
  <si>
    <t>1998-112007</t>
  </si>
  <si>
    <t>OPEN MEETINGS</t>
  </si>
  <si>
    <t>1998-112008</t>
  </si>
  <si>
    <t>RFO (98-023)</t>
  </si>
  <si>
    <t>INTERNAL AFFAIRS REPORT</t>
  </si>
  <si>
    <t>LAULUSA</t>
  </si>
  <si>
    <t>1998-112401</t>
  </si>
  <si>
    <t>SHARING CONFIDENTIAL HEALTH INFORMATION</t>
  </si>
  <si>
    <t>1998-113001</t>
  </si>
  <si>
    <t>NO RESPONSE TO REQUEST</t>
  </si>
  <si>
    <t>BID INFORMATION</t>
  </si>
  <si>
    <t>1998-113002</t>
  </si>
  <si>
    <t>RFA-P (98-036)</t>
  </si>
  <si>
    <t>MINUTES - EXECUTIVE MEETINGS</t>
  </si>
  <si>
    <t>see RFO 98-19</t>
  </si>
  <si>
    <t>JEC/LLA/RJP/GLF/SRK/LLA</t>
  </si>
  <si>
    <t>1998-113003</t>
  </si>
  <si>
    <t>RFA-P (98-037)</t>
  </si>
  <si>
    <t>JOB DESCRIPTION</t>
  </si>
  <si>
    <t>1998-120201</t>
  </si>
  <si>
    <t>MISC-HON</t>
  </si>
  <si>
    <t>UNCLEAR REQUEST</t>
  </si>
  <si>
    <t>1998-121801</t>
  </si>
  <si>
    <t>RFO (98-024)</t>
  </si>
  <si>
    <t>1998-121601</t>
  </si>
  <si>
    <t>RFO-M (98-003)</t>
  </si>
  <si>
    <t>UH-BOARD</t>
  </si>
  <si>
    <t>MEETING NOTICES/BOARD OF REGENTS</t>
  </si>
  <si>
    <t>PUBLICATION ON INTERNET</t>
  </si>
  <si>
    <t>1998-122301</t>
  </si>
  <si>
    <t>RFO (98-025)</t>
  </si>
  <si>
    <t>UH-ATHLETICS</t>
  </si>
  <si>
    <t>FOOTBALL HEAD COACH JUNE JONES</t>
  </si>
  <si>
    <t>1998-122901</t>
  </si>
  <si>
    <t>HMS-04/HMS-05</t>
  </si>
  <si>
    <t>RECORDS/CHILD PROTECTIVE SERVICES</t>
  </si>
  <si>
    <t>1998-123102</t>
  </si>
  <si>
    <t>RFO (98-026)</t>
  </si>
  <si>
    <t>DEATH CERTIFICATE</t>
  </si>
  <si>
    <t>"INTERESTED PERSON"</t>
  </si>
  <si>
    <t>1999-010801</t>
  </si>
  <si>
    <t>RFA-P (99-001)</t>
  </si>
  <si>
    <t>JUDICIAL SELECTION COMMISSION</t>
  </si>
  <si>
    <t>DATES OF PETITION FOR RETENTION MEETINGS</t>
  </si>
  <si>
    <t>1999-010802</t>
  </si>
  <si>
    <t>GUIDELINES RE PUBLIC ACCESS</t>
  </si>
  <si>
    <t>1999-010803</t>
  </si>
  <si>
    <t>PROCUREMENT</t>
  </si>
  <si>
    <t>AGS-1</t>
  </si>
  <si>
    <t>1999-010804</t>
  </si>
  <si>
    <t>REMEDIES, PROCUREMENT CODE</t>
  </si>
  <si>
    <t>AGS-2 (99)</t>
  </si>
  <si>
    <t>1999-011101</t>
  </si>
  <si>
    <t>RFO (99-001)</t>
  </si>
  <si>
    <t>DISCLOSURE FOR RFO (98-12)</t>
  </si>
  <si>
    <t>1999-011501</t>
  </si>
  <si>
    <t>RFA-P (99-002)</t>
  </si>
  <si>
    <t>FORM D-55</t>
  </si>
  <si>
    <t>OVERTIME PAYMENT REQUESTS</t>
  </si>
  <si>
    <t>1999-012201</t>
  </si>
  <si>
    <t>RFO (99-002)</t>
  </si>
  <si>
    <t>NAMES OF SUSPECTS</t>
  </si>
  <si>
    <t>1999-012202</t>
  </si>
  <si>
    <t>RFO (99-003)</t>
  </si>
  <si>
    <t>COURT ABSTRACTS</t>
  </si>
  <si>
    <t>MISC CRIMINAL ABSTRACTS</t>
  </si>
  <si>
    <t>1999-012501</t>
  </si>
  <si>
    <t>HB 0008</t>
  </si>
  <si>
    <t>SSN DRIVERS LICENSE</t>
  </si>
  <si>
    <t>1999-012502</t>
  </si>
  <si>
    <t>SB 0018</t>
  </si>
  <si>
    <t>1999-012503</t>
  </si>
  <si>
    <t>SB 0155</t>
  </si>
  <si>
    <t>1999-012602</t>
  </si>
  <si>
    <t>HB 0009</t>
  </si>
  <si>
    <t>WHISTLEBLOWERS</t>
  </si>
  <si>
    <t>1999-012603</t>
  </si>
  <si>
    <t>HB 0052</t>
  </si>
  <si>
    <t>1999-012604</t>
  </si>
  <si>
    <t>HB 0062</t>
  </si>
  <si>
    <t>MOTOR VEHICLE INSPECTION</t>
  </si>
  <si>
    <t>1999-012605</t>
  </si>
  <si>
    <t>HB 0103</t>
  </si>
  <si>
    <t>1999-012609</t>
  </si>
  <si>
    <t>SB 0147</t>
  </si>
  <si>
    <t>1999-012610</t>
  </si>
  <si>
    <t>SB 0190</t>
  </si>
  <si>
    <t>PREGNANT WOMEN &amp; INFANTS</t>
  </si>
  <si>
    <t>1999-012611</t>
  </si>
  <si>
    <t>SB 0198</t>
  </si>
  <si>
    <t>1999-012612</t>
  </si>
  <si>
    <t>SB 0210</t>
  </si>
  <si>
    <t>1999-012613</t>
  </si>
  <si>
    <t>SB 0235</t>
  </si>
  <si>
    <t>1999-012619</t>
  </si>
  <si>
    <t>HB 0005</t>
  </si>
  <si>
    <t>TRAFFIC BENCH WARRANTS</t>
  </si>
  <si>
    <t>1999-012622</t>
  </si>
  <si>
    <t>HB 0158</t>
  </si>
  <si>
    <t>IDENTITY THEFT</t>
  </si>
  <si>
    <t>1999-012623</t>
  </si>
  <si>
    <t>HB 0265</t>
  </si>
  <si>
    <t>1999-012625</t>
  </si>
  <si>
    <t>ALL POLICE</t>
  </si>
  <si>
    <t>HB 0291</t>
  </si>
  <si>
    <t>1999-012626</t>
  </si>
  <si>
    <t>SB 0062</t>
  </si>
  <si>
    <t>EXPUNGEMENT</t>
  </si>
  <si>
    <t>1999-012627</t>
  </si>
  <si>
    <t>SB 0067</t>
  </si>
  <si>
    <t>1999-012628</t>
  </si>
  <si>
    <t>SB 0152</t>
  </si>
  <si>
    <t>CHILD PROTECTION</t>
  </si>
  <si>
    <t>1999-012629</t>
  </si>
  <si>
    <t>SB 0171</t>
  </si>
  <si>
    <t>WELFARE REFORM</t>
  </si>
  <si>
    <t>1999-012631</t>
  </si>
  <si>
    <t>SB 0182</t>
  </si>
  <si>
    <t>1999-012710</t>
  </si>
  <si>
    <t>SB 0892</t>
  </si>
  <si>
    <t>JUVENILE RECORDS</t>
  </si>
  <si>
    <t>1999-012711</t>
  </si>
  <si>
    <t>SB 0185</t>
  </si>
  <si>
    <t>STUDENT COUNCIL</t>
  </si>
  <si>
    <t>1999-012712</t>
  </si>
  <si>
    <t>SB 0183</t>
  </si>
  <si>
    <t>STUDENT BILL OF RIGHTS</t>
  </si>
  <si>
    <t>1999-012717</t>
  </si>
  <si>
    <t>HB 0284</t>
  </si>
  <si>
    <t>1999-012638</t>
  </si>
  <si>
    <t>SUNSHINE</t>
  </si>
  <si>
    <t>1999-012907</t>
  </si>
  <si>
    <t>SB 0572 (SB 0868 COMPANION)</t>
  </si>
  <si>
    <t>HEALTH CARE HOTLINE</t>
  </si>
  <si>
    <t>H/MTDG</t>
  </si>
  <si>
    <t>1999-012901</t>
  </si>
  <si>
    <t>HB 0385 (SB0387/SB0605 COMPANION)</t>
  </si>
  <si>
    <t>HATE CRIMES</t>
  </si>
  <si>
    <t>1999-012916</t>
  </si>
  <si>
    <t>HB 0443 (SEE HB 848/SB 935</t>
  </si>
  <si>
    <t>DRUG FREE WORKPLACE</t>
  </si>
  <si>
    <t>1999-012920</t>
  </si>
  <si>
    <t>SB 0469</t>
  </si>
  <si>
    <t>SUBSTANCE ABUSE TESTING</t>
  </si>
  <si>
    <t>1999-012921</t>
  </si>
  <si>
    <t>SB 0995 (SEE HB 859)</t>
  </si>
  <si>
    <t>DEPENDENT ADULTS</t>
  </si>
  <si>
    <t>1999-012922</t>
  </si>
  <si>
    <t>HB 0859 (SEE SB0995)</t>
  </si>
  <si>
    <t>1999-012924</t>
  </si>
  <si>
    <t>EMPLOYEE TIMESHEETS</t>
  </si>
  <si>
    <t>CIV #99-0305-01</t>
  </si>
  <si>
    <t>1999-012928</t>
  </si>
  <si>
    <t>HB 0928</t>
  </si>
  <si>
    <t>REPEALS SHPDA</t>
  </si>
  <si>
    <t>1999-012929</t>
  </si>
  <si>
    <t>SB 1426</t>
  </si>
  <si>
    <t>MOTOR VEHICLE IMSPECTION</t>
  </si>
  <si>
    <t>1999-012930</t>
  </si>
  <si>
    <t>HB 1303</t>
  </si>
  <si>
    <t>EXEMPT PRINCIPALS FROM CBA</t>
  </si>
  <si>
    <t>1999-012931</t>
  </si>
  <si>
    <t>HB 0907</t>
  </si>
  <si>
    <t>MOTOR VEHICLE INSURANCE</t>
  </si>
  <si>
    <t>1999-012932</t>
  </si>
  <si>
    <t>SB 1017</t>
  </si>
  <si>
    <t>REVISING HRS</t>
  </si>
  <si>
    <t>1999-012933</t>
  </si>
  <si>
    <t>SB 1016</t>
  </si>
  <si>
    <t>COPY FEES  OF PROPOSED RULES</t>
  </si>
  <si>
    <t>1999-012939</t>
  </si>
  <si>
    <t>POLICE- ALL</t>
  </si>
  <si>
    <t>SB 1386</t>
  </si>
  <si>
    <t>FIREARMS, AMMUNITION</t>
  </si>
  <si>
    <t>1999-012941</t>
  </si>
  <si>
    <t>HB 0580</t>
  </si>
  <si>
    <t>VIATICAL SETTLEMENTS</t>
  </si>
  <si>
    <t>1999-012948</t>
  </si>
  <si>
    <t>HB 0913</t>
  </si>
  <si>
    <t>ABORTION</t>
  </si>
  <si>
    <t>1999-012955</t>
  </si>
  <si>
    <t>RFO (99-004)</t>
  </si>
  <si>
    <t>INTERSTATE SHARING OF INVESTIGATION RECORDS</t>
  </si>
  <si>
    <t>1999-020128</t>
  </si>
  <si>
    <t>HB 1431</t>
  </si>
  <si>
    <t>PUBLIC FINANCIAL DISCLOSURE STMT.</t>
  </si>
  <si>
    <t>1999-061504</t>
  </si>
  <si>
    <t>RFO (99-019)</t>
  </si>
  <si>
    <t>COUNTY H</t>
  </si>
  <si>
    <t>HLRB HEARING</t>
  </si>
  <si>
    <t>DISCLOSURE OF JPR</t>
  </si>
  <si>
    <t>1999-020122</t>
  </si>
  <si>
    <t>SB 0557</t>
  </si>
  <si>
    <t>BOARD OF LAND &amp; NATURAL RESOURCES</t>
  </si>
  <si>
    <t>1999-020107</t>
  </si>
  <si>
    <t>SB 0545</t>
  </si>
  <si>
    <t>1999-020207</t>
  </si>
  <si>
    <t>HB 0848</t>
  </si>
  <si>
    <t>SUBSTANCE ABUSE TESTS (SEE HB 443, SB 635)</t>
  </si>
  <si>
    <t>1999-020202</t>
  </si>
  <si>
    <t>HB 1430</t>
  </si>
  <si>
    <t>1999-020203</t>
  </si>
  <si>
    <t>SB 0635</t>
  </si>
  <si>
    <t>SUBSTANCE ABUSE TESTS (SEE HB0849, HB 0443)</t>
  </si>
  <si>
    <t>1999-020204</t>
  </si>
  <si>
    <t>SB 0761</t>
  </si>
  <si>
    <t>1999-020206</t>
  </si>
  <si>
    <t>SB 0705</t>
  </si>
  <si>
    <t>WHISTLEBLOWER</t>
  </si>
  <si>
    <t>1999-020209</t>
  </si>
  <si>
    <t>SB 0514</t>
  </si>
  <si>
    <t>1999-020302</t>
  </si>
  <si>
    <t>HB 0460</t>
  </si>
  <si>
    <t>CHECK CASHING (SEE SB 362)</t>
  </si>
  <si>
    <t>1999-020436</t>
  </si>
  <si>
    <t>HB 1501</t>
  </si>
  <si>
    <t>WIRETAPPING/ELECTRONIC SURVEILANCE</t>
  </si>
  <si>
    <t>JH/MTDG</t>
  </si>
  <si>
    <t>1999-020205</t>
  </si>
  <si>
    <t>HB1543</t>
  </si>
  <si>
    <t>TELEMARKETING FRAUD</t>
  </si>
  <si>
    <t>1999-020413</t>
  </si>
  <si>
    <t>HB1248</t>
  </si>
  <si>
    <t>HAWAII ENVIRONMENTAL AUTHORITY</t>
  </si>
  <si>
    <t>1999-020415</t>
  </si>
  <si>
    <t>SB0770</t>
  </si>
  <si>
    <t>JURORS</t>
  </si>
  <si>
    <t>1999-020416</t>
  </si>
  <si>
    <t>HB1436</t>
  </si>
  <si>
    <t>BUDGET ANALYSIS</t>
  </si>
  <si>
    <t>1999-020417</t>
  </si>
  <si>
    <t>HB0553</t>
  </si>
  <si>
    <t>REVERSE MORTGAGES</t>
  </si>
  <si>
    <t>1999-020418</t>
  </si>
  <si>
    <t>SB0368</t>
  </si>
  <si>
    <t>INCINERATION</t>
  </si>
  <si>
    <t>1999-020419</t>
  </si>
  <si>
    <t>SB186</t>
  </si>
  <si>
    <t>1999-020420</t>
  </si>
  <si>
    <t>BEDT</t>
  </si>
  <si>
    <t>SB742</t>
  </si>
  <si>
    <t>CORPORATE  REGISTRATION</t>
  </si>
  <si>
    <t>1999-020421</t>
  </si>
  <si>
    <t>SB0135</t>
  </si>
  <si>
    <t>TEACHER STANDARDS BOARD</t>
  </si>
  <si>
    <t>1999-020422</t>
  </si>
  <si>
    <t>HB1606</t>
  </si>
  <si>
    <t>DRIVERS LICENSE</t>
  </si>
  <si>
    <t>1999-020423</t>
  </si>
  <si>
    <t>ALL BLDG</t>
  </si>
  <si>
    <t>SB0735</t>
  </si>
  <si>
    <t>BUILDING PERMITS</t>
  </si>
  <si>
    <t>1999-020424</t>
  </si>
  <si>
    <t>HB1536</t>
  </si>
  <si>
    <t>FRAUD</t>
  </si>
  <si>
    <t>1999-020425</t>
  </si>
  <si>
    <t>SB0472</t>
  </si>
  <si>
    <t>UNICAMERAL LEGISLATURE</t>
  </si>
  <si>
    <t>1999-020426</t>
  </si>
  <si>
    <t>HB0604</t>
  </si>
  <si>
    <t>PROTECTIVE ORDERS</t>
  </si>
  <si>
    <t>1999-020427</t>
  </si>
  <si>
    <t>SB0590</t>
  </si>
  <si>
    <t>1999-020428</t>
  </si>
  <si>
    <t>HB1560</t>
  </si>
  <si>
    <t>CRIMINAL JUSTICE INFORMATION</t>
  </si>
  <si>
    <t>1999-020429</t>
  </si>
  <si>
    <t>HB0724</t>
  </si>
  <si>
    <t>STUDENT ID SYSTEM</t>
  </si>
  <si>
    <t>1999-020431</t>
  </si>
  <si>
    <t>HB0230</t>
  </si>
  <si>
    <t>DISCLOSURE OF BRIBE OFFERS</t>
  </si>
  <si>
    <t>1999-020432</t>
  </si>
  <si>
    <t>HB0674</t>
  </si>
  <si>
    <t>BOARD MEMBERS</t>
  </si>
  <si>
    <t>1999-020433</t>
  </si>
  <si>
    <t>HB1384</t>
  </si>
  <si>
    <t>NEIGHBORHOOD BOARDS, SUNSHINE</t>
  </si>
  <si>
    <t>1999-020434</t>
  </si>
  <si>
    <t>HB0871</t>
  </si>
  <si>
    <t>TAX REFORM</t>
  </si>
  <si>
    <t>1999-020435</t>
  </si>
  <si>
    <t>SB1458</t>
  </si>
  <si>
    <t>CONDOMINIUMS</t>
  </si>
  <si>
    <t>1999-020439</t>
  </si>
  <si>
    <t>HB1472</t>
  </si>
  <si>
    <t>COLLECTIVE BARGAINING</t>
  </si>
  <si>
    <t>1999-020440</t>
  </si>
  <si>
    <t>SB0362</t>
  </si>
  <si>
    <t>CHECK CASHING</t>
  </si>
  <si>
    <t>1999-020452</t>
  </si>
  <si>
    <t>POLICE-ALL</t>
  </si>
  <si>
    <t>HB0594</t>
  </si>
  <si>
    <t>1999-020453</t>
  </si>
  <si>
    <t>HB1546</t>
  </si>
  <si>
    <t>1999-020454</t>
  </si>
  <si>
    <t>HB1531</t>
  </si>
  <si>
    <t>1999-020455</t>
  </si>
  <si>
    <t>HB0955</t>
  </si>
  <si>
    <t>SEXUAL PRIVACY</t>
  </si>
  <si>
    <t>1999-020456</t>
  </si>
  <si>
    <t>SB0594</t>
  </si>
  <si>
    <t>1999-020457</t>
  </si>
  <si>
    <t>SB1401</t>
  </si>
  <si>
    <t>1999-020462</t>
  </si>
  <si>
    <t>HB1437</t>
  </si>
  <si>
    <t>REPORTING CHILD ABUSE</t>
  </si>
  <si>
    <t>1999-020464</t>
  </si>
  <si>
    <t>LTGOV-ELECTIONS</t>
  </si>
  <si>
    <t>HB0480</t>
  </si>
  <si>
    <t>1999-020465</t>
  </si>
  <si>
    <t>HB0799</t>
  </si>
  <si>
    <t>BOARDOF CERTIFICATION SPECIAL FUND</t>
  </si>
  <si>
    <t>MG</t>
  </si>
  <si>
    <t>1999-020466</t>
  </si>
  <si>
    <t>HB1625</t>
  </si>
  <si>
    <t>1999-020467</t>
  </si>
  <si>
    <t>SB0400</t>
  </si>
  <si>
    <t>INFORMATION TECHNOLOGY</t>
  </si>
  <si>
    <t>1999-020503</t>
  </si>
  <si>
    <t>HB 1110</t>
  </si>
  <si>
    <t>1999-020819</t>
  </si>
  <si>
    <t>HB1138</t>
  </si>
  <si>
    <t>1999-020814</t>
  </si>
  <si>
    <t>SB751</t>
  </si>
  <si>
    <t>MEDICAL MARIJUANA</t>
  </si>
  <si>
    <t>1999-020816</t>
  </si>
  <si>
    <t>HB1097</t>
  </si>
  <si>
    <t>LICENSING BOARDS</t>
  </si>
  <si>
    <t>1999-020821</t>
  </si>
  <si>
    <t>HB1734</t>
  </si>
  <si>
    <t>SALES TAX</t>
  </si>
  <si>
    <t>1999-020801</t>
  </si>
  <si>
    <t>SB 1037</t>
  </si>
  <si>
    <t>1999-010702</t>
  </si>
  <si>
    <t>HB 1155</t>
  </si>
  <si>
    <t>1999-020803</t>
  </si>
  <si>
    <t>SB 1268</t>
  </si>
  <si>
    <t>CHARITABLE TRUST</t>
  </si>
  <si>
    <t>1999-020804</t>
  </si>
  <si>
    <t>HB 1011</t>
  </si>
  <si>
    <t>1999-020806</t>
  </si>
  <si>
    <t>HB 1156</t>
  </si>
  <si>
    <t>HEALTH PLANNING</t>
  </si>
  <si>
    <t>1999-020807</t>
  </si>
  <si>
    <t>SB 1330</t>
  </si>
  <si>
    <t>1999-020810</t>
  </si>
  <si>
    <t>SB 1089</t>
  </si>
  <si>
    <t>COMMERCIAL MARINE LICENSES</t>
  </si>
  <si>
    <t>1999-020811</t>
  </si>
  <si>
    <t>HB 1179</t>
  </si>
  <si>
    <t>1999-020212</t>
  </si>
  <si>
    <t>HB 1119</t>
  </si>
  <si>
    <t>SPS</t>
  </si>
  <si>
    <t>1999-020813</t>
  </si>
  <si>
    <t>HB 1157</t>
  </si>
  <si>
    <t>1999-020820</t>
  </si>
  <si>
    <t>COUNTY-ALL</t>
  </si>
  <si>
    <t>SB 1111</t>
  </si>
  <si>
    <t>CLOSED MEETINGS</t>
  </si>
  <si>
    <t>1999-020505</t>
  </si>
  <si>
    <t>RFO (99-005)</t>
  </si>
  <si>
    <t>JUNE JONES SALARY</t>
  </si>
  <si>
    <t>ATHLETIC COACH COMPENSATION</t>
  </si>
  <si>
    <t>1999-020822</t>
  </si>
  <si>
    <t>SB 1320</t>
  </si>
  <si>
    <t>Y2K ERRORS</t>
  </si>
  <si>
    <t>1999-020824</t>
  </si>
  <si>
    <t>SB 1020 (HB1138)</t>
  </si>
  <si>
    <t>1999-020818</t>
  </si>
  <si>
    <t>SB 1328</t>
  </si>
  <si>
    <t>GOVT. BY PRINCIPLE (MONITOR ONLY)</t>
  </si>
  <si>
    <t>1999-020817</t>
  </si>
  <si>
    <t>SB 1052</t>
  </si>
  <si>
    <t>CPS</t>
  </si>
  <si>
    <t>1999-020815</t>
  </si>
  <si>
    <t>SB 1305</t>
  </si>
  <si>
    <t>1999-020901</t>
  </si>
  <si>
    <t>SB 0953</t>
  </si>
  <si>
    <t>1999-050101</t>
  </si>
  <si>
    <t>RFA-P (99-012)</t>
  </si>
  <si>
    <t>B&amp;F-HON</t>
  </si>
  <si>
    <t>PROPERTY VALUATION</t>
  </si>
  <si>
    <t>1999-020912</t>
  </si>
  <si>
    <t>SB 1422</t>
  </si>
  <si>
    <t>1999-020914</t>
  </si>
  <si>
    <t>HB 0681</t>
  </si>
  <si>
    <t>LMO/LLA</t>
  </si>
  <si>
    <t>1999-021001</t>
  </si>
  <si>
    <t>RFA-P (99-003)</t>
  </si>
  <si>
    <t>AGREEMENT FOR SERVICES</t>
  </si>
  <si>
    <t>SETTLEMENT AGREEMENT</t>
  </si>
  <si>
    <t>1999-021601</t>
  </si>
  <si>
    <t>SB 1032</t>
  </si>
  <si>
    <t>PSYCHIATRIC TREATMENT</t>
  </si>
  <si>
    <t>1999-021602</t>
  </si>
  <si>
    <t>HB 1190</t>
  </si>
  <si>
    <t>HAWAII TOURISM AUTHORITY</t>
  </si>
  <si>
    <t>1999-021201</t>
  </si>
  <si>
    <t>RFA-P (99-004)</t>
  </si>
  <si>
    <t>INSURANCE CO. RATE FORM</t>
  </si>
  <si>
    <t>1999-021701</t>
  </si>
  <si>
    <t>RFA-P (99-005)</t>
  </si>
  <si>
    <t>DCCA INVESTIGATIVE REPORTS</t>
  </si>
  <si>
    <t>LLT/LMO/CMD/SRK/WKP</t>
  </si>
  <si>
    <t>1999-022301</t>
  </si>
  <si>
    <t>RFA-P (99-006)</t>
  </si>
  <si>
    <t>LM0</t>
  </si>
  <si>
    <t>1999-022501</t>
  </si>
  <si>
    <t>RFA-G (99-012)</t>
  </si>
  <si>
    <t>LOG INFORMATION OF INTER-ISLAND EXPORT OF COCKATOOS</t>
  </si>
  <si>
    <t>1999-022601</t>
  </si>
  <si>
    <t>RFA-P (99-008)</t>
  </si>
  <si>
    <t>OPINION ON RELEASE OF EMPLOYEE DISCIPLINE INFORMATION TO PUBLIC</t>
  </si>
  <si>
    <t>Note:  converted RFA-P (99-008) TO RFO (99-025)  See Data Record No. 5176</t>
  </si>
  <si>
    <t>1999-022602</t>
  </si>
  <si>
    <t>RFO (99-006)</t>
  </si>
  <si>
    <t>EMAIL</t>
  </si>
  <si>
    <t>GOVERNMENT RECORDS &amp; UIPA</t>
  </si>
  <si>
    <t>1999-022201</t>
  </si>
  <si>
    <t>DWS-M</t>
  </si>
  <si>
    <t>REQUEST TO INTERVENE CIV. NO. 97-0536(2)</t>
  </si>
  <si>
    <t>1999-031002</t>
  </si>
  <si>
    <t>HAWN. HOMESTEAD LEASE RECORDS</t>
  </si>
  <si>
    <t>1999-031201</t>
  </si>
  <si>
    <t>RFA-P (99-009)</t>
  </si>
  <si>
    <t>FORM DCS-RE-520/PUBLIC OR NOT</t>
  </si>
  <si>
    <t>1999-030201</t>
  </si>
  <si>
    <t>COUNCIL-MAUI</t>
  </si>
  <si>
    <t>SUNSHINE LAW</t>
  </si>
  <si>
    <t>1999-021802</t>
  </si>
  <si>
    <t>CHARGES FOR COPIES</t>
  </si>
  <si>
    <t>1999-031703</t>
  </si>
  <si>
    <t>PSD- HPA</t>
  </si>
  <si>
    <t>CERTIFICATE OF DISCHARGE</t>
  </si>
  <si>
    <t>1999-031702</t>
  </si>
  <si>
    <t>INMATES MEDICAL RECORDS</t>
  </si>
  <si>
    <t>MINNESOTA LAW</t>
  </si>
  <si>
    <t>1999-032501</t>
  </si>
  <si>
    <t>CRIMINAL  INVESTIGATION</t>
  </si>
  <si>
    <t>MAUI LIQUOR CONTROL</t>
  </si>
  <si>
    <t>1999-032502</t>
  </si>
  <si>
    <t>INVOICE FORMAT</t>
  </si>
  <si>
    <t>1999-040101</t>
  </si>
  <si>
    <t>RFA-P (99-010)</t>
  </si>
  <si>
    <t>PROOF OF COVERAGE</t>
  </si>
  <si>
    <t>1999-040601</t>
  </si>
  <si>
    <t>EXECUTIVE SESSIONS</t>
  </si>
  <si>
    <t>RULE AMENDEMENTS</t>
  </si>
  <si>
    <t>1999-032204</t>
  </si>
  <si>
    <t>RFO-M (99-002)</t>
  </si>
  <si>
    <t>NC-HON</t>
  </si>
  <si>
    <t>APPLICABILITY OF SUNSHINE LAW</t>
  </si>
  <si>
    <t>NEIGHBORHOOD BOARDS</t>
  </si>
  <si>
    <t>1999-040801</t>
  </si>
  <si>
    <t>RFA-P (99-011)</t>
  </si>
  <si>
    <t>INFO RE: EXPUNGEMENT FEE</t>
  </si>
  <si>
    <t>MVL/CMD</t>
  </si>
  <si>
    <t>1999-040501</t>
  </si>
  <si>
    <t>RFO (99-008)</t>
  </si>
  <si>
    <t>VIOLATION OF SECTION 84-12</t>
  </si>
  <si>
    <t>1999-040901</t>
  </si>
  <si>
    <t>FEE FOR AUDIO TAPES</t>
  </si>
  <si>
    <t>1999-040701</t>
  </si>
  <si>
    <t>RFO (99-009)</t>
  </si>
  <si>
    <t>DCCA-OLELO</t>
  </si>
  <si>
    <t>RESUME OF BOARD MEMBER</t>
  </si>
  <si>
    <t>OLELO BD MEMBER</t>
  </si>
  <si>
    <t>1999-061501</t>
  </si>
  <si>
    <t>RFA-P (99-018)</t>
  </si>
  <si>
    <t>1999-041401</t>
  </si>
  <si>
    <t>RFA-M (99-002)</t>
  </si>
  <si>
    <t>SUNSHINE LAW PROCEDURES</t>
  </si>
  <si>
    <t>BOARD OF REAL ESTATE COMMISSION</t>
  </si>
  <si>
    <t>1999-041901</t>
  </si>
  <si>
    <t>RFO (99-010)</t>
  </si>
  <si>
    <t>REDACTED PORTIONS</t>
  </si>
  <si>
    <t>1999-042401</t>
  </si>
  <si>
    <t>HPA COMMUTATION</t>
  </si>
  <si>
    <t>1999-050601</t>
  </si>
  <si>
    <t>RFA-G (99-001)</t>
  </si>
  <si>
    <t>SEXUAL HARASSMENT INVESTIGATION REPORT</t>
  </si>
  <si>
    <t>1999-051101</t>
  </si>
  <si>
    <t>RFA-P (99-013)</t>
  </si>
  <si>
    <t>DBEDT POSITIONS DATA</t>
  </si>
  <si>
    <t>1999-051201</t>
  </si>
  <si>
    <t>RFO (99-011)</t>
  </si>
  <si>
    <t>k</t>
  </si>
  <si>
    <t>CLAIM &amp; LAWSUITS; SETTLEMENT;</t>
  </si>
  <si>
    <t>CONFIDENTIALITY CLAUSES (cross ref. RFO 99-12)</t>
  </si>
  <si>
    <t>1999-051202</t>
  </si>
  <si>
    <t>RFO (99-012)</t>
  </si>
  <si>
    <t>EXECUTIVE SESSION MINUTES (cross ref. RFO. (99-11)</t>
  </si>
  <si>
    <t>1999-051701</t>
  </si>
  <si>
    <t>RFO (99-013)</t>
  </si>
  <si>
    <t>MTDG/JEC</t>
  </si>
  <si>
    <t>1999-051501</t>
  </si>
  <si>
    <t>RFA-P (99-014)</t>
  </si>
  <si>
    <t>DEATH STATISTICS</t>
  </si>
  <si>
    <t>1999-050701</t>
  </si>
  <si>
    <t>SB1518</t>
  </si>
  <si>
    <t>DEPARTMENT GOALS</t>
  </si>
  <si>
    <t>1999-052401</t>
  </si>
  <si>
    <t>U RFO (99-014)</t>
  </si>
  <si>
    <t>RESEARCH GRANTS</t>
  </si>
  <si>
    <t>SPONSORS</t>
  </si>
  <si>
    <t>JZB/JEC</t>
  </si>
  <si>
    <t>1999-070601</t>
  </si>
  <si>
    <t>RFA-P (99-027)</t>
  </si>
  <si>
    <t>TEACHER MISCONDUCT</t>
  </si>
  <si>
    <t>JEC/GLF</t>
  </si>
  <si>
    <t>1999-060101</t>
  </si>
  <si>
    <t>UIPA   BASICS</t>
  </si>
  <si>
    <t>1999-060302</t>
  </si>
  <si>
    <t>RFA-P (99-016)</t>
  </si>
  <si>
    <t>HIGHWAYS DIVISION (CONSTRUCTION)</t>
  </si>
  <si>
    <t>CHANGE ORDERS</t>
  </si>
  <si>
    <t>1999-060301</t>
  </si>
  <si>
    <t>RFA-P (99-015)</t>
  </si>
  <si>
    <t>RE: DISPATCHERS</t>
  </si>
  <si>
    <t>1999-060201</t>
  </si>
  <si>
    <t>RFA-G (99-002)</t>
  </si>
  <si>
    <t>VEHICLE ACCIDENT INFO.</t>
  </si>
  <si>
    <t>DATA BASE</t>
  </si>
  <si>
    <t>GLF/MTDG</t>
  </si>
  <si>
    <t>1999-060401</t>
  </si>
  <si>
    <t>RFO (99-015)</t>
  </si>
  <si>
    <t>AGING-K</t>
  </si>
  <si>
    <t>DATABASE</t>
  </si>
  <si>
    <t>MAILING LIST</t>
  </si>
  <si>
    <t>1999-060701</t>
  </si>
  <si>
    <t>RFO (99-016)</t>
  </si>
  <si>
    <t>LIQUOR CMSN. MTGS.</t>
  </si>
  <si>
    <t>NOTICE REQUIREMENTS</t>
  </si>
  <si>
    <t>1999-060901</t>
  </si>
  <si>
    <t>DIV. OF AQUATIC RESOURCES`</t>
  </si>
  <si>
    <t>INTER-OFFICE E MAIL</t>
  </si>
  <si>
    <t>LLA/JEC/GLF</t>
  </si>
  <si>
    <t>1999-061502</t>
  </si>
  <si>
    <t>RFO (99-017)</t>
  </si>
  <si>
    <t>PENDING INDICTMENTS</t>
  </si>
  <si>
    <t>SCREENING COMMITTEE</t>
  </si>
  <si>
    <t>1999-061503</t>
  </si>
  <si>
    <t>RFO (99-018)</t>
  </si>
  <si>
    <t>INMATE TRANSFER</t>
  </si>
  <si>
    <t>CRITERIA USED</t>
  </si>
  <si>
    <t>1999-061601</t>
  </si>
  <si>
    <t>RFA-G (99-003)</t>
  </si>
  <si>
    <t>HANA COMMUNITY HEALTH CNTR. (HCHC)</t>
  </si>
  <si>
    <t>DISCLOSURE. OF FIFNANCIAL INFO.</t>
  </si>
  <si>
    <t>1999-061801</t>
  </si>
  <si>
    <t>RFA-P (99-019)</t>
  </si>
  <si>
    <t>PSYCHOLOGICAL MEDICAL RECORDS</t>
  </si>
  <si>
    <t>1999-062101</t>
  </si>
  <si>
    <t>RFA-P (99-020)</t>
  </si>
  <si>
    <t>INVESTIGATIVE RPT. OF</t>
  </si>
  <si>
    <t>HMSA, HHSC &amp; SENATOR LEVIN V. COMMUNITY HOSPITAL</t>
  </si>
  <si>
    <t>UH'S PUBLISHED RESEARCH RESULTS</t>
  </si>
  <si>
    <t>DISCLOSURE WHEN UH HAS PROPRIIETARY INTERESTS IN RESEARCH</t>
  </si>
  <si>
    <t>1999-062102</t>
  </si>
  <si>
    <t>RFA-P (99-021)</t>
  </si>
  <si>
    <t>1999-062501</t>
  </si>
  <si>
    <t>RFA-P (99-022)</t>
  </si>
  <si>
    <t>REVOCATION OF PAROLE</t>
  </si>
  <si>
    <t>ACLU</t>
  </si>
  <si>
    <t>1999-062502</t>
  </si>
  <si>
    <t>RFA-P (99-023)</t>
  </si>
  <si>
    <t>ORDER DECISION WORKSHEET</t>
  </si>
  <si>
    <t>BOOKSTORE</t>
  </si>
  <si>
    <t>1999-062503</t>
  </si>
  <si>
    <t>RFA-G (99-004)</t>
  </si>
  <si>
    <t>UIPA PROCEDURES</t>
  </si>
  <si>
    <t>1999-062505</t>
  </si>
  <si>
    <t>CO-PAYMENT FEES FOR MEDICAL VISITS AND DRUG PRESCRIPTION</t>
  </si>
  <si>
    <t>INMATES OUT OF STATE</t>
  </si>
  <si>
    <t>RAN</t>
  </si>
  <si>
    <t>1999-062504</t>
  </si>
  <si>
    <t>RFO (99-020)</t>
  </si>
  <si>
    <t>STUDENT EVALUATION OF TEACHING FACULTY</t>
  </si>
  <si>
    <t>1999-062301</t>
  </si>
  <si>
    <t>DISCOVERY REQUEST</t>
  </si>
  <si>
    <t>REVIEW DOCUMENTS</t>
  </si>
  <si>
    <t>1999-062507</t>
  </si>
  <si>
    <t>RFA-G (99-005)</t>
  </si>
  <si>
    <t>DISCLOSURE OF MBNA CONTRACT AGREEMENT</t>
  </si>
  <si>
    <t>1999-062801</t>
  </si>
  <si>
    <t>RFA-P (99-025)</t>
  </si>
  <si>
    <t>1999-062506</t>
  </si>
  <si>
    <t>RFA-P (99-024)</t>
  </si>
  <si>
    <t>SHPD</t>
  </si>
  <si>
    <t>GIS MAP DATA</t>
  </si>
  <si>
    <t>1999-063003</t>
  </si>
  <si>
    <t>CHRISTIAN V. HARA, JUDICIARY</t>
  </si>
  <si>
    <t>CIV.  99-0043</t>
  </si>
  <si>
    <t>1999-070101</t>
  </si>
  <si>
    <t>RFA-P (99-026)</t>
  </si>
  <si>
    <t>TRANSFER OF INMATES</t>
  </si>
  <si>
    <t>RELATED DOCUMENTS</t>
  </si>
  <si>
    <t>1999-070902</t>
  </si>
  <si>
    <t>RFA-P (99-028)</t>
  </si>
  <si>
    <t>ACCESS CCA POLICIES &amp; PROCEDURES</t>
  </si>
  <si>
    <t>1999-071201</t>
  </si>
  <si>
    <t>RFA-P (99-029)</t>
  </si>
  <si>
    <t>SEXUAL HARASSMENT INVEST. RCDS</t>
  </si>
  <si>
    <t>1999-071202</t>
  </si>
  <si>
    <t>RFA-P (99-031)</t>
  </si>
  <si>
    <t>REQUEST FOR DISCOVERY, NURSALL V. DHS</t>
  </si>
  <si>
    <t>RFA-P (99-030)</t>
  </si>
  <si>
    <t>REQUEST FOR DISCOVERY, NURSALL V. HPD</t>
  </si>
  <si>
    <t>1999-071203</t>
  </si>
  <si>
    <t>RFA-P (99-032)</t>
  </si>
  <si>
    <t>CASE REPORTS</t>
  </si>
  <si>
    <t>CMD/SRK</t>
  </si>
  <si>
    <t>1999-071401</t>
  </si>
  <si>
    <t>RFA-G (99-006)</t>
  </si>
  <si>
    <t>PUBLICATION OF CIVIL SERVICE SALARIES</t>
  </si>
  <si>
    <t>1999-071901</t>
  </si>
  <si>
    <t>1999-072001</t>
  </si>
  <si>
    <t>RFA-G (99-007)</t>
  </si>
  <si>
    <t>PHYSICAL THERAPY BOARD</t>
  </si>
  <si>
    <t>BALCARIAN, G.</t>
  </si>
  <si>
    <t>1999-072601</t>
  </si>
  <si>
    <t>ADVICE &amp; GUIDANCE CHECK LISTS</t>
  </si>
  <si>
    <t>POLICE DEPTS</t>
  </si>
  <si>
    <t>1999-021801</t>
  </si>
  <si>
    <t>PUBLIC EMPLOYEE HEALTH FUND</t>
  </si>
  <si>
    <t>Civil No. 99-0400-01</t>
  </si>
  <si>
    <t>1999-072901</t>
  </si>
  <si>
    <t>RFA-P (99-034)</t>
  </si>
  <si>
    <t>SETTING PRISON TIME</t>
  </si>
  <si>
    <t>1999-080601</t>
  </si>
  <si>
    <t>DOE TRAINING</t>
  </si>
  <si>
    <t>1999-081302</t>
  </si>
  <si>
    <t>RFA-G (99-008)</t>
  </si>
  <si>
    <t>SIGN UP SHEETS</t>
  </si>
  <si>
    <t>OPEN MEETING AGENDAS</t>
  </si>
  <si>
    <t>1999-081303</t>
  </si>
  <si>
    <t>RFA-G (99-009)</t>
  </si>
  <si>
    <t>COMPLAINING WITNESS</t>
  </si>
  <si>
    <t>1999-082701</t>
  </si>
  <si>
    <t>RFA-P (99-036)</t>
  </si>
  <si>
    <t>ACCESS TO STATUTES</t>
  </si>
  <si>
    <t>1999-082702</t>
  </si>
  <si>
    <t>RFA-P (99-037)</t>
  </si>
  <si>
    <t>1999-082301</t>
  </si>
  <si>
    <t>RFA-P (99-035)</t>
  </si>
  <si>
    <t>ENV SVC- HON</t>
  </si>
  <si>
    <t>INVESTIGATIVE FILES</t>
  </si>
  <si>
    <t>1999-090101</t>
  </si>
  <si>
    <t>RFA-G (99-010)</t>
  </si>
  <si>
    <t>VOTER INFO: HON. CITY CLERK, OFC OF ELECTIONS</t>
  </si>
  <si>
    <t>AG REQUEST FOR OPINION</t>
  </si>
  <si>
    <t>1999-090801</t>
  </si>
  <si>
    <t>RFO (99-021)</t>
  </si>
  <si>
    <t>REPORT BY NUMBER</t>
  </si>
  <si>
    <t>NO PROSECUTIONS</t>
  </si>
  <si>
    <t>1999-091001</t>
  </si>
  <si>
    <t>RFA-P (99-038)</t>
  </si>
  <si>
    <t>HRS ACCESS</t>
  </si>
  <si>
    <t>CURRENT VOLUMES</t>
  </si>
  <si>
    <t>1999-091002</t>
  </si>
  <si>
    <t>RFA-P (99-039)</t>
  </si>
  <si>
    <t>POLICE- K</t>
  </si>
  <si>
    <t>COURT PLEADINGS</t>
  </si>
  <si>
    <t>1999-091301</t>
  </si>
  <si>
    <t>RFA-P (99-040)</t>
  </si>
  <si>
    <t>WORKER'S COMP. FILE</t>
  </si>
  <si>
    <t>PART 111 REQUEST</t>
  </si>
  <si>
    <t>1999-091302</t>
  </si>
  <si>
    <t>RFA-P (99-041)</t>
  </si>
  <si>
    <t>CHILD SUPPORT ORDER</t>
  </si>
  <si>
    <t>1999-091003</t>
  </si>
  <si>
    <t>GREIVANCE PROCEDURES</t>
  </si>
  <si>
    <t>JURISDICTION</t>
  </si>
  <si>
    <t>1999-091501</t>
  </si>
  <si>
    <t>RFO (99-022)</t>
  </si>
  <si>
    <t>CORP CNSL -M</t>
  </si>
  <si>
    <t>GIS DISCLOSURE</t>
  </si>
  <si>
    <t>PERSONAL INFORMATION</t>
  </si>
  <si>
    <t>1999-091601</t>
  </si>
  <si>
    <t>RFA-P (99-042)</t>
  </si>
  <si>
    <t>MAINLAND FACILITY</t>
  </si>
  <si>
    <t>1999-092001</t>
  </si>
  <si>
    <t>RFA-P (99-043)</t>
  </si>
  <si>
    <t>RECORDS RE: IRWIN PARK</t>
  </si>
  <si>
    <t>CONVERSION OF PARK USAGE</t>
  </si>
  <si>
    <t>1999-092401</t>
  </si>
  <si>
    <t>RFA-P (99-044)</t>
  </si>
  <si>
    <t>READ REORGANIZATION PLAN</t>
  </si>
  <si>
    <t>LETTER TO WAM</t>
  </si>
  <si>
    <t>1999-093002</t>
  </si>
  <si>
    <t>DRAFT LEGISLATION</t>
  </si>
  <si>
    <t>1999-100404</t>
  </si>
  <si>
    <t>REQUEST FORM</t>
  </si>
  <si>
    <t>HIGHWAYS PLANS</t>
  </si>
  <si>
    <t>1999-100402</t>
  </si>
  <si>
    <t>RFO-G (99-001)</t>
  </si>
  <si>
    <t>JOB AUDIT</t>
  </si>
  <si>
    <t>CLASSIFICATION</t>
  </si>
  <si>
    <t>1999-101101</t>
  </si>
  <si>
    <t>WASTEWATER BRANCH</t>
  </si>
  <si>
    <t>RULES, FEES</t>
  </si>
  <si>
    <t>1999-072802</t>
  </si>
  <si>
    <t>RFA-P (99-033)</t>
  </si>
  <si>
    <t>1999-101102</t>
  </si>
  <si>
    <t>RFA-P (99-045)</t>
  </si>
  <si>
    <t>1999-101001</t>
  </si>
  <si>
    <t>1999-101002</t>
  </si>
  <si>
    <t>LBR 6 &amp; 7</t>
  </si>
  <si>
    <t>1999-101501</t>
  </si>
  <si>
    <t>RFO (99-023)</t>
  </si>
  <si>
    <t>ELECTED OFFICIALS DATE OF BIRTH</t>
  </si>
  <si>
    <t>1999-101401</t>
  </si>
  <si>
    <t>RFA-P (99-046)</t>
  </si>
  <si>
    <t>DOCUMENTATION/UNCLAIMED PROPERTY</t>
  </si>
  <si>
    <t>1999-101402</t>
  </si>
  <si>
    <t>ACCESS FEES</t>
  </si>
  <si>
    <t>DRAFT LEGISLATION - DAGS 6</t>
  </si>
  <si>
    <t>1999-101801</t>
  </si>
  <si>
    <t>RFA-P (99-047)</t>
  </si>
  <si>
    <t>REORGANIZATION DOCUMENTS</t>
  </si>
  <si>
    <t>1999-101802</t>
  </si>
  <si>
    <t>PSD CONTACTS</t>
  </si>
  <si>
    <t>1999-102501</t>
  </si>
  <si>
    <t>RFA-P (99-048)</t>
  </si>
  <si>
    <t>ACCESS DENIED</t>
  </si>
  <si>
    <t>1999-102601</t>
  </si>
  <si>
    <t>CIVIL NO. 99-173</t>
  </si>
  <si>
    <t>JEC/CMD</t>
  </si>
  <si>
    <t>1999-110201</t>
  </si>
  <si>
    <t>RFA-P (99-049)</t>
  </si>
  <si>
    <t>LTR. TO AUDITOR FROM SEN. L. INOUYE</t>
  </si>
  <si>
    <t>1999-110202</t>
  </si>
  <si>
    <t>RFA-P (99-050)</t>
  </si>
  <si>
    <t>SR70 HEARING</t>
  </si>
  <si>
    <t>1999-110203</t>
  </si>
  <si>
    <t>RFA-P (99-051)</t>
  </si>
  <si>
    <t>COMPLAINTS W/OMBUDSMAN</t>
  </si>
  <si>
    <t>1999-110204</t>
  </si>
  <si>
    <t>RFA-P (99-052)</t>
  </si>
  <si>
    <t>1999-111201</t>
  </si>
  <si>
    <t>RFO (99-024)</t>
  </si>
  <si>
    <t>SECTION 201-13.8</t>
  </si>
  <si>
    <t>VISITOR INDUSTRY DATA</t>
  </si>
  <si>
    <t>1999-111401</t>
  </si>
  <si>
    <t>RFO-M (99-003)</t>
  </si>
  <si>
    <t>CONTESTED CASE MATTERS</t>
  </si>
  <si>
    <t>PUBLIC HEARING</t>
  </si>
  <si>
    <t>U RFO (99-025)</t>
  </si>
  <si>
    <t>DOH- HHSC</t>
  </si>
  <si>
    <t>RFA-P (99-008) converted to RFO (99-025) see prior data record 4641</t>
  </si>
  <si>
    <t>LLT/LMO/CMD/CLT/WKP</t>
  </si>
  <si>
    <t>1999-112201</t>
  </si>
  <si>
    <t>RFA-P (99-053)</t>
  </si>
  <si>
    <t>FAILURE TO RESPOND</t>
  </si>
  <si>
    <t>TEACHING POSITIONS</t>
  </si>
  <si>
    <t>1999-112301</t>
  </si>
  <si>
    <t>RFA-P (99-054)</t>
  </si>
  <si>
    <t>HEPATITIS C RECORDS</t>
  </si>
  <si>
    <t>1999-112302</t>
  </si>
  <si>
    <t>RFA-P (99-055)</t>
  </si>
  <si>
    <t>REQ. FOR PERSONAL RECORDS (XCRIP TAPE OF PAROLE REVO. HRG. OF 7/7/99)</t>
  </si>
  <si>
    <t>1999-111802</t>
  </si>
  <si>
    <t>RFO-G (99-011)</t>
  </si>
  <si>
    <t>INFO. RE. NON REGISTERED GUN OWNERS</t>
  </si>
  <si>
    <t>JEC/JZB/WKP/LLT</t>
  </si>
  <si>
    <t>1999-112903</t>
  </si>
  <si>
    <t>RFA-P (99-056)</t>
  </si>
  <si>
    <t>HEARING ON SR 70</t>
  </si>
  <si>
    <t>1999-112902</t>
  </si>
  <si>
    <t>REQ. PERS. RECORDS 3/4/99</t>
  </si>
  <si>
    <t>Civil No. 99-155</t>
  </si>
  <si>
    <t>1999-112901</t>
  </si>
  <si>
    <t>PERS RECORDS REQ. 3/5/99                                                                            CIVIL NO.  99-154</t>
  </si>
  <si>
    <t>CIV. No. 99-154</t>
  </si>
  <si>
    <t>1999-120202</t>
  </si>
  <si>
    <t>RFA-G (99-011)</t>
  </si>
  <si>
    <t>MEETING WITH VISION TEAM</t>
  </si>
  <si>
    <t>1999-120203</t>
  </si>
  <si>
    <t>CONTRACT W/ STATE OF MN</t>
  </si>
  <si>
    <t>1999-121401</t>
  </si>
  <si>
    <t>RFA-P (99-057)</t>
  </si>
  <si>
    <t>EMPLOYMENT DATA</t>
  </si>
  <si>
    <t>DISPATCH TRAINERS</t>
  </si>
  <si>
    <t>1999-121402</t>
  </si>
  <si>
    <t>RFA-P (99-058)</t>
  </si>
  <si>
    <t>NO JURISDICTION</t>
  </si>
  <si>
    <t>1999-121403</t>
  </si>
  <si>
    <t>RFA-P (99-059)</t>
  </si>
  <si>
    <t>ALLEGED DENIAL OF ACCESS</t>
  </si>
  <si>
    <t>RESPONSE UNDER THE RULE</t>
  </si>
  <si>
    <t>1999-121404</t>
  </si>
  <si>
    <t>GUIDANCE</t>
  </si>
  <si>
    <t>DISCLOSURE TO AUDITORS</t>
  </si>
  <si>
    <t>1999-122001</t>
  </si>
  <si>
    <t>MOTION FOR PROTECTIVE ORDER</t>
  </si>
  <si>
    <t>1999-122101</t>
  </si>
  <si>
    <t>RFA-P (99-060)</t>
  </si>
  <si>
    <t>COST OF SECURITY SYSTEM</t>
  </si>
  <si>
    <t>COST OF RECEPTION/WASH. D.C.</t>
  </si>
  <si>
    <t>2000-010501</t>
  </si>
  <si>
    <t>RFA-P (00-001)</t>
  </si>
  <si>
    <t>OUT OF STATE TRANSFER CONTACTS</t>
  </si>
  <si>
    <t>2000-011101</t>
  </si>
  <si>
    <t>MEDQUEST</t>
  </si>
  <si>
    <t>SP 00-1-0004</t>
  </si>
  <si>
    <t>2000-011201</t>
  </si>
  <si>
    <t>RECORD DOES NOT EXIST</t>
  </si>
  <si>
    <t>2000-011202</t>
  </si>
  <si>
    <t>RFO-G (00-001)</t>
  </si>
  <si>
    <t>DHS-MED QUEST</t>
  </si>
  <si>
    <t>CBI-UNAUDITED FINANCIAL REPORTS</t>
  </si>
  <si>
    <t>QUEST PLANS</t>
  </si>
  <si>
    <t>2000-011801</t>
  </si>
  <si>
    <t>RFA-P (00-002)</t>
  </si>
  <si>
    <t>SALARY RANGE OF INDIVIDUAL</t>
  </si>
  <si>
    <t>2000-012011</t>
  </si>
  <si>
    <t>SB2047</t>
  </si>
  <si>
    <t>ENVIRONMENTAL PROTECTION</t>
  </si>
  <si>
    <t>2000-011102</t>
  </si>
  <si>
    <t>RFA-M (00-001)</t>
  </si>
  <si>
    <t>ADDITIONS TO AGENDA</t>
  </si>
  <si>
    <t>2000-011203</t>
  </si>
  <si>
    <t>RFO (00-001)</t>
  </si>
  <si>
    <t>RETRIEVE MEDICAL RECORDS</t>
  </si>
  <si>
    <t>2000-012702</t>
  </si>
  <si>
    <t>CIVIL NO. 99-367</t>
  </si>
  <si>
    <t>2000-012703</t>
  </si>
  <si>
    <t>PERSONAL RECORD CORRECTION</t>
  </si>
  <si>
    <t>CIVIL NO. 99-246</t>
  </si>
  <si>
    <t>2000-01704</t>
  </si>
  <si>
    <t>CIVIL NO. 99-174</t>
  </si>
  <si>
    <t>2000-012705</t>
  </si>
  <si>
    <t>CIVIL NO. 99-297</t>
  </si>
  <si>
    <t>CMD/JZB</t>
  </si>
  <si>
    <t>2000-012701</t>
  </si>
  <si>
    <t>CIVIL NO. 99-231</t>
  </si>
  <si>
    <t>2000-012706</t>
  </si>
  <si>
    <t>CIVIL NO. 99-412</t>
  </si>
  <si>
    <t>2000-020111</t>
  </si>
  <si>
    <t>RFA-P (00-004)</t>
  </si>
  <si>
    <t>RECORD REQUEST</t>
  </si>
  <si>
    <t>NO RESPONSE</t>
  </si>
  <si>
    <t>2000-012609</t>
  </si>
  <si>
    <t>RFA-P (00-005)</t>
  </si>
  <si>
    <t>DBEDT-HTA</t>
  </si>
  <si>
    <t>EVAL. CRITERIA</t>
  </si>
  <si>
    <t>2000-020203</t>
  </si>
  <si>
    <t>RFA-P (00-006)</t>
  </si>
  <si>
    <t>CLASSIFICATION CODING</t>
  </si>
  <si>
    <t>2000-020403</t>
  </si>
  <si>
    <t>RFA-P (00-007)</t>
  </si>
  <si>
    <t>2000-020902</t>
  </si>
  <si>
    <t>RFA-P (00-008)</t>
  </si>
  <si>
    <t>CHRONOLOGY OF OIP ACTIONS</t>
  </si>
  <si>
    <t>HOUSING AND FINANCE &amp; DEV.'T CORP.</t>
  </si>
  <si>
    <t>2000-020801</t>
  </si>
  <si>
    <t>RFO (00-002)</t>
  </si>
  <si>
    <t>OMBUDSMAN</t>
  </si>
  <si>
    <t>2000-020707</t>
  </si>
  <si>
    <t>HB2466</t>
  </si>
  <si>
    <t>ESCROW DEPOSITORIES (COMP. BILL SB2807)</t>
  </si>
  <si>
    <t>2000-020404</t>
  </si>
  <si>
    <t>EXPLAIN 98-3</t>
  </si>
  <si>
    <t>2000-020804</t>
  </si>
  <si>
    <t>RFA-G (00-001)</t>
  </si>
  <si>
    <t>DLNR/NC-HON</t>
  </si>
  <si>
    <t>2000-011802</t>
  </si>
  <si>
    <t>GOV.</t>
  </si>
  <si>
    <t>2000-012115</t>
  </si>
  <si>
    <t>RFA-P (00-003)</t>
  </si>
  <si>
    <t>BLANK EMPLOYMENT APPLICATION</t>
  </si>
  <si>
    <t>DENIAL</t>
  </si>
  <si>
    <t>2000-021501</t>
  </si>
  <si>
    <t>RFA-P (00-009)</t>
  </si>
  <si>
    <t>INVEST. REPORT</t>
  </si>
  <si>
    <t>2000-021701</t>
  </si>
  <si>
    <t>RFA-P (00-010)</t>
  </si>
  <si>
    <t>RUSSI INVESTIGATION FILE</t>
  </si>
  <si>
    <t>RISK MANAGEMENT OFFICE</t>
  </si>
  <si>
    <t>2000-022202</t>
  </si>
  <si>
    <t>STORY ON AGENCY OBLIGATIONS</t>
  </si>
  <si>
    <t>2000-011803</t>
  </si>
  <si>
    <t>AGENCIES OBLIGATIONS</t>
  </si>
  <si>
    <t>2000-022401</t>
  </si>
  <si>
    <t>92F</t>
  </si>
  <si>
    <t>2000-022501</t>
  </si>
  <si>
    <t>RFA-P (00-011)</t>
  </si>
  <si>
    <t>2000-022801</t>
  </si>
  <si>
    <t>RFO-M (00-001)</t>
  </si>
  <si>
    <t>PUBLIC COMMENT</t>
  </si>
  <si>
    <t>LIMITATION</t>
  </si>
  <si>
    <t>2000-030702</t>
  </si>
  <si>
    <t>PHONE LOG</t>
  </si>
  <si>
    <t>Civil No. 00-1-0010</t>
  </si>
  <si>
    <t>2000-030703</t>
  </si>
  <si>
    <t>Civ. No. 00-1-0035</t>
  </si>
  <si>
    <t>2000-030801</t>
  </si>
  <si>
    <t>RFA-P (00-013)</t>
  </si>
  <si>
    <t>2000-030701</t>
  </si>
  <si>
    <t>RFA-P (00-012)</t>
  </si>
  <si>
    <t>PROS ATTY- HON</t>
  </si>
  <si>
    <t>TELEPHONE CALLS</t>
  </si>
  <si>
    <t>2000-030901</t>
  </si>
  <si>
    <t>RFA-P (00-014)</t>
  </si>
  <si>
    <t>PAROLE HEARING TRANSCRIPTS</t>
  </si>
  <si>
    <t>2000-031001</t>
  </si>
  <si>
    <t>RFA-P (00-015)</t>
  </si>
  <si>
    <t>EMPLOYMENT INFORMATION</t>
  </si>
  <si>
    <t>2000-031002</t>
  </si>
  <si>
    <t>RFA-P (00-016)</t>
  </si>
  <si>
    <t>REAL PROPERTY ASSESSMENT 2000</t>
  </si>
  <si>
    <t>GLF/JEC</t>
  </si>
  <si>
    <t>2000-031401</t>
  </si>
  <si>
    <t>RFA-P (00-017)</t>
  </si>
  <si>
    <t>HEALTH CARE PROVIDER</t>
  </si>
  <si>
    <t>PRISONER HEALTH</t>
  </si>
  <si>
    <t>2000-031501</t>
  </si>
  <si>
    <t>RFA-P (00-051)</t>
  </si>
  <si>
    <t>ACCESS PUBLIC INFO.</t>
  </si>
  <si>
    <t>SEGREATION/WAIVER OF FEES</t>
  </si>
  <si>
    <t>2000-032202</t>
  </si>
  <si>
    <t>RFA-G (00-002)</t>
  </si>
  <si>
    <t>CHOW PROJECT</t>
  </si>
  <si>
    <t>2000-032801</t>
  </si>
  <si>
    <t>RFA-P (00-018)</t>
  </si>
  <si>
    <t>KAILUA BAY ADVISORY COUNCIL</t>
  </si>
  <si>
    <t>2000-040301</t>
  </si>
  <si>
    <t>RECORDS RE: POLICY DEVELOPMENT</t>
  </si>
  <si>
    <t>2000-033101</t>
  </si>
  <si>
    <t>RFA-P (00-019)</t>
  </si>
  <si>
    <t>CORPORATION</t>
  </si>
  <si>
    <t>RECORDS CORRECTION</t>
  </si>
  <si>
    <t>2000-020401</t>
  </si>
  <si>
    <t>RFA-P (00-020)</t>
  </si>
  <si>
    <t>DENIAL OF ACCESS; GOVT. RECORDS</t>
  </si>
  <si>
    <t>2000-041001</t>
  </si>
  <si>
    <t>RFA-P (00-021)</t>
  </si>
  <si>
    <t>ACCESSD PERSONAL RECORDS</t>
  </si>
  <si>
    <t>2000-041101</t>
  </si>
  <si>
    <t>RFA-P (00-022)</t>
  </si>
  <si>
    <t>2000-041401</t>
  </si>
  <si>
    <t>RFA-P (00-023)</t>
  </si>
  <si>
    <t>STATISTICS REPORT ON FIREARMS</t>
  </si>
  <si>
    <t>2000-041403</t>
  </si>
  <si>
    <t>RFA-P (00-024)</t>
  </si>
  <si>
    <t>EAST MAUI WATERSHED</t>
  </si>
  <si>
    <t>2000-041902</t>
  </si>
  <si>
    <t>RFA-G (00-003)</t>
  </si>
  <si>
    <t>AUDIT OF OHA</t>
  </si>
  <si>
    <t>2000-042401</t>
  </si>
  <si>
    <t>RFA-P (00-026)</t>
  </si>
  <si>
    <t>PROS ATTY-H</t>
  </si>
  <si>
    <t>SHOW CAUSE ORDER</t>
  </si>
  <si>
    <t>COMMUNICATIONS</t>
  </si>
  <si>
    <t>2000-042402</t>
  </si>
  <si>
    <t>RFA-P (00-027)</t>
  </si>
  <si>
    <t>HPD LETTER</t>
  </si>
  <si>
    <t>EXPIRED SAFETY STICKERS</t>
  </si>
  <si>
    <t>2000-042501</t>
  </si>
  <si>
    <t>RFA-P (00-028)</t>
  </si>
  <si>
    <t>AUDIOTAPE</t>
  </si>
  <si>
    <t>CIV. NO. 99-2008-05</t>
  </si>
  <si>
    <t>2000-042701</t>
  </si>
  <si>
    <t>RFA-P (00-029)</t>
  </si>
  <si>
    <t>BREACH OF CONFIDENTIALITY</t>
  </si>
  <si>
    <t>2000-042601</t>
  </si>
  <si>
    <t>RFO-P (00-001)</t>
  </si>
  <si>
    <t>PRESENTENCE REPORTS</t>
  </si>
  <si>
    <t>CORRECT INFORMATION</t>
  </si>
  <si>
    <t>2000-050903</t>
  </si>
  <si>
    <t>RFO (00-004)</t>
  </si>
  <si>
    <t>CONSENT DECREE ENTITIES</t>
  </si>
  <si>
    <t>GOVT. AGENCIES</t>
  </si>
  <si>
    <t>2000-040701</t>
  </si>
  <si>
    <t>RFO (00-003)</t>
  </si>
  <si>
    <t>NEGOTIATED SETTLEMENT</t>
  </si>
  <si>
    <t>EEOC CONFIDENTIALITY PROVISIONS</t>
  </si>
  <si>
    <t>JEC/GLF/SRK</t>
  </si>
  <si>
    <t>2000-050901</t>
  </si>
  <si>
    <t>RFA-P (00-030)</t>
  </si>
  <si>
    <t>TESTIFYING &amp; BUDGET HEARINGS</t>
  </si>
  <si>
    <t>TIME LIMIT ON TESTIMONY</t>
  </si>
  <si>
    <t>2000-050902</t>
  </si>
  <si>
    <t>ACT 87</t>
  </si>
  <si>
    <t>2000-051602</t>
  </si>
  <si>
    <t>RFA-M (00-002)</t>
  </si>
  <si>
    <t>AGENDA FOR COUNTY COUNCIL</t>
  </si>
  <si>
    <t>NOTICE OF MEETINGS</t>
  </si>
  <si>
    <t>2000-051901</t>
  </si>
  <si>
    <t>RFA-P (00-031)</t>
  </si>
  <si>
    <t>AUDIO TAPE RECORDING</t>
  </si>
  <si>
    <t>INS. CARRIER</t>
  </si>
  <si>
    <t>2000-052201</t>
  </si>
  <si>
    <t>RFA-P (00-032)</t>
  </si>
  <si>
    <t>PRIVACY VIOLATION</t>
  </si>
  <si>
    <t>2000-060601</t>
  </si>
  <si>
    <t>RFA-P (00-033)</t>
  </si>
  <si>
    <t>DOCUMENTATION RE: HIRING</t>
  </si>
  <si>
    <t>2000-060901</t>
  </si>
  <si>
    <t>CH. 323C, HRS</t>
  </si>
  <si>
    <t>2000-060801</t>
  </si>
  <si>
    <t>RFA-P (00-034)</t>
  </si>
  <si>
    <t>EXECUTIVE MEETINGS</t>
  </si>
  <si>
    <t>2000-061301</t>
  </si>
  <si>
    <t>HSBA DIRECTORY &amp; PHONE BOOK</t>
  </si>
  <si>
    <t>CURRENT VERSIONS</t>
  </si>
  <si>
    <t>2000-090601</t>
  </si>
  <si>
    <t>RFO (00-005)</t>
  </si>
  <si>
    <t>CONTINUED MEETING</t>
  </si>
  <si>
    <t>2000-062001</t>
  </si>
  <si>
    <t>RFA-G (00-004)</t>
  </si>
  <si>
    <t>PRIVACY STATEMENT</t>
  </si>
  <si>
    <t>WEB SITE</t>
  </si>
  <si>
    <t>2000-062602</t>
  </si>
  <si>
    <t>RFA-G (00-006)</t>
  </si>
  <si>
    <t>DESIGNATING BENEFICIARY</t>
  </si>
  <si>
    <t>2000-062601</t>
  </si>
  <si>
    <t>RFO (00-008)</t>
  </si>
  <si>
    <t>VISION TEAMS</t>
  </si>
  <si>
    <t>2000-062201</t>
  </si>
  <si>
    <t>HEALTHY HAWAII INITIATIVE</t>
  </si>
  <si>
    <t>DATA WAREHOUSING</t>
  </si>
  <si>
    <t>2000-051701</t>
  </si>
  <si>
    <t>TOLL FREE NUMBERS</t>
  </si>
  <si>
    <t>2000-062701</t>
  </si>
  <si>
    <t>PROPERTY OWNERSHIP RECORDS</t>
  </si>
  <si>
    <t>2000-062002</t>
  </si>
  <si>
    <t>FEDERAL AGENCY</t>
  </si>
  <si>
    <t>2000-062202</t>
  </si>
  <si>
    <t>RFA-G (00-005)</t>
  </si>
  <si>
    <t>REL PROP. ASSESSMENT DIV.</t>
  </si>
  <si>
    <t>ITNERNET &amp; PRIVACY</t>
  </si>
  <si>
    <t>2000-070201</t>
  </si>
  <si>
    <t>FOYTIK V. DHS Civil No. 00-1-2059-06</t>
  </si>
  <si>
    <t>OIP OP. LTR. 00-02</t>
  </si>
  <si>
    <t>2000-062902</t>
  </si>
  <si>
    <t>RFO (00-007)</t>
  </si>
  <si>
    <t>MAYOR-K</t>
  </si>
  <si>
    <t>MAYOR'S POLICIES</t>
  </si>
  <si>
    <t>2000-062801</t>
  </si>
  <si>
    <t>RFO (00-006)</t>
  </si>
  <si>
    <t>DCD HEARINGS</t>
  </si>
  <si>
    <t>APPLICABILITY OF CH 323C</t>
  </si>
  <si>
    <t>2000-062301</t>
  </si>
  <si>
    <t>NIC PRIVACY INITIATIVE</t>
  </si>
  <si>
    <t>E-GOV PRIVACY ISSUES</t>
  </si>
  <si>
    <t>2000-070601</t>
  </si>
  <si>
    <t>2000-071001</t>
  </si>
  <si>
    <t>CH323C, HRS</t>
  </si>
  <si>
    <t>2000-062302</t>
  </si>
  <si>
    <t>RFA-P (00-035)</t>
  </si>
  <si>
    <t>CABLE TV DIVISION</t>
  </si>
  <si>
    <t>2000-071801</t>
  </si>
  <si>
    <t>DRAFT BILL</t>
  </si>
  <si>
    <t>FAX RECORDS</t>
  </si>
  <si>
    <t>2000-071901</t>
  </si>
  <si>
    <t>LYL</t>
  </si>
  <si>
    <t>2000-072701</t>
  </si>
  <si>
    <t>DPP-HON</t>
  </si>
  <si>
    <t>ANONYMOUS COMPLAINT</t>
  </si>
  <si>
    <t>NAMES &amp; ADDRESSES</t>
  </si>
  <si>
    <t>2000-080401</t>
  </si>
  <si>
    <t>RFA-P (00-036)</t>
  </si>
  <si>
    <t>LETTERS</t>
  </si>
  <si>
    <t>STATEMENTS ABOUT REQUESTER</t>
  </si>
  <si>
    <t>2000-073101</t>
  </si>
  <si>
    <t>RFA-G (00-008)</t>
  </si>
  <si>
    <t>PHI AND LAB Decisions</t>
  </si>
  <si>
    <t>2000-080801</t>
  </si>
  <si>
    <t>RFA-P (00-037)</t>
  </si>
  <si>
    <t>PARKING CITATIONS</t>
  </si>
  <si>
    <t>APPLICATIONS FOR HANDICAPPED PARKING</t>
  </si>
  <si>
    <t>2000-080802</t>
  </si>
  <si>
    <t>RFA-M (00-012)</t>
  </si>
  <si>
    <t>TRANS-H</t>
  </si>
  <si>
    <t>NOTICES OF MEETINGS</t>
  </si>
  <si>
    <t>AGENDAS</t>
  </si>
  <si>
    <t>2000-081602</t>
  </si>
  <si>
    <t>RFA-P (00-043)</t>
  </si>
  <si>
    <t>2000-082302</t>
  </si>
  <si>
    <t>2000-082301</t>
  </si>
  <si>
    <t>2000-082303</t>
  </si>
  <si>
    <t>2000-082101</t>
  </si>
  <si>
    <t>RFA-P (00-040)</t>
  </si>
  <si>
    <t>2000-082102</t>
  </si>
  <si>
    <t>RFA-P (00-039)</t>
  </si>
  <si>
    <t>2000-081701</t>
  </si>
  <si>
    <t>RFA-P (00-038)</t>
  </si>
  <si>
    <t>IMPROPER MEETINGS</t>
  </si>
  <si>
    <t>2000-082802</t>
  </si>
  <si>
    <t>RFA-P (00-041)</t>
  </si>
  <si>
    <t>RECORDS REQUEST</t>
  </si>
  <si>
    <t>2000-082901</t>
  </si>
  <si>
    <t>RFA-G (00-009)</t>
  </si>
  <si>
    <t>FED</t>
  </si>
  <si>
    <t>DISC TO FED GOVT.                                                                           Cancelled -Double to Record No. 5541 Assigned to JZB</t>
  </si>
  <si>
    <t>2000-090101</t>
  </si>
  <si>
    <t>RFA-P (00-042)</t>
  </si>
  <si>
    <t>SEC. 353- 31 REVOLVING FUND</t>
  </si>
  <si>
    <t>PSD FINANCIAL STATEMENTS</t>
  </si>
  <si>
    <t>RFA-G (00-010)</t>
  </si>
  <si>
    <t>SOCIAL SECURITY NUMBER</t>
  </si>
  <si>
    <t>MILITARY PAY GRADE, QUARANTINE</t>
  </si>
  <si>
    <t>2000-091803</t>
  </si>
  <si>
    <t>RFA-G (00-011)</t>
  </si>
  <si>
    <t>BARKING COMPLAINT LOG</t>
  </si>
  <si>
    <t>REDACTION</t>
  </si>
  <si>
    <t>2000-091802</t>
  </si>
  <si>
    <t>SOCIAL SECURITY ELIGIBILITY</t>
  </si>
  <si>
    <t>2000-091901</t>
  </si>
  <si>
    <t>RFA-G (00-012)</t>
  </si>
  <si>
    <t>DHS-OYS</t>
  </si>
  <si>
    <t>QUARTERLY EXPENDITURE REPORTS</t>
  </si>
  <si>
    <t>SEE:  RFO-G (05-025)</t>
  </si>
  <si>
    <t>2000-091503</t>
  </si>
  <si>
    <t>CHAPTER 323C, H.R.S.</t>
  </si>
  <si>
    <t>2000-091504</t>
  </si>
  <si>
    <t>2000-100501</t>
  </si>
  <si>
    <t>RFA-P (00-044)</t>
  </si>
  <si>
    <t>SURVEILLANCE TAPE</t>
  </si>
  <si>
    <t>ACCESS, RETENTION, DESTRUCTION</t>
  </si>
  <si>
    <t>2000-101101</t>
  </si>
  <si>
    <t>RFA-P (00-045)</t>
  </si>
  <si>
    <t>Censure of Employee</t>
  </si>
  <si>
    <t>2000-101102</t>
  </si>
  <si>
    <t>HOSPITALS</t>
  </si>
  <si>
    <t>RULES &amp; REG</t>
  </si>
  <si>
    <t>2000-101801</t>
  </si>
  <si>
    <t>RFA-P (00-050)</t>
  </si>
  <si>
    <t>CHILD ABUSE</t>
  </si>
  <si>
    <t>2000-101802</t>
  </si>
  <si>
    <t>RFA-P (00-046)</t>
  </si>
  <si>
    <t>BOE</t>
  </si>
  <si>
    <t>EXECUTIVE MINUTES</t>
  </si>
  <si>
    <t>2000-101803</t>
  </si>
  <si>
    <t>U RFA-P 00-047</t>
  </si>
  <si>
    <t>ON-THE-JOB TRAINING CONTRACTS</t>
  </si>
  <si>
    <t>PERSONAL INFO.</t>
  </si>
  <si>
    <t>2000-110102</t>
  </si>
  <si>
    <t>PROPOSED GUIDELINES</t>
  </si>
  <si>
    <t>2000-073102</t>
  </si>
  <si>
    <t>2000-111301</t>
  </si>
  <si>
    <t>RFA-M (00-004)</t>
  </si>
  <si>
    <t>HTA</t>
  </si>
  <si>
    <t>2000-111302</t>
  </si>
  <si>
    <t>RFO-P (00-002)</t>
  </si>
  <si>
    <t>SUBPOENA OF HPD RECORDS</t>
  </si>
  <si>
    <t>MOTION TO QUASH</t>
  </si>
  <si>
    <t>JEC/JZB/GLF</t>
  </si>
  <si>
    <t>2000-110601</t>
  </si>
  <si>
    <t>CELL TOWERS</t>
  </si>
  <si>
    <t>2000-112202</t>
  </si>
  <si>
    <t>SERVICES OFFERED</t>
  </si>
  <si>
    <t>2000-112701</t>
  </si>
  <si>
    <t>RFA-P (00-048)</t>
  </si>
  <si>
    <t>REDUCTION OF MINIMUM APPLICATION</t>
  </si>
  <si>
    <t>2000-111701</t>
  </si>
  <si>
    <t>2000-121101</t>
  </si>
  <si>
    <t>RFO (00-009)</t>
  </si>
  <si>
    <t>MV ACCIDENT REPORTS</t>
  </si>
  <si>
    <t>2000-122601</t>
  </si>
  <si>
    <t>SEX OFFENDERS</t>
  </si>
  <si>
    <t>PUBLIC INFORMATION</t>
  </si>
  <si>
    <t>2000-122901</t>
  </si>
  <si>
    <t>RFA-P (00-049)</t>
  </si>
  <si>
    <t>TUBERCULOSIS OUTBREAK</t>
  </si>
  <si>
    <t>OCCC</t>
  </si>
  <si>
    <t>2001-010201</t>
  </si>
  <si>
    <t>INMATE MEDICAL CARE OF HEPATITIS C</t>
  </si>
  <si>
    <t>HPA-MEDICAL POLICY</t>
  </si>
  <si>
    <t>2001-011701</t>
  </si>
  <si>
    <t>RFA-P (01-001)</t>
  </si>
  <si>
    <t>INVESTIGATION OF COMPLAINT</t>
  </si>
  <si>
    <t>JET SKI</t>
  </si>
  <si>
    <t>2001-011811</t>
  </si>
  <si>
    <t>REQ. FOR INFO</t>
  </si>
  <si>
    <t>2001-012219</t>
  </si>
  <si>
    <t>RFA-P (01-002)</t>
  </si>
  <si>
    <t>TRAFFIC VIOLATIONS BUREAU</t>
  </si>
  <si>
    <t>CITATION DOCUMENTS</t>
  </si>
  <si>
    <t>CMD/GLF/SRK</t>
  </si>
  <si>
    <t>2001-012405</t>
  </si>
  <si>
    <t>SID INFO</t>
  </si>
  <si>
    <t>2001-012406</t>
  </si>
  <si>
    <t>APPEALS</t>
  </si>
  <si>
    <t>2001-012407</t>
  </si>
  <si>
    <t>MAUI INTERSCHOLASTIC LEAGUE</t>
  </si>
  <si>
    <t>JURISDICTION
SEE:  RFO-G (05-026)</t>
  </si>
  <si>
    <t>2001-012901</t>
  </si>
  <si>
    <t>RFA-P (01-003)</t>
  </si>
  <si>
    <t>DENTAL HEALTH DIVISION</t>
  </si>
  <si>
    <t>FLUORIDATION STATS</t>
  </si>
  <si>
    <t>2001-012620</t>
  </si>
  <si>
    <t>INVEST. SENTENCING PROCEDURES</t>
  </si>
  <si>
    <t>2001-012621</t>
  </si>
  <si>
    <t>STATE V. GUIDRY</t>
  </si>
  <si>
    <t>S.CT. NO. 22727</t>
  </si>
  <si>
    <t>2001-011913</t>
  </si>
  <si>
    <t>RFA-G (01-001)</t>
  </si>
  <si>
    <t>BARGAINING UNIT AGREEMENT</t>
  </si>
  <si>
    <t>SUPERCEDES UIPA</t>
  </si>
  <si>
    <t>2001-012420</t>
  </si>
  <si>
    <t>REVIEW LRB REPORT</t>
  </si>
  <si>
    <t>ANNUAL REPORTS</t>
  </si>
  <si>
    <t>2001-020605</t>
  </si>
  <si>
    <t>RFA-G (01-002)</t>
  </si>
  <si>
    <t>OKYS</t>
  </si>
  <si>
    <t>STRATEGIC PLAN REPORT</t>
  </si>
  <si>
    <t>2001-020604</t>
  </si>
  <si>
    <t>DISCLOSURE OF HOME ADDRESS</t>
  </si>
  <si>
    <t>OBTAINING PRIVATE INFORMATION</t>
  </si>
  <si>
    <t>2001-020603</t>
  </si>
  <si>
    <t>RFA-P (01-004)</t>
  </si>
  <si>
    <t>ADULT MENTAL HEALTH DIVISIONS</t>
  </si>
  <si>
    <t>CONTRACTS</t>
  </si>
  <si>
    <t>2001-020215</t>
  </si>
  <si>
    <t>DPW-H</t>
  </si>
  <si>
    <t>REQ. FOR DOC'S</t>
  </si>
  <si>
    <t>2001-020702</t>
  </si>
  <si>
    <t>RFA-P (01-005)</t>
  </si>
  <si>
    <t>E'EE DATA DISCLOSURE</t>
  </si>
  <si>
    <t>2001-021204</t>
  </si>
  <si>
    <t>RFA-G (01-003)</t>
  </si>
  <si>
    <t>COUNCIL HOSTING STATE LEGISLATURE</t>
  </si>
  <si>
    <t>STATE ISSUES AFFECTING MAUI COUNTY</t>
  </si>
  <si>
    <t>2001-021203</t>
  </si>
  <si>
    <t>CONVICTION RECORDS</t>
  </si>
  <si>
    <t>2001-021402</t>
  </si>
  <si>
    <t>DELAYING EFFECTIVE DATE OF 323C</t>
  </si>
  <si>
    <t>2001-021401</t>
  </si>
  <si>
    <t>RFA-P (01-006)</t>
  </si>
  <si>
    <t>WRITTEN DECISION</t>
  </si>
  <si>
    <t>2001-022001</t>
  </si>
  <si>
    <t>HB0857</t>
  </si>
  <si>
    <t>CHIEF INFO. OFFICER (COMP. HB616, SB1092)</t>
  </si>
  <si>
    <t>2001-022003</t>
  </si>
  <si>
    <t>RFA-P (01-007)</t>
  </si>
  <si>
    <t>DIRECTIVES; WITNESSES; COMPLAINTS</t>
  </si>
  <si>
    <t>DIRECTIVES; ARREST</t>
  </si>
  <si>
    <t>2001-021501</t>
  </si>
  <si>
    <t>2001-022102</t>
  </si>
  <si>
    <t>ACCESS TO COURT RECORDS</t>
  </si>
  <si>
    <t>AUDIO RECORDINGS OF TRIALS</t>
  </si>
  <si>
    <t>2001-022603</t>
  </si>
  <si>
    <t>RFA-P (01-008)</t>
  </si>
  <si>
    <t>DECISIONS &amp; ORDERS - CD ROM</t>
  </si>
  <si>
    <t>2001-022104</t>
  </si>
  <si>
    <t>RFO (01-008)</t>
  </si>
  <si>
    <t>AGENCY - ADLRO</t>
  </si>
  <si>
    <t>2001-022801</t>
  </si>
  <si>
    <t>RFA-P (01-009)</t>
  </si>
  <si>
    <t>ASSISTANCE</t>
  </si>
  <si>
    <t>2001-022105</t>
  </si>
  <si>
    <t>UIPA-G</t>
  </si>
  <si>
    <t>DHHS RRS REPORT</t>
  </si>
  <si>
    <t>2001-030702</t>
  </si>
  <si>
    <t>ALOHA CARE V. DHHS</t>
  </si>
  <si>
    <t>2001-030703</t>
  </si>
  <si>
    <t>UIPA REQUEST FORMS</t>
  </si>
  <si>
    <t>2001-030704</t>
  </si>
  <si>
    <t>RFA-P (01-010)</t>
  </si>
  <si>
    <t>MO</t>
  </si>
  <si>
    <t>DEER POACHING COMPLAINT</t>
  </si>
  <si>
    <t>2001-031901</t>
  </si>
  <si>
    <t>RFA-P (01-013)</t>
  </si>
  <si>
    <t>2001-031604</t>
  </si>
  <si>
    <t>2001-031602</t>
  </si>
  <si>
    <t>RFA-P (01-011)</t>
  </si>
  <si>
    <t>CERTIFIED PAYROLL AFFIDAVITS</t>
  </si>
  <si>
    <t>2001-031603</t>
  </si>
  <si>
    <t>RFA-P (01-012)</t>
  </si>
  <si>
    <t>TAXICAB DRIVER CERTIFICATE</t>
  </si>
  <si>
    <t>2001-031601</t>
  </si>
  <si>
    <t>REVIEW DIRECTIVE 01-01</t>
  </si>
  <si>
    <t>2001-031301</t>
  </si>
  <si>
    <t>92F-26 RULES</t>
  </si>
  <si>
    <t>2001-030701</t>
  </si>
  <si>
    <t>1999-020506</t>
  </si>
  <si>
    <t>CORP COUNSEL'S LTR. TO OIP</t>
  </si>
  <si>
    <t>2001-032701</t>
  </si>
  <si>
    <t>PRIVACY RIGHTS</t>
  </si>
  <si>
    <t>2001-032001</t>
  </si>
  <si>
    <t>RFO (01-001)</t>
  </si>
  <si>
    <t>PUBLIC TESTIMONY</t>
  </si>
  <si>
    <t>PRIVACY OF 3RD PARTIES</t>
  </si>
  <si>
    <t>2001-032704</t>
  </si>
  <si>
    <t>RFA-P (01-014)</t>
  </si>
  <si>
    <t>PRIVACY-EMPLOYEE</t>
  </si>
  <si>
    <t>2001-040501</t>
  </si>
  <si>
    <t>TIMELY DISCLOSURE</t>
  </si>
  <si>
    <t>2001-040301</t>
  </si>
  <si>
    <t>RFA-P (01-015)</t>
  </si>
  <si>
    <t>2001-041101</t>
  </si>
  <si>
    <t>ELECTRONIC RECORDS RETENTION &amp; DISPOSITION</t>
  </si>
  <si>
    <t>POLICIES &amp; GUIDELINES</t>
  </si>
  <si>
    <t>2001-032102</t>
  </si>
  <si>
    <t>RESEARCH</t>
  </si>
  <si>
    <t>JZB/WKP/LLT</t>
  </si>
  <si>
    <t>2001-041102</t>
  </si>
  <si>
    <t>RFO (01-002)</t>
  </si>
  <si>
    <t>FEES FOR RECORDS</t>
  </si>
  <si>
    <t>2001-041103</t>
  </si>
  <si>
    <t>SHARING OF RECORDS</t>
  </si>
  <si>
    <t>MEDICAL DATA</t>
  </si>
  <si>
    <t>2001-041104</t>
  </si>
  <si>
    <t>OFFICERS NAMES</t>
  </si>
  <si>
    <t>2001-041205</t>
  </si>
  <si>
    <t>RFA-P (01-017)</t>
  </si>
  <si>
    <t>DISC. TO RICO</t>
  </si>
  <si>
    <t>MED. RECORDS</t>
  </si>
  <si>
    <t>2001-041204</t>
  </si>
  <si>
    <t>RFA-P (01-016)</t>
  </si>
  <si>
    <t>DUTY TO PROTECT RECORDS</t>
  </si>
  <si>
    <t>2001-041202</t>
  </si>
  <si>
    <t>2001-042501</t>
  </si>
  <si>
    <t>SPJ , COMMON CAUSE V. UH REGENTS</t>
  </si>
  <si>
    <t>CIV. NO. 01-1-001262</t>
  </si>
  <si>
    <t>2001-042601</t>
  </si>
  <si>
    <t>RFA-P (01-018)</t>
  </si>
  <si>
    <t>2001-042701</t>
  </si>
  <si>
    <t>UIPA-D</t>
  </si>
  <si>
    <t>RECORDS NOT MAINTAINED</t>
  </si>
  <si>
    <t>PSD RULES</t>
  </si>
  <si>
    <t>2001-050101</t>
  </si>
  <si>
    <t>RFO (01-003)</t>
  </si>
  <si>
    <t>DBEDT-HTDC</t>
  </si>
  <si>
    <t>E-RECORDS</t>
  </si>
  <si>
    <t>HARD COPY REQUESTS</t>
  </si>
  <si>
    <t>2001-042702</t>
  </si>
  <si>
    <t>RFO (01-004)</t>
  </si>
  <si>
    <t>DISCLOSURE OF ANONYMOUS COMPLAINTS</t>
  </si>
  <si>
    <t>2001-042703</t>
  </si>
  <si>
    <t>RFA-P (01-029)</t>
  </si>
  <si>
    <t>INSTANCES OF CIRCUMCISION</t>
  </si>
  <si>
    <t>PAYMENT-MEDICAID</t>
  </si>
  <si>
    <t>2001-042704</t>
  </si>
  <si>
    <t>MOLOKAI DIST. CT</t>
  </si>
  <si>
    <t>TRIAL AUDIO TAPES</t>
  </si>
  <si>
    <t>2001-051001</t>
  </si>
  <si>
    <t>RFA-P (01-019)</t>
  </si>
  <si>
    <t>B&amp;F-PD</t>
  </si>
  <si>
    <t>2001-051002</t>
  </si>
  <si>
    <t>RFA-P (01-020)</t>
  </si>
  <si>
    <t>2001-051401</t>
  </si>
  <si>
    <t>RFA-P (01-021)</t>
  </si>
  <si>
    <t>MEETING WITH MAYOR</t>
  </si>
  <si>
    <t>2001-0515001</t>
  </si>
  <si>
    <t>RFO-G (01-002)</t>
  </si>
  <si>
    <t>ANONYMOUS TESTIMONY</t>
  </si>
  <si>
    <t>LIABILITY FOR SLANDER, ETC.</t>
  </si>
  <si>
    <t>2001-050901</t>
  </si>
  <si>
    <t>EMPLOYMENT PRACTICES</t>
  </si>
  <si>
    <t>2001-052101</t>
  </si>
  <si>
    <t>RFO (01-005)</t>
  </si>
  <si>
    <t>NAMES OF VOLUNTEERS</t>
  </si>
  <si>
    <t>2001-051801</t>
  </si>
  <si>
    <t>RFA-P (01-022)</t>
  </si>
  <si>
    <t>CORRECTIONAL FACILITY EDUCATION PROGRAMS</t>
  </si>
  <si>
    <t>HHSF</t>
  </si>
  <si>
    <t>2001-051802</t>
  </si>
  <si>
    <t>2001-052103</t>
  </si>
  <si>
    <t>NON UIPA REQUEST</t>
  </si>
  <si>
    <t>2001-052201</t>
  </si>
  <si>
    <t>RFO-G (01-003)</t>
  </si>
  <si>
    <t>GLF/CMD</t>
  </si>
  <si>
    <t>2001-052301</t>
  </si>
  <si>
    <t>ASSISTANCE REQUESTED</t>
  </si>
  <si>
    <t>LIST OF INMATES</t>
  </si>
  <si>
    <t>2001-051803</t>
  </si>
  <si>
    <t>ALLEGED DISCLOSURES</t>
  </si>
  <si>
    <t>2001-052102</t>
  </si>
  <si>
    <t>RFA-P (01-023)</t>
  </si>
  <si>
    <t>EDUCATIONAL PROGRAMS AT WCCC</t>
  </si>
  <si>
    <t>2001-052501</t>
  </si>
  <si>
    <t>2001-060102</t>
  </si>
  <si>
    <t>RFA-P (01-024)</t>
  </si>
  <si>
    <t>INVESTIGATIVE REPORT OF INMATE</t>
  </si>
  <si>
    <t>ALLEGED ESCAPE</t>
  </si>
  <si>
    <t>2001-060401</t>
  </si>
  <si>
    <t>RFA-P (01-025)</t>
  </si>
  <si>
    <t>PRESIDENTS SALARY</t>
  </si>
  <si>
    <t>2001-061401</t>
  </si>
  <si>
    <t>MEDICAL TREATEMENT</t>
  </si>
  <si>
    <t>2001-052104</t>
  </si>
  <si>
    <t>CIGARETTE SALES RECORDS FROM HCF</t>
  </si>
  <si>
    <t>2001-061402</t>
  </si>
  <si>
    <t>RFA-P (01-026)</t>
  </si>
  <si>
    <t>3/23/01 UIPA REQUEST</t>
  </si>
  <si>
    <t>DATE/TIME STAMPED</t>
  </si>
  <si>
    <t>2001-061901</t>
  </si>
  <si>
    <t>RFA-P (01-027)</t>
  </si>
  <si>
    <t>NAME &amp; LOCATION OF INMATES</t>
  </si>
  <si>
    <t>MAINLAND FACILITIES</t>
  </si>
  <si>
    <t>2001-062001</t>
  </si>
  <si>
    <t>RFO (01-006)</t>
  </si>
  <si>
    <t>HHSAA</t>
  </si>
  <si>
    <t>AGENCY SUBJECT TO SUNSHINE
Related Case: RFO 05-026</t>
  </si>
  <si>
    <t>2001-062501</t>
  </si>
  <si>
    <t>RFA-P (01-028)</t>
  </si>
  <si>
    <t>POLICY 7-8-79</t>
  </si>
  <si>
    <t>OCCC LOCKDOWNS</t>
  </si>
  <si>
    <t>2001-062801</t>
  </si>
  <si>
    <t>RFO (01-007)</t>
  </si>
  <si>
    <t>POLICEC-H</t>
  </si>
  <si>
    <t>COMPLAINTS AGAINST OFFICERS</t>
  </si>
  <si>
    <t>COMMISSION MEETINGS</t>
  </si>
  <si>
    <t>2001-052105</t>
  </si>
  <si>
    <t>COUNTY-H</t>
  </si>
  <si>
    <t>SUNSHINE CONF.</t>
  </si>
  <si>
    <t>MTDG/CMD</t>
  </si>
  <si>
    <t>2001-071101</t>
  </si>
  <si>
    <t>RFO (01-009)</t>
  </si>
  <si>
    <t>OFFER OF SETTLEMENT</t>
  </si>
  <si>
    <t>SETTLEMENT PENDING</t>
  </si>
  <si>
    <t>2001-071301</t>
  </si>
  <si>
    <t>WEST HAWAII TODAY</t>
  </si>
  <si>
    <t>DEMAND LETTER</t>
  </si>
  <si>
    <t>2001-071102</t>
  </si>
  <si>
    <t>RFO (01-010)</t>
  </si>
  <si>
    <t>PERS- M</t>
  </si>
  <si>
    <t>SETTLEMENT OF WC CLAIM</t>
  </si>
  <si>
    <t>SIGNIFICANT PRIVACY INTERESTS</t>
  </si>
  <si>
    <t>2001-071701</t>
  </si>
  <si>
    <t>RFA-P (01-037)</t>
  </si>
  <si>
    <t>2001-070501</t>
  </si>
  <si>
    <t>RFA-G (01-004)</t>
  </si>
  <si>
    <t>SHARING SSNS</t>
  </si>
  <si>
    <t>2001-072001</t>
  </si>
  <si>
    <t>UIPA GUIDE TO RECORD REQUESTS</t>
  </si>
  <si>
    <t>2001-072601</t>
  </si>
  <si>
    <t>RFA-P (01-030)</t>
  </si>
  <si>
    <t>REAPPORTIONMENT CMTE</t>
  </si>
  <si>
    <t>2001-072501</t>
  </si>
  <si>
    <t>RFA-P (01-031)</t>
  </si>
  <si>
    <t>PLANNED HIGHWAY MAP</t>
  </si>
  <si>
    <t>NON-DISCLOSURE</t>
  </si>
  <si>
    <t>2001-072701</t>
  </si>
  <si>
    <t>RFA-P (01-032)</t>
  </si>
  <si>
    <t>POLICE CMSN. MINUTES</t>
  </si>
  <si>
    <t>2001-040401</t>
  </si>
  <si>
    <t>RFA-P (01-033)</t>
  </si>
  <si>
    <t>POLICE CHIEF</t>
  </si>
  <si>
    <t>DISCLOSURE OF STATEMENT</t>
  </si>
  <si>
    <t>2001-080301</t>
  </si>
  <si>
    <t>RFA-P (01-034)</t>
  </si>
  <si>
    <t>MAUI MEMORIAL MEDCIAL CENTER</t>
  </si>
  <si>
    <t>EMPLOYEE NAMES</t>
  </si>
  <si>
    <t>2001-080801</t>
  </si>
  <si>
    <t>RFA-M (01-001)</t>
  </si>
  <si>
    <t>MEETING WITH TASK FORCE</t>
  </si>
  <si>
    <t>LIQC. RULES</t>
  </si>
  <si>
    <t>2001-082001</t>
  </si>
  <si>
    <t>RFA-P (01-035)</t>
  </si>
  <si>
    <t>PACIFIC WINGS</t>
  </si>
  <si>
    <t>COORDINATION OF REQUEST W/AG</t>
  </si>
  <si>
    <t>2001-082101</t>
  </si>
  <si>
    <t>RFA-P (01-036)</t>
  </si>
  <si>
    <t>DENIAL OF ACESS</t>
  </si>
  <si>
    <t>2001-083003</t>
  </si>
  <si>
    <t>RFA-G (01-005)</t>
  </si>
  <si>
    <t>COMPLAINT AGAINST CHIEF</t>
  </si>
  <si>
    <t>2001-083002</t>
  </si>
  <si>
    <t>RFA-P (01-038)</t>
  </si>
  <si>
    <t>2001-083001</t>
  </si>
  <si>
    <t>RFO (01-011)</t>
  </si>
  <si>
    <t>UNEMPLOYMENT CLAIM FILES</t>
  </si>
  <si>
    <t>2001-091001</t>
  </si>
  <si>
    <t>EXCESS PROPERTY SURVEY</t>
  </si>
  <si>
    <t>2001-091301</t>
  </si>
  <si>
    <t>RFO (01-012)</t>
  </si>
  <si>
    <t>GOVERNMENT AGENCY, BOARD OR COMM.</t>
  </si>
  <si>
    <t>HOIKE</t>
  </si>
  <si>
    <t>2001-091302</t>
  </si>
  <si>
    <t>CONFIDENTIAL POLICIES</t>
  </si>
  <si>
    <t>2001-091101</t>
  </si>
  <si>
    <t>RFA-P (01-039)</t>
  </si>
  <si>
    <t>FAILURE TO RESPOND TO REQUEST</t>
  </si>
  <si>
    <t>2001-091701</t>
  </si>
  <si>
    <t>RFA-P (01-040)</t>
  </si>
  <si>
    <t>SECURITY AT MAUI MEMORIAL</t>
  </si>
  <si>
    <t>2001-091702</t>
  </si>
  <si>
    <t>RFA-P (01-041)</t>
  </si>
  <si>
    <t>INVESTIGATING DETECTIVES</t>
  </si>
  <si>
    <t>2001-092001</t>
  </si>
  <si>
    <t>RFA-P (01-042)</t>
  </si>
  <si>
    <t>DATA FROM DOT RE: PACIFIC WINGS</t>
  </si>
  <si>
    <t>2001-091703</t>
  </si>
  <si>
    <t>BLOOD SAMPLES RECORDS</t>
  </si>
  <si>
    <t>2001-092002</t>
  </si>
  <si>
    <t>RFA-P (01-043)</t>
  </si>
  <si>
    <t>ASSIST WITH REQUEST</t>
  </si>
  <si>
    <t>MEDICAID</t>
  </si>
  <si>
    <t>2001-092401</t>
  </si>
  <si>
    <t>RFA-P (01-044)</t>
  </si>
  <si>
    <t>RESEARCH RAW DATA</t>
  </si>
  <si>
    <t>HIPAA, UIPA</t>
  </si>
  <si>
    <t>2001-092402</t>
  </si>
  <si>
    <t>RFA-P (01-045)</t>
  </si>
  <si>
    <t>HIRING/SELECTION DATA</t>
  </si>
  <si>
    <t>2001-100101</t>
  </si>
  <si>
    <t>RFA-G (01-006)</t>
  </si>
  <si>
    <t>PUBLIC RECORDS ON INTERNET</t>
  </si>
  <si>
    <t>2001-100501</t>
  </si>
  <si>
    <t>RFA-G (01-007)</t>
  </si>
  <si>
    <t>KAHANA PARK LIVING PARK ACTIVITIES</t>
  </si>
  <si>
    <t>STATE LEASES</t>
  </si>
  <si>
    <t>2001-101501</t>
  </si>
  <si>
    <t>RFO (01-013)</t>
  </si>
  <si>
    <t>REFERENCE CHECKS</t>
  </si>
  <si>
    <t>92F-22(2)</t>
  </si>
  <si>
    <t>2001-102239</t>
  </si>
  <si>
    <t>RFA-P (01-046)</t>
  </si>
  <si>
    <t>BLNR</t>
  </si>
  <si>
    <t>ZONING MEETING INFO</t>
  </si>
  <si>
    <t>2001-102204</t>
  </si>
  <si>
    <t>BLOOD SAMPLE ORDERS</t>
  </si>
  <si>
    <t>2001-102501</t>
  </si>
  <si>
    <t>MAUI MEMORIAL MED. CTR.</t>
  </si>
  <si>
    <t>PHYSICIAN NAMES</t>
  </si>
  <si>
    <t>2001-102901</t>
  </si>
  <si>
    <t>RFO (01-014)</t>
  </si>
  <si>
    <t>IS OHA SUBJECT TO UIPA</t>
  </si>
  <si>
    <t>GOVERNMENT AGENCY</t>
  </si>
  <si>
    <t>2001-102401</t>
  </si>
  <si>
    <t>2001-103101</t>
  </si>
  <si>
    <t>RFA-P (01-047)</t>
  </si>
  <si>
    <t>COMPLAINT RE SPEC ED TRNG</t>
  </si>
  <si>
    <t>GRIEVANCES, HEARING, LITIGATION</t>
  </si>
  <si>
    <t>2001-110101</t>
  </si>
  <si>
    <t>RFA-P (01-048)</t>
  </si>
  <si>
    <t>2001-110102</t>
  </si>
  <si>
    <t>RFA-P (01-049)</t>
  </si>
  <si>
    <t>EMPLOYEE</t>
  </si>
  <si>
    <t>2001-020204</t>
  </si>
  <si>
    <t>RFA-P (01-050)</t>
  </si>
  <si>
    <t>TRANSCRIPT JAN 30 2001</t>
  </si>
  <si>
    <t>2001-110801</t>
  </si>
  <si>
    <t>23 USC 409</t>
  </si>
  <si>
    <t>SUPREME COURT ISSUES</t>
  </si>
  <si>
    <t>2001-110802</t>
  </si>
  <si>
    <t>RFO (01-015)</t>
  </si>
  <si>
    <t>TOBACCO LITIGATION - SPECIAL COUNSEL</t>
  </si>
  <si>
    <t>DENIAL OF ACCESS CLAIMS</t>
  </si>
  <si>
    <t>2001-112001</t>
  </si>
  <si>
    <t>RFA-P (01-051)</t>
  </si>
  <si>
    <t>PUBLIC EMPLOYEES HEALTH FUND</t>
  </si>
  <si>
    <t>2001-112101</t>
  </si>
  <si>
    <t>RFA-P (01-052)</t>
  </si>
  <si>
    <t>INTERNAL REVENUE CODE</t>
  </si>
  <si>
    <t>2001-112301</t>
  </si>
  <si>
    <t>RFA-P (01-053)</t>
  </si>
  <si>
    <t>HPA - RULES AND REGS</t>
  </si>
  <si>
    <t>1981 - PRESENT</t>
  </si>
  <si>
    <t>2001-112801</t>
  </si>
  <si>
    <t>RFO (01-016)</t>
  </si>
  <si>
    <t>ANTHONY PERRY v. UH</t>
  </si>
  <si>
    <t>2001-120601</t>
  </si>
  <si>
    <t>JUROR QUALIFICATION FORMS</t>
  </si>
  <si>
    <t>2001-121101</t>
  </si>
  <si>
    <t>PUBLIC HEALTH EMERGENCIES</t>
  </si>
  <si>
    <t>HTH-26(02)</t>
  </si>
  <si>
    <t>2001-121102</t>
  </si>
  <si>
    <t>RFA-G (01-008)</t>
  </si>
  <si>
    <t>HUMANE SOCIETY - REDACTION OF INFO</t>
  </si>
  <si>
    <t>CHARGES UNDER HAR</t>
  </si>
  <si>
    <t>DATA SHARING RE: ACQUITTALS</t>
  </si>
  <si>
    <t>2001-121203</t>
  </si>
  <si>
    <t>RFA-P (01-054)</t>
  </si>
  <si>
    <t>INTAKE &amp; FINAL DISPOSITION DOGS/CATS</t>
  </si>
  <si>
    <t>JAN 1, 1995, TO NOV. 9, 2001 (See RFA-P (01-039), RFA-P (01-008)</t>
  </si>
  <si>
    <t>2001-121204</t>
  </si>
  <si>
    <t>RFA-P (01-055)</t>
  </si>
  <si>
    <t>INMATE MEDICAL RECORDS</t>
  </si>
  <si>
    <t>2001-121205</t>
  </si>
  <si>
    <t>RFA-P (01-056)</t>
  </si>
  <si>
    <t>KANEOHE BAY PIERS AMNESTY PROGRAM</t>
  </si>
  <si>
    <t>2001-121401</t>
  </si>
  <si>
    <t>2001-121701</t>
  </si>
  <si>
    <t>NAMES OF PHYSICIANS</t>
  </si>
  <si>
    <t>RFA-P (01-057)</t>
  </si>
  <si>
    <t>ADMIN PACKAGE OF LEGISLATION</t>
  </si>
  <si>
    <t>2001-122801</t>
  </si>
  <si>
    <t>RFA-P (01-058)</t>
  </si>
  <si>
    <t>HMSA RECORDS</t>
  </si>
  <si>
    <t>MEDICARE/MEDICAID</t>
  </si>
  <si>
    <t>2001-122401</t>
  </si>
  <si>
    <t>RFA-P (01-059)</t>
  </si>
  <si>
    <t>BUSINESS REGISTRATION DIV.</t>
  </si>
  <si>
    <t>PERSONAL INFO</t>
  </si>
  <si>
    <t>LLT/SRK/WKP</t>
  </si>
  <si>
    <t>2001-123101</t>
  </si>
  <si>
    <t>STATUS OF REQUEST</t>
  </si>
  <si>
    <t>OP LTR 01-05</t>
  </si>
  <si>
    <t>2001-123102</t>
  </si>
  <si>
    <t>RFA-P (01-060)</t>
  </si>
  <si>
    <t>INMATE HOUSING</t>
  </si>
  <si>
    <t>2001-123103</t>
  </si>
  <si>
    <t>RFA-P (01-061)</t>
  </si>
  <si>
    <t>PAYMENTS MADE</t>
  </si>
  <si>
    <t>PINAL COUNTY</t>
  </si>
  <si>
    <t>2002-010201</t>
  </si>
  <si>
    <t>MMMC NURSES NAMES</t>
  </si>
  <si>
    <t>RFA-P 01-034</t>
  </si>
  <si>
    <t>2002-010901</t>
  </si>
  <si>
    <t>UIPA AMENDMENTS</t>
  </si>
  <si>
    <t>INMATE REQUESTS</t>
  </si>
  <si>
    <t>2002-010804</t>
  </si>
  <si>
    <t>UIPA 1/8/02</t>
  </si>
  <si>
    <t>SUNSHINE 1/10/02</t>
  </si>
  <si>
    <t>2001-111901</t>
  </si>
  <si>
    <t>RFA-P (01-062)</t>
  </si>
  <si>
    <t>AIRPORTS DIV</t>
  </si>
  <si>
    <t>2001-111902</t>
  </si>
  <si>
    <t>RFA-P (01-063)</t>
  </si>
  <si>
    <t>ALL RELEVANT DOCUMENTS</t>
  </si>
  <si>
    <t>2002-011101</t>
  </si>
  <si>
    <t>RFO (02-001)</t>
  </si>
  <si>
    <t>MAINTENANCE OF INMATE FILES</t>
  </si>
  <si>
    <t>INFO FROM PRIVATE PRISONS</t>
  </si>
  <si>
    <t>2002-011501</t>
  </si>
  <si>
    <t>RFA-G (02-001)</t>
  </si>
  <si>
    <t>KANEOHE ELEMENTARY</t>
  </si>
  <si>
    <t>TEST MATERIALS</t>
  </si>
  <si>
    <t>2002-011502</t>
  </si>
  <si>
    <t>NO RESPONSE FOR REQUEST FOR RECORDS</t>
  </si>
  <si>
    <t>2002-012308</t>
  </si>
  <si>
    <t>RFA-P (02-001)</t>
  </si>
  <si>
    <t>2002-012309</t>
  </si>
  <si>
    <t>RFA-P (02-002)</t>
  </si>
  <si>
    <t>2002-012911</t>
  </si>
  <si>
    <t>REVIEW GRS UPDATE</t>
  </si>
  <si>
    <t>2002-012912</t>
  </si>
  <si>
    <t>RFA-G (02-002)</t>
  </si>
  <si>
    <t>PAROLE HEARING TAPE</t>
  </si>
  <si>
    <t>2002-020403</t>
  </si>
  <si>
    <t>RFA-G (02-003)</t>
  </si>
  <si>
    <t>HAWAII JUSTICE FOUNDATION</t>
  </si>
  <si>
    <t>2002-020404</t>
  </si>
  <si>
    <t>RFA-M (02-001)</t>
  </si>
  <si>
    <t>INDIVIDUALS ALLOWED</t>
  </si>
  <si>
    <t>2002-021501</t>
  </si>
  <si>
    <t>RFA-P (02-003)</t>
  </si>
  <si>
    <t>BOARD OF DENTAL EXAMINERS</t>
  </si>
  <si>
    <t>CREDENTIALS</t>
  </si>
  <si>
    <t>2002-022003</t>
  </si>
  <si>
    <t>HB 2564 &amp; COMPANION</t>
  </si>
  <si>
    <t>OIP TESTIMONY</t>
  </si>
  <si>
    <t>2002-022201</t>
  </si>
  <si>
    <t>GENERAL</t>
  </si>
  <si>
    <t>SB0313</t>
  </si>
  <si>
    <t>BOARDS &amp; COMMISSIONS</t>
  </si>
  <si>
    <t>2002-022501</t>
  </si>
  <si>
    <t>RFA-P (02-004)</t>
  </si>
  <si>
    <t>THREATS</t>
  </si>
  <si>
    <t>2002-022502</t>
  </si>
  <si>
    <t>HB 2840</t>
  </si>
  <si>
    <t>STATE GOVERNMENT</t>
  </si>
  <si>
    <t>2002-022601</t>
  </si>
  <si>
    <t>SB2810(COMP HB2552)</t>
  </si>
  <si>
    <t>SAFE HARBOR</t>
  </si>
  <si>
    <t>2002-022602</t>
  </si>
  <si>
    <t>HB2552(COMPSB2810)</t>
  </si>
  <si>
    <t>2002-022603</t>
  </si>
  <si>
    <t>HB2524 (COMP. SB 2782)</t>
  </si>
  <si>
    <t>HOSPITAL LICENSING</t>
  </si>
  <si>
    <t>2002-022604</t>
  </si>
  <si>
    <t>SB 2782 (COMP. 2524)</t>
  </si>
  <si>
    <t>2002-022701</t>
  </si>
  <si>
    <t>SB2360(COMP.HB2601)</t>
  </si>
  <si>
    <t>PUBLIC FINANCIAL DISCLOSURE STATEMENTS</t>
  </si>
  <si>
    <t>2002-022702</t>
  </si>
  <si>
    <t>HB2373(COMP.SB2596)</t>
  </si>
  <si>
    <t>KOKEE STATE PARK</t>
  </si>
  <si>
    <t>2002-022703</t>
  </si>
  <si>
    <t>SB2596(COMP.HB2373)</t>
  </si>
  <si>
    <t>2002-022704</t>
  </si>
  <si>
    <t>SB2668</t>
  </si>
  <si>
    <t>PUBLIC UTILITIES COMMISSION</t>
  </si>
  <si>
    <t>2002-022705</t>
  </si>
  <si>
    <t>HB2834 (COMP.2520)</t>
  </si>
  <si>
    <t>PRESCRIPTION DRUGS</t>
  </si>
  <si>
    <t>2002-022706</t>
  </si>
  <si>
    <t>SB2520 (COMP. HB2834)</t>
  </si>
  <si>
    <t>2002-022605</t>
  </si>
  <si>
    <t>SB2783(COMP.HB2525)</t>
  </si>
  <si>
    <t>PUBLIC WORKS PROJECT</t>
  </si>
  <si>
    <t>2002-022606</t>
  </si>
  <si>
    <t>HB2525(COMP.SB2783)</t>
  </si>
  <si>
    <t>2002-022707</t>
  </si>
  <si>
    <t>HB2669</t>
  </si>
  <si>
    <t>PUBLIC RECORDS</t>
  </si>
  <si>
    <t>2002-022708</t>
  </si>
  <si>
    <t>HB 1824 (COMP.SB2292)</t>
  </si>
  <si>
    <t>UNIFORM ATHLETE AGENTS ACT</t>
  </si>
  <si>
    <t>2002-022709</t>
  </si>
  <si>
    <t>SB2292 (COMP.HB1824)</t>
  </si>
  <si>
    <t>2002-022802</t>
  </si>
  <si>
    <t>RFA-P (02-005)</t>
  </si>
  <si>
    <t>DISCLOSURE STATEMENT</t>
  </si>
  <si>
    <t>ARAKAWA TRIAL</t>
  </si>
  <si>
    <t>2002-030401</t>
  </si>
  <si>
    <t>MAUI MEM MED CTR</t>
  </si>
  <si>
    <t>2002-030402</t>
  </si>
  <si>
    <t>HB 2654</t>
  </si>
  <si>
    <t>GOVERNMENT (SHORT FORM)</t>
  </si>
  <si>
    <t>2002-030601</t>
  </si>
  <si>
    <t>RFA-P (02-006)</t>
  </si>
  <si>
    <t>GOVT RECORDS DENIAL</t>
  </si>
  <si>
    <t>2002-030403</t>
  </si>
  <si>
    <t>RFA-P (02-007)</t>
  </si>
  <si>
    <t>INCIDENT REPORTS</t>
  </si>
  <si>
    <t>2002-031101</t>
  </si>
  <si>
    <t>RFA-P (02-008)</t>
  </si>
  <si>
    <t>DOE-BOE</t>
  </si>
  <si>
    <t>MEETINGS</t>
  </si>
  <si>
    <t>SRK/LLA</t>
  </si>
  <si>
    <t>2002-031102</t>
  </si>
  <si>
    <t>RFA-P (02-009)</t>
  </si>
  <si>
    <t>EXEC.SESSION MINUTES</t>
  </si>
  <si>
    <t>2002-031103</t>
  </si>
  <si>
    <t>SB 3018</t>
  </si>
  <si>
    <t>EDUCATION</t>
  </si>
  <si>
    <t>2002-031104</t>
  </si>
  <si>
    <t>HB 2033</t>
  </si>
  <si>
    <t>2002-031105</t>
  </si>
  <si>
    <t>CLARIFY REQUEST</t>
  </si>
  <si>
    <t>2002-031301</t>
  </si>
  <si>
    <t>RFA-P (02-010)</t>
  </si>
  <si>
    <t>NEW ITEMS ON AGENDA</t>
  </si>
  <si>
    <t>DEED</t>
  </si>
  <si>
    <t>2002-031201</t>
  </si>
  <si>
    <t>LESLIE BROWN V. HCRC</t>
  </si>
  <si>
    <t>CIVIL NO. 02-1-0034</t>
  </si>
  <si>
    <t>2002-031801</t>
  </si>
  <si>
    <t>RFA-P (02-011)</t>
  </si>
  <si>
    <t>REVIEW PARTIAL DENIAL</t>
  </si>
  <si>
    <t>2002-032001</t>
  </si>
  <si>
    <t>SB 2761 SD2 HD1</t>
  </si>
  <si>
    <t>VITAL STATISTICS</t>
  </si>
  <si>
    <t>2002-031401</t>
  </si>
  <si>
    <t>RFA-P (02-012)</t>
  </si>
  <si>
    <t>REQ. DATED JAN. 28 2002</t>
  </si>
  <si>
    <t>2002-031402</t>
  </si>
  <si>
    <t>RFA-P (02-013)</t>
  </si>
  <si>
    <t>2002-032201</t>
  </si>
  <si>
    <t>RFA-P (02-014)</t>
  </si>
  <si>
    <t>INSTITUTIONAL RECORD</t>
  </si>
  <si>
    <t>STATION LOGS</t>
  </si>
  <si>
    <t>2002-032501</t>
  </si>
  <si>
    <t>VIOLATIONS OF 92 HRS</t>
  </si>
  <si>
    <t>2002-032701</t>
  </si>
  <si>
    <t>RFA-G (02-004)</t>
  </si>
  <si>
    <t>NOTICES OF VIOLATION;CORRECTION;ORDER</t>
  </si>
  <si>
    <t>INVESTIGATIVE FILES
(REOPENED UNDER  U RFO-G 06-26)</t>
  </si>
  <si>
    <t>2002-040102</t>
  </si>
  <si>
    <t>RFA-P (02-015)</t>
  </si>
  <si>
    <t>PRIVACY OF MEDICAL RECORDS</t>
  </si>
  <si>
    <t>WORKERS COMPENSATION</t>
  </si>
  <si>
    <t>2002-040201</t>
  </si>
  <si>
    <t>ADDITIONAL DATA REQUIRED</t>
  </si>
  <si>
    <t>2002-032802</t>
  </si>
  <si>
    <t>SCR 56</t>
  </si>
  <si>
    <t>DOH TO DEVELOP STRAT PLAN FOR IMPLEMENTATION OF PATIENT SAFETY AND MEDICAL ERRORS REDUCTION PROGRAM</t>
  </si>
  <si>
    <t>2002-040401</t>
  </si>
  <si>
    <t>REQUESTS FOR INFO</t>
  </si>
  <si>
    <t>INADEQUATE INFO</t>
  </si>
  <si>
    <t>RFA-P (02-016)</t>
  </si>
  <si>
    <t>ENFORCEMENT DIV</t>
  </si>
  <si>
    <t>INCIDENT RECORDS</t>
  </si>
  <si>
    <t>1999-100601</t>
  </si>
  <si>
    <t>DISCLOSURE OF EMPLOYMENT DATA</t>
  </si>
  <si>
    <t>2000-022303</t>
  </si>
  <si>
    <t>IA UNREDACTED REPORT</t>
  </si>
  <si>
    <t>2000-022304</t>
  </si>
  <si>
    <t>IA REPORT</t>
  </si>
  <si>
    <t>OIP RULES ALLEGED VIOLATION</t>
  </si>
  <si>
    <t>2000-022305</t>
  </si>
  <si>
    <t>COPY OF INVESTIGATION</t>
  </si>
  <si>
    <t>2000-022306</t>
  </si>
  <si>
    <t>KONA COMMUNITY HOSPITAL</t>
  </si>
  <si>
    <t>HHSC</t>
  </si>
  <si>
    <t>2001-071702</t>
  </si>
  <si>
    <t>92F-18</t>
  </si>
  <si>
    <t>2000-012111</t>
  </si>
  <si>
    <t>ALL BOARDS</t>
  </si>
  <si>
    <t>EXEC SESSION MINUTES</t>
  </si>
  <si>
    <t>2001-121702</t>
  </si>
  <si>
    <t>2000-020703</t>
  </si>
  <si>
    <t>SENATOR LORRAINE R. INOUYE</t>
  </si>
  <si>
    <t>1998-041701</t>
  </si>
  <si>
    <t>HR-HON</t>
  </si>
  <si>
    <t>UNWARRANTED VIOLATION OF PRIVACY</t>
  </si>
  <si>
    <t>GOVT E'EE'S PRIVACY</t>
  </si>
  <si>
    <t>2002-040801</t>
  </si>
  <si>
    <t>SUNSHINE VIOLATIONS</t>
  </si>
  <si>
    <t>GLORIA BRIDAL CHAPEL</t>
  </si>
  <si>
    <t>2002-032502</t>
  </si>
  <si>
    <t>SCR 15</t>
  </si>
  <si>
    <t>DOH &amp; HAWAIIANS ACCESS TO RECORDS</t>
  </si>
  <si>
    <t>2002-041201</t>
  </si>
  <si>
    <t>GRS REVIEW</t>
  </si>
  <si>
    <t>2000-063001</t>
  </si>
  <si>
    <t>POL-H,CORPCOUN-H</t>
  </si>
  <si>
    <t>POLICE COMMISSION MTGS</t>
  </si>
  <si>
    <t>WKTP</t>
  </si>
  <si>
    <t>2000-022301</t>
  </si>
  <si>
    <t>RETENTION MTGS</t>
  </si>
  <si>
    <t>2000-022302</t>
  </si>
  <si>
    <t>1999-081001</t>
  </si>
  <si>
    <t>FAILURE TO COMPLY WITH UIPA</t>
  </si>
  <si>
    <t>DOH,AG,POLICE-H,CORP COUNSEL-H,JUD</t>
  </si>
  <si>
    <t>2001-071801</t>
  </si>
  <si>
    <t>NATURAL ENERGY LAB</t>
  </si>
  <si>
    <t>2001-113001</t>
  </si>
  <si>
    <t>POLICEC-K</t>
  </si>
  <si>
    <t>WKT</t>
  </si>
  <si>
    <t>2002-032702</t>
  </si>
  <si>
    <t>REQUEST FOR GOVT RECORDS</t>
  </si>
  <si>
    <t>HI COUNTY OFC ON AGING, HI COUNTY PARKS &amp; REC, EXEC OFC ON AGING</t>
  </si>
  <si>
    <t>2000-020705</t>
  </si>
  <si>
    <t>RAYMOND SATO, DAGS COMPTROLLER</t>
  </si>
  <si>
    <t>2001-102502</t>
  </si>
  <si>
    <t>IMPROPER PROCEDURES</t>
  </si>
  <si>
    <t>2002-041801</t>
  </si>
  <si>
    <t>RFA-P (02-017)</t>
  </si>
  <si>
    <t>LOG</t>
  </si>
  <si>
    <t>2002-042602</t>
  </si>
  <si>
    <t>LEGAL DOCUMENTS</t>
  </si>
  <si>
    <t>THIRD CIRCUIT</t>
  </si>
  <si>
    <t>2002-042401</t>
  </si>
  <si>
    <t>ALL-M</t>
  </si>
  <si>
    <t>SUNSHINE TRAINING</t>
  </si>
  <si>
    <t>JETF</t>
  </si>
  <si>
    <t>2002-041802</t>
  </si>
  <si>
    <t>2002-043001</t>
  </si>
  <si>
    <t>INTENT TO FILE UIPA COMPLAINT</t>
  </si>
  <si>
    <t>2002-050201</t>
  </si>
  <si>
    <t>U RFO-G (02-02)</t>
  </si>
  <si>
    <t>MISCONDUCT RECORDS ACO'S</t>
  </si>
  <si>
    <t>LLT/CMD/CLT</t>
  </si>
  <si>
    <t>2002-050601</t>
  </si>
  <si>
    <t>MAIL CENSORSHIP</t>
  </si>
  <si>
    <t>2002-050301</t>
  </si>
  <si>
    <t>OPINIONS</t>
  </si>
  <si>
    <t>2002-050901</t>
  </si>
  <si>
    <t>SUNSHINE LAW VIOLATION</t>
  </si>
  <si>
    <t>2002-050101</t>
  </si>
  <si>
    <t>SUNSHINE LAW CONSENT DECREE</t>
  </si>
  <si>
    <t>CIV # 97-0536</t>
  </si>
  <si>
    <t>SRK/JZB</t>
  </si>
  <si>
    <t>2002-051601</t>
  </si>
  <si>
    <t>2002-052002</t>
  </si>
  <si>
    <t>PROTECTIVE SERVICES DIVISION</t>
  </si>
  <si>
    <t>REPORT</t>
  </si>
  <si>
    <t>2002-052101</t>
  </si>
  <si>
    <t>RFO (02-003)</t>
  </si>
  <si>
    <t>DRV LIC &amp; VEH REG FILES RELEASE</t>
  </si>
  <si>
    <t>TO DOD &amp; LEXIS</t>
  </si>
  <si>
    <t>PERSONAL RECORDS RULES</t>
  </si>
  <si>
    <t>CLT/LHJ/JZB/CLT/SRK/CMD/CKP</t>
  </si>
  <si>
    <t>2002-052302</t>
  </si>
  <si>
    <t>RFA-P (02-018)</t>
  </si>
  <si>
    <t>NAMES OF HEALTH CARE WORKERS AT HCF</t>
  </si>
  <si>
    <t>2002-052303</t>
  </si>
  <si>
    <t>INVESTIGATION REPORT</t>
  </si>
  <si>
    <t>CR. NO. 47431</t>
  </si>
  <si>
    <t>2002-053101</t>
  </si>
  <si>
    <t>RELEASE OF INFO</t>
  </si>
  <si>
    <t>POTENTIAL EMPLOYER</t>
  </si>
  <si>
    <t>2002-053001</t>
  </si>
  <si>
    <t>RFA-P (02-019)</t>
  </si>
  <si>
    <t>PAROLE AUTHORITY RECORDS</t>
  </si>
  <si>
    <t>CMD/JVEM</t>
  </si>
  <si>
    <t>2002-060301</t>
  </si>
  <si>
    <t>PERSONAL RECORDS LAWSUIT</t>
  </si>
  <si>
    <t>CIV. NO. 02-1-1271-05</t>
  </si>
  <si>
    <t>2002-053102</t>
  </si>
  <si>
    <t>RFA-P (02-020)</t>
  </si>
  <si>
    <t>RECORDS REQUESTED</t>
  </si>
  <si>
    <t>2002-053103</t>
  </si>
  <si>
    <t>RFA-P (02-021)</t>
  </si>
  <si>
    <t>2002-053104</t>
  </si>
  <si>
    <t>DISCLOSURE OF SALARY</t>
  </si>
  <si>
    <t>2002-061301</t>
  </si>
  <si>
    <t>RFA-G (02-005)</t>
  </si>
  <si>
    <t>GIS WATER SYSTEMS</t>
  </si>
  <si>
    <t>TERRORISM</t>
  </si>
  <si>
    <t>2002-060501</t>
  </si>
  <si>
    <t>WC DECISIONS</t>
  </si>
  <si>
    <t>HSBA WEB SITE</t>
  </si>
  <si>
    <t>2002-061302</t>
  </si>
  <si>
    <t>NEIGHBORHOOD</t>
  </si>
  <si>
    <t>2002-061901</t>
  </si>
  <si>
    <t>STATE AUDITOR'S 2002 REPORT</t>
  </si>
  <si>
    <t>RESOLUTION OF ISSUES</t>
  </si>
  <si>
    <t>2002-062501</t>
  </si>
  <si>
    <t>INMATES RIGHT TO VIEW DIRECTORIES</t>
  </si>
  <si>
    <t>2002-062502</t>
  </si>
  <si>
    <t>CONFORM COUNTY CHARTER</t>
  </si>
  <si>
    <t>2002-062503</t>
  </si>
  <si>
    <t>RFA-P (02-022)</t>
  </si>
  <si>
    <t>FELLING'S REPORT RE OKAMURA FISH FARMS</t>
  </si>
  <si>
    <t>2002-031202</t>
  </si>
  <si>
    <t>HB2523</t>
  </si>
  <si>
    <t>EMERGENCY MEDICAL SERVICES</t>
  </si>
  <si>
    <t>2002-031203</t>
  </si>
  <si>
    <t>SB2781</t>
  </si>
  <si>
    <t>EMERGENCY MEDICAL SERVICES (COMP.HB2523)</t>
  </si>
  <si>
    <t>2002-070201</t>
  </si>
  <si>
    <t>RFO-M (02-001)</t>
  </si>
  <si>
    <t>EXECUTIVE MEETING</t>
  </si>
  <si>
    <t>PUC CASE</t>
  </si>
  <si>
    <t>2002-070301</t>
  </si>
  <si>
    <t>RFO (02-004)</t>
  </si>
  <si>
    <t>IMPROPER DISCLOSURE</t>
  </si>
  <si>
    <t>2002-070302</t>
  </si>
  <si>
    <t>RFA-P (02-023)</t>
  </si>
  <si>
    <t>CONTRACT</t>
  </si>
  <si>
    <t>INS. DIV AS LIQUIDATOR</t>
  </si>
  <si>
    <t>2002-070501</t>
  </si>
  <si>
    <t>RFA-P (02-024)</t>
  </si>
  <si>
    <t>BASIS OF 1990 EXAMINATION</t>
  </si>
  <si>
    <t>HMSA</t>
  </si>
  <si>
    <t>2002-070802</t>
  </si>
  <si>
    <t>U RFA-P 02-025</t>
  </si>
  <si>
    <t>MARBEC CONTRACT W/ DIVERSA</t>
  </si>
  <si>
    <t>DNA RESEARCH, BIOTECH</t>
  </si>
  <si>
    <t>CMA</t>
  </si>
  <si>
    <t>LLA/SRK</t>
  </si>
  <si>
    <t>2002-071101</t>
  </si>
  <si>
    <t>RFA-P (02-026)</t>
  </si>
  <si>
    <t>DOCS USED IN RESEARCH OF HMSA</t>
  </si>
  <si>
    <t>2002-071102</t>
  </si>
  <si>
    <t>RFA-P (02-027)</t>
  </si>
  <si>
    <t>DATA RE HMSA</t>
  </si>
  <si>
    <t>2002-071103</t>
  </si>
  <si>
    <t>RFA-P (02-028)</t>
  </si>
  <si>
    <t>DRAFT DECISION &amp; ORDER</t>
  </si>
  <si>
    <t>2002-071201</t>
  </si>
  <si>
    <t>DDC-HON</t>
  </si>
  <si>
    <t>LEGAL REPRESENTATION</t>
  </si>
  <si>
    <t>2002-071701</t>
  </si>
  <si>
    <t>RFA-P (02-029)</t>
  </si>
  <si>
    <t>PERSONAL RECORDS-PRIVILEGE</t>
  </si>
  <si>
    <t>2002-072301</t>
  </si>
  <si>
    <t>RFO (02-005)</t>
  </si>
  <si>
    <t>EMPLOYEE INVESTIGATION</t>
  </si>
  <si>
    <t>2002-072302</t>
  </si>
  <si>
    <t>RFA-P (02-030)</t>
  </si>
  <si>
    <t>2002-080501</t>
  </si>
  <si>
    <t>ALLEGED VIOLATION</t>
  </si>
  <si>
    <t>2002-080502</t>
  </si>
  <si>
    <t>RFA-P (02-031)</t>
  </si>
  <si>
    <t>SENATOR INOUYE'S RESPONSE</t>
  </si>
  <si>
    <t>2002-080503</t>
  </si>
  <si>
    <t>ALLEGATIONS RE: VIOLATIONS</t>
  </si>
  <si>
    <t>WITHHOLDING RECORDS IMPROPERLY</t>
  </si>
  <si>
    <t>2002-080701</t>
  </si>
  <si>
    <t>RECORDS DESTRUCTION ALLEGATION</t>
  </si>
  <si>
    <t>SENATOR BUNDA</t>
  </si>
  <si>
    <t>2002-080801</t>
  </si>
  <si>
    <t>HALAWA JAIL</t>
  </si>
  <si>
    <t>2002-080901</t>
  </si>
  <si>
    <t>AGENCY RESPONSE</t>
  </si>
  <si>
    <t>2002-081201</t>
  </si>
  <si>
    <t>DISCLOSE EXECUTIVE MINUTES</t>
  </si>
  <si>
    <t>92F-19 BOARD OF ETHICS</t>
  </si>
  <si>
    <t>2002-081202</t>
  </si>
  <si>
    <t>RFO-M (02-002)</t>
  </si>
  <si>
    <t>EXECUTIVE MEETING VOTES</t>
  </si>
  <si>
    <t>2002-081501</t>
  </si>
  <si>
    <t>RFA-P (02-032)</t>
  </si>
  <si>
    <t>MAINT-HON</t>
  </si>
  <si>
    <t>PROPERTY MANAGEMENT RECORDS</t>
  </si>
  <si>
    <t>2002-082001</t>
  </si>
  <si>
    <t>RFA-P (02-033)</t>
  </si>
  <si>
    <t>RESPONSE TO REQUEST</t>
  </si>
  <si>
    <t>CORRESPONDENCE</t>
  </si>
  <si>
    <t>2002-082601</t>
  </si>
  <si>
    <t>RFO (02-006)</t>
  </si>
  <si>
    <t>TESTIMONY AT BOARD MEETINGS</t>
  </si>
  <si>
    <t>2002-082801</t>
  </si>
  <si>
    <t>RFO (02-007)</t>
  </si>
  <si>
    <t>PUBLIC AUCTIONS</t>
  </si>
  <si>
    <t>STATE LAND LEASES</t>
  </si>
  <si>
    <t>2002-082802</t>
  </si>
  <si>
    <t>RFA-P (02-034)</t>
  </si>
  <si>
    <t>REQUEST FOR RAD SIGNATURE SHEET</t>
  </si>
  <si>
    <t>2002-090301</t>
  </si>
  <si>
    <t>RFO (02-008)</t>
  </si>
  <si>
    <t>CONSULT W/ATTORNEY</t>
  </si>
  <si>
    <t>2002-090401</t>
  </si>
  <si>
    <t>2002-090402</t>
  </si>
  <si>
    <t>RFA-P (02-035)</t>
  </si>
  <si>
    <t>RECORD REQUEST OF BRUCE MIDDLETON</t>
  </si>
  <si>
    <t>2002-090501</t>
  </si>
  <si>
    <t>RFO (02-009)</t>
  </si>
  <si>
    <t>RECONSIDERATION OF OIP OP.LTR.NO. 02-02</t>
  </si>
  <si>
    <t>OPPORTUNITY TO TESTIFY</t>
  </si>
  <si>
    <t>2002-090901</t>
  </si>
  <si>
    <t>RFA-P (02-036)</t>
  </si>
  <si>
    <t>HCDCH</t>
  </si>
  <si>
    <t>2002-090902</t>
  </si>
  <si>
    <t>RFA-P (02-037)</t>
  </si>
  <si>
    <t>ASBESTOS RECORDS</t>
  </si>
  <si>
    <t>HALAWA CORRECTIONAL FACILITY</t>
  </si>
  <si>
    <t>2002-091001</t>
  </si>
  <si>
    <t>RFA-G (02-006)</t>
  </si>
  <si>
    <t>NHB PLAN 2002-DRAFT</t>
  </si>
  <si>
    <t>2002-091301</t>
  </si>
  <si>
    <t>2002-091601</t>
  </si>
  <si>
    <t>RFA-G (02-007)</t>
  </si>
  <si>
    <t>ACTION ON RESO OF AGENDA</t>
  </si>
  <si>
    <t>2002-091602</t>
  </si>
  <si>
    <t>RFO (02-010)</t>
  </si>
  <si>
    <t>2002-091701</t>
  </si>
  <si>
    <t>RFA-P (02-038)</t>
  </si>
  <si>
    <t>SEMINAR INFO</t>
  </si>
  <si>
    <t>2002-091801</t>
  </si>
  <si>
    <t>COPY</t>
  </si>
  <si>
    <t>2002-091802</t>
  </si>
  <si>
    <t>RFA-P (02-039)</t>
  </si>
  <si>
    <t>DON TORRES</t>
  </si>
  <si>
    <t>2002-091803</t>
  </si>
  <si>
    <t>RFA-P (02-040)</t>
  </si>
  <si>
    <t>RUFINA MACAM</t>
  </si>
  <si>
    <t>2002-091901</t>
  </si>
  <si>
    <t>RFA-P (02-041)</t>
  </si>
  <si>
    <t>CR. NO. 93-1185 SOH V. LUTON</t>
  </si>
  <si>
    <t>SEE:  RFO-P (05-009) Formal Opinion Letter 05-16</t>
  </si>
  <si>
    <t>2002-091902</t>
  </si>
  <si>
    <t>APPROPRIATENESS OF RESPONSE TO RECORD REQUEST</t>
  </si>
  <si>
    <t>2002-091903</t>
  </si>
  <si>
    <t>RFA-P (02-042)</t>
  </si>
  <si>
    <t>RECORDS ON L&amp; D BAR</t>
  </si>
  <si>
    <t>2002-091904</t>
  </si>
  <si>
    <t>RFA-P (02-043)</t>
  </si>
  <si>
    <t>REQ FOR NAMES,ADDRESSES, PHONE NUMBERS</t>
  </si>
  <si>
    <t>BD OF PROF ENGINEERS, ARCHITECTS, SURVEYORS, LANDSCAPE ARCHITECTS</t>
  </si>
  <si>
    <t>2002-091905</t>
  </si>
  <si>
    <t>INFO RE: BLDG HALAWA JAIL</t>
  </si>
  <si>
    <t>2002-092301</t>
  </si>
  <si>
    <t>RFO (02-011)</t>
  </si>
  <si>
    <t>RIGHT TO TESTIFY ON AGENDA ITEMS</t>
  </si>
  <si>
    <t>2002-092501</t>
  </si>
  <si>
    <t>RFA-P (02-044)</t>
  </si>
  <si>
    <t>EXISTENCE OF RECORD</t>
  </si>
  <si>
    <t>2002-092701</t>
  </si>
  <si>
    <t>RFA-P (02-045)</t>
  </si>
  <si>
    <t>PAROLE AUTHORITY</t>
  </si>
  <si>
    <t>2002-093001</t>
  </si>
  <si>
    <t>RFA-P (02-046)</t>
  </si>
  <si>
    <t>HHSC REQUEST FOR RECORDS</t>
  </si>
  <si>
    <t>UNFAIR COMPETITIVE ADVANTAGE</t>
  </si>
  <si>
    <t>2002-100101</t>
  </si>
  <si>
    <t>MAINTAIN RECORDS</t>
  </si>
  <si>
    <t>2002-100201</t>
  </si>
  <si>
    <t>RFA-P (02-047)</t>
  </si>
  <si>
    <t>AGENCY ADJUDICATION</t>
  </si>
  <si>
    <t>ORDER</t>
  </si>
  <si>
    <t>2002-100202</t>
  </si>
  <si>
    <t>1999-120204</t>
  </si>
  <si>
    <t>COMMUNICATIONS W/CORP CNSL</t>
  </si>
  <si>
    <t>DELAY WATER METER INSTALLATION</t>
  </si>
  <si>
    <t>1999-090701</t>
  </si>
  <si>
    <t>DISCRETION OF COMMISSION TO HEAR PUBLIC TESTIMONY</t>
  </si>
  <si>
    <t>2001-111501</t>
  </si>
  <si>
    <t>EXECUTIVE SESSION VIOLATIONS</t>
  </si>
  <si>
    <t>1999-081201</t>
  </si>
  <si>
    <t>1999-081301</t>
  </si>
  <si>
    <t>2002-100801</t>
  </si>
  <si>
    <t>RFA-P (02-048)</t>
  </si>
  <si>
    <t>ACCESS TO MOLOKAI RECORDS</t>
  </si>
  <si>
    <t>2002-100802</t>
  </si>
  <si>
    <t>SUNSHINE LAW VIOLATION-EXEC. SESSIONS</t>
  </si>
  <si>
    <t>LANIKAI ELEM. CHARTER SCHOOL</t>
  </si>
  <si>
    <t>1999-111501</t>
  </si>
  <si>
    <t>POTENTIAL DISCLOSURE</t>
  </si>
  <si>
    <t>CONFIDENTIAL DOCUMENTS</t>
  </si>
  <si>
    <t>2002-100901</t>
  </si>
  <si>
    <t>RFO (02-012)</t>
  </si>
  <si>
    <t>SUBJECT TO SUNSHINE LAW</t>
  </si>
  <si>
    <t>2000-011402</t>
  </si>
  <si>
    <t>CONFIDENTIALITY AGREEMENT</t>
  </si>
  <si>
    <t>SETTLEMENT</t>
  </si>
  <si>
    <t>2002-101001</t>
  </si>
  <si>
    <t>RFO (02-013)</t>
  </si>
  <si>
    <t>CALENDAR, TELEPHONE LOGS</t>
  </si>
  <si>
    <t>1989-121801</t>
  </si>
  <si>
    <t>RFO (89-114)</t>
  </si>
  <si>
    <t>DISCLOSURE OF ESCHEATED WARRANTS REPORTS</t>
  </si>
  <si>
    <t>1989-080101</t>
  </si>
  <si>
    <t>RFO (89-026)</t>
  </si>
  <si>
    <t>STATUS OF CERTIFIED PAYROLL RECORDS ON PUBLIC WORKS CONTRACTS</t>
  </si>
  <si>
    <t>1989-101101</t>
  </si>
  <si>
    <t>RFO (89-046)</t>
  </si>
  <si>
    <t>DISCLOSE BEFORE STUDY COMPLETED</t>
  </si>
  <si>
    <t>2002-101401</t>
  </si>
  <si>
    <t>PUBLIC RECORDS MISSING FROM FILES</t>
  </si>
  <si>
    <t>2002-101501</t>
  </si>
  <si>
    <t>LATE NOTICE</t>
  </si>
  <si>
    <t>2002-101601</t>
  </si>
  <si>
    <t>REQUEST FOR ASSISTANCE</t>
  </si>
  <si>
    <t>2002-101701</t>
  </si>
  <si>
    <t>RFA-P (02-051)</t>
  </si>
  <si>
    <t>2002-101702</t>
  </si>
  <si>
    <t>VIOLATION OF HRS 92F</t>
  </si>
  <si>
    <t>2002-102201</t>
  </si>
  <si>
    <t>RFA-P (02-049)</t>
  </si>
  <si>
    <t>FILES/DOCS RE CENTRAL OAHU REGIONAL PARK</t>
  </si>
  <si>
    <t>TENNIS COMPLEX</t>
  </si>
  <si>
    <t>2000-071701</t>
  </si>
  <si>
    <t>MED INFO IN ADLRO PROCEEDINGS</t>
  </si>
  <si>
    <t>2002-102502</t>
  </si>
  <si>
    <t>RFO (02-014)</t>
  </si>
  <si>
    <t>HOIKE SUBJECT TO SUNSHINE LAW</t>
  </si>
  <si>
    <t>1989-101901</t>
  </si>
  <si>
    <t>RFO (89-121)</t>
  </si>
  <si>
    <t>WRITTEN ADVISORY</t>
  </si>
  <si>
    <t>CONSULTANT REPORT</t>
  </si>
  <si>
    <t>1989-102701</t>
  </si>
  <si>
    <t>RFO (89-069)</t>
  </si>
  <si>
    <t>DISCLOSURE OF DELINQUENT LOAN REPORTS</t>
  </si>
  <si>
    <t>1989-100401</t>
  </si>
  <si>
    <t>RFO (89-048)</t>
  </si>
  <si>
    <t>DISCLOSE NAMES, ADDRESSES, TELEPHONE</t>
  </si>
  <si>
    <t>ATTENDEES OF SEMINAR</t>
  </si>
  <si>
    <t>2002-103001</t>
  </si>
  <si>
    <t>RFA-P (02-050)</t>
  </si>
  <si>
    <t>MEETING MINUTES</t>
  </si>
  <si>
    <t>1989-112801</t>
  </si>
  <si>
    <t>RFO (89-086)</t>
  </si>
  <si>
    <t>PRESS ACCESS TO ALOHA STADIUM DOCS</t>
  </si>
  <si>
    <t>2002-110801</t>
  </si>
  <si>
    <t>2002-110802</t>
  </si>
  <si>
    <t>RFA-P (02-052)</t>
  </si>
  <si>
    <t>EVALUATION OF RFPS</t>
  </si>
  <si>
    <t>2002-111201</t>
  </si>
  <si>
    <t>RFO (02-015)</t>
  </si>
  <si>
    <t>EXECUTIVE SESSION &amp; 92 HRS</t>
  </si>
  <si>
    <t>CHANGE IN LOCATION OF CLOSED MEETING</t>
  </si>
  <si>
    <t>2002-111301</t>
  </si>
  <si>
    <t>PROBLEMS W/ ELECTIONS PROCEDURES</t>
  </si>
  <si>
    <t>1989-061901</t>
  </si>
  <si>
    <t>RFO (89-093)</t>
  </si>
  <si>
    <t>DISCLOSURE OF PERSONNEL RECORDS</t>
  </si>
  <si>
    <t>1989-070301</t>
  </si>
  <si>
    <t>RFO (89-012)</t>
  </si>
  <si>
    <t>UNCLAIMED PROPERTY</t>
  </si>
  <si>
    <t>DISCLOSURE OF AMT OR VALUE</t>
  </si>
  <si>
    <t>1989-082901</t>
  </si>
  <si>
    <t>RFO (89-079)</t>
  </si>
  <si>
    <t>PENSION INFORMATION OF CURRENT/FORMER MEMBERS</t>
  </si>
  <si>
    <t>2002-111802</t>
  </si>
  <si>
    <t>FEES RESTRICTIVE</t>
  </si>
  <si>
    <t>1989-042401</t>
  </si>
  <si>
    <t>RFO (89-004)</t>
  </si>
  <si>
    <t>FOI STATE LOAN PROGRAMS</t>
  </si>
  <si>
    <t>1989-100601</t>
  </si>
  <si>
    <t>RFO (89-047)</t>
  </si>
  <si>
    <t>CONFIDENTIALITY OF DEVELOPMENT PROPOSALS</t>
  </si>
  <si>
    <t>1989-122601</t>
  </si>
  <si>
    <t>RFO (89-107)</t>
  </si>
  <si>
    <t>PROPOSED CONFIDENTIALITY AGREEMENT W/ HECO</t>
  </si>
  <si>
    <t>2002-112501</t>
  </si>
  <si>
    <t>REQUEST TO CORRECT FILES &amp; RESPOND</t>
  </si>
  <si>
    <t>2002-112502</t>
  </si>
  <si>
    <t>RFA-P (02-053)</t>
  </si>
  <si>
    <t>DENIAL TO REQUEST</t>
  </si>
  <si>
    <t>RFO (89-119)</t>
  </si>
  <si>
    <t>1989-120101</t>
  </si>
  <si>
    <t>RFO (89-102)</t>
  </si>
  <si>
    <t>APPLICANT NAMES</t>
  </si>
  <si>
    <t>BOARD OF COSMETOLOGY</t>
  </si>
  <si>
    <t>1989-120801</t>
  </si>
  <si>
    <t>RFO (89-111)</t>
  </si>
  <si>
    <t>REVOCATION OF CONTRACTORS' LICENSES</t>
  </si>
  <si>
    <t>1989-112901</t>
  </si>
  <si>
    <t>RFO (89-109)</t>
  </si>
  <si>
    <t>LEGISLATIVE ACCESS</t>
  </si>
  <si>
    <t>PROF/VOC LICENSING APPLICATION DATA</t>
  </si>
  <si>
    <t>1989-080901</t>
  </si>
  <si>
    <t>RFO (89-127)</t>
  </si>
  <si>
    <t>DISCLOSURE OF EXAM SCORE</t>
  </si>
  <si>
    <t>PLUMBER LICENSE</t>
  </si>
  <si>
    <t>2002-112701</t>
  </si>
  <si>
    <t>RFA-M (02-002)</t>
  </si>
  <si>
    <t>EXEC MEETING</t>
  </si>
  <si>
    <t>CHIEF SELECTION</t>
  </si>
  <si>
    <t>RFO (89-083)</t>
  </si>
  <si>
    <t>NAMES &amp; LOCATIONS OF INMATES</t>
  </si>
  <si>
    <t>PUBLIC INSPECTION/COPYING</t>
  </si>
  <si>
    <t>RFO (89-103)</t>
  </si>
  <si>
    <t>RECORDING OF TELEPHONE &amp; RADIO TRANSMISSIONS</t>
  </si>
  <si>
    <t>1989-091401</t>
  </si>
  <si>
    <t>RFO (89-060)</t>
  </si>
  <si>
    <t>REVIEW DRAFT</t>
  </si>
  <si>
    <t>RECORDS MGMT PROGRAM</t>
  </si>
  <si>
    <t>1989-100201</t>
  </si>
  <si>
    <t>RFO (89-045)</t>
  </si>
  <si>
    <t>DISCLOSURE OF STUDENT INFO</t>
  </si>
  <si>
    <t>1999-081305</t>
  </si>
  <si>
    <t>DOE WEB SITE</t>
  </si>
  <si>
    <t>2002-112901</t>
  </si>
  <si>
    <t>RFA-P (02-054)</t>
  </si>
  <si>
    <t>4 REQUESTS FOR INFO RE: TRANSFER</t>
  </si>
  <si>
    <t>2002-112902</t>
  </si>
  <si>
    <t>RFA-P (02-055)</t>
  </si>
  <si>
    <t>FOR TOBY M. KRAVET</t>
  </si>
  <si>
    <t>1998-092501</t>
  </si>
  <si>
    <t>ACCESS TO DOE EMAIL RECORDS</t>
  </si>
  <si>
    <t>RFO (89-007)</t>
  </si>
  <si>
    <t>DISCLOSURE OF HHL WAITING LIST</t>
  </si>
  <si>
    <t>RFO (89-096)</t>
  </si>
  <si>
    <t>APPLICATIONS FOR RELEASE OF GENETICALLY MODIFIED ORGANISMS</t>
  </si>
  <si>
    <t>1989-102001</t>
  </si>
  <si>
    <t>RFO (89-064)</t>
  </si>
  <si>
    <t>PUBLIC INSPECTION</t>
  </si>
  <si>
    <t>VITAL STAT RECORDS</t>
  </si>
  <si>
    <t>1989-092901</t>
  </si>
  <si>
    <t>RFO (89-081)</t>
  </si>
  <si>
    <t>ACCESS TO STATEMENTS OF DEFICIENCIES/PLANS OF CORRECTION</t>
  </si>
  <si>
    <t>ADULT RES CARE HOME FACILITIES</t>
  </si>
  <si>
    <t>1989-092701</t>
  </si>
  <si>
    <t>RFO (89-080)</t>
  </si>
  <si>
    <t>PUBLIC ACCESS</t>
  </si>
  <si>
    <t>SPECIAL TREATMENT FACILITIES</t>
  </si>
  <si>
    <t>1989-090701</t>
  </si>
  <si>
    <t>RFO (89-058)</t>
  </si>
  <si>
    <t>ACCESS TO GOVT RECORDS</t>
  </si>
  <si>
    <t>UNDERGROUND STORAGE TANKS</t>
  </si>
  <si>
    <t>2002-120201</t>
  </si>
  <si>
    <t>RFA-P (02-056)</t>
  </si>
  <si>
    <t>BUDGET-HON</t>
  </si>
  <si>
    <t>REVIEW OF RESPONSE TO REQUEST</t>
  </si>
  <si>
    <t>2002-120202</t>
  </si>
  <si>
    <t>HARASSMENT</t>
  </si>
  <si>
    <t>DUTIES TO PROTECT RECORDS</t>
  </si>
  <si>
    <t>2002-120203</t>
  </si>
  <si>
    <t>RFA-P (02-057)</t>
  </si>
  <si>
    <t>REQUEST FOR MEDICAL RECORDS</t>
  </si>
  <si>
    <t>2002-120301</t>
  </si>
  <si>
    <t>EXEC MEETING LOCATIONS</t>
  </si>
  <si>
    <t>1989-073101</t>
  </si>
  <si>
    <t>RFO (89-031)</t>
  </si>
  <si>
    <t>DPS ISSUES CONCERNING ACT 262</t>
  </si>
  <si>
    <t>1989-122701</t>
  </si>
  <si>
    <t>RFO (89-095)</t>
  </si>
  <si>
    <t>ACCESS TO PERSONAL RECORD</t>
  </si>
  <si>
    <t>2002-111402</t>
  </si>
  <si>
    <t>REVIEW PRISON FILE</t>
  </si>
  <si>
    <t>2002-111403</t>
  </si>
  <si>
    <t>COPIES OF HEARINGS 2000-2002</t>
  </si>
  <si>
    <t>2002-121001</t>
  </si>
  <si>
    <t>SUNSHINE VIOLATION</t>
  </si>
  <si>
    <t>2002-121002</t>
  </si>
  <si>
    <t>RFA-P (02-058)</t>
  </si>
  <si>
    <t>REQUESTED FORMAT</t>
  </si>
  <si>
    <t>1989-092001</t>
  </si>
  <si>
    <t>RFO (89-061)</t>
  </si>
  <si>
    <t>ACCESS TO RFP</t>
  </si>
  <si>
    <t>1989-072701</t>
  </si>
  <si>
    <t>RFO (89-021)</t>
  </si>
  <si>
    <t>CONFIDENTIALITY OF WELFARE RECORDS OF DECEASED INDIV</t>
  </si>
  <si>
    <t>RFO (89-053)</t>
  </si>
  <si>
    <t>ACCESS TO DHS RECORDS</t>
  </si>
  <si>
    <t>ALLEGED PARENTAL CHILD ABUSE</t>
  </si>
  <si>
    <t>RFO (89-059)</t>
  </si>
  <si>
    <t>DISCL OF SURVEILLANCE &amp; UTILIZATION REV SYS PROFILE DATA</t>
  </si>
  <si>
    <t>INVES OF DR. EARL BADE</t>
  </si>
  <si>
    <t>1989-070302</t>
  </si>
  <si>
    <t>RFO (89-089)</t>
  </si>
  <si>
    <t>LIST OF TDI DELINQUENT EMPLOYERS</t>
  </si>
  <si>
    <t>RFO (89-099)</t>
  </si>
  <si>
    <t>INTER-AGENCY ACCESS TO GOVT RECORDS</t>
  </si>
  <si>
    <t>1988-070303</t>
  </si>
  <si>
    <t>RFO (89-013)</t>
  </si>
  <si>
    <t>NOTICE OF INSURANCE</t>
  </si>
  <si>
    <t>1989-082301</t>
  </si>
  <si>
    <t>RFO (89-043)</t>
  </si>
  <si>
    <t>NAMES &amp; ADDRESSES RECENT APPLICANTS FOR WC</t>
  </si>
  <si>
    <t>DR. R. A. HYMAN</t>
  </si>
  <si>
    <t>2002-121201</t>
  </si>
  <si>
    <t>CRIME VICTIM COMPENSATION CMSN</t>
  </si>
  <si>
    <t>92F-13 CHANGE</t>
  </si>
  <si>
    <t>1998-092101</t>
  </si>
  <si>
    <t>REASONABLENESS OF A SEARCH BY SHPD</t>
  </si>
  <si>
    <t>1989-121101</t>
  </si>
  <si>
    <t>RFO (89-098)</t>
  </si>
  <si>
    <t>INSPECT PERSONNEL RECORDS</t>
  </si>
  <si>
    <t>RFO (89-112)</t>
  </si>
  <si>
    <t>INMATE ACCESS TO PSD P&amp;P MANUAL</t>
  </si>
  <si>
    <t>1989-082801</t>
  </si>
  <si>
    <t>RFO (89-039)</t>
  </si>
  <si>
    <t>PUBLIC ACCESS TO OFFERS-IN-COMPROMISE</t>
  </si>
  <si>
    <t>1989-120601</t>
  </si>
  <si>
    <t>RFO (89-100)</t>
  </si>
  <si>
    <t>ADDRESS OF MISSING PERSON</t>
  </si>
  <si>
    <t>RFO (89-032)</t>
  </si>
  <si>
    <t>AUDIT REPORTS OF CONCESSIONAIRES</t>
  </si>
  <si>
    <t>1998-062602</t>
  </si>
  <si>
    <t>REQUESTER NAME &amp; REASON</t>
  </si>
  <si>
    <t>1989-122201</t>
  </si>
  <si>
    <t>RFO (89-117)</t>
  </si>
  <si>
    <t>VESSEL REGISTRATION</t>
  </si>
  <si>
    <t>1989-120701</t>
  </si>
  <si>
    <t>RFO (89-110)</t>
  </si>
  <si>
    <t>OMPO AGREEMENT W/ UMTA</t>
  </si>
  <si>
    <t>CONFLICT W/ UIPA</t>
  </si>
  <si>
    <t>1989-092101</t>
  </si>
  <si>
    <t>RFO (89-067)</t>
  </si>
  <si>
    <t>DISCLOSURE OF INFO FROM WORKERS' COMP</t>
  </si>
  <si>
    <t>1989-081101</t>
  </si>
  <si>
    <t>RFO (89-073)</t>
  </si>
  <si>
    <t>CERTIFIED ABSTRACTS OF MV OPERATING RECORDS</t>
  </si>
  <si>
    <t>2002-121801</t>
  </si>
  <si>
    <t>RFO (89-108)</t>
  </si>
  <si>
    <t>STATE LEG PAYROLL &amp; EXPENSE RECORDS</t>
  </si>
  <si>
    <t>2000-020701</t>
  </si>
  <si>
    <t>INFO PRACTICES SEN. ANDREW LEVIN</t>
  </si>
  <si>
    <t>1989-092801</t>
  </si>
  <si>
    <t>RFO (89-063)</t>
  </si>
  <si>
    <t>PARDONS GRANTED BY GOV</t>
  </si>
  <si>
    <t>NAMES,DATES,NUMBER,OFFENSE</t>
  </si>
  <si>
    <t>2002-122001</t>
  </si>
  <si>
    <t>RFO (02-016)</t>
  </si>
  <si>
    <t>UIPA &amp; HIPAA</t>
  </si>
  <si>
    <t>PREEMPTION/STRINGENT ANALYSIS</t>
  </si>
  <si>
    <t>RFO (89-104)</t>
  </si>
  <si>
    <t>COPIES OF APPS FOR PROTECTION AGAINST DOMESTIC VIOLENCE</t>
  </si>
  <si>
    <t>1989-102501</t>
  </si>
  <si>
    <t>EXEC SEARCH REPORT</t>
  </si>
  <si>
    <t>SPECIAL MASTER FOR CORRECTIONS SYS</t>
  </si>
  <si>
    <t>2002-122601</t>
  </si>
  <si>
    <t>MISC-SOH</t>
  </si>
  <si>
    <t>INFORMATIONAL BROCHURES</t>
  </si>
  <si>
    <t>HVB, JCC, U.S.S. AZ</t>
  </si>
  <si>
    <t>ANKD</t>
  </si>
  <si>
    <t>1989-112701</t>
  </si>
  <si>
    <t>RFO (89-094)</t>
  </si>
  <si>
    <t>GOV-OCB</t>
  </si>
  <si>
    <t>UNION REQUEST FOR INFO</t>
  </si>
  <si>
    <t>PERCENTAGE WAGE INCREASES NEGOTIATED</t>
  </si>
  <si>
    <t>1989-041401</t>
  </si>
  <si>
    <t>RFO (89-003)</t>
  </si>
  <si>
    <t>UNION ACCESS TO EE'S EXACT SALARIES TO CALCULATE UNION DUES</t>
  </si>
  <si>
    <t>1989-061501</t>
  </si>
  <si>
    <t>RFO (89-006)</t>
  </si>
  <si>
    <t>1988-121901</t>
  </si>
  <si>
    <t>RFO (89-035)</t>
  </si>
  <si>
    <t>RELEASE OF EE INFO TO EXCLUSIVE REPS</t>
  </si>
  <si>
    <t>GUIDANCE ON PROPRIETY OF RELEASE OF SPECIFIC DATES REQUESTED BY HGEA</t>
  </si>
  <si>
    <t>2002-122401</t>
  </si>
  <si>
    <t>HAWAII BENEFITS INC.</t>
  </si>
  <si>
    <t>2002-123001</t>
  </si>
  <si>
    <t>RFA-P (02-059)</t>
  </si>
  <si>
    <t>WRITTEN STATEMENTS OF WITNESSES</t>
  </si>
  <si>
    <t>2002-123101</t>
  </si>
  <si>
    <t>RFO (02-017)</t>
  </si>
  <si>
    <t>OVERSIGHT COMMITTEE</t>
  </si>
  <si>
    <t>2003-010602</t>
  </si>
  <si>
    <t>RFA-P (03-001)</t>
  </si>
  <si>
    <t>GRIEVANCE DECISIONS</t>
  </si>
  <si>
    <t>2003-011001</t>
  </si>
  <si>
    <t>RFA-P (03-002)</t>
  </si>
  <si>
    <t>DENIAL OF ACCESS TO MEDICAL FILE</t>
  </si>
  <si>
    <t>2003-011002</t>
  </si>
  <si>
    <t>RFA-P (03-003)</t>
  </si>
  <si>
    <t>DENIAL OF ACCESS TO PAROLE FILE</t>
  </si>
  <si>
    <t>2002-122402</t>
  </si>
  <si>
    <t>RFA-P (02-060)</t>
  </si>
  <si>
    <t>TAPES OF PUBLIC MEETINGS</t>
  </si>
  <si>
    <t>SRK/LLA/WKP/LLT</t>
  </si>
  <si>
    <t>2003-011501</t>
  </si>
  <si>
    <t>REQUEST FOR INFORMATION FROM PSD</t>
  </si>
  <si>
    <t>2003-011704</t>
  </si>
  <si>
    <t>SB 89</t>
  </si>
  <si>
    <t>PHOTO TRAFFIC ENFORCEMENT</t>
  </si>
  <si>
    <t>2003-011709</t>
  </si>
  <si>
    <t>HB 127</t>
  </si>
  <si>
    <t>GENERAL ASSISTANCE</t>
  </si>
  <si>
    <t>2003-011711</t>
  </si>
  <si>
    <t>HB 4</t>
  </si>
  <si>
    <t>REGULATION OF TOBACCO PRODUCTS</t>
  </si>
  <si>
    <t>2003-011712</t>
  </si>
  <si>
    <t>SB 353</t>
  </si>
  <si>
    <t>2003-011713</t>
  </si>
  <si>
    <t>SB 339</t>
  </si>
  <si>
    <t>2003-011714</t>
  </si>
  <si>
    <t>SB 68</t>
  </si>
  <si>
    <t>STUDENT MISCONDUCT</t>
  </si>
  <si>
    <t>2003-012101</t>
  </si>
  <si>
    <t>2003-012140</t>
  </si>
  <si>
    <t>RFA-P (03-004)</t>
  </si>
  <si>
    <t>REQUEST FOR WRITE UP, TRANSFER &amp; STATUS</t>
  </si>
  <si>
    <t>2003-011601</t>
  </si>
  <si>
    <t>HB 13</t>
  </si>
  <si>
    <t>PRESCRIPTION DRUG COST CONTROL</t>
  </si>
  <si>
    <t>2003-011602</t>
  </si>
  <si>
    <t>HB 19</t>
  </si>
  <si>
    <t>PRESCRIPTION DRUG COST CONTAINMENT &amp; AFFORDABLE ACCESS</t>
  </si>
  <si>
    <t>2003-011608</t>
  </si>
  <si>
    <t>SB 44</t>
  </si>
  <si>
    <t>TRANSPORTATION</t>
  </si>
  <si>
    <t>2003-011610</t>
  </si>
  <si>
    <t>SB 55</t>
  </si>
  <si>
    <t>ESTABLISHMENT OF CIVIL SYSTEM FOR UH</t>
  </si>
  <si>
    <t>2003-012107</t>
  </si>
  <si>
    <t>SB 426</t>
  </si>
  <si>
    <t>STATE STATISTICS &amp; DATA; DATA INTERNET PORTAL</t>
  </si>
  <si>
    <t>MTDG, CMD</t>
  </si>
  <si>
    <t>2003-012141</t>
  </si>
  <si>
    <t>SB 493</t>
  </si>
  <si>
    <t>PEG ORGANIZATIONS</t>
  </si>
  <si>
    <t>1989-072001</t>
  </si>
  <si>
    <t>RFO (89-024)</t>
  </si>
  <si>
    <t>CONFIDENTIALITY OF NAME CHANGE DOCUMENTS</t>
  </si>
  <si>
    <t>MY</t>
  </si>
  <si>
    <t>RFO (89-068)</t>
  </si>
  <si>
    <t>1989-072401</t>
  </si>
  <si>
    <t>RFO (89-030)</t>
  </si>
  <si>
    <t>DISCLOSURE OF INFO</t>
  </si>
  <si>
    <t>INDIVIDUALS SERVING ON SEARCH CMTE</t>
  </si>
  <si>
    <t>LL</t>
  </si>
  <si>
    <t>RFO (89-066)</t>
  </si>
  <si>
    <t>DISCLOSURE OF SEXUAL HARASSMENT COMPLAINT</t>
  </si>
  <si>
    <t>DISCIPLINARY ACTION AGAINST FACULTY</t>
  </si>
  <si>
    <t>RFO (89-062)</t>
  </si>
  <si>
    <t>PUBLIC INSPECTION OF UH PROGRAM REVIEWS</t>
  </si>
  <si>
    <t>2003-012201</t>
  </si>
  <si>
    <t>HB 22</t>
  </si>
  <si>
    <t>CONSUMER CREDIT REPORTING</t>
  </si>
  <si>
    <t>2003-012116</t>
  </si>
  <si>
    <t>SB 610</t>
  </si>
  <si>
    <t>HAWAIIAN HOMELANDS TRUST CLAIMS</t>
  </si>
  <si>
    <t>2003-012301</t>
  </si>
  <si>
    <t>HB 14</t>
  </si>
  <si>
    <t>TELEPHONE SOLICITATIONS</t>
  </si>
  <si>
    <t>2003-012302</t>
  </si>
  <si>
    <t>C-02-1-2765</t>
  </si>
  <si>
    <t>2003-012308</t>
  </si>
  <si>
    <t>SB 1233</t>
  </si>
  <si>
    <t>LEG COMPLY WITH SUNSHINE LAW</t>
  </si>
  <si>
    <t>2003-012133</t>
  </si>
  <si>
    <t>HB 146</t>
  </si>
  <si>
    <t>RENAISSANCE ZONES</t>
  </si>
  <si>
    <t>2003-012122</t>
  </si>
  <si>
    <t>SB 715</t>
  </si>
  <si>
    <t>VOTER REGISTRATION COMP. HB 204, SB 483</t>
  </si>
  <si>
    <t>2003-012111</t>
  </si>
  <si>
    <t>SB 483</t>
  </si>
  <si>
    <t>ELECTIONS; VOTER REGISTRATION COMP. HB 204, SB 715</t>
  </si>
  <si>
    <t>2003-012118</t>
  </si>
  <si>
    <t>SB 685</t>
  </si>
  <si>
    <t>SSN PLACED IN POLL BOOKS</t>
  </si>
  <si>
    <t>2003-012117</t>
  </si>
  <si>
    <t>SB 621</t>
  </si>
  <si>
    <t>EMPLOYER INQUIRIES; CRIMINAL RECORDS</t>
  </si>
  <si>
    <t>2003-012121</t>
  </si>
  <si>
    <t>SB 698</t>
  </si>
  <si>
    <t>ABSENTEE VOTING</t>
  </si>
  <si>
    <t>2003-012110</t>
  </si>
  <si>
    <t>LEG-AUDITOR</t>
  </si>
  <si>
    <t>SB 474</t>
  </si>
  <si>
    <t>AUDITOR'S CONFIDENTIALITY OF RECORDS</t>
  </si>
  <si>
    <t>2003-012139</t>
  </si>
  <si>
    <t>HB 321</t>
  </si>
  <si>
    <t>ESTABLISHMENT OF CIV SERV FOR UH EMPLOYEES</t>
  </si>
  <si>
    <t>2003-012115</t>
  </si>
  <si>
    <t>SB 602</t>
  </si>
  <si>
    <t>PESTICIDE MANAGEMENT</t>
  </si>
  <si>
    <t>2003-012125</t>
  </si>
  <si>
    <t>SB 777</t>
  </si>
  <si>
    <t>HAWAII LIVING WAGE LAW</t>
  </si>
  <si>
    <t>2003-012108</t>
  </si>
  <si>
    <t>SB 427</t>
  </si>
  <si>
    <t>GOVERNMENT RECORDS; ELECTRONIC COPIES; REMOTE ACCESS</t>
  </si>
  <si>
    <t>2003-012119</t>
  </si>
  <si>
    <t>SB 695</t>
  </si>
  <si>
    <t>PROFESSIONAL COUNSELOR LICENSE</t>
  </si>
  <si>
    <t>2003-012135</t>
  </si>
  <si>
    <t>HB 249</t>
  </si>
  <si>
    <t>COMMISSION ON RESPONSIBLE FATHERHOOD</t>
  </si>
  <si>
    <t>2003-012137</t>
  </si>
  <si>
    <t>HB 270</t>
  </si>
  <si>
    <t>CHILD WELFARE SERVICES REFORM COOR CMTE</t>
  </si>
  <si>
    <t>2003-012136</t>
  </si>
  <si>
    <t>HB 261</t>
  </si>
  <si>
    <t>CHILD ABUSE REPORTS</t>
  </si>
  <si>
    <t>2003-012106</t>
  </si>
  <si>
    <t>SB 414</t>
  </si>
  <si>
    <t>GROUND &amp; MARITIME TRANSPORTATION</t>
  </si>
  <si>
    <t>2003-012130</t>
  </si>
  <si>
    <t>SB 827</t>
  </si>
  <si>
    <t>LAND COURT; TIMESHARE INTERESTS</t>
  </si>
  <si>
    <t>2003-012126</t>
  </si>
  <si>
    <t>SB 799</t>
  </si>
  <si>
    <t>VOLUNTARY EMPLOYEES' BENEFICIARY ASSOC TRUST</t>
  </si>
  <si>
    <t>2003-012142</t>
  </si>
  <si>
    <t>SB 618</t>
  </si>
  <si>
    <t>CRIME VICTIM COMPENSATION</t>
  </si>
  <si>
    <t>2003-012312</t>
  </si>
  <si>
    <t>GOV/LEG</t>
  </si>
  <si>
    <t>SB 1242</t>
  </si>
  <si>
    <t>FAIR ACCESS FOR STATE GOVT</t>
  </si>
  <si>
    <t>2003-012313</t>
  </si>
  <si>
    <t>SB 1253</t>
  </si>
  <si>
    <t>ECONOMIC DATA</t>
  </si>
  <si>
    <t>2003-012426</t>
  </si>
  <si>
    <t>SB 1282</t>
  </si>
  <si>
    <t>2003-012427</t>
  </si>
  <si>
    <t>SB 1284</t>
  </si>
  <si>
    <t>SMALL BUSINESS REGULATORY FLEXIBILITY ACT</t>
  </si>
  <si>
    <t>2003-012430</t>
  </si>
  <si>
    <t>GOV, DOE</t>
  </si>
  <si>
    <t>SB 1337</t>
  </si>
  <si>
    <t>PRINCIPALS</t>
  </si>
  <si>
    <t>2003-012310</t>
  </si>
  <si>
    <t>SB 842</t>
  </si>
  <si>
    <t>CABLE TELEVISION</t>
  </si>
  <si>
    <t>2003-012206</t>
  </si>
  <si>
    <t>HB 476</t>
  </si>
  <si>
    <t>CONSERVATION OF AQUATIC LIFE, WILDLIFE, AND LAND PLANTS</t>
  </si>
  <si>
    <t>2003-012311</t>
  </si>
  <si>
    <t>SB 1232</t>
  </si>
  <si>
    <t>PUBLIC AGENCY MEETINGS</t>
  </si>
  <si>
    <t>2003-012113</t>
  </si>
  <si>
    <t>SB 572</t>
  </si>
  <si>
    <t>AIR POLLUTION; CHILDREN'S HEALTH</t>
  </si>
  <si>
    <t>2003-012429</t>
  </si>
  <si>
    <t>SB 1334</t>
  </si>
  <si>
    <t>STATE INTERNET PORTAL</t>
  </si>
  <si>
    <t>2003-012120</t>
  </si>
  <si>
    <t>SB 696</t>
  </si>
  <si>
    <t>CIVIL SERVICE REFORM; SUBSTANCE ABUSE TRAINING</t>
  </si>
  <si>
    <t>2003-012307</t>
  </si>
  <si>
    <t>SB 1229</t>
  </si>
  <si>
    <t>NONPROFIT CORPORATION COMPLY W/ UIPA &amp; SUNSHINE</t>
  </si>
  <si>
    <t>2003-012305</t>
  </si>
  <si>
    <t>SB 1106</t>
  </si>
  <si>
    <t>FIREARMS, AMMUNITION &amp; DANGEROUS WEAPONS</t>
  </si>
  <si>
    <t>2003-012138</t>
  </si>
  <si>
    <t>HB 305</t>
  </si>
  <si>
    <t>OCCUPATIONAL SAFETY &amp; HEALTH</t>
  </si>
  <si>
    <t>2003-012215</t>
  </si>
  <si>
    <t>HB 133</t>
  </si>
  <si>
    <t>ABANDONED CHILDREN</t>
  </si>
  <si>
    <t>2003-012405</t>
  </si>
  <si>
    <t>HB 617</t>
  </si>
  <si>
    <t>VOLUNTARY EMPLOYEES BENFICIARY ASSOC TRUST COMP. SB 799</t>
  </si>
  <si>
    <t>2003-012432</t>
  </si>
  <si>
    <t>SB 1342</t>
  </si>
  <si>
    <t>DOE COMP. HB 1089</t>
  </si>
  <si>
    <t>2003-012420</t>
  </si>
  <si>
    <t>SB 1265</t>
  </si>
  <si>
    <t>CH. 846E, HRS COMP. HB 1112</t>
  </si>
  <si>
    <t>2003-012428</t>
  </si>
  <si>
    <t>SB 1308</t>
  </si>
  <si>
    <t>UNCLAIMED PROPERTY COMP. HB 1155</t>
  </si>
  <si>
    <t>2003-012422</t>
  </si>
  <si>
    <t>CHILD SUPPORT ENFORCEMENT COMP. HB 1115</t>
  </si>
  <si>
    <t>2003-012436</t>
  </si>
  <si>
    <t>SB 1357</t>
  </si>
  <si>
    <t>VITAL STATISTICS REGISTRATION DISTRICTS COMP. HB 1179</t>
  </si>
  <si>
    <t>2003-012437</t>
  </si>
  <si>
    <t>SB 1371</t>
  </si>
  <si>
    <t>CONFIDENTIALITY OF CONSULTATION REPORTS COMP. HB 1199</t>
  </si>
  <si>
    <t>2003-012442</t>
  </si>
  <si>
    <t>SB 1406</t>
  </si>
  <si>
    <t>COMMERCIAL DRIVER LICENSING COMP. HB 1235</t>
  </si>
  <si>
    <t>2003-012439</t>
  </si>
  <si>
    <t>SB 1375</t>
  </si>
  <si>
    <t>ADVISORY COMMITTEE W/ DLIR COMP. HB 1203</t>
  </si>
  <si>
    <t>2003-012434</t>
  </si>
  <si>
    <t>SB 1351</t>
  </si>
  <si>
    <t>BACKGROUND CHECK FOR ADULT SVCS PROG COMP. HB 1192</t>
  </si>
  <si>
    <t>2003-012440</t>
  </si>
  <si>
    <t>SB 1376</t>
  </si>
  <si>
    <t>HI CIVIL RIGHTS COMMISSION COMP. HB 1204</t>
  </si>
  <si>
    <t>2003-012424</t>
  </si>
  <si>
    <t>SB 1276</t>
  </si>
  <si>
    <t>TERRORISM COMP. HB 1123</t>
  </si>
  <si>
    <t>2003-012423</t>
  </si>
  <si>
    <t>AG, JUD</t>
  </si>
  <si>
    <t>SB 1273</t>
  </si>
  <si>
    <t>ELECTRONIC SURVEILLANCE COMP. HB 1120</t>
  </si>
  <si>
    <t>2003-012421</t>
  </si>
  <si>
    <t>SB 1266</t>
  </si>
  <si>
    <t>DRIVER'S LICENSES COMP. HB  1113</t>
  </si>
  <si>
    <t>2003-012425</t>
  </si>
  <si>
    <t>SB 1279</t>
  </si>
  <si>
    <t>TOBACCO COMP. HB 1126</t>
  </si>
  <si>
    <t>2003-012409</t>
  </si>
  <si>
    <t>HB 1003</t>
  </si>
  <si>
    <t>CRIME VICTIM COMPENSATION COMP. SB 618</t>
  </si>
  <si>
    <t>2003-012207</t>
  </si>
  <si>
    <t>HB 509</t>
  </si>
  <si>
    <t>COLLECTIVE BARGAINING IN PUBLIC EMPLOYMENT COMP. SB 71, SB 303</t>
  </si>
  <si>
    <t>2003-012438</t>
  </si>
  <si>
    <t>SB 1372</t>
  </si>
  <si>
    <t>EXPLOSIVES COMP. HB 1200</t>
  </si>
  <si>
    <t>2003-012211</t>
  </si>
  <si>
    <t>SB 768</t>
  </si>
  <si>
    <t>REINSTATE BINDING ARBITRATION</t>
  </si>
  <si>
    <t>2003-012208</t>
  </si>
  <si>
    <t>HB 512</t>
  </si>
  <si>
    <t>2003-012210</t>
  </si>
  <si>
    <t>SB 756</t>
  </si>
  <si>
    <t>2003-012719</t>
  </si>
  <si>
    <t>SB 1602</t>
  </si>
  <si>
    <t>PEG ACCESS ORGANIZATIONS</t>
  </si>
  <si>
    <t>2003-012712</t>
  </si>
  <si>
    <t>HB 832</t>
  </si>
  <si>
    <t>ECONOMIC DEVELOPMENT COMP. SB 426</t>
  </si>
  <si>
    <t>2003-012733</t>
  </si>
  <si>
    <t>SB 1653</t>
  </si>
  <si>
    <t>EDUCATION GOVERNANCE</t>
  </si>
  <si>
    <t>2003-012737</t>
  </si>
  <si>
    <t>SB 1604</t>
  </si>
  <si>
    <t>CITIZENS RIGHT TO VOTE</t>
  </si>
  <si>
    <t>2003-012732</t>
  </si>
  <si>
    <t>SB 1673</t>
  </si>
  <si>
    <t>SHIPBOARD GAMING</t>
  </si>
  <si>
    <t>2003-012731</t>
  </si>
  <si>
    <t>SB 1164</t>
  </si>
  <si>
    <t>LAND USE COMP. HB 845</t>
  </si>
  <si>
    <t>2003-012735</t>
  </si>
  <si>
    <t>SB 1608</t>
  </si>
  <si>
    <t>2003-012709</t>
  </si>
  <si>
    <t>HB 845</t>
  </si>
  <si>
    <t>LAND USE COMP. SB 1164</t>
  </si>
  <si>
    <t>2003-012714</t>
  </si>
  <si>
    <t>HB 803</t>
  </si>
  <si>
    <t>2003-012717</t>
  </si>
  <si>
    <t>HB 786</t>
  </si>
  <si>
    <t>DISCLOSURE OF EMPLOYMENT INFORMATION</t>
  </si>
  <si>
    <t>2003-012707</t>
  </si>
  <si>
    <t>HB 979</t>
  </si>
  <si>
    <t>CIVIL PROCESS SERVICES</t>
  </si>
  <si>
    <t>2003-012416</t>
  </si>
  <si>
    <t>HB 734</t>
  </si>
  <si>
    <t>VOTER REGISTRATION ON ELECTION DAY COMP. SB 483, SB 715, HB 204</t>
  </si>
  <si>
    <t>2003-012415</t>
  </si>
  <si>
    <t>HB 703</t>
  </si>
  <si>
    <t>DESIGN PROFESSIONAL SERVICES CONTRACTS COMP. SB 19</t>
  </si>
  <si>
    <t>2003-012706</t>
  </si>
  <si>
    <t>HB 984</t>
  </si>
  <si>
    <t>CIVIL SERVICE REFORM COMP. SB 696</t>
  </si>
  <si>
    <t>2003-012704</t>
  </si>
  <si>
    <t>HB 1026</t>
  </si>
  <si>
    <t>FAIR ACCESS TO STATE GOVERNMENT COMP. SB 1242</t>
  </si>
  <si>
    <t>2003-012726</t>
  </si>
  <si>
    <t>SB 1466</t>
  </si>
  <si>
    <t>PROCUREMENT OF DESIGN PROFESSIONAL SERVICES</t>
  </si>
  <si>
    <t>2003-012784</t>
  </si>
  <si>
    <t>HB 1235</t>
  </si>
  <si>
    <t>COMMERCIAL DRIVER LICENSING COMP. SB 1406</t>
  </si>
  <si>
    <t>2003-012770</t>
  </si>
  <si>
    <t>HB 1123</t>
  </si>
  <si>
    <t>TERRORISM COMP. SB 1276</t>
  </si>
  <si>
    <t>2003-012767</t>
  </si>
  <si>
    <t>HB 1113</t>
  </si>
  <si>
    <t>DRIVERS LICENSES COMP. SB 1266</t>
  </si>
  <si>
    <t>2003-012739</t>
  </si>
  <si>
    <t>SB 721</t>
  </si>
  <si>
    <t>APPROPRIATION FOR UNIFIED DATABASE SYSTEM FOR ALL STATE AGENCIES</t>
  </si>
  <si>
    <t>2003-012738</t>
  </si>
  <si>
    <t>SB 1251</t>
  </si>
  <si>
    <t>STATE CHIEF INFORMATION OFFICER</t>
  </si>
  <si>
    <t>2003-012776</t>
  </si>
  <si>
    <t>VITAL STATISTICS REGISTRATION DIVISION COMP. SB 1357</t>
  </si>
  <si>
    <t>2003-012793</t>
  </si>
  <si>
    <t>HB 1084</t>
  </si>
  <si>
    <t>PRINCIPALS COMP. SB 1337</t>
  </si>
  <si>
    <t>2003-012794</t>
  </si>
  <si>
    <t>HB 1085</t>
  </si>
  <si>
    <t>COLLECTIVE BARGAINING COMP. SB 1338</t>
  </si>
  <si>
    <t>2003-012795</t>
  </si>
  <si>
    <t>HB 1089</t>
  </si>
  <si>
    <t>DOE COMP. SB 1342</t>
  </si>
  <si>
    <t>2003-012772</t>
  </si>
  <si>
    <t>HB 1129</t>
  </si>
  <si>
    <t>HCDCH COMP. SB 1282</t>
  </si>
  <si>
    <t>2003-012799</t>
  </si>
  <si>
    <t>HB 1518</t>
  </si>
  <si>
    <t>2003-0127100</t>
  </si>
  <si>
    <t>HB 1515</t>
  </si>
  <si>
    <t>PEG ACCESS</t>
  </si>
  <si>
    <t>2003-012798</t>
  </si>
  <si>
    <t>HB 1528</t>
  </si>
  <si>
    <t>LEGISLATIVE ACCOUNTABILITY</t>
  </si>
  <si>
    <t>2003-012443</t>
  </si>
  <si>
    <t>RFA-P (03-005)</t>
  </si>
  <si>
    <t>REQUEST DOCS 1984 FC CASE</t>
  </si>
  <si>
    <t>2003-012764</t>
  </si>
  <si>
    <t>HB 1103</t>
  </si>
  <si>
    <t>2003-012418</t>
  </si>
  <si>
    <t>SB 1262</t>
  </si>
  <si>
    <t>PROCUREMENT COMP. HB 1103</t>
  </si>
  <si>
    <t>2003-012743</t>
  </si>
  <si>
    <t>SB 1134</t>
  </si>
  <si>
    <t>COURTS COSTS COMP. HB 810</t>
  </si>
  <si>
    <t>2003-012777</t>
  </si>
  <si>
    <t>HB 1192</t>
  </si>
  <si>
    <t>BACKGROUND CHECKS FOR ADULT SERVICES PROGRAMS COMP. SB 1351</t>
  </si>
  <si>
    <t>2003-012747</t>
  </si>
  <si>
    <t>HB 1134</t>
  </si>
  <si>
    <t>ALOHA TOWER COMMUNITY DEVELOPMENT DISTRICT COMP. SB 1287</t>
  </si>
  <si>
    <t>2003-012773</t>
  </si>
  <si>
    <t>HB 1131</t>
  </si>
  <si>
    <t>SMALL BUSINESS REGULATORY FLEXIBILITY ACT COMP. SB 1284</t>
  </si>
  <si>
    <t>2003-012759</t>
  </si>
  <si>
    <t>PSD, DAGS</t>
  </si>
  <si>
    <t>HB 1320</t>
  </si>
  <si>
    <t>PUBLIC PROCUREMENT COMP. HB 1642</t>
  </si>
  <si>
    <t>2003-012790</t>
  </si>
  <si>
    <t>HB 1642</t>
  </si>
  <si>
    <t>PUBLIC PROCUREMENT COMP. HB 1320</t>
  </si>
  <si>
    <t>2003-012801</t>
  </si>
  <si>
    <t>HB 1599</t>
  </si>
  <si>
    <t>2003-012761</t>
  </si>
  <si>
    <t>DBEDT-LUC</t>
  </si>
  <si>
    <t>HB 774</t>
  </si>
  <si>
    <t>LAND USE</t>
  </si>
  <si>
    <t>2003-012763</t>
  </si>
  <si>
    <t>HB 360</t>
  </si>
  <si>
    <t>EDUCATION GOVERNANCE COMP. SB 1653</t>
  </si>
  <si>
    <t>2003-012786</t>
  </si>
  <si>
    <t>HB 1605</t>
  </si>
  <si>
    <t>CITIZENS RIGHT TO VOTE COMP. SB 1604</t>
  </si>
  <si>
    <t>2003-012754</t>
  </si>
  <si>
    <t>HB 1451</t>
  </si>
  <si>
    <t>ECONOMIC DATA COMP. SB 1253</t>
  </si>
  <si>
    <t>2003-012435</t>
  </si>
  <si>
    <t>SB 1356</t>
  </si>
  <si>
    <t>REGISTRATION OF VITAL STATISTICS COMP. HB 1178</t>
  </si>
  <si>
    <t>2030-12775</t>
  </si>
  <si>
    <t>HB 1178</t>
  </si>
  <si>
    <t>REGISTRATION OF VITAL STATISTICS COMP. SB 1356</t>
  </si>
  <si>
    <t>2003-012760</t>
  </si>
  <si>
    <t>HB 996</t>
  </si>
  <si>
    <t>STATE CAPITOL</t>
  </si>
  <si>
    <t>2003-012752</t>
  </si>
  <si>
    <t>HB 658</t>
  </si>
  <si>
    <t>HAWAII COMMUNITY DEVELOPMENT AUTHORITY</t>
  </si>
  <si>
    <t>2003-012765</t>
  </si>
  <si>
    <t>HB 1104</t>
  </si>
  <si>
    <t>ELECTRONIC PROCUREMENT COMP. SB 1263</t>
  </si>
  <si>
    <t>2003-012419</t>
  </si>
  <si>
    <t>SB 1263</t>
  </si>
  <si>
    <t>ELECTRONIC PROCUREMENT COMP. HB 1104</t>
  </si>
  <si>
    <t>2003-012783</t>
  </si>
  <si>
    <t>HB 1213</t>
  </si>
  <si>
    <t>ENDANGERED SPECIES COMP. SB 1417</t>
  </si>
  <si>
    <t>2003-012444</t>
  </si>
  <si>
    <t>SB 1417</t>
  </si>
  <si>
    <t>ENDANGERED SPECIES COMP. HB 1213</t>
  </si>
  <si>
    <t>2003-012785</t>
  </si>
  <si>
    <t>HB 1579</t>
  </si>
  <si>
    <t>ECONOMIC DIVERSIFICATION AUTHORITY</t>
  </si>
  <si>
    <t>2003-012744</t>
  </si>
  <si>
    <t>SB 1222</t>
  </si>
  <si>
    <t>WORKFORCE DEVELOPMENT</t>
  </si>
  <si>
    <t>2003-012408</t>
  </si>
  <si>
    <t>HB 641</t>
  </si>
  <si>
    <t>CRIMINAL HISTORY RECORD CHECKS COMP. SB 830</t>
  </si>
  <si>
    <t>2003-012751</t>
  </si>
  <si>
    <t>HB 810</t>
  </si>
  <si>
    <t>COURT COSTS COMP. SB 1134</t>
  </si>
  <si>
    <t>2003-012441</t>
  </si>
  <si>
    <t>SB 1377</t>
  </si>
  <si>
    <t>PREPAID HEALTH CARE ADVISORY COUNCIL COMP. HB 1205</t>
  </si>
  <si>
    <t>2003-012782</t>
  </si>
  <si>
    <t>HB 1205</t>
  </si>
  <si>
    <t>PREPAID HEALTH CARE ADVISORY COUNCIL COMP. SB 1377</t>
  </si>
  <si>
    <t>2003-012433</t>
  </si>
  <si>
    <t>SB 1350</t>
  </si>
  <si>
    <t>INFORMED CONSENT COMP. HB 1097</t>
  </si>
  <si>
    <t>2003-012796</t>
  </si>
  <si>
    <t>HB 1097</t>
  </si>
  <si>
    <t>INFORMED CONSENT COMP. SB 1350</t>
  </si>
  <si>
    <t>2003-012713</t>
  </si>
  <si>
    <t>JUD, DOE</t>
  </si>
  <si>
    <t>HB 805</t>
  </si>
  <si>
    <t>JUVENILE CRIME RECORDS COMP. SB 1163, HB 639, SB 1086</t>
  </si>
  <si>
    <t>2003-012303</t>
  </si>
  <si>
    <t>SB 1103</t>
  </si>
  <si>
    <t>JUVENILE CRIMINAL RECORDS COMP. HB 805, SB 1086, HB 639</t>
  </si>
  <si>
    <t>2003-012304</t>
  </si>
  <si>
    <t>SB 1086</t>
  </si>
  <si>
    <t>JUVENILE COURT RECORD SHARING COMP. HB 639, SB 1103, HB 805</t>
  </si>
  <si>
    <t>2003-012407</t>
  </si>
  <si>
    <t>HB 639</t>
  </si>
  <si>
    <t>JUVENILE COURT COMP. SB 1086, SB 1103, HB 805</t>
  </si>
  <si>
    <t>2003-012810</t>
  </si>
  <si>
    <t>SB 1405</t>
  </si>
  <si>
    <t>COMMERCIAL DRIVER LICENSING COMP. HB 1234</t>
  </si>
  <si>
    <t>2003-012809</t>
  </si>
  <si>
    <t>SB 1343</t>
  </si>
  <si>
    <t>DOE COMP. HB 1090</t>
  </si>
  <si>
    <t>2003-012808</t>
  </si>
  <si>
    <t>SB 1148</t>
  </si>
  <si>
    <t>ABSENTEE VOTING COMP. HB 755</t>
  </si>
  <si>
    <t>2003-012823</t>
  </si>
  <si>
    <t>HB 1234</t>
  </si>
  <si>
    <t>COMMERCIAL DRIVER LICENSING COMP. SB 1405</t>
  </si>
  <si>
    <t>2003-012820</t>
  </si>
  <si>
    <t>HB 1471</t>
  </si>
  <si>
    <t>LAND USE COMP. SB 827</t>
  </si>
  <si>
    <t>2003-012915</t>
  </si>
  <si>
    <t>SB 1317</t>
  </si>
  <si>
    <t>INSURANCE COMP. HB 1164</t>
  </si>
  <si>
    <t>2003-012907</t>
  </si>
  <si>
    <t>HB 1164</t>
  </si>
  <si>
    <t>2003-012768</t>
  </si>
  <si>
    <t>HB 1115</t>
  </si>
  <si>
    <t>CHILD SUPPORT ENFORCEMENT COMP. SB 1268</t>
  </si>
  <si>
    <t>2003-012779</t>
  </si>
  <si>
    <t>HB 1200</t>
  </si>
  <si>
    <t>EXPLOSIVES COMP. SB 1372</t>
  </si>
  <si>
    <t>2003-012769</t>
  </si>
  <si>
    <t>HB 1120</t>
  </si>
  <si>
    <t>ELECTRONIC SURVEILLANCE COMP. SB 1273</t>
  </si>
  <si>
    <t>2003-012780</t>
  </si>
  <si>
    <t>HB 1203</t>
  </si>
  <si>
    <t>ADVISORY COMMITTEES TO DLIR COMP. SB 1375</t>
  </si>
  <si>
    <t>2003-012778</t>
  </si>
  <si>
    <t>HB 1199</t>
  </si>
  <si>
    <t>CONFIDENTIALITY OF CONSULTATION REPORTS COMP. SB 1371</t>
  </si>
  <si>
    <t>2003-012817</t>
  </si>
  <si>
    <t>HB 1557</t>
  </si>
  <si>
    <t>HAWAIIAN EDUCATION</t>
  </si>
  <si>
    <t>2003-012812</t>
  </si>
  <si>
    <t>SB 1700</t>
  </si>
  <si>
    <t>CHARTER SCHOOLS</t>
  </si>
  <si>
    <t>2003-012814</t>
  </si>
  <si>
    <t>HB 1687</t>
  </si>
  <si>
    <t>CHARTER SCHOOLS COMP. SB 1700</t>
  </si>
  <si>
    <t>2003-012827</t>
  </si>
  <si>
    <t>HB 361</t>
  </si>
  <si>
    <t>2003-012825</t>
  </si>
  <si>
    <t>HB 1090</t>
  </si>
  <si>
    <t>DOE COMP. SB 1343</t>
  </si>
  <si>
    <t>2003-012908</t>
  </si>
  <si>
    <t>SB 1287</t>
  </si>
  <si>
    <t>ALOHA TOWER COMMUNITY DEVELOPMENT DISTRICT COMP. HB 1134</t>
  </si>
  <si>
    <t>2003-012787</t>
  </si>
  <si>
    <t>HB 1204</t>
  </si>
  <si>
    <t>HAWAII CIVIL RIGHTS COMMISSION COMP. SB 1376</t>
  </si>
  <si>
    <t>2003-012836</t>
  </si>
  <si>
    <t>HB 630</t>
  </si>
  <si>
    <t>TAX CREDITS</t>
  </si>
  <si>
    <t>2003-012741</t>
  </si>
  <si>
    <t>SB 1642</t>
  </si>
  <si>
    <t>HAWAII SPORTS AUTHORITY</t>
  </si>
  <si>
    <t>2003-012740</t>
  </si>
  <si>
    <t>SB 1701</t>
  </si>
  <si>
    <t>HAWAII STATE SPORTS AUTHORITY</t>
  </si>
  <si>
    <t>2003-012804</t>
  </si>
  <si>
    <t>SB 1024</t>
  </si>
  <si>
    <t>2003-012807</t>
  </si>
  <si>
    <t>SB 1118</t>
  </si>
  <si>
    <t>FIRING RANGES</t>
  </si>
  <si>
    <t>2003-012805</t>
  </si>
  <si>
    <t>SB 774</t>
  </si>
  <si>
    <t>CORPORATE DISCLOSURE COMP. HB 21</t>
  </si>
  <si>
    <t>2003-012824</t>
  </si>
  <si>
    <t>HB 997</t>
  </si>
  <si>
    <t>LEGISLATIVE INFORMATION</t>
  </si>
  <si>
    <t>2003-012758</t>
  </si>
  <si>
    <t>HB 1340</t>
  </si>
  <si>
    <t>HAWAII TEACHER STANDARDS BOARD</t>
  </si>
  <si>
    <t>2003-012708</t>
  </si>
  <si>
    <t>HB 937</t>
  </si>
  <si>
    <t>PUBLIC AGENCY MEETINGS COMP. SB 1232</t>
  </si>
  <si>
    <t>2003-012762</t>
  </si>
  <si>
    <t>HB 510</t>
  </si>
  <si>
    <t>GOVT PRIVATIZATION; MANAGED COMPETITION</t>
  </si>
  <si>
    <t>2003-012753</t>
  </si>
  <si>
    <t>HB 1483</t>
  </si>
  <si>
    <t>SOLID WASTE MANAGEMENT</t>
  </si>
  <si>
    <t>2003-012746</t>
  </si>
  <si>
    <t>HB 1243</t>
  </si>
  <si>
    <t>GROUND &amp; MARITIME TRANSPORTATION COMP. SB 414</t>
  </si>
  <si>
    <t>2003-012749</t>
  </si>
  <si>
    <t>HB 1039</t>
  </si>
  <si>
    <t>2003-012745</t>
  </si>
  <si>
    <t>HB 1282</t>
  </si>
  <si>
    <t>2003-012771</t>
  </si>
  <si>
    <t>HB 1126</t>
  </si>
  <si>
    <t>TOBACCO COMP. SB 1279</t>
  </si>
  <si>
    <t>2003-012819</t>
  </si>
  <si>
    <t>HB 1459</t>
  </si>
  <si>
    <t>DRIVER LICENSING</t>
  </si>
  <si>
    <t>2003-012403</t>
  </si>
  <si>
    <t>HB 573</t>
  </si>
  <si>
    <t>REPEAL OF STATE HEALTH PLANNING &amp; DEVELOPMENT AGENCY</t>
  </si>
  <si>
    <t>2003-012445</t>
  </si>
  <si>
    <t>HB 602</t>
  </si>
  <si>
    <t>CAMPAIGN SPENDING COMMISSION</t>
  </si>
  <si>
    <t>2003-012406</t>
  </si>
  <si>
    <t>HB 627</t>
  </si>
  <si>
    <t>RIGHTS OF PARENTS &amp; GUARDIANS, ABORTION NOTICE COMP. SB 512</t>
  </si>
  <si>
    <t>2003-012402</t>
  </si>
  <si>
    <t>HB 556</t>
  </si>
  <si>
    <t>PEER SUPPORT COUNSELING SERVICES</t>
  </si>
  <si>
    <t>2003-012829</t>
  </si>
  <si>
    <t>HB 862</t>
  </si>
  <si>
    <t>DEATH WITH DIGNITY</t>
  </si>
  <si>
    <t>2003-012703</t>
  </si>
  <si>
    <t>HB 1068</t>
  </si>
  <si>
    <t>HOMEOPATHIC MEDICINE</t>
  </si>
  <si>
    <t>2003-012822</t>
  </si>
  <si>
    <t>HB 1298</t>
  </si>
  <si>
    <t>LONG TERM CARE INCOME TAX</t>
  </si>
  <si>
    <t>2003-012816</t>
  </si>
  <si>
    <t>HB 1616</t>
  </si>
  <si>
    <t>2003-012806</t>
  </si>
  <si>
    <t>SB 1088</t>
  </si>
  <si>
    <t>LONG TERM CARE</t>
  </si>
  <si>
    <t>2003-012715</t>
  </si>
  <si>
    <t>HB 1256</t>
  </si>
  <si>
    <t>HEALTH INSURANCE</t>
  </si>
  <si>
    <t>2003-012910</t>
  </si>
  <si>
    <t>SB 1226</t>
  </si>
  <si>
    <t>2003-012905</t>
  </si>
  <si>
    <t>HB 678</t>
  </si>
  <si>
    <t>2003-012710</t>
  </si>
  <si>
    <t>HB 873</t>
  </si>
  <si>
    <t>POST SECONDARY EDUCATION</t>
  </si>
  <si>
    <t>2003-012913</t>
  </si>
  <si>
    <t>SB 1044</t>
  </si>
  <si>
    <t>EXECUTIVE COMMUNICATIONS</t>
  </si>
  <si>
    <t>2003-012901</t>
  </si>
  <si>
    <t>HB 933</t>
  </si>
  <si>
    <t>2003-012903</t>
  </si>
  <si>
    <t>HB 871</t>
  </si>
  <si>
    <t>FISCAL ACCOUNTABILITY, SUBSIDY LIMITS &amp; JOB QUALITY STANDARDS</t>
  </si>
  <si>
    <t>2003-012831</t>
  </si>
  <si>
    <t>HB 791</t>
  </si>
  <si>
    <t>FIRING RANGES COMP. SB 1118</t>
  </si>
  <si>
    <t>2003-012832</t>
  </si>
  <si>
    <t>HB 755</t>
  </si>
  <si>
    <t>ABSENTEE VOTING COMP. SB 1148</t>
  </si>
  <si>
    <t>2003-012835</t>
  </si>
  <si>
    <t>HB 525</t>
  </si>
  <si>
    <t>ABSENTEE VOTING COMP. SB 698</t>
  </si>
  <si>
    <t>2003-012837</t>
  </si>
  <si>
    <t>HB 628</t>
  </si>
  <si>
    <t>2003-012826</t>
  </si>
  <si>
    <t>HB 516</t>
  </si>
  <si>
    <t>SOCIAL SECURITY NUMBERS COMP. HB 324, SB 753, SB 303, SB 71, HB 681</t>
  </si>
  <si>
    <t>2003-012818</t>
  </si>
  <si>
    <t>HB 1521</t>
  </si>
  <si>
    <t>ELECTIONS</t>
  </si>
  <si>
    <t>2003-012830</t>
  </si>
  <si>
    <t>HB 850</t>
  </si>
  <si>
    <t>2003-012750</t>
  </si>
  <si>
    <t>HB 1014</t>
  </si>
  <si>
    <t>MOTOR CARRIERS</t>
  </si>
  <si>
    <t>2003-012828</t>
  </si>
  <si>
    <t>HB 919</t>
  </si>
  <si>
    <t>STATE HEALTH PLANNING &amp; DEVELOPMENT</t>
  </si>
  <si>
    <t>2003-012811</t>
  </si>
  <si>
    <t>SB 1675</t>
  </si>
  <si>
    <t>STATE HEATLH PLANNING &amp; DEVELOPMENT</t>
  </si>
  <si>
    <t>2003-012711</t>
  </si>
  <si>
    <t>HB 837</t>
  </si>
  <si>
    <t>2003-012756</t>
  </si>
  <si>
    <t>HB 1418</t>
  </si>
  <si>
    <t>2003-012788</t>
  </si>
  <si>
    <t>HB 1610</t>
  </si>
  <si>
    <t>SUBSTANCE ABUSE</t>
  </si>
  <si>
    <t>2003-012755</t>
  </si>
  <si>
    <t>HB 1429</t>
  </si>
  <si>
    <t>COMMISSION ON FATHERHOOD COMP. SB 1423</t>
  </si>
  <si>
    <t>2003-012789</t>
  </si>
  <si>
    <t>HB 1617</t>
  </si>
  <si>
    <t>HEALTH CARE AUTHORITY</t>
  </si>
  <si>
    <t>2003-012730</t>
  </si>
  <si>
    <t>SB 1423</t>
  </si>
  <si>
    <t>COMMISSION ON FATHERHOOD</t>
  </si>
  <si>
    <t>2003-012722</t>
  </si>
  <si>
    <t>SB 1571</t>
  </si>
  <si>
    <t>PATIENT SAFETY</t>
  </si>
  <si>
    <t>2003-012721</t>
  </si>
  <si>
    <t>SB 1593</t>
  </si>
  <si>
    <t>ENVIRONMENTAL JUSTICE</t>
  </si>
  <si>
    <t>2003-0127103</t>
  </si>
  <si>
    <t>MAY0R-K</t>
  </si>
  <si>
    <t>2003-012912</t>
  </si>
  <si>
    <t>SB 1093</t>
  </si>
  <si>
    <t>ENFORCEMENT OF THE STATE ETHICS CODE COMP. SB 752</t>
  </si>
  <si>
    <t>2003-012904</t>
  </si>
  <si>
    <t>HB 752</t>
  </si>
  <si>
    <t>ENFORCEMENT OF THE STATE ETHICS CODE COMP. SB 1093</t>
  </si>
  <si>
    <t>2003-012911</t>
  </si>
  <si>
    <t>SB 1184</t>
  </si>
  <si>
    <t>ETHICS COMP. HB 932</t>
  </si>
  <si>
    <t>2003-012902</t>
  </si>
  <si>
    <t>HB 932</t>
  </si>
  <si>
    <t>ETHICS COMP. SB 1184</t>
  </si>
  <si>
    <t>2003-013001</t>
  </si>
  <si>
    <t>HB 473</t>
  </si>
  <si>
    <t>PUBLIC UTILITIES COMMISSION COMP. SB 498</t>
  </si>
  <si>
    <t>2003-013003</t>
  </si>
  <si>
    <t>SB 498</t>
  </si>
  <si>
    <t>PUBLIC UTILITIES COMMISSION COMP. HB 473</t>
  </si>
  <si>
    <t>2003-013010</t>
  </si>
  <si>
    <t>SB 693</t>
  </si>
  <si>
    <t>STATE ETHICS CODE</t>
  </si>
  <si>
    <t>2003-013008</t>
  </si>
  <si>
    <t>HB 902</t>
  </si>
  <si>
    <t>EDUCATION COMP. SB 1237</t>
  </si>
  <si>
    <t>SB 1237</t>
  </si>
  <si>
    <t>EDUCATION COMP. HB 902</t>
  </si>
  <si>
    <t>2003-013015</t>
  </si>
  <si>
    <t>HB 782</t>
  </si>
  <si>
    <t>E911 &amp; 311 TELEPHONE SURCHARGES COMP. SB 1127</t>
  </si>
  <si>
    <t>2003-013012</t>
  </si>
  <si>
    <t>SB 1127</t>
  </si>
  <si>
    <t>E911 &amp; 311 TELEPHONE SURCHARGES</t>
  </si>
  <si>
    <t>2003-013014</t>
  </si>
  <si>
    <t>HB 950</t>
  </si>
  <si>
    <t>E911 7 311 TELEPHONE SURCHARGES</t>
  </si>
  <si>
    <t>2003-013009</t>
  </si>
  <si>
    <t>HB 1452</t>
  </si>
  <si>
    <t>STATE CHIEF INFORMATION OFFICER COMP. SB 1251</t>
  </si>
  <si>
    <t>2003-013011</t>
  </si>
  <si>
    <t>SB 690</t>
  </si>
  <si>
    <t>2003-013006</t>
  </si>
  <si>
    <t>HB 1417</t>
  </si>
  <si>
    <t>INFORMED CONSENT</t>
  </si>
  <si>
    <t>2003-013005</t>
  </si>
  <si>
    <t>SB 879</t>
  </si>
  <si>
    <t>CHILD PROTECTION COMP. HB 133</t>
  </si>
  <si>
    <t>2003-013103</t>
  </si>
  <si>
    <t>SB 1597</t>
  </si>
  <si>
    <t>2003-013016</t>
  </si>
  <si>
    <t>ANNUAL REPORT 5 YEARS</t>
  </si>
  <si>
    <t>2003-012916</t>
  </si>
  <si>
    <t>RFA-P (03-006)</t>
  </si>
  <si>
    <t>EMPLOYEE QUALIFICATIONS</t>
  </si>
  <si>
    <t>TROOPS TO TEACHER RECRUITER</t>
  </si>
  <si>
    <t>2003-013107</t>
  </si>
  <si>
    <t>RFA-P (03-007)</t>
  </si>
  <si>
    <t>TEACHING STATUS</t>
  </si>
  <si>
    <t>PURGED RECORDS</t>
  </si>
  <si>
    <t>2003-020301</t>
  </si>
  <si>
    <t>SB 875</t>
  </si>
  <si>
    <t>INTERNATIONAL MATCHMAKING ORGANIZATIONS COMP. HB 135</t>
  </si>
  <si>
    <t>2003-013007</t>
  </si>
  <si>
    <t>HB 1226</t>
  </si>
  <si>
    <t>SIMPLIFIED TAX ADMINISTRATION COMP. SB 1397</t>
  </si>
  <si>
    <t>2003-013002</t>
  </si>
  <si>
    <t>SB 1397</t>
  </si>
  <si>
    <t>SIMPLIFIED TAX ADMINISTRATION COMP. H.B. 1226</t>
  </si>
  <si>
    <t>2003-020401</t>
  </si>
  <si>
    <t>RFA-P (03-008)</t>
  </si>
  <si>
    <t>INSTITUTIONAL DOCUMENTS</t>
  </si>
  <si>
    <t>2003-013102</t>
  </si>
  <si>
    <t>HB 1189</t>
  </si>
  <si>
    <t>HHSC COMP. SB 1367</t>
  </si>
  <si>
    <t>2003-013101</t>
  </si>
  <si>
    <t>SB 1367</t>
  </si>
  <si>
    <t>HHSC COMP. HB 1189</t>
  </si>
  <si>
    <t>2003-0127104</t>
  </si>
  <si>
    <t>RFA-P (03-009)</t>
  </si>
  <si>
    <t>2003-020601</t>
  </si>
  <si>
    <t>REQUEST TO FIND FILE AT HCF</t>
  </si>
  <si>
    <t>2003-021101</t>
  </si>
  <si>
    <t>RECORDS FROM KCF &amp; HCF</t>
  </si>
  <si>
    <t>2003-021301</t>
  </si>
  <si>
    <t>CIV. NO. 03-1-0195-01</t>
  </si>
  <si>
    <t>2003-021302</t>
  </si>
  <si>
    <t>RFA-P (03-010)</t>
  </si>
  <si>
    <t>COMPLAINTS RE NUDE SUNBATHIN</t>
  </si>
  <si>
    <t>2003-021401</t>
  </si>
  <si>
    <t>LHK</t>
  </si>
  <si>
    <t>HB 318</t>
  </si>
  <si>
    <t>HUMAN RESOURCES COMP. SB 61</t>
  </si>
  <si>
    <t>2003-021402</t>
  </si>
  <si>
    <t>SB 61</t>
  </si>
  <si>
    <t>HUMAN RESOURCES COMP. HB 318</t>
  </si>
  <si>
    <t>2003-021306</t>
  </si>
  <si>
    <t>RFA-P (03-011)</t>
  </si>
  <si>
    <t>REQUEST FOR MEDICAL MAR</t>
  </si>
  <si>
    <t>2003-022403</t>
  </si>
  <si>
    <t>RFO (03-002)</t>
  </si>
  <si>
    <t>LAND USE COMMISSION</t>
  </si>
  <si>
    <t>2003-022801</t>
  </si>
  <si>
    <t>HB 285</t>
  </si>
  <si>
    <t>ADMINISTRATIVE PROCEDURE</t>
  </si>
  <si>
    <t>2003-022802</t>
  </si>
  <si>
    <t>RFA-P (03-012)</t>
  </si>
  <si>
    <t>PERSONAL MEDICAL FILE</t>
  </si>
  <si>
    <t>2003-022803</t>
  </si>
  <si>
    <t>RFA-P (03-013)</t>
  </si>
  <si>
    <t>VERIZON</t>
  </si>
  <si>
    <t>CALL VOLUME</t>
  </si>
  <si>
    <t>2003-030702</t>
  </si>
  <si>
    <t>BURDEN OF PROOF WHEN RECORDS DESTROYED</t>
  </si>
  <si>
    <t>2003-030703</t>
  </si>
  <si>
    <t>RFO (03-003)</t>
  </si>
  <si>
    <t>AKAKU</t>
  </si>
  <si>
    <t>SUBJECT TO UIPA &amp; SUNSHINE</t>
  </si>
  <si>
    <t>2003-030704</t>
  </si>
  <si>
    <t>RFO (03-004)</t>
  </si>
  <si>
    <t>2003-031001</t>
  </si>
  <si>
    <t>SCR 54</t>
  </si>
  <si>
    <t>DHHL/DOH VITAL STATS RECORDS COMP. SR 34</t>
  </si>
  <si>
    <t>2003-031002</t>
  </si>
  <si>
    <t>SR 34</t>
  </si>
  <si>
    <t>DHHL/DOH VITAL STATS RECORDS COMP. SCR 54</t>
  </si>
  <si>
    <t>2003-031003</t>
  </si>
  <si>
    <t>LETTER TO COUNCIL</t>
  </si>
  <si>
    <t>STAR BULLETIN ARTICLE</t>
  </si>
  <si>
    <t>2003-022804</t>
  </si>
  <si>
    <t>DBEDT-HCDA</t>
  </si>
  <si>
    <t>HB 86</t>
  </si>
  <si>
    <t>2003-022805</t>
  </si>
  <si>
    <t>INSURANCE COMP. SB 1317</t>
  </si>
  <si>
    <t>2003-022806</t>
  </si>
  <si>
    <t>SB 1319</t>
  </si>
  <si>
    <t>UNIFORM LIMITED PARTNERSHIP ACT COMP. HB 1166</t>
  </si>
  <si>
    <t>1989-082401</t>
  </si>
  <si>
    <t>RFO (89-049)</t>
  </si>
  <si>
    <t>DISCLOSURE OF MEMBERS ON ADMISSIONS CMTE</t>
  </si>
  <si>
    <t>1989-083101</t>
  </si>
  <si>
    <t>RFO (89-050)</t>
  </si>
  <si>
    <t>LIST  OF MEMBERS OF ADMISSIONS CMTE &amp; GUIDELINES</t>
  </si>
  <si>
    <t>1989-121901</t>
  </si>
  <si>
    <t>RFO (89-106)</t>
  </si>
  <si>
    <t>DISCLOSURE OF ACCREDITATION REPORTS</t>
  </si>
  <si>
    <t>RFO (89-075)</t>
  </si>
  <si>
    <t>REQUEST FOR SELF-STUDY ACCREDITATION REPORTS</t>
  </si>
  <si>
    <t>RFO (89-105)</t>
  </si>
  <si>
    <t>PUBLIC ACCESS TO COMPUTER TAPES</t>
  </si>
  <si>
    <t>DATA IN VOTER REG AFFIDAVITS</t>
  </si>
  <si>
    <t>RFO (89-101)</t>
  </si>
  <si>
    <t>ACCESS TO  COPY OF MEMO</t>
  </si>
  <si>
    <t>DPW TO CORP COUNSEL &amp; PROSECUTING ATTY</t>
  </si>
  <si>
    <t>RFO (89-028)</t>
  </si>
  <si>
    <t>DRAFTS OF CORR &amp; STAFF NOTES ABOUT ALLEGED ZONING VIOLATION</t>
  </si>
  <si>
    <t>1988-120901</t>
  </si>
  <si>
    <t>RFO (89-001)</t>
  </si>
  <si>
    <t>CONFIDENTIALITY OF COMPLAINANT'S IDENTITY</t>
  </si>
  <si>
    <t>1989-061601</t>
  </si>
  <si>
    <t>RFO (89-008)</t>
  </si>
  <si>
    <t>DISCLOSURE OF INFO FROM DRIVERS' LICENSE RECORDS TO JUDICIARY</t>
  </si>
  <si>
    <t>TO CREATE MASTER LIST OF PROPECTIVE JURORS</t>
  </si>
  <si>
    <t>1989-051801</t>
  </si>
  <si>
    <t>ACCESS TO VOTER REGISTRATION</t>
  </si>
  <si>
    <t>1989-122101</t>
  </si>
  <si>
    <t>RFO (89-115)</t>
  </si>
  <si>
    <t>DPW-M</t>
  </si>
  <si>
    <t>PUBLIC INSPECTION OF NOTICES OF VIOLATIONS</t>
  </si>
  <si>
    <t>RFO (89-116)</t>
  </si>
  <si>
    <t>WATER CONSUMPTION DATA</t>
  </si>
  <si>
    <t>RFO (89-042)</t>
  </si>
  <si>
    <t>DISCLOSURE OF HOME TELEPHONE NUMBERS OF BWS CUSTOMERS</t>
  </si>
  <si>
    <t>1989-122901</t>
  </si>
  <si>
    <t>RFO (89-120)</t>
  </si>
  <si>
    <t>PUBLIC INSPECTION &amp; DUPLICATION OF BLDG PLANS &amp; PERMIT APPLICATIONS</t>
  </si>
  <si>
    <t>2003-031403</t>
  </si>
  <si>
    <t>RFA-P (03-014)</t>
  </si>
  <si>
    <t>OMD-HON</t>
  </si>
  <si>
    <t>KING ST REHAB PROJECT RECORDS</t>
  </si>
  <si>
    <t>CURBSTONES</t>
  </si>
  <si>
    <t>2003-031301</t>
  </si>
  <si>
    <t>RFA-P (03-015)</t>
  </si>
  <si>
    <t>DISCLOSURE OF VIOLATION FILES</t>
  </si>
  <si>
    <t>LAND DIVISION</t>
  </si>
  <si>
    <t>2003-031101</t>
  </si>
  <si>
    <t>RFA-P (03-016)</t>
  </si>
  <si>
    <t>COPY OF POLICE REPORT</t>
  </si>
  <si>
    <t>2003-031102</t>
  </si>
  <si>
    <t>RFA-P (03-017)</t>
  </si>
  <si>
    <t>INMATE INSTITUTIONAL RECORD</t>
  </si>
  <si>
    <t>2003-031701</t>
  </si>
  <si>
    <t>PLEA AGREEMENT REQUEST</t>
  </si>
  <si>
    <t>2003-031702</t>
  </si>
  <si>
    <t>MISCONDUCT INCIDENT REPORT</t>
  </si>
  <si>
    <t>FOIA</t>
  </si>
  <si>
    <t>2003-031703</t>
  </si>
  <si>
    <t>HB 562</t>
  </si>
  <si>
    <t>SEXUAL ASSAULT</t>
  </si>
  <si>
    <t>RFO (89-054)</t>
  </si>
  <si>
    <t>AUDIT-HON</t>
  </si>
  <si>
    <t>PUBLIC INSPECTION OF COMPENSATION PAID TO USHERS</t>
  </si>
  <si>
    <t>PARKING FEES CHARGED TO MUNICIPAL EMPLOYEES</t>
  </si>
  <si>
    <t>2003-032001</t>
  </si>
  <si>
    <t>RFO (03-005)</t>
  </si>
  <si>
    <t>DENIAL OF  ACCESS</t>
  </si>
  <si>
    <t>COPY OF COMPLAINT FILED BY COMPLAINANT</t>
  </si>
  <si>
    <t>1989-070701</t>
  </si>
  <si>
    <t>RFO (89-016)</t>
  </si>
  <si>
    <t>DISCLOSURE OF AUTOPSY REPORT</t>
  </si>
  <si>
    <t>1989-071401</t>
  </si>
  <si>
    <t>RFO (89-018)</t>
  </si>
  <si>
    <t>MEDEX-HONF</t>
  </si>
  <si>
    <t>RELEASE OF AUTOPSY REPORTS</t>
  </si>
  <si>
    <t>1989-070702</t>
  </si>
  <si>
    <t>RFO (89-017)</t>
  </si>
  <si>
    <t>LIST OF APPLICANTS &amp; QUALIFICATIONS</t>
  </si>
  <si>
    <t>VACANT DEPUTY DIRECTOR POSITIONS</t>
  </si>
  <si>
    <t>1989-103001</t>
  </si>
  <si>
    <t>RFO (89-071)</t>
  </si>
  <si>
    <t>INFO CONCERNING HPD OFFICERS</t>
  </si>
  <si>
    <t>1989-071801</t>
  </si>
  <si>
    <t>RFO (89-019)</t>
  </si>
  <si>
    <t>MILITARY ACCESS</t>
  </si>
  <si>
    <t>HPD POLICE REPORTS</t>
  </si>
  <si>
    <t>1989-070601</t>
  </si>
  <si>
    <t>RFO (89-015)</t>
  </si>
  <si>
    <t>FIREARM STATS</t>
  </si>
  <si>
    <t>1989-062301</t>
  </si>
  <si>
    <t>RFO (89-092)</t>
  </si>
  <si>
    <t>HPD RMS USER AGREEMENT</t>
  </si>
  <si>
    <t>1989-060701</t>
  </si>
  <si>
    <t>RFO (90-114)</t>
  </si>
  <si>
    <t>DISCLOSURE OF POLICE &amp; COURT RECORDS</t>
  </si>
  <si>
    <t>2003-032101</t>
  </si>
  <si>
    <t>STATE DEFERRED COMPENSATION BOARD OF TRUSTEES</t>
  </si>
  <si>
    <t>2003-032102</t>
  </si>
  <si>
    <t>RFO (03-006)</t>
  </si>
  <si>
    <t>PROPER NOTICE REQUIREMENT OF EXECUTIVE MEETINGS</t>
  </si>
  <si>
    <t>HI COUNTY POLICE COMMISSION</t>
  </si>
  <si>
    <t>2003-032501</t>
  </si>
  <si>
    <t>2003-032502</t>
  </si>
  <si>
    <t>RFO (03-007)</t>
  </si>
  <si>
    <t>TAXICAB TASK FORCE</t>
  </si>
  <si>
    <t>SUNSHINE LAW &amp; UIPA</t>
  </si>
  <si>
    <t>2003-032701</t>
  </si>
  <si>
    <t>RFA-P (03-018)</t>
  </si>
  <si>
    <t>REQUEST TO SEN. SLOM</t>
  </si>
  <si>
    <t>2003-032702</t>
  </si>
  <si>
    <t>RFA-P (03-019)</t>
  </si>
  <si>
    <t>REDACTED COPY</t>
  </si>
  <si>
    <t>2003-042101</t>
  </si>
  <si>
    <t>RFA-P (03-020)</t>
  </si>
  <si>
    <t>SERVICE OF PROCESS FOR CIVIL COMPLAINT</t>
  </si>
  <si>
    <t>2003-042102</t>
  </si>
  <si>
    <t>U RFO (03-008)</t>
  </si>
  <si>
    <t>DISCLOSURE OF INTERPRETATION OF GOVT PROCESS</t>
  </si>
  <si>
    <t>2003-032802</t>
  </si>
  <si>
    <t>MEDICAL RECORDS AT HCCC</t>
  </si>
  <si>
    <t>ANKD/LHK</t>
  </si>
  <si>
    <t>2003-040301</t>
  </si>
  <si>
    <t>RECORD RETENTION POLICY</t>
  </si>
  <si>
    <t>2003-040702</t>
  </si>
  <si>
    <t>RFO (03-009)</t>
  </si>
  <si>
    <t>LEGISLATIVE RECEPTION</t>
  </si>
  <si>
    <t>2000-020702</t>
  </si>
  <si>
    <t>INFO PRACTICES</t>
  </si>
  <si>
    <t>2003-041003</t>
  </si>
  <si>
    <t>RFO (03-010)</t>
  </si>
  <si>
    <t>INFORMATIONAL PRESENTATIONS</t>
  </si>
  <si>
    <t>2003-040703</t>
  </si>
  <si>
    <t>RFA-P (03-021)</t>
  </si>
  <si>
    <t>PROPOSED PLEA AGREEMENTS</t>
  </si>
  <si>
    <t>2003-040908</t>
  </si>
  <si>
    <t>RFA-P (03-022)</t>
  </si>
  <si>
    <t>COPY CHARGES</t>
  </si>
  <si>
    <t>CH 71, TITLE 2, HAR</t>
  </si>
  <si>
    <t>2003-041403</t>
  </si>
  <si>
    <t>RFCG (03-001)</t>
  </si>
  <si>
    <t>EXECUTIVE MEETING MINUTES</t>
  </si>
  <si>
    <t>2003-041404</t>
  </si>
  <si>
    <t>RFO (03-011)</t>
  </si>
  <si>
    <t>HONOLULU CITY COUNCIL</t>
  </si>
  <si>
    <t>LHK/SRK</t>
  </si>
  <si>
    <t>2003-041603</t>
  </si>
  <si>
    <t>RFA-P (03-023)</t>
  </si>
  <si>
    <t>LANIKAI ELEMENTARY SCHOOL FINANCES</t>
  </si>
  <si>
    <t>2003-042104</t>
  </si>
  <si>
    <t>TRAINING</t>
  </si>
  <si>
    <t>2003-032503</t>
  </si>
  <si>
    <t>RFA-P (03-024)</t>
  </si>
  <si>
    <t>BYLAW REQUEST</t>
  </si>
  <si>
    <t>ORIGINAL ELEC FORM</t>
  </si>
  <si>
    <t>2003-042301</t>
  </si>
  <si>
    <t>DBEDT-NELHA</t>
  </si>
  <si>
    <t>UIPA &amp; SUNSHINE</t>
  </si>
  <si>
    <t>1989-060801</t>
  </si>
  <si>
    <t>RFO (89-999)</t>
  </si>
  <si>
    <t>DISCLOSURE OF BIRTHDATE &amp; SSN</t>
  </si>
  <si>
    <t>NASDTEC</t>
  </si>
  <si>
    <t>1989-052699</t>
  </si>
  <si>
    <t>RFO (89-088)</t>
  </si>
  <si>
    <t>SOLICITATION OF RETIRED GOVT EES</t>
  </si>
  <si>
    <t>ERS MAILING LIST</t>
  </si>
  <si>
    <t>KAC/SS</t>
  </si>
  <si>
    <t>2000-020704</t>
  </si>
  <si>
    <t>SENATOR DAVID MATSUURA</t>
  </si>
  <si>
    <t>FAILURE TO ACKNOWLEDGE &amp; RESPOND TO UIPA REQUEST OF 10/25/99</t>
  </si>
  <si>
    <t>1989-082999</t>
  </si>
  <si>
    <t>RFO (89-034)</t>
  </si>
  <si>
    <t>DISCLOSURE OF VIDEOTAPE CONFESSION</t>
  </si>
  <si>
    <t>2003-042501</t>
  </si>
  <si>
    <t>2003-042201</t>
  </si>
  <si>
    <t>RFO (03-012)</t>
  </si>
  <si>
    <t>PARADE RIDE</t>
  </si>
  <si>
    <t>2003-042202</t>
  </si>
  <si>
    <t>RFA-P (03-025)</t>
  </si>
  <si>
    <t>UH LOGO CONTRACT AWARD</t>
  </si>
  <si>
    <t>2003-042203</t>
  </si>
  <si>
    <t>RFA-P (03-026)</t>
  </si>
  <si>
    <t>MEDICAL FILE DOCUMENTS</t>
  </si>
  <si>
    <t>2003-042204</t>
  </si>
  <si>
    <t>RFA-P (03-027)</t>
  </si>
  <si>
    <t>GANG FILE RECORDS</t>
  </si>
  <si>
    <t>2003-042205</t>
  </si>
  <si>
    <t>RFA-P (03-028)</t>
  </si>
  <si>
    <t>EXECUTIVE COMMITTEE MEETING</t>
  </si>
  <si>
    <t>RE: PRISONS</t>
  </si>
  <si>
    <t>2003-042401</t>
  </si>
  <si>
    <t>RFA-P (03-029)</t>
  </si>
  <si>
    <t>GRIEVANCE CONTROL # 81862</t>
  </si>
  <si>
    <t>MEDICAL FORMS</t>
  </si>
  <si>
    <t>2003-042502</t>
  </si>
  <si>
    <t>COMPLAINT RE: VIOLATION OF 10 DAY RULE</t>
  </si>
  <si>
    <t>SENATOR SAM SLOM</t>
  </si>
  <si>
    <t>2003-042803</t>
  </si>
  <si>
    <t>PRESENTENCE REPORT</t>
  </si>
  <si>
    <t>2003-042804</t>
  </si>
  <si>
    <t>RFO (03-013)</t>
  </si>
  <si>
    <t>UIPA EXCEPTION CLARIFICATION</t>
  </si>
  <si>
    <t>2003-042805</t>
  </si>
  <si>
    <t>CONVERSATION</t>
  </si>
  <si>
    <t>FIRST DEPUTY AG</t>
  </si>
  <si>
    <t>2003-050501</t>
  </si>
  <si>
    <t>RFO (03-014)</t>
  </si>
  <si>
    <t>VARIOUS DOCUMENTS</t>
  </si>
  <si>
    <t>SUBMITTED BY TENANT</t>
  </si>
  <si>
    <t>2003-050801</t>
  </si>
  <si>
    <t>2003-050902</t>
  </si>
  <si>
    <t>RFA-P (03-030)</t>
  </si>
  <si>
    <t>REVIEW REDACTED FILES</t>
  </si>
  <si>
    <t>2003-051202</t>
  </si>
  <si>
    <t>DEFFERED COMPENSATION BOARD</t>
  </si>
  <si>
    <t>SUNSHINE TRAINING (cancelled; board no longer wants training)</t>
  </si>
  <si>
    <t>2003-050804</t>
  </si>
  <si>
    <t>RFA-P (03-031)</t>
  </si>
  <si>
    <t>2002 ANNUAL ACTIVITY REPORT</t>
  </si>
  <si>
    <t>2003-051402</t>
  </si>
  <si>
    <t>DEFERRED COMP. BD</t>
  </si>
  <si>
    <t>INVES 03-0321-01</t>
  </si>
  <si>
    <t>2003-051204</t>
  </si>
  <si>
    <t>2003-051301</t>
  </si>
  <si>
    <t>2003-051302</t>
  </si>
  <si>
    <t>BIG ISLAND PRESS CLUB</t>
  </si>
  <si>
    <t>PERMITTED INTERACTIONS UNDER THE SUNSHINE LAW</t>
  </si>
  <si>
    <t>2003-050502</t>
  </si>
  <si>
    <t>RFA-P (03-032)</t>
  </si>
  <si>
    <t>COPIES OF CORRESPONDENCE</t>
  </si>
  <si>
    <t>2003-042902</t>
  </si>
  <si>
    <t>RFO (03-015)</t>
  </si>
  <si>
    <t>DISCLOSURE OF COMPLAINANT'S NAME</t>
  </si>
  <si>
    <t>UNDER UIPA</t>
  </si>
  <si>
    <t>2003-051303</t>
  </si>
  <si>
    <t>RFA-P (03-033)</t>
  </si>
  <si>
    <t>HAWAII FILM OFFICE</t>
  </si>
  <si>
    <t>2003-051403</t>
  </si>
  <si>
    <t>RFO (03-016)</t>
  </si>
  <si>
    <t>PLAN-K</t>
  </si>
  <si>
    <t>SUBDIVISION COMMITTEE</t>
  </si>
  <si>
    <t>2003-051404</t>
  </si>
  <si>
    <t>RFA-P (03-034)</t>
  </si>
  <si>
    <t>TAX INFORMATION</t>
  </si>
  <si>
    <t>2003-052001</t>
  </si>
  <si>
    <t>LINDA VANNATA; OIP OP. LTR. NO. 03-06</t>
  </si>
  <si>
    <t>CIV. NO. 03-1-1058-05</t>
  </si>
  <si>
    <t>2003-051501</t>
  </si>
  <si>
    <t>RFO (03-035)</t>
  </si>
  <si>
    <t>UH-BOR</t>
  </si>
  <si>
    <t>NOTICE REQUIREMENTS FOR EXECUTIVE SESSION</t>
  </si>
  <si>
    <t>BORS' COMMITTEES</t>
  </si>
  <si>
    <t>2003-051502</t>
  </si>
  <si>
    <t>RFO (03-036)</t>
  </si>
  <si>
    <t>NOTICE &amp; MINUTES</t>
  </si>
  <si>
    <t>SUNSHINE LAW COMPLIANCE</t>
  </si>
  <si>
    <t>2003-051503</t>
  </si>
  <si>
    <t>RFO (03-037)</t>
  </si>
  <si>
    <t>04/25/03 MTG AGENDA-EXEC MATTERS CMTE</t>
  </si>
  <si>
    <t>2003-052102</t>
  </si>
  <si>
    <t>SUBCOMMITTEE FORMED IN EXECUTIVE SESSION</t>
  </si>
  <si>
    <t>NO PUBLIC DISCUSSION</t>
  </si>
  <si>
    <t>2003-052103</t>
  </si>
  <si>
    <t>DOE DOCS</t>
  </si>
  <si>
    <t>FILED COMPLAINT</t>
  </si>
  <si>
    <t>2003-051902</t>
  </si>
  <si>
    <t>RFA-P (03-035)</t>
  </si>
  <si>
    <t>MEDICAL FILE RECORDS</t>
  </si>
  <si>
    <t>INSTITUTIONAL FILE</t>
  </si>
  <si>
    <t>2003-052002</t>
  </si>
  <si>
    <t>RFO (03-017)</t>
  </si>
  <si>
    <t>ENTP SVC-HON</t>
  </si>
  <si>
    <t>PRIVACY &amp; UIPA</t>
  </si>
  <si>
    <t>SSNS</t>
  </si>
  <si>
    <t>2003-052701</t>
  </si>
  <si>
    <t>COUNSERV-HON</t>
  </si>
  <si>
    <t>INAUGURATION CEREMONY</t>
  </si>
  <si>
    <t>ORIENTATION NOT MEETINGS</t>
  </si>
  <si>
    <t>2003-052702</t>
  </si>
  <si>
    <t>RFA-P (03-036)</t>
  </si>
  <si>
    <t>HOIKE LETTER</t>
  </si>
  <si>
    <t>JZB/ANKD</t>
  </si>
  <si>
    <t>2003-052801</t>
  </si>
  <si>
    <t>RFA-P (03-037)</t>
  </si>
  <si>
    <t>CENTRAL OAHU REGIONAL PARK</t>
  </si>
  <si>
    <t>2003-050101</t>
  </si>
  <si>
    <t>2003-051505</t>
  </si>
  <si>
    <t>2003-051205</t>
  </si>
  <si>
    <t>BOARD OF AGRICULTURE</t>
  </si>
  <si>
    <t>2003-053003</t>
  </si>
  <si>
    <t>PINAL COUNTY CONTRACT</t>
  </si>
  <si>
    <t>ANSWER 2 QUESTIONS</t>
  </si>
  <si>
    <t>2003-053005</t>
  </si>
  <si>
    <t>APPEAL DENIAL</t>
  </si>
  <si>
    <t>ACCESS TO RESIDENTIAL ADDRESSES</t>
  </si>
  <si>
    <t>2003-060201</t>
  </si>
  <si>
    <t>MEDICAL FILES AT KAISER &amp; QUEENS</t>
  </si>
  <si>
    <t>HPA-HEARINGS</t>
  </si>
  <si>
    <t>2003-060202</t>
  </si>
  <si>
    <t>RFA-P (03-038)</t>
  </si>
  <si>
    <t>REQUEST TO EXAMINE 9/10/99 MEMO</t>
  </si>
  <si>
    <t>2003-060903</t>
  </si>
  <si>
    <t>RFO (03-018)</t>
  </si>
  <si>
    <t>CONFIDENTIALITY OF BOARD OF ETHICS RECORDS</t>
  </si>
  <si>
    <t>2003-060904</t>
  </si>
  <si>
    <t>RFO (03-019)</t>
  </si>
  <si>
    <t>QUESTIONS REGARDING SUNSHINE LAW</t>
  </si>
  <si>
    <t>2003-060905</t>
  </si>
  <si>
    <t>VIOLATIONS OF UIPA BY PSD</t>
  </si>
  <si>
    <t>CMD/ANKD</t>
  </si>
  <si>
    <t>2003-061201</t>
  </si>
  <si>
    <t>RECORD REQUEST TO PSD</t>
  </si>
  <si>
    <t>ADD'L 20 DAYS</t>
  </si>
  <si>
    <t>2003-061602</t>
  </si>
  <si>
    <t>PROCUREMENT OFFICE</t>
  </si>
  <si>
    <t>2003-061203</t>
  </si>
  <si>
    <t>AMEND PERSONAL RECORD</t>
  </si>
  <si>
    <t>CIV. NO. 03-01-0195</t>
  </si>
  <si>
    <t>SRK/ANKD</t>
  </si>
  <si>
    <t>2003-061302</t>
  </si>
  <si>
    <t>CIV. 03-1-1158-06; SIMENDINGER V. DOH</t>
  </si>
  <si>
    <t>DISCLOSURE OF GOVT RECORDS</t>
  </si>
  <si>
    <t>2003-061604</t>
  </si>
  <si>
    <t>RFO (03-020)</t>
  </si>
  <si>
    <t>SUNSHIINE LAW PRESENTATIONS</t>
  </si>
  <si>
    <t>FIELD TRIPS</t>
  </si>
  <si>
    <t>2003-061605</t>
  </si>
  <si>
    <t>RFA-G (03-001)</t>
  </si>
  <si>
    <t>BLDG PERMITS FOR WAL-MART &amp; SAMS</t>
  </si>
  <si>
    <t>2003-061802</t>
  </si>
  <si>
    <t>RFA-P (03-040)</t>
  </si>
  <si>
    <t>LETTERS FROM HPA</t>
  </si>
  <si>
    <t>2003-061901</t>
  </si>
  <si>
    <t>HANDLING CHARGE</t>
  </si>
  <si>
    <t>HHSC RECORDS REQUEST</t>
  </si>
  <si>
    <t>2003-062301</t>
  </si>
  <si>
    <t>LTR TO GOV OF 06/21/2003</t>
  </si>
  <si>
    <t>REFERRED TO GOV'S OFFICE</t>
  </si>
  <si>
    <t>2003-061902</t>
  </si>
  <si>
    <t>RFA-P (03-0410</t>
  </si>
  <si>
    <t>PLEA AGREEMENTS OR PROPOSALS</t>
  </si>
  <si>
    <t>RECORDS RE: CR. NO. 90-0146</t>
  </si>
  <si>
    <t>2003-061903</t>
  </si>
  <si>
    <t>EXECUTIVE ASSISTANT WENDELL HATADA</t>
  </si>
  <si>
    <t>2003-062601</t>
  </si>
  <si>
    <t>RFO (03-022)</t>
  </si>
  <si>
    <t>STAFF COMMENTS, RECOMMENDATIONS, BLUEPRINTS</t>
  </si>
  <si>
    <t>2003-063001</t>
  </si>
  <si>
    <t>RFO (03-023)</t>
  </si>
  <si>
    <t>LICENSE APPLICATION INFORMATION</t>
  </si>
  <si>
    <t>BOARD OF MEDICAL EXAMINERS</t>
  </si>
  <si>
    <t>2003-070102</t>
  </si>
  <si>
    <t>RFA-G (03-002)</t>
  </si>
  <si>
    <t>DISCLOSURE OF GRIEVANCE FILE TO AUDITOR</t>
  </si>
  <si>
    <t>OBTAIN CONSENT BEFORE DISCLOSURE</t>
  </si>
  <si>
    <t>2003-070106</t>
  </si>
  <si>
    <t>ADDRESS OF ARCHIVES</t>
  </si>
  <si>
    <t>GOVERNOR'S PAPERS STORED</t>
  </si>
  <si>
    <t>CY</t>
  </si>
  <si>
    <t>2003-070801</t>
  </si>
  <si>
    <t>CBEDC TRAINING</t>
  </si>
  <si>
    <t>2003-062501</t>
  </si>
  <si>
    <t>KAHALUU NEIGHBORHOOD BOARD</t>
  </si>
  <si>
    <t>2003-070701</t>
  </si>
  <si>
    <t>STATE V. EARTHJUSTICE</t>
  </si>
  <si>
    <t>CIV. NO. 03-1-1203-06</t>
  </si>
  <si>
    <t>2003-070802</t>
  </si>
  <si>
    <t>RFA-P (03-042)</t>
  </si>
  <si>
    <t>UIPA REQUEST TO OBTAIN RECORDS</t>
  </si>
  <si>
    <t>2003-070803</t>
  </si>
  <si>
    <t>RFA-P (03-043)</t>
  </si>
  <si>
    <t>KAKA'AKO MEDICAL SCHOOL</t>
  </si>
  <si>
    <t>2003-070903</t>
  </si>
  <si>
    <t>RFO (03-024)</t>
  </si>
  <si>
    <t>REQ TO PROVIDE ADDRESS INFORMATION TO AUW</t>
  </si>
  <si>
    <t>STATE PENSIONERS</t>
  </si>
  <si>
    <t>2003-070202</t>
  </si>
  <si>
    <t>DENIED SELF DEFENSE BOOKS</t>
  </si>
  <si>
    <t>CLY</t>
  </si>
  <si>
    <t>2003-071001</t>
  </si>
  <si>
    <t>2003-071501</t>
  </si>
  <si>
    <t>BLNR &amp; LAND/ TRANS DIV</t>
  </si>
  <si>
    <t>2003-071401</t>
  </si>
  <si>
    <t>RFO-G (03-025)</t>
  </si>
  <si>
    <t>MINUTES OF EXECUTIVE SESSION</t>
  </si>
  <si>
    <t>RELATING TO LAW SUIT</t>
  </si>
  <si>
    <t>2003-071402</t>
  </si>
  <si>
    <t>RFA-P (03-044)</t>
  </si>
  <si>
    <t>ACCESS TO JUNE JONES' CONTRACT</t>
  </si>
  <si>
    <t>NEW &amp; FORMER</t>
  </si>
  <si>
    <t>2003-071504</t>
  </si>
  <si>
    <t>RFA-P (03-045)</t>
  </si>
  <si>
    <t>REQ FOR PERSONAL RECORDS</t>
  </si>
  <si>
    <t>2003-071506</t>
  </si>
  <si>
    <t>REC'D RECORDS</t>
  </si>
  <si>
    <t>2003-071702</t>
  </si>
  <si>
    <t>RFA-P (03-046)</t>
  </si>
  <si>
    <t>REQUEST FOR PRISON FILE</t>
  </si>
  <si>
    <t>NO RESPONSE FROM PSD</t>
  </si>
  <si>
    <t>2003-072101</t>
  </si>
  <si>
    <t>COMPLAINT AGAINST LINGLE</t>
  </si>
  <si>
    <t>DECLINE TO OPEN FILE</t>
  </si>
  <si>
    <t>2003-072104</t>
  </si>
  <si>
    <t>UIPA VIOLATION</t>
  </si>
  <si>
    <t>ABUSE OF UIPA BY AG</t>
  </si>
  <si>
    <t>2003-072402</t>
  </si>
  <si>
    <t>CTR FOR FOOD SAFETY V. DOA</t>
  </si>
  <si>
    <t>INSPECT DOA FILES</t>
  </si>
  <si>
    <t>JZB/ANKD/CMD</t>
  </si>
  <si>
    <t>2003-072105</t>
  </si>
  <si>
    <t>OBTAIN RECORDS FROM HINA MAUKA</t>
  </si>
  <si>
    <t>2003-072502</t>
  </si>
  <si>
    <t>CLARIFICATION OF HPA'S FEES</t>
  </si>
  <si>
    <t>2003-080502</t>
  </si>
  <si>
    <t>RFA-P (03-047)</t>
  </si>
  <si>
    <t>RFS MAUI COUNTY CODE VIOLATIONS</t>
  </si>
  <si>
    <t>2003-080802</t>
  </si>
  <si>
    <t>RFA-P (03-048)</t>
  </si>
  <si>
    <t>INTERNET DMV REGISTRATION VEHICLE INQUIRY</t>
  </si>
  <si>
    <t>PRIVACY ISSUE</t>
  </si>
  <si>
    <t>2003-081801</t>
  </si>
  <si>
    <t>RFA-P (03-049)</t>
  </si>
  <si>
    <t>COPY OF HPD STATEMENT</t>
  </si>
  <si>
    <t>ZONING BOARD APPEALS HEARING</t>
  </si>
  <si>
    <t>2003-082003</t>
  </si>
  <si>
    <t>BOARD OF ETHICS</t>
  </si>
  <si>
    <t>2003-082501</t>
  </si>
  <si>
    <t>RFA-P (03-050)</t>
  </si>
  <si>
    <t>TRAFFIC CITATION INFORMATION</t>
  </si>
  <si>
    <t>2003-082502</t>
  </si>
  <si>
    <t>RFO (03-026)</t>
  </si>
  <si>
    <t>EXECUTIVE SESSION ATTENDEES</t>
  </si>
  <si>
    <t>2003-082705</t>
  </si>
  <si>
    <t>RFO (03-027)</t>
  </si>
  <si>
    <t>ADULT PROTECTIVE SERVICES</t>
  </si>
  <si>
    <t>DISCLOSURE OF ELDERLY NEGLECT REPORTS</t>
  </si>
  <si>
    <t>2003-082004</t>
  </si>
  <si>
    <t>RFO-G (03-028)</t>
  </si>
  <si>
    <t>EMAIL COMMUNICATIONS</t>
  </si>
  <si>
    <t>2003-011003</t>
  </si>
  <si>
    <t>POLICE COMMISSION MEETING</t>
  </si>
  <si>
    <t>CIV. NO. 00-1-0197K</t>
  </si>
  <si>
    <t>2003-090401</t>
  </si>
  <si>
    <t>RFA-P (03-051)</t>
  </si>
  <si>
    <t>EXAMINE SELF SUFFICENCY PLAN</t>
  </si>
  <si>
    <t>2003-090402</t>
  </si>
  <si>
    <t>RFA-P (03-052)</t>
  </si>
  <si>
    <t>EXAMINE PROGRAM BROADCAST TELEDEMOCRACY</t>
  </si>
  <si>
    <t>2003-090801</t>
  </si>
  <si>
    <t>INFO TO MAKE RECORDS REQUEST</t>
  </si>
  <si>
    <t>2003-090802</t>
  </si>
  <si>
    <t>REQUEST TO AGENCY</t>
  </si>
  <si>
    <t>2003-091101</t>
  </si>
  <si>
    <t>RFA-P (03-053)</t>
  </si>
  <si>
    <t>ELECTRONIC COPY OF EMAIL OF TESTIMONY</t>
  </si>
  <si>
    <t>2003-091201</t>
  </si>
  <si>
    <t>RFO (03-029)</t>
  </si>
  <si>
    <t>PRIVACY RIGHT ISSUE</t>
  </si>
  <si>
    <t>DISCLOSURE OF NAMES OF HANSEN DISEASE PATIENTS</t>
  </si>
  <si>
    <t>2003-091202</t>
  </si>
  <si>
    <t>RFO-G (03-030)</t>
  </si>
  <si>
    <t>LEASEHOLD CONVERSION TASK FORCE</t>
  </si>
  <si>
    <t>SUBJECT TO SUNSHINE</t>
  </si>
  <si>
    <t>2003-091801</t>
  </si>
  <si>
    <t>RFO-G (03-031)</t>
  </si>
  <si>
    <t>2003-091203</t>
  </si>
  <si>
    <t>TIME SHEETS; CORRECTION RIGHT</t>
  </si>
  <si>
    <t>CIV. NO. 03-1-1699</t>
  </si>
  <si>
    <t>2003-091901</t>
  </si>
  <si>
    <t>RFA-P (03-054)</t>
  </si>
  <si>
    <t>DENIED ACCESS</t>
  </si>
  <si>
    <t>UNDERCOVER INVESTIGATIONS</t>
  </si>
  <si>
    <t>2003-092401</t>
  </si>
  <si>
    <t>RFA-P (03-055)</t>
  </si>
  <si>
    <t>CONTRACTS OF UH EMPLOYEES</t>
  </si>
  <si>
    <t>SUNSHINE ISSUE- BOARD OF REGENTS</t>
  </si>
  <si>
    <t>2003-092501</t>
  </si>
  <si>
    <t>RFA-P (03-056)</t>
  </si>
  <si>
    <t>AG OPINION RE: PRO CHILDREN  ACT</t>
  </si>
  <si>
    <t>2003-100202</t>
  </si>
  <si>
    <t>REQUEST CLARIFICATION</t>
  </si>
  <si>
    <t>2003-100201</t>
  </si>
  <si>
    <t>RFO-G (03-032)</t>
  </si>
  <si>
    <t>NOTICE OF EXECUTIVE SESSION</t>
  </si>
  <si>
    <t>2003-100301</t>
  </si>
  <si>
    <t>RFA-P (03-058)</t>
  </si>
  <si>
    <t>RECORDS OF DECEASED OFFICERS</t>
  </si>
  <si>
    <t>2003-100602</t>
  </si>
  <si>
    <t>BILL 40 (2003)</t>
  </si>
  <si>
    <t>CITY SUNSHINE TRAINING</t>
  </si>
  <si>
    <t>2003-100302</t>
  </si>
  <si>
    <t>RFA-P (03-059)</t>
  </si>
  <si>
    <t>ACCESS TO 911 TAPES</t>
  </si>
  <si>
    <t>2003-100603</t>
  </si>
  <si>
    <t>RFA-P (03-060)</t>
  </si>
  <si>
    <t>RFS MAUI COUNTY CODE VIOLATION</t>
  </si>
  <si>
    <t>2003-100801</t>
  </si>
  <si>
    <t>RFA-P (03-061)</t>
  </si>
  <si>
    <t>ACCESS TO PERSONNEL FILE</t>
  </si>
  <si>
    <t>2003-100803</t>
  </si>
  <si>
    <t>RFO (03-033)</t>
  </si>
  <si>
    <t>CONSULTANT SELECTION MEETINGS</t>
  </si>
  <si>
    <t>2003-100804</t>
  </si>
  <si>
    <t>RFO-G (03-034)</t>
  </si>
  <si>
    <t>DECEASED OFFICERS' RECORDS</t>
  </si>
  <si>
    <t>2003-101001</t>
  </si>
  <si>
    <t>RFA-P (03-062)</t>
  </si>
  <si>
    <t>SID QUINTAL RESIGNATION LETTER</t>
  </si>
  <si>
    <t>2003-101301</t>
  </si>
  <si>
    <t>RFO-G (03-038)</t>
  </si>
  <si>
    <t>BOARD OF REGENTS MEETINGS</t>
  </si>
  <si>
    <t>2003-101003</t>
  </si>
  <si>
    <t>RFA-P (03-064)</t>
  </si>
  <si>
    <t>NAMES OF QUALIFIED APPLICANTS BEACHBOY ASSN (PROPOSAL 99045)</t>
  </si>
  <si>
    <t>2003-101501</t>
  </si>
  <si>
    <t>RFA-P (03-065)</t>
  </si>
  <si>
    <t>CONTRACTS RE AC AT KALANA PAKUI BLDG</t>
  </si>
  <si>
    <t>OLGA YOUNG</t>
  </si>
  <si>
    <t>2003-101502</t>
  </si>
  <si>
    <t>RFA-P (03-066)</t>
  </si>
  <si>
    <t>ACCESS TO PLEA AGREEMENT RECORDS</t>
  </si>
  <si>
    <t>2003-101601</t>
  </si>
  <si>
    <t>RFO-G (03-067)</t>
  </si>
  <si>
    <t>REFERRAL LETTER DISCLOSURE</t>
  </si>
  <si>
    <t>2003-101602</t>
  </si>
  <si>
    <t>RFO-G (03-039)</t>
  </si>
  <si>
    <t>COUNCIL AGENDA</t>
  </si>
  <si>
    <t>2003-101603</t>
  </si>
  <si>
    <t>RFO-G (03-040)</t>
  </si>
  <si>
    <t>ETHICS AGENDA</t>
  </si>
  <si>
    <t>2003-101604</t>
  </si>
  <si>
    <t>RFA-P (03-068)</t>
  </si>
  <si>
    <t>2003-101004</t>
  </si>
  <si>
    <t>OVERVIEW OF OIP</t>
  </si>
  <si>
    <t>2003-102201</t>
  </si>
  <si>
    <t>RFA-P (03-069)</t>
  </si>
  <si>
    <t>ACCOUNTING OF FEES</t>
  </si>
  <si>
    <t>2003-101701</t>
  </si>
  <si>
    <t>UIPA TRAINING</t>
  </si>
  <si>
    <t>2003-100805</t>
  </si>
  <si>
    <t>CREATE CONFIDENTIALITY STATUTE</t>
  </si>
  <si>
    <t>NELHA RECORDS</t>
  </si>
  <si>
    <t>2003-092902</t>
  </si>
  <si>
    <t>92-2 PROPOSAL</t>
  </si>
  <si>
    <t>BOARD DEFINITION</t>
  </si>
  <si>
    <t>2003-102101</t>
  </si>
  <si>
    <t>TERRORISM PROPOSAL</t>
  </si>
  <si>
    <t>2003-102202</t>
  </si>
  <si>
    <t>AMEND SECTION 92-3.5</t>
  </si>
  <si>
    <t>2003-102301</t>
  </si>
  <si>
    <t>AUDIO TAPE MEETINGS</t>
  </si>
  <si>
    <t>2003-102203</t>
  </si>
  <si>
    <t>RFA-P (03-070)</t>
  </si>
  <si>
    <t>RELEASE OF SETTLEMENT AGREEMENTS</t>
  </si>
  <si>
    <t>BEACHBOYS ASSN VS. C&amp;C</t>
  </si>
  <si>
    <t>2003-102204</t>
  </si>
  <si>
    <t>RFA-P (03-071)</t>
  </si>
  <si>
    <t>REDUCTION OF RENTAL FEES DOCS</t>
  </si>
  <si>
    <t>CONCESSION STANDS @ KUHIO BEACH</t>
  </si>
  <si>
    <t>2003-102302</t>
  </si>
  <si>
    <t>RFA-P (03-072)</t>
  </si>
  <si>
    <t>RECORD REQUEST CORRECTION</t>
  </si>
  <si>
    <t>NEW ASAC MISSION</t>
  </si>
  <si>
    <t>2003-101702</t>
  </si>
  <si>
    <t>ASK OIP TO REQUEST AG TO FILE COMPLAINT AGAINST MPD</t>
  </si>
  <si>
    <t>2003-102701</t>
  </si>
  <si>
    <t>ANNUAL BOARDS &amp; COMMISSIONS ORIENTATION</t>
  </si>
  <si>
    <t>2003-102801</t>
  </si>
  <si>
    <t>REQUEST TO ACCESS INSTITUTIONAL FILE</t>
  </si>
  <si>
    <t>2003-102902</t>
  </si>
  <si>
    <t>RFO-P (03-041)</t>
  </si>
  <si>
    <t>OAHU ISLAND BURIAL COUNCIL MEETING</t>
  </si>
  <si>
    <t>2003-102903</t>
  </si>
  <si>
    <t>POLICEC-M</t>
  </si>
  <si>
    <t>TAPE RECORDING OF 8/20/2003</t>
  </si>
  <si>
    <t>COPY OF MINUTES</t>
  </si>
  <si>
    <t>2003-102904</t>
  </si>
  <si>
    <t>RFA-P (03-073)</t>
  </si>
  <si>
    <t>ACCESS TO INSTITUTIONAL FILE</t>
  </si>
  <si>
    <t>2003-102906</t>
  </si>
  <si>
    <t>U RFO-G 03-042</t>
  </si>
  <si>
    <t>PRIVILEGED COMMUNICATIONS TO MEDIA</t>
  </si>
  <si>
    <t>2003-103002</t>
  </si>
  <si>
    <t>RFO-G (03-043)</t>
  </si>
  <si>
    <t>BLNR EXECUTIVE SESSIONS</t>
  </si>
  <si>
    <t>11/4/2003 &amp; 11/05/2003 AGENDAS</t>
  </si>
  <si>
    <t>2003-103003</t>
  </si>
  <si>
    <t>RFA-P (03-074)</t>
  </si>
  <si>
    <t>NONRESPONSIVE REQUEST</t>
  </si>
  <si>
    <t>PSD PERSONNEL FILE</t>
  </si>
  <si>
    <t>2003-110302</t>
  </si>
  <si>
    <t>RFA-P (03-075)</t>
  </si>
  <si>
    <t>INSPECTION OF RECORDS</t>
  </si>
  <si>
    <t>HOIKE OPERATING PROCEDURES</t>
  </si>
  <si>
    <t>2003-110303</t>
  </si>
  <si>
    <t>RFA-P (03-076)</t>
  </si>
  <si>
    <t>HAWAII INVASIVE SPECIES COUNCIL</t>
  </si>
  <si>
    <t>2003-110304</t>
  </si>
  <si>
    <t>RFO (03-044)</t>
  </si>
  <si>
    <t>DISCLOSURE OF SOCIAL SECURITY NUMBERS</t>
  </si>
  <si>
    <t>PLANTATION ARCHIVES LIBRARY</t>
  </si>
  <si>
    <t>2003-110402</t>
  </si>
  <si>
    <t>RFA-P (03-077)</t>
  </si>
  <si>
    <t>PARTIAL ACCESS TO RECORDS</t>
  </si>
  <si>
    <t>RECORDS REPRESENTING CGFNS</t>
  </si>
  <si>
    <t>2003-110601</t>
  </si>
  <si>
    <t>RFA-P (03-078)</t>
  </si>
  <si>
    <t>COMPTROLLER NONRESPONIVE TO REQUEST</t>
  </si>
  <si>
    <t>7/1/03 &amp; 10/17/03 LETTERS</t>
  </si>
  <si>
    <t>2003-110403</t>
  </si>
  <si>
    <t>RFA-G (03-004)</t>
  </si>
  <si>
    <t>STILLWATER REPORT</t>
  </si>
  <si>
    <t>RELEVANT DOCUMENTS</t>
  </si>
  <si>
    <t>2003-110603</t>
  </si>
  <si>
    <t>RFA-G (03-003)</t>
  </si>
  <si>
    <t>BOARD OF PUBLIC ACCOUNTANCY</t>
  </si>
  <si>
    <t>2003-110503</t>
  </si>
  <si>
    <t>RFO (03-045)</t>
  </si>
  <si>
    <t>POLICE OFFICER PERSONNEL FILES</t>
  </si>
  <si>
    <t>DISCLOSURE TO COMMISSION RE: MISCONDUCT</t>
  </si>
  <si>
    <t>2003-103101</t>
  </si>
  <si>
    <t>RUSSI &amp; PAUL COMPLAINT</t>
  </si>
  <si>
    <t>HANDLING FEE</t>
  </si>
  <si>
    <t>2003-111001</t>
  </si>
  <si>
    <t>RFO (03-046)</t>
  </si>
  <si>
    <t>CHIEF'S REPORT</t>
  </si>
  <si>
    <t>HI POLICE COMMISSION AGENDA</t>
  </si>
  <si>
    <t>2003-111003</t>
  </si>
  <si>
    <t>INFORMATION ABOUT STATE OF HAWAII</t>
  </si>
  <si>
    <t>REFER TO GOV'S OFFICE</t>
  </si>
  <si>
    <t>2003-111201</t>
  </si>
  <si>
    <t>RFA-P (03-079)</t>
  </si>
  <si>
    <t>NON RESPONSIVE REQUEST</t>
  </si>
  <si>
    <t>PSD POLICIES &amp; PROCEDURES RE: GANGS</t>
  </si>
  <si>
    <t>2003-111202</t>
  </si>
  <si>
    <t>RFO (03-047)</t>
  </si>
  <si>
    <t>DISCLOSURE OF NAMES</t>
  </si>
  <si>
    <t>HAWAII CONVENTION CENTER LICENSEES</t>
  </si>
  <si>
    <t>2003-111302</t>
  </si>
  <si>
    <t>RFO-G (03-048)</t>
  </si>
  <si>
    <t>PHOTOGRAPHS</t>
  </si>
  <si>
    <t>LICENSED SURF SCHOOL INSTRUCTORS</t>
  </si>
  <si>
    <t>2003-111701</t>
  </si>
  <si>
    <t>RFA-P (03-080)</t>
  </si>
  <si>
    <t>RECORDS CORRECTION REQUEST</t>
  </si>
  <si>
    <t>COMPLAINT AGAINST BUNDA</t>
  </si>
  <si>
    <t>2003-111702</t>
  </si>
  <si>
    <t>RFA-P (03-081)</t>
  </si>
  <si>
    <t>EXECUTIVE SESSION MINUTES</t>
  </si>
  <si>
    <t>2003-111801</t>
  </si>
  <si>
    <t>DOMESTIC VIOLENCE FATALITY REVIEW COMMITTEE</t>
  </si>
  <si>
    <t>SUNSHINE EXEMPT</t>
  </si>
  <si>
    <t>2003-111703</t>
  </si>
  <si>
    <t>RFA-P (03-082)</t>
  </si>
  <si>
    <t>LETTER RE: PERSONAL SAFETY</t>
  </si>
  <si>
    <t>2003-111802</t>
  </si>
  <si>
    <t>REQUESTS FOR ASSISTANCE</t>
  </si>
  <si>
    <t>OPENING FILES</t>
  </si>
  <si>
    <t>2003-111901</t>
  </si>
  <si>
    <t>RFCG (03-002)</t>
  </si>
  <si>
    <t>BOE AGENDAS</t>
  </si>
  <si>
    <t>LEGAL SUFFICIENCY</t>
  </si>
  <si>
    <t>2003-111902</t>
  </si>
  <si>
    <t>ELECTRONIC MAINTENANCE</t>
  </si>
  <si>
    <t>GOVERNMENT RECORDS</t>
  </si>
  <si>
    <t>2003-111303</t>
  </si>
  <si>
    <t>POLICY</t>
  </si>
  <si>
    <t>2003-111803</t>
  </si>
  <si>
    <t>RFA-G (03-005)</t>
  </si>
  <si>
    <t>11/20 &amp; 11/21 NOTICES</t>
  </si>
  <si>
    <t>2003-111903</t>
  </si>
  <si>
    <t>CLOSED MEETINGS TO PUBLIC</t>
  </si>
  <si>
    <t>2003-112402</t>
  </si>
  <si>
    <t>RFA-P (03-083)</t>
  </si>
  <si>
    <t>WRITTEN QUESTIONS</t>
  </si>
  <si>
    <t>LAURA FIGUEIRA</t>
  </si>
  <si>
    <t>2003-112101</t>
  </si>
  <si>
    <t>RFA-P (03-084)</t>
  </si>
  <si>
    <t>WITHHOLDING OF INFORMATION</t>
  </si>
  <si>
    <t>10/6/03 &amp; 11/19/03 RESPONSES</t>
  </si>
  <si>
    <t>2003-112501</t>
  </si>
  <si>
    <t>ENV SVC-HON</t>
  </si>
  <si>
    <t>LANDFILL SELECTION COMMITTEE</t>
  </si>
  <si>
    <t>2003-112801</t>
  </si>
  <si>
    <t>RFA-P (03-085)</t>
  </si>
  <si>
    <t>2001-2003 PERIOD</t>
  </si>
  <si>
    <t>DOCUMENTS RELATING TO FEDERAL RECOGNITION</t>
  </si>
  <si>
    <t>2003-112802</t>
  </si>
  <si>
    <t>RFA-P (03-086)</t>
  </si>
  <si>
    <t>BILLINGS SUBMITTED BY AYABE LAW FIRM</t>
  </si>
  <si>
    <t>BLACK V. CITY &amp; COUNTY</t>
  </si>
  <si>
    <t>2003-112803</t>
  </si>
  <si>
    <t>RFA-G (03-006)</t>
  </si>
  <si>
    <t>CHINATOWN MASTER PLAN</t>
  </si>
  <si>
    <t>VISION TEAM PROJECT</t>
  </si>
  <si>
    <t>2003-112804</t>
  </si>
  <si>
    <t>RFA-P (03-087)</t>
  </si>
  <si>
    <t>NON RESPONSIVE TO UIPA REQUEST</t>
  </si>
  <si>
    <t>POLL INFOROMATION CONCDUCTED BY WARD RESEARCH</t>
  </si>
  <si>
    <t>2003-102704</t>
  </si>
  <si>
    <t>SUNSHINE LAW TRAINING</t>
  </si>
  <si>
    <t>2003-10106</t>
  </si>
  <si>
    <t>2003-100807</t>
  </si>
  <si>
    <t>RFCG (03-003)</t>
  </si>
  <si>
    <t>AUW E-WAY PROPOSAL</t>
  </si>
  <si>
    <t>2003-120201</t>
  </si>
  <si>
    <t>POLICY &amp; PROCEDURES</t>
  </si>
  <si>
    <t>PRISON GANG MANAGEMENT</t>
  </si>
  <si>
    <t>2003-120301</t>
  </si>
  <si>
    <t>SENATOR DONNA KIM</t>
  </si>
  <si>
    <t>RUSSI'S STATEMENTS TO SENATOR KIM</t>
  </si>
  <si>
    <t>"BREAKING THE LAW"</t>
  </si>
  <si>
    <t>2003-120401</t>
  </si>
  <si>
    <t>EVAN DOBELLE</t>
  </si>
  <si>
    <t>EVALUATION &amp; PERFORMANCE EXPECTATIONS</t>
  </si>
  <si>
    <t>2003-120501</t>
  </si>
  <si>
    <t>HMS-18 (04)</t>
  </si>
  <si>
    <t>CHILD ABUSE TREATMENT</t>
  </si>
  <si>
    <t>2003-120502</t>
  </si>
  <si>
    <t>12/12/03 BOR AGENDA</t>
  </si>
  <si>
    <t>2003-120801</t>
  </si>
  <si>
    <t>RFO-G (03-049)</t>
  </si>
  <si>
    <t>EVALUATION OF EVAN DOBELLE</t>
  </si>
  <si>
    <t>2003-120803</t>
  </si>
  <si>
    <t>COMPLAINTS;RESPONSE TIME</t>
  </si>
  <si>
    <t>OTHER QUESTION</t>
  </si>
  <si>
    <t>2003-120901</t>
  </si>
  <si>
    <t>RFA-P (03-088)</t>
  </si>
  <si>
    <t>LETTERS TO KIM</t>
  </si>
  <si>
    <t>2003-120902</t>
  </si>
  <si>
    <t>RFA-P (03-089)</t>
  </si>
  <si>
    <t>GARY RADZAT</t>
  </si>
  <si>
    <t>VARIANCE FILE</t>
  </si>
  <si>
    <t>2003-121101</t>
  </si>
  <si>
    <t>RFA-P (03-090)</t>
  </si>
  <si>
    <t>EXECUTIVE COMMITTEE MINUTES</t>
  </si>
  <si>
    <t>2003-042106</t>
  </si>
  <si>
    <t>TRAINING-SUNSHINE</t>
  </si>
  <si>
    <t>2003-121202</t>
  </si>
  <si>
    <t>RFO-G (03-050)</t>
  </si>
  <si>
    <t>OFFICE RELATED MATTERS</t>
  </si>
  <si>
    <t>2003-121502</t>
  </si>
  <si>
    <t>RFO-G (03-051)</t>
  </si>
  <si>
    <t>CFO'S CONTRACT</t>
  </si>
  <si>
    <t>LHK/CMD</t>
  </si>
  <si>
    <t>2003-121601</t>
  </si>
  <si>
    <t>1/31/2004</t>
  </si>
  <si>
    <t>2003-121602</t>
  </si>
  <si>
    <t>RFO (03-052)</t>
  </si>
  <si>
    <t>COPIES OF COMPLAINTS; REQUEST FROM FREDILITO ABEJON DENIED</t>
  </si>
  <si>
    <t>VICTIM WITNESS KOKUA SERVICES</t>
  </si>
  <si>
    <t>2003-121801</t>
  </si>
  <si>
    <t>RFA-P (03-091)</t>
  </si>
  <si>
    <t>FINANCE COMMITTEE MEETING MINUTES</t>
  </si>
  <si>
    <t>10/14/2003 MEETING</t>
  </si>
  <si>
    <t>2003-121701</t>
  </si>
  <si>
    <t>RFO (03-053)</t>
  </si>
  <si>
    <t>VEHICLE TAX  MEMO SPECIAL MEETING</t>
  </si>
  <si>
    <t>SUNSHINE-NOTICE</t>
  </si>
  <si>
    <t>2003-121702</t>
  </si>
  <si>
    <t>RFA-P (03-092)</t>
  </si>
  <si>
    <t>DOCUMENTS TO FILE GRIEVANCE</t>
  </si>
  <si>
    <t>2003-121703</t>
  </si>
  <si>
    <t>OIP'S FUNCTIONS</t>
  </si>
  <si>
    <t>2003-121901</t>
  </si>
  <si>
    <t>RFO-G (03-054)</t>
  </si>
  <si>
    <t>SRK/WKP/LLT/JZB</t>
  </si>
  <si>
    <t>2003-121802</t>
  </si>
  <si>
    <t>RFA-P (03-093)</t>
  </si>
  <si>
    <t>DOCUMENTS GENERATED BY WILLIAM KUPAU</t>
  </si>
  <si>
    <t>2003-121803</t>
  </si>
  <si>
    <t>RFO-G (03-055)</t>
  </si>
  <si>
    <t>LIST OF REGISTERED VOTERS</t>
  </si>
  <si>
    <t>ELECTION RECORDS</t>
  </si>
  <si>
    <t>2003-122601</t>
  </si>
  <si>
    <t>RFA-P (03-094)</t>
  </si>
  <si>
    <t>ROBERT EDWARDS</t>
  </si>
  <si>
    <t>ACCESS TO CLOSED POLICE FILES</t>
  </si>
  <si>
    <t>2003-122602</t>
  </si>
  <si>
    <t>RFA-P (03-095)</t>
  </si>
  <si>
    <t>MISSING DOCUMENTS</t>
  </si>
  <si>
    <t>2003-122301</t>
  </si>
  <si>
    <t>CLARIFICATION OF PRIOR</t>
  </si>
  <si>
    <t>OIP CORRESPONDENCE</t>
  </si>
  <si>
    <t>2003-122901</t>
  </si>
  <si>
    <t>RFA-P (03-096)</t>
  </si>
  <si>
    <t>REQUEST DENIED</t>
  </si>
  <si>
    <t>COPY OF DOBELLE'S EVALUATION</t>
  </si>
  <si>
    <t>2003-122902</t>
  </si>
  <si>
    <t>RFA-P (03-097)</t>
  </si>
  <si>
    <t>COPIES OF STATEMENTS FILED ON 10/3/2003</t>
  </si>
  <si>
    <t>2003-122903</t>
  </si>
  <si>
    <t>RFO-G (03-056)</t>
  </si>
  <si>
    <t>RECONVENED SESSIONS</t>
  </si>
  <si>
    <t>ADVICE ON SUNSHINE LAW</t>
  </si>
  <si>
    <t>2004-010201</t>
  </si>
  <si>
    <t>RFO-P (04-001)</t>
  </si>
  <si>
    <t>CHRONOLOGICAL ENTRIES OF CONTACTS</t>
  </si>
  <si>
    <t>2004-010501</t>
  </si>
  <si>
    <t>RFA-P (04-001)</t>
  </si>
  <si>
    <t>11/4/03 LETTER TO GLEN CHOCK</t>
  </si>
  <si>
    <t>INQUIRY WITH DCCA</t>
  </si>
  <si>
    <t>2004-010502</t>
  </si>
  <si>
    <t>TRAINING DATE 01/15/04</t>
  </si>
  <si>
    <t>2004-010601</t>
  </si>
  <si>
    <t>RFA-P (04-002)</t>
  </si>
  <si>
    <t>NO RESPONSE TO RECORD REQUEST</t>
  </si>
  <si>
    <t>SENATOR ROSALYN BAKER</t>
  </si>
  <si>
    <t>2004-010602</t>
  </si>
  <si>
    <t>RFA-P (04-003)</t>
  </si>
  <si>
    <t>REPRESENTATIVE GALEN FOX</t>
  </si>
  <si>
    <t>SEPTEMBER 10, 2003 PROCEEDING</t>
  </si>
  <si>
    <t>2004-010603</t>
  </si>
  <si>
    <t>RFA-P (04-004)</t>
  </si>
  <si>
    <t>STUDENT HOUSING SERVICES</t>
  </si>
  <si>
    <t>ACCESS TO RESERVE FUND LEDGERS</t>
  </si>
  <si>
    <t>2004-010604</t>
  </si>
  <si>
    <t>RFO-G (04-001)</t>
  </si>
  <si>
    <t>MINUTES &amp; EXECUTIVE SESSION</t>
  </si>
  <si>
    <t>2004-010801</t>
  </si>
  <si>
    <t>RFA-P (04-005)</t>
  </si>
  <si>
    <t>COPY OF SUNSHINE TRANING VIDEO</t>
  </si>
  <si>
    <t>2004-010802</t>
  </si>
  <si>
    <t>RFA-P (04-006)</t>
  </si>
  <si>
    <t>COPY OF PROGRAM COMMITTEE MEETING MINUTES</t>
  </si>
  <si>
    <t>JANUARY TO AUGUST 1998</t>
  </si>
  <si>
    <t>2004-010803</t>
  </si>
  <si>
    <t>RFA-P (04-007)</t>
  </si>
  <si>
    <t>COPY OF 08/19/03 VIDEOTAPE</t>
  </si>
  <si>
    <t>2004-010901</t>
  </si>
  <si>
    <t>ESCROW BILL</t>
  </si>
  <si>
    <t>2004-011201</t>
  </si>
  <si>
    <t>DAGS-ELEC</t>
  </si>
  <si>
    <t>ORAL TESTIMONY</t>
  </si>
  <si>
    <t>01/15/04 MEETING AGENDA</t>
  </si>
  <si>
    <t>2004-011202</t>
  </si>
  <si>
    <t>AUW</t>
  </si>
  <si>
    <t>RETIREES' ADDRESS INFORMATION</t>
  </si>
  <si>
    <t>2004-011203</t>
  </si>
  <si>
    <t>INTER UNIT REQUESTS</t>
  </si>
  <si>
    <t>2004-010902</t>
  </si>
  <si>
    <t>RFA-P (04-008)</t>
  </si>
  <si>
    <t>2002 &amp; 2003 CONTRACTS</t>
  </si>
  <si>
    <t>OLOMANA MARKETING</t>
  </si>
  <si>
    <t>2004-010903</t>
  </si>
  <si>
    <t>RFA-P (04-009)</t>
  </si>
  <si>
    <t>2004-011301</t>
  </si>
  <si>
    <t>HENC PROGRAMMING</t>
  </si>
  <si>
    <t>COMMERCIALISM GUIDELINES</t>
  </si>
  <si>
    <t>2004-011401</t>
  </si>
  <si>
    <t>RFA-G (04-001)</t>
  </si>
  <si>
    <t>BD OF GOVERNORS, HI JOINT UNDERWRITERS PLAN</t>
  </si>
  <si>
    <t>AGENDA</t>
  </si>
  <si>
    <t>2004-011402</t>
  </si>
  <si>
    <t>RFA-P (04-010)</t>
  </si>
  <si>
    <t>BILLING INVOICE</t>
  </si>
  <si>
    <t>2004-011204</t>
  </si>
  <si>
    <t>RFA-P (04-011)</t>
  </si>
  <si>
    <t>DOCUMENTED STATEMENTS</t>
  </si>
  <si>
    <t>2004-011501</t>
  </si>
  <si>
    <t>RFA-G (04-002)</t>
  </si>
  <si>
    <t>BOARD OF DIRECTORS' MEETING AGENDA</t>
  </si>
  <si>
    <t>2004-011502</t>
  </si>
  <si>
    <t>MINUTES &amp; AUDIO TAPE</t>
  </si>
  <si>
    <t>01/12/2004 MEETING</t>
  </si>
  <si>
    <t>2004-011503</t>
  </si>
  <si>
    <t>NOTICE, THIRD PARTY PARTICIPATION</t>
  </si>
  <si>
    <t>2004-012001</t>
  </si>
  <si>
    <t>RFO-G (04-002)</t>
  </si>
  <si>
    <t>SECTION 92F-13(3)</t>
  </si>
  <si>
    <t>PETITION FOR FORMAL INQUIRY</t>
  </si>
  <si>
    <t>2004-012101</t>
  </si>
  <si>
    <t>WENDELL HATADA</t>
  </si>
  <si>
    <t>PAST UIPA VIOLATIONS</t>
  </si>
  <si>
    <t>2004-012103</t>
  </si>
  <si>
    <t>DONATIONS TO UH</t>
  </si>
  <si>
    <t>2004-012202</t>
  </si>
  <si>
    <t>SB 2056</t>
  </si>
  <si>
    <t>CONFIDENTIALITY OF RECORDS</t>
  </si>
  <si>
    <t>2004-012203</t>
  </si>
  <si>
    <t>HB 1765</t>
  </si>
  <si>
    <t>NON ATTENDING BOARD MEMBERS</t>
  </si>
  <si>
    <t>2004-012204</t>
  </si>
  <si>
    <t>SB 2095</t>
  </si>
  <si>
    <t>HIGH SCHOOL DRUG TESTING</t>
  </si>
  <si>
    <t>2004-012301</t>
  </si>
  <si>
    <t>SB 2139</t>
  </si>
  <si>
    <t>MUSEUM OF HAWAIIAN MUSIC AND DANCE</t>
  </si>
  <si>
    <t>2004-012002</t>
  </si>
  <si>
    <t>RFA-P (04-012)</t>
  </si>
  <si>
    <t>SENATOR GORDON TRIMBLE</t>
  </si>
  <si>
    <t>LINGLE LETTER</t>
  </si>
  <si>
    <t>2004-012302</t>
  </si>
  <si>
    <t>HB 1812</t>
  </si>
  <si>
    <t>CHILD PROTECTIVE SERVICES</t>
  </si>
  <si>
    <t>2004-012303</t>
  </si>
  <si>
    <t>SB 2163</t>
  </si>
  <si>
    <t>DISCLOSURE OF RECORDS</t>
  </si>
  <si>
    <t>2004-012304</t>
  </si>
  <si>
    <t>SB 2211</t>
  </si>
  <si>
    <t>PUBLIC MEETING MINUTES</t>
  </si>
  <si>
    <t>2004-012305</t>
  </si>
  <si>
    <t>RFA-P (04-013)</t>
  </si>
  <si>
    <t>SIDNEY QUINTAL RESIGNATION LETTER</t>
  </si>
  <si>
    <t>2004-012601</t>
  </si>
  <si>
    <t>RFO-G (04-003)</t>
  </si>
  <si>
    <t>DISCLOSURE OF TEST RECORDS</t>
  </si>
  <si>
    <t>JOHNE'S DISEASE</t>
  </si>
  <si>
    <t>2004-012602</t>
  </si>
  <si>
    <t>RFA-P (04-014)</t>
  </si>
  <si>
    <t>INCIDENT REPORT</t>
  </si>
  <si>
    <t>ADJUSTMENT COMMITTEE HEARING</t>
  </si>
  <si>
    <t>2004-012603</t>
  </si>
  <si>
    <t>LIQC-ALL</t>
  </si>
  <si>
    <t>SB 2219</t>
  </si>
  <si>
    <t>SOCIAL SECURITY NUMBERS COMP. HB 2019</t>
  </si>
  <si>
    <t>2004-012604</t>
  </si>
  <si>
    <t>SB 2378</t>
  </si>
  <si>
    <t>GOVERNMENT RECORDS; ELECTRONIC COPIES</t>
  </si>
  <si>
    <t>2004-012605</t>
  </si>
  <si>
    <t>SB 2361</t>
  </si>
  <si>
    <t>OATHS BY MAIL COMP. HB 1936</t>
  </si>
  <si>
    <t>2004-012606</t>
  </si>
  <si>
    <t>SB 2600</t>
  </si>
  <si>
    <t>ALCOHOL POLICY COUNCIL COMP. HB 1899</t>
  </si>
  <si>
    <t>2004-012607</t>
  </si>
  <si>
    <t>SB 2395</t>
  </si>
  <si>
    <t>CONVENTION CENTER</t>
  </si>
  <si>
    <t>2004-012608</t>
  </si>
  <si>
    <t>SB 2305</t>
  </si>
  <si>
    <t>REDUCED FREIGHT RATE</t>
  </si>
  <si>
    <t>2004-012609</t>
  </si>
  <si>
    <t>SB 2304</t>
  </si>
  <si>
    <t>ADVANCE DISPOSAL FEE</t>
  </si>
  <si>
    <t>2004-012610</t>
  </si>
  <si>
    <t>SB 2303</t>
  </si>
  <si>
    <t>2004-012611</t>
  </si>
  <si>
    <t>SB 2609</t>
  </si>
  <si>
    <t>LONG TERM CARE INCOME TAX COMP. HB 2111</t>
  </si>
  <si>
    <t>2004-012612</t>
  </si>
  <si>
    <t>SB 2428</t>
  </si>
  <si>
    <t>HI ADMINISTRATIVE STANDARD BOARD</t>
  </si>
  <si>
    <t>2004-012613</t>
  </si>
  <si>
    <t>SB 2267</t>
  </si>
  <si>
    <t>BOE QUARTERLY MEETINGS</t>
  </si>
  <si>
    <t>2004-012614</t>
  </si>
  <si>
    <t>HB 2019</t>
  </si>
  <si>
    <t>2004-012615</t>
  </si>
  <si>
    <t>HB 1936</t>
  </si>
  <si>
    <t>OATHS BY MAIL COMP. SB 2361</t>
  </si>
  <si>
    <t>2004-0126016</t>
  </si>
  <si>
    <t>HB 1899</t>
  </si>
  <si>
    <t>SUBSTANCE ABUSE POLICY COUNCIL COMP. SB 2600</t>
  </si>
  <si>
    <t>2004-012617</t>
  </si>
  <si>
    <t>HB 2034</t>
  </si>
  <si>
    <t>BIOPROSPECTING ADVISORY COMMISSION</t>
  </si>
  <si>
    <t>2004-012619</t>
  </si>
  <si>
    <t>HB 1915</t>
  </si>
  <si>
    <t>ADVANCE DISPOSAL FEE COMP. SB 2513</t>
  </si>
  <si>
    <t>2004-012620</t>
  </si>
  <si>
    <t>SB 2513</t>
  </si>
  <si>
    <t>ADVANCE DISPOSAL FEE COMP. HB 1915</t>
  </si>
  <si>
    <t>2004-012621</t>
  </si>
  <si>
    <t>HB 2029</t>
  </si>
  <si>
    <t>LIABILITY INSURANCE</t>
  </si>
  <si>
    <t>2004-012618</t>
  </si>
  <si>
    <t>HB 2111</t>
  </si>
  <si>
    <t>LONG TERM CARE CREDIT COMP. SB 2609</t>
  </si>
  <si>
    <t>2004-012622</t>
  </si>
  <si>
    <t>HB 2004</t>
  </si>
  <si>
    <t>APPROPRIATIONS FOR TREATMENT</t>
  </si>
  <si>
    <t>2004-012623</t>
  </si>
  <si>
    <t>HB 2108</t>
  </si>
  <si>
    <t>LONG TERM CARE CREDIT</t>
  </si>
  <si>
    <t>2004-012701</t>
  </si>
  <si>
    <t>SB 2743</t>
  </si>
  <si>
    <t>PUBLIC SAFETY; FIREARMS</t>
  </si>
  <si>
    <t>2004-012702</t>
  </si>
  <si>
    <t>SB 2711</t>
  </si>
  <si>
    <t>2004-012703</t>
  </si>
  <si>
    <t>2004-012704</t>
  </si>
  <si>
    <t>RFA-P (04-015)</t>
  </si>
  <si>
    <t>DENIED</t>
  </si>
  <si>
    <t>2004-012705</t>
  </si>
  <si>
    <t>TRANSFER TO LAUMAKA</t>
  </si>
  <si>
    <t>2004-012801</t>
  </si>
  <si>
    <t>SB 2811</t>
  </si>
  <si>
    <t>LIMITED MEETINGS COMP. HB 2336</t>
  </si>
  <si>
    <t>2004-012802</t>
  </si>
  <si>
    <t>SB 2809</t>
  </si>
  <si>
    <t>PUBLIC MEETINGS COMP. HB 2334</t>
  </si>
  <si>
    <t>2004-012805</t>
  </si>
  <si>
    <t>HB 2173</t>
  </si>
  <si>
    <t>GAMING CONTROL COMMISSION</t>
  </si>
  <si>
    <t>2004-012806</t>
  </si>
  <si>
    <t>HB 2247</t>
  </si>
  <si>
    <t>FIREARM REGISTRATION DATA</t>
  </si>
  <si>
    <t>2004-012807</t>
  </si>
  <si>
    <t>HB 2260</t>
  </si>
  <si>
    <t>LAW ENFORCEMENT OFFICERS BILL OF RIGHTS COMP. SB 2775</t>
  </si>
  <si>
    <t>2004-012809</t>
  </si>
  <si>
    <t>SB 2775</t>
  </si>
  <si>
    <t>LAW ENFORCEMENT OFFICERS BILL OF RIGHTS COMP. HB 2260</t>
  </si>
  <si>
    <t>2004-012810</t>
  </si>
  <si>
    <t>SB 3017</t>
  </si>
  <si>
    <t>LAW ENFORCEMENT OFFICERS' BILL OF RIGHTS</t>
  </si>
  <si>
    <t>2004-012811</t>
  </si>
  <si>
    <t>SB 3052</t>
  </si>
  <si>
    <t>AGRICULTURAL LANDS</t>
  </si>
  <si>
    <t>2004-012812</t>
  </si>
  <si>
    <t>SB 2955</t>
  </si>
  <si>
    <t>VIDEO CONFERENCE MEETINGS COMP. HB 2480</t>
  </si>
  <si>
    <t>2004-012813</t>
  </si>
  <si>
    <t>SB 2915</t>
  </si>
  <si>
    <t>GOVERNMENT RECORDS COMP. HB 2440</t>
  </si>
  <si>
    <t>2004-012814</t>
  </si>
  <si>
    <t>PUBLIC AGENCY MEETINGS COMP. HB 2361</t>
  </si>
  <si>
    <t>2004-012815</t>
  </si>
  <si>
    <t>SB 2830</t>
  </si>
  <si>
    <t>ELECTRONIC GOVERNMENT RECORDS COMP. HB 2355</t>
  </si>
  <si>
    <t>2004-012816</t>
  </si>
  <si>
    <t>SB 3058</t>
  </si>
  <si>
    <t>SMALL BUSINESS BILL OF RIGHTS</t>
  </si>
  <si>
    <t>2004-012817</t>
  </si>
  <si>
    <t>SB 3051</t>
  </si>
  <si>
    <t>AGRICULTURAL LANDS-TOURISM</t>
  </si>
  <si>
    <t>2004-012818</t>
  </si>
  <si>
    <t>HB 1811</t>
  </si>
  <si>
    <t>CPS PROCEEDINGS DATABASE</t>
  </si>
  <si>
    <t>2004-012820</t>
  </si>
  <si>
    <t>SB 2864 (NO MONITOR)</t>
  </si>
  <si>
    <t>RENEWABLE ENERGY RESOURCES</t>
  </si>
  <si>
    <t>2004-012902</t>
  </si>
  <si>
    <t>SB 3100</t>
  </si>
  <si>
    <t>JUDICIARY-OPEN MEETINGS</t>
  </si>
  <si>
    <t>2004-012903</t>
  </si>
  <si>
    <t>OH</t>
  </si>
  <si>
    <t>SB 3150</t>
  </si>
  <si>
    <t>CEDED LAND REVENUES; OHA</t>
  </si>
  <si>
    <t>2004-012905</t>
  </si>
  <si>
    <t>HB 2361</t>
  </si>
  <si>
    <t>PUBLIC AGENCY MEETINGS COMP. SB 2836</t>
  </si>
  <si>
    <t>2004-012906</t>
  </si>
  <si>
    <t>HB 2336</t>
  </si>
  <si>
    <t>PUBLIC AGENCY MEETINGS COMP. SB 2811</t>
  </si>
  <si>
    <t>2004-012908</t>
  </si>
  <si>
    <t>HB 2334</t>
  </si>
  <si>
    <t>PUBLIC MEETINGS COMP. SB 2809</t>
  </si>
  <si>
    <t>2004-012910</t>
  </si>
  <si>
    <t>HB 2355</t>
  </si>
  <si>
    <t>ELECTRONIC GOVERNMENT RECORDS COMP. SB 2830</t>
  </si>
  <si>
    <t>2004-012911</t>
  </si>
  <si>
    <t>HB 2332</t>
  </si>
  <si>
    <t>ESTABLISHES ELECTED SCHOOL BOARDS</t>
  </si>
  <si>
    <t>2004-012105</t>
  </si>
  <si>
    <t>SYNAGRO WORKSHOP</t>
  </si>
  <si>
    <t>2004-013001</t>
  </si>
  <si>
    <t>HB 2440</t>
  </si>
  <si>
    <t>EXEMPTING GOVERNMENT RECORDS COMP. SB 2915</t>
  </si>
  <si>
    <t>2004-013002</t>
  </si>
  <si>
    <t>HB 2480</t>
  </si>
  <si>
    <t>PUBLIC MEETINGS; VIDEO CONFERENCE COMP. SB 2955</t>
  </si>
  <si>
    <t>2004-013004</t>
  </si>
  <si>
    <t>HB 2728</t>
  </si>
  <si>
    <t>SOLID WASTE COMP. SB 2303</t>
  </si>
  <si>
    <t>2004-013005</t>
  </si>
  <si>
    <t>HB 2653</t>
  </si>
  <si>
    <t>SMALL BUSINESS BILL COMP. SB 3058</t>
  </si>
  <si>
    <t>2004-013006</t>
  </si>
  <si>
    <t>HB 2609</t>
  </si>
  <si>
    <t>HTA DISCLOSURE OF CONTRACTS COMP. SB 2711</t>
  </si>
  <si>
    <t>2004-013007</t>
  </si>
  <si>
    <t>HB 2707</t>
  </si>
  <si>
    <t>2004-013008</t>
  </si>
  <si>
    <t>HB 2564</t>
  </si>
  <si>
    <t>BOARD OF EDUCATION ABOLISHED</t>
  </si>
  <si>
    <t>2004-013009</t>
  </si>
  <si>
    <t>HB 2594</t>
  </si>
  <si>
    <t>ESTABLISH TOURISM MKTG GROUP</t>
  </si>
  <si>
    <t>2004-012912</t>
  </si>
  <si>
    <t>SB 3189</t>
  </si>
  <si>
    <t>TELECOMMUNICATIONS; 911</t>
  </si>
  <si>
    <t>2004-013010</t>
  </si>
  <si>
    <t>SB 2865</t>
  </si>
  <si>
    <t>CONFIDENTIALITY OF RECCORDS COMP. HB 2390</t>
  </si>
  <si>
    <t>2004-020201</t>
  </si>
  <si>
    <t>HB 2390</t>
  </si>
  <si>
    <t>CONFIDENTIALITY OF RECORDS COMP. SB 2865</t>
  </si>
  <si>
    <t>2004-013011</t>
  </si>
  <si>
    <t>SB 2887</t>
  </si>
  <si>
    <t>INTERSTATE INSURANCE COMPACT COMP. HB 2412</t>
  </si>
  <si>
    <t>2004-013013</t>
  </si>
  <si>
    <t>SB 2814</t>
  </si>
  <si>
    <t>IDENTIFICATION OF AGRICULTURAL LANDS COMP. HB 2339</t>
  </si>
  <si>
    <t>2004-013014</t>
  </si>
  <si>
    <t>SB 2904</t>
  </si>
  <si>
    <t>ESCROW DEPOSITORIES REGULATION COMP. HB 2429</t>
  </si>
  <si>
    <t>2004-013015</t>
  </si>
  <si>
    <t>SB 2932</t>
  </si>
  <si>
    <t>DEPENDENT ADULT PROTECTIVE SERVICES COMP. HB 2457</t>
  </si>
  <si>
    <t>2004-020202</t>
  </si>
  <si>
    <t>HB 2738</t>
  </si>
  <si>
    <t>PUBLIC AGENCY MEETINGS &amp; BOARDS COMP. SB 3103</t>
  </si>
  <si>
    <t>2004-020203</t>
  </si>
  <si>
    <t>HB 2770</t>
  </si>
  <si>
    <t>PUBLIC MEETINGS; MINUTES COMP. SB 2211</t>
  </si>
  <si>
    <t>2004-020204</t>
  </si>
  <si>
    <t>HB 2781</t>
  </si>
  <si>
    <t>INFORMATION PRACTICES; CONVENTION CENTER COMP. SB 2395</t>
  </si>
  <si>
    <t>2004-013016</t>
  </si>
  <si>
    <t>RFO-G (04-004)</t>
  </si>
  <si>
    <t>IDENTITY OF VIOLATORS</t>
  </si>
  <si>
    <t>2004-020205</t>
  </si>
  <si>
    <t>HB 2968</t>
  </si>
  <si>
    <t>2004-020206</t>
  </si>
  <si>
    <t>HB 2777</t>
  </si>
  <si>
    <t>CEDED LAND REVENUES; OHA COMP. SB 3150</t>
  </si>
  <si>
    <t>2004-020207</t>
  </si>
  <si>
    <t>HB 2883</t>
  </si>
  <si>
    <t>TELECOMMUNICATIONS; 911 COMP. SB 3189</t>
  </si>
  <si>
    <t>2004-020208</t>
  </si>
  <si>
    <t>HB 2970</t>
  </si>
  <si>
    <t>PETROLEUM INDUSTRY REPORTING COMP. SB 3170</t>
  </si>
  <si>
    <t>2004-020209</t>
  </si>
  <si>
    <t>HB 2656</t>
  </si>
  <si>
    <t>AGRICULTURAL LANDS COMP. SB 3052</t>
  </si>
  <si>
    <t>2004-020210</t>
  </si>
  <si>
    <t>HB 2457</t>
  </si>
  <si>
    <t>DEPENDENT ADULT PROTECTIVE SERVICES COMP. SB 2932</t>
  </si>
  <si>
    <t>2004-020211</t>
  </si>
  <si>
    <t>HB 2339</t>
  </si>
  <si>
    <t>RELATING TO LAND USE COMP. SB 2814</t>
  </si>
  <si>
    <t>2004-020212</t>
  </si>
  <si>
    <t>ESCROW DEPOSITORIES COMP. SB 2904</t>
  </si>
  <si>
    <t>2004-020213</t>
  </si>
  <si>
    <t>HB 2412</t>
  </si>
  <si>
    <t>INTERSTATE INSURANCE COMPACT COMP. SB 2887</t>
  </si>
  <si>
    <t>2004-020214</t>
  </si>
  <si>
    <t>SB 3234</t>
  </si>
  <si>
    <t>CRYSTAL METH TREATMENT COMP. HB 2004</t>
  </si>
  <si>
    <t>2004-020215</t>
  </si>
  <si>
    <t>HB 2800</t>
  </si>
  <si>
    <t>LAND USE; AGRICULTURAL LANDS</t>
  </si>
  <si>
    <t>2004-020216</t>
  </si>
  <si>
    <t>HB 2787</t>
  </si>
  <si>
    <t>2004-020218</t>
  </si>
  <si>
    <t>HB 2404</t>
  </si>
  <si>
    <t>EMPLOYEES' RETIREMENT SYSTEM COMP. SB 2879</t>
  </si>
  <si>
    <t>2004-020219</t>
  </si>
  <si>
    <t>HB 2881</t>
  </si>
  <si>
    <t>CIVIL SERVICE REFORM</t>
  </si>
  <si>
    <t>2004-020220</t>
  </si>
  <si>
    <t>HB 2911</t>
  </si>
  <si>
    <t>EDUCATION; CHARTER SCHOOLS</t>
  </si>
  <si>
    <t>2004-020222</t>
  </si>
  <si>
    <t>HB 2765</t>
  </si>
  <si>
    <t>CORPORATE ACCOUNTABILITY</t>
  </si>
  <si>
    <t>2004-020223</t>
  </si>
  <si>
    <t>HB 2409</t>
  </si>
  <si>
    <t>AUTHORITY OF INSURANCE FRAUD INVESTIGATION BRANCH COMP. SB 2884</t>
  </si>
  <si>
    <t>2004-020224</t>
  </si>
  <si>
    <t>SB 2884</t>
  </si>
  <si>
    <t>INSURANCE FRAUD INVESTIGATION BRANCH COMP. HB 2409</t>
  </si>
  <si>
    <t>2004-020225</t>
  </si>
  <si>
    <t>RFO-G (04-005)</t>
  </si>
  <si>
    <t>DELETION OF SCHOOL BY SCHOOL NUMBERS FROM REPORT</t>
  </si>
  <si>
    <t>2004-020226</t>
  </si>
  <si>
    <t>RFO-G (04-006)</t>
  </si>
  <si>
    <t>POLLING OF COMMISSIONERS FOR LEGISLATIVE TESTIMONY</t>
  </si>
  <si>
    <t>BETWEEN MEETINGS</t>
  </si>
  <si>
    <t>2004-020302</t>
  </si>
  <si>
    <t>SB 2879</t>
  </si>
  <si>
    <t>EMPLOYEES' RETIREMENT SYSTEM COMP. HB 2404</t>
  </si>
  <si>
    <t>2004-020501</t>
  </si>
  <si>
    <t>HB 2368</t>
  </si>
  <si>
    <t>CRIMES AGAINST CHILDREN/SEX OFFENDER DATA INFO COMP. SB 2843</t>
  </si>
  <si>
    <t>2004-020502</t>
  </si>
  <si>
    <t>SB 2843</t>
  </si>
  <si>
    <t>CRIMES AGAINST CHILDREN/SEX OFFENDER INFO COMP. HB 2368</t>
  </si>
  <si>
    <t>2004-020503</t>
  </si>
  <si>
    <t>HB 1873</t>
  </si>
  <si>
    <t>MEDICAL RECORDS; CHILD PROTECTIVE ACT COMP. SB 2163</t>
  </si>
  <si>
    <t>2004-020504</t>
  </si>
  <si>
    <t>HB 1997</t>
  </si>
  <si>
    <t>ADMIN RULES</t>
  </si>
  <si>
    <t>2004-020505</t>
  </si>
  <si>
    <t>HB 2553</t>
  </si>
  <si>
    <t>2004-020304</t>
  </si>
  <si>
    <t>RFA-P (04-016)</t>
  </si>
  <si>
    <t>DATES OF CONVERSATIONS</t>
  </si>
  <si>
    <t>PAM KUWAMURA</t>
  </si>
  <si>
    <t>2004-020601</t>
  </si>
  <si>
    <t>SB 2230</t>
  </si>
  <si>
    <t>ADMINISTRATIVE RULES</t>
  </si>
  <si>
    <t>2004-020901</t>
  </si>
  <si>
    <t>RFA-P (04-017)</t>
  </si>
  <si>
    <t>08/13/03 BOARD MEETING</t>
  </si>
  <si>
    <t>MINUTES DENIED    (RFA-P 04-010)</t>
  </si>
  <si>
    <t>2004-020902</t>
  </si>
  <si>
    <t>SUNSHINE TRANING
BURIAL COUNCIL</t>
  </si>
  <si>
    <t>03/10/04</t>
  </si>
  <si>
    <t>2004-021002</t>
  </si>
  <si>
    <t>HB 2674</t>
  </si>
  <si>
    <t>2004-020905</t>
  </si>
  <si>
    <t>RFA-P (04-018)</t>
  </si>
  <si>
    <t>2004-020603</t>
  </si>
  <si>
    <t>CONFIDENTIALITY OF SUBMITTALS</t>
  </si>
  <si>
    <t>2004-020307</t>
  </si>
  <si>
    <t>RFO-P (04-002)</t>
  </si>
  <si>
    <t>REDACTED INFORMATION</t>
  </si>
  <si>
    <t>POWELL INVESTIGATION</t>
  </si>
  <si>
    <t>2004-021701</t>
  </si>
  <si>
    <t>SB 0195</t>
  </si>
  <si>
    <t>INFORMATION PRACTICES</t>
  </si>
  <si>
    <t>2004-021702</t>
  </si>
  <si>
    <t>HB 2142</t>
  </si>
  <si>
    <t>NELHA BUSINESS TRADE SECRETS</t>
  </si>
  <si>
    <t>2004-013017</t>
  </si>
  <si>
    <t>RFA-P (04-019)</t>
  </si>
  <si>
    <t>NUMEROUS RECORD REQUESTS</t>
  </si>
  <si>
    <t>2004-021102</t>
  </si>
  <si>
    <t>REQUEST FOR AGENDA</t>
  </si>
  <si>
    <t>WHAC 02/11/04 MEETING</t>
  </si>
  <si>
    <t>2004-021902</t>
  </si>
  <si>
    <t>RFA-P (04-020)</t>
  </si>
  <si>
    <t>MAUI MEMORIAL (HHSC)</t>
  </si>
  <si>
    <t>CONTRACT ENTERED ON 11/01/03</t>
  </si>
  <si>
    <t>2004-012914</t>
  </si>
  <si>
    <t>ROBERT BUNDA</t>
  </si>
  <si>
    <t>2004-012915</t>
  </si>
  <si>
    <t>GORDON TRIMBLE</t>
  </si>
  <si>
    <t>DENIAL OF RECORDS</t>
  </si>
  <si>
    <t>2004-021303</t>
  </si>
  <si>
    <t>SENATE COMMITTEE ON HEALTH</t>
  </si>
  <si>
    <t>2004-022001</t>
  </si>
  <si>
    <t>RFA-P (04-021)</t>
  </si>
  <si>
    <t>DECISION MAKING</t>
  </si>
  <si>
    <t>OPEN MEETING</t>
  </si>
  <si>
    <t>2004-022003</t>
  </si>
  <si>
    <t>RFO-P (04-003)</t>
  </si>
  <si>
    <t>TELECONFERENCE MEETING</t>
  </si>
  <si>
    <t>OLELO</t>
  </si>
  <si>
    <t>2004-022004</t>
  </si>
  <si>
    <t>PETITION</t>
  </si>
  <si>
    <t>2004-022501</t>
  </si>
  <si>
    <t>OLELO BOARD MEETING</t>
  </si>
  <si>
    <t>POSSIBLE SUNSHINE VIOLATIONS</t>
  </si>
  <si>
    <t>2004-022601</t>
  </si>
  <si>
    <t>SB 2558</t>
  </si>
  <si>
    <t>ENTERTAINMENT INDUSTRY</t>
  </si>
  <si>
    <t>2004-022602</t>
  </si>
  <si>
    <t>HB 2611</t>
  </si>
  <si>
    <t>2004-022603</t>
  </si>
  <si>
    <t>HB 2396</t>
  </si>
  <si>
    <t>CAPITAL INVESTMENTS</t>
  </si>
  <si>
    <t>2004-022604</t>
  </si>
  <si>
    <t>SB 3024</t>
  </si>
  <si>
    <t>CAPITAL FORMATION</t>
  </si>
  <si>
    <t>2004-022701</t>
  </si>
  <si>
    <t>SB 2870</t>
  </si>
  <si>
    <t>FILM &amp; PERFORMING ARTS</t>
  </si>
  <si>
    <t>2004-022702</t>
  </si>
  <si>
    <t>2004-022703</t>
  </si>
  <si>
    <t>SB 0203</t>
  </si>
  <si>
    <t>JUDICIARY</t>
  </si>
  <si>
    <t>2004-022502</t>
  </si>
  <si>
    <t>RFO-G (04-007)</t>
  </si>
  <si>
    <t>BWS WORKSHOP</t>
  </si>
  <si>
    <t>NEIGHBORHOOD BOARD ATTENDANCE</t>
  </si>
  <si>
    <t>2004-030101</t>
  </si>
  <si>
    <t>HB 0267</t>
  </si>
  <si>
    <t>GOVERNMENT; ATTACH ELECTIONS TO JUDICIARY COMP. SB 0975</t>
  </si>
  <si>
    <t>2004-030201</t>
  </si>
  <si>
    <t>HB 1893</t>
  </si>
  <si>
    <t>EDUCATION;TRUST FUND (COMP. SB 2175)</t>
  </si>
  <si>
    <t>2004-030202</t>
  </si>
  <si>
    <t>SB 2911</t>
  </si>
  <si>
    <t>ADVISORY COMMITTEES, PAYMENTS (COMP. HB 2436)</t>
  </si>
  <si>
    <t>2004-030203</t>
  </si>
  <si>
    <t>HB 2436</t>
  </si>
  <si>
    <t>ADVISORY COMMITTEES; PAYMENTS (COMP. SB 2911)</t>
  </si>
  <si>
    <t>2004-030204</t>
  </si>
  <si>
    <t>SB 3207</t>
  </si>
  <si>
    <t>ETHANOL TAX CREDIT</t>
  </si>
  <si>
    <t>2004-030205</t>
  </si>
  <si>
    <t>HB 2961</t>
  </si>
  <si>
    <t>ETHANOL TAX CREDIT (COMP. SB 3169)</t>
  </si>
  <si>
    <t>2004-030206</t>
  </si>
  <si>
    <t>SB 2175</t>
  </si>
  <si>
    <t>EDUCATION; TRUST FUND (COMP. HB 1893)</t>
  </si>
  <si>
    <t>2004-030207</t>
  </si>
  <si>
    <t>HB 0862</t>
  </si>
  <si>
    <t>2004-022503</t>
  </si>
  <si>
    <t>RFO-P (04-004)</t>
  </si>
  <si>
    <t>EDUCATION CREDITS</t>
  </si>
  <si>
    <t>CREDIT STATUS OF MEMBERS</t>
  </si>
  <si>
    <t>2004-022504</t>
  </si>
  <si>
    <t>RFA-P (04-022)</t>
  </si>
  <si>
    <t>ACCESS TO COPY OF GREIVANCE</t>
  </si>
  <si>
    <t>2004-030301</t>
  </si>
  <si>
    <t>HB 1800</t>
  </si>
  <si>
    <t>SUPPLEMENTAL OPERATING BUDGET</t>
  </si>
  <si>
    <t>2004-030401</t>
  </si>
  <si>
    <t>RFA-P (04-023)</t>
  </si>
  <si>
    <t>REQUEST FOR SERVICE FORM</t>
  </si>
  <si>
    <t>LACK OF RESPONSE</t>
  </si>
  <si>
    <t>2004-030402</t>
  </si>
  <si>
    <t>RFA-P (04-024)</t>
  </si>
  <si>
    <t>NECROPSY REPORTS</t>
  </si>
  <si>
    <t>CAPTIVE DOLPHINS</t>
  </si>
  <si>
    <t>2004-030501</t>
  </si>
  <si>
    <t>2004-030901</t>
  </si>
  <si>
    <t>HB 2098</t>
  </si>
  <si>
    <t>RELEASE OF MEDICAL RECORDS</t>
  </si>
  <si>
    <t>2004-030902</t>
  </si>
  <si>
    <t>RFA-P (04-025)</t>
  </si>
  <si>
    <t>CLAIMS OVERPAYMENTS</t>
  </si>
  <si>
    <t>BLUE CROSS/HMSA</t>
  </si>
  <si>
    <t>2004-031003</t>
  </si>
  <si>
    <t>RFO-G (04-008)</t>
  </si>
  <si>
    <t>OIP OP. LTR. NO. 95-19</t>
  </si>
  <si>
    <t>2004-031501</t>
  </si>
  <si>
    <t>SB 0643</t>
  </si>
  <si>
    <t>RELATING TO BIOPROSPECTING</t>
  </si>
  <si>
    <t>2004-031502</t>
  </si>
  <si>
    <t>VIOLATION OF SUNSHINE</t>
  </si>
  <si>
    <t>ASAC AGENDA</t>
  </si>
  <si>
    <t>2004-031101</t>
  </si>
  <si>
    <t>RFA-P (04-026)</t>
  </si>
  <si>
    <t>STATE TAX COLLECTIONS</t>
  </si>
  <si>
    <t>2004-031201</t>
  </si>
  <si>
    <t>RFA-P (04-027)</t>
  </si>
  <si>
    <t>08/05/01 INCIDENT</t>
  </si>
  <si>
    <t>2004-031901</t>
  </si>
  <si>
    <t>RFA-P (04-028)</t>
  </si>
  <si>
    <t>TOPOGRAPHICAL MAP</t>
  </si>
  <si>
    <t>2004-022901</t>
  </si>
  <si>
    <t>REQUEST FOR OPINION</t>
  </si>
  <si>
    <t>2004-022801</t>
  </si>
  <si>
    <t>TELECOMMUNICATIONS ACCESS TO JUDICIARY</t>
  </si>
  <si>
    <t>TOLL FREE &amp; FAX NUMBER</t>
  </si>
  <si>
    <t>2004-030104</t>
  </si>
  <si>
    <t>PAUL KAWAGUCHI</t>
  </si>
  <si>
    <t>REQUEST FOR AN OPINION</t>
  </si>
  <si>
    <t>2004-032202</t>
  </si>
  <si>
    <t>BIPC AWARDS</t>
  </si>
  <si>
    <t>2004-032402</t>
  </si>
  <si>
    <t>UIPA TRAINING- 4/7/04</t>
  </si>
  <si>
    <t>PEG ACCESS PLAN</t>
  </si>
  <si>
    <t>2004-032403</t>
  </si>
  <si>
    <t>SUNSHINE TRAINING-4/7/04</t>
  </si>
  <si>
    <t>2004-032501</t>
  </si>
  <si>
    <t>HR 0086</t>
  </si>
  <si>
    <t>BIOPROSPECTING; ADVISORY COMMITTEE</t>
  </si>
  <si>
    <t>2004-032902</t>
  </si>
  <si>
    <t>HCR 0160</t>
  </si>
  <si>
    <t>BIOPROSPECTING</t>
  </si>
  <si>
    <t>2004-032903</t>
  </si>
  <si>
    <t>04/08/04</t>
  </si>
  <si>
    <t>2004-032904</t>
  </si>
  <si>
    <t>RFA-P (04-029)</t>
  </si>
  <si>
    <t>HILO HIGH SCHOOL REPORTS</t>
  </si>
  <si>
    <t>CRIMES BY STUDENTS</t>
  </si>
  <si>
    <t>2004-032905</t>
  </si>
  <si>
    <t>RFO-G (04-009)</t>
  </si>
  <si>
    <t>DISCLOSURE OF APPLICATION</t>
  </si>
  <si>
    <t>SURF SPORTS, INC.</t>
  </si>
  <si>
    <t>2004-032906</t>
  </si>
  <si>
    <t>APRIL 26, 2004</t>
  </si>
  <si>
    <t>2004-033001</t>
  </si>
  <si>
    <t>MAY 26, 2004</t>
  </si>
  <si>
    <t>2004-032907</t>
  </si>
  <si>
    <t>RFO-G (04-010)</t>
  </si>
  <si>
    <t>EXECUTIVE MEETING AGENDA</t>
  </si>
  <si>
    <t>2004-033101</t>
  </si>
  <si>
    <t>REQUEST FOR INFORMATION</t>
  </si>
  <si>
    <t>CARE COMMITTEE</t>
  </si>
  <si>
    <t>2004-040201</t>
  </si>
  <si>
    <t>RFO-G (04-011)</t>
  </si>
  <si>
    <t>CELLULAR PHONE RECORDS</t>
  </si>
  <si>
    <t>INVOICES &amp; DETAILS</t>
  </si>
  <si>
    <t>2004-040601</t>
  </si>
  <si>
    <t>RFA-P (04-030)</t>
  </si>
  <si>
    <t>POLICE BLOTTER &amp; ARREST RECORDS</t>
  </si>
  <si>
    <t>2004-040602</t>
  </si>
  <si>
    <t>BOARDS-ALL</t>
  </si>
  <si>
    <t>HB 2378</t>
  </si>
  <si>
    <t>COMMENTS TO GOVERNOR</t>
  </si>
  <si>
    <t>2004-040701</t>
  </si>
  <si>
    <t>RFO-P (04-005)</t>
  </si>
  <si>
    <t>HOMELESS TASK FORCE</t>
  </si>
  <si>
    <t>2004-040801</t>
  </si>
  <si>
    <t>RFA-P (04-031)</t>
  </si>
  <si>
    <t>UNRESPONSIVE TO REQUEST</t>
  </si>
  <si>
    <t>2004-040802</t>
  </si>
  <si>
    <t>RFO-P (04-006)</t>
  </si>
  <si>
    <t>TRESPASS WARNING ISSUED</t>
  </si>
  <si>
    <t>REMEDIES UNDER UIPA</t>
  </si>
  <si>
    <t>2004-040803</t>
  </si>
  <si>
    <t>RFO-G (04-012)</t>
  </si>
  <si>
    <t>MIDEM DISCLOSURE</t>
  </si>
  <si>
    <t>CONFIDENTIAL INFORMATION</t>
  </si>
  <si>
    <t>2004-033003</t>
  </si>
  <si>
    <t>RFO-G (04-013)</t>
  </si>
  <si>
    <t>HARCOURT ASSESSMENT</t>
  </si>
  <si>
    <t>2004-041203</t>
  </si>
  <si>
    <t>RFO-G (04-014)</t>
  </si>
  <si>
    <t>POLICE-H,FIRE-H,EMS-</t>
  </si>
  <si>
    <t>/LLTCMD/CLT/WKP</t>
  </si>
  <si>
    <t>2004-041301</t>
  </si>
  <si>
    <t>SB 3182</t>
  </si>
  <si>
    <t>2 YEAR ATTRITION POLICY</t>
  </si>
  <si>
    <t>2004-041501</t>
  </si>
  <si>
    <t>COUNCIL SECURITY POLICY</t>
  </si>
  <si>
    <t>COMMMENTS ON APPROPRIATENESS</t>
  </si>
  <si>
    <t>2004-041502</t>
  </si>
  <si>
    <t>RFA-P (04-032)</t>
  </si>
  <si>
    <t>WATER FLOURIDATION</t>
  </si>
  <si>
    <t>TOXICOLOGY TEST REPORTS</t>
  </si>
  <si>
    <t>2004-041601</t>
  </si>
  <si>
    <t>RFO-G (04-015)</t>
  </si>
  <si>
    <t>MISC-H</t>
  </si>
  <si>
    <t>BIG ISLAND RESOURCE CONSERVATION COUNCIL</t>
  </si>
  <si>
    <t>2004-041901</t>
  </si>
  <si>
    <t>RFO-P (04-007)</t>
  </si>
  <si>
    <t>RETIREMENT DATES
Related to RFO-G 04-016</t>
  </si>
  <si>
    <t>RETIRED EMPLOYEES ON PAYROLL; DOUBLE DIPPING</t>
  </si>
  <si>
    <t>2004-041902</t>
  </si>
  <si>
    <t>RFA-P (04-033)</t>
  </si>
  <si>
    <t>LEGAL EXPENSES</t>
  </si>
  <si>
    <t>KENNETH KAMAKANA CASE</t>
  </si>
  <si>
    <t>2004-032908</t>
  </si>
  <si>
    <t>HENC ADVISORY COUNCIL</t>
  </si>
  <si>
    <t>2004-041903</t>
  </si>
  <si>
    <t>RFA-P (04-034)</t>
  </si>
  <si>
    <t>VICTORY OHANA</t>
  </si>
  <si>
    <t>PROGRAM OPERATIONS</t>
  </si>
  <si>
    <t>2004-042101</t>
  </si>
  <si>
    <t>RFA-P (04-035)</t>
  </si>
  <si>
    <t>CRCO INVESTIGATION</t>
  </si>
  <si>
    <t>MEDICAL RESTRICTIONS</t>
  </si>
  <si>
    <t>2004-042601</t>
  </si>
  <si>
    <t>MAKENA RESORT</t>
  </si>
  <si>
    <t>COMMITTEE MEETINGS</t>
  </si>
  <si>
    <t>2004-042701</t>
  </si>
  <si>
    <t>RFA-G (04-003)</t>
  </si>
  <si>
    <t>REQUESTS TO CARE COMMITTEE</t>
  </si>
  <si>
    <t>2004-042602</t>
  </si>
  <si>
    <t>RFO-G (04-016)</t>
  </si>
  <si>
    <t>DISCLOSURE OF RETIREMENT DATES</t>
  </si>
  <si>
    <t>Related to RFO-P 04-007</t>
  </si>
  <si>
    <t>2004-042902</t>
  </si>
  <si>
    <t>HB 2385</t>
  </si>
  <si>
    <t>2004-043001</t>
  </si>
  <si>
    <t>RFO-G (04-017)</t>
  </si>
  <si>
    <t>DISCLOSURE OF BOOKING RECORDS</t>
  </si>
  <si>
    <t>2004-050501</t>
  </si>
  <si>
    <t>RFO-G (04-018)</t>
  </si>
  <si>
    <t>AD HOC GROUP</t>
  </si>
  <si>
    <t>2004-050502</t>
  </si>
  <si>
    <t>RFA-P (04-036)</t>
  </si>
  <si>
    <t>KYMBERLY PINE</t>
  </si>
  <si>
    <t>TAPE RECORDED STATEMENT</t>
  </si>
  <si>
    <t>2004-050601</t>
  </si>
  <si>
    <t>RFO-G (04-019)</t>
  </si>
  <si>
    <t>RELEASE OF PROPOSAL</t>
  </si>
  <si>
    <t>COMMON HERITAGE COPORATION</t>
  </si>
  <si>
    <t>2004-051001</t>
  </si>
  <si>
    <t>RFA-P (04-037)</t>
  </si>
  <si>
    <t>LIST OF BLOCKS</t>
  </si>
  <si>
    <t>PROGRAMS SLOTTED</t>
  </si>
  <si>
    <t>2004-051201</t>
  </si>
  <si>
    <t>SB 2377</t>
  </si>
  <si>
    <t>2004-051301</t>
  </si>
  <si>
    <t>RFO-G (04-020)</t>
  </si>
  <si>
    <t>APPEAL HEARINGS</t>
  </si>
  <si>
    <t>INSPECTION OF FILES</t>
  </si>
  <si>
    <t>2004-051801</t>
  </si>
  <si>
    <t>RFA-P (04-038)</t>
  </si>
  <si>
    <t>INFORMATION ON PROJECTS</t>
  </si>
  <si>
    <t>CARRY OVER INTO 2004</t>
  </si>
  <si>
    <t>2004-051901</t>
  </si>
  <si>
    <t>RFA-G (04-005)</t>
  </si>
  <si>
    <t>KALAHEO HIGH SCHOOL</t>
  </si>
  <si>
    <t>SECURITY TRAINING LOGS</t>
  </si>
  <si>
    <t>2004-052001</t>
  </si>
  <si>
    <t>ALL COUNTIES</t>
  </si>
  <si>
    <t>UIPA &amp; SUNSHINE TRAINING</t>
  </si>
  <si>
    <t>09/24/2004</t>
  </si>
  <si>
    <t>2004-052002</t>
  </si>
  <si>
    <t>RFA-P (04-039)</t>
  </si>
  <si>
    <t>HAWAIIAN DREDGING PROPOSAL</t>
  </si>
  <si>
    <t>DISCLOSURE TO RCI</t>
  </si>
  <si>
    <t>2004-052401</t>
  </si>
  <si>
    <t>ELECTRONIC TESTIMONY</t>
  </si>
  <si>
    <t>OIP OP. LTR. NO. 03-06</t>
  </si>
  <si>
    <t>2004-052402</t>
  </si>
  <si>
    <t>RFA-P (04-040)</t>
  </si>
  <si>
    <t>COPY OF TRANSCRIPT</t>
  </si>
  <si>
    <t>APPEAL PROCEEDING</t>
  </si>
  <si>
    <t>2004-052403</t>
  </si>
  <si>
    <t>RFA-G (04-006)</t>
  </si>
  <si>
    <t>TARRANCE GROUP POLL</t>
  </si>
  <si>
    <t>2004-052601</t>
  </si>
  <si>
    <t>RFO-P (04-008)</t>
  </si>
  <si>
    <t>COMPLIANCE WITH UIPA</t>
  </si>
  <si>
    <t>INTERIM REQUEST</t>
  </si>
  <si>
    <t>2004-052602</t>
  </si>
  <si>
    <t>RFO-G (04-0210</t>
  </si>
  <si>
    <t>92-5(a)(2)</t>
  </si>
  <si>
    <t>EVALUATEE'S RIGHT TO ATTEND</t>
  </si>
  <si>
    <t>2004-052701</t>
  </si>
  <si>
    <t>RFO-P (04-009)</t>
  </si>
  <si>
    <t>BUDGET CMTE; BILL 19</t>
  </si>
  <si>
    <t>ACTION ON BILLS WITHOUT NOTICE</t>
  </si>
  <si>
    <t>2004-052702</t>
  </si>
  <si>
    <t>RFA-P (04-041)</t>
  </si>
  <si>
    <t>EXEMPTION FORM CREDIT REQUIREMENT</t>
  </si>
  <si>
    <t>CREDIT REFERENCE</t>
  </si>
  <si>
    <t>2004-052801</t>
  </si>
  <si>
    <t>RFA-G (04-007)</t>
  </si>
  <si>
    <t>OPEN BUDGET CAUCUS</t>
  </si>
  <si>
    <t>2004-042901</t>
  </si>
  <si>
    <t>RFA-G (04-004)</t>
  </si>
  <si>
    <t>OIA</t>
  </si>
  <si>
    <t>BOOSTER CLUBS</t>
  </si>
  <si>
    <t>2004-060202</t>
  </si>
  <si>
    <t>RFA-P (04-042)</t>
  </si>
  <si>
    <t>PROCEDURES OF AGENCY</t>
  </si>
  <si>
    <t>UNAUTHORIZED ENTRIES</t>
  </si>
  <si>
    <t>2004-060203</t>
  </si>
  <si>
    <t>RFO-G (04-022)</t>
  </si>
  <si>
    <t>DISCLOSURE OF APPLICATIONS</t>
  </si>
  <si>
    <t>UNDERQUALIFIED CANDIDATES</t>
  </si>
  <si>
    <t>2004-060301</t>
  </si>
  <si>
    <t>06/18/2004</t>
  </si>
  <si>
    <t>2004-060101</t>
  </si>
  <si>
    <t>RFA-G (04-008)</t>
  </si>
  <si>
    <t>APPOINTMENT PROCESS, CANDIDATES</t>
  </si>
  <si>
    <t>ISLAND BURIAL COUNCILS</t>
  </si>
  <si>
    <t>2004-060102</t>
  </si>
  <si>
    <t>CLAIMS FILED</t>
  </si>
  <si>
    <t>CHAPTER 92F VIOLATIONS</t>
  </si>
  <si>
    <t>2004-060801</t>
  </si>
  <si>
    <t>RFA-P (04-043)</t>
  </si>
  <si>
    <t>EAGLE SONG LETTER OF REQUEST</t>
  </si>
  <si>
    <t>2004-060901</t>
  </si>
  <si>
    <t>RFA-P (04-044)</t>
  </si>
  <si>
    <t>BID APPLICATIONS</t>
  </si>
  <si>
    <t>2004-061001</t>
  </si>
  <si>
    <t>RFA-P (04-045)</t>
  </si>
  <si>
    <t>HOIKE VOTERS</t>
  </si>
  <si>
    <t>CONTACT INFORMATION</t>
  </si>
  <si>
    <t>2004-061501</t>
  </si>
  <si>
    <t>RFA-P 04-031</t>
  </si>
  <si>
    <t>IN CAMERA REVIEW</t>
  </si>
  <si>
    <t>2004-061502</t>
  </si>
  <si>
    <t>PUBLICATION REQUIREMENT</t>
  </si>
  <si>
    <t>2004-061601</t>
  </si>
  <si>
    <t>RFA-P (04-046)</t>
  </si>
  <si>
    <t>BUILDING PLANS</t>
  </si>
  <si>
    <t>2004-061602</t>
  </si>
  <si>
    <t>2004-060401</t>
  </si>
  <si>
    <t>SUNSHINE TRAINING 08/05/04</t>
  </si>
  <si>
    <t>ALL BOARDS &amp; COMMISSIONS</t>
  </si>
  <si>
    <t>2004-061603</t>
  </si>
  <si>
    <t>UIPA/SUNSHINE TRAINING</t>
  </si>
  <si>
    <t>11/15/04</t>
  </si>
  <si>
    <t>2004-062101</t>
  </si>
  <si>
    <t>ALL MAUI</t>
  </si>
  <si>
    <t>2004-062102</t>
  </si>
  <si>
    <t>DCCA-PVL</t>
  </si>
  <si>
    <t>UIPA 8/23/04 &amp; 8/24/04 SUNSHINE 10/15/04</t>
  </si>
  <si>
    <t>JZB/LHK</t>
  </si>
  <si>
    <t>2004-062401</t>
  </si>
  <si>
    <t>ADVICE ON UIPA</t>
  </si>
  <si>
    <t>TELEPHONE USAGE RECORDS</t>
  </si>
  <si>
    <t>2004-062801</t>
  </si>
  <si>
    <t>INVESTIGATION #2136</t>
  </si>
  <si>
    <t>2004-062901</t>
  </si>
  <si>
    <t>SAFETY CONCERNS</t>
  </si>
  <si>
    <t>2004-062902</t>
  </si>
  <si>
    <t>CONFIDENTIAL CORRESPONDENCE</t>
  </si>
  <si>
    <t>OBLIGATION TO REQUESTER</t>
  </si>
  <si>
    <t>2004-070101</t>
  </si>
  <si>
    <t>40 HOUR INITIAL TRAINING</t>
  </si>
  <si>
    <t>2004-0070201</t>
  </si>
  <si>
    <t>ACCESS TO STUDENT RECORDS</t>
  </si>
  <si>
    <t>HIGH SCHOOL</t>
  </si>
  <si>
    <t>2004-070601</t>
  </si>
  <si>
    <t>2004-070701</t>
  </si>
  <si>
    <t>RFO-G (04-023)</t>
  </si>
  <si>
    <t>SERIAL COMMUNICATION</t>
  </si>
  <si>
    <t>BUDGET VETOES</t>
  </si>
  <si>
    <t>2004-070702</t>
  </si>
  <si>
    <t>RFA-P (04-047)</t>
  </si>
  <si>
    <t>KPD DISPATCH TAPE</t>
  </si>
  <si>
    <t>TRUSTEN H. LIDDLE</t>
  </si>
  <si>
    <t>2004-070901</t>
  </si>
  <si>
    <t>RFA-P (04-048)</t>
  </si>
  <si>
    <t>REQUESTS FOR RECORDS</t>
  </si>
  <si>
    <t>2004-070902</t>
  </si>
  <si>
    <t>RFA-G (04-009)</t>
  </si>
  <si>
    <t>DOBELLE EVALUATION</t>
  </si>
  <si>
    <t>REQUEST FOR REPORTS</t>
  </si>
  <si>
    <t>2004-071301</t>
  </si>
  <si>
    <t>OLELO FEE ESTIMATE</t>
  </si>
  <si>
    <t>CHERYL KASTER REQUEST TO OLELO</t>
  </si>
  <si>
    <t>2004-071501</t>
  </si>
  <si>
    <t>RFA-P (04-049)</t>
  </si>
  <si>
    <t>PUBLIC DISCLOSURE INFORMATION</t>
  </si>
  <si>
    <t>2004-071502</t>
  </si>
  <si>
    <t>RFA-P (04-050)</t>
  </si>
  <si>
    <t>DOBELLE DISMISSAL</t>
  </si>
  <si>
    <t>2004-072001</t>
  </si>
  <si>
    <t>RFA-P (04-051)</t>
  </si>
  <si>
    <t>VOTER LIST</t>
  </si>
  <si>
    <t>RFA-P 04-049</t>
  </si>
  <si>
    <t>2004-072002</t>
  </si>
  <si>
    <t>RFA-P (04-052)</t>
  </si>
  <si>
    <t>SIDE LETTERS; CONTRACT ADDENDA</t>
  </si>
  <si>
    <t>2004-072301</t>
  </si>
  <si>
    <t>RFA-P (04-053)</t>
  </si>
  <si>
    <t>CONTRACTS WITH COUNSEL</t>
  </si>
  <si>
    <t>DOCUMENTS IN CONJUNCTION WITH DOBELLE DISMISSAL</t>
  </si>
  <si>
    <t>2004-072302</t>
  </si>
  <si>
    <t>RFO-G (04-024)</t>
  </si>
  <si>
    <t>APPELLATE TASK FORCE</t>
  </si>
  <si>
    <t>EXEMPT FROM SUNSHINE</t>
  </si>
  <si>
    <t>2004-072701</t>
  </si>
  <si>
    <t>REQUEST FOR LIST</t>
  </si>
  <si>
    <t>CLIENT CONTACT INFORMATION</t>
  </si>
  <si>
    <t>2004-072702</t>
  </si>
  <si>
    <t>RFA-G (04-010)</t>
  </si>
  <si>
    <t>I</t>
  </si>
  <si>
    <t>SIDE LETTER AGREEMENT</t>
  </si>
  <si>
    <t>2004-080201</t>
  </si>
  <si>
    <t>7/26/04 LTR FROM OLELO ATTORNEY</t>
  </si>
  <si>
    <t>2004-080301</t>
  </si>
  <si>
    <t>8/03/04 LETTER TO PRESLEY PANG</t>
  </si>
  <si>
    <t>DOBELLE RECORDS</t>
  </si>
  <si>
    <t>2004-080302</t>
  </si>
  <si>
    <t>RFA-P (04-054)</t>
  </si>
  <si>
    <t>E-MAIL</t>
  </si>
  <si>
    <t>ADA COMPLIANCE</t>
  </si>
  <si>
    <t>2004-080501</t>
  </si>
  <si>
    <t>RFA-P (04-055)</t>
  </si>
  <si>
    <t>SSM ELIGIBILITY</t>
  </si>
  <si>
    <t>2004-080502</t>
  </si>
  <si>
    <t>RFO-G (04-025)</t>
  </si>
  <si>
    <t>ASBESTOS TESTING RESULTS</t>
  </si>
  <si>
    <t>KEEAU MIDDLE SCHOOL</t>
  </si>
  <si>
    <t>2004-081101</t>
  </si>
  <si>
    <t>COURT TRANSCRIPTS</t>
  </si>
  <si>
    <t>2004-081102</t>
  </si>
  <si>
    <t>RFA-G (04-011)</t>
  </si>
  <si>
    <t>PURCHASE ORDERS</t>
  </si>
  <si>
    <t>ECONOMETRIC SOFTWARE</t>
  </si>
  <si>
    <t>2004-081601</t>
  </si>
  <si>
    <t>SUNSHINE TRAINING- 
BD OF EDUCATION</t>
  </si>
  <si>
    <t>SEPTEMBER 15, 2004</t>
  </si>
  <si>
    <t>2004-081604</t>
  </si>
  <si>
    <t>RFA-P (04-056)</t>
  </si>
  <si>
    <t>KIKIAOLA HARBOR PROJECT</t>
  </si>
  <si>
    <t>PROGRAMMED EXPENDITURES</t>
  </si>
  <si>
    <t>2004-081605</t>
  </si>
  <si>
    <t>RFA-P (04-057)</t>
  </si>
  <si>
    <t>LISTING OF NAMES</t>
  </si>
  <si>
    <t>MURDER CONVICTIONS</t>
  </si>
  <si>
    <t>2004-081801</t>
  </si>
  <si>
    <t>BOE MEETINGS</t>
  </si>
  <si>
    <t>COMMUNITY FORUMS</t>
  </si>
  <si>
    <t>2004-081902</t>
  </si>
  <si>
    <t>OLELO NOT SUBJECT TO UIPA</t>
  </si>
  <si>
    <t>DISAGREE WITH OPINION 02-08</t>
  </si>
  <si>
    <t>2004-081701</t>
  </si>
  <si>
    <t>FEDERAL GOVERNMENT RESTRICTION</t>
  </si>
  <si>
    <t>ACCESS TO INFORMATION IT SELLS</t>
  </si>
  <si>
    <t>CLT/SRK</t>
  </si>
  <si>
    <t>2004-082602</t>
  </si>
  <si>
    <t>RFO-G(04-026)</t>
  </si>
  <si>
    <t>PERSONNEL INFORMATION</t>
  </si>
  <si>
    <t>2004-082302</t>
  </si>
  <si>
    <t>RFO-P (04-027)</t>
  </si>
  <si>
    <t>HANA COMM HEALTH CTR</t>
  </si>
  <si>
    <t>IF BOARD SUBJECT TO SUNSHINE</t>
  </si>
  <si>
    <t>2004-083001</t>
  </si>
  <si>
    <t>RFO-G (04-028)</t>
  </si>
  <si>
    <t>GUARDIAN AD LITEM REPORT</t>
  </si>
  <si>
    <t>NONDISCLOSURE OF SECTION V</t>
  </si>
  <si>
    <t>2004-083002</t>
  </si>
  <si>
    <t>RFO-P (04-010)</t>
  </si>
  <si>
    <t>2004-083003</t>
  </si>
  <si>
    <t>RFA-P (04-058)</t>
  </si>
  <si>
    <t>2004-083004</t>
  </si>
  <si>
    <t>RFA-P (04-059)</t>
  </si>
  <si>
    <t>TOTAL COST</t>
  </si>
  <si>
    <t>NATIONALISM EFFORT</t>
  </si>
  <si>
    <t>2004-082502</t>
  </si>
  <si>
    <t>NONCOMPLIANCE WITH UIPA</t>
  </si>
  <si>
    <t>NAMES AND CONTACT INFORMATION</t>
  </si>
  <si>
    <t>2004-090101</t>
  </si>
  <si>
    <t>RFO-G (04-029)</t>
  </si>
  <si>
    <t>MAYOR-MAUI</t>
  </si>
  <si>
    <t>MAUI</t>
  </si>
  <si>
    <t>BLUE RIBBON COMMITTEE</t>
  </si>
  <si>
    <t>AGENDA + MINUTES</t>
  </si>
  <si>
    <t>2004-090301</t>
  </si>
  <si>
    <t>RFA-P (04-060)</t>
  </si>
  <si>
    <t>XEROX CORPORATION</t>
  </si>
  <si>
    <t>RECORD DISCLOSURE</t>
  </si>
  <si>
    <t>2004-090102</t>
  </si>
  <si>
    <t>RFO-G (04-030)</t>
  </si>
  <si>
    <t>DAGS-CSC</t>
  </si>
  <si>
    <t>DOCUMENT OF OFFER</t>
  </si>
  <si>
    <t>2004-090201</t>
  </si>
  <si>
    <t>PUBLIC NOTICE</t>
  </si>
  <si>
    <t>WORKSHOP</t>
  </si>
  <si>
    <t>2004-091501</t>
  </si>
  <si>
    <t>RFA-P (04-061)</t>
  </si>
  <si>
    <t>LIST OF NAMES</t>
  </si>
  <si>
    <t>2004-092701</t>
  </si>
  <si>
    <t>DOA-ADC</t>
  </si>
  <si>
    <t>SUNSHINE TRAINING-AGRIBUSINESS DEVELOPMENT CORP.</t>
  </si>
  <si>
    <t>OCTOBER 20, 2004</t>
  </si>
  <si>
    <t>2004-100101</t>
  </si>
  <si>
    <t>RFO-G (04-031)</t>
  </si>
  <si>
    <t>GLEN MARTINEZ COMPLAINT</t>
  </si>
  <si>
    <t>RELEASABLE DOCUMENTS</t>
  </si>
  <si>
    <t>2004-100102</t>
  </si>
  <si>
    <t>RFA-P (04-062)</t>
  </si>
  <si>
    <t>PROS-ATTY-MAUI</t>
  </si>
  <si>
    <t>Maui</t>
  </si>
  <si>
    <t>JUDGEMENT AND SENTENCE</t>
  </si>
  <si>
    <t>1004-101201</t>
  </si>
  <si>
    <t>SUNSHINE TRAINING-
HI COUNTY COUNCIL/ BDS/COMMISSION MEMBERS</t>
  </si>
  <si>
    <t>12/01/04</t>
  </si>
  <si>
    <t>2004-091401</t>
  </si>
  <si>
    <t>10/28/04</t>
  </si>
  <si>
    <t>2004-081702</t>
  </si>
  <si>
    <t>DOH-DCAB</t>
  </si>
  <si>
    <t>SUNSHINE TRNG FOR DISABILITY BD</t>
  </si>
  <si>
    <t>11/18/04</t>
  </si>
  <si>
    <t>2004-102001</t>
  </si>
  <si>
    <t>AG/HEALTH</t>
  </si>
  <si>
    <t>DOMESTIC VIOLENCE FATALITY REVIEW</t>
  </si>
  <si>
    <t>2004-102101</t>
  </si>
  <si>
    <t>RFA-P 04-063</t>
  </si>
  <si>
    <t>DOT-AIRPORT</t>
  </si>
  <si>
    <t>MATERIALS SUBMITTED</t>
  </si>
  <si>
    <t>SIGNATORY CARRIER STATUS</t>
  </si>
  <si>
    <t>LLA/JZB</t>
  </si>
  <si>
    <t>2004-102201</t>
  </si>
  <si>
    <t>RFO-P (04-011)</t>
  </si>
  <si>
    <t>KAUAI</t>
  </si>
  <si>
    <t>SPECIAL COUNTY MEETING NOTICE/AGENDA</t>
  </si>
  <si>
    <t>2004-101801</t>
  </si>
  <si>
    <t>RFO-G (04-032)</t>
  </si>
  <si>
    <t>KAMEHAMEHA SCHOOLS</t>
  </si>
  <si>
    <t>CLOSING AGREEMENT</t>
  </si>
  <si>
    <t>2004-102601</t>
  </si>
  <si>
    <t>RFA-P (04-064)</t>
  </si>
  <si>
    <t>MEDICAL RECORDS FILE</t>
  </si>
  <si>
    <t>WORK COMP INJURY</t>
  </si>
  <si>
    <t>2004-102602</t>
  </si>
  <si>
    <t>RFO-G (04-033)</t>
  </si>
  <si>
    <t>PSD-K</t>
  </si>
  <si>
    <t>UNAUTHORIZED INFORMATION RELEASED</t>
  </si>
  <si>
    <t>DEPARTMENT OF CORRECTIONS</t>
  </si>
  <si>
    <t>2004-102801</t>
  </si>
  <si>
    <t>UIPA - 10/28/04</t>
  </si>
  <si>
    <t>ATHLETIC DIRECTORS AND PRINCIPALS</t>
  </si>
  <si>
    <t>2004-102901</t>
  </si>
  <si>
    <t>RFA-P (04-065)</t>
  </si>
  <si>
    <t>PLAYBACK REQUEST FORM</t>
  </si>
  <si>
    <t>2004-110101</t>
  </si>
  <si>
    <t>RFA-P (04-066)</t>
  </si>
  <si>
    <t>NONRESPONSIVE TO REQUEST</t>
  </si>
  <si>
    <t>SPEED BUMPS INSTALLATION</t>
  </si>
  <si>
    <t>2004-091701</t>
  </si>
  <si>
    <t>RFO-G (04-034)</t>
  </si>
  <si>
    <t>HAWAII</t>
  </si>
  <si>
    <t>POLICE COMMISSIONERS</t>
  </si>
  <si>
    <t>BADGES</t>
  </si>
  <si>
    <t>2004-091702</t>
  </si>
  <si>
    <t>RFO-G (04-035)</t>
  </si>
  <si>
    <t>GOVERNOR'S OFFICE</t>
  </si>
  <si>
    <t>SCHEDULING</t>
  </si>
  <si>
    <t>CALENDAR</t>
  </si>
  <si>
    <t>2004-102202</t>
  </si>
  <si>
    <t>STATES HOUSING PRISONERS</t>
  </si>
  <si>
    <t>UIPA RECORDS</t>
  </si>
  <si>
    <t>2004-102203</t>
  </si>
  <si>
    <t>EAST-WEST CENTER</t>
  </si>
  <si>
    <t>2004-092401</t>
  </si>
  <si>
    <t>B &amp; F - PD</t>
  </si>
  <si>
    <t>TRANSCRIPTS OF PROCEEDINGS</t>
  </si>
  <si>
    <t>2004-092001</t>
  </si>
  <si>
    <t>CUSTODY STATUS</t>
  </si>
  <si>
    <t>2004-072202</t>
  </si>
  <si>
    <t>DCCA - HOIKE</t>
  </si>
  <si>
    <t>RECONSIDER OIP RESPONSE</t>
  </si>
  <si>
    <t>RE: RFA-P 04-045</t>
  </si>
  <si>
    <t>2004-102002</t>
  </si>
  <si>
    <t>AON PROPOSAL</t>
  </si>
  <si>
    <t>MAINTAINED BY PROCUREMENT OFFICE</t>
  </si>
  <si>
    <t>2004-101101</t>
  </si>
  <si>
    <t>RESIGNATION</t>
  </si>
  <si>
    <t>OAHU SERVICE AREA BOARD</t>
  </si>
  <si>
    <t>2004-110102</t>
  </si>
  <si>
    <t>DBEDT - LUC</t>
  </si>
  <si>
    <t>12/2/04</t>
  </si>
  <si>
    <t>2004-110103</t>
  </si>
  <si>
    <t>RFA-P (04-067)</t>
  </si>
  <si>
    <t>COMMUNICATION WITH ATTORNEY</t>
  </si>
  <si>
    <t>LOG BOOK DATA</t>
  </si>
  <si>
    <t>2004-110104</t>
  </si>
  <si>
    <t>RFA-P (04-068)</t>
  </si>
  <si>
    <t>DHS-CPS</t>
  </si>
  <si>
    <t>RELEASE OF INFORMATION</t>
  </si>
  <si>
    <t>CASE RECORD</t>
  </si>
  <si>
    <t>2004-110301</t>
  </si>
  <si>
    <t>RFA-P (04-069)</t>
  </si>
  <si>
    <t>RECORD DENIAL</t>
  </si>
  <si>
    <t>2004-110801</t>
  </si>
  <si>
    <t>RFA-P (04-070)</t>
  </si>
  <si>
    <t>PROCUREMENT OFFICE
SEE: RFO-P (05-008)</t>
  </si>
  <si>
    <t>2004-102802</t>
  </si>
  <si>
    <t>RFO-G (04-036)</t>
  </si>
  <si>
    <t>B&amp;F, ERS</t>
  </si>
  <si>
    <t>PAYMENTS TO RETIRANTS</t>
  </si>
  <si>
    <t>DISCLOSURE TO IRS</t>
  </si>
  <si>
    <t>2004-111201</t>
  </si>
  <si>
    <t>RFA-G (04-013)</t>
  </si>
  <si>
    <t>WESTED REPORT</t>
  </si>
  <si>
    <t>STUDENT ACHIEVEMENT</t>
  </si>
  <si>
    <t>2004-111202</t>
  </si>
  <si>
    <t>PARTIAL PRODUCTION OF RECORDS</t>
  </si>
  <si>
    <t>AGENCY NONRESPONSIVE</t>
  </si>
  <si>
    <t>OCS</t>
  </si>
  <si>
    <t>2004-111801</t>
  </si>
  <si>
    <t>SUNSHINE TRAINING FOR PCMA (PROF CONVENTION MGMT ASSN)</t>
  </si>
  <si>
    <t>1/11/05</t>
  </si>
  <si>
    <t>2004-112301</t>
  </si>
  <si>
    <t>RFA-G (04-037)</t>
  </si>
  <si>
    <t>MAYOR-HONOLULU</t>
  </si>
  <si>
    <t>MAYOR HARRIS</t>
  </si>
  <si>
    <t>2004 TRAVEL EXPENSES</t>
  </si>
  <si>
    <t>2004-111803</t>
  </si>
  <si>
    <t>RFA-P (04-071)</t>
  </si>
  <si>
    <t>KAU INOA EVENT EXPENSES</t>
  </si>
  <si>
    <t>YEARS 2003 AND 2004</t>
  </si>
  <si>
    <t>HI DIGITAL GOV SUMMIT</t>
  </si>
  <si>
    <t>12/14/04 - UIPA</t>
  </si>
  <si>
    <t>2004-112401</t>
  </si>
  <si>
    <t>RFA-P (04-072)</t>
  </si>
  <si>
    <t>PROGRAM EXPENDITURE</t>
  </si>
  <si>
    <t>2004-111805</t>
  </si>
  <si>
    <t>RFA-P (04-073)</t>
  </si>
  <si>
    <t>LIST OF 147 SERIES PROGRAMS</t>
  </si>
  <si>
    <t>2004-112402</t>
  </si>
  <si>
    <t>WATER-MAUI</t>
  </si>
  <si>
    <t>COMMUNICATION OF BOARD</t>
  </si>
  <si>
    <t>INFORMATION IN PUBLIC DOMAIN</t>
  </si>
  <si>
    <t>2004-112403</t>
  </si>
  <si>
    <t>PROPOSED LANDFILL SITE</t>
  </si>
  <si>
    <t>CAMPBELL INDUSTRIAL PARK</t>
  </si>
  <si>
    <t>2004-120201</t>
  </si>
  <si>
    <t>RFO-G (04-038)</t>
  </si>
  <si>
    <t>RANKS AND ASSIGNMENTS</t>
  </si>
  <si>
    <t>2004-120202</t>
  </si>
  <si>
    <t>RFA-P (04-074)</t>
  </si>
  <si>
    <t>AGREEMENT OFFERS</t>
  </si>
  <si>
    <t>2004-120601</t>
  </si>
  <si>
    <t>RFO-G (04-039)</t>
  </si>
  <si>
    <t>COMMITMENT TO HIRE</t>
  </si>
  <si>
    <t>ONE-ON-ONE MEETINGS</t>
  </si>
  <si>
    <t>2004-121001</t>
  </si>
  <si>
    <t>RFO-G (04-040)</t>
  </si>
  <si>
    <t>DISCLOSURE OF DOCUMENTS</t>
  </si>
  <si>
    <t>(RFO-G 04-033)</t>
  </si>
  <si>
    <t>2004-121301</t>
  </si>
  <si>
    <t>DECEMBER 16, 2004 AGENDA</t>
  </si>
  <si>
    <t>PROCUREMENT POLICY BOARD</t>
  </si>
  <si>
    <t>2004-121302</t>
  </si>
  <si>
    <t>RFA-P (04-075)</t>
  </si>
  <si>
    <t>IRRADIATION FACILITY PLANS</t>
  </si>
  <si>
    <t>ASSESSMENT OF FEES</t>
  </si>
  <si>
    <t>2004-121601</t>
  </si>
  <si>
    <t>DEC. 6, 2004 LETTER</t>
  </si>
  <si>
    <t>GARY SAFARIK AND BOB JACOBSON</t>
  </si>
  <si>
    <t>2004-121602</t>
  </si>
  <si>
    <t>RFO-G (04-041)</t>
  </si>
  <si>
    <t>COMMUNICATIONS OR TESTIMONIES</t>
  </si>
  <si>
    <t>2004-121702</t>
  </si>
  <si>
    <t>RFA-P (04-076)</t>
  </si>
  <si>
    <t>DVD LIST + INVITEES</t>
  </si>
  <si>
    <t>PRESENTATION BY BUSKE GROUP</t>
  </si>
  <si>
    <t>2004-122001</t>
  </si>
  <si>
    <t>RFO-G (04-042)</t>
  </si>
  <si>
    <t>NOVEMBER 18, 2004 AGENDA</t>
  </si>
  <si>
    <t>2004-122701</t>
  </si>
  <si>
    <t>RFO-P (04-012)</t>
  </si>
  <si>
    <t>TALK STORY IN KEAUHOU</t>
  </si>
  <si>
    <t>COUNTY COUNCIL REPRESENTATIVES</t>
  </si>
  <si>
    <t>2004-122702</t>
  </si>
  <si>
    <t>U RFO-P 04-013</t>
  </si>
  <si>
    <t>WITHHOLDING OF NAMES</t>
  </si>
  <si>
    <t>PEOPLE RESCUED</t>
  </si>
  <si>
    <t>CKP/CLT/LHJ/LLA</t>
  </si>
  <si>
    <t>2005-010401</t>
  </si>
  <si>
    <t>SCHOOL OF SOCIAL WORK</t>
  </si>
  <si>
    <t>ENROLLMENT STATISTICS</t>
  </si>
  <si>
    <t>2005-010402</t>
  </si>
  <si>
    <t>RFA-G (04-014)</t>
  </si>
  <si>
    <t>2005-010501</t>
  </si>
  <si>
    <t>RFO-P (04-014)</t>
  </si>
  <si>
    <t>DOBOR INFORMAL MEETING</t>
  </si>
  <si>
    <t>2005-010502</t>
  </si>
  <si>
    <t>RFA-P (04-077)</t>
  </si>
  <si>
    <t>DOE DOCUMENTS</t>
  </si>
  <si>
    <t>2005-011103</t>
  </si>
  <si>
    <t>RFA-P (05-001)</t>
  </si>
  <si>
    <t>VR PROGRAM</t>
  </si>
  <si>
    <t>2005-011104</t>
  </si>
  <si>
    <t>RFA-P (05-002)</t>
  </si>
  <si>
    <t>ACCOUNTING OF PAYMENTS</t>
  </si>
  <si>
    <t>RECEIPT NUMBERS</t>
  </si>
  <si>
    <t>2005-011201</t>
  </si>
  <si>
    <t>RFO-P (05-001)</t>
  </si>
  <si>
    <t>2005-011202</t>
  </si>
  <si>
    <t>RFA-P (05-003)</t>
  </si>
  <si>
    <t>SCHOOL SAFETY MANAGERS</t>
  </si>
  <si>
    <t>2005-011401</t>
  </si>
  <si>
    <t>RFA-P (05-004)</t>
  </si>
  <si>
    <t>WILLIAM STAR AHOLELEI</t>
  </si>
  <si>
    <t>ACCESS TO REPORT DENIED</t>
  </si>
  <si>
    <t>2005-011901</t>
  </si>
  <si>
    <t>RFA-P (05-005)</t>
  </si>
  <si>
    <t>CLIENT PROMOTIONS</t>
  </si>
  <si>
    <t>2005-012101</t>
  </si>
  <si>
    <t>RFO-G (05-001)</t>
  </si>
  <si>
    <t>1/25/05 AGENDA</t>
  </si>
  <si>
    <t>2005-012102</t>
  </si>
  <si>
    <t>HB 32</t>
  </si>
  <si>
    <t>PRESCRIPTION DRUG COST CONTAINMENT</t>
  </si>
  <si>
    <t>2005-012401</t>
  </si>
  <si>
    <t>ASSISTANCE TO OBTAIN RECORDS</t>
  </si>
  <si>
    <t>2005-012001</t>
  </si>
  <si>
    <t>RFA-P (05-006)</t>
  </si>
  <si>
    <t>DOCUMENTS</t>
  </si>
  <si>
    <t>RELATING TO MAXS CUSTODY</t>
  </si>
  <si>
    <t>2005-012002</t>
  </si>
  <si>
    <t>RFO-G (05-002)</t>
  </si>
  <si>
    <t>NOMINATIONS TO BOARDS/COMMISSIONS</t>
  </si>
  <si>
    <t>VOLUNTEER BLUE-RIBBON CITIZENS PANEL</t>
  </si>
  <si>
    <t>2005-012103</t>
  </si>
  <si>
    <t>SB 22</t>
  </si>
  <si>
    <t>CHILD PROTECTIVE ACT, RECORD DISCLOSURE</t>
  </si>
  <si>
    <t>2005-012104</t>
  </si>
  <si>
    <t>SB 46</t>
  </si>
  <si>
    <t>CORRECTIONS, INMATE GRIEVANCE REFORM</t>
  </si>
  <si>
    <t>2005-012106</t>
  </si>
  <si>
    <t>SB 286</t>
  </si>
  <si>
    <t>PUBLIC NOTICES</t>
  </si>
  <si>
    <t>2005-012107</t>
  </si>
  <si>
    <t>SB 316</t>
  </si>
  <si>
    <t>ELECTRONIC DATA/INFORMATION</t>
  </si>
  <si>
    <t>2005-012501</t>
  </si>
  <si>
    <t>HB 247</t>
  </si>
  <si>
    <t>2005-012502</t>
  </si>
  <si>
    <t>HB 31</t>
  </si>
  <si>
    <t>PRESCRIPTION DRUG PRICES, DISCLOSURE</t>
  </si>
  <si>
    <t>2005-012503</t>
  </si>
  <si>
    <t>SB 484 (COMP. HB 247)</t>
  </si>
  <si>
    <t>2005-012602</t>
  </si>
  <si>
    <t>HB 557 (COMP. SB 666)</t>
  </si>
  <si>
    <t>STORAGE OF GOVERNMENT RECORDS</t>
  </si>
  <si>
    <t>2005-012505</t>
  </si>
  <si>
    <t>SB 666 (COMP. HB 557)</t>
  </si>
  <si>
    <t>2005-012108</t>
  </si>
  <si>
    <t>SB 90 (SEE SB 465)</t>
  </si>
  <si>
    <t>HOSPITAL INFECTION DISCLOSURE</t>
  </si>
  <si>
    <t>2005-012506</t>
  </si>
  <si>
    <t>SB 465 (SEE SB 90)</t>
  </si>
  <si>
    <t>2005-012402</t>
  </si>
  <si>
    <t>HB 378 (COMP. SB 490)</t>
  </si>
  <si>
    <t>CHILDHOOD SURVEILLANCE SYSTEMS</t>
  </si>
  <si>
    <t>2005-012507</t>
  </si>
  <si>
    <t>SB 557</t>
  </si>
  <si>
    <t>COURT-APPOINTED FACT FINDERS</t>
  </si>
  <si>
    <t>2005-012508</t>
  </si>
  <si>
    <t>SB 490 (COMP. HB 378)</t>
  </si>
  <si>
    <t>2005-012509</t>
  </si>
  <si>
    <t>SB 696 (COMP. HB 587)</t>
  </si>
  <si>
    <t>2005-012512</t>
  </si>
  <si>
    <t>SB 625</t>
  </si>
  <si>
    <t>2005-012514</t>
  </si>
  <si>
    <t>SB 83</t>
  </si>
  <si>
    <t>2005-012515</t>
  </si>
  <si>
    <t>HB 207</t>
  </si>
  <si>
    <t>DRUG TESTING/EDUCATION</t>
  </si>
  <si>
    <t>2005-012604</t>
  </si>
  <si>
    <t>HB 551</t>
  </si>
  <si>
    <t>RELATING TO PUBLIC MEETINGS</t>
  </si>
  <si>
    <t>2005-012516</t>
  </si>
  <si>
    <t>SB 660 (COMP. HB 551)</t>
  </si>
  <si>
    <t>2005-012518</t>
  </si>
  <si>
    <t>SB 91</t>
  </si>
  <si>
    <t>EPIDEMIOLOGICAL INVESTIGATIONS</t>
  </si>
  <si>
    <t>2005-012403</t>
  </si>
  <si>
    <t>HB 119</t>
  </si>
  <si>
    <t>SSN/NOMINATION PAPERS</t>
  </si>
  <si>
    <t>2005-012110</t>
  </si>
  <si>
    <t>SB 421</t>
  </si>
  <si>
    <t>SMALL BUSINESS; BILL OF RIGHTS</t>
  </si>
  <si>
    <t>2005-012111</t>
  </si>
  <si>
    <t>HB 1</t>
  </si>
  <si>
    <t>RECODIFIES STATUTES RELATING TO HIGHER EDUCATION</t>
  </si>
  <si>
    <t>2005-012519</t>
  </si>
  <si>
    <t>HB 48 (COMP. SB 96)</t>
  </si>
  <si>
    <t>INSURANCE FRAUD INVES BRANCH</t>
  </si>
  <si>
    <t>2005-012520</t>
  </si>
  <si>
    <t>SB 96 (COMP. HB 48)</t>
  </si>
  <si>
    <t>2005-012606</t>
  </si>
  <si>
    <t>1/20/05 EXECUTIVE SESSION</t>
  </si>
  <si>
    <t>DESCRIPTION ADEQUACY</t>
  </si>
  <si>
    <t>2005-012607</t>
  </si>
  <si>
    <t>COUNTY-K</t>
  </si>
  <si>
    <t>SOMMER V. KAUAI COUNTY</t>
  </si>
  <si>
    <t>CIVIL NO. 04-0125</t>
  </si>
  <si>
    <t>OCS/LLA</t>
  </si>
  <si>
    <t>2005-012701</t>
  </si>
  <si>
    <t>SB 942</t>
  </si>
  <si>
    <t>RELATING TO GOVERNMENT; PRIVATIZATION</t>
  </si>
  <si>
    <t>2005-012608</t>
  </si>
  <si>
    <t>HB 515</t>
  </si>
  <si>
    <t>2005-012609</t>
  </si>
  <si>
    <t>2005-012610</t>
  </si>
  <si>
    <t>SB 640</t>
  </si>
  <si>
    <t>MEMBERSHIP; AUTONOMY</t>
  </si>
  <si>
    <t>2005-012702</t>
  </si>
  <si>
    <t>HB 487</t>
  </si>
  <si>
    <t>TAXPAYER INFORMATION; COUNTIES</t>
  </si>
  <si>
    <t>2005-012703</t>
  </si>
  <si>
    <t>HB 587</t>
  </si>
  <si>
    <t>2005-012801</t>
  </si>
  <si>
    <t>RFO-G (05-003)</t>
  </si>
  <si>
    <t>COUNTY COUNCIL-H</t>
  </si>
  <si>
    <t>COUNTY COUNCIL CONFERENCES</t>
  </si>
  <si>
    <t>BOARD BUSINESS</t>
  </si>
  <si>
    <t>2005-012704</t>
  </si>
  <si>
    <t>RFO-P (05-002)</t>
  </si>
  <si>
    <t>RESOLUTION NO. 2005-25</t>
  </si>
  <si>
    <t>2005-012802</t>
  </si>
  <si>
    <t>RFA-G (05-001)</t>
  </si>
  <si>
    <t>ETHICS-K</t>
  </si>
  <si>
    <t>2005-020101</t>
  </si>
  <si>
    <t>NONE</t>
  </si>
  <si>
    <t>HB 601 (COMP. SB 710)</t>
  </si>
  <si>
    <t>2005-020102</t>
  </si>
  <si>
    <t>SB 710 (COMP. HB 601)</t>
  </si>
  <si>
    <t>2005-013101</t>
  </si>
  <si>
    <t>SB 1297</t>
  </si>
  <si>
    <t>HAWAIIAN FOCUSED CHARTER SCHOOLS</t>
  </si>
  <si>
    <t>2005-013102</t>
  </si>
  <si>
    <t>SB 1285 (COMP. HB 941)</t>
  </si>
  <si>
    <t>TRADITIONAL HAWAIIAN HEALING PRACTICES</t>
  </si>
  <si>
    <t>2005-020103</t>
  </si>
  <si>
    <t>HB 1454 (COMP. SB 1308)</t>
  </si>
  <si>
    <t>2005-013103</t>
  </si>
  <si>
    <t>ADVISORY SALARY COMMISSION</t>
  </si>
  <si>
    <t>2005-013104</t>
  </si>
  <si>
    <t>SB 1733</t>
  </si>
  <si>
    <t>2005-013105</t>
  </si>
  <si>
    <t>SB 1512</t>
  </si>
  <si>
    <t>2005-012705</t>
  </si>
  <si>
    <t>SB 1062</t>
  </si>
  <si>
    <t>LEGISLATIVE SUNSHINE REQUIREMENTS</t>
  </si>
  <si>
    <t>2005-012803</t>
  </si>
  <si>
    <t>SB 1178</t>
  </si>
  <si>
    <t>ETHICS COMMISSION; ENFORCEMENT</t>
  </si>
  <si>
    <t>2005-012804</t>
  </si>
  <si>
    <t>SB 1179</t>
  </si>
  <si>
    <t>FOOD ESTABLISHMENTS; FOOD SAFETY</t>
  </si>
  <si>
    <t>2005-013106</t>
  </si>
  <si>
    <t>HB 336</t>
  </si>
  <si>
    <t>EMPLOYERS OF APPLICANTS, DISCLOSURE</t>
  </si>
  <si>
    <t>2005-013107</t>
  </si>
  <si>
    <t>2005-013108</t>
  </si>
  <si>
    <t>HB 1593 (COMP. SB 1549)</t>
  </si>
  <si>
    <t>PUBLIC AGENCY HEARINGS AND BOARDS</t>
  </si>
  <si>
    <t>2005-013109</t>
  </si>
  <si>
    <t>SB 1549 (COMP. HB 1593)</t>
  </si>
  <si>
    <t>2005-013110</t>
  </si>
  <si>
    <t>HB 865 (COMP. SB 625)</t>
  </si>
  <si>
    <t>2005-012805</t>
  </si>
  <si>
    <t>SB 1455</t>
  </si>
  <si>
    <t>EXECUTIVE ORDERS; PUBLIC DISCLOSURE</t>
  </si>
  <si>
    <t>2005-012706</t>
  </si>
  <si>
    <t>OAHU</t>
  </si>
  <si>
    <t>HB 1396</t>
  </si>
  <si>
    <t>PERSONAL RECORDS; POLICE DEPTS.</t>
  </si>
  <si>
    <t>2005-013111</t>
  </si>
  <si>
    <t>SB 1473</t>
  </si>
  <si>
    <t>WAIMANO RIDGE; DEVELOPMENT</t>
  </si>
  <si>
    <t>2005-013112</t>
  </si>
  <si>
    <t>HB 819</t>
  </si>
  <si>
    <t>RENAISSANCE ZONES; DEVELOPERS</t>
  </si>
  <si>
    <t>2005-013113</t>
  </si>
  <si>
    <t>2005-013114</t>
  </si>
  <si>
    <t>SB 1643</t>
  </si>
  <si>
    <t>CHARTER SCHOOLS; FUNDING</t>
  </si>
  <si>
    <t>2005-013115</t>
  </si>
  <si>
    <t>SB 1656</t>
  </si>
  <si>
    <t>INSURANCE; 24-HR COVERAGE</t>
  </si>
  <si>
    <t>2005-013116</t>
  </si>
  <si>
    <t>SB 1881</t>
  </si>
  <si>
    <t>RURAL LAND USE DISTRICTS</t>
  </si>
  <si>
    <t>2005-020201</t>
  </si>
  <si>
    <t>HB 280</t>
  </si>
  <si>
    <t>INTL. MATCHMAKING ORGANIZATIONS; BACKGROUND CHECKS</t>
  </si>
  <si>
    <t>2005-013117</t>
  </si>
  <si>
    <t>LAND USE; RURAL DISTRICTS</t>
  </si>
  <si>
    <t>2005-013118</t>
  </si>
  <si>
    <t>CEDED LAND REVENUES</t>
  </si>
  <si>
    <t>2005-013119</t>
  </si>
  <si>
    <t>HB 863 (COMP. SB 1716)</t>
  </si>
  <si>
    <t>PETROLEUM INDUSTRY; SPECIAL FUND</t>
  </si>
  <si>
    <t>2005-020104</t>
  </si>
  <si>
    <t>HB 1706</t>
  </si>
  <si>
    <t>UNIFORM ENVIRONMENTAL COVENANTS ACT</t>
  </si>
  <si>
    <t>2005-013120</t>
  </si>
  <si>
    <t>SB 1440</t>
  </si>
  <si>
    <t>2005-013121</t>
  </si>
  <si>
    <t>SB 1372 (COMP. HB 1717)</t>
  </si>
  <si>
    <t>CRIMINAL PROCEEDINGS; CRIME STOPPERS</t>
  </si>
  <si>
    <t>2005-020121</t>
  </si>
  <si>
    <t>HB 1717 (COMP. SB 1372)</t>
  </si>
  <si>
    <t>2005-013122</t>
  </si>
  <si>
    <t>SB 1692</t>
  </si>
  <si>
    <t>BIOPROSPECTING, ADVISORY COMMISSION</t>
  </si>
  <si>
    <t>2005-013123</t>
  </si>
  <si>
    <t>SB 1472</t>
  </si>
  <si>
    <t>INCOME TAX; COMFORT LETTERS</t>
  </si>
  <si>
    <t>2005-020106</t>
  </si>
  <si>
    <t>HB 1635</t>
  </si>
  <si>
    <t>LAW ENFORCEMENT OFFICERS; BILL OF RIGHTS</t>
  </si>
  <si>
    <t>2005-020107</t>
  </si>
  <si>
    <t>HB 1116</t>
  </si>
  <si>
    <t>LONG-TERM CARE INCOME TAX; LONG TERM CARE INCOME TAX CREDIT</t>
  </si>
  <si>
    <t>2005-013124</t>
  </si>
  <si>
    <t>SB 1514 (COMP. HB 1116)</t>
  </si>
  <si>
    <t>LONG-TERM CARE INCOME TAX</t>
  </si>
  <si>
    <t>SB 1464</t>
  </si>
  <si>
    <t>LONG TERM CARE;  COMMUNITY ELDER CARE</t>
  </si>
  <si>
    <t>2005-020108</t>
  </si>
  <si>
    <t>SB 52</t>
  </si>
  <si>
    <t>FOSTER CHILDREN; BILL OF RIGHTS</t>
  </si>
  <si>
    <t>2005-013126</t>
  </si>
  <si>
    <t>SB 1380</t>
  </si>
  <si>
    <t>ESTABLISHES SMALL BUSINESS BILL OF RIGHTS</t>
  </si>
  <si>
    <t>SB 1716
COMP: HB 863</t>
  </si>
  <si>
    <t>2005-020109</t>
  </si>
  <si>
    <t>HB 1048</t>
  </si>
  <si>
    <t>TOBACCO; DOH REGULATION</t>
  </si>
  <si>
    <t>2005-020110</t>
  </si>
  <si>
    <t>HB 985</t>
  </si>
  <si>
    <t>UH; BD OF REGENTS</t>
  </si>
  <si>
    <t>2005-02002</t>
  </si>
  <si>
    <t>HB 1492</t>
  </si>
  <si>
    <t>VICTIMS; ADDRESS CONFIDENTIALITY</t>
  </si>
  <si>
    <t>2005-020316</t>
  </si>
  <si>
    <t>SUNSHINE TRAINING-
BOE MEMBERS</t>
  </si>
  <si>
    <t>2/16/05</t>
  </si>
  <si>
    <t>2005-020204</t>
  </si>
  <si>
    <t>HB 1620</t>
  </si>
  <si>
    <t>NEW CENTURY CHARTER SCHOOLS</t>
  </si>
  <si>
    <t>2005-020112</t>
  </si>
  <si>
    <t>HB 1733</t>
  </si>
  <si>
    <t>CRIMES; RETENTION OF EVIDENCE</t>
  </si>
  <si>
    <t>2005-020214</t>
  </si>
  <si>
    <t>HB 1335</t>
  </si>
  <si>
    <t>LONG TERM CARE COMMISSION</t>
  </si>
  <si>
    <t>2005-020113</t>
  </si>
  <si>
    <t>HB 1353</t>
  </si>
  <si>
    <t>PEG ACCESS ORGANIZATIONS; AUDIT</t>
  </si>
  <si>
    <t>2005-020216</t>
  </si>
  <si>
    <t>SB 748 (Comp. HB 639)</t>
  </si>
  <si>
    <t>ESCROW DEPOSITORIES</t>
  </si>
  <si>
    <t>2005-020218</t>
  </si>
  <si>
    <t>HB 676 (Comp. SB 785)</t>
  </si>
  <si>
    <t>2005-020219</t>
  </si>
  <si>
    <t>SB 770 (Comp. HB 661)</t>
  </si>
  <si>
    <t>RELATING TO MORTGAGE BROKERS</t>
  </si>
  <si>
    <t>2005-020302</t>
  </si>
  <si>
    <t>SB 1819</t>
  </si>
  <si>
    <t>2005-020304</t>
  </si>
  <si>
    <t>SB 759 (COMP.  HB 650)</t>
  </si>
  <si>
    <t>RELATING TO INSURANCE</t>
  </si>
  <si>
    <t>2005-020305</t>
  </si>
  <si>
    <t>SB 743 (Comp. HB 634)</t>
  </si>
  <si>
    <t>REALTING TO UNIFORM SECURITIES ACT</t>
  </si>
  <si>
    <t>2005-020309</t>
  </si>
  <si>
    <t>HB 634 (Comp. SB 743)</t>
  </si>
  <si>
    <t>RELATING TO UNIFORM SECURITIES ACT</t>
  </si>
  <si>
    <t>2005-020311</t>
  </si>
  <si>
    <t>HB 650 (Comp. 759)</t>
  </si>
  <si>
    <t>2005-020312</t>
  </si>
  <si>
    <t>HB 639 (Comp. 748)</t>
  </si>
  <si>
    <t>2005-020313</t>
  </si>
  <si>
    <t>HB 605 (Comp. SB 714)</t>
  </si>
  <si>
    <t>OVERSIGHT OF THE PETROLEUM MARKET</t>
  </si>
  <si>
    <t>2005-020314</t>
  </si>
  <si>
    <t>HB 661 (Comp SB770)</t>
  </si>
  <si>
    <t>2005-020315</t>
  </si>
  <si>
    <t>SB 100 (COMP. HB 100)</t>
  </si>
  <si>
    <t>STATE BUDGET</t>
  </si>
  <si>
    <t>2005-020401</t>
  </si>
  <si>
    <t>RFA-P (05-007)</t>
  </si>
  <si>
    <t>UHIFA RECORDS</t>
  </si>
  <si>
    <t>RELATING TO CONSTRUCTION ON MAUNA KEA SUMMIT</t>
  </si>
  <si>
    <t>2005-020402</t>
  </si>
  <si>
    <t>NATIONAL CRIME PREVENTION</t>
  </si>
  <si>
    <t>2005-020403</t>
  </si>
  <si>
    <t>HB 1031</t>
  </si>
  <si>
    <t>STATE GOVERNMENT; FAIR ACCESS COMMISSION</t>
  </si>
  <si>
    <t>2005-020404</t>
  </si>
  <si>
    <t>HB 1768</t>
  </si>
  <si>
    <t>SEX OFFENDER REGISTRATION</t>
  </si>
  <si>
    <t>2005-020405</t>
  </si>
  <si>
    <t>SB 1688</t>
  </si>
  <si>
    <t>SEX OFFENDER REGISTRY</t>
  </si>
  <si>
    <t>2005-012611</t>
  </si>
  <si>
    <t>3/22/05</t>
  </si>
  <si>
    <t>2005-020406</t>
  </si>
  <si>
    <t>HB 801</t>
  </si>
  <si>
    <t>CHILD PROTECTIVE SERVICES, REMOVAL</t>
  </si>
  <si>
    <t>2005-020801</t>
  </si>
  <si>
    <t>RFO-G (05-004)</t>
  </si>
  <si>
    <t>MEETING AGENDAS</t>
  </si>
  <si>
    <t>2005-020901</t>
  </si>
  <si>
    <t>SB 1152</t>
  </si>
  <si>
    <t>RELATING TO LAND USE</t>
  </si>
  <si>
    <t>2005-020802</t>
  </si>
  <si>
    <t>RFA-P (05-008)</t>
  </si>
  <si>
    <t>TRAFFIC ACCIDENTS IN HAWAII</t>
  </si>
  <si>
    <t>RECORDS DENIED</t>
  </si>
  <si>
    <t>2005-020803</t>
  </si>
  <si>
    <t>RFO-G (05-005)</t>
  </si>
  <si>
    <t>TRAFFIC ACCIDENT REPORTS/DATA</t>
  </si>
  <si>
    <t>2005-020407</t>
  </si>
  <si>
    <t>RFA-G (05-002)</t>
  </si>
  <si>
    <t>DEPT. OF COUNSELING EDUCATION</t>
  </si>
  <si>
    <t>2005-021001</t>
  </si>
  <si>
    <t>SB 689 (COMP. HB 580)</t>
  </si>
  <si>
    <t>HIGHWAY HAZARD EVALUATION DATA</t>
  </si>
  <si>
    <t>2005-021002</t>
  </si>
  <si>
    <t>HB 580 (COMP. SB 689)</t>
  </si>
  <si>
    <t>2005-021003</t>
  </si>
  <si>
    <t>SB 708 (COMP. HB 599)</t>
  </si>
  <si>
    <t>CHAPTER 846E</t>
  </si>
  <si>
    <t>2005-021004</t>
  </si>
  <si>
    <t>HB 599 (COMP. SB 708)</t>
  </si>
  <si>
    <t>2005-020114</t>
  </si>
  <si>
    <t>RFA-G (O5-003)</t>
  </si>
  <si>
    <t>WATER OF LIFE CHARTER SCHOOLS</t>
  </si>
  <si>
    <t>2005-021005</t>
  </si>
  <si>
    <t>RFO-G (05-006)</t>
  </si>
  <si>
    <t>NOTICE AND AGENDA</t>
  </si>
  <si>
    <t>1/10/05 MEETING</t>
  </si>
  <si>
    <t>2005-020902</t>
  </si>
  <si>
    <t>BOARD MEETING</t>
  </si>
  <si>
    <t>SUNSHINE LAW ISSUE</t>
  </si>
  <si>
    <t>2005-020220</t>
  </si>
  <si>
    <t>RFA-P (05-009)</t>
  </si>
  <si>
    <t>INTERNAL AFFAIRS OFFICE</t>
  </si>
  <si>
    <t>2005-021006</t>
  </si>
  <si>
    <t>MARK CALICDAN</t>
  </si>
  <si>
    <t>INFORMATION ON PAROLEE</t>
  </si>
  <si>
    <t>2005-021401</t>
  </si>
  <si>
    <t>SB 470 (COMP. HB 229)</t>
  </si>
  <si>
    <t>DNA REGISTRY</t>
  </si>
  <si>
    <t>2005-021402</t>
  </si>
  <si>
    <t>RFO-G (05-007)</t>
  </si>
  <si>
    <t>OIP OP. LTR. 03-01</t>
  </si>
  <si>
    <t>2005-022401</t>
  </si>
  <si>
    <t>RFA-P (05-010)</t>
  </si>
  <si>
    <t>PUBLIC SCHOOL YEARBOOK</t>
  </si>
  <si>
    <t>KEAAU ELEMENTARY SCHOOL</t>
  </si>
  <si>
    <t>2005-022801</t>
  </si>
  <si>
    <t>SB 1547 SD1</t>
  </si>
  <si>
    <t>PUBLIC ACCESS; FAIR ACCESS COMMISSION</t>
  </si>
  <si>
    <t>2005-022501</t>
  </si>
  <si>
    <t>RFO-G (05-008)</t>
  </si>
  <si>
    <t>DOCUMENTS EXEMPT FROM REVIEW + RELEASE</t>
  </si>
  <si>
    <t>2005-022802</t>
  </si>
  <si>
    <t>USAGE OF AIRLINES</t>
  </si>
  <si>
    <t>INFLEXIBILITY</t>
  </si>
  <si>
    <t>2005-022502</t>
  </si>
  <si>
    <t>RFA-P (05-011)</t>
  </si>
  <si>
    <t>DAUGHTER'S RECORDS</t>
  </si>
  <si>
    <t>FINANCIAL AID INFORMATION</t>
  </si>
  <si>
    <t>2005-022301</t>
  </si>
  <si>
    <t>UH BOARD OF REGENTS BYLAWS</t>
  </si>
  <si>
    <t>INFORMATION HELD IN CONFIDENCE</t>
  </si>
  <si>
    <t>2005-022302</t>
  </si>
  <si>
    <t>DR. CONSULTANT REPORT</t>
  </si>
  <si>
    <t>PALI MOMI HOSPITAL</t>
  </si>
  <si>
    <t>2005-022303</t>
  </si>
  <si>
    <t>RFO-G (05-009)</t>
  </si>
  <si>
    <t>RELEASE OF WRITTEN FINDINGS</t>
  </si>
  <si>
    <t>2005-030301</t>
  </si>
  <si>
    <t>RFO-G (05-010)</t>
  </si>
  <si>
    <t>DOT - HARBOR</t>
  </si>
  <si>
    <t>SUPERFERRY/KAHULUI HARBOR</t>
  </si>
  <si>
    <t>FACILITY LAYOUT STUDY</t>
  </si>
  <si>
    <t>2005-030201</t>
  </si>
  <si>
    <t>RFA-P (05-012)</t>
  </si>
  <si>
    <t>TRAFFIC DATA COLLECTION</t>
  </si>
  <si>
    <t>2005-022201</t>
  </si>
  <si>
    <t>SUFFICIENCY OF 2/24/05 AGENDA</t>
  </si>
  <si>
    <t>2005-030701</t>
  </si>
  <si>
    <t>CHURCH SERVICES AND PHONE</t>
  </si>
  <si>
    <t>SIGN-UP SHEETS</t>
  </si>
  <si>
    <t>2005-030202</t>
  </si>
  <si>
    <t>RFA-P (05-013)</t>
  </si>
  <si>
    <t>INVESTIGATION REPORT, 11/25/95</t>
  </si>
  <si>
    <t>6/7/05 - CONVERTED TO RFO-P 05-012</t>
  </si>
  <si>
    <t>2005-030801</t>
  </si>
  <si>
    <t>RFO-P (05-003)</t>
  </si>
  <si>
    <t>RESULTS OF COMMITTEE RECOMMENDATION TO REDUCE TERMS</t>
  </si>
  <si>
    <t>2005-030901</t>
  </si>
  <si>
    <t>RFO-G (05-011)</t>
  </si>
  <si>
    <t>FUEL PRICE REGULATION</t>
  </si>
  <si>
    <t>WORKING DRAFT</t>
  </si>
  <si>
    <t>2005-031001</t>
  </si>
  <si>
    <t>RFO-G (05-012)</t>
  </si>
  <si>
    <t>HSED COUNCIL COMMITTEE</t>
  </si>
  <si>
    <t>SPECIAL MEETING INQUIRY</t>
  </si>
  <si>
    <t>2005-031802</t>
  </si>
  <si>
    <t>TOBACCO LIABILITY ACT</t>
  </si>
  <si>
    <t>NONPARTICIPATING MANUFACTURERS</t>
  </si>
  <si>
    <t>2005-030803</t>
  </si>
  <si>
    <t>2005-031601</t>
  </si>
  <si>
    <t>RFA-P (05-014)</t>
  </si>
  <si>
    <t>REFUSE DIVISION</t>
  </si>
  <si>
    <t>2005-031603</t>
  </si>
  <si>
    <t>EXCESSIVE CORRECTIONS TO MINUTES</t>
  </si>
  <si>
    <t>DIAMOND HD NB</t>
  </si>
  <si>
    <t>2005-031801</t>
  </si>
  <si>
    <t>POLICEC-ALL</t>
  </si>
  <si>
    <t>ANNUAL POLICE COMMISSIONERS CONFERENCE</t>
  </si>
  <si>
    <t>5/12/05 KAUAI TRAINING ON SUNSHINE AND UIPA</t>
  </si>
  <si>
    <t>2005-012003</t>
  </si>
  <si>
    <t>6/20/05</t>
  </si>
  <si>
    <t>LHK/CLT</t>
  </si>
  <si>
    <t>2005-032101</t>
  </si>
  <si>
    <t>RFO-G (05-013)</t>
  </si>
  <si>
    <t>DCCA-AKAKU</t>
  </si>
  <si>
    <t>AKAKU EMPLOYEES</t>
  </si>
  <si>
    <t>WAGES AND BENEFITS</t>
  </si>
  <si>
    <t>2005-032301</t>
  </si>
  <si>
    <t>RFO-G (05-014)</t>
  </si>
  <si>
    <t>DEM-H</t>
  </si>
  <si>
    <t>KONA OPERATIONS AND ACTIVITIES</t>
  </si>
  <si>
    <t>2005-032805</t>
  </si>
  <si>
    <t>RFA-P (05-015)</t>
  </si>
  <si>
    <t>DHS-SSD</t>
  </si>
  <si>
    <t>RECORDS RELATING TO REVOCATION OF FOSTER LICENSE</t>
  </si>
  <si>
    <t>2005-032802</t>
  </si>
  <si>
    <t>RFA-P (05-016)</t>
  </si>
  <si>
    <t>ACCESS TO KKEA CONTRACTS</t>
  </si>
  <si>
    <t>2005-033001</t>
  </si>
  <si>
    <t>RFO-P (05-004)</t>
  </si>
  <si>
    <t>SUNSHINE LAW INQUIRY</t>
  </si>
  <si>
    <t>2005-033002</t>
  </si>
  <si>
    <t>RFA-G (05-004)</t>
  </si>
  <si>
    <t>CAMPUS SECURITY REPORT</t>
  </si>
  <si>
    <t>UH FILE #02-0838
See RFO-G 05-028</t>
  </si>
  <si>
    <t>2005-033101</t>
  </si>
  <si>
    <t>RFO-G (05-015)</t>
  </si>
  <si>
    <t>INDEPENDANT LIVING COUNCIL OF HI</t>
  </si>
  <si>
    <t>2005-033003</t>
  </si>
  <si>
    <t>RFO-P 05-005</t>
  </si>
  <si>
    <t>PUMEHANA HOMES ASSN</t>
  </si>
  <si>
    <t>2005-033102</t>
  </si>
  <si>
    <t>4/1/05</t>
  </si>
  <si>
    <t>2005-0332803</t>
  </si>
  <si>
    <t>CORP-CNSL-H</t>
  </si>
  <si>
    <t>UIPA TRAINING
9/14/05-9/16/05</t>
  </si>
  <si>
    <t>STATEWIDE MUNICIPAL ATTYS TRAINING CONFERENCE</t>
  </si>
  <si>
    <t>2005-032901</t>
  </si>
  <si>
    <t>SUNSHINE TRAINING 5/14/05 &amp; 6/28/05</t>
  </si>
  <si>
    <t>NEIGHBORHOOD BOARDS &amp; COMMISSIONS</t>
  </si>
  <si>
    <t>2005-031803</t>
  </si>
  <si>
    <t>SB 1685</t>
  </si>
  <si>
    <t>TAXPAYER INFORMATION</t>
  </si>
  <si>
    <t>2005-040801</t>
  </si>
  <si>
    <t>RFO-G (05-018)</t>
  </si>
  <si>
    <t>PERIOD 1/04-10/04</t>
  </si>
  <si>
    <t>2005-032902</t>
  </si>
  <si>
    <t>RFA-G (05-005)</t>
  </si>
  <si>
    <t>NEOGITATIONS W/NAVSEA</t>
  </si>
  <si>
    <t>DEVELOPMENT OF NAVY UARC</t>
  </si>
  <si>
    <t>2005-040601</t>
  </si>
  <si>
    <t>RFO-G (05-016)</t>
  </si>
  <si>
    <t>KRITZMAN LETTER DTD 8/24/04</t>
  </si>
  <si>
    <t>DISCLOSABILITY OF LETTER</t>
  </si>
  <si>
    <t>2005-040501</t>
  </si>
  <si>
    <t>REQUESTS TO AGENCIES FOR INFORMATION</t>
  </si>
  <si>
    <t>QUESTIONS POSED TO DHS</t>
  </si>
  <si>
    <t>2005-040701</t>
  </si>
  <si>
    <t>RFO-G (05-017)</t>
  </si>
  <si>
    <t>BLIND VENDOR COMMITTEE</t>
  </si>
  <si>
    <t>2005-040602</t>
  </si>
  <si>
    <t>RFA-P (05-017)</t>
  </si>
  <si>
    <t>AFN PACIFIC REPORT</t>
  </si>
  <si>
    <t>PLAYBACK SUBMISSION</t>
  </si>
  <si>
    <t>2005-040603</t>
  </si>
  <si>
    <t>RFA-G (05-006)</t>
  </si>
  <si>
    <t>HI-RCUH</t>
  </si>
  <si>
    <t>NAVY-UARC</t>
  </si>
  <si>
    <t>CONTRACT DOCUMENTS</t>
  </si>
  <si>
    <t>2005-040702</t>
  </si>
  <si>
    <t>RFO-P (05-006)</t>
  </si>
  <si>
    <t>COUNCIL REORGANIZATION</t>
  </si>
  <si>
    <t>AMEND AGENDA</t>
  </si>
  <si>
    <t>2005-031501</t>
  </si>
  <si>
    <t>SUNSHINE/UIPA TRNG 5/16/05 - CANCELED</t>
  </si>
  <si>
    <t>HO'OKAKO'O BOARD MEMBERS</t>
  </si>
  <si>
    <t>2005-041101</t>
  </si>
  <si>
    <t>LTRS (RFO-G 05-016)</t>
  </si>
  <si>
    <t>S. JAWOROWSKI LTRS</t>
  </si>
  <si>
    <t>2005-041102</t>
  </si>
  <si>
    <t>RFA-G (05-007)</t>
  </si>
  <si>
    <t>LUNALILO ON-RAMP</t>
  </si>
  <si>
    <t>MODIFICATION PROJECT DATA</t>
  </si>
  <si>
    <t>2005-040604</t>
  </si>
  <si>
    <t>RFO-P (05-007)</t>
  </si>
  <si>
    <t>SUFFICIENCY OF 4/12/05 MTG AGENDA</t>
  </si>
  <si>
    <t>2005-041301</t>
  </si>
  <si>
    <t>RFO-G (05-019)</t>
  </si>
  <si>
    <t>TESTIMONY VIA TELEPHONE</t>
  </si>
  <si>
    <t>2005-041201</t>
  </si>
  <si>
    <t>RFO-G (05-020)</t>
  </si>
  <si>
    <t>HI COUNTY COUNCIL REORGANIZATION</t>
  </si>
  <si>
    <t>2005-032302</t>
  </si>
  <si>
    <t>ALVAREZ V SOH, PSD</t>
  </si>
  <si>
    <t>CIVIL NO. 04-1-0478 (3)</t>
  </si>
  <si>
    <t>NKB</t>
  </si>
  <si>
    <t>2005-042201</t>
  </si>
  <si>
    <t>RFO-G (05-021)</t>
  </si>
  <si>
    <t>CSEA ENFORCEMENT ORDERS</t>
  </si>
  <si>
    <t>CONVEYANCE RECORDINGS</t>
  </si>
  <si>
    <t>RFO-G (05-022)</t>
  </si>
  <si>
    <t>2005-041302</t>
  </si>
  <si>
    <t>RFO-G (05-023)</t>
  </si>
  <si>
    <t>HI COUNTY COUNCIL AGENDA SUFFICIENCY</t>
  </si>
  <si>
    <t>2005-042701</t>
  </si>
  <si>
    <t>RFO-G (05-024)</t>
  </si>
  <si>
    <t>SAMPLES</t>
  </si>
  <si>
    <t>LIVE ORGANISMS/BACTERIA</t>
  </si>
  <si>
    <t>2005-042901</t>
  </si>
  <si>
    <t>RFO-G (05-025)</t>
  </si>
  <si>
    <t>QUARTERLY EXPENDITURE REPORT</t>
  </si>
  <si>
    <t>FNA RFA-G (00-012)</t>
  </si>
  <si>
    <t>2005-042902</t>
  </si>
  <si>
    <t>RFO-G (05-026)</t>
  </si>
  <si>
    <t>JURISDICTION
fna INVES 2001-0124-07
Related Case: RFO 01-006</t>
  </si>
  <si>
    <t>2005-042903</t>
  </si>
  <si>
    <t>U RFO-P 05-008</t>
  </si>
  <si>
    <t>DAGS-SPO</t>
  </si>
  <si>
    <t>fna RFA-P (04-070)</t>
  </si>
  <si>
    <t>HENC ADVISORY</t>
  </si>
  <si>
    <t>STATE CONVENED MTGS</t>
  </si>
  <si>
    <t>2005-042905</t>
  </si>
  <si>
    <t>RFO-G (05-027)</t>
  </si>
  <si>
    <t>CONFIDENTIAL SURVEY INFORMATION</t>
  </si>
  <si>
    <t>HAWAII ARTISTS</t>
  </si>
  <si>
    <t>RFA-G (05-008)</t>
  </si>
  <si>
    <t>RELEASE OF R KRITZMAN LTR</t>
  </si>
  <si>
    <t>2005-050201</t>
  </si>
  <si>
    <t>RFA-P (05-018)</t>
  </si>
  <si>
    <t>LEON ROUSE RECORDS</t>
  </si>
  <si>
    <t>PHILIPPINES CONFINEMENT</t>
  </si>
  <si>
    <t>2005-050301</t>
  </si>
  <si>
    <t>RFO-G (05-028)</t>
  </si>
  <si>
    <t>UH FILE #02-0838
fna RFA-G 05-004</t>
  </si>
  <si>
    <t>2005-050501</t>
  </si>
  <si>
    <t>RFO-G (05-029)</t>
  </si>
  <si>
    <t>SUNSHINE COMPLIANCE</t>
  </si>
  <si>
    <t>2005-050302</t>
  </si>
  <si>
    <t>ALVAREZ V PSD/CIVIL 04-1-0478(3)</t>
  </si>
  <si>
    <t>2005-050601</t>
  </si>
  <si>
    <t>RFO-P (05-010)</t>
  </si>
  <si>
    <t>WEST BEACH ESTATES</t>
  </si>
  <si>
    <t>KO'OLINA BOAT RAMP</t>
  </si>
  <si>
    <t>2005-050901</t>
  </si>
  <si>
    <t>RFO-G (05-030)</t>
  </si>
  <si>
    <t>ANONYMOUS DONORS</t>
  </si>
  <si>
    <t>2005-051701</t>
  </si>
  <si>
    <t>RFO-G (05-031)</t>
  </si>
  <si>
    <t>1-20-05 MINUTES</t>
  </si>
  <si>
    <t>ES 177</t>
  </si>
  <si>
    <t>LLT</t>
  </si>
  <si>
    <t>2005-051901</t>
  </si>
  <si>
    <t>RFA-P (05-019)</t>
  </si>
  <si>
    <t>2005-051601</t>
  </si>
  <si>
    <t>RFO-G (05-032)</t>
  </si>
  <si>
    <t>FUJIUCHI REPORT</t>
  </si>
  <si>
    <t>NAME DISCLOSURE</t>
  </si>
  <si>
    <t>2005-052401</t>
  </si>
  <si>
    <t>RFA-P (05-020)</t>
  </si>
  <si>
    <t>2005-052301</t>
  </si>
  <si>
    <t>RFO-G (05-033)</t>
  </si>
  <si>
    <t>NA LEO O HAWAII</t>
  </si>
  <si>
    <t>FEDERAL RULING</t>
  </si>
  <si>
    <t>2005-052501</t>
  </si>
  <si>
    <t>RFO-G (05-034)</t>
  </si>
  <si>
    <t>PETER ENGLERT EVALUATION</t>
  </si>
  <si>
    <t>2005-060102</t>
  </si>
  <si>
    <t>RFA-P 05-023</t>
  </si>
  <si>
    <t>COUNTY ATTORNEY'S OF</t>
  </si>
  <si>
    <t>KAUAI COUNTY POLICE COMMISSION MEETINGS</t>
  </si>
  <si>
    <t>CORR-01</t>
  </si>
  <si>
    <t>2005-060101</t>
  </si>
  <si>
    <t>CORP CNSL ALL</t>
  </si>
  <si>
    <t>MUNICIPAL ATTYS CONFERENCE 9/14-9/16</t>
  </si>
  <si>
    <t>ERROR/DUPLICATE FILE (See ID #8058)</t>
  </si>
  <si>
    <t>RFA-P 05-021</t>
  </si>
  <si>
    <t>POLICE REPORT 00041702 &amp; 00042441</t>
  </si>
  <si>
    <t>2005-060201</t>
  </si>
  <si>
    <t>RFA-P 05-022</t>
  </si>
  <si>
    <t>2005-053101</t>
  </si>
  <si>
    <t>CORP CNSL - H</t>
  </si>
  <si>
    <t>CIVIL SERVICE RULES</t>
  </si>
  <si>
    <t>2005-060701</t>
  </si>
  <si>
    <t>RFO-P 05-012</t>
  </si>
  <si>
    <t>6/7/05 - CONVERTED FROM RFA-P 05-013</t>
  </si>
  <si>
    <t>2005-061302</t>
  </si>
  <si>
    <t>AL</t>
  </si>
  <si>
    <t>BURIAL COUNCIL - STATEWIDE</t>
  </si>
  <si>
    <t>SUNSHINE TRAINING
Kauai-      6/30/05
Oahu -     7/7/05
Big Isle -  7/12/05
Molokai - 7/15/05
Maui -      7/19/05</t>
  </si>
  <si>
    <t>2005-060801</t>
  </si>
  <si>
    <t>RFA-G 05-035</t>
  </si>
  <si>
    <t>DAGS-SA</t>
  </si>
  <si>
    <t>PRO BOWL CONTRACT</t>
  </si>
  <si>
    <t>2005-061401</t>
  </si>
  <si>
    <t>KAUAI POLICE COMMISSION</t>
  </si>
  <si>
    <t>2005-060601</t>
  </si>
  <si>
    <t>SEE: RFO 03-008</t>
  </si>
  <si>
    <t>RFO-P 05-013</t>
  </si>
  <si>
    <t>CASE MANAGERS FILES</t>
  </si>
  <si>
    <t>2005-06101</t>
  </si>
  <si>
    <t>CHING V. KAUAI COUNTY COUNCIL</t>
  </si>
  <si>
    <t>NKB/WKP</t>
  </si>
  <si>
    <t>2005-061601</t>
  </si>
  <si>
    <t>B &amp; F-HON</t>
  </si>
  <si>
    <t>POE V. REAL PROPERTY ASSESS DIV ADMIN</t>
  </si>
  <si>
    <t>2005-062001</t>
  </si>
  <si>
    <t>S RFO-P 05-014</t>
  </si>
  <si>
    <t>DBEDT/HCDA</t>
  </si>
  <si>
    <t>HCDA</t>
  </si>
  <si>
    <t>NOTICE; EXECUTIVE MEETING</t>
  </si>
  <si>
    <t>2005-062002</t>
  </si>
  <si>
    <t>S RFA-G 05-009</t>
  </si>
  <si>
    <t>NOTICE; AGENDA</t>
  </si>
  <si>
    <t>2005-062003</t>
  </si>
  <si>
    <t>KAUAI VS. OIP</t>
  </si>
  <si>
    <t>ES-177 see: INVES 2005-0126-06 (CHING)</t>
  </si>
  <si>
    <t>LHK/WKP/LLT</t>
  </si>
  <si>
    <t>2005-062201</t>
  </si>
  <si>
    <t>CITIZEN ADVISE COMM</t>
  </si>
  <si>
    <t>SUNSHINE OVERVIEW 7/20/05</t>
  </si>
  <si>
    <t>2005-062301</t>
  </si>
  <si>
    <t>S INVES</t>
  </si>
  <si>
    <t>6/30/2005 STADIUM AUTHORITY AGENDA</t>
  </si>
  <si>
    <t>ITEM V</t>
  </si>
  <si>
    <t>2005-062302</t>
  </si>
  <si>
    <t>UH-WEST CAMPUS</t>
  </si>
  <si>
    <t>CLOSED MEETING</t>
  </si>
  <si>
    <t>2005-062303</t>
  </si>
  <si>
    <t>S RFA-P 05-024</t>
  </si>
  <si>
    <t>1/11/05 NC MINUTES</t>
  </si>
  <si>
    <t>2005-062401</t>
  </si>
  <si>
    <t>U RFA-P 05-025</t>
  </si>
  <si>
    <t>MINUTES AND TESTIMONY</t>
  </si>
  <si>
    <t>2005-062801</t>
  </si>
  <si>
    <t>U RFA-P 05-026</t>
  </si>
  <si>
    <t>EXECUTIVE MEETING MINUTES/TRANSCRIPTS</t>
  </si>
  <si>
    <t>1/1/2002 - CURRENT</t>
  </si>
  <si>
    <t>2005-062802</t>
  </si>
  <si>
    <t>U RFA-G 05-010</t>
  </si>
  <si>
    <t>DLNR-FORESTRY &amp; WILD</t>
  </si>
  <si>
    <t>WILDLIFE CONTROL PERMITS</t>
  </si>
  <si>
    <t>2005-062803</t>
  </si>
  <si>
    <t>U RFO-G 05-011</t>
  </si>
  <si>
    <t>99 IHOIHO PLACE</t>
  </si>
  <si>
    <t>2005-062901</t>
  </si>
  <si>
    <t>S RFO-G 05-036</t>
  </si>
  <si>
    <t>OMPO</t>
  </si>
  <si>
    <t>POSSIBLE VIOLATION OF THE SUNSHINE LAW</t>
  </si>
  <si>
    <t>CHARLEY'S TAXI</t>
  </si>
  <si>
    <t>2005-063001</t>
  </si>
  <si>
    <t>S RFO-G 05-037</t>
  </si>
  <si>
    <t>2/24/05</t>
  </si>
  <si>
    <t>CLT/LLT/WKP/LHK</t>
  </si>
  <si>
    <t>2005-070501</t>
  </si>
  <si>
    <t>S RFO-G 05-038</t>
  </si>
  <si>
    <t>DOH-SCMH</t>
  </si>
  <si>
    <t>COUNCIL ON MENTAL HEALTH</t>
  </si>
  <si>
    <t>2005-070502</t>
  </si>
  <si>
    <t>U RFA-G 05-012</t>
  </si>
  <si>
    <t>POS PROVIDERS</t>
  </si>
  <si>
    <t>EMPLOYEE SALARY INFORMATION</t>
  </si>
  <si>
    <t>2005-070503</t>
  </si>
  <si>
    <t>LOST/MISPLACED REQUEST</t>
  </si>
  <si>
    <t>2005-070504</t>
  </si>
  <si>
    <t>U CORR</t>
  </si>
  <si>
    <t>OFFICIAL DISABILITY GUIDELINES</t>
  </si>
  <si>
    <t>2005-070801</t>
  </si>
  <si>
    <t>U RFO-P 05-015</t>
  </si>
  <si>
    <t>7/21/2004 INCIDENT : Closed on 9/1/2005 File reopened on 10/5/2005</t>
  </si>
  <si>
    <t>2005-071201</t>
  </si>
  <si>
    <t>OIP 6/23/2005 LETTER</t>
  </si>
  <si>
    <t>SSN-GOLF CARDS</t>
  </si>
  <si>
    <t>2005-071301</t>
  </si>
  <si>
    <t>U RFO-P 05-016</t>
  </si>
  <si>
    <t>BUSINESS DEVELOPMENT MISSIONS</t>
  </si>
  <si>
    <t>CONTRIBUTION DATA</t>
  </si>
  <si>
    <t>2005-071401</t>
  </si>
  <si>
    <t>U OIP TRNG</t>
  </si>
  <si>
    <t>DOH-OHCA</t>
  </si>
  <si>
    <t>UIPA TRAINING -
OFFICE OF HEALTH CARE ASSURANCE</t>
  </si>
  <si>
    <t>8/29/05</t>
  </si>
  <si>
    <t>2005-071101</t>
  </si>
  <si>
    <t>S RFO-G 05-039</t>
  </si>
  <si>
    <t>DOWNTOWN NB</t>
  </si>
  <si>
    <t>PUBLIC COMMENT AT MEETING</t>
  </si>
  <si>
    <t>2005-071501</t>
  </si>
  <si>
    <t>S RFO-G 05-040</t>
  </si>
  <si>
    <t>KAILUA NB</t>
  </si>
  <si>
    <t>BOARD MEMBER ELECTION</t>
  </si>
  <si>
    <t>2005-071802</t>
  </si>
  <si>
    <t>S RFO-G 05-041</t>
  </si>
  <si>
    <t>KALIHI NB</t>
  </si>
  <si>
    <t>2005-071202</t>
  </si>
  <si>
    <t>S RFO-G 05-042</t>
  </si>
  <si>
    <t>REORGANIZATION - -
SERIAL ONE-ON-ONE
COMMUNICATION</t>
  </si>
  <si>
    <t>CITY COUNCIL COMMITTEE</t>
  </si>
  <si>
    <t>2005-072501</t>
  </si>
  <si>
    <t>S RFO-G 05-043</t>
  </si>
  <si>
    <t>HAWAII 2050 TASK FORCE</t>
  </si>
  <si>
    <t>SB 1592</t>
  </si>
  <si>
    <t>2005-072203</t>
  </si>
  <si>
    <t>U RFA-P 05-027</t>
  </si>
  <si>
    <t>UH-IFA</t>
  </si>
  <si>
    <t>"ROYAL ORDER OF KAMEHAMEHA I"</t>
  </si>
  <si>
    <t>USE OF THE NAME</t>
  </si>
  <si>
    <t>2005-072101</t>
  </si>
  <si>
    <t>MAKAKILO NB</t>
  </si>
  <si>
    <t>HECO POWER PLANT</t>
  </si>
  <si>
    <t>2005-072601</t>
  </si>
  <si>
    <t>S OIP TRNG</t>
  </si>
  <si>
    <t>SUNSHINE TRNG 9/1/05</t>
  </si>
  <si>
    <t>DEPT OF AGRICULTURE BOARDS</t>
  </si>
  <si>
    <t>2005-072204</t>
  </si>
  <si>
    <t>S CORR</t>
  </si>
  <si>
    <t>CRC-HON</t>
  </si>
  <si>
    <t>CHARTER REVIEW COMMISSION MONITORING COMMITTEE</t>
  </si>
  <si>
    <t>2005-072701</t>
  </si>
  <si>
    <t>CITY PLANNING COMMISSION SUNSHINE TRNG</t>
  </si>
  <si>
    <t>8/10/05</t>
  </si>
  <si>
    <t>2005-072901</t>
  </si>
  <si>
    <t>U RFA-P 05-029</t>
  </si>
  <si>
    <t>MULTIPLE APPEALS</t>
  </si>
  <si>
    <t>2005-072902</t>
  </si>
  <si>
    <t>B&amp;F/ERS</t>
  </si>
  <si>
    <t>VITECH PROPOSAL</t>
  </si>
  <si>
    <t>2005-072903</t>
  </si>
  <si>
    <t>U RFA-P 05-028</t>
  </si>
  <si>
    <t>2005-080301</t>
  </si>
  <si>
    <t>U RFO-G 05-044</t>
  </si>
  <si>
    <t>DLNR-CWRM</t>
  </si>
  <si>
    <t>WELL INDEX INFORMATION</t>
  </si>
  <si>
    <t>WATER RESOURCE MGMT</t>
  </si>
  <si>
    <t>2005-072904</t>
  </si>
  <si>
    <t>S RFO-G 05-045</t>
  </si>
  <si>
    <t>CONSTITUENT COMPLAINT  See: S RFO-G 05-039</t>
  </si>
  <si>
    <t>2005-072702</t>
  </si>
  <si>
    <t>APPOINTMENTS TO BOARD</t>
  </si>
  <si>
    <t>2005-080501</t>
  </si>
  <si>
    <t>U RFA-P 05-030</t>
  </si>
  <si>
    <t>HOUSE LABOR COMMITTEE</t>
  </si>
  <si>
    <t>INFORMATION ON 6/28/05 HRG</t>
  </si>
  <si>
    <t>2005-080901</t>
  </si>
  <si>
    <t>S RFO-G 05-046</t>
  </si>
  <si>
    <t>REMOVAL OF NB ASSISTANT/ORAL TESTIMONY</t>
  </si>
  <si>
    <t>NUUANU NB</t>
  </si>
  <si>
    <t>2005-081001</t>
  </si>
  <si>
    <t>U RFA-P 05-031</t>
  </si>
  <si>
    <t>2005-081201</t>
  </si>
  <si>
    <t>DHS-HCDCH</t>
  </si>
  <si>
    <t>WILIKINA APARTMENTS PROJECT</t>
  </si>
  <si>
    <t>2005-072905</t>
  </si>
  <si>
    <t>S RFO-G 05-047</t>
  </si>
  <si>
    <t>SITE INSPECTION</t>
  </si>
  <si>
    <t>2005-081601</t>
  </si>
  <si>
    <t>U RFA-P 05-032</t>
  </si>
  <si>
    <t>HENC AGENDAS/MINUTES</t>
  </si>
  <si>
    <t>2005-081602</t>
  </si>
  <si>
    <t>U RFA-P 05-033</t>
  </si>
  <si>
    <t>CLEAN WATER BRANCH</t>
  </si>
  <si>
    <t>TESTING DATA</t>
  </si>
  <si>
    <t>2005-081603</t>
  </si>
  <si>
    <t>S RFO-G 05-048</t>
  </si>
  <si>
    <t>MILILANI MAUKA NB</t>
  </si>
  <si>
    <t>SUNSHINE ISSUES</t>
  </si>
  <si>
    <t>2005-081801</t>
  </si>
  <si>
    <t>JUD-ADR</t>
  </si>
  <si>
    <t>SUNSHINE TRNG 9/20/05</t>
  </si>
  <si>
    <t>CENTER FOR ALTERNATIVE DISPUTE RESOLUTION - FACILITATORS</t>
  </si>
  <si>
    <t>LHK/JZB</t>
  </si>
  <si>
    <t>2005-081701</t>
  </si>
  <si>
    <t>S RFO-G</t>
  </si>
  <si>
    <t>CLARIFICATION ON EXEC SESS &amp; PUBLIC vs CLOSED PROCEEDINGS</t>
  </si>
  <si>
    <t>2005-082201</t>
  </si>
  <si>
    <t>S RFO-G 05-050</t>
  </si>
  <si>
    <t>DIAMOND HEAD NB</t>
  </si>
  <si>
    <t>SUNSHINE LAW CLARIFICATION</t>
  </si>
  <si>
    <t>2005-081202</t>
  </si>
  <si>
    <t>HOSPITAL RECORDS</t>
  </si>
  <si>
    <t>2005-082202</t>
  </si>
  <si>
    <t>EXECUTIVE SESSION S * FNA RFO-P 05-017</t>
  </si>
  <si>
    <t>2005-081501</t>
  </si>
  <si>
    <t>S UIPA</t>
  </si>
  <si>
    <t>MISC</t>
  </si>
  <si>
    <t>"OMNI ENTITIES"</t>
  </si>
  <si>
    <t>2005-082203</t>
  </si>
  <si>
    <t>US DEPT OF AGRICULTURE</t>
  </si>
  <si>
    <t>MEMO OF UNDERSTANDING FORM</t>
  </si>
  <si>
    <t>2005-082401</t>
  </si>
  <si>
    <t>S RFO-G 05-051</t>
  </si>
  <si>
    <t>MONTHLY MEETING COMPLIANCE</t>
  </si>
  <si>
    <t>2005-083001</t>
  </si>
  <si>
    <t>DTS</t>
  </si>
  <si>
    <t>RAIL TRANSIT PROJECT</t>
  </si>
  <si>
    <t>2005-090901</t>
  </si>
  <si>
    <t>FINANCE INVES TASK FORCE</t>
  </si>
  <si>
    <t>SUNSHINE SUFFICENCY</t>
  </si>
  <si>
    <t>2005-090201</t>
  </si>
  <si>
    <t>DOH-EHS</t>
  </si>
  <si>
    <t>DOH-ENVIRONMENTAL HEALTH SERVICES</t>
  </si>
  <si>
    <t>UIPA TRNG 9/23/2005</t>
  </si>
  <si>
    <t>2005-090202</t>
  </si>
  <si>
    <t>TRAFFIC RECORDS</t>
  </si>
  <si>
    <t>9/20, 9/22, 9/23</t>
  </si>
  <si>
    <t>2005-090203</t>
  </si>
  <si>
    <t>2005-051501</t>
  </si>
  <si>
    <t>ADJOURNMENT</t>
  </si>
  <si>
    <t>NB MTGS</t>
  </si>
  <si>
    <t>2005-050801</t>
  </si>
  <si>
    <t>PERMITTED INTERACTIONS</t>
  </si>
  <si>
    <t>STATEWIDE INDEPENDENT LIVING COUNCIL</t>
  </si>
  <si>
    <t>2005-091901</t>
  </si>
  <si>
    <t>COK</t>
  </si>
  <si>
    <t>LTR TO OIP FROM PASION</t>
  </si>
  <si>
    <t>DTD 9/8/2005</t>
  </si>
  <si>
    <t>2005-092101</t>
  </si>
  <si>
    <t>S RFO-P 05-018</t>
  </si>
  <si>
    <t>TEMPORARY HEALTH CARE TASK FORCE</t>
  </si>
  <si>
    <t>2005-092102</t>
  </si>
  <si>
    <t>U RFO-P 05-019</t>
  </si>
  <si>
    <t>AKAKA BILL</t>
  </si>
  <si>
    <t>AGENCY TRAVEL RECORDS</t>
  </si>
  <si>
    <t>2005-092001</t>
  </si>
  <si>
    <t>S RFO-P 05-020</t>
  </si>
  <si>
    <t>CORPCNSL - H</t>
  </si>
  <si>
    <t>HAWAII COUNTY CODE OF ETHICS</t>
  </si>
  <si>
    <t>2005-091601</t>
  </si>
  <si>
    <t>U RFO-P 05-021</t>
  </si>
  <si>
    <t>2005-091602</t>
  </si>
  <si>
    <t>U RFA-P 05-034</t>
  </si>
  <si>
    <t>LAULINE McGREGOR</t>
  </si>
  <si>
    <t>EMPLOYMENT RECORDS</t>
  </si>
  <si>
    <t>2005-092601</t>
  </si>
  <si>
    <t>U RFO-G 05-013</t>
  </si>
  <si>
    <t>DISCIPLINE RECORDS/POLICIES</t>
  </si>
  <si>
    <t>DMS</t>
  </si>
  <si>
    <t>2005-092301</t>
  </si>
  <si>
    <t>S RFO-P 05-022</t>
  </si>
  <si>
    <t>COMMUNITY CHILDREN'S COUNCIL</t>
  </si>
  <si>
    <t>2005-092701</t>
  </si>
  <si>
    <t>U RFO-P 05-023</t>
  </si>
  <si>
    <t>B&amp;F - EUTF</t>
  </si>
  <si>
    <t>VOUCHER ISSUED 8/11/2005</t>
  </si>
  <si>
    <t>2005-092201</t>
  </si>
  <si>
    <t>INVES 092205</t>
  </si>
  <si>
    <t>KALIHI VALLEY HOUSING</t>
  </si>
  <si>
    <t>2005-092801</t>
  </si>
  <si>
    <t>U OIP Trng</t>
  </si>
  <si>
    <t>11/16/2005</t>
  </si>
  <si>
    <t>2005-092802</t>
  </si>
  <si>
    <t>II/14/2005</t>
  </si>
  <si>
    <t>2005-091603</t>
  </si>
  <si>
    <t>CLARIFY DEFINITION OF "GOVERNMENT RECORD"</t>
  </si>
  <si>
    <t>2005-092202</t>
  </si>
  <si>
    <t>COUNCIL REIMBURSEMENT FOR MEMBERS CELL PHONES</t>
  </si>
  <si>
    <t>2005-100301</t>
  </si>
  <si>
    <t>PORTER ltrs 6/20/05 &amp; 9/8/05</t>
  </si>
  <si>
    <t>2005-100307</t>
  </si>
  <si>
    <t>COUNTY-M</t>
  </si>
  <si>
    <t>11/17/2005</t>
  </si>
  <si>
    <t>SUNSHINE TRNG</t>
  </si>
  <si>
    <t>2005-091502</t>
  </si>
  <si>
    <t>ANDREW WINER UIPA REQUEST</t>
  </si>
  <si>
    <t>2005-092803</t>
  </si>
  <si>
    <t>S RFO-G 05-052</t>
  </si>
  <si>
    <t>EXECUTIVE COMMITTEE MTG</t>
  </si>
  <si>
    <t>2005-100502</t>
  </si>
  <si>
    <t>S INVES-G</t>
  </si>
  <si>
    <t>ALCOHOL BAN</t>
  </si>
  <si>
    <t>TASK FORCE</t>
  </si>
  <si>
    <t>2005-101101</t>
  </si>
  <si>
    <t>SUNSHINE TRNG
10/25/05</t>
  </si>
  <si>
    <t>2050 Sustainability Task Force</t>
  </si>
  <si>
    <t>2005-101402</t>
  </si>
  <si>
    <t>RIGHT TO KNOW COMMITTEE v. CITY COUNCIL</t>
  </si>
  <si>
    <t>2005-101901</t>
  </si>
  <si>
    <t>KAILUA-NB</t>
  </si>
  <si>
    <t>ELECTED OFFICIALS</t>
  </si>
  <si>
    <t>2005-102001</t>
  </si>
  <si>
    <t>NELHA BOD MINUTES</t>
  </si>
  <si>
    <t>8/26/2005</t>
  </si>
  <si>
    <t>2005-101702</t>
  </si>
  <si>
    <t>U INVES 101702</t>
  </si>
  <si>
    <t>G.O. 602</t>
  </si>
  <si>
    <t>MOTOR VEHICLE PURSUIT</t>
  </si>
  <si>
    <t>2005-102002</t>
  </si>
  <si>
    <t>U RFA-P 05-035</t>
  </si>
  <si>
    <t>DLNR-KIRC</t>
  </si>
  <si>
    <t>POLITICAL LOBBYING ACTIVITIES</t>
  </si>
  <si>
    <t>2005-102003</t>
  </si>
  <si>
    <t>U RFA-P 05-036</t>
  </si>
  <si>
    <t>LLT/CLT</t>
  </si>
  <si>
    <t>2005-102004</t>
  </si>
  <si>
    <t>U RFA-P 05-037</t>
  </si>
  <si>
    <t>2005-102005</t>
  </si>
  <si>
    <t>U RFA-P 05-038</t>
  </si>
  <si>
    <t>JUDICIAL SELECTION COMMITTEE</t>
  </si>
  <si>
    <t>2005-102006</t>
  </si>
  <si>
    <t>U RFA-G 05-014</t>
  </si>
  <si>
    <t>CORRESPONDENCE W/CACREP</t>
  </si>
  <si>
    <t>2005-102101</t>
  </si>
  <si>
    <t>S RFO-G 05-053</t>
  </si>
  <si>
    <t>COUNCIL COMMITTEES</t>
  </si>
  <si>
    <t>2005-102401</t>
  </si>
  <si>
    <t>U RFA-P 05-039</t>
  </si>
  <si>
    <t>JULIA LEWIS</t>
  </si>
  <si>
    <t>2005-102007</t>
  </si>
  <si>
    <t>SPECIAL MEETING NOTICE</t>
  </si>
  <si>
    <t>2005-102501</t>
  </si>
  <si>
    <t>DCCA - SED</t>
  </si>
  <si>
    <t>1/5/2006 TRAINING</t>
  </si>
  <si>
    <t>2005-102402</t>
  </si>
  <si>
    <t>S RFO-G 05-054</t>
  </si>
  <si>
    <t>RESOLUTION 05-0342</t>
  </si>
  <si>
    <t>10/25/2005 AGENDA</t>
  </si>
  <si>
    <t>2005-102801</t>
  </si>
  <si>
    <t>S LEG</t>
  </si>
  <si>
    <t>RESOLUTION 05-342</t>
  </si>
  <si>
    <t>2005-110101</t>
  </si>
  <si>
    <t>S RFO-P 05-024</t>
  </si>
  <si>
    <t>2005-110102</t>
  </si>
  <si>
    <t>S RFA-G 05-015</t>
  </si>
  <si>
    <t>BOD AGENDA 10/25/2005</t>
  </si>
  <si>
    <t>SUFFICIENCY</t>
  </si>
  <si>
    <t>2005-101202</t>
  </si>
  <si>
    <t>HON-NC</t>
  </si>
  <si>
    <t>NC MEETING 10/11/2005</t>
  </si>
  <si>
    <t>2005-110301</t>
  </si>
  <si>
    <t>U RFA-P 05-040</t>
  </si>
  <si>
    <t>FORM 103</t>
  </si>
  <si>
    <t>McINTYRE</t>
  </si>
  <si>
    <t>2005-110801</t>
  </si>
  <si>
    <t>U RFA-P 05-041</t>
  </si>
  <si>
    <t>DOH-CAMHD</t>
  </si>
  <si>
    <t>COMPLAINT/GRIEVANCE</t>
  </si>
  <si>
    <t>RAINBOW HOUSE</t>
  </si>
  <si>
    <t>2005-111001</t>
  </si>
  <si>
    <t>S RFO-G 05-055</t>
  </si>
  <si>
    <t>HAWAII KAI NB</t>
  </si>
  <si>
    <t>2005-111002</t>
  </si>
  <si>
    <t>S RFO-P 05-025</t>
  </si>
  <si>
    <t>L</t>
  </si>
  <si>
    <t>SPECIAL COUNCIL AGENDA</t>
  </si>
  <si>
    <t>11/3/05, 11/14/05</t>
  </si>
  <si>
    <t>2005-111003</t>
  </si>
  <si>
    <t>S RFO-P 05-026</t>
  </si>
  <si>
    <t>11/14/05</t>
  </si>
  <si>
    <t>2005-110202</t>
  </si>
  <si>
    <t>U RFO-P 05-027</t>
  </si>
  <si>
    <t>ES 174 &amp; 175</t>
  </si>
  <si>
    <t>MAYORAL APPOINTEES</t>
  </si>
  <si>
    <t>CLT/LLA</t>
  </si>
  <si>
    <t>2005-110302</t>
  </si>
  <si>
    <t>U RFA-P 05-042</t>
  </si>
  <si>
    <t>ATHLETIC CONTRACTS</t>
  </si>
  <si>
    <t>COACHES AND ENDORSEMENTS</t>
  </si>
  <si>
    <t>LHK/WKP</t>
  </si>
  <si>
    <t>2005-110802</t>
  </si>
  <si>
    <t>U RFA-P 05-043</t>
  </si>
  <si>
    <t>AGENDA &amp; MINUTES</t>
  </si>
  <si>
    <t>2005-110901</t>
  </si>
  <si>
    <t>PSD-PA</t>
  </si>
  <si>
    <t>WRITTEN TRANSCRIPT OF PAROLE HEARING</t>
  </si>
  <si>
    <t>2005-111501</t>
  </si>
  <si>
    <t>S INVES 111505</t>
  </si>
  <si>
    <t>SETTING MEETING AGENDAS</t>
  </si>
  <si>
    <t>2005-111601</t>
  </si>
  <si>
    <t>S INVES 111605</t>
  </si>
  <si>
    <t>SERIAL COMMUNICATION 11/17/05 MEETING</t>
  </si>
  <si>
    <t>HI - ISLAND BURIAL COUNCIL</t>
  </si>
  <si>
    <t>2005-111801</t>
  </si>
  <si>
    <t>S INVES 111805</t>
  </si>
  <si>
    <t>TRIP TO CHINA</t>
  </si>
  <si>
    <t>2005-111802</t>
  </si>
  <si>
    <t>SECURITAS SECURITY USA</t>
  </si>
  <si>
    <t>NO OIP AUTHORITY</t>
  </si>
  <si>
    <t>2005-111004</t>
  </si>
  <si>
    <t>S RFO-P 05-028</t>
  </si>
  <si>
    <t>11/3/05 AGENDA SUFFICIENCY</t>
  </si>
  <si>
    <t>2005-112201</t>
  </si>
  <si>
    <t>U RFA-G 05-16</t>
  </si>
  <si>
    <t>SUMMARY OF KPD ARREST/CONVICTION RECORD</t>
  </si>
  <si>
    <t>2005-112901</t>
  </si>
  <si>
    <t>U RFO-G 05-56</t>
  </si>
  <si>
    <t>REVISED CHARTER OF HONOLULU 11-104</t>
  </si>
  <si>
    <t>LLT,WKP</t>
  </si>
  <si>
    <t>2005-112902</t>
  </si>
  <si>
    <t>WAHIAWA NB</t>
  </si>
  <si>
    <t>2005-113001</t>
  </si>
  <si>
    <t>S RFO-G 05-57</t>
  </si>
  <si>
    <t>SOUTH-KONA KA`U COASTAL CONSERVATION TASK FORCE</t>
  </si>
  <si>
    <t>2005-120101</t>
  </si>
  <si>
    <t>S INVES 120105</t>
  </si>
  <si>
    <t>RESOLUTION 207-05</t>
  </si>
  <si>
    <t>2005-120201</t>
  </si>
  <si>
    <t>CHUAN &amp; LEWIS V. COUNTY OF KAUAI</t>
  </si>
  <si>
    <t>LLT/WKP</t>
  </si>
  <si>
    <t>2005-113002</t>
  </si>
  <si>
    <t>U RFO-G 05-58</t>
  </si>
  <si>
    <t>DLNR-SHPD</t>
  </si>
  <si>
    <t>DISCLOSURE EXEMPTION</t>
  </si>
  <si>
    <t>DISINTERMENT RECORDS</t>
  </si>
  <si>
    <t>2005-120501</t>
  </si>
  <si>
    <t>S INVES 120505</t>
  </si>
  <si>
    <t>12/6/05 CENTRAL OAHU SUSTAINABLE COMMUNITIES PLAN</t>
  </si>
  <si>
    <t>2005-120502</t>
  </si>
  <si>
    <t>S INVES 1205052</t>
  </si>
  <si>
    <t>11/17/05 MEETING NOTICE</t>
  </si>
  <si>
    <t>LACK OF PROPER NOTICE</t>
  </si>
  <si>
    <t>2005-120701</t>
  </si>
  <si>
    <t>U RFA-P 05-44</t>
  </si>
  <si>
    <t>PERMITS ISSUED FOR ANIMAL CONTROL</t>
  </si>
  <si>
    <t>2005-110902</t>
  </si>
  <si>
    <t>1/12/06 UIPA</t>
  </si>
  <si>
    <t>BOATING DIVISION</t>
  </si>
  <si>
    <t>2005-110903</t>
  </si>
  <si>
    <t>1/12/2006 Sunshine</t>
  </si>
  <si>
    <t>2005-121202</t>
  </si>
  <si>
    <t>S INVES 121205</t>
  </si>
  <si>
    <t>NB NUUANU/PUNCHBOWL #12</t>
  </si>
  <si>
    <t>2005-120901</t>
  </si>
  <si>
    <t>U RFA-P 05-45</t>
  </si>
  <si>
    <t>MEDICAL MARIJUANA PROGRAM RECORDS</t>
  </si>
  <si>
    <t>2005-121301</t>
  </si>
  <si>
    <t>U RFA-P 05-46</t>
  </si>
  <si>
    <t>2030 ORTP</t>
  </si>
  <si>
    <t>2005-121401</t>
  </si>
  <si>
    <t>S INVES 121405</t>
  </si>
  <si>
    <t>WORKING LUNCHES</t>
  </si>
  <si>
    <t>2005-121601</t>
  </si>
  <si>
    <t>U RFA-P 05-47</t>
  </si>
  <si>
    <t>DAUGHTER, GRACE KONG</t>
  </si>
  <si>
    <t>2005-121203</t>
  </si>
  <si>
    <t>PERFORMANCE RATING, GRIEVANCE</t>
  </si>
  <si>
    <t>2005-121402</t>
  </si>
  <si>
    <t>HAWAII STATE BOARD OF PUBLIC ACCOUNTANCY</t>
  </si>
  <si>
    <t>LLA/WKP/LLT</t>
  </si>
  <si>
    <t>2005-122001</t>
  </si>
  <si>
    <t>S INVES 122005</t>
  </si>
  <si>
    <t>COMMITTEE CHAIRMANSHIP</t>
  </si>
  <si>
    <t>2005-121302</t>
  </si>
  <si>
    <t>S RFO-G 05-59</t>
  </si>
  <si>
    <t>2005-122002</t>
  </si>
  <si>
    <t>ULTRA HIGH FREQUENCY ELECTRONICALLY SCANNED ARRAY CONTRACTS</t>
  </si>
  <si>
    <t>2005-121501</t>
  </si>
  <si>
    <t>S RFO-G 05-60</t>
  </si>
  <si>
    <t>NB #5 DIAMOND HEAD/KAPAHULU/ST. LOUIS HEIGHTS</t>
  </si>
  <si>
    <t>2005-122201</t>
  </si>
  <si>
    <t>U RFA-P 05-48</t>
  </si>
  <si>
    <t>ENT SVC-HON</t>
  </si>
  <si>
    <t>PALEKAIKO BEACHBOYS</t>
  </si>
  <si>
    <t>2005-122301</t>
  </si>
  <si>
    <t>U RFA-P 05-49</t>
  </si>
  <si>
    <t>2005-122701</t>
  </si>
  <si>
    <t>S RFO-G 05-61</t>
  </si>
  <si>
    <t>DOH-AMHD</t>
  </si>
  <si>
    <t>QUALITY COUNCIL</t>
  </si>
  <si>
    <t>DEFINITION OF CLOSED vs. OPEN MEETING</t>
  </si>
  <si>
    <t>2005-122302</t>
  </si>
  <si>
    <t>S RFO-G 05-62</t>
  </si>
  <si>
    <t>NEIGHBORHOOD PLAN COMMITTEE</t>
  </si>
  <si>
    <t>12/10/05 MEETING</t>
  </si>
  <si>
    <t>2006-010601</t>
  </si>
  <si>
    <t>S RFO-G 06-1</t>
  </si>
  <si>
    <t>CHARTER SCHOOL GOVERNANCE</t>
  </si>
  <si>
    <t>2006-010902</t>
  </si>
  <si>
    <t>U RFA-P 06-1</t>
  </si>
  <si>
    <t>UNREDACTED ACCIDENT REPORT</t>
  </si>
  <si>
    <t>GIL/JONALYN TABAFUNDA</t>
  </si>
  <si>
    <t>2006-010903</t>
  </si>
  <si>
    <t>INVES 06-1</t>
  </si>
  <si>
    <t>1/6/06 KPC SPECIAL MTG AGENDA</t>
  </si>
  <si>
    <t>2006-010904</t>
  </si>
  <si>
    <t>HON-DTS</t>
  </si>
  <si>
    <t>ALTERNATIVE ANALYSIS TESTIMONY</t>
  </si>
  <si>
    <t>2006-011101</t>
  </si>
  <si>
    <t>S RFO-G 06-2</t>
  </si>
  <si>
    <t>CITY CHARTER COMMISSION</t>
  </si>
  <si>
    <t>RULE CHANGE</t>
  </si>
  <si>
    <t>2006-011701</t>
  </si>
  <si>
    <t>U RFA-G 06-1</t>
  </si>
  <si>
    <t>HI STATE SENATE BUDGET</t>
  </si>
  <si>
    <t>2006-011102</t>
  </si>
  <si>
    <t>U RFO-G 06-3</t>
  </si>
  <si>
    <t>12/19/02 EXEC MINUTES</t>
  </si>
  <si>
    <t>2006-011901</t>
  </si>
  <si>
    <t>U RFA-P 06-2</t>
  </si>
  <si>
    <t>UH FOOTBALL RECORDS</t>
  </si>
  <si>
    <t>2006-011801</t>
  </si>
  <si>
    <t>U RFA-P 06-3</t>
  </si>
  <si>
    <t>HILO MEDICAL CENTER</t>
  </si>
  <si>
    <t>SPEECH THERAPIST FEES</t>
  </si>
  <si>
    <t>2006-012001</t>
  </si>
  <si>
    <t>SB 2090</t>
  </si>
  <si>
    <t>HCDA PUBLIC NOTICE</t>
  </si>
  <si>
    <t>2006-012002</t>
  </si>
  <si>
    <t>HB 1939</t>
  </si>
  <si>
    <t>DISPOTION OF PUBLIC LAND MEETINGS</t>
  </si>
  <si>
    <t>2006-012303</t>
  </si>
  <si>
    <t>SB 2198</t>
  </si>
  <si>
    <t>OCEAN REC, PUBLIC HEARING</t>
  </si>
  <si>
    <t>2006-012304</t>
  </si>
  <si>
    <t>HB 2218</t>
  </si>
  <si>
    <t>EXEMPTING NB FROM SUNSHINE</t>
  </si>
  <si>
    <t>2006-012307</t>
  </si>
  <si>
    <t>SB 2146</t>
  </si>
  <si>
    <t>DNA TESTING</t>
  </si>
  <si>
    <t>2006-012308</t>
  </si>
  <si>
    <t>HB 2140</t>
  </si>
  <si>
    <t>LEG VIDEO CONFERENCING</t>
  </si>
  <si>
    <t>2006-012309</t>
  </si>
  <si>
    <t>SB 2143 (HB2973)</t>
  </si>
  <si>
    <t>MONEY TRANSMITTERS</t>
  </si>
  <si>
    <t>2006-012401</t>
  </si>
  <si>
    <t>SB 2225</t>
  </si>
  <si>
    <t>SENIOR PROTECTION</t>
  </si>
  <si>
    <t>2006-012402</t>
  </si>
  <si>
    <t>SB 2220</t>
  </si>
  <si>
    <t>ID THEFT</t>
  </si>
  <si>
    <t>2006-012602</t>
  </si>
  <si>
    <t>SB 2990</t>
  </si>
  <si>
    <t>COMMITTEES/BOARDS SUBJECT TO SUNSHINE</t>
  </si>
  <si>
    <t>2006-012608</t>
  </si>
  <si>
    <t>SB 2867</t>
  </si>
  <si>
    <t>NB EXEMPTION</t>
  </si>
  <si>
    <t>2006-012609</t>
  </si>
  <si>
    <t>DHS/AG</t>
  </si>
  <si>
    <t>HB 2367</t>
  </si>
  <si>
    <t>CRIMINAL HISTORY RECORD CHECKS</t>
  </si>
  <si>
    <t>2006-012611</t>
  </si>
  <si>
    <t>HB 2329 (SB2292)</t>
  </si>
  <si>
    <t>DESTRUCTION OF PERSONAL INFO RECORDS</t>
  </si>
  <si>
    <t>2006-012612</t>
  </si>
  <si>
    <t>HB 2380 (SB2343)</t>
  </si>
  <si>
    <t>CRIMINAL HISTORY RECORD CHECK</t>
  </si>
  <si>
    <t>DAG/DOE</t>
  </si>
  <si>
    <t>HB 2602</t>
  </si>
  <si>
    <t>VIDEO CONFERENCING; PUBLIC FACILITIES</t>
  </si>
  <si>
    <t>2006-013007</t>
  </si>
  <si>
    <t>HB 2858</t>
  </si>
  <si>
    <t>PROTECTION OF CAVES; APPEALS</t>
  </si>
  <si>
    <t>2006-013008</t>
  </si>
  <si>
    <t>HB 2863</t>
  </si>
  <si>
    <t>NELHA INNOVATION CORPORATION</t>
  </si>
  <si>
    <t>2006-012311</t>
  </si>
  <si>
    <t>U RFA-P 06-4</t>
  </si>
  <si>
    <t>SALES/GROSS RECEIPTS</t>
  </si>
  <si>
    <t>CONCESSION CONTRACTS</t>
  </si>
  <si>
    <t>2006-020101</t>
  </si>
  <si>
    <t>SB 2669 (HB2858)</t>
  </si>
  <si>
    <t>2006-020102</t>
  </si>
  <si>
    <t>U RFO-G 06-4</t>
  </si>
  <si>
    <t>CHIEF OF POLICE CONTRACT</t>
  </si>
  <si>
    <t>2006-020103</t>
  </si>
  <si>
    <t>W</t>
  </si>
  <si>
    <t>AKAKU v MARK RECKTENWALD</t>
  </si>
  <si>
    <t>CIVIL NO. 06-1-0035</t>
  </si>
  <si>
    <t>2006-020108</t>
  </si>
  <si>
    <t>HB 3022</t>
  </si>
  <si>
    <t>TAXATION; DISCLOSURE; CREDITS</t>
  </si>
  <si>
    <t>2006-020303</t>
  </si>
  <si>
    <t>HB 2316 (SB2279)</t>
  </si>
  <si>
    <t>2006-020304</t>
  </si>
  <si>
    <t>SB 2279 (HB2316)</t>
  </si>
  <si>
    <t>2006-020601</t>
  </si>
  <si>
    <t>2/15/2006</t>
  </si>
  <si>
    <t>2006-020602</t>
  </si>
  <si>
    <t>HB 2888</t>
  </si>
  <si>
    <t>STATE GREENBELT PLAN</t>
  </si>
  <si>
    <t>2006-020317</t>
  </si>
  <si>
    <t>HB 2323 (SB2286)</t>
  </si>
  <si>
    <t>EXPANDS AUTHORITY OF INSURANCE DIVISION</t>
  </si>
  <si>
    <t>2006-020605</t>
  </si>
  <si>
    <t>HB 2315 (SB2278)</t>
  </si>
  <si>
    <t>CODE OF FINANCIAL INSTITUTIONS</t>
  </si>
  <si>
    <t>2006-012505</t>
  </si>
  <si>
    <t>U RFA-P 06-5</t>
  </si>
  <si>
    <t>STEADFAST FILE</t>
  </si>
  <si>
    <t>2006-013024</t>
  </si>
  <si>
    <t>U RFO-P 06-1</t>
  </si>
  <si>
    <t>REDACTED REPORT</t>
  </si>
  <si>
    <t>UIPA SUFFICIENCY</t>
  </si>
  <si>
    <t>2006-013101</t>
  </si>
  <si>
    <t>U RFA-P 06-6</t>
  </si>
  <si>
    <t>MAUI INTAKE SERVICE CENTER</t>
  </si>
  <si>
    <t>POLICE REPORT 99-55142 CASE 00-1-049(3)</t>
  </si>
  <si>
    <t>2006-020110</t>
  </si>
  <si>
    <t>U RFO-G 06-5</t>
  </si>
  <si>
    <t>RELEASE OF ETHICS OPINION 2005-5</t>
  </si>
  <si>
    <t>IN ITS ENTIRETY</t>
  </si>
  <si>
    <t>2006-020613</t>
  </si>
  <si>
    <t>S RFO-G 06-6</t>
  </si>
  <si>
    <t>1/10/06 CHARTER COMMISSION MEETING</t>
  </si>
  <si>
    <t>SUNSHINE SUFFICIENCY</t>
  </si>
  <si>
    <t>2006-020614</t>
  </si>
  <si>
    <t>U RFO-G 06-7</t>
  </si>
  <si>
    <t>2006-020701</t>
  </si>
  <si>
    <t>S RFO-G 06-8</t>
  </si>
  <si>
    <t>PUBLIC INPUT</t>
  </si>
  <si>
    <t>2006-020702</t>
  </si>
  <si>
    <t>S RFO-G 06-9</t>
  </si>
  <si>
    <t>QUESTIONinG OF MEMBERS</t>
  </si>
  <si>
    <t>2006-020808</t>
  </si>
  <si>
    <t>S RFO-P 06-2</t>
  </si>
  <si>
    <t>ONE ON ONE MEETINGS</t>
  </si>
  <si>
    <t>REMOVAL OF POLICE CHIEF</t>
  </si>
  <si>
    <t>2006-020906</t>
  </si>
  <si>
    <t>S RFO-G 06-10</t>
  </si>
  <si>
    <t>BILL 71</t>
  </si>
  <si>
    <t>MAYOR'S VETO ACTION</t>
  </si>
  <si>
    <t>2006-021001</t>
  </si>
  <si>
    <t>U RFA-P 06-7</t>
  </si>
  <si>
    <t>RSCH-H</t>
  </si>
  <si>
    <t>COUNTY PRODUCT ENRICHMENT PROGRAM</t>
  </si>
  <si>
    <t>2006-021401</t>
  </si>
  <si>
    <t>U RFO-P 06-3</t>
  </si>
  <si>
    <t>NAMES OF ELIGIBLE CANDIDATES</t>
  </si>
  <si>
    <t>2006-021501</t>
  </si>
  <si>
    <t>S INVES 06-2</t>
  </si>
  <si>
    <t>EXECUTIVE MEETING 2/9/06</t>
  </si>
  <si>
    <t>2006-021601</t>
  </si>
  <si>
    <t>U RFA-P 06-08</t>
  </si>
  <si>
    <t>CEO CANDIDATES' RESUMES           fna       U RFA-P 06-8</t>
  </si>
  <si>
    <t>2006-021602</t>
  </si>
  <si>
    <t>NO ACTION</t>
  </si>
  <si>
    <t>2006-021801</t>
  </si>
  <si>
    <t>S INVES 06-3</t>
  </si>
  <si>
    <t>EXECUTIVE MEETING 2/9/2006</t>
  </si>
  <si>
    <t>2006-021701</t>
  </si>
  <si>
    <t>U RFO-G 06-11</t>
  </si>
  <si>
    <t>HI OUTDOOR TOURS</t>
  </si>
  <si>
    <t>BID PACKAGE DISCLOSURE</t>
  </si>
  <si>
    <t>2006-021502</t>
  </si>
  <si>
    <t>S INVES 06-4</t>
  </si>
  <si>
    <t>WAIKIKI NB</t>
  </si>
  <si>
    <t>2/14/06 MTG; RESOLUTION</t>
  </si>
  <si>
    <t>2006-022102</t>
  </si>
  <si>
    <t>U RFA-P 06-9</t>
  </si>
  <si>
    <t>INVESTIGATION FILE</t>
  </si>
  <si>
    <t>2006-021702</t>
  </si>
  <si>
    <t>S RFO-G 06-12</t>
  </si>
  <si>
    <t>STEERING COMMITTEE</t>
  </si>
  <si>
    <t>U RFA-P 06-10</t>
  </si>
  <si>
    <t>WAIKIKI YACHT CLUB</t>
  </si>
  <si>
    <t>HAWAII YACHT CLUB</t>
  </si>
  <si>
    <t>2006-022402</t>
  </si>
  <si>
    <t>U RFO-G 06-13</t>
  </si>
  <si>
    <t>RELEASE OF CORRESPONDENCE</t>
  </si>
  <si>
    <t>MESA AIRLINES</t>
  </si>
  <si>
    <t>2006-022403</t>
  </si>
  <si>
    <t>U INVES-P 06-5</t>
  </si>
  <si>
    <t>WAI</t>
  </si>
  <si>
    <t>REQUEST FOR AG OPINION</t>
  </si>
  <si>
    <t>PEG CONTRACTS</t>
  </si>
  <si>
    <t>2006-022701</t>
  </si>
  <si>
    <t>U RFO-G 06-14</t>
  </si>
  <si>
    <t>HI FILM OFFICE</t>
  </si>
  <si>
    <t>FILM CERTIFICATION LTRS</t>
  </si>
  <si>
    <t>2006-022801</t>
  </si>
  <si>
    <t>U RFA-P 06-11</t>
  </si>
  <si>
    <t>VOTING SYSTEMS</t>
  </si>
  <si>
    <t>OFFICE OF ELECTIONS</t>
  </si>
  <si>
    <t>2006-030303</t>
  </si>
  <si>
    <t>U RFA-P 06-12</t>
  </si>
  <si>
    <t>VIDEO - 4/28/05 MTG</t>
  </si>
  <si>
    <t>KAUAI COUNTY COUNCIL</t>
  </si>
  <si>
    <t>2006-030304</t>
  </si>
  <si>
    <t>S RFO-P 06-04</t>
  </si>
  <si>
    <t>HEARING AGENDA NOTICES</t>
  </si>
  <si>
    <t>LUC DOCKET A05-757</t>
  </si>
  <si>
    <t>2006-030601</t>
  </si>
  <si>
    <t>S RFO-G 06-15</t>
  </si>
  <si>
    <t>LIQC MEETING 3/9/2006</t>
  </si>
  <si>
    <t>AGENDA SUFFICENCY</t>
  </si>
  <si>
    <t>2006-030801</t>
  </si>
  <si>
    <t>U RFA-P 06-13</t>
  </si>
  <si>
    <t>2006-030602</t>
  </si>
  <si>
    <t>S RFO-G 06-16</t>
  </si>
  <si>
    <t>AGENDA POSTING</t>
  </si>
  <si>
    <t>2006-031303</t>
  </si>
  <si>
    <t>HAWAII REAL PROPERTY</t>
  </si>
  <si>
    <t>2006-031602</t>
  </si>
  <si>
    <t>U RFA-P 06-14</t>
  </si>
  <si>
    <t>LIST OF DAMS IN HI</t>
  </si>
  <si>
    <t>2006-031701</t>
  </si>
  <si>
    <t>SCR 151 (SCR 107)</t>
  </si>
  <si>
    <t>UH-PUBLIC POLICY DIALOGS ON OPEN GOVERNMENT</t>
  </si>
  <si>
    <t>2006-031702</t>
  </si>
  <si>
    <t>SCR 107 (SCR 151)</t>
  </si>
  <si>
    <t>2006-031401</t>
  </si>
  <si>
    <t>U RFA-P 06-15</t>
  </si>
  <si>
    <t>SUBDIVISION APP
2000-091</t>
  </si>
  <si>
    <t>ALL RECORDS</t>
  </si>
  <si>
    <t>2006-030802</t>
  </si>
  <si>
    <t>S RFO-P 06-5</t>
  </si>
  <si>
    <t>3/1/06 MEETING</t>
  </si>
  <si>
    <t>PLACEMENT OF AGENDA ITEM</t>
  </si>
  <si>
    <t>2006-031002</t>
  </si>
  <si>
    <t>U RFO-G 06-17</t>
  </si>
  <si>
    <t>2006-031402</t>
  </si>
  <si>
    <t>U RFA-P 06-16</t>
  </si>
  <si>
    <t>OCCC MEMO</t>
  </si>
  <si>
    <t>BUDGET</t>
  </si>
  <si>
    <t>2006-031703</t>
  </si>
  <si>
    <t>S INVES-G 06-6</t>
  </si>
  <si>
    <t>DHS-HCDC</t>
  </si>
  <si>
    <t>3/16/06 AGENDA</t>
  </si>
  <si>
    <t>2006-031502</t>
  </si>
  <si>
    <t>U RFO-G 06-18</t>
  </si>
  <si>
    <t>APR SCORES</t>
  </si>
  <si>
    <t>UH ATHLETIC DEPT</t>
  </si>
  <si>
    <t>2006-032101</t>
  </si>
  <si>
    <t>HR237 (HCR303)</t>
  </si>
  <si>
    <t>REQUESTING THE UNIVERSITY OF HAWAII TO SPONSOR A SERIES OF PUBLIC POLICY DIALOGS ON OPEN GOVERNMENT</t>
  </si>
  <si>
    <t>2006-032102</t>
  </si>
  <si>
    <t>HCR303 (HR237)</t>
  </si>
  <si>
    <t>2006-031304</t>
  </si>
  <si>
    <t>U RFA-P 06-17</t>
  </si>
  <si>
    <t>CONFIDENTIAL REPORTS</t>
  </si>
  <si>
    <t>2006-031704</t>
  </si>
  <si>
    <t>U RFA-P 06-18</t>
  </si>
  <si>
    <t>MISCONDUCT REPORTS</t>
  </si>
  <si>
    <t>2006-031403</t>
  </si>
  <si>
    <t>U RFA-P 06-19</t>
  </si>
  <si>
    <t>RAD ASSESSMENT</t>
  </si>
  <si>
    <t>REQUEST FOR CORRECTION</t>
  </si>
  <si>
    <t>2006-031705</t>
  </si>
  <si>
    <t>U RFA-P 06-20</t>
  </si>
  <si>
    <t>FEES TO OBTAIN COPIES</t>
  </si>
  <si>
    <t>RE RICHARD ROSARIO</t>
  </si>
  <si>
    <t>2006-032103</t>
  </si>
  <si>
    <t>U RFO-G 06-19</t>
  </si>
  <si>
    <t>CLASSIFER'S REPORT</t>
  </si>
  <si>
    <t>2006-032201</t>
  </si>
  <si>
    <t>SR146</t>
  </si>
  <si>
    <t>CREATING A LEGISLATIVE TASK FORCE TO MAKE RECOMMENDATIONS FOR STATUTORY ENACTMENT TO ENHANCE TRANSPARENCY IN LEGISLATIVE PROCEEDINGS.</t>
  </si>
  <si>
    <t>2006-032202</t>
  </si>
  <si>
    <t>SCR216</t>
  </si>
  <si>
    <t>2006-032301</t>
  </si>
  <si>
    <t>S INVES 06-7</t>
  </si>
  <si>
    <t>CHARTER COMMISSION
AGENDA</t>
  </si>
  <si>
    <t>3/21/06</t>
  </si>
  <si>
    <t>2006-032302</t>
  </si>
  <si>
    <t>WORK ORDERS</t>
  </si>
  <si>
    <t>2006-032401</t>
  </si>
  <si>
    <t>U RFO-G 06-20</t>
  </si>
  <si>
    <t>WORKPLACE VIOLENCE RECORDS</t>
  </si>
  <si>
    <t>RE: GARY SAFARIK</t>
  </si>
  <si>
    <t>2006-032901</t>
  </si>
  <si>
    <t>S RFO-P 06-06</t>
  </si>
  <si>
    <t>CAC MTG 3/9/06</t>
  </si>
  <si>
    <t>INADEQUATE QUORUM</t>
  </si>
  <si>
    <t>2006-032902</t>
  </si>
  <si>
    <t>MEMO OPINION
(S MEMO G 06-10)</t>
  </si>
  <si>
    <t>2/2/06 UH REGENTS EXEC MTG</t>
  </si>
  <si>
    <t>JTM</t>
  </si>
  <si>
    <t>2006-033001</t>
  </si>
  <si>
    <t>S RFO-P 06-7</t>
  </si>
  <si>
    <t>4/4/06 COMM PUBLIC FORUM</t>
  </si>
  <si>
    <t>2006-040501</t>
  </si>
  <si>
    <t>S RFO-G 06-21</t>
  </si>
  <si>
    <t>ALL-HON</t>
  </si>
  <si>
    <t>RESOLUTION OR BILL ON AGENDA</t>
  </si>
  <si>
    <t>2006-033101</t>
  </si>
  <si>
    <t>S RFO-G 06-22</t>
  </si>
  <si>
    <t>1-28-05 BOARD MTG</t>
  </si>
  <si>
    <t>WKP/LLT</t>
  </si>
  <si>
    <t>2006-032203</t>
  </si>
  <si>
    <t>S/U OIP TRNG</t>
  </si>
  <si>
    <t>NEW BD/COMM MEMBERS</t>
  </si>
  <si>
    <t>5-10-06 KONA TRNG</t>
  </si>
  <si>
    <t>2006-032204</t>
  </si>
  <si>
    <t>4-18-06 HILO TRNG</t>
  </si>
  <si>
    <t>2006-033002</t>
  </si>
  <si>
    <t>BITECHNOLOGY LICENSING AGMTS</t>
  </si>
  <si>
    <t>UH-OFFICE OF TECHNOLOGY TRANSFER AND ECONOMIC DEVELOPMENT (OTTED)</t>
  </si>
  <si>
    <t>UNITE HERE LOCAL 5</t>
  </si>
  <si>
    <t>2006-031101</t>
  </si>
  <si>
    <t>U RFA-G 06-2</t>
  </si>
  <si>
    <t>ROUND TOP DRIVE</t>
  </si>
  <si>
    <t>CONSTRUCTION AND MAINTENANCE RECORDS</t>
  </si>
  <si>
    <t>2000-041701</t>
  </si>
  <si>
    <t>NUUANU VALLEY ASSN V
C &amp; C</t>
  </si>
  <si>
    <t>2006-041702</t>
  </si>
  <si>
    <t>S RFO-G 06-23</t>
  </si>
  <si>
    <t>MILILANI MAUKA BD</t>
  </si>
  <si>
    <t>2006-041102</t>
  </si>
  <si>
    <t>S INVES-G 06-8</t>
  </si>
  <si>
    <t>2/2/06 BD MTG</t>
  </si>
  <si>
    <t>2006-041103</t>
  </si>
  <si>
    <t>S INVES-P 06-9</t>
  </si>
  <si>
    <t>EMERGENCY AGENDA</t>
  </si>
  <si>
    <t>3/17/06</t>
  </si>
  <si>
    <t>2006-032402</t>
  </si>
  <si>
    <t>U RFO-G 06-24</t>
  </si>
  <si>
    <t>UH ATHLETICS FEES AND COPYING</t>
  </si>
  <si>
    <t>2006-041901</t>
  </si>
  <si>
    <t>S RFO-G 06-25</t>
  </si>
  <si>
    <t>DOWNTOWN NB, POSSIBLE LAWSUIT AGAINST NB</t>
  </si>
  <si>
    <t>2006-042001</t>
  </si>
  <si>
    <t>U RFO-G 06-26</t>
  </si>
  <si>
    <t>NOTICES OF VIOLATION  ORDER</t>
  </si>
  <si>
    <t>INVESTIGATIVE FILES
(FNA RFA-G 02-004)</t>
  </si>
  <si>
    <t>2006-042501</t>
  </si>
  <si>
    <t>U RFO-P 06-9</t>
  </si>
  <si>
    <t>VECTOR CONTROL RECORDS</t>
  </si>
  <si>
    <t>KAKAAKO WATERFRONT PARK</t>
  </si>
  <si>
    <t>2006-042801</t>
  </si>
  <si>
    <t>S INVES-P 06-10</t>
  </si>
  <si>
    <t>WRITTEN PUBLIC TESTIMONY</t>
  </si>
  <si>
    <t>2006-042701</t>
  </si>
  <si>
    <t>U RFO-P 06-10</t>
  </si>
  <si>
    <t>RAJAN INVESTIGATION</t>
  </si>
  <si>
    <t>2006-042802</t>
  </si>
  <si>
    <t>U RFA-P 06-21</t>
  </si>
  <si>
    <t>RENTAL FEE PAYMENTS</t>
  </si>
  <si>
    <t>SURFBOARD LOCKERS</t>
  </si>
  <si>
    <t>2006-050101</t>
  </si>
  <si>
    <t>SENT OIP REQUEST FOR RECORDS FROM</t>
  </si>
  <si>
    <t>2006-041104</t>
  </si>
  <si>
    <t>6/02/2006</t>
  </si>
  <si>
    <t>2006-041105</t>
  </si>
  <si>
    <t>2006-050301</t>
  </si>
  <si>
    <t>U RFO-P 06-11</t>
  </si>
  <si>
    <t>LANAKILA PUBLIC HOUSING PHASE IIA</t>
  </si>
  <si>
    <t>OIP OP. LTR. NO. 04-17</t>
  </si>
  <si>
    <t>2006-050201</t>
  </si>
  <si>
    <t>U RFA-P 06-22</t>
  </si>
  <si>
    <t>TRAFFIC SAFETY</t>
  </si>
  <si>
    <t>NO RESPONSE TO LETTER</t>
  </si>
  <si>
    <t>2006-051201</t>
  </si>
  <si>
    <t>U RFO-G 06-27</t>
  </si>
  <si>
    <t>UH-CBA</t>
  </si>
  <si>
    <t>PROPOSALS</t>
  </si>
  <si>
    <t>RFP DOCUMENTS</t>
  </si>
  <si>
    <t>U RFO-G 06-28</t>
  </si>
  <si>
    <t>ASSET MANAGEMENT STUDY</t>
  </si>
  <si>
    <t>7/05 REPORT</t>
  </si>
  <si>
    <t>2006-051101</t>
  </si>
  <si>
    <t>U RFA-P 06-23</t>
  </si>
  <si>
    <t>UH-MANOA</t>
  </si>
  <si>
    <t>STUDENT ACADEMIC GRIEVENCE PROCEDURE</t>
  </si>
  <si>
    <t>RELEASE OF DENIED DOCUMENTS</t>
  </si>
  <si>
    <t>2006-051501</t>
  </si>
  <si>
    <t>U RFO-P 06-12</t>
  </si>
  <si>
    <t>DEER POACHING</t>
  </si>
  <si>
    <t>2006-051502</t>
  </si>
  <si>
    <t>U RFO-G 06-29</t>
  </si>
  <si>
    <t>RANDALL ROTH UIPA REQUEST</t>
  </si>
  <si>
    <t>KAM SCHOOLS TRUSTEES</t>
  </si>
  <si>
    <t>LLA/LHK</t>
  </si>
  <si>
    <t>2006-051503</t>
  </si>
  <si>
    <t>S INVES-P 06-11</t>
  </si>
  <si>
    <t>5/10/06 MEETING</t>
  </si>
  <si>
    <t>SUFFICIENCY OF AGENDA</t>
  </si>
  <si>
    <t>2006-051801</t>
  </si>
  <si>
    <t>S RFO-G 06-30</t>
  </si>
  <si>
    <t>CONFIRMATION OF E-MAILED OPINION</t>
  </si>
  <si>
    <t>MEETING GUIDELINES</t>
  </si>
  <si>
    <t>2006-051901</t>
  </si>
  <si>
    <t>U RFA-G 06-3</t>
  </si>
  <si>
    <t>FEES WAIVER</t>
  </si>
  <si>
    <t>SHOPO</t>
  </si>
  <si>
    <t>2006-051902</t>
  </si>
  <si>
    <t>U RFO-G 06-31</t>
  </si>
  <si>
    <t>VIOLATION BY STAUBER</t>
  </si>
  <si>
    <t>2006-051903</t>
  </si>
  <si>
    <t>S INVES-G 06-12</t>
  </si>
  <si>
    <t>RESOLUTION</t>
  </si>
  <si>
    <t>CITY COUCIL LEADERSHIP</t>
  </si>
  <si>
    <t>2006-052201</t>
  </si>
  <si>
    <t>U RFO-P 06-13</t>
  </si>
  <si>
    <t>LUC TRANSCRIPTS</t>
  </si>
  <si>
    <t>2006-053001</t>
  </si>
  <si>
    <t>PATRICK SHIN</t>
  </si>
  <si>
    <t>NUUANU VALLEY ASSN</t>
  </si>
  <si>
    <t>2006-060101</t>
  </si>
  <si>
    <t>UH ALUMNI ASSN</t>
  </si>
  <si>
    <t>8/24/06</t>
  </si>
  <si>
    <t>2006-060201</t>
  </si>
  <si>
    <t>U RFA-P 06-24</t>
  </si>
  <si>
    <t>REHABILITATION FILE</t>
  </si>
  <si>
    <t>2006-060601</t>
  </si>
  <si>
    <t>CORRECTION OF PERSONAL RECORDS</t>
  </si>
  <si>
    <t>2006-061301</t>
  </si>
  <si>
    <t>U RFA-P 06-25</t>
  </si>
  <si>
    <t>UH-OTTED</t>
  </si>
  <si>
    <t>TECHNOLOGY CONTRACTS</t>
  </si>
  <si>
    <t>GENETICALLY MODIFIED ORGANISMS</t>
  </si>
  <si>
    <t>2006-061601</t>
  </si>
  <si>
    <t>U RFA-P 06-26</t>
  </si>
  <si>
    <t>DOT-AIRPORTS DIV</t>
  </si>
  <si>
    <t>HELICOPTER AND HELIPORT RECORDS FOR LIHUE , KAUAI AIRPORT</t>
  </si>
  <si>
    <t>2005-040401</t>
  </si>
  <si>
    <t>U RFA-P 05-04</t>
  </si>
  <si>
    <t>NON RESPONSE TO RECORD REQUEST</t>
  </si>
  <si>
    <t>2006-062201</t>
  </si>
  <si>
    <t>S RFO-G 06-32</t>
  </si>
  <si>
    <t>LACK OF QUORUM</t>
  </si>
  <si>
    <t>2006-062302</t>
  </si>
  <si>
    <t>S INVES-P 06-13</t>
  </si>
  <si>
    <t>2006-062901</t>
  </si>
  <si>
    <t>U APPEAL-G 06-1</t>
  </si>
  <si>
    <t>2006-062902</t>
  </si>
  <si>
    <t>U APPEAL-G 06-2</t>
  </si>
  <si>
    <t>2006-062903</t>
  </si>
  <si>
    <t>8/04 PHONE RECORDS</t>
  </si>
  <si>
    <t>2006-063001</t>
  </si>
  <si>
    <t>S INVES-P 06-14</t>
  </si>
  <si>
    <t>DEPT OF PL-M</t>
  </si>
  <si>
    <t>GENERAL PLAN ADVISORY COMMITTEE</t>
  </si>
  <si>
    <t>LEGALITY OF MEETING</t>
  </si>
  <si>
    <t>2006-063002</t>
  </si>
  <si>
    <t>DLIR'S RESPONSE</t>
  </si>
  <si>
    <t>2006-070301</t>
  </si>
  <si>
    <t>U RFA-G 06-4</t>
  </si>
  <si>
    <t>2006-070501</t>
  </si>
  <si>
    <t>2003 EXEC SESSION MINUTES</t>
  </si>
  <si>
    <t>2006-070601</t>
  </si>
  <si>
    <t>U RFA-G 06-5</t>
  </si>
  <si>
    <t>APPA REPORT</t>
  </si>
  <si>
    <t>2006-071001</t>
  </si>
  <si>
    <t>U RFA-P 06-27</t>
  </si>
  <si>
    <t>UH-IACUC</t>
  </si>
  <si>
    <t>SUBCOMMITTEE REPORTS</t>
  </si>
  <si>
    <t>ANIMAL WELFARE ACT</t>
  </si>
  <si>
    <t>2006-071102</t>
  </si>
  <si>
    <t>U RFA-P 06-28</t>
  </si>
  <si>
    <t>DPW-MAUI</t>
  </si>
  <si>
    <t>TRAFFICE SAFETY DATA</t>
  </si>
  <si>
    <t>PROLONGED RESP0NSE</t>
  </si>
  <si>
    <t>2006-071103</t>
  </si>
  <si>
    <t>U RFA-G 06-6</t>
  </si>
  <si>
    <t>WORKER'S COMP. CLAIMS</t>
  </si>
  <si>
    <t>STATE EMPLOYEES</t>
  </si>
  <si>
    <t>2006-071201</t>
  </si>
  <si>
    <t>U RFA-P 06-29</t>
  </si>
  <si>
    <t>2006-071701</t>
  </si>
  <si>
    <t>NEED TO DISCLOSE</t>
  </si>
  <si>
    <t>PACIFIC WINGS REQUEST TO DOT</t>
  </si>
  <si>
    <t>2006-071801</t>
  </si>
  <si>
    <t>MULTILPE QUESTIONS</t>
  </si>
  <si>
    <t>MULTIPLE REQUESTS</t>
  </si>
  <si>
    <t>2006-071802</t>
  </si>
  <si>
    <t>U APPEAL-P 06-1</t>
  </si>
  <si>
    <t>THERAPISTS REPORTS</t>
  </si>
  <si>
    <t>2006-071803</t>
  </si>
  <si>
    <t>U RFA-P 06-30</t>
  </si>
  <si>
    <t>MISSING SEGMENT</t>
  </si>
  <si>
    <t>4/28/05 MEETING VIDEO</t>
  </si>
  <si>
    <t>2006-071901</t>
  </si>
  <si>
    <t>S INVES-P 06-15</t>
  </si>
  <si>
    <t>2006-071902</t>
  </si>
  <si>
    <t>U RFA-P 06-31</t>
  </si>
  <si>
    <t>"HOW" BEACH SERVICE</t>
  </si>
  <si>
    <t>EXEC ORDER LANDS</t>
  </si>
  <si>
    <t>2006-072001</t>
  </si>
  <si>
    <t>U APPEAL-P 06-2</t>
  </si>
  <si>
    <t>PRE-POST SELECTIONS 6/05-6/06</t>
  </si>
  <si>
    <t>PRE-POSTS RED AND BLACK PICKS</t>
  </si>
  <si>
    <t>2006-072401</t>
  </si>
  <si>
    <t>U APPEAL-G 06-3</t>
  </si>
  <si>
    <t>2006-072801</t>
  </si>
  <si>
    <t>S RFO-G 07-33</t>
  </si>
  <si>
    <t>COUNTY ATTORNEY PRESENCE</t>
  </si>
  <si>
    <t>JZB,LHK</t>
  </si>
  <si>
    <t>2006-072601</t>
  </si>
  <si>
    <t>U RFA-P 07-32</t>
  </si>
  <si>
    <t>CELL PHONE RECORDS</t>
  </si>
  <si>
    <t>6002-073101</t>
  </si>
  <si>
    <t>U RFA-P 07-33</t>
  </si>
  <si>
    <t>REQUEST FOR COMPLAINT</t>
  </si>
  <si>
    <t>NONEXISTENCE</t>
  </si>
  <si>
    <t>2006-073102</t>
  </si>
  <si>
    <t>DBEDT-HHFDC</t>
  </si>
  <si>
    <t>10/12/2006</t>
  </si>
  <si>
    <t>2006-073103</t>
  </si>
  <si>
    <t>S RFA-G 07-7</t>
  </si>
  <si>
    <t>COMMITTEE AGENDA</t>
  </si>
  <si>
    <t>2006-080301</t>
  </si>
  <si>
    <t>U RFA-P 07-34</t>
  </si>
  <si>
    <t>VOTER REGISTRATION LIST</t>
  </si>
  <si>
    <t>CANDIDATE ENTITLEMENT</t>
  </si>
  <si>
    <t>2006-080302</t>
  </si>
  <si>
    <t>S RFO-G 07-34</t>
  </si>
  <si>
    <t>HO</t>
  </si>
  <si>
    <t>AGENDA FILING REQUIREMENTS</t>
  </si>
  <si>
    <t>2006-080401</t>
  </si>
  <si>
    <t>S INVES-P 07-16</t>
  </si>
  <si>
    <t>AGENDA "FOR INFORMATION"</t>
  </si>
  <si>
    <t>2006-080303</t>
  </si>
  <si>
    <t>S INVES-P 07-17</t>
  </si>
  <si>
    <t>EXEC. MEETING DECISION</t>
  </si>
  <si>
    <t>2006-081102</t>
  </si>
  <si>
    <t>S RFA-G 07-08</t>
  </si>
  <si>
    <t>SPO</t>
  </si>
  <si>
    <t>PROPOSED AGENDA</t>
  </si>
  <si>
    <t>2006-081103</t>
  </si>
  <si>
    <t>S RFO-G 07-35</t>
  </si>
  <si>
    <t>WATERFRONT ASSN</t>
  </si>
  <si>
    <t>2006-081501</t>
  </si>
  <si>
    <t>U/S OIP TRNG</t>
  </si>
  <si>
    <t>ANNUAL MUNICIPAL ATTY CONFERENCE</t>
  </si>
  <si>
    <t>9/15/06</t>
  </si>
  <si>
    <t>2006-081502</t>
  </si>
  <si>
    <t>NELHA BOARD MTG</t>
  </si>
  <si>
    <t>8/15/06</t>
  </si>
  <si>
    <t>2006-081701</t>
  </si>
  <si>
    <t>S INVES-P 07-18</t>
  </si>
  <si>
    <t>RELATED TO: STAUBER S INVES-P 06-10</t>
  </si>
  <si>
    <t>2006-082401</t>
  </si>
  <si>
    <t>U RFA-P 07-35</t>
  </si>
  <si>
    <t>DOF</t>
  </si>
  <si>
    <t>VIDEO RECORD</t>
  </si>
  <si>
    <t>KAUAI COUNTY CHARTER COMMISSION</t>
  </si>
  <si>
    <t>2006-082402</t>
  </si>
  <si>
    <t>U RFA-P 07-36</t>
  </si>
  <si>
    <t>HI BEEKEEPERS ASSN</t>
  </si>
  <si>
    <t>HONEY AT SUNSHINE MARKETS</t>
  </si>
  <si>
    <t>2006-081601</t>
  </si>
  <si>
    <t>U RFA-P 07-37</t>
  </si>
  <si>
    <t>SETTLEMENT AGMTS</t>
  </si>
  <si>
    <t>WINDWARD PHASE
I &amp; T&amp;C II</t>
  </si>
  <si>
    <t>2006-082501</t>
  </si>
  <si>
    <t>S RFO-G 07-36</t>
  </si>
  <si>
    <t>NB REPORTING PROGRAM</t>
  </si>
  <si>
    <t>2006-082502</t>
  </si>
  <si>
    <t>S RFO-G 07-37</t>
  </si>
  <si>
    <t>BOARDS</t>
  </si>
  <si>
    <t>RETENTION/APPROPRIATION OF OUTSIDE COUNSEL</t>
  </si>
  <si>
    <t>0060-81401</t>
  </si>
  <si>
    <t>S CORR-P</t>
  </si>
  <si>
    <t>LILIHA NB-6/19/06 MTG</t>
  </si>
  <si>
    <t>NA PUEO PARK RESOLUTION</t>
  </si>
  <si>
    <t>2006-090601</t>
  </si>
  <si>
    <t>AGENCY RESPONSE TIME</t>
  </si>
  <si>
    <t>UIPA INFORMATION</t>
  </si>
  <si>
    <t>2006-090702</t>
  </si>
  <si>
    <t>U RFA-P 07-38</t>
  </si>
  <si>
    <t>FELIX WAIHEE TEACHER RETENTION &amp; RECRUIT GRANTS W/UH</t>
  </si>
  <si>
    <t>2006-091101</t>
  </si>
  <si>
    <t>S INVES-P 07-19</t>
  </si>
  <si>
    <t>MILILANI MAUKA/LAUNANI VALLEY NB</t>
  </si>
  <si>
    <t>IMPROPER AGENDA</t>
  </si>
  <si>
    <t>2006-091102</t>
  </si>
  <si>
    <t>U RFA-P 07-39</t>
  </si>
  <si>
    <t>MARRIAGE LICENSES</t>
  </si>
  <si>
    <t>DOH-NO RESPONSE</t>
  </si>
  <si>
    <t>2006-090101</t>
  </si>
  <si>
    <t>APPEAL 07-6</t>
  </si>
  <si>
    <t>INCOMPLETE RELEASE OF RECORDS</t>
  </si>
  <si>
    <t>CSEA INVESTIGATION</t>
  </si>
  <si>
    <t>2006-091301</t>
  </si>
  <si>
    <t>S INVES-P 07-20</t>
  </si>
  <si>
    <t>BOE 9/7/06 MTG</t>
  </si>
  <si>
    <t>LLA/LLT</t>
  </si>
  <si>
    <t>2006-090801</t>
  </si>
  <si>
    <t>9/20/06</t>
  </si>
  <si>
    <t>2006-091302</t>
  </si>
  <si>
    <t>RECORD KEEPING</t>
  </si>
  <si>
    <t>2006-091501</t>
  </si>
  <si>
    <t>IDENTITY THEFT TASK FORCE</t>
  </si>
  <si>
    <t>S TRNG 9/29/06</t>
  </si>
  <si>
    <t>2006-091902</t>
  </si>
  <si>
    <t>U RFA-P 07-40</t>
  </si>
  <si>
    <t>TRIPLE CELLING MEMOS</t>
  </si>
  <si>
    <t>2006-091903</t>
  </si>
  <si>
    <t>U RFO-G 07-39</t>
  </si>
  <si>
    <t>TAX CREDIT CERT FORMS</t>
  </si>
  <si>
    <t>2006-092001</t>
  </si>
  <si>
    <t>ALL-HON BDS</t>
  </si>
  <si>
    <t>10/11/06 S-TRNG</t>
  </si>
  <si>
    <t>CITY BOARDS AND COMMISSIONS</t>
  </si>
  <si>
    <t>2006-092101</t>
  </si>
  <si>
    <t>9/7/06 EXEC. SESSION MINUTES</t>
  </si>
  <si>
    <t>2006-092102</t>
  </si>
  <si>
    <t>U RFA-P 07-41</t>
  </si>
  <si>
    <t>INTERNAL COMPLAINT FORM</t>
  </si>
  <si>
    <t>2006-092201</t>
  </si>
  <si>
    <t>S INVES-P 07-21</t>
  </si>
  <si>
    <t>AGENDA COMPLIANCE</t>
  </si>
  <si>
    <t>9/21/06 MTG</t>
  </si>
  <si>
    <t>2006-092501</t>
  </si>
  <si>
    <t>U APPEAL-P 07-7</t>
  </si>
  <si>
    <t>TAX CREDIT REQUEST FORMS</t>
  </si>
  <si>
    <t>2006-092701</t>
  </si>
  <si>
    <t>S RFO-G 07-40</t>
  </si>
  <si>
    <t>MILILANI NB</t>
  </si>
  <si>
    <t>7/26/06 VOTE</t>
  </si>
  <si>
    <t>2006-092901</t>
  </si>
  <si>
    <t>S RFO-G 07-41</t>
  </si>
  <si>
    <t>ACT 96</t>
  </si>
  <si>
    <t>ADVISORY COMMITTEE SUBJECT TO SUNSHINE LAW?</t>
  </si>
  <si>
    <t>2006-092902</t>
  </si>
  <si>
    <t>WRITTEN AND AUDIO MINUTES FROM 7/1/05 TO PRESENT</t>
  </si>
  <si>
    <t>NO RESPONSE FROM BOR</t>
  </si>
  <si>
    <t>2006-092801</t>
  </si>
  <si>
    <t>S RFO-G 07-42</t>
  </si>
  <si>
    <t>2006-100201</t>
  </si>
  <si>
    <t>9/7/06 BOARD MTG</t>
  </si>
  <si>
    <t>MINUTES AND AUDIOTAPE</t>
  </si>
  <si>
    <t>2006-092903</t>
  </si>
  <si>
    <t>UNAUTHORIZED DISLCOSURE</t>
  </si>
  <si>
    <t>2006-100401</t>
  </si>
  <si>
    <t>U APPEAL-P 07-8</t>
  </si>
  <si>
    <t>2006-100402</t>
  </si>
  <si>
    <t>S RFO-G 07-43</t>
  </si>
  <si>
    <t>MATERIAL DISTRIBUTION</t>
  </si>
  <si>
    <t>OUTSIDE OF MTG</t>
  </si>
  <si>
    <t>2006-100501</t>
  </si>
  <si>
    <t>S RFO-G 07-9</t>
  </si>
  <si>
    <t>2006-100601</t>
  </si>
  <si>
    <t>APPEAL 07-9</t>
  </si>
  <si>
    <t>DENIAL OF 9/7/06 MINUTES</t>
  </si>
  <si>
    <t>2006-100901</t>
  </si>
  <si>
    <t>U RFO-P 07-17</t>
  </si>
  <si>
    <t>RELEASE OF INFORMATION TO PUBLIC</t>
  </si>
  <si>
    <t>ETHICS RULES-HRS</t>
  </si>
  <si>
    <t>2006-101001</t>
  </si>
  <si>
    <t>DCCA-RICO-K</t>
  </si>
  <si>
    <t>RICO COMPLAINT</t>
  </si>
  <si>
    <t>PREMATURE REQUEST TO OIP</t>
  </si>
  <si>
    <t>2006-101002</t>
  </si>
  <si>
    <t>U RFA-P 07-43</t>
  </si>
  <si>
    <t>COMPLAINT DOCUMENT</t>
  </si>
  <si>
    <t>2006-101003</t>
  </si>
  <si>
    <t>2006-101004</t>
  </si>
  <si>
    <t>APPEAL 07-10</t>
  </si>
  <si>
    <t>2006-101301</t>
  </si>
  <si>
    <t>U RFO-P 07-18</t>
  </si>
  <si>
    <t>CLT/LLT</t>
  </si>
  <si>
    <t>2006-101302</t>
  </si>
  <si>
    <t>TRANSIT ADVISORY TASK FORCE</t>
  </si>
  <si>
    <t>10/20/06</t>
  </si>
  <si>
    <t>2006-101303</t>
  </si>
  <si>
    <t>LABOR RELATIONS SECTION</t>
  </si>
  <si>
    <t>11/9/06</t>
  </si>
  <si>
    <t>2006-101304</t>
  </si>
  <si>
    <t>U RFA-P 07-44</t>
  </si>
  <si>
    <t>9/7/06 BOARD MTG MINUTES</t>
  </si>
  <si>
    <t>2006-101701</t>
  </si>
  <si>
    <t>U RFA-P 07-45</t>
  </si>
  <si>
    <t>MAEMAE SCHOOL</t>
  </si>
  <si>
    <t>AUDIO OF SCC MTGS</t>
  </si>
  <si>
    <t>2006-101702</t>
  </si>
  <si>
    <t>APPEAL 07-11</t>
  </si>
  <si>
    <t>2006-101901</t>
  </si>
  <si>
    <t>U RFA-P 07-46</t>
  </si>
  <si>
    <t>EXPENDITURE REPORT</t>
  </si>
  <si>
    <t>2006-102001</t>
  </si>
  <si>
    <t>APPEAL 07-12</t>
  </si>
  <si>
    <t>APPLICANT COMFIDENTIAL REPORT</t>
  </si>
  <si>
    <t>2006-101801</t>
  </si>
  <si>
    <t>S RFO-P 07-19</t>
  </si>
  <si>
    <t>KONA</t>
  </si>
  <si>
    <t>SUFFICINECY OF AGENDA</t>
  </si>
  <si>
    <t>BOILERPLATE EXEC MTG LANGUAGE</t>
  </si>
  <si>
    <t>2006-102301</t>
  </si>
  <si>
    <t>WATER-M</t>
  </si>
  <si>
    <t>PREMATURE REQUEST</t>
  </si>
  <si>
    <t>WATER QUALITY ASSESSMENTS</t>
  </si>
  <si>
    <t>2006-102302</t>
  </si>
  <si>
    <t>U RFA-P 07-47</t>
  </si>
  <si>
    <t>2006-102701</t>
  </si>
  <si>
    <t>APPEAL 07-13</t>
  </si>
  <si>
    <t>9/7/06 BD MTG MINS</t>
  </si>
  <si>
    <t>2006-103101</t>
  </si>
  <si>
    <t>U RFO-G 07-44</t>
  </si>
  <si>
    <t>LIHUE</t>
  </si>
  <si>
    <t>POLICE ARREST LOG RELEASEABLE INFORMATION</t>
  </si>
  <si>
    <t>REVIEW OF OP LTR NO 94-1</t>
  </si>
  <si>
    <t>2006-110901</t>
  </si>
  <si>
    <t>CLARIFICATION ON REQUEST PROCESS</t>
  </si>
  <si>
    <t>2006-110601</t>
  </si>
  <si>
    <t>APPEAL 07-14</t>
  </si>
  <si>
    <t>KAUAPEA HOMEOWNER'S ASSOCIATION</t>
  </si>
  <si>
    <t>PARTIAL DENIAL OF DOCUMENTS</t>
  </si>
  <si>
    <t>2006-110602</t>
  </si>
  <si>
    <t>APPEAL 07-15</t>
  </si>
  <si>
    <t>JZB,LLT</t>
  </si>
  <si>
    <t>2006-110801</t>
  </si>
  <si>
    <t>U RFA-P 07-48</t>
  </si>
  <si>
    <t>DOH-VCB</t>
  </si>
  <si>
    <t>4/2/06 DOCS TO PRESENT</t>
  </si>
  <si>
    <t>2006-110902</t>
  </si>
  <si>
    <t>UIPA TRAINING 11/28/06</t>
  </si>
  <si>
    <t>2006-111501</t>
  </si>
  <si>
    <t>CABLE ACCESS PLANNING COMMITTEE</t>
  </si>
  <si>
    <t>2006-111502</t>
  </si>
  <si>
    <t>WORKERS COMP CASES</t>
  </si>
  <si>
    <t>AG UNRESPONSIVE</t>
  </si>
  <si>
    <t>2006-111701</t>
  </si>
  <si>
    <t>S RFO-P 07-20</t>
  </si>
  <si>
    <t>KIHEI</t>
  </si>
  <si>
    <t>SHPTA MTGS RE: MALUHIA HOSPITAL</t>
  </si>
  <si>
    <t>VIDEO TAPING</t>
  </si>
  <si>
    <t>2006-112001</t>
  </si>
  <si>
    <t>S RFO-G 07-45</t>
  </si>
  <si>
    <t>2050 COMMUNITY MTGS</t>
  </si>
  <si>
    <t>PRESENTATIONS</t>
  </si>
  <si>
    <t>JZB, LHK</t>
  </si>
  <si>
    <t>2006-112002</t>
  </si>
  <si>
    <t>U RFA-P 07-49</t>
  </si>
  <si>
    <t>KITCHEN CLOSURE</t>
  </si>
  <si>
    <t>MEMOS AND REPORTS</t>
  </si>
  <si>
    <t>2006-112101</t>
  </si>
  <si>
    <t>U RFA-P 07-50</t>
  </si>
  <si>
    <t>KASHBOX PROGRAM INFORMATION</t>
  </si>
  <si>
    <t>CZAP INTERNET DATABASE</t>
  </si>
  <si>
    <t>2006-112202</t>
  </si>
  <si>
    <t>APPEAL 07-16</t>
  </si>
  <si>
    <t>APPEAL REDACTION</t>
  </si>
  <si>
    <t>2006-112203</t>
  </si>
  <si>
    <t>U RFA-G 07-51</t>
  </si>
  <si>
    <t>APPLICATIONS</t>
  </si>
  <si>
    <t>PROPOSED CHARTER SCHOOLS</t>
  </si>
  <si>
    <t>2006-112701</t>
  </si>
  <si>
    <t>S INVES-P 07-22</t>
  </si>
  <si>
    <t>TIMING OF NOTICE</t>
  </si>
  <si>
    <t>ACCELERATING CONSIDERATION OF BILL</t>
  </si>
  <si>
    <t>2006-112901</t>
  </si>
  <si>
    <t>NB TASK FORCE</t>
  </si>
  <si>
    <t>12/4/2006 TRNG</t>
  </si>
  <si>
    <t>2006-112801</t>
  </si>
  <si>
    <t>U RFA-P 07-52</t>
  </si>
  <si>
    <t>ORTP 2030 DRAFT</t>
  </si>
  <si>
    <t>2006-112802</t>
  </si>
  <si>
    <t>APPEAL 07-17</t>
  </si>
  <si>
    <t>DRAFT PEG RFP</t>
  </si>
  <si>
    <t>2006-112803</t>
  </si>
  <si>
    <t>U INVES-P 07-23</t>
  </si>
  <si>
    <t>2006-112804</t>
  </si>
  <si>
    <t>S INVES-P 07-24</t>
  </si>
  <si>
    <t>COMMITTEE OF BLIND VENDORS</t>
  </si>
  <si>
    <t>9/9/06 MEETING SUFFICIENCY</t>
  </si>
  <si>
    <t>2006-120101</t>
  </si>
  <si>
    <t>APPEAL 07-18</t>
  </si>
  <si>
    <t>MEETING MINUTES KPC</t>
  </si>
  <si>
    <t>2006-112902</t>
  </si>
  <si>
    <t>2006-120501</t>
  </si>
  <si>
    <t>S INVES-P 07-25</t>
  </si>
  <si>
    <t>MOTIONS FOR BILLS 251 &amp; 309</t>
  </si>
  <si>
    <t>2006-121201</t>
  </si>
  <si>
    <t>U RFA-P 07-53</t>
  </si>
  <si>
    <t>2006-120701</t>
  </si>
  <si>
    <t>S RFO-G 07-46</t>
  </si>
  <si>
    <t>LEGALITY OF VOTE</t>
  </si>
  <si>
    <t>VIOLATION OF SUNSHINE LAW</t>
  </si>
  <si>
    <t>2006-121101</t>
  </si>
  <si>
    <t>S RFO-G 07-47</t>
  </si>
  <si>
    <t>RECONSIDERATION ON BILLS</t>
  </si>
  <si>
    <t>2006-121301</t>
  </si>
  <si>
    <t>RULE NO. 27</t>
  </si>
  <si>
    <t>SUBSTANTIVE INTERPRETATION</t>
  </si>
  <si>
    <t>2006-121401</t>
  </si>
  <si>
    <t>U RFA-P 07-54</t>
  </si>
  <si>
    <t>PROCUREMENT POLICY BRD NOMINATING COMM MINUTES</t>
  </si>
  <si>
    <t>2006-121801</t>
  </si>
  <si>
    <t>MEDICAL DISCLOSURE FORM</t>
  </si>
  <si>
    <t>2006-121802</t>
  </si>
  <si>
    <t>U RFO-P 07-21</t>
  </si>
  <si>
    <t>NORTH WEST HAWAIIAN ISLAND PERMITS</t>
  </si>
  <si>
    <t>2006-121302</t>
  </si>
  <si>
    <t>S INVES-P 07-26</t>
  </si>
  <si>
    <t>2006-122601</t>
  </si>
  <si>
    <t>APPEAL 07-19</t>
  </si>
  <si>
    <t>10/5/06 EXEC SESSION MINUTES</t>
  </si>
  <si>
    <t>2006-122801</t>
  </si>
  <si>
    <t>ID TASK FORCE</t>
  </si>
  <si>
    <t>1/4/2007</t>
  </si>
  <si>
    <t>2007-010401</t>
  </si>
  <si>
    <t>U RFO-G 07-48</t>
  </si>
  <si>
    <t>1/19/06 EXEC. SESSION MINUTES</t>
  </si>
  <si>
    <t>RESTRICTED ACCESS</t>
  </si>
  <si>
    <t>2007-010501</t>
  </si>
  <si>
    <t>U RFA-P 07-55</t>
  </si>
  <si>
    <t>RULES OF PRACTICE</t>
  </si>
  <si>
    <t>2007-010801</t>
  </si>
  <si>
    <t>U RFA-P 07-56</t>
  </si>
  <si>
    <t>STATISTICS CHAPTER 19</t>
  </si>
  <si>
    <t>'04-'05 &amp; '05'06 SCHOOL YEAR</t>
  </si>
  <si>
    <t>2007-010802</t>
  </si>
  <si>
    <t>U RFO-G 07-49</t>
  </si>
  <si>
    <t>LLCP APPLICATIONS</t>
  </si>
  <si>
    <t>CONFIDENTIAL INFO</t>
  </si>
  <si>
    <t>2007-010901</t>
  </si>
  <si>
    <t>U RFO-P 07-22</t>
  </si>
  <si>
    <t>11/9/2006 NB MTG</t>
  </si>
  <si>
    <t>2007-011801</t>
  </si>
  <si>
    <t>COPIES OF REQUEST TO OIP REGARDING COUNCIL'S 12/4/06 MTG</t>
  </si>
  <si>
    <t>2007-011802</t>
  </si>
  <si>
    <t>HB18                                    COMPANION SB100</t>
  </si>
  <si>
    <t>2007-011803</t>
  </si>
  <si>
    <t>HB135                                COMPANION BILL SB14</t>
  </si>
  <si>
    <t>CANDIDATE ADVISORY COUNCIL</t>
  </si>
  <si>
    <t>2007-011804</t>
  </si>
  <si>
    <t>HB122</t>
  </si>
  <si>
    <t>STATE FUNDS DISCLOSURE</t>
  </si>
  <si>
    <t>2007-011805</t>
  </si>
  <si>
    <t>HB12                                    COMP. SB816</t>
  </si>
  <si>
    <t>2007-011806</t>
  </si>
  <si>
    <t>HB33</t>
  </si>
  <si>
    <t>LIVING WAGE LAW</t>
  </si>
  <si>
    <t>2007-011810</t>
  </si>
  <si>
    <t>DCCA-OCP</t>
  </si>
  <si>
    <t>SB9                                      COMP. HB246</t>
  </si>
  <si>
    <t>PERSONAL FINANCIAL INFORMATION</t>
  </si>
  <si>
    <t>2007-011811</t>
  </si>
  <si>
    <t>SB100                                  COMPANION HB18</t>
  </si>
  <si>
    <t>TEACHER STANDARD BOARD</t>
  </si>
  <si>
    <t>2007-011813</t>
  </si>
  <si>
    <t>SB83</t>
  </si>
  <si>
    <t>DONOR RECORD DISCLOSURE EXEMPTION</t>
  </si>
  <si>
    <t>2007-011814</t>
  </si>
  <si>
    <t>SB25</t>
  </si>
  <si>
    <t>LEGISLATURE BUDGET DISCLOSURE</t>
  </si>
  <si>
    <t>2007-011815</t>
  </si>
  <si>
    <t>SB14                                    COMPANION HB135</t>
  </si>
  <si>
    <t>2007-011901</t>
  </si>
  <si>
    <t>S INVES-P 07-27</t>
  </si>
  <si>
    <t>IMPROPER MEETING</t>
  </si>
  <si>
    <t>AMENDED AGENDA</t>
  </si>
  <si>
    <t>2007-012607</t>
  </si>
  <si>
    <t>APPEAL 07-20</t>
  </si>
  <si>
    <t>HILO</t>
  </si>
  <si>
    <t>LTR SUBMITTED BY KATE CRUZ</t>
  </si>
  <si>
    <t>2007-012608</t>
  </si>
  <si>
    <t>S RFO-G 07-50</t>
  </si>
  <si>
    <t>PEARL CITY NB</t>
  </si>
  <si>
    <t>ADVICE GIVEN ON PIGS</t>
  </si>
  <si>
    <t>2007-013101</t>
  </si>
  <si>
    <t>U RFA-P 07-57</t>
  </si>
  <si>
    <t>FIRE INSPECTION REPORT</t>
  </si>
  <si>
    <t>2007-020101</t>
  </si>
  <si>
    <t>U RFA-P 07-58</t>
  </si>
  <si>
    <t>PLANNING-K</t>
  </si>
  <si>
    <t>11/28/06 COMPLAINT</t>
  </si>
  <si>
    <t>7/26/06 INSPECTION</t>
  </si>
  <si>
    <t>2007-013014</t>
  </si>
  <si>
    <t>2/26/2007</t>
  </si>
  <si>
    <t>NATIVE HAWAIIAN PRESERVATION COUNCIL</t>
  </si>
  <si>
    <t>2007-012923</t>
  </si>
  <si>
    <t>U RFO-G 07-51</t>
  </si>
  <si>
    <t>PRE-DECISIONAL INFO DISCLOSURE</t>
  </si>
  <si>
    <t>NW HAWAIIAN ISLANDS PERMITS</t>
  </si>
  <si>
    <t>2007-013015</t>
  </si>
  <si>
    <t>U RFO-G 07-52</t>
  </si>
  <si>
    <t>CSEA PROJECT</t>
  </si>
  <si>
    <t>PERSONNEL/PRIVACY ISSUE</t>
  </si>
  <si>
    <t>2007-012611</t>
  </si>
  <si>
    <t>HI COUNTY COUNCIL</t>
  </si>
  <si>
    <t>2/7/07 SUNSHINE TRNG</t>
  </si>
  <si>
    <t>2007-0202001</t>
  </si>
  <si>
    <t>APPEAL 07-21</t>
  </si>
  <si>
    <t>2006 LAWSUITS</t>
  </si>
  <si>
    <t>BREAKDOWN OF COSTS</t>
  </si>
  <si>
    <t>2007-020202</t>
  </si>
  <si>
    <t>U RFA-P 07-59</t>
  </si>
  <si>
    <t>UARC CONTRACT</t>
  </si>
  <si>
    <t>2007-020203</t>
  </si>
  <si>
    <t>U RFO-G 07-53</t>
  </si>
  <si>
    <t>REDACTION OF DOCUMENTS</t>
  </si>
  <si>
    <t>2007-020502</t>
  </si>
  <si>
    <t>S RFO-G 07-54</t>
  </si>
  <si>
    <t>LEG BILLS</t>
  </si>
  <si>
    <t>BOE STRAW POLL VOTES</t>
  </si>
  <si>
    <t>2007-020801</t>
  </si>
  <si>
    <t>U RFA-P 07-60</t>
  </si>
  <si>
    <t>DHRD-MAB</t>
  </si>
  <si>
    <t>RULES AND REGULATIONS</t>
  </si>
  <si>
    <t>CONTESTED CASES</t>
  </si>
  <si>
    <t>2007-020902</t>
  </si>
  <si>
    <t>U RFO-G 07-55</t>
  </si>
  <si>
    <t>ENERGY INDUSTRY INFORMATION</t>
  </si>
  <si>
    <t>HB1267</t>
  </si>
  <si>
    <t>2007-020903</t>
  </si>
  <si>
    <t>APPEAL 07-22</t>
  </si>
  <si>
    <t>DHS-CWS</t>
  </si>
  <si>
    <t>COURT DOCUMENT</t>
  </si>
  <si>
    <t>STATE OF MASSACHUSETTS</t>
  </si>
  <si>
    <t>2007-021301</t>
  </si>
  <si>
    <t>U RFA-P 07-61</t>
  </si>
  <si>
    <t>STACEYLYNN AIONA-AKA</t>
  </si>
  <si>
    <t>FILE</t>
  </si>
  <si>
    <t>2007-021302</t>
  </si>
  <si>
    <t>S RFO-G 07-56</t>
  </si>
  <si>
    <t>1/9/2007 MTG</t>
  </si>
  <si>
    <t>WAIKIKI NB
(Also see RFO 07-22)</t>
  </si>
  <si>
    <t>2007-021401</t>
  </si>
  <si>
    <t>U RFA-P 07-62</t>
  </si>
  <si>
    <t>CONTRACT WITH CARE HAWAII</t>
  </si>
  <si>
    <t>ASO LOG NO. 06-150</t>
  </si>
  <si>
    <t>2007-011202</t>
  </si>
  <si>
    <t>RECORDS FROM ATTORNEY</t>
  </si>
  <si>
    <t>NO OIP JURISDICTION</t>
  </si>
  <si>
    <t>2007-022210</t>
  </si>
  <si>
    <t>S RFO-G 07-57</t>
  </si>
  <si>
    <t>2/21/07 AGENDA ADEQUACY</t>
  </si>
  <si>
    <t>2007-021501</t>
  </si>
  <si>
    <t>S INVES-P 07-28</t>
  </si>
  <si>
    <t>BOARDS-VARIOUS</t>
  </si>
  <si>
    <t>FISCAL YEAR 2005</t>
  </si>
  <si>
    <t>2007-022211</t>
  </si>
  <si>
    <t>U INVES-P 07-29</t>
  </si>
  <si>
    <t>CONFIDENTIAL DATA</t>
  </si>
  <si>
    <t>HOOPONO</t>
  </si>
  <si>
    <t>2007-030502</t>
  </si>
  <si>
    <t>S RFO-G 07-58</t>
  </si>
  <si>
    <t>NON-COMMITTEE MEMBER ATTENDANCE</t>
  </si>
  <si>
    <t>2007-030201</t>
  </si>
  <si>
    <t>U RFA-G 07-10</t>
  </si>
  <si>
    <t>SENATE BUDGET AND SALARIES</t>
  </si>
  <si>
    <t>2007-030701</t>
  </si>
  <si>
    <t>U RFA-P 07-63</t>
  </si>
  <si>
    <t>DOT-HWY</t>
  </si>
  <si>
    <t>HIGHWAY PLANS/DATA</t>
  </si>
  <si>
    <t>2007-030801</t>
  </si>
  <si>
    <t>S RFO-G 07-59</t>
  </si>
  <si>
    <t>SUFFICIENCY OF NOTICE</t>
  </si>
  <si>
    <t>MAUI COUNTY SALARY COMMISSION</t>
  </si>
  <si>
    <t>2007-031401</t>
  </si>
  <si>
    <t>U RFA-P 07-64</t>
  </si>
  <si>
    <t>SOTP PERSONAL RECORDS</t>
  </si>
  <si>
    <t>PROGRESS REPORTS ON ALL PROGRAMS</t>
  </si>
  <si>
    <t>2007-031502</t>
  </si>
  <si>
    <t>S RFO-G 07-60</t>
  </si>
  <si>
    <t>ALLEDGED SUNSHINE VIOLATIONS</t>
  </si>
  <si>
    <t>BILL 51</t>
  </si>
  <si>
    <t>2007-031402</t>
  </si>
  <si>
    <t>U RFA-P 07-65</t>
  </si>
  <si>
    <t>AOAO'S &amp; TIME SHARES</t>
  </si>
  <si>
    <t>10 YEARS OF RECORDS</t>
  </si>
  <si>
    <t>2007-030802</t>
  </si>
  <si>
    <t>S INVES-G 07-30</t>
  </si>
  <si>
    <t>2007-032301</t>
  </si>
  <si>
    <t>U RFA-P 07-66</t>
  </si>
  <si>
    <t>2007-030202</t>
  </si>
  <si>
    <t>U RFO-G 07-61</t>
  </si>
  <si>
    <t>POSTING OF REPORTS ON DLNR WEBSITE</t>
  </si>
  <si>
    <t>2006-082201</t>
  </si>
  <si>
    <t>RULE 10</t>
  </si>
  <si>
    <t>CONVENING-COMMITTEE OF THE WHOLE</t>
  </si>
  <si>
    <t>2007-030702</t>
  </si>
  <si>
    <t>U RFA-P 07-67</t>
  </si>
  <si>
    <t>DHS INVESTIGATION</t>
  </si>
  <si>
    <t>FILES</t>
  </si>
  <si>
    <t>2007-032302</t>
  </si>
  <si>
    <t>S INVES-P 07-31</t>
  </si>
  <si>
    <t>EWA BEACH NB 2/8/07</t>
  </si>
  <si>
    <t>VOTE WITHOUT ORAL TESTIMONY</t>
  </si>
  <si>
    <t>2007-032701</t>
  </si>
  <si>
    <t>PLANNING-M</t>
  </si>
  <si>
    <t>WMPA V MAUI PLANNING COMMISSSION</t>
  </si>
  <si>
    <t>2007-040301</t>
  </si>
  <si>
    <t>10/11/04 DOT LETTER TO ADVERTISER</t>
  </si>
  <si>
    <t>2/4/05 DOT LETTER TO OIP</t>
  </si>
  <si>
    <t>2007-031901</t>
  </si>
  <si>
    <t>S RFO-P 07-23</t>
  </si>
  <si>
    <t>WEST MAUI PRESERVATION ASSOCIATION</t>
  </si>
  <si>
    <t>2007-040401</t>
  </si>
  <si>
    <t>APPEAL 07-23</t>
  </si>
  <si>
    <t>NON ADMINISTRATIVE FUNCTION</t>
  </si>
  <si>
    <t>2007-040202</t>
  </si>
  <si>
    <t>APPEAL 07-24</t>
  </si>
  <si>
    <t>AOAO'S AND TIME SHARES</t>
  </si>
  <si>
    <t>AGENCY DOES NOT SUMMARIZE</t>
  </si>
  <si>
    <t>U RFO-G 07-62</t>
  </si>
  <si>
    <t>2007-040501</t>
  </si>
  <si>
    <t>APPEAL 07-25</t>
  </si>
  <si>
    <t>REDACTED POLICE REPORT</t>
  </si>
  <si>
    <t>2007-040502</t>
  </si>
  <si>
    <t>U RFO-P 07-24</t>
  </si>
  <si>
    <t>RESTRICTED MICROORGANISMS</t>
  </si>
  <si>
    <t>VIRUS IDENTITIES REDACTED</t>
  </si>
  <si>
    <t>2007-040901</t>
  </si>
  <si>
    <t>APPEAL 07-26</t>
  </si>
  <si>
    <t>LONG DISTANCE PHONE RECORD</t>
  </si>
  <si>
    <t>DETECTIVE'S CALL LOG</t>
  </si>
  <si>
    <t>2007-041201</t>
  </si>
  <si>
    <t>U RFA-P 07-68</t>
  </si>
  <si>
    <t>2007-041202</t>
  </si>
  <si>
    <t>S INVES-P 07-68</t>
  </si>
  <si>
    <t>MEETING NOTIFICATION</t>
  </si>
  <si>
    <t>2007-041203</t>
  </si>
  <si>
    <t>NCO</t>
  </si>
  <si>
    <t>PERMITTED INTERACTION GROUPS</t>
  </si>
  <si>
    <t>2007-041701</t>
  </si>
  <si>
    <t>U RFO-G 07-63</t>
  </si>
  <si>
    <t>UH-CHARTER SCH</t>
  </si>
  <si>
    <t>CHARTER SCHOOL APPLICATIONS</t>
  </si>
  <si>
    <t>PUBLICATION ON WEBSITE</t>
  </si>
  <si>
    <t>2007-041702</t>
  </si>
  <si>
    <t>U RFO-G 07-64</t>
  </si>
  <si>
    <t>RESPONSE REQUIREMENTS</t>
  </si>
  <si>
    <t>2007-041801</t>
  </si>
  <si>
    <t>S INVES-P 07-33</t>
  </si>
  <si>
    <t>LOST TESTIMONY</t>
  </si>
  <si>
    <t>3/20/07 HI COUNTY MTG</t>
  </si>
  <si>
    <t>2007-041901</t>
  </si>
  <si>
    <t>U RFA-P 07-69</t>
  </si>
  <si>
    <t>PLAN &amp; PERMIT</t>
  </si>
  <si>
    <t>CERTIFICATE OF OCCUPANCY</t>
  </si>
  <si>
    <t>2007-041902</t>
  </si>
  <si>
    <t>U RFA-P 07-70</t>
  </si>
  <si>
    <t>2007-042001</t>
  </si>
  <si>
    <t>U RFA-P 07-71</t>
  </si>
  <si>
    <t>DLNR-SHPA</t>
  </si>
  <si>
    <t>CULTURAL SURVEY REPORT</t>
  </si>
  <si>
    <t>CAPITOL PLACE CONDO</t>
  </si>
  <si>
    <t>2007-042301</t>
  </si>
  <si>
    <t>APPEAL 07-27</t>
  </si>
  <si>
    <t>EMAIL RESTRICTIONS</t>
  </si>
  <si>
    <t>2007-042401</t>
  </si>
  <si>
    <t>COUNCIL MEMBERS</t>
  </si>
  <si>
    <t>RADIO TALK SHOW PARTICIPATION</t>
  </si>
  <si>
    <t>2007-043001</t>
  </si>
  <si>
    <t>S RFO-G 07-65</t>
  </si>
  <si>
    <t>PLANNING COMM-M</t>
  </si>
  <si>
    <t>2007-043002</t>
  </si>
  <si>
    <t>LEGACY LAND CONSERVATION COMMISSION</t>
  </si>
  <si>
    <t>MAY 7, 2007</t>
  </si>
  <si>
    <t>2007-042701</t>
  </si>
  <si>
    <t>6/2/07 SUNSHINE TRAINING</t>
  </si>
  <si>
    <t>NEW NB MEMBERS</t>
  </si>
  <si>
    <t>2007-043003</t>
  </si>
  <si>
    <t>APPEAL 07-28</t>
  </si>
  <si>
    <t>DRESS CODE 
VIOLATION FORM</t>
  </si>
  <si>
    <t>KEALAKEHE INTER SCHOOL</t>
  </si>
  <si>
    <t>2007-041903</t>
  </si>
  <si>
    <t>U RFA-P 07-72</t>
  </si>
  <si>
    <t>ORAL COMPLAINT FILE</t>
  </si>
  <si>
    <t>2007-042502</t>
  </si>
  <si>
    <t>INCARCERATION RECORDS</t>
  </si>
  <si>
    <t>TIME SERVED</t>
  </si>
  <si>
    <t>2007-042503</t>
  </si>
  <si>
    <t>5/14/2007</t>
  </si>
  <si>
    <t>OIP OVERVIEW-RRS INFORMATIONAL PRESENTATION</t>
  </si>
  <si>
    <t>2007-050201</t>
  </si>
  <si>
    <t>S INVES-G 07-34</t>
  </si>
  <si>
    <t>5/10/2007 AGENDA</t>
  </si>
  <si>
    <t>ELECTION COMM. MTG</t>
  </si>
  <si>
    <t>2007-050401</t>
  </si>
  <si>
    <t>S RFO-P 07-25</t>
  </si>
  <si>
    <t>4/18/07 AGENDA</t>
  </si>
  <si>
    <t>POSTING SUFFICIENCY</t>
  </si>
  <si>
    <t>2007-032201</t>
  </si>
  <si>
    <t>S RFO-P 07-26</t>
  </si>
  <si>
    <t>PLANNING COMM-K</t>
  </si>
  <si>
    <t>2007-051001</t>
  </si>
  <si>
    <t>APPEAL 07-29</t>
  </si>
  <si>
    <t>2007-051101</t>
  </si>
  <si>
    <t>APPEAL 07-30</t>
  </si>
  <si>
    <t>LOG BOOK INFORMATION</t>
  </si>
  <si>
    <t>2007-051501</t>
  </si>
  <si>
    <t>U RFO-P 07-27</t>
  </si>
  <si>
    <t>4/25/2007 MTG</t>
  </si>
  <si>
    <t>GET INFORMATION</t>
  </si>
  <si>
    <t>2007-051701</t>
  </si>
  <si>
    <t>APPEAL 07-31</t>
  </si>
  <si>
    <t>DOT-A</t>
  </si>
  <si>
    <t>PRIVATE INFORMATION</t>
  </si>
  <si>
    <t>2007-051401</t>
  </si>
  <si>
    <t>5/30/2007</t>
  </si>
  <si>
    <t>2007-060102</t>
  </si>
  <si>
    <t>U RFA-P 07-73</t>
  </si>
  <si>
    <t>3/3/2007 MINUTES &amp; CORRESPONDENCE</t>
  </si>
  <si>
    <t>2007-060402</t>
  </si>
  <si>
    <t>U RFA-P 07-74</t>
  </si>
  <si>
    <t>AG-CPJAD</t>
  </si>
  <si>
    <t>DIAL UP HISTORY RECORDS</t>
  </si>
  <si>
    <t>2007-060802</t>
  </si>
  <si>
    <t>HARRIS V DOE DOG OWNER, C &amp; C, HPD</t>
  </si>
  <si>
    <t>2007-061501</t>
  </si>
  <si>
    <t>U RFA-P 07-75</t>
  </si>
  <si>
    <t>2007 TERMINATION LETTERS</t>
  </si>
  <si>
    <t>2007-061502</t>
  </si>
  <si>
    <t>U RFA-P 07-76</t>
  </si>
  <si>
    <t>NON-SIGNATORY LANDING FEE</t>
  </si>
  <si>
    <t>RECEIPTS</t>
  </si>
  <si>
    <t>2007-061503</t>
  </si>
  <si>
    <t>REAL PROPERTY ASSESS DIVISION</t>
  </si>
  <si>
    <t>PARCEL OWNERSHIP</t>
  </si>
  <si>
    <t>2007-061901</t>
  </si>
  <si>
    <t>S RFO-G 07-66</t>
  </si>
  <si>
    <t>DOL-HCRC</t>
  </si>
  <si>
    <t>AGENDA SUFFCINECY</t>
  </si>
  <si>
    <t>2007-062001</t>
  </si>
  <si>
    <t>U RFA-P 07-77</t>
  </si>
  <si>
    <t>TEACHER CERTIFICATE REVOCATIONS</t>
  </si>
  <si>
    <t>2007-062002</t>
  </si>
  <si>
    <t>U RFA-P 07-78</t>
  </si>
  <si>
    <t>UH-HCC</t>
  </si>
  <si>
    <t>COOPERATIVE EDUCATION PROGRAM</t>
  </si>
  <si>
    <t>POLICIES/FIRE MAJOR COURSES</t>
  </si>
  <si>
    <t>2007-062003</t>
  </si>
  <si>
    <t>RPT ASSESS DIVISION\</t>
  </si>
  <si>
    <t>2007-062601</t>
  </si>
  <si>
    <t>U RFA-P 07-79</t>
  </si>
  <si>
    <t>BUS ROUTE/RIDERSHIP</t>
  </si>
  <si>
    <t>DATA</t>
  </si>
  <si>
    <t>2007-062602</t>
  </si>
  <si>
    <t>U RFA-P 07-80</t>
  </si>
  <si>
    <t>LIST OF CURRENT WILDLIFE CONTROL PERMITS</t>
  </si>
  <si>
    <t>2007-062603</t>
  </si>
  <si>
    <t>U RFA-P 07-81</t>
  </si>
  <si>
    <t>DOH; WATER-M</t>
  </si>
  <si>
    <t>UPCOUNTRY MAUI WATER SYSTEMS</t>
  </si>
  <si>
    <t>WATER QUALITY ASSESS REPORTS</t>
  </si>
  <si>
    <t>2007-062801</t>
  </si>
  <si>
    <t>U RFO-G 07-67</t>
  </si>
  <si>
    <t>SPECIAL PROGRAMS COMMITTEE</t>
  </si>
  <si>
    <t>AGENDA FOR 7/2/07 MTG</t>
  </si>
  <si>
    <t>2007-062902</t>
  </si>
  <si>
    <t>S INVES-P 07-35</t>
  </si>
  <si>
    <t>BOE-CSRP</t>
  </si>
  <si>
    <t>CHARTER SCHOOL REVIEW PANEL 6/27/07 MTG</t>
  </si>
  <si>
    <t>2007-062101</t>
  </si>
  <si>
    <t>U RFA-P 07-82</t>
  </si>
  <si>
    <t>INTERNET DOX</t>
  </si>
  <si>
    <t>BILLING STMTS/NOS/
CONTRACT</t>
  </si>
  <si>
    <t>2007-062701</t>
  </si>
  <si>
    <t>APPEAL 07-32</t>
  </si>
  <si>
    <t>SPORTS SEASON TICKETHOLDERS</t>
  </si>
  <si>
    <t>ROSTER LIST</t>
  </si>
  <si>
    <t>2007-062903</t>
  </si>
  <si>
    <t>U RFA-P 07-83</t>
  </si>
  <si>
    <t>TRAFFIC DATA COLLECTION STUDY</t>
  </si>
  <si>
    <t>2007-071001</t>
  </si>
  <si>
    <t>APPEAL 08-1</t>
  </si>
  <si>
    <t>VARIOUS POLICE RECORDS</t>
  </si>
  <si>
    <t>2007-062802</t>
  </si>
  <si>
    <t>S INVES-G 07-36</t>
  </si>
  <si>
    <t>HIRING OF LEG LIASION</t>
  </si>
  <si>
    <t>2007-071002</t>
  </si>
  <si>
    <t>APPEAL 08-2</t>
  </si>
  <si>
    <t>RECONSIDERATION OF OIP OPINION LTR</t>
  </si>
  <si>
    <t>OP LTR 07-09</t>
  </si>
  <si>
    <t>2007-071003</t>
  </si>
  <si>
    <t>APPEAL 08-3</t>
  </si>
  <si>
    <t>COMPLETE MPD REPORTS</t>
  </si>
  <si>
    <t>2007-071201</t>
  </si>
  <si>
    <t>U RFA-P O8-2</t>
  </si>
  <si>
    <t>2007-071601</t>
  </si>
  <si>
    <t>TOBACCO TRUST FUND ADV. BD.</t>
  </si>
  <si>
    <t>7/24/2007 TRAINING</t>
  </si>
  <si>
    <t>2007-072401</t>
  </si>
  <si>
    <t>PACT</t>
  </si>
  <si>
    <t>REGISTRATION RECORDS</t>
  </si>
  <si>
    <t>PACT IS NOT A GOVERNMENT AGENCY</t>
  </si>
  <si>
    <t>2007-072701</t>
  </si>
  <si>
    <t>U RFA-P 08-3</t>
  </si>
  <si>
    <t>C&amp;C-PARKS</t>
  </si>
  <si>
    <t>PERMIT APPLICATION</t>
  </si>
  <si>
    <t>2007-073102</t>
  </si>
  <si>
    <t>BOE EXEC SESSION MINUTES</t>
  </si>
  <si>
    <t>2007-080101</t>
  </si>
  <si>
    <t>DOE PERSONNEL INFO</t>
  </si>
  <si>
    <t>2007-073103</t>
  </si>
  <si>
    <t>CHARTER SCHOOL REVIEW PANEL</t>
  </si>
  <si>
    <t>8/6/2007 TRNG</t>
  </si>
  <si>
    <t>2007-073104</t>
  </si>
  <si>
    <t>U RFA-P 08-4</t>
  </si>
  <si>
    <t>CONTRACTS-ATHLETIC DEPT.</t>
  </si>
  <si>
    <t>BOB NASH</t>
  </si>
  <si>
    <t>2007-080301</t>
  </si>
  <si>
    <t>APPEAL 08-4</t>
  </si>
  <si>
    <t>C&amp;C-MAYOR</t>
  </si>
  <si>
    <t>AFFORDABLE HOUSING REPORT</t>
  </si>
  <si>
    <t>CONSULTANT'S REPORT</t>
  </si>
  <si>
    <t>2007-080602</t>
  </si>
  <si>
    <t>S RFO-P 08-1</t>
  </si>
  <si>
    <t>SECTION 92-71</t>
  </si>
  <si>
    <t>COUNTY CHARTER PROVISION</t>
  </si>
  <si>
    <t>2006-122301</t>
  </si>
  <si>
    <t>S INVES-G 07-37</t>
  </si>
  <si>
    <t>MASS TRANSIT</t>
  </si>
  <si>
    <t>SPECIAL COUNCIL MTG 12/22/06</t>
  </si>
  <si>
    <t>2007-080701</t>
  </si>
  <si>
    <t>S RFO-P 08-2</t>
  </si>
  <si>
    <t>2007-080801</t>
  </si>
  <si>
    <t>U RFO-P 08-3</t>
  </si>
  <si>
    <t>EVENT DATA SHEET INFO</t>
  </si>
  <si>
    <t>DISCLOSURE/PRIVACY</t>
  </si>
  <si>
    <t>2007-081301</t>
  </si>
  <si>
    <t>S INVES-G 08-1</t>
  </si>
  <si>
    <t>MOTION FOR RECONSIDERATION</t>
  </si>
  <si>
    <t>CONSIDERATION UNDER AGENDA ITEM</t>
  </si>
  <si>
    <t>2007-082401</t>
  </si>
  <si>
    <t>APPEAL 08-5</t>
  </si>
  <si>
    <t>PROTESTS FILED</t>
  </si>
  <si>
    <t>PEG RFP'S</t>
  </si>
  <si>
    <t>2007-082402</t>
  </si>
  <si>
    <t>S INVES-P 08-9</t>
  </si>
  <si>
    <t>INADEQUACY OF AGENDA</t>
  </si>
  <si>
    <t>2007-082901</t>
  </si>
  <si>
    <t>U RFA-P 08-5</t>
  </si>
  <si>
    <t>DHRD-WC</t>
  </si>
  <si>
    <t>WORKMAN'S COMP RECORDS</t>
  </si>
  <si>
    <t>2007-082902</t>
  </si>
  <si>
    <t>U RFA-P 08-6</t>
  </si>
  <si>
    <t>INSTITUTIONAL FILE INFORMATION</t>
  </si>
  <si>
    <t>2007-083001</t>
  </si>
  <si>
    <t>APPEAL 08-6</t>
  </si>
  <si>
    <t>DES MEMO TO MAYOR</t>
  </si>
  <si>
    <t>2007-083002</t>
  </si>
  <si>
    <t>S INVES-P 08-1</t>
  </si>
  <si>
    <t>INFORMATIONAL BRIEFING</t>
  </si>
  <si>
    <t>2007-082201</t>
  </si>
  <si>
    <t>EXECUTIVE SESSION VOTE</t>
  </si>
  <si>
    <t>2007-081501</t>
  </si>
  <si>
    <t>BUDGET CONSULTATION WITH ATTORNEY</t>
  </si>
  <si>
    <t>2007-090601</t>
  </si>
  <si>
    <t>S INVES-P 08-2</t>
  </si>
  <si>
    <t>DOE-CHARTER</t>
  </si>
  <si>
    <t>WORK GROUP</t>
  </si>
  <si>
    <t>2007-090701</t>
  </si>
  <si>
    <t>U RFO-P 08-4</t>
  </si>
  <si>
    <t>CITY CLERK-HON</t>
  </si>
  <si>
    <t>CD FORMAT</t>
  </si>
  <si>
    <t>2007-091102</t>
  </si>
  <si>
    <t>S RFO-P 08-6</t>
  </si>
  <si>
    <t>AGENDA AMENDMENT</t>
  </si>
  <si>
    <t>2007-091201</t>
  </si>
  <si>
    <t>S INVES-P 08-3</t>
  </si>
  <si>
    <t>ACT 213 WORKGROUP</t>
  </si>
  <si>
    <t>2007-091801</t>
  </si>
  <si>
    <t>U RFA-P 08-7</t>
  </si>
  <si>
    <t>STUDENT ADMISSION RECORDS</t>
  </si>
  <si>
    <t>2007-092001</t>
  </si>
  <si>
    <t>APPEAL 08-7</t>
  </si>
  <si>
    <t>CHAPTER 441</t>
  </si>
  <si>
    <t>2007-092402</t>
  </si>
  <si>
    <t>HONOLULU POLICE COMMISSION</t>
  </si>
  <si>
    <t>2007-092801</t>
  </si>
  <si>
    <t>U RFA-P 08-8</t>
  </si>
  <si>
    <t>AGENCY POLICY</t>
  </si>
  <si>
    <t>2007-100303</t>
  </si>
  <si>
    <t>MAINTAIN RECORD</t>
  </si>
  <si>
    <t>2007-100304</t>
  </si>
  <si>
    <t>S INVES-P 08-4</t>
  </si>
  <si>
    <t>DLNR-DOFAW</t>
  </si>
  <si>
    <t>FOREST STEWARDSHIP ADVISORY COMMITTEE</t>
  </si>
  <si>
    <t>2007-100401</t>
  </si>
  <si>
    <t>RECORDINGS OF EXECUTIVE SESSION MINUTES</t>
  </si>
  <si>
    <t>2007-100901</t>
  </si>
  <si>
    <t>U RFA-G 08-1</t>
  </si>
  <si>
    <t>DOE-CHARTER SCHOOLS</t>
  </si>
  <si>
    <t>CHARTER SCHOOL</t>
  </si>
  <si>
    <t>DETAILED IMPLEMENTATION PLANS</t>
  </si>
  <si>
    <t>2007-101001</t>
  </si>
  <si>
    <t>APPEAL 08-8</t>
  </si>
  <si>
    <t>DOE-CSRP</t>
  </si>
  <si>
    <t>DIPS</t>
  </si>
  <si>
    <t>2007-101502</t>
  </si>
  <si>
    <t>S INVES-P 08-5</t>
  </si>
  <si>
    <t>VOTE FOR EXECUTIVE MTG</t>
  </si>
  <si>
    <t>2007-101701</t>
  </si>
  <si>
    <t>U RFA-P 08-9</t>
  </si>
  <si>
    <t>HARBOR SQUARE</t>
  </si>
  <si>
    <t>NOISE DOCUMENTS</t>
  </si>
  <si>
    <t>2007-101801</t>
  </si>
  <si>
    <t>APPEAL 08-9</t>
  </si>
  <si>
    <t>SUPPORTING DOCUMENTATION</t>
  </si>
  <si>
    <t>WATER RATES</t>
  </si>
  <si>
    <t>S INVES-P 08-6</t>
  </si>
  <si>
    <t>2007-101802</t>
  </si>
  <si>
    <t>2007-102201</t>
  </si>
  <si>
    <t>S INVES-P 08-7</t>
  </si>
  <si>
    <t>COGC</t>
  </si>
  <si>
    <t>2007-102501</t>
  </si>
  <si>
    <t>APPEAL 08-10</t>
  </si>
  <si>
    <t>EXPERT CONSULTANT CONTRACTS</t>
  </si>
  <si>
    <t>BILLING RECORDS</t>
  </si>
  <si>
    <t>2007-102502</t>
  </si>
  <si>
    <t>S INVES-P 08-8</t>
  </si>
  <si>
    <t>2007-110501</t>
  </si>
  <si>
    <t>NC</t>
  </si>
  <si>
    <t>MAILING LIST FOR MINUTES</t>
  </si>
  <si>
    <t>2007-110801</t>
  </si>
  <si>
    <t>NO LONGER HAS PROGRAM</t>
  </si>
  <si>
    <t>LITERACY &amp; LIFELONG LEARNING PROGRAM</t>
  </si>
  <si>
    <t>2007-110901</t>
  </si>
  <si>
    <t>U RFA-P 08-10</t>
  </si>
  <si>
    <t>MEMORANDUM RE: STUDENT</t>
  </si>
  <si>
    <t>2007-110902</t>
  </si>
  <si>
    <t>APPEAL 08-11</t>
  </si>
  <si>
    <t>DHS-WC</t>
  </si>
  <si>
    <t>SUITABILITY INVESTIGATION</t>
  </si>
  <si>
    <t>CRIMINAL HSITORY</t>
  </si>
  <si>
    <t>2007-110903</t>
  </si>
  <si>
    <t>1/9/08 TRNG</t>
  </si>
  <si>
    <t>2007-111901</t>
  </si>
  <si>
    <t>APPEAL 08-12</t>
  </si>
  <si>
    <t>2007-112601</t>
  </si>
  <si>
    <t>S RFO-G 08-1</t>
  </si>
  <si>
    <t>ETHICS COMPLAINTS</t>
  </si>
  <si>
    <t>CHARTER PROVISIONS</t>
  </si>
  <si>
    <t>2007-112801</t>
  </si>
  <si>
    <t>NB-NO. 11</t>
  </si>
  <si>
    <t>SUNSHINE LAW APPLICABILITY</t>
  </si>
  <si>
    <t>2007-113001</t>
  </si>
  <si>
    <t>APPEAL 08-13</t>
  </si>
  <si>
    <t>PERSONNEL COMPLAINTS</t>
  </si>
  <si>
    <t>RESPONSE FROM ASHIDA</t>
  </si>
  <si>
    <t>2007-120301</t>
  </si>
  <si>
    <t>U RFA-P 08-11</t>
  </si>
  <si>
    <t>KAUAI VET MEMORIAL HOSPITAL</t>
  </si>
  <si>
    <t>NON-RESPONE TO REQUEST</t>
  </si>
  <si>
    <t>2007-120501</t>
  </si>
  <si>
    <t>U RFA-P 08-12</t>
  </si>
  <si>
    <t>TIM KAKALIA</t>
  </si>
  <si>
    <t>AG LTR TO DOH DTD 7/19/2006</t>
  </si>
  <si>
    <t>2007-121101</t>
  </si>
  <si>
    <t>S INVES-P 08-10</t>
  </si>
  <si>
    <t>KAPOLEI NB</t>
  </si>
  <si>
    <t>2007-121401</t>
  </si>
  <si>
    <t>U RFO-G 08-2</t>
  </si>
  <si>
    <t>MENTAL HEALTH INFORMATION</t>
  </si>
  <si>
    <t>2007-122001</t>
  </si>
  <si>
    <t>S INVES-P 08-11</t>
  </si>
  <si>
    <t>NC-EWA</t>
  </si>
  <si>
    <t>2007-122401</t>
  </si>
  <si>
    <t>APPEAL 08-14</t>
  </si>
  <si>
    <t>LG</t>
  </si>
  <si>
    <t>2007-122101</t>
  </si>
  <si>
    <t>U RFA-P 08-13</t>
  </si>
  <si>
    <t>2007-122701</t>
  </si>
  <si>
    <t>MOLOKAI IBC MEMBERS</t>
  </si>
  <si>
    <t>2007-122702</t>
  </si>
  <si>
    <t>DOH-CLEAN AIR BR</t>
  </si>
  <si>
    <t>DOCKET NO 06-CA-EO-08</t>
  </si>
  <si>
    <t>2008-010301</t>
  </si>
  <si>
    <t>APPEAL 08-15</t>
  </si>
  <si>
    <t>RECORDS RE 2/05 DECISION BY DOT</t>
  </si>
  <si>
    <t>2008-010701</t>
  </si>
  <si>
    <t>U RFO-G 08-3</t>
  </si>
  <si>
    <t>DTS-C&amp;C</t>
  </si>
  <si>
    <t>DTS PRACTICES</t>
  </si>
  <si>
    <t>PARKING STALL PETITION</t>
  </si>
  <si>
    <t>2008-010801</t>
  </si>
  <si>
    <t>APPEAL 08-16</t>
  </si>
  <si>
    <t>RANDY KRAUSE</t>
  </si>
  <si>
    <t>CONFIDENTIAL DOCS</t>
  </si>
  <si>
    <t>2008-011101</t>
  </si>
  <si>
    <t>DPS-HPA</t>
  </si>
  <si>
    <t>AUDIO TAPE HEARING OF 10/17/07 HEARING</t>
  </si>
  <si>
    <t>2008-010901</t>
  </si>
  <si>
    <t>U RFA-P 08-14</t>
  </si>
  <si>
    <t>2008-010903</t>
  </si>
  <si>
    <t>U RFA-P 08-15</t>
  </si>
  <si>
    <t>VARIOUS DOCUMENTS FROM HPA</t>
  </si>
  <si>
    <t>2008-010904</t>
  </si>
  <si>
    <t>U RFA-P 08-16</t>
  </si>
  <si>
    <t>2008-010905</t>
  </si>
  <si>
    <t>U RFA-P 08-17</t>
  </si>
  <si>
    <t>JUD-CRT</t>
  </si>
  <si>
    <t>VARIOUS DOCS</t>
  </si>
  <si>
    <t>CR. NO. 51915</t>
  </si>
  <si>
    <t>2008-012212</t>
  </si>
  <si>
    <t>U RFO-G 08-4</t>
  </si>
  <si>
    <t>ATTORNEY REQUEST</t>
  </si>
  <si>
    <t>2008-012315</t>
  </si>
  <si>
    <t>S INVES-P 08-12</t>
  </si>
  <si>
    <t>CONTENT SUFFICINECY (ES-323)</t>
  </si>
  <si>
    <t>1/17/08 NOTICE</t>
  </si>
  <si>
    <t>2008-012501</t>
  </si>
  <si>
    <t>S RFO-G 08-5</t>
  </si>
  <si>
    <t>RESO. NO. 07-376, CD1, FD1 (admin)-B</t>
  </si>
  <si>
    <t>2008-013002</t>
  </si>
  <si>
    <t>APPEAL 08-18</t>
  </si>
  <si>
    <t>2008-013124</t>
  </si>
  <si>
    <t>DOH-HSC</t>
  </si>
  <si>
    <t>KAUAI VET. MEM. HOSPITAL</t>
  </si>
  <si>
    <t>LEGAL FEES PAID</t>
  </si>
  <si>
    <t>2008-012916</t>
  </si>
  <si>
    <t>U RFA-P 08-18</t>
  </si>
  <si>
    <t>PAROLE RIGHTS</t>
  </si>
  <si>
    <t>8/8/07 ARREST WARRANT</t>
  </si>
  <si>
    <t>2008-020103</t>
  </si>
  <si>
    <t>MAILING LIST REQUIREMENTS</t>
  </si>
  <si>
    <t>2008-020801</t>
  </si>
  <si>
    <t>U RFA-P 08-19</t>
  </si>
  <si>
    <t>DOH-SOLID WASTE</t>
  </si>
  <si>
    <t>SOLID HAZARDOUS WASTE BRANCH</t>
  </si>
  <si>
    <t>2008-021102</t>
  </si>
  <si>
    <t>TIME SERVED CREDIT SHEET</t>
  </si>
  <si>
    <t>2008-021103</t>
  </si>
  <si>
    <t>U RFA-P 08-20</t>
  </si>
  <si>
    <t>KIILAE STREAM</t>
  </si>
  <si>
    <t>SURVEY REPORT</t>
  </si>
  <si>
    <t>2008-021201</t>
  </si>
  <si>
    <t>U RFA-P 08-21</t>
  </si>
  <si>
    <t>NAVY RESEARCH GRANTS</t>
  </si>
  <si>
    <t>2008-021301</t>
  </si>
  <si>
    <t>U RFA-P 08-22</t>
  </si>
  <si>
    <t>WATERS OF LIFE CHARTER SCHOOL</t>
  </si>
  <si>
    <t>SCHOOL RECORDS</t>
  </si>
  <si>
    <t>2008-021501</t>
  </si>
  <si>
    <t>APPEAL 08-20</t>
  </si>
  <si>
    <t>DENIAL-ATTORNEY CLIENT PRIVILEGE</t>
  </si>
  <si>
    <t>2008-022001</t>
  </si>
  <si>
    <t>APPEAL 08-21</t>
  </si>
  <si>
    <t>STUDENT REORDS FROM 1/1/07 TO PRESENT</t>
  </si>
  <si>
    <t>DENIED SEARCH BEING OVERBROAD</t>
  </si>
  <si>
    <t>2008-022101</t>
  </si>
  <si>
    <t>APRIL 10, 2008</t>
  </si>
  <si>
    <t>2008-022501</t>
  </si>
  <si>
    <t>APPEAL 08-22</t>
  </si>
  <si>
    <t>REDACTED FLOOD REPORT</t>
  </si>
  <si>
    <t>CITED OIP OP. NO. 04-12</t>
  </si>
  <si>
    <t>2008-022502</t>
  </si>
  <si>
    <t>S RFO-G 08-6</t>
  </si>
  <si>
    <t>DHHL-SCHHA</t>
  </si>
  <si>
    <t>ARE SCHHA MTGS SUBJECT TO SUNSHINE LAW</t>
  </si>
  <si>
    <t>PATTY TERUYA</t>
  </si>
  <si>
    <t>2008-022701</t>
  </si>
  <si>
    <t>S INVES-G 08-2</t>
  </si>
  <si>
    <t>CHIEF EXECUTIVE OFFICER'S REPORT</t>
  </si>
  <si>
    <t>COMPLIANCE WITH SUNSHINE LAW</t>
  </si>
  <si>
    <t>2008-022802</t>
  </si>
  <si>
    <t>APPEAL 08-23</t>
  </si>
  <si>
    <t>ARREST DATA</t>
  </si>
  <si>
    <t>2008-022803</t>
  </si>
  <si>
    <t>S TRNG 4/18/08</t>
  </si>
  <si>
    <t>U TRNG 4/30/08</t>
  </si>
  <si>
    <t>KANAHELE ET AL V COUNCIL MAUI</t>
  </si>
  <si>
    <t>CIVIL NO. 08-1-0115 (3)</t>
  </si>
  <si>
    <t>LHJ/JZB/CLT</t>
  </si>
  <si>
    <t>2008-031102</t>
  </si>
  <si>
    <t>S INVES-G 08-13</t>
  </si>
  <si>
    <t>2008-031103</t>
  </si>
  <si>
    <t>APPEAL 08-24</t>
  </si>
  <si>
    <t>REASON FOR DECISION OF DENIAL OF RECORDS</t>
  </si>
  <si>
    <t>2008-031104</t>
  </si>
  <si>
    <t>APPEAL 08-25</t>
  </si>
  <si>
    <t>DENIAL ATTORNEY CLIENT PRIVILEGE</t>
  </si>
  <si>
    <t>2008-031105</t>
  </si>
  <si>
    <t>APPEAL 08-26</t>
  </si>
  <si>
    <t>2008-031301</t>
  </si>
  <si>
    <t>U RFA-G 08-2</t>
  </si>
  <si>
    <t>SPONSORSHIPS FROM 2006-2007</t>
  </si>
  <si>
    <t>2008-031401</t>
  </si>
  <si>
    <t>MASS TRANSIT TECHNICAL EXPERT PANEL</t>
  </si>
  <si>
    <t>2008-031701</t>
  </si>
  <si>
    <t>U RFA-P 08-23</t>
  </si>
  <si>
    <t>PSYCHIATRIC RECORDS</t>
  </si>
  <si>
    <t>2008-031702</t>
  </si>
  <si>
    <t>U RFA-P 08-24</t>
  </si>
  <si>
    <t>CLEMENCY PROVISION 1976</t>
  </si>
  <si>
    <t>2008-032401</t>
  </si>
  <si>
    <t>U RFO-G 08-7</t>
  </si>
  <si>
    <t>DIRECTORY INFORMATION</t>
  </si>
  <si>
    <t>2008-032501</t>
  </si>
  <si>
    <t>APPEAL 08-27</t>
  </si>
  <si>
    <t>REC 2007-389</t>
  </si>
  <si>
    <t>2008-032502</t>
  </si>
  <si>
    <t>APPEAL 08-28</t>
  </si>
  <si>
    <t>NPIS PROJECT</t>
  </si>
  <si>
    <t>CONTRACT FILE</t>
  </si>
  <si>
    <t>2008-040401</t>
  </si>
  <si>
    <t>U RFA-P 08-25</t>
  </si>
  <si>
    <t>PSD-HCF</t>
  </si>
  <si>
    <t>IAD REQUEST</t>
  </si>
  <si>
    <t>2008-040702</t>
  </si>
  <si>
    <t>U RFA-P 08-26</t>
  </si>
  <si>
    <t>CREDIT CARD CONTRACT</t>
  </si>
  <si>
    <t>2008-041101</t>
  </si>
  <si>
    <t>U RFA-P 08-27</t>
  </si>
  <si>
    <t>SEAC</t>
  </si>
  <si>
    <t>IDEA</t>
  </si>
  <si>
    <t>2008-041401</t>
  </si>
  <si>
    <t>S INVES-P 08-14</t>
  </si>
  <si>
    <t>DHS-HPHA</t>
  </si>
  <si>
    <t>4/10/08 BRD MTG</t>
  </si>
  <si>
    <t>VOTING ON NON AGENDA ITEMS</t>
  </si>
  <si>
    <t>2008-041502</t>
  </si>
  <si>
    <t>U RFA-P 08-28</t>
  </si>
  <si>
    <t>ENVIRONMENTAL CRIME UNIT</t>
  </si>
  <si>
    <t>2008-041601</t>
  </si>
  <si>
    <t>U RFA-P 08-29</t>
  </si>
  <si>
    <t>DOCUMENT PERTAINING TO COLE</t>
  </si>
  <si>
    <t>2008-041602</t>
  </si>
  <si>
    <t>U RFO-G 08-8</t>
  </si>
  <si>
    <t>OPINION DISCLOSURE/PUBLICATIONS</t>
  </si>
  <si>
    <t>CLT/JZB</t>
  </si>
  <si>
    <t>2008-041603</t>
  </si>
  <si>
    <t>C&amp;CHON-COUNCIL</t>
  </si>
  <si>
    <t>TRANSIT PANEL</t>
  </si>
  <si>
    <t>2008-042101</t>
  </si>
  <si>
    <t>APPEAL 08-29</t>
  </si>
  <si>
    <t>CORP COUNSEL-H</t>
  </si>
  <si>
    <t>ASHIDA LEGAL OP. TO HCPD</t>
  </si>
  <si>
    <t>2008-042801</t>
  </si>
  <si>
    <t>MAY 28, 2008</t>
  </si>
  <si>
    <t>2008-042502</t>
  </si>
  <si>
    <t>S RFO-G 08-9</t>
  </si>
  <si>
    <t>DO RULES APPLY TO LEGISLATOR</t>
  </si>
  <si>
    <t>2008-042503</t>
  </si>
  <si>
    <t>S RFO-P 08-7</t>
  </si>
  <si>
    <t>UH-KCC</t>
  </si>
  <si>
    <t>STUDENT CONGRESS</t>
  </si>
  <si>
    <t>VIDEO/AUDIO TAPING</t>
  </si>
  <si>
    <t>2008-043001</t>
  </si>
  <si>
    <t>U RFA-P 08-30</t>
  </si>
  <si>
    <t>UH ATHLETIC DEPT.</t>
  </si>
  <si>
    <t>NCAA CERTIFICATION PROCESS</t>
  </si>
  <si>
    <t>2008-050101</t>
  </si>
  <si>
    <t>APPEAL 08-30</t>
  </si>
  <si>
    <t>ALOHA CARE'S PROTEST OF CONTRACT AWARD DOCS</t>
  </si>
  <si>
    <t>2008-050701</t>
  </si>
  <si>
    <t>12/3/08</t>
  </si>
  <si>
    <t>2008-051301</t>
  </si>
  <si>
    <t>U RFO-G 08-10</t>
  </si>
  <si>
    <t>WESTLAW CONTRACT</t>
  </si>
  <si>
    <t>2008-051601</t>
  </si>
  <si>
    <t>U RFA-P 08-31</t>
  </si>
  <si>
    <t>DISPUTE RESPONSE TO REQUEST</t>
  </si>
  <si>
    <t>2008-052101</t>
  </si>
  <si>
    <t>U RFA-P 08-32</t>
  </si>
  <si>
    <t>CERTIFICATES OF INSURANCE</t>
  </si>
  <si>
    <t>2008-052001</t>
  </si>
  <si>
    <t>6/30/2008</t>
  </si>
  <si>
    <t>2008-052301</t>
  </si>
  <si>
    <t>U RFO-P 08-8</t>
  </si>
  <si>
    <t>B &amp; F-PUC</t>
  </si>
  <si>
    <t>LIST OF NEW APPLICATIONS</t>
  </si>
  <si>
    <t>2008-052302</t>
  </si>
  <si>
    <t>7/14/2008</t>
  </si>
  <si>
    <t>2008-052701</t>
  </si>
  <si>
    <t>S MEMO 08-10             (dtd 4/9/08)</t>
  </si>
  <si>
    <t>2008-052702</t>
  </si>
  <si>
    <t>CLAEN WATER &amp; NATURAL LANDS COMMISSION</t>
  </si>
  <si>
    <t>TRAINING 7/25/08</t>
  </si>
  <si>
    <t>2008-052703</t>
  </si>
  <si>
    <t>U RFA-P 08-33</t>
  </si>
  <si>
    <t>HOUSE AND SENATE JOURNALS</t>
  </si>
  <si>
    <t>2008-052704</t>
  </si>
  <si>
    <t>JUNE 18, 2008</t>
  </si>
  <si>
    <t>2008-060401</t>
  </si>
  <si>
    <t>S RFO-G 08-3</t>
  </si>
  <si>
    <t>BOARD MEMBER REQUESTED ATTACHMENT TO MIN.</t>
  </si>
  <si>
    <t>2008-060601</t>
  </si>
  <si>
    <t>APPEAL 08-31</t>
  </si>
  <si>
    <t>SUPERFERRY</t>
  </si>
  <si>
    <t>PRIVILEGE LOG DOC WITHHOLDING</t>
  </si>
  <si>
    <t>2008-060501</t>
  </si>
  <si>
    <t>QUESTIONS</t>
  </si>
  <si>
    <t>PTT</t>
  </si>
  <si>
    <t>2008-060901</t>
  </si>
  <si>
    <t>U RFA-P 08-34</t>
  </si>
  <si>
    <t>FULLY EXECUTED AGREEMENT</t>
  </si>
  <si>
    <t>MARRIOTT</t>
  </si>
  <si>
    <t>2008-060902</t>
  </si>
  <si>
    <t>U RFA-P 08-35</t>
  </si>
  <si>
    <t>HAWAII ADMIN RULES</t>
  </si>
  <si>
    <t>2008-061001</t>
  </si>
  <si>
    <t>U RFA-P 08-36</t>
  </si>
  <si>
    <t>HCF LAW LIBRARY DOCS</t>
  </si>
  <si>
    <t>2008-061301</t>
  </si>
  <si>
    <t>APPEAL 08-32</t>
  </si>
  <si>
    <t>DENIAL FROM AGENCY DOES NOT MAINTAIN</t>
  </si>
  <si>
    <t>2008-061302</t>
  </si>
  <si>
    <t>U RFA-P 08-37</t>
  </si>
  <si>
    <t>AG RULING</t>
  </si>
  <si>
    <t>2008-061601</t>
  </si>
  <si>
    <t>U RFA-P 08-38</t>
  </si>
  <si>
    <t>UH-HILO</t>
  </si>
  <si>
    <t>PLAGIARISM COMPLAINT RPT</t>
  </si>
  <si>
    <t>MISAPPRO. OF GRANT FUNDS INVESTIGATION</t>
  </si>
  <si>
    <t>2008-061603</t>
  </si>
  <si>
    <t>8/22/08</t>
  </si>
  <si>
    <t>2008-061701</t>
  </si>
  <si>
    <t>U RFA-P 08-39</t>
  </si>
  <si>
    <t>DUTY OF PROS. OFFICE</t>
  </si>
  <si>
    <t>RULES, POLICIES</t>
  </si>
  <si>
    <t>2008-061702</t>
  </si>
  <si>
    <t>U RFA-G 08-4</t>
  </si>
  <si>
    <t>WORKSHOP CONTRACTS</t>
  </si>
  <si>
    <t>2008-061901</t>
  </si>
  <si>
    <t>S RFO-G 08-11</t>
  </si>
  <si>
    <t>APPLICATION OF SL</t>
  </si>
  <si>
    <t>TASKFORCE MTGS HCR 358</t>
  </si>
  <si>
    <t>2008-061902</t>
  </si>
  <si>
    <t>S RFO-G 08-12</t>
  </si>
  <si>
    <t>GOV-SILC</t>
  </si>
  <si>
    <t>STATEWIDE INDEPENDENT LIVING COUNCIL SUBJECT TO SL</t>
  </si>
  <si>
    <t>AG CONFLICTS WITH OIP</t>
  </si>
  <si>
    <t>2008-062001</t>
  </si>
  <si>
    <t>S INVES-G 08-4</t>
  </si>
  <si>
    <t>KAHALUU NB</t>
  </si>
  <si>
    <t>KEY PROJECT BOARD</t>
  </si>
  <si>
    <t>2008-062401</t>
  </si>
  <si>
    <t>APPEAL 08-33</t>
  </si>
  <si>
    <t>DENIAL OF AG RULING</t>
  </si>
  <si>
    <t>2008-062402</t>
  </si>
  <si>
    <t>U RFA-P 08-40</t>
  </si>
  <si>
    <t>PRE SENTENCE CREDITS</t>
  </si>
  <si>
    <t>POLICIES &amp; RULES</t>
  </si>
  <si>
    <t>2008-062403</t>
  </si>
  <si>
    <t>FAMILY CELEBRATION COMMITTEE</t>
  </si>
  <si>
    <t>7/8/08</t>
  </si>
  <si>
    <t>2008-062404</t>
  </si>
  <si>
    <t>U RFO-G 08-13</t>
  </si>
  <si>
    <t>LIQC-H</t>
  </si>
  <si>
    <t>GROSS SALES INFORMATION REPORTS</t>
  </si>
  <si>
    <t>2008-062405</t>
  </si>
  <si>
    <t>U RFO-G 08-14</t>
  </si>
  <si>
    <t>SCIENTIFIC MISCONDUCT INVESTIGATION</t>
  </si>
  <si>
    <t>2008-062501</t>
  </si>
  <si>
    <t>U RFA-P 08-41</t>
  </si>
  <si>
    <t>W2'S FOR COUNTY EMPLOYEE PERSONAL USE OF VEHICLES</t>
  </si>
  <si>
    <t>2008-062502</t>
  </si>
  <si>
    <t>LIQC-M</t>
  </si>
  <si>
    <t>LIQUOR CONTROL DEPT.</t>
  </si>
  <si>
    <t>9/15/2008</t>
  </si>
  <si>
    <t>2008-070101</t>
  </si>
  <si>
    <t>S RFO-G 09-1</t>
  </si>
  <si>
    <t>COUCIL-TASK PNLS</t>
  </si>
  <si>
    <t>BOARDS DEFINED</t>
  </si>
  <si>
    <t>2008-070102</t>
  </si>
  <si>
    <t>U RFA-P 09-1</t>
  </si>
  <si>
    <t>COPIES OF MEMOS</t>
  </si>
  <si>
    <t>2008-070701</t>
  </si>
  <si>
    <t>U RFA-P 09-2</t>
  </si>
  <si>
    <t>DLNR-DBOR</t>
  </si>
  <si>
    <t>DBOR &amp; SLNR COMMUNICATIONS</t>
  </si>
  <si>
    <t>2008-070901</t>
  </si>
  <si>
    <t>APPEAL 09-2</t>
  </si>
  <si>
    <t>DELBERT WAKINEKONA</t>
  </si>
  <si>
    <t>PARTIAL DENIAL OF RECORDS</t>
  </si>
  <si>
    <t>2008-071401</t>
  </si>
  <si>
    <t>APPEAL 09-1</t>
  </si>
  <si>
    <t>2008-071402</t>
  </si>
  <si>
    <t>U INVES-P 09-1</t>
  </si>
  <si>
    <t>REGISTRY LIST</t>
  </si>
  <si>
    <t>2008-071601</t>
  </si>
  <si>
    <t>RELEASE OF PERSONAL INFO</t>
  </si>
  <si>
    <t>RIGHTS VIOLATION</t>
  </si>
  <si>
    <t>2008-071602</t>
  </si>
  <si>
    <t>U RFA-P 09-3</t>
  </si>
  <si>
    <t>KALOKO DAM</t>
  </si>
  <si>
    <t>CONTRACTS &amp; CORRESPONDENCE</t>
  </si>
  <si>
    <t>2008-071701</t>
  </si>
  <si>
    <t>REQUIRE RICO TO PUT OIP ON FORM</t>
  </si>
  <si>
    <t>2008-071702</t>
  </si>
  <si>
    <t>REQUEST RECORDS FROM AGENCY</t>
  </si>
  <si>
    <t>2008-072801</t>
  </si>
  <si>
    <t>LEG CHANGES</t>
  </si>
  <si>
    <t>2008-072802</t>
  </si>
  <si>
    <t>U RFA-P 09-4</t>
  </si>
  <si>
    <t>WAIANAE HIGH SCHOOL</t>
  </si>
  <si>
    <t>POLICIES AND GUIDELINES</t>
  </si>
  <si>
    <t>2008-072803</t>
  </si>
  <si>
    <t>S RFO-G 09-2</t>
  </si>
  <si>
    <t>HI ACCESS TO JUSTICE COMMISSION</t>
  </si>
  <si>
    <t>SUBJECT TO SL &amp; UIPA</t>
  </si>
  <si>
    <t>2008-073001</t>
  </si>
  <si>
    <t>U RFA-P 09-5</t>
  </si>
  <si>
    <t>DPP-C&amp;C</t>
  </si>
  <si>
    <t>PARCEL TMK 2-2-23:93</t>
  </si>
  <si>
    <t>2008-073002</t>
  </si>
  <si>
    <t>U RFO-G 09-3</t>
  </si>
  <si>
    <t>CONFIDENTIAL</t>
  </si>
  <si>
    <t>OCEANIC TIME WARNER CABLE</t>
  </si>
  <si>
    <t>2008-073101</t>
  </si>
  <si>
    <t>S RFO-P 09-1</t>
  </si>
  <si>
    <t>DHS-SILC</t>
  </si>
  <si>
    <t>SL COMPLIANCE</t>
  </si>
  <si>
    <t>2008-080501</t>
  </si>
  <si>
    <t>S INVES-P 09-2</t>
  </si>
  <si>
    <t>EXEC. SESSION ON 7/30/08</t>
  </si>
  <si>
    <t>2008-080502</t>
  </si>
  <si>
    <t>U RFA-P 09-6</t>
  </si>
  <si>
    <t>PROPOSAL GEO LAB, INC</t>
  </si>
  <si>
    <t>LOCATION ALA WAI GOLF COURSE AND KAPAHULU AVE.</t>
  </si>
  <si>
    <t>2008-080801</t>
  </si>
  <si>
    <t>STATE ADVISORY COUNCIL ON REHAB</t>
  </si>
  <si>
    <t>10/3/2008</t>
  </si>
  <si>
    <t>2008-081101</t>
  </si>
  <si>
    <t>WHY BOILER WAS NOT WORKING</t>
  </si>
  <si>
    <t>AGENCY RESPONDED PROPERLY</t>
  </si>
  <si>
    <t>2008-081102</t>
  </si>
  <si>
    <t>S INVES-P 09-3</t>
  </si>
  <si>
    <t>FORMATION OF PI-GROUP</t>
  </si>
  <si>
    <t>2008-081301</t>
  </si>
  <si>
    <t>MAKE REQUEST VIA U.S. MAIL</t>
  </si>
  <si>
    <t>2008-081801</t>
  </si>
  <si>
    <t>"PUBLIC" DEFINITION</t>
  </si>
  <si>
    <t>CHAPTER 92F</t>
  </si>
  <si>
    <t>2008-081802</t>
  </si>
  <si>
    <t>2008-081901</t>
  </si>
  <si>
    <t>NON-PUBLIC INFO SHARING</t>
  </si>
  <si>
    <t>HCRC AND EEOC</t>
  </si>
  <si>
    <t>2008-081902</t>
  </si>
  <si>
    <t>REQUEST VIA U.S. MAIL</t>
  </si>
  <si>
    <t>2008-082101</t>
  </si>
  <si>
    <t>UIPA TRNG</t>
  </si>
  <si>
    <t>9/17/08</t>
  </si>
  <si>
    <t>2008-082102</t>
  </si>
  <si>
    <t>U RFA-P 09-7</t>
  </si>
  <si>
    <t>PATRICIA TRAVIS</t>
  </si>
  <si>
    <t>2008-082501</t>
  </si>
  <si>
    <t>C&amp;C</t>
  </si>
  <si>
    <t>9/25/2008</t>
  </si>
  <si>
    <t>2008-081903</t>
  </si>
  <si>
    <t>DISPUTES NO OTHER RECORDS</t>
  </si>
  <si>
    <t>DECLINE TO REOPEN</t>
  </si>
  <si>
    <t>2008-082502</t>
  </si>
  <si>
    <t>U RFA-P 09-8</t>
  </si>
  <si>
    <t>ITEMIZED BUDGETOF PROGRAMS</t>
  </si>
  <si>
    <t>TRAVEL EXPENSES</t>
  </si>
  <si>
    <t>2008-082503</t>
  </si>
  <si>
    <t>U RFA-P 09-9</t>
  </si>
  <si>
    <t>DAGS-KKCC</t>
  </si>
  <si>
    <t>ITEMIZED BUDGET 2007-2008</t>
  </si>
  <si>
    <t>2008-081401</t>
  </si>
  <si>
    <t>2008-082601</t>
  </si>
  <si>
    <t>U RFA-P 09-10</t>
  </si>
  <si>
    <t>PRINTOUT</t>
  </si>
  <si>
    <t>OUTSIDE RECREATION SCHEDULE</t>
  </si>
  <si>
    <t>2008-082701</t>
  </si>
  <si>
    <t>U RFA-P 09-12</t>
  </si>
  <si>
    <t>UNOCCUPIED AND OCCUPIED RENTALS</t>
  </si>
  <si>
    <t>2008-082801</t>
  </si>
  <si>
    <t>DOCUMENTS OF DAM REMOVAL</t>
  </si>
  <si>
    <t>2008-082802</t>
  </si>
  <si>
    <t>PROVIDE INFO TO OPEN FILE</t>
  </si>
  <si>
    <t>2008-082803</t>
  </si>
  <si>
    <t>STATE COUNCIL ON MENTAL HEALTH</t>
  </si>
  <si>
    <t>9/9/08</t>
  </si>
  <si>
    <t>2008-090201</t>
  </si>
  <si>
    <t>APPEAL 09-3</t>
  </si>
  <si>
    <t>DENIAL DUE TO LITIGATION</t>
  </si>
  <si>
    <t>2008-082702</t>
  </si>
  <si>
    <t>UIPA TRNG 10/24/08</t>
  </si>
  <si>
    <t>CONTRACTS AND RELEASE PROCESS</t>
  </si>
  <si>
    <t>2008-090401</t>
  </si>
  <si>
    <t>APPEAL 09-4</t>
  </si>
  <si>
    <t>EXECUTIVE SESSION MINUTES 2/24/05, DENIED</t>
  </si>
  <si>
    <t>WAS S RFO-G 05-037</t>
  </si>
  <si>
    <t>2008-090301</t>
  </si>
  <si>
    <t>REQUEST VIA U.S. MAIL TO PSD</t>
  </si>
  <si>
    <t>2008-090501</t>
  </si>
  <si>
    <t>APPEAL 09-5</t>
  </si>
  <si>
    <t>C&amp;C FIN-HHS</t>
  </si>
  <si>
    <t>DENIAL DUE TO ONGOING INVESTIGATION</t>
  </si>
  <si>
    <t>"CATLADY'</t>
  </si>
  <si>
    <t>2008-090801</t>
  </si>
  <si>
    <t>U RFA-P 09-13</t>
  </si>
  <si>
    <t>PERMIT APPLICANTS</t>
  </si>
  <si>
    <t>SURFING EVENTS</t>
  </si>
  <si>
    <t>2008-091001</t>
  </si>
  <si>
    <t>APPEAL 09-6</t>
  </si>
  <si>
    <t>DENIAL DUE TO DOT ADVICE</t>
  </si>
  <si>
    <t>2008-091101</t>
  </si>
  <si>
    <t>LEG-SENATE</t>
  </si>
  <si>
    <t>9/17/2008</t>
  </si>
  <si>
    <t>UIPA Q&amp;A</t>
  </si>
  <si>
    <t>2008-091102</t>
  </si>
  <si>
    <t>DOL</t>
  </si>
  <si>
    <t>SUNSHINE Q&amp;A</t>
  </si>
  <si>
    <t>9/24/2008</t>
  </si>
  <si>
    <t>2008-091103</t>
  </si>
  <si>
    <t>U RFA-P 09-14</t>
  </si>
  <si>
    <t>ACCIDENT REPORT ON 5/30/08</t>
  </si>
  <si>
    <t>2008-091502</t>
  </si>
  <si>
    <t>OIP TO IMPOSE SANCTIONS ON OHA</t>
  </si>
  <si>
    <t>2008-092201</t>
  </si>
  <si>
    <t>REQUEST FOR ENVELOPES SENT TO PSD BY TETU</t>
  </si>
  <si>
    <t>2008-092202</t>
  </si>
  <si>
    <t>MEMOS ABOUT AIR CONDITIONER NOT WORKING IN MOD 4</t>
  </si>
  <si>
    <t>2008-092203</t>
  </si>
  <si>
    <t>U RFA-P 09-15</t>
  </si>
  <si>
    <t>2008-092204</t>
  </si>
  <si>
    <t>U RFA-P 09-16</t>
  </si>
  <si>
    <t>LTR ABOUT REX JOHNSON'S EMAILS</t>
  </si>
  <si>
    <t>2008-092205</t>
  </si>
  <si>
    <t>APPEAL 09-7</t>
  </si>
  <si>
    <t>C&amp;C ETHICS</t>
  </si>
  <si>
    <t>ETHICS INVES FILES</t>
  </si>
  <si>
    <t>2008-092206</t>
  </si>
  <si>
    <t>U RFA-P 09-17</t>
  </si>
  <si>
    <t>REVIEW DOCS BEFORE PMT OF FEES</t>
  </si>
  <si>
    <t>2008-092301</t>
  </si>
  <si>
    <t>APPEAL 09-8</t>
  </si>
  <si>
    <t>INVESTIGATIVE REPORTS AND DNA RESULTS</t>
  </si>
  <si>
    <t>2008-092302</t>
  </si>
  <si>
    <t>U RFO-G 09-4</t>
  </si>
  <si>
    <t>DISCLOSURE OF CANCELLED CONTRACT</t>
  </si>
  <si>
    <t>2008-092401</t>
  </si>
  <si>
    <t>U RFA-P 09-18</t>
  </si>
  <si>
    <t>C&amp;C-DTS</t>
  </si>
  <si>
    <t>TAXPAYER'S MONEY SPENT ON RAIL TRANSIT CAMPAIGN</t>
  </si>
  <si>
    <t>2008-092902</t>
  </si>
  <si>
    <t>S RFO-G 09-6</t>
  </si>
  <si>
    <t>CIRCULATION/DISCUSSION OF PROPOSED AMENDMENTS</t>
  </si>
  <si>
    <t>2008-092903</t>
  </si>
  <si>
    <t>PUT REQUEST IN WRITING</t>
  </si>
  <si>
    <t>REQ INSTRUCTIONS ENCLOSED</t>
  </si>
  <si>
    <t>2008-100201</t>
  </si>
  <si>
    <t>APPEAL 09-9</t>
  </si>
  <si>
    <t>REX JOHNSON EMAILS</t>
  </si>
  <si>
    <t>2008-100202</t>
  </si>
  <si>
    <t>HPD RESPONDED</t>
  </si>
  <si>
    <t>MAKE NEW REQUEST FOR OTHER RECORDS</t>
  </si>
  <si>
    <t>2008-100701</t>
  </si>
  <si>
    <t>BOARD RESPONSIBILITIES</t>
  </si>
  <si>
    <t>2008-100301</t>
  </si>
  <si>
    <t>S INVES-P 09-4</t>
  </si>
  <si>
    <t>NCO-NB#29</t>
  </si>
  <si>
    <t>RECONSIDER S MEMO 09-2</t>
  </si>
  <si>
    <t>2008-100801</t>
  </si>
  <si>
    <t>APPEAL 09-10</t>
  </si>
  <si>
    <t>EXEC. SESSION MINUTES FOR 8/27/08</t>
  </si>
  <si>
    <t>2008-100802</t>
  </si>
  <si>
    <t>U RFA-P 09-20</t>
  </si>
  <si>
    <t>WILDLIFE PERMITTEES</t>
  </si>
  <si>
    <t>OAHU AS OF 6/30/2008</t>
  </si>
  <si>
    <t>2008-101001</t>
  </si>
  <si>
    <t>S RFO-P 09-2</t>
  </si>
  <si>
    <t>9/30/2008 COMMUNITY MTG</t>
  </si>
  <si>
    <t>2008-102002</t>
  </si>
  <si>
    <t>U RFA-P 09-21</t>
  </si>
  <si>
    <t>PSD-OCCC</t>
  </si>
  <si>
    <t>VISITOR LOGS 99-00</t>
  </si>
  <si>
    <t>2008-102101</t>
  </si>
  <si>
    <t>APPEAL 09-11</t>
  </si>
  <si>
    <t>DCCA BUDGET</t>
  </si>
  <si>
    <t>SCENARIOS FOR 09-11 BUDGET</t>
  </si>
  <si>
    <t>2008-102701</t>
  </si>
  <si>
    <t>RETRIEVE DATA</t>
  </si>
  <si>
    <t>ESTIMATED COSTS</t>
  </si>
  <si>
    <t>2008-102801</t>
  </si>
  <si>
    <t>U RFA-P 09-22</t>
  </si>
  <si>
    <t>GRIEVANCE LOG</t>
  </si>
  <si>
    <t>1997-PRESENT</t>
  </si>
  <si>
    <t>2008-102802</t>
  </si>
  <si>
    <t>U RFA-P 09-23</t>
  </si>
  <si>
    <t>DISPUTE FEES</t>
  </si>
  <si>
    <t>2008-102803</t>
  </si>
  <si>
    <t>PEDESTRIAN ACCIDENT REPORTS</t>
  </si>
  <si>
    <t>2008-103101</t>
  </si>
  <si>
    <t>U RFO-G 09-7</t>
  </si>
  <si>
    <t>ATTORNEY CLIENT COMMUNICATION</t>
  </si>
  <si>
    <t>STATE ACT 204</t>
  </si>
  <si>
    <t>2008-110501</t>
  </si>
  <si>
    <t>MAKE REQUEST TO AGENCY</t>
  </si>
  <si>
    <t>\</t>
  </si>
  <si>
    <t>2008-111001</t>
  </si>
  <si>
    <t>U RFA-P 09-24</t>
  </si>
  <si>
    <t>2008-111201</t>
  </si>
  <si>
    <t>REQUEST VIA U.S.MAIL</t>
  </si>
  <si>
    <t>2008-111301</t>
  </si>
  <si>
    <t>U RFO-G 09-8</t>
  </si>
  <si>
    <t>2008-111302</t>
  </si>
  <si>
    <t>AUDITORY PERSONAL RECORDS</t>
  </si>
  <si>
    <t>2008-111801</t>
  </si>
  <si>
    <t>2009 NB ELECTIONS</t>
  </si>
  <si>
    <t>2008-111901</t>
  </si>
  <si>
    <t>U RFA-P 09-25</t>
  </si>
  <si>
    <t>PAYROLL RECORDS 2003-PRESENT</t>
  </si>
  <si>
    <t>WATERS OF LIFE PUBLIC CHARTER SCHOOL</t>
  </si>
  <si>
    <t>2008-111902</t>
  </si>
  <si>
    <t>FLOWERS VS RICO-DCCA</t>
  </si>
  <si>
    <t>2008-112001</t>
  </si>
  <si>
    <t>U RFO-G 09-9</t>
  </si>
  <si>
    <t>DOD REQ ON FORMER EMPLOYEE</t>
  </si>
  <si>
    <t>INCOMPLETE INVESTIGATION FILE</t>
  </si>
  <si>
    <t>2008-120301</t>
  </si>
  <si>
    <t>U RFO-G 09-10</t>
  </si>
  <si>
    <t>ATTY WRITTEN COMMUNICATION</t>
  </si>
  <si>
    <t>FUTURE LITIGATION</t>
  </si>
  <si>
    <t>2008-120401</t>
  </si>
  <si>
    <t>TARO SECURITY &amp; PURITY TASK FORCE</t>
  </si>
  <si>
    <t>12/10/2008</t>
  </si>
  <si>
    <t>2008-121001</t>
  </si>
  <si>
    <t>U RFA-G 09-1</t>
  </si>
  <si>
    <t>PRINTABLE EMAIL</t>
  </si>
  <si>
    <t>J. HOLLY LEONG</t>
  </si>
  <si>
    <t>2008-121501</t>
  </si>
  <si>
    <t>APPEAL 09-12</t>
  </si>
  <si>
    <t>DENIAL OF INVESTIGATIVE REPORT</t>
  </si>
  <si>
    <t>WORKPLACE VIOLENCE</t>
  </si>
  <si>
    <t>2008-122601</t>
  </si>
  <si>
    <t>U RFA-P 09-26</t>
  </si>
  <si>
    <t>INTERNAL DOCUMENTS, EMAILS, FAXES, PHONE LOG</t>
  </si>
  <si>
    <t>DOE JOB NO. 57-16-6144</t>
  </si>
  <si>
    <t>2008-122201</t>
  </si>
  <si>
    <t>S INVES-P 09-5</t>
  </si>
  <si>
    <t>DISCUSSION OF NON-AGENDAED ITEMS</t>
  </si>
  <si>
    <t>2008-121801</t>
  </si>
  <si>
    <t>U RFA-P 09-27</t>
  </si>
  <si>
    <t>REDUCTION OF MINIMUM TERM</t>
  </si>
  <si>
    <t>RECORDS PERTAINING TO DENIAL</t>
  </si>
  <si>
    <t>2009-010501</t>
  </si>
  <si>
    <t>U RFA-P 09-28</t>
  </si>
  <si>
    <t>LASER SPEED DETECTION</t>
  </si>
  <si>
    <t>2009-010601</t>
  </si>
  <si>
    <t>U RFA-P 09-29</t>
  </si>
  <si>
    <t>DOA-H</t>
  </si>
  <si>
    <t>COPY OF PERSONNEL FILE</t>
  </si>
  <si>
    <t>2008-111903</t>
  </si>
  <si>
    <t>ACT 187 (2008)</t>
  </si>
  <si>
    <t>DOE WEBSITE NOTICES AND INFO</t>
  </si>
  <si>
    <t>2009-010201</t>
  </si>
  <si>
    <t>HPD RECORDS</t>
  </si>
  <si>
    <t>2008-123001</t>
  </si>
  <si>
    <t>1/20/09 TRAINING</t>
  </si>
  <si>
    <t>2009-010602</t>
  </si>
  <si>
    <t>U RFO-G 09-11</t>
  </si>
  <si>
    <t>PHYSICIANS CONTRACTS</t>
  </si>
  <si>
    <t>2009-010202</t>
  </si>
  <si>
    <t>APPEAL 09-13</t>
  </si>
  <si>
    <t>WAIANAE H.S.</t>
  </si>
  <si>
    <t>2009-010901</t>
  </si>
  <si>
    <t>U RFA-P 09-30</t>
  </si>
  <si>
    <t>NO RESPONSE AFTER PARTIAL PMT</t>
  </si>
  <si>
    <t>COPIES OF VARIOUS DOCUMENTS</t>
  </si>
  <si>
    <t>2009-011201</t>
  </si>
  <si>
    <t>APPEAL 09-14</t>
  </si>
  <si>
    <t>APS PHONE NUMBER</t>
  </si>
  <si>
    <t>2009-012001</t>
  </si>
  <si>
    <t>APPEAL 09-15</t>
  </si>
  <si>
    <t>COH-MAYOR</t>
  </si>
  <si>
    <t>HAWAII COUNTY EXECUTIVES</t>
  </si>
  <si>
    <t>2009-012002</t>
  </si>
  <si>
    <t>APPEAL 09-16</t>
  </si>
  <si>
    <t>INVESTIGATION OF KAMAI-EQUIRES</t>
  </si>
  <si>
    <t>CONFIDENTIAL PERSONNEL INFO</t>
  </si>
  <si>
    <t>2009-011401</t>
  </si>
  <si>
    <t>DHS-MEDQUEST</t>
  </si>
  <si>
    <t>OUTSIDE JURISDICTION</t>
  </si>
  <si>
    <t>2009-011402</t>
  </si>
  <si>
    <t>U RFA-P 09-31</t>
  </si>
  <si>
    <t>GABRIELLA GENTRY'S RECORDS</t>
  </si>
  <si>
    <t>2009-012201</t>
  </si>
  <si>
    <t>U RFA-P 09-32</t>
  </si>
  <si>
    <t>SURVEILLANCE RECORDS</t>
  </si>
  <si>
    <t>UNRESPONSIVE</t>
  </si>
  <si>
    <t>2009-012701</t>
  </si>
  <si>
    <t>APPEAL 09-17</t>
  </si>
  <si>
    <t>BOE OMBUDSMAN'S REPORT</t>
  </si>
  <si>
    <t>JUNE 7, 2007 MTG</t>
  </si>
  <si>
    <t>2009-012801</t>
  </si>
  <si>
    <t>U RFA-P 09-33</t>
  </si>
  <si>
    <t>WORKER'S COMP CLAIMS FILE</t>
  </si>
  <si>
    <t>NICHOLAS THOMPSON</t>
  </si>
  <si>
    <t>2009-020401</t>
  </si>
  <si>
    <t>U RFA-P 09-34</t>
  </si>
  <si>
    <t>DOE POLICY ON TAX OF MATERIALS</t>
  </si>
  <si>
    <t>2009-020501</t>
  </si>
  <si>
    <t>SUNSHINE TRAINING 3/3/09</t>
  </si>
  <si>
    <t>2009-020601</t>
  </si>
  <si>
    <t>U RFA-P 09-35</t>
  </si>
  <si>
    <t>DHS TESTIMONY</t>
  </si>
  <si>
    <t>INCOMPLETE DISCLOSURE</t>
  </si>
  <si>
    <t>2009-020901</t>
  </si>
  <si>
    <t>S INVES-P 09-6</t>
  </si>
  <si>
    <t>NO NOTICE ON AGENDA</t>
  </si>
  <si>
    <t>2009-021701</t>
  </si>
  <si>
    <t>APPEAL 09-18</t>
  </si>
  <si>
    <t>NICHOLAS THOMPSON WORKER'S COMP FILE</t>
  </si>
  <si>
    <t>TRACE AMERICA LLC</t>
  </si>
  <si>
    <t>2009-021901</t>
  </si>
  <si>
    <t>APPEAL 09-19</t>
  </si>
  <si>
    <t>2009-022001</t>
  </si>
  <si>
    <t>APPEAL 09-20</t>
  </si>
  <si>
    <t>GOV &amp; LTG</t>
  </si>
  <si>
    <t>VACATION CREDIT LIABILITIES</t>
  </si>
  <si>
    <t>PARTIAL DENIAL</t>
  </si>
  <si>
    <t>2009-022002</t>
  </si>
  <si>
    <t>U RFA-P 09-36</t>
  </si>
  <si>
    <t>DILLINGHAM AIRFIELD PROPOSED LEASE</t>
  </si>
  <si>
    <t>2009-030301</t>
  </si>
  <si>
    <t>U RFA-P 09-37</t>
  </si>
  <si>
    <t>911 CALL 8/17/1999</t>
  </si>
  <si>
    <t>2009-030501</t>
  </si>
  <si>
    <t>U RFA-P 09-38</t>
  </si>
  <si>
    <t>ALF SURVEY</t>
  </si>
  <si>
    <t>ONE KALAKAUA SENIOR LIVING CONDO</t>
  </si>
  <si>
    <t>2009-030901</t>
  </si>
  <si>
    <t>MST V SWINERTON BUILDERS NW, INC</t>
  </si>
  <si>
    <t>ALOHA/KING LLC</t>
  </si>
  <si>
    <t>2009-031001</t>
  </si>
  <si>
    <t>APPEAL 09-21</t>
  </si>
  <si>
    <t>2009-031002</t>
  </si>
  <si>
    <t>U RFA-P 09-39</t>
  </si>
  <si>
    <t>BOARDERS ANNUAL BUDGET PLAN 2007-09</t>
  </si>
  <si>
    <t>LAHAINALUNA SCHOOL</t>
  </si>
  <si>
    <t>2009-031701</t>
  </si>
  <si>
    <t>U RFO-P 09-3</t>
  </si>
  <si>
    <t>DISCLOSURE CONFLICT</t>
  </si>
  <si>
    <t>FINANCIAL DISCLOSURE STMTS</t>
  </si>
  <si>
    <t>2009-032301</t>
  </si>
  <si>
    <t>KAUAI BRDS &amp; COMMS</t>
  </si>
  <si>
    <t>4/15/09</t>
  </si>
  <si>
    <t>2009-032302</t>
  </si>
  <si>
    <t>U RFA-P 09-40</t>
  </si>
  <si>
    <t>CONTRACT MODIFICATION AND PMTS</t>
  </si>
  <si>
    <t>ALIAMANU SCHOOL</t>
  </si>
  <si>
    <t>2009-032501</t>
  </si>
  <si>
    <t>APPEAL 09-22</t>
  </si>
  <si>
    <t>DOTAX</t>
  </si>
  <si>
    <t>DOCS TO THE LEG</t>
  </si>
  <si>
    <t>ACTIVE RULES PROJECT</t>
  </si>
  <si>
    <t>CLT/LHJ</t>
  </si>
  <si>
    <t>2009-033101</t>
  </si>
  <si>
    <t>U RFA-P 09-41</t>
  </si>
  <si>
    <t>PROJECT NO. HWY-C-32-09 BIDS</t>
  </si>
  <si>
    <t>NOT ANSWERED</t>
  </si>
  <si>
    <t>2009-040601</t>
  </si>
  <si>
    <t>INSPECTION OF HOUSING BY-LAWS</t>
  </si>
  <si>
    <t>17 ASSOCIATIONS STATEWIDE</t>
  </si>
  <si>
    <t>2009-040602</t>
  </si>
  <si>
    <t>DLNR-HACD</t>
  </si>
  <si>
    <t>HI ASSN OF CONSERVATION DISTS.</t>
  </si>
  <si>
    <t>6/17/09-HILO</t>
  </si>
  <si>
    <t>2009-040701</t>
  </si>
  <si>
    <t>4/29/09</t>
  </si>
  <si>
    <t>2009-041301</t>
  </si>
  <si>
    <t>APPEAL 09-23</t>
  </si>
  <si>
    <t>U. S. PORT ROYAL</t>
  </si>
  <si>
    <t>DLNR 3/12 DENIAL</t>
  </si>
  <si>
    <t>2009-042001</t>
  </si>
  <si>
    <t>U RFO-G 09-12</t>
  </si>
  <si>
    <t>CORP CNSL-C&amp;C</t>
  </si>
  <si>
    <t>CHIEF OF POLICE EVALUATION</t>
  </si>
  <si>
    <t>REQUEST FROM STATR BULLETIN</t>
  </si>
  <si>
    <t>2009-041701</t>
  </si>
  <si>
    <t>PROPER RESPONSE</t>
  </si>
  <si>
    <t>2009-042002</t>
  </si>
  <si>
    <t>U RFA-P 09-42</t>
  </si>
  <si>
    <t>DHS UIPA GUIDELINES</t>
  </si>
  <si>
    <t>2009-042901</t>
  </si>
  <si>
    <t>APPEAL 09-24</t>
  </si>
  <si>
    <t>APPEALING DENIAL</t>
  </si>
  <si>
    <t>2009-043001</t>
  </si>
  <si>
    <t>U RFA-G 09-2</t>
  </si>
  <si>
    <t>DOCS FROM GOV'S OFFICE TO HI REPORTER</t>
  </si>
  <si>
    <t>NON RESPONSIVE</t>
  </si>
  <si>
    <t>2009-050601</t>
  </si>
  <si>
    <t>S INVES-P 09-7</t>
  </si>
  <si>
    <t>MINUTE TAKING</t>
  </si>
  <si>
    <t>PIGS</t>
  </si>
  <si>
    <t>2009-051801</t>
  </si>
  <si>
    <t>U RFO-G 09-13</t>
  </si>
  <si>
    <t>REVIEW OF RECORDS</t>
  </si>
  <si>
    <t>INMATE OR PAROLEE</t>
  </si>
  <si>
    <t>2009-052001</t>
  </si>
  <si>
    <t>U RFO-G 09-14</t>
  </si>
  <si>
    <t>CORP CNSL-HON REQUEST</t>
  </si>
  <si>
    <t>RECONSIDER DECISION 09-15</t>
  </si>
  <si>
    <t>2009-052601</t>
  </si>
  <si>
    <t>S INVES-G 09-1</t>
  </si>
  <si>
    <t>LIMITED DISCUSION ON AGENDA ITEM</t>
  </si>
  <si>
    <t>MAY 6, 2009 MTG</t>
  </si>
  <si>
    <t>2009-052901</t>
  </si>
  <si>
    <t>DOH-SHPDA</t>
  </si>
  <si>
    <t>7/8/09</t>
  </si>
  <si>
    <t>New Member Orientation</t>
  </si>
  <si>
    <t>2009-052902</t>
  </si>
  <si>
    <t>RRS TRNG</t>
  </si>
  <si>
    <t>RRS TRNG 6/18/09 &amp; 6/25/09</t>
  </si>
  <si>
    <t>MVL/LHJ</t>
  </si>
  <si>
    <t>2009-052903</t>
  </si>
  <si>
    <t>C&amp;C-NCO</t>
  </si>
  <si>
    <t>NB  MEMBERS 6/20/09</t>
  </si>
  <si>
    <t>2009-060101</t>
  </si>
  <si>
    <t>U RFA-P 09-43</t>
  </si>
  <si>
    <t>COPY OF RESOLUTION 31</t>
  </si>
  <si>
    <t>2009-060201</t>
  </si>
  <si>
    <t>U RFA-P 09-44</t>
  </si>
  <si>
    <t>DOH-CDC</t>
  </si>
  <si>
    <t>H1N1 TEST KITS REC'D</t>
  </si>
  <si>
    <t>2009-060301</t>
  </si>
  <si>
    <t>U RFO-G 09-15</t>
  </si>
  <si>
    <t>RECORDINGS</t>
  </si>
  <si>
    <t>SENATE SESSION FLORR REMARKS</t>
  </si>
  <si>
    <t>2009-060501</t>
  </si>
  <si>
    <t>S INVES-P 09-8</t>
  </si>
  <si>
    <t>EXECUTVIE SESSION 6/3/09</t>
  </si>
  <si>
    <t>REMOVAL OF AGENDA ITEM</t>
  </si>
  <si>
    <t>2009-060901</t>
  </si>
  <si>
    <t>U RFO-G 09-16</t>
  </si>
  <si>
    <t>JUD FINANCIAL DISCLOSURES</t>
  </si>
  <si>
    <t>2009-061501</t>
  </si>
  <si>
    <t>S INVES-P 09-9</t>
  </si>
  <si>
    <t>SERIAL COMMUNICATIONS</t>
  </si>
  <si>
    <t>RESOLUTIONS</t>
  </si>
  <si>
    <t>2009-061601</t>
  </si>
  <si>
    <t>DOE-CHARTER SCH</t>
  </si>
  <si>
    <t>12/7/09</t>
  </si>
  <si>
    <t>CHARTER SCHOOL ADMIN OFFICE</t>
  </si>
  <si>
    <t>2009-061602</t>
  </si>
  <si>
    <t>HI MEDICAL BOARD
(Bd Cancelled)</t>
  </si>
  <si>
    <t>8/14/2009</t>
  </si>
  <si>
    <t>2009-061801</t>
  </si>
  <si>
    <t>S INVES-G 09-2</t>
  </si>
  <si>
    <t>2009-061802</t>
  </si>
  <si>
    <t>S INVES-P 09-10</t>
  </si>
  <si>
    <t>2009-062201</t>
  </si>
  <si>
    <t>U RFO-P 09-4</t>
  </si>
  <si>
    <t>"CATLADY" (WAS APPEAL 09-5)</t>
  </si>
  <si>
    <t>2009-062202</t>
  </si>
  <si>
    <t>INCREMENTAL DISCLOSURE</t>
  </si>
  <si>
    <t>AGENCY RESPONDED</t>
  </si>
  <si>
    <t>2009-062203</t>
  </si>
  <si>
    <t>U RFA-P 09-45</t>
  </si>
  <si>
    <t>C&amp;C-DPP</t>
  </si>
  <si>
    <t>LUO 1993 INTERPRETATION</t>
  </si>
  <si>
    <t>NO WRITTEN RESPONSE</t>
  </si>
  <si>
    <t>2009-062301</t>
  </si>
  <si>
    <t>S RFO-P 09-5</t>
  </si>
  <si>
    <t>STANDING COMMITTEE</t>
  </si>
  <si>
    <t>2009-062401</t>
  </si>
  <si>
    <t>LEAGUE OF WOMEN VOTERS</t>
  </si>
  <si>
    <t>7/23/09</t>
  </si>
  <si>
    <t>2009-062402</t>
  </si>
  <si>
    <t>2009-062501</t>
  </si>
  <si>
    <t>VOID JUNE 10, 2009 MEETING</t>
  </si>
  <si>
    <t>NOT OIP AUTHORITY</t>
  </si>
  <si>
    <t>2009-070601</t>
  </si>
  <si>
    <t>S INVES-P 10-1</t>
  </si>
  <si>
    <t>BOARD COMPLIANCE</t>
  </si>
  <si>
    <t>2009-070602</t>
  </si>
  <si>
    <t>APPEAL 10-1</t>
  </si>
  <si>
    <t>MARK HEYD</t>
  </si>
  <si>
    <t>ARCHITECT LICENSE</t>
  </si>
  <si>
    <t>2009-070603</t>
  </si>
  <si>
    <t>U RFA-P 10-1</t>
  </si>
  <si>
    <t>CONFIDENTIAL FILE DENIED</t>
  </si>
  <si>
    <t>2009-070701</t>
  </si>
  <si>
    <t>APPEAL 10-4</t>
  </si>
  <si>
    <t>RECORDS RE FEDERAL CAMPAIGN COMM FUNDS</t>
  </si>
  <si>
    <t>CAMPAIGN SPENDING COMM</t>
  </si>
  <si>
    <t>2009-070801</t>
  </si>
  <si>
    <t>APPEAL 10-3</t>
  </si>
  <si>
    <t>HAPI PROPOSAL FOR RFP</t>
  </si>
  <si>
    <t>2009-0700901</t>
  </si>
  <si>
    <t>U RFA-P 10-2</t>
  </si>
  <si>
    <t>WILCOX ELEMENTARY SCHOOL</t>
  </si>
  <si>
    <t>NON-RESPONSIVE</t>
  </si>
  <si>
    <t>2009-071401</t>
  </si>
  <si>
    <t>U RFA-P 10-3</t>
  </si>
  <si>
    <t>VACATION RENTAL</t>
  </si>
  <si>
    <t>2009-071501</t>
  </si>
  <si>
    <t>APPEAL 10-2</t>
  </si>
  <si>
    <t>3/13/09 MEETING</t>
  </si>
  <si>
    <t>2009-072001</t>
  </si>
  <si>
    <t>JUSTICE V FUKINO, ETAL</t>
  </si>
  <si>
    <t>CIVIL NO. 09-1-0783-04</t>
  </si>
  <si>
    <t>2009-072101</t>
  </si>
  <si>
    <t>BOOKING NOTES</t>
  </si>
  <si>
    <t>CHARGES</t>
  </si>
  <si>
    <t>2009-072102</t>
  </si>
  <si>
    <t>ACCESS TO DOCS BEFORE COPY FEES</t>
  </si>
  <si>
    <t>2009-072103</t>
  </si>
  <si>
    <t>U RFO-G 10-1</t>
  </si>
  <si>
    <t>GRADE DISTRIBUTIONS</t>
  </si>
  <si>
    <t>PICK-A-PROF</t>
  </si>
  <si>
    <t>2009-072201</t>
  </si>
  <si>
    <t>S INVES-P 10-2</t>
  </si>
  <si>
    <t>EXEC. SESSION MINUTES</t>
  </si>
  <si>
    <t>1/05-4/09</t>
  </si>
  <si>
    <t>2009-072701</t>
  </si>
  <si>
    <t>APPEAL 10-5</t>
  </si>
  <si>
    <t>PUNA COMM. DEVELOPMENT PLAN</t>
  </si>
  <si>
    <t>SELECTION &amp; NOMINATION DOCS</t>
  </si>
  <si>
    <t>2009-072801</t>
  </si>
  <si>
    <t>APPEAL 10-6</t>
  </si>
  <si>
    <t>RFP INFO</t>
  </si>
  <si>
    <t>2009-072901</t>
  </si>
  <si>
    <t>S RFO-G 10-2</t>
  </si>
  <si>
    <t>2009-073001</t>
  </si>
  <si>
    <t>HI ADVISORY COMM. ON DRUG ABUSE &amp; CONTROLLED SUBSTANCES</t>
  </si>
  <si>
    <t>8/25/09</t>
  </si>
  <si>
    <t>2009-080303</t>
  </si>
  <si>
    <t>U RFA-P 10-4</t>
  </si>
  <si>
    <t>PUNA COMM. DEV. PLAN</t>
  </si>
  <si>
    <t>SELECTION AND NOMINATION DOCS</t>
  </si>
  <si>
    <t>2009-080601</t>
  </si>
  <si>
    <t>S RFO-G 10-3</t>
  </si>
  <si>
    <t>MERGER OF ORGANIZATIONS</t>
  </si>
  <si>
    <t>2009-080602</t>
  </si>
  <si>
    <t>U RFO-G 10-4</t>
  </si>
  <si>
    <t>KALOKO DAM SETTLEMENT AGREEMENT</t>
  </si>
  <si>
    <t>2009-080701</t>
  </si>
  <si>
    <t>APPEAL 10-7</t>
  </si>
  <si>
    <t>PRES. OBAMA'S VITAL RECORDS</t>
  </si>
  <si>
    <t>2009-081001</t>
  </si>
  <si>
    <t>U RFA-P 10-5</t>
  </si>
  <si>
    <t>BID PROTEST</t>
  </si>
  <si>
    <t>2009-081002</t>
  </si>
  <si>
    <t>NEED INFO TO OPEN FILE</t>
  </si>
  <si>
    <t>2009-081003</t>
  </si>
  <si>
    <t>S INVES-P 10-3</t>
  </si>
  <si>
    <t>UNCLEAR AGENDA</t>
  </si>
  <si>
    <t>218-09</t>
  </si>
  <si>
    <t>2009-081101</t>
  </si>
  <si>
    <t>U RFO-G 10-5</t>
  </si>
  <si>
    <t>DISCLOSURE OF ACCIDENT REPORTS</t>
  </si>
  <si>
    <t>OPINION</t>
  </si>
  <si>
    <t>2009-081201</t>
  </si>
  <si>
    <t>U RFA-P 10-6</t>
  </si>
  <si>
    <t>AUGUST AHREN'S SCHOOL</t>
  </si>
  <si>
    <t>DOX RE: RENOVATION PROJECT</t>
  </si>
  <si>
    <t>2009-081202</t>
  </si>
  <si>
    <t>APPEAL 10-8</t>
  </si>
  <si>
    <t>GOV COMMUNICATION LEG '09 BILLS</t>
  </si>
  <si>
    <t>2009-082702</t>
  </si>
  <si>
    <t>S RFO-G 10-6</t>
  </si>
  <si>
    <t>NCO-NB#31</t>
  </si>
  <si>
    <t>2009-090101</t>
  </si>
  <si>
    <t>S INVES-P 10-4</t>
  </si>
  <si>
    <t>HI HISTORIC PLACES REVIEW BOARD</t>
  </si>
  <si>
    <t>2009-090102</t>
  </si>
  <si>
    <t>APPEAL 10-9</t>
  </si>
  <si>
    <t>BOXING COMMISSION</t>
  </si>
  <si>
    <t>VILORIA GROSS REVENUES</t>
  </si>
  <si>
    <t>2009-090401</t>
  </si>
  <si>
    <t>APPEAL 10-10</t>
  </si>
  <si>
    <t>BARACK OBAMA RECORDS</t>
  </si>
  <si>
    <t>2009-090402</t>
  </si>
  <si>
    <t>HI HISTORIC PLACES REVIEW BRD</t>
  </si>
  <si>
    <t>10/31/2009-CANCELED</t>
  </si>
  <si>
    <t>2009-091401</t>
  </si>
  <si>
    <t>U RFA-P 10-7</t>
  </si>
  <si>
    <t>DEWEY KIM MISCONDUCT</t>
  </si>
  <si>
    <t>DISCLOSURE OF HLC BRD ACTION</t>
  </si>
  <si>
    <t>2009-091402</t>
  </si>
  <si>
    <t>U RFO-G 10-7</t>
  </si>
  <si>
    <t>DLNR-AQUATICS</t>
  </si>
  <si>
    <t>PASSENGER COUNT INFORMATION</t>
  </si>
  <si>
    <t>2009-091403</t>
  </si>
  <si>
    <t>DISCLOSURE OF PROCUREMENT RECORDS</t>
  </si>
  <si>
    <t>UIPA TRNG 12/9/09</t>
  </si>
  <si>
    <t>LLA/LHJ</t>
  </si>
  <si>
    <t>2009-091404</t>
  </si>
  <si>
    <t>RECLASSIFICATION OF CUSTODY</t>
  </si>
  <si>
    <t>OIP HAS NO AUTHORITY</t>
  </si>
  <si>
    <t>2009-092301</t>
  </si>
  <si>
    <t>APPEAL 10-11</t>
  </si>
  <si>
    <t>RECORDS UNLOCATABLE</t>
  </si>
  <si>
    <t>2009-092302</t>
  </si>
  <si>
    <t>S INVES-P 10-5</t>
  </si>
  <si>
    <t>EHTICS-H</t>
  </si>
  <si>
    <t>9/23/09 AGENDA</t>
  </si>
  <si>
    <t>PETITIONS 2009-6 &amp; 7</t>
  </si>
  <si>
    <t>2009-092303</t>
  </si>
  <si>
    <t>PARKS-C&amp;C</t>
  </si>
  <si>
    <t>DEPARTMENT POLICIES</t>
  </si>
  <si>
    <t>2009-092304</t>
  </si>
  <si>
    <t>U RFA-P 10-8</t>
  </si>
  <si>
    <t>2009-093001</t>
  </si>
  <si>
    <t>U RFA-P 10-9</t>
  </si>
  <si>
    <t>WATERBIRD SURVEY</t>
  </si>
  <si>
    <t>2009-093002</t>
  </si>
  <si>
    <t>U RFA-P 10-10</t>
  </si>
  <si>
    <t>ALBERT KAMAKA</t>
  </si>
  <si>
    <t>PARCELS &amp; WATER RIGHTS</t>
  </si>
  <si>
    <t>2009-100601</t>
  </si>
  <si>
    <t>U RFA-P 10-11</t>
  </si>
  <si>
    <t>TMK 1-1-003:086</t>
  </si>
  <si>
    <t>INDOOR AIR QUALITY</t>
  </si>
  <si>
    <t>2009-100602</t>
  </si>
  <si>
    <t>U RFA-P 10-12</t>
  </si>
  <si>
    <t>CONSULT WITH COUNSEL BEFORE RELEASE</t>
  </si>
  <si>
    <t>2009-101301</t>
  </si>
  <si>
    <t>S INVES-P 10-6</t>
  </si>
  <si>
    <t>10/14/09 AGENDA</t>
  </si>
  <si>
    <t>reassigned on 6/26/12)</t>
  </si>
  <si>
    <t>2009-101601</t>
  </si>
  <si>
    <t>U RFA-P 10-13</t>
  </si>
  <si>
    <t>CONSENT RELEASE FORM</t>
  </si>
  <si>
    <t>2009-102001</t>
  </si>
  <si>
    <t>OBAMA'S VITAL RECORDS</t>
  </si>
  <si>
    <t>2009-102002</t>
  </si>
  <si>
    <t>U RFA-P 10-15</t>
  </si>
  <si>
    <t>RULES, PROCEDURES</t>
  </si>
  <si>
    <t>2009-102003</t>
  </si>
  <si>
    <t>U RFA-P 10-16</t>
  </si>
  <si>
    <t>2009-102004</t>
  </si>
  <si>
    <t>ORDERS</t>
  </si>
  <si>
    <t>VITAL RECORDS</t>
  </si>
  <si>
    <t>2009-102201</t>
  </si>
  <si>
    <t>U RFA-P 10-17</t>
  </si>
  <si>
    <t>DOH RULES, REGULATIONS &amp; PROCEDURES</t>
  </si>
  <si>
    <t>2009-102202</t>
  </si>
  <si>
    <t>U RFA-P 10-18</t>
  </si>
  <si>
    <t>DOH INDEX DATA</t>
  </si>
  <si>
    <t>2009-102203</t>
  </si>
  <si>
    <t>S INVES-P 10-7</t>
  </si>
  <si>
    <t>EXECUTIVE SESSION VOTING</t>
  </si>
  <si>
    <t>BUDGET/CONTRACT</t>
  </si>
  <si>
    <t>2009-102701</t>
  </si>
  <si>
    <t>S INVES-P 10-8</t>
  </si>
  <si>
    <t>EMERGENCY MEETING</t>
  </si>
  <si>
    <t>2009-102702</t>
  </si>
  <si>
    <t>U RFA-P 10-19</t>
  </si>
  <si>
    <t>MUGSHOT</t>
  </si>
  <si>
    <t>2009-102801</t>
  </si>
  <si>
    <t>U RFA-P 10-20</t>
  </si>
  <si>
    <t>JUNE 18, 2009</t>
  </si>
  <si>
    <t>2009-102802</t>
  </si>
  <si>
    <t>S-LIT</t>
  </si>
  <si>
    <t>FORD V HI COUNTY COUNCIL</t>
  </si>
  <si>
    <t>Civil No. 09-01-415K</t>
  </si>
  <si>
    <t>2009-102803</t>
  </si>
  <si>
    <t>U RFA-P 10-21</t>
  </si>
  <si>
    <t>OLELO/GRANICUS AGREEMENT</t>
  </si>
  <si>
    <t>2009-103001</t>
  </si>
  <si>
    <t>S INVES-P 10-9</t>
  </si>
  <si>
    <t>NCO-NB#23</t>
  </si>
  <si>
    <t>EWA BEACH NB</t>
  </si>
  <si>
    <t>2009-110201</t>
  </si>
  <si>
    <t>U RFA-P 10-22</t>
  </si>
  <si>
    <t>KONA BLUE WATER FARMS</t>
  </si>
  <si>
    <t>SAMPLE DATA</t>
  </si>
  <si>
    <t>2009-110402</t>
  </si>
  <si>
    <t>11/13/2009</t>
  </si>
  <si>
    <t>WORKFORCE DEVELOPMENT COUNCIL</t>
  </si>
  <si>
    <t>2009-110601</t>
  </si>
  <si>
    <t>12/3/2009</t>
  </si>
  <si>
    <t>2009-111201</t>
  </si>
  <si>
    <t>U RFO-G 10-8</t>
  </si>
  <si>
    <t>2009-111202</t>
  </si>
  <si>
    <t>U RFA-P 10-23</t>
  </si>
  <si>
    <t>OBAMA</t>
  </si>
  <si>
    <t>2009-111301</t>
  </si>
  <si>
    <t>S INVES-P 10-10</t>
  </si>
  <si>
    <t>SPEAKING AT MEETINGS</t>
  </si>
  <si>
    <t>2009-111601</t>
  </si>
  <si>
    <t>U RFA-P 10-24</t>
  </si>
  <si>
    <t>C&amp;C-DHR</t>
  </si>
  <si>
    <t>2008-2009 CONTRACTS</t>
  </si>
  <si>
    <t>2009-111602</t>
  </si>
  <si>
    <t>U RFA-P 10-25</t>
  </si>
  <si>
    <t>8/19 AND 10/27/09 INCIDENTS</t>
  </si>
  <si>
    <t>2009-111603</t>
  </si>
  <si>
    <t>U RFA-P 10-26</t>
  </si>
  <si>
    <t>TENANT FILE- RANDY MILLER</t>
  </si>
  <si>
    <t>2009-111701</t>
  </si>
  <si>
    <t>S INVES-P 10-11</t>
  </si>
  <si>
    <t>ETHICS MTG 11/19/2009</t>
  </si>
  <si>
    <t>2009-111901</t>
  </si>
  <si>
    <t>U RFO-G 10-9</t>
  </si>
  <si>
    <t>DISCLOSURE OF KALOKO DAM SETTLEMENT</t>
  </si>
  <si>
    <t>REQUEST FOR REVIEW</t>
  </si>
  <si>
    <t>2009-111902</t>
  </si>
  <si>
    <t>S INVES-P 10-12</t>
  </si>
  <si>
    <t>11/12/2009 AGENDA</t>
  </si>
  <si>
    <t>NO PUBLIC TESTIMONY 12/10/09</t>
  </si>
  <si>
    <t>2009-111903</t>
  </si>
  <si>
    <t>U RFA-P 10-27</t>
  </si>
  <si>
    <t>EVALUATION COMM. MINUTES</t>
  </si>
  <si>
    <t>RAIL GUIDEWAY CONSTRUCTION</t>
  </si>
  <si>
    <t>2009-112301</t>
  </si>
  <si>
    <t>U RFA-P 10-28</t>
  </si>
  <si>
    <t>ORIGINAL BIRTH CERTIFICATE</t>
  </si>
  <si>
    <t>2009-112302</t>
  </si>
  <si>
    <t>U RFA-P 10-29</t>
  </si>
  <si>
    <t>C&amp;C-BRD OF REV.</t>
  </si>
  <si>
    <t>RPT COMPS</t>
  </si>
  <si>
    <t>2009-100101</t>
  </si>
  <si>
    <t>S INVES-P 10-13</t>
  </si>
  <si>
    <t>B&amp;F-EUTF</t>
  </si>
  <si>
    <t>MEDIATOR</t>
  </si>
  <si>
    <t>2009-120403</t>
  </si>
  <si>
    <t>U RFA-P 10-30</t>
  </si>
  <si>
    <t>OBAMA BIRTH CERTIFICATE</t>
  </si>
  <si>
    <t>2009-120406</t>
  </si>
  <si>
    <t>U RFA-P 10-31</t>
  </si>
  <si>
    <t>DOE-HTSB</t>
  </si>
  <si>
    <t>THOMAS GRAHAM GUERIN</t>
  </si>
  <si>
    <t>SPED LICENSE EXPIRATION</t>
  </si>
  <si>
    <t>2009-120801</t>
  </si>
  <si>
    <t>U RFA-P 10-32</t>
  </si>
  <si>
    <t>DAGS-ELECTIONS</t>
  </si>
  <si>
    <t>OBAMA VOTER REGISTRATION</t>
  </si>
  <si>
    <t>1979-1988</t>
  </si>
  <si>
    <t>2009-121101</t>
  </si>
  <si>
    <t>S INVES-P 10-33</t>
  </si>
  <si>
    <t>NCO-EBNB#23</t>
  </si>
  <si>
    <t>PHYSICAL FORCE</t>
  </si>
  <si>
    <t>PREVENTING PUBLIC FR SPEAKING/ATTENDING</t>
  </si>
  <si>
    <t>2009-121401</t>
  </si>
  <si>
    <t>U RFA-P 10-34</t>
  </si>
  <si>
    <t>2009-121402</t>
  </si>
  <si>
    <t>U RFA-P 10-35</t>
  </si>
  <si>
    <t>2009-121403</t>
  </si>
  <si>
    <t>S INVES-P 10-14</t>
  </si>
  <si>
    <t>BVA-MAUI</t>
  </si>
  <si>
    <t>2009-121501</t>
  </si>
  <si>
    <t>1/2/10</t>
  </si>
  <si>
    <t>2009-121701</t>
  </si>
  <si>
    <t>S INVES-P 10-15</t>
  </si>
  <si>
    <t>INVESTIGATIVE COMMITTEE</t>
  </si>
  <si>
    <t>NOT ON AGENDA</t>
  </si>
  <si>
    <t>2009-121801</t>
  </si>
  <si>
    <t>VARIOUS QUESTION</t>
  </si>
  <si>
    <t>SUNSHINE VIOLATION EBNB#23</t>
  </si>
  <si>
    <t>2010-010401</t>
  </si>
  <si>
    <t>APPEAL 10-12</t>
  </si>
  <si>
    <t>OBAMA COLB</t>
  </si>
  <si>
    <t>"COMMON ANCESTOR"</t>
  </si>
  <si>
    <t>2010-010501</t>
  </si>
  <si>
    <t>AGENCY STATED POSITION</t>
  </si>
  <si>
    <t>AGENCY CAN CHARGE FEES</t>
  </si>
  <si>
    <t>2010-010601</t>
  </si>
  <si>
    <t>U RFA-P 10-36</t>
  </si>
  <si>
    <t>DEBEDT-NELHA</t>
  </si>
  <si>
    <t>INFORMATION AND DATA REQUEST</t>
  </si>
  <si>
    <t>2010-010602</t>
  </si>
  <si>
    <t>APPEAL 10-13</t>
  </si>
  <si>
    <t>RECONSIDERATION OF DECISION 09-15</t>
  </si>
  <si>
    <t>2010-010801</t>
  </si>
  <si>
    <t>U RFA-P 10-37</t>
  </si>
  <si>
    <t>OBAMA/COLB</t>
  </si>
  <si>
    <t>MAYORAL NOMINEES</t>
  </si>
  <si>
    <t>2010-011101</t>
  </si>
  <si>
    <t>U RFA-P 10-38</t>
  </si>
  <si>
    <t>TMK 3-2-11-16</t>
  </si>
  <si>
    <t>INCOMPLETE RESPONSE</t>
  </si>
  <si>
    <t>2010-011102</t>
  </si>
  <si>
    <t>U RFA-P 10-39</t>
  </si>
  <si>
    <t>DLNR-HARBORS</t>
  </si>
  <si>
    <t>AWARDED CONTRACT</t>
  </si>
  <si>
    <t>HONEY BEE, INC.</t>
  </si>
  <si>
    <t>2010-011401</t>
  </si>
  <si>
    <t>NEED TO MAKE A RECORD REQ UNDER THE UIPA</t>
  </si>
  <si>
    <t>2010-011402</t>
  </si>
  <si>
    <t>SURVEY NUMBERS</t>
  </si>
  <si>
    <t>HB 444</t>
  </si>
  <si>
    <t>2010-012101</t>
  </si>
  <si>
    <t>U RFA-P 10-40</t>
  </si>
  <si>
    <t>VACATE NOTICES FOR 2009</t>
  </si>
  <si>
    <t>PUNCHBOWL HOMES</t>
  </si>
  <si>
    <t>2010-012501</t>
  </si>
  <si>
    <t>LEG-JGO</t>
  </si>
  <si>
    <t>JGO LOST PAGES OF TESTIMONY</t>
  </si>
  <si>
    <t>LEG NOT SUBJECT TO SUNSHINE LAW</t>
  </si>
  <si>
    <t>2010-012601</t>
  </si>
  <si>
    <t>U RFA-P 10-41</t>
  </si>
  <si>
    <t>INSTITUTIONAL BIOSAFETY COMM.</t>
  </si>
  <si>
    <t>2010-012602</t>
  </si>
  <si>
    <t>U RFA-G 10-1</t>
  </si>
  <si>
    <t>RENEGOTIATION OF LEASE</t>
  </si>
  <si>
    <t>KEWALO MARINE LAB</t>
  </si>
  <si>
    <t>2010-012801</t>
  </si>
  <si>
    <t>UNKNOWN</t>
  </si>
  <si>
    <t>2010-012802</t>
  </si>
  <si>
    <t>APPEAL 10-14</t>
  </si>
  <si>
    <t>ETHICS COMM</t>
  </si>
  <si>
    <t>EMPLOYEE QUESTIONAIRES</t>
  </si>
  <si>
    <t>2010-020301</t>
  </si>
  <si>
    <t>S RFO-P 10-4</t>
  </si>
  <si>
    <t>COMM-K</t>
  </si>
  <si>
    <t>KAUAI COUNTY</t>
  </si>
  <si>
    <t>BOARD NOMINEES\</t>
  </si>
  <si>
    <t>2010-020302</t>
  </si>
  <si>
    <t>U RFA-P 10-42</t>
  </si>
  <si>
    <t>PERSONNEL-K</t>
  </si>
  <si>
    <t>AUDIO RECORDS</t>
  </si>
  <si>
    <t>WRITTEN RECORDS</t>
  </si>
  <si>
    <t>2010-020401</t>
  </si>
  <si>
    <t>LUNALILO HOME ROAD PROJECT</t>
  </si>
  <si>
    <t>2010-020402</t>
  </si>
  <si>
    <t>APPEAL 10-15</t>
  </si>
  <si>
    <t>PROF. RHEE INVESTIGATION</t>
  </si>
  <si>
    <t>2010-020802</t>
  </si>
  <si>
    <t>APPEAL 10-16</t>
  </si>
  <si>
    <t>SEXUAL HARRASSMENT INVESTIGATION</t>
  </si>
  <si>
    <t>EUISIN KIM</t>
  </si>
  <si>
    <t>2010-021601</t>
  </si>
  <si>
    <t>APPEAL 10-17</t>
  </si>
  <si>
    <t>HEARING TRANSCRIPT DLIR</t>
  </si>
  <si>
    <t>2010-021602</t>
  </si>
  <si>
    <t>APPEAL 10-18</t>
  </si>
  <si>
    <t>PRIVATE ATTY CORRESPONDENCE</t>
  </si>
  <si>
    <t>2010-021702</t>
  </si>
  <si>
    <t>MINUTES PUBLICATION &amp; CHARGES</t>
  </si>
  <si>
    <t>U RFA-P 10-43</t>
  </si>
  <si>
    <t>C&amp;C DDC/DTS</t>
  </si>
  <si>
    <t>LIGHTING IMPROVEMENT PROJECT FILES</t>
  </si>
  <si>
    <t>2010-021703</t>
  </si>
  <si>
    <t>2010-021801</t>
  </si>
  <si>
    <t>REQUEST TO BE MADE THRU U.S.POSTAL SERVICE</t>
  </si>
  <si>
    <t>2010-030101</t>
  </si>
  <si>
    <t>APPEAL 10-19</t>
  </si>
  <si>
    <t>DOH TERMS AND POLICIES</t>
  </si>
  <si>
    <t>DIFFERENT RESPONSES</t>
  </si>
  <si>
    <t>2010-030102</t>
  </si>
  <si>
    <t>APPEAL 10-20</t>
  </si>
  <si>
    <t>POLICE COMM-M</t>
  </si>
  <si>
    <t>POLICE COMMISSION HEARING RECORDS</t>
  </si>
  <si>
    <t>2010-030301</t>
  </si>
  <si>
    <t>4/19/2010</t>
  </si>
  <si>
    <t>KAUAI BDS &amp; COMM</t>
  </si>
  <si>
    <t>2010-030201</t>
  </si>
  <si>
    <t>U RFA-P 10-44</t>
  </si>
  <si>
    <t>DEAN'S COMMENTS ON CONTRACT RENEWAL</t>
  </si>
  <si>
    <t>2010-030302</t>
  </si>
  <si>
    <t>APPEAL 10-21</t>
  </si>
  <si>
    <t>OBAMA INDEX DATA</t>
  </si>
  <si>
    <t>2010-031103</t>
  </si>
  <si>
    <t>CRIME STATS IN DIGITAL FORM</t>
  </si>
  <si>
    <t>(Sandee Oshiro)</t>
  </si>
  <si>
    <t>2010-031104</t>
  </si>
  <si>
    <t>APPEAL 10-22</t>
  </si>
  <si>
    <t>COACHES CONTRACTS AND EXACT SALARIES</t>
  </si>
  <si>
    <t>2010-031105</t>
  </si>
  <si>
    <t>APPEAL 10-23</t>
  </si>
  <si>
    <t>EMPLOYEES' RETIREMENT SYSTEM</t>
  </si>
  <si>
    <t>HEARINGS OFFICER RECOMMENDED DECISION</t>
  </si>
  <si>
    <t>2010-031106</t>
  </si>
  <si>
    <t>APPEAL 10-24</t>
  </si>
  <si>
    <t>DEPT ANALYSIS</t>
  </si>
  <si>
    <t>HRG TRANSCRIPT &amp; TRANSLATED TESTIMONY</t>
  </si>
  <si>
    <t>2010-031601</t>
  </si>
  <si>
    <t>REQUEST FOR RECORDS FORM</t>
  </si>
  <si>
    <t>2010-031603</t>
  </si>
  <si>
    <t>APPEAL 10-25</t>
  </si>
  <si>
    <t>LOCATION OF INSPECTION OF RECORDS</t>
  </si>
  <si>
    <t>2010-031701</t>
  </si>
  <si>
    <t>CIVIL NO. 10-1-0082</t>
  </si>
  <si>
    <t>2010-031901</t>
  </si>
  <si>
    <t>S INVES-P 10-16</t>
  </si>
  <si>
    <t>2010-032301</t>
  </si>
  <si>
    <t>BURIAL COUNCIL CHAIRS DISCUSSION</t>
  </si>
  <si>
    <t>SUNSHINE VIOLATION?</t>
  </si>
  <si>
    <t>2010-032501</t>
  </si>
  <si>
    <t>ATTENDANCE AT MAYORAL EVENTS</t>
  </si>
  <si>
    <t>2010-033001</t>
  </si>
  <si>
    <t>IA-99-26</t>
  </si>
  <si>
    <t>2010-033002</t>
  </si>
  <si>
    <t>WEBSITE ACCESS TO RECORDS</t>
  </si>
  <si>
    <t>2010-033101</t>
  </si>
  <si>
    <t>ORAL REQUEST</t>
  </si>
  <si>
    <t>2010-033102</t>
  </si>
  <si>
    <t>U RFA-P 10-45</t>
  </si>
  <si>
    <t>DLNR-DOBOR</t>
  </si>
  <si>
    <t>CONSULTANT PAYMENT RECORDS</t>
  </si>
  <si>
    <t>2010-033103</t>
  </si>
  <si>
    <t>B &amp; F</t>
  </si>
  <si>
    <t>4/13/2010</t>
  </si>
  <si>
    <t>2010-040501</t>
  </si>
  <si>
    <t>APPEAL 10-26</t>
  </si>
  <si>
    <t>BID RECORDS</t>
  </si>
  <si>
    <t>2010-040601</t>
  </si>
  <si>
    <t>APPEAL 10-27</t>
  </si>
  <si>
    <t>FORM OF CRIMINAL STATS</t>
  </si>
  <si>
    <t>(Sandra Oshiro)</t>
  </si>
  <si>
    <t>2010-040602</t>
  </si>
  <si>
    <t>JUSTICE V FUKINO</t>
  </si>
  <si>
    <t>ICA NO. 30176</t>
  </si>
  <si>
    <t>2010-040901</t>
  </si>
  <si>
    <t>U RFO-P 10-2</t>
  </si>
  <si>
    <t>PSD-CCA</t>
  </si>
  <si>
    <t>ICCA STATUS AS AN "AGENCY"</t>
  </si>
  <si>
    <t>2010-041301</t>
  </si>
  <si>
    <t>U RFA-P 10-46</t>
  </si>
  <si>
    <t>BIRTH INDEX</t>
  </si>
  <si>
    <t>SURNAMES</t>
  </si>
  <si>
    <t>2010-041302</t>
  </si>
  <si>
    <t>U RFA-P 10-47</t>
  </si>
  <si>
    <t>CHILD NAMES</t>
  </si>
  <si>
    <t>2010-041601</t>
  </si>
  <si>
    <t>NCO-KALIHI NB</t>
  </si>
  <si>
    <t>STATEMENT CORRECTION AT 1/20/10 MTG</t>
  </si>
  <si>
    <t>2010-042101</t>
  </si>
  <si>
    <t>S RFO-P 10-3</t>
  </si>
  <si>
    <t>FOREST STWARDSHIP ADVISORY COMMITTEE</t>
  </si>
  <si>
    <t>2010-042701</t>
  </si>
  <si>
    <t>U RFA-P 10-48</t>
  </si>
  <si>
    <t>2010-042702</t>
  </si>
  <si>
    <t>U RFA-G 10-2</t>
  </si>
  <si>
    <t>DLNR-HSWCD</t>
  </si>
  <si>
    <t>MAMAKUA SOIL AND WATER CONSERVATION DISTRICT</t>
  </si>
  <si>
    <t>2010-042703</t>
  </si>
  <si>
    <t>LEG CH 91 &amp; 92</t>
  </si>
  <si>
    <t>2010-042901</t>
  </si>
  <si>
    <t>U RFA-P 10-49</t>
  </si>
  <si>
    <t>REGULATIONS AND POLICIES</t>
  </si>
  <si>
    <t>2010-050301</t>
  </si>
  <si>
    <t>OIP DOES NOT MAINTAIN RECORDS</t>
  </si>
  <si>
    <t>2010-050501</t>
  </si>
  <si>
    <t>HB1212</t>
  </si>
  <si>
    <t>2010-050502</t>
  </si>
  <si>
    <t>APPEAL 10-28</t>
  </si>
  <si>
    <t>HPD TRAINING MANUAL</t>
  </si>
  <si>
    <t>2010-050601</t>
  </si>
  <si>
    <t>U RFO-G 10-10</t>
  </si>
  <si>
    <t>MISCONDUCT</t>
  </si>
  <si>
    <t>2010-051101</t>
  </si>
  <si>
    <t>U RFA-P 10-50</t>
  </si>
  <si>
    <t>CONCEALED WEAPON PERMITS</t>
  </si>
  <si>
    <t>2010-051102</t>
  </si>
  <si>
    <t>S INVES-P 10-17</t>
  </si>
  <si>
    <t>LTR SENT TO BOARD BEFORE MEETING</t>
  </si>
  <si>
    <t>4/24/10</t>
  </si>
  <si>
    <t>2010-051301</t>
  </si>
  <si>
    <t>U RFO-G 10-11</t>
  </si>
  <si>
    <t>RELATED TO LADERTA U RFO-G 10-10</t>
  </si>
  <si>
    <t>2010-051801</t>
  </si>
  <si>
    <t>APPEAL 10-29</t>
  </si>
  <si>
    <t>4 YEARS OF RECORDS</t>
  </si>
  <si>
    <t>2010-052101</t>
  </si>
  <si>
    <t>7/15/2010</t>
  </si>
  <si>
    <t>2010-052601</t>
  </si>
  <si>
    <t>U RFA-P 10-51</t>
  </si>
  <si>
    <t>LETTERS TO PHYSICIAN AND RESPONSES</t>
  </si>
  <si>
    <t>LTR TO HPA</t>
  </si>
  <si>
    <t>2010-060101</t>
  </si>
  <si>
    <t>PERSONAL MEDICAL RECORDS</t>
  </si>
  <si>
    <t>2010-060201</t>
  </si>
  <si>
    <t>REQUEST FILE IN COURT</t>
  </si>
  <si>
    <t>2010-060202</t>
  </si>
  <si>
    <t>HIHS</t>
  </si>
  <si>
    <t>HUMANE SOCITY RECORDS</t>
  </si>
  <si>
    <t>2010-060301</t>
  </si>
  <si>
    <t>DLNR-HWSCD</t>
  </si>
  <si>
    <t>USDA CONTRACTS</t>
  </si>
  <si>
    <t>MAKE WRITTEN REQUEST</t>
  </si>
  <si>
    <t>2010-060302</t>
  </si>
  <si>
    <t>MAKE REQUEST TO PSD</t>
  </si>
  <si>
    <t>2010-060701</t>
  </si>
  <si>
    <t>U RFO-P 10-3</t>
  </si>
  <si>
    <t>HEARING OFFICER RECOMMENDED DECISION</t>
  </si>
  <si>
    <t>ERS BOARD</t>
  </si>
  <si>
    <t>2010-060702</t>
  </si>
  <si>
    <t>U RFA-P 10-53</t>
  </si>
  <si>
    <t>C&amp;C-DDC</t>
  </si>
  <si>
    <t>LIGHTING PLANS FOR HAWAII KAI DR/KULIOUOU</t>
  </si>
  <si>
    <t>2010-060703</t>
  </si>
  <si>
    <t>CORECTION OF PERSONAL RECORD</t>
  </si>
  <si>
    <t>2010-061401</t>
  </si>
  <si>
    <t>APPEAL 10-30</t>
  </si>
  <si>
    <t>AMHD MANUALS AND RECORDS</t>
  </si>
  <si>
    <t>2010-061402</t>
  </si>
  <si>
    <t>APPEAL 10-31</t>
  </si>
  <si>
    <t>GRIEVANCE RECORDS</t>
  </si>
  <si>
    <t>2010-061403</t>
  </si>
  <si>
    <t>U RFA-P 10-54</t>
  </si>
  <si>
    <t>2010-061601</t>
  </si>
  <si>
    <t>S INVES-P 10-18</t>
  </si>
  <si>
    <t>NC0-EWA NB</t>
  </si>
  <si>
    <t>2010-061602</t>
  </si>
  <si>
    <t>APPEAL 10-32</t>
  </si>
  <si>
    <t>ATTORNEY INVOICES</t>
  </si>
  <si>
    <t>2010-062301</t>
  </si>
  <si>
    <t>PAID FOR COPIES</t>
  </si>
  <si>
    <t>NOT RECEIVED</t>
  </si>
  <si>
    <t>2010-062401</t>
  </si>
  <si>
    <t>7/16/2010</t>
  </si>
  <si>
    <t>2010-063002</t>
  </si>
  <si>
    <t>NCO-NB#34</t>
  </si>
  <si>
    <t>ACCEPTABLE COMMUNICATION</t>
  </si>
  <si>
    <t>2010-063003</t>
  </si>
  <si>
    <t>U RFA-P 10-55</t>
  </si>
  <si>
    <t>FINANCIAL PLAN</t>
  </si>
  <si>
    <t>INVESTMENT CALENDAR</t>
  </si>
  <si>
    <t>2010-070101</t>
  </si>
  <si>
    <t>EXECUTIVE MTG MINUTES</t>
  </si>
  <si>
    <t>2010-070102</t>
  </si>
  <si>
    <t>FORM OF TRANSMITTAL</t>
  </si>
  <si>
    <t>2010-070201</t>
  </si>
  <si>
    <t>2010-070202</t>
  </si>
  <si>
    <t>U RFA-P 11-1</t>
  </si>
  <si>
    <t>RAPE KIT STATISTICS</t>
  </si>
  <si>
    <t>2010-070601</t>
  </si>
  <si>
    <t>U RFO-P 11-1</t>
  </si>
  <si>
    <t>FACULTY DISLCOSE STATEMENTS</t>
  </si>
  <si>
    <t>2010-071301</t>
  </si>
  <si>
    <t>KAHOOLAWE ISLAND RESERVE COMMISSION</t>
  </si>
  <si>
    <t>7/30/2010</t>
  </si>
  <si>
    <t>2010-071302</t>
  </si>
  <si>
    <t>MAKE REQ TO PSD VIA REGULAR MAIL</t>
  </si>
  <si>
    <t>2010-071501</t>
  </si>
  <si>
    <t>S INVES-G 11-1</t>
  </si>
  <si>
    <t>2010-072001</t>
  </si>
  <si>
    <t>STATE ETHICS</t>
  </si>
  <si>
    <t>LOCATION OF MEETING</t>
  </si>
  <si>
    <t>2010-072101</t>
  </si>
  <si>
    <t>U RFO-P 11-2</t>
  </si>
  <si>
    <t>ETHICS-STATE</t>
  </si>
  <si>
    <t>ESTIMATE OF FEES</t>
  </si>
  <si>
    <t>2010-072102</t>
  </si>
  <si>
    <t>APPEAL 11-2</t>
  </si>
  <si>
    <t>DLIR/ES</t>
  </si>
  <si>
    <t>DLIR/ES BENEFITS INFO</t>
  </si>
  <si>
    <t>2010-072701</t>
  </si>
  <si>
    <t>EMPLOYEE SALARIES AND TRAVEL EXPENSES</t>
  </si>
  <si>
    <t>2010-072702</t>
  </si>
  <si>
    <t>S INVES-P 11-1</t>
  </si>
  <si>
    <t>SHPDA</t>
  </si>
  <si>
    <t>COMMITTEES FAILED TO NOTICE MTGS</t>
  </si>
  <si>
    <t>2010-072901</t>
  </si>
  <si>
    <t>U RFA-P 11-2</t>
  </si>
  <si>
    <t>HPD</t>
  </si>
  <si>
    <t>TERMS OF DISCLOSURE</t>
  </si>
  <si>
    <t>2010-080201</t>
  </si>
  <si>
    <t>U RFA-P 11-3</t>
  </si>
  <si>
    <t>PRISONER MURDER RECORDS</t>
  </si>
  <si>
    <t>2010-080202</t>
  </si>
  <si>
    <t>PENALTY RECOMMENDATIONS</t>
  </si>
  <si>
    <t>CALCULATION WORKSHEETS</t>
  </si>
  <si>
    <t>2010-080203</t>
  </si>
  <si>
    <t>APPEAL 11-3</t>
  </si>
  <si>
    <t>EXCEL DATA</t>
  </si>
  <si>
    <t>CALCULATIONS WORKSHEETS</t>
  </si>
  <si>
    <t>2010-080301</t>
  </si>
  <si>
    <t>U RFA-P 11-4</t>
  </si>
  <si>
    <t>C&amp;C-DFM</t>
  </si>
  <si>
    <t>OVERTIME HOURS</t>
  </si>
  <si>
    <t>2010-080401</t>
  </si>
  <si>
    <t>U RFA-P 11-5</t>
  </si>
  <si>
    <t>WORKS-H</t>
  </si>
  <si>
    <t>COSTS/STUDY</t>
  </si>
  <si>
    <t>SOUTH KOHALA TRAFFIC</t>
  </si>
  <si>
    <t>2010-080501</t>
  </si>
  <si>
    <t>S INVES-G 11-2</t>
  </si>
  <si>
    <t>2010-081001</t>
  </si>
  <si>
    <t>CITY-ALL</t>
  </si>
  <si>
    <t>REQUEST FOR CITY COMPLAINT RECORDS</t>
  </si>
  <si>
    <t>2010-081002</t>
  </si>
  <si>
    <t>MEDQUEST APP DATA</t>
  </si>
  <si>
    <t>2010-081601</t>
  </si>
  <si>
    <t>APPEAL 11-4</t>
  </si>
  <si>
    <t>MAILIILI STREAM</t>
  </si>
  <si>
    <t>2010-081602</t>
  </si>
  <si>
    <t>APPEAL 11-5</t>
  </si>
  <si>
    <t>EASEMENT AGREEMENT</t>
  </si>
  <si>
    <t>2010-081701</t>
  </si>
  <si>
    <t>S INVES-G 11-3</t>
  </si>
  <si>
    <t>BOARD MEMBER COMMUNICATION OUTSIDE MTG</t>
  </si>
  <si>
    <t>2010-081901</t>
  </si>
  <si>
    <t>ATTENDANCE AT SOCIAL EVENTS</t>
  </si>
  <si>
    <t>2010-083001</t>
  </si>
  <si>
    <t>COPYING CHARGES</t>
  </si>
  <si>
    <t>2010-083002</t>
  </si>
  <si>
    <t>U RFA-P 11-6</t>
  </si>
  <si>
    <t>RESIGNATION LETTERS</t>
  </si>
  <si>
    <t>2010-083003</t>
  </si>
  <si>
    <t>U RFA-P 11-7</t>
  </si>
  <si>
    <t>RESL PROPERTY TAX RECORDS</t>
  </si>
  <si>
    <t>2010-083004</t>
  </si>
  <si>
    <t>APPEAL 11-6</t>
  </si>
  <si>
    <t>CORRESPONDENCE W/JUDICIAL SELECTION COMMISSION</t>
  </si>
  <si>
    <t>CKP/LHJ/CLT</t>
  </si>
  <si>
    <t>2010-083101</t>
  </si>
  <si>
    <t>U RFA-P 11-8</t>
  </si>
  <si>
    <t>TAX RECORDS</t>
  </si>
  <si>
    <t>2010-083102</t>
  </si>
  <si>
    <t>POLICE INVESTIGATION FROM 1985</t>
  </si>
  <si>
    <t>MAKE NEW REQUEST</t>
  </si>
  <si>
    <t>2010-090101</t>
  </si>
  <si>
    <t>CASINO REPORT</t>
  </si>
  <si>
    <t>2010-090701</t>
  </si>
  <si>
    <t>HUMANE SOC-M</t>
  </si>
  <si>
    <t>MAUI HUMANE SOCIETY</t>
  </si>
  <si>
    <t>2010-090702</t>
  </si>
  <si>
    <t>S INVES-P 11-2</t>
  </si>
  <si>
    <t>KAHANA PLANNING COUNCIL</t>
  </si>
  <si>
    <t>NOTICE ISSUES</t>
  </si>
  <si>
    <t>2010-090801</t>
  </si>
  <si>
    <t>U RFA-P 11-9</t>
  </si>
  <si>
    <t>SALARY INFORMATION</t>
  </si>
  <si>
    <t>2010-090901</t>
  </si>
  <si>
    <t>U RFO-G 11-1</t>
  </si>
  <si>
    <t>C&amp;C -HON</t>
  </si>
  <si>
    <t>EMPLOYEE SALARIES</t>
  </si>
  <si>
    <t>CARRIE OKINAGA FOR THE CITY'S REQUEST</t>
  </si>
  <si>
    <t>2010-091301</t>
  </si>
  <si>
    <t>APPEAL 11-7</t>
  </si>
  <si>
    <t>ARBITRATION RECORDS</t>
  </si>
  <si>
    <t>2010-091302</t>
  </si>
  <si>
    <t>U RFA-P 11-10</t>
  </si>
  <si>
    <t>HIGHWAY PROJECTS</t>
  </si>
  <si>
    <t>REFUND OF FEES</t>
  </si>
  <si>
    <t>2010-091501</t>
  </si>
  <si>
    <t>U RFA-P 11-11</t>
  </si>
  <si>
    <t>CERTIFICATES OF NOMINATION</t>
  </si>
  <si>
    <t>RESPONSE TIMELINES</t>
  </si>
  <si>
    <t>2010-092101</t>
  </si>
  <si>
    <t>APPEAL 11-8</t>
  </si>
  <si>
    <t>CASINO GAMBLING STUDY</t>
  </si>
  <si>
    <t>2010-092201</t>
  </si>
  <si>
    <t>NEED REQUEST TO OPEN FILE</t>
  </si>
  <si>
    <t>2010-092801</t>
  </si>
  <si>
    <t>APPEAL 11-9</t>
  </si>
  <si>
    <t>PROS-H</t>
  </si>
  <si>
    <t>COMPLAINT FILES</t>
  </si>
  <si>
    <t>2010-092802</t>
  </si>
  <si>
    <t>APPEAL 11-10</t>
  </si>
  <si>
    <t>PROSTITUTION RECORDS</t>
  </si>
  <si>
    <t>2010-092901</t>
  </si>
  <si>
    <t>NURSE LICENSE INFO SHARING</t>
  </si>
  <si>
    <t>2010-092902</t>
  </si>
  <si>
    <t>APPEAL 11-11</t>
  </si>
  <si>
    <t>C&amp;C-B&amp;F</t>
  </si>
  <si>
    <t>CORRESPONDENCE RE: PARK LAND</t>
  </si>
  <si>
    <t>2010-093001</t>
  </si>
  <si>
    <t>U RFO-G 11-2</t>
  </si>
  <si>
    <t>2010-101301</t>
  </si>
  <si>
    <t>U RFA-P 11-12</t>
  </si>
  <si>
    <t>C&amp;C-BFS</t>
  </si>
  <si>
    <t>UNCLAIMED FUNDS INFO</t>
  </si>
  <si>
    <t>TAX AUCTION PROPERTIES</t>
  </si>
  <si>
    <t>2010-101302</t>
  </si>
  <si>
    <t>APPEAL 11-12</t>
  </si>
  <si>
    <t>BIRTH CERTIFICATE FORMS</t>
  </si>
  <si>
    <t>2010-102001</t>
  </si>
  <si>
    <t>U RFA-P 11-13</t>
  </si>
  <si>
    <t>2010-102002</t>
  </si>
  <si>
    <t>S INVES-P 11-3</t>
  </si>
  <si>
    <t>INTENTIOANL VIOLATION</t>
  </si>
  <si>
    <t>2010-102003</t>
  </si>
  <si>
    <t>COMMUNTED SENTENCES &amp; PARDONS</t>
  </si>
  <si>
    <t>2010-102101</t>
  </si>
  <si>
    <t>VIOLATION</t>
  </si>
  <si>
    <t>2010-102501</t>
  </si>
  <si>
    <t>12/8/2010</t>
  </si>
  <si>
    <t>STATUS OF WOMEN</t>
  </si>
  <si>
    <t>2010-102601</t>
  </si>
  <si>
    <t>9/28/10 NSNB MTG</t>
  </si>
  <si>
    <t>2010-102602</t>
  </si>
  <si>
    <t>APPEAL 11-13</t>
  </si>
  <si>
    <t>UH-DEAN</t>
  </si>
  <si>
    <t>AGENCY SAYS RECORDS DON'T EXIST</t>
  </si>
  <si>
    <t>2010-102603</t>
  </si>
  <si>
    <t>U RFA-P 11-14</t>
  </si>
  <si>
    <t>UH-Security</t>
  </si>
  <si>
    <t>SECURITY LOG</t>
  </si>
  <si>
    <t>2010-102801</t>
  </si>
  <si>
    <t>U RFA- P 11-15</t>
  </si>
  <si>
    <t>WILDLIFE CONTROL PERMIT LISTS</t>
  </si>
  <si>
    <t>WILDLIFE REPORTS</t>
  </si>
  <si>
    <t>2010-110401</t>
  </si>
  <si>
    <t>U RFA-P 11-16</t>
  </si>
  <si>
    <t>UH-Judicial Affairs</t>
  </si>
  <si>
    <t>PERSONAL</t>
  </si>
  <si>
    <t>2010-111001</t>
  </si>
  <si>
    <t>APPEAL 11-14</t>
  </si>
  <si>
    <t>DOTAX INTAKE PROCEDURES</t>
  </si>
  <si>
    <t>2010-111002</t>
  </si>
  <si>
    <t>VERIFICATION LETTER</t>
  </si>
  <si>
    <t>2010-111003</t>
  </si>
  <si>
    <t>U RFA-P 11-17</t>
  </si>
  <si>
    <t>LIGHTING CHANGE ORDERS</t>
  </si>
  <si>
    <t>STREET LIGHT ANALYSIS</t>
  </si>
  <si>
    <t>2010-111801</t>
  </si>
  <si>
    <t>DOH-MAUI CWS</t>
  </si>
  <si>
    <t>EXHIBIT LIST</t>
  </si>
  <si>
    <t>2010-112901</t>
  </si>
  <si>
    <t>U RFA-P 11-18</t>
  </si>
  <si>
    <t>2010-120601</t>
  </si>
  <si>
    <t>U RFA-P 11-19</t>
  </si>
  <si>
    <t>MAUI-CWS</t>
  </si>
  <si>
    <t>2007-2010</t>
  </si>
  <si>
    <t>2010-121301</t>
  </si>
  <si>
    <t>APPEAL 11-15</t>
  </si>
  <si>
    <t>TOXICOLOGY REPORTS</t>
  </si>
  <si>
    <t>LHJ/CLT</t>
  </si>
  <si>
    <t>2010-121401</t>
  </si>
  <si>
    <t>U RFA-P 11-20</t>
  </si>
  <si>
    <t>C&amp;C-DES</t>
  </si>
  <si>
    <t>CORRESPONDENCE RE: FERAL CATS</t>
  </si>
  <si>
    <t>2010-121402</t>
  </si>
  <si>
    <t>U RFA-G 11-1</t>
  </si>
  <si>
    <t>FEASIBILITY REPORT</t>
  </si>
  <si>
    <t>RAMP CLOSURE</t>
  </si>
  <si>
    <t>2010-121601</t>
  </si>
  <si>
    <t>PROMISE OF CONFIDENTIALITY</t>
  </si>
  <si>
    <t>2010-121602</t>
  </si>
  <si>
    <t>C-68 CLASSIFICATION</t>
  </si>
  <si>
    <t>2011-010301</t>
  </si>
  <si>
    <t>APPEAL 11-16</t>
  </si>
  <si>
    <t>AUTHORIZATIONS</t>
  </si>
  <si>
    <t>PHOTOVOLTAIC INSTALLATIONS</t>
  </si>
  <si>
    <t>2011-010402</t>
  </si>
  <si>
    <t>U RFA-P 11-21</t>
  </si>
  <si>
    <t>LIST OF GRANTS</t>
  </si>
  <si>
    <t>ACCOUNTING OF LOAN PAYMENTS</t>
  </si>
  <si>
    <t>2011-010501</t>
  </si>
  <si>
    <t>U RFA-P 11-22</t>
  </si>
  <si>
    <t>DLNR-DOCARE</t>
  </si>
  <si>
    <t>INSPECTION REPORTS</t>
  </si>
  <si>
    <t>2011-010502</t>
  </si>
  <si>
    <t>C&amp;C-ETHICS</t>
  </si>
  <si>
    <t>CITY ORDINANCE</t>
  </si>
  <si>
    <t>CONFIDENTIALITY OF COMMISSION RECORDS</t>
  </si>
  <si>
    <t>2011-011001</t>
  </si>
  <si>
    <t>APPEAL 11-17</t>
  </si>
  <si>
    <t>NOVEMBBER INVESTIGATION RPT</t>
  </si>
  <si>
    <t>2011-011101</t>
  </si>
  <si>
    <t>911 WIRELSS BRD</t>
  </si>
  <si>
    <t>2011-011301</t>
  </si>
  <si>
    <t>APPEAL 11-18</t>
  </si>
  <si>
    <t>ENV-HON</t>
  </si>
  <si>
    <t>BEACHWALK MAIN BREAK</t>
  </si>
  <si>
    <t>2011-012101</t>
  </si>
  <si>
    <t>U RFO-P 11-4</t>
  </si>
  <si>
    <t>CBI IN PROCUREMENT RECORDS</t>
  </si>
  <si>
    <t>2011-020301</t>
  </si>
  <si>
    <t>LIST OF JUDICIAL CANDIDATES</t>
  </si>
  <si>
    <t>2011-020302</t>
  </si>
  <si>
    <t>U RFA-P 11-23</t>
  </si>
  <si>
    <t>REPORTS SUMMARIZING TAX CREDITS CLAIMED</t>
  </si>
  <si>
    <t>2011-020901</t>
  </si>
  <si>
    <t>U RFA-P 11-24</t>
  </si>
  <si>
    <t>2011-021601</t>
  </si>
  <si>
    <t>BOARDS AND COMMISSIONS TRNG</t>
  </si>
  <si>
    <t>6/7/11</t>
  </si>
  <si>
    <t>2011-021701</t>
  </si>
  <si>
    <t>FURLOUGH OVERTIME FIGURES</t>
  </si>
  <si>
    <t>2011-021702</t>
  </si>
  <si>
    <t>DLNR-BLNR</t>
  </si>
  <si>
    <t>BLNR AGENDA</t>
  </si>
  <si>
    <t>2011-022201</t>
  </si>
  <si>
    <t>APPEAL 11-19</t>
  </si>
  <si>
    <t>C&amp;C-RPT</t>
  </si>
  <si>
    <t>MAILING ADDRESS &amp; SSN</t>
  </si>
  <si>
    <t>2011-030201</t>
  </si>
  <si>
    <t>S RFO-P 11-5</t>
  </si>
  <si>
    <t>PLANNING-H</t>
  </si>
  <si>
    <t>WASTESTREAM KOHALA</t>
  </si>
  <si>
    <t>2011-031002</t>
  </si>
  <si>
    <t>APPEAL 11-20</t>
  </si>
  <si>
    <t>JUDICIAL NOMINEE LIST</t>
  </si>
  <si>
    <t>CKP</t>
  </si>
  <si>
    <t>2011-031003</t>
  </si>
  <si>
    <t>APPEAL 11-21</t>
  </si>
  <si>
    <t>2011-031004</t>
  </si>
  <si>
    <t>APPEAL 11-22</t>
  </si>
  <si>
    <t>DOH SEAL</t>
  </si>
  <si>
    <t>2011-031005</t>
  </si>
  <si>
    <t>APPEAL 11-23</t>
  </si>
  <si>
    <t>OBAMA'S BIRTH CERTIFICATE</t>
  </si>
  <si>
    <t>2011-031401</t>
  </si>
  <si>
    <t>U RFA-P 11-25</t>
  </si>
  <si>
    <t>C&amp;C-PLAN&amp; PER</t>
  </si>
  <si>
    <t>APPROVAL &amp; ACCEPTANCE LTRS</t>
  </si>
  <si>
    <t>2011-031702</t>
  </si>
  <si>
    <t>4/25/11</t>
  </si>
  <si>
    <t>MARINE &amp; COSTAL ZONE ADVOCACY COUNCIL</t>
  </si>
  <si>
    <t>2011-032301</t>
  </si>
  <si>
    <t>PROS-HON</t>
  </si>
  <si>
    <t>2011-032401</t>
  </si>
  <si>
    <t>S INVES-P 11-4</t>
  </si>
  <si>
    <t>3/24/2011 AGENDA</t>
  </si>
  <si>
    <t>LHJ/JZB</t>
  </si>
  <si>
    <t>2011-040401</t>
  </si>
  <si>
    <t>S INVES-P 11-5</t>
  </si>
  <si>
    <t>OCTOBER 2009</t>
  </si>
  <si>
    <t>2011-041101</t>
  </si>
  <si>
    <t>911 CALLS</t>
  </si>
  <si>
    <t>MARCH 11, 2011</t>
  </si>
  <si>
    <t>2011-041102</t>
  </si>
  <si>
    <t>APPEAL 11-24</t>
  </si>
  <si>
    <t>DCCA-DFI</t>
  </si>
  <si>
    <t>STATISTICS</t>
  </si>
  <si>
    <t>2011-041103</t>
  </si>
  <si>
    <t>U RFA-P 11-26</t>
  </si>
  <si>
    <t>PARKS-M</t>
  </si>
  <si>
    <t>CONTRACT C4828</t>
  </si>
  <si>
    <t>SKATEBOARD PROGRAMS</t>
  </si>
  <si>
    <t>2011-041104</t>
  </si>
  <si>
    <t>C&amp;C-MAYOR HON</t>
  </si>
  <si>
    <t>JUNE 18, 2011</t>
  </si>
  <si>
    <t>9:30-10:30 A.M.</t>
  </si>
  <si>
    <t>2011-041401</t>
  </si>
  <si>
    <t>U RFA-P 11-27</t>
  </si>
  <si>
    <t>LIST OF ARBITRATORS</t>
  </si>
  <si>
    <t>2011-041801</t>
  </si>
  <si>
    <t>HAWAII COUNTY COUNCIL RULE NO. 7</t>
  </si>
  <si>
    <t>REVISION</t>
  </si>
  <si>
    <t>2011-041901</t>
  </si>
  <si>
    <t>U RFA-P 11-28</t>
  </si>
  <si>
    <t>PMAR DOCUMENTS</t>
  </si>
  <si>
    <t>2011-041902</t>
  </si>
  <si>
    <t>U RFA-P 11-29</t>
  </si>
  <si>
    <t>2011-042601</t>
  </si>
  <si>
    <t>APPEAL 11-25</t>
  </si>
  <si>
    <t>DHS-M</t>
  </si>
  <si>
    <t>REDACTED RECORDS</t>
  </si>
  <si>
    <t>2011-042602</t>
  </si>
  <si>
    <t>DOE FILES</t>
  </si>
  <si>
    <t>MARCHETTI</t>
  </si>
  <si>
    <t>2011-042701</t>
  </si>
  <si>
    <t>APPEAL 11-26</t>
  </si>
  <si>
    <t>OPINION WAIKELE CAVES</t>
  </si>
  <si>
    <t>PONG</t>
  </si>
  <si>
    <t>2011-042801</t>
  </si>
  <si>
    <t>APPEAL 11-27</t>
  </si>
  <si>
    <t>UNEMPLOYMENT FILE</t>
  </si>
  <si>
    <t>DENIED UNDER 383-95</t>
  </si>
  <si>
    <t>2011-042802</t>
  </si>
  <si>
    <t>U RFA-P 11-30</t>
  </si>
  <si>
    <t>JUD-1ST CIR</t>
  </si>
  <si>
    <t>COURT RECEIPTS</t>
  </si>
  <si>
    <t>2011-050301</t>
  </si>
  <si>
    <t>S INVES-P 11-6</t>
  </si>
  <si>
    <t>4/11/11</t>
  </si>
  <si>
    <t>COMUNICATIONS BETWEEN BRD MEMBERS</t>
  </si>
  <si>
    <t>2011-050401</t>
  </si>
  <si>
    <t>APPEAL 11-28</t>
  </si>
  <si>
    <t>KAMIKAWA AND NISHIMURA RECORDS</t>
  </si>
  <si>
    <t>PONG/MKH/LHJ</t>
  </si>
  <si>
    <t>2011-050501</t>
  </si>
  <si>
    <t>U RFA-P 11-31</t>
  </si>
  <si>
    <t>HONB</t>
  </si>
  <si>
    <t>GABRIELLA GENTRY</t>
  </si>
  <si>
    <t>2011-050502</t>
  </si>
  <si>
    <t>U RFA-P 11-32</t>
  </si>
  <si>
    <t>NOTIFICATION TO TENANTS</t>
  </si>
  <si>
    <t>2011-050901</t>
  </si>
  <si>
    <t>S RFO-P 11-6</t>
  </si>
  <si>
    <t>REAPPORTIONMENT COMMISSION</t>
  </si>
  <si>
    <t>SUBJECT TO SL</t>
  </si>
  <si>
    <t>2011-051901</t>
  </si>
  <si>
    <t>APPEAL 11-29</t>
  </si>
  <si>
    <t>KEAWAKAPU ARTIFICIAL REEF</t>
  </si>
  <si>
    <t>CMA/JZB</t>
  </si>
  <si>
    <t>2011-052301</t>
  </si>
  <si>
    <t>U RFA-P 11-33</t>
  </si>
  <si>
    <t>FEES FOR DOCS</t>
  </si>
  <si>
    <t>2011-052401</t>
  </si>
  <si>
    <t>APPEAL 11-30</t>
  </si>
  <si>
    <t>92F-13</t>
  </si>
  <si>
    <t>2011-052501</t>
  </si>
  <si>
    <t>APPEAL 11-31</t>
  </si>
  <si>
    <t>COMMUNICATIONS PERTAINING TO REQUEST</t>
  </si>
  <si>
    <t>2011-052502</t>
  </si>
  <si>
    <t>U RFA-P 11-34</t>
  </si>
  <si>
    <t>AG'S REPORTS</t>
  </si>
  <si>
    <t>2011-052601</t>
  </si>
  <si>
    <t>ACCESSTO DOH DATABASE</t>
  </si>
  <si>
    <t>OUTSIDE OIP'S JURISDICTION</t>
  </si>
  <si>
    <t>2011-060101</t>
  </si>
  <si>
    <t>APPEAL 11-32</t>
  </si>
  <si>
    <t>RADIATION REPORT</t>
  </si>
  <si>
    <t>2011-060201</t>
  </si>
  <si>
    <t>NOT A UIPA REQUEST</t>
  </si>
  <si>
    <t>2011-060301</t>
  </si>
  <si>
    <t>NON-CERTIFIED ABBREV BIRTH CERT</t>
  </si>
  <si>
    <t>SUSAN NORDYKE</t>
  </si>
  <si>
    <t>2011-062001</t>
  </si>
  <si>
    <t>OUTSIDE UIPA</t>
  </si>
  <si>
    <t>HIPAA-OUTSIDE JURISDICTION</t>
  </si>
  <si>
    <t>2011-062002</t>
  </si>
  <si>
    <t>S RFO-G 11-3</t>
  </si>
  <si>
    <t>AMEND AGENDA &amp;TAKE VOTE AT MTG</t>
  </si>
  <si>
    <t>2011-062003</t>
  </si>
  <si>
    <t>VICTIMS LTRS TO HPA</t>
  </si>
  <si>
    <t>2011-062004</t>
  </si>
  <si>
    <t>U RFO-G 11-4</t>
  </si>
  <si>
    <t>SHARING OF CONFIDENTIAL INFO</t>
  </si>
  <si>
    <t>2011-062102</t>
  </si>
  <si>
    <t>U RFO-G 11-5</t>
  </si>
  <si>
    <t>CPA LETTER</t>
  </si>
  <si>
    <t>PUBLIC?</t>
  </si>
  <si>
    <t>2011-062103</t>
  </si>
  <si>
    <t>INSUFFICIENT UIPA REQUEST</t>
  </si>
  <si>
    <t>2011-062104</t>
  </si>
  <si>
    <t>NO SUNSHINE VIOLATION</t>
  </si>
  <si>
    <t>2011-063001</t>
  </si>
  <si>
    <t>U RFO-P 11-7</t>
  </si>
  <si>
    <t>PROPER RELEASE OF RECORDS</t>
  </si>
  <si>
    <t>2011-071101</t>
  </si>
  <si>
    <t>APPEAL 12-1</t>
  </si>
  <si>
    <t>AG ADVISORY LTR</t>
  </si>
  <si>
    <t>2011-071301</t>
  </si>
  <si>
    <t>APPEAL 12-2</t>
  </si>
  <si>
    <t>REDACTED LICENSE</t>
  </si>
  <si>
    <t>REDACTED CERTIFICATIONS</t>
  </si>
  <si>
    <t>2011-071302</t>
  </si>
  <si>
    <t>SL TRNG 7/19/11</t>
  </si>
  <si>
    <t>BOARD OF EDUCATION</t>
  </si>
  <si>
    <t>2011-072101</t>
  </si>
  <si>
    <t>APPEAL 12-3</t>
  </si>
  <si>
    <t>AG OPINION HEADERS</t>
  </si>
  <si>
    <t>FIANCIAL STMT FY10</t>
  </si>
  <si>
    <t>MKH/LHJ/JZB</t>
  </si>
  <si>
    <t>2011-072102</t>
  </si>
  <si>
    <t>S INVES-P 12-1</t>
  </si>
  <si>
    <t>U RFA-P 12-1</t>
  </si>
  <si>
    <t>BOUNDARY INTERPRETATION</t>
  </si>
  <si>
    <t>AHUPUAA OF LELEULI</t>
  </si>
  <si>
    <t>2011-072601</t>
  </si>
  <si>
    <t>U RFA-P 12-2</t>
  </si>
  <si>
    <t>INCIDENT REPORT 12/15/11</t>
  </si>
  <si>
    <t>2011-072701</t>
  </si>
  <si>
    <t>S INVES-G 12-1</t>
  </si>
  <si>
    <t>KIONI DUDLEY</t>
  </si>
  <si>
    <t>VIOLATION OF SL</t>
  </si>
  <si>
    <t>2011-080101</t>
  </si>
  <si>
    <t>U RFO-P 12-1</t>
  </si>
  <si>
    <t>IDENTITY OF SOURCE</t>
  </si>
  <si>
    <t>LRO</t>
  </si>
  <si>
    <t>MKH/LHJ</t>
  </si>
  <si>
    <t>2011-080501</t>
  </si>
  <si>
    <t>U RFA-P 12-3</t>
  </si>
  <si>
    <t>APPLICANT CV'S</t>
  </si>
  <si>
    <t>NUMBER OF APPLICANTS</t>
  </si>
  <si>
    <t>2011-080901</t>
  </si>
  <si>
    <t>APPEAL 12-4</t>
  </si>
  <si>
    <t>AWAHNEE OCEANIC, INC</t>
  </si>
  <si>
    <t>ACCOUNTS RECEIVABLE</t>
  </si>
  <si>
    <t>2011-081001</t>
  </si>
  <si>
    <t>U RFA-P 12-4</t>
  </si>
  <si>
    <t>IACUC MEMBERS AND MINUTES</t>
  </si>
  <si>
    <t>TRAP CAT PLAN</t>
  </si>
  <si>
    <t>2011-081002</t>
  </si>
  <si>
    <t>APPEAL 12-5</t>
  </si>
  <si>
    <t>IME PROVIDER NAMES</t>
  </si>
  <si>
    <t>2011-080301</t>
  </si>
  <si>
    <t>DPP MAYOR'S ADVISORY COUNCIL</t>
  </si>
  <si>
    <t>NOT SUBJECT TO SL</t>
  </si>
  <si>
    <t>2011-081601</t>
  </si>
  <si>
    <t>APPEAL 12-6</t>
  </si>
  <si>
    <t>FUDDY CALENDAR</t>
  </si>
  <si>
    <t>PERSONAL CAL DENIED</t>
  </si>
  <si>
    <t>2011-082201</t>
  </si>
  <si>
    <t>U RFA-P 12-5</t>
  </si>
  <si>
    <t>JESSE REYNOLD'S POLICE RPT</t>
  </si>
  <si>
    <t>2011-082202</t>
  </si>
  <si>
    <t>OHA employee salaries public</t>
  </si>
  <si>
    <t>2011-082203</t>
  </si>
  <si>
    <t>U RFA-P 12-6</t>
  </si>
  <si>
    <t>SURF EVENT PERMITS</t>
  </si>
  <si>
    <t>2011-082301</t>
  </si>
  <si>
    <t>S INVES-P 12-2</t>
  </si>
  <si>
    <t>DBEDT-SBRRB</t>
  </si>
  <si>
    <t>INADEQUATE AGENDA</t>
  </si>
  <si>
    <t>2011-082401</t>
  </si>
  <si>
    <t>1CC11-1-1871-08</t>
  </si>
  <si>
    <t>2011-090701</t>
  </si>
  <si>
    <t>U RFA-P 12-7</t>
  </si>
  <si>
    <t>REPORT BY ACCUITY, LLC</t>
  </si>
  <si>
    <t>SY 2006-2007</t>
  </si>
  <si>
    <t>2011-090702</t>
  </si>
  <si>
    <t>S INVES-P 12-3</t>
  </si>
  <si>
    <t>INSUFFICIENT AGENDA FOR 9/9/11</t>
  </si>
  <si>
    <t>2011-090901</t>
  </si>
  <si>
    <t>APPEAL 12-8</t>
  </si>
  <si>
    <t>GET EXEMPTIONS</t>
  </si>
  <si>
    <t>2011-091301</t>
  </si>
  <si>
    <t>HPA RECORDS</t>
  </si>
  <si>
    <t>2011-092601</t>
  </si>
  <si>
    <t>APPEAL 12-9</t>
  </si>
  <si>
    <t>COUNSEL-H</t>
  </si>
  <si>
    <t>COMMUNICATIONS FIRE &amp; COUNSEL</t>
  </si>
  <si>
    <t>NO BURN PROCLAMATION</t>
  </si>
  <si>
    <t>JZB/PONG/MKH/LHJ</t>
  </si>
  <si>
    <t>2011-101001</t>
  </si>
  <si>
    <t>NO. 11-1-1490-07</t>
  </si>
  <si>
    <t>2011-101201</t>
  </si>
  <si>
    <t>PUBLIC INTERST $60 WAIVER</t>
  </si>
  <si>
    <t>2011-101202</t>
  </si>
  <si>
    <t>APPEAL 12-10</t>
  </si>
  <si>
    <t>HEADLAN HEALTH FOUNDATION DOCS</t>
  </si>
  <si>
    <t>PONG/LLA</t>
  </si>
  <si>
    <t>2011-101301</t>
  </si>
  <si>
    <t>U RFA-P 12-8</t>
  </si>
  <si>
    <t>PSD-Sheriff</t>
  </si>
  <si>
    <t>ACCIDENT RPT</t>
  </si>
  <si>
    <t>#SD 09-04388 ICF</t>
  </si>
  <si>
    <t>2011-101401</t>
  </si>
  <si>
    <t>S INVES-P 12-4</t>
  </si>
  <si>
    <t>10/5/11 MTG</t>
  </si>
  <si>
    <t>NO NOTICE OF ADJOUNMENT</t>
  </si>
  <si>
    <t>2011-101901</t>
  </si>
  <si>
    <t>S INVES-P 12-5</t>
  </si>
  <si>
    <t>NOT ALLOWED TO READ TESTIMONY</t>
  </si>
  <si>
    <t>2011-102402</t>
  </si>
  <si>
    <t>S INVES-P 12-6</t>
  </si>
  <si>
    <t>INSUFFICIENT AGENDA</t>
  </si>
  <si>
    <t>10/28/11 MEETING</t>
  </si>
  <si>
    <t>2011-103101</t>
  </si>
  <si>
    <t>S RFO-G 12-1</t>
  </si>
  <si>
    <t>NELHA'S RAC COMMITTEE</t>
  </si>
  <si>
    <t>2011-110701</t>
  </si>
  <si>
    <t>S INVES-P 12-7</t>
  </si>
  <si>
    <t>11/10/2011 MTG</t>
  </si>
  <si>
    <t>2011-110702</t>
  </si>
  <si>
    <t>APPEAL 12-11</t>
  </si>
  <si>
    <t>OCEANIT REV MITIGATION PLAN</t>
  </si>
  <si>
    <t>DENIED TILL FINAL</t>
  </si>
  <si>
    <t>2011-110901</t>
  </si>
  <si>
    <t>U RFA-P 12-9</t>
  </si>
  <si>
    <t>NMLS UNIQUE IDENTITY NUMBERS</t>
  </si>
  <si>
    <t>MU4 APPLICATIONS</t>
  </si>
  <si>
    <t>2011-111401</t>
  </si>
  <si>
    <t>U RFA-P 12-10</t>
  </si>
  <si>
    <t>VESSEL LINDA DISPOSAL</t>
  </si>
  <si>
    <t>VESSEL EL LOBO REGISTRATION</t>
  </si>
  <si>
    <t>2011-111402</t>
  </si>
  <si>
    <t>S RFO-P 12-2</t>
  </si>
  <si>
    <t>UH-CTAHR</t>
  </si>
  <si>
    <t>MAUI MASTER GARDENER ADVISORY BRD</t>
  </si>
  <si>
    <t>SUBJECT TO SUNSHINE LAW?</t>
  </si>
  <si>
    <t>2011-111501</t>
  </si>
  <si>
    <t>U RFA-P 12-11</t>
  </si>
  <si>
    <t>AWAHNEE OCEANIC INC.</t>
  </si>
  <si>
    <t>2011-112101</t>
  </si>
  <si>
    <t>S INVES-P 12-8</t>
  </si>
  <si>
    <t>NCO-NB#11</t>
  </si>
  <si>
    <t>BILL 54 ADDED TO AGENDA AT MEETING</t>
  </si>
  <si>
    <t>VIOLATION OF SL?</t>
  </si>
  <si>
    <t>2011-120101</t>
  </si>
  <si>
    <t>NMLS ISSUE ALREADY ADDRESSED</t>
  </si>
  <si>
    <t>2011-120601</t>
  </si>
  <si>
    <t>S RFO-G 12-2</t>
  </si>
  <si>
    <t>RPT ADVISORY COMMISSION SUBJECT TO SUNSHINE?</t>
  </si>
  <si>
    <t>2011-120701</t>
  </si>
  <si>
    <t>U RFA-P 12-12</t>
  </si>
  <si>
    <t>STEPHEN SCHATZ</t>
  </si>
  <si>
    <t>SELECTION &amp; APPT. DOCS</t>
  </si>
  <si>
    <t>2011-120702</t>
  </si>
  <si>
    <t>U RFA-P 12-13</t>
  </si>
  <si>
    <t>RACE TO THE TOP FUNDING</t>
  </si>
  <si>
    <t>2011-120703</t>
  </si>
  <si>
    <t>U RFA-P 12-14</t>
  </si>
  <si>
    <t>EMERGENCY PROCLAMATIONS</t>
  </si>
  <si>
    <t>2011-120704</t>
  </si>
  <si>
    <t>U RFA-P 12-15</t>
  </si>
  <si>
    <t>ENV SER-HON</t>
  </si>
  <si>
    <t>SAND ISLE WASTE WATER PLANT</t>
  </si>
  <si>
    <t>VIDEOS &amp; PHOTOS</t>
  </si>
  <si>
    <t>2011-120705</t>
  </si>
  <si>
    <t>APPEAL 12-12</t>
  </si>
  <si>
    <t>MAYOR'S PUBLIC SCHEDULE</t>
  </si>
  <si>
    <t>DENIED-ONLY GIVEN TO MEDIA</t>
  </si>
  <si>
    <t>2011-120901</t>
  </si>
  <si>
    <t>6/15/12</t>
  </si>
  <si>
    <t>2011-121201</t>
  </si>
  <si>
    <t>U RFA-P 12-16</t>
  </si>
  <si>
    <t>REED'S BAY WAIT LIST</t>
  </si>
  <si>
    <t>2011-121202</t>
  </si>
  <si>
    <t>FOREST STEWARDSHIP ADVISORY COMM</t>
  </si>
  <si>
    <t>1/20/2012</t>
  </si>
  <si>
    <t>2011-121301</t>
  </si>
  <si>
    <t>U RFA-P 12-17</t>
  </si>
  <si>
    <t>N-848 POWER OF ATTORNEY</t>
  </si>
  <si>
    <t>2011-121302</t>
  </si>
  <si>
    <t>U RFA-P 12-18</t>
  </si>
  <si>
    <t>LAW OR STATUTE AUTHORIZING RELEASE</t>
  </si>
  <si>
    <t>HI INFO CONSORTIUM, HI COMPLIANCE EXPRESS</t>
  </si>
  <si>
    <t>2011-121303</t>
  </si>
  <si>
    <t>S RFO-P 12-3</t>
  </si>
  <si>
    <t>AGENDA FOR DEC. 9TH MTG</t>
  </si>
  <si>
    <t>LHJ/LLA</t>
  </si>
  <si>
    <t>2011-121601</t>
  </si>
  <si>
    <t>U RFO-G 12-3</t>
  </si>
  <si>
    <t>ACM LIST</t>
  </si>
  <si>
    <t>2011-121901</t>
  </si>
  <si>
    <t>U RFA-P 12-19</t>
  </si>
  <si>
    <t>HI TECH ACADEMY DOCS</t>
  </si>
  <si>
    <t>2012-010301</t>
  </si>
  <si>
    <t>1/10/12</t>
  </si>
  <si>
    <t>2012-010901</t>
  </si>
  <si>
    <t>SUNAHARA BIRTH CERT.</t>
  </si>
  <si>
    <t>CIVIL NO. 12-1-0006-01</t>
  </si>
  <si>
    <t>2012-011001</t>
  </si>
  <si>
    <t>S INVES-P 12-9</t>
  </si>
  <si>
    <t>PUBLIC LAND DEVELOPMENT CORP.</t>
  </si>
  <si>
    <t>DEC. 29, 2011 MTG</t>
  </si>
  <si>
    <t>2012-011101</t>
  </si>
  <si>
    <t>U RFO-P 12-4</t>
  </si>
  <si>
    <t>CD REQUEST</t>
  </si>
  <si>
    <t>NO VIOLATION</t>
  </si>
  <si>
    <t>2012-011102</t>
  </si>
  <si>
    <t>APPEAL 12-13</t>
  </si>
  <si>
    <t>COACH CHOW'S BASE SALARY</t>
  </si>
  <si>
    <t>2012-011301</t>
  </si>
  <si>
    <t>U RFO-P 12-5</t>
  </si>
  <si>
    <t>UH FOOTBALL COACH CONTRACT</t>
  </si>
  <si>
    <t>SALARY REDACTED</t>
  </si>
  <si>
    <t>2012-011701</t>
  </si>
  <si>
    <t>U RFA-P 12-20</t>
  </si>
  <si>
    <t>DLNR-SHPDA</t>
  </si>
  <si>
    <t>APPROPRIATIONS</t>
  </si>
  <si>
    <t>SPENDING PLAN</t>
  </si>
  <si>
    <t>2012-011901</t>
  </si>
  <si>
    <t>U RFA-P 12-21</t>
  </si>
  <si>
    <t>RON AGOR DOCS</t>
  </si>
  <si>
    <t>2012-012701</t>
  </si>
  <si>
    <t>U RFA-P 12-22</t>
  </si>
  <si>
    <t>DRAFT MINUTES</t>
  </si>
  <si>
    <t>CWRM MTG 12/21/11</t>
  </si>
  <si>
    <t>2012-013001</t>
  </si>
  <si>
    <t>S INVES-P 12-10</t>
  </si>
  <si>
    <t>MKH/LHJ/CMA</t>
  </si>
  <si>
    <t>2012-013002</t>
  </si>
  <si>
    <t>S INVES-P 12-11</t>
  </si>
  <si>
    <t>CWRM AGENDA</t>
  </si>
  <si>
    <t>2012-013003</t>
  </si>
  <si>
    <t>U RFA-P 12-23</t>
  </si>
  <si>
    <t>ITEM J-1</t>
  </si>
  <si>
    <t>1/27/11 AGENDA</t>
  </si>
  <si>
    <t>2012-020201</t>
  </si>
  <si>
    <t>S INVES-P 12-12</t>
  </si>
  <si>
    <t>11/10/11 BLNR AGENDA</t>
  </si>
  <si>
    <t>2012-020701</t>
  </si>
  <si>
    <t>MOLOKAI POLICE RECORDS</t>
  </si>
  <si>
    <t>2012-020801</t>
  </si>
  <si>
    <t>APPEAL 12-14</t>
  </si>
  <si>
    <t>POLICE RECORDS CHANDLER-TANIGUCHI</t>
  </si>
  <si>
    <t>DEC 2, 2011 SHOOTING</t>
  </si>
  <si>
    <t>2012-020902</t>
  </si>
  <si>
    <t>S INVES-P 12-13</t>
  </si>
  <si>
    <t>BILL 270</t>
  </si>
  <si>
    <t>2012-021601</t>
  </si>
  <si>
    <t>U RFA-P 12-24</t>
  </si>
  <si>
    <t>ORGANIZATIONAL CHART</t>
  </si>
  <si>
    <t>2012-021701</t>
  </si>
  <si>
    <t>U RFA-P 12-25</t>
  </si>
  <si>
    <t>DOE POLICIES</t>
  </si>
  <si>
    <t>2012-022201</t>
  </si>
  <si>
    <t>S INVES-P 12-14</t>
  </si>
  <si>
    <t>HEALTH CONNECTOR BOARD</t>
  </si>
  <si>
    <t>SUBJECT TO SL/AGENDA SUFFICIENT</t>
  </si>
  <si>
    <t>2012-022202</t>
  </si>
  <si>
    <t>S INVES-G 12-2</t>
  </si>
  <si>
    <t>SUBJECT TO SL/SUFFICIENT AGENDA</t>
  </si>
  <si>
    <t>2012-022203</t>
  </si>
  <si>
    <t>U RFA-P 12-26</t>
  </si>
  <si>
    <t>IT-KAUAI</t>
  </si>
  <si>
    <t>PROS. ISERI-CARVALHO AND DELAPLANE EMAILS</t>
  </si>
  <si>
    <t>2012-022204</t>
  </si>
  <si>
    <t>U RFA-P 12-27</t>
  </si>
  <si>
    <t>FINANCE-K</t>
  </si>
  <si>
    <t>ISERI-CARVALHO TRAVEL EXPENSES</t>
  </si>
  <si>
    <t>2012-022205</t>
  </si>
  <si>
    <t>U RFA-P 12-28</t>
  </si>
  <si>
    <t>PROS-K</t>
  </si>
  <si>
    <t>VOCA BUDGET</t>
  </si>
  <si>
    <t>DOCS PAID BUT NOT RECEIVED</t>
  </si>
  <si>
    <t>2012-022701</t>
  </si>
  <si>
    <t>PET POLICY</t>
  </si>
  <si>
    <t>MAKE CURRENT REQUEST</t>
  </si>
  <si>
    <t>2012-022702</t>
  </si>
  <si>
    <t>PUBLIC HEARING ON PET POLICY</t>
  </si>
  <si>
    <t>2012-022703</t>
  </si>
  <si>
    <t>U RFA-P 12-29</t>
  </si>
  <si>
    <t>MILLENIUM SECURITY CONTRACT</t>
  </si>
  <si>
    <t>2012-022901</t>
  </si>
  <si>
    <t>APPEAL 12-15</t>
  </si>
  <si>
    <t>DOE-HTA</t>
  </si>
  <si>
    <t>VIDEO FOOTAGE</t>
  </si>
  <si>
    <t>CHECKS</t>
  </si>
  <si>
    <t>2012-030101</t>
  </si>
  <si>
    <t>DISCLOSURE OF PERSONAL INFO</t>
  </si>
  <si>
    <t>2012-030701</t>
  </si>
  <si>
    <t>APPEAL 12-16</t>
  </si>
  <si>
    <t>NMLO'S NOT PROCESSED</t>
  </si>
  <si>
    <t>2012-030702</t>
  </si>
  <si>
    <t>U RFA-P 12-30</t>
  </si>
  <si>
    <t>ALLEGATION ABOUT COMPUTER SOFTWARE</t>
  </si>
  <si>
    <t>2012-030703</t>
  </si>
  <si>
    <t>U RFA-P 12-31</t>
  </si>
  <si>
    <t>2012-030704</t>
  </si>
  <si>
    <t>U RFA-P 12-32</t>
  </si>
  <si>
    <t>10/26/11 MTG NOTES BY GAIL LEE</t>
  </si>
  <si>
    <t>2012-031201</t>
  </si>
  <si>
    <t>U RFA-P 12-34</t>
  </si>
  <si>
    <t>2/24/12 AMENDED AGENDA</t>
  </si>
  <si>
    <t>2012-301202</t>
  </si>
  <si>
    <t>U RFA-P 12-33</t>
  </si>
  <si>
    <t>EVIDENCE</t>
  </si>
  <si>
    <t>DECISION &amp; ORDER DTD 8/5/10</t>
  </si>
  <si>
    <t>2012-031302</t>
  </si>
  <si>
    <t>RECON OF OIP OP. LTR. NO. 95-13</t>
  </si>
  <si>
    <t>2012-031402</t>
  </si>
  <si>
    <t>S INVES-P 12-15</t>
  </si>
  <si>
    <t>DEC. 9, 2011 AGENDA</t>
  </si>
  <si>
    <t>ITEM "C" &amp; "H"</t>
  </si>
  <si>
    <t>2012-031403</t>
  </si>
  <si>
    <t>HPHA LIST OF APPROVED ASSOC.</t>
  </si>
  <si>
    <t>2012-031501</t>
  </si>
  <si>
    <t>U RFO-P 12-6</t>
  </si>
  <si>
    <t>2012-031901</t>
  </si>
  <si>
    <t>U RFA-P 12-35</t>
  </si>
  <si>
    <t>COMPLAINT MADE BY TRUDY SHUMAN</t>
  </si>
  <si>
    <t>2012-032001</t>
  </si>
  <si>
    <t>U RFA-P 12-36</t>
  </si>
  <si>
    <t>COMPLAINTS MADE ABOUT HERSELF</t>
  </si>
  <si>
    <t>2012-032101</t>
  </si>
  <si>
    <t>UIPA REQUEST LOG FORM</t>
  </si>
  <si>
    <t>2012-032701</t>
  </si>
  <si>
    <t>U RFA-P 12-37</t>
  </si>
  <si>
    <t>HAWAII REGOINAL CENTER</t>
  </si>
  <si>
    <t>2012-032901</t>
  </si>
  <si>
    <t>U RFO-P 12-7</t>
  </si>
  <si>
    <t>ALLEGED NON-RESPONSIVE RECORDS</t>
  </si>
  <si>
    <t>$2.50 REFUND</t>
  </si>
  <si>
    <t>2012-041101</t>
  </si>
  <si>
    <t>U RFA-P 12-38</t>
  </si>
  <si>
    <t>OBAMA'S BC DOCS</t>
  </si>
  <si>
    <t>2012-041201</t>
  </si>
  <si>
    <t>U RFA-P 12-39</t>
  </si>
  <si>
    <t>DOE-CSAO</t>
  </si>
  <si>
    <t>FINANCIAL FY 10 &amp; 11</t>
  </si>
  <si>
    <t>2012-041801</t>
  </si>
  <si>
    <t>S INVES-P 12-16</t>
  </si>
  <si>
    <t>SL VIOLATION</t>
  </si>
  <si>
    <t>2012-042501</t>
  </si>
  <si>
    <t>APPEAL 12-17</t>
  </si>
  <si>
    <t>CASE FILE</t>
  </si>
  <si>
    <t>2012-042602</t>
  </si>
  <si>
    <t>COX COMPLAINT</t>
  </si>
  <si>
    <t>NCO TO PROVIDE DOCS</t>
  </si>
  <si>
    <t>2012-050401</t>
  </si>
  <si>
    <t>CIVIL NO. 12-1-1161-04 RAN</t>
  </si>
  <si>
    <t>2012-051001</t>
  </si>
  <si>
    <t>APPEAL 12-18</t>
  </si>
  <si>
    <t>DPP</t>
  </si>
  <si>
    <t>VIOLATION NOTICES</t>
  </si>
  <si>
    <t>REVISED PLANS DENIED</t>
  </si>
  <si>
    <t>2012-051401</t>
  </si>
  <si>
    <t>U RFA-P 12-40</t>
  </si>
  <si>
    <t>ACT 120 SESSION LAWS 2009</t>
  </si>
  <si>
    <t>2012-051801</t>
  </si>
  <si>
    <t>S RFO-G 12-4</t>
  </si>
  <si>
    <t>PROCUREMENT PROCESS</t>
  </si>
  <si>
    <t>EXEC. SESSION</t>
  </si>
  <si>
    <t>2012-052101</t>
  </si>
  <si>
    <t>APPEAL 12-19</t>
  </si>
  <si>
    <t>APPEAL OF DENIAL</t>
  </si>
  <si>
    <t>DHA/MKH/LHJ</t>
  </si>
  <si>
    <t>2012-053001</t>
  </si>
  <si>
    <t>U RFO-G 12-5</t>
  </si>
  <si>
    <t>DISCLOSURE OF JUDGES BIRTHDATES</t>
  </si>
  <si>
    <t>2012-053002</t>
  </si>
  <si>
    <t>U RFO-P 12-8</t>
  </si>
  <si>
    <t>OPINION ON REDACTIONS</t>
  </si>
  <si>
    <t>2012-053101</t>
  </si>
  <si>
    <t>U RFA-P 12-41</t>
  </si>
  <si>
    <t>GOV'S APPROVAL FOR HEARINGS</t>
  </si>
  <si>
    <t>2012-060501</t>
  </si>
  <si>
    <t>U RFA-P 12-42</t>
  </si>
  <si>
    <t>POHAKU DOCS</t>
  </si>
  <si>
    <t>NARROWED REQUEST NOT ANSWERED</t>
  </si>
  <si>
    <t>2012-061201</t>
  </si>
  <si>
    <t>APPEAL 12-20</t>
  </si>
  <si>
    <t>REDACTED/WITHHELD EMAILS</t>
  </si>
  <si>
    <t>2012-061401</t>
  </si>
  <si>
    <t>U RFA-P 12-43</t>
  </si>
  <si>
    <t>PTSD MEDICAL MARIJUANA PROGRAM</t>
  </si>
  <si>
    <t>2012-061402</t>
  </si>
  <si>
    <t>U RFA-P 12-44</t>
  </si>
  <si>
    <t>WORKS-K</t>
  </si>
  <si>
    <t>PAVING &amp; RESTORATION</t>
  </si>
  <si>
    <t>MANO KALANIPO PARK</t>
  </si>
  <si>
    <t>2012-061801</t>
  </si>
  <si>
    <t>CCA POLICIES AND PROCEDURES</t>
  </si>
  <si>
    <t>2012-062201</t>
  </si>
  <si>
    <t>U RFA-P 12-45</t>
  </si>
  <si>
    <t>PLDC'S GOV'S APPROVAL FOR HEARING</t>
  </si>
  <si>
    <t>2012-070301</t>
  </si>
  <si>
    <t>APPEAL 13-1</t>
  </si>
  <si>
    <t>CONSULTANT RPT ON TIMESHARE</t>
  </si>
  <si>
    <t>PONG/CMA</t>
  </si>
  <si>
    <t>2012-070501</t>
  </si>
  <si>
    <t>U RFA-P 13-1</t>
  </si>
  <si>
    <t>TRO</t>
  </si>
  <si>
    <t>2012-070601</t>
  </si>
  <si>
    <t>APPEAL 13-2</t>
  </si>
  <si>
    <t>DENIAL OF DISCLOSURE</t>
  </si>
  <si>
    <t>2012-071001</t>
  </si>
  <si>
    <t>APPEAL 13-3</t>
  </si>
  <si>
    <t>2012-071201</t>
  </si>
  <si>
    <t>U RFA-P 13-3</t>
  </si>
  <si>
    <t>ISERI-CARVALHO/DELAPLANE EMAILS 5/15/12</t>
  </si>
  <si>
    <t>POHAKU, REFERRALS</t>
  </si>
  <si>
    <t>2012-072301</t>
  </si>
  <si>
    <t>U RFA-P 13-4</t>
  </si>
  <si>
    <t>HUAPALA SENIOR CARE CNTR</t>
  </si>
  <si>
    <t>MAPS, DRAWINGS, PLANS</t>
  </si>
  <si>
    <t>2012-072303</t>
  </si>
  <si>
    <t>APPEAL 13-4</t>
  </si>
  <si>
    <t>FINGERPRINT DATABASE</t>
  </si>
  <si>
    <t>2012-072304</t>
  </si>
  <si>
    <t>APPEAL 13-5</t>
  </si>
  <si>
    <t>2012-072305</t>
  </si>
  <si>
    <t>APPEAL 13-6</t>
  </si>
  <si>
    <t>2012-072601</t>
  </si>
  <si>
    <t>S INVES-P 13-1</t>
  </si>
  <si>
    <t>BILLS 256 &amp; 257</t>
  </si>
  <si>
    <t>DHA</t>
  </si>
  <si>
    <t>2012-072701</t>
  </si>
  <si>
    <t>U RFA-P 13-2</t>
  </si>
  <si>
    <t>LIQC</t>
  </si>
  <si>
    <t>TAPAS BAR LIABILITY INSURANCE</t>
  </si>
  <si>
    <t>LIQC FILES ON TAPAS BAR</t>
  </si>
  <si>
    <t>2012-080101</t>
  </si>
  <si>
    <t>APPEAL 13-7</t>
  </si>
  <si>
    <t>INVESTIGATION RECORDS REDACTED</t>
  </si>
  <si>
    <t>2012-080702</t>
  </si>
  <si>
    <t>U RFA-P 13-5</t>
  </si>
  <si>
    <t>CORRECTION</t>
  </si>
  <si>
    <t>2012-080703</t>
  </si>
  <si>
    <t>U RFO-G 13-1</t>
  </si>
  <si>
    <t>COUNTY CLERK-H</t>
  </si>
  <si>
    <t>GMAIL EMAIL DISCLOSURE</t>
  </si>
  <si>
    <t>TEMP EMPLOYEE</t>
  </si>
  <si>
    <t>CIVIL NO. 12-1-2099-08</t>
  </si>
  <si>
    <t>BOYD/DOE V UH</t>
  </si>
  <si>
    <t>2012-080802</t>
  </si>
  <si>
    <t>NEED TO PROVIDE REQ &amp; RESPONSE</t>
  </si>
  <si>
    <t>2012-080803</t>
  </si>
  <si>
    <t>OMBUDS</t>
  </si>
  <si>
    <t>OUTSIDE OIP JURISDICTION</t>
  </si>
  <si>
    <t>2012-081001</t>
  </si>
  <si>
    <t>U RFA-P 13-6</t>
  </si>
  <si>
    <t>2012-081002</t>
  </si>
  <si>
    <t>U RFA-P 13-7</t>
  </si>
  <si>
    <t>IACUC MEMEBERS</t>
  </si>
  <si>
    <t>7/1/11-5/31/12 MINUTES</t>
  </si>
  <si>
    <t>2012-081301</t>
  </si>
  <si>
    <t>U RFA-P 13-8</t>
  </si>
  <si>
    <t>POHAKU EXPENSES</t>
  </si>
  <si>
    <t>2012-081302</t>
  </si>
  <si>
    <t>APPEAL 13-8</t>
  </si>
  <si>
    <t>DTS-HART</t>
  </si>
  <si>
    <t>PERSONAL SERVICES CONTRACTS WITH HART</t>
  </si>
  <si>
    <t>MARIANI-BELDING ET AL</t>
  </si>
  <si>
    <t>CMA/JZB/CMA</t>
  </si>
  <si>
    <t>2012-081303</t>
  </si>
  <si>
    <t>S RFO-G 13-2</t>
  </si>
  <si>
    <t>SR97 CD2 TASK FORCE SUBJECT TO SL?</t>
  </si>
  <si>
    <t>2012-081401</t>
  </si>
  <si>
    <t>APPEAL 13-9</t>
  </si>
  <si>
    <t>INVESIGATION REPORTS</t>
  </si>
  <si>
    <t>2012-081402</t>
  </si>
  <si>
    <t>RFP RESPONSES</t>
  </si>
  <si>
    <t>NOT A RECORD REQUEST</t>
  </si>
  <si>
    <t>2012-082201</t>
  </si>
  <si>
    <t>APPEAL 13-10</t>
  </si>
  <si>
    <t>CWRM NOMINEES LIST</t>
  </si>
  <si>
    <t>2012-082701</t>
  </si>
  <si>
    <t>CIVIL NO 12-1-0413</t>
  </si>
  <si>
    <t>SEX OFFENDER TREATMENT PROGRAM DATA</t>
  </si>
  <si>
    <t>2012-083001</t>
  </si>
  <si>
    <t>U RFA-P 13-9</t>
  </si>
  <si>
    <t>PARSONS BRINKERHOOF EMPLOYEES</t>
  </si>
  <si>
    <t>2012-090401</t>
  </si>
  <si>
    <t>MAKE WRITTEN REQ TO PSD</t>
  </si>
  <si>
    <t>2012-091201</t>
  </si>
  <si>
    <t>APPEAL 13-11</t>
  </si>
  <si>
    <t>LOGS AND ENTRIES DENIED</t>
  </si>
  <si>
    <t>2012-091202</t>
  </si>
  <si>
    <t>APPEAL 13-12</t>
  </si>
  <si>
    <t>EXEC. SESSION MINUTES ABOUT HIMSELF</t>
  </si>
  <si>
    <t>2012-091203</t>
  </si>
  <si>
    <t>U RFA-P 13-10</t>
  </si>
  <si>
    <t>ARREST RECORD OF 8/29/11</t>
  </si>
  <si>
    <t>2012-091802</t>
  </si>
  <si>
    <t>U RFA-P 13-11</t>
  </si>
  <si>
    <t>AGENCT PROPER RESPONSE</t>
  </si>
  <si>
    <t>WANTS FILE OPEN</t>
  </si>
  <si>
    <t>2012-091803</t>
  </si>
  <si>
    <t>APPEAL 13-13</t>
  </si>
  <si>
    <t>PARSON BRINKERHOFF EMPLOYEE SALARIES</t>
  </si>
  <si>
    <t>DENIED/DOES NOT MAINTAIN RECORDS</t>
  </si>
  <si>
    <t>2012-091901</t>
  </si>
  <si>
    <t>APPEAL 13-14</t>
  </si>
  <si>
    <t>PAVING AND RESTORATION OF MANO KALANIPO</t>
  </si>
  <si>
    <t>2012-091902</t>
  </si>
  <si>
    <t>S INVES-P 13-2</t>
  </si>
  <si>
    <t>DLNR-PLDC</t>
  </si>
  <si>
    <t>PLDC AGENDA</t>
  </si>
  <si>
    <t>9/20/12</t>
  </si>
  <si>
    <t>2012-091903</t>
  </si>
  <si>
    <t>2012-092001</t>
  </si>
  <si>
    <t>S INVES-P 13-3</t>
  </si>
  <si>
    <t>AGENDA FRO 7/25/12</t>
  </si>
  <si>
    <t>2012-092002</t>
  </si>
  <si>
    <t>U RFA-P 13-13</t>
  </si>
  <si>
    <t>ADA EMAILS</t>
  </si>
  <si>
    <t>WAIOLA SBH VIOLATIONS</t>
  </si>
  <si>
    <t>2012-092101</t>
  </si>
  <si>
    <t>U RFA-P 13-14</t>
  </si>
  <si>
    <t>MERRILL PERMIT AND MOORING INFO</t>
  </si>
  <si>
    <t>2012-092401</t>
  </si>
  <si>
    <t>U RFO-G 13-3</t>
  </si>
  <si>
    <t>STEVIE WONDER CONCERT</t>
  </si>
  <si>
    <t>LEG HEARING</t>
  </si>
  <si>
    <t>2012-092801</t>
  </si>
  <si>
    <t>SETTLEMENT AGREEMENTS</t>
  </si>
  <si>
    <t>2012-100301</t>
  </si>
  <si>
    <t>S INVES-G 13-1</t>
  </si>
  <si>
    <t>CONSULT GROUP</t>
  </si>
  <si>
    <t>2012-100302</t>
  </si>
  <si>
    <t>S INVES-G 13-2</t>
  </si>
  <si>
    <t>2012-100401</t>
  </si>
  <si>
    <t>SOCIAL MEDIA POLICY</t>
  </si>
  <si>
    <t>2012-101501</t>
  </si>
  <si>
    <t>S RFO-P 13-1</t>
  </si>
  <si>
    <t>HAWAII HEALTH CONNECTOR SUBJECT TO SL &amp; UIPA</t>
  </si>
  <si>
    <t>2012-101502</t>
  </si>
  <si>
    <t>CONFIDENTIALITY COVENANT</t>
  </si>
  <si>
    <t>2012-101601</t>
  </si>
  <si>
    <t>BOARDS AND COMMISSIONS</t>
  </si>
  <si>
    <t>11/7/2012</t>
  </si>
  <si>
    <t>2012-101901</t>
  </si>
  <si>
    <t>APPEAL 13-15</t>
  </si>
  <si>
    <t>DENIED (changed from U RFA-P 13-10)</t>
  </si>
  <si>
    <t>2012-102201</t>
  </si>
  <si>
    <t>OLELO RECORDS</t>
  </si>
  <si>
    <t>2012-102501</t>
  </si>
  <si>
    <t>U RFO-P 13-2</t>
  </si>
  <si>
    <t>2&gt;50 REFUND</t>
  </si>
  <si>
    <t>2012-102502</t>
  </si>
  <si>
    <t>S INVES-P 13-4</t>
  </si>
  <si>
    <t>10/11/12 PLDC MEETING</t>
  </si>
  <si>
    <t>2012-102901</t>
  </si>
  <si>
    <t>APPEAL 13-16</t>
  </si>
  <si>
    <t>PERSONAL TEST RECORDS</t>
  </si>
  <si>
    <t>2012-110501</t>
  </si>
  <si>
    <t>U RFO-G 13-4</t>
  </si>
  <si>
    <t>COUNCIL ON REVENUES WORKBOOK</t>
  </si>
  <si>
    <t>REQ MADE TO TAX FR SEN. IGE</t>
  </si>
  <si>
    <t>2012-110502</t>
  </si>
  <si>
    <t>U RFA-G 13-1</t>
  </si>
  <si>
    <t>COUNTY ATTY-K</t>
  </si>
  <si>
    <t>2012-110901</t>
  </si>
  <si>
    <t>S INVES-P 13-5</t>
  </si>
  <si>
    <t>11/13/12 DCAB AGENDA</t>
  </si>
  <si>
    <t>ADEQUACY OF AGENDA</t>
  </si>
  <si>
    <t>U RFA-P 13-15</t>
  </si>
  <si>
    <t>MAILI 1 PLAYGROUND DOX</t>
  </si>
  <si>
    <t>2012-110503</t>
  </si>
  <si>
    <t>NON OIP ISSUES</t>
  </si>
  <si>
    <t>2012-112901</t>
  </si>
  <si>
    <t>APPEAL 13-17</t>
  </si>
  <si>
    <t>HON-BFS</t>
  </si>
  <si>
    <t>AINA HAINA COMM. PARK DOCS</t>
  </si>
  <si>
    <t>2012-112902</t>
  </si>
  <si>
    <t>APPEAL 13-18</t>
  </si>
  <si>
    <t>PROCUREMENT DOCS</t>
  </si>
  <si>
    <t>KPMG SCORES &amp; PROPOSALS</t>
  </si>
  <si>
    <t>2012-112903</t>
  </si>
  <si>
    <t>U RFA-P 13-16</t>
  </si>
  <si>
    <t>2012-120301</t>
  </si>
  <si>
    <t>APPEAL 13-19</t>
  </si>
  <si>
    <t>DISPUTES AMOUNT OF RESPONSIVE RECORDS</t>
  </si>
  <si>
    <t>COMMUNICATIONS FROM HSEO, GOV &amp; HEI</t>
  </si>
  <si>
    <t>2012-120302</t>
  </si>
  <si>
    <t>S INVES-P 13-6</t>
  </si>
  <si>
    <t>2012-120403</t>
  </si>
  <si>
    <t>U RFA-P 13-17</t>
  </si>
  <si>
    <t>LOCATION OF RECORDS</t>
  </si>
  <si>
    <t>2012-120404</t>
  </si>
  <si>
    <t>S INVES-P 13-7</t>
  </si>
  <si>
    <t>DOA-BOA</t>
  </si>
  <si>
    <t>MAILING OF AGENDA</t>
  </si>
  <si>
    <t>2012-121001</t>
  </si>
  <si>
    <t>U RFA-P 13-18</t>
  </si>
  <si>
    <t>DUPLICATE REQ</t>
  </si>
  <si>
    <t>LOBO DEL MAR ESTIMATE TO DISPOSE</t>
  </si>
  <si>
    <t>2012-121002</t>
  </si>
  <si>
    <t>S INVES-P 13-8</t>
  </si>
  <si>
    <t>VIEWS OF PARTICIPANTS</t>
  </si>
  <si>
    <t>2012-121003</t>
  </si>
  <si>
    <t>U RFO-G 13-5</t>
  </si>
  <si>
    <t>POWER POINT PRESENTATION</t>
  </si>
  <si>
    <t>2012-121201</t>
  </si>
  <si>
    <t>U RFO-P 13-3</t>
  </si>
  <si>
    <t>IS KONA SURGERY CENTER AN AGENCY?</t>
  </si>
  <si>
    <t>2012-121801</t>
  </si>
  <si>
    <t>SUBMITTALS NOT ATTACHED</t>
  </si>
  <si>
    <t>NO SL REQUIREMENT</t>
  </si>
  <si>
    <t>2012-121802</t>
  </si>
  <si>
    <t>2012-122101</t>
  </si>
  <si>
    <t>1/9/2013</t>
  </si>
  <si>
    <t>10:30-11 AM</t>
  </si>
  <si>
    <t>2012-122104</t>
  </si>
  <si>
    <t>APPEAL 13-20</t>
  </si>
  <si>
    <t>DOCKET 2012-0157</t>
  </si>
  <si>
    <t>BIG WIND PROJECT</t>
  </si>
  <si>
    <t>2012-122601</t>
  </si>
  <si>
    <t>APPEAL 13-21</t>
  </si>
  <si>
    <t>POLICE OFFICIERS OATHS OF OFFICE</t>
  </si>
  <si>
    <t>DENIED-IN PERSONNEL FILE</t>
  </si>
  <si>
    <t>2012-123101</t>
  </si>
  <si>
    <t>CONFIRM IN WRITING AOD ADVICE</t>
  </si>
  <si>
    <t>HI CENTER FOR NURSING</t>
  </si>
  <si>
    <t>2012-123102</t>
  </si>
  <si>
    <t>LEG RPTING UNDER ACT 164</t>
  </si>
  <si>
    <t>PRIVACY ISSUES</t>
  </si>
  <si>
    <t>2013-010705</t>
  </si>
  <si>
    <t>U RFA-P 13-19</t>
  </si>
  <si>
    <t>COPY OF IMAGE</t>
  </si>
  <si>
    <t>PICTOMTRY</t>
  </si>
  <si>
    <t>2013-010706</t>
  </si>
  <si>
    <t>HOOKELE VESSEL DOCS</t>
  </si>
  <si>
    <t>2013-010801</t>
  </si>
  <si>
    <t>PCARD TRANSACTIONS</t>
  </si>
  <si>
    <t>2013-010802</t>
  </si>
  <si>
    <t>U RFA-P 13-20</t>
  </si>
  <si>
    <t>MEMO REGARDING CATWALK</t>
  </si>
  <si>
    <t>DUPLICATE REQUEST</t>
  </si>
  <si>
    <t>2013-010901</t>
  </si>
  <si>
    <t>SL GUIDANCE</t>
  </si>
  <si>
    <t>QUESTIONS FR MEMBERS</t>
  </si>
  <si>
    <t>2013-011401</t>
  </si>
  <si>
    <t>S RFO-G 13-6</t>
  </si>
  <si>
    <t>IS COUNCIL VIOLATING SL?</t>
  </si>
  <si>
    <t>SUSPENDING RULES</t>
  </si>
  <si>
    <t>2013-012301</t>
  </si>
  <si>
    <t>APPEAL 13-22</t>
  </si>
  <si>
    <t>RULES OF PROCEDURE</t>
  </si>
  <si>
    <t>STUDENT TRIPOD SURVEY</t>
  </si>
  <si>
    <t>2013-012302</t>
  </si>
  <si>
    <t>STANDARDS OF CONDUCT FOR DEPUTY SHERIFFS</t>
  </si>
  <si>
    <t>2013-012501</t>
  </si>
  <si>
    <t>APPEAL 13-23</t>
  </si>
  <si>
    <t>FORMULAS USED FOR TAX ASSESSMENT</t>
  </si>
  <si>
    <t>2013-012901</t>
  </si>
  <si>
    <t>EMAIL OF AGENDA</t>
  </si>
  <si>
    <t>APPEAL 13-24</t>
  </si>
  <si>
    <t>RECRUITMENT DOCS</t>
  </si>
  <si>
    <t>PAY LEVEL SR TO EM</t>
  </si>
  <si>
    <t>2013-013101</t>
  </si>
  <si>
    <t>U RFA-P 13-21</t>
  </si>
  <si>
    <t>COPIES OF CR NO. 99-2320 &amp; 99-1348</t>
  </si>
  <si>
    <t>2013-020101</t>
  </si>
  <si>
    <t>S INVES-P 13-9</t>
  </si>
  <si>
    <t>NO TESTIMONY ALLOWED ON ITEM 35</t>
  </si>
  <si>
    <t>SL VIOLATION?</t>
  </si>
  <si>
    <t>DHA/LRO/DHA/MKH/LHJ</t>
  </si>
  <si>
    <t>2013-020601</t>
  </si>
  <si>
    <t>AMENDMENT TO RULES</t>
  </si>
  <si>
    <t>RECESSES</t>
  </si>
  <si>
    <t>2013-020602</t>
  </si>
  <si>
    <t>CONFERENCE CALL MTG LOCATION</t>
  </si>
  <si>
    <t>CLARITY OF CALL</t>
  </si>
  <si>
    <t>U RFO-P 13-4</t>
  </si>
  <si>
    <t>IS ALII HEALTH CENTER SUBJECT TO THE UIPA</t>
  </si>
  <si>
    <t>2013-022101</t>
  </si>
  <si>
    <t>S APPEAL 13-1</t>
  </si>
  <si>
    <t>KULA ASSOC. MTG</t>
  </si>
  <si>
    <t>COUNCILMEMBERS ATTENDANCE</t>
  </si>
  <si>
    <t>2013-022103</t>
  </si>
  <si>
    <t>U APPEAL 13-1</t>
  </si>
  <si>
    <t>OFFICER NAMES WHO FAILED DRUG TEST</t>
  </si>
  <si>
    <t>2013-022501</t>
  </si>
  <si>
    <t>U APPEAL 13-2</t>
  </si>
  <si>
    <t>SCHOOL ATTENDANCE BOUNDRIES</t>
  </si>
  <si>
    <t>CURRENT &amp; FY14</t>
  </si>
  <si>
    <t>2013-030101</t>
  </si>
  <si>
    <t>LANGUAGE ACCESS ADVISORY COUNCIL</t>
  </si>
  <si>
    <t>3/6/13 10-10:30</t>
  </si>
  <si>
    <t>2013-030801</t>
  </si>
  <si>
    <t>FOLLOW UP QUESTIONS TO TRNG</t>
  </si>
  <si>
    <t>2013-030802</t>
  </si>
  <si>
    <t>U RFA-P 13-22</t>
  </si>
  <si>
    <t>FIRES AT KAHUKU WINDFARM</t>
  </si>
  <si>
    <t>2013-031301</t>
  </si>
  <si>
    <t>U RFA-P 13-23</t>
  </si>
  <si>
    <t>PERMIT REG SUBMISSIONS</t>
  </si>
  <si>
    <t>2013-031901</t>
  </si>
  <si>
    <t>U RFA-P 13-24</t>
  </si>
  <si>
    <t>MARRIOTT TIMESHARE FOUNDATION PLANS</t>
  </si>
  <si>
    <t>2013-031902</t>
  </si>
  <si>
    <t>S RFO-G 13-7</t>
  </si>
  <si>
    <t>OIMT</t>
  </si>
  <si>
    <t>IT STEERING COMMITTEE</t>
  </si>
  <si>
    <t>SUBJECT TO SL?</t>
  </si>
  <si>
    <t>2013-031903</t>
  </si>
  <si>
    <t>S RFO-G 13-8</t>
  </si>
  <si>
    <t>INFORMATION PRIVACY &amp; SECURITY COUNCIL</t>
  </si>
  <si>
    <t>2013-031904</t>
  </si>
  <si>
    <t>S APPEAL 13-2</t>
  </si>
  <si>
    <t>MARCH 14TH MTG</t>
  </si>
  <si>
    <t>2013-040201</t>
  </si>
  <si>
    <t>U APPEAL 13-3</t>
  </si>
  <si>
    <t>REPORTS MADE BY HIM</t>
  </si>
  <si>
    <t>2013-040203</t>
  </si>
  <si>
    <t>KONA COMMUNITY HOSPITAL BOARD OF DIRECTORS MINUTES</t>
  </si>
  <si>
    <t>MARCH 14, 2013</t>
  </si>
  <si>
    <t>2013-040301</t>
  </si>
  <si>
    <t>U APPEAL 13-4</t>
  </si>
  <si>
    <t>WATER COMMISSION NOMINEE LIST</t>
  </si>
  <si>
    <t>2013-040801</t>
  </si>
  <si>
    <t>DID NOT REQUEST A RECORD</t>
  </si>
  <si>
    <t>2013-040802</t>
  </si>
  <si>
    <t>U APPEAL 13-5</t>
  </si>
  <si>
    <t>WITHDRAWN RFP 2738</t>
  </si>
  <si>
    <t>NOT ACCESSIBLE TO PUBLIC</t>
  </si>
  <si>
    <t>RBGG V PSD</t>
  </si>
  <si>
    <t>2013-042202</t>
  </si>
  <si>
    <t>U RFA-P 13-25</t>
  </si>
  <si>
    <t>COMP SHEET/MOORING FEES</t>
  </si>
  <si>
    <t>2013-042203</t>
  </si>
  <si>
    <t>U RFA-P 13-26</t>
  </si>
  <si>
    <t>INTERNAL POLICY ON SOLICITATING TESTIMONY</t>
  </si>
  <si>
    <t>2013-042301</t>
  </si>
  <si>
    <t>S APPEAL 13-3</t>
  </si>
  <si>
    <t>2013-042601</t>
  </si>
  <si>
    <t>NB#25</t>
  </si>
  <si>
    <t>ADDING ITEM ON AGENDA</t>
  </si>
  <si>
    <t>2013-042901</t>
  </si>
  <si>
    <t>TRAVIS WILLIAMSON</t>
  </si>
  <si>
    <t>2013-043001</t>
  </si>
  <si>
    <t>S APPEAL 13-4</t>
  </si>
  <si>
    <t>6 MIN. TESTIMONY</t>
  </si>
  <si>
    <t>BUDGET HEARING</t>
  </si>
  <si>
    <t>2013-050101</t>
  </si>
  <si>
    <t>U RFA-P 13-27</t>
  </si>
  <si>
    <t>KCH BRD MTG MINUTES</t>
  </si>
  <si>
    <t>MARCH 13, 2013</t>
  </si>
  <si>
    <t>2013-050102</t>
  </si>
  <si>
    <t>AGENCY CAN ASSIGN WHO WILL RESPOND</t>
  </si>
  <si>
    <t>U APPEAL 13-6</t>
  </si>
  <si>
    <t>NO COPIES CAN ONLY REVIEW</t>
  </si>
  <si>
    <t>2013-050201</t>
  </si>
  <si>
    <t>AUDITOR-K</t>
  </si>
  <si>
    <t>DISCLOSURE OF RECORDS TO COUNCIL</t>
  </si>
  <si>
    <t>KPD RESTRICTED ACCESS</t>
  </si>
  <si>
    <t>2013-050701</t>
  </si>
  <si>
    <t>U APPEAL 13-7</t>
  </si>
  <si>
    <t>MAYOR'S STAFF NAMES AND SALARIES</t>
  </si>
  <si>
    <t>2013-050901</t>
  </si>
  <si>
    <t>HSBA</t>
  </si>
  <si>
    <t>OCTOBER 8, 2013</t>
  </si>
  <si>
    <t>HSBA CONFERENCE ROOM</t>
  </si>
  <si>
    <t>2013-051001</t>
  </si>
  <si>
    <t>U APPEAL 13-8</t>
  </si>
  <si>
    <t>LESSEE SOLOMONS RECORDS</t>
  </si>
  <si>
    <t>2013-051401</t>
  </si>
  <si>
    <t>S APPEAL 13-5</t>
  </si>
  <si>
    <t>LATE MAILING OF AGENDA</t>
  </si>
  <si>
    <t>2013-051402</t>
  </si>
  <si>
    <t>S APPEAL 13-6</t>
  </si>
  <si>
    <t>NA ALA HELE TRAIL ADVISORY COUNCIL</t>
  </si>
  <si>
    <t>2013-051601</t>
  </si>
  <si>
    <t>U RFA-P 13-28</t>
  </si>
  <si>
    <t>2013-052001</t>
  </si>
  <si>
    <t>CIVIL BEAT ARTICLE 5/15/13</t>
  </si>
  <si>
    <t>LLA QUOTE RE: UH PRESIDENT</t>
  </si>
  <si>
    <t>2013-052002</t>
  </si>
  <si>
    <t>U RFA-P 13-29</t>
  </si>
  <si>
    <t>ACADEMIC GRIEVANCES</t>
  </si>
  <si>
    <t>2013-052003</t>
  </si>
  <si>
    <t>U RFA-P 13-30</t>
  </si>
  <si>
    <t>INFO ON REDUCING SPEED LIMIT</t>
  </si>
  <si>
    <t>2013-052004</t>
  </si>
  <si>
    <t>MEETING CANCELLED</t>
  </si>
  <si>
    <t>2013-052801</t>
  </si>
  <si>
    <t>HISTORIC PRSERVATION DIVISION</t>
  </si>
  <si>
    <t>JUNE 5, 2013</t>
  </si>
  <si>
    <t>2013-052802</t>
  </si>
  <si>
    <t>U APPEAL 13-9</t>
  </si>
  <si>
    <t>FINANCIAL HOLD</t>
  </si>
  <si>
    <t>2013-052901</t>
  </si>
  <si>
    <t>S APPEAL 13-7</t>
  </si>
  <si>
    <t>PERMITTED DISCUSSION?</t>
  </si>
  <si>
    <t>2013-052902</t>
  </si>
  <si>
    <t>VIOLATION OF 92F</t>
  </si>
  <si>
    <t>RE: MICAH AIU</t>
  </si>
  <si>
    <t>2013-052903</t>
  </si>
  <si>
    <t>RELEASE OF INVESTIGATION RPT</t>
  </si>
  <si>
    <t>2013-052904</t>
  </si>
  <si>
    <t>U RFA-P 13-31</t>
  </si>
  <si>
    <t>HEC DATA</t>
  </si>
  <si>
    <t>AGENCY DOES NOT MAINTAIN</t>
  </si>
  <si>
    <t>2013-060401</t>
  </si>
  <si>
    <t>U RFA-P 13-32</t>
  </si>
  <si>
    <t>2013-060601</t>
  </si>
  <si>
    <t>NCO-NBs</t>
  </si>
  <si>
    <t>NB NEW MEMBER TRAINING</t>
  </si>
  <si>
    <t>JUNE 29, 2013</t>
  </si>
  <si>
    <t>2013-061301</t>
  </si>
  <si>
    <t>U RFA-P 13-33</t>
  </si>
  <si>
    <t>ASSISTANCE IN REDACTING INVES RPT</t>
  </si>
  <si>
    <t>OIP OP. NO. F13-01</t>
  </si>
  <si>
    <t>2013-061401</t>
  </si>
  <si>
    <t>DISCIPLINARY ACTION AGAINST HHSC EMPLOYEES</t>
  </si>
  <si>
    <t>2013-061402</t>
  </si>
  <si>
    <t>OPINION ON WEST HI REGIONAL BOARD</t>
  </si>
  <si>
    <t>NOT OIP JURISDICTION</t>
  </si>
  <si>
    <t>2013-061701</t>
  </si>
  <si>
    <t>S APPEAL 13-8</t>
  </si>
  <si>
    <t>2013-061702</t>
  </si>
  <si>
    <t>U RFA-P 13-34</t>
  </si>
  <si>
    <t>GONZALEZ &amp; DIAZ STMTS</t>
  </si>
  <si>
    <t>2013-061901</t>
  </si>
  <si>
    <t>PCARDS</t>
  </si>
  <si>
    <t>ALREADY RESPONDED 3 TIMES</t>
  </si>
  <si>
    <t>2013-061902</t>
  </si>
  <si>
    <t>S APPEAL 13-9</t>
  </si>
  <si>
    <t>MAILING OF JUNE 5, 2013</t>
  </si>
  <si>
    <t>CLAIMS DID NOT RECEIVE</t>
  </si>
  <si>
    <t>2013-061903</t>
  </si>
  <si>
    <t>S APPEAL 13-10</t>
  </si>
  <si>
    <t>MAY 24, 2013</t>
  </si>
  <si>
    <t>2013-062001</t>
  </si>
  <si>
    <t>U APPEAL 13-10</t>
  </si>
  <si>
    <t>ADEQUACY OF SEARCH</t>
  </si>
  <si>
    <t>2013-062002</t>
  </si>
  <si>
    <t>U RFA-P 13-35</t>
  </si>
  <si>
    <t>LIQ-HON</t>
  </si>
  <si>
    <t>CERTIFICATE OF INSURANCE</t>
  </si>
  <si>
    <t>2013-062003</t>
  </si>
  <si>
    <t>U RFA-P 13-36</t>
  </si>
  <si>
    <t>WARRANTS</t>
  </si>
  <si>
    <t>2013-062004</t>
  </si>
  <si>
    <t>U RFA-P 13-37</t>
  </si>
  <si>
    <t>EVICTION FROM DORM</t>
  </si>
  <si>
    <t>CHARGED FOR FULL SEMESTER</t>
  </si>
  <si>
    <t>2013-062005</t>
  </si>
  <si>
    <t>U RFA-P 13-39</t>
  </si>
  <si>
    <t>RECORDS INDICATING DAG</t>
  </si>
  <si>
    <t>2013-062401</t>
  </si>
  <si>
    <t>S APPEAL 13-11</t>
  </si>
  <si>
    <t>TIMING AND LIMITS ON PUBLIC TESTIMONY</t>
  </si>
  <si>
    <t>DHA/JZB</t>
  </si>
  <si>
    <t>2013-062701</t>
  </si>
  <si>
    <t>LETTER FROM DLNR</t>
  </si>
  <si>
    <t>2013-062801</t>
  </si>
  <si>
    <t>NEED TO MAKE REQUEST TO AGENCY</t>
  </si>
  <si>
    <t>2013-070101</t>
  </si>
  <si>
    <t>U RFA-P 14-1</t>
  </si>
  <si>
    <t>WORKMAN'S COMP FILE</t>
  </si>
  <si>
    <t>2013-070201</t>
  </si>
  <si>
    <t>U RFA-P 14-2</t>
  </si>
  <si>
    <t>COST FOR CONTRACTORS</t>
  </si>
  <si>
    <t>FLOODING OF PARKING LOT</t>
  </si>
  <si>
    <t>U RFA-P 14-3</t>
  </si>
  <si>
    <t>COPIES OF UNREDACTED COMPLAINT</t>
  </si>
  <si>
    <t>#083599</t>
  </si>
  <si>
    <t>2013-070301</t>
  </si>
  <si>
    <t>U RFA-P 14-4</t>
  </si>
  <si>
    <t>DONNELLE HOLSTEIN RECORDS</t>
  </si>
  <si>
    <t>MAUI MEMORIAL HOSPITAL</t>
  </si>
  <si>
    <t>2013-070801</t>
  </si>
  <si>
    <t>U RFA-P 14-5</t>
  </si>
  <si>
    <t>DRAFT ORDINANCE</t>
  </si>
  <si>
    <t>2013-071501</t>
  </si>
  <si>
    <t>GOV TRAVEL COSTS</t>
  </si>
  <si>
    <t>APPEAL FEE ESTIMATE</t>
  </si>
  <si>
    <t>2013-071201</t>
  </si>
  <si>
    <t>HRS §706-660</t>
  </si>
  <si>
    <t>LEGISLATIVE INTEREST</t>
  </si>
  <si>
    <t>2013-071601</t>
  </si>
  <si>
    <t>U RFA P 14-6</t>
  </si>
  <si>
    <t>WITNESS STMTS</t>
  </si>
  <si>
    <t>PROBATION RECORDS</t>
  </si>
  <si>
    <t>2013-071701</t>
  </si>
  <si>
    <t>ADVISORY TASK GROUP</t>
  </si>
  <si>
    <t>OPERATION ASSESSMENT &amp; RPT</t>
  </si>
  <si>
    <t>2013-072201</t>
  </si>
  <si>
    <t>SGT. TOLENTINO</t>
  </si>
  <si>
    <t>U APPEAL 14-2</t>
  </si>
  <si>
    <t>CBWC AGREEMENT</t>
  </si>
  <si>
    <t>BASIC TRADES</t>
  </si>
  <si>
    <t>U APPEAL 14-3</t>
  </si>
  <si>
    <t>DOCKET NO. 2010-0304</t>
  </si>
  <si>
    <t>SANDWICH ISLES Q &amp; A</t>
  </si>
  <si>
    <t>2013-072204</t>
  </si>
  <si>
    <t>S RFO-P 14-1</t>
  </si>
  <si>
    <t>UH PRESIDENT</t>
  </si>
  <si>
    <t>EXEC SESSION 7/18/13</t>
  </si>
  <si>
    <t>2013-072205</t>
  </si>
  <si>
    <t>S APPEAL 14-1</t>
  </si>
  <si>
    <t>EXEC SESSION</t>
  </si>
  <si>
    <t>7/18/2013</t>
  </si>
  <si>
    <t>2013-072206</t>
  </si>
  <si>
    <t>U RFA-P 14-7</t>
  </si>
  <si>
    <t>2013-072401</t>
  </si>
  <si>
    <t>U RFA-P 14-8</t>
  </si>
  <si>
    <t>LIST OF ATTENDEES</t>
  </si>
  <si>
    <t>REP. MIZUNO</t>
  </si>
  <si>
    <t>2013-073001</t>
  </si>
  <si>
    <t>U RFA-P 14-9</t>
  </si>
  <si>
    <t>RFP NO. PSD 13-CVCC-25</t>
  </si>
  <si>
    <t>2013-073002</t>
  </si>
  <si>
    <t>UH &amp; APPLE CONTRACT</t>
  </si>
  <si>
    <t>MAKE REQ TO AGENCY</t>
  </si>
  <si>
    <t>2013-080101</t>
  </si>
  <si>
    <t>ACTUAL #2012-1226-01</t>
  </si>
  <si>
    <t>2013-080201</t>
  </si>
  <si>
    <t>SBRRB DID RESPOND</t>
  </si>
  <si>
    <t>ACTUAL #2013-0701-01</t>
  </si>
  <si>
    <t>2013-080202</t>
  </si>
  <si>
    <t>SBRRB SENT NTR</t>
  </si>
  <si>
    <t>ACTUAL 32013-0729-01</t>
  </si>
  <si>
    <t>2013-080203</t>
  </si>
  <si>
    <t>RECORDINGS OF MTGS</t>
  </si>
  <si>
    <t>BLNR RESPONDED</t>
  </si>
  <si>
    <t>2013-080701</t>
  </si>
  <si>
    <t>S APPEAL 14-2</t>
  </si>
  <si>
    <t>BOR EXEC SESSION</t>
  </si>
  <si>
    <t>PRES. GREENWOOD</t>
  </si>
  <si>
    <t>2013-081201</t>
  </si>
  <si>
    <t>U APPEAL 14-4</t>
  </si>
  <si>
    <t>ON GOING INVESTIGATION</t>
  </si>
  <si>
    <t>S APPEAL 14-4</t>
  </si>
  <si>
    <t>RESIDENT ADVISORY BRD</t>
  </si>
  <si>
    <t>AGENDA NOT FILED WITH LG</t>
  </si>
  <si>
    <t>2013-082001</t>
  </si>
  <si>
    <t>S APPEAL 14-5</t>
  </si>
  <si>
    <t>2013-082002</t>
  </si>
  <si>
    <t>DHHL-HHC</t>
  </si>
  <si>
    <t>OIP DOES NOT MAINTAIN OTHER AGENCY RECORDS</t>
  </si>
  <si>
    <t>2013-082201</t>
  </si>
  <si>
    <t>S RFO-G 14-1</t>
  </si>
  <si>
    <t>8/21/13 MTG</t>
  </si>
  <si>
    <t>NOTICE, DEFERAL &amp; AG OPINION</t>
  </si>
  <si>
    <t>2013-082202</t>
  </si>
  <si>
    <t>U APPEAL 14-5</t>
  </si>
  <si>
    <t>RFP-13-HHL-001</t>
  </si>
  <si>
    <t>BIG ISLAND KOA CO.</t>
  </si>
  <si>
    <t>2013-082301</t>
  </si>
  <si>
    <t>S RFO-G 14-2</t>
  </si>
  <si>
    <t>NCO-NB#25</t>
  </si>
  <si>
    <t>ADDING ITEM TO AGENDA</t>
  </si>
  <si>
    <t>DHA/MKH</t>
  </si>
  <si>
    <t>OCEAN RESORT VILLA VACATION V MAUI COUNTY ETAL</t>
  </si>
  <si>
    <t>2CC131000848</t>
  </si>
  <si>
    <t>2013-082701</t>
  </si>
  <si>
    <t>U RFA-G 14-1</t>
  </si>
  <si>
    <t>CWRM NOMINEE LIST</t>
  </si>
  <si>
    <t>2013-082802</t>
  </si>
  <si>
    <t>S APPEAL 14-6</t>
  </si>
  <si>
    <t>2013-083001</t>
  </si>
  <si>
    <t>S APPEAL 14-7</t>
  </si>
  <si>
    <t>DAGS-OIMT</t>
  </si>
  <si>
    <t>2013-083002</t>
  </si>
  <si>
    <t>S APPEAL 14-8</t>
  </si>
  <si>
    <t>2013-090302</t>
  </si>
  <si>
    <t>U RFA-P 14-10</t>
  </si>
  <si>
    <t>KIM PINE DOCS</t>
  </si>
  <si>
    <t>RE: U.S. VETS</t>
  </si>
  <si>
    <t>U APPEAL 14-6</t>
  </si>
  <si>
    <t>3/13/13 WEST HI REGIONAL BRD MTG</t>
  </si>
  <si>
    <t>NO RECORDINGS MADE</t>
  </si>
  <si>
    <t>2013-090601</t>
  </si>
  <si>
    <t>U RFA-P 14-11</t>
  </si>
  <si>
    <t>PRICING BREAKDOWN</t>
  </si>
  <si>
    <t>MARRIOTT PLEDGE</t>
  </si>
  <si>
    <t>2013-090602</t>
  </si>
  <si>
    <t>11/1/2013 1-2 PM</t>
  </si>
  <si>
    <t>2013-090901</t>
  </si>
  <si>
    <t>U APPEAL 14-7</t>
  </si>
  <si>
    <t>CERTIFIED MAILINGS &amp; CONTENTS</t>
  </si>
  <si>
    <t>2013-091202</t>
  </si>
  <si>
    <t>U RFA-P 14-12</t>
  </si>
  <si>
    <t>COMPLAINTS ABOUT ODORS</t>
  </si>
  <si>
    <t>CAN ONLY ASSIST WITH RECORDS</t>
  </si>
  <si>
    <t>2013-091203</t>
  </si>
  <si>
    <t>S APPEAL 14-9</t>
  </si>
  <si>
    <t>PIG ACTION SAME DAY</t>
  </si>
  <si>
    <t>2013-091603</t>
  </si>
  <si>
    <t>U RFA-P 14-13</t>
  </si>
  <si>
    <t>EMAIL &amp; CORR BETWEEN FACULTY</t>
  </si>
  <si>
    <t>REMARKS ABOUTHIS BEHAVIOR &amp; ACADEMIC PERFORMANCE</t>
  </si>
  <si>
    <t>2013-091604</t>
  </si>
  <si>
    <t>S APPEAL 14-10</t>
  </si>
  <si>
    <t>NO PUBLIC TESIMONY</t>
  </si>
  <si>
    <t>NO STREET ADDRESS</t>
  </si>
  <si>
    <t>2013-091605</t>
  </si>
  <si>
    <t>U RFA-P 14-14</t>
  </si>
  <si>
    <t>2013-092601</t>
  </si>
  <si>
    <t>EMAIL NOTICES</t>
  </si>
  <si>
    <t>POSTAL MAILING LISTS</t>
  </si>
  <si>
    <t>2013-091702</t>
  </si>
  <si>
    <t>PSI</t>
  </si>
  <si>
    <t>NON-ADMIN FUNCTION OF COURT</t>
  </si>
  <si>
    <t>2013-092602</t>
  </si>
  <si>
    <t>U RFA-P 14-17</t>
  </si>
  <si>
    <t>CAN'T DECIPHER REQUEST</t>
  </si>
  <si>
    <t>2013-092603</t>
  </si>
  <si>
    <t>2013-092604</t>
  </si>
  <si>
    <t>WASC DOCS</t>
  </si>
  <si>
    <t>NOTICE PROVIDED</t>
  </si>
  <si>
    <t>AKANA V MACHADO ETAL</t>
  </si>
  <si>
    <t>CIVIL NO. 13-1-2485-09</t>
  </si>
  <si>
    <t>U APPEAL 14-8</t>
  </si>
  <si>
    <t>LIST OF FURLOUGH &amp; CMTY CUSTODIANS</t>
  </si>
  <si>
    <t>2013-092607</t>
  </si>
  <si>
    <t>U APPEAL 14-9</t>
  </si>
  <si>
    <t>INVESTIGATIVE DOC</t>
  </si>
  <si>
    <t>DECISION</t>
  </si>
  <si>
    <t>U APPEAL 14-11</t>
  </si>
  <si>
    <t>MINIMUM DECISIION RECORD</t>
  </si>
  <si>
    <t>2013-093002</t>
  </si>
  <si>
    <t>U RFA-P 14-15</t>
  </si>
  <si>
    <t>LTR TO OMBUDSMAN DATED 5/13/13</t>
  </si>
  <si>
    <t>U APPEAL 14-12</t>
  </si>
  <si>
    <t>OFFICER CAMARA MISCONDUCT</t>
  </si>
  <si>
    <t>2013-100302</t>
  </si>
  <si>
    <t>U APPEAL 14-13</t>
  </si>
  <si>
    <t>TRACY TANAKA TRAINING</t>
  </si>
  <si>
    <t>PARTIAL INFO</t>
  </si>
  <si>
    <t>2013-100801</t>
  </si>
  <si>
    <t>UIPA &amp; LOG</t>
  </si>
  <si>
    <t>12/11/13</t>
  </si>
  <si>
    <t>U APPEAL 14-14</t>
  </si>
  <si>
    <t>U APPEAL 14-15</t>
  </si>
  <si>
    <t>NON-ADMIN FUNCTION OF THE COURT</t>
  </si>
  <si>
    <t>2013-100903</t>
  </si>
  <si>
    <t>U APPEAL 14-16</t>
  </si>
  <si>
    <t>HPHA</t>
  </si>
  <si>
    <t>EDUCATION, TRAINING, PRIOR EXPERIENCE</t>
  </si>
  <si>
    <t>PEST CONTROL FILES</t>
  </si>
  <si>
    <t>U APPEAL 14-17</t>
  </si>
  <si>
    <t>VARIOUS REPORTS AND EVALUATIONS</t>
  </si>
  <si>
    <t>2013-101502</t>
  </si>
  <si>
    <t>S APPEAL 14-11</t>
  </si>
  <si>
    <t>EXEC. SESSION AGENDA</t>
  </si>
  <si>
    <t>NOTIFCATION OF WHO ES WAS ABOUT</t>
  </si>
  <si>
    <t>2013-102101</t>
  </si>
  <si>
    <t>PSD PROCEDURES</t>
  </si>
  <si>
    <t>2013-102501</t>
  </si>
  <si>
    <t>CONTRACT BETWEEN HHSC &amp; AHC</t>
  </si>
  <si>
    <t>2013-102502</t>
  </si>
  <si>
    <t>S APPEAL 14-12</t>
  </si>
  <si>
    <t>DCCA-CLB</t>
  </si>
  <si>
    <t>NO TESTIMONY TAKEN</t>
  </si>
  <si>
    <t>FINAL ORDER CLB-DR-2006-2</t>
  </si>
  <si>
    <t>2013-102901</t>
  </si>
  <si>
    <t>U APPEAL 14-18</t>
  </si>
  <si>
    <t>PART II &amp; III</t>
  </si>
  <si>
    <t>POLICIES, EMAILS, ETC</t>
  </si>
  <si>
    <t>2013-102902</t>
  </si>
  <si>
    <t>U RFA-P 14-18</t>
  </si>
  <si>
    <t>PRIVATE PRISON RECORDS</t>
  </si>
  <si>
    <t>TRANSFER</t>
  </si>
  <si>
    <t>S APPEAL 14-13</t>
  </si>
  <si>
    <t>APPRAISAL OF LAUNIUPOKO</t>
  </si>
  <si>
    <t>S APPEAL 14-14</t>
  </si>
  <si>
    <t>LOCATION NOT ON AGENDA</t>
  </si>
  <si>
    <t>2013-110502</t>
  </si>
  <si>
    <t>HOME INSURANCE RATES</t>
  </si>
  <si>
    <t>PROVIDE OIP W/INFO FOR APPEAL</t>
  </si>
  <si>
    <t>2013-110801</t>
  </si>
  <si>
    <t>U RFA-P 14-19</t>
  </si>
  <si>
    <t>ASSIST WITH RECORDS RESPONSIVE TO QUESTIONS</t>
  </si>
  <si>
    <t>SUSPENDED OFFICERS, OIP OP. LTR 97-01</t>
  </si>
  <si>
    <t>13-1-2981-11 KKS</t>
  </si>
  <si>
    <t>2013-111201</t>
  </si>
  <si>
    <t>NTR PROVIDED WILL NOT OPEN FILE</t>
  </si>
  <si>
    <t>2013-111401</t>
  </si>
  <si>
    <t>ID REQUIREMENT FOR MTG</t>
  </si>
  <si>
    <t>S MEMO 14-9 ISSUED ON 11/6/13</t>
  </si>
  <si>
    <t>U APPEAL 14-19</t>
  </si>
  <si>
    <t>FREITAS ARREST RECORD</t>
  </si>
  <si>
    <t>U APPEAL 14-20</t>
  </si>
  <si>
    <t>DENIAL OF BID RECORDS</t>
  </si>
  <si>
    <t>2013-112201</t>
  </si>
  <si>
    <t>RELEASE OF RECORDS</t>
  </si>
  <si>
    <t>U APPEAL 14-21</t>
  </si>
  <si>
    <t>PSI REPORT</t>
  </si>
  <si>
    <t>U APPEAL 14-22</t>
  </si>
  <si>
    <t>ADMIN COMTROL</t>
  </si>
  <si>
    <t>DENIAL-TRANSFER DOCS</t>
  </si>
  <si>
    <t>U APPEAL 14-23</t>
  </si>
  <si>
    <t>REDACTED COPY OF MED-2013-00016</t>
  </si>
  <si>
    <t>2013-120401</t>
  </si>
  <si>
    <t>ELEC</t>
  </si>
  <si>
    <t>2/5/2014</t>
  </si>
  <si>
    <t>SOT ROOM 204</t>
  </si>
  <si>
    <t>S RFO-G 14-3</t>
  </si>
  <si>
    <t>OPINION ON SECURED BLDG</t>
  </si>
  <si>
    <t>2013-121001</t>
  </si>
  <si>
    <t>OMBUD</t>
  </si>
  <si>
    <t>REQ FOR RECORDS FROM OMBUD</t>
  </si>
  <si>
    <t>DENIAL PROPER SEE U MEMO 11-14</t>
  </si>
  <si>
    <t>MARKS V HPA</t>
  </si>
  <si>
    <t>CIVIL NO. 1CC13-1-003219</t>
  </si>
  <si>
    <t>2013-121701</t>
  </si>
  <si>
    <t>S APPEAL 14-15</t>
  </si>
  <si>
    <t>AGENDA COMMUNICATIONS</t>
  </si>
  <si>
    <t>SECTION ON ATTACHMENTS</t>
  </si>
  <si>
    <t>U RFA-P 14-20</t>
  </si>
  <si>
    <t>CONSULTANT CONTRACT KAWAI NUI MARSH</t>
  </si>
  <si>
    <t>2013-121802</t>
  </si>
  <si>
    <t>U RFA-P 14-21</t>
  </si>
  <si>
    <t>RECORDS FR PSD LOG</t>
  </si>
  <si>
    <t>2013-121803</t>
  </si>
  <si>
    <t>S APPEAL 14-16</t>
  </si>
  <si>
    <t>NOV 8TH MINUTES NOT AVAILABLE</t>
  </si>
  <si>
    <t>DEC 13TH NO TESTIMONY ON ITEM D-15</t>
  </si>
  <si>
    <t>2013-122001</t>
  </si>
  <si>
    <t>S APPEAL 14-17</t>
  </si>
  <si>
    <t>U APPEAL 14-24</t>
  </si>
  <si>
    <t>2014-010201</t>
  </si>
  <si>
    <t>U RFA-P 14-22</t>
  </si>
  <si>
    <t>APPLICATION PACKET</t>
  </si>
  <si>
    <t>WITHHOLDING FORMS</t>
  </si>
  <si>
    <t>2014-010602</t>
  </si>
  <si>
    <t>CP, LLC V HEE</t>
  </si>
  <si>
    <t>13-1-2999-11</t>
  </si>
  <si>
    <t>2014-010701</t>
  </si>
  <si>
    <t>U RFA-P 14-23</t>
  </si>
  <si>
    <t>2014-011301</t>
  </si>
  <si>
    <t>CLARIFICATION OF 1/6/14 EMAIL</t>
  </si>
  <si>
    <t>2014-011303</t>
  </si>
  <si>
    <t>U RFA-P 14-25</t>
  </si>
  <si>
    <t>PD</t>
  </si>
  <si>
    <t>PRISONER CASE FILE</t>
  </si>
  <si>
    <t>2014-011401</t>
  </si>
  <si>
    <t>S APPEAL 14-18</t>
  </si>
  <si>
    <t>NO EXHIBITS</t>
  </si>
  <si>
    <t>U APPEAL 14-25</t>
  </si>
  <si>
    <t>DENIAL OF MINIMUM DECISION RECORD</t>
  </si>
  <si>
    <t>2014-012101</t>
  </si>
  <si>
    <t>U RFA-P 14-24</t>
  </si>
  <si>
    <t>TOUR OPERATOR PERMITS</t>
  </si>
  <si>
    <t>(SL) SYNGENTA SEEDS V. COUNTY OF KAUAI; SL COMPLAINT</t>
  </si>
  <si>
    <t>CIVIL NO. 14-00014 (U.S. 9th CIRCUIT CT.)</t>
  </si>
  <si>
    <t>2014-012701</t>
  </si>
  <si>
    <t>S APPEAL 14-19</t>
  </si>
  <si>
    <t>1/24/14 MTG</t>
  </si>
  <si>
    <t>U RFO-P 14-3</t>
  </si>
  <si>
    <t>NAMES OF PROSPECTIVE APPOINTEES</t>
  </si>
  <si>
    <t>2014-012803</t>
  </si>
  <si>
    <t>PROVIDE REQUEST AND RESPONSE TO OPEN FILE</t>
  </si>
  <si>
    <t>2014-012802</t>
  </si>
  <si>
    <t>U RFA-P 14-26</t>
  </si>
  <si>
    <t>LORRAINE MONICO'S HEARING RECORDS</t>
  </si>
  <si>
    <t>2014-020602</t>
  </si>
  <si>
    <t>REPORT 10-254776</t>
  </si>
  <si>
    <t>MADE REQUEST ON 1/29/14</t>
  </si>
  <si>
    <t>2014-020701</t>
  </si>
  <si>
    <t>U RFA-P 14-27</t>
  </si>
  <si>
    <t>BUILDING PERMIT APPLICATIONS 715066 &amp; 715069</t>
  </si>
  <si>
    <t>TMK 3602001</t>
  </si>
  <si>
    <t>S APPEAL 14-20</t>
  </si>
  <si>
    <t>NOTICE REQUIREMENTS FOR 12/20/13 MTG</t>
  </si>
  <si>
    <t>VIOLATION?</t>
  </si>
  <si>
    <t>2014-021201</t>
  </si>
  <si>
    <t>DOCS DELIVERED TO LG</t>
  </si>
  <si>
    <t>HAND DELIVERED BY BLNR</t>
  </si>
  <si>
    <t>2014-021301</t>
  </si>
  <si>
    <t>UH LAW SCHOOL</t>
  </si>
  <si>
    <t>2/18/2014</t>
  </si>
  <si>
    <t>U APPEAL 14-26</t>
  </si>
  <si>
    <t>COPY OF MITIGATING &amp; AGGRAVATING FACTS</t>
  </si>
  <si>
    <t>2014-022502</t>
  </si>
  <si>
    <t>ACA STANDARDS-INMATE MISCONDUCT</t>
  </si>
  <si>
    <t>PSD POLICIES, EMPLOYEE DUTIES</t>
  </si>
  <si>
    <t>S APPEAL 14-21</t>
  </si>
  <si>
    <t>2/12/14 MTG</t>
  </si>
  <si>
    <t>2014-031101</t>
  </si>
  <si>
    <t>2014-031102</t>
  </si>
  <si>
    <t>U RFA-P 14-28</t>
  </si>
  <si>
    <t>SEPTIC TANK RECORDS</t>
  </si>
  <si>
    <t>U APPEAL 14-27</t>
  </si>
  <si>
    <t>BUSINESS ADDRESS</t>
  </si>
  <si>
    <t>2014-031201</t>
  </si>
  <si>
    <t>U RFA-P 14-29</t>
  </si>
  <si>
    <t>2008 SUBDIVISION COMMITTEE MINUTES</t>
  </si>
  <si>
    <t>2014-031202</t>
  </si>
  <si>
    <t>U RFA-P 14-30</t>
  </si>
  <si>
    <t>DPP-K</t>
  </si>
  <si>
    <t>TESTIMONIES &amp; SIGNATURES</t>
  </si>
  <si>
    <t>COMMISSIONER RACO</t>
  </si>
  <si>
    <t>2014-031203</t>
  </si>
  <si>
    <t>NEED SUPPORTING DOCS</t>
  </si>
  <si>
    <t>2014-031301</t>
  </si>
  <si>
    <t>U RFA-P 14-31</t>
  </si>
  <si>
    <t>LIST OF CORRECTED RECORDS</t>
  </si>
  <si>
    <t>2014-031802</t>
  </si>
  <si>
    <t>U RFA-P 14-32</t>
  </si>
  <si>
    <t>DOT-H</t>
  </si>
  <si>
    <t>MATSON MOLASSES SPILL</t>
  </si>
  <si>
    <t>2014-031803</t>
  </si>
  <si>
    <t>U RFA-P 14-33</t>
  </si>
  <si>
    <t>MOLASSES LEAK PRIOR TO SPILL</t>
  </si>
  <si>
    <t>2014-031804</t>
  </si>
  <si>
    <t>MAMUAD V COUNTY OF MAUI</t>
  </si>
  <si>
    <t>CIVIL NO. 14-00102 JMS-BMK</t>
  </si>
  <si>
    <t>2014-032001</t>
  </si>
  <si>
    <t>CANCELLATION OF 3/19/14 MTG</t>
  </si>
  <si>
    <t>2014-032401</t>
  </si>
  <si>
    <t>HNL</t>
  </si>
  <si>
    <t>EMAILS</t>
  </si>
  <si>
    <t>PART III REQUEST</t>
  </si>
  <si>
    <t>U APPEAL 14-28</t>
  </si>
  <si>
    <t>OBAMA COMMUICATIONS WITH DOH</t>
  </si>
  <si>
    <t>2014-032702</t>
  </si>
  <si>
    <t>MOLFINO V YUEN</t>
  </si>
  <si>
    <t>2014-032801</t>
  </si>
  <si>
    <t>REVIEW FILE BEFORE PAYING FOR COPIES</t>
  </si>
  <si>
    <t>SEE U MEMO 09-5</t>
  </si>
  <si>
    <t>2014-040101</t>
  </si>
  <si>
    <t>U RFA-P 14-34</t>
  </si>
  <si>
    <t>RULES, POLICIES AND PROCEDURES</t>
  </si>
  <si>
    <t>2014-040102</t>
  </si>
  <si>
    <t>NEED DOCS TO OPEN FILE</t>
  </si>
  <si>
    <t>2014-040103</t>
  </si>
  <si>
    <t>U RFA-P 14-35</t>
  </si>
  <si>
    <t>MPD</t>
  </si>
  <si>
    <t>MPD POLICIES</t>
  </si>
  <si>
    <t>LICENSE TO CARRY</t>
  </si>
  <si>
    <t>2014-040301</t>
  </si>
  <si>
    <t>S APPEAL 14-22</t>
  </si>
  <si>
    <t>DCCA-NURSING</t>
  </si>
  <si>
    <t>TESTIMONY CUT OFF</t>
  </si>
  <si>
    <t>S APPEAL 14-23</t>
  </si>
  <si>
    <t>BWS</t>
  </si>
  <si>
    <t>TRESPASS NOTICE</t>
  </si>
  <si>
    <t>BAG SEARCH AT MTG BUILDING</t>
  </si>
  <si>
    <t>U APPEAL 14-29</t>
  </si>
  <si>
    <t>DOCUMENT RELATING TO BILL NO. 2531</t>
  </si>
  <si>
    <t>U APPEAL 14-30</t>
  </si>
  <si>
    <t>INSUFFICIENT REASON FOR DENIAL</t>
  </si>
  <si>
    <t>MOLASSES SPILL RECORDS</t>
  </si>
  <si>
    <t>2014-04002</t>
  </si>
  <si>
    <t>U RFA-P 14-36</t>
  </si>
  <si>
    <t>DOH-CWB</t>
  </si>
  <si>
    <t>DELAY &amp; INSUFFICINET RESPONSE'</t>
  </si>
  <si>
    <t>2014-040801</t>
  </si>
  <si>
    <t>ANSWERS TO QUESTIONS</t>
  </si>
  <si>
    <t>4 POLICE DEPARTMENTS</t>
  </si>
  <si>
    <t>2014-041101</t>
  </si>
  <si>
    <t>MBU USE OF CCA DOCS</t>
  </si>
  <si>
    <t>REQUEST FOR PSD POLICY</t>
  </si>
  <si>
    <t>2014-041102</t>
  </si>
  <si>
    <t>MAINLAND BRANCH UNIT</t>
  </si>
  <si>
    <t>USE OF CCA REPORTS</t>
  </si>
  <si>
    <t>2014-041103</t>
  </si>
  <si>
    <t>PSD CONTACT; PORCEDURES</t>
  </si>
  <si>
    <t>2014-041105</t>
  </si>
  <si>
    <t>U RFA-P 14-37</t>
  </si>
  <si>
    <t>JULY 2013 MISCONDUCT INVESTIGATION</t>
  </si>
  <si>
    <t>CHARGES, ETC/PART III</t>
  </si>
  <si>
    <t>2014-041106</t>
  </si>
  <si>
    <t>U RFA-P 14-38</t>
  </si>
  <si>
    <t>CORRECTION OF MINIMUM TERM OF SENTENCE</t>
  </si>
  <si>
    <t>CR. NO. 85-0146</t>
  </si>
  <si>
    <t>2014-041601</t>
  </si>
  <si>
    <t>U APPEAL 14-31</t>
  </si>
  <si>
    <t>PAGES FROM INDEX BOOK</t>
  </si>
  <si>
    <t>ELECTRONI COPIES</t>
  </si>
  <si>
    <t>S APPEAL 14-24</t>
  </si>
  <si>
    <t>HPD-COMM</t>
  </si>
  <si>
    <t>ID REQUIREMENT</t>
  </si>
  <si>
    <t>INSPECTION OF BAG</t>
  </si>
  <si>
    <t>S APPEAL 14-25</t>
  </si>
  <si>
    <t>DHS-FATHERHOOD</t>
  </si>
  <si>
    <t>NOT FILING AGENDA WITH LG</t>
  </si>
  <si>
    <t>2014-042202</t>
  </si>
  <si>
    <t>PSD &amp; HPA</t>
  </si>
  <si>
    <t>OIP ADVICE TO INMATES</t>
  </si>
  <si>
    <t>AGENCY RESPONSIBILITIES</t>
  </si>
  <si>
    <t>2014-050204</t>
  </si>
  <si>
    <t>U RFA-P 14-39</t>
  </si>
  <si>
    <t>HPA PERSONAL FILE</t>
  </si>
  <si>
    <t>NOT AMENDING REQ</t>
  </si>
  <si>
    <t>2014-050305</t>
  </si>
  <si>
    <t>U APPEAL 14-32</t>
  </si>
  <si>
    <t>GOV ABERCROMBIE'S TESTIMONY</t>
  </si>
  <si>
    <t>PRES OBAMA</t>
  </si>
  <si>
    <t>JUD &amp; PSD</t>
  </si>
  <si>
    <t>MAUI DRUG COURT CONTRACT/MCCC RECORDS</t>
  </si>
  <si>
    <t>CIVIL NO. 12-1-0013(2)</t>
  </si>
  <si>
    <t>PSD &amp; HPD</t>
  </si>
  <si>
    <t>INMATE PHOTOS</t>
  </si>
  <si>
    <t>CC-13-1-001917</t>
  </si>
  <si>
    <t>U APPEAL 14-33</t>
  </si>
  <si>
    <t>REDACTED AUTOPSY REPORT</t>
  </si>
  <si>
    <t>2014-050804</t>
  </si>
  <si>
    <t>U RFA-P 14-40</t>
  </si>
  <si>
    <t>MISCONDUCT (*REQ REC'D 5/2/14)</t>
  </si>
  <si>
    <t>2014-050901</t>
  </si>
  <si>
    <t>U RFA-P 14-41</t>
  </si>
  <si>
    <t>DOH LORETTA FUDDY</t>
  </si>
  <si>
    <t>EXPENDITURES</t>
  </si>
  <si>
    <t>2014-051201</t>
  </si>
  <si>
    <t>LEVEL OF DETAIL</t>
  </si>
  <si>
    <t>2014-051501</t>
  </si>
  <si>
    <t>CONFERENCE CALL 
5/21/14 - S/L</t>
  </si>
  <si>
    <t>RESOLUTION TO CREATE BOARD</t>
  </si>
  <si>
    <t>2014-051502</t>
  </si>
  <si>
    <t>S APPEAL 14-26</t>
  </si>
  <si>
    <t>BOA</t>
  </si>
  <si>
    <t>DEFICIENT AGENDA</t>
  </si>
  <si>
    <t>"NEW BUSINESS"</t>
  </si>
  <si>
    <t>2014-051503</t>
  </si>
  <si>
    <t>S APPEAL 14-27</t>
  </si>
  <si>
    <t>NO MTG TO APPROVE/SIGN LETTER</t>
  </si>
  <si>
    <t>2014-051504</t>
  </si>
  <si>
    <t>RECON-P 14-2</t>
  </si>
  <si>
    <t>DISAGREES WITH U MEMO 14-9</t>
  </si>
  <si>
    <t>U APPEAL 14-34</t>
  </si>
  <si>
    <t>PERMISSION TO ENTER KALAUPAPA</t>
  </si>
  <si>
    <t>2014-051506</t>
  </si>
  <si>
    <t>U RFA-P 14-42</t>
  </si>
  <si>
    <t>PART II &amp; III RECORDS</t>
  </si>
  <si>
    <t>2014-051601</t>
  </si>
  <si>
    <t>U RFA-P 14-43</t>
  </si>
  <si>
    <t># OF LICENSES</t>
  </si>
  <si>
    <t>2014-051901</t>
  </si>
  <si>
    <t>S APPEAL 14-29</t>
  </si>
  <si>
    <t>EXEC MTG</t>
  </si>
  <si>
    <t>RESCIND LETTER</t>
  </si>
  <si>
    <t>2014-051902</t>
  </si>
  <si>
    <t>S APPEAL 14-28</t>
  </si>
  <si>
    <t>FAILURE TO MEET, ETC.</t>
  </si>
  <si>
    <t>INTERACTIVE CONF. TECHNOLOGY</t>
  </si>
  <si>
    <t>2014-051903</t>
  </si>
  <si>
    <t>SPEC PROJ</t>
  </si>
  <si>
    <t>HCR 121</t>
  </si>
  <si>
    <t>DAGS ATTACHMENT</t>
  </si>
  <si>
    <t>2014-052001</t>
  </si>
  <si>
    <t>U APPEAL 14-35</t>
  </si>
  <si>
    <t>PERSONNEL INFO DENIED</t>
  </si>
  <si>
    <t>2014-052202</t>
  </si>
  <si>
    <t>EXEC. MEETING</t>
  </si>
  <si>
    <t>RESO NO CONFIDENCE</t>
  </si>
  <si>
    <t>2014-052203</t>
  </si>
  <si>
    <t>S APPEAL 14-30</t>
  </si>
  <si>
    <t>5/19/14 EXEC. SESSION MTG</t>
  </si>
  <si>
    <t>NO TESTIMONY</t>
  </si>
  <si>
    <t>2014-052204</t>
  </si>
  <si>
    <t>UIPA LOG TRNG</t>
  </si>
  <si>
    <t>UIPA &amp; SL UPDATE</t>
  </si>
  <si>
    <t>JZB/MVL</t>
  </si>
  <si>
    <t>2014-052301</t>
  </si>
  <si>
    <t>NO MTG TO SIGN LTR</t>
  </si>
  <si>
    <t>2014-052302</t>
  </si>
  <si>
    <t>S APPEAL 14-32</t>
  </si>
  <si>
    <t>2014-052303</t>
  </si>
  <si>
    <t>S RFO-G 14-4</t>
  </si>
  <si>
    <t>EXEC SESSION TO DISMISS COUNTY ATTY</t>
  </si>
  <si>
    <t>92.5(a)(2)  executive session 92-4</t>
  </si>
  <si>
    <t>2014-052801</t>
  </si>
  <si>
    <t>NEED AGENCY INFO</t>
  </si>
  <si>
    <t>2014-053001</t>
  </si>
  <si>
    <t>U RFA-P 14-44</t>
  </si>
  <si>
    <t>PSD-SHERIFF</t>
  </si>
  <si>
    <t>COPIES OF ARREST REPORTS</t>
  </si>
  <si>
    <t>U APPEAL 14-36</t>
  </si>
  <si>
    <t>REDACTIONS OF OTHERS INFO ON FUDDY DOCS</t>
  </si>
  <si>
    <t>2014-061603</t>
  </si>
  <si>
    <t>U RFA-P 14-45</t>
  </si>
  <si>
    <t>MINUTES AND MEMBERS OF IACUC</t>
  </si>
  <si>
    <t>2014-061604</t>
  </si>
  <si>
    <t>KAUHALE OHANA COMPLAINTS</t>
  </si>
  <si>
    <t>2014-061801</t>
  </si>
  <si>
    <t>U RFA-P 14-46</t>
  </si>
  <si>
    <t>PERSONAL RECORDS OF CHILDREN</t>
  </si>
  <si>
    <t>FORMER MARRIED NAME CALLAHAN</t>
  </si>
  <si>
    <t>2014-061802</t>
  </si>
  <si>
    <t>PERSONAL EMAIL ACCESS FROM WORK</t>
  </si>
  <si>
    <t>IS THIS A GOVERNMENT RECORD?</t>
  </si>
  <si>
    <t>2014-062301</t>
  </si>
  <si>
    <t>S APPEAL 14-33</t>
  </si>
  <si>
    <t>MAY 19, 2014 MTG</t>
  </si>
  <si>
    <t>NO PUBLIC TESTIMONY</t>
  </si>
  <si>
    <t>S APPEAL 14-34</t>
  </si>
  <si>
    <t>RULE MAKING</t>
  </si>
  <si>
    <t>INTERNET ACCESS</t>
  </si>
  <si>
    <t>U APPEAL 15-1</t>
  </si>
  <si>
    <t>DISPUTES REDACTIONS</t>
  </si>
  <si>
    <t>U APPEAL 15-2</t>
  </si>
  <si>
    <t>TEACHING TOLERANCE CURRICULUM</t>
  </si>
  <si>
    <t>NO RESPONSIVE RECORDS</t>
  </si>
  <si>
    <t>2014-070302</t>
  </si>
  <si>
    <t>S APPEAL 15-1</t>
  </si>
  <si>
    <t>DLNR-BLRN</t>
  </si>
  <si>
    <t>INSUFFICIENT AGENDA FOR 4/25/14</t>
  </si>
  <si>
    <t>U APPEAL 15-3</t>
  </si>
  <si>
    <t>PORT ROYAL DOCUMENTS</t>
  </si>
  <si>
    <t>received req on 7/2/2014</t>
  </si>
  <si>
    <t>LRO/MKH</t>
  </si>
  <si>
    <t>S APPEAL 15-2</t>
  </si>
  <si>
    <t>JULY 10 EXECUTIVE SESSION</t>
  </si>
  <si>
    <t>NO PUBLIC TESTIMONY'</t>
  </si>
  <si>
    <t>U APPEAL 15-4</t>
  </si>
  <si>
    <t>MCPD</t>
  </si>
  <si>
    <t>NEVER REC'D RECORDS</t>
  </si>
  <si>
    <t>NTR DOES NOT INCLUDE ALL REQUESTED RECORDS</t>
  </si>
  <si>
    <t>2014-071492</t>
  </si>
  <si>
    <t>S APPEAL 15-3</t>
  </si>
  <si>
    <t>COUNCILMEMBERS ATTENDANCE AT NACO</t>
  </si>
  <si>
    <t>7/11-7/14/14</t>
  </si>
  <si>
    <t>PSD-MAUI DRUG CRT</t>
  </si>
  <si>
    <t>INMATE RECORDS/CORRECT/AMEND</t>
  </si>
  <si>
    <t>2014-071502</t>
  </si>
  <si>
    <t>U RFA-P 15-1</t>
  </si>
  <si>
    <t>FEDERAL GRANT APPLICATIONS</t>
  </si>
  <si>
    <t>CONSTRUCTION PLANS FOR MAKAWAO CEMETARY</t>
  </si>
  <si>
    <t>PART III DISCLOSE &amp; CORRECT</t>
  </si>
  <si>
    <t>1CC14-1-00189</t>
  </si>
  <si>
    <t>2014-071701</t>
  </si>
  <si>
    <t>S RFO-G 15-1</t>
  </si>
  <si>
    <t>EXPLAINATION OF PROCEDURES UNDER ACT 68</t>
  </si>
  <si>
    <t>GMO REGISTRY</t>
  </si>
  <si>
    <t>2014-072101</t>
  </si>
  <si>
    <t>U RFA-P 15-2</t>
  </si>
  <si>
    <t>INSPECT PERSONAL RECORDS</t>
  </si>
  <si>
    <t>2014-072103</t>
  </si>
  <si>
    <t>JUD-ADLRO</t>
  </si>
  <si>
    <t>DRIVER'S LICENSE REVOCATION</t>
  </si>
  <si>
    <t>S APPEAL 15-4</t>
  </si>
  <si>
    <t>EMAIL AGENDAS</t>
  </si>
  <si>
    <t>ATTACHMENTS</t>
  </si>
  <si>
    <t>2014-072401</t>
  </si>
  <si>
    <t>ORIGINAL RECORDS</t>
  </si>
  <si>
    <t>STANDING REQUEST</t>
  </si>
  <si>
    <t>2014-072801</t>
  </si>
  <si>
    <t>U RFA-P 15-3</t>
  </si>
  <si>
    <t>HIS COMPLAINTS/WANTS PRE 3/14 RECORDS</t>
  </si>
  <si>
    <t>2014-073101</t>
  </si>
  <si>
    <t>IS UH SUBJECT TO THE UIPA</t>
  </si>
  <si>
    <t>2014-080401</t>
  </si>
  <si>
    <t>U RFA-P 15-4</t>
  </si>
  <si>
    <t>1960 CERTIFICATE OF OCCUPANCY</t>
  </si>
  <si>
    <t>1042 FOT STREET MALL</t>
  </si>
  <si>
    <t>2014-080701</t>
  </si>
  <si>
    <t>U RFA-P 15-5</t>
  </si>
  <si>
    <t>CRITERIA FOR EVALUATING BIDS</t>
  </si>
  <si>
    <t>2014-081101</t>
  </si>
  <si>
    <t>REVIEW OF LOWEN'S NTR</t>
  </si>
  <si>
    <t>2014-081102</t>
  </si>
  <si>
    <t>REVIEW OF DOT RESPONSE</t>
  </si>
  <si>
    <t>2014-081803</t>
  </si>
  <si>
    <t>SEPTEMBER 12, 2014</t>
  </si>
  <si>
    <t>S APPEAL 15-5</t>
  </si>
  <si>
    <t>RESO 486-14</t>
  </si>
  <si>
    <t>SUFFICIENT AGENDA</t>
  </si>
  <si>
    <t>U APPEAL 15-5</t>
  </si>
  <si>
    <t>2014-081901</t>
  </si>
  <si>
    <t>INNOVATION TASK FORCE</t>
  </si>
  <si>
    <t>SL TRAINING</t>
  </si>
  <si>
    <t>U APPEAL 15-6</t>
  </si>
  <si>
    <t>TRANSFER LETTER</t>
  </si>
  <si>
    <t>U APPEAL 15-7</t>
  </si>
  <si>
    <t>SAGUARO CC POLICIES</t>
  </si>
  <si>
    <t>2014-082502</t>
  </si>
  <si>
    <t>U RFA-P 15-6</t>
  </si>
  <si>
    <t>HAWKES TASER VIDEO</t>
  </si>
  <si>
    <t>2014-082601</t>
  </si>
  <si>
    <t>10/14/14</t>
  </si>
  <si>
    <t>U APPEAL 15-8</t>
  </si>
  <si>
    <t>PLAN FOR FEDERAL RECOGNITION</t>
  </si>
  <si>
    <t>2014-082801</t>
  </si>
  <si>
    <t>PROBATION INFORMATION</t>
  </si>
  <si>
    <t>2014-090201</t>
  </si>
  <si>
    <t>RECON-G 15-1</t>
  </si>
  <si>
    <t>U MEMO 14-11</t>
  </si>
  <si>
    <t>JUDGES BIERTHDATES</t>
  </si>
  <si>
    <t>MARKS V PSD</t>
  </si>
  <si>
    <t>1CC14-1-001801</t>
  </si>
  <si>
    <t>2014-091501</t>
  </si>
  <si>
    <t>U RFA-P 15-7</t>
  </si>
  <si>
    <t>ALDRO-JUD</t>
  </si>
  <si>
    <t>INMATE LICENSE RENEWAL</t>
  </si>
  <si>
    <t>2014-091601</t>
  </si>
  <si>
    <t>PROS</t>
  </si>
  <si>
    <t>WRONG ADDRESS</t>
  </si>
  <si>
    <t>2014-091602</t>
  </si>
  <si>
    <t>U RFA-P 15-8</t>
  </si>
  <si>
    <t>TRAFFICE CITATIONS</t>
  </si>
  <si>
    <t>2014-091603</t>
  </si>
  <si>
    <t>U RFA-P 15-9</t>
  </si>
  <si>
    <t>DOCS PERTAINING TO HIM</t>
  </si>
  <si>
    <t>2014-091604</t>
  </si>
  <si>
    <t>U RFA-P 15-10</t>
  </si>
  <si>
    <t>DoTAX</t>
  </si>
  <si>
    <t>INCOME TAX INFO</t>
  </si>
  <si>
    <t>2014-091605</t>
  </si>
  <si>
    <t>OIP DOES NOT MAINTAIN</t>
  </si>
  <si>
    <t>U RFO-G 15-2</t>
  </si>
  <si>
    <t>DISCLOSURE OF ANNUAL PERFORMANCE EVALUATION</t>
  </si>
  <si>
    <t>SUPERINTENDENT</t>
  </si>
  <si>
    <t>2014-091702</t>
  </si>
  <si>
    <t>12-5-14 BRD &amp; COMMISSION ORIENTATION</t>
  </si>
  <si>
    <t>2014-092301</t>
  </si>
  <si>
    <t>REQUEST TO APPEAL</t>
  </si>
  <si>
    <t>PROVIDE COPIES OF REQUEST</t>
  </si>
  <si>
    <t>U APPEAL 15-9</t>
  </si>
  <si>
    <t>2014-092401</t>
  </si>
  <si>
    <t>ON</t>
  </si>
  <si>
    <t>MAKE REQUEST TO AGENCY THAT MAINTAINS RECORD</t>
  </si>
  <si>
    <t>2014-092501</t>
  </si>
  <si>
    <t>U RFA-P 15-11</t>
  </si>
  <si>
    <t>DOCUMENTS PERTAINING TO NCAA</t>
  </si>
  <si>
    <t>COACHES</t>
  </si>
  <si>
    <t>2014-092902</t>
  </si>
  <si>
    <t>PEERS NEWS V STATE ETHICS</t>
  </si>
  <si>
    <t>CIVIL NO. 14-1-2022-09</t>
  </si>
  <si>
    <t>S APPEAL 15-6</t>
  </si>
  <si>
    <t>INSUFFICIENT NOTICE</t>
  </si>
  <si>
    <t>U RFA-P 15-12</t>
  </si>
  <si>
    <t>PERSONAL RECORDS FR CHUN-OAKLAND</t>
  </si>
  <si>
    <t>2014-100101</t>
  </si>
  <si>
    <t>S APPEAL 15-7</t>
  </si>
  <si>
    <t>MORE THAN 2 COUNCILMEMBERS</t>
  </si>
  <si>
    <t>CACHOLA/HB2139, CD1</t>
  </si>
  <si>
    <t>U APPEAL 15-10</t>
  </si>
  <si>
    <t>EMAIL TRANSCRIPTS</t>
  </si>
  <si>
    <t>U APPEAL 15-11</t>
  </si>
  <si>
    <t>NATIVE HAWN ENROLLMENT LIST</t>
  </si>
  <si>
    <t>U RFA-P 15-13</t>
  </si>
  <si>
    <t>FEES, FORMAT</t>
  </si>
  <si>
    <t>TIME OF RESPONSE</t>
  </si>
  <si>
    <t>2014-100203</t>
  </si>
  <si>
    <t>U RFA-P 15-14</t>
  </si>
  <si>
    <t>8/15/14 MTG MINUTES</t>
  </si>
  <si>
    <t>2014-100301</t>
  </si>
  <si>
    <t>U RFA-P 15-15</t>
  </si>
  <si>
    <t>FINANCE-M</t>
  </si>
  <si>
    <t>EMPLOYEE COMPENSATION</t>
  </si>
  <si>
    <t>2014-101001</t>
  </si>
  <si>
    <t>NOTICE SUFFICIENCY</t>
  </si>
  <si>
    <t>U RFA-P 15-16</t>
  </si>
  <si>
    <t>COUNTY - M</t>
  </si>
  <si>
    <t>INVOICES/RECEIPTS</t>
  </si>
  <si>
    <t>DEATH DECLARATIONS</t>
  </si>
  <si>
    <t>S RFO-G 15-3</t>
  </si>
  <si>
    <t>CANDIDATE FORUMS</t>
  </si>
  <si>
    <t>QUORUM</t>
  </si>
  <si>
    <t>U APPEAL 15-12</t>
  </si>
  <si>
    <t>SEN JOSH GREEN</t>
  </si>
  <si>
    <t>S APPEAL 15-8</t>
  </si>
  <si>
    <t>SITE VISITS; MTG</t>
  </si>
  <si>
    <t>U APPEAL 15-13</t>
  </si>
  <si>
    <t>BLDG PERMIT 12-315</t>
  </si>
  <si>
    <t>2014-102201</t>
  </si>
  <si>
    <t>U APPEAL 15-14</t>
  </si>
  <si>
    <t>DIT-K</t>
  </si>
  <si>
    <t>S APPEAL 15-19</t>
  </si>
  <si>
    <t>DLNR (DH-CAC)</t>
  </si>
  <si>
    <t>2014-102301</t>
  </si>
  <si>
    <t>U RFA-P 15-17</t>
  </si>
  <si>
    <t>UIPA REQUEST LOG</t>
  </si>
  <si>
    <t>U APPEAL 15-15</t>
  </si>
  <si>
    <t>DOD-SCD</t>
  </si>
  <si>
    <t>TSUNAMI INUNDATION MAP</t>
  </si>
  <si>
    <t>2014-100204</t>
  </si>
  <si>
    <t>PUBLIC DISRUPTIVE</t>
  </si>
  <si>
    <t>REMOVE FROM SL MTG</t>
  </si>
  <si>
    <t>2014-102701</t>
  </si>
  <si>
    <t>OPEN DATA</t>
  </si>
  <si>
    <t>ALL STATE</t>
  </si>
  <si>
    <t>FY14 OIP REQUEST LOG</t>
  </si>
  <si>
    <t>ALL EXEC STATE DEPTS</t>
  </si>
  <si>
    <t>U RFA-P 15-18</t>
  </si>
  <si>
    <t>FEE ESTIMATE</t>
  </si>
  <si>
    <t>IMPROPER RESPONSE</t>
  </si>
  <si>
    <t>2014-102203</t>
  </si>
  <si>
    <t>REQUESTS TO WRONG AGENCY</t>
  </si>
  <si>
    <t>OUTDATED REQUESTS</t>
  </si>
  <si>
    <t>S APPEAL 15-10</t>
  </si>
  <si>
    <t>LIQUOR COMM - HON</t>
  </si>
  <si>
    <t>REONSIDERATION HEARING - ADMA</t>
  </si>
  <si>
    <t>U RFA-P 15-19</t>
  </si>
  <si>
    <t>RESTAURANT INSPECTION DATA</t>
  </si>
  <si>
    <t>2014-102801</t>
  </si>
  <si>
    <t>IMPROPER NOTICE</t>
  </si>
  <si>
    <t>2014-103101</t>
  </si>
  <si>
    <t>S APPEAL 15-11</t>
  </si>
  <si>
    <t>AGENDA VIOLATION</t>
  </si>
  <si>
    <t>DOBOR 10/24/14 MTG</t>
  </si>
  <si>
    <t>U APPEAL 15-16</t>
  </si>
  <si>
    <t>HPA MIN DECISION RECORD</t>
  </si>
  <si>
    <t>2014-110701</t>
  </si>
  <si>
    <t>2014-111001</t>
  </si>
  <si>
    <t>DLIR-APPEALS BOARD</t>
  </si>
  <si>
    <t>NAME OF MTG ATTENDEE</t>
  </si>
  <si>
    <t>2014-111002</t>
  </si>
  <si>
    <t>U RFA-G 15-1</t>
  </si>
  <si>
    <t>AGRICULTURE PROPERTIES</t>
  </si>
  <si>
    <t>2014-111003</t>
  </si>
  <si>
    <t>U RFA-P 15-20</t>
  </si>
  <si>
    <t>DISCONTINUATION OF SVCS</t>
  </si>
  <si>
    <t>2014-110601</t>
  </si>
  <si>
    <t>OIP LTR TO DLNR</t>
  </si>
  <si>
    <t>CWRM VIOLATION</t>
  </si>
  <si>
    <t>2014-111201</t>
  </si>
  <si>
    <t>DLNR-CWRM RESPONSE</t>
  </si>
  <si>
    <t>HLPC COMPLAINT</t>
  </si>
  <si>
    <t>2014-111202</t>
  </si>
  <si>
    <t>COPY OF RESPONSE</t>
  </si>
  <si>
    <t>2014-111401</t>
  </si>
  <si>
    <t>U RFA-P 15-21</t>
  </si>
  <si>
    <t>HOWARD KOTOMORI</t>
  </si>
  <si>
    <t>PTS SECURITY</t>
  </si>
  <si>
    <t>2014-111801</t>
  </si>
  <si>
    <t>U RFA-P 15-22</t>
  </si>
  <si>
    <t>UH-CDS &amp; UH-IRB</t>
  </si>
  <si>
    <t>PONO CHOICES</t>
  </si>
  <si>
    <t>2014-111901</t>
  </si>
  <si>
    <t>U APPEAL 15-17</t>
  </si>
  <si>
    <t>NAME OF PRIVATE DETECTIVE</t>
  </si>
  <si>
    <t>8/30/12 HEARING</t>
  </si>
  <si>
    <t>2014-112001</t>
  </si>
  <si>
    <t>U RFA-P 15-23</t>
  </si>
  <si>
    <t>CORP COUNSEL-M</t>
  </si>
  <si>
    <t>INFO TO BUILD MAPS</t>
  </si>
  <si>
    <t>CORR 2014-1022-03</t>
  </si>
  <si>
    <t>U APPEAL 15-18</t>
  </si>
  <si>
    <t>EDWARD FULLER</t>
  </si>
  <si>
    <t>GET</t>
  </si>
  <si>
    <t>2014-112102</t>
  </si>
  <si>
    <t>U RFA-P 15-24</t>
  </si>
  <si>
    <t>ME</t>
  </si>
  <si>
    <t>AMEND DEATH CERTIFICATE</t>
  </si>
  <si>
    <t>ANG-GEE LIU</t>
  </si>
  <si>
    <t>2014-112401</t>
  </si>
  <si>
    <t>SBRRB 7/16/14 Ltr to OIP</t>
  </si>
  <si>
    <t>U APPEAL 15-19</t>
  </si>
  <si>
    <t>INVOICE/RECEIPT RECORDS</t>
  </si>
  <si>
    <t>LORETTA FUDDY</t>
  </si>
  <si>
    <t>U APPEAL 15-20</t>
  </si>
  <si>
    <t>TOM RUSSI HARASS BEHAVIOR RECORDS</t>
  </si>
  <si>
    <t>U APPEAL 15-21</t>
  </si>
  <si>
    <t>SADDLE RD/MAUNAKEA PARK</t>
  </si>
  <si>
    <t>2014-112501</t>
  </si>
  <si>
    <t>LTG-OIP</t>
  </si>
  <si>
    <t>MAUI V OIP RECORDS</t>
  </si>
  <si>
    <t>S APPEAL 15-8 RESPONSE</t>
  </si>
  <si>
    <t>2014-112502</t>
  </si>
  <si>
    <t>EMAIL/DOCUMENTS</t>
  </si>
  <si>
    <t>2014-112503</t>
  </si>
  <si>
    <t>SOFTWARE REPORTS</t>
  </si>
  <si>
    <t>PROCUREMENT PO'S</t>
  </si>
  <si>
    <t>U APPEAL 15-22</t>
  </si>
  <si>
    <t>COMPLAINANT'S NAME</t>
  </si>
  <si>
    <t>2014-112801</t>
  </si>
  <si>
    <t>S APPEAL 15-12</t>
  </si>
  <si>
    <t>UNTIMELY RECEIPT</t>
  </si>
  <si>
    <t>2014-120402</t>
  </si>
  <si>
    <t>S APPEAL 15-13</t>
  </si>
  <si>
    <t>PUBLIC COMMENT/TESTIMONY</t>
  </si>
  <si>
    <t>2014-120403</t>
  </si>
  <si>
    <t>COUNCIL MEMBER NEWSLETTER</t>
  </si>
  <si>
    <t>SL RESTRICTIONS</t>
  </si>
  <si>
    <t>2014-120201</t>
  </si>
  <si>
    <t>U RFA-P 15-25</t>
  </si>
  <si>
    <t>CONFIDENTIAL RECRUITMENT</t>
  </si>
  <si>
    <t>OFF OF DISCIPLINARY CNSL</t>
  </si>
  <si>
    <t>COMPLAINS</t>
  </si>
  <si>
    <t>2014-120203</t>
  </si>
  <si>
    <t>U RFA-P 15-26</t>
  </si>
  <si>
    <t>U APPEAL 15-23</t>
  </si>
  <si>
    <t>VILLAGES OF KAPOLEI ASSN</t>
  </si>
  <si>
    <t>LANDSCAPE CONTRACTOR MONTHLY RPT</t>
  </si>
  <si>
    <t>2014-121002</t>
  </si>
  <si>
    <t>S APPEAL 15-14</t>
  </si>
  <si>
    <t>SL VIOLATIONS</t>
  </si>
  <si>
    <t>2014-121501</t>
  </si>
  <si>
    <t>U RFA-P 15-27</t>
  </si>
  <si>
    <t>PRELIM COMPLIANCE RPT</t>
  </si>
  <si>
    <t>U RFA-P 15-28</t>
  </si>
  <si>
    <t>2014-121502</t>
  </si>
  <si>
    <t>PLAN-M</t>
  </si>
  <si>
    <t>BACKGROUND INVESTIGATION</t>
  </si>
  <si>
    <t>2014-121601</t>
  </si>
  <si>
    <t>OHA TRUSTEES</t>
  </si>
  <si>
    <t>2014-121801</t>
  </si>
  <si>
    <t>LEASE</t>
  </si>
  <si>
    <t>HAWAIIAN HOMES COMMISSION (HHC)</t>
  </si>
  <si>
    <t>S APPEAL 15-15</t>
  </si>
  <si>
    <t>11/25/14 OMPO POLICY COMM MTG</t>
  </si>
  <si>
    <t>OMPO-TAC</t>
  </si>
  <si>
    <t>12/12/14 MTG</t>
  </si>
  <si>
    <t>2014-122301</t>
  </si>
  <si>
    <t>U RFA-P 15-29</t>
  </si>
  <si>
    <t>SOME DOCS NOT RCVD</t>
  </si>
  <si>
    <t>APPLICANT - FAD PGM SPCLST III</t>
  </si>
  <si>
    <t>S RFO-G 15-4</t>
  </si>
  <si>
    <t>RULES OF COUNT-K - 13€</t>
  </si>
  <si>
    <t>PUBLIC TESTIMONY TIME LIMIT</t>
  </si>
  <si>
    <t>2014-122401</t>
  </si>
  <si>
    <t>DRAFT LANGUAGE RE SL FOR MPO</t>
  </si>
  <si>
    <t>MORE THAN 2 COUNCILMEMBERS ON POLICY BD</t>
  </si>
  <si>
    <t>PART III - PSI</t>
  </si>
  <si>
    <t>1CC14-1-001367</t>
  </si>
  <si>
    <t>2015-010201</t>
  </si>
  <si>
    <t>S APPEAL 15-17</t>
  </si>
  <si>
    <t>HART</t>
  </si>
  <si>
    <t>12/18/14 AGENDA</t>
  </si>
  <si>
    <t>ACCESS DENIAL TO AUDIOTAPE OF 12/18/14 EXEC MTG</t>
  </si>
  <si>
    <t>2015-010601</t>
  </si>
  <si>
    <t>U RFA-P 15-30</t>
  </si>
  <si>
    <t>INVES RPT RE WARDEN HIRANO MCCC</t>
  </si>
  <si>
    <t>NO RESPONSE FR HCRC</t>
  </si>
  <si>
    <t>2015-010801</t>
  </si>
  <si>
    <t>RECORD DOESN’T' EXSIST</t>
  </si>
  <si>
    <t>2015-010802</t>
  </si>
  <si>
    <t>SHOPO V COUNCIL-HON (POLICE DISCIPLINE)</t>
  </si>
  <si>
    <t>92F-14(B)(4)</t>
  </si>
  <si>
    <t>U APPEAL 15-25</t>
  </si>
  <si>
    <t>DENIAL OF RECORD REQUEST</t>
  </si>
  <si>
    <t>FEDERAL SELECT AGENT PROGRAM</t>
  </si>
  <si>
    <t>2015-011201</t>
  </si>
  <si>
    <t>REMAIN ANONYMOUS</t>
  </si>
  <si>
    <t>2015-011203</t>
  </si>
  <si>
    <t>LEGISLATION</t>
  </si>
  <si>
    <t>JUDGES BIRTHDATES</t>
  </si>
  <si>
    <t>2015-011501</t>
  </si>
  <si>
    <t>JAYSON WATTS</t>
  </si>
  <si>
    <t>CHRISTINE DENIED ACCESS TO AHC</t>
  </si>
  <si>
    <t>2015-012001</t>
  </si>
  <si>
    <t>EMAIL EXCHANGE</t>
  </si>
  <si>
    <t>2015-012102</t>
  </si>
  <si>
    <t>U RFA-P 15-31</t>
  </si>
  <si>
    <t>EMPLOYEE COMPENSATION 2011-2014</t>
  </si>
  <si>
    <t>RESPONSE OVERDUE</t>
  </si>
  <si>
    <t>S APPEAL 15-18</t>
  </si>
  <si>
    <t>AGENDA ITEM</t>
  </si>
  <si>
    <t>INADEQUATE DESCRIPTION</t>
  </si>
  <si>
    <t>S APPEAL 15-9</t>
  </si>
  <si>
    <t>PIG ACTIONS</t>
  </si>
  <si>
    <t>TESTIMONY SUBMITTAL</t>
  </si>
  <si>
    <t>2015-012201</t>
  </si>
  <si>
    <t>U RFA-P 15-32</t>
  </si>
  <si>
    <t>FOOD SERVICE HALAWA CORRECTIONAL</t>
  </si>
  <si>
    <t>2015-020402</t>
  </si>
  <si>
    <t>"MEALTRACKER" LUNCH RECORDS</t>
  </si>
  <si>
    <t>2015-020901</t>
  </si>
  <si>
    <t>S APPEAL 15-20</t>
  </si>
  <si>
    <t>2/11/15 MTG</t>
  </si>
  <si>
    <t>AGENDA NOT RCVD VIA USPS</t>
  </si>
  <si>
    <t>2015-021002</t>
  </si>
  <si>
    <t>COUNCIL-ALL</t>
  </si>
  <si>
    <t>A</t>
  </si>
  <si>
    <t>3/10/15 HSAC MTG</t>
  </si>
  <si>
    <t>PIG FOR CM</t>
  </si>
  <si>
    <t>ERRONEOUS DEATH CERTIFICATE</t>
  </si>
  <si>
    <t>2015-021801</t>
  </si>
  <si>
    <t>U RFA P 15-33</t>
  </si>
  <si>
    <t>MEALTRACKER LUNCH RECORDS</t>
  </si>
  <si>
    <t>2015-021701</t>
  </si>
  <si>
    <t>APPEAL REQUEST DECLINED</t>
  </si>
  <si>
    <t>REQUIREMENTS SATISFIED</t>
  </si>
  <si>
    <t>S APPEAL 15-21</t>
  </si>
  <si>
    <t>GARY HOOSER SPEECH</t>
  </si>
  <si>
    <t>OUTSIDE SCOPE OF AGENDA</t>
  </si>
  <si>
    <t>OHA-NHRC</t>
  </si>
  <si>
    <t>COMPLETE ENROLLMENT LIST, ETC.</t>
  </si>
  <si>
    <t>S.P. NO. 15-1-0059</t>
  </si>
  <si>
    <t>U RFO-P 15-1</t>
  </si>
  <si>
    <t>ORDINANCE #920</t>
  </si>
  <si>
    <t>NO DISCLOSURE - ALLOCATED ASSESSED VALUE</t>
  </si>
  <si>
    <t>2015-021704</t>
  </si>
  <si>
    <t>U RFA-P 15-34</t>
  </si>
  <si>
    <t>COPY OF MEMO DATED 9/22/03</t>
  </si>
  <si>
    <t>NO RESPONSE TO REQUEST DATED 1/27/15</t>
  </si>
  <si>
    <t>2015-022501</t>
  </si>
  <si>
    <t>WHRB CONSIDERATION - AGENDA ITEM</t>
  </si>
  <si>
    <t>RIGHT TO ACCESS AHC DOCTORS</t>
  </si>
  <si>
    <t>2015-022502</t>
  </si>
  <si>
    <t>S APPEAL 15-22</t>
  </si>
  <si>
    <t>2/27/15 MTG AGENDA</t>
  </si>
  <si>
    <t>PONO CHOICES SURVEY</t>
  </si>
  <si>
    <t>CIVIL NO. 15-1-0321-02 (1st CIRCUIT CT.)</t>
  </si>
  <si>
    <t>2015-030301</t>
  </si>
  <si>
    <t>U APPEAL 15-26</t>
  </si>
  <si>
    <t>ELECTRONIC RECORD</t>
  </si>
  <si>
    <t>REFUSAL TO PROVIDE</t>
  </si>
  <si>
    <t>2015-030302</t>
  </si>
  <si>
    <t>HIDING SPOTS IN VEHICLES DATABASE</t>
  </si>
  <si>
    <t>2015-030304</t>
  </si>
  <si>
    <t>DENIED PERSONAL RECORDS</t>
  </si>
  <si>
    <t>EXPLANATION OF DENIAL</t>
  </si>
  <si>
    <t>2015-030305</t>
  </si>
  <si>
    <t>REFUSAL OF ASSISTANCE</t>
  </si>
  <si>
    <t>INFO ON AZ FOIA AGENCY &amp; STATUTE</t>
  </si>
  <si>
    <t>2015-030306</t>
  </si>
  <si>
    <t>DENIAL TO CORRECT RCD #2534-02H</t>
  </si>
  <si>
    <t>FILING SUIT</t>
  </si>
  <si>
    <t>2015-030307</t>
  </si>
  <si>
    <t>DENIAL TO CORRECT RCD #2225-02H</t>
  </si>
  <si>
    <t>2015-030308</t>
  </si>
  <si>
    <t>DAGS-AHC</t>
  </si>
  <si>
    <t>3/5/15 AHC MTG</t>
  </si>
  <si>
    <t>SL REVIEW</t>
  </si>
  <si>
    <t>S APPEAL 15-23</t>
  </si>
  <si>
    <t>TESTIMONY AT 3/3/15 MTG</t>
  </si>
  <si>
    <t>"NOT ON POINT" &amp; TIME CUT SHORT</t>
  </si>
  <si>
    <t>2015-030501</t>
  </si>
  <si>
    <t>U RFA-P 15-35</t>
  </si>
  <si>
    <t>OBTAINING RECORDS</t>
  </si>
  <si>
    <t>REASONABLE COST</t>
  </si>
  <si>
    <t>2015-031301</t>
  </si>
  <si>
    <t>HSAC PRESENTATION</t>
  </si>
  <si>
    <t>2015-031601</t>
  </si>
  <si>
    <t>S APPEAL 15-24</t>
  </si>
  <si>
    <t>3/3/15 MTG</t>
  </si>
  <si>
    <t>ONLY TESTIMONY ON COMM RPT ALLOWED</t>
  </si>
  <si>
    <t>PART III CORRECT DISCIPLINARY RPT #7289-06 (CONTRABAND POSSESSION)</t>
  </si>
  <si>
    <t>PART III CCORRECT DISCIPLINARY RPT #7289-06 (FAILURE TO FOLLOW)</t>
  </si>
  <si>
    <t>2015-032701</t>
  </si>
  <si>
    <t>U RFA-P 15-36</t>
  </si>
  <si>
    <t>RECORD REQUEST NOT ACKNOWLEDGED</t>
  </si>
  <si>
    <t>2015-032601</t>
  </si>
  <si>
    <t>U RFA-P 15-37</t>
  </si>
  <si>
    <t>FY11-14</t>
  </si>
  <si>
    <t>2015-040301</t>
  </si>
  <si>
    <t>CIVIL BEAT REQUEST TO DLNR</t>
  </si>
  <si>
    <t>2015-040601</t>
  </si>
  <si>
    <t>U RFA-P 15-38</t>
  </si>
  <si>
    <t>DLNR-DAR</t>
  </si>
  <si>
    <t>UNABLE TO MAKE CONTACT</t>
  </si>
  <si>
    <t>2015-04071</t>
  </si>
  <si>
    <t>U RFA-G 15-2</t>
  </si>
  <si>
    <t>INFO NOT RECEIVED</t>
  </si>
  <si>
    <t>LEGAL JOURNALS, ETC</t>
  </si>
  <si>
    <t>2PR-14-000005</t>
  </si>
  <si>
    <t>2015-041301</t>
  </si>
  <si>
    <t>U RFA-P 15-39</t>
  </si>
  <si>
    <t>REQUEST FOR BACK-UP INFO</t>
  </si>
  <si>
    <t>NO ACKNOWLEDGEMENT</t>
  </si>
  <si>
    <t>2015-041302</t>
  </si>
  <si>
    <t>U RFA-P 15-40</t>
  </si>
  <si>
    <t>RECORD REQUEST (KAKAAKO)</t>
  </si>
  <si>
    <t>2015-041303</t>
  </si>
  <si>
    <t>U RFA-P 15-41</t>
  </si>
  <si>
    <t>RECORD REQUEST (PKF REPORT)</t>
  </si>
  <si>
    <t>2015-041304</t>
  </si>
  <si>
    <t>U RFA-P 15-42</t>
  </si>
  <si>
    <t>KULA CLINIC</t>
  </si>
  <si>
    <t>MRI, CT SCAN &amp; X-RAYS</t>
  </si>
  <si>
    <t>PART III CCORRECT DISCIPLINARY RPT (SEXUAL MISCONDUCT)</t>
  </si>
  <si>
    <t>1CC15-1-000431</t>
  </si>
  <si>
    <t>U APPEAL 15-27</t>
  </si>
  <si>
    <t>B&amp;F-FAD</t>
  </si>
  <si>
    <t>2015-041602</t>
  </si>
  <si>
    <t>U RFA-P 15-43</t>
  </si>
  <si>
    <t>4000 PROPERTIES</t>
  </si>
  <si>
    <t>2015-041701</t>
  </si>
  <si>
    <t>QUEEN'S MEDICAL CENTER</t>
  </si>
  <si>
    <t>2015-041702</t>
  </si>
  <si>
    <t>U RFA-G 15-3</t>
  </si>
  <si>
    <t>INFO OMITTED</t>
  </si>
  <si>
    <t>2015-041603</t>
  </si>
  <si>
    <t>U RFA-P 15-44</t>
  </si>
  <si>
    <t>REDACTED INFO</t>
  </si>
  <si>
    <t>PERS RCD OF JOY STRAWS</t>
  </si>
  <si>
    <t>CERTIFIED RECORD</t>
  </si>
  <si>
    <t>NOT TRANSMITTED TO CIRCUIT COURT</t>
  </si>
  <si>
    <t>S RFO-G 15-5</t>
  </si>
  <si>
    <t>RULES OF COUNCIL - RULE 13(e)</t>
  </si>
  <si>
    <t>2015-042301</t>
  </si>
  <si>
    <t>U RFA-P 15-45</t>
  </si>
  <si>
    <t>SETTLEMENT AGREEMENT - DOCKET #050SHW-SWSD-004</t>
  </si>
  <si>
    <t>2015-042401</t>
  </si>
  <si>
    <t>U RFA-P 15-46</t>
  </si>
  <si>
    <t>FINANCIAL DOCS - HIIPAKA, HIILEI ALOHA, HOOKELE PONO &amp; OHA</t>
  </si>
  <si>
    <t>2015-042701</t>
  </si>
  <si>
    <t>U RFA-P 15-47</t>
  </si>
  <si>
    <t>13 SMA REPORTS &amp; FINDINGS</t>
  </si>
  <si>
    <t>2015-043001</t>
  </si>
  <si>
    <t>U RFA-P 15-48</t>
  </si>
  <si>
    <t>2015-050401</t>
  </si>
  <si>
    <t>U RFA-P 15-49</t>
  </si>
  <si>
    <t>PERSONAL CASE FILE DATED 4/10/15</t>
  </si>
  <si>
    <t>NOT ENTITLED</t>
  </si>
  <si>
    <t>2015-050501</t>
  </si>
  <si>
    <t>UIPA &amp; SL</t>
  </si>
  <si>
    <t>7/10/15</t>
  </si>
  <si>
    <t>CMA/CKP</t>
  </si>
  <si>
    <t>2015-042001</t>
  </si>
  <si>
    <t>S APPEAL 15-27</t>
  </si>
  <si>
    <t>RULES MISSING ON AGENDA</t>
  </si>
  <si>
    <t>DRAFT RULES NOT REFERENCED ONLINE</t>
  </si>
  <si>
    <t>2015-042002</t>
  </si>
  <si>
    <t>U RFA-G 15-4</t>
  </si>
  <si>
    <t>GRANT INFO</t>
  </si>
  <si>
    <t>2015-041604</t>
  </si>
  <si>
    <t>UIPA &amp; SL TRNG
7/17/15</t>
  </si>
  <si>
    <t>TRNG FOR COUNCIL-M</t>
  </si>
  <si>
    <t>JZB/CKP</t>
  </si>
  <si>
    <t>2015-050701</t>
  </si>
  <si>
    <t>U RFA-P 15-50</t>
  </si>
  <si>
    <t>COMPLETE ROOFING MATERIAL SUBMITTAL</t>
  </si>
  <si>
    <t>NO ANSWER</t>
  </si>
  <si>
    <t>2015-050702</t>
  </si>
  <si>
    <t>U APPEAL 15-28</t>
  </si>
  <si>
    <t>REFUSAL TO PROVIDE VIDEO</t>
  </si>
  <si>
    <t>ONGOING INVESTIGATION</t>
  </si>
  <si>
    <t>BUDGET MEMORANDA</t>
  </si>
  <si>
    <t>CIVIL NO. 15-01-0891</t>
  </si>
  <si>
    <t>U APPEAL 15-29</t>
  </si>
  <si>
    <t>VET RECORDS</t>
  </si>
  <si>
    <t>HIPAA</t>
  </si>
  <si>
    <t>2015-051202</t>
  </si>
  <si>
    <t>U RFA-P 15-52</t>
  </si>
  <si>
    <t>ADMIN RULES, POLICIES &amp; PROCEDURES</t>
  </si>
  <si>
    <t>SECURITY AT PUNCHBOWL HOMES</t>
  </si>
  <si>
    <t>2015-051302</t>
  </si>
  <si>
    <t>RRS TRAINING</t>
  </si>
  <si>
    <t>2015-051303</t>
  </si>
  <si>
    <t>SL TRNG 6/27/15</t>
  </si>
  <si>
    <t>NEW NB MEMBER INSTALLATION</t>
  </si>
  <si>
    <t>U APPEAL 15-30</t>
  </si>
  <si>
    <t>EXCESSIVE REDACTION</t>
  </si>
  <si>
    <t>S APPEAL 15-26</t>
  </si>
  <si>
    <t>BOE-SPCSC</t>
  </si>
  <si>
    <t>ENROLLMENT FORM SIS-10W</t>
  </si>
  <si>
    <t>2015-051805</t>
  </si>
  <si>
    <t>7 REQUESTS BEYOND HPA CAPABILITIES</t>
  </si>
  <si>
    <t>ASSESSMENTS OF REQUESTS</t>
  </si>
  <si>
    <t>2015-051806</t>
  </si>
  <si>
    <t>AZ OMBUD</t>
  </si>
  <si>
    <t>AZ</t>
  </si>
  <si>
    <t>ARS 39</t>
  </si>
  <si>
    <t>PROPER PATH FOR INQUIRY</t>
  </si>
  <si>
    <t>2015-051807</t>
  </si>
  <si>
    <t>SUIT V SCC/CCA STAFF</t>
  </si>
  <si>
    <t>PROCESS/PROCEDURES</t>
  </si>
  <si>
    <t>2015-051808</t>
  </si>
  <si>
    <t>SUIT V B MATSUOKA &amp; T JOHNSON; CIVIL NO. 15-1-0882-05</t>
  </si>
  <si>
    <t>2015-051809</t>
  </si>
  <si>
    <t>CORRECTION OF RECORD</t>
  </si>
  <si>
    <t>SUIT V B MATSUOKA &amp; T JOHNSON; CIVIL NO. 15-1-0881-05</t>
  </si>
  <si>
    <t>2015-051810</t>
  </si>
  <si>
    <t>CORRECTION OF RECORDS</t>
  </si>
  <si>
    <t>SUIT V B MATSUOKA &amp; T JOHNSON</t>
  </si>
  <si>
    <t>U APPEAL 15-31</t>
  </si>
  <si>
    <t>ATTY INVOICES</t>
  </si>
  <si>
    <t>ATTY-CLIENT PRIVILEGE REDACTIONS</t>
  </si>
  <si>
    <t>2015-052102</t>
  </si>
  <si>
    <t>WRITTEN POLICIES &amp; PROCEDURES</t>
  </si>
  <si>
    <t>INMATE TRANSPORT</t>
  </si>
  <si>
    <t>U APPEAL 15-32</t>
  </si>
  <si>
    <t>SUSAN ENRIGHT</t>
  </si>
  <si>
    <t>NB# 34</t>
  </si>
  <si>
    <t>2015-06201</t>
  </si>
  <si>
    <t>U RECON-P 15-1</t>
  </si>
  <si>
    <t>CLOSED PREMATURELY &amp; IN ERROR</t>
  </si>
  <si>
    <t>2015-060301</t>
  </si>
  <si>
    <t>DEFINITIONS &amp; INSTRUCTIONS</t>
  </si>
  <si>
    <t>PROBATION OFFICERS</t>
  </si>
  <si>
    <t>2015-060303</t>
  </si>
  <si>
    <t>CONTRACT MONITOR JEANETTE BALTERO</t>
  </si>
  <si>
    <t>NO COPYING &amp; LOSS OF ORIGINAL DOCS</t>
  </si>
  <si>
    <t>2015-060304</t>
  </si>
  <si>
    <t>1CC JUDGES &amp; COURT REPORTERS</t>
  </si>
  <si>
    <t>2015-060801</t>
  </si>
  <si>
    <t>SL TRAINING 8/13/15</t>
  </si>
  <si>
    <t>COUNTY-H MUNICIPAL ATTY CONF - PANELIST</t>
  </si>
  <si>
    <t>2015-060901</t>
  </si>
  <si>
    <t>SL TRNG 9/1/15</t>
  </si>
  <si>
    <t>SL &amp; OIP UPDATES</t>
  </si>
  <si>
    <t>2015-061501</t>
  </si>
  <si>
    <t>DATE OF TRNG 6-17-15</t>
  </si>
  <si>
    <t>2015-061502</t>
  </si>
  <si>
    <t>6-23-15</t>
  </si>
  <si>
    <t>2015-061503</t>
  </si>
  <si>
    <t>REQ FOR CORRECTION - RPT #809-1</t>
  </si>
  <si>
    <t>SUIT V HPA, MATSUOKA &amp; JOHNSON</t>
  </si>
  <si>
    <t>2015-061504</t>
  </si>
  <si>
    <t>REQ FOR CORRECTION - RPT #515-11</t>
  </si>
  <si>
    <t>2015-061505</t>
  </si>
  <si>
    <t>GRAND JURY INDICTMENT &amp; TRANSCRIPTS</t>
  </si>
  <si>
    <t>RPT# H-39259</t>
  </si>
  <si>
    <t>2015-061506</t>
  </si>
  <si>
    <t>RPT# H-44809</t>
  </si>
  <si>
    <t>2015-061507</t>
  </si>
  <si>
    <t>1985 GRAND JURY INDICTMENT &amp; TRANSCRIPTS</t>
  </si>
  <si>
    <t>RPT# H-16407</t>
  </si>
  <si>
    <t>2015-061508</t>
  </si>
  <si>
    <t>1997 GRAND JURY INDICTMENT &amp; TRANSCRIPTS</t>
  </si>
  <si>
    <t>2015-061509</t>
  </si>
  <si>
    <t>SENTENCING TRANSCRIPTS</t>
  </si>
  <si>
    <t>JUDGE MILKS</t>
  </si>
  <si>
    <t>2015-061510</t>
  </si>
  <si>
    <t>JUDGE PERKINS</t>
  </si>
  <si>
    <t>2015-061511</t>
  </si>
  <si>
    <t>REQUEST FOR PUBLIC RECORDS</t>
  </si>
  <si>
    <t>PUBLIC INTEREST WAIVER</t>
  </si>
  <si>
    <t>2015-061512</t>
  </si>
  <si>
    <t>$30 NOT WAIVED</t>
  </si>
  <si>
    <t>2015-061801</t>
  </si>
  <si>
    <t>U APPEAL 15-33</t>
  </si>
  <si>
    <t>DHS-CAB</t>
  </si>
  <si>
    <t>HC&amp;S RPTS FOR 5/27/15 BURN</t>
  </si>
  <si>
    <t>ENFORCEMENT ACTION UNDERWAY</t>
  </si>
  <si>
    <t>U APPEAL 15-34</t>
  </si>
  <si>
    <t>DLIR-ESARO</t>
  </si>
  <si>
    <t>LTR APPROVING UNEMPLOYMENT BENEFITS</t>
  </si>
  <si>
    <t>CASE #1402348</t>
  </si>
  <si>
    <t>U RFA-P 15-53</t>
  </si>
  <si>
    <t>CAMPUS CENTER PUBLIC DOCS</t>
  </si>
  <si>
    <t>2015-062401</t>
  </si>
  <si>
    <t>WILLIAMSON V UH (ACADEMIC GRIEVANCE DOCS)</t>
  </si>
  <si>
    <t>1CC-14-1-1397-06</t>
  </si>
  <si>
    <t>2015-062603</t>
  </si>
  <si>
    <t>S RECON-P 15-2</t>
  </si>
  <si>
    <t>DISMISSAL</t>
  </si>
  <si>
    <t>2015-062604</t>
  </si>
  <si>
    <t>S RECON-P 15-3</t>
  </si>
  <si>
    <t>S RECON-P 15-4</t>
  </si>
  <si>
    <t>2015-062606</t>
  </si>
  <si>
    <t>S RECON-P 15-5</t>
  </si>
  <si>
    <t>2015-062607</t>
  </si>
  <si>
    <t>S RECON-P 15-6</t>
  </si>
  <si>
    <t>2015-062901</t>
  </si>
  <si>
    <t>PRIVATE EMAIL ACCTS</t>
  </si>
  <si>
    <t>EMAILS TO/FR CITY OFFICIALS</t>
  </si>
  <si>
    <t>2015-062903</t>
  </si>
  <si>
    <t>U RFA-P 15-54</t>
  </si>
  <si>
    <t>RECRUITMENT NOTICE #82900</t>
  </si>
  <si>
    <t>2150-70201</t>
  </si>
  <si>
    <t>7/15/15 @ 10AM</t>
  </si>
  <si>
    <t>PUBLIC SERVANT V ETHICS-HON</t>
  </si>
  <si>
    <t>CIVIL NO. 15-1-1307-07</t>
  </si>
  <si>
    <t>2015-072201</t>
  </si>
  <si>
    <t>U RFA-P 16-1</t>
  </si>
  <si>
    <t>PSD - HCF</t>
  </si>
  <si>
    <t>REQUEST FOR MEDICAL ASSISTANCE</t>
  </si>
  <si>
    <t>HALAWA PRISON ASSAULT</t>
  </si>
  <si>
    <t>U APPEAL 16-1</t>
  </si>
  <si>
    <t>CONTRACT NEGOTIATIONS</t>
  </si>
  <si>
    <t>KENNEDY JENKS PROPOSAL - RFP#OSC 15-01</t>
  </si>
  <si>
    <t>U APPEAL 16-2</t>
  </si>
  <si>
    <t>GIB ARNOLD'S RESPONSE TO NCAA</t>
  </si>
  <si>
    <t>ONGOING INVESTIGATION, FRUSTRATION, FERPA</t>
  </si>
  <si>
    <t>U APPEAL 16-3</t>
  </si>
  <si>
    <t>NOTES/MINUTES OF 7/21/15 MTG</t>
  </si>
  <si>
    <t>MTG WITH LEGISLATORS</t>
  </si>
  <si>
    <t>2015-072702</t>
  </si>
  <si>
    <t>U RFA-P 16-2</t>
  </si>
  <si>
    <t>UH-DPS</t>
  </si>
  <si>
    <t>REPORT 51115 ACCIDENT</t>
  </si>
  <si>
    <t>REPORT NUMBER: 15-0436</t>
  </si>
  <si>
    <t>2015-080301</t>
  </si>
  <si>
    <t>UIPA PROPOSED LEGISLATION FOR 2016</t>
  </si>
  <si>
    <t>2015-080501</t>
  </si>
  <si>
    <t>RECON-P 16-1</t>
  </si>
  <si>
    <t>HRS 92-2.5  (c) INFORMATIONAL MEETING</t>
  </si>
  <si>
    <t>2015-080601</t>
  </si>
  <si>
    <t>RFA-G 16-1</t>
  </si>
  <si>
    <t>HPHA 6/18/15 MINUTES</t>
  </si>
  <si>
    <t>UNAVAILABLE; NOT APPROVED YET</t>
  </si>
  <si>
    <t>2015-080602</t>
  </si>
  <si>
    <t>U RFA-P 16-3</t>
  </si>
  <si>
    <t>MENS BASKETBALL INVESTIGATION</t>
  </si>
  <si>
    <t>2015-081302</t>
  </si>
  <si>
    <t>DLNR BOR RESPONSES</t>
  </si>
  <si>
    <t>0810-01</t>
  </si>
  <si>
    <t>CORR 2015-0810-</t>
  </si>
  <si>
    <t>U RECON-P 15-1; U RFA-P 15-26; RECON REQUEST (DENIED)</t>
  </si>
  <si>
    <t>2015-081901</t>
  </si>
  <si>
    <t>GOV - B&amp;C</t>
  </si>
  <si>
    <t>SL TRAINING 9/17/15</t>
  </si>
  <si>
    <t>2015-090101</t>
  </si>
  <si>
    <t>U RFA-P 16-4</t>
  </si>
  <si>
    <t>DOT STUDIES</t>
  </si>
  <si>
    <t>TRAFFIC ON KAWAIHAE ROAD</t>
  </si>
  <si>
    <t>2015-090801</t>
  </si>
  <si>
    <t>U RFA-P 16-5</t>
  </si>
  <si>
    <t>CIVIL COMPLAINT NO 14.1.2240-10</t>
  </si>
  <si>
    <t>TORT CLAIM, INCIDENT DATED 11/26/12</t>
  </si>
  <si>
    <t>2015-091101</t>
  </si>
  <si>
    <t>U RFA-P 16-6</t>
  </si>
  <si>
    <t>REQUEST TO RN DEB STAMPFLE</t>
  </si>
  <si>
    <t>MEDICAL RECORDS FR DRS TOYAMA/LEE</t>
  </si>
  <si>
    <t>2015-091102</t>
  </si>
  <si>
    <t>U RFA-P 16-7</t>
  </si>
  <si>
    <t>REQUEST TO CHIEF OF SECURITYI (HCF)</t>
  </si>
  <si>
    <t>2015-091103</t>
  </si>
  <si>
    <t>U RFA-P 16-8</t>
  </si>
  <si>
    <t>REQUEST TO GARY KAPLAN</t>
  </si>
  <si>
    <t>SUBSTANCE ABUSE PROGRAM APPLICATION</t>
  </si>
  <si>
    <t>DOE/ROE V. ETHICS-HON</t>
  </si>
  <si>
    <t>CIVIL NO. 15-1-1749-09</t>
  </si>
  <si>
    <t>2015-091801</t>
  </si>
  <si>
    <t>U RFA-P 16-9</t>
  </si>
  <si>
    <t>LIQUID WASTE DUMPING</t>
  </si>
  <si>
    <t>COMPLAINT &amp; INVESTIGATION FILE</t>
  </si>
  <si>
    <t>2015-092101</t>
  </si>
  <si>
    <t>NON ADMINISTRATIVE FUNCTIONS</t>
  </si>
  <si>
    <t>2015-092201</t>
  </si>
  <si>
    <t>10/13/15</t>
  </si>
  <si>
    <t>2015-092202</t>
  </si>
  <si>
    <t>U APPEAL 16-4</t>
  </si>
  <si>
    <t>12/23/14 MTG MINUTES DENIED</t>
  </si>
  <si>
    <t>IWASAKI &amp; DR. NISHIMURA MTG</t>
  </si>
  <si>
    <t>U RFO-P 16-1</t>
  </si>
  <si>
    <t>CONFIDENTIAL INFORMATION DISCLOSURE</t>
  </si>
  <si>
    <t>RFP 13-013-SW PROPOSALS</t>
  </si>
  <si>
    <t>2015-092301</t>
  </si>
  <si>
    <t>U RFA-P 16-10</t>
  </si>
  <si>
    <t>RECORD REQUESTS</t>
  </si>
  <si>
    <t>UH HILO CAMPUS CENTER</t>
  </si>
  <si>
    <t>2015-092501</t>
  </si>
  <si>
    <t>U APPEAL 16-5</t>
  </si>
  <si>
    <t>DOT INVESTIGATION REPORT</t>
  </si>
  <si>
    <t>OFF OF CIVIL RIGHTS</t>
  </si>
  <si>
    <t>S RFO-P 16-2</t>
  </si>
  <si>
    <t>AD HOC HIRING COMMITTEES</t>
  </si>
  <si>
    <t>SL REQUIREMENTS</t>
  </si>
  <si>
    <t>U APPEAL 16-6</t>
  </si>
  <si>
    <t>LEG - REP ONISHI</t>
  </si>
  <si>
    <t>HI GMO CROPS</t>
  </si>
  <si>
    <t>U APPEAL 16-7</t>
  </si>
  <si>
    <t>LEG REP TSUJI</t>
  </si>
  <si>
    <t>2015-092803</t>
  </si>
  <si>
    <t>ALL COMMUNICATIONS; HI GE CROPS</t>
  </si>
  <si>
    <t>2015-100101</t>
  </si>
  <si>
    <t>U RFA-P 16-11</t>
  </si>
  <si>
    <t>INVESTIGATION RECORD</t>
  </si>
  <si>
    <t>TERMINATION OF EMPLOYMENT</t>
  </si>
  <si>
    <t>2015-100102</t>
  </si>
  <si>
    <t>U RFA-P 16-12</t>
  </si>
  <si>
    <t>AG RPT 14-2156</t>
  </si>
  <si>
    <t>REP. JAMES TOKIOKA</t>
  </si>
  <si>
    <t>2015-100201</t>
  </si>
  <si>
    <t>U RFA-P 16-13</t>
  </si>
  <si>
    <t>HARMFUL POLLUTANTS/ CONTAMINANTS</t>
  </si>
  <si>
    <t>U APPEAL 16-8</t>
  </si>
  <si>
    <t>WITHHOLDING INFORMATION</t>
  </si>
  <si>
    <t>RSI'S PROPOSAL</t>
  </si>
  <si>
    <t>2015-100701</t>
  </si>
  <si>
    <t>WAIVER OF FEES</t>
  </si>
  <si>
    <t>FOOD PURCHASE RECEIPTS FOR YEAR 2014</t>
  </si>
  <si>
    <t>2015-100901</t>
  </si>
  <si>
    <t>h</t>
  </si>
  <si>
    <t>m</t>
  </si>
  <si>
    <t>STATE INVASIVE SPECIES COUNCIL</t>
  </si>
  <si>
    <t>2015-101402</t>
  </si>
  <si>
    <t>UIPA SAMPLE RECORD REQUESTS/APPEALS</t>
  </si>
  <si>
    <t>2015-101403</t>
  </si>
  <si>
    <t>U RFA-P 16-14</t>
  </si>
  <si>
    <t>AIR POLLUTION</t>
  </si>
  <si>
    <t>CANE BURNING</t>
  </si>
  <si>
    <t>U RFA-P 16-15</t>
  </si>
  <si>
    <t>HPHA-DHS</t>
  </si>
  <si>
    <t>2015-102001</t>
  </si>
  <si>
    <t>U RFA-P 16-16</t>
  </si>
  <si>
    <t>HIOSH</t>
  </si>
  <si>
    <t>U APPEAL 16-9</t>
  </si>
  <si>
    <t>DOH-CAB</t>
  </si>
  <si>
    <t>PETITION TO ADOPT PROPOSED AMENDMENTS</t>
  </si>
  <si>
    <t>HAR SECTION 1-60.1-55</t>
  </si>
  <si>
    <t>2015-102004</t>
  </si>
  <si>
    <t>U RFA-P 16-17</t>
  </si>
  <si>
    <t>COPY OF BOND/INVOICES</t>
  </si>
  <si>
    <t>VERIFICATION OF PAYMENT</t>
  </si>
  <si>
    <t>CIVIL NO. 15-1-0881-05</t>
  </si>
  <si>
    <t>CIVIL NO. 15-1-0882-05</t>
  </si>
  <si>
    <t>2015-102008</t>
  </si>
  <si>
    <t>U RFA-P 16-18</t>
  </si>
  <si>
    <t>ALL DOCS PERTAINING TO COUNTY FENCING PROJECT</t>
  </si>
  <si>
    <t>2015-102601</t>
  </si>
  <si>
    <t>U APPEAL 16-10</t>
  </si>
  <si>
    <t>NOVEMBER 20, 2013 INCIDENT</t>
  </si>
  <si>
    <t>REQUEST FOR TRANSCRIPT &amp; VIDEO</t>
  </si>
  <si>
    <t>2015-102701</t>
  </si>
  <si>
    <t>NOVEMBER 26, 2012 INCIDENT</t>
  </si>
  <si>
    <t>2015-102702</t>
  </si>
  <si>
    <t>SUBDIVISION DEFERRAL AGREEMENTS</t>
  </si>
  <si>
    <t>U RFA-P 16-19</t>
  </si>
  <si>
    <t>HONOLULU CHARTER COMMISSION</t>
  </si>
  <si>
    <t>UIPA; SUNSHINE LAW MONITOR, PREPARE TESTIMONY RE; PROPOSED CHARTER AMENDMENTS</t>
  </si>
  <si>
    <t>2015-110501</t>
  </si>
  <si>
    <t>U APPEAL 16-11</t>
  </si>
  <si>
    <t>COACH ERAN GANOT'S ACTUAL SALARY</t>
  </si>
  <si>
    <t>AMOUNTS OF GUARANTEED RAISES</t>
  </si>
  <si>
    <t>2015-110503</t>
  </si>
  <si>
    <t>COPY OF NOTICE OF ENTRY OF JUDGMENT AND/OR ORDER</t>
  </si>
  <si>
    <t>2015-11001</t>
  </si>
  <si>
    <t>JUD (ODC)</t>
  </si>
  <si>
    <t>DOCUMENTS FROM OFFICE OF DISCIPLINARY COUNSEL</t>
  </si>
  <si>
    <t>2015-111002</t>
  </si>
  <si>
    <t>RELATED TO U RFA-P 16-01</t>
  </si>
  <si>
    <t>CLE COURSE 3/4/16</t>
  </si>
  <si>
    <t>"HOW TO RESPOND TO RECORD REQUESTS"</t>
  </si>
  <si>
    <t>CKP/JZB</t>
  </si>
  <si>
    <t>U APPEAL 16-12</t>
  </si>
  <si>
    <t>DELIBERATIVE PROCESS PRIVILEGE</t>
  </si>
  <si>
    <t>U RFA-P 16-20</t>
  </si>
  <si>
    <t>U APPEAL 16-13</t>
  </si>
  <si>
    <t>DELIBERATIVE PROCESS PRIVILEGE; EMAILS</t>
  </si>
  <si>
    <t>2015-111901</t>
  </si>
  <si>
    <t>U RFA-P 16-21</t>
  </si>
  <si>
    <t>12/22/2010 COMPLAINT</t>
  </si>
  <si>
    <t>MOLD, LEAKS, AND WATER DAMAGE IN MODULE 13</t>
  </si>
  <si>
    <t>2015-112401</t>
  </si>
  <si>
    <t>INFORMATION FROM STATE TESTING</t>
  </si>
  <si>
    <t>NEED RECORD REQUEST</t>
  </si>
  <si>
    <t>2015-112501</t>
  </si>
  <si>
    <t>U RFA-P 16-22</t>
  </si>
  <si>
    <t>GOVERNOR DAVID Y. IGE</t>
  </si>
  <si>
    <t>U APPEAL 16-14</t>
  </si>
  <si>
    <t>SMARTER BALANCE &amp; TRIPOD TEST</t>
  </si>
  <si>
    <t>2015-113001</t>
  </si>
  <si>
    <t>REQUEST TO OIP PREMATURE</t>
  </si>
  <si>
    <t>NEED COPIES OF REQUESTS</t>
  </si>
  <si>
    <t>2015-113002</t>
  </si>
  <si>
    <t>U APPEAL 16-15</t>
  </si>
  <si>
    <t>RECORDS RELATED TO BACK INJURY</t>
  </si>
  <si>
    <t>2015-120201</t>
  </si>
  <si>
    <t>APPEAL NOT ACCEPTED</t>
  </si>
  <si>
    <t>NO NOTICE VIOLATION</t>
  </si>
  <si>
    <t>2015-120701</t>
  </si>
  <si>
    <t>U RFA-P 16-23</t>
  </si>
  <si>
    <t>LIST OF LONG TERM CARE FACILITIES IN HAWAII</t>
  </si>
  <si>
    <t>REQUEST PARTLY GRANTED</t>
  </si>
  <si>
    <t>ODC</t>
  </si>
  <si>
    <t>DOCS FROM OFFICE OF DISCIPLINARY COUNSEL</t>
  </si>
  <si>
    <t>RECON DENIAL</t>
  </si>
  <si>
    <t>NO 92-7(D) VIOLATION</t>
  </si>
  <si>
    <t>U APPEAL 16-16</t>
  </si>
  <si>
    <t>COPIES OF PESTICIDE OVERSPRAY INVESTIGATION</t>
  </si>
  <si>
    <t>REQUEST DENIED IN ITS ENTIRETY</t>
  </si>
  <si>
    <t>U RFA-P 16-24</t>
  </si>
  <si>
    <t>UH HILO STUDENT CONDUCT CODE COMPLAINT</t>
  </si>
  <si>
    <t>EXCESSIVE FEES</t>
  </si>
  <si>
    <t>S APPEAL 16-1</t>
  </si>
  <si>
    <t>SBRRB</t>
  </si>
  <si>
    <t>SBRRB 12/9/15 AGENDA</t>
  </si>
  <si>
    <t>S APPEAL 16-2</t>
  </si>
  <si>
    <t>PRINCESS KAHANU ESTATES ASSOCIATION</t>
  </si>
  <si>
    <t>U APPEAL 16-17</t>
  </si>
  <si>
    <t>POLICE NARRATIVES &amp; WITNESS STATEMENTS</t>
  </si>
  <si>
    <t>2015-122801</t>
  </si>
  <si>
    <t>U RFA-P 16-25</t>
  </si>
  <si>
    <t>SOLICITATION NUMBER FAD2015-1</t>
  </si>
  <si>
    <t>2015-123101</t>
  </si>
  <si>
    <t>AGENCIES NOT CLEARLY INDICATED</t>
  </si>
  <si>
    <t>U RFA-P 16-26</t>
  </si>
  <si>
    <t>HEALTHCARE FACILITIES INSPECTION REPORTS</t>
  </si>
  <si>
    <t>REQUEST NOT DENIED</t>
  </si>
  <si>
    <t>U APPEAL 16-18</t>
  </si>
  <si>
    <t>AGREEMENTS B/W SOH &amp; E-RECORDING VENDORS</t>
  </si>
  <si>
    <t>DENIED IN ITS ENTIRETY</t>
  </si>
  <si>
    <t>2016-010501</t>
  </si>
  <si>
    <t>U RFA-P 16-27</t>
  </si>
  <si>
    <t>DOCS FROM HCC STUDENT AFFAIRS</t>
  </si>
  <si>
    <t>U APPEAL 16-19</t>
  </si>
  <si>
    <t>RECORDS RELATED TO D. PILA &amp; S. ONTAI</t>
  </si>
  <si>
    <t>U APPEAL 16-20</t>
  </si>
  <si>
    <t>HMSA'S MOST RECENT INSOLVENCY PLAN</t>
  </si>
  <si>
    <t>PEER NEWS V. CDC</t>
  </si>
  <si>
    <t>U APPEAL 16-21</t>
  </si>
  <si>
    <t>B&amp;F - ERS</t>
  </si>
  <si>
    <t>RECORDS B/W 10/1/14 TO 9/30/15</t>
  </si>
  <si>
    <t>U RFA-P 16-28</t>
  </si>
  <si>
    <t>COPY OF PROCEDURES RELATED TO HUD MINIMUM STANDARDS</t>
  </si>
  <si>
    <t>U RFA-P 16-29</t>
  </si>
  <si>
    <t>COPY OF CONTRACT WITH APN ALARM</t>
  </si>
  <si>
    <t>U RFA-P 16-30</t>
  </si>
  <si>
    <t>ALL EMAILS B/W NAKAMURA AND SUISO</t>
  </si>
  <si>
    <t>COPIES OF ORIGINAL ARREST REPORT</t>
  </si>
  <si>
    <t>COPIES OF SENTENCING PAPERS</t>
  </si>
  <si>
    <t>U RFA-P 16-31</t>
  </si>
  <si>
    <t>DOCS REGARDING RFP MQD 2012-009</t>
  </si>
  <si>
    <t>U RFA-P 16-32</t>
  </si>
  <si>
    <t>COPIES OF RESIDENT SERVICE FUNDS</t>
  </si>
  <si>
    <t>COPIES OF INVESTMENTS &amp; REINVESTMENTS</t>
  </si>
  <si>
    <t>U RFA-P 16-33</t>
  </si>
  <si>
    <t>RESPONSE TO ATTORNEY</t>
  </si>
  <si>
    <t>ATTORNEY-CLIENT ASSERTED</t>
  </si>
  <si>
    <t>REQUEST TO REOPEN CASE</t>
  </si>
  <si>
    <t>RELATED TO BACK INJURY</t>
  </si>
  <si>
    <t>U RFA-P 16-34</t>
  </si>
  <si>
    <t>REQUEST FOR ALL DBEDT STATE AGENCIES</t>
  </si>
  <si>
    <t>LIST OF ALL DBEDT BILLS</t>
  </si>
  <si>
    <t>U APPEAL 16-22</t>
  </si>
  <si>
    <t>BEACH USE PROPOSAL TO DLNR</t>
  </si>
  <si>
    <t>DRAFT AGREEMENT</t>
  </si>
  <si>
    <t>U RFA-P 16-35</t>
  </si>
  <si>
    <t>REQUEST FOR BREAKDOWN OFFER SHEETS</t>
  </si>
  <si>
    <t>RECON-P 16-2</t>
  </si>
  <si>
    <t>REQUEST FOR RULES/REGULATIONS E-RECORDING VENDORS</t>
  </si>
  <si>
    <t>U APPEAL 16-23</t>
  </si>
  <si>
    <t>AUDIO RECORDING OF 1/9/16 BOATING INCIDENT</t>
  </si>
  <si>
    <t>U RFA-P 16-36</t>
  </si>
  <si>
    <t>HPHA LAWS/RULES</t>
  </si>
  <si>
    <t>APPROVED BY HPHA BOARD</t>
  </si>
  <si>
    <t>Days to Decision</t>
  </si>
  <si>
    <t>County Councils</t>
  </si>
  <si>
    <t>County Corporation Counsels</t>
  </si>
  <si>
    <t>County Planning</t>
  </si>
  <si>
    <t>Agency</t>
  </si>
  <si>
    <t>County Public Works</t>
  </si>
  <si>
    <t>County Transportation</t>
  </si>
  <si>
    <t>State &amp; County Ethics Commissions</t>
  </si>
  <si>
    <t>County Finance</t>
  </si>
  <si>
    <t>County Fire</t>
  </si>
  <si>
    <t>County Police</t>
  </si>
  <si>
    <t>RFA (request for assistance) concerns matters when OIP facilitates a response from an agency</t>
  </si>
  <si>
    <t>RFO was used exclusively for major matters until OIP started using its "Appeal" designation (around 2007) for requesters seeking review when denied access; the Appeal designation eventually split into U Appeals and S Appeals in 2013</t>
  </si>
  <si>
    <t>INVES was used primarily for Sunshine "investigations" until approximately 2013 when matters began using the "S Appeal" designation</t>
  </si>
  <si>
    <t>CORR refers to matters when OIP receives something, but it lacks sufficient information to be classified by another designation; OIP follows up and a new related matter may be started if additional information is provided</t>
  </si>
  <si>
    <t>Major matters are RFO (requests for opinions), appeals, and INVES (Sunshine investigations); designations used at various times by OIP for matters expected to require substantive legal review and may require an OIP opinion</t>
  </si>
  <si>
    <t>All matters excludes legislation (LEG) and litigation (LIT) montitored by OIP, UIPA requests to OIP, agency training (TRNG) by OIP, administrative (ADMIN) matters, issues related to the Records Report System (RR), and general research (RSCH).</t>
  </si>
  <si>
    <t>County Water</t>
  </si>
  <si>
    <t>County Liquor</t>
  </si>
  <si>
    <t>County Mayors</t>
  </si>
  <si>
    <t>Inconsistent naming conventions used by OIP for departments over the years mean that not all matters may be captured in these statistics</t>
  </si>
  <si>
    <t>These statistics only show departments that have at least a handful of major matters</t>
  </si>
  <si>
    <t>Office of Hawaiian Affairs</t>
  </si>
  <si>
    <t>County Parks</t>
  </si>
  <si>
    <t>County Personnel</t>
  </si>
  <si>
    <t>County Prosecutors</t>
  </si>
  <si>
    <t>University of Hawai‘i</t>
  </si>
  <si>
    <t>ï»¿Department</t>
  </si>
  <si>
    <t xml:space="preserve">Personal Records Request?  </t>
  </si>
  <si>
    <t>Date Agency Received Request</t>
  </si>
  <si>
    <t>Date Agency's Notice Was Sent</t>
  </si>
  <si>
    <t>Agency 's Initial Response  Sent Within 10 Work Days</t>
  </si>
  <si>
    <t>RequestNeededInitialClarification</t>
  </si>
  <si>
    <t>Complex Request?</t>
  </si>
  <si>
    <t xml:space="preserve"> Agency Gave IncrementalResponses?</t>
  </si>
  <si>
    <t>DateCompleted</t>
  </si>
  <si>
    <t># of Workdays to Complete</t>
  </si>
  <si>
    <t>Request Granted in Full</t>
  </si>
  <si>
    <t>Request Denied in Full</t>
  </si>
  <si>
    <t>Request Denied inPart</t>
  </si>
  <si>
    <t>Agency Ultimately Unable to Respond</t>
  </si>
  <si>
    <t>Requester Withdrew</t>
  </si>
  <si>
    <t>RequesterAbandoned or Failed to Pay</t>
  </si>
  <si>
    <t>UIPA LawsuitFiled Against Agency?</t>
  </si>
  <si>
    <t>Actual Search Hours</t>
  </si>
  <si>
    <t xml:space="preserve"> Actual Review/ Segregation Hours</t>
  </si>
  <si>
    <t>Actual Legal Review Hours</t>
  </si>
  <si>
    <t>TOTAL Actual SRS &amp; Legal Review Hours</t>
  </si>
  <si>
    <t>TOTAL GROSS SRS Fees Incurred</t>
  </si>
  <si>
    <t>Additional Response Fees Incurred But Not Chargeable</t>
  </si>
  <si>
    <t xml:space="preserve">Minus $30Fee Waiver </t>
  </si>
  <si>
    <t xml:space="preserve">Minus $60 Fee Waiver </t>
  </si>
  <si>
    <t>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</si>
  <si>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</si>
  <si>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</si>
  <si>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</si>
  <si>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</si>
  <si>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</si>
  <si>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</si>
  <si>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</si>
  <si>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</si>
  <si>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</si>
  <si>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</si>
  <si>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</si>
  <si>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</si>
  <si>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</si>
  <si>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</si>
  <si>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</si>
  <si>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</si>
  <si>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</si>
  <si>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</si>
  <si>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</si>
  <si>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</si>
  <si>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</si>
  <si>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</si>
  <si>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</si>
  <si>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TOTAL ROUTINE REQUESTS</t>
  </si>
  <si>
    <t>CC_HONOLULU_BUDGET_AND_FISCAL_SERVICES</t>
  </si>
  <si>
    <t>CC HONOLULU/ BUDGET AND FISCAL SERVICES</t>
  </si>
  <si>
    <t>CC HONOLULU/ BUDGET AND FISCAL SERVICES/ BFS ADMINISTRATION</t>
  </si>
  <si>
    <t>CC HONOLULU/ BUDGET AND FISCAL SERVICES/ PURCHASING DIV</t>
  </si>
  <si>
    <t>CC HONOLULU/ BUDGET AND FISCAL SERVICES/ REAL PROPERTY DIV</t>
  </si>
  <si>
    <t>CC_HONOLULU_CITY_AUDITOR</t>
  </si>
  <si>
    <t>CC HONOLULU/ CITY AUDITOR</t>
  </si>
  <si>
    <t>CC_HONOLULU_CITY_CLERK</t>
  </si>
  <si>
    <t>CC HONOLULU/ CITY CLERK</t>
  </si>
  <si>
    <t>CC_HONOLULU_COMMUNITY_SERVICES</t>
  </si>
  <si>
    <t>CC_HONOLULU_COUNCIL_SERVICES</t>
  </si>
  <si>
    <t>CC HONOLULU/ COUNCIL SERVICES</t>
  </si>
  <si>
    <t>CC_HONOLULU_CUSTOMER_SERVICES</t>
  </si>
  <si>
    <t>CC HONOLULU/ CUSTOMER SERVICES</t>
  </si>
  <si>
    <t>CC_HONOLULU_EMERGENCY_MANAGEMENT</t>
  </si>
  <si>
    <t>CC_HONOLULU_ENVIRONMENTAL_SERVICES</t>
  </si>
  <si>
    <t>CC HONOLULU/ ENVIRONMENTAL SERVICES</t>
  </si>
  <si>
    <t>CC_HONOLULU_HONOLULU_BOARD_OF_WATER_SUPPLY</t>
  </si>
  <si>
    <t>CC_HONOLULU_HONOLULU_EMERGENCY_SERVICES</t>
  </si>
  <si>
    <t>CC_HONOLULU_INFORMATION_TECHNOLOGY</t>
  </si>
  <si>
    <t>CC_HONOLULU_PARKS_AND_RECREATION</t>
  </si>
  <si>
    <t>CC_HONOLULU_PLANNING_AND_PERMITTING</t>
  </si>
  <si>
    <t>CC HONOLULU/ PLANNING AND PERMITTING</t>
  </si>
  <si>
    <t>CC_HONOLULU_PROSECUTING_ATTORNEY</t>
  </si>
  <si>
    <t>CC HONOLULU/ PROSECUTING ATTORNEY</t>
  </si>
  <si>
    <t>CC_HONOLULU_TRANSPORTATION_SERVICES</t>
  </si>
  <si>
    <t>CC HONOLULU/ TRANSPORTATION SERVICES</t>
  </si>
  <si>
    <t>HAWAII_COUNTY_AGING</t>
  </si>
  <si>
    <t>HAWAII COUNTY/ AGING</t>
  </si>
  <si>
    <t>SOH_AGRICULTURE</t>
  </si>
  <si>
    <t>SOH/ AGRICULTURE/ AGRI RESOURCE MGMT DIV/ ARMD</t>
  </si>
  <si>
    <t>HAWAII_COUNTY_CIVIL_DEFENSE</t>
  </si>
  <si>
    <t>HAWAII COUNTY/ CIVIL DEFENSE</t>
  </si>
  <si>
    <t>HAWAII_COUNTY_CORPORATION_COUNSEL</t>
  </si>
  <si>
    <t>HAWAII COUNTY/ CORPORATION COUNSEL</t>
  </si>
  <si>
    <t>HAWAII_COUNTY_COUNTY_CLERK</t>
  </si>
  <si>
    <t>HAWAII COUNTY/ COUNTY CLERK</t>
  </si>
  <si>
    <t>HAWAII_COUNTY_COUNTY_COUNCIL</t>
  </si>
  <si>
    <t>HAWAII COUNTY/ COUNTY COUNCIL</t>
  </si>
  <si>
    <t>HAWAII_COUNTY_ENVIRONMENTAL_MANAGEMENT</t>
  </si>
  <si>
    <t>HAWAII COUNTY/ ENVIRONMENTAL MANAGEMENT</t>
  </si>
  <si>
    <t>HAWAII_COUNTY_FIRE</t>
  </si>
  <si>
    <t>HAWAII COUNTY/ FIRE</t>
  </si>
  <si>
    <t>HAWAII_COUNTY_HOUSING</t>
  </si>
  <si>
    <t>HAWAII COUNTY/ HOUSING</t>
  </si>
  <si>
    <t>HAWAII_COUNTY_HUMAN_RESOURCES</t>
  </si>
  <si>
    <t>HAWAII COUNTY/ HUMAN RESOURCES</t>
  </si>
  <si>
    <t>HAWAII_COUNTY_INFORMATION_TECHNOLOGY</t>
  </si>
  <si>
    <t>HAWAII COUNTY/ INFORMATION TECHNOLOGY</t>
  </si>
  <si>
    <t>HAWAII_COUNTY_LEGISLATIVE_AUDITOR</t>
  </si>
  <si>
    <t>HAWAII COUNTY/ LEGISLATIVE AUDITOR</t>
  </si>
  <si>
    <t>HAWAII_COUNTY_MASS_TRANSIT</t>
  </si>
  <si>
    <t>HAWAII COUNTY/ MASS TRANSIT</t>
  </si>
  <si>
    <t>HAWAII_COUNTY_MAYOR</t>
  </si>
  <si>
    <t>HAWAII COUNTY/ MAYOR</t>
  </si>
  <si>
    <t>HAWAII_COUNTY_PARKS_AND_RECREATION</t>
  </si>
  <si>
    <t>HAWAII COUNTY/ PARKS AND RECREATION</t>
  </si>
  <si>
    <t>HAWAII_COUNTY_PLANNING</t>
  </si>
  <si>
    <t>HAWAII COUNTY/ PLANNING</t>
  </si>
  <si>
    <t>HAWAII_COUNTY_POLICE</t>
  </si>
  <si>
    <t>HAWAII COUNTY/ POLICE</t>
  </si>
  <si>
    <t>HAWAII_COUNTY_PROSECUTING_ATTORNEY</t>
  </si>
  <si>
    <t>HAWAII COUNTY/ PROSECUTING ATTORNEY</t>
  </si>
  <si>
    <t>SOH_BUDGET_AND_FINANCE</t>
  </si>
  <si>
    <t>SOH/ADMINISTRATIVE &amp; RESEARCH OFFICE/ARO</t>
  </si>
  <si>
    <t>SOH/ AGRICULTURE/ ADMINISTRATIVE SERVICES OFFICE/ ASO</t>
  </si>
  <si>
    <t>MAUI_COUNTY_CORPORATION_COUNSEL</t>
  </si>
  <si>
    <t>MAUI_COUNTY_COUNTY_COUNCIL</t>
  </si>
  <si>
    <t>MAUI COUNTY/ COUNTY COUNCIL</t>
  </si>
  <si>
    <t>MAUI_COUNTY_ENVIRONMENTAL_MANAGEMENT</t>
  </si>
  <si>
    <t>MAUI COUNTY/ ENVIRONMENTAL MANAGEMENT</t>
  </si>
  <si>
    <t>SOH/PUBLIC DEFENDER/OPD</t>
  </si>
  <si>
    <t>HAWAII_COUNTY_LIQUOR_CONTROL</t>
  </si>
  <si>
    <t>HAWAII COUNTY/ LIQUOR CONTROL</t>
  </si>
  <si>
    <t>HAWAII_COUNTY_RESEARCH_AND_DEVELOPMENT</t>
  </si>
  <si>
    <t>HAWAII COUNTY/ RESEARCH AND DEVELOPMENT</t>
  </si>
  <si>
    <t>KAUAI_COUNTY_AGENCY_ON_ELDERLY_AFFAIRS</t>
  </si>
  <si>
    <t>KAUAI COUNTY/ AGENCY ON ELDERLY AFFAIRS</t>
  </si>
  <si>
    <t>KAUAI_COUNTY_BOARDS_AND_COMMISSIONS</t>
  </si>
  <si>
    <t>KAUAI COUNTY/ BOARDS AND COMMISSIONS</t>
  </si>
  <si>
    <t>KAUAI_COUNTY_CIVIL_DEFENSE_AGENCY</t>
  </si>
  <si>
    <t>KAUAI COUNTY/ CIVIL DEFENSE AGENCY</t>
  </si>
  <si>
    <t>KAUAI_COUNTY_COUNTY_ATTORNEY</t>
  </si>
  <si>
    <t>KAUAI_COUNTY_COUNTY_AUDITOR</t>
  </si>
  <si>
    <t>KAUAI COUNTY/ COUNTY AUDITOR</t>
  </si>
  <si>
    <t>KAUAI_COUNTY_COUNTY_CLERK</t>
  </si>
  <si>
    <t>KAUAI COUNTY/ COUNTY CLERK</t>
  </si>
  <si>
    <t>KAUAI_COUNTY_ECONOMIC_DEVELOPMENT</t>
  </si>
  <si>
    <t>KAUAI COUNTY/ ECONOMIC DEVELOPMENT</t>
  </si>
  <si>
    <t>KAUAI_COUNTY_FINANCE</t>
  </si>
  <si>
    <t>KAUAI COUNTY/ FINANCE</t>
  </si>
  <si>
    <t>KAUAI_COUNTY_FIRE_DEPARTMENT</t>
  </si>
  <si>
    <t>KAUAI_COUNTY_HOUSING_AGENCY</t>
  </si>
  <si>
    <t>KAUAI COUNTY/ HOUSING AGENCY</t>
  </si>
  <si>
    <t>KAUAI_COUNTY_MAYOR</t>
  </si>
  <si>
    <t>KAUAI COUNTY/ MAYOR</t>
  </si>
  <si>
    <t>KAUAI_COUNTY_PARKS_AND_RECREATION</t>
  </si>
  <si>
    <t>KAUAI COUNTY/ PARKS AND RECREATION</t>
  </si>
  <si>
    <t>KAUAI_COUNTY_PROSECUTING_ATTORNEY</t>
  </si>
  <si>
    <t>KAUAI COUNTY/ PROSECUTING ATTORNEY</t>
  </si>
  <si>
    <t>SOH_ACCOUNTING_AND_GENERAL_SERVICES</t>
  </si>
  <si>
    <t>SOH/ ACCOUNTING &amp; GENERAL SERVICES/ ACCESS HAWAII COMMITTEE</t>
  </si>
  <si>
    <t>KAUAI_COUNTY_PUBLIC_WORKS</t>
  </si>
  <si>
    <t>KAUAI_COUNTY_TRANSPORTATION_AGENCY</t>
  </si>
  <si>
    <t>KAUAI COUNTY/ TRANSPORTATION AGENCY</t>
  </si>
  <si>
    <t>SOH_HEALTH</t>
  </si>
  <si>
    <t>SOH/ HEALTH/ EHA/ ENVIRONMENTAL PLANNING OFC</t>
  </si>
  <si>
    <t>KAUAI_COUNTY_WATER_DEPARTMENT</t>
  </si>
  <si>
    <t>MAUI_COUNTY_FINANCE</t>
  </si>
  <si>
    <t>SOH_EDUCATION</t>
  </si>
  <si>
    <t>SOH/ EDUCATION/ KUA O KA LÄ€ NEW CENTURY PUBLIC CHARTER SCHOOL</t>
  </si>
  <si>
    <t>MAUI_COUNTY_FIRE_AND_PUBLIC_SAFETY</t>
  </si>
  <si>
    <t>MAUI COUNTY/ FIRE AND PUBLIC SAFETY</t>
  </si>
  <si>
    <t>MAUI_COUNTY_HOUSING_AND_HUMAN_CONCERNS</t>
  </si>
  <si>
    <t>MAUI_COUNTY_LIQUOR_CONTROL</t>
  </si>
  <si>
    <t>MAUI COUNTY/ LIQUOR CONTROL</t>
  </si>
  <si>
    <t>MAUI_COUNTY_MAYOR</t>
  </si>
  <si>
    <t>MAUI COUNTY/ MAYOR</t>
  </si>
  <si>
    <t>MAUI_COUNTY_PARKS_AND_RECREATION</t>
  </si>
  <si>
    <t>MAUI_COUNTY_PERSONNEL_SERVICES</t>
  </si>
  <si>
    <t>MAUI COUNTY/ PERSONNEL SERVICES</t>
  </si>
  <si>
    <t>MAUI_COUNTY_POLICE_DEPARTMENT</t>
  </si>
  <si>
    <t>MAUI_COUNTY_PROSECUTING_ATTORNEY</t>
  </si>
  <si>
    <t>MAUI_COUNTY_PUBLIC_WORKS</t>
  </si>
  <si>
    <t>MAUI_COUNTY_TRANSPORTATION</t>
  </si>
  <si>
    <t>MAUI COUNTY/ TRANSPORTATION</t>
  </si>
  <si>
    <t>MAUI_COUNTY_WATER_SUPPLY</t>
  </si>
  <si>
    <t>MAUI COUNTY/ WATER SUPPLY</t>
  </si>
  <si>
    <t>OAHU_METROPOLITAN_PLANNING_ORGANIZATION</t>
  </si>
  <si>
    <t>OAHU METROPOLITAN PLANNING ORGANIZATION/ OAHU METROPOLITAN PLANNING ORGANIZATION</t>
  </si>
  <si>
    <t>OFFICE_OF_HAWAIIAN_AFFAIRS</t>
  </si>
  <si>
    <t>OFFICE OF HAWAIIAN AFFAIRS/ OFFICE OF HAWAIIAN AFFAIRS/ OHA</t>
  </si>
  <si>
    <t>SEEQS: THE SCHOOL FOR EXAMINING ESSENTIAL QUESTIONS OF SUSTAINABILITY</t>
  </si>
  <si>
    <t>SOH/ ACCOUNTING &amp; GENERAL SERVICES/ ARCHIVES DIVISION</t>
  </si>
  <si>
    <t>SOH/ ACCOUNTING &amp; GENERAL SERVICES/ AUDIT DIVISION</t>
  </si>
  <si>
    <t>SOH/ ACCOUNTING &amp; GENERAL SERVICES/ AUTOMOTIVE MANAGEMENT DIV</t>
  </si>
  <si>
    <t>SOH/ ACCOUNTING &amp; GENERAL SERVICES/ SYSTEMS &amp; PROCEDURES OFFICE</t>
  </si>
  <si>
    <t>SOH/ ACCOUNTING &amp; GENERAL SERVICES/ CAMPAIGN SPENDING COMMISSION</t>
  </si>
  <si>
    <t>SOH/ AGRICULTURE/ AGRICULTURAL DEVELOPMENT DIV/ ADD</t>
  </si>
  <si>
    <t>SOH/ ACCOUNTING &amp; GENERAL SERVICES/ CENTRAL SERVICES DIVISION</t>
  </si>
  <si>
    <t>SOH/ AGRICULTURE/ ANIMAL INDUSTRY DIV/ DAI</t>
  </si>
  <si>
    <t>SOH/ AGRICULTURE/ PESTICIDES BR/ AGRPIPEST</t>
  </si>
  <si>
    <t>SOH/ AGRICULTURE/ PLANT PEST CONTROL BR/ AGRPIPPC</t>
  </si>
  <si>
    <t>SOH/ ACCOUNTING &amp; GENERAL SERVICES/ COMPTROLLERS &amp; ADMINISTRATIVE SERVICES OFFICE</t>
  </si>
  <si>
    <t>SOH/ ACCOUNTING &amp; GENERAL SERVICES/ ENHANCED 911 BOARD</t>
  </si>
  <si>
    <t>SOH/ ACCOUNTING &amp; GENERAL SERVICES/ HAWAII DISTRICT OFFICE</t>
  </si>
  <si>
    <t>SOH/ ACCOUNTING &amp; GENERAL SERVICES/ INFO &amp; COMM SVCS DIVISION/ ICSD</t>
  </si>
  <si>
    <t>SOH/ ACCOUNTING &amp; GENERAL SERVICES/ INFORMATION PRIVACY &amp; SECURITY COUNCIL</t>
  </si>
  <si>
    <t>SOH/ ACCOUNTING &amp; GENERAL SERVICES/ KAMEHAMEHA DAY CELEBRATION COMM</t>
  </si>
  <si>
    <t>SOH/ ACCOUNTING &amp; GENERAL SERVICES/ KAUAI DISTRICT OFFICE</t>
  </si>
  <si>
    <t>SOH/ ACCOUNTING &amp; GENERAL SERVICES/ LAND SURVEY DIVISION</t>
  </si>
  <si>
    <t>SOH/ ACCOUNTING &amp; GENERAL SERVICES/ MAUI DISTRICT OFFICE</t>
  </si>
  <si>
    <t>SOH/ ACCOUNTING &amp; GENERAL SERVICES/ OFFICE OF ELECTIONS</t>
  </si>
  <si>
    <t>SOH/ ACCOUNTING &amp; GENERAL SERVICES/ OFFICE OF INFO MGMT &amp; TECHNOLOGY/ OIMT</t>
  </si>
  <si>
    <t>SOH/ ACCOUNTING &amp; GENERAL SERVICES/ PERSONNEL OFFICE</t>
  </si>
  <si>
    <t>SOH/ ACCOUNTING &amp; GENERAL SERVICES/ PRE AUDIT BR/ ACCT-2</t>
  </si>
  <si>
    <t>SOH/ ACCOUNTING &amp; GENERAL SERVICES/ PUBLIC WORKS DIVISION</t>
  </si>
  <si>
    <t>SOH/ ACCOUNTING &amp; GENERAL SERVICES/ RISK MANAGEMENT STAFF</t>
  </si>
  <si>
    <t>SOH/ ACCOUNTING &amp; GENERAL SERVICES/ STADIUM AUTHORITY</t>
  </si>
  <si>
    <t>SOH/ ACCOUNTING &amp; GENERAL SERVICES/STATE BUILDING CODE COUNCIL</t>
  </si>
  <si>
    <t>SOH/ ACCOUNTING &amp; GENERAL SERVICES/ STATE FOUNDATION ON CULTURE &amp; THE ARTS</t>
  </si>
  <si>
    <t>SOH/ ACCOUNTING &amp; GENERAL SERVICES/ STATE PROCUREMENT OFFICE</t>
  </si>
  <si>
    <t>SOH/ AGRICULTURE/ AGRIBUSINESS DEVELOPMENT CORP/ ADC</t>
  </si>
  <si>
    <t>SOH/ AGRICULTURE/ AGRICULTURAL LOAN DIV/ AGLN</t>
  </si>
  <si>
    <t>SOH/ AGRICULTURE/ PLANT QUARANTINE BR/ AGRPIPQ</t>
  </si>
  <si>
    <t>SOH/ AGRICULTURE/ QUALITY ASSURANCE DIV/ QAD</t>
  </si>
  <si>
    <t>SOH_ATTORNEY_GENERAL</t>
  </si>
  <si>
    <t>SOH/ BUDGET &amp; FINANCE/ EMPLOYEES RETIREMENT SYSTEM/ ERS</t>
  </si>
  <si>
    <t>SOH/BUDGET &amp; FINANCE/OFFICE OF THE DIRECTOR</t>
  </si>
  <si>
    <t>SOH/BUDGET,PROGRAM PLANNING &amp; MGMT DIVISION/BPPM</t>
  </si>
  <si>
    <t>SOH/ BUSINESS, ECON DEV, &amp; TOURISM/ ADMINISTRATIVE SERVICES OFFICE/ ASO</t>
  </si>
  <si>
    <t>SOH/ HEALTH/ EHA/ ENVIRONMENTAL MANAGEMENT DIV (EMD)</t>
  </si>
  <si>
    <t>SOH_BUSINESS_ECON_DEV_AND_TOURISM</t>
  </si>
  <si>
    <t>SOH/ BUSINESS, ECON DEV, &amp; TOURISM/ HAWAII HOUSING FINANCE &amp; DEV CORP/ HHFDC</t>
  </si>
  <si>
    <t>SOH/ BUSINESS, ECON DEV, &amp; TOURISM/ OFFICE OF THE DIRECTOR/ DBEDT-DIR</t>
  </si>
  <si>
    <t>SOH_COMMERCE_AND_CONSUMER_AFFAIRS</t>
  </si>
  <si>
    <t>SOH/ COMMERCE &amp; CONSUMER AFFAIRS/ ADMINISTRATION/ DCCA-DIR-ADM</t>
  </si>
  <si>
    <t>SOH/ COMMERCE &amp; CONSUMER AFFAIRS/ BUSINESS REGISTRATION DIVISION/ DCCA-BREG</t>
  </si>
  <si>
    <t>SOH/ COMMERCE &amp; CONSUMER AFFAIRS/ CABLE TELEVISION DIVISION/ DCCA-CATV</t>
  </si>
  <si>
    <t>SOH/ COMMERCE &amp; CONSUMER AFFAIRS/ DIVISION OF CONSUMER ADVOCACY/ DCCA-DCA</t>
  </si>
  <si>
    <t>SOH/ COMMERCE &amp; CONSUMER AFFAIRS/ DIVISION OF FINANCIAL INSTITUTIONS/ DCCA-DFI</t>
  </si>
  <si>
    <t>SOH/ COMMERCE &amp; CONSUMER AFFAIRS/ INSURANCE DIVISION/ DCCA-INS</t>
  </si>
  <si>
    <t>SOH/OFFICE OF FEDERAL AWARDS MANAGEMENT/OFAM</t>
  </si>
  <si>
    <t>SOH/ COMMERCE &amp; CONSUMER AFFAIRS/ OFFICE OF CONSUMER PROTECTION/ DCCA-OCP</t>
  </si>
  <si>
    <t>SOH/ EDUCATION/ KUALAPUÅ¦ SCHOOL: A PUBLIC CONVERSION CHARTER</t>
  </si>
  <si>
    <t>SOH/ EDUCATION/ KULA AUPUNI NIIHAU A KAHELELANI ALOHA (KANAKA) A NEW CENTURY PUBLIC CHARTER SCHOOL (PCS)</t>
  </si>
  <si>
    <t>SOH/ HEALTH/ BEHAVIORAL HEALTH ADMIN/ BHA</t>
  </si>
  <si>
    <t>SOH/ EDUCATION/ LANIKAI ELEMENTARY PUBLIC CHARTER SCHOOL</t>
  </si>
  <si>
    <t>SOH/ COMMERCE &amp; CONSUMER AFFAIRS/ PROFESSIONAL &amp; VOCATIONAL LICENSING/ DCCA-PVL</t>
  </si>
  <si>
    <t>SOH/ COMMERCE &amp; CONSUMER AFFAIRS/ REGULATED INDUSTRIES COMPLAINTS OFC/ DCCA-RICO</t>
  </si>
  <si>
    <t>SOH_DEFENSE</t>
  </si>
  <si>
    <t>SOH/ DEFENSE/ ADM SERVICES OFFICE</t>
  </si>
  <si>
    <t>SOH/ EDUCATION/ CONNECTIONS PUBLIC CHARTER SCHOOL</t>
  </si>
  <si>
    <t>SOH/ EDUCATION/ HAKIPU'U LEARNING CENTER</t>
  </si>
  <si>
    <t>SOH/ EDUCATION/ HALAU KU MANA PUBLIC CHARTER SCHOOL</t>
  </si>
  <si>
    <t>SOH/ EDUCATION/ HAWAII ACADEMY OF ARTS &amp; SCIENCE PUBLIC CHARTER SCHOOL (HAAS)</t>
  </si>
  <si>
    <t>SOH/ EDUCATION/ HAWAII TEACHER STANDARDS BOARD</t>
  </si>
  <si>
    <t>SOH/ EDUCATION/ HAWAII TECHNOLOGY ACADEMY</t>
  </si>
  <si>
    <t>SOH/ EDUCATION/ INNOVATIONS PUBLIC CHARTER SCHOOL</t>
  </si>
  <si>
    <t>SOH/ EDUCATION/ KAMAILE ACADEMY, PCS</t>
  </si>
  <si>
    <t>SOH/ EDUCATION/ KANUIKAPONO PUBLIC CHARTER SCHOOL</t>
  </si>
  <si>
    <t>SOH/ EDUCATION/ KANU O KA â€˜Ä€INA NEW CENTURY PUBLIC CHARTER SCHOOL</t>
  </si>
  <si>
    <t>SOH/ EDUCATION/ KA â€˜UMEKE KÄ€â€˜EO</t>
  </si>
  <si>
    <t>SOH/ EDUCATION/ KA WAIHONA O KA NAâ€˜AUAO PUBLIC CHARTER SCHOOL</t>
  </si>
  <si>
    <t>SOH/ EDUCATION/ KAWAIKINI NEW CENTURY PUBLIC CHARTER SCHOOL</t>
  </si>
  <si>
    <t>SOH/ EDUCATION/ KE ANA LAâ€˜AHANA PCS</t>
  </si>
  <si>
    <t>SOH/ EDUCATION/ KE KULA NIIHAU O KEKAHA LEARNING CENTER</t>
  </si>
  <si>
    <t>SOH/ EDUCATION/ KE KULA â€˜O NÄ€WAHÄªOKALANIâ€˜ÅŒPUâ€˜U IKI, LPCS</t>
  </si>
  <si>
    <t>SOH/ EDUCATION/ KE KULA â€˜O SAMUEL M. KAMAKAU, LPCS</t>
  </si>
  <si>
    <t>SOH/ EDUCATION/ KIHEI CHARTER SCHOOL</t>
  </si>
  <si>
    <t>SOH/ EDUCATION/ KONA PACIFIC PUBLIC CHARTER SCHOOL</t>
  </si>
  <si>
    <t>SOH/ EDUCATION/ LAUPAHOEHOE COMMUNITY PUBLIC CHARTER SCHOOL</t>
  </si>
  <si>
    <t>SOH/ EDUCATION/ MALAMA HONUA PUBLIC CHARTER SCHOOL</t>
  </si>
  <si>
    <t>SOH/ EDUCATION/ MYRON B. THOMPSON ACADEMY</t>
  </si>
  <si>
    <t>SOH/ EDUCATION/ NA WAI OLA</t>
  </si>
  <si>
    <t>SOH/ EDUCATION/ OFFICE OF THE SUPT/ SUPT</t>
  </si>
  <si>
    <t>SOH/ HEALTH/ EHA/ ENVIRONMENTAL RESOURCES OFC</t>
  </si>
  <si>
    <t>SOH/ EDUCATION/ STATE PUBLIC CHARTER SCHOOL COMMISSION</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</si>
  <si>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</si>
  <si>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</si>
  <si>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</si>
  <si>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</si>
  <si>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</si>
  <si>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</si>
  <si>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SOH/EMPLOYER UNION TRUST FUND/EUTF</t>
  </si>
  <si>
    <t>SOH/FINANCIAL_ADMINISTRATION_DIVISION_TREASURY/FAD</t>
  </si>
  <si>
    <t>SOH/FINANCIAL ADMINISTRATION DIVISON/FAD</t>
  </si>
  <si>
    <t>SOH/ HEALTH/ DO/ EXECUTIVE OFFICE ON AGING</t>
  </si>
  <si>
    <t>SOH_GOVERNOR</t>
  </si>
  <si>
    <t>SOH/ GOVERNORS OFFICE/ SOH/ GOVERNORS OFFICE/ GOV</t>
  </si>
  <si>
    <t>SOH_HAWAIIAN_HOME_LANDS</t>
  </si>
  <si>
    <t>SOH/ HAWAIIAN HOME LANDS/ ADMINISTRATIVE SERVICES OFFICE</t>
  </si>
  <si>
    <t>SOH/ HAWAII STATE ENERGY OFFICE</t>
  </si>
  <si>
    <t>SOH/ HEALTH/ BHA/ ADULT MENTAL HEALTH DIV (AMHD)</t>
  </si>
  <si>
    <t>SOH/ HEALTH/ BHA/ ALCOHOL &amp; DRUG ABUSE DIV (ADAD)</t>
  </si>
  <si>
    <t>SOH/HEALTH/BIOTERRORISM PREPARDNESS &amp;RESPNS BR</t>
  </si>
  <si>
    <t>SOH/HEALTH/CDPHND/HANSEN'S DISEASE BRANCH</t>
  </si>
  <si>
    <t>SOH/HEALTH/CDPHND/PUBLIC HEALTH NURSING BRANCH</t>
  </si>
  <si>
    <t>SOH/HEALTH/CDPHND/STD-AIDS PREVENTION BRANCH</t>
  </si>
  <si>
    <t>SOH/ HEALTH/ DDH/ HAWAII DISTRICT HEALTH OFC</t>
  </si>
  <si>
    <t>SOH/ HEALTH/ DDH/ HEALTH INFO SYS OFC</t>
  </si>
  <si>
    <t>SOH/ HEALTH/ DDH/ KAUAI DISTRICT HEALTH OFC</t>
  </si>
  <si>
    <t>SOH/ HEALTH/ DDH/ MAUI DISTRICT HEALTH OFC</t>
  </si>
  <si>
    <t>SOH/HEALTH/DDH/ OFC OF AFFIRMATIVE ACTION</t>
  </si>
  <si>
    <t>SOH/HEALTH/DDH/ OFC OF HIPAA</t>
  </si>
  <si>
    <t>SOH/HEALTH/DDH/OFC OF PLANNING POLICY PROGRAM DEV</t>
  </si>
  <si>
    <t>SOH/ HEALTH/ DEPUTY DIRECTOR OF HEALTH (DDH)</t>
  </si>
  <si>
    <t>SOH/ HEALTH/ DEVELOPMENTAL DISABILITIES DIV</t>
  </si>
  <si>
    <t>SOH/ HEALTH/ DIRECTORS OFFICE (DO)</t>
  </si>
  <si>
    <t>SOH/ HEALTH/ DO/ COMMUNICATION OFFICE</t>
  </si>
  <si>
    <t>SOH/ HEALTH/ DO/ DISABILITY &amp; COMMUNICTN ACCESS BD</t>
  </si>
  <si>
    <t>SOH/ HEALTH/ DO/ OFC OF ENVIRONMENTAL QUALITY CONTRL</t>
  </si>
  <si>
    <t>SOH/ HEALTH/ DO/ STATE HEALTH PLANNING DEVMT AGY</t>
  </si>
  <si>
    <t>SOH/ HEALTH/ EHA/ COMPLIANCE ASSISTANCE OFC</t>
  </si>
  <si>
    <t>SOH/ HEALTH/ OFC OF HEALTH STATUS MONITORING</t>
  </si>
  <si>
    <t>SOH/HEALTH/OFFICE OF LANGUAGE ACCESS</t>
  </si>
  <si>
    <t>SOH/ HEALTH/ EHA/ EHSD/ INDOOR &amp; RADIOLOGICAL HEALTH BR</t>
  </si>
  <si>
    <t>SOH/ HEALTH/ EHA/ EHSD/ SANITATION BR</t>
  </si>
  <si>
    <t>SOH/ HEALTH/ EHA/ EMD/ CLEAN AIR BR</t>
  </si>
  <si>
    <t>SOH/ HEALTH/ EHA/ EMD/ CLEAN WATER BR</t>
  </si>
  <si>
    <t>SOH/ HEALTH/  EHA/ EMD/ SAFE DRINKING WATER BR</t>
  </si>
  <si>
    <t>SOH/ HEALTH/ EHA/ EMD/ WASTEWATER BR</t>
  </si>
  <si>
    <t>SOH/ HEALTH/ EHA/ ENVIRONMENTAL HEALTH SVCS DIV (EHSD)</t>
  </si>
  <si>
    <t>SOH/ HEALTH/ EHA/ HAZARD EVAL EMERG RESPONSE OFC</t>
  </si>
  <si>
    <t>SOH/ HEALTH/ EHA/ OFC OF HEALTH CARE ASSURANCE</t>
  </si>
  <si>
    <t>SOH/ HEALTH/ EHA/ STATE LABORATORIES DIV (SLD)</t>
  </si>
  <si>
    <t>SOH/ HEALTH/ ENVIRONMENTAL HEALTH ADMIN (EHA)</t>
  </si>
  <si>
    <t>SOH/ HEALTH/ HEALTH RESOURCES ADMIN (HRA)</t>
  </si>
  <si>
    <t>SOH/ HEALTH/ HRA/ CDPHND/ TUBERCULOSIS CONTROL BR</t>
  </si>
  <si>
    <t>SOH/ HEALTH/ HRA/ CDPHPD/ CHRONIC DIS MGMT BR</t>
  </si>
  <si>
    <t>SOH/ HEALTH/ HRA/ CHRONIC DIS PREV &amp; HLTH PROM DIV  (CDPHPD)</t>
  </si>
  <si>
    <t>SOH_LABOR_AND_INDUSTRIAL_RELATIONS</t>
  </si>
  <si>
    <t>SOH/ LABOR &amp; INDUSTRIAL RELATIONS/ OFFICE OF COMMUNITY SERVICES/ DLIR-OCS</t>
  </si>
  <si>
    <t>SOH/ HEALTH/ HRA/ DISEASE OUTBREAK CONTROL DIV (DOCD)</t>
  </si>
  <si>
    <t>SOH/ HEALTH/ HRA/ DOCD/ DISEASE INVESTIGATION BR</t>
  </si>
  <si>
    <t>SOH/ HEALTH/ HRA/ EMERG MED SVCS &amp; INJURY PREV SYS BR</t>
  </si>
  <si>
    <t>SOH/ HEALTH/ HRA/ FAMILY HEALTH SVCS DIV (FHSD)</t>
  </si>
  <si>
    <t>SOH/ HEALTH/ HUMAN RESOURCES OFFICE</t>
  </si>
  <si>
    <t>SOH/HEALTH/IMMUNIZATION BR</t>
  </si>
  <si>
    <t>SOH_HUMAN_RESOURCES_DEVELOPMENT</t>
  </si>
  <si>
    <t>SOH/ HUMAN RESOURCES DEVELOPMENT/ OFFICE OF THE DIRECTOR/ DHRD-DIR</t>
  </si>
  <si>
    <t>SOH_HUMAN_SERVICES</t>
  </si>
  <si>
    <t>SOH/ HUMAN SERVICES/ EMPLOYMENT SEC/ DVR-SBB-EMP</t>
  </si>
  <si>
    <t>SOH/ HUMAN SERVICES/ HAWAII PUBLIC HOUSING AUTHORITY/ HHA</t>
  </si>
  <si>
    <t>SOH/ HUMAN SERVICES/ OFFICE OF THE DIRECTOR/ DHS-DIR</t>
  </si>
  <si>
    <t>SOH/ HUMAN SERVICES/ SOCIAL SERVICES DIVISION/ DHS-SSD</t>
  </si>
  <si>
    <t>SOH/ LABOR &amp; INDUSTRIAL RELATIONS/ ADMIN SVCS OFC/ DLIR-ASO</t>
  </si>
  <si>
    <t>SOH/ LABOR &amp; INDUSTRIAL RELATIONS/ CIVIL RIGHTS COMMISSION/ DLIR-CRC</t>
  </si>
  <si>
    <t>SOH/ LABOR &amp; INDUSTRIAL RELATIONS/ DISABILITY COMP DIV/ DLIR-DCD</t>
  </si>
  <si>
    <t>SOH/ LABOR &amp; INDUSTRIAL RELATIONS/ EMP SECURITY APPEALS REF/ DLIR-APL REF</t>
  </si>
  <si>
    <t>SOH/ LABOR &amp; INDUSTRIAL RELATIONS/ HAWAII LABOR RELATIONS BOARD/ DLIR-HLRB</t>
  </si>
  <si>
    <t>SOH/ LABOR &amp; INDUSTRIAL RELATIONS/ LABOR &amp; IND REL APPEALS BOARD/ DLIR-AB</t>
  </si>
  <si>
    <t>SOH/ LABOR &amp; INDUSTRIAL RELATIONS/ OCCUPATIONAL SAFETY &amp; HEALTH DIV/ DLIR-DOSH</t>
  </si>
  <si>
    <t>SOH/ LABOR &amp; INDUSTRIAL RELATIONS/ OFFICE OF THE DIRECTOR/ DLIR-DIR</t>
  </si>
  <si>
    <t>SOH/ LABOR &amp; INDUSTRIAL RELATIONS/ PERSONNEL OFFICE/ DLIR-PO</t>
  </si>
  <si>
    <t>SOH/ LABOR &amp; INDUSTRIAL RELATIONS/ RESEARCH AND STATISTICS OFFICE/ DLIR-R&amp;S</t>
  </si>
  <si>
    <t>SOH/ LABOR &amp; INDUSTRIAL RELATIONS/ UNEMPLOYMENT INSURANCE DIVISION/ DLIR-UI</t>
  </si>
  <si>
    <t>SOH/ LABOR &amp; INDUSTRIAL RELATIONS/ WAGE STANDARDS DIVISION/ DLIR-WS</t>
  </si>
  <si>
    <t>SOH/ LABOR &amp; INDUSTRIAL RELATIONS/ WORKFORCE DEVELOPMENT COUNCIL/ DLIR-WDC</t>
  </si>
  <si>
    <t>SOH/ LABOR &amp; INDUSTRIAL RELATIONS/ WORKFORCE DEVELOPMENT DIV/ DLIR-WD</t>
  </si>
  <si>
    <t>SOH_LAND_AND_NATURAL_RESOURCES</t>
  </si>
  <si>
    <t>SOH/ LAND &amp; NATURAL RESOURCES/ ADMINISTRATIVE SERVICES OFFICE/ ASO</t>
  </si>
  <si>
    <t>SOH/ LAND &amp; NATURAL RESOURCES/ AQUATIC RESOURCES ADMINISTRATION</t>
  </si>
  <si>
    <t>SOH/ LAND &amp; NATURAL RESOURCES/ BOATING &amp; OCEAN RECREATION DIVISION</t>
  </si>
  <si>
    <t>SOH/ LAND &amp; NATURAL RESOURCES/ BUREAU OF CONVEYANCES/ BOC</t>
  </si>
  <si>
    <t>SOH/ LAND &amp; NATURAL RESOURCES/ COMM ON WATER RESOURCE MANAGEMENT</t>
  </si>
  <si>
    <t>SOH/ LAND &amp; NATURAL RESOURCES/ CONSERVATION &amp; RESOURCE ENFORCEMNT/ IAD</t>
  </si>
  <si>
    <t>SOH/ LAND &amp; NATURAL RESOURCES/ DIVISION OF FORESTRY &amp; WILDLIFE/ DFW</t>
  </si>
  <si>
    <t>SOH/ LAND &amp; NATURAL RESOURCES/ DIVISION OF LAND MANAGEMENT</t>
  </si>
  <si>
    <t>SOH/ LAND &amp; NATURAL RESOURCES/ ENGINEERING DIVISION (ENG)</t>
  </si>
  <si>
    <t>SOH/ LAND &amp; NATURAL RESOURCES/ HISTORIC PRESERVATION/ JHP</t>
  </si>
  <si>
    <t>SOH/ LAND &amp; NATURAL RESOURCES/ INFORMATION TECHNOLOGY/ IT</t>
  </si>
  <si>
    <t>SOH/ LAND &amp; NATURAL RESOURCES/ KAHOOLAWE ISLAND RESERVE COMMISSION</t>
  </si>
  <si>
    <t>SOH/ LAND &amp; NATURAL RESOURCES/ OFFICE OF CONSERVATION &amp; COASTAL LANDS/ OCCL</t>
  </si>
  <si>
    <t>SOH/ LAND &amp; NATURAL RESOURCES/ OFFICE OF THE CHAIRPERSON/ ACO</t>
  </si>
  <si>
    <t>SOH/ LAND &amp; NATURAL RESOURCES/ PERSONNEL OFFICE/ APO</t>
  </si>
  <si>
    <t>SOH_LT_GOVERNOR</t>
  </si>
  <si>
    <t>SOH/ LT GOVERNORS OFFICE/ OFFICE OF INFORMATION PRACTICES/ OIP</t>
  </si>
  <si>
    <t>SOH/ LT GOVERNORS OFFICE/ OFFICE OF THE LIEUTENANT GOVERNOR</t>
  </si>
  <si>
    <t>SOH_PUBLIC_SAFETY</t>
  </si>
  <si>
    <t>SOH/ PUBLIC SAFETY/ SOH/ PUBLIC SAFETY/ PSD</t>
  </si>
  <si>
    <t>SOH/PUBLIC_UTILITIES_COMMISSON/PUC</t>
  </si>
  <si>
    <t>SOH_TAXATION</t>
  </si>
  <si>
    <t>SOH/ TAXATION/ SOH/ TAXATION/ TAX</t>
  </si>
  <si>
    <t>SOH_TRANSPORTATION</t>
  </si>
  <si>
    <t>SOH/ TRANSPORTATION/ ADMINISTRATION/ DOT-ADMIN</t>
  </si>
  <si>
    <t>SOH/ TRANSPORTATION/ AIRPORTS DIVISION/ AIR</t>
  </si>
  <si>
    <t>SOH/ TRANSPORTATION/ HARBORS DIVISION/ HAR</t>
  </si>
  <si>
    <t>SOH_UNIVERSITY_OF_HAWAII</t>
  </si>
  <si>
    <t>SOH/ UNIVERSITY OF HAWAII/ OFC ASSOC VP EXTERN AFF &amp; UNIV REL/ UH/AS VP EAUR</t>
  </si>
  <si>
    <t>KAUAI COUNTY/ POLICE DEPT</t>
  </si>
  <si>
    <t>CC HONOLULU/ BUDGET AND FISCAL SERVICES/ LIQUOR COMMISSION</t>
  </si>
  <si>
    <t>SOH/ HEALTH/ EHA/ EMD/ SOLID &amp; HAZARDOUS WASTE BR</t>
  </si>
  <si>
    <t>SOH_JUDICIARY</t>
  </si>
  <si>
    <t>SOH/ JUDICIARY/ SOH/ JUDICIARY</t>
  </si>
  <si>
    <t>SOH/ COMMERCE &amp; CONSUMER AFFAIRS/ ADMINISTRATION/ DCCA-OAH-ADM</t>
  </si>
  <si>
    <t>SOH/ AGRICULTURE/ OFFICE OF THE CHAIRPERSON/ CHR</t>
  </si>
  <si>
    <t>SOH/ TRANSPORTATION/ HIGHWAYS DIVISION/ HWY</t>
  </si>
  <si>
    <t>CC_HONOLULU_HONOLULU_FIRE_DEPARTMENT</t>
  </si>
  <si>
    <t>CC HONOLULU/ HONOLULU FIRE DEPARTMENT</t>
  </si>
  <si>
    <t>CC_HONOLULU_HUMAN_RESOURCES</t>
  </si>
  <si>
    <t>CC_HONOLULU_CORPORATION_COUNSEL</t>
  </si>
  <si>
    <t>CC HONOLULU/ CORPORATION COUNSEL</t>
  </si>
  <si>
    <t>CC_HONOLULU_DESIGN_AND_CONSTRUCTION</t>
  </si>
  <si>
    <t>CC HONOLULU/ DESIGN AND CONSTRUCTION</t>
  </si>
  <si>
    <t>CC_HONOLULU_ENTERPRISE_SERVICES</t>
  </si>
  <si>
    <t>CC HONOLULU/ ENTERPRISE SERVICES</t>
  </si>
  <si>
    <t>CC_HONOLULU_FACILITY_MAINTENANCE</t>
  </si>
  <si>
    <t>CC HONOLULU/ FACILITY MAINTENANCE</t>
  </si>
  <si>
    <t>CC_HONOLULU_HONOLULU_AUTHORITY_FOR_RAPID_TRANSPORTATION</t>
  </si>
  <si>
    <t>CC_HONOLULU_HONOLULU_POLICE_DEPARTMENT</t>
  </si>
  <si>
    <t>CC HONOLULU/ HONOLULU POLICE DEPARTMENT</t>
  </si>
  <si>
    <t>HAWAII_COUNTY_FINANCE</t>
  </si>
  <si>
    <t>HAWAII_COUNTY_PUBLIC_WORKS</t>
  </si>
  <si>
    <t>HAWAII COUNTY/ PUBLIC WORKS</t>
  </si>
  <si>
    <t>HAWAII_COUNTY_WATER_SUPPLY</t>
  </si>
  <si>
    <t>HAWAII COUNTY/ WATER SUPPLY</t>
  </si>
  <si>
    <t>KAUAI_COUNTY_PERSONNEL_SERVICES</t>
  </si>
  <si>
    <t>KAUAI COUNTY/ PERSONNEL SERVICES</t>
  </si>
  <si>
    <t>CC_HONOLULU_MEDICAL_EXAMINER</t>
  </si>
  <si>
    <t>CC HONOLULU/ MEDICAL EXAMINER</t>
  </si>
  <si>
    <t>New OIP Matters FY15 re UIPA</t>
  </si>
  <si>
    <t>Total UIPA Req in FY15</t>
  </si>
  <si>
    <t>GEN was used almost exclusively during Director Callaghan's tenure and referenced some sort of general inquiry (not something that would lead to an OIP opinion)</t>
  </si>
  <si>
    <t># of Major OIP Matters</t>
  </si>
  <si>
    <t># of All OIP Matters</t>
  </si>
  <si>
    <t># of All OIP Matters Before 2000</t>
  </si>
  <si>
    <t># of All OIP Matters 2000-2009</t>
  </si>
  <si>
    <t>State Attorney General</t>
  </si>
  <si>
    <t>State Governor</t>
  </si>
  <si>
    <t>State Judiciary</t>
  </si>
  <si>
    <t>State Legislature</t>
  </si>
  <si>
    <t>Honolulu Medical Examiner</t>
  </si>
  <si>
    <t>State Department of Agriculture</t>
  </si>
  <si>
    <t>State Department of Budget &amp; Finance</t>
  </si>
  <si>
    <t>State Department of Business, Economic Development, and Tourism</t>
  </si>
  <si>
    <t>State Department of Commerce &amp; Consumer Affairs</t>
  </si>
  <si>
    <t>State Department of Defense</t>
  </si>
  <si>
    <t>State Department of Education</t>
  </si>
  <si>
    <t>State Department of Hawaiian Home Lands</t>
  </si>
  <si>
    <t>State Department of Health</t>
  </si>
  <si>
    <t>State Department of Human Resources Development</t>
  </si>
  <si>
    <t>State Department of Human Services</t>
  </si>
  <si>
    <t>State Department of Labor &amp; Industrial Relations</t>
  </si>
  <si>
    <t>State Department of Land &amp; Natural Resources</t>
  </si>
  <si>
    <t>State Department of Taxation</t>
  </si>
  <si>
    <t>State Department of Transportation</t>
  </si>
  <si>
    <t>State Department of Accounting &amp; General Services</t>
  </si>
  <si>
    <t>Avg Days to OIP Decision for All Matters</t>
  </si>
  <si>
    <t>Longest Time (Days) for Dep't to Complete Req FY15</t>
  </si>
  <si>
    <t>Avg Days for Dep't to Complete UIPA Req in FY15</t>
  </si>
  <si>
    <t>1992-092201</t>
  </si>
  <si>
    <t>RFO (92-060)</t>
  </si>
  <si>
    <t>PARK PROJECT</t>
  </si>
  <si>
    <t>1993-042702</t>
  </si>
  <si>
    <t>RFO (93-040)</t>
  </si>
  <si>
    <t>ACCESS TO LIBRARY MATERIALS</t>
  </si>
  <si>
    <t>1993-092302</t>
  </si>
  <si>
    <t>RFO (93-105)</t>
  </si>
  <si>
    <t>U.S. POST OFFICE RECORDS</t>
  </si>
  <si>
    <t>PAYROLL RECORDS OF NON-AGENCY</t>
  </si>
  <si>
    <t>1993-102501</t>
  </si>
  <si>
    <t>RFO (93-127)</t>
  </si>
  <si>
    <t>LTR FROM JOHN ANTHONY</t>
  </si>
  <si>
    <t>1994-010601</t>
  </si>
  <si>
    <t>RFO (94-001)</t>
  </si>
  <si>
    <t>RE DIOCESE OF HONOLULU</t>
  </si>
  <si>
    <t>MIKE GOLOJUCH</t>
  </si>
  <si>
    <t>2004-121603</t>
  </si>
  <si>
    <t>RFO-G (04-043)</t>
  </si>
  <si>
    <t>CLOSED SESSION INTERVIEWS</t>
  </si>
  <si>
    <t>BOARD AND COMMISSION NOMINEES</t>
  </si>
  <si>
    <t>2004-122101</t>
  </si>
  <si>
    <t>RFO-G (04-044)</t>
  </si>
  <si>
    <t>"TALK STORY" SESSION</t>
  </si>
  <si>
    <t>SUNSHINE LAW COMPLIANT</t>
  </si>
  <si>
    <t># of Major OIP Matters Before 1995</t>
  </si>
  <si>
    <t># of Major OIP Matters 1995 - 1999</t>
  </si>
  <si>
    <t># of Major OIP Matters 2000 - 2004</t>
  </si>
  <si>
    <t># of Major OIP Matters 2005 - 2009</t>
  </si>
  <si>
    <t># of Major OIP Matters 2010 - 2014</t>
  </si>
  <si>
    <t>FY15 Denial Percentage</t>
  </si>
  <si>
    <t>UIPA Req with No Disclosure FY15</t>
  </si>
  <si>
    <t>Department</t>
  </si>
  <si>
    <t>Request Needed Initial Clarification</t>
  </si>
  <si>
    <t xml:space="preserve"> Agency Gave Incremental Responses?</t>
  </si>
  <si>
    <t>Date Completed</t>
  </si>
  <si>
    <t>Request Denied in Part</t>
  </si>
  <si>
    <t>Requester Abandoned or Failed to Pay</t>
  </si>
  <si>
    <t>UIPA Lawsuit Filed Against Agency?</t>
  </si>
  <si>
    <t xml:space="preserve">Minus $30 Fee Waiver </t>
  </si>
  <si>
    <t>SOH_LEGISLATURE</t>
  </si>
  <si>
    <t>SOH/ LEGISLATURE/ AUDITOR</t>
  </si>
  <si>
    <t>SOH/ TRANSPORTATION/ OAHU METROPOLITAN PLANNING ORG/ OMPO</t>
  </si>
  <si>
    <t>SOH/ BUSINESS, ECON DEV, &amp; TOURISM/ STATE OFFICE OF PLANNING/ SOP</t>
  </si>
  <si>
    <t>SOH/ HUMAN RESOURCES DEVELOPMENT/ SOH/ HUMAN RESOURCES DEVELOPMENT/ DHRD</t>
  </si>
  <si>
    <t>SOH/ GOVERNORS OFFICE/ OFFICE OF INFORMATION &amp; ASSISTANCE</t>
  </si>
  <si>
    <t>SOH/ JUDICIARY/ ADMINISTRATIVE DIRECTOR</t>
  </si>
  <si>
    <t>SOH/ LAND &amp; NATURAL RESOURCES/ ENGINEERING DIV</t>
  </si>
  <si>
    <t>SOH/ HEALTH/ DO/ STATE COUNCIL ON DEVPMTL DISABILITS</t>
  </si>
  <si>
    <t>SOH/ HEALTH/ DDH/ OFC OF PLANNING POLICY &amp; PROGRM DEV</t>
  </si>
  <si>
    <t>SOH/ HEALTH/ HRA/ COMMUNICABLE DIS &amp; PH NURSING DIV (CDPHND)</t>
  </si>
  <si>
    <t>SOH/ HEALTH/ DIRECTORS OFFICE</t>
  </si>
  <si>
    <t>SOH/ HEALTH/ DDH/ HUMAN RESOURCES OFFICE</t>
  </si>
  <si>
    <t>SOH/ HEALTH/ DDH/ ADMIN SVCS OFFICE</t>
  </si>
  <si>
    <t>SOH/ HEALTH/ HRA/ CDPHPD/ PRIMARY PREV BR</t>
  </si>
  <si>
    <t>SOH/ HEALTH/ BHA/ CAMHD/ KAUAI FAMILY GUIDANCE CENTER</t>
  </si>
  <si>
    <t>SOH/ LEGISLATURE/ OMBUDSMAN</t>
  </si>
  <si>
    <t>SOH/ LABOR &amp; INDUSTRIAL RELATIONS/ HAWAII DISTRICT OFC/ DLIR-HI DO</t>
  </si>
  <si>
    <t>SOH/ LAND &amp; NATURAL RESOURCES/ ASO DATA PROCESSING STAFF/ ASD</t>
  </si>
  <si>
    <t>SOH/ LAND &amp; NATURAL RESOURCES/ AQUATIC RESOURCES DIVISION/ DAR</t>
  </si>
  <si>
    <t>SOH/ HEALTH/ HRA/ OFC OF HEALTH CARE ASSURANCE</t>
  </si>
  <si>
    <t>SOH/ HEALTH/ DEPUTY DIRECTOR OF HEALTH</t>
  </si>
  <si>
    <t>SOH/ HEALTH/ HRA/ FHSD/ MATERNAL &amp; CHILD HEALTH BR</t>
  </si>
  <si>
    <t>SOH/ HEALTH/ HRA/ FHSD/ WOMEN, INFANTS &amp; CHILDREN SVCS BR</t>
  </si>
  <si>
    <t>SOH/ HEALTH/ HRA/ FHSD/ CHILDREN WITH SPEC HEALTH NEEDS BR</t>
  </si>
  <si>
    <t>SOH/ BUSINESS, ECON DEV, &amp; TOURISM/ ENERGY DIVISION/ ED</t>
  </si>
  <si>
    <t>SOH/ ACCOUNTING &amp; GENERAL SERVICES/ ACCOUNTING DIVISION/ ACCT-0</t>
  </si>
  <si>
    <t>SOH/ ACCOUNTING &amp; GENERAL SERVICES/ RISK MANAGEMENT STAFF/ ASO-1</t>
  </si>
  <si>
    <t>SOH/ ACCOUNTING &amp; GENERAL SERVICES/ PUBLIC WORKS DIVISION/ DPW-0</t>
  </si>
  <si>
    <t>SOH/ LEGISLATURE/ LEGISLATIVE REFERENCE BUREAU</t>
  </si>
  <si>
    <t>SOH/ EDUCATION/ Hakipu'u Learning Center</t>
  </si>
  <si>
    <t>SOH/ EDUCATION/ KA ‘UMEKE KĀ‘EO</t>
  </si>
  <si>
    <t>SOH/ EDUCATION/ KA WAIHONA O KA NA‘AUAO PUBLIC CHARTER SCHOOL</t>
  </si>
  <si>
    <t>SOH/ AGRICULTURE/ ANIMAL DISEASE CONTROL BR</t>
  </si>
  <si>
    <t>SOH/ HEALTH/ ENVIRONMENTAL HEALTH ADMIN</t>
  </si>
  <si>
    <t>SOH/ HEALTH/ COMMUNICATION OFFICE</t>
  </si>
  <si>
    <t>SOH/ HEALTH/ DO/ OFFICE OF LANGUAGE ACCESS</t>
  </si>
  <si>
    <t>SOH/ HEALTH/ HEALTH RESOURCES ADMIN</t>
  </si>
  <si>
    <t>SOH/ HEALTH/ BEHAVIORAL HEALTH ADMIN</t>
  </si>
  <si>
    <t>SOH/ LEGISLATURE/ STATE ETHICS COMMISSION</t>
  </si>
  <si>
    <t>SOH/ COMMERCE &amp; CONSUMER AFFAIRS/ PUBLIC UTILITIES COMMISSION</t>
  </si>
  <si>
    <t>SOH/ COMMERCE &amp; CONSUMER AFFAIRS/ OFFICE OF ADMINISTRATIVE HEARINGS/ DCCA-OAH</t>
  </si>
  <si>
    <t>SOH/ COMMERCE &amp; CONSUMER AFFAIRS/ OFFICE OF THE DIRECTOR/ DCCA-DIR</t>
  </si>
  <si>
    <t>MAUI COUNTY/ HOUSING AND HUMAN CONCERNS</t>
  </si>
  <si>
    <t>MAUI_COUNTY_PLANNING_DEPARTMENT</t>
  </si>
  <si>
    <t>MAUI COUNTY/ PLANNING DEPARTMENT</t>
  </si>
  <si>
    <t>CC HONOLULU/ BUDGET AND FISCAL SERVICES/ ACCOUNTING AND FISCAL SERVICES DIV</t>
  </si>
  <si>
    <t>CC HONOLULU/ COMMUNITY SERVICES</t>
  </si>
  <si>
    <t>CC HONOLULU/ EMERGENCY MANAGEMENT</t>
  </si>
  <si>
    <t>CC HONOLULU/ HUMAN_RESOURCES</t>
  </si>
  <si>
    <t>CC HONOLULU/ INFORMATION TECHNOLOGY</t>
  </si>
  <si>
    <t>CC HONOLULU/ PARKS AND RECREATION</t>
  </si>
  <si>
    <t>CC_HONOLULU_ETHICS_COMMISSION</t>
  </si>
  <si>
    <t>CC HONOLULU/ ETHICS COMMISSION</t>
  </si>
  <si>
    <t>CC HONOLULU/ HONOLULU EMERGENCY SERVICES</t>
  </si>
  <si>
    <t>CC_HONOLULU_MAYOR</t>
  </si>
  <si>
    <t>CC HONOLULU/ MANAGING DIRECTOR</t>
  </si>
  <si>
    <t>SOH/ LAND &amp; NATURAL RESOURCES/ FISCAL STAFF</t>
  </si>
  <si>
    <t>SOH/ LAND &amp; NATURAL RESOURCES/ STATE PARKS DIVISION/ FSP</t>
  </si>
  <si>
    <t>MAUI COUNTY/ POLICE DEPARTMENT</t>
  </si>
  <si>
    <t>SOH/ BUDGET &amp; FINANCE/ HAWAII EMPLOYER-UNION HEALTH BENEFITS TRUST FUND</t>
  </si>
  <si>
    <t>SOH/ BUDGET &amp; FINANCE/ BUDGET, PROG PLNG &amp; MGMT DIV</t>
  </si>
  <si>
    <t>SOH/ EDUCATION/ KANAKA PUBLIC CHARTER SCHOOL</t>
  </si>
  <si>
    <t>SOH/ EDUCATION/ KANU O KA ‘ĀINA NEW CENTURY PUBLIC CHARTER SCHOOL</t>
  </si>
  <si>
    <t>SOH/ EDUCATION/ KAU LEARNING ACADEMY PUBLIC CHARTER SCHOOL</t>
  </si>
  <si>
    <t>SOH/ EDUCATION/ KE ANA LA‘AHANA PCS</t>
  </si>
  <si>
    <t>SOH/ EDUCATION/ KE KULA ‘O NĀWAHĪOKALANI‘ŌPU‘U IKI, LPCS</t>
  </si>
  <si>
    <t>SOH/ EDUCATION/ Ke Kula ʻo Samuel M Kamakau, LPCS</t>
  </si>
  <si>
    <t>SOH/ EDUCATION/ LAUPAHOEHOE PUB/SCH</t>
  </si>
  <si>
    <t>SOH/ EDUCATION/ SEEQS: THE SCHOOL FOR EXAMINING ESSENTIAL QUESTIONS OF SUSTAINABILITY</t>
  </si>
  <si>
    <t>SOH/ BUDGET &amp; FINANCE/ UNCLAIMED PROPERTY BRANCH</t>
  </si>
  <si>
    <t>SOH/ BUDGET &amp; FINANCE/ ADMIN AND RSRCH OFC/ ARO</t>
  </si>
  <si>
    <t>SOH/ LAND &amp; NATURAL RESOURCES/ CONSERVATION &amp; RESOURCES ENFORCEMNT/ IAD</t>
  </si>
  <si>
    <t>KAUAI_COUNTY_PLANNING_DEPARTMENT</t>
  </si>
  <si>
    <t>KAUAI COUNTY/ PLANNING DEPARTMENT</t>
  </si>
  <si>
    <t>SOH/ HUMAN SERVICES/ PROPERTY MGMT SEC</t>
  </si>
  <si>
    <t>KAUAI_COUNTY_POLICE_DEPARTMENT</t>
  </si>
  <si>
    <t>KAUAI COUNTY/ POLICE DEPARTMENT</t>
  </si>
  <si>
    <t>SOH/ LEGISLATURE/ HOUSE CLERK</t>
  </si>
  <si>
    <t>MAUI COUNTY/ PROSECUTING ATTORNEY</t>
  </si>
  <si>
    <t>MAUI COUNTY/ FINANCE</t>
  </si>
  <si>
    <t>SOH/ LEGISLATURE/ SENATE CLERK</t>
  </si>
  <si>
    <t>MAUI COUNTY/ PARKS AND RECREATION</t>
  </si>
  <si>
    <t>MAUI_COUNTY_CIVIL_DEFENSE_AGENCY</t>
  </si>
  <si>
    <t>MAUI COUNTY/ CIVIL DEFENSE AGENCY</t>
  </si>
  <si>
    <t>SOH/ HUMAN SERVICES/ VOCATIONAL REHAB &amp; SVCS BLIND DIV/ VRSBD</t>
  </si>
  <si>
    <t>SOH/ HEALTH/ DDH/ OFC OF HEALTH STATUS MONITORING</t>
  </si>
  <si>
    <t>SOH/ LABOR &amp; INDUSTRIAL RELATIONS/ KAUAI DISTRICT OFC/ DLIR-KAUAI DO</t>
  </si>
  <si>
    <t>SOH/ LABOR &amp; INDUSTRIAL RELATIONS/ MAUI DISTRICT OFC/ DLIR-MAUI DO</t>
  </si>
  <si>
    <t>MAUI COUNTY/ CORPORATION COUNSEL</t>
  </si>
  <si>
    <t>MAUI_COUNTY_COUNTY_CLERK</t>
  </si>
  <si>
    <t>MAUI COUNTY/ COUNTY CLERK</t>
  </si>
  <si>
    <t>SOH/ HUMAN SERVICES/ BENEFIT, EMPLOY &amp; SUPPORT SVCS DIV/ BESSD</t>
  </si>
  <si>
    <t>MAUI_COUNTY_MANAGEMENT</t>
  </si>
  <si>
    <t>MAUI COUNTY/ MANAGEMENT</t>
  </si>
  <si>
    <t>KAUAI_COUNTY_LIQUOR_CONTROL</t>
  </si>
  <si>
    <t>KAUAI COUNTY/ LIQUOR CONTROL</t>
  </si>
  <si>
    <t>KAUAI COUNTY/ PUBLIC WORKS</t>
  </si>
  <si>
    <t>KAUAI COUNTY/ COUNTY ATTORNEY</t>
  </si>
  <si>
    <t>UIPA Req with No Disclosure FY16</t>
  </si>
  <si>
    <t>FY16 Denial Percentage</t>
  </si>
  <si>
    <t>Avg Days for Dep't to Complete UIPA Req in FY16</t>
  </si>
  <si>
    <t>Longest Time (Days) for Dep't to Complete Req FY16</t>
  </si>
  <si>
    <t>New OIP Matters FY16 re UIPA</t>
  </si>
  <si>
    <t>Total UIPA Req in FY16</t>
  </si>
  <si>
    <t>HAWAII COUNTY/ FINANCE</t>
  </si>
  <si>
    <t>SOH/ ACCOUNTING &amp; GENERAL SERVICES/ ACCOUNTING DIVISION/ACCT-0</t>
  </si>
  <si>
    <t>SOH/ HUMAN SERVICES/ BENEFIT, EMPLOY &amp; SUPPORT SVS DIV/BESSD</t>
  </si>
  <si>
    <t>SOH/ HUMAN SERVICES/ EMPLOYMENT/CHILD CARE PROGRAM/DHS-BESSD-ECC</t>
  </si>
  <si>
    <t>SOH/ HUMAN SERVICES/ STAFF SERVICES OFFICE/DVR-SSO</t>
  </si>
  <si>
    <t>SOH/ HUMAN SERVICES/ MED-QUEST DIVISION/ DHS-MQ</t>
  </si>
  <si>
    <t>SOH/ LAND &amp; NATURAL RESOURCES/ STATE PARKS DIVISION/FSP</t>
  </si>
  <si>
    <t>SOH/ HEALTH/ BHA/CHILD &amp; ADOLESCENT MENTAL HLTH DIV (CAMHD)</t>
  </si>
  <si>
    <t>SOH/ HEALTH/ DDH/ADMIN SVCS OFFICE</t>
  </si>
  <si>
    <t>SOH/ HEALTH/ DO/STATE COUNCIL DEVPMTL DISABILITS</t>
  </si>
  <si>
    <t>CC HONOLULU/ BUDGET AND FISCAL SERVICES/TREASURY DIV</t>
  </si>
  <si>
    <t>CC HONOLULU/ TRANSPORTATION SERVICES / TRAFFIC</t>
  </si>
  <si>
    <t>KAUAI COUNTY/PLANNING DEPARTMENT</t>
  </si>
  <si>
    <t>CC HONOLULU/CITY AUDITOR</t>
  </si>
  <si>
    <t>SOH/ AGRICULTURE/ ANIMAL QUARANTINE SEC/AQS/INSPEC</t>
  </si>
  <si>
    <t>Honolulu COR</t>
  </si>
  <si>
    <t>Maui COR</t>
  </si>
  <si>
    <t>Hawai`i COR</t>
  </si>
  <si>
    <t>Honolulu FIN</t>
  </si>
  <si>
    <t>Maui FIN</t>
  </si>
  <si>
    <t>Hawai`i FIN</t>
  </si>
  <si>
    <t>Honolulu FD</t>
  </si>
  <si>
    <t>Maui FD</t>
  </si>
  <si>
    <t>Hawai`i FD</t>
  </si>
  <si>
    <t>Honolulu LIQ</t>
  </si>
  <si>
    <t>Maui LIQ</t>
  </si>
  <si>
    <t>Hawai`i LIQ</t>
  </si>
  <si>
    <t>Honolulu Plan</t>
  </si>
  <si>
    <t>Maui Plan</t>
  </si>
  <si>
    <t>Hawai`i Plan</t>
  </si>
  <si>
    <t>Honolulu PD</t>
  </si>
  <si>
    <t>Maui PD</t>
  </si>
  <si>
    <t>Hawai`i PD</t>
  </si>
  <si>
    <t>Maui PW</t>
  </si>
  <si>
    <t>Hawai`i PW</t>
  </si>
  <si>
    <t>State Ethics</t>
  </si>
  <si>
    <t>Honolulu Ethics</t>
  </si>
  <si>
    <t>No.</t>
  </si>
  <si>
    <t>Kaua`i COR</t>
  </si>
  <si>
    <t>Kaua`i FIN</t>
  </si>
  <si>
    <t>Kaua`i FD</t>
  </si>
  <si>
    <t>Kaua`i LIQ</t>
  </si>
  <si>
    <t>Kaua`i Plan</t>
  </si>
  <si>
    <t>Kaua`i PD</t>
  </si>
  <si>
    <t>Kaua`i PW</t>
  </si>
  <si>
    <t>KAUAI_COUNTY_POLICE_DEPT</t>
  </si>
  <si>
    <t>Honolulu Water</t>
  </si>
  <si>
    <t>Maui Water</t>
  </si>
  <si>
    <t>Kaua`i Water</t>
  </si>
  <si>
    <t>Hawai`i Water</t>
  </si>
  <si>
    <t>Accounting</t>
  </si>
  <si>
    <t>Public Works</t>
  </si>
  <si>
    <t>Pre-Audit</t>
  </si>
  <si>
    <t>State Procurement Office</t>
  </si>
  <si>
    <t>Chair</t>
  </si>
  <si>
    <t>Agribusiness Dev. Corp.</t>
  </si>
  <si>
    <t>Pesticides</t>
  </si>
  <si>
    <t>Plant Quarantine</t>
  </si>
  <si>
    <t>Unclaimed Property</t>
  </si>
  <si>
    <t>Employees Retirement Sys.</t>
  </si>
  <si>
    <t>Employer Union Trust Fund</t>
  </si>
  <si>
    <t>Energy Office</t>
  </si>
  <si>
    <t>Haw. Hous. Fin. Dev. Corp.</t>
  </si>
  <si>
    <t>State Public Utilities Commission</t>
  </si>
  <si>
    <t>CC HONOLULU/ BUDGET AND FISCAL SERVICES/LIQUOR COMMISSION</t>
  </si>
  <si>
    <t>Prof. &amp; Voc. Licensing</t>
  </si>
  <si>
    <t>Regulated Indus. Complaints</t>
  </si>
  <si>
    <t>Superintendent</t>
  </si>
  <si>
    <t>(w/o Solid/Hazardous Waste)</t>
  </si>
  <si>
    <t>Solid &amp; Hazardous Waste</t>
  </si>
  <si>
    <t>Clean Air</t>
  </si>
  <si>
    <t>Clean Water</t>
  </si>
  <si>
    <t>Occupational Safety</t>
  </si>
  <si>
    <t>Labor Relations Board</t>
  </si>
  <si>
    <t>Engineering</t>
  </si>
  <si>
    <t>Land Management</t>
  </si>
  <si>
    <t>Admin</t>
  </si>
  <si>
    <t>Highways</t>
  </si>
  <si>
    <t>Clerks</t>
  </si>
  <si>
    <t>Auditor</t>
  </si>
  <si>
    <t>Ombudsman</t>
  </si>
  <si>
    <t>Kaua`i Mayor</t>
  </si>
  <si>
    <t>Hawai`i Mayor</t>
  </si>
  <si>
    <t>Maui Mayor/MD</t>
  </si>
  <si>
    <t>Honolulu Mayor/MD</t>
  </si>
  <si>
    <t>Honolulu DDC</t>
  </si>
  <si>
    <t>County Environmental</t>
  </si>
  <si>
    <t>Honolulu ENV</t>
  </si>
  <si>
    <t>Maui ENV</t>
  </si>
  <si>
    <t>Hawai`i ENV</t>
  </si>
  <si>
    <t>SOH/ BUSINESS, ECON DEV, &amp; TOURISM/ NATURAL ENERGY LAB OF HI AUTHORITY/ NELHA</t>
  </si>
  <si>
    <t>CC_HONOLULU_CITY_COUNCIL</t>
  </si>
  <si>
    <t>CC HONOLULU/ CITY COUNCIL</t>
  </si>
  <si>
    <t>CC HONOLULU/ BUDGET AND FISCAL SERVICES/ FISCAL/CIP ADMINISTRATION DIV</t>
  </si>
  <si>
    <t>Change in Longest Time to Complete Req</t>
  </si>
  <si>
    <t>Avg # of Major OIP Matters Per Year Before 1995</t>
  </si>
  <si>
    <t>Avg # of Major OIP Matters Per Year 1995 -1999</t>
  </si>
  <si>
    <t>Avg # of Major OIP Matters Per Year 2000 - 2004</t>
  </si>
  <si>
    <t>Avg # of Major OIP Matters Per Year 2005 - 2009</t>
  </si>
  <si>
    <t>Avg # of Major OIP Matters Per Year 2010 - 2014</t>
  </si>
  <si>
    <t>New OIP Matters as % of Requests for FY15</t>
  </si>
  <si>
    <t>New OIP Matters as % of Requests for FY16+FY15</t>
  </si>
  <si>
    <t>SOH/ ATTORNEY GENERAL/ SOH/ ATTORNEY GENERAL/ AG</t>
  </si>
  <si>
    <t>Avg Days to OIP Decision for Major Matters - All</t>
  </si>
  <si>
    <t xml:space="preserve">2016-012202 </t>
  </si>
  <si>
    <t xml:space="preserve">2016-020201 </t>
  </si>
  <si>
    <t xml:space="preserve">2016-010402 </t>
  </si>
  <si>
    <t xml:space="preserve">2015-101404 </t>
  </si>
  <si>
    <t xml:space="preserve">2016-012601 </t>
  </si>
  <si>
    <t>QUESTIONS REGARDING HRS 92F</t>
  </si>
  <si>
    <t xml:space="preserve">2016-012201 </t>
  </si>
  <si>
    <t xml:space="preserve">2016-011401 </t>
  </si>
  <si>
    <t xml:space="preserve">2015-111201 </t>
  </si>
  <si>
    <t xml:space="preserve">2016-020102 </t>
  </si>
  <si>
    <t xml:space="preserve">2016-012002 </t>
  </si>
  <si>
    <t xml:space="preserve">2016-012001 </t>
  </si>
  <si>
    <t xml:space="preserve">2013-050103 </t>
  </si>
  <si>
    <t xml:space="preserve">2016-021704 </t>
  </si>
  <si>
    <t>S MEMO 16-3</t>
  </si>
  <si>
    <t>SUBMISSIONS FROM U APPEAL 16-6 &amp; 16-7</t>
  </si>
  <si>
    <t xml:space="preserve">2014-042201 </t>
  </si>
  <si>
    <t xml:space="preserve">2016-022302 </t>
  </si>
  <si>
    <t>AG'S ORIGINAL REQUEST TO OIP</t>
  </si>
  <si>
    <t xml:space="preserve">2013-102903 </t>
  </si>
  <si>
    <t xml:space="preserve">2016-010502 </t>
  </si>
  <si>
    <t>COPY OF DOC CONTAINING PREVIOUS/CURRENT OIP CASES</t>
  </si>
  <si>
    <t>U RFO-P 13-4 DOCS AFTER 11-18-15</t>
  </si>
  <si>
    <t xml:space="preserve">2016-022301 </t>
  </si>
  <si>
    <t xml:space="preserve">2016-021801 </t>
  </si>
  <si>
    <t xml:space="preserve">2016-021702 </t>
  </si>
  <si>
    <t xml:space="preserve">2013-121801 </t>
  </si>
  <si>
    <t xml:space="preserve">2016-030302 </t>
  </si>
  <si>
    <t>COPY OF SENATE MEMO SENT TO OIP</t>
  </si>
  <si>
    <t>CENTER FOR FOOD SAFETY</t>
  </si>
  <si>
    <t xml:space="preserve">2016-010401 </t>
  </si>
  <si>
    <t xml:space="preserve">2016-021602 </t>
  </si>
  <si>
    <t xml:space="preserve">2016-011901 </t>
  </si>
  <si>
    <t xml:space="preserve">2016-012602 </t>
  </si>
  <si>
    <t xml:space="preserve">2016-030301 </t>
  </si>
  <si>
    <t>DOCS RELATED TO U RFO (99-014,, 91-120,.
  93-079)</t>
  </si>
  <si>
    <t xml:space="preserve">2016-031402 </t>
  </si>
  <si>
    <t>DOCS REGARDING U APPEAL 16-06 AND 16-07</t>
  </si>
  <si>
    <t xml:space="preserve">2016-021701 </t>
  </si>
  <si>
    <t xml:space="preserve">2016-031401 </t>
  </si>
  <si>
    <t>COPY OF SONS RECORDS</t>
  </si>
  <si>
    <t>HELPING HANDS HAWAII</t>
  </si>
  <si>
    <t xml:space="preserve">2016-031801 </t>
  </si>
  <si>
    <t>2014 OIP ANNUAL REPORT</t>
  </si>
  <si>
    <t xml:space="preserve">2013-081305 </t>
  </si>
  <si>
    <t xml:space="preserve">2016-032202 </t>
  </si>
  <si>
    <t>STANLEY KONG</t>
  </si>
  <si>
    <t>RULE MAKING PART III</t>
  </si>
  <si>
    <t xml:space="preserve">2016-032102 </t>
  </si>
  <si>
    <t>EMPLOYEE SUSPENSION</t>
  </si>
  <si>
    <t>CITY ETHICS DIRECTOR</t>
  </si>
  <si>
    <t xml:space="preserve">2016-032103 </t>
  </si>
  <si>
    <t>FILM TAX CREDIT PROGRAM</t>
  </si>
  <si>
    <t>OIP TRNG FROM 1/12 - PRESENT</t>
  </si>
  <si>
    <t xml:space="preserve">2016-030101 </t>
  </si>
  <si>
    <t>U RFA-P 16-37</t>
  </si>
  <si>
    <t>COPY OF "PAVEMENT PRESERVATION TECHNICAL APPRAISAL"</t>
  </si>
  <si>
    <t xml:space="preserve">2016-021601 </t>
  </si>
  <si>
    <t xml:space="preserve">2016-032101 </t>
  </si>
  <si>
    <t>FILE RECORDS FOR: RFO (91-105), RFO (92-075), RFO (93-037)</t>
  </si>
  <si>
    <t>U MEMO 16-3</t>
  </si>
  <si>
    <t xml:space="preserve">2015-110101 </t>
  </si>
  <si>
    <t xml:space="preserve">2016-032201 </t>
  </si>
  <si>
    <t>COPY OF TRANSCRIPT RECORDS</t>
  </si>
  <si>
    <t xml:space="preserve">2016-031501 </t>
  </si>
  <si>
    <t>REQUEST FOR LAB RESULTS</t>
  </si>
  <si>
    <t xml:space="preserve">2014-102001 </t>
  </si>
  <si>
    <t xml:space="preserve">2016-020301 </t>
  </si>
  <si>
    <t xml:space="preserve">2016-030201 </t>
  </si>
  <si>
    <t>U RFA-P 16-38</t>
  </si>
  <si>
    <t>DOCUMENTS ABOUT STANLEY KONG</t>
  </si>
  <si>
    <t xml:space="preserve">2016-040701 </t>
  </si>
  <si>
    <t>PSD/ETHICS-HON CORR</t>
  </si>
  <si>
    <t>RECORDS RE: RFA-P 15-18, U APPEAL 15-7, U APPEAL 16-3</t>
  </si>
  <si>
    <t xml:space="preserve">2016-032301 </t>
  </si>
  <si>
    <t>RFO REQUESTS</t>
  </si>
  <si>
    <t>COMPLAINT, RESPONSE, DECISION</t>
  </si>
  <si>
    <t xml:space="preserve">2015-120702 </t>
  </si>
  <si>
    <t xml:space="preserve">2016-031101 </t>
  </si>
  <si>
    <t>U APPEAL 16-25</t>
  </si>
  <si>
    <t>HPD-HON</t>
  </si>
  <si>
    <t>ELIGIBLE CANDIDATE LIST</t>
  </si>
  <si>
    <t>ASST POLICE CHIEF SELECTION PROCESS</t>
  </si>
  <si>
    <t xml:space="preserve">2016-031102 </t>
  </si>
  <si>
    <t>U APPEAL 16-26</t>
  </si>
  <si>
    <t>ASST POLICE CHIEF INTERVIEW PANEL</t>
  </si>
  <si>
    <t>RATING SHEETS - REDACTED</t>
  </si>
  <si>
    <t xml:space="preserve">2016-040401 </t>
  </si>
  <si>
    <t>U APPEAL 16-30</t>
  </si>
  <si>
    <t>NO RECORDS - SCHOOLS LOTTERY POLICY</t>
  </si>
  <si>
    <t>HI ACADEMY OF ARTS &amp; SCIENCE CHARTER SCHOOL</t>
  </si>
  <si>
    <t xml:space="preserve">2014-031104 </t>
  </si>
  <si>
    <t xml:space="preserve">2016-041801 </t>
  </si>
  <si>
    <t>ALL RECORDS RELATED TO "JAMAAT UL-FUQRA"</t>
  </si>
  <si>
    <t xml:space="preserve">2016-041401 </t>
  </si>
  <si>
    <t>U APPEAL 16-32</t>
  </si>
  <si>
    <t>AUDIO RECORDINGS AND TRANSCRIPTS</t>
  </si>
  <si>
    <t xml:space="preserve">2016-030202 </t>
  </si>
  <si>
    <t>U APPEAL 16-24</t>
  </si>
  <si>
    <t>KPD</t>
  </si>
  <si>
    <t>CRIME SCENE &amp; AUTOPSY PHOTOS OF HUSBAND</t>
  </si>
  <si>
    <t xml:space="preserve">2014-122201 </t>
  </si>
  <si>
    <t xml:space="preserve">2014-041602 </t>
  </si>
  <si>
    <t>PONG/JZB/LLA</t>
  </si>
  <si>
    <t xml:space="preserve">2015-012702 </t>
  </si>
  <si>
    <t xml:space="preserve">2015-012701 </t>
  </si>
  <si>
    <t xml:space="preserve">2014-122202 </t>
  </si>
  <si>
    <t>PONG/JZB</t>
  </si>
  <si>
    <t xml:space="preserve">2014-120402 </t>
  </si>
  <si>
    <t xml:space="preserve">2014-102101 </t>
  </si>
  <si>
    <t xml:space="preserve">2014-040302 </t>
  </si>
  <si>
    <t>PONG/JZB/CMA</t>
  </si>
  <si>
    <t xml:space="preserve">2014-032701 </t>
  </si>
  <si>
    <t xml:space="preserve">2014-012801 </t>
  </si>
  <si>
    <t xml:space="preserve">2016-042501 </t>
  </si>
  <si>
    <t>CORRESPONDENCE B/W OIP, CORP CNSL, ETHICS-HON</t>
  </si>
  <si>
    <t xml:space="preserve">2014-040701 </t>
  </si>
  <si>
    <t xml:space="preserve">2013-013001 </t>
  </si>
  <si>
    <t xml:space="preserve">2015-042201 </t>
  </si>
  <si>
    <t xml:space="preserve">2015-121501 </t>
  </si>
  <si>
    <t xml:space="preserve">2014-071102 </t>
  </si>
  <si>
    <t xml:space="preserve">2013-021101 </t>
  </si>
  <si>
    <t xml:space="preserve">2014-082602 </t>
  </si>
  <si>
    <t xml:space="preserve">2015-042202 </t>
  </si>
  <si>
    <t xml:space="preserve">2014-122302 </t>
  </si>
  <si>
    <t xml:space="preserve">2013-090303 </t>
  </si>
  <si>
    <t xml:space="preserve">2013-110803 </t>
  </si>
  <si>
    <t>U RFO-P 14-2</t>
  </si>
  <si>
    <t>EMAIL CORR GOVERNMENT RECORD?</t>
  </si>
  <si>
    <t>PERSONAL RECORD CORRECTIONS</t>
  </si>
  <si>
    <t xml:space="preserve">2016-050402 </t>
  </si>
  <si>
    <t>$500 FEE</t>
  </si>
  <si>
    <t>CIVIL BEAT LAW CENTER TO FIN-H</t>
  </si>
  <si>
    <t xml:space="preserve">2016-042502 </t>
  </si>
  <si>
    <t>U RFA-P 16-44</t>
  </si>
  <si>
    <t>LIVE BIRTH CERTIFICATE</t>
  </si>
  <si>
    <t xml:space="preserve">2016-040501 </t>
  </si>
  <si>
    <t>U APPEAL 16-31</t>
  </si>
  <si>
    <t>EXEC DIR JOB STATUS</t>
  </si>
  <si>
    <t xml:space="preserve">2013-121101 </t>
  </si>
  <si>
    <t>COUNTY OF MAUI V OIP</t>
  </si>
  <si>
    <t>CIVIL NO. 13-1-1079</t>
  </si>
  <si>
    <t xml:space="preserve">2015-102007 </t>
  </si>
  <si>
    <t xml:space="preserve">2012-080801 </t>
  </si>
  <si>
    <t xml:space="preserve">2016-031502 </t>
  </si>
  <si>
    <t>U APPEAL 16-27</t>
  </si>
  <si>
    <t>MARIJUANA DISPENSING</t>
  </si>
  <si>
    <t>RECORDS RELATED TO RULES</t>
  </si>
  <si>
    <t xml:space="preserve">2016-032901 </t>
  </si>
  <si>
    <t>U APPEAL 16-29</t>
  </si>
  <si>
    <t>ADMIN RULES DENIAL</t>
  </si>
  <si>
    <t>DON’T EXIST</t>
  </si>
  <si>
    <t xml:space="preserve">2016-051801 </t>
  </si>
  <si>
    <t>LIST OF UIPA COORDINATORS</t>
  </si>
  <si>
    <t xml:space="preserve">2016-051601 </t>
  </si>
  <si>
    <t>NOTICE OF LIT 92-F-15.3</t>
  </si>
  <si>
    <t>CIV NO. 15-1-000881, 15-1-000431, 15-1-000432, 15-1-000882, 14-1-001367, 16-00197</t>
  </si>
  <si>
    <t xml:space="preserve">2016-042101 </t>
  </si>
  <si>
    <t>SOTP PROGRAM</t>
  </si>
  <si>
    <t xml:space="preserve">2016-042201 </t>
  </si>
  <si>
    <t>U RFA-P 16-43</t>
  </si>
  <si>
    <t xml:space="preserve">2014-040401 </t>
  </si>
  <si>
    <t xml:space="preserve">2014-022503 </t>
  </si>
  <si>
    <t xml:space="preserve">2016-051201 </t>
  </si>
  <si>
    <t>RQST FOR DOCS</t>
  </si>
  <si>
    <t>NEEDS TO CONTACT AGENCY FIRST</t>
  </si>
  <si>
    <t xml:space="preserve">2014-051505 </t>
  </si>
  <si>
    <t xml:space="preserve">2016-021703 </t>
  </si>
  <si>
    <t xml:space="preserve">2016-051802 </t>
  </si>
  <si>
    <t>U RFA-P 16-49</t>
  </si>
  <si>
    <t>INVESTIGATION INTO USE OF PUBLIC FUNDS</t>
  </si>
  <si>
    <t>COUNCILMEMBER COUCH</t>
  </si>
  <si>
    <t xml:space="preserve">2015-121001 </t>
  </si>
  <si>
    <t xml:space="preserve">2016-060101 </t>
  </si>
  <si>
    <t>OPINION REVIEW PROCESS</t>
  </si>
  <si>
    <t>BACKLOG</t>
  </si>
  <si>
    <t xml:space="preserve">2016-052602 </t>
  </si>
  <si>
    <t>WORKPLACE TASK FORCE DOCUMENTS</t>
  </si>
  <si>
    <t xml:space="preserve">2016-06061  </t>
  </si>
  <si>
    <t>OPEN RECORDS LAW CLARIFICATION</t>
  </si>
  <si>
    <t>HPD REQUEST</t>
  </si>
  <si>
    <t xml:space="preserve">2016-021901 </t>
  </si>
  <si>
    <t>U/SL TRNG; 6/2/16
ALL HNL C&amp;C/STATE</t>
  </si>
  <si>
    <t>LOG &amp; '16 LEG UPDATES</t>
  </si>
  <si>
    <t>CKP/CMA</t>
  </si>
  <si>
    <t xml:space="preserve">2016-021902 </t>
  </si>
  <si>
    <t>U/SL TRNG; 6/3/16
ALL KAUAI COUNTY</t>
  </si>
  <si>
    <t xml:space="preserve">2016-021903 </t>
  </si>
  <si>
    <t>U/SL TRNG; 6/7/16
ALL HI COUNTY</t>
  </si>
  <si>
    <t xml:space="preserve">2016-021904 </t>
  </si>
  <si>
    <t>U/SL TRNG; 6/8/16 
ALL MAUI COUNTY</t>
  </si>
  <si>
    <t xml:space="preserve">2015-101401 </t>
  </si>
  <si>
    <t xml:space="preserve">2015-062301 </t>
  </si>
  <si>
    <t xml:space="preserve">2016-051202 </t>
  </si>
  <si>
    <t>U RFA-P 16-48</t>
  </si>
  <si>
    <t>RECORD INFORMATION FOR 2016 LICENSES</t>
  </si>
  <si>
    <t xml:space="preserve">2016-051803 </t>
  </si>
  <si>
    <t>U RFA-P 16-50</t>
  </si>
  <si>
    <t>SPECIAL MGMT AREA USE PERMIT</t>
  </si>
  <si>
    <t xml:space="preserve">2015-021803 </t>
  </si>
  <si>
    <t xml:space="preserve">2013-041201 </t>
  </si>
  <si>
    <t xml:space="preserve">2016-061401 </t>
  </si>
  <si>
    <t>INVEST. REPORT DENIED</t>
  </si>
  <si>
    <t xml:space="preserve">2016-061701 </t>
  </si>
  <si>
    <t>3/18/16 LTR FR CORP CNSL-HON TO OIP</t>
  </si>
  <si>
    <t>U RFA-P 16-42</t>
  </si>
  <si>
    <t>$35.00 COPY OF APARTMENT KEY CHARGE RULE</t>
  </si>
  <si>
    <t xml:space="preserve">2016-052601 </t>
  </si>
  <si>
    <t>IS ALII HEALTH CENTER SUBJECT TO UIPA</t>
  </si>
  <si>
    <t xml:space="preserve">2016-061501 </t>
  </si>
  <si>
    <t>REQUEST FOR PERSONNEL FILES</t>
  </si>
  <si>
    <t xml:space="preserve">2016-010701 </t>
  </si>
  <si>
    <t>QUICK REVIEW</t>
  </si>
  <si>
    <t>EMERGENCY MEETINGS</t>
  </si>
  <si>
    <t xml:space="preserve">2014-072104 </t>
  </si>
  <si>
    <t xml:space="preserve">2014-050701 </t>
  </si>
  <si>
    <t xml:space="preserve">2015-121502 </t>
  </si>
  <si>
    <t xml:space="preserve">2014-071401 </t>
  </si>
  <si>
    <t xml:space="preserve">2014-062321 </t>
  </si>
  <si>
    <t xml:space="preserve">2014-093001 </t>
  </si>
  <si>
    <t xml:space="preserve">2014-061602 </t>
  </si>
  <si>
    <t xml:space="preserve">2016-052501 </t>
  </si>
  <si>
    <t>CODEFORHAWAII.ORG</t>
  </si>
  <si>
    <t>RECORD REQUEST PROCESS</t>
  </si>
  <si>
    <t xml:space="preserve">2013-110501 </t>
  </si>
  <si>
    <t xml:space="preserve">2013-072203 </t>
  </si>
  <si>
    <t xml:space="preserve">2017-070501 </t>
  </si>
  <si>
    <t>2006-2007 RECORDS</t>
  </si>
  <si>
    <t>SOTP CLASS &amp; KASHBOX</t>
  </si>
  <si>
    <t xml:space="preserve">2016-070602 </t>
  </si>
  <si>
    <t>REPORTS RELATED TO KAHEKILI TERRACE</t>
  </si>
  <si>
    <t xml:space="preserve">2016-062201 </t>
  </si>
  <si>
    <t>COMMUNICATION B/W OIP, OCR &amp; MAUI COUNTY REAL PROP. TAX OFFICE</t>
  </si>
  <si>
    <t xml:space="preserve">2016-070601 </t>
  </si>
  <si>
    <t xml:space="preserve">2016-070701 </t>
  </si>
  <si>
    <t>ASSIGNMENT DATABASE</t>
  </si>
  <si>
    <t>MEANING OF "DOC-TYPE" CODES</t>
  </si>
  <si>
    <t xml:space="preserve">2016-071401 </t>
  </si>
  <si>
    <t>WATER INTAKE ISSUES</t>
  </si>
  <si>
    <t xml:space="preserve">2016-070801 </t>
  </si>
  <si>
    <t>U RFA-P 17-1</t>
  </si>
  <si>
    <t>REGISTRARS JOB DESCRIPTION</t>
  </si>
  <si>
    <t xml:space="preserve">2016-070502 </t>
  </si>
  <si>
    <t>CODE FOR HAWAII</t>
  </si>
  <si>
    <t>MAILBOX ADDRESS FOR UIPA REQUESTS</t>
  </si>
  <si>
    <t>ZEA</t>
  </si>
  <si>
    <t xml:space="preserve">2016-061702 </t>
  </si>
  <si>
    <t>UH MANOA 7/14/16</t>
  </si>
  <si>
    <t xml:space="preserve">2016-050401 </t>
  </si>
  <si>
    <t>U APPEAL 16-36</t>
  </si>
  <si>
    <t>CORONERS REPORT</t>
  </si>
  <si>
    <t>DENIED, ONGOING INVESTIGATION</t>
  </si>
  <si>
    <t xml:space="preserve">2016-042001 </t>
  </si>
  <si>
    <t>PERSONAL RECORDS FROM DOTAX</t>
  </si>
  <si>
    <t>ADDITIONAL INFO NEEDED</t>
  </si>
  <si>
    <t xml:space="preserve">2016-072102 </t>
  </si>
  <si>
    <t>ORIGINAL REQUEST FOR F05-14</t>
  </si>
  <si>
    <t xml:space="preserve">2013-100301 </t>
  </si>
  <si>
    <t xml:space="preserve">2013-111402 </t>
  </si>
  <si>
    <t xml:space="preserve">2014-112104 </t>
  </si>
  <si>
    <t xml:space="preserve">2016-060901 </t>
  </si>
  <si>
    <t>U RFA-P 16-53</t>
  </si>
  <si>
    <t>5/7/16 911 CALL FOR BRIAN QUINN</t>
  </si>
  <si>
    <t xml:space="preserve">2016-050906 </t>
  </si>
  <si>
    <t>U RFA-P 16-47</t>
  </si>
  <si>
    <t>RULES, POLICIES, STANDARDS ADOPTED BY BOARD 2014-2016</t>
  </si>
  <si>
    <t xml:space="preserve">2016-062901 </t>
  </si>
  <si>
    <t>U RFA-P 16-54</t>
  </si>
  <si>
    <t>COMMUNICATION B/W HMSA &amp; KASC</t>
  </si>
  <si>
    <t xml:space="preserve">2016-050905 </t>
  </si>
  <si>
    <t>U RFA-P 16-46</t>
  </si>
  <si>
    <t>AGENDA AND MINS OF BOARD OF DIRECTORS MTG</t>
  </si>
  <si>
    <t xml:space="preserve">2014-041107 </t>
  </si>
  <si>
    <t>QR: SL AGENDAS,NOTICING BILLS</t>
  </si>
  <si>
    <t>JZB/PONG</t>
  </si>
  <si>
    <t xml:space="preserve">2016-072601 </t>
  </si>
  <si>
    <t>U RFA-P 17-5</t>
  </si>
  <si>
    <t>COPY OF NOV 2015 RFP AD</t>
  </si>
  <si>
    <t>OHA STAFF ON RFP SELECTION COMMITTEE</t>
  </si>
  <si>
    <t xml:space="preserve">2016-071501 </t>
  </si>
  <si>
    <t>APPEAL PREMATURE</t>
  </si>
  <si>
    <t>REQUEST CLARIFIED</t>
  </si>
  <si>
    <t xml:space="preserve">2016-072602 </t>
  </si>
  <si>
    <t>RCUH/SUBARU TELESCOPE AGREEMENT</t>
  </si>
  <si>
    <t xml:space="preserve">2016-072801 </t>
  </si>
  <si>
    <t>OIP RETENTION POLICIES</t>
  </si>
  <si>
    <t xml:space="preserve">2016-080401 </t>
  </si>
  <si>
    <t>ALII COMMUNITY CARE</t>
  </si>
  <si>
    <t>DENIAL OF MINUTES</t>
  </si>
  <si>
    <t xml:space="preserve">2016-071102 </t>
  </si>
  <si>
    <t>U RFA-P 17-2</t>
  </si>
  <si>
    <t>UNREDACTED MINUTES</t>
  </si>
  <si>
    <t xml:space="preserve">2016-071404 </t>
  </si>
  <si>
    <t>U RFA-P 17-4</t>
  </si>
  <si>
    <t>CONTAMINATION REMEDIATION</t>
  </si>
  <si>
    <t xml:space="preserve">2016-080102 </t>
  </si>
  <si>
    <t>CNCL MEMBER GLADYS BAISA</t>
  </si>
  <si>
    <t>WATER RESOURCES COMMITTEE SL VIOLATION</t>
  </si>
  <si>
    <t xml:space="preserve">2016-080202 </t>
  </si>
  <si>
    <t>U RFA-P 17-7</t>
  </si>
  <si>
    <t>ASBESTOS INSPECTOR</t>
  </si>
  <si>
    <t>DEMOLITION/ RENOVATION NOTICE, COCO PALMS RESORT</t>
  </si>
  <si>
    <t xml:space="preserve">2016-071301 </t>
  </si>
  <si>
    <t>RECORDS RE: RFO-003, APPEAL 13-21, S APPEAL 14-9</t>
  </si>
  <si>
    <t>DATABASE GAPS</t>
  </si>
  <si>
    <t xml:space="preserve">2016-063001 </t>
  </si>
  <si>
    <t>COPIES OF VARIOUS RECORDS</t>
  </si>
  <si>
    <t xml:space="preserve">2016-082202 </t>
  </si>
  <si>
    <t>PREMATURE REQUESTS</t>
  </si>
  <si>
    <t>DOCS FROM DHRD</t>
  </si>
  <si>
    <t xml:space="preserve">2016-081802 </t>
  </si>
  <si>
    <t>CANNOT APPEAL</t>
  </si>
  <si>
    <t>RECORDS NOT PART OF REQUEST</t>
  </si>
  <si>
    <t xml:space="preserve">2016-082203 </t>
  </si>
  <si>
    <t>DOH-HPHA</t>
  </si>
  <si>
    <t xml:space="preserve">2016-082205 </t>
  </si>
  <si>
    <t xml:space="preserve">2016-081201 </t>
  </si>
  <si>
    <t>U RFA-P 17-9</t>
  </si>
  <si>
    <t>ES-HON</t>
  </si>
  <si>
    <t>ES-HON PHYSICIANS</t>
  </si>
  <si>
    <t>FIRE FIGHTER PHYSICAL EXAMINATIONS</t>
  </si>
  <si>
    <t xml:space="preserve">2016-080801 </t>
  </si>
  <si>
    <t>U RFA-P 17-8</t>
  </si>
  <si>
    <t>ALL RECORDS RELATING TO CHECK #108310</t>
  </si>
  <si>
    <t xml:space="preserve">2016-072701 </t>
  </si>
  <si>
    <t>REQUEST NOT STATED</t>
  </si>
  <si>
    <t xml:space="preserve">2015-041001 </t>
  </si>
  <si>
    <t xml:space="preserve">2016-062001 </t>
  </si>
  <si>
    <t>UIPA/SL TRNG</t>
  </si>
  <si>
    <t>8/30/16 STATE CAPITOL AUDITORIUM</t>
  </si>
  <si>
    <t xml:space="preserve">2016-080201 </t>
  </si>
  <si>
    <t>U RFA-P 17-6</t>
  </si>
  <si>
    <t>PERMIT APPLICATIONS GRANTED</t>
  </si>
  <si>
    <t>LAND OWNER PATRICIA HANWRIGHT</t>
  </si>
  <si>
    <t xml:space="preserve">2016-090203 </t>
  </si>
  <si>
    <t>COSTS OF MITIGATION</t>
  </si>
  <si>
    <t xml:space="preserve">2016-071405 </t>
  </si>
  <si>
    <t>RECON-G 17-2</t>
  </si>
  <si>
    <t>S MEMO 16-4</t>
  </si>
  <si>
    <t>ACT 68 INTERPRETATION</t>
  </si>
  <si>
    <t xml:space="preserve">2016-050904 </t>
  </si>
  <si>
    <t>U RFA-P 16-45</t>
  </si>
  <si>
    <t>ALL FINANCIAL RECORDS KEPT BY HPHA</t>
  </si>
  <si>
    <t xml:space="preserve">2016-083004 </t>
  </si>
  <si>
    <t>REDACTED COPY OF JUL 18, 2016 REPORT</t>
  </si>
  <si>
    <t>RESPONSE RECEIVED</t>
  </si>
  <si>
    <t xml:space="preserve">2016-082502 </t>
  </si>
  <si>
    <t>U RFA-P 17-15</t>
  </si>
  <si>
    <t>WORK PRODUCT FOR RICO EMPLOYEES</t>
  </si>
  <si>
    <t>JAN 2016-PRESENT</t>
  </si>
  <si>
    <t xml:space="preserve">2016-082501 </t>
  </si>
  <si>
    <t>U RFA-P 17-14</t>
  </si>
  <si>
    <t>SALARY FOR PAMELA CUNNINGHAM</t>
  </si>
  <si>
    <t>MARCH 2016-PRESENt</t>
  </si>
  <si>
    <t xml:space="preserve">2016-082201 </t>
  </si>
  <si>
    <t>FIRST COME FIRST SERVED BASIS POLICY</t>
  </si>
  <si>
    <t>ORIGINAL REQUESTS</t>
  </si>
  <si>
    <t xml:space="preserve">2016-083102 </t>
  </si>
  <si>
    <t>U RFA-P 17-20</t>
  </si>
  <si>
    <t>KAHEKILI TERRACE APTS</t>
  </si>
  <si>
    <t>TOXIC CONTAMINANT RATINGS</t>
  </si>
  <si>
    <t xml:space="preserve">2016-082302 </t>
  </si>
  <si>
    <t>U RFA-P 17-13</t>
  </si>
  <si>
    <t>TOXIC CONAMINANT REPORS FOR KAHEKILI TERRACE</t>
  </si>
  <si>
    <t xml:space="preserve">2016-083001 </t>
  </si>
  <si>
    <t>U RFA-P 17-17</t>
  </si>
  <si>
    <t>WATER INTAKE RECORDS</t>
  </si>
  <si>
    <t xml:space="preserve">2016-082903 </t>
  </si>
  <si>
    <t>COPY OF OIP'S RESPONSE</t>
  </si>
  <si>
    <t>AUG 23, 7:36PM REQUEST</t>
  </si>
  <si>
    <t xml:space="preserve">2016-090102 </t>
  </si>
  <si>
    <t>AUG 23, 7:37PM REQUEST</t>
  </si>
  <si>
    <t xml:space="preserve">2015-121401 </t>
  </si>
  <si>
    <t>REVISE NOTICE CHECKLIST</t>
  </si>
  <si>
    <t>ICT QUICK REVIEW</t>
  </si>
  <si>
    <t xml:space="preserve">2014-092302 </t>
  </si>
  <si>
    <t xml:space="preserve">2016-072103 </t>
  </si>
  <si>
    <t>PRISON TRANSFER</t>
  </si>
  <si>
    <t>PERSONAL RECORDS - CERTIFICATE OF COMPLETION</t>
  </si>
  <si>
    <t xml:space="preserve">2016-081501 </t>
  </si>
  <si>
    <t>U RFA-P 17-10</t>
  </si>
  <si>
    <t>KAHEKILI TERRACE REPORTS, EMPLOYEES</t>
  </si>
  <si>
    <t xml:space="preserve">2016-091203 </t>
  </si>
  <si>
    <t>REQUESTS FROM ALAN IWASAKI</t>
  </si>
  <si>
    <t>REQUEST FOR GUIDANCE</t>
  </si>
  <si>
    <t xml:space="preserve">2016-091202 </t>
  </si>
  <si>
    <t>NO REQUEST FOR RECORDS</t>
  </si>
  <si>
    <t xml:space="preserve">2016-091402 </t>
  </si>
  <si>
    <t>KAHEKILI TERRACE REPORTS</t>
  </si>
  <si>
    <t>RQSTS WERE RESPONDED TO BY AGENCY</t>
  </si>
  <si>
    <t xml:space="preserve">2016-090101 </t>
  </si>
  <si>
    <t>UIPA RECORD REQUEST LOGS</t>
  </si>
  <si>
    <t>7/1/15-6/30/16</t>
  </si>
  <si>
    <t>MVL/LRO</t>
  </si>
  <si>
    <t xml:space="preserve">2016-081701 </t>
  </si>
  <si>
    <t>U RFA-P 17-11</t>
  </si>
  <si>
    <t>DOCS REGARDING RCUH/SUBARU TELESCOPE</t>
  </si>
  <si>
    <t xml:space="preserve">2016-090803 </t>
  </si>
  <si>
    <t>MIN CUSTODY FACILITY TRANSFER</t>
  </si>
  <si>
    <t xml:space="preserve">2013-070202 </t>
  </si>
  <si>
    <t xml:space="preserve">2016-071101 </t>
  </si>
  <si>
    <t xml:space="preserve">2013-100902 </t>
  </si>
  <si>
    <t xml:space="preserve">2016-092103 </t>
  </si>
  <si>
    <t>GUIDANCE ON RESPONSE TO RQST FOR PERSONNEL RECORDS</t>
  </si>
  <si>
    <t xml:space="preserve">2016-083003 </t>
  </si>
  <si>
    <t xml:space="preserve">2016-092603 </t>
  </si>
  <si>
    <t>PEER NEWS V. CITY</t>
  </si>
  <si>
    <t>S. CT. DECISION SUMMARY</t>
  </si>
  <si>
    <t xml:space="preserve">2016-061402 </t>
  </si>
  <si>
    <t>GREEN PARTY</t>
  </si>
  <si>
    <t>BALLOTS - AGENCY RULES</t>
  </si>
  <si>
    <t>CIV. NO. 12-1-0009-56</t>
  </si>
  <si>
    <t xml:space="preserve">2016-083002 </t>
  </si>
  <si>
    <t>U RFA-P 17-18</t>
  </si>
  <si>
    <t>WRONGFUL TERMINATION</t>
  </si>
  <si>
    <t>COMPLETE INVESTIGATION FILE</t>
  </si>
  <si>
    <t xml:space="preserve">2016-092602 </t>
  </si>
  <si>
    <t>RQST FOR NAMES INDENTIFIED BY DAHILIG</t>
  </si>
  <si>
    <t>RQST WAS RESPONDED TO</t>
  </si>
  <si>
    <t xml:space="preserve">2016-080203 </t>
  </si>
  <si>
    <t>BUREAU OF CONVEYANCES</t>
  </si>
  <si>
    <t>POLICIES FOR FILING A LIEN</t>
  </si>
  <si>
    <t xml:space="preserve">2016-091301 </t>
  </si>
  <si>
    <t>U RFA-P 17-28</t>
  </si>
  <si>
    <t>REQUEST FOR RULE REGARDING NOTICE BY EMAIL</t>
  </si>
  <si>
    <t xml:space="preserve">2014-093002 </t>
  </si>
  <si>
    <t xml:space="preserve">2016-090602 </t>
  </si>
  <si>
    <t>U RFA-P 17-23</t>
  </si>
  <si>
    <t>RADIO TRANSMISSIONS ON 12/11/13</t>
  </si>
  <si>
    <t xml:space="preserve">2014-102902 </t>
  </si>
  <si>
    <t xml:space="preserve">2016-081202 </t>
  </si>
  <si>
    <t>INTERVENTION PROTOCOL</t>
  </si>
  <si>
    <t>CONNECTIONS PUBLIC CHARTER SCHOOL</t>
  </si>
  <si>
    <t xml:space="preserve">2013-100901 </t>
  </si>
  <si>
    <t xml:space="preserve">2016-090801 </t>
  </si>
  <si>
    <t>U APPEAL 17-6</t>
  </si>
  <si>
    <t>REPORT COMPLETED BY C. NAGATOSHI</t>
  </si>
  <si>
    <t xml:space="preserve">2016-101301 </t>
  </si>
  <si>
    <t>11/23/18 APP &amp; 3/13/09 CANCELLATION</t>
  </si>
  <si>
    <t>AGENCY NEEDS CLARIFICATION</t>
  </si>
  <si>
    <t xml:space="preserve">2016-092301 </t>
  </si>
  <si>
    <t>RIGHT TO DIRECTLY CONTACT EMPLOYEES FOR RECORDS</t>
  </si>
  <si>
    <t xml:space="preserve">2016-091501 </t>
  </si>
  <si>
    <t>U RFA-P 17-27</t>
  </si>
  <si>
    <t>REQUEST FOR SIGNED DOCUMENT</t>
  </si>
  <si>
    <t xml:space="preserve">2016-101402 </t>
  </si>
  <si>
    <t>RQST FOR ORIGINAL DRUG ASSESSMENT FORMS</t>
  </si>
  <si>
    <t xml:space="preserve">2016-071802 </t>
  </si>
  <si>
    <t>SL TRNG 10/20/16</t>
  </si>
  <si>
    <t>AHA MOKU ADVISORY COMMITTEE (AMAC)</t>
  </si>
  <si>
    <t xml:space="preserve">2016-102101 </t>
  </si>
  <si>
    <t>CNN REQUESTS</t>
  </si>
  <si>
    <t>10/21/16 DISCUSSION SUMMARY</t>
  </si>
  <si>
    <t xml:space="preserve">2016-092001 </t>
  </si>
  <si>
    <t>U RFA-P 17-29</t>
  </si>
  <si>
    <t>COPY OF DRUG ASSESSMENT</t>
  </si>
  <si>
    <t xml:space="preserve">2016-083103 </t>
  </si>
  <si>
    <t>U RFA-P 17-21</t>
  </si>
  <si>
    <t>POLICE RPRTS, RENTAL AGRMNTS; SMOKE DETECTORS</t>
  </si>
  <si>
    <t xml:space="preserve">2016-092701 </t>
  </si>
  <si>
    <t>U RFA-P 17-31</t>
  </si>
  <si>
    <t>LIST OF TENANTS FROM 7/18/88-9/1/16</t>
  </si>
  <si>
    <t xml:space="preserve">2016-082901 </t>
  </si>
  <si>
    <t>U RFA-P 17-16</t>
  </si>
  <si>
    <t>MEDICAL MARIJUANA LICENSE APPLICATIONS</t>
  </si>
  <si>
    <t xml:space="preserve">2016-082301 </t>
  </si>
  <si>
    <t>U RFA-P 17-12</t>
  </si>
  <si>
    <t xml:space="preserve">2016-101401 </t>
  </si>
  <si>
    <t>CORRESPONDENCE B/W GOV &amp; DOH</t>
  </si>
  <si>
    <t>RQST NOT TIMELY</t>
  </si>
  <si>
    <t xml:space="preserve">2013-112502 </t>
  </si>
  <si>
    <t xml:space="preserve">2016-102001 </t>
  </si>
  <si>
    <t>COUNCILMEMBERS' PARTICIPATION</t>
  </si>
  <si>
    <t>HAMAKUALOA MASTER PLAN DEVELOPMENT</t>
  </si>
  <si>
    <t xml:space="preserve">2013-072202 </t>
  </si>
  <si>
    <t xml:space="preserve">2016-082204 </t>
  </si>
  <si>
    <t>DOE (CHARTER)</t>
  </si>
  <si>
    <t>NO SL VIOLATION</t>
  </si>
  <si>
    <t>KA'U LEARNING ACADEMY</t>
  </si>
  <si>
    <t xml:space="preserve">2016-102601 </t>
  </si>
  <si>
    <t>RQST TO REOPEN CASE</t>
  </si>
  <si>
    <t xml:space="preserve">2015-111003 </t>
  </si>
  <si>
    <t xml:space="preserve">2016-111002 </t>
  </si>
  <si>
    <t>RUSSI COMPLAINT</t>
  </si>
  <si>
    <t>10/28/16 LTR RE: GOV</t>
  </si>
  <si>
    <t xml:space="preserve">2016-090802 </t>
  </si>
  <si>
    <t>U RFA-P 17-24</t>
  </si>
  <si>
    <t>REQUEST FOR ALL PERSONAL DOCUMENTS</t>
  </si>
  <si>
    <t xml:space="preserve">2016-082902 </t>
  </si>
  <si>
    <t>AINA O KA HALE PILI SUBDIVISION</t>
  </si>
  <si>
    <t>SMA FILE</t>
  </si>
  <si>
    <t xml:space="preserve">2016-111003 </t>
  </si>
  <si>
    <t xml:space="preserve">2016-110102 </t>
  </si>
  <si>
    <t>3/24/16 EMAIL FROM OIP TO RUSSIS</t>
  </si>
  <si>
    <t xml:space="preserve">2016-111601 </t>
  </si>
  <si>
    <t>HCDA BOARD</t>
  </si>
  <si>
    <t>RQST FOR PUBLIC NOTICE PERIOD LESS THAN 30 DAYS</t>
  </si>
  <si>
    <t xml:space="preserve">2015-110202 </t>
  </si>
  <si>
    <t xml:space="preserve">2016-110202 </t>
  </si>
  <si>
    <t>U RFA-P 17-37</t>
  </si>
  <si>
    <t>BUILDING PERMIT APPLICANT INFORMATION</t>
  </si>
  <si>
    <t xml:space="preserve">2015-102601 </t>
  </si>
  <si>
    <t>APPOINT OIP DIRECTOR</t>
  </si>
  <si>
    <t xml:space="preserve">2016-100401 </t>
  </si>
  <si>
    <t>U RFA-P 17-33</t>
  </si>
  <si>
    <t>ALL DOCS RE FIREARM REGISTRATION</t>
  </si>
  <si>
    <t xml:space="preserve">2013-120402 </t>
  </si>
  <si>
    <t xml:space="preserve">2016-102702 </t>
  </si>
  <si>
    <t>RECON-P 17-1</t>
  </si>
  <si>
    <t>U MEMO 17-2</t>
  </si>
  <si>
    <t>FAILURE TO PROVIDE NTR</t>
  </si>
  <si>
    <t xml:space="preserve">2016-092604 </t>
  </si>
  <si>
    <t>U APPEAL 17-13</t>
  </si>
  <si>
    <t>DLIR-HIOSH</t>
  </si>
  <si>
    <t>ALL RECORDS RELATED TO PERSONNEL FILE</t>
  </si>
  <si>
    <t xml:space="preserve">2016-083101 </t>
  </si>
  <si>
    <t>U RFA-P 17-19</t>
  </si>
  <si>
    <t>SUBARU TELESCOPE EMPLOYMENT</t>
  </si>
  <si>
    <t xml:space="preserve">2016-092201 </t>
  </si>
  <si>
    <t>U APPEAL 17-11</t>
  </si>
  <si>
    <t>EMPLOYMENT DOCS FOR HARLAN KIMURA</t>
  </si>
  <si>
    <t>BILLING &amp; PAYMENT RECORDS DENIED</t>
  </si>
  <si>
    <t xml:space="preserve">2016-093002 </t>
  </si>
  <si>
    <t>U APPEAL 17-18</t>
  </si>
  <si>
    <t>16 INDIVIDUALS</t>
  </si>
  <si>
    <t>ENFORCEMENT CASES</t>
  </si>
  <si>
    <t xml:space="preserve">2016-091201 </t>
  </si>
  <si>
    <t>U APPEAL 17-7</t>
  </si>
  <si>
    <t>READILY RETRIEVABLE</t>
  </si>
  <si>
    <t>CONTESTED HEARINGS OFFICERS</t>
  </si>
  <si>
    <t xml:space="preserve">2016-113002 </t>
  </si>
  <si>
    <t>KCH INSPECTION</t>
  </si>
  <si>
    <t xml:space="preserve">2016-120604 </t>
  </si>
  <si>
    <t>RQST FOR OFFICE POLICIES RELATED TO APPEAL FILES</t>
  </si>
  <si>
    <t xml:space="preserve">2016-120601 </t>
  </si>
  <si>
    <t>NOTICE OF STATUS CONFERENCE</t>
  </si>
  <si>
    <t xml:space="preserve">2016-070101 </t>
  </si>
  <si>
    <t>DOCS RELATED TO DESTRUCTION OF RAPE KITS</t>
  </si>
  <si>
    <t xml:space="preserve">2014-070701 </t>
  </si>
  <si>
    <t xml:space="preserve">2014-022501 </t>
  </si>
  <si>
    <t xml:space="preserve">2013-100904 </t>
  </si>
  <si>
    <t xml:space="preserve">2016-112201 </t>
  </si>
  <si>
    <t>U RFA-P 17-39</t>
  </si>
  <si>
    <t xml:space="preserve">2016-102801 </t>
  </si>
  <si>
    <t>CORRECTION OF GOVERNMENT RECORDS</t>
  </si>
  <si>
    <t xml:space="preserve">2016-112901 </t>
  </si>
  <si>
    <t>REQUEST FOR INVESTIGATION</t>
  </si>
  <si>
    <t xml:space="preserve">2016-111602 </t>
  </si>
  <si>
    <t>SUBARU/RCUH</t>
  </si>
  <si>
    <t>APPEAL TO CORRECT PERSONAL RECORD</t>
  </si>
  <si>
    <t xml:space="preserve">2016-121202 </t>
  </si>
  <si>
    <t>RQST FOR ALL PERSONAL DOCS</t>
  </si>
  <si>
    <t xml:space="preserve">2016-111402 </t>
  </si>
  <si>
    <t>$1700 COPYING FEES COMPLAINT</t>
  </si>
  <si>
    <t xml:space="preserve">2016-102701 </t>
  </si>
  <si>
    <t>U RFA-P 17-36</t>
  </si>
  <si>
    <t>DOCS REGARDING BUILDING PERMITS</t>
  </si>
  <si>
    <t>DENIED IN PART</t>
  </si>
  <si>
    <t xml:space="preserve">2016-121901 </t>
  </si>
  <si>
    <t>PREMATURE REQUEST TO APPEAL</t>
  </si>
  <si>
    <t xml:space="preserve">2016-120901 </t>
  </si>
  <si>
    <t>U RFA-P 17-43</t>
  </si>
  <si>
    <t>RQST FOR KOHALA &amp; KA'U HOSPITAL INSPECTIONS</t>
  </si>
  <si>
    <t xml:space="preserve">2016-071402 </t>
  </si>
  <si>
    <t>RECON-G 17-1</t>
  </si>
  <si>
    <t>U MEMO 16-7</t>
  </si>
  <si>
    <t>SIC SUBMITTALS</t>
  </si>
  <si>
    <t xml:space="preserve">2016-092101 </t>
  </si>
  <si>
    <t>U APPEAL 17-9</t>
  </si>
  <si>
    <t xml:space="preserve">2016-111401 </t>
  </si>
  <si>
    <t>U APPEAL 17-23</t>
  </si>
  <si>
    <t>FOOTBALL PLAYERS INJURY RECORDS</t>
  </si>
  <si>
    <t xml:space="preserve">2016-112103 </t>
  </si>
  <si>
    <t>PROVISIONS TO DENY INSPECTIONS</t>
  </si>
  <si>
    <t>PROVISIONS TO COMPENSATE</t>
  </si>
  <si>
    <t xml:space="preserve">2016-120501 </t>
  </si>
  <si>
    <t>RQST FOR EXPLANATION OF TRANSFER FEE</t>
  </si>
  <si>
    <t xml:space="preserve">2016-122201 </t>
  </si>
  <si>
    <t>RQST FOR UIPA MANUAL</t>
  </si>
  <si>
    <t xml:space="preserve">2016-123001 </t>
  </si>
  <si>
    <t>GOV'S OFFICE</t>
  </si>
  <si>
    <t>REQUEST TO CORRECT</t>
  </si>
  <si>
    <t>U APPEAL 17-24</t>
  </si>
  <si>
    <t>U RFA-P 17-30</t>
  </si>
  <si>
    <t>RQST FOR DOC NOTARIZED BY M. CHANG</t>
  </si>
  <si>
    <t>NO REQUEST FOR GOVERNMENT RECORDS</t>
  </si>
  <si>
    <t>RQST FOR PSD DOCS</t>
  </si>
  <si>
    <t>MEMO OPINION</t>
  </si>
  <si>
    <t xml:space="preserve">2015-103002 </t>
  </si>
  <si>
    <t>CONVERT TEMPLATES</t>
  </si>
  <si>
    <t>ACCESSIBLE FORMAT</t>
  </si>
  <si>
    <t>JZB/ZA</t>
  </si>
  <si>
    <t>MISSING PAGES</t>
  </si>
  <si>
    <t xml:space="preserve">2014-122601 </t>
  </si>
  <si>
    <t>ELECTRONIC RECORD REQUEST PILOT PROJECT</t>
  </si>
  <si>
    <t>1CC 15-1-0432-03 VLC</t>
  </si>
  <si>
    <t>U APPEAL 17-4</t>
  </si>
  <si>
    <t>TOXINS RECORDS</t>
  </si>
  <si>
    <t>SUFFICIENCY OF SEARCH</t>
  </si>
  <si>
    <t xml:space="preserve">2016-080301 </t>
  </si>
  <si>
    <t>REDACTIONS ON POLICE RECORDS</t>
  </si>
  <si>
    <t>OFFICE OF LANGUAGE ACCESS HANDBOOK</t>
  </si>
  <si>
    <t>SL MATERIALS</t>
  </si>
  <si>
    <t xml:space="preserve">2016-080101 </t>
  </si>
  <si>
    <t>BODYCAM DISCLOSURE</t>
  </si>
  <si>
    <t>LEGISLATION, FUNDING</t>
  </si>
  <si>
    <t>KOKUA COUNCIL</t>
  </si>
  <si>
    <t>KOKUA COUNCIL INSPECTION REPORTS</t>
  </si>
  <si>
    <t>CIV. NO. 16-1-1421-07</t>
  </si>
  <si>
    <t>S APPEAL 17-1</t>
  </si>
  <si>
    <t>NCO-NB</t>
  </si>
  <si>
    <t>NOTICE REQUIREMENT VIOLATION</t>
  </si>
  <si>
    <t>KANEOHE NB #30</t>
  </si>
  <si>
    <t>U APPEAL 17-3</t>
  </si>
  <si>
    <t>PENSION INFO FOR RONALD IBARRA &amp; MELVIN FUJINO</t>
  </si>
  <si>
    <t>SHOPO - BODY CAMS</t>
  </si>
  <si>
    <t>CIV. NO. 16-1-1259-07</t>
  </si>
  <si>
    <t>U APPEAL 17-2</t>
  </si>
  <si>
    <t>EMAILS RE DOCARE BRANCH CHIEF HIRING</t>
  </si>
  <si>
    <t>DENIED - 92F-13(3) AND -14(4)</t>
  </si>
  <si>
    <t>(S.P. #14-1-0543)</t>
  </si>
  <si>
    <t>U RFA-P 17-26</t>
  </si>
  <si>
    <t>KAHEKILI TERRACE REPORTS, MANAGERS</t>
  </si>
  <si>
    <t xml:space="preserve">2015-030401 </t>
  </si>
  <si>
    <t>RECORD ON APPEAL</t>
  </si>
  <si>
    <t>U RFA-P 17-25</t>
  </si>
  <si>
    <t>PERSONAL RECORDS - CERIFICATE OF COMPLETION</t>
  </si>
  <si>
    <t>U RFA-P 17-13 - L. LARSON</t>
  </si>
  <si>
    <t>MISREPRESENT AGENCY RESPONSE</t>
  </si>
  <si>
    <t>U RFA-P 17-22</t>
  </si>
  <si>
    <t>DOCUMENTS STATING EMPLOYEE VIOLATION</t>
  </si>
  <si>
    <t xml:space="preserve">2002-052301 </t>
  </si>
  <si>
    <t>BODY CAM LEGISLATION</t>
  </si>
  <si>
    <t>INCORPORATE OIP LANGUAGE</t>
  </si>
  <si>
    <t>CIV. No. 13-1-0067-01 (JHC)</t>
  </si>
  <si>
    <t>CIV. No. 14-1-0094</t>
  </si>
  <si>
    <t>CIV. NO. 15-1-0097(1)</t>
  </si>
  <si>
    <t>U APPEAL 17-5</t>
  </si>
  <si>
    <t>SUMMIT WORK REPORTS FROM 1/1/15-8/12/16</t>
  </si>
  <si>
    <t>U RFA-P 17-3</t>
  </si>
  <si>
    <t>CONTAMINATION RECORDS, SMOKE DETECTORS</t>
  </si>
  <si>
    <t>U APPEAL 16-33</t>
  </si>
  <si>
    <t>VIDEO SURVEILLANCE REQUEST</t>
  </si>
  <si>
    <t>U RFA-P 16-41</t>
  </si>
  <si>
    <t>DOCS RELATED TO THE HON RAIL TRANSIT PROJECT</t>
  </si>
  <si>
    <t>U RFA-P 16-40</t>
  </si>
  <si>
    <t>U RFA-P 16-39</t>
  </si>
  <si>
    <t xml:space="preserve">2016-032203 </t>
  </si>
  <si>
    <t>MAILING LIST - NOTICE</t>
  </si>
  <si>
    <t>RULEMAKING PROCEEDINGS PART III</t>
  </si>
  <si>
    <t xml:space="preserve">2002-111401 </t>
  </si>
  <si>
    <t>REVISE CH. 2-71 HAR</t>
  </si>
  <si>
    <t>CLT/JZB/CKP</t>
  </si>
  <si>
    <t>U APPEAL 16-28</t>
  </si>
  <si>
    <t>DOCS REGARDING 1/30/16 PSYCHOLOGICAL INTERVIEW</t>
  </si>
  <si>
    <t>U APPEAL 16-35</t>
  </si>
  <si>
    <t>AUTOPSY REPORT</t>
  </si>
  <si>
    <t>ROBERT RYDER</t>
  </si>
  <si>
    <t xml:space="preserve">2015-012101 </t>
  </si>
  <si>
    <t>OIP RECORD RETENTION</t>
  </si>
  <si>
    <t>DRAFT POLICIES</t>
  </si>
  <si>
    <t>LRO/DHA</t>
  </si>
  <si>
    <t>U APPEAL 16-37</t>
  </si>
  <si>
    <t>AUDIT REGARDING HART</t>
  </si>
  <si>
    <t xml:space="preserve">2013-090501 </t>
  </si>
  <si>
    <t>QUICK TIP</t>
  </si>
  <si>
    <t>SUBPOENA V UIPA REQUEST</t>
  </si>
  <si>
    <t>CIV. No. 15-1-0213-02</t>
  </si>
  <si>
    <t>U APPEAL 16-43</t>
  </si>
  <si>
    <t>REVENUE ESTIMATES IN TESTIMONIES</t>
  </si>
  <si>
    <t>HB2744, HD1, SD1; SB2833, SD2, HD1</t>
  </si>
  <si>
    <t xml:space="preserve">2016-010702 </t>
  </si>
  <si>
    <t>MULTIPLE BOARD ROUNDTABLES</t>
  </si>
  <si>
    <t>TMT HEARINGS OFFICER</t>
  </si>
  <si>
    <t>CIV. NO. 16-1-0011-09</t>
  </si>
  <si>
    <t>S APPEAL 16-3</t>
  </si>
  <si>
    <t>MINORITY REPORT</t>
  </si>
  <si>
    <t>16-cv-0008 JMS-KSC</t>
  </si>
  <si>
    <t>PART III RULES</t>
  </si>
  <si>
    <t>RIGHT TO CORRECT</t>
  </si>
  <si>
    <t>U APPEAL 16-34</t>
  </si>
  <si>
    <t>U RFA-P 16-52</t>
  </si>
  <si>
    <t>ASSESSMENT ROLLS FOR PUBLIC IMPROVEMENTS</t>
  </si>
  <si>
    <t>1CC 15-1-000882-25 (KTN)</t>
  </si>
  <si>
    <t>ATTORNEY HANDBOOK</t>
  </si>
  <si>
    <t>U RFA-P 16-51</t>
  </si>
  <si>
    <t>NEEDS MORE CLARIFICATION</t>
  </si>
  <si>
    <t>U APPEAL 16-42</t>
  </si>
  <si>
    <t>COMPLAINT FILED AGAINST KEALOHA</t>
  </si>
  <si>
    <t xml:space="preserve">2014-081804 </t>
  </si>
  <si>
    <t>I.T.</t>
  </si>
  <si>
    <t>U APPEAL 16-41</t>
  </si>
  <si>
    <t>NAMES OF DEPUTY SHERIFFS</t>
  </si>
  <si>
    <t>U APPEAL 16-40</t>
  </si>
  <si>
    <t>"TIMELINE REPORT"</t>
  </si>
  <si>
    <t>U APPEAL 16-39</t>
  </si>
  <si>
    <t>HPHA BOARD SECRETARYS JORUNAL</t>
  </si>
  <si>
    <t>U APPEAL 16-38</t>
  </si>
  <si>
    <t>FINANCIAL RECORDS FOR YEARS 2009, 2010, 2011, 2012, 2013</t>
  </si>
  <si>
    <t>RECON-P 16-4</t>
  </si>
  <si>
    <t>ADMIN RULES DON’T EXIST</t>
  </si>
  <si>
    <t>U APPEAL 16-29 REOPEN</t>
  </si>
  <si>
    <t>DLNR INTERNAL GUIDELINE REVIEW/COMMENTS</t>
  </si>
  <si>
    <t>U RFA-P 17-46</t>
  </si>
  <si>
    <t>RECORDS RELATED TO LAND LEASE</t>
  </si>
  <si>
    <t>PART III CORRECTION</t>
  </si>
  <si>
    <t>U RFA-P 17-38</t>
  </si>
  <si>
    <t>DENIAL OF APPEAL DOCS</t>
  </si>
  <si>
    <t>CIVIL SERVICE CMSN PROCEDURES/RULES</t>
  </si>
  <si>
    <t>RECON-P 17-2</t>
  </si>
  <si>
    <t>FARRELL V HPD</t>
  </si>
  <si>
    <t>CIV. NO. 16-1-2255-12</t>
  </si>
  <si>
    <t>U APPEAL 17-26</t>
  </si>
  <si>
    <t>U APPEAL 17-28</t>
  </si>
  <si>
    <t>AUDIT FILES</t>
  </si>
  <si>
    <t>PARTIALLY DENIED</t>
  </si>
  <si>
    <t>CASES CLOSED SINCE 2/1/16</t>
  </si>
  <si>
    <t>U MEMO 17-1, U MEMO 17-2, S MEMO 17-2</t>
  </si>
  <si>
    <t>U APPEAL 17-29</t>
  </si>
  <si>
    <t>COMPLETE SMA PERMIT FILE</t>
  </si>
  <si>
    <t>S APPEAL 17-6</t>
  </si>
  <si>
    <t>MAUI COUNCIL VOTE</t>
  </si>
  <si>
    <t>REQUEST TO INSPECT FILES WITH OIP</t>
  </si>
  <si>
    <t>U APPEAL 17-22</t>
  </si>
  <si>
    <t>CNCL SVCS-M</t>
  </si>
  <si>
    <t>9/24 LEG ANALYST EXAM SCORE/RANK</t>
  </si>
  <si>
    <t>S APPEAL 17-4</t>
  </si>
  <si>
    <t>DOTAX-TRC</t>
  </si>
  <si>
    <t>EXEC SESSION VOTE</t>
  </si>
  <si>
    <t>U RFA-P 17-41</t>
  </si>
  <si>
    <t>RQST FOR TWO ONLINE COMPLAINTS</t>
  </si>
  <si>
    <t>U RFA-P 17-42</t>
  </si>
  <si>
    <t>HCDA 10/5/16</t>
  </si>
  <si>
    <t>S APPEAL 17-3</t>
  </si>
  <si>
    <t>MEETING NOTICE MAILED LATE</t>
  </si>
  <si>
    <t>HRS 92-7</t>
  </si>
  <si>
    <t>REQUEST TO INSPECT RECORDS DENIED</t>
  </si>
  <si>
    <t>U RFA-P 17-44</t>
  </si>
  <si>
    <t>WEBSITE ACCESS</t>
  </si>
  <si>
    <t>SETTLEMENT PLAN</t>
  </si>
  <si>
    <t>FRITZ V DOTAX</t>
  </si>
  <si>
    <t>CIV. NO. 16-1-2120-11</t>
  </si>
  <si>
    <t>U APPEAL 17-25</t>
  </si>
  <si>
    <t>RQST FOR 2013 TAX REFUND INVESTIGATION</t>
  </si>
  <si>
    <t>OMBUD DENIED</t>
  </si>
  <si>
    <t>U RFA-P 17-45</t>
  </si>
  <si>
    <t>HIILEI ALOHA, HOOKELE PONO, HIIPAKA</t>
  </si>
  <si>
    <t>INCOME/EXPENSE STATEMENTS</t>
  </si>
  <si>
    <t>U APPEAL 17-27</t>
  </si>
  <si>
    <t>ATTY OATHS OF OFFICE</t>
  </si>
  <si>
    <t>CERTIFIED COPIES</t>
  </si>
  <si>
    <t>S APPEAL 17-5</t>
  </si>
  <si>
    <t>OFFICER SELECTION</t>
  </si>
  <si>
    <t>U APPEAL 17-31</t>
  </si>
  <si>
    <t>RQST FOR BUDGET WORKSHEETS</t>
  </si>
  <si>
    <t>U APPEAL 17-14</t>
  </si>
  <si>
    <t>RECORDS RELATD TO M. BALBARINO</t>
  </si>
  <si>
    <t>DENIED DUE TO CONFIDENTIALITY</t>
  </si>
  <si>
    <t xml:space="preserve">2014-050201 </t>
  </si>
  <si>
    <t>SB2244 AGENDAS &amp; RULE MAKING</t>
  </si>
  <si>
    <t>REVISE TRAINING MATERIALS FOR SL GUIDANCE</t>
  </si>
  <si>
    <t>U APPEAL 17-12</t>
  </si>
  <si>
    <t>REPORT RELATED TO DISINTERRING REMAINS @ TMT</t>
  </si>
  <si>
    <t>HONOLULU COMMUNITY COLLEGE</t>
  </si>
  <si>
    <t>U APPEAL 17-15</t>
  </si>
  <si>
    <t>FINANCIAL DISCLOSURE FORMS FILED BY C. TOTTO</t>
  </si>
  <si>
    <t>U APPEAL 17-16</t>
  </si>
  <si>
    <t>ALL DOCS RE H. KIMURA &amp; R. NAKAMURA</t>
  </si>
  <si>
    <t>U APPEAL 17-10</t>
  </si>
  <si>
    <t>COPY OF 2012 POLICE REPORT</t>
  </si>
  <si>
    <t>DOCUMENT HEAVILY REDACTED</t>
  </si>
  <si>
    <t>U APPEAL 17-8</t>
  </si>
  <si>
    <t>LICENSE APPLICATIONS</t>
  </si>
  <si>
    <t>RQST GRANTED WITH REDACTIONS</t>
  </si>
  <si>
    <t>CIVIL BEAT, INC V AG</t>
  </si>
  <si>
    <t>CIV. NO. 16-1-1743-09</t>
  </si>
  <si>
    <t>U RFA-P 17-35</t>
  </si>
  <si>
    <t>TRANSCRIPT FROM CASE NO. BLNR-CC-16-002</t>
  </si>
  <si>
    <t>SECOND REQUEST TO CORRECT</t>
  </si>
  <si>
    <t>U APPEAL 17-30</t>
  </si>
  <si>
    <t>DOH-SHIP</t>
  </si>
  <si>
    <t>RESPONSIVE RECORDS DESTROYED</t>
  </si>
  <si>
    <t>AFTER REQUEST MADE</t>
  </si>
  <si>
    <t>RESPONSE TO PART III REQUEST</t>
  </si>
  <si>
    <t>U APPEAL 17-21</t>
  </si>
  <si>
    <t>S APPEAL 17-2</t>
  </si>
  <si>
    <t>HCDA 10/5/16 AGENDAS</t>
  </si>
  <si>
    <t>U RFA-P 17-40</t>
  </si>
  <si>
    <t>RQST FOR FINIDINGS, REPORTS</t>
  </si>
  <si>
    <t>U APPEAL 17-20</t>
  </si>
  <si>
    <t>ALL DOCS RELATED TO M. LEMMEN INCIDENT</t>
  </si>
  <si>
    <t>U RFA-P 17-34</t>
  </si>
  <si>
    <t>ALL DOCS RE CONCEALED FIREARM LAW</t>
  </si>
  <si>
    <t>U RFA-P 17-32</t>
  </si>
  <si>
    <t>DOCS FROM LANAKILA HOMES</t>
  </si>
  <si>
    <t>U APPEAL 17-19</t>
  </si>
  <si>
    <t>VEHICLE ACCIDENT REPORTS</t>
  </si>
  <si>
    <t>REDACTED ADDRESSES &amp; PH NUMBERS</t>
  </si>
  <si>
    <t>U APPEAL 17-17</t>
  </si>
  <si>
    <t>SUMMIT WORK REPORTS</t>
  </si>
  <si>
    <t>SUBARU TELESCOPE NOT SUBJECT TO UIPA</t>
  </si>
  <si>
    <t>U RFA-P 17-47</t>
  </si>
  <si>
    <t>LEG-SMO</t>
  </si>
  <si>
    <t>ALL RECORDS RELATED</t>
  </si>
  <si>
    <t>AHC</t>
  </si>
  <si>
    <t>CORRECTION REQUEST</t>
  </si>
  <si>
    <t>LIT 2017-0110-03</t>
  </si>
  <si>
    <t>OIP INTERVENE</t>
  </si>
  <si>
    <t>S APPEAL 17-7</t>
  </si>
  <si>
    <t>MAUI COUNCIL PRESS RELEASE</t>
  </si>
  <si>
    <t>RQST SATISFIED</t>
  </si>
  <si>
    <t>U RFA-P 17-49</t>
  </si>
  <si>
    <t>AUDIO BROADCAST MTGS</t>
  </si>
  <si>
    <t>STATS/EXPENDITURES</t>
  </si>
  <si>
    <t>U APPEAL 17-33</t>
  </si>
  <si>
    <t>ACCESS TO AG OPINION</t>
  </si>
  <si>
    <t>CLOSING LETTERS</t>
  </si>
  <si>
    <t>DAN PURCELL FILES</t>
  </si>
  <si>
    <t>PURPOSE OF PUBLIC INSPECTION</t>
  </si>
  <si>
    <t>STANDARD OF CONDUCT POLICY</t>
  </si>
  <si>
    <t>PART III REQUEST TO CORRECT</t>
  </si>
  <si>
    <t>REQUEST TO CORRECT PERSONAL RECORD</t>
  </si>
  <si>
    <t>MAYOR &amp; CORP COUNSEL</t>
  </si>
  <si>
    <t>U APPEAL 17-35</t>
  </si>
  <si>
    <t>INVOICE</t>
  </si>
  <si>
    <t>COMPLETED TEST FORMS</t>
  </si>
  <si>
    <t>U RFA-P 17-50</t>
  </si>
  <si>
    <t>ASSESSMENTS</t>
  </si>
  <si>
    <t>OIP OPINION</t>
  </si>
  <si>
    <t>OMBUD REDACTED COMPLAINT</t>
  </si>
  <si>
    <t>LIST OF PENDING FILES</t>
  </si>
  <si>
    <t>ADVICE TO COUNCILMEMBER</t>
  </si>
  <si>
    <t>CONFIRM IN WRITING</t>
  </si>
  <si>
    <t>RQST FOR POLICE REPORT</t>
  </si>
  <si>
    <t>U APPEAL 17-36</t>
  </si>
  <si>
    <t>LIST OF SPORTS EVENTS</t>
  </si>
  <si>
    <t>PRICE PAID BY HTA</t>
  </si>
  <si>
    <t>RQST FOR ALL DOCS</t>
  </si>
  <si>
    <t xml:space="preserve">2017-020201 </t>
  </si>
  <si>
    <t>CIVIL BEAT LAW CENTER</t>
  </si>
  <si>
    <t>OIP REPORT</t>
  </si>
  <si>
    <t>SL EXEMPTION</t>
  </si>
  <si>
    <t>PRIVACY LAWS IMPACT</t>
  </si>
  <si>
    <t>SL TRNG  7/5/17</t>
  </si>
  <si>
    <t>SL TRNG 5/3/17</t>
  </si>
  <si>
    <t>UH (MEDIATION GROUP)</t>
  </si>
  <si>
    <t>U RFA-P 17-51</t>
  </si>
  <si>
    <t>CEO CONTRACT &amp; MINUTES</t>
  </si>
  <si>
    <t>HHS MAUI</t>
  </si>
  <si>
    <t>MAUI HHS</t>
  </si>
  <si>
    <t>NOT A STATE AGENCY</t>
  </si>
  <si>
    <t>OIP OVERVIEW 2/16/17</t>
  </si>
  <si>
    <t>SL TRNG 3/14/17</t>
  </si>
  <si>
    <t>ROUNDTABLE/ INTERVIEW</t>
  </si>
  <si>
    <t>UIPA/SL TRNG 3/16/17</t>
  </si>
  <si>
    <t>U APPEAL 17-43</t>
  </si>
  <si>
    <t>RQST FOR CONSTRUCTION PLANS</t>
  </si>
  <si>
    <t>KAWAIHAE BOAT HARBOR</t>
  </si>
  <si>
    <t>HB1518</t>
  </si>
  <si>
    <t>RQST FOR RESTRICTIONS</t>
  </si>
  <si>
    <t>U RFA-P 17-52</t>
  </si>
  <si>
    <t>ADA REPORT</t>
  </si>
  <si>
    <t>KAHEKILI TERRACE</t>
  </si>
  <si>
    <t>U RFA-P 17-53</t>
  </si>
  <si>
    <t>PESTICIDE CONTAMINATION</t>
  </si>
  <si>
    <t>MARINE CORPS BASE</t>
  </si>
  <si>
    <t>ACTIVE CASE RECORD</t>
  </si>
  <si>
    <t>REQUEST FEE</t>
  </si>
  <si>
    <t>U RFA-P 17-54</t>
  </si>
  <si>
    <t>DESCRIPTION OF ALL HPHA EMPLOYEES</t>
  </si>
  <si>
    <t>U RFA-P 17-55</t>
  </si>
  <si>
    <t>COPY OF COMPLAINT FILED BY HDRC ED</t>
  </si>
  <si>
    <t>U RFA-P 17-56</t>
  </si>
  <si>
    <t>AHU STRUCTURE REMOVAL FILE</t>
  </si>
  <si>
    <t>MAUNA KEA</t>
  </si>
  <si>
    <t>CIV. NO. 97-0-001293</t>
  </si>
  <si>
    <t>ADMINISTRATIVE CONTROL</t>
  </si>
  <si>
    <t>UH BOR</t>
  </si>
  <si>
    <t>REQUEST FOR FULL BOARD ATTENDANCE</t>
  </si>
  <si>
    <t>RECORDS RELATED TO KIM PAYTON</t>
  </si>
  <si>
    <t>INSUFFICIENT RESPONSE</t>
  </si>
  <si>
    <t>SL TRNG 6/24/17</t>
  </si>
  <si>
    <t>MAUI LIQUOR CONTROL COMPLAINT</t>
  </si>
  <si>
    <t>U RFA-P 17-58</t>
  </si>
  <si>
    <t>FATHERS DEATH CERTIFICATE</t>
  </si>
  <si>
    <t>SAMPLE APPEAL</t>
  </si>
  <si>
    <t>OIP PUBLICATIONS</t>
  </si>
  <si>
    <t>U RFA-P 17-59</t>
  </si>
  <si>
    <t>HEALTH AND HUMAN SVCS CONTRACT</t>
  </si>
  <si>
    <t>U RFA-P 17-60</t>
  </si>
  <si>
    <t>NO RECORDS EXIST</t>
  </si>
  <si>
    <t>U RFA-P 17-63</t>
  </si>
  <si>
    <t>SOTP RECORDS</t>
  </si>
  <si>
    <t>INCOMPLETE REQUEST</t>
  </si>
  <si>
    <t>U RFA-P 17-61</t>
  </si>
  <si>
    <t>LOCATION OF CARDBOARD BOX FILES</t>
  </si>
  <si>
    <t>RQST TO REOPEN FILES</t>
  </si>
  <si>
    <t>OPINION REGARDING OMBUD</t>
  </si>
  <si>
    <t>U RFA-P 17-62</t>
  </si>
  <si>
    <t>DOT AIRPORTS/AMPCO AGREEMENT</t>
  </si>
  <si>
    <t>DOH-SHIP COMPLAINT</t>
  </si>
  <si>
    <t>RECORDS DESTROYED</t>
  </si>
  <si>
    <t>U RFA-P 17-65</t>
  </si>
  <si>
    <t>CIVIL SERVICE COMMISSION</t>
  </si>
  <si>
    <t>AGENDAS AND MINUTES</t>
  </si>
  <si>
    <t>U APPEAL 17-50</t>
  </si>
  <si>
    <t>UIPA/SL TRNG 5/17/17</t>
  </si>
  <si>
    <t>U RFA-P 17-64</t>
  </si>
  <si>
    <t>COMPLAINTS FILED AGAINST DANIELLE THOMPSON</t>
  </si>
  <si>
    <t>UNLAWFUL ENTRY</t>
  </si>
  <si>
    <t>DOA EMPLOYEE NAMES DENIED</t>
  </si>
  <si>
    <t>ANAERGIA COMMUNICATION WITH DOT</t>
  </si>
  <si>
    <t>ELECTRICITY PURCHASE</t>
  </si>
  <si>
    <t>U RFA-P 17-67</t>
  </si>
  <si>
    <t>UH CORRESPONDENCE</t>
  </si>
  <si>
    <t>SL TRNG 6/19/17</t>
  </si>
  <si>
    <t>RQST FOR CASE RECORDS</t>
  </si>
  <si>
    <t>U RFA-P 17-66</t>
  </si>
  <si>
    <t>COMMUNICATION RECORDS</t>
  </si>
  <si>
    <t>RQST FOR AGENCIES</t>
  </si>
  <si>
    <t>10 DAY NO RESPONSE FOR RECORDS</t>
  </si>
  <si>
    <t>ETS</t>
  </si>
  <si>
    <t>05/25/17 AGENDA</t>
  </si>
  <si>
    <t>INSUFFICIENT</t>
  </si>
  <si>
    <t>RQST FOR ALL COMMUNICATION B/W OIP &amp; HR-HON</t>
  </si>
  <si>
    <t>MAUNAKEA TMT</t>
  </si>
  <si>
    <t>CONTESTED CASE/TRANSCRIPTS</t>
  </si>
  <si>
    <t>OIP OPINIONS 95-11, 05-14</t>
  </si>
  <si>
    <t>ACCESS/CORRECTION OF PERSONAL RECORDS</t>
  </si>
  <si>
    <t>ALL RFAS TO OMBUDSMANS OFFICE</t>
  </si>
  <si>
    <t>VIOLATION OF 10 DAY RULE</t>
  </si>
  <si>
    <t>U RFA-P 17-68</t>
  </si>
  <si>
    <t>ENV-H</t>
  </si>
  <si>
    <t>RQST FOR TOW COMPANY CONTRACT</t>
  </si>
  <si>
    <t>ELECTRONIC TRANSCRIPTS</t>
  </si>
  <si>
    <t>TMT CONTESTED CASE</t>
  </si>
  <si>
    <t>FIREBOAT NEEDS ASSESSMENT</t>
  </si>
  <si>
    <t>RESPONSE TO NTR</t>
  </si>
  <si>
    <t>OMBUD INVESTIGATION</t>
  </si>
  <si>
    <t>ALL CORRESPONDENCE</t>
  </si>
  <si>
    <t>RECON FOR ELECTRONIC TRANSCRIPTS</t>
  </si>
  <si>
    <t>UIPA GUIDELINES</t>
  </si>
  <si>
    <t>CONSULT</t>
  </si>
  <si>
    <t>OIP'S RESPONSE</t>
  </si>
  <si>
    <t>U RFA-P 17-72</t>
  </si>
  <si>
    <t>OATHS OF OFFICE - REP SAIKI</t>
  </si>
  <si>
    <t>U RFA-P 17-73</t>
  </si>
  <si>
    <t>OATHS OF OFFICE - REP TODD</t>
  </si>
  <si>
    <t>U RFA-P 17-74</t>
  </si>
  <si>
    <t>OATHS OF OFFICE - REP NISHIMOTO</t>
  </si>
  <si>
    <t>U RFA-P 17-75</t>
  </si>
  <si>
    <t>OATHS OF OFFICE - REP SAN BUENAVENTURA</t>
  </si>
  <si>
    <t>U RFA-P 17-76</t>
  </si>
  <si>
    <t>OATHS OF OFFICE - SEN KEITH-AGARAN</t>
  </si>
  <si>
    <t>U RFA-P 17-77</t>
  </si>
  <si>
    <t>OATHS OF OFFICE - SEN KIDANI</t>
  </si>
  <si>
    <t>U RFA-P 17-78</t>
  </si>
  <si>
    <t>OATHS OF OFFICE - SEN KAHELE</t>
  </si>
  <si>
    <t>U RFA-P 17-79</t>
  </si>
  <si>
    <t>OATHS OF OFFICE - SEN KOUCHI</t>
  </si>
  <si>
    <t>U RFA-P 17-80</t>
  </si>
  <si>
    <t>OATHS OF OFFICE - SEN RHOADS</t>
  </si>
  <si>
    <t>GRANILLO APPEALS (14-22, 15-6, 15-7)</t>
  </si>
  <si>
    <t>INSEPECTION DENIAL</t>
  </si>
  <si>
    <t>NOVEMBER 2016</t>
  </si>
  <si>
    <t>FORMAL RECORD RQST</t>
  </si>
  <si>
    <t>RESPONSE TO KNOWLTON</t>
  </si>
  <si>
    <t>5/9/17 TAX AUCTION RESULTS</t>
  </si>
  <si>
    <t>FEES COMPLAINT</t>
  </si>
  <si>
    <t>NO RQST FOR RECORDS</t>
  </si>
  <si>
    <t>DCCA UIPA VIOLATION</t>
  </si>
  <si>
    <t>U APPEAL 17-54</t>
  </si>
  <si>
    <t>RQST FOR HPA FACT SHEET</t>
  </si>
  <si>
    <t>ALL COMMUNICATION REGARDING U MEMO 17-5</t>
  </si>
  <si>
    <t>NEW RQST FOR REDACTED RECORDS</t>
  </si>
  <si>
    <t>U MEMO 17-5</t>
  </si>
  <si>
    <t>11/1/99 RUSSI RQST</t>
  </si>
  <si>
    <t>OIPS RESPONSE</t>
  </si>
  <si>
    <t>NON EXISTANT RECORDS</t>
  </si>
  <si>
    <t>OIP ADVICE</t>
  </si>
  <si>
    <t>TAX RETURNS</t>
  </si>
  <si>
    <t>AOAO LIONA KONA</t>
  </si>
  <si>
    <t>CORR 2011-1012-01</t>
  </si>
  <si>
    <t>ORIGINAL RQST</t>
  </si>
  <si>
    <t>DOCS NOT RESPONSIVE</t>
  </si>
  <si>
    <t>9/1/17-5/31/18 PERMITS</t>
  </si>
  <si>
    <t>U RFA-P 18-1</t>
  </si>
  <si>
    <t>DISMISSAL LETTER</t>
  </si>
  <si>
    <t>RESPONSE TO FORMAL OPINION 17-04</t>
  </si>
  <si>
    <t>KONA AMBULATORY SURGERY CENTER</t>
  </si>
  <si>
    <t>BLOCKING EMAILS</t>
  </si>
  <si>
    <t>DCCA-HBDE</t>
  </si>
  <si>
    <t>7/17/17 BOARD OF DENTAL EXAMINERS BD MTG</t>
  </si>
  <si>
    <t>U RFA-P 18-2</t>
  </si>
  <si>
    <t>RQST FOR SUMMARY OF RECORDS</t>
  </si>
  <si>
    <t>ADMIN RULES INFORMATIONAL BRIEFING 9/6/17</t>
  </si>
  <si>
    <t>HON - C&amp;C</t>
  </si>
  <si>
    <t>ADMIN RULES INFORMATIONAL BRIEFING 9/8/17</t>
  </si>
  <si>
    <t>HI CNTY</t>
  </si>
  <si>
    <t>ADMIN RULES INFORMATIONAL BRIEFING 9/12/17</t>
  </si>
  <si>
    <t>KAUAI CNTY</t>
  </si>
  <si>
    <t>ADMIN RULES INFORMATIONAL BRIEFING 9/15/17</t>
  </si>
  <si>
    <t>MAUI CNTY</t>
  </si>
  <si>
    <t>INVES 00-0207-02</t>
  </si>
  <si>
    <t>OMBUD UIPA VIOLATION</t>
  </si>
  <si>
    <t>U RFA-P 18-5</t>
  </si>
  <si>
    <t>RQST FOR LAB RECORDS</t>
  </si>
  <si>
    <t>U RFA-P 18-6</t>
  </si>
  <si>
    <t>MEDICAL/LAB RECORDS</t>
  </si>
  <si>
    <t>COPY OF SENATOR GREEN'S 10 DAY VIOLATION</t>
  </si>
  <si>
    <t>U RFA-P 18-4</t>
  </si>
  <si>
    <t>PSD EMPLOYEE CONTRACTS</t>
  </si>
  <si>
    <t>7/26/17 HGIA MEETING</t>
  </si>
  <si>
    <t>SL</t>
  </si>
  <si>
    <t>REQUEST TO HPA</t>
  </si>
  <si>
    <t>MORE INFO NEEDED FROM REQUESTOR</t>
  </si>
  <si>
    <t>REQUEST UNCLEAR</t>
  </si>
  <si>
    <t>NO RESPONSE FROM UH</t>
  </si>
  <si>
    <t>LETTER TO EPISKOPOS JOE</t>
  </si>
  <si>
    <t>RQST TO PROS ATTY-H</t>
  </si>
  <si>
    <t>RQST MADE OVER 1 YEAR</t>
  </si>
  <si>
    <t>RQST TO FILE LAWSUIT</t>
  </si>
  <si>
    <t>U RFA-P 18-7</t>
  </si>
  <si>
    <t>LEGAL OPINIONS</t>
  </si>
  <si>
    <t>1959-2017</t>
  </si>
  <si>
    <t>U RFA-P 18-8</t>
  </si>
  <si>
    <t>LEGAL OPINIONS: TRIAL BY JURY</t>
  </si>
  <si>
    <t>COST AND FEES</t>
  </si>
  <si>
    <t>U APPEAL 18-2</t>
  </si>
  <si>
    <t>DOCS RELATED TO SOUTHWEST AIRLINES</t>
  </si>
  <si>
    <t>REVIEW OF DOCS</t>
  </si>
  <si>
    <t>SMAL PERMITS</t>
  </si>
  <si>
    <t>PSD COMPLAINT</t>
  </si>
  <si>
    <t>U APPEAL 17-40</t>
  </si>
  <si>
    <t>ALL DOCS RELATED</t>
  </si>
  <si>
    <t>U RFA-P 18-9</t>
  </si>
  <si>
    <t>KAWAIHAE S. SMALL BOAT HARBOR</t>
  </si>
  <si>
    <t>F17-04 (U APPEAL 15-160</t>
  </si>
  <si>
    <t>RQST FOR RECORDS</t>
  </si>
  <si>
    <t>SAGUARO CORRECTIONAL FACILITY</t>
  </si>
  <si>
    <t>U RFA-P 18-10</t>
  </si>
  <si>
    <t>BRYAN BLAIR</t>
  </si>
  <si>
    <t>ENTIRE HPA FILE</t>
  </si>
  <si>
    <t>OIP. OP. LTR. NO. 17-04</t>
  </si>
  <si>
    <t>CERTIFIED COPY</t>
  </si>
  <si>
    <t>AGENCY DENIAL OF RECORDS</t>
  </si>
  <si>
    <t>OIP ASSISTANCE</t>
  </si>
  <si>
    <t>ALL DOCS FROM CASE NO. C15036905</t>
  </si>
  <si>
    <t>DCLRTN OF MATSON KELLEY</t>
  </si>
  <si>
    <t>PREMATURE RQST FOR ASSISTANCE</t>
  </si>
  <si>
    <t>SUNSHINE LAW TRNG</t>
  </si>
  <si>
    <t>9/19/17</t>
  </si>
  <si>
    <t>CAMPAIGN SPENDING CMSN</t>
  </si>
  <si>
    <t>U RFA-P 18-11</t>
  </si>
  <si>
    <t>SURVEILLANCE VIDEO: ISAAC KAMALII</t>
  </si>
  <si>
    <t>RECON-P 18-1</t>
  </si>
  <si>
    <t>U MEMO 17-7</t>
  </si>
  <si>
    <t>REQUEST UNTIMELY</t>
  </si>
  <si>
    <t>RECEIVED NO RESPONSE FROM DAGS</t>
  </si>
  <si>
    <t>RECORDS DO NOT EXIST</t>
  </si>
  <si>
    <t>SMA PERMIT</t>
  </si>
  <si>
    <t>RQST FOR COPY OF RECON RQST</t>
  </si>
  <si>
    <t>RECON-G 18-1</t>
  </si>
  <si>
    <t>LOC</t>
  </si>
  <si>
    <t>7/1/16-6/30/17 UIPA LOG</t>
  </si>
  <si>
    <t>2013 - CURRENT PURCHASING RECORDS</t>
  </si>
  <si>
    <t>SMARTPROCURE</t>
  </si>
  <si>
    <t>RQST FOR MINIMUM DECISION RCRDS</t>
  </si>
  <si>
    <t>ROBERT'S RULES</t>
  </si>
  <si>
    <t>SUNSHINE LAW BOARD</t>
  </si>
  <si>
    <t>U APPEAL 18-10</t>
  </si>
  <si>
    <t>NOTICE OF VIOLATION</t>
  </si>
  <si>
    <t>VACATION RENTALS</t>
  </si>
  <si>
    <t>IN CAMERA DOCS</t>
  </si>
  <si>
    <t>U APPEAL 18-6</t>
  </si>
  <si>
    <t>CIV. NO. 17-1-0208(1)</t>
  </si>
  <si>
    <t>WITNESS INFO</t>
  </si>
  <si>
    <t>S MEMO 17-03</t>
  </si>
  <si>
    <t>DICTA</t>
  </si>
  <si>
    <t>U RFA-P 18-17</t>
  </si>
  <si>
    <t>KAMUELA UNDERGROUND TANKS</t>
  </si>
  <si>
    <t>U RFA-P 18-16</t>
  </si>
  <si>
    <t>DATES OF EMPLOYMENT</t>
  </si>
  <si>
    <t>U RFA-P 18-18</t>
  </si>
  <si>
    <t>KAEMHAMEHA BARRIER PROJECT</t>
  </si>
  <si>
    <t>COMMUNICATION RE: AMENDING AGENDA</t>
  </si>
  <si>
    <t>CITY COUNCIL</t>
  </si>
  <si>
    <t>MEDICAL EXAMINER UIPA TRNG</t>
  </si>
  <si>
    <t>12/12/17</t>
  </si>
  <si>
    <t>LOC/CKP</t>
  </si>
  <si>
    <t>DAGS RESPONSE</t>
  </si>
  <si>
    <t>OIP STATE CONTACT LIST</t>
  </si>
  <si>
    <t>UIPA RQSTS</t>
  </si>
  <si>
    <t>U APPEAL 17-32</t>
  </si>
  <si>
    <t>STATE NURSING HOME INSPECTIONS</t>
  </si>
  <si>
    <t>CIV. NO. 15-1-1538-08</t>
  </si>
  <si>
    <t>SL ADJUDICATORY FUNCTION</t>
  </si>
  <si>
    <t>U RFA-P 17-48</t>
  </si>
  <si>
    <t>ACT 213</t>
  </si>
  <si>
    <t>ALL COMMUNICATION</t>
  </si>
  <si>
    <t>CIV. NO. 16-1-0001-42</t>
  </si>
  <si>
    <t>KAUAI FERALS V KAUAI CNTY CNCL</t>
  </si>
  <si>
    <t>HTA EXECUTIVE SESSION</t>
  </si>
  <si>
    <t xml:space="preserve">2017-011902 </t>
  </si>
  <si>
    <t>REVISE CH. 2-73, HAR</t>
  </si>
  <si>
    <t>U APPEAL 17-34</t>
  </si>
  <si>
    <t>NAMES OF PAID INFORMANTS</t>
  </si>
  <si>
    <t>1/1/94-1/1/99</t>
  </si>
  <si>
    <t>BLACK V POLICEC-HON</t>
  </si>
  <si>
    <t>CIV. NO. 17-1-0142-01</t>
  </si>
  <si>
    <t>U APPEAL 17-37</t>
  </si>
  <si>
    <t>COPY OF SEARCH WARRANT</t>
  </si>
  <si>
    <t>DELIVERED TO PROS ATTY</t>
  </si>
  <si>
    <t>U APPEAL 17-38</t>
  </si>
  <si>
    <t>SOLID WASTE RECORDS</t>
  </si>
  <si>
    <t>U APPEAL 17-39</t>
  </si>
  <si>
    <t>1/2/17 MEETING</t>
  </si>
  <si>
    <t>ALL RECORDS FROM 1/1/15-PRESENT</t>
  </si>
  <si>
    <t>U APPEAL 17-41</t>
  </si>
  <si>
    <t>COPIES OF INTERNAL AFFAIRS CASE</t>
  </si>
  <si>
    <t>U APPEAL 17-42</t>
  </si>
  <si>
    <t>COPY OF COMPLAINT FILED BY HDRDC EXECUTIVE DIRECTOR</t>
  </si>
  <si>
    <t>U APPEAL 17-44</t>
  </si>
  <si>
    <t>U APPEAL 17-45</t>
  </si>
  <si>
    <t>LEGAL PROCEEDINGS</t>
  </si>
  <si>
    <t>SALEM V ARAKAWA</t>
  </si>
  <si>
    <t>U APPEAL 17-46</t>
  </si>
  <si>
    <t>REPORT OF QUALITY OF TOP SOIL</t>
  </si>
  <si>
    <t>U RFA-P 17-57</t>
  </si>
  <si>
    <t>REQUEST TO CHIEF OF SECURITY (HCF)</t>
  </si>
  <si>
    <t>U APPEAL 17-47</t>
  </si>
  <si>
    <t>HUD REAC INSPECTIONS</t>
  </si>
  <si>
    <t>HPHA EMPLOYEE CONTACT INFO</t>
  </si>
  <si>
    <t>S APPEAL 17-8</t>
  </si>
  <si>
    <t>VARIOUS SL VIOLATIONS</t>
  </si>
  <si>
    <t>HAWAII BOARD OF DENTAL EXAMINERS</t>
  </si>
  <si>
    <t>S APPEAL 17-9</t>
  </si>
  <si>
    <t>LIQC-M 2/8/17 AGENDA</t>
  </si>
  <si>
    <t>S APPEAL 17-10</t>
  </si>
  <si>
    <t>U APPEAL 17-48</t>
  </si>
  <si>
    <t>U APPEAL 17-49</t>
  </si>
  <si>
    <t>11/10/16 911 RECORDING</t>
  </si>
  <si>
    <t>U APPEAL 17-51</t>
  </si>
  <si>
    <t>ARCHAEOLOGICAL INVENTORY REPORTS</t>
  </si>
  <si>
    <t>MADGE SCHAEFER V. LIQC-M</t>
  </si>
  <si>
    <t>CIV. NO. 17-1-000185</t>
  </si>
  <si>
    <t>U APPEAL 17-52</t>
  </si>
  <si>
    <t>CONTACT INFO OF 3 UNKNOWN INDIVIDUALS</t>
  </si>
  <si>
    <t>U APPEAL 17-53</t>
  </si>
  <si>
    <t>OATHS OF OFFICE</t>
  </si>
  <si>
    <t>S APPEAL 17-11</t>
  </si>
  <si>
    <t>SALARY COMMISSION SL VIOLATION</t>
  </si>
  <si>
    <t>2/22/17 MEETING</t>
  </si>
  <si>
    <t>CIV. NO 17-1-0834-05 DEO</t>
  </si>
  <si>
    <t>U RFA-P 17-69</t>
  </si>
  <si>
    <t>PERSONAL RECORDS RQST</t>
  </si>
  <si>
    <t>U RFA-P 17-70</t>
  </si>
  <si>
    <t>RADIO TOWER RELOCATION</t>
  </si>
  <si>
    <t>CORRESPONDENCE B/W DOT &amp; FAA</t>
  </si>
  <si>
    <t>U RFA-P 17-71</t>
  </si>
  <si>
    <t>KAMEHAMEHA HWY BARRIER PROJECT</t>
  </si>
  <si>
    <t>SL TRNG</t>
  </si>
  <si>
    <t>U RFA-P 17-82</t>
  </si>
  <si>
    <t>OHA CONCERT VENUE</t>
  </si>
  <si>
    <t>COMPLAINTS/NOISE VIOLATIONS</t>
  </si>
  <si>
    <t>MINIMUM DECISION RECORDS</t>
  </si>
  <si>
    <t>U APPEAL 18-1</t>
  </si>
  <si>
    <t>RQST FOR PERSONAL RECORDS</t>
  </si>
  <si>
    <t>MERIT APPEALS BOARD</t>
  </si>
  <si>
    <t>U RFA-P 18-3</t>
  </si>
  <si>
    <t>RQST FOR PERSONAL PAYROLL RCRDS</t>
  </si>
  <si>
    <t>RQST TO REOPEN FILE</t>
  </si>
  <si>
    <t>U APPEAL 18-3</t>
  </si>
  <si>
    <t>COMPLAINT AGAINST MICAHEL GOULD</t>
  </si>
  <si>
    <t>MINIMUM DECISION RCRDS</t>
  </si>
  <si>
    <t>RECON: DISCLOSURE OF RCRDS</t>
  </si>
  <si>
    <t>U APPEAL 18-5</t>
  </si>
  <si>
    <t>ETHICS-COMM</t>
  </si>
  <si>
    <t>COPY OF INVESTIGATION (COMPL-17-00195)</t>
  </si>
  <si>
    <t>SHOPO V C&amp;C-HON</t>
  </si>
  <si>
    <t>CIV. NO. 17-1-1433-09</t>
  </si>
  <si>
    <t>U APPEAL 18-4</t>
  </si>
  <si>
    <t>MINIMUM DECISION RECORD</t>
  </si>
  <si>
    <t>DE LA GARZA; WORKING PAPER</t>
  </si>
  <si>
    <t>CIP PROJECT INFO</t>
  </si>
  <si>
    <t>RQST FOR COUNCIL TO MAKE RCRD RQST</t>
  </si>
  <si>
    <t xml:space="preserve">2017-092101 </t>
  </si>
  <si>
    <t>CH. 3-200 HAR</t>
  </si>
  <si>
    <t>NOTICE OF HEARING</t>
  </si>
  <si>
    <t>U RFO-G 18-1</t>
  </si>
  <si>
    <t>PROPERTY APPRAISALS</t>
  </si>
  <si>
    <t>CONDEMNATION</t>
  </si>
  <si>
    <t>LIST OF DAILY DUTIES</t>
  </si>
  <si>
    <t>DENIED DUE TO PRIVACY</t>
  </si>
  <si>
    <t>U APPEAL 18-7</t>
  </si>
  <si>
    <t>U APPEAL 18-8</t>
  </si>
  <si>
    <t>SETTLEMENT DATABASE</t>
  </si>
  <si>
    <t>U RFA-P 18-14</t>
  </si>
  <si>
    <t>BECHLER CONTRACT</t>
  </si>
  <si>
    <t>AG OPINIONS FROM 1959-PRESENT</t>
  </si>
  <si>
    <t>U RFA-P 18-12</t>
  </si>
  <si>
    <t>ASUS, LRI INTERVIEW FORMS</t>
  </si>
  <si>
    <t>NAMES OF CASE MGRS</t>
  </si>
  <si>
    <t>U RFA-P 18-13</t>
  </si>
  <si>
    <t>PROCUREMENT OF SPECIAL COUNSEL</t>
  </si>
  <si>
    <t>MIKE WHITE</t>
  </si>
  <si>
    <t xml:space="preserve">2017-101201 </t>
  </si>
  <si>
    <t>UPDATE OIP FORMS</t>
  </si>
  <si>
    <t>NEW RULES &amp; ACT 64</t>
  </si>
  <si>
    <t>U APPEAL 18-11</t>
  </si>
  <si>
    <t>WRITTEN TRANSCRIPT</t>
  </si>
  <si>
    <t>5/12/17 HEARING</t>
  </si>
  <si>
    <t>U RFA-P 18-15</t>
  </si>
  <si>
    <t>INCREASE OVER TIME</t>
  </si>
  <si>
    <t>U APPEAL 18-12</t>
  </si>
  <si>
    <t>REPORTS DENIED</t>
  </si>
  <si>
    <t>MARCO POLO FIRE</t>
  </si>
  <si>
    <t>MOPED REGISTRATION</t>
  </si>
  <si>
    <t>S.P. NO. 17-1-00-338</t>
  </si>
  <si>
    <t>CONCEALMENT OF RECORDS</t>
  </si>
  <si>
    <t xml:space="preserve">2017-110101 </t>
  </si>
  <si>
    <t>UPDATE TRAINING MATERIALS</t>
  </si>
  <si>
    <t>NEW ADMIN RULES</t>
  </si>
  <si>
    <t>HI CNTY MERIT APPEALS BRD</t>
  </si>
  <si>
    <t>SUBPOENA U APPEAL 18-6</t>
  </si>
  <si>
    <t>U RFA-P 18-19</t>
  </si>
  <si>
    <t>9/28/16 SITE VISIT</t>
  </si>
  <si>
    <t>ZUCKERBERG PROPERTY</t>
  </si>
  <si>
    <t>RQST TO INSPECT RECORDS</t>
  </si>
  <si>
    <t>S APPEAL 18-1</t>
  </si>
  <si>
    <t>11/1/17 COUNCIL-HON MTG</t>
  </si>
  <si>
    <t xml:space="preserve">2017-110703 </t>
  </si>
  <si>
    <t>RULES HEARING</t>
  </si>
  <si>
    <t>HEARING SCRIPT</t>
  </si>
  <si>
    <t>S APPEAL 18-2</t>
  </si>
  <si>
    <t>11/1/17 &amp; 11/15/17 COUNCIL-HON MTG</t>
  </si>
  <si>
    <t>REQUESTING SUMMARIES</t>
  </si>
  <si>
    <t>S APPEAL 18-3</t>
  </si>
  <si>
    <t>12/8/17 BLNR MEETING</t>
  </si>
  <si>
    <t xml:space="preserve">2017-121901 </t>
  </si>
  <si>
    <t>PERSONAL SSN USED AS TAX ID # FOR BUSINESS PURPOSES</t>
  </si>
  <si>
    <t>U RFA-P 18-20</t>
  </si>
  <si>
    <t>SMA PERMITS SINCE 1/1/2000</t>
  </si>
  <si>
    <t>U APPEAL 18-13</t>
  </si>
  <si>
    <t>HR-H</t>
  </si>
  <si>
    <t>HI CNTY EMPLOYEES</t>
  </si>
  <si>
    <t>NAMES AND JOB TITLES</t>
  </si>
  <si>
    <t>RQST FOR SUBSTANCE/EDUCUATION CLASSES</t>
  </si>
  <si>
    <t>U APPEAL 18-14</t>
  </si>
  <si>
    <t>SOH V MARK SIMONDS</t>
  </si>
  <si>
    <t>ALL COMMUNICATIONS RELATED</t>
  </si>
  <si>
    <t>U APPEAL 18-15</t>
  </si>
  <si>
    <t>12/8/17 BLNR EXECUTIVE MINUTES</t>
  </si>
  <si>
    <t>U RFA-P 18-21</t>
  </si>
  <si>
    <t>PLAN-HON</t>
  </si>
  <si>
    <t>EMPLOYMENT MISCONDUCT RECORDS</t>
  </si>
  <si>
    <t>KEN SCHMIDT</t>
  </si>
  <si>
    <t>U APPEAL 18-16</t>
  </si>
  <si>
    <t>SCHNITZER V DOH</t>
  </si>
  <si>
    <t>ALL PENDING OR CLOSED CASE FILES SINCE 1/1/17</t>
  </si>
  <si>
    <t>S APPEAL 15-16</t>
  </si>
  <si>
    <t>Request Granted/ Denied in Part</t>
  </si>
  <si>
    <t xml:space="preserve"> Actual  Review/  Segregation Hours</t>
  </si>
  <si>
    <t xml:space="preserve">$30 Fee Waiver </t>
  </si>
  <si>
    <t xml:space="preserve">$60 Public Interest Fee Waiver </t>
  </si>
  <si>
    <t>NET Copy/DeliveryCosts CHARGEABLE to Requester</t>
  </si>
  <si>
    <t>ACTUAL PAYMENTS by Requesters         $ .01-4.99</t>
  </si>
  <si>
    <t xml:space="preserve">  ACTUAL PAYMENTS by Requesters         $5-49.99</t>
  </si>
  <si>
    <t>ACTUAL PAYMENTS by Requesters         $50-99.99</t>
  </si>
  <si>
    <t>ACTUAL PAYMENTS by Requesters         $100-499.99</t>
  </si>
  <si>
    <t>ACTUAL PAYMENTS by Requesters         $500-999.99</t>
  </si>
  <si>
    <t>ACTUAL PAYMENTS by Requesters         $1000 - 9999.99</t>
  </si>
  <si>
    <t>ACTUAL PAYMENTS by Requesters         $10,000+</t>
  </si>
  <si>
    <t>Routine Requests</t>
  </si>
  <si>
    <t>CC HONOLULU/ BUDGET AND FISCAL SERVICES/ ACCOUNTS PAYABLE</t>
  </si>
  <si>
    <t>CC HONOLULU/ BUDGET AND FISCAL SERVICES/ INTERNAL CONTROL DIV</t>
  </si>
  <si>
    <t>CC HONOLULU/ BUDGET AND FISCAL SERVICES/ TREASURY DIV</t>
  </si>
  <si>
    <t>CC HONOLULU/ HONOLULU AUTHORITY FOR RAPID TRANSPORTATION</t>
  </si>
  <si>
    <t>CC HONOLULU/ HONOLULU BOARD OF WATER SUPPLY</t>
  </si>
  <si>
    <t>CC HONOLULU/ HONOLULU POLICE COMMISSION</t>
  </si>
  <si>
    <t>CC HONOLULU/ HUMAN RESOURCES</t>
  </si>
  <si>
    <t>CC_HONOLULU_MANAGING_DIRECTOR</t>
  </si>
  <si>
    <t>CC HONOLULU/ TRANSPORTATION SERVICES/ TRAFFIC ENGINEERING</t>
  </si>
  <si>
    <t>CC HONOLULU/ TRANSPORTATION SERVICES/ TRANSPORTATION PLANNING</t>
  </si>
  <si>
    <t>KAUAI_COUNTY_EMERGENCY_MANAGEMENT</t>
  </si>
  <si>
    <t>KAUAI COUNTY/ EMERGENCY MANAGEMENT</t>
  </si>
  <si>
    <t>KAUAI COUNTY/ FIRE DEPARTMENT</t>
  </si>
  <si>
    <t>KAUAI_COUNTY_HUMAN_RESOURCES</t>
  </si>
  <si>
    <t>KAUAI COUNTY/ HUMAN RESOURCES</t>
  </si>
  <si>
    <t>KAUAI COUNTY/ PUBLIC WORKS/ BUILDING DIV</t>
  </si>
  <si>
    <t>KAUAI COUNTY/ PUBLIC WORKS/ SOLID WASTE DIV</t>
  </si>
  <si>
    <t>KAUAI_COUNTY_WATER</t>
  </si>
  <si>
    <t>KAUAI COUNTY/ WATER</t>
  </si>
  <si>
    <t>MAUI_COUNTY_AUDITOR</t>
  </si>
  <si>
    <t>MAUI COUNTY/ COUNTY AUDITOR</t>
  </si>
  <si>
    <t>SOH/ ACCOUNTING &amp; GENERAL SERVICES/ ARCHIVES DIVISION/ ARCH-0</t>
  </si>
  <si>
    <t>SOH/ ACCOUNTING &amp; GENERAL SERVICES/ CENTRAL SERVICES BR/ HAW-2</t>
  </si>
  <si>
    <t>SOH/ ACCOUNTING &amp; GENERAL SERVICES/ CENTRAL SERVICES BR/ MAUI-2</t>
  </si>
  <si>
    <t>SOH/ ACCOUNTING &amp; GENERAL SERVICES/ LAND SURVEY DIVISION/ LSD</t>
  </si>
  <si>
    <t>SOH/ ACCOUNTING &amp; GENERAL SERVICES/ OFFICE OF ENTERPRISE TECHNOLOGY SERVICES/ ETS</t>
  </si>
  <si>
    <t>SOH/ ACCOUNTING &amp; GENERAL SERVICES/ OFFICE OF INFORMATION PRACTICES</t>
  </si>
  <si>
    <t>SOH/ ACCOUNTING &amp; GENERAL SERVICES/ OFFICE OF THE COMPTROLLER/ COMP</t>
  </si>
  <si>
    <t>SOH/ ACCOUNTING &amp; GENERAL SERVICES/ STADIUM AUTHORITY/ STAD-0</t>
  </si>
  <si>
    <t>SOH/ AGRICULTURE/ ANIMAL QUARANTINE SEC/ AQS/INSPEC</t>
  </si>
  <si>
    <t>SOH/ AGRICULTURE/ AQUACULTURE DEVELOPMENT PROGRAM/ ADP</t>
  </si>
  <si>
    <t>SOH/ ATTORNEY GENERAL/ CHILD SUPPORT ENFORCEMENT AGENCY/ CSEA</t>
  </si>
  <si>
    <t>SOH/ BUDGET &amp; FINANCE/ FEDERAL AWARDS MANAGEMENT</t>
  </si>
  <si>
    <t>SOH/ BUDGET &amp; FINANCE/ OFFICE OF THE DIRECTOR</t>
  </si>
  <si>
    <t>SOH/ BUDGET &amp; FINANCE/ OFFICE OF THE PUBLIC DEFENDER</t>
  </si>
  <si>
    <t>SOH/ BUSINESS, ECON DEV, &amp; TOURISM/ HAWAII TOURISM AUTHORITY</t>
  </si>
  <si>
    <t>SOH/ COMMERCE &amp; CONSUMER AFFAIRS/ ADMINISTRATION/ DCCA-INS-ADM</t>
  </si>
  <si>
    <t>SOH/ COMMERCE &amp; CONSUMER AFFAIRS/ ADMINISTRATION/ DCCA-PVL-ADM</t>
  </si>
  <si>
    <t>SOH/ COMMERCE &amp; CONSUMER AFFAIRS/ INFORMATION SYSTEMS/COMM OFFICE/ DCCA-ISC</t>
  </si>
  <si>
    <t>SOH/ DEFENSE/ STATE CIVIL DEFENSE DIVISION/ HICD</t>
  </si>
  <si>
    <t>SOH/ EDUCATION/ Connections Public Charter School</t>
  </si>
  <si>
    <t>SOH/ EDUCATION/ Halau Ku Mana Public Charter School</t>
  </si>
  <si>
    <t>SOH/ EDUCATION/ KA'U LEARNING ACADEMY</t>
  </si>
  <si>
    <t>SOH/ EDUCATION/ KAOHAO SCHOOL</t>
  </si>
  <si>
    <t>SOH/ EDUCATION/ KE KULA ‘O SAMUEL M. KAMAKAU, LPCS</t>
  </si>
  <si>
    <t>SOH/ EDUCATION/ KUA O KA LĀ NEW CENTURY PUBLIC CHARTER SCHOOL</t>
  </si>
  <si>
    <t>SOH/ EDUCATION/ KUALAPUA SCHOOL: A PUBLIC CONVERSION CHARTER</t>
  </si>
  <si>
    <t>SOH/ EDUCATION/ NA WAI OLA (WATERS OF LIFE) PUBLIC CHARTER SCHOOL</t>
  </si>
  <si>
    <t>SOH/ GOVERNORS OFFICE/ EXECUTIVE CHAMBERS</t>
  </si>
  <si>
    <t>SOH/ HAWAIIAN HOME LANDS/ SOH/ HAWAIIAN HOME LANDS/ HHL</t>
  </si>
  <si>
    <t>SOH_HAWAII_HEALTH_SYSTEMS_CORPORATION_HHSC</t>
  </si>
  <si>
    <t>SOH/ HAWAII HEALTH SYSTEMS CORPORATION/ HHSC</t>
  </si>
  <si>
    <t>SOH/ HEALTH/ BHA/ CHILD &amp; ADOLESCENT MENTAL HLTH DIV (CAMHD)</t>
  </si>
  <si>
    <t>SOH/ HEALTH/ BHA/ DEVELOPMENTAL DISABILITIES DIV (DDD)</t>
  </si>
  <si>
    <t>SOH/ HEALTH/ EHA/ EHSD/ VECTOR CONTROL BR</t>
  </si>
  <si>
    <t>SOH/ HUMAN SERVICES/ SOH/ HUMAN SERVICES/ DHS</t>
  </si>
  <si>
    <t>SOH/ JUDICIARY/ ADMINISTRATIVE SERVICES DIV/ 1JC-ASD</t>
  </si>
  <si>
    <t>SOH/ JUDICIARY/ FINANCIAL SERVICES DIV</t>
  </si>
  <si>
    <t>SOH/ JUDICIARY/ OFC OF THE CHIEF COURT ADMINISTRATR/ 2JC-OCCA</t>
  </si>
  <si>
    <t>SOH/ JUDICIARY/ OFC OF THE CHIEF COURT ADMINISTRATR/ 3JC-OCCA</t>
  </si>
  <si>
    <t>SOH/ JUDICIARY/ PUBLIC AFFAIRS</t>
  </si>
  <si>
    <t>SOH/ LABOR &amp; INDUSTRIAL RELATIONS/ DISABILITY COMP DIV/ KAUAI/ DLIR-DCD</t>
  </si>
  <si>
    <t>SOH/ LABOR &amp; INDUSTRIAL RELATIONS/ EDP SYSTEMS STAFF/ DLIR-SO</t>
  </si>
  <si>
    <t>SOH/ LABOR &amp; INDUSTRIAL RELATIONS/ SOH/ LABOR &amp; INDUSTRIAL RELATIONS/ DLIR</t>
  </si>
  <si>
    <t>SOH/ LABOR &amp; INDUSTRIAL RELATIONS/ UNEMPLOYMENT INSURANCE</t>
  </si>
  <si>
    <t>SOH/ LABOR &amp; INDUSTRIAL RELATIONS/ WEST HAWAII STAFF/ DLIR-W HI DO</t>
  </si>
  <si>
    <t>SOH/ LABOR &amp; INDUSTRIAL RELATIONS/ WORKFORCE SYS OVERSIGHT &amp; EVAL/ DLIR-WDC</t>
  </si>
  <si>
    <t>SOH/ LAND &amp; NATURAL RESOURCES/ INFORMATION TECHNOLOGY</t>
  </si>
  <si>
    <t>SOH/ LAND &amp; NATURAL RESOURCES/ OFFICE OF CONSERVATION &amp; COASTAL LANDS</t>
  </si>
  <si>
    <t>SOH/ LT GOVERNORS OFFICE/ SOH/ LT GOVERNORS OFFICE/ OLG</t>
  </si>
  <si>
    <t>SOH/ TRANSPORTATION/ HIGHWAYS DIVISON/ HWY</t>
  </si>
  <si>
    <t>Change in Denial Percentage from Prior Year</t>
  </si>
  <si>
    <t>Change in Avg Days to Complete UIPA Req from Prior Year</t>
  </si>
  <si>
    <t>Change in Avg Days to Complete UIPA Req from PrIor Year</t>
  </si>
  <si>
    <t>Total UIPA Req in FY17</t>
  </si>
  <si>
    <t>UIPA Req with No Disclosure FY17</t>
  </si>
  <si>
    <t>FY17 Denial Percentage</t>
  </si>
  <si>
    <t>Avg Days for Dep't to Complete UIPA Req in FY17</t>
  </si>
  <si>
    <t>Longest Time (Days) for Dep't to Complete Req FY17</t>
  </si>
  <si>
    <t>New OIP Matters FY17 re UIPA</t>
  </si>
  <si>
    <t>New OIP Matters as % of Requests for FY17+FY16</t>
  </si>
  <si>
    <t>SOH/ ACCOUNTING &amp; GENERAL SERVICES/ UNIFORM ACC &amp; REP BR/ ACCT-1 / Accounting Division</t>
  </si>
  <si>
    <t>SOH/ EDUCATION/ SOH/ EDUCATION/ DOE / Supt</t>
  </si>
  <si>
    <t>2014-102003</t>
  </si>
  <si>
    <t>2017-010901</t>
  </si>
  <si>
    <t>2013-082601</t>
  </si>
  <si>
    <t>2013-110802</t>
  </si>
  <si>
    <t>2013-121601</t>
  </si>
  <si>
    <t>2014-050206</t>
  </si>
  <si>
    <t>2014-050207</t>
  </si>
  <si>
    <t>2014-070101</t>
  </si>
  <si>
    <t>2014-071501</t>
  </si>
  <si>
    <t>2014-071702</t>
  </si>
  <si>
    <t>2014-072501</t>
  </si>
  <si>
    <t>2014-081809</t>
  </si>
  <si>
    <t>2014-081902</t>
  </si>
  <si>
    <t>2014-081903</t>
  </si>
  <si>
    <t>2014-091701</t>
  </si>
  <si>
    <t>2014-100202</t>
  </si>
  <si>
    <t>2014-102302</t>
  </si>
  <si>
    <t>2014-102901</t>
  </si>
  <si>
    <t>2014-112101</t>
  </si>
  <si>
    <t>2014-112403</t>
  </si>
  <si>
    <t>2014-112601</t>
  </si>
  <si>
    <t>2014-120903</t>
  </si>
  <si>
    <t>2014-121001</t>
  </si>
  <si>
    <t>2014-121201</t>
  </si>
  <si>
    <t>2015-010901</t>
  </si>
  <si>
    <t>2015-021003</t>
  </si>
  <si>
    <t>2015-021703</t>
  </si>
  <si>
    <t>2015-022504</t>
  </si>
  <si>
    <t>2015-030402</t>
  </si>
  <si>
    <t>2015-041601</t>
  </si>
  <si>
    <t>2015-050801</t>
  </si>
  <si>
    <t>2015-051201</t>
  </si>
  <si>
    <t>2015-051501</t>
  </si>
  <si>
    <t>2015-051802</t>
  </si>
  <si>
    <t>2015-052101</t>
  </si>
  <si>
    <t>2015-052601</t>
  </si>
  <si>
    <t>2015-060101</t>
  </si>
  <si>
    <t>2015-061901</t>
  </si>
  <si>
    <t>2015-062602</t>
  </si>
  <si>
    <t>2015-072301</t>
  </si>
  <si>
    <t>2015-072401</t>
  </si>
  <si>
    <t>2015-072701</t>
  </si>
  <si>
    <t>2015-091502</t>
  </si>
  <si>
    <t>2015-092203</t>
  </si>
  <si>
    <t>2015-092401</t>
  </si>
  <si>
    <t>2015-100501</t>
  </si>
  <si>
    <t>2015-102002</t>
  </si>
  <si>
    <t>2015-111004</t>
  </si>
  <si>
    <t>2015-111301</t>
  </si>
  <si>
    <t>2015-112502</t>
  </si>
  <si>
    <t>2015-120801</t>
  </si>
  <si>
    <t>2015-121101</t>
  </si>
  <si>
    <t>2015-121701</t>
  </si>
  <si>
    <t>2015-122101</t>
  </si>
  <si>
    <t>2016-011301</t>
  </si>
  <si>
    <t>2016-011501</t>
  </si>
  <si>
    <t>2016-020101</t>
  </si>
  <si>
    <t>2016-021201</t>
  </si>
  <si>
    <t>2016-031802</t>
  </si>
  <si>
    <t>2016-041301</t>
  </si>
  <si>
    <t>2016-041302</t>
  </si>
  <si>
    <t>2016-041303</t>
  </si>
  <si>
    <t>2016-041901</t>
  </si>
  <si>
    <t>2016-042202</t>
  </si>
  <si>
    <t>2016-050201</t>
  </si>
  <si>
    <t>2016-050601</t>
  </si>
  <si>
    <t>2016-050901</t>
  </si>
  <si>
    <t>2016-050902</t>
  </si>
  <si>
    <t>2016-050903</t>
  </si>
  <si>
    <t>2016-051001</t>
  </si>
  <si>
    <t>2016-052301</t>
  </si>
  <si>
    <t>2016-053101</t>
  </si>
  <si>
    <t>2016-060102</t>
  </si>
  <si>
    <t>2016-060902</t>
  </si>
  <si>
    <t>2016-061403</t>
  </si>
  <si>
    <t>2016-071801</t>
  </si>
  <si>
    <t>2016-071803</t>
  </si>
  <si>
    <t>2016-072101</t>
  </si>
  <si>
    <t>2016-072501</t>
  </si>
  <si>
    <t>2016-072603</t>
  </si>
  <si>
    <t>2016-081801</t>
  </si>
  <si>
    <t>2016-090201</t>
  </si>
  <si>
    <t>2016-091601</t>
  </si>
  <si>
    <t>2016-092002</t>
  </si>
  <si>
    <t>2016-092102</t>
  </si>
  <si>
    <t>2016-092601</t>
  </si>
  <si>
    <t>2016-092605</t>
  </si>
  <si>
    <t>2016-092702</t>
  </si>
  <si>
    <t>2016-093001</t>
  </si>
  <si>
    <t>2016-100301</t>
  </si>
  <si>
    <t>2016-100501</t>
  </si>
  <si>
    <t>2016-101403</t>
  </si>
  <si>
    <t>2016-103101</t>
  </si>
  <si>
    <t>2016-112101</t>
  </si>
  <si>
    <t>2016-112102</t>
  </si>
  <si>
    <t>2016-113001</t>
  </si>
  <si>
    <t>2016-120801</t>
  </si>
  <si>
    <t>2016-121501</t>
  </si>
  <si>
    <t>2016-121903</t>
  </si>
  <si>
    <t>2016-122801</t>
  </si>
  <si>
    <t>2017-010401</t>
  </si>
  <si>
    <t>2017-010501</t>
  </si>
  <si>
    <t>2017-011003</t>
  </si>
  <si>
    <t>2017-011102</t>
  </si>
  <si>
    <t>2017-011103</t>
  </si>
  <si>
    <t>2017-011702</t>
  </si>
  <si>
    <t>2017-012401</t>
  </si>
  <si>
    <t>2017-012702</t>
  </si>
  <si>
    <t>2017-013101</t>
  </si>
  <si>
    <t>2017-020101</t>
  </si>
  <si>
    <t>2017-020601</t>
  </si>
  <si>
    <t>2017-021301</t>
  </si>
  <si>
    <t>2017-021702</t>
  </si>
  <si>
    <t>2017-022104</t>
  </si>
  <si>
    <t>2017-022701</t>
  </si>
  <si>
    <t>2017-030601</t>
  </si>
  <si>
    <t>2017-030803</t>
  </si>
  <si>
    <t>2017-032101</t>
  </si>
  <si>
    <t>2017-032102</t>
  </si>
  <si>
    <t>2017-032801</t>
  </si>
  <si>
    <t>2017-040301</t>
  </si>
  <si>
    <t>2017-041801</t>
  </si>
  <si>
    <t>2017-042002</t>
  </si>
  <si>
    <t>2017-042401</t>
  </si>
  <si>
    <t>2017-050802</t>
  </si>
  <si>
    <t>2017-051201</t>
  </si>
  <si>
    <t>2017-053101</t>
  </si>
  <si>
    <t>2017-053102</t>
  </si>
  <si>
    <t>2017-060601</t>
  </si>
  <si>
    <t>2017-060602</t>
  </si>
  <si>
    <t>2017-060701</t>
  </si>
  <si>
    <t>2017-060902</t>
  </si>
  <si>
    <t>2017-061302</t>
  </si>
  <si>
    <t>2017-062903</t>
  </si>
  <si>
    <t>2017-063001</t>
  </si>
  <si>
    <t>2017-071401</t>
  </si>
  <si>
    <t>2017-071801</t>
  </si>
  <si>
    <t>2017-071901</t>
  </si>
  <si>
    <t>2017-081101</t>
  </si>
  <si>
    <t>2017-081601</t>
  </si>
  <si>
    <t>2017-082401</t>
  </si>
  <si>
    <t>2017-090501</t>
  </si>
  <si>
    <t>2017-090701</t>
  </si>
  <si>
    <t>2017-091302</t>
  </si>
  <si>
    <t>2017-091401</t>
  </si>
  <si>
    <t>2017-092201</t>
  </si>
  <si>
    <t>2017-092501</t>
  </si>
  <si>
    <t>2017-092601</t>
  </si>
  <si>
    <t>2017-092801</t>
  </si>
  <si>
    <t>2017-100202</t>
  </si>
  <si>
    <t>2017-100401</t>
  </si>
  <si>
    <t>2017-100601</t>
  </si>
  <si>
    <t>2017-101001</t>
  </si>
  <si>
    <t>2017-101101</t>
  </si>
  <si>
    <t>2017-101702</t>
  </si>
  <si>
    <t>2017-103006</t>
  </si>
  <si>
    <t>2017-103101</t>
  </si>
  <si>
    <t>2017-103102</t>
  </si>
  <si>
    <t>2017-110602</t>
  </si>
  <si>
    <t>2017-110701</t>
  </si>
  <si>
    <t>2017-110702</t>
  </si>
  <si>
    <t>2017-112702</t>
  </si>
  <si>
    <t>2017-121101</t>
  </si>
  <si>
    <t>2017-121301</t>
  </si>
  <si>
    <t>2017-122002</t>
  </si>
  <si>
    <t>2017-122202</t>
  </si>
  <si>
    <t>2017-122701</t>
  </si>
  <si>
    <t>2017-122801</t>
  </si>
  <si>
    <t>2018-010201</t>
  </si>
  <si>
    <t>2018-010801</t>
  </si>
  <si>
    <t>2018-011201</t>
  </si>
  <si>
    <t>2018-011601</t>
  </si>
  <si>
    <t>2018-011901</t>
  </si>
  <si>
    <t>2018-011902</t>
  </si>
  <si>
    <t>2018-011903</t>
  </si>
  <si>
    <t>2018-012401</t>
  </si>
  <si>
    <t>2017-122201</t>
  </si>
  <si>
    <t>2017-122001</t>
  </si>
  <si>
    <t>2018-010301</t>
  </si>
  <si>
    <t>NB#29</t>
  </si>
  <si>
    <t>SL TRNG CLARIFICATION</t>
  </si>
  <si>
    <t>SL TRNG CLARIFICATION; ELECTRONIC COMMUNICATIONS</t>
  </si>
  <si>
    <t>2018-010202</t>
  </si>
  <si>
    <t>2017-110201</t>
  </si>
  <si>
    <t>2014-102002</t>
  </si>
  <si>
    <t>2018-011602</t>
  </si>
  <si>
    <t>RQST FOR KPD REPORTS</t>
  </si>
  <si>
    <t>DENIED REPORTS</t>
  </si>
  <si>
    <t>2014-100901</t>
  </si>
  <si>
    <t>2017-031701</t>
  </si>
  <si>
    <t>U RFA-P 16-6, U RFA-P 16-7</t>
  </si>
  <si>
    <t>2015-021804</t>
  </si>
  <si>
    <t>2017-103005</t>
  </si>
  <si>
    <t>2016-092202</t>
  </si>
  <si>
    <t>2016-120603</t>
  </si>
  <si>
    <t>2016-121902</t>
  </si>
  <si>
    <t>2017-010303</t>
  </si>
  <si>
    <t>2017-010304</t>
  </si>
  <si>
    <t>2017-011001</t>
  </si>
  <si>
    <t>2016-120702</t>
  </si>
  <si>
    <t>2017-011201</t>
  </si>
  <si>
    <t>2016-123002</t>
  </si>
  <si>
    <t>2016-060103</t>
  </si>
  <si>
    <t>2016-121201</t>
  </si>
  <si>
    <t>2017-011901</t>
  </si>
  <si>
    <t>2017-012002</t>
  </si>
  <si>
    <t>2017-011005</t>
  </si>
  <si>
    <t>2017-012402</t>
  </si>
  <si>
    <t>2017-012602</t>
  </si>
  <si>
    <t>2016-052302</t>
  </si>
  <si>
    <t>2017-012603</t>
  </si>
  <si>
    <t>2016-092302</t>
  </si>
  <si>
    <t>2017-012601</t>
  </si>
  <si>
    <t>2017-020102</t>
  </si>
  <si>
    <t>2017-011002</t>
  </si>
  <si>
    <t>2017-010302</t>
  </si>
  <si>
    <t>2017-011101</t>
  </si>
  <si>
    <t>2016-120602</t>
  </si>
  <si>
    <t>2016-121502</t>
  </si>
  <si>
    <t>2017-012503</t>
  </si>
  <si>
    <t>2008-030703</t>
  </si>
  <si>
    <t>2016-082303</t>
  </si>
  <si>
    <t>2016-110201</t>
  </si>
  <si>
    <t>2017-020301</t>
  </si>
  <si>
    <t>2017-011004</t>
  </si>
  <si>
    <t>2017-010402</t>
  </si>
  <si>
    <t>2017-012001</t>
  </si>
  <si>
    <t>2017-012301</t>
  </si>
  <si>
    <t>2017-021401</t>
  </si>
  <si>
    <t>2017-022101</t>
  </si>
  <si>
    <t>2016-091302</t>
  </si>
  <si>
    <t>2015-041501</t>
  </si>
  <si>
    <t>2015-032501</t>
  </si>
  <si>
    <t>2015-032502</t>
  </si>
  <si>
    <t>2014-123001</t>
  </si>
  <si>
    <t>2017-013001</t>
  </si>
  <si>
    <t>2017-022702</t>
  </si>
  <si>
    <t>2017-022102</t>
  </si>
  <si>
    <t>2017-011703</t>
  </si>
  <si>
    <t>2017-012501</t>
  </si>
  <si>
    <t>2016-112801</t>
  </si>
  <si>
    <t>2017-010403</t>
  </si>
  <si>
    <t>2017-031601</t>
  </si>
  <si>
    <t>2016-110101</t>
  </si>
  <si>
    <t>2016-100402</t>
  </si>
  <si>
    <t>2017-030602</t>
  </si>
  <si>
    <t>2017-030701</t>
  </si>
  <si>
    <t>2017-022103</t>
  </si>
  <si>
    <t>2017-032103</t>
  </si>
  <si>
    <t>2015-092801</t>
  </si>
  <si>
    <t>2015-092802</t>
  </si>
  <si>
    <t>2016-122001</t>
  </si>
  <si>
    <t>2016-091204</t>
  </si>
  <si>
    <t>2017-032301</t>
  </si>
  <si>
    <t>2017-032904</t>
  </si>
  <si>
    <t>2017-033001</t>
  </si>
  <si>
    <t>2017-032901</t>
  </si>
  <si>
    <t>2017-011701</t>
  </si>
  <si>
    <t>2017-032903</t>
  </si>
  <si>
    <t>2016-090601</t>
  </si>
  <si>
    <t>2017-041001</t>
  </si>
  <si>
    <t>2017-012502</t>
  </si>
  <si>
    <t>2017-022201</t>
  </si>
  <si>
    <t>2017-042001</t>
  </si>
  <si>
    <t>2017-041702</t>
  </si>
  <si>
    <t>2014-100201</t>
  </si>
  <si>
    <t>2017-032902</t>
  </si>
  <si>
    <t>2016-121401</t>
  </si>
  <si>
    <t>2014-031105</t>
  </si>
  <si>
    <t>2016-100601</t>
  </si>
  <si>
    <t>2016-111001</t>
  </si>
  <si>
    <t>2017-042702</t>
  </si>
  <si>
    <t>2017-021602</t>
  </si>
  <si>
    <t>2017-050803</t>
  </si>
  <si>
    <t>2013-092606</t>
  </si>
  <si>
    <t>2017-042801</t>
  </si>
  <si>
    <t>2017-042701</t>
  </si>
  <si>
    <t>2017-051601</t>
  </si>
  <si>
    <t>2017-051901</t>
  </si>
  <si>
    <t>2017-052201</t>
  </si>
  <si>
    <t>2017-050101</t>
  </si>
  <si>
    <t>2017-052303</t>
  </si>
  <si>
    <t>2017-052302</t>
  </si>
  <si>
    <t>2017-060801</t>
  </si>
  <si>
    <t>2017-053002</t>
  </si>
  <si>
    <t>2017-051101</t>
  </si>
  <si>
    <t>2013-120201</t>
  </si>
  <si>
    <t>2017-021601</t>
  </si>
  <si>
    <t>2017-053001</t>
  </si>
  <si>
    <t>2017-032302</t>
  </si>
  <si>
    <t>2013-093001</t>
  </si>
  <si>
    <t>2014-011501</t>
  </si>
  <si>
    <t>2014-110301</t>
  </si>
  <si>
    <t>2013-111403</t>
  </si>
  <si>
    <t>2017-031401</t>
  </si>
  <si>
    <t>2017-061510</t>
  </si>
  <si>
    <t>2017-061601</t>
  </si>
  <si>
    <t>2017-062904</t>
  </si>
  <si>
    <t>2013-112503</t>
  </si>
  <si>
    <t>2013-122002</t>
  </si>
  <si>
    <t>2014-112402</t>
  </si>
  <si>
    <t>2017-041002</t>
  </si>
  <si>
    <t>2017-042703</t>
  </si>
  <si>
    <t>2017-060802</t>
  </si>
  <si>
    <t>2017-061301</t>
  </si>
  <si>
    <t>2017-061501</t>
  </si>
  <si>
    <t>2017-061502</t>
  </si>
  <si>
    <t>2017-061503</t>
  </si>
  <si>
    <t>2017-061504</t>
  </si>
  <si>
    <t>2017-061505</t>
  </si>
  <si>
    <t>2017-061506</t>
  </si>
  <si>
    <t>2017-061507</t>
  </si>
  <si>
    <t>2017-061508</t>
  </si>
  <si>
    <t>2017-061509</t>
  </si>
  <si>
    <t>2014-012301</t>
  </si>
  <si>
    <t>2016-121601</t>
  </si>
  <si>
    <t>2017-012701</t>
  </si>
  <si>
    <t>2016-110701</t>
  </si>
  <si>
    <t>2017-062301</t>
  </si>
  <si>
    <t>2017-050801</t>
  </si>
  <si>
    <t>2017-071102</t>
  </si>
  <si>
    <t>2015-071001</t>
  </si>
  <si>
    <t>2017-062801</t>
  </si>
  <si>
    <t>2017-062901</t>
  </si>
  <si>
    <t>2017-051001</t>
  </si>
  <si>
    <t>2017-070501</t>
  </si>
  <si>
    <t>2017-020602</t>
  </si>
  <si>
    <t>2017-071701</t>
  </si>
  <si>
    <t>2017-051702</t>
  </si>
  <si>
    <t>2017-062702</t>
  </si>
  <si>
    <t>2016-100602</t>
  </si>
  <si>
    <t>2016-120701</t>
  </si>
  <si>
    <t>2017-060201</t>
  </si>
  <si>
    <t>2017-080101</t>
  </si>
  <si>
    <t>2017-062902</t>
  </si>
  <si>
    <t>2017-071101</t>
  </si>
  <si>
    <t>2017-051701</t>
  </si>
  <si>
    <t>2017-070502</t>
  </si>
  <si>
    <t>2017-071001</t>
  </si>
  <si>
    <t>2017-073101</t>
  </si>
  <si>
    <t>2016-071403</t>
  </si>
  <si>
    <t>2017-071802</t>
  </si>
  <si>
    <t>2017-010301</t>
  </si>
  <si>
    <t>2017-081002</t>
  </si>
  <si>
    <t>2017-081501</t>
  </si>
  <si>
    <t>2017-081001</t>
  </si>
  <si>
    <t>2017-071702</t>
  </si>
  <si>
    <t>2017-082301</t>
  </si>
  <si>
    <t>2017-081502</t>
  </si>
  <si>
    <t>2017-072502</t>
  </si>
  <si>
    <t>2017-072503</t>
  </si>
  <si>
    <t>2017-072001</t>
  </si>
  <si>
    <t>2017-081701</t>
  </si>
  <si>
    <t>2017-082801</t>
  </si>
  <si>
    <t>2017-082901</t>
  </si>
  <si>
    <t>2017-062101</t>
  </si>
  <si>
    <t>2017-070601</t>
  </si>
  <si>
    <t>2017-071902</t>
  </si>
  <si>
    <t>2017-072504</t>
  </si>
  <si>
    <t>2017-090502</t>
  </si>
  <si>
    <t>2017-071903</t>
  </si>
  <si>
    <t>2017-090801</t>
  </si>
  <si>
    <t>2017-072501</t>
  </si>
  <si>
    <t>2016-091401</t>
  </si>
  <si>
    <t>2017-071904</t>
  </si>
  <si>
    <t>2016-100302</t>
  </si>
  <si>
    <t>2017-060901</t>
  </si>
  <si>
    <t>2017-090601</t>
  </si>
  <si>
    <t>2017-090602</t>
  </si>
  <si>
    <t>2017-071905</t>
  </si>
  <si>
    <t>2017-091301</t>
  </si>
  <si>
    <t>2014-081810</t>
  </si>
  <si>
    <t>2016-112902</t>
  </si>
  <si>
    <t>2017-092701</t>
  </si>
  <si>
    <t>2017-061401</t>
  </si>
  <si>
    <t>2017-091101</t>
  </si>
  <si>
    <t>2017-100301</t>
  </si>
  <si>
    <t>2017-081003</t>
  </si>
  <si>
    <t>2017-081402</t>
  </si>
  <si>
    <t>2017-091801</t>
  </si>
  <si>
    <t>2017-081401</t>
  </si>
  <si>
    <t>2017-100201</t>
  </si>
  <si>
    <t>2017-030301</t>
  </si>
  <si>
    <t>2017-030801</t>
  </si>
  <si>
    <t>2017-030802</t>
  </si>
  <si>
    <t>2017-041101</t>
  </si>
  <si>
    <t>2017-062802</t>
  </si>
  <si>
    <t>2017-082101</t>
  </si>
  <si>
    <t>2017-100302</t>
  </si>
  <si>
    <t>2014-070301</t>
  </si>
  <si>
    <t>2017-101002</t>
  </si>
  <si>
    <t>2017-101102</t>
  </si>
  <si>
    <t>2014-071602</t>
  </si>
  <si>
    <t>2014-091001</t>
  </si>
  <si>
    <t>2015-102006</t>
  </si>
  <si>
    <t>2017-072801</t>
  </si>
  <si>
    <t>2017-101601</t>
  </si>
  <si>
    <t>2016-060201</t>
  </si>
  <si>
    <t>2017-103001</t>
  </si>
  <si>
    <t>2017-081702</t>
  </si>
  <si>
    <t>2017-103003</t>
  </si>
  <si>
    <t>2017-103004</t>
  </si>
  <si>
    <t>2017-100501</t>
  </si>
  <si>
    <t>2017-103002</t>
  </si>
  <si>
    <t>2017-070701</t>
  </si>
  <si>
    <t>2017-110601</t>
  </si>
  <si>
    <t>2017-062701</t>
  </si>
  <si>
    <t>2016-092801</t>
  </si>
  <si>
    <t>2017-111401</t>
  </si>
  <si>
    <t>2017-103008</t>
  </si>
  <si>
    <t>2017-073102</t>
  </si>
  <si>
    <t>2017-112701</t>
  </si>
  <si>
    <t>2013-092605</t>
  </si>
  <si>
    <t>2017-103007</t>
  </si>
  <si>
    <t>2017-120401</t>
  </si>
  <si>
    <t>2017-120801</t>
  </si>
  <si>
    <t>2017-070503</t>
  </si>
  <si>
    <t>2017-112101</t>
  </si>
  <si>
    <t>2017-041701</t>
  </si>
  <si>
    <t>2017-052301</t>
  </si>
  <si>
    <t>2017-021701</t>
  </si>
  <si>
    <t>2017-101701</t>
  </si>
  <si>
    <t>RELATED TO U RFA-P 16-44</t>
  </si>
  <si>
    <t>SL/UIPA TRNG (2/23/17)
*TRAINING CANCELED*</t>
  </si>
  <si>
    <t>TRNG CANCELLED</t>
  </si>
  <si>
    <t>UIPA 2016-1206-03, U APPEAL 17-24</t>
  </si>
  <si>
    <t>CORR 2017-0125-03</t>
  </si>
  <si>
    <t>Island Focus Interview</t>
  </si>
  <si>
    <t>Originally opened as CORR 2016-0721-03. CORR was closed 9/13/16.</t>
  </si>
  <si>
    <t>U APPEAL 16-7 (Tsuji)
CORR  2015-0928-01   
  (Baker/Nishihara/Tokuda)</t>
  </si>
  <si>
    <t>U APPEAL 16-6 (Onishi)
CORR  2015-0928-01   
  (Baker/Nishihara/Tokuda)</t>
  </si>
  <si>
    <t>VIA WEBCAM</t>
  </si>
  <si>
    <t>DOCARE</t>
  </si>
  <si>
    <t>2/10/15? - Reassigned to DHA</t>
  </si>
  <si>
    <t>OHA APPEAL SERIAL COMMUNICATIONS, OP LTR F15-02 (OHA v OIP)</t>
  </si>
  <si>
    <t>CORR 2015-1124-01</t>
  </si>
  <si>
    <t>APPEAL 13-1 &amp; RECON 16-1 (Smith v OIP)</t>
  </si>
  <si>
    <t>S APPEAL 17-10 (SPARKS)</t>
  </si>
  <si>
    <t>S APPEAL 17-9 (SCHAEFER)</t>
  </si>
  <si>
    <t>INJUNCTION</t>
  </si>
  <si>
    <t>Originally assigned as U APPEAL 17-50</t>
  </si>
  <si>
    <t>U RFA-P 18-22</t>
  </si>
  <si>
    <t>RICO CASE #MED 2013-1L</t>
  </si>
  <si>
    <t>RQST FOR REDACTED COPY</t>
  </si>
  <si>
    <t>REVISED ALL PENDING OR CLOSED CASE FILES SINCE 1/1/17</t>
  </si>
  <si>
    <t>S APPEAL 18-4</t>
  </si>
  <si>
    <t>9/18/17 HBDE MEETING</t>
  </si>
  <si>
    <t>U APPEAL 18-17</t>
  </si>
  <si>
    <t>INVESTOR UPDATES/AGREEMENTS</t>
  </si>
  <si>
    <t>U APPEAL 18-18</t>
  </si>
  <si>
    <t>U APPEAL 18-19</t>
  </si>
  <si>
    <t>RQST FOR POLYGRAPH RESULTS</t>
  </si>
  <si>
    <t>RQST FOR LTR ABOUT HIMSELF</t>
  </si>
  <si>
    <t>Agency 's Initial Response Sent Within 10 Work Days</t>
  </si>
  <si>
    <t>Agency Gave Incremental Responses?</t>
  </si>
  <si>
    <t>Actual Review/ Segregation Hours</t>
  </si>
  <si>
    <t>TOTAL NET SRS Fees CHARGEABLE</t>
  </si>
  <si>
    <t>TOTAL GROSS Fees &amp; Costs Agency INCURRED for ALL Requests</t>
  </si>
  <si>
    <t>ACTUAL PAYMENTS by Requesters         $5-49.99</t>
  </si>
  <si>
    <t>CC_HONOLULU_CLIMATE_CHANGE_SUSTAINABILITY_AND_RESILIENCY</t>
  </si>
  <si>
    <t>CC HONOLULU/ CLIMATE CHANGE, SUSTAINABILITY AND RESILIENCY</t>
  </si>
  <si>
    <t>CC_HONOLULU_DEPARTMENT_OF_THE_ MEDICAL_EXAMINER</t>
  </si>
  <si>
    <t>CC HONOLULU/ DEPARTMENT OF THE  MEDICAL EXAMINER</t>
  </si>
  <si>
    <t>CC_HONOLULU_ECONOMIC_DEVELOPMENT</t>
  </si>
  <si>
    <t>CC HONOLULU/ ECONOMIC DEVELOPMENT</t>
  </si>
  <si>
    <t>CC_HONOLULU_HONOLULU_POLICE_COMMISSION</t>
  </si>
  <si>
    <t>CC HONOLULU/ TRANSPORTATION SERVICES/ DIRECTOR</t>
  </si>
  <si>
    <t>KAUAI_COUNTY_EMERGENCY_MANAGEMENT_AGENCY</t>
  </si>
  <si>
    <t>KAUAI COUNTY/ EMERGENCY MANAGEMENT AGENCY</t>
  </si>
  <si>
    <t>KAUAI COUNTY/ WATER DEPARTMENT</t>
  </si>
  <si>
    <t>MAUI COUNTY/ MAYOR/ EMERGENCY MGMT AGENCY</t>
  </si>
  <si>
    <t>SOH/ ACCOUNTING &amp; GENERAL SERVICES/ ACCOUNTING/ PRE AUDIT</t>
  </si>
  <si>
    <t>SOH/ ACCOUNTING &amp; GENERAL SERVICES/ CULTURE &amp; THE ARTS/ SFCA-0</t>
  </si>
  <si>
    <t>SOH/ ACCOUNTING &amp; GENERAL SERVICES/ ENTERPRISE TECHNOLOGY SERVICES/ ETS</t>
  </si>
  <si>
    <t>SOH/ ACCOUNTING &amp; GENERAL SERVICES/ UNIFORM ACC &amp; REP BR/ ACCT-1</t>
  </si>
  <si>
    <t>SOH/ BUSINESS, ECON DEV, &amp; TOURISM/ OFFICE OF TOURISM</t>
  </si>
  <si>
    <t>SOH/ BUSINESS, ECON DEV, &amp; TOURISM/ SMALL BUSINESS REGULATORY REVIEW BOARD/ SBRRB</t>
  </si>
  <si>
    <t>SOH/ COMMERCE &amp; CONSUMER AFFAIRS/ CABLE TELEVISION  DIVISION/ DCCA-BREG</t>
  </si>
  <si>
    <t>SOH/ DEFENSE/ HAWAII EMERGENCY MANAGEMENT AGENCY</t>
  </si>
  <si>
    <t>SOH/ DEFENSE/ OFFICE OF VETERANS SERVICES/ HIOVS</t>
  </si>
  <si>
    <t>SOH/ EDUCATION/ KAPOLEI CHARTER SCHOOL</t>
  </si>
  <si>
    <t>SOH/ EDUCATION/ KUALAPUŦ SCHOOL: A PUBLIC CONVERSION CHARTER</t>
  </si>
  <si>
    <t>SOH/ EDUCATION/ SOH/ EDUCATION/ DOE</t>
  </si>
  <si>
    <t>SOH/ HEALTH/ HRA/ DEVELOPMENTAL DISABILITIES DIV (DDD)</t>
  </si>
  <si>
    <t>SOH/ HEALTH/ HRA/ DOCD/ BIOTERRORISM PREPARDNESS &amp;RESPNS BR</t>
  </si>
  <si>
    <t>SOH/ HEALTH/ HRA/ DOCD/ IMMUNIZATION BR</t>
  </si>
  <si>
    <t>SOH/HEALTH/HRA/CDPHND/TUBERCULOSIS CONTROL BRANCH</t>
  </si>
  <si>
    <t>SOH/ JUDICIARY/ HUMAN RESOURCES DIV</t>
  </si>
  <si>
    <t>SOH/ JUDICIARY/ INFO TECHNOLOGY &amp; COMMUNICATNS DIV/ ITCD</t>
  </si>
  <si>
    <t>SOH/ JUDICIARY/ OFC OF THE CHIEF COURT ADMINISTRATR/ 5JC-OCCA</t>
  </si>
  <si>
    <t>Total UIPA Req in FY18</t>
  </si>
  <si>
    <t>UIPA Req with No Disclosure FY18</t>
  </si>
  <si>
    <t>FY18 Denial Percentage</t>
  </si>
  <si>
    <t>Avg Days for Dep't to Complete UIPA Req in FY18</t>
  </si>
  <si>
    <t>Longest Time (Days) for Dep't to Complete Req FY18</t>
  </si>
  <si>
    <t>New OIP Matters FY18 re UIPA</t>
  </si>
  <si>
    <t>New OIP Matters as % of Requests for FY18+FY17</t>
  </si>
  <si>
    <t>2018-050701</t>
  </si>
  <si>
    <t>U APPEAL 18-26</t>
  </si>
  <si>
    <t>7/4/17 ARREST RECORDS</t>
  </si>
  <si>
    <t>DLNR CITATIONS</t>
  </si>
  <si>
    <t>U APPEAL 15-24</t>
  </si>
  <si>
    <t>2018-042002</t>
  </si>
  <si>
    <t>U APPEAL 18-23</t>
  </si>
  <si>
    <t>ILLEGAL TVR INVESTIGATIONS</t>
  </si>
  <si>
    <t>JAN 2017 - PRESENT</t>
  </si>
  <si>
    <t>2018-022001</t>
  </si>
  <si>
    <t>U APPEAL 18-20</t>
  </si>
  <si>
    <t>FEDERAL ADVISORY COUNCIL</t>
  </si>
  <si>
    <t>2018-080601</t>
  </si>
  <si>
    <t>U APPEAL 19-5</t>
  </si>
  <si>
    <t>TOXICOLOGY REPORT</t>
  </si>
  <si>
    <t>2018-081301</t>
  </si>
  <si>
    <t>U APPEAL 19-6</t>
  </si>
  <si>
    <t>HR-K</t>
  </si>
  <si>
    <t>POLICE SERGEANT RECRUIT</t>
  </si>
  <si>
    <t>SCORING BREAKDOWN</t>
  </si>
  <si>
    <t>2018-083102</t>
  </si>
  <si>
    <t>U APPEAL 19-8</t>
  </si>
  <si>
    <t>PROMOTION ELIGIBILITY LIST</t>
  </si>
  <si>
    <t>POLICE SERGEANT</t>
  </si>
  <si>
    <t>2018-083103</t>
  </si>
  <si>
    <t>S APPEAL 19-1</t>
  </si>
  <si>
    <t>TASK FORCE ON LARGE DETACHED DWELLINGS</t>
  </si>
  <si>
    <t>2018-091701</t>
  </si>
  <si>
    <t>U APPEAL 19-9</t>
  </si>
  <si>
    <t>PRESS RELEASE</t>
  </si>
  <si>
    <t>POLYGRAPH</t>
  </si>
  <si>
    <t>2018-071901</t>
  </si>
  <si>
    <t>U APPEAL 19-4</t>
  </si>
  <si>
    <t>CNSL SVC-M</t>
  </si>
  <si>
    <t>HOUSING POLICY ANALYSIS REPORTS</t>
  </si>
  <si>
    <t>2018-050203</t>
  </si>
  <si>
    <t>S APPEAL 18-6</t>
  </si>
  <si>
    <t>HTA BD OF DIRECTORS JUNE 2017 MTG</t>
  </si>
  <si>
    <t>CORR 2018-0413-01</t>
  </si>
  <si>
    <t>2018-021201</t>
  </si>
  <si>
    <t>S APPEAL 18-5</t>
  </si>
  <si>
    <t>TRC 2/8/18 MAILING NOTICE</t>
  </si>
  <si>
    <t>2018-050401</t>
  </si>
  <si>
    <t>S APPEAL 18-7</t>
  </si>
  <si>
    <t>4/19/18 EXECUTIVE SESSION</t>
  </si>
  <si>
    <t>2018-110901</t>
  </si>
  <si>
    <t>S APPEAL 19-2</t>
  </si>
  <si>
    <t>HANA ADVISORY CMSN</t>
  </si>
  <si>
    <t>2018-111601</t>
  </si>
  <si>
    <t>S APPEAL 19-3</t>
  </si>
  <si>
    <t>DOT 10/10/18 MTG</t>
  </si>
  <si>
    <t>2018-112802</t>
  </si>
  <si>
    <t>S APPEAL 19-4</t>
  </si>
  <si>
    <t>PLAN-LUC</t>
  </si>
  <si>
    <t>LAND USE CMSN 11/14/18 MTG</t>
  </si>
  <si>
    <t>2018-121701</t>
  </si>
  <si>
    <t>S APPEAL 19-5</t>
  </si>
  <si>
    <t>11/29/18 EXECUTIVE SESSION</t>
  </si>
  <si>
    <t>2018-032301</t>
  </si>
  <si>
    <t>U APPEAL 18-21</t>
  </si>
  <si>
    <t>TERMINATION OF V. CHETTERGY</t>
  </si>
  <si>
    <t>ALL RELATED DOCS</t>
  </si>
  <si>
    <t>2018-041601</t>
  </si>
  <si>
    <t>U APPEAL 18-22</t>
  </si>
  <si>
    <t>CNTY ATTY-K</t>
  </si>
  <si>
    <t>ALL QUIET TITLES/SEIZURES</t>
  </si>
  <si>
    <t>2018-042502</t>
  </si>
  <si>
    <t>U APPEAL 18-24</t>
  </si>
  <si>
    <t>2013 &amp; 2015 PERFORMANCE EVALUATIONS</t>
  </si>
  <si>
    <t>FIRE CHIEF NEVES</t>
  </si>
  <si>
    <t>2018-043002</t>
  </si>
  <si>
    <t>U APPEAL 18-25</t>
  </si>
  <si>
    <t>VIJOY CHATTERGY</t>
  </si>
  <si>
    <t>2018-050801</t>
  </si>
  <si>
    <t>U APPEAL 18-27</t>
  </si>
  <si>
    <t>ARCHAEOLOGICAL INVENTORY SURVEY</t>
  </si>
  <si>
    <t>PAIA BYPASS ROUTE</t>
  </si>
  <si>
    <t>2018-051301</t>
  </si>
  <si>
    <t>U APPEAL 18-28</t>
  </si>
  <si>
    <t>ACTIVE CESSPOOLS ADDRESSES</t>
  </si>
  <si>
    <t>2018-070901</t>
  </si>
  <si>
    <t>U APPEAL 19-1</t>
  </si>
  <si>
    <t>FRAUDULENT LOAN DOCS</t>
  </si>
  <si>
    <t>FRUSTRATION EXEMPTION</t>
  </si>
  <si>
    <t>2018-101901</t>
  </si>
  <si>
    <t>U APPEAL 19-10</t>
  </si>
  <si>
    <t>TREE/BOLLARD COMPLAINT</t>
  </si>
  <si>
    <t>2018-112801</t>
  </si>
  <si>
    <t>U APPEAL 19-11</t>
  </si>
  <si>
    <t>PRIVATE EQUITY INFORMATION</t>
  </si>
  <si>
    <t>2018-120601</t>
  </si>
  <si>
    <t>U APPEAL 19-12</t>
  </si>
  <si>
    <t>COPY OF CLAIM ON AGENDA</t>
  </si>
  <si>
    <t>2018-121302</t>
  </si>
  <si>
    <t>U APPEAL 19-13</t>
  </si>
  <si>
    <t>DISCRIMINATION/  HARASSMENT FREE POLICY</t>
  </si>
  <si>
    <t>WORPLACE VIOLENCE</t>
  </si>
  <si>
    <t>2018-121801</t>
  </si>
  <si>
    <t>U APPEAL 19-14</t>
  </si>
  <si>
    <t>BLUE HAWAIIAN PERMIT</t>
  </si>
  <si>
    <t>RQST FOR APPEAL</t>
  </si>
  <si>
    <t>2018-122401</t>
  </si>
  <si>
    <t>U APPEAL 19-15</t>
  </si>
  <si>
    <t>STATE FARM INVESTIGATION FILES</t>
  </si>
  <si>
    <t>U APPEAL 19-2</t>
  </si>
  <si>
    <t>MAUI SAND STUDY</t>
  </si>
  <si>
    <t>2018-071601</t>
  </si>
  <si>
    <t>U APPEAL 19-3</t>
  </si>
  <si>
    <t>SECURITIES FRAUD</t>
  </si>
  <si>
    <t>2018-082801</t>
  </si>
  <si>
    <t>U APPEAL 19-7</t>
  </si>
  <si>
    <t>WORK PLACE VIOLENCE COMPLAINT</t>
  </si>
  <si>
    <t>B OPPEGAARD</t>
  </si>
  <si>
    <t>2015-011202</t>
  </si>
  <si>
    <t>2015-100103</t>
  </si>
  <si>
    <t>2016-090202</t>
  </si>
  <si>
    <t>2018-012601</t>
  </si>
  <si>
    <t>RQST FOR INVESTIGATION FILE</t>
  </si>
  <si>
    <t>INSPECTION IN OFFICE</t>
  </si>
  <si>
    <t>2018-013001</t>
  </si>
  <si>
    <t>CONCEALMENT OF GOV RCRDS</t>
  </si>
  <si>
    <t>2018-013101</t>
  </si>
  <si>
    <t>U RFA-P 18-23</t>
  </si>
  <si>
    <t>ECON-M</t>
  </si>
  <si>
    <t>GRANT REIMBURSEMENT</t>
  </si>
  <si>
    <t>2018-013102</t>
  </si>
  <si>
    <t>U RFA-P 18-24</t>
  </si>
  <si>
    <t>MEETING CANCELLATION</t>
  </si>
  <si>
    <t>2018-013103</t>
  </si>
  <si>
    <t>U RFA-P 18-25</t>
  </si>
  <si>
    <t>BARDELLINI</t>
  </si>
  <si>
    <t>EMAIL DOCS FR 1/1/16-10/31/17</t>
  </si>
  <si>
    <t>2018-013104</t>
  </si>
  <si>
    <t>2018-020201</t>
  </si>
  <si>
    <t>U RFA-P 18-26</t>
  </si>
  <si>
    <t>BARDELLINI &amp; MIKE WHITE</t>
  </si>
  <si>
    <t>EMAIL DOCS</t>
  </si>
  <si>
    <t>2018-020202</t>
  </si>
  <si>
    <t>U RFA-P 18-27</t>
  </si>
  <si>
    <t>BD OF ETHICS OPINIONS</t>
  </si>
  <si>
    <t>2018-020801</t>
  </si>
  <si>
    <t>SB3092</t>
  </si>
  <si>
    <t>2018-020901</t>
  </si>
  <si>
    <t>U RFA-P 18-28</t>
  </si>
  <si>
    <t>FIREC-HON</t>
  </si>
  <si>
    <t>HON FIRE CHIEF</t>
  </si>
  <si>
    <t>PERFORMANCE EVALUATION</t>
  </si>
  <si>
    <t>2018-021202</t>
  </si>
  <si>
    <t>COMPLAINT AGAINST EMPLOYEE</t>
  </si>
  <si>
    <t>2018-021203</t>
  </si>
  <si>
    <t>OMBUD OFFICE</t>
  </si>
  <si>
    <t>2018-021401</t>
  </si>
  <si>
    <t>PATIENT FILE</t>
  </si>
  <si>
    <t>2018-022601</t>
  </si>
  <si>
    <t>RQST FOR LETTER TO F OBAYASHI</t>
  </si>
  <si>
    <t>CORR 2018-0103-01</t>
  </si>
  <si>
    <t>2018-022602</t>
  </si>
  <si>
    <t>RQST FOR LTR FROM OIP TO RICO</t>
  </si>
  <si>
    <t>2018-022701</t>
  </si>
  <si>
    <t>EMPLOYEE LOA DOCS</t>
  </si>
  <si>
    <t>RQST DENIED</t>
  </si>
  <si>
    <t>2018-022801</t>
  </si>
  <si>
    <t>LIST OF DEPUTY AG'S</t>
  </si>
  <si>
    <t>2018-022802</t>
  </si>
  <si>
    <t>DOH-SHIP FEE ESTIMATE</t>
  </si>
  <si>
    <t>CORR 2017-1211-01</t>
  </si>
  <si>
    <t>2018-030101</t>
  </si>
  <si>
    <t>MAILING NOTICE</t>
  </si>
  <si>
    <t>2018-030102</t>
  </si>
  <si>
    <t>RQST FOR INFORMATION</t>
  </si>
  <si>
    <t>2018-031201</t>
  </si>
  <si>
    <t>U RFA-P 18-29</t>
  </si>
  <si>
    <t>OHA TRUSTEE REIMBURSEMENTS</t>
  </si>
  <si>
    <t>2018-031401</t>
  </si>
  <si>
    <t>DEPUTY AG ASSIGNED TO OIP</t>
  </si>
  <si>
    <t>2018-031502</t>
  </si>
  <si>
    <t>RQST FOR MEDICAL RCRDS</t>
  </si>
  <si>
    <t>MUST CONTACT AGENCY</t>
  </si>
  <si>
    <t>2018-031501</t>
  </si>
  <si>
    <t>RQST FOR MEDICAL LICENSE</t>
  </si>
  <si>
    <t>2018-032101</t>
  </si>
  <si>
    <t>FSAIC SL GUIDELINES</t>
  </si>
  <si>
    <t>REVIEW FOR COMPLIANCE</t>
  </si>
  <si>
    <t>2018-032201</t>
  </si>
  <si>
    <t>FAILED TO IDENTIFY AGENCY</t>
  </si>
  <si>
    <t>LACKING PROPER DOCUMENTATION</t>
  </si>
  <si>
    <t>2018-032701</t>
  </si>
  <si>
    <t>U RFA-P 18-30</t>
  </si>
  <si>
    <t>ENVIRONMENTAL ASSESSMENTS</t>
  </si>
  <si>
    <t>LAND PARCELS</t>
  </si>
  <si>
    <t>2018-040301</t>
  </si>
  <si>
    <t>TSCA REGULATIONS</t>
  </si>
  <si>
    <t>2018-040401</t>
  </si>
  <si>
    <t>RQST TO SEND COPIES OF DOCS TO ATTY</t>
  </si>
  <si>
    <t>2018-040501</t>
  </si>
  <si>
    <t>U RFA-P 18-31</t>
  </si>
  <si>
    <t>HAWAI POLO CLUB ILLEGAL ADVERTISEMENTS</t>
  </si>
  <si>
    <t>2018-041001</t>
  </si>
  <si>
    <t>SADANG V BLNR</t>
  </si>
  <si>
    <t>CIV. NO. 18-1-0155(3)</t>
  </si>
  <si>
    <t>2018-041301</t>
  </si>
  <si>
    <t>CHTA BOARD OF DIRECTORS</t>
  </si>
  <si>
    <t>2018-041302</t>
  </si>
  <si>
    <t>U RFA-P 18-32</t>
  </si>
  <si>
    <t>GRADING PERMIT</t>
  </si>
  <si>
    <t>REPORT/FINDINGS</t>
  </si>
  <si>
    <t>2018-041701</t>
  </si>
  <si>
    <t>INMATE/MEDICAL RCRDS</t>
  </si>
  <si>
    <t>INCOMPLETE RQST</t>
  </si>
  <si>
    <t>2018-042001</t>
  </si>
  <si>
    <t>U RFA-P 18-33</t>
  </si>
  <si>
    <t>WARRANTY DEED</t>
  </si>
  <si>
    <t>RCRDS RELATED TO L. NISHIYAMA</t>
  </si>
  <si>
    <t>2018-042301</t>
  </si>
  <si>
    <t>CLOSE LETTERS</t>
  </si>
  <si>
    <t>U APPEAL 16-6, 16-7</t>
  </si>
  <si>
    <t>2018-042302</t>
  </si>
  <si>
    <t>OIP RESPONSE TO CORR 2018-0314-01</t>
  </si>
  <si>
    <t>2018-042501</t>
  </si>
  <si>
    <t>LEGAL GUIDANCE</t>
  </si>
  <si>
    <t>2018-042601</t>
  </si>
  <si>
    <t>HCR94 SD1</t>
  </si>
  <si>
    <t>IT STRATEGIC PLAN</t>
  </si>
  <si>
    <t>2018-042702</t>
  </si>
  <si>
    <t>NB29 MEETING</t>
  </si>
  <si>
    <t>SL COMPLAINT</t>
  </si>
  <si>
    <t>2018-042703</t>
  </si>
  <si>
    <t>NB29</t>
  </si>
  <si>
    <t>DISCUSSIONS OUTSIDE OF AGENDA</t>
  </si>
  <si>
    <t>U RFA-P 18-34</t>
  </si>
  <si>
    <t>RETIREMENT FUND INVESTMENT INFO</t>
  </si>
  <si>
    <t>2018-043001</t>
  </si>
  <si>
    <t>U RFA-P 18-35</t>
  </si>
  <si>
    <t>2018-050101</t>
  </si>
  <si>
    <t>INTERPRETATION OF AGENDA GUIDELINES</t>
  </si>
  <si>
    <t>2018-050202</t>
  </si>
  <si>
    <t>2018-050201</t>
  </si>
  <si>
    <t>U RFA-P 18-36</t>
  </si>
  <si>
    <t>VEHICLE TOWING CONRACTS</t>
  </si>
  <si>
    <t>1/1/12 - PRESENT</t>
  </si>
  <si>
    <t>ANY COMMUNICATIONS W/OBAYASHI</t>
  </si>
  <si>
    <t>4/27/18 - PRESENT</t>
  </si>
  <si>
    <t>2018-050302</t>
  </si>
  <si>
    <t>ANY COMMUNICATIONS W/LEVASSEUR</t>
  </si>
  <si>
    <t>7/1/17 - PRESENT</t>
  </si>
  <si>
    <t>2018-051601</t>
  </si>
  <si>
    <t>ROBERTS RULES</t>
  </si>
  <si>
    <t>2018-052101</t>
  </si>
  <si>
    <t>RQST FOR FREQUENT CALLER LETTERS</t>
  </si>
  <si>
    <t>2018-052201</t>
  </si>
  <si>
    <t>NA PAPA'I WAWAE 'ULA'ULA V BLNR</t>
  </si>
  <si>
    <t>2018-052301</t>
  </si>
  <si>
    <t>2018-052401</t>
  </si>
  <si>
    <t>INSURANCE INVESTIGATION</t>
  </si>
  <si>
    <t>2018-060602</t>
  </si>
  <si>
    <t>U RFA-P 18-37</t>
  </si>
  <si>
    <t>KA'U LIBRARIES EIS</t>
  </si>
  <si>
    <t>NO NTR</t>
  </si>
  <si>
    <t>2018-060601</t>
  </si>
  <si>
    <t>RECORDS &amp; REPORTS</t>
  </si>
  <si>
    <t>PART III RQST - NO FEES</t>
  </si>
  <si>
    <t>CORR 2018-0417-01</t>
  </si>
  <si>
    <t>2018-060701</t>
  </si>
  <si>
    <t>2018-061403</t>
  </si>
  <si>
    <t>2018-061402</t>
  </si>
  <si>
    <t>RQST FOR STATEMENTS</t>
  </si>
  <si>
    <t>INCOMPLETE REQUEST TO OIP</t>
  </si>
  <si>
    <t>2018-061401</t>
  </si>
  <si>
    <t>KAHALUU NB MTG</t>
  </si>
  <si>
    <t>2018-061501</t>
  </si>
  <si>
    <t>U RFA-P 18-39</t>
  </si>
  <si>
    <t>REAL PROPERTY TAX PROPOSAL</t>
  </si>
  <si>
    <t>DECISION TO OMIT</t>
  </si>
  <si>
    <t>2018-061502</t>
  </si>
  <si>
    <t>U RFA-P 18-40</t>
  </si>
  <si>
    <t>PROPOSAL FOR CLOSED CAPTIONING</t>
  </si>
  <si>
    <t>2018-061503</t>
  </si>
  <si>
    <t>U RFA-P 18-41</t>
  </si>
  <si>
    <t>PROPOSAL FOR CIP COORDINATOR</t>
  </si>
  <si>
    <t>2018-061504</t>
  </si>
  <si>
    <t>U RFA-P 18-42</t>
  </si>
  <si>
    <t>ACQUISITION OF PROPERTY</t>
  </si>
  <si>
    <t>B/W 1/1/17 - 5/22/18</t>
  </si>
  <si>
    <t>2018-061801</t>
  </si>
  <si>
    <t>KIM V AG</t>
  </si>
  <si>
    <t>CIV. NO. 18-1-0878-06</t>
  </si>
  <si>
    <t>2018-061802</t>
  </si>
  <si>
    <t>RQST TO CORRECT</t>
  </si>
  <si>
    <t>2018-061901</t>
  </si>
  <si>
    <t>U RFO-P 16-1, U APPEAL 16-8, U APPEAL 17-44</t>
  </si>
  <si>
    <t>DOCS</t>
  </si>
  <si>
    <t>2018-062101</t>
  </si>
  <si>
    <t>U RFA-P 18-38</t>
  </si>
  <si>
    <t>BATCH TRAFFIC ABSTRACT</t>
  </si>
  <si>
    <t>2018-062102</t>
  </si>
  <si>
    <t>POLICE-H OFFICERS</t>
  </si>
  <si>
    <t>2018-062501</t>
  </si>
  <si>
    <t>2018-062502</t>
  </si>
  <si>
    <t>OIP OP LTR 90-29</t>
  </si>
  <si>
    <t>DECISION REVIEW</t>
  </si>
  <si>
    <t>2018-062701</t>
  </si>
  <si>
    <t>2018-070501</t>
  </si>
  <si>
    <t>U RFA-P 19-1</t>
  </si>
  <si>
    <t>KAMALII ELEMENTARY</t>
  </si>
  <si>
    <t>EMPLOYEE GRIEVANCE RCRDS</t>
  </si>
  <si>
    <t>2018-070902</t>
  </si>
  <si>
    <t>U RFA-P 19-2</t>
  </si>
  <si>
    <t>EXEMPT POSITIONS</t>
  </si>
  <si>
    <t>DESCRIPTIONS</t>
  </si>
  <si>
    <t>2018-071101</t>
  </si>
  <si>
    <t>POLICE DISCIPLINARY REVISIONS</t>
  </si>
  <si>
    <t>2018-071301</t>
  </si>
  <si>
    <t>APPEAL REQUEST</t>
  </si>
  <si>
    <t>NO ADDITIONAL SEARCH REQUIRED</t>
  </si>
  <si>
    <t>2018-071701</t>
  </si>
  <si>
    <t>U RFA-P 19-3</t>
  </si>
  <si>
    <t>ENGINEER ASSESSMENT</t>
  </si>
  <si>
    <t>2018-071902</t>
  </si>
  <si>
    <t>U RFA-P 19-4</t>
  </si>
  <si>
    <t>US TREASURY BOND PURCHASES</t>
  </si>
  <si>
    <t>2018-072301</t>
  </si>
  <si>
    <t>U RFA-P 19-5</t>
  </si>
  <si>
    <t>TERMINATION OF BEACH ACCESS</t>
  </si>
  <si>
    <t>2018-072601</t>
  </si>
  <si>
    <t>CLE SL UPDATE</t>
  </si>
  <si>
    <t>7/18/18</t>
  </si>
  <si>
    <t>2018-072602</t>
  </si>
  <si>
    <t>SL BASIC TRAINING</t>
  </si>
  <si>
    <t>7/24/18</t>
  </si>
  <si>
    <t>2018-072603</t>
  </si>
  <si>
    <t>DATA POLICY</t>
  </si>
  <si>
    <t>2018-073001</t>
  </si>
  <si>
    <t>U APPEAL 16-17, 17-10, 18-18</t>
  </si>
  <si>
    <t>2018-080701</t>
  </si>
  <si>
    <t>SL/UIPA TRNG</t>
  </si>
  <si>
    <t>8/30/18</t>
  </si>
  <si>
    <t>2018-080801</t>
  </si>
  <si>
    <t>SL REVISIONS - HOUSEKEEPING</t>
  </si>
  <si>
    <t>2019 SESSION</t>
  </si>
  <si>
    <t>2018-080901</t>
  </si>
  <si>
    <t>U RFA-P 19-6</t>
  </si>
  <si>
    <t>DOC CONFIDENTIAL</t>
  </si>
  <si>
    <t>2018-081001</t>
  </si>
  <si>
    <t>U RFA-P 19-7</t>
  </si>
  <si>
    <t>COUNCILMEMBER COCHRAN</t>
  </si>
  <si>
    <t>IMPROVEMENT PROJECT</t>
  </si>
  <si>
    <t>2018-081501</t>
  </si>
  <si>
    <t>RQST FOR COPIES</t>
  </si>
  <si>
    <t>2018-081502</t>
  </si>
  <si>
    <t>U RFA-P 19-8</t>
  </si>
  <si>
    <t>COUNCILMEMBER ATAY</t>
  </si>
  <si>
    <t>TOTAL UIPA RQSTS FILED</t>
  </si>
  <si>
    <t>2018-081601</t>
  </si>
  <si>
    <t>RQST UNCLEAR</t>
  </si>
  <si>
    <t>CLARIFY</t>
  </si>
  <si>
    <t>2018-082901</t>
  </si>
  <si>
    <t>SEELY V POLICE-H</t>
  </si>
  <si>
    <t>CIV. NO. 17-1-0004-14</t>
  </si>
  <si>
    <t>2018-083101</t>
  </si>
  <si>
    <t>U RFA-P 19-9</t>
  </si>
  <si>
    <t>SICK/VACATION LEAVE RCRDS</t>
  </si>
  <si>
    <t>EXPENSE REPORTS</t>
  </si>
  <si>
    <t>2018-083105</t>
  </si>
  <si>
    <t>HRS 89-16.5</t>
  </si>
  <si>
    <t>2018-083104</t>
  </si>
  <si>
    <t>U RFA-P 19-10</t>
  </si>
  <si>
    <t>CONTRACT BETWEEN DOE AND UH SCHOOL OF NURSING</t>
  </si>
  <si>
    <t>2018-091401</t>
  </si>
  <si>
    <t>U RFA-P 19-11</t>
  </si>
  <si>
    <t>OED</t>
  </si>
  <si>
    <t>FY16 GRANTS DOCUMENTS</t>
  </si>
  <si>
    <t>2018-092101</t>
  </si>
  <si>
    <t>CHECK #1672 TO DOT</t>
  </si>
  <si>
    <t>WRONG AGENCY</t>
  </si>
  <si>
    <t>2018-092401</t>
  </si>
  <si>
    <t>U RFA-P 19-12</t>
  </si>
  <si>
    <t>FY17 AND FY18 GRANT APPLICATION</t>
  </si>
  <si>
    <t>2018-092402</t>
  </si>
  <si>
    <t>U RFA-P 19-13</t>
  </si>
  <si>
    <t>ALL DOCS CONCERNING MR BARDELLINI B/W 3/23/18 - 6/7/18</t>
  </si>
  <si>
    <t>2018-092403</t>
  </si>
  <si>
    <t>U RFA-P 19-14</t>
  </si>
  <si>
    <t>ALL EMAILS REGARDING "APPROPRIATE EXPENDITURES"</t>
  </si>
  <si>
    <t>2018-092404</t>
  </si>
  <si>
    <t>HACC</t>
  </si>
  <si>
    <t>RECORD REQUEST LOG</t>
  </si>
  <si>
    <t>2018-092501</t>
  </si>
  <si>
    <t>FY14, FY15, FY16, FY17 LOG REPORTS</t>
  </si>
  <si>
    <t>2018-092601</t>
  </si>
  <si>
    <t>U RFA-P 19-15</t>
  </si>
  <si>
    <t>LEXISNEXIS CONTRACT</t>
  </si>
  <si>
    <t>2018-100201</t>
  </si>
  <si>
    <t>CITIZENS JURY PRESENTATION</t>
  </si>
  <si>
    <t>10/1/18</t>
  </si>
  <si>
    <t>2018-100202</t>
  </si>
  <si>
    <t>U RFA-P 19-16</t>
  </si>
  <si>
    <t>UNREDACTED DOCS</t>
  </si>
  <si>
    <t>CRIME SCENE PHOTOS</t>
  </si>
  <si>
    <t>2018-101101</t>
  </si>
  <si>
    <t>DENIAL OF RQST FOR RCRDS</t>
  </si>
  <si>
    <t>LAWSUIT</t>
  </si>
  <si>
    <t>2018-101201</t>
  </si>
  <si>
    <t>U RFA_P 19-17</t>
  </si>
  <si>
    <t>SHERIFF FORMS, OTHER DOCS</t>
  </si>
  <si>
    <t>2018-101501</t>
  </si>
  <si>
    <t>U RFA-P 19-18</t>
  </si>
  <si>
    <t>TAT PAYORS</t>
  </si>
  <si>
    <t>NAME AND ADDRESS</t>
  </si>
  <si>
    <t>2018-101701</t>
  </si>
  <si>
    <t>U RFA-P 19-19</t>
  </si>
  <si>
    <t>SISTER CITY RECORDS</t>
  </si>
  <si>
    <t>2018-101801</t>
  </si>
  <si>
    <t>WALDEN V HIILEI ALOHA LLC, HOOKELE PONO LLC, HIIPAKA LLC</t>
  </si>
  <si>
    <t>S.P. 18-1-0301</t>
  </si>
  <si>
    <t>2018-102301</t>
  </si>
  <si>
    <t>RECORD RQST LOGS</t>
  </si>
  <si>
    <t>7/1/17 - 6/30/18</t>
  </si>
  <si>
    <t>2018-102401</t>
  </si>
  <si>
    <t>DATE: TBD</t>
  </si>
  <si>
    <t>2018-102601</t>
  </si>
  <si>
    <t>RECON-P 19-1</t>
  </si>
  <si>
    <t>OIP OP. LTR. 19-01</t>
  </si>
  <si>
    <t>2018-102602</t>
  </si>
  <si>
    <t>U RFA-P 19-20</t>
  </si>
  <si>
    <t>COFFEE IMPORT PERMIT APP</t>
  </si>
  <si>
    <t>2018-102902</t>
  </si>
  <si>
    <t>COMPLAINTS TO OIP REGARDING HPD</t>
  </si>
  <si>
    <t>1/1/18 - 10/29/18</t>
  </si>
  <si>
    <t>2018-102901</t>
  </si>
  <si>
    <t>U RFA-P 19-21</t>
  </si>
  <si>
    <t>HARASSMENT COMPLAINT</t>
  </si>
  <si>
    <t>2018-103001</t>
  </si>
  <si>
    <t>SHOPO V C&amp;C OF HONOLULU</t>
  </si>
  <si>
    <t>CIV. NO. 18-1-0823-05</t>
  </si>
  <si>
    <t>2018-103101</t>
  </si>
  <si>
    <t>11/14/18</t>
  </si>
  <si>
    <t>2018-110101</t>
  </si>
  <si>
    <t>SUPPLEMENT TO RECON REQUEST</t>
  </si>
  <si>
    <t>2018-110102</t>
  </si>
  <si>
    <t>RQST FOR DISCIPLINARY ACTION</t>
  </si>
  <si>
    <t>2018-110502</t>
  </si>
  <si>
    <t>RECORD REQUEST FEES</t>
  </si>
  <si>
    <t>2018-110501</t>
  </si>
  <si>
    <t>U RFA-P 19-23</t>
  </si>
  <si>
    <t>WORKPLACE VIOLENCE INVESTIGATION REPORT</t>
  </si>
  <si>
    <t>2018-110902</t>
  </si>
  <si>
    <t>U RFA-P 19-22</t>
  </si>
  <si>
    <t>GROVES SUBDIVISION</t>
  </si>
  <si>
    <t>2018-111501</t>
  </si>
  <si>
    <t>UIPA VIOLATIONS</t>
  </si>
  <si>
    <t>DISCIPLINARY ACTIONS</t>
  </si>
  <si>
    <t>2018-111502</t>
  </si>
  <si>
    <t>U RFA-P 19-24</t>
  </si>
  <si>
    <t>WORKPLACE VIOLENCE ACTION PLAN</t>
  </si>
  <si>
    <t>DHRD REPORT</t>
  </si>
  <si>
    <t>2018-111602</t>
  </si>
  <si>
    <t>U RFA-P 19-25</t>
  </si>
  <si>
    <t>WASTEWATER SETTLING PONDS</t>
  </si>
  <si>
    <t>2018-112601</t>
  </si>
  <si>
    <t>DISCIPLINARY ACTION RECOMMENDATION</t>
  </si>
  <si>
    <t>2018-112901</t>
  </si>
  <si>
    <t>U RFA-P 19-26</t>
  </si>
  <si>
    <t>2018-113002</t>
  </si>
  <si>
    <t>OIP OP LTR F19-01</t>
  </si>
  <si>
    <t>REQUEST FOR RECON</t>
  </si>
  <si>
    <t>2018-113001</t>
  </si>
  <si>
    <t>U RFA-P 19-27</t>
  </si>
  <si>
    <t>HU HONUA SYSTEM INFORMATION</t>
  </si>
  <si>
    <t>2018-120501</t>
  </si>
  <si>
    <t>POINT OF CONTACTS</t>
  </si>
  <si>
    <t>STATE/CITY AGENCIES</t>
  </si>
  <si>
    <t>2018-120602</t>
  </si>
  <si>
    <t>OIP PAYMENT TO HAWAII INFORMATION CONSORTIUM</t>
  </si>
  <si>
    <t>2018-121301</t>
  </si>
  <si>
    <t>U RFA-P 19-28</t>
  </si>
  <si>
    <t>RIGHT OF ENTRY AGREEMENT</t>
  </si>
  <si>
    <t>2018-121702</t>
  </si>
  <si>
    <t>ATTY-CLIENT PRIVILEGE</t>
  </si>
  <si>
    <t>FEES, REPETITIVE INFO</t>
  </si>
  <si>
    <t>2018-122001</t>
  </si>
  <si>
    <t>OHA RECORDS RETENTION</t>
  </si>
  <si>
    <t>DISPOSAL POLICIES</t>
  </si>
  <si>
    <t>2018-122402</t>
  </si>
  <si>
    <t>DPP OPS - COVER SHEETS</t>
  </si>
  <si>
    <t>OPEN CASES - AGENCY LETTER</t>
  </si>
  <si>
    <t>2018-122701</t>
  </si>
  <si>
    <t>LIST OF PENDING CASES</t>
  </si>
  <si>
    <t>2018-122801</t>
  </si>
  <si>
    <t>DLIR APPEALS BOARD</t>
  </si>
  <si>
    <t>RULE AMENDMENTS</t>
  </si>
  <si>
    <t>2018-122802</t>
  </si>
  <si>
    <t>OLELO RECORDS AT DCCA</t>
  </si>
  <si>
    <t>2018-123102</t>
  </si>
  <si>
    <t>NO DENIAL FROM AGENCY</t>
  </si>
  <si>
    <t>AGENCY NEEDS ADDITIONAL INFO</t>
  </si>
  <si>
    <t>2018-123101</t>
  </si>
  <si>
    <t>AGENCY PROVIDED RCRDS</t>
  </si>
  <si>
    <t>RQST NOT IN OIPS JURISDICTION</t>
  </si>
  <si>
    <t>2018-123103</t>
  </si>
  <si>
    <t>U RFA-P 19-29</t>
  </si>
  <si>
    <t>CORRECTION OF GOVERNMENT RCRD</t>
  </si>
  <si>
    <t>LIST  OF MEMBERS OF ADMISSIONS CMTE &amp; GUIDELINES</t>
  </si>
  <si>
    <t>ACCESS TO  COPY OF MEMO</t>
  </si>
  <si>
    <t>RFO  (95-024)</t>
  </si>
  <si>
    <t>DISCL. OF GOVT. EMPLYE PRIV. DATA BY UNION           * FILE W/JZB (RFO 99-019)</t>
  </si>
  <si>
    <t>RELEASE. OF PERSONNEL RECORDS FOR FEDERAL  AUDIT</t>
  </si>
  <si>
    <t>DENIAL OF  ACCESS</t>
  </si>
  <si>
    <t>VEHICLE TAX  MEMO SPECIAL MEETING</t>
  </si>
  <si>
    <t>POLICY/PROC.  MANUAL</t>
  </si>
  <si>
    <t>CONSTITUENT COMPLAINT  See: S RFO-G 05-039</t>
  </si>
  <si>
    <t>NOTICES OF VIOLATION  ORDER</t>
  </si>
  <si>
    <t>92.5(a)(2)  executive session 92-4</t>
  </si>
  <si>
    <t>2016-010402 </t>
  </si>
  <si>
    <t>2016-011401 </t>
  </si>
  <si>
    <t>2013-050103 </t>
  </si>
  <si>
    <t>2014-042201 </t>
  </si>
  <si>
    <t>2013-102903 </t>
  </si>
  <si>
    <t>2016-011901 </t>
  </si>
  <si>
    <t>2016-021701 </t>
  </si>
  <si>
    <t>2013-081305 </t>
  </si>
  <si>
    <t>2014-102001 </t>
  </si>
  <si>
    <t>2016-031101 </t>
  </si>
  <si>
    <t>2016-031102 </t>
  </si>
  <si>
    <t>2016-040401 </t>
  </si>
  <si>
    <t>2016-041401 </t>
  </si>
  <si>
    <t>2016-030202 </t>
  </si>
  <si>
    <t>2014-040302 </t>
  </si>
  <si>
    <t>2014-041602 </t>
  </si>
  <si>
    <t>2014-120402 </t>
  </si>
  <si>
    <t>2014-122201 </t>
  </si>
  <si>
    <t>2014-122202 </t>
  </si>
  <si>
    <t>2015-012701 </t>
  </si>
  <si>
    <t>2014-102101 </t>
  </si>
  <si>
    <t>2015-012702 </t>
  </si>
  <si>
    <t>2014-032701 </t>
  </si>
  <si>
    <t>2014-012801 </t>
  </si>
  <si>
    <t>2014-040701 </t>
  </si>
  <si>
    <t>2013-013001 </t>
  </si>
  <si>
    <t>2014-071102 </t>
  </si>
  <si>
    <t>2014-082602 </t>
  </si>
  <si>
    <t>2013-021101 </t>
  </si>
  <si>
    <t>2014-122302 </t>
  </si>
  <si>
    <t>2015-042202 </t>
  </si>
  <si>
    <t>2013-090303 </t>
  </si>
  <si>
    <t>2013-110803 </t>
  </si>
  <si>
    <t>2016-040501 </t>
  </si>
  <si>
    <t>2016-031502 </t>
  </si>
  <si>
    <t>2016-032901 </t>
  </si>
  <si>
    <t>2014-022503 </t>
  </si>
  <si>
    <t>2014-040401 </t>
  </si>
  <si>
    <t>2014-051505 </t>
  </si>
  <si>
    <t>2014-062321 </t>
  </si>
  <si>
    <t>2014-072104 </t>
  </si>
  <si>
    <t>2014-093001 </t>
  </si>
  <si>
    <t>2015-121502 </t>
  </si>
  <si>
    <t>2014-050701 </t>
  </si>
  <si>
    <t>2014-071401 </t>
  </si>
  <si>
    <t>2014-061602 </t>
  </si>
  <si>
    <t>2013-110501 </t>
  </si>
  <si>
    <t>2013-072203 </t>
  </si>
  <si>
    <t>2016-050401 </t>
  </si>
  <si>
    <t>2013-100301 </t>
  </si>
  <si>
    <t>2013-111402 </t>
  </si>
  <si>
    <t>2014-112104 </t>
  </si>
  <si>
    <t>2014-092302 </t>
  </si>
  <si>
    <t>2013-100902 </t>
  </si>
  <si>
    <t>2013-100901 </t>
  </si>
  <si>
    <t>2013-112502 </t>
  </si>
  <si>
    <t>2013-072202 </t>
  </si>
  <si>
    <t>2013-120402 </t>
  </si>
  <si>
    <t>2016-092604 </t>
  </si>
  <si>
    <t>2016-092201 </t>
  </si>
  <si>
    <t>2016-093002 </t>
  </si>
  <si>
    <t>2014-070701 </t>
  </si>
  <si>
    <t>2013-100904 </t>
  </si>
  <si>
    <t>2014-022501 </t>
  </si>
  <si>
    <t>2016-111401 </t>
  </si>
  <si>
    <t>Personal Records Request?</t>
  </si>
  <si>
    <t>Request
Needed
Initial
Clarification</t>
  </si>
  <si>
    <t>Agency Gave Incremental
Responses?</t>
  </si>
  <si>
    <t>Date
Completed</t>
  </si>
  <si>
    <t>Request Granted/ Denied in
Part</t>
  </si>
  <si>
    <t>Requester
Abandoned or Failed to Pay</t>
  </si>
  <si>
    <t>UIPA Lawsuit
Filed Against Agency?</t>
  </si>
  <si>
    <t>Actual  Search
Hours</t>
  </si>
  <si>
    <t>Actual  Review/  Segregation Hours</t>
  </si>
  <si>
    <t>Actual
Legal
Review
Hours</t>
  </si>
  <si>
    <t>TOTAL Actual
 SRS &amp; Legal Review
Hours</t>
  </si>
  <si>
    <t>TOTAL GROSS
SRS Fees Incurred</t>
  </si>
  <si>
    <t>$30
Fee Waiver</t>
  </si>
  <si>
    <t>$60
Public Interest Fee Waiver</t>
  </si>
  <si>
    <t>TOTAL NET
SRS Fees  CHARGEABLE</t>
  </si>
  <si>
    <t>GROSS
Copy/Delivery
Costs that Agency INCURRED</t>
  </si>
  <si>
    <t>NET
Copy/Delivery
Costs CHARGEABLE to Requester</t>
  </si>
  <si>
    <t>TOTAL 
NET Fees &amp; Costs CHARGEABLE for ALL Requests</t>
  </si>
  <si>
    <t>TOTAL
GROSS Fees &amp;  Costs Agency INCURRED for ALL Requests</t>
  </si>
  <si>
    <t>TOTAL 
GROSS Fees
&amp; Costs INCURRED BUT  NOT CHARGED  for ALL Requests</t>
  </si>
  <si>
    <t># of Workdays to Complete PERSONAL RECORD Requests</t>
  </si>
  <si>
    <t>CC HONOLULU/ BUDGET AND FISCAL SERVICES/ ADMIN</t>
  </si>
  <si>
    <t>CC_HONOLULU_CLIMATE_CHANGE_SUSTAINABILITY_&amp;_RESILIENCY</t>
  </si>
  <si>
    <t>CC HONOLULU/ CLIMATE CHANGE, SUSTAINABILITY &amp; RESILIENCY</t>
  </si>
  <si>
    <t>CC_HONOLULU_ENERGY_MANAGEMENT</t>
  </si>
  <si>
    <t>CC HONOLULU/ ENERGY MANAGEMENT</t>
  </si>
  <si>
    <t>CC_HONOLULU_LAND_MANAGEMENT</t>
  </si>
  <si>
    <t>CC HONOLULU/ LAND MANAGEMENT</t>
  </si>
  <si>
    <t>CC HONOLULU/ MAYOR AND MANAGING DIRECTOR</t>
  </si>
  <si>
    <t>CC_HONOLULU_POLICE_COMMISSION</t>
  </si>
  <si>
    <t>CC HONOLULU/ POLICE COMMISSION</t>
  </si>
  <si>
    <t>HAWAII_COUNTY_OFFICE_OF_AGING</t>
  </si>
  <si>
    <t>HAWAII COUNTY/ OFFICE OF AGING</t>
  </si>
  <si>
    <t>MAUI COUNTY/ AUDITOR</t>
  </si>
  <si>
    <t>SOH/ ACCOUNTING &amp; GENERAL SERVICES/ HAWAII DISTRICT OFFICE/ HAW-0</t>
  </si>
  <si>
    <t>SOH/ ACCOUNTING &amp; GENERAL SVCS/ OFC OF ENT TECH SVCS/ KALANIMOKU</t>
  </si>
  <si>
    <t>SOH/ AGRICULTURE/ PERSONNEL MGMT STAFF/ PERMGMT</t>
  </si>
  <si>
    <t>SOH/ AGRICULTURE/ PLANT INDUSTRY DIV/ AGRPI</t>
  </si>
  <si>
    <t>SOH/ ATTORNEY GENERAL/ CSEA - ADMINISTRATION</t>
  </si>
  <si>
    <t>SOH/ BUSINESS, ECON DEV, &amp; TOURISM/ SMALL BUSINESS  REG REVIEW BOARD</t>
  </si>
  <si>
    <t>SOH/ EDUCATION/ INNOVATIONS PCS</t>
  </si>
  <si>
    <t>SOH/ EDUCATION/ KA'OHAO PCS LANIKAI</t>
  </si>
  <si>
    <t>SOH/ EDUCATION/ KAMALANI ACADEMY</t>
  </si>
  <si>
    <t>SOH/ EDUCATION/ KUALAPU'U SCHOOL: A PUBLIC CONVERSION CHARTER</t>
  </si>
  <si>
    <t>SOH/ EDUCATION/ WAIALAE</t>
  </si>
  <si>
    <t>SOH/ HEALTH/ DO/ OFFICE OF PUBLIC HEALTH PREPAREDNESS</t>
  </si>
  <si>
    <t>SOH/ HEALTH/ EHA/ EHSD/ FOOD &amp; DRUG BR</t>
  </si>
  <si>
    <t>SOH/ JUDICIARY/ COURT SUPPORT SERVICES DIV/ 2JC-OCCA-CSSD</t>
  </si>
  <si>
    <t>SOH/ JUDICIARY/ OFFICE OF THE CHIEF JUSTICE</t>
  </si>
  <si>
    <t>SOH/ LABOR &amp; INDUSTRIAL RELATIONS/ TRAINING &amp; DEV SECTION/ DLIR-WD</t>
  </si>
  <si>
    <t>SOH/ LAND &amp; NATURAL RESOURCES/ STATE HISTORIC PRESERVATION DIV</t>
  </si>
  <si>
    <t>SOH/ UNIVERSITY OF HAWAII/ UNIV OF HAWAII AT MANOA/ UH MANOA</t>
  </si>
  <si>
    <t>SOH/ UNIVERSITY OF HAWAII/ UH SYSTEM</t>
  </si>
  <si>
    <t>Total UIPA Req in FY19</t>
  </si>
  <si>
    <t>UIPA Req with No Disclosure FY19</t>
  </si>
  <si>
    <t>FY19 Denial Percentage</t>
  </si>
  <si>
    <t>Avg Days for Dep't to Complete UIPA Req in FY19</t>
  </si>
  <si>
    <t>Longest Time (Days) for Dep't to Complete Req FY19</t>
  </si>
  <si>
    <t>New OIP Matters FY19 re UIPA</t>
  </si>
  <si>
    <t>New OIP Matters as % of Requests for FY19+FY18</t>
  </si>
  <si>
    <t>2019-012301</t>
  </si>
  <si>
    <t>DISCLOSURE OF TRANSCRIPTS</t>
  </si>
  <si>
    <t>ETHICS HEARING</t>
  </si>
  <si>
    <t>2019-021401</t>
  </si>
  <si>
    <t>RECORDS OF OTHER AGENCIES</t>
  </si>
  <si>
    <t>2019-022201</t>
  </si>
  <si>
    <t>OIP DOES NOT HAVE RECORDS</t>
  </si>
  <si>
    <t>2019-0122701</t>
  </si>
  <si>
    <t>PART III DENIAL</t>
  </si>
  <si>
    <t>2019-030401</t>
  </si>
  <si>
    <t>COMPLAINT AGAINST PSD</t>
  </si>
  <si>
    <t>2019-031501</t>
  </si>
  <si>
    <t>VIOLATION COMPLAINT AGAINST DHS</t>
  </si>
  <si>
    <t>2019-031502</t>
  </si>
  <si>
    <t>RELEASE OF MUG SHOT PHOTOS</t>
  </si>
  <si>
    <t>SUPREME COURT DECISION</t>
  </si>
  <si>
    <t>2019-031503</t>
  </si>
  <si>
    <t>RSI REQUEST FOR RECON</t>
  </si>
  <si>
    <t>U MEMO 19-7</t>
  </si>
  <si>
    <t>2019-031504</t>
  </si>
  <si>
    <t>HAWAII INTERAGENCY COUNCIL ON HOMELESSNESS</t>
  </si>
  <si>
    <t>2019-032801</t>
  </si>
  <si>
    <t>TRANSFER OF LEASE</t>
  </si>
  <si>
    <t>2019-040201</t>
  </si>
  <si>
    <t>SL CONCERNS</t>
  </si>
  <si>
    <t>BUDGET AD HOC COMMITTEE</t>
  </si>
  <si>
    <t>2019-040202</t>
  </si>
  <si>
    <t>INSUFFICIENT NOTICE OF AGENDA</t>
  </si>
  <si>
    <t>2019-040302</t>
  </si>
  <si>
    <t>VIDEO RECORDS</t>
  </si>
  <si>
    <t>INSUFFICIENT RQST</t>
  </si>
  <si>
    <t>2019-040401</t>
  </si>
  <si>
    <t>ELECTRONIC MINUTES</t>
  </si>
  <si>
    <t>PILOT PROJECT</t>
  </si>
  <si>
    <t>2019-040501</t>
  </si>
  <si>
    <t>2019-040801</t>
  </si>
  <si>
    <t>U RFA-P 19-38</t>
  </si>
  <si>
    <t>DOCS NOT RECEIVED</t>
  </si>
  <si>
    <t>2019-040901</t>
  </si>
  <si>
    <t>APPLICANT INTERVIEWS</t>
  </si>
  <si>
    <t>2019-040902</t>
  </si>
  <si>
    <t>REQUEST TO SEND DOCS THROUGH US MAIL</t>
  </si>
  <si>
    <t>2019-041501</t>
  </si>
  <si>
    <t>VIOLATION COMPLAINT</t>
  </si>
  <si>
    <t>2019-041502</t>
  </si>
  <si>
    <t>COMPLAINT AGAINST D YOSHIMURA</t>
  </si>
  <si>
    <t>UNPAID WAGES</t>
  </si>
  <si>
    <t>2019-041503</t>
  </si>
  <si>
    <t>DIGITAL RECORDING OF MINUTES</t>
  </si>
  <si>
    <t>2019-042601</t>
  </si>
  <si>
    <t>REVIEW OF OIP OP LTR 03-19</t>
  </si>
  <si>
    <t>KALUAPAPA MONUMENT</t>
  </si>
  <si>
    <t>2019-042901</t>
  </si>
  <si>
    <t>RQST TO REOPEN U RFA-P 19-38</t>
  </si>
  <si>
    <t>RQST TO DHS</t>
  </si>
  <si>
    <t>2019-051601</t>
  </si>
  <si>
    <t>2019-052101</t>
  </si>
  <si>
    <t>2019-052201</t>
  </si>
  <si>
    <t>DOCUMENTS DESTROYED</t>
  </si>
  <si>
    <t>GRIEVANCE FILINGS</t>
  </si>
  <si>
    <t>2019-052902</t>
  </si>
  <si>
    <t>HAWAII CLIMATE CHANGE CMSN</t>
  </si>
  <si>
    <t>2019-061001</t>
  </si>
  <si>
    <t>AUTHORITY TO DENY INVESTIGATION</t>
  </si>
  <si>
    <t>2019-061402</t>
  </si>
  <si>
    <t>REQUEST TO MAUI POLICE DEPARTMENT</t>
  </si>
  <si>
    <t>2019-061902</t>
  </si>
  <si>
    <t>RQST FOR OPINION</t>
  </si>
  <si>
    <t>2019-062501</t>
  </si>
  <si>
    <t>COMPLAINT AGAINST HHSC</t>
  </si>
  <si>
    <t>2019-070203</t>
  </si>
  <si>
    <t>KALAUPAPA</t>
  </si>
  <si>
    <t>2019-071801</t>
  </si>
  <si>
    <t>DATE OF DEATH</t>
  </si>
  <si>
    <t>KALAUPAPA RESIDENTS</t>
  </si>
  <si>
    <t>2019-080501</t>
  </si>
  <si>
    <t>ELECTRONIC CALENDAR</t>
  </si>
  <si>
    <t>TIMELY FILING</t>
  </si>
  <si>
    <t>2019-080701</t>
  </si>
  <si>
    <t>RENTAL CAR COMPANIES</t>
  </si>
  <si>
    <t>RECEIPTS/CONCESSION FEES</t>
  </si>
  <si>
    <t>2019-081902</t>
  </si>
  <si>
    <t>PRISONER GRIEVANCE</t>
  </si>
  <si>
    <t>2019-081905</t>
  </si>
  <si>
    <t>CSEA RECORDS</t>
  </si>
  <si>
    <t>2019-082701</t>
  </si>
  <si>
    <t>2019-082902</t>
  </si>
  <si>
    <t>DOFAW PUEO REPORTS</t>
  </si>
  <si>
    <t>FALSE REPORT</t>
  </si>
  <si>
    <t>2019-090902</t>
  </si>
  <si>
    <t>DELIBERATE VIOLATIONS</t>
  </si>
  <si>
    <t>INSPECTION</t>
  </si>
  <si>
    <t>2019-091103</t>
  </si>
  <si>
    <t>STATE ID RQST</t>
  </si>
  <si>
    <t>ASKED AND ANSWERED</t>
  </si>
  <si>
    <t>2019-091802</t>
  </si>
  <si>
    <t>CONTACT HHSC</t>
  </si>
  <si>
    <t>RESPOND TO RCRDS RQST</t>
  </si>
  <si>
    <t>2019-091803</t>
  </si>
  <si>
    <t>RQST FOR BIRTH CERTIFICATE</t>
  </si>
  <si>
    <t>INCORRECT INFO</t>
  </si>
  <si>
    <t>2019-092301</t>
  </si>
  <si>
    <t>NB #13</t>
  </si>
  <si>
    <t>REQUESTER TO CONTACT NCO</t>
  </si>
  <si>
    <t>2019-100101</t>
  </si>
  <si>
    <t>VENDOR RECORDS</t>
  </si>
  <si>
    <t>CLARIFY IF RFA OR APPEAL</t>
  </si>
  <si>
    <t>2019-100202</t>
  </si>
  <si>
    <t>2019-101803</t>
  </si>
  <si>
    <t>LEGISLATURE 2020</t>
  </si>
  <si>
    <t>2019-102401</t>
  </si>
  <si>
    <t>2019-102502</t>
  </si>
  <si>
    <t>RQST NOT PROVIDED</t>
  </si>
  <si>
    <t>2019-110702</t>
  </si>
  <si>
    <t>INSPECTION LOCATION</t>
  </si>
  <si>
    <t>2019-111801</t>
  </si>
  <si>
    <t>NO RECORDS RQST ATTACHED</t>
  </si>
  <si>
    <t>2019-112201</t>
  </si>
  <si>
    <t>COUNTY WEBSITE</t>
  </si>
  <si>
    <t>REQUEST FOR SERVICE</t>
  </si>
  <si>
    <t>2019-112501</t>
  </si>
  <si>
    <t>AGENCY THAT MAINTAINS RECORD</t>
  </si>
  <si>
    <t>2019-112601</t>
  </si>
  <si>
    <t>PIG</t>
  </si>
  <si>
    <t>2019-120601</t>
  </si>
  <si>
    <t>12/5/19 LETTER</t>
  </si>
  <si>
    <t>2019-121803</t>
  </si>
  <si>
    <t>DRAFT GUIDELINES</t>
  </si>
  <si>
    <t>2019-032701</t>
  </si>
  <si>
    <t>RECON-P 19-2</t>
  </si>
  <si>
    <t>2019-040301</t>
  </si>
  <si>
    <t>RECON-P 19-3</t>
  </si>
  <si>
    <t>U APPEAL 16-9;</t>
  </si>
  <si>
    <t>2019-052001</t>
  </si>
  <si>
    <t>RECON-P 19-4</t>
  </si>
  <si>
    <t>U MEMO 19-10</t>
  </si>
  <si>
    <t>DISCLOSURE OF SHERIFF NAMES</t>
  </si>
  <si>
    <t>2019-051301</t>
  </si>
  <si>
    <t>S APPEAL 19-11</t>
  </si>
  <si>
    <t>MINUTES NOT POSTED</t>
  </si>
  <si>
    <t>2019-011401</t>
  </si>
  <si>
    <t>S APPEAL 19-6</t>
  </si>
  <si>
    <t>11/26/18 COUNCIL ORG MEETING</t>
  </si>
  <si>
    <t>2019-022101</t>
  </si>
  <si>
    <t>S APPEAL 19-7</t>
  </si>
  <si>
    <t>KANUIKAPONO CHARTER SCHOOL BOARD MTGS</t>
  </si>
  <si>
    <t>2019-092601</t>
  </si>
  <si>
    <t>S APPEAL 20-2</t>
  </si>
  <si>
    <t>COUNCILMEMBER SUGIMURA</t>
  </si>
  <si>
    <t>LOC/DHA</t>
  </si>
  <si>
    <t>2019-012801</t>
  </si>
  <si>
    <t>U APPEAL 19-19</t>
  </si>
  <si>
    <t>RQST FOR ARREST RECORD</t>
  </si>
  <si>
    <t>2019-070801</t>
  </si>
  <si>
    <t>U APPEAL 20-1</t>
  </si>
  <si>
    <t>TAX REVENUE ESTIMATES</t>
  </si>
  <si>
    <t>DENIED IN ENTIRETY</t>
  </si>
  <si>
    <t>2019-090301</t>
  </si>
  <si>
    <t>U APPEAL 20-12</t>
  </si>
  <si>
    <t>LACK OF PERMITS</t>
  </si>
  <si>
    <t>2019-090401</t>
  </si>
  <si>
    <t>U APPEAL 20-13</t>
  </si>
  <si>
    <t>EXPERIMENT 8</t>
  </si>
  <si>
    <t>WATER SERVICE RECORDS</t>
  </si>
  <si>
    <t>2019-091102</t>
  </si>
  <si>
    <t>U APPEAL 20-17</t>
  </si>
  <si>
    <t>EXPERIMENT 10</t>
  </si>
  <si>
    <t>PARKS-H BUDGET</t>
  </si>
  <si>
    <t>2019-092302</t>
  </si>
  <si>
    <t>U APPEAL 20-21</t>
  </si>
  <si>
    <t>EXPERIMENT 12</t>
  </si>
  <si>
    <t>NOTARY DATABASE</t>
  </si>
  <si>
    <t>2019-092501</t>
  </si>
  <si>
    <t>U APPEAL 20-23</t>
  </si>
  <si>
    <t>EXPERIMENT 13</t>
  </si>
  <si>
    <t>NB MEMBER ADDRESS</t>
  </si>
  <si>
    <t>2019-103101</t>
  </si>
  <si>
    <t>U APPEAL 20-31</t>
  </si>
  <si>
    <t>RECORD CREATION</t>
  </si>
  <si>
    <t>QUESTION ASKED</t>
  </si>
  <si>
    <t>incorrectly opened as APPEAL. Re-opened as an RFA (U RFA-P 20-35)</t>
  </si>
  <si>
    <t>2019-080703</t>
  </si>
  <si>
    <t>U APPEAL 20-7</t>
  </si>
  <si>
    <t>EXPERIMENT 5</t>
  </si>
  <si>
    <t>RQST FOR DOBOR INVESTIGATION</t>
  </si>
  <si>
    <t>2019-010201</t>
  </si>
  <si>
    <t>U RFA-P 19-30</t>
  </si>
  <si>
    <t>SUSPENSION/ DISCHARGE RCRDS</t>
  </si>
  <si>
    <t>2019-011402</t>
  </si>
  <si>
    <t>U RFA-P 19-31</t>
  </si>
  <si>
    <t>2019-011501</t>
  </si>
  <si>
    <t>U RFA-P 19-32</t>
  </si>
  <si>
    <t>2019-012401</t>
  </si>
  <si>
    <t>U RFA-P 19-33</t>
  </si>
  <si>
    <t>2019-022802</t>
  </si>
  <si>
    <t>U RFA-P 19-34</t>
  </si>
  <si>
    <t>STATUS OF INTEREST INCOME THROUGH HIC</t>
  </si>
  <si>
    <t>2019-030101</t>
  </si>
  <si>
    <t>U RFA-P 19-35</t>
  </si>
  <si>
    <t>INVESTIGATION CONDUCTED BY CATHY CHIN</t>
  </si>
  <si>
    <t>2019-030402</t>
  </si>
  <si>
    <t>U RFA-P 19-36</t>
  </si>
  <si>
    <t>WAILANI DEVELOPMENT RECORDS</t>
  </si>
  <si>
    <t>2019-030403</t>
  </si>
  <si>
    <t>U RFA-P 19-37</t>
  </si>
  <si>
    <t>RQST FOR HARASSMENT DOCS</t>
  </si>
  <si>
    <t>REPORT OF MISCONDUCT</t>
  </si>
  <si>
    <t>2019-031301</t>
  </si>
  <si>
    <t>MEDQUESTS RESPONSE TO HARASSMENT COMPLAINT</t>
  </si>
  <si>
    <t>2019-041601</t>
  </si>
  <si>
    <t>U RFA-P 19-39</t>
  </si>
  <si>
    <t>RQST FOR PUBLIC HEARING TRANSCRIPTS</t>
  </si>
  <si>
    <t>AUDIO RECORDINGS</t>
  </si>
  <si>
    <t>2019-042401</t>
  </si>
  <si>
    <t>U RFA-P 19-40</t>
  </si>
  <si>
    <t>2019-052102</t>
  </si>
  <si>
    <t>U RFA-P 19-41</t>
  </si>
  <si>
    <t>MUMPS CASE REPORTS</t>
  </si>
  <si>
    <t>NO RESPONSE TO ATR</t>
  </si>
  <si>
    <t>2019-052401</t>
  </si>
  <si>
    <t>U RFA-P 19-42</t>
  </si>
  <si>
    <t>NO PERMIT REQUIRED</t>
  </si>
  <si>
    <t>NO SHORELINE VARIANCE REQUIRED</t>
  </si>
  <si>
    <t>2019-052402</t>
  </si>
  <si>
    <t>U RFA-P 19-43</t>
  </si>
  <si>
    <t>2019-052403</t>
  </si>
  <si>
    <t>U RFA-P 19-44</t>
  </si>
  <si>
    <t>RQST FOR ELECTRONIC COPIES</t>
  </si>
  <si>
    <t>PREPAYMENT REQUIRED</t>
  </si>
  <si>
    <t>2019-052901</t>
  </si>
  <si>
    <t>U RFA-P 19-45</t>
  </si>
  <si>
    <t>TRANSCRIPTS OF AUDIO TAPES</t>
  </si>
  <si>
    <t>2019-060601</t>
  </si>
  <si>
    <t>U RFA-P 19-46</t>
  </si>
  <si>
    <t>RQST TO OHA LLCS</t>
  </si>
  <si>
    <t>COMPLETE CHECK REGISTER</t>
  </si>
  <si>
    <t>2019-060701</t>
  </si>
  <si>
    <t>U RFA-P 19-47</t>
  </si>
  <si>
    <t>RQST FOR PERSONNEL FILE</t>
  </si>
  <si>
    <t>2019-061202</t>
  </si>
  <si>
    <t>U RFA-P 19-48</t>
  </si>
  <si>
    <t>COMM SVC-HON</t>
  </si>
  <si>
    <t>SECTION 8 RENTAL ASSISTANCE</t>
  </si>
  <si>
    <t>LATE RESPONSE</t>
  </si>
  <si>
    <t>2019-061301</t>
  </si>
  <si>
    <t>U RFA-P 19-49</t>
  </si>
  <si>
    <t>RENT SHARE ACCOUNTING</t>
  </si>
  <si>
    <t>2019-061203</t>
  </si>
  <si>
    <t>U RFA-P 19-50</t>
  </si>
  <si>
    <t>CLOSED COMPLAINTS</t>
  </si>
  <si>
    <t>2019-061801</t>
  </si>
  <si>
    <t>U RFA-P 19-51</t>
  </si>
  <si>
    <t>2019-061901</t>
  </si>
  <si>
    <t>U RFA-P 19-52</t>
  </si>
  <si>
    <t>KULANI CC WRITE UP</t>
  </si>
  <si>
    <t>2019-062502</t>
  </si>
  <si>
    <t>U RFA-P 19-53</t>
  </si>
  <si>
    <t>7 GRIEVANCES</t>
  </si>
  <si>
    <t>2019-070202</t>
  </si>
  <si>
    <t>U RFA-P 20-1</t>
  </si>
  <si>
    <t>BOW REPAIRS REPORT</t>
  </si>
  <si>
    <t>2019-081201</t>
  </si>
  <si>
    <t>U RFA-P 20-10</t>
  </si>
  <si>
    <t>ALOHA TOWER MARINE TRAFFIC SVCS</t>
  </si>
  <si>
    <t>2019-081202</t>
  </si>
  <si>
    <t>U RFA-P 20-11</t>
  </si>
  <si>
    <t>2019-081904</t>
  </si>
  <si>
    <t>U RFA-P 20-12</t>
  </si>
  <si>
    <t>HEARING OFFICER NOTES</t>
  </si>
  <si>
    <t>2019-091001</t>
  </si>
  <si>
    <t>U RFA-P 20-14</t>
  </si>
  <si>
    <t>COPIES - ASUS</t>
  </si>
  <si>
    <t>QUESTIONS AND ANSWERS</t>
  </si>
  <si>
    <t>2019-091701</t>
  </si>
  <si>
    <t>U RFA-P 20-16</t>
  </si>
  <si>
    <t>TERRA PACIFIC GET LIABILITIES</t>
  </si>
  <si>
    <t>2019-091702</t>
  </si>
  <si>
    <t>U RFA-P 20-17</t>
  </si>
  <si>
    <t>FORMAT REQUESTED</t>
  </si>
  <si>
    <t>AGENCY BURDEN</t>
  </si>
  <si>
    <t>2019-091703</t>
  </si>
  <si>
    <t>U RFA-P 20-18</t>
  </si>
  <si>
    <t>RESIDENTIAL ADDRESSES;</t>
  </si>
  <si>
    <t>NB MEMBER</t>
  </si>
  <si>
    <t>2019-070301</t>
  </si>
  <si>
    <t>U RFA-P 20-2</t>
  </si>
  <si>
    <t>2019-093001</t>
  </si>
  <si>
    <t>U RFA-P 20-20</t>
  </si>
  <si>
    <t>COPIES OF ORIGINAL LETTER</t>
  </si>
  <si>
    <t>HAWAII CSR</t>
  </si>
  <si>
    <t>2019-100802</t>
  </si>
  <si>
    <t>U RFA-P 20-22</t>
  </si>
  <si>
    <t>2019-101001</t>
  </si>
  <si>
    <t>U RFA-P 20-23</t>
  </si>
  <si>
    <t>2019-101501</t>
  </si>
  <si>
    <t>U RFA-P 20-24</t>
  </si>
  <si>
    <t>WORKING GROUP PARTICIPANTS</t>
  </si>
  <si>
    <t>IMMUNIZATION BRANCH</t>
  </si>
  <si>
    <t>2019-101601</t>
  </si>
  <si>
    <t>U RFA-P 20-25</t>
  </si>
  <si>
    <t>RQST FOR PROPOSALS</t>
  </si>
  <si>
    <t>UNTIMELY RESPONSE</t>
  </si>
  <si>
    <t>2019-101701</t>
  </si>
  <si>
    <t>U RFA-P 20-26</t>
  </si>
  <si>
    <t>HIPAA TRAINING MATERIALS</t>
  </si>
  <si>
    <t>ALII HEALTH CENTER</t>
  </si>
  <si>
    <t>2019-101702</t>
  </si>
  <si>
    <t>U RFA-P 20-27</t>
  </si>
  <si>
    <t>RQST FOR COPY OF RESPONSE</t>
  </si>
  <si>
    <t>S GOCHROS</t>
  </si>
  <si>
    <t>2019-101703</t>
  </si>
  <si>
    <t>U RFA-P 20-28</t>
  </si>
  <si>
    <t>RQST FOR MEETING MINUTES</t>
  </si>
  <si>
    <t>2019-101801</t>
  </si>
  <si>
    <t>U RFA-P 20-29</t>
  </si>
  <si>
    <t>UNROASTED COFFEE RCRDS</t>
  </si>
  <si>
    <t>ITEMIZED BILLING</t>
  </si>
  <si>
    <t>2019-071001</t>
  </si>
  <si>
    <t>U RFA-P 20-3</t>
  </si>
  <si>
    <t>LSI ASSESSMENT</t>
  </si>
  <si>
    <t>2019-101802</t>
  </si>
  <si>
    <t>U RFA-P 20-30</t>
  </si>
  <si>
    <t>CMSN ON JUDICIAL CONDUCT</t>
  </si>
  <si>
    <t>2019-101804</t>
  </si>
  <si>
    <t>U RFA-P 20-31</t>
  </si>
  <si>
    <t>COPY OF COMPLAINT</t>
  </si>
  <si>
    <t>DATE STAMPED</t>
  </si>
  <si>
    <t>2019-102101</t>
  </si>
  <si>
    <t>U RFA-P 20-32</t>
  </si>
  <si>
    <t>COMPLAINT AGAINST OMBUD</t>
  </si>
  <si>
    <t>2019-110501</t>
  </si>
  <si>
    <t>U RFA-P 20-33</t>
  </si>
  <si>
    <t>2019-110601</t>
  </si>
  <si>
    <t>U RFA-P 20-34</t>
  </si>
  <si>
    <t>RQST FOR BUDGET REPORTS</t>
  </si>
  <si>
    <t>2019-110701</t>
  </si>
  <si>
    <t>U RFA-P 20-35</t>
  </si>
  <si>
    <t>2019-071101</t>
  </si>
  <si>
    <t>U RFA-P 20-4</t>
  </si>
  <si>
    <t>RQST FOR LESSEE FILE</t>
  </si>
  <si>
    <t>NO REQUEST</t>
  </si>
  <si>
    <t>2019-071701</t>
  </si>
  <si>
    <t>U RFA-P 20-5</t>
  </si>
  <si>
    <t>DOBOR INVESTIGATION</t>
  </si>
  <si>
    <t>2019-071902</t>
  </si>
  <si>
    <t>U RFA-P 20-6</t>
  </si>
  <si>
    <t>DOWSETT ESTATES CONDO</t>
  </si>
  <si>
    <t>ALL RCRDS RELATED</t>
  </si>
  <si>
    <t>2019-073001</t>
  </si>
  <si>
    <t>U RFA-P 20-7</t>
  </si>
  <si>
    <t>RQST FOR MEDICAL RECORDS</t>
  </si>
  <si>
    <t>2019-073002</t>
  </si>
  <si>
    <t>U RFA-P 20-8</t>
  </si>
  <si>
    <t>KCH COMMUNICATION</t>
  </si>
  <si>
    <t>AARGON COLLECTION AGENCY</t>
  </si>
  <si>
    <t>2019-080601</t>
  </si>
  <si>
    <t>U RFA-P 20-9</t>
  </si>
  <si>
    <t>IHEART RADIO TOWER RELOCATION</t>
  </si>
  <si>
    <t>U RFO-P 17-1</t>
  </si>
  <si>
    <t>2019-010301</t>
  </si>
  <si>
    <t>PENDING/CLOSED CASE FILES</t>
  </si>
  <si>
    <t>1/1/18 - PRESENT</t>
  </si>
  <si>
    <t>2019-010701</t>
  </si>
  <si>
    <t>RQST FOR DPP LETTERS</t>
  </si>
  <si>
    <t>2019-010801</t>
  </si>
  <si>
    <t>2019-011103</t>
  </si>
  <si>
    <t>2019-011701</t>
  </si>
  <si>
    <t>COPY OF U APPEAL 17-39</t>
  </si>
  <si>
    <t>2019-020401</t>
  </si>
  <si>
    <t>RQST FOR OPINIONS</t>
  </si>
  <si>
    <t>2019-020402</t>
  </si>
  <si>
    <t>STATE INTEREST INCOME</t>
  </si>
  <si>
    <t>2019-022001</t>
  </si>
  <si>
    <t>2019-070501</t>
  </si>
  <si>
    <t>RQST FOR RECON</t>
  </si>
  <si>
    <t>F19-04</t>
  </si>
  <si>
    <t>2019-071601</t>
  </si>
  <si>
    <t>SP 19-1-0157</t>
  </si>
  <si>
    <t>CERTIFIED ADMIN RECORD</t>
  </si>
  <si>
    <t>2019-073003</t>
  </si>
  <si>
    <t>SP 19-1-0191</t>
  </si>
  <si>
    <t>CERTIFIED ADMIN RCRD</t>
  </si>
  <si>
    <t>2019-090901</t>
  </si>
  <si>
    <t>HHSC'S REPONSE TO OIP</t>
  </si>
  <si>
    <t>2019-090903</t>
  </si>
  <si>
    <t>LETTERS FROM OIP TO HHSC</t>
  </si>
  <si>
    <t>2019-100203</t>
  </si>
  <si>
    <t>RQST TO INSPECT</t>
  </si>
  <si>
    <t>VIOLATORS OF UIPA</t>
  </si>
  <si>
    <t>2019-100204</t>
  </si>
  <si>
    <t>RQST FOR OPENING BRIEF</t>
  </si>
  <si>
    <t>2019-100801</t>
  </si>
  <si>
    <t>HHS OPINIONS</t>
  </si>
  <si>
    <t>2019-101602</t>
  </si>
  <si>
    <t>RQST FOR UIPA LOGS</t>
  </si>
  <si>
    <t>7/1/18-6/30/19</t>
  </si>
  <si>
    <t>2019-111301</t>
  </si>
  <si>
    <t>RQST FOR COPIES OF LTRS</t>
  </si>
  <si>
    <t>2019-120301</t>
  </si>
  <si>
    <t>2019-120901</t>
  </si>
  <si>
    <t>RQST FOR EMAILS</t>
  </si>
  <si>
    <t>2019-121303</t>
  </si>
  <si>
    <t>RQST FOR RECORDS RE CORR 2019-1126-01</t>
  </si>
  <si>
    <t>2019-061903</t>
  </si>
  <si>
    <t>UIPA-C</t>
  </si>
  <si>
    <t>6/18/19 LETTER</t>
  </si>
  <si>
    <t>WRONG DATE</t>
  </si>
  <si>
    <t>2019-100201</t>
  </si>
  <si>
    <t>UIPA 2016-1101-01</t>
  </si>
  <si>
    <t>2019-101805</t>
  </si>
  <si>
    <t>2019-102301</t>
  </si>
  <si>
    <t>IS IT A DENIAL IF RECORD DOES NOT EXIST</t>
  </si>
  <si>
    <t>2019-120202</t>
  </si>
  <si>
    <t>10-DAY  VIOLATION</t>
  </si>
  <si>
    <t>2019-121102</t>
  </si>
  <si>
    <t>2019-091101</t>
  </si>
  <si>
    <t>RECON-G 20-1</t>
  </si>
  <si>
    <t>U MEMO 20-1</t>
  </si>
  <si>
    <t>2020-010602</t>
  </si>
  <si>
    <t>RECON-P 20-1</t>
  </si>
  <si>
    <t>OIP OP LTR NO 20-1</t>
  </si>
  <si>
    <t>2019-121901</t>
  </si>
  <si>
    <t>RFO-G 20-1</t>
  </si>
  <si>
    <t>STANDING COMMITTEES</t>
  </si>
  <si>
    <t>MWFDB</t>
  </si>
  <si>
    <t>2019-041701</t>
  </si>
  <si>
    <t>S APPEAL 19-10</t>
  </si>
  <si>
    <t>NEIGHBORHOOD BOARD</t>
  </si>
  <si>
    <t>EMAIL DISCUSSION</t>
  </si>
  <si>
    <t>2019-022801</t>
  </si>
  <si>
    <t>S APPEAL 19-8</t>
  </si>
  <si>
    <t>02/27 COUNCIL-HON MEETING</t>
  </si>
  <si>
    <t>2019-030102</t>
  </si>
  <si>
    <t>S APPEAL 19-9</t>
  </si>
  <si>
    <t>2019-070201</t>
  </si>
  <si>
    <t>S APPEAL 20-1</t>
  </si>
  <si>
    <t>EXPERIMENT 1</t>
  </si>
  <si>
    <t>6/6/19 MEETING SL VIOLATION</t>
  </si>
  <si>
    <t>2019-071901</t>
  </si>
  <si>
    <t>4/23/19 MEETING</t>
  </si>
  <si>
    <t>2019-111802</t>
  </si>
  <si>
    <t>S APPEAL 20-3</t>
  </si>
  <si>
    <t>SCMH</t>
  </si>
  <si>
    <t>2019-121801</t>
  </si>
  <si>
    <t>S APPEAL 20-4</t>
  </si>
  <si>
    <t>HRS 92-5</t>
  </si>
  <si>
    <t>2019-121802</t>
  </si>
  <si>
    <t>S APPEAL 20-5</t>
  </si>
  <si>
    <t>NB13</t>
  </si>
  <si>
    <t>9/5/19 MTG</t>
  </si>
  <si>
    <t>2019-010302</t>
  </si>
  <si>
    <t>U APPEAL 19-16</t>
  </si>
  <si>
    <t>RQST FOR CAMERA FOOTAGE</t>
  </si>
  <si>
    <t>2019-011601</t>
  </si>
  <si>
    <t>U APPEAL 19-17</t>
  </si>
  <si>
    <t>RQST FOR POLICE RECORD</t>
  </si>
  <si>
    <t>2019-011602</t>
  </si>
  <si>
    <t>U APPEAL 19-18</t>
  </si>
  <si>
    <t>USE OF FORCE PRISON POLICY</t>
  </si>
  <si>
    <t>2019-020501</t>
  </si>
  <si>
    <t>U APPEAL 19-20</t>
  </si>
  <si>
    <t>FRUSTRATION EXEMPTION 92F-13(3)</t>
  </si>
  <si>
    <t>ONGOING DECISION MAKING</t>
  </si>
  <si>
    <t>2019-022002</t>
  </si>
  <si>
    <t>U APPEAL 19-21</t>
  </si>
  <si>
    <t>RCRDS RELATED TO INVESTIGATION AGAINST XXXXXXXXXXXX</t>
  </si>
  <si>
    <t>2019-030501</t>
  </si>
  <si>
    <t>U APPEAL 19-22</t>
  </si>
  <si>
    <t>ACTIVITIES IN "OCCUPIED TERRITORIES"</t>
  </si>
  <si>
    <t>2019-041001</t>
  </si>
  <si>
    <t>U APPEAL 19-23</t>
  </si>
  <si>
    <t>COMPLAINT OF RETALIATION</t>
  </si>
  <si>
    <t>PARTS REDACTED</t>
  </si>
  <si>
    <t>2019-051501</t>
  </si>
  <si>
    <t>U APPEAL 19-24</t>
  </si>
  <si>
    <t>RQST FOR INVESTGATIVE FILE</t>
  </si>
  <si>
    <t>2019-052301</t>
  </si>
  <si>
    <t>U APPEAL 19-25</t>
  </si>
  <si>
    <t>INMATES HELD BEYOND RELEASE DATE</t>
  </si>
  <si>
    <t>2019-052801</t>
  </si>
  <si>
    <t>U APPEAL 19-26</t>
  </si>
  <si>
    <t>HOPE SERVICES HAWAII INVESTIGATION</t>
  </si>
  <si>
    <t>2019-061401</t>
  </si>
  <si>
    <t>U APPEAL 19-27</t>
  </si>
  <si>
    <t>PROFESSOR CONFLICTS OF INTEREST</t>
  </si>
  <si>
    <t>2019-061701</t>
  </si>
  <si>
    <t>U APPEAL 19-28</t>
  </si>
  <si>
    <t>EOO-HON</t>
  </si>
  <si>
    <t>EMPLOYEE MISCONDUCT RECORDS</t>
  </si>
  <si>
    <t>REASONABLE SEARCH</t>
  </si>
  <si>
    <t>2019-061702</t>
  </si>
  <si>
    <t>U APPEAL 19-29</t>
  </si>
  <si>
    <t>PENDING PROCEEDINGS</t>
  </si>
  <si>
    <t>2019-081903</t>
  </si>
  <si>
    <t>U APPEAL 20-10</t>
  </si>
  <si>
    <t>2019-082901</t>
  </si>
  <si>
    <t>U APPEAL 20-11</t>
  </si>
  <si>
    <t>EXPERIMENT 7</t>
  </si>
  <si>
    <t>CSEA DOCUMENTS/RECORDS</t>
  </si>
  <si>
    <t>2019-090402</t>
  </si>
  <si>
    <t>U APPEAL 20-14</t>
  </si>
  <si>
    <t>2019-090601</t>
  </si>
  <si>
    <t>U APPEAL 20-15</t>
  </si>
  <si>
    <t>EXPERIMENT 9</t>
  </si>
  <si>
    <t>REQUEST FOR BUILDING PLANS</t>
  </si>
  <si>
    <t>U APPEAL 20-16</t>
  </si>
  <si>
    <t>BFS-HON</t>
  </si>
  <si>
    <t>FY19 BOARDS OF REVIEW</t>
  </si>
  <si>
    <t>2019-091801</t>
  </si>
  <si>
    <t>U APPEAL 20-18</t>
  </si>
  <si>
    <t>OFFENDERTRAK DATASETS</t>
  </si>
  <si>
    <t>OFFENDER DATES</t>
  </si>
  <si>
    <t>2019-091901</t>
  </si>
  <si>
    <t>U APPEAL 20-19</t>
  </si>
  <si>
    <t>EXPERIMENT 11</t>
  </si>
  <si>
    <t>LAW SCHOOL COMMITTEE MEMBERS</t>
  </si>
  <si>
    <t>2019-071501</t>
  </si>
  <si>
    <t>U APPEAL 20-2</t>
  </si>
  <si>
    <t>EXPERIMENT 2</t>
  </si>
  <si>
    <t>2019-091902</t>
  </si>
  <si>
    <t>U APPEAL 20-20</t>
  </si>
  <si>
    <t>CONSUMER CMPLTNS</t>
  </si>
  <si>
    <t>PEARL HARBOR VISITORS BUREAU</t>
  </si>
  <si>
    <t>2019-092401</t>
  </si>
  <si>
    <t>U APPEAL 20-22</t>
  </si>
  <si>
    <t>SCC</t>
  </si>
  <si>
    <t>2019-092701</t>
  </si>
  <si>
    <t>U APPEAL 20-24</t>
  </si>
  <si>
    <t>EXPERIMENT 14</t>
  </si>
  <si>
    <t>DIRECTOR APPROVED BLDG PERMITS</t>
  </si>
  <si>
    <t>2019-093002</t>
  </si>
  <si>
    <t>U APPEAL 20-25</t>
  </si>
  <si>
    <t>PART III INSPECTION</t>
  </si>
  <si>
    <t>RESPONSIVE RECORDS, FEES</t>
  </si>
  <si>
    <t>2019-100401</t>
  </si>
  <si>
    <t>U APPEAL 20-26</t>
  </si>
  <si>
    <t>EXPERIMENT 15</t>
  </si>
  <si>
    <t>FY18 AND FY19 DISPOSITION</t>
  </si>
  <si>
    <t>2010-9100803</t>
  </si>
  <si>
    <t>U APPEAL 20-27</t>
  </si>
  <si>
    <t>RQST FOR RICO COMPLAINT</t>
  </si>
  <si>
    <t>PENDING INVESTIGATION</t>
  </si>
  <si>
    <t>2019-101101</t>
  </si>
  <si>
    <t>U APPEAL 20-28</t>
  </si>
  <si>
    <t>EXPERIMENT 16</t>
  </si>
  <si>
    <t>AG REPORT</t>
  </si>
  <si>
    <t>2019-102302</t>
  </si>
  <si>
    <t>U APPEAL 20-29</t>
  </si>
  <si>
    <t>INVESTIGATION MATERIALS</t>
  </si>
  <si>
    <t>2019-072201</t>
  </si>
  <si>
    <t>U APPEAL 20-3</t>
  </si>
  <si>
    <t>EXPERIMENT 3</t>
  </si>
  <si>
    <t>MISCONDUCT RECORDS</t>
  </si>
  <si>
    <t>2019-102501</t>
  </si>
  <si>
    <t>U APPEAL 20-30</t>
  </si>
  <si>
    <t>EXPERIMENT 17</t>
  </si>
  <si>
    <t>2019-120401</t>
  </si>
  <si>
    <t>U APPEAL 20-32</t>
  </si>
  <si>
    <t>AMBULANCE DATA</t>
  </si>
  <si>
    <t>2019-120501</t>
  </si>
  <si>
    <t>U APPEAL 20-33</t>
  </si>
  <si>
    <t>RQST FOR PROPOSAL</t>
  </si>
  <si>
    <t>ALA WAI HARBOR</t>
  </si>
  <si>
    <t>2019-121201</t>
  </si>
  <si>
    <t>U APPEAL 20-34</t>
  </si>
  <si>
    <t>HART RAIL RECORDS</t>
  </si>
  <si>
    <t>2019-121202</t>
  </si>
  <si>
    <t>U APPEAL 20-35</t>
  </si>
  <si>
    <t>WAGE STANDARDS DIVISION CASE</t>
  </si>
  <si>
    <t>PENDING APPEAL</t>
  </si>
  <si>
    <t>2019-121602</t>
  </si>
  <si>
    <t>U APPEAL 20-36</t>
  </si>
  <si>
    <t>WHISTLEBLOWER COMPLAINT</t>
  </si>
  <si>
    <t>COPY OF REPORT</t>
  </si>
  <si>
    <t>2019-121701</t>
  </si>
  <si>
    <t>U APPEAL 20-37</t>
  </si>
  <si>
    <t>STATE ETHICS COMPLAINT</t>
  </si>
  <si>
    <t>2019-072901</t>
  </si>
  <si>
    <t>U APPEAL 20-4</t>
  </si>
  <si>
    <t>2019-080201</t>
  </si>
  <si>
    <t>U APPEAL 20-5</t>
  </si>
  <si>
    <t>EXPERIMENT 4</t>
  </si>
  <si>
    <t>RQST FOR VIDEO CAMERA FOOTAGE</t>
  </si>
  <si>
    <t>2019-080702</t>
  </si>
  <si>
    <t>U APPEAL 20-6</t>
  </si>
  <si>
    <t>2019-081402</t>
  </si>
  <si>
    <t>U APPEAL 20-8</t>
  </si>
  <si>
    <t>FRUSTRATION EXCEPTION HRS 92F-13(3)</t>
  </si>
  <si>
    <t>2019-081901</t>
  </si>
  <si>
    <t>U APPEAL 20-9</t>
  </si>
  <si>
    <t>EXPERIMENT 6</t>
  </si>
  <si>
    <t>WORKPLACE VIOLENCE INVESTIGATION</t>
  </si>
  <si>
    <t>2019-090501</t>
  </si>
  <si>
    <t>U RFA-P 20-13</t>
  </si>
  <si>
    <t>LSI REPORT</t>
  </si>
  <si>
    <t>2019-091704</t>
  </si>
  <si>
    <t>U RFA-P 20-19</t>
  </si>
  <si>
    <t>PUEO SURVEY DATA</t>
  </si>
  <si>
    <t>2019-100901</t>
  </si>
  <si>
    <t>U RFA-P 20-21</t>
  </si>
  <si>
    <t>CD</t>
  </si>
  <si>
    <t>2019-110703</t>
  </si>
  <si>
    <t>U RFA-P 20-36</t>
  </si>
  <si>
    <t>RQST FOR LOCATION</t>
  </si>
  <si>
    <t>FARM DWELLING</t>
  </si>
  <si>
    <t>2019-112001</t>
  </si>
  <si>
    <t>U RFA-P 20-37</t>
  </si>
  <si>
    <t>MEETING APPT</t>
  </si>
  <si>
    <t>2019-111901</t>
  </si>
  <si>
    <t>U RFA-P 20-38</t>
  </si>
  <si>
    <t>CORP CNSL</t>
  </si>
  <si>
    <t>2019-112701</t>
  </si>
  <si>
    <t>U RFA-P 20-39</t>
  </si>
  <si>
    <t>CJC (JUD)</t>
  </si>
  <si>
    <t>RQSTS TO CJC</t>
  </si>
  <si>
    <t>COMPLAINTS &amp; INVESTIGATIONS</t>
  </si>
  <si>
    <t>2019-120201</t>
  </si>
  <si>
    <t>U RFA-P 20-40</t>
  </si>
  <si>
    <t>COPY OF RESPONSE TO OIP</t>
  </si>
  <si>
    <t>10/18/19 LTR</t>
  </si>
  <si>
    <t>2019-120502</t>
  </si>
  <si>
    <t>U RFA-P 20-41</t>
  </si>
  <si>
    <t>EMAIL CORRESPONDENCE</t>
  </si>
  <si>
    <t>VEHICLE REGISTRATION</t>
  </si>
  <si>
    <t>2019-121601</t>
  </si>
  <si>
    <t>U RFA-P 20-42</t>
  </si>
  <si>
    <t>BLIND VENDING PROGRAM</t>
  </si>
  <si>
    <t>2020-010801</t>
  </si>
  <si>
    <t>U RFA-P 20-43</t>
  </si>
  <si>
    <t>COPIES OF COMMUNICATIONS</t>
  </si>
  <si>
    <t>2019-061201</t>
  </si>
  <si>
    <t>U RFO-G 19-1</t>
  </si>
  <si>
    <t>HANSEN'S DISEASE PATIENT INFO</t>
  </si>
  <si>
    <t>OIP OP LTR 03-09</t>
  </si>
  <si>
    <t>2019-060301</t>
  </si>
  <si>
    <t>U RFO-P 19-1</t>
  </si>
  <si>
    <t>RQST FOR INCIDENT REPORT</t>
  </si>
  <si>
    <t>IS SECURITAS SUBJECT TO UIPA</t>
  </si>
  <si>
    <t>2020-010601</t>
  </si>
  <si>
    <t>1/1/19-PRESENT</t>
  </si>
  <si>
    <t>2020-011001</t>
  </si>
  <si>
    <t>MKH/DHA</t>
  </si>
  <si>
    <t>COMPLAINT AGAINST AGENCY?</t>
  </si>
  <si>
    <t>REORGANIZATION - - SERIAL ONE-ON-ONE COMMUNICATION</t>
  </si>
  <si>
    <t>RETIREMENT DATES Related to RFO-G 04-016</t>
  </si>
  <si>
    <t>JURISDICTION SEE:  RFO-G (05-026)</t>
  </si>
  <si>
    <t>UH FILE #02-0838 fna RFA-G 05-004</t>
  </si>
  <si>
    <t>AGENCY SUBJECT TO SUNSHINE Related Case: RFO 05-026</t>
  </si>
  <si>
    <t>JURISDICTION fna INVES 2001-0124-07 Related Case: RFO 01-006</t>
  </si>
  <si>
    <t>CHARTER COMMISSION AGENDA</t>
  </si>
  <si>
    <t>INVESTIGATIVE FILES (FNA RFA-G 02-004)</t>
  </si>
  <si>
    <t>DRESS CODE VIOLATION FORM</t>
  </si>
  <si>
    <t>WAIKIKI NB (Also see RFO 07-22)</t>
  </si>
  <si>
    <t>U APPEAL 16-7 (Tsuji) CORR  2015-0928-01 (Baker/Nishihara/Tokuda)</t>
  </si>
  <si>
    <t>U APPEAL 16-6 (Onishi) CORR  2015-0928-01 (Baker/Nishihara/Tokuda)</t>
  </si>
  <si>
    <t># of Major OIP Matters 2015 - 2019</t>
  </si>
  <si>
    <t>Avg # of Major OIP Matters Per Year 2015 - 2019</t>
  </si>
  <si>
    <t># of All OIP Matters 2010 - 2019</t>
  </si>
  <si>
    <t># of All OIP Matters From 2020</t>
  </si>
  <si>
    <t>Total UIPA Req in FY20</t>
  </si>
  <si>
    <t>UIPA Req with No Disclosure FY20</t>
  </si>
  <si>
    <t>FY20 Denial Percentage</t>
  </si>
  <si>
    <t>Avg Days for Dep't to Complete UIPA Req in FY20</t>
  </si>
  <si>
    <t>Longest Time (Days) for Dep't to Complete Req FY20</t>
  </si>
  <si>
    <t>New OIP Matters FY20 re UIPA</t>
  </si>
  <si>
    <t>New OIP Matters as % of Requests for FY20+FY19</t>
  </si>
  <si>
    <t>SOH/ ACCOUNTING &amp; GENERAL SERVICES/ CENTRAL SERVICES DIVISION/ CSD-0</t>
  </si>
  <si>
    <t>SOH/ ACCOUNTING &amp; GENERAL SERVICES/ MAUI DISTRICT OFFICE/ MAUI-0</t>
  </si>
  <si>
    <t>SOH/ ACCOUNTING &amp; GENERAL SVCS/ OFC OF ENT TECH SVCS/ KEONIANA</t>
  </si>
  <si>
    <t>SOH/ DEFENSE/ SOH/ DEFENSE/ HIDOD</t>
  </si>
  <si>
    <t>SOH/ EDUCATION/ DREAMHOUSE</t>
  </si>
  <si>
    <t>SOH/ EDUCATION/ Alaka'i</t>
  </si>
  <si>
    <t>SOH/ EDUCATION/ KAPOLEI</t>
  </si>
  <si>
    <t>SOH/ EDUCATION/ LANIKAI</t>
  </si>
  <si>
    <t>SOH/ EDUCATION/ LAUPAHOEHOE HI &amp; ELEM</t>
  </si>
  <si>
    <t>SOH/ HEALTH/ BHA/ CAMHD/ HAWAII FAMILY GUIDANCE CENTER HAWAII</t>
  </si>
  <si>
    <t>SOH/ HEALTH/  BHA/ AMHD/ HAWAII STATE HOSPITAL BR</t>
  </si>
  <si>
    <t>SOH/ HAWAII HEALTH SYSTEMS CORPORATION/ CORPORATE OFFICE</t>
  </si>
  <si>
    <t>SOH/ JUDICIARY/ FISCAL MGMT &amp; SUPP SVC BR/ 1JC-ASD-FIS</t>
  </si>
  <si>
    <t>CC HONOLULU/ BUDGET AND FISCAL SERVICES/ BUDGETARY ADMINISTRATION DIV</t>
  </si>
  <si>
    <t>MKH/LOC</t>
  </si>
  <si>
    <t>2020-011701</t>
  </si>
  <si>
    <t>EXPERIMENTAL FILES</t>
  </si>
  <si>
    <t>RQST FOR PRELIM DECISIONS</t>
  </si>
  <si>
    <t>2020-012201</t>
  </si>
  <si>
    <t>U RFA-P 20-44</t>
  </si>
  <si>
    <t>PERSONAL INFORMATION CORRECTION</t>
  </si>
  <si>
    <t>2020-0012302</t>
  </si>
  <si>
    <t>U RECON 20-1</t>
  </si>
  <si>
    <t>CLARIFICATION ON REDACTIONS</t>
  </si>
  <si>
    <t>2020-012301</t>
  </si>
  <si>
    <t>U RFA-P 20-45</t>
  </si>
  <si>
    <t>COMMUNICATIONS REGARDING SECURITY CAMERAS</t>
  </si>
  <si>
    <t>2020-012701</t>
  </si>
  <si>
    <t>2020-012703</t>
  </si>
  <si>
    <t>U RFA-P 20-47</t>
  </si>
  <si>
    <t>MOLOKAI COMMUNITY HEALTH CNTR</t>
  </si>
  <si>
    <t>COMPLAINT SURVEY</t>
  </si>
  <si>
    <t>2020-012702</t>
  </si>
  <si>
    <t>U RFA-P 20-46</t>
  </si>
  <si>
    <t>EXEC SESSION AUDIO RECORDINGS</t>
  </si>
  <si>
    <t>2020-012901</t>
  </si>
  <si>
    <t>CLERK, COUNSERV-HON</t>
  </si>
  <si>
    <t>SUFFICIENCY OF AGENDAS</t>
  </si>
  <si>
    <t>LINKS</t>
  </si>
  <si>
    <t>2020-013002</t>
  </si>
  <si>
    <t>U RFA-P 20-49</t>
  </si>
  <si>
    <t>FIRE-M</t>
  </si>
  <si>
    <t>ALL PERSONAL RECORDS</t>
  </si>
  <si>
    <t>2020-013001</t>
  </si>
  <si>
    <t>U RFA-P 20-48</t>
  </si>
  <si>
    <t>SENATOR FEVELLA</t>
  </si>
  <si>
    <t>DHHL MEETING MINUTES</t>
  </si>
  <si>
    <t>2020-013003</t>
  </si>
  <si>
    <t>U RFA-P 20-50</t>
  </si>
  <si>
    <t>2020-013004</t>
  </si>
  <si>
    <t>U APPEAL 20-38</t>
  </si>
  <si>
    <t>FRAUD ALLEGATION RCRDS</t>
  </si>
  <si>
    <t>2020-020301</t>
  </si>
  <si>
    <t>RQST FOR TRNG PACKAGE</t>
  </si>
  <si>
    <t>10/11/19 TRNG</t>
  </si>
  <si>
    <t>2020-020302</t>
  </si>
  <si>
    <t>REDACTIONS</t>
  </si>
  <si>
    <t>2020-020303</t>
  </si>
  <si>
    <t>NA ALA HELE MTG</t>
  </si>
  <si>
    <t>AGENDA NOT POSTED</t>
  </si>
  <si>
    <t>2020-020401</t>
  </si>
  <si>
    <t>U APPEAL 20-39</t>
  </si>
  <si>
    <t>FRAUD ALLEGATION RECORDS</t>
  </si>
  <si>
    <t>2020-021202</t>
  </si>
  <si>
    <t>PERSONAL RECORDS AND TRANSCRIPTS</t>
  </si>
  <si>
    <t>2020-021201</t>
  </si>
  <si>
    <t>U APPEAL 20-40</t>
  </si>
  <si>
    <t>RQST FOR DATE STAMPED COPY</t>
  </si>
  <si>
    <t>JUNE 2019 COMPLAINT</t>
  </si>
  <si>
    <t>2020-021301</t>
  </si>
  <si>
    <t>U RFA-P 20-51</t>
  </si>
  <si>
    <t>RQST TO AMEND PERSONAL RCRD</t>
  </si>
  <si>
    <t>SENTENCE DATE</t>
  </si>
  <si>
    <t>2020-021302</t>
  </si>
  <si>
    <t>U APPEAL 20-41</t>
  </si>
  <si>
    <t>EMPLOYEE PERSONNEL RCRDS</t>
  </si>
  <si>
    <t>EMPLOYMENT APPS</t>
  </si>
  <si>
    <t>2020-021402</t>
  </si>
  <si>
    <t>S RFO-P 20-1</t>
  </si>
  <si>
    <t>STORM WATER UTILITY OAHU</t>
  </si>
  <si>
    <t>2020-021401</t>
  </si>
  <si>
    <t>S APPEAL 20-6</t>
  </si>
  <si>
    <t>WINDWARD PLANNING CMSN</t>
  </si>
  <si>
    <t>2020-021901</t>
  </si>
  <si>
    <t>U APPEAL 20-42</t>
  </si>
  <si>
    <t>RFP SCORES &amp; RELATED DOCS</t>
  </si>
  <si>
    <t>PROTEST FILED</t>
  </si>
  <si>
    <t>2020-022401</t>
  </si>
  <si>
    <t>S APPEAL 20-7</t>
  </si>
  <si>
    <t>NO NOTICE</t>
  </si>
  <si>
    <t>HAR 8-3-6(c)</t>
  </si>
  <si>
    <t>2020-030301</t>
  </si>
  <si>
    <t>REQUEST TO ATTORNEYS</t>
  </si>
  <si>
    <t>2020-030401</t>
  </si>
  <si>
    <t>U APPEAL 20-43</t>
  </si>
  <si>
    <t>UPCOUNTRY WATER BILL RCRDS</t>
  </si>
  <si>
    <t>PREPAYMENT RQRD</t>
  </si>
  <si>
    <t>2020-030402</t>
  </si>
  <si>
    <t>U RFA-P 20-52</t>
  </si>
  <si>
    <t>STATE CAPITOL PIPE REPAIRS</t>
  </si>
  <si>
    <t>2020-030601</t>
  </si>
  <si>
    <t>RQST FOR FEE WAIVER</t>
  </si>
  <si>
    <t>2020-031001</t>
  </si>
  <si>
    <t>U RFA-P 20-53</t>
  </si>
  <si>
    <t>UNROASTED COFFEE RCORDS</t>
  </si>
  <si>
    <t>2020-031002</t>
  </si>
  <si>
    <t>U RFA-P 20-54</t>
  </si>
  <si>
    <t>MOKAUEA ISLAND RECORDS</t>
  </si>
  <si>
    <t>2020-031102</t>
  </si>
  <si>
    <t>FINAL DECISION</t>
  </si>
  <si>
    <t>2020-031101</t>
  </si>
  <si>
    <t>U APPEAL 20-44</t>
  </si>
  <si>
    <t>REOPEN U APPEAL 20-22</t>
  </si>
  <si>
    <t>2020-031201</t>
  </si>
  <si>
    <t>U APPEAL 20-45</t>
  </si>
  <si>
    <t>NURSING HOME POLICIES</t>
  </si>
  <si>
    <t>2020-031202</t>
  </si>
  <si>
    <t>U APPEAL 20-46</t>
  </si>
  <si>
    <t>2020-050501</t>
  </si>
  <si>
    <t>ALL MATERIALS</t>
  </si>
  <si>
    <t>2020-050801</t>
  </si>
  <si>
    <t>OAHU BURIAL COUNCIL</t>
  </si>
  <si>
    <t>2020-051101</t>
  </si>
  <si>
    <t>"INVITATION" FROM OIP TO HMSA</t>
  </si>
  <si>
    <t>FOR ADDITIONAL INFO</t>
  </si>
  <si>
    <t>2020-051802</t>
  </si>
  <si>
    <t>RECORDS FROM U APPEAL 17-45, U APPEAL 18-07</t>
  </si>
  <si>
    <t>2020-051803</t>
  </si>
  <si>
    <t>RECON-P 20-2</t>
  </si>
  <si>
    <t>U MEMO 20-9</t>
  </si>
  <si>
    <t>GOV RCRDS THAT DO NOT EXIST</t>
  </si>
  <si>
    <t>2020-051801</t>
  </si>
  <si>
    <t>S APPEAL 20-8</t>
  </si>
  <si>
    <t>HI STATE CNCL ON MENTAL HEALTH</t>
  </si>
  <si>
    <t>2020-060102</t>
  </si>
  <si>
    <t>2020-060101</t>
  </si>
  <si>
    <t>RECON-P 20-3</t>
  </si>
  <si>
    <t>PERFORMANCE EVALUATIONS</t>
  </si>
  <si>
    <t>2020-062601</t>
  </si>
  <si>
    <t>U APPEAL 20-47</t>
  </si>
  <si>
    <t>RQST FOR FINDINGS OF COMPLAINT</t>
  </si>
  <si>
    <t>2020-062602</t>
  </si>
  <si>
    <t>U RFA-P 20-55</t>
  </si>
  <si>
    <t>2020-062901</t>
  </si>
  <si>
    <t>U RFA-P 20-56</t>
  </si>
  <si>
    <t>ENGINEERING INVOICE RECORDS</t>
  </si>
  <si>
    <t>2020-070101</t>
  </si>
  <si>
    <t>U APPEAL 21-1</t>
  </si>
  <si>
    <t>RQST FOR FINDINGS OF INVESTIGATION</t>
  </si>
  <si>
    <t>2020-070602</t>
  </si>
  <si>
    <t>RQST TO POLICE-H</t>
  </si>
  <si>
    <t>NO AGENCY ACKNOWLEDGMENT</t>
  </si>
  <si>
    <t>2020-070601</t>
  </si>
  <si>
    <t>RQSTS TO MAYOR-M</t>
  </si>
  <si>
    <t>NO RESPONSE FROM AGENCY</t>
  </si>
  <si>
    <t>2020-070801</t>
  </si>
  <si>
    <t>FORMAL INVESTIGATIONS</t>
  </si>
  <si>
    <t>2020-070901</t>
  </si>
  <si>
    <t>U MEMO 20-7</t>
  </si>
  <si>
    <t>2020-071401</t>
  </si>
  <si>
    <t>U APPEAL 21-2</t>
  </si>
  <si>
    <t>RQST TO CLERK-H;</t>
  </si>
  <si>
    <t>2020-071402</t>
  </si>
  <si>
    <t>U APPEAL 21-3</t>
  </si>
  <si>
    <t>EM-H</t>
  </si>
  <si>
    <t>RQST TO EM-H</t>
  </si>
  <si>
    <t>2020-071701</t>
  </si>
  <si>
    <t>U RFA-P 21-1</t>
  </si>
  <si>
    <t>PHOTOS</t>
  </si>
  <si>
    <t>LEPEULI FENCE</t>
  </si>
  <si>
    <t>2020-072103</t>
  </si>
  <si>
    <t>EXAMINATION MATERIALS</t>
  </si>
  <si>
    <t>2020-072101</t>
  </si>
  <si>
    <t>U RFA-P 21-2</t>
  </si>
  <si>
    <t>SP10</t>
  </si>
  <si>
    <t>2020-072102</t>
  </si>
  <si>
    <t>U RFA-P 21-3</t>
  </si>
  <si>
    <t>CHIEF</t>
  </si>
  <si>
    <t>2020-072901</t>
  </si>
  <si>
    <t>RECON-P 21-1</t>
  </si>
  <si>
    <t>U MEMO 21-1</t>
  </si>
  <si>
    <t>2020-073001</t>
  </si>
  <si>
    <t>U RFA-P 21-4</t>
  </si>
  <si>
    <t>RISK ASSESSMENT TOOLS</t>
  </si>
  <si>
    <t>PROTOCOLS &amp; PROCEDURES</t>
  </si>
  <si>
    <t>2020-080501</t>
  </si>
  <si>
    <t>U APPEAL 21-4</t>
  </si>
  <si>
    <t>RQST FOR LAND REGISTRATION DOCS</t>
  </si>
  <si>
    <t>2020-080602</t>
  </si>
  <si>
    <t>NCO (NB #29)</t>
  </si>
  <si>
    <t>NB29 SL VIOLATION</t>
  </si>
  <si>
    <t>2020-080601</t>
  </si>
  <si>
    <t>RQST FOR COPY OF S APPEAL 20-4</t>
  </si>
  <si>
    <t>2020-080701</t>
  </si>
  <si>
    <t>AGENCY HAS NO DEADLINE TO RESPOND</t>
  </si>
  <si>
    <t>2020-081001</t>
  </si>
  <si>
    <t>U RFA-P 21-5</t>
  </si>
  <si>
    <t>LITIGATION SETTLEMENT INFO</t>
  </si>
  <si>
    <t>COSTS/REPORTS</t>
  </si>
  <si>
    <t>2020-081201</t>
  </si>
  <si>
    <t>RQST FOR INVESTIGATION REPORTS</t>
  </si>
  <si>
    <t>2020-081203</t>
  </si>
  <si>
    <t>SL PARTIALLY SUSPENDED</t>
  </si>
  <si>
    <t>2020-081202</t>
  </si>
  <si>
    <t>RFO-P 21-1</t>
  </si>
  <si>
    <t>NCO (NB29)</t>
  </si>
  <si>
    <t>2020-081301</t>
  </si>
  <si>
    <t>U RFA-P 21-6</t>
  </si>
  <si>
    <t>RQST FOR PERMITS</t>
  </si>
  <si>
    <t>LONA RIDGE ASSOCIATION</t>
  </si>
  <si>
    <t>2020-081701</t>
  </si>
  <si>
    <t>U APPEAL 21-5</t>
  </si>
  <si>
    <t>FIRE INSPECTION RECORDS</t>
  </si>
  <si>
    <t>2020-081702</t>
  </si>
  <si>
    <t>U APPEAL 21-6</t>
  </si>
  <si>
    <t>EMAILS REGARDING VIDEO FOOTAGE</t>
  </si>
  <si>
    <t>2020-081901</t>
  </si>
  <si>
    <t>U APPEAL 21-7</t>
  </si>
  <si>
    <t>POLICE-H CMSN HEARING</t>
  </si>
  <si>
    <t>2020-082501</t>
  </si>
  <si>
    <t>AGENCY DOES NOT MAINTAIN RECORDS</t>
  </si>
  <si>
    <t>2020-082504</t>
  </si>
  <si>
    <t>BOARD OF PHARMACY</t>
  </si>
  <si>
    <t>2020-082502</t>
  </si>
  <si>
    <t>U RFA-P 21-7</t>
  </si>
  <si>
    <t>PROGRESS REPORT</t>
  </si>
  <si>
    <t>2020-082503</t>
  </si>
  <si>
    <t>U RFA-P 21-8</t>
  </si>
  <si>
    <t>RQST FOR REPORTS OF ABUSE</t>
  </si>
  <si>
    <t>2020-082801</t>
  </si>
  <si>
    <t>S APPEAL 21-1</t>
  </si>
  <si>
    <t>WITHHOLDING OF TESTIMONY</t>
  </si>
  <si>
    <t>ETHICS VIOLATION</t>
  </si>
  <si>
    <t>2020-082802</t>
  </si>
  <si>
    <t>U APPEAL 21-8</t>
  </si>
  <si>
    <t>RQST FOR HART AGREEMENT RECORDS</t>
  </si>
  <si>
    <t>2020-090401</t>
  </si>
  <si>
    <t>CLARIFICATION FOR AGENCY DENIAL</t>
  </si>
  <si>
    <t>2020-090801</t>
  </si>
  <si>
    <t>U RFA-P 21-9</t>
  </si>
  <si>
    <t>COPIES OF SUCCESSORSHIP DOCS</t>
  </si>
  <si>
    <t>2020-090901</t>
  </si>
  <si>
    <t>HR-H DENYING ACCESS TO RECORDS</t>
  </si>
  <si>
    <t>DOES NOT MAINTAIN</t>
  </si>
  <si>
    <t>2020-091001</t>
  </si>
  <si>
    <t>U RFA-P 21-10</t>
  </si>
  <si>
    <t>CMSN HEARING</t>
  </si>
  <si>
    <t>2020-091401</t>
  </si>
  <si>
    <t>U APPEAL 21-9</t>
  </si>
  <si>
    <t>RQST FOR BOARD PACKET</t>
  </si>
  <si>
    <t>BD OF PHARMACY MTG</t>
  </si>
  <si>
    <t>2020-091501</t>
  </si>
  <si>
    <t>S APPEAL 21-2</t>
  </si>
  <si>
    <t>BD OF ETHICS AUG/SEPT MTG</t>
  </si>
  <si>
    <t>2020-092402</t>
  </si>
  <si>
    <t>RQST FOR UN REDACTED POLICE-K REPORT</t>
  </si>
  <si>
    <t>FORMAL OP 20-04</t>
  </si>
  <si>
    <t>2020-092101</t>
  </si>
  <si>
    <t>U RFA-P 21-11</t>
  </si>
  <si>
    <t>DOE STAFF</t>
  </si>
  <si>
    <t>SPED TRAINING INFO/QUALIFICATIONS</t>
  </si>
  <si>
    <t>2020-092102</t>
  </si>
  <si>
    <t>U RFA-P 21-12</t>
  </si>
  <si>
    <t>RQST FOR PERSONAL INFO TO BE DESTROYED</t>
  </si>
  <si>
    <t>2020-092301</t>
  </si>
  <si>
    <t>U APPEAL 21-10</t>
  </si>
  <si>
    <t>COPY OF INVESTIGATION REPORT</t>
  </si>
  <si>
    <t>12/22/13 INCIDENT</t>
  </si>
  <si>
    <t>2020-092302</t>
  </si>
  <si>
    <t>U APPEAL 21-11</t>
  </si>
  <si>
    <t>APPLICANT PACKET DOCS</t>
  </si>
  <si>
    <t>LIMA NOEAU CAREER ACADEMY</t>
  </si>
  <si>
    <t>2020-092401</t>
  </si>
  <si>
    <t>RQST FOR COPY OF U APPEAL 18-3</t>
  </si>
  <si>
    <t>U MEMO 19-5</t>
  </si>
  <si>
    <t>2020-092501</t>
  </si>
  <si>
    <t>U APPEAL 21-12</t>
  </si>
  <si>
    <t>RQST TO OPEN APPEAL</t>
  </si>
  <si>
    <t>2020-092801</t>
  </si>
  <si>
    <t>FALSE STATEMENTS</t>
  </si>
  <si>
    <t>2020-092802</t>
  </si>
  <si>
    <t>PERSONAL INJURY/PROPERTY</t>
  </si>
  <si>
    <t>2020-092901</t>
  </si>
  <si>
    <t>MISSING MTG MINS</t>
  </si>
  <si>
    <t>3/25/19 DLNR MEETING</t>
  </si>
  <si>
    <t>2020-100101</t>
  </si>
  <si>
    <t>FY2020 UIPA RCRD RQST LOGS</t>
  </si>
  <si>
    <t>EXCEL FORMAT</t>
  </si>
  <si>
    <t>2020-100601</t>
  </si>
  <si>
    <t>U MEMO 18-12</t>
  </si>
  <si>
    <t>INQUIRIES AND PROCEDURES</t>
  </si>
  <si>
    <t>2020-100802</t>
  </si>
  <si>
    <t>U MEMO 18-11</t>
  </si>
  <si>
    <t>2020-100801</t>
  </si>
  <si>
    <t>U RFA-P 21-13</t>
  </si>
  <si>
    <t>RQST FOR 1/31/20 LTR TO AG</t>
  </si>
  <si>
    <t>SB2462 GUIDANCE</t>
  </si>
  <si>
    <t>2020-101301</t>
  </si>
  <si>
    <t>8/24/20 NCO MEETING</t>
  </si>
  <si>
    <t>2020-101501</t>
  </si>
  <si>
    <t>ACTION COMMITTEE</t>
  </si>
  <si>
    <t>SUNSHINE LAW ADVICE</t>
  </si>
  <si>
    <t>2020-101502</t>
  </si>
  <si>
    <t>S APPEAL 21-3</t>
  </si>
  <si>
    <t>10/14/20 MEETING</t>
  </si>
  <si>
    <t>DENIED PUBLIC ORAL TESTIMONY</t>
  </si>
  <si>
    <t>2020-101602</t>
  </si>
  <si>
    <t>GOV COVID-19 RESTRICTIONS</t>
  </si>
  <si>
    <t>2020-101601</t>
  </si>
  <si>
    <t>RCRDS SENT TO REP ESHOO</t>
  </si>
  <si>
    <t>NO ACKNOWLEDGMENT</t>
  </si>
  <si>
    <t>2020-102001</t>
  </si>
  <si>
    <t>NCO DRAFT MINUTES</t>
  </si>
  <si>
    <t>OIP ACTION</t>
  </si>
  <si>
    <t>2020-102101</t>
  </si>
  <si>
    <t>REPEAT REQUESTS</t>
  </si>
  <si>
    <t>DOE RECORDS</t>
  </si>
  <si>
    <t>2020-102201</t>
  </si>
  <si>
    <t>U RFA-P 21-14</t>
  </si>
  <si>
    <t>REQUEST FOR LEGISLATIVE DISCIPLINARY REPORT</t>
  </si>
  <si>
    <t>2020-102301</t>
  </si>
  <si>
    <t>U RFA-P 21-15</t>
  </si>
  <si>
    <t>DOE EMPLOYEE TRAINING</t>
  </si>
  <si>
    <t>CHILD ABUSE &amp; REPORTING</t>
  </si>
  <si>
    <t>2020-1022601</t>
  </si>
  <si>
    <t>RQST OF CONTACT TRACERS</t>
  </si>
  <si>
    <t>2020-102601</t>
  </si>
  <si>
    <t>U APPEAL 21-13</t>
  </si>
  <si>
    <t>REQUEST LTR FROM SENATOR BAKER</t>
  </si>
  <si>
    <t>GUIDANCE ON SB2462</t>
  </si>
  <si>
    <t>2020-102602</t>
  </si>
  <si>
    <t>U APPEAL 21-14</t>
  </si>
  <si>
    <t>RQST LTR FROM AG</t>
  </si>
  <si>
    <t>2020-110202</t>
  </si>
  <si>
    <t>RQST FOR COMPLETE CHECK REGISTER</t>
  </si>
  <si>
    <t>FY ENDING 063020</t>
  </si>
  <si>
    <t>2020-110201</t>
  </si>
  <si>
    <t>HFFA</t>
  </si>
  <si>
    <t>RQST FOR COMPLETE EVAL PERFORMANCE</t>
  </si>
  <si>
    <t>CRITERIA FOR ANNUAL EVAL</t>
  </si>
  <si>
    <t>2020-110204</t>
  </si>
  <si>
    <t>RFO-G 21-1</t>
  </si>
  <si>
    <t>UIPA RQST FROM CIVIL BEAT</t>
  </si>
  <si>
    <t>RQST RECORDS OF CONTACT TRACERS</t>
  </si>
  <si>
    <t>2020-110203</t>
  </si>
  <si>
    <t>U APPEAL 21-15</t>
  </si>
  <si>
    <t>KEWALO MOORING PERMITS</t>
  </si>
  <si>
    <t>2020-110401</t>
  </si>
  <si>
    <t>OPEN CODE ENFORCEMENT</t>
  </si>
  <si>
    <t>PROPERTY FINES, FEE, AND BALANCES</t>
  </si>
  <si>
    <t>2020-110402</t>
  </si>
  <si>
    <t>WHAT HAPPENS WHEN VOTES ARE DONE W/O PUBLIC INPUT</t>
  </si>
  <si>
    <t>2020-110501</t>
  </si>
  <si>
    <t>COPY OF AGREEMENT</t>
  </si>
  <si>
    <t>BETWEEN DOT &amp; BOINGO</t>
  </si>
  <si>
    <t>2020-110601</t>
  </si>
  <si>
    <t>PUBLIC TESTIMONY &amp; WRITTEN RESPONSES</t>
  </si>
  <si>
    <t>HUDCBD6-DR DRAFT ACTION PLAN</t>
  </si>
  <si>
    <t>2020-110901</t>
  </si>
  <si>
    <t>NCO COMPLAINT</t>
  </si>
  <si>
    <t>PAST DEADLINE</t>
  </si>
  <si>
    <t>2020-111201</t>
  </si>
  <si>
    <t>HON-HPD</t>
  </si>
  <si>
    <t>OPEN RECOR LAW</t>
  </si>
  <si>
    <t>2020-111601</t>
  </si>
  <si>
    <t>RECON-P21-2</t>
  </si>
  <si>
    <t>OIP DECISION F20-05</t>
  </si>
  <si>
    <t>BREAKING S/L</t>
  </si>
  <si>
    <t>2020-112301</t>
  </si>
  <si>
    <t>U APPEAL 21-16</t>
  </si>
  <si>
    <t>INVESTIGATION FINDINGS</t>
  </si>
  <si>
    <t>MERITS APPEAL BOARD</t>
  </si>
  <si>
    <t>2020-120902</t>
  </si>
  <si>
    <t>NO ACKNOWLEGMENT</t>
  </si>
  <si>
    <t>2020-121101</t>
  </si>
  <si>
    <t>COPY OF CONTRACT</t>
  </si>
  <si>
    <t>ONSITE CONTRACT MONITOR</t>
  </si>
  <si>
    <t>2020-122901</t>
  </si>
  <si>
    <t>S APPEAL 21-4</t>
  </si>
  <si>
    <t>10-14-20 MEETING</t>
  </si>
  <si>
    <t>REVIEW MINUTES</t>
  </si>
  <si>
    <t>2021-010601</t>
  </si>
  <si>
    <t>MEDICAL RECORDS, REPORTS, AND VIDEOS</t>
  </si>
  <si>
    <t>ADULT CORRECTIONS OFFICERS</t>
  </si>
  <si>
    <t>2021-010603</t>
  </si>
  <si>
    <t>RQST VERIFICATION OF AGENCY RECEIPT</t>
  </si>
  <si>
    <t>UIPA RQST</t>
  </si>
  <si>
    <t>2021-010602</t>
  </si>
  <si>
    <t>1/1/19 PENDING &amp; 1/1/20 COMPLETED UIPA REC RQST LOGS</t>
  </si>
  <si>
    <t>2021-010701</t>
  </si>
  <si>
    <t>2021-011201</t>
  </si>
  <si>
    <t>RFA-P 21-16</t>
  </si>
  <si>
    <t>PART III RECORD CORRECTION</t>
  </si>
  <si>
    <t>2021-011301</t>
  </si>
  <si>
    <t>MAYOR'S OFFICE</t>
  </si>
  <si>
    <t>RESPOND TO OVERDUE REQ</t>
  </si>
  <si>
    <t>2021-011302</t>
  </si>
  <si>
    <t>ACK &amp; PROVIDE REQUESTED RECORDS</t>
  </si>
  <si>
    <t>SOH/ BUDGET &amp; FINANCE/ TREASURY MANAGEMENT BRANCH</t>
  </si>
  <si>
    <t>SOH/ ACCOUNTING &amp; GENERAL SERVICES/ AUTOMOTIVE MANAGE DIV/ AUTO-0</t>
  </si>
  <si>
    <t>SOH/ ACCOUNTING &amp; GENERAL SERVICES/ AUDIT DIVISION/ AUD</t>
  </si>
  <si>
    <t>SOH/ ACCOUNTING &amp; GENERAL SERVICES/ ADM SERVICES OFFICE/ ASO-0</t>
  </si>
  <si>
    <t>SOH/ ACCOUNTING &amp; GENERAL SERVICES/ KAMEHAMEHA DAY CELEBRATION COMM/ KAM</t>
  </si>
  <si>
    <t>SOH/ ACCOUNTING &amp; GENERAL SERVICES/ KAUAI DISTRICT OFFICE/ KAU-0</t>
  </si>
  <si>
    <t>SOH/ ACCOUNTING &amp; GENERAL SERVICES/ PERSONNEL OFFICE/ PERS</t>
  </si>
  <si>
    <t>SOH/ ACCOUNTING &amp; GENERAL SERVICES/ SYSTEMS &amp; PROCED OFF/ SPO</t>
  </si>
  <si>
    <t>SOH/ AGRICULTURE/ MEASUREMENT STANDARDS BR/ MSB</t>
  </si>
  <si>
    <t xml:space="preserve"> </t>
  </si>
  <si>
    <t>SOH/ HAWAII HEALTH SYSTEMS CORPORATION/ WEST HAWAII REGION</t>
  </si>
  <si>
    <t>SOH/ HAWAII HEALTH SYSTEMS CORPORATION/ OAHU REGION</t>
  </si>
  <si>
    <t>SOH/ HAWAII HEALTH SYSTEMS CORPORATION/ MAUI REGION</t>
  </si>
  <si>
    <t>SOH/ HAWAII HEALTH SYSTEMS CORPORATION/ KAUAI REGION</t>
  </si>
  <si>
    <t>SOH/ HAWAII HEALTH SYSTEMS CORPORATION/ EAST HAWAII REGION</t>
  </si>
  <si>
    <t>SOH/ HEALTH/ EHA/ EMD/ SAFE DRINKING WATER BR</t>
  </si>
  <si>
    <t>SOH/ HEALTH/ BHA/ AMHD/ HAWAII STATE HOSPITAL BR</t>
  </si>
  <si>
    <t>SOH/ HEALTH/ DDH/ HIPAA STAFF</t>
  </si>
  <si>
    <t>SOH/ JUDICIARY/ CHIEF COURT ADMIN/FAMILY COURT DIR</t>
  </si>
  <si>
    <t>SOH/ JUDICIARY/ OFC OF EQUALITY &amp; ACCESS TO COURTS</t>
  </si>
  <si>
    <t>2021-012202</t>
  </si>
  <si>
    <t>IDENTIFY</t>
  </si>
  <si>
    <t>2021-012801</t>
  </si>
  <si>
    <t>S APPEAL 17-08 &amp; S APPEAL 18-04</t>
  </si>
  <si>
    <t>2021-012604</t>
  </si>
  <si>
    <t>REQUEST OF RECORDS</t>
  </si>
  <si>
    <t>2021-012802</t>
  </si>
  <si>
    <t>OFFICERS NAME &amp; BADGE NUMBER</t>
  </si>
  <si>
    <t>NAME OF OFFICERS WHO OFFERED MEDICAL ASSISTANCE</t>
  </si>
  <si>
    <t>2021-012804</t>
  </si>
  <si>
    <t>BECHER CONTRACT</t>
  </si>
  <si>
    <t>WRONG RECORD, FEES</t>
  </si>
  <si>
    <t>2021-012201</t>
  </si>
  <si>
    <t>U APPEAL 21-18</t>
  </si>
  <si>
    <t>TIMESHEETS</t>
  </si>
  <si>
    <t>2021-020801</t>
  </si>
  <si>
    <t>REQUEST LETTER</t>
  </si>
  <si>
    <t>REQUEST FROM CORP CNSL-M</t>
  </si>
  <si>
    <t>2021-020301</t>
  </si>
  <si>
    <t>SMALL GROUP MEETINGS</t>
  </si>
  <si>
    <t>BRADY/GIGILIO LIST</t>
  </si>
  <si>
    <t>2021-012805</t>
  </si>
  <si>
    <t>ACCESS TO COPYING</t>
  </si>
  <si>
    <t>2021-021601</t>
  </si>
  <si>
    <t>CONSULTANT SCOPE</t>
  </si>
  <si>
    <t>KAMEHAMEHA HWY</t>
  </si>
  <si>
    <t>2021-021202</t>
  </si>
  <si>
    <t>FRADULENT UI CLAIM</t>
  </si>
  <si>
    <t>2021-022301</t>
  </si>
  <si>
    <t>U APPEAL 21-23</t>
  </si>
  <si>
    <t>REDACTED LIFEGUARD CERT</t>
  </si>
  <si>
    <t>UNABLE TO VERIFY AUTHENTICITY</t>
  </si>
  <si>
    <t>2021-022302</t>
  </si>
  <si>
    <t>LETTER TO GOV</t>
  </si>
  <si>
    <t>INCORRECT ADDRESS</t>
  </si>
  <si>
    <t>2021-031102</t>
  </si>
  <si>
    <t>OPEN GOVERNMENTAL PRACTICES</t>
  </si>
  <si>
    <t>NEW ORDER</t>
  </si>
  <si>
    <t>2021-031802</t>
  </si>
  <si>
    <t>2021-031801</t>
  </si>
  <si>
    <t>OBTAINING INSTRUCTIONS</t>
  </si>
  <si>
    <t>REPEATED ATTEMPTS</t>
  </si>
  <si>
    <t>2021-031601</t>
  </si>
  <si>
    <t>PRISON FILE</t>
  </si>
  <si>
    <t>2021-031602</t>
  </si>
  <si>
    <t>ASSAULT</t>
  </si>
  <si>
    <t>2021-032503</t>
  </si>
  <si>
    <t>2021-032903</t>
  </si>
  <si>
    <t>DR. LILLY GEYER'S LICENSE</t>
  </si>
  <si>
    <t>2021-040502</t>
  </si>
  <si>
    <t>MULTIPLE REQUESTS TO PLAN-M</t>
  </si>
  <si>
    <t>VARIOUS TAX MAP KEY(S)</t>
  </si>
  <si>
    <t>2021-033001</t>
  </si>
  <si>
    <t>EMPLOYEE SALARIES BY POSITION</t>
  </si>
  <si>
    <t>FY 2018-PRESENT</t>
  </si>
  <si>
    <t>2021-041601</t>
  </si>
  <si>
    <t>REQ FOR RECORDS FR DPP-HON</t>
  </si>
  <si>
    <t>NON-RESPONSE</t>
  </si>
  <si>
    <t>RHS</t>
  </si>
  <si>
    <t>2021-040501</t>
  </si>
  <si>
    <t>PREVIOUS VERSIONS OF UIPA FORMS</t>
  </si>
  <si>
    <t>2021-042602</t>
  </si>
  <si>
    <t>HI-OSH</t>
  </si>
  <si>
    <t>REQUEST FOR OSHA REPORT</t>
  </si>
  <si>
    <t>RESPONSE TO REQUEST; NEED MORE INFO</t>
  </si>
  <si>
    <t>2021-042901</t>
  </si>
  <si>
    <t>IT-H</t>
  </si>
  <si>
    <t>FOLLOW UP REQUEST FOR RECORDS;</t>
  </si>
  <si>
    <t>NO RESPONSE FR IT-H SINCE 3/23/21 LTR SENT</t>
  </si>
  <si>
    <t>2021-050301</t>
  </si>
  <si>
    <t>REQUESTING GOV RECORDS</t>
  </si>
  <si>
    <t>REFERRED TO OIP BY DLNR</t>
  </si>
  <si>
    <t>2021-032902</t>
  </si>
  <si>
    <t>CURRENT EMPLOYEE</t>
  </si>
  <si>
    <t>STAFF CONTACT INFORMATION</t>
  </si>
  <si>
    <t>2021-051101</t>
  </si>
  <si>
    <t>UIPA REQUEST TO B&amp;F;</t>
  </si>
  <si>
    <t>CONTACT TRACERS 2020-2021</t>
  </si>
  <si>
    <t>2021-050302</t>
  </si>
  <si>
    <t>REQ ALL COMMUNICATION BETWEEN OIP &amp; MPD</t>
  </si>
  <si>
    <t>DECEMBER 2020 TO PRESENT</t>
  </si>
  <si>
    <t>2021-051102</t>
  </si>
  <si>
    <t>REQ FOR ADMINISTRATIVE LEAVE POLICE FR PSD/HPA;</t>
  </si>
  <si>
    <t>2021-051103</t>
  </si>
  <si>
    <t>REVIEW PROPOSED RESOLUTION AND IMPLICATIONS ON SUSHINE LAW;</t>
  </si>
  <si>
    <t>COUNCIL-M 5/17/2021</t>
  </si>
  <si>
    <t>2021-052101</t>
  </si>
  <si>
    <t>HOW TO OPEN AN APPEAL W/OIP;</t>
  </si>
  <si>
    <t>RE: DENIAL OF REQUEST</t>
  </si>
  <si>
    <t>2021-052001</t>
  </si>
  <si>
    <t>RESPONSE TO DENIAL OF REQ BY HPA;</t>
  </si>
  <si>
    <t>OIP RESPONDED W/ LTR HPA SENT</t>
  </si>
  <si>
    <t>2021-040503</t>
  </si>
  <si>
    <t>U APPEAL 21-26</t>
  </si>
  <si>
    <t>HPD OFFICERS BREAKING OT RULES</t>
  </si>
  <si>
    <t>CLOSURE OF COVID-19 ENFORCEMENT UNIT</t>
  </si>
  <si>
    <t>2021-020902</t>
  </si>
  <si>
    <t>U APPEAL 21-22</t>
  </si>
  <si>
    <t>2021-052401</t>
  </si>
  <si>
    <t>REQ TO DOH 4/27/21;</t>
  </si>
  <si>
    <t>NO RESPONSE FR AGENCY</t>
  </si>
  <si>
    <t>2021-052803</t>
  </si>
  <si>
    <t>GREAT COMMITTEE ADDING A CONSENT CALENDAR;</t>
  </si>
  <si>
    <t>GREAT-6(2)</t>
  </si>
  <si>
    <t>2021-032501</t>
  </si>
  <si>
    <t>U APPEAL 21-25</t>
  </si>
  <si>
    <t>SANIFII-WASTE MANIFEST</t>
  </si>
  <si>
    <t>NO RECORDS</t>
  </si>
  <si>
    <t>2021-060401</t>
  </si>
  <si>
    <t>POLICE-HON WAITING FOR RECORDS;</t>
  </si>
  <si>
    <t>CHECK PYMT RECV'D</t>
  </si>
  <si>
    <t>2021-022601</t>
  </si>
  <si>
    <t>FRAUDULENT UI CLAIM</t>
  </si>
  <si>
    <t>APPLICATION NOT RECEIVED</t>
  </si>
  <si>
    <t>2021-021201</t>
  </si>
  <si>
    <t>U RFA-P 21-17</t>
  </si>
  <si>
    <t>MISC-K</t>
  </si>
  <si>
    <t>DQ REAL PROP TAX LIST</t>
  </si>
  <si>
    <t>2021-061801</t>
  </si>
  <si>
    <t>SHORT TERM RENTAL VIOLATION;</t>
  </si>
  <si>
    <t>INVESTIGATION CLSD; NO REPSONSE FR DPP-HON</t>
  </si>
  <si>
    <t>2021-060802</t>
  </si>
  <si>
    <t>REQ TO PLAN-M FOR TAX MAP KEY (2) 3-1-001-020;</t>
  </si>
  <si>
    <t>2021-062801</t>
  </si>
  <si>
    <t>DISPENSARY LICENSEES;</t>
  </si>
  <si>
    <t>ANNUAL FINANCIAL AUDIT TO DOH</t>
  </si>
  <si>
    <t>2021-052402</t>
  </si>
  <si>
    <t>EXPLAIN FEE WAIVERS;</t>
  </si>
  <si>
    <t>JOINT PERSONAL RECORDS</t>
  </si>
  <si>
    <t>2021-071501</t>
  </si>
  <si>
    <t>DISCLOSURE OF PROPOSALS;</t>
  </si>
  <si>
    <t>2 RFQ'S/RFP'S BY DLNR</t>
  </si>
  <si>
    <t>2021-070602</t>
  </si>
  <si>
    <t>LISTOF BACKLOGGED PENDING REQ FOR RECORDS</t>
  </si>
  <si>
    <t>DURING COVID EMERGENCY; NO REPONSE</t>
  </si>
  <si>
    <t>2021-070603</t>
  </si>
  <si>
    <t>2021-070604</t>
  </si>
  <si>
    <t>2021-070605</t>
  </si>
  <si>
    <t>2021-070606</t>
  </si>
  <si>
    <t>2021-070607</t>
  </si>
  <si>
    <t>2021-070608</t>
  </si>
  <si>
    <t>2021-070609</t>
  </si>
  <si>
    <t>2021-070611</t>
  </si>
  <si>
    <t>2021-070610</t>
  </si>
  <si>
    <t>2021-030401</t>
  </si>
  <si>
    <t>MATTERS RELATED TO</t>
  </si>
  <si>
    <t>2021-081701</t>
  </si>
  <si>
    <t>OIP COMMUNICATION TO/FROM;</t>
  </si>
  <si>
    <t>MACZAC RELATED TO MTG</t>
  </si>
  <si>
    <t>2021-081901</t>
  </si>
  <si>
    <t>REQ FOR LTRS FR HPD CHIEFS TO OIP;</t>
  </si>
  <si>
    <t>RELATED TO OPINION 03-09</t>
  </si>
  <si>
    <t>2021-081001</t>
  </si>
  <si>
    <t>U RFA-P 22-1</t>
  </si>
  <si>
    <t>2019 MAUI JAIL RIOT RECORD REQ;</t>
  </si>
  <si>
    <t>REPORT NOT RELEASED</t>
  </si>
  <si>
    <t>2021-092001</t>
  </si>
  <si>
    <t>BOSTON DYNAMICS ROBOTS;</t>
  </si>
  <si>
    <t>SENT TO WRONG AGENCY</t>
  </si>
  <si>
    <t>LKK</t>
  </si>
  <si>
    <t>2021-090302</t>
  </si>
  <si>
    <t>U RFA-P 22-4</t>
  </si>
  <si>
    <t>REQ FOR PERSONAL RECORDS;</t>
  </si>
  <si>
    <t>RESPONSE PAST DUE</t>
  </si>
  <si>
    <t>2021-091301</t>
  </si>
  <si>
    <t>U RFA-P 22-7</t>
  </si>
  <si>
    <t>REQ COPY OF CURRENT CM;</t>
  </si>
  <si>
    <t>DOH NO RESPONSE</t>
  </si>
  <si>
    <t>2021-092002</t>
  </si>
  <si>
    <t>STATE CALENDAR MTG NOTICES;</t>
  </si>
  <si>
    <t>MONITORING</t>
  </si>
  <si>
    <t>2021-052802</t>
  </si>
  <si>
    <t>REQ OF RECORDS PROS ATTY-H;</t>
  </si>
  <si>
    <t>2021-092901</t>
  </si>
  <si>
    <t>DOH RECORD REQUESTS;</t>
  </si>
  <si>
    <t>MISDIRECTED MAIL</t>
  </si>
  <si>
    <t>2021-100801</t>
  </si>
  <si>
    <t>U RFA-P 22-13</t>
  </si>
  <si>
    <t>GREEN WASTE RECYCLING;</t>
  </si>
  <si>
    <t>2021-090301</t>
  </si>
  <si>
    <t>U RFA-P 22-3</t>
  </si>
  <si>
    <t>2021-070901</t>
  </si>
  <si>
    <t>REQ FOR POLICE CHIEF HIRING QUESTIONS;</t>
  </si>
  <si>
    <t>NO RESPONSE FR POLICEC-HON</t>
  </si>
  <si>
    <t>2021-072001</t>
  </si>
  <si>
    <t>FOLLOW UP TO LTR TO PSD 3/30/21;</t>
  </si>
  <si>
    <t>NO RESPONSE FR PSD</t>
  </si>
  <si>
    <t>2021-100501</t>
  </si>
  <si>
    <t>9/19/21 EMAIL NOT RECEIVED BY OIP;</t>
  </si>
  <si>
    <t>S/L COMPLAINT</t>
  </si>
  <si>
    <t>2021-092301</t>
  </si>
  <si>
    <t>U RFA-P 22-8</t>
  </si>
  <si>
    <t>"LOVE ISLAND" PERMIT;</t>
  </si>
  <si>
    <t>2021-102501</t>
  </si>
  <si>
    <t>FULLFILLMENT OF PUBLIC MTG NOTICE REQ;</t>
  </si>
  <si>
    <t>STATE CALENDAR</t>
  </si>
  <si>
    <t>2021-082703</t>
  </si>
  <si>
    <t>REPORT; MED RECORDS;</t>
  </si>
  <si>
    <t>2021-090703</t>
  </si>
  <si>
    <t>PSD-OCC</t>
  </si>
  <si>
    <t>CHRON LIST OF DATES;</t>
  </si>
  <si>
    <t>NEED WRITTEN REQUESTS</t>
  </si>
  <si>
    <t>2021-092903</t>
  </si>
  <si>
    <t>U RFA-P 22-9</t>
  </si>
  <si>
    <t>REQUEST PROCEDURES AND GUIDELINES;</t>
  </si>
  <si>
    <t>2021-102102</t>
  </si>
  <si>
    <t>FY2021 UIPA RCRD RQST LOGS;</t>
  </si>
  <si>
    <t>2021-110101</t>
  </si>
  <si>
    <t>MAUI COUNTY COUNCIL S/L VIOLATIONS;</t>
  </si>
  <si>
    <t>RECEIVED BY OIP</t>
  </si>
  <si>
    <t>2021-052403</t>
  </si>
  <si>
    <t>EXPLAIN NTR;</t>
  </si>
  <si>
    <t>APPEAL OPTIONS</t>
  </si>
  <si>
    <t>2021-100703</t>
  </si>
  <si>
    <t>COPY FEES;</t>
  </si>
  <si>
    <t>ADMIN LEAVE REPORT</t>
  </si>
  <si>
    <t>2021-102802</t>
  </si>
  <si>
    <t>U RFA-P 22-15</t>
  </si>
  <si>
    <t>REQUEST FOR PROPOSALS (NASED);</t>
  </si>
  <si>
    <t>2021-110801</t>
  </si>
  <si>
    <t>MEGASTAR ADVISORS LLC;</t>
  </si>
  <si>
    <t>REQ EMP CONTACT INFO</t>
  </si>
  <si>
    <t>2021-111502</t>
  </si>
  <si>
    <t>U RFA-P 22-17</t>
  </si>
  <si>
    <t>BRIDGE ON AHILAMA ROAD OVER WAIHE'E STREAM;</t>
  </si>
  <si>
    <t>2021-111801</t>
  </si>
  <si>
    <t>ADULT MENTAL HEALTH RE CANCELLED MTG</t>
  </si>
  <si>
    <t>2021-100401</t>
  </si>
  <si>
    <t>U RFA-P 22-10</t>
  </si>
  <si>
    <t>REQ BWC FOOTAGE &amp; AUDIO RECORDINGS;</t>
  </si>
  <si>
    <t>2021-111501</t>
  </si>
  <si>
    <t>VTT FILE IS NOT EMBEDDED INTO THE POWERPOINT PRESENTATION</t>
  </si>
  <si>
    <t>2 STANDARDS FOR A RESPONSE</t>
  </si>
  <si>
    <t>2021-062301</t>
  </si>
  <si>
    <t>NON COMPLIANCE OF 92-7;</t>
  </si>
  <si>
    <t>CALENDAR/AGENDAS ATTACHED</t>
  </si>
  <si>
    <t>2021-112401</t>
  </si>
  <si>
    <t>REQUEST FOR RFA</t>
  </si>
  <si>
    <t>NEED COPY OF REQUEST</t>
  </si>
  <si>
    <t>2021-120802</t>
  </si>
  <si>
    <t>U RFA-P 22-19</t>
  </si>
  <si>
    <t>REQ PURCHASING RECORDS;</t>
  </si>
  <si>
    <t>2021-090303</t>
  </si>
  <si>
    <t>U RFA-P 22-5</t>
  </si>
  <si>
    <t>REQ NUMEROUS RECORDS;</t>
  </si>
  <si>
    <t>NON RESPONSE FR AGENCY</t>
  </si>
  <si>
    <t>2021-091001</t>
  </si>
  <si>
    <t>U RFA-P 22-6</t>
  </si>
  <si>
    <t>DELTA VARIANT;</t>
  </si>
  <si>
    <t>METHODS OF DETECTION</t>
  </si>
  <si>
    <t>2021-121301</t>
  </si>
  <si>
    <t>OIP FAX LOG AND CONFIRMATION SHEET</t>
  </si>
  <si>
    <t>RE: FAX SENT ON 12/4/2021</t>
  </si>
  <si>
    <t>2021-121601</t>
  </si>
  <si>
    <t>NTR FR JUD;</t>
  </si>
  <si>
    <t>DISPUTE COPIES COST</t>
  </si>
  <si>
    <t>2021-101803</t>
  </si>
  <si>
    <t>U RFA-P 22-14</t>
  </si>
  <si>
    <t>KIHEI DRAINAGE MASTER PLAN;</t>
  </si>
  <si>
    <t>2021-120801</t>
  </si>
  <si>
    <t>U RFA-P 22-18</t>
  </si>
  <si>
    <t>COMPLAINTS FILED ABOUT XXXXXXXXXX;</t>
  </si>
  <si>
    <t>2021-122101</t>
  </si>
  <si>
    <t>U RFA-P 22-20</t>
  </si>
  <si>
    <t>REQ TO DOH;</t>
  </si>
  <si>
    <t>2022-010303</t>
  </si>
  <si>
    <t>REQUEST ALL RECORDS AVAILABLE;</t>
  </si>
  <si>
    <t>PESONAL RECORDS</t>
  </si>
  <si>
    <t>2022-010601</t>
  </si>
  <si>
    <t>SL SELF CERTIFICATION;</t>
  </si>
  <si>
    <t>MISDIRECTED</t>
  </si>
  <si>
    <t>2021-122901</t>
  </si>
  <si>
    <t>AGENCY POINT OF CONTACT INFO;</t>
  </si>
  <si>
    <t>REQUEST UPDATED LIST</t>
  </si>
  <si>
    <t>2021-110805</t>
  </si>
  <si>
    <t>U RFA-P 22-16</t>
  </si>
  <si>
    <t>SHERATON KAUAI MULTIPLE RECORDS;</t>
  </si>
  <si>
    <t>2021-012501</t>
  </si>
  <si>
    <t>COUNTERCLAIM</t>
  </si>
  <si>
    <t>REPETITIVE RECORDS REQUEST</t>
  </si>
  <si>
    <t>2021-042601</t>
  </si>
  <si>
    <t>4 PAGE TESTIMONY REQUIREMENT</t>
  </si>
  <si>
    <t>NB COMPLAINTS</t>
  </si>
  <si>
    <t>2021-060803</t>
  </si>
  <si>
    <t>FOLLOW UP ON PREVIOUS CORR STATUS;</t>
  </si>
  <si>
    <t>DID NOT RECEIVE REPLY</t>
  </si>
  <si>
    <t>2021-062401</t>
  </si>
  <si>
    <t>AGENDA NOT POSTED PROPERLY</t>
  </si>
  <si>
    <t>2021-070601</t>
  </si>
  <si>
    <t>REQ FOR INVESTIGATION DECISION 5/7/21;</t>
  </si>
  <si>
    <t>2021-122103</t>
  </si>
  <si>
    <t>MULTIPLE REQ TO SEPARATE AGENCIES;</t>
  </si>
  <si>
    <t>VIDEO OFFICER INFO;</t>
  </si>
  <si>
    <t>NEEDS TO MAKE REQUEST</t>
  </si>
  <si>
    <t>2021-081702</t>
  </si>
  <si>
    <t>RFA-P 22-2</t>
  </si>
  <si>
    <t>REQ COPY OF INTAKE REPORT;</t>
  </si>
  <si>
    <t>NO RESPONSE, MULTIPLE REQ MADE</t>
  </si>
  <si>
    <t>2021-033101</t>
  </si>
  <si>
    <t>MMPO REPORTING AT COUNCIL MEETINGS</t>
  </si>
  <si>
    <t>HRS 92-2.5€</t>
  </si>
  <si>
    <t>2021-032502</t>
  </si>
  <si>
    <t>S APPEAL 21-5</t>
  </si>
  <si>
    <t>FAILED TO POST AGENDA &amp; MINUTES</t>
  </si>
  <si>
    <t>2/17/21 CITY &amp; COUNTY</t>
  </si>
  <si>
    <t>2021-062901</t>
  </si>
  <si>
    <t>S APPEAL 21-6</t>
  </si>
  <si>
    <t>REQ TO INVESTIGATE SL ISSUES;</t>
  </si>
  <si>
    <t>HART BOARD HANABUSA</t>
  </si>
  <si>
    <t>2021-072301</t>
  </si>
  <si>
    <t>S APPEAL 22-01</t>
  </si>
  <si>
    <t>COMM EXEC MTG AGENDA TOPICS;</t>
  </si>
  <si>
    <t>NOT SPECIFIED, INADEQUATE</t>
  </si>
  <si>
    <t>2021-090702</t>
  </si>
  <si>
    <t>S APPEAL 22-02</t>
  </si>
  <si>
    <t>WRITTEN TESTIMONY NOT ACCEPTED;</t>
  </si>
  <si>
    <t>EMC MTG 8/25/2021</t>
  </si>
  <si>
    <t>2021-092401</t>
  </si>
  <si>
    <t>TESTIMONY INTERRUPTED;</t>
  </si>
  <si>
    <t>GUIDANCE FOR BOARD</t>
  </si>
  <si>
    <t>2021-110804</t>
  </si>
  <si>
    <t>S APPEAL 22-4</t>
  </si>
  <si>
    <t>DOE-BOE VIOLATED NOTICE PROVISIONS;</t>
  </si>
  <si>
    <t>10/21/2021 MTG</t>
  </si>
  <si>
    <t>2021-012101</t>
  </si>
  <si>
    <t>U APPEAL 21-17</t>
  </si>
  <si>
    <t>CHIEF EVALS</t>
  </si>
  <si>
    <t>2017-2019</t>
  </si>
  <si>
    <t>2021-012601</t>
  </si>
  <si>
    <t>U APPEAL 21-19</t>
  </si>
  <si>
    <t>#2018-DOCARE-001</t>
  </si>
  <si>
    <t>INTERNAL AFFAIRS INQUIRY</t>
  </si>
  <si>
    <t>2021-012803</t>
  </si>
  <si>
    <t>U APPEAL 21-20</t>
  </si>
  <si>
    <t>MEDICAL TEST RESULTS</t>
  </si>
  <si>
    <t>2021-020901</t>
  </si>
  <si>
    <t>U APPEAL 21-21</t>
  </si>
  <si>
    <t>PART II &amp; III, MISSING RECORDS</t>
  </si>
  <si>
    <t>FEES, RETENTION</t>
  </si>
  <si>
    <t>2021-030801</t>
  </si>
  <si>
    <t>U APPEAL 21-24</t>
  </si>
  <si>
    <t>NO RECORDS REQ</t>
  </si>
  <si>
    <t>2021-041401</t>
  </si>
  <si>
    <t>U APPEAL 21-27</t>
  </si>
  <si>
    <t>REQUEST FOR RECORDS FR DOA</t>
  </si>
  <si>
    <t>DOA WILL BE CHARGING FEES</t>
  </si>
  <si>
    <t>2021-050502</t>
  </si>
  <si>
    <t>U APPEAL 21-28</t>
  </si>
  <si>
    <t>DOE-PCSC</t>
  </si>
  <si>
    <t>REQUEST FOR EXECUTIVE SESSION MINUTES OR VIDEO;</t>
  </si>
  <si>
    <t>DENIED BY AGENCY</t>
  </si>
  <si>
    <t>2021-052002</t>
  </si>
  <si>
    <t>U APPEAL 21-29</t>
  </si>
  <si>
    <t>HPA DOES NOT MAINTAIN POLICIES REQ;</t>
  </si>
  <si>
    <t>WORK BADGE WILL NOT BE PROVIDED</t>
  </si>
  <si>
    <t>2021-060801</t>
  </si>
  <si>
    <t>U APPEAL 21-30</t>
  </si>
  <si>
    <t>REQ OF RECORDS REJECTED</t>
  </si>
  <si>
    <t>2ND REQ, RECORDS NO LONGER AVAILABLE</t>
  </si>
  <si>
    <t>2021-061001</t>
  </si>
  <si>
    <t>U APPEAL 21-31</t>
  </si>
  <si>
    <t>REQUESTED MEETING MINUTES</t>
  </si>
  <si>
    <t>NO RECORDING OF MINUTES</t>
  </si>
  <si>
    <t>2021-062302</t>
  </si>
  <si>
    <t>U APPEAL 21-32</t>
  </si>
  <si>
    <t>REQ PERS INFO SUBMITTED BY GEICO;</t>
  </si>
  <si>
    <t>RELEASE OF INFO WILL FRUSTRATE GOV FUNC</t>
  </si>
  <si>
    <t>2021-070801</t>
  </si>
  <si>
    <t>U APPEAL 22-01</t>
  </si>
  <si>
    <t>REQ FOR PERSONAL &amp; GOV'T RECORDS;</t>
  </si>
  <si>
    <t>DENIED BY DLNR</t>
  </si>
  <si>
    <t>2021-070802</t>
  </si>
  <si>
    <t>U APPEAL 22-02</t>
  </si>
  <si>
    <t>DENIED BY DOH</t>
  </si>
  <si>
    <t>2021-070803</t>
  </si>
  <si>
    <t>U APPEAL 22-03</t>
  </si>
  <si>
    <t>REQ FOR OFFICERS EMP PHOTOS;</t>
  </si>
  <si>
    <t>DENIED FOR SECURITY REASONS</t>
  </si>
  <si>
    <t>2021-100702</t>
  </si>
  <si>
    <t>U APPEAL 22-10</t>
  </si>
  <si>
    <t>SCREENING QUESTIONS, FORMS</t>
  </si>
  <si>
    <t>INADEQUATE RESPONSE</t>
  </si>
  <si>
    <t>2021-101801</t>
  </si>
  <si>
    <t>U APPEAL 22-11</t>
  </si>
  <si>
    <t>LEASE SUCCESSORSHIP;</t>
  </si>
  <si>
    <t>2021-101802</t>
  </si>
  <si>
    <t>U APPEAL 22-12</t>
  </si>
  <si>
    <t>2021-102101</t>
  </si>
  <si>
    <t>U APPEAL 22-13</t>
  </si>
  <si>
    <t>REQUEST FOR VARIOUS POLICIES;</t>
  </si>
  <si>
    <t>DENIED IN FULL</t>
  </si>
  <si>
    <t>2021-102201</t>
  </si>
  <si>
    <t>U APPEAL 22-14</t>
  </si>
  <si>
    <t>RECRUITMENT #33110;</t>
  </si>
  <si>
    <t>PARTS II AND III</t>
  </si>
  <si>
    <t>2021-102901</t>
  </si>
  <si>
    <t>U APPEAL 22-15</t>
  </si>
  <si>
    <t>POLICE BODY CAM FOOTAGE;</t>
  </si>
  <si>
    <t>2021-120301</t>
  </si>
  <si>
    <t>U APPEAL 22-16</t>
  </si>
  <si>
    <t>REQ BWC FOOTAGE &amp; AUDIO RECORDINGS; NO NTR</t>
  </si>
  <si>
    <t>2021-110901</t>
  </si>
  <si>
    <t>U APPEAL 22-17</t>
  </si>
  <si>
    <t>CIRCULAR MEMORANDUM, ETC.</t>
  </si>
  <si>
    <t>RECRUITMENT 219298</t>
  </si>
  <si>
    <t>2021-111901</t>
  </si>
  <si>
    <t>U APPEAL 22-18</t>
  </si>
  <si>
    <t>REQ FOR OUR CARE, OUR CHOICE ACT RECORDS;</t>
  </si>
  <si>
    <t>2021-121701</t>
  </si>
  <si>
    <t>U APPEAL 22-19</t>
  </si>
  <si>
    <t>REQ ACTUAL PANORAMA STUDENT SURVEYS;</t>
  </si>
  <si>
    <t>RECEIVED SAMPLE FORM SURVEYS</t>
  </si>
  <si>
    <t>2022-010301</t>
  </si>
  <si>
    <t>U APPEAL 22-20</t>
  </si>
  <si>
    <t>DENIED COMPLAINANT'S NAME FR RECORD REQ;</t>
  </si>
  <si>
    <t>INFO REDACTED</t>
  </si>
  <si>
    <t>2021-011001</t>
  </si>
  <si>
    <t>U APPEAL 22-21</t>
  </si>
  <si>
    <t>REQ RECORDS OF HPD INCIDENT;</t>
  </si>
  <si>
    <t>NTR NO RECORDS</t>
  </si>
  <si>
    <t>2021-081902</t>
  </si>
  <si>
    <t>U APPEAL 22-4</t>
  </si>
  <si>
    <t>DENIED IN FULL REQ TAX RECORDS;</t>
  </si>
  <si>
    <t>DISC WITHOUT MERIT</t>
  </si>
  <si>
    <t>2021-090304</t>
  </si>
  <si>
    <t>U APPEAL 22-5</t>
  </si>
  <si>
    <t>REQ COPY OF COMPLAINT;</t>
  </si>
  <si>
    <t>2021-090701</t>
  </si>
  <si>
    <t>U APPEAL 22-6</t>
  </si>
  <si>
    <t>REQ RECORDS; SHOPO CBA;</t>
  </si>
  <si>
    <t>2021-092902</t>
  </si>
  <si>
    <t>U APPEAL 22-7</t>
  </si>
  <si>
    <t>REQUEST FOR VARIOUS RECORDS;</t>
  </si>
  <si>
    <t>PARTIALLY DENIED BY AGENCY</t>
  </si>
  <si>
    <t>2021-093001</t>
  </si>
  <si>
    <t>U APPEAL 22-8</t>
  </si>
  <si>
    <t>DHRD INTERNAL PROCEDURES;</t>
  </si>
  <si>
    <t>2021-100701</t>
  </si>
  <si>
    <t>U APPEAL 22-9</t>
  </si>
  <si>
    <t>CIRCULAR MEMO;</t>
  </si>
  <si>
    <t>2021-100601</t>
  </si>
  <si>
    <t>U RFA-P 22-11</t>
  </si>
  <si>
    <t>REQ ALL FILES FOR RFS 16-0001311;</t>
  </si>
  <si>
    <t>NO RESPONSE FR PLAN-M</t>
  </si>
  <si>
    <t>2021-100602</t>
  </si>
  <si>
    <t>U RFA-P 22-12</t>
  </si>
  <si>
    <t>NO RESPONSE FR DPW-M</t>
  </si>
  <si>
    <t>2021-122102</t>
  </si>
  <si>
    <t>U RFA-P 22-21</t>
  </si>
  <si>
    <t>FEE WAIVER REQUEST;</t>
  </si>
  <si>
    <t>2021-122201</t>
  </si>
  <si>
    <t>U RFA-P 22-22</t>
  </si>
  <si>
    <t>REQ AUDIO OR WRITTEN TRANSCRIPTS FR HEARING;</t>
  </si>
  <si>
    <t>NO RESPONSE DLIR</t>
  </si>
  <si>
    <t>2021-122202</t>
  </si>
  <si>
    <t>U RFA-P 22-23</t>
  </si>
  <si>
    <t>NO RESPONSE GOV</t>
  </si>
  <si>
    <t>2021-122203</t>
  </si>
  <si>
    <t>U RFA-P 22-24</t>
  </si>
  <si>
    <t>NO RESPONSE DLIR-ESARO</t>
  </si>
  <si>
    <t>2021-122701</t>
  </si>
  <si>
    <t>U RFA-P 22-25</t>
  </si>
  <si>
    <t>REQ LIST OF RECORDS;</t>
  </si>
  <si>
    <t>2022-010302</t>
  </si>
  <si>
    <t>U RFA-P 22-26</t>
  </si>
  <si>
    <t>REQ FAX LOG &amp; REMINDER TO DOFAW;</t>
  </si>
  <si>
    <t>2022-010501</t>
  </si>
  <si>
    <t>U RFA-P 22-27</t>
  </si>
  <si>
    <t>REQ PERSONAL RECORDS;</t>
  </si>
  <si>
    <t>U RFA-P 22-28</t>
  </si>
  <si>
    <t>CONFIRM RECEIPT OF PREVIOUS LTRS SENT TO OIP;</t>
  </si>
  <si>
    <t>NO RESPONSE RECEIVED</t>
  </si>
  <si>
    <t>2022-010304</t>
  </si>
  <si>
    <t>PENDING/CLOSED CASE FILES;</t>
  </si>
  <si>
    <t>1/1/2021-PRESENT</t>
  </si>
  <si>
    <t>Total UIPA Req in FY21</t>
  </si>
  <si>
    <t>UIPA Req with No Disclosure FY21</t>
  </si>
  <si>
    <t>FY21 Denial Percentage</t>
  </si>
  <si>
    <t>Avg Days for Dep't to Complete UIPA Req in FY21</t>
  </si>
  <si>
    <t>Longest Time (Days) for Dep't to Complete Req FY21</t>
  </si>
  <si>
    <t>New OIP Matters FY21 re UIPA</t>
  </si>
  <si>
    <t>New OIP Matters as % of Requests for FY21+FY20</t>
  </si>
  <si>
    <t>SOH/ BUSINESS, ECON DEV, &amp; TOURISM/ LAND USE COMMISSION/ LUC</t>
  </si>
  <si>
    <t>SOH/ BUSINESS, ECON DEV, &amp; TOURISM/ HAWAII GREEN INFRATRSTRUCTURE AUTHORITY</t>
  </si>
  <si>
    <t>SOH/ BUSINESS, ECON DEV, &amp; TOURISM/ HAWAII COMMUNITY DEVEL AUTHORITY/ HCDA</t>
  </si>
  <si>
    <t>SOH/ BUSINESS, ECON DEV, &amp; TOURISM/ BUS DEVELOPMENT &amp; MARKET DIV/ BD&amp;M</t>
  </si>
  <si>
    <t>SOH/ AGRICULTURE/ LIVESTOCK DISEASE CONTROL BR/ LDC</t>
  </si>
  <si>
    <t>MKH/LOC/CMA</t>
  </si>
  <si>
    <t>U RFA-P 22-42</t>
  </si>
  <si>
    <t>EAF</t>
  </si>
  <si>
    <t>MKH/LOC/JZB</t>
  </si>
  <si>
    <t>MKH/CMA</t>
  </si>
  <si>
    <t>2022-021101</t>
  </si>
  <si>
    <t>U APPEAL 22-22</t>
  </si>
  <si>
    <t>REQ HRS 134-10.2 WRITTEN LEGAL CLARIFICATION;</t>
  </si>
  <si>
    <t>2022-021801</t>
  </si>
  <si>
    <t>U APPEAL 22-23</t>
  </si>
  <si>
    <t>2022-022401</t>
  </si>
  <si>
    <t>U APPEAL 22-24</t>
  </si>
  <si>
    <t>RICHARDSON ADM COMMITTEE MBRS;</t>
  </si>
  <si>
    <t>U RFA-P 22-41</t>
  </si>
  <si>
    <t>2022-022801</t>
  </si>
  <si>
    <t>S APPEAL 22-5</t>
  </si>
  <si>
    <t>UNABLE TO TESTIFY;</t>
  </si>
  <si>
    <t>KAUAI PLANNING COM MTG 2/8/22</t>
  </si>
  <si>
    <t>2022-030202</t>
  </si>
  <si>
    <t>U APPEAL 22-25</t>
  </si>
  <si>
    <t>INCOMPLETE AUDIO FILES;</t>
  </si>
  <si>
    <t>GRANTED IN FULL</t>
  </si>
  <si>
    <t>DISMISSED BY REQUESTER; LTR REC'D 9/8/22</t>
  </si>
  <si>
    <t>2022-030301</t>
  </si>
  <si>
    <t>U APPEAL 22-26</t>
  </si>
  <si>
    <t>HOME ADDRESSES OF LEG;</t>
  </si>
  <si>
    <t>U RFA-P 20-23 
DIMISSED; GOT RECORDS</t>
  </si>
  <si>
    <t>2022-030901</t>
  </si>
  <si>
    <t>U APPEAL 22-27</t>
  </si>
  <si>
    <t>BWC FOOTAGE CASE 20-027521;</t>
  </si>
  <si>
    <t>2022-033002</t>
  </si>
  <si>
    <t>S APPEAL 22-7</t>
  </si>
  <si>
    <t>MAYOR'S FISCAL RECOVERY FUND COMMITTEE;</t>
  </si>
  <si>
    <t>AMERICAN RESCUE PLAN ACT</t>
  </si>
  <si>
    <t>2022-033101</t>
  </si>
  <si>
    <t>U APPEAL 22-28</t>
  </si>
  <si>
    <t>STATEMENTS/REPORTS TAKEN OF HSI PERSONNEL;</t>
  </si>
  <si>
    <t>2022-040702</t>
  </si>
  <si>
    <t>U APPEAL 22-29</t>
  </si>
  <si>
    <t>INVESTIGATIVE RECORDS RELATED TO EDMUND KONG;</t>
  </si>
  <si>
    <t>2022-041101</t>
  </si>
  <si>
    <t>U APPEAL 22-30</t>
  </si>
  <si>
    <t>INTERNAL AFFAIRS CASES</t>
  </si>
  <si>
    <t>FILES FOR ALL OFFICERS REQUESTED</t>
  </si>
  <si>
    <t>2022-042701</t>
  </si>
  <si>
    <t>U APPEAL 22-31</t>
  </si>
  <si>
    <t>STEAMER'S PAINTING INC. ACM REPORT;</t>
  </si>
  <si>
    <t>2022-042702</t>
  </si>
  <si>
    <t>U APPEAL 22-32</t>
  </si>
  <si>
    <t>CORRECT ERROR ON PERSONAL RECORD</t>
  </si>
  <si>
    <t>ABANDONED</t>
  </si>
  <si>
    <t>2022-042802</t>
  </si>
  <si>
    <t>U APPEAL 22-33</t>
  </si>
  <si>
    <t>AMP REPORTS;</t>
  </si>
  <si>
    <t>U RFA-P 22-59</t>
  </si>
  <si>
    <t>2022-050302</t>
  </si>
  <si>
    <t>U APPEAL 22-34</t>
  </si>
  <si>
    <t>ALL COMMUNICATION FR COMPLAINANT;</t>
  </si>
  <si>
    <t>U MEMO 23-02</t>
  </si>
  <si>
    <t>2022-050901</t>
  </si>
  <si>
    <t>U APPEAL 22-35</t>
  </si>
  <si>
    <t>SMM-2022-000016;</t>
  </si>
  <si>
    <t>NO FILE IN EPIC SYSTEM</t>
  </si>
  <si>
    <t>2022-051701</t>
  </si>
  <si>
    <t>U APPEAL 22-36</t>
  </si>
  <si>
    <t>MISSING INFORMATION;</t>
  </si>
  <si>
    <t>WAHIAWA HOSPITAL MONIES AWARDED</t>
  </si>
  <si>
    <t>2022-052702</t>
  </si>
  <si>
    <t>U APPEAL 22-37</t>
  </si>
  <si>
    <t>REQUEST STUDENT RECORDS;</t>
  </si>
  <si>
    <t>INCOMPLETE RECORDS</t>
  </si>
  <si>
    <t>2022-060201</t>
  </si>
  <si>
    <t>S APPEAL 22-08</t>
  </si>
  <si>
    <t>PROPER NOTICE;</t>
  </si>
  <si>
    <t>EXEC SESS. PROCEDURES</t>
  </si>
  <si>
    <t>2022-060801</t>
  </si>
  <si>
    <t>U APPEAL 22-38</t>
  </si>
  <si>
    <t>ALL CORRESPONDENCE RE: SAM MONET;</t>
  </si>
  <si>
    <t>DENIED ATTORNEY-CLIENT PRIVILEGE</t>
  </si>
  <si>
    <t>2022-062801</t>
  </si>
  <si>
    <t>U APPEAL 22-39</t>
  </si>
  <si>
    <t>TROY TUDOR HOMICIDE RECORDS;</t>
  </si>
  <si>
    <t>2022-070701</t>
  </si>
  <si>
    <t>CAST VOTE RECORDS;</t>
  </si>
  <si>
    <t>2022-071201</t>
  </si>
  <si>
    <t>S APPEAL 23-1</t>
  </si>
  <si>
    <t>AGENDA VIOLATION;</t>
  </si>
  <si>
    <t>INVESTIGATION OF KAMALANI ACADEMY</t>
  </si>
  <si>
    <t>2022-072601</t>
  </si>
  <si>
    <t>U APPEAL 23-2</t>
  </si>
  <si>
    <t>NON RESPONSIVE RECORDS;</t>
  </si>
  <si>
    <t>OP. LTR F23-01</t>
  </si>
  <si>
    <t>2022-072602</t>
  </si>
  <si>
    <t>U APPEAL 23-3</t>
  </si>
  <si>
    <t>B&amp;F HON</t>
  </si>
  <si>
    <t>REQUEST RFP-DES905119 (2016);</t>
  </si>
  <si>
    <t>2022-080202</t>
  </si>
  <si>
    <t>U APPEAL 23-4</t>
  </si>
  <si>
    <t>AUDIT LOGS 2020 GENERAL ELECTION;</t>
  </si>
  <si>
    <t>2022-080502</t>
  </si>
  <si>
    <t>S APPEAL 23-3</t>
  </si>
  <si>
    <t>PUBLIC BOARD PACKETS;</t>
  </si>
  <si>
    <t>TIMESTAMPS</t>
  </si>
  <si>
    <t>2022-081001</t>
  </si>
  <si>
    <t>U APPEAL 23-5</t>
  </si>
  <si>
    <t>RICHARDSON SCHOOL OF LAW ADMISSIONS COMM 22-23;</t>
  </si>
  <si>
    <t>PARTIALLY GRANTED</t>
  </si>
  <si>
    <t>2022-081002</t>
  </si>
  <si>
    <t>S APPEAL 23-4</t>
  </si>
  <si>
    <t>NB NO. 13</t>
  </si>
  <si>
    <t>NB 13 S/L VIOLATION;</t>
  </si>
  <si>
    <t>KEVIN LYE EMAIL TO FELLOW MBRS</t>
  </si>
  <si>
    <t>2022-082401</t>
  </si>
  <si>
    <t>U APPEAL 23-6</t>
  </si>
  <si>
    <t>WARNING LETTERS</t>
  </si>
  <si>
    <t>2022-083001</t>
  </si>
  <si>
    <t>U APPEAL 23-7</t>
  </si>
  <si>
    <t>NAME OF THOSE HOLDING RECORDS; MANUALS</t>
  </si>
  <si>
    <t>2022-092701</t>
  </si>
  <si>
    <t>U APPEAL 23-8</t>
  </si>
  <si>
    <t>DAGS-PW</t>
  </si>
  <si>
    <t>2022-092801</t>
  </si>
  <si>
    <t>S APPEAL 23-5</t>
  </si>
  <si>
    <t>PCSC</t>
  </si>
  <si>
    <t>KAMALANI CHARTER SCHOOL</t>
  </si>
  <si>
    <t>2022-100502</t>
  </si>
  <si>
    <t>U APPEAL 23-9</t>
  </si>
  <si>
    <t>RIGHT-OF-WAY</t>
  </si>
  <si>
    <t>2022-102502</t>
  </si>
  <si>
    <t>U APPEAL 23-10</t>
  </si>
  <si>
    <t>DISPOSITION</t>
  </si>
  <si>
    <t>2022-103102</t>
  </si>
  <si>
    <t>U APPEAL 23-11</t>
  </si>
  <si>
    <t>DENIED-PRIVACY</t>
  </si>
  <si>
    <t>2022-112501</t>
  </si>
  <si>
    <t>U APPEAL 23-12</t>
  </si>
  <si>
    <t>2022-121902</t>
  </si>
  <si>
    <t>U APPEAL 23-13</t>
  </si>
  <si>
    <t>INFOTECH-H</t>
  </si>
  <si>
    <t>KONA GRADING PERMIT</t>
  </si>
  <si>
    <t>2022-122003</t>
  </si>
  <si>
    <t>S APPEAL 23-6</t>
  </si>
  <si>
    <t>2022-122801</t>
  </si>
  <si>
    <t>U APPEAL 23-14</t>
  </si>
  <si>
    <t>2023-010402</t>
  </si>
  <si>
    <t>S APPEAL 23-7</t>
  </si>
  <si>
    <t>CONTINUANCES</t>
  </si>
  <si>
    <t>2021-011401</t>
  </si>
  <si>
    <t>U RFA-P 22-29</t>
  </si>
  <si>
    <t>POLICE ENTRY POLICIES &amp; PROCEDURES;</t>
  </si>
  <si>
    <t>2021-011402</t>
  </si>
  <si>
    <t>DIST CT QUESTIONS;</t>
  </si>
  <si>
    <t>NOT OIP'S JURISDICTION</t>
  </si>
  <si>
    <t>2022-011403</t>
  </si>
  <si>
    <t>REQ  COPY OF OP LTR 17-04;</t>
  </si>
  <si>
    <t>MAIL TO REQUESTER</t>
  </si>
  <si>
    <t>2022-011901</t>
  </si>
  <si>
    <t>U RFA-P 22-30</t>
  </si>
  <si>
    <t>REQ RECORDS OF EDMUND KONG SON;</t>
  </si>
  <si>
    <t>2022-011902</t>
  </si>
  <si>
    <t>U RFA-P 22-31</t>
  </si>
  <si>
    <t>HHSC-HILOMED</t>
  </si>
  <si>
    <t>2022-012101</t>
  </si>
  <si>
    <t>REQ CLOSING DOCS FOR NUMEROUS APPEALS</t>
  </si>
  <si>
    <t>OPINION, DECISION, OR LETTER</t>
  </si>
  <si>
    <t>2022-012501</t>
  </si>
  <si>
    <t>U RFA-P 22-32</t>
  </si>
  <si>
    <t>REQ RECORDS OR COMPLAINTS;</t>
  </si>
  <si>
    <t>ORLANDO CRUZ OR OCS STEEL</t>
  </si>
  <si>
    <t>2022-012701</t>
  </si>
  <si>
    <t>U RFA-P 22-33</t>
  </si>
  <si>
    <t>DR. CHRISTINA MNATZAGANIAN;</t>
  </si>
  <si>
    <t>WHILE EMPLOYED JULY 2011 - JULY 2015</t>
  </si>
  <si>
    <t>2022-012702</t>
  </si>
  <si>
    <t>U RFA-P 22-34</t>
  </si>
  <si>
    <t>PUU OLAI BEACH CLOSURE;</t>
  </si>
  <si>
    <t>DATA TO SUPPORT</t>
  </si>
  <si>
    <t>2022-012801</t>
  </si>
  <si>
    <t>REQUEST TO COURT;</t>
  </si>
  <si>
    <t>NOT A UIPA AGENCY</t>
  </si>
  <si>
    <t>2022-020101</t>
  </si>
  <si>
    <t>ALL DOCS RELATING TO;</t>
  </si>
  <si>
    <t>S APPEAL 22-01 U APPEAL 22-12</t>
  </si>
  <si>
    <t>2022-020102</t>
  </si>
  <si>
    <t>U RFA-P 22-35</t>
  </si>
  <si>
    <t>CALLS FOR SVC 11/05/21 TO 1311 WARD AVE UNIT 307;</t>
  </si>
  <si>
    <t>2022-020103</t>
  </si>
  <si>
    <t>RESPONSE TO CORR 2022-0114-02;</t>
  </si>
  <si>
    <t>2022-020402</t>
  </si>
  <si>
    <t>U RFA-P 22-36</t>
  </si>
  <si>
    <t>RECORDED BUS MTG 11/15/21;</t>
  </si>
  <si>
    <t>2022-020901</t>
  </si>
  <si>
    <t>U RFA-P 22-37</t>
  </si>
  <si>
    <t>DLIR-WSD</t>
  </si>
  <si>
    <t>REQ RECORDS;</t>
  </si>
  <si>
    <t>DISPUTE FEES CHARGED</t>
  </si>
  <si>
    <t>2022-020902</t>
  </si>
  <si>
    <t>U RFA-P 22-38</t>
  </si>
  <si>
    <t>NAMES OF OFFICERS INVOLVED IN INCIDENT;</t>
  </si>
  <si>
    <t>2022-020903</t>
  </si>
  <si>
    <t>U RFA-P 22-39</t>
  </si>
  <si>
    <t>REQ GOV OATH OF OFFICE &amp; BOND;</t>
  </si>
  <si>
    <t>2022-021401</t>
  </si>
  <si>
    <t>U RFA-P 22-40</t>
  </si>
  <si>
    <t>CONTACT INFO MMAC GROUP;</t>
  </si>
  <si>
    <t>2022-021402</t>
  </si>
  <si>
    <t>COPIES OF OP LTRS 05-14 AND 95-11;</t>
  </si>
  <si>
    <t>POSTAL MAIL REQUEST</t>
  </si>
  <si>
    <t>2022-021403</t>
  </si>
  <si>
    <t>2022-021701</t>
  </si>
  <si>
    <t>RESEARCH PROJECT ON COSTS TO RESPOND;</t>
  </si>
  <si>
    <t>RELATING TO RECORDS REQUEST</t>
  </si>
  <si>
    <t>2022-021802</t>
  </si>
  <si>
    <t>COPY OF RECORDING PAID;</t>
  </si>
  <si>
    <t>NEVER RECEIVED IN MAIL</t>
  </si>
  <si>
    <t>2022-022201</t>
  </si>
  <si>
    <t>COPY OF COMPLAINT OIP RECEIVED;</t>
  </si>
  <si>
    <t>CLEAR MTG 02/23/22</t>
  </si>
  <si>
    <t>2022-022301</t>
  </si>
  <si>
    <t>VARIOUS RECORDS FR PSD AND HPA;</t>
  </si>
  <si>
    <t>2022-022402</t>
  </si>
  <si>
    <t>U RFA-P 22-43</t>
  </si>
  <si>
    <t>COURT RULING RELATING TO COMMERCIAL ACTIVITY WAIKIKI BEACH;</t>
  </si>
  <si>
    <t>2022-022501</t>
  </si>
  <si>
    <t>U RFA-P 22-44</t>
  </si>
  <si>
    <t>DOH-HEER</t>
  </si>
  <si>
    <t>REQ (3)6-8-002-050 RECORDS;</t>
  </si>
  <si>
    <t>2022-022502</t>
  </si>
  <si>
    <t>U RFA-P 22-45</t>
  </si>
  <si>
    <t>LIST OF EMPLOYED GRADUATE ASSISTANTS;</t>
  </si>
  <si>
    <t>2022-022802</t>
  </si>
  <si>
    <t>U RFA-P 22-46</t>
  </si>
  <si>
    <t>FIRE ANTS HAWAII &amp; ASSOCIA HAWAII;</t>
  </si>
  <si>
    <t>OVERDUE RESPONSE</t>
  </si>
  <si>
    <t>2022-030201</t>
  </si>
  <si>
    <t>U RFA-P 22-47</t>
  </si>
  <si>
    <t>REQ FOR ORIGINAL RECORDS SUBMITTED;</t>
  </si>
  <si>
    <t>2022-030701</t>
  </si>
  <si>
    <t>U RFA-P 22-48</t>
  </si>
  <si>
    <t>WHAT TRIGGERS AN INQUIRY;</t>
  </si>
  <si>
    <t>DECISION MAKING PROCESS OF DCCA</t>
  </si>
  <si>
    <t>2022-030702</t>
  </si>
  <si>
    <t>U RFA-P 22-49</t>
  </si>
  <si>
    <t>2022-030703</t>
  </si>
  <si>
    <t>U RFA-P 22-50</t>
  </si>
  <si>
    <t>2022-030704</t>
  </si>
  <si>
    <t>U RFA-P 22-51</t>
  </si>
  <si>
    <t>2022-031001</t>
  </si>
  <si>
    <t>U RFA-P 22-52</t>
  </si>
  <si>
    <t>SECOND REQUEST FOR RECORDS;</t>
  </si>
  <si>
    <t>2022-031002</t>
  </si>
  <si>
    <t>REQ COPY OF RECORDS</t>
  </si>
  <si>
    <t>S APPEAL 22-05</t>
  </si>
  <si>
    <t>2022-031401</t>
  </si>
  <si>
    <t>NTR PAYMENT SENT TO OIP;</t>
  </si>
  <si>
    <t>CK#148</t>
  </si>
  <si>
    <t>2022-031603</t>
  </si>
  <si>
    <t>CK#1004</t>
  </si>
  <si>
    <t>2022-031701</t>
  </si>
  <si>
    <t>U RFA-P 22-53</t>
  </si>
  <si>
    <t>JUDICIAL FORCLOSURES PAST 10 YRS;</t>
  </si>
  <si>
    <t>2022-032201</t>
  </si>
  <si>
    <t>U RFA-P 22-54</t>
  </si>
  <si>
    <t>PERSONAL MEDICAL RECORDS REQ;</t>
  </si>
  <si>
    <t>2022-032401</t>
  </si>
  <si>
    <t>U RFA-P 22-55</t>
  </si>
  <si>
    <t>COPY OF OATH OF OFFICE;</t>
  </si>
  <si>
    <t>2022-033001</t>
  </si>
  <si>
    <t>U RFA-P 22-56</t>
  </si>
  <si>
    <t>BURIALS DESECRATED;</t>
  </si>
  <si>
    <t>TMK (2) 5-7-008: 076 MAPULEHU GLASS HOUSE</t>
  </si>
  <si>
    <t>2022-033102</t>
  </si>
  <si>
    <t>U RFA-P 22-57</t>
  </si>
  <si>
    <t>DET. WADA PSO REPORT;</t>
  </si>
  <si>
    <t>2022-033103</t>
  </si>
  <si>
    <t>U RFA-P 22-58</t>
  </si>
  <si>
    <t>HSI STAFF REPORTS REGARDING INCIDENT</t>
  </si>
  <si>
    <t>2022-033104</t>
  </si>
  <si>
    <t>RECON -P 22-1</t>
  </si>
  <si>
    <t>WOUND CARE</t>
  </si>
  <si>
    <t>LATE REPLY</t>
  </si>
  <si>
    <t>U APPEAL20-44
DENIED</t>
  </si>
  <si>
    <t>2022-040401</t>
  </si>
  <si>
    <t>PROPER NTR COMPLETION;</t>
  </si>
  <si>
    <t>SPECIFY REASONS FOR DENIAL</t>
  </si>
  <si>
    <t>2022-040402</t>
  </si>
  <si>
    <t>DOE RESPONSES TO OIP;</t>
  </si>
  <si>
    <t>2022-040701</t>
  </si>
  <si>
    <t>U RFA-P 22-60</t>
  </si>
  <si>
    <t>AUDIT OF THIRD PARTY REVIEWERS;</t>
  </si>
  <si>
    <t>2022-042703</t>
  </si>
  <si>
    <t>U RFA-P 22-61</t>
  </si>
  <si>
    <t>2022-042801</t>
  </si>
  <si>
    <t>080921 EMAIL LTR TO AG'S;</t>
  </si>
  <si>
    <t>082321 EMAIL FR AG'S</t>
  </si>
  <si>
    <t>2022-050201</t>
  </si>
  <si>
    <t>SMART PROCURE;</t>
  </si>
  <si>
    <t>OIP CURRENT EMPLOYEE CONTACT INFO</t>
  </si>
  <si>
    <t>2022-050301</t>
  </si>
  <si>
    <t>S APPEAL 22-5;</t>
  </si>
  <si>
    <t>COMPLAINT &amp; RESPONSE</t>
  </si>
  <si>
    <t>2022-050401</t>
  </si>
  <si>
    <t>REQ SELECT MEDICAID PYMTS;</t>
  </si>
  <si>
    <t>1CD-10-CM N-47-XX</t>
  </si>
  <si>
    <t>2022-050902</t>
  </si>
  <si>
    <t>PURCHASING RECORDS 2015-CURRENT;</t>
  </si>
  <si>
    <t>ALL STATE DEPTS</t>
  </si>
  <si>
    <t>CKP/KGB</t>
  </si>
  <si>
    <t>2022-051101</t>
  </si>
  <si>
    <t>U RFA-P 22-62</t>
  </si>
  <si>
    <t>INCOMPLETE RESPONSE;</t>
  </si>
  <si>
    <t>OIP FORM NOT REQUIRED</t>
  </si>
  <si>
    <t>2022-051102</t>
  </si>
  <si>
    <t>U RFA-P 22-63</t>
  </si>
  <si>
    <t>SLFRF COMMITTEE CREATION DOCS;</t>
  </si>
  <si>
    <t>2022-051301</t>
  </si>
  <si>
    <t>U RFA-P 22-64</t>
  </si>
  <si>
    <t>ALL DOCS RELATING TO ROMAN K CHAI;</t>
  </si>
  <si>
    <t>2022-051302</t>
  </si>
  <si>
    <t>U RFA-P 22-65</t>
  </si>
  <si>
    <t>2022-051702</t>
  </si>
  <si>
    <t>U RFA-P 22-66</t>
  </si>
  <si>
    <t>EXCESSIVE FEES;</t>
  </si>
  <si>
    <t>RECORDS NOT RESPONSIVE</t>
  </si>
  <si>
    <t>2022-052501</t>
  </si>
  <si>
    <t>PAYMENT FOR RECORDS;</t>
  </si>
  <si>
    <t>2022-052701</t>
  </si>
  <si>
    <t>U RFA-P 22-67</t>
  </si>
  <si>
    <t>ILLEGIBLE RECORDS;</t>
  </si>
  <si>
    <t>2022-061301</t>
  </si>
  <si>
    <t>U RFA-P 22-68</t>
  </si>
  <si>
    <t>OATH OF OFFICE AND CONTRACTS;</t>
  </si>
  <si>
    <t>2022-061302</t>
  </si>
  <si>
    <t>U RFA-P 22-69</t>
  </si>
  <si>
    <t>CASES 22-01992 &amp; 22-04269;</t>
  </si>
  <si>
    <t>2022-061303</t>
  </si>
  <si>
    <t>U RFA-P 22-70</t>
  </si>
  <si>
    <t>SAA-2022-000057 UPDATE DISCLOSURE;</t>
  </si>
  <si>
    <t>2022-061401</t>
  </si>
  <si>
    <t>PERSONAL RECORDS;</t>
  </si>
  <si>
    <t>2022-062201</t>
  </si>
  <si>
    <t>U APPEAL 22-32 DISMISSAL;</t>
  </si>
  <si>
    <t>INCORRECT INFO STILL ON RECORD</t>
  </si>
  <si>
    <t>2022-070501</t>
  </si>
  <si>
    <t>U RFA-P 23-1</t>
  </si>
  <si>
    <t>CIV DEF-H</t>
  </si>
  <si>
    <t>PUNA GEOTHERMAL VENTURE;</t>
  </si>
  <si>
    <t>2022-072001</t>
  </si>
  <si>
    <t>U RFA-P 23-2</t>
  </si>
  <si>
    <t>PHARMACY SERVICES CVS &amp; MEDQUEST;</t>
  </si>
  <si>
    <t>2022-072201</t>
  </si>
  <si>
    <t>U RFA-P 23-3</t>
  </si>
  <si>
    <t>GRIEVANCE RECORDS;</t>
  </si>
  <si>
    <t>2022-072202</t>
  </si>
  <si>
    <t>DOCS RELATING MORELAND GRADUATES;</t>
  </si>
  <si>
    <t>EXPEDITED APPEAL REVIEW</t>
  </si>
  <si>
    <t>2022-072603</t>
  </si>
  <si>
    <t>U RFA-P 23-4</t>
  </si>
  <si>
    <t>RECORDS NOT RESPONSIVE;</t>
  </si>
  <si>
    <t>2022-072701</t>
  </si>
  <si>
    <t>FOLLOW-UP LETTER;</t>
  </si>
  <si>
    <t>2022-080201</t>
  </si>
  <si>
    <t>AGENCY REQUEST LOGS;</t>
  </si>
  <si>
    <t>7/1/21 THROUGH CURRENT</t>
  </si>
  <si>
    <t>2022-080203</t>
  </si>
  <si>
    <t>U RFA-P 23-5</t>
  </si>
  <si>
    <t>CURRENTLY EMPLOYED GRAD ASSISTANTS;</t>
  </si>
  <si>
    <t>2022-080501</t>
  </si>
  <si>
    <t>U RFA-P 23-6</t>
  </si>
  <si>
    <t>GUARDIANSHIP INFORMATION;</t>
  </si>
  <si>
    <t>2022-081201</t>
  </si>
  <si>
    <t>U RFA- P 23-7</t>
  </si>
  <si>
    <t>POLICIES &amp; PROCEDURES IN EFFECT 01/01/2022;</t>
  </si>
  <si>
    <t>2022-081601</t>
  </si>
  <si>
    <t>U RFA-P 23-8</t>
  </si>
  <si>
    <t>DISCOVERY RECORDS;</t>
  </si>
  <si>
    <t>2022-082201</t>
  </si>
  <si>
    <t>RESOLUTION/CLOSURE ON LEGAL STATUS;</t>
  </si>
  <si>
    <t>CONDITIONAL RELEASE</t>
  </si>
  <si>
    <t>2022-082502</t>
  </si>
  <si>
    <t>MISINFORMATION FR ENV SVC-HON;</t>
  </si>
  <si>
    <t>CLARIFICATION LETTER</t>
  </si>
  <si>
    <t>2022-082601</t>
  </si>
  <si>
    <t>U RFA-P 23-9</t>
  </si>
  <si>
    <t>2022-082602</t>
  </si>
  <si>
    <t>LSI/ASUS RESULTS; PPU INFO;</t>
  </si>
  <si>
    <t>NEED COPY OF RECORD REQUEST</t>
  </si>
  <si>
    <t>2022-082901</t>
  </si>
  <si>
    <t>MINUTES NOT ADEQUATE;</t>
  </si>
  <si>
    <t>POSSIBLE S/L VIOLATION</t>
  </si>
  <si>
    <t>2022-083002</t>
  </si>
  <si>
    <t>RRS REPORT</t>
  </si>
  <si>
    <t>2022-083101</t>
  </si>
  <si>
    <t>U RFA-P 23-10</t>
  </si>
  <si>
    <t>ADA &amp; REHAB ACT;</t>
  </si>
  <si>
    <t>2022-083102</t>
  </si>
  <si>
    <t>U RFA-P 23-11</t>
  </si>
  <si>
    <t>PUUNANI HOMESTEAD;</t>
  </si>
  <si>
    <t>SALE RECORDS</t>
  </si>
  <si>
    <t>2022-090201</t>
  </si>
  <si>
    <t>U RFA-P 23-12</t>
  </si>
  <si>
    <t>2022-090202</t>
  </si>
  <si>
    <t>U RFA-P 23-13</t>
  </si>
  <si>
    <t>NOTES OF 6/29/21 MTG;</t>
  </si>
  <si>
    <t>2022-090801</t>
  </si>
  <si>
    <t>U RFA-P 23-14</t>
  </si>
  <si>
    <t>ELEVATOR;</t>
  </si>
  <si>
    <t>MALFUNCTION REPORT</t>
  </si>
  <si>
    <t>2022-091301</t>
  </si>
  <si>
    <t>MEDICAL RECORDS;</t>
  </si>
  <si>
    <t>U RFA-P 23-15</t>
  </si>
  <si>
    <t>2022-091302</t>
  </si>
  <si>
    <t>ALL RECORDS;</t>
  </si>
  <si>
    <t>2022-091401</t>
  </si>
  <si>
    <t>U RFA-P 23-16</t>
  </si>
  <si>
    <t>LARGE FEE;</t>
  </si>
  <si>
    <t>REQUEST ACCOUNTING</t>
  </si>
  <si>
    <t>2022-091402</t>
  </si>
  <si>
    <t>AMENDED NTR NOT RECEIVED;</t>
  </si>
  <si>
    <t>NOT RIPE FOR APPEAL</t>
  </si>
  <si>
    <t>2022-092601</t>
  </si>
  <si>
    <t>U RFA-P 23-17</t>
  </si>
  <si>
    <t>MISSING PERSON RECORDS;</t>
  </si>
  <si>
    <t>SEVERAL REQUESTS</t>
  </si>
  <si>
    <t>2022-092702</t>
  </si>
  <si>
    <t>U RFA-P 23-18</t>
  </si>
  <si>
    <t>2022-093001</t>
  </si>
  <si>
    <t>FY2022 UIPA RCRD RQST LOGS;</t>
  </si>
  <si>
    <t>RHS/MVL</t>
  </si>
  <si>
    <t>2022-100501</t>
  </si>
  <si>
    <t>U RFA-P 23-19</t>
  </si>
  <si>
    <t>2022-100701</t>
  </si>
  <si>
    <t>COPIES OF EMAILS;</t>
  </si>
  <si>
    <t>REQUEST SENT TO OIP</t>
  </si>
  <si>
    <t>2022-100702</t>
  </si>
  <si>
    <t>BWC FOOTAGE;</t>
  </si>
  <si>
    <t>2022-100703</t>
  </si>
  <si>
    <t>U RFA-P 23-20</t>
  </si>
  <si>
    <t>ITEMIZED BILL</t>
  </si>
  <si>
    <t>2022-101901</t>
  </si>
  <si>
    <t>U RFA-P 23-21</t>
  </si>
  <si>
    <t>2022-101902</t>
  </si>
  <si>
    <t>COVID RECORDS;</t>
  </si>
  <si>
    <t>NEED COPIES OF RECORDS REQUESTS</t>
  </si>
  <si>
    <t>2022-102001</t>
  </si>
  <si>
    <t>U RFA-P 23-22</t>
  </si>
  <si>
    <t>MAUI/LANAI BURIAL COUNCIL;</t>
  </si>
  <si>
    <t>BRE ICONIC GWR OWNER, LLC</t>
  </si>
  <si>
    <t>2022-102101</t>
  </si>
  <si>
    <t>CRIMINAL RECORD;</t>
  </si>
  <si>
    <t>2022-102501</t>
  </si>
  <si>
    <t>U RFA-P 23-23</t>
  </si>
  <si>
    <t>FIRST AID CERTIFICATE;</t>
  </si>
  <si>
    <t>INCORRECT CITED LAW</t>
  </si>
  <si>
    <t>2022-103101</t>
  </si>
  <si>
    <t>EMPLOYEE NAMES;</t>
  </si>
  <si>
    <t>CONTACT INFO</t>
  </si>
  <si>
    <t>2022-111001</t>
  </si>
  <si>
    <t>PAYMENT CHECK;</t>
  </si>
  <si>
    <t>SENT TO OIP</t>
  </si>
  <si>
    <t>2022-111601</t>
  </si>
  <si>
    <t>REQUIRED FORMS;</t>
  </si>
  <si>
    <t>2022-111701</t>
  </si>
  <si>
    <t>U RFA-P 23-24</t>
  </si>
  <si>
    <t>2022-111801</t>
  </si>
  <si>
    <t>ADDED TO AGENDA;</t>
  </si>
  <si>
    <t>EXECUTIVE DIRECTOR REPORT</t>
  </si>
  <si>
    <t>2022-112101</t>
  </si>
  <si>
    <t>U RFA-G 23-1</t>
  </si>
  <si>
    <t>KAUAI VEHICLE PLAN;</t>
  </si>
  <si>
    <t>2022-112201</t>
  </si>
  <si>
    <t>U RFA-P 23-25</t>
  </si>
  <si>
    <t>2022-112901</t>
  </si>
  <si>
    <t>U RFA-P 23-27</t>
  </si>
  <si>
    <t>BLACKLIST;</t>
  </si>
  <si>
    <t>2022-120502</t>
  </si>
  <si>
    <t>U RFA-P 23-26</t>
  </si>
  <si>
    <t>2022-120503</t>
  </si>
  <si>
    <t>NCO EMAIL;</t>
  </si>
  <si>
    <t>PNG FORMAT</t>
  </si>
  <si>
    <t>2022-121201</t>
  </si>
  <si>
    <t>REVIEW FOR S/L VIOLATION;</t>
  </si>
  <si>
    <t>IMPROPER COMMUNICATIONS</t>
  </si>
  <si>
    <t>2022-121202</t>
  </si>
  <si>
    <t>U RFA-P 23-28</t>
  </si>
  <si>
    <t>RETURN TO WORK EVALUATIONS;</t>
  </si>
  <si>
    <t>2022-121901</t>
  </si>
  <si>
    <t>U RFA-P 23-29</t>
  </si>
  <si>
    <t>EMPLOYEE INFO;</t>
  </si>
  <si>
    <t>12F-12(a)(14)</t>
  </si>
  <si>
    <t>2022-122001</t>
  </si>
  <si>
    <t>MISDIRECTED CHECK;</t>
  </si>
  <si>
    <t>RETURN TO SENDER</t>
  </si>
  <si>
    <t>2022-122002</t>
  </si>
  <si>
    <t>UIPA CHECK;</t>
  </si>
  <si>
    <t>2022-123001</t>
  </si>
  <si>
    <t>U RFA-P 23-30</t>
  </si>
  <si>
    <t>EMPLOYEE EMAILS;</t>
  </si>
  <si>
    <t>TO OR FROM 4 ADDRESSES</t>
  </si>
  <si>
    <t>2022-010401</t>
  </si>
  <si>
    <t>1/1/2022-PRESENT</t>
  </si>
  <si>
    <t>2023-010502</t>
  </si>
  <si>
    <t>U RFA-P 23-31</t>
  </si>
  <si>
    <t>2023-011001</t>
  </si>
  <si>
    <t>U RFA-P 23-32</t>
  </si>
  <si>
    <t>Total UIPA Req in FY22</t>
  </si>
  <si>
    <t>UIPA Req with No Disclosure FY22</t>
  </si>
  <si>
    <t>FY22 Denial Percentage</t>
  </si>
  <si>
    <t>Avg Days for Dep't to Complete UIPA Req in FY22</t>
  </si>
  <si>
    <t>Longest Time (Days) for Dep't to Complete Req FY22</t>
  </si>
  <si>
    <t>New OIP Matters FY22 re UIPA</t>
  </si>
  <si>
    <t>New OIP Matters as % of Requests for FY22+FY21</t>
  </si>
  <si>
    <t>KAUAI COUNTY/ MAYOR/BOARDS</t>
  </si>
  <si>
    <t>SOH/ ACCOUNTING &amp; GENERAL SERVICES/ WIRELESS ENHANCED 911 BOARD</t>
  </si>
  <si>
    <t>SOH/ BUSINESS, ECON DEV, &amp; TOURISM/ AGRIBUSINESS DEVELOPMENT CORP/ ADC</t>
  </si>
  <si>
    <t>SOH/ BUSINESS, ECON DEV, &amp; TOURISM/ FOREIGN-TRADE ZONE DIV/ FTZ</t>
  </si>
  <si>
    <t>SOH/ BUSINESS, ECON DEV, &amp; TOURISM/ STADIUM AUTHORITY</t>
  </si>
  <si>
    <t>SOH/ HUMAN SERVICES/ STATEWIDE CHILD WELFARE SERVICES/ DHS-CWS-SCWS</t>
  </si>
  <si>
    <t>SOH/ HUMAN SERVICES/ PROGRAM DEVELOPMENT OFFICE/ DHS-OYS-PDO</t>
  </si>
  <si>
    <t>SOH/ JUDICIARY/ CIRCUIT JUDGES/ 2JC-CIR JUD</t>
  </si>
  <si>
    <t>SOH/ JUDICIARY/ JUDGES &amp; STAFF/ 1CC-CRIM</t>
  </si>
  <si>
    <t>SOH/ JUDICIARY/ JUDGES &amp; STAFF/ 1CC-CIVIL</t>
  </si>
  <si>
    <t>SOH/ EDUCATION/ KA'OHAO PUBLIC CHARTER SCHOOL</t>
  </si>
  <si>
    <t>SOH/ HEALTH/ HRA/ CDPHND/ HANSENS DISEASE BR</t>
  </si>
  <si>
    <t>SOH/ HEALTH/ DO/ OFFICE OF MEDICAL CANNABIS CONTROL &amp; REGULATION (OMCCR)</t>
  </si>
  <si>
    <t>Total UIPA Req in FY23</t>
  </si>
  <si>
    <t>UIPA Req with No Disclosure FY23</t>
  </si>
  <si>
    <t>FY23 Denial Percentage</t>
  </si>
  <si>
    <t>Avg Days for Dep't to Complete UIPA Req in FY23</t>
  </si>
  <si>
    <t>Longest Time (Days) for Dep't to Complete Req FY23</t>
  </si>
  <si>
    <t>New OIP Matters FY23 re UIPA</t>
  </si>
  <si>
    <t>New OIP Matters as % of Requests for FY23+FY22</t>
  </si>
  <si>
    <t>MAUI_COUNTY_EMERGENCY_MANAGEMENT</t>
  </si>
  <si>
    <t>MAUI COUNTY/ EMERGENCY MANAGEMENT</t>
  </si>
  <si>
    <t xml:space="preserve">HAWAII_COUNTY_ANIMAL CONTROL AND PROTECTION AGENCY </t>
  </si>
  <si>
    <t>HAWAII_COUNTY_ANIMAL CONTROL AND PROTECTION AGENCY</t>
  </si>
  <si>
    <t>Total UIPA Req in FY24</t>
  </si>
  <si>
    <t>UIPA Req with No Disclosure FY24</t>
  </si>
  <si>
    <t>FY24 Denial Percentage</t>
  </si>
  <si>
    <t>Avg Days for Dep't to Complete UIPA Req in FY24</t>
  </si>
  <si>
    <t>Longest Time (Days) for Dep't to Complete Req FY24</t>
  </si>
  <si>
    <t>New OIP Matters FY24 re UIPA</t>
  </si>
  <si>
    <t>New OIP Matters as % of Requests for FY24+FY23</t>
  </si>
  <si>
    <t>KAUAI_COUNTY_FINANCE ACCTG</t>
  </si>
  <si>
    <t>KAUAI_COUNTY_FINANCE_REAL_PROPERTY</t>
  </si>
  <si>
    <t>MAUI_COUNTY_AGRICULTURE</t>
  </si>
  <si>
    <t>SOH/ JUDICIARY/ STAFF ATTORNEY</t>
  </si>
  <si>
    <t>SOH/ JUDICIARY/ DEPUTY CHIEF COURT ADMINISTRATOR/ 1JC-DCA</t>
  </si>
  <si>
    <t>SOH/ ACCOUNTING &amp; GENERAL SERVICES/ COMPTROLLER</t>
  </si>
  <si>
    <t>SOH/ BUSINESS, ECON DEV, &amp; TOURISM/ HAWAII TEC DEV CORP</t>
  </si>
  <si>
    <t>SOH/ CORRECTIONS &amp; REHABILITATION</t>
  </si>
  <si>
    <t>SOH/ HUMAN SERVICES/ SSO</t>
  </si>
  <si>
    <t>SOH/ HUMAN SERVICES/ STAFF SERVICES OFFICE/ VRSBD-SSO</t>
  </si>
  <si>
    <t>SOH/ HUMAN SERVICES/ STATEWIDE CHILD WELFARE SERVICES/ DHS-CWS-PD</t>
  </si>
  <si>
    <t>SOH/ HUMAN SERVICES/ STATEWIDE CHILD WELFARE SERVICES/ DHS-CWS-B</t>
  </si>
  <si>
    <t>SOH/ LABOR &amp; INDUSTRIAL RELATIONS/ STATE FIRE COUNCIL/ DLIR FIRE CN</t>
  </si>
  <si>
    <t>SOH_EDUCATION/ SCHOOL FACILITIES</t>
  </si>
  <si>
    <t>SOH/ EDUCATION/ BD OF EDUCATION/ BOE</t>
  </si>
  <si>
    <t>SOH/ UNIVERSITY OF HAWAII/ SOH/ UNIVERSITY OF HAWAII/ UH</t>
  </si>
  <si>
    <t>SOH/ UNIVERSITY OF HAWAII/ RESEARCH CORP OF THE UNIV OF HAWAII/ UH/RCUH</t>
  </si>
  <si>
    <t>SOH/ HEALTH/ HRA/ CDPHND/ HARM REDUCTION SERVICES BR</t>
  </si>
  <si>
    <t>SOH_LAW_ENFORCEMENT</t>
  </si>
  <si>
    <t>SOH/ LAW ENFORCEMENT</t>
  </si>
  <si>
    <t>State Department of Corrections &amp; Rehabilitation</t>
  </si>
  <si>
    <t>State Department of Public Safety (Legacy)</t>
  </si>
  <si>
    <t>State Department of Law Enforcement</t>
  </si>
  <si>
    <t>DISMISSED-MOOT</t>
  </si>
  <si>
    <t>U MEMO 23-06</t>
  </si>
  <si>
    <t>MKH/CMA/LKK</t>
  </si>
  <si>
    <t>OIP Op. Ltr. No. F23-02</t>
  </si>
  <si>
    <t>OIP Op. Ltr. No. F23-03</t>
  </si>
  <si>
    <t>OIP Op. Ltr. No. F23-05</t>
  </si>
  <si>
    <t>S MEMO 23-01</t>
  </si>
  <si>
    <t>DIMISSED BY REQUESTER</t>
  </si>
  <si>
    <t>OIP OP. LTR NO. F23-04</t>
  </si>
  <si>
    <t>OIP OP. LTR F24-01</t>
  </si>
  <si>
    <t>U MEMO 23-04</t>
  </si>
  <si>
    <t>U MEMO 23-05</t>
  </si>
  <si>
    <t>U MEMO 23-03</t>
  </si>
  <si>
    <t>S MEMO 24-02</t>
  </si>
  <si>
    <t>U MEMO 24-04</t>
  </si>
  <si>
    <t>OIP Op. Ltr. No. F24-05</t>
  </si>
  <si>
    <t>U MEMO 24-07</t>
  </si>
  <si>
    <t>DISMISSED BY REQUESTER</t>
  </si>
  <si>
    <t>U MEMO 24-01</t>
  </si>
  <si>
    <t>U MEMO 24-03</t>
  </si>
  <si>
    <t>DISMISSED BY REQUESTOR</t>
  </si>
  <si>
    <t>OIP. OP. LTR. NO. F24-04</t>
  </si>
  <si>
    <t>Op. Ltr. No. F24-07</t>
  </si>
  <si>
    <t>S RFO-G 21-2</t>
  </si>
  <si>
    <t>Op. Ltr. No. F24-02</t>
  </si>
  <si>
    <t>U MEMO 23-07</t>
  </si>
  <si>
    <t>U MEMO 24-08</t>
  </si>
  <si>
    <t>CMA/LKK</t>
  </si>
  <si>
    <t>U MEMO 24-06</t>
  </si>
  <si>
    <t>U MEMO 24-05</t>
  </si>
  <si>
    <t>OIP Op. Ltr. No. 24-06</t>
  </si>
  <si>
    <t>S MEMO 24-03</t>
  </si>
  <si>
    <t>U MEMO 25-04</t>
  </si>
  <si>
    <t>U MEMO 25-07
U RFA-P 22-4</t>
  </si>
  <si>
    <t>U MEMO 24-10</t>
  </si>
  <si>
    <t>OIP OP. LTR. NO. F25-01</t>
  </si>
  <si>
    <t>DIMISSED BY REQUESTOR</t>
  </si>
  <si>
    <t>DISMISSED</t>
  </si>
  <si>
    <t>S APPEAL 22-03</t>
  </si>
  <si>
    <t>LIT 2023-0807-01
DAMON KEY LEONG KUPCHAK HASTERT 
ATTY AT LAW V. DPP-HON</t>
  </si>
  <si>
    <t>LKK/CMA</t>
  </si>
  <si>
    <t>U MEMO 25-11
U RFA-P 22-3</t>
  </si>
  <si>
    <t>U MEMO 25-07
U RFA-P 22-7</t>
  </si>
  <si>
    <t>U MEMO 25-07</t>
  </si>
  <si>
    <t>U MEMO 24-02
U RFA-P 21-9</t>
  </si>
  <si>
    <t>U MEMO 25-06</t>
  </si>
  <si>
    <t>S MEMO 25-01</t>
  </si>
  <si>
    <t>U MEMO 25-07
U RFA-P 22-9</t>
  </si>
  <si>
    <t>TSM</t>
  </si>
  <si>
    <t>U MEMO 25-10
U RFA-P 22-10</t>
  </si>
  <si>
    <t>U MEMO 25-12
U RFA-P 22-18</t>
  </si>
  <si>
    <t>U MEMO 25-03</t>
  </si>
  <si>
    <t>U MEMO 25-02</t>
  </si>
  <si>
    <t>OIP Op. Ltr. No. F23-03            U RFA-P 22-41</t>
  </si>
  <si>
    <t>U RFA-P 22-30 / U RFA-P 22-52
U MEMO 25-01</t>
  </si>
  <si>
    <t>U MEMO 25-08</t>
  </si>
  <si>
    <t>U MEMO 25-05</t>
  </si>
  <si>
    <t>U RFA-P 22-59
DIMISSED BY REQUESTOR</t>
  </si>
  <si>
    <t>RHS/EAF</t>
  </si>
  <si>
    <t>S MEMO 24-01</t>
  </si>
  <si>
    <t>U MEMO 25-09</t>
  </si>
  <si>
    <t>U APPEAL 23-1</t>
  </si>
  <si>
    <t>TRANSFER PACKET</t>
  </si>
  <si>
    <t>2020 BALLOT IMAGES, VOTING EQUIP</t>
  </si>
  <si>
    <t>LESSEE FILE</t>
  </si>
  <si>
    <t>EMERGENCY PROCUREMENT</t>
  </si>
  <si>
    <t>CLASSIFICATION DOCUMENTS, ETC.</t>
  </si>
  <si>
    <t>DLNR LAND</t>
  </si>
  <si>
    <t>DUTY WEAPONS</t>
  </si>
  <si>
    <t>IA 20-0001</t>
  </si>
  <si>
    <t>LUC RECORDS</t>
  </si>
  <si>
    <t>CLASSIFICATION DOCUMENTS</t>
  </si>
  <si>
    <t># OF LEOSA CCW PERMITS SINCE 2004</t>
  </si>
  <si>
    <t>DISMISSED BY REQUESTER;
RECORDS RECEIVED</t>
  </si>
  <si>
    <t>COMPLAINTS, GROW OUR OWN</t>
  </si>
  <si>
    <t>U MEMO 25-13</t>
  </si>
  <si>
    <t>DOWNTOWN-CHINATOWN NB</t>
  </si>
  <si>
    <t>WIKIWIKI RFP</t>
  </si>
  <si>
    <t>U APPEAL 23-21</t>
  </si>
  <si>
    <t>HEARING NOTICE</t>
  </si>
  <si>
    <t>PCD #3</t>
  </si>
  <si>
    <t>DISCRIMINATION COMPLAINT</t>
  </si>
  <si>
    <t>2023-011701</t>
  </si>
  <si>
    <t>HAWAII FREE PRESS ARTICLE</t>
  </si>
  <si>
    <t>2023-011801</t>
  </si>
  <si>
    <t>U RFA-P 23-33</t>
  </si>
  <si>
    <t>NAME CALLING</t>
  </si>
  <si>
    <t>U APPEAL 23-15</t>
  </si>
  <si>
    <t>2023-012401</t>
  </si>
  <si>
    <t>DPP-HON &amp; POLICE-HON</t>
  </si>
  <si>
    <t>2023-012701</t>
  </si>
  <si>
    <t>RFO-G 23-1</t>
  </si>
  <si>
    <t>SENSITIVE LOCATION DATA</t>
  </si>
  <si>
    <t>ABILITY TO COLLECT</t>
  </si>
  <si>
    <t>2023-013001</t>
  </si>
  <si>
    <t>LEG INFO BRIEFINGS</t>
  </si>
  <si>
    <t>LESS THAN QUORUM</t>
  </si>
  <si>
    <t>2023-013002</t>
  </si>
  <si>
    <t>S APPEAL 23-8</t>
  </si>
  <si>
    <t>IDENTITY DISCLOSED</t>
  </si>
  <si>
    <t>2023-013102</t>
  </si>
  <si>
    <t>OIP RESPONSE</t>
  </si>
  <si>
    <t>NEUTRAL DECISIONMAKER</t>
  </si>
  <si>
    <t>2023-020201</t>
  </si>
  <si>
    <t>U RFA-P 23-34</t>
  </si>
  <si>
    <t>2019 REQUEST PAID</t>
  </si>
  <si>
    <t>NEVER GOT RECORDS</t>
  </si>
  <si>
    <t>2023-020202</t>
  </si>
  <si>
    <t>PROCUREMENT OPINIONS</t>
  </si>
  <si>
    <t>FORMAL &amp; INFORMAL</t>
  </si>
  <si>
    <t>2023-020901</t>
  </si>
  <si>
    <t>EVIDENCE OF NAME CALLING</t>
  </si>
  <si>
    <t>2023-021301</t>
  </si>
  <si>
    <t>U APPEAL 23-16</t>
  </si>
  <si>
    <t>ADC</t>
  </si>
  <si>
    <t>RECORDS NOT DISCLOSED</t>
  </si>
  <si>
    <t>2023-021601</t>
  </si>
  <si>
    <t>U RFA-P 23-35</t>
  </si>
  <si>
    <t>ELECTRONIC COPIES</t>
  </si>
  <si>
    <t>2023-021701</t>
  </si>
  <si>
    <t>U APPEAL 23-17</t>
  </si>
  <si>
    <t>ALL COMPLAINTS SINCE 2017</t>
  </si>
  <si>
    <t>PRIVACY INTEREST</t>
  </si>
  <si>
    <t>2023-021702</t>
  </si>
  <si>
    <t>U RFA-P 23-36</t>
  </si>
  <si>
    <t>MACY'S RECEIPT</t>
  </si>
  <si>
    <t>2023-011703</t>
  </si>
  <si>
    <t>U APPEAL 23-18</t>
  </si>
  <si>
    <t>CHANGE ORDER FOR PCD 3</t>
  </si>
  <si>
    <t>STORM &amp; SEWER PROJECT</t>
  </si>
  <si>
    <t>U RFA-P 23-31
DISMISSED; ABANDONED BY REQUESTOR</t>
  </si>
  <si>
    <t>2023-022401</t>
  </si>
  <si>
    <t>U RFA-P 23-37</t>
  </si>
  <si>
    <t>STALKING ALLEGATIONS</t>
  </si>
  <si>
    <t>RELATED DOCS</t>
  </si>
  <si>
    <t>U APPEAL 23-22</t>
  </si>
  <si>
    <t>2023-022801</t>
  </si>
  <si>
    <t>U RFA-P 23-38</t>
  </si>
  <si>
    <t>IEP PROGRESS</t>
  </si>
  <si>
    <t>2023-030601</t>
  </si>
  <si>
    <t>COLLECTION OF REPORTS</t>
  </si>
  <si>
    <t>2023-030602</t>
  </si>
  <si>
    <t>COMPLETION OF REPORTS</t>
  </si>
  <si>
    <t>2023-030603</t>
  </si>
  <si>
    <t>U APPEAL 23-19</t>
  </si>
  <si>
    <t>GRAD ASSISTANT NAMES</t>
  </si>
  <si>
    <t>2023-030801</t>
  </si>
  <si>
    <t>TRANSITIONAL HOUSING</t>
  </si>
  <si>
    <t>COPY OF REQUEST</t>
  </si>
  <si>
    <t>2023-030901</t>
  </si>
  <si>
    <t>U APPEAL 23-20</t>
  </si>
  <si>
    <t>OBTAIN DUPLICATE</t>
  </si>
  <si>
    <t>2023-030902</t>
  </si>
  <si>
    <t>WIKIWIKI CONTRACT</t>
  </si>
  <si>
    <t>EP23-102K AND OTHER RECORDS</t>
  </si>
  <si>
    <t>2023-031001</t>
  </si>
  <si>
    <t>U RFA-P 23-39</t>
  </si>
  <si>
    <t>SNAP BENEFITS</t>
  </si>
  <si>
    <t>2023-031301</t>
  </si>
  <si>
    <t>OIP REQUEST FORM</t>
  </si>
  <si>
    <t>2023-031501</t>
  </si>
  <si>
    <t>2023-031502</t>
  </si>
  <si>
    <t>U APPEAL 23-23</t>
  </si>
  <si>
    <t>INDIVIDUAL TAX LEVY</t>
  </si>
  <si>
    <t>2023-031503</t>
  </si>
  <si>
    <t>U RFA-P 23-40</t>
  </si>
  <si>
    <t>LIST OF THOSE CITED</t>
  </si>
  <si>
    <t>CONSTRUCTION WITHOUT PERMIT</t>
  </si>
  <si>
    <t>2023-031701</t>
  </si>
  <si>
    <t>U RFA-P 23-41</t>
  </si>
  <si>
    <t>BENEFITS</t>
  </si>
  <si>
    <t>NOTICES OR LETTERS</t>
  </si>
  <si>
    <t>2023-032801</t>
  </si>
  <si>
    <t>U RFA-P 23-42</t>
  </si>
  <si>
    <t>ALA MOANA BEACH PARK</t>
  </si>
  <si>
    <t>COMMERCIAL PERMITS</t>
  </si>
  <si>
    <t>2023-032802</t>
  </si>
  <si>
    <t>S APPEAL 23-9</t>
  </si>
  <si>
    <t>ADD ITEM TO AGENDA</t>
  </si>
  <si>
    <t>REQUEST FOR CONTESTED CASE</t>
  </si>
  <si>
    <t>2023-040301</t>
  </si>
  <si>
    <t>ZOOM TESTIMONY</t>
  </si>
  <si>
    <t>2023-040401</t>
  </si>
  <si>
    <t>U RFA-G 23-2</t>
  </si>
  <si>
    <t>HILO COUNTRY CLUB PROPOSALS</t>
  </si>
  <si>
    <t>2023-040601</t>
  </si>
  <si>
    <t>U APPEAL 23-24</t>
  </si>
  <si>
    <t>DAGS-STAD</t>
  </si>
  <si>
    <t>EXEC SESSION PRESENTATION</t>
  </si>
  <si>
    <t>REQUEST FOR HANDOUTS</t>
  </si>
  <si>
    <t>2023-041101</t>
  </si>
  <si>
    <t>U APPEAL 23-25</t>
  </si>
  <si>
    <t>SIGN-IN SHEETS</t>
  </si>
  <si>
    <t>HOKULANI ELEMENTARY</t>
  </si>
  <si>
    <t>U MEMO 24-09</t>
  </si>
  <si>
    <t>2023-041301</t>
  </si>
  <si>
    <t>U RFA-P 23-43</t>
  </si>
  <si>
    <t>TRAVEL COSTS-ROOTED</t>
  </si>
  <si>
    <t>DOCS-NA MAHIAI O KEANAE</t>
  </si>
  <si>
    <t>2023-041901</t>
  </si>
  <si>
    <t>U RFA-P 23-44</t>
  </si>
  <si>
    <t>CONTRACTS, DATA INTAKE STUDIES</t>
  </si>
  <si>
    <t>WAHIAWA AHUPUAA</t>
  </si>
  <si>
    <t>2023-041902</t>
  </si>
  <si>
    <t>U RFA-P 23-45</t>
  </si>
  <si>
    <t>DISCIPLINE INFO</t>
  </si>
  <si>
    <t>SEPT 2019-PRESENT</t>
  </si>
  <si>
    <t>2023-041903</t>
  </si>
  <si>
    <t>S APPEAL 23-10</t>
  </si>
  <si>
    <t>NOT ACCEPTED</t>
  </si>
  <si>
    <t>S APPEAL 23-11</t>
  </si>
  <si>
    <t>2023-042601</t>
  </si>
  <si>
    <t>U RFA-P 23-46</t>
  </si>
  <si>
    <t>OMBUDSMAN REPORT</t>
  </si>
  <si>
    <t>KOAN RISK SOLUTIONS</t>
  </si>
  <si>
    <t>2023-042701</t>
  </si>
  <si>
    <t>WORKING GROUP</t>
  </si>
  <si>
    <t>2023-042801</t>
  </si>
  <si>
    <t>CURRENT EMPLOYEES</t>
  </si>
  <si>
    <t>2023-050401</t>
  </si>
  <si>
    <t>U RFA-P 23-47</t>
  </si>
  <si>
    <t>SALVAGE &amp; COLLECTION</t>
  </si>
  <si>
    <t>RFP DOCS</t>
  </si>
  <si>
    <t>2023-050501</t>
  </si>
  <si>
    <t>U RFA-P 23-48</t>
  </si>
  <si>
    <t>MOTION TO DISMISS</t>
  </si>
  <si>
    <t>2023-050502</t>
  </si>
  <si>
    <t>RECORD CORRECTION ALL RECORDS W/ NAME</t>
  </si>
  <si>
    <t>NOT RIPE</t>
  </si>
  <si>
    <t>2023-050901</t>
  </si>
  <si>
    <t>U RFA-P 23-49</t>
  </si>
  <si>
    <t>ELIGIBILITY INCOME LIMITS</t>
  </si>
  <si>
    <t>PRESCHOOL OPENDOORS, ETC.</t>
  </si>
  <si>
    <t>2023-050902</t>
  </si>
  <si>
    <t>U RFA-P 23-50</t>
  </si>
  <si>
    <t>DCAB</t>
  </si>
  <si>
    <t>BYLAWS, POLICIES, ETC.</t>
  </si>
  <si>
    <t>AUXILIARY AIDS</t>
  </si>
  <si>
    <t>2023-051201</t>
  </si>
  <si>
    <t>U RFA-P 23-51</t>
  </si>
  <si>
    <t>DATA DICTIONAIRES</t>
  </si>
  <si>
    <t>OFFENDERTRAK</t>
  </si>
  <si>
    <t>2023-051801</t>
  </si>
  <si>
    <t>U RFA-P 23-52</t>
  </si>
  <si>
    <t>PROPOSALS &amp; SCORES</t>
  </si>
  <si>
    <t>P23001345 RFID SYSTEMS</t>
  </si>
  <si>
    <t>2023-052301</t>
  </si>
  <si>
    <t>U RFA-P 23-53</t>
  </si>
  <si>
    <t>92F-24</t>
  </si>
  <si>
    <t>2023-052302</t>
  </si>
  <si>
    <t>92F-24 PROCEDURES</t>
  </si>
  <si>
    <t>HIRING COMPLAINT</t>
  </si>
  <si>
    <t>2023-060701</t>
  </si>
  <si>
    <t>RECON-G 23-1</t>
  </si>
  <si>
    <t>OIP OP. LTR. NO F23-05</t>
  </si>
  <si>
    <t>CMTE NAMES &amp; INFO IN PROPOSALS</t>
  </si>
  <si>
    <t>U APPEAL 20-33
OIP OP. LTR NO F23-05</t>
  </si>
  <si>
    <t>2023-060901</t>
  </si>
  <si>
    <t>U RFA-P 23-54</t>
  </si>
  <si>
    <t>2023 NOTICE OF VIOLATION</t>
  </si>
  <si>
    <t>PUBLIC WORKS</t>
  </si>
  <si>
    <t>2023-060902</t>
  </si>
  <si>
    <t>U RFA-P 23-55</t>
  </si>
  <si>
    <t>INCREMENTAL DISCLOSURES</t>
  </si>
  <si>
    <t>2023-061301</t>
  </si>
  <si>
    <t>U RFA-P 23-56</t>
  </si>
  <si>
    <t>PNA REPORTS</t>
  </si>
  <si>
    <t>2023-061401</t>
  </si>
  <si>
    <t>S APPEAL 23-12</t>
  </si>
  <si>
    <t>PLANC-M</t>
  </si>
  <si>
    <t>SUMMARY MINUTES</t>
  </si>
  <si>
    <t>VOTES NOT LISTED</t>
  </si>
  <si>
    <t>2023-061901</t>
  </si>
  <si>
    <t>U RFA-P 23-57</t>
  </si>
  <si>
    <t>EMERGENCY HIRE</t>
  </si>
  <si>
    <t>2023-062001</t>
  </si>
  <si>
    <t>U RFA-P 23-58</t>
  </si>
  <si>
    <t>MEDICAL INFO</t>
  </si>
  <si>
    <t>MINOR'S RECORDS</t>
  </si>
  <si>
    <t>2023-062002</t>
  </si>
  <si>
    <t>ADA CALLS</t>
  </si>
  <si>
    <t>2023-062003</t>
  </si>
  <si>
    <t>U RFA-P 23-59</t>
  </si>
  <si>
    <t>ZOOM RECORDING</t>
  </si>
  <si>
    <t>HTSB MEETING</t>
  </si>
  <si>
    <t>2023-062101</t>
  </si>
  <si>
    <t>NO UIPA OR SL ISSUE</t>
  </si>
  <si>
    <t>2023-062102</t>
  </si>
  <si>
    <t>U RFA-P 23-60</t>
  </si>
  <si>
    <t>PRISON RECORDS</t>
  </si>
  <si>
    <t>NEED ORIGINALS</t>
  </si>
  <si>
    <t>2023-062201</t>
  </si>
  <si>
    <t>U RFA-P 23-61</t>
  </si>
  <si>
    <t>DRIVER'S EDUCATION</t>
  </si>
  <si>
    <t>ADMIN APPEALS</t>
  </si>
  <si>
    <t>2023-062301</t>
  </si>
  <si>
    <t>SUBSTANTIVE CORRESPONDENCE</t>
  </si>
  <si>
    <t>VARIOUS OPEN FILES</t>
  </si>
  <si>
    <t>2023-070701</t>
  </si>
  <si>
    <t>U APPEAL 24-01</t>
  </si>
  <si>
    <t>DATES OMITTED</t>
  </si>
  <si>
    <t>2023-071202</t>
  </si>
  <si>
    <t>U RFA-P 24-01</t>
  </si>
  <si>
    <t>CONFLICT OF INTERST STATEMENTS</t>
  </si>
  <si>
    <t>FIREARM TRAINING UNIT</t>
  </si>
  <si>
    <t>2023-071701</t>
  </si>
  <si>
    <t>U APPEAL 24-02</t>
  </si>
  <si>
    <t>IA REPORT &amp; FINDINGS</t>
  </si>
  <si>
    <t>2023-072001</t>
  </si>
  <si>
    <t>U APPEAL 24-03</t>
  </si>
  <si>
    <t>WATER DELIVERY PRODUCTION &amp; GIS</t>
  </si>
  <si>
    <t>PRIVILIGED</t>
  </si>
  <si>
    <t>2023-072101</t>
  </si>
  <si>
    <t>U APPEAL 24-04</t>
  </si>
  <si>
    <t>EXAMINATION, SCORES, DRIVING INSTRUCTOR</t>
  </si>
  <si>
    <t>2023-072601</t>
  </si>
  <si>
    <t>U RFA-P 24-02</t>
  </si>
  <si>
    <t>GRIEVANCE PROCEDURES</t>
  </si>
  <si>
    <t>ADA COMPLAINTS</t>
  </si>
  <si>
    <t>2023-072602</t>
  </si>
  <si>
    <t>U RFA-P 24-03</t>
  </si>
  <si>
    <t>LAST 2 FINANCIAL AUDITS</t>
  </si>
  <si>
    <t>HOUSE</t>
  </si>
  <si>
    <t>2023-072603</t>
  </si>
  <si>
    <t>U RFA-P 24-04</t>
  </si>
  <si>
    <t>SENATE</t>
  </si>
  <si>
    <t>2023-080201</t>
  </si>
  <si>
    <t>U RFA-P 24-05</t>
  </si>
  <si>
    <t>TMT PERMIT</t>
  </si>
  <si>
    <t>RELATED RECORDS</t>
  </si>
  <si>
    <t>2023-080401</t>
  </si>
  <si>
    <t>U APPEAL 24-05</t>
  </si>
  <si>
    <t>UHH-HCC</t>
  </si>
  <si>
    <t>REDACTED COMPLAINT</t>
  </si>
  <si>
    <t>2023-080701</t>
  </si>
  <si>
    <t>U RFA-P 24-06</t>
  </si>
  <si>
    <t>SURPLUS FUNDS</t>
  </si>
  <si>
    <t>2023-080802</t>
  </si>
  <si>
    <t>U RFA-P 24-07</t>
  </si>
  <si>
    <t>EMPLOYMENT ROSTERS</t>
  </si>
  <si>
    <t>DATASETS</t>
  </si>
  <si>
    <t>2023-080901</t>
  </si>
  <si>
    <t>U APPEAL 24-06</t>
  </si>
  <si>
    <t>SURF SCHOOL CUP HOLDERS</t>
  </si>
  <si>
    <t>COMPILATION</t>
  </si>
  <si>
    <t>2023-080902</t>
  </si>
  <si>
    <t>ACT 19, EXEC SESSION</t>
  </si>
  <si>
    <t>SUMMARIES FOR PUBLIC</t>
  </si>
  <si>
    <t>2023-081601</t>
  </si>
  <si>
    <t>S APPEAL 24-01</t>
  </si>
  <si>
    <t>ITEM NOT ON AGENDA</t>
  </si>
  <si>
    <t>DEFICIENT MINUTES</t>
  </si>
  <si>
    <t>2023-082101</t>
  </si>
  <si>
    <t>S APPEAL 24-02</t>
  </si>
  <si>
    <t>DBEDT-ADC</t>
  </si>
  <si>
    <t>ED APPOINTMENT</t>
  </si>
  <si>
    <t>VOTES</t>
  </si>
  <si>
    <t>OIP OP. LTR. NO. F24-03
RECON-P 24-3</t>
  </si>
  <si>
    <t>2023-082401</t>
  </si>
  <si>
    <t>U APPEAL 21-5 BUNTING</t>
  </si>
  <si>
    <t>LATEST SUBMISSIONS</t>
  </si>
  <si>
    <t>2023-082901</t>
  </si>
  <si>
    <t>U APPEAL 24-7</t>
  </si>
  <si>
    <t>MAUI FIRES UIPA REQUESTS</t>
  </si>
  <si>
    <t>ALL COMMUNICATIONS</t>
  </si>
  <si>
    <t>2023-083001</t>
  </si>
  <si>
    <t>TESTIMONY DEADLINES</t>
  </si>
  <si>
    <t>SL GUIDE</t>
  </si>
  <si>
    <t>2023-090101</t>
  </si>
  <si>
    <t>BOE ADVICE</t>
  </si>
  <si>
    <t>92-7© PROOF OF POSTING</t>
  </si>
  <si>
    <t>2023-090102</t>
  </si>
  <si>
    <t>U APPEAL 24-08</t>
  </si>
  <si>
    <t>PENDING INVESTIGATIONS</t>
  </si>
  <si>
    <t>2023-090602</t>
  </si>
  <si>
    <t>RULES TO RECOVER COSTS</t>
  </si>
  <si>
    <t>HPD SUBMITTALS</t>
  </si>
  <si>
    <t>2023-090603</t>
  </si>
  <si>
    <t>U RFA-P 24-08</t>
  </si>
  <si>
    <t>CIDADE EMAILS RE:SON</t>
  </si>
  <si>
    <t>2023-091301</t>
  </si>
  <si>
    <t>U APPEAL 24-09</t>
  </si>
  <si>
    <t>REMOTE MEETING RECORDINGS</t>
  </si>
  <si>
    <t>2023-091501</t>
  </si>
  <si>
    <t>U RECON-P 24-1</t>
  </si>
  <si>
    <t>U MEMO 24-02</t>
  </si>
  <si>
    <t>SUCCESSORSHIP DOCUMENT</t>
  </si>
  <si>
    <t>U APPEAL 22-11;
U MEMO 24-02</t>
  </si>
  <si>
    <t>2023-091502</t>
  </si>
  <si>
    <t>U APPEAL 24-10</t>
  </si>
  <si>
    <t>BWC FOOTAGE</t>
  </si>
  <si>
    <t>2 POLICE REPORTS</t>
  </si>
  <si>
    <t>2023-092001</t>
  </si>
  <si>
    <t>U RFA-P 24-09</t>
  </si>
  <si>
    <t>SIG SAUER RECORDS</t>
  </si>
  <si>
    <t>P320 PISTOL</t>
  </si>
  <si>
    <t>2023-092201</t>
  </si>
  <si>
    <t>U APPEAL 24-11</t>
  </si>
  <si>
    <t>MANUAL</t>
  </si>
  <si>
    <t>PERSONAL RECORDS FOR CHILD</t>
  </si>
  <si>
    <t>2023-092202</t>
  </si>
  <si>
    <t>U APPEAL 24-12</t>
  </si>
  <si>
    <t>MEMA ADMINISTRATOR</t>
  </si>
  <si>
    <t>ALL COMMUNICATIONS WITH GOV</t>
  </si>
  <si>
    <t>2023-092203</t>
  </si>
  <si>
    <t>U RFA-P 24-10</t>
  </si>
  <si>
    <t>DOD-HIEMA</t>
  </si>
  <si>
    <t>MAUI FIRES</t>
  </si>
  <si>
    <t>VARIOUS RECORDS</t>
  </si>
  <si>
    <t>2023-092204</t>
  </si>
  <si>
    <t>U RFA-P 24-11</t>
  </si>
  <si>
    <t>MAYOR EMAILS &amp; TEXTS</t>
  </si>
  <si>
    <t>2 ACKNOWLEDGMENTS</t>
  </si>
  <si>
    <t>2023-092501</t>
  </si>
  <si>
    <t>U RFA-P 24-12</t>
  </si>
  <si>
    <t>EMA-M</t>
  </si>
  <si>
    <t>MAUI FIRES, HIGH WINDS</t>
  </si>
  <si>
    <t>2023-0902502</t>
  </si>
  <si>
    <t>U RFA-P 24-13</t>
  </si>
  <si>
    <t>TEXT MESSAGES 8/8-8/9/23</t>
  </si>
  <si>
    <t>VARIOUS OFFICIALS</t>
  </si>
  <si>
    <t>2023-092503</t>
  </si>
  <si>
    <t>U RFA-P 24-14</t>
  </si>
  <si>
    <t>2023-092601</t>
  </si>
  <si>
    <t>U RFA-P 24-15</t>
  </si>
  <si>
    <t>NONFATAL FALL RECORDS</t>
  </si>
  <si>
    <t>MUGSHOTS</t>
  </si>
  <si>
    <t>2023-092602</t>
  </si>
  <si>
    <t>U RFA-P 24-16</t>
  </si>
  <si>
    <t>WRONGDOING INVESTIGATIONS</t>
  </si>
  <si>
    <t>2023-092603</t>
  </si>
  <si>
    <t>U RFA-P 24-17</t>
  </si>
  <si>
    <t>EVERBRIDGE RECORDS</t>
  </si>
  <si>
    <t>SMART WEATHER</t>
  </si>
  <si>
    <t>2023-092701</t>
  </si>
  <si>
    <t>U RFA-P 24-18</t>
  </si>
  <si>
    <t>RED HILL FUEL SPILL</t>
  </si>
  <si>
    <t>VARIOUS WATER RECORDS</t>
  </si>
  <si>
    <t>2023-092801</t>
  </si>
  <si>
    <t>U RFA-P 24-19</t>
  </si>
  <si>
    <t>HOSPITAL REPORT</t>
  </si>
  <si>
    <t>OFCR CAUTON</t>
  </si>
  <si>
    <t>2023-092901</t>
  </si>
  <si>
    <t>U RFA-P 24-20</t>
  </si>
  <si>
    <t>MEMA CORRESPONDENCE</t>
  </si>
  <si>
    <t>SIGN-IN SHEET SIREN INFO</t>
  </si>
  <si>
    <t>2023-092902</t>
  </si>
  <si>
    <t>U APPEAL 24-13</t>
  </si>
  <si>
    <t>AWARDEE NAME</t>
  </si>
  <si>
    <t>AWARD AMOUNT</t>
  </si>
  <si>
    <t>2029-092903</t>
  </si>
  <si>
    <t>U RFA-P 24-21</t>
  </si>
  <si>
    <t>ANDAYA EXPENSE REPORT</t>
  </si>
  <si>
    <t>2023-092904</t>
  </si>
  <si>
    <t>U RFA-P 24-22</t>
  </si>
  <si>
    <t>ANDAYA EMAILS</t>
  </si>
  <si>
    <t>2023-100401</t>
  </si>
  <si>
    <t>CORRESPONDENCE WITH DOE</t>
  </si>
  <si>
    <t>RFAs</t>
  </si>
  <si>
    <t>2023-100501</t>
  </si>
  <si>
    <t>S APPEAL 24-03</t>
  </si>
  <si>
    <t>DCCA-BOD</t>
  </si>
  <si>
    <t>SB162 TESTIMONY</t>
  </si>
  <si>
    <t>BOARD'S POSITION</t>
  </si>
  <si>
    <t>2023-101701</t>
  </si>
  <si>
    <t>U APPEAL 24-14</t>
  </si>
  <si>
    <t>PARKING VIOLATIONS/TOW INFO</t>
  </si>
  <si>
    <t>ALAWAI SMALL BOAT HARBOR</t>
  </si>
  <si>
    <t>2023-101901</t>
  </si>
  <si>
    <t>2023-101902</t>
  </si>
  <si>
    <t>LEG-HOUSE</t>
  </si>
  <si>
    <t>AMEND MURDER STATUTES</t>
  </si>
  <si>
    <t>2023-101903</t>
  </si>
  <si>
    <t>U RFA-P 24-23</t>
  </si>
  <si>
    <t>FIRST RESPONDER</t>
  </si>
  <si>
    <t>FIRE DISPATCH LOGS</t>
  </si>
  <si>
    <t>2023-101904</t>
  </si>
  <si>
    <t>U RFA-P 24-24</t>
  </si>
  <si>
    <t>2023-101905</t>
  </si>
  <si>
    <t>U RFA-P 24-25</t>
  </si>
  <si>
    <t>CONTINUITY OF OPERATIONS PLAN</t>
  </si>
  <si>
    <t>2023-102501</t>
  </si>
  <si>
    <t>EMPLOYEE CONTACT INFO</t>
  </si>
  <si>
    <t>NAMES, TITLES</t>
  </si>
  <si>
    <t>2023-102601</t>
  </si>
  <si>
    <t>CONTRACT VIOLATIONS</t>
  </si>
  <si>
    <t>CORE CIVIC</t>
  </si>
  <si>
    <t>2023-103001</t>
  </si>
  <si>
    <t>U RFA-P 24-26</t>
  </si>
  <si>
    <t>COUNTY LIFEGUARD INFO</t>
  </si>
  <si>
    <t>2023-103002</t>
  </si>
  <si>
    <t>U RFA-P 24-27</t>
  </si>
  <si>
    <t>PACAP</t>
  </si>
  <si>
    <t>QUARTERLY CLAIM FED FUNDING</t>
  </si>
  <si>
    <t>2023-103003</t>
  </si>
  <si>
    <t>U RFA-P 24-28</t>
  </si>
  <si>
    <t>ANDAYA COMMUNICATIONS</t>
  </si>
  <si>
    <t>AFTER ACTION REPORT</t>
  </si>
  <si>
    <t>2023-103004</t>
  </si>
  <si>
    <t>UIPA LOGS</t>
  </si>
  <si>
    <t>EXCEL SPREADSHEETS</t>
  </si>
  <si>
    <t>2023-103005</t>
  </si>
  <si>
    <t>U APPEAL 24-15</t>
  </si>
  <si>
    <t>N MEDEIROS EMAILS</t>
  </si>
  <si>
    <t>WORKING GROUP, EMERGENCY PROC.</t>
  </si>
  <si>
    <t>2023-110201</t>
  </si>
  <si>
    <t>PERSONNEL</t>
  </si>
  <si>
    <t>2023-110701</t>
  </si>
  <si>
    <t>U RFA-P 24-29</t>
  </si>
  <si>
    <t>ALL DIGITAL COMMUNICATIONS</t>
  </si>
  <si>
    <t>TO OR FROM MAYOR</t>
  </si>
  <si>
    <t>2023-110703</t>
  </si>
  <si>
    <t>RECON-P 24-2</t>
  </si>
  <si>
    <t>APPEAL RULES</t>
  </si>
  <si>
    <t>VARIOUS QUESTIONS</t>
  </si>
  <si>
    <t>S APPEAL 24-3</t>
  </si>
  <si>
    <t>2023-111401</t>
  </si>
  <si>
    <t>DOCUMENTS SENT/RECEIVED BY OIP</t>
  </si>
  <si>
    <t>2023-111402</t>
  </si>
  <si>
    <t>U RFA-P 24-30</t>
  </si>
  <si>
    <t>PROPERTY OWNER COMPLAINT</t>
  </si>
  <si>
    <t>2023-111403</t>
  </si>
  <si>
    <t>U RFA-P 24-31</t>
  </si>
  <si>
    <t>CLIFF FALL RESCUE</t>
  </si>
  <si>
    <t>REPORTS RECORDINGS</t>
  </si>
  <si>
    <t>2023-111405</t>
  </si>
  <si>
    <t>U APPEAL 24-16</t>
  </si>
  <si>
    <t>DELINQUENT TAXES</t>
  </si>
  <si>
    <t>UNCOLLECTABLE</t>
  </si>
  <si>
    <t>2023-112001</t>
  </si>
  <si>
    <t>U RFA-P 24-32</t>
  </si>
  <si>
    <t>MEDICAID REIMBURSEMENTS</t>
  </si>
  <si>
    <t>CSV FORMAT</t>
  </si>
  <si>
    <t>2023-112002</t>
  </si>
  <si>
    <t>U RFA-P 24-33</t>
  </si>
  <si>
    <t>COMPLEX AREA SUPS, PRICIPALS</t>
  </si>
  <si>
    <t>CONFLICT PROCEDURES STDS OF PRACTICE</t>
  </si>
  <si>
    <t>2023-112101</t>
  </si>
  <si>
    <t>RECON-P 24-3</t>
  </si>
  <si>
    <t>OIP OP. LTR. NO. F24-03</t>
  </si>
  <si>
    <t>PERSONNEL-PRIVACY EXEMPTION</t>
  </si>
  <si>
    <t>S APPEAL 24-02
OIP OP. LTR F24-03</t>
  </si>
  <si>
    <t>2023-112201</t>
  </si>
  <si>
    <t>U APPEAL 24-17</t>
  </si>
  <si>
    <t>GRAND WAILEA</t>
  </si>
  <si>
    <t>BUILDING PERMIT INFO</t>
  </si>
  <si>
    <t>2023-112701</t>
  </si>
  <si>
    <t>U RFA-P 24-34</t>
  </si>
  <si>
    <t>2023-112702</t>
  </si>
  <si>
    <t>U APPEAL 24-18</t>
  </si>
  <si>
    <t>ALA WAI BOAT HARBOR</t>
  </si>
  <si>
    <t>PARKING CONTRACTS</t>
  </si>
  <si>
    <t>2023-112801</t>
  </si>
  <si>
    <t>U APPEAL 24-19</t>
  </si>
  <si>
    <t>GOLF COURSE</t>
  </si>
  <si>
    <t>COMMUNICATION RE: ZONING</t>
  </si>
  <si>
    <t>2023-113001</t>
  </si>
  <si>
    <t>U RFA-P 24-35</t>
  </si>
  <si>
    <t>APPRIS CONTACT</t>
  </si>
  <si>
    <t>VINELINK WEBSITE</t>
  </si>
  <si>
    <t>U RFA-P 24-37</t>
  </si>
  <si>
    <t>2023-120501</t>
  </si>
  <si>
    <t>CONSTITUENT CONTACTS</t>
  </si>
  <si>
    <t>MISDIRECTED TO OIP</t>
  </si>
  <si>
    <t>2023-120502</t>
  </si>
  <si>
    <t>AGENCY POINT OF CONTACT INFO</t>
  </si>
  <si>
    <t>2023-120701</t>
  </si>
  <si>
    <t>SL APPEAL</t>
  </si>
  <si>
    <t>REQUEST TO BE ANONYMOUS</t>
  </si>
  <si>
    <t>2023-121301</t>
  </si>
  <si>
    <t>U RFA-P 24-36</t>
  </si>
  <si>
    <t>LEGAL CUSTODY</t>
  </si>
  <si>
    <t>2023-121302</t>
  </si>
  <si>
    <t>LIST OF AGENCIES</t>
  </si>
  <si>
    <t>2023-121801</t>
  </si>
  <si>
    <t>U APPEAL 24-20</t>
  </si>
  <si>
    <t>2023-121802</t>
  </si>
  <si>
    <t>U APPEAL 24-21</t>
  </si>
  <si>
    <t>HU HONUA</t>
  </si>
  <si>
    <t>INDUSTRIAL LUPAG</t>
  </si>
  <si>
    <t>2023-121803</t>
  </si>
  <si>
    <t>RFO-G 24-1</t>
  </si>
  <si>
    <t>HPM BLDG SUPPLY</t>
  </si>
  <si>
    <t>2023-121923</t>
  </si>
  <si>
    <t>U RFA-P 24-38</t>
  </si>
  <si>
    <t>HONEY BEE - VACATE</t>
  </si>
  <si>
    <t>MONEY OWED</t>
  </si>
  <si>
    <t>2023-121902</t>
  </si>
  <si>
    <t>U RFA-P 24-39</t>
  </si>
  <si>
    <t>WATER &amp; SEWAGE PIPE UPGRADES</t>
  </si>
  <si>
    <t>2023-122101</t>
  </si>
  <si>
    <t>U RFA-P 24-40</t>
  </si>
  <si>
    <t>SECURE PARKING</t>
  </si>
  <si>
    <t>4 REQUESTS</t>
  </si>
  <si>
    <t>2023-122102</t>
  </si>
  <si>
    <t>U RFA-P 24-41</t>
  </si>
  <si>
    <t>ALA WAI SMALL BOAT HARBOR</t>
  </si>
  <si>
    <t>PARKING SVCS - 3 REQUEST</t>
  </si>
  <si>
    <t>2023-122701</t>
  </si>
  <si>
    <t>S APPEAL 24-4</t>
  </si>
  <si>
    <t>RES. 372-23</t>
  </si>
  <si>
    <t>2024-010301</t>
  </si>
  <si>
    <t>U RFA-P 24-42</t>
  </si>
  <si>
    <t>HARRIETTE HO EASEMENT</t>
  </si>
  <si>
    <t>WATER LINE</t>
  </si>
  <si>
    <t>2024-010302</t>
  </si>
  <si>
    <t>1/1/2023-PRESENT</t>
  </si>
  <si>
    <t>2024-010501</t>
  </si>
  <si>
    <t>U RFA-P 24-43</t>
  </si>
  <si>
    <t>DBEDT-STAD</t>
  </si>
  <si>
    <t>FINANCIAL ANALYSIS</t>
  </si>
  <si>
    <t>CITED IN ARTICLE</t>
  </si>
  <si>
    <t>2024-010502</t>
  </si>
  <si>
    <t>U RFA-P 24-44</t>
  </si>
  <si>
    <t>MASTERPLAN</t>
  </si>
  <si>
    <t>ACCUITY CONTRACT</t>
  </si>
  <si>
    <t>2024-010901</t>
  </si>
  <si>
    <t>U APPEAL 24-22</t>
  </si>
  <si>
    <t>APPRAISAL, TITLE DOCS</t>
  </si>
  <si>
    <t>NEGOTIATING INFO REDACTED</t>
  </si>
  <si>
    <t>2024-010902</t>
  </si>
  <si>
    <t>U APPEAL 24-23</t>
  </si>
  <si>
    <t>HIRE AGE</t>
  </si>
  <si>
    <t>AGGREGATE DATES</t>
  </si>
  <si>
    <t>2024-011001</t>
  </si>
  <si>
    <t>U RFA-P 24-45</t>
  </si>
  <si>
    <t>AIS SURVEY</t>
  </si>
  <si>
    <t>DECISION, RFP</t>
  </si>
  <si>
    <t>2024-011002</t>
  </si>
  <si>
    <t>U RFA-P 24-46</t>
  </si>
  <si>
    <t>DCR</t>
  </si>
  <si>
    <t>PSD 8324 (PROHIBITED PUBLICATION) FORMS</t>
  </si>
  <si>
    <t>HALAWA INMATES</t>
  </si>
  <si>
    <t>2024-011101</t>
  </si>
  <si>
    <t>U APPEAL 24-24</t>
  </si>
  <si>
    <t>EVERBRIDGE, SMART WEATHER</t>
  </si>
  <si>
    <t>2024-011601</t>
  </si>
  <si>
    <t>U APPEAL 24-25</t>
  </si>
  <si>
    <t>REDACTIONS TO MINUTES</t>
  </si>
  <si>
    <t>2024-011602</t>
  </si>
  <si>
    <t>U APPEAL 24-26</t>
  </si>
  <si>
    <t>APPRAISAL, TITLE DOCS ETC.</t>
  </si>
  <si>
    <t>2024-011603</t>
  </si>
  <si>
    <t>U APPEAL 24-28</t>
  </si>
  <si>
    <t>FEE WAIVER REQUEST</t>
  </si>
  <si>
    <t>2024-011701</t>
  </si>
  <si>
    <t>U RFA-P 24-48</t>
  </si>
  <si>
    <t>CONCEALED CARRY LICENSE</t>
  </si>
  <si>
    <t>APPLICATION RECORDS</t>
  </si>
  <si>
    <t>2024-011702</t>
  </si>
  <si>
    <t>U RFA-P 24-49</t>
  </si>
  <si>
    <t>AMBULANCE EXPLOSION</t>
  </si>
  <si>
    <t>2024-011703</t>
  </si>
  <si>
    <t>U RFA-P 24-50</t>
  </si>
  <si>
    <t>AUTOPSY &amp; MORGUE REPORTS</t>
  </si>
  <si>
    <t>FIRE FATALITIES</t>
  </si>
  <si>
    <t>2024-011704</t>
  </si>
  <si>
    <t>U APPEAL 24-27</t>
  </si>
  <si>
    <t>DAILY ACTIVITY REPORTS</t>
  </si>
  <si>
    <t>UIPA REQUESTS, OTHER RECORDS</t>
  </si>
  <si>
    <t>2024-011801</t>
  </si>
  <si>
    <t>S APPEAL 24-5</t>
  </si>
  <si>
    <t>LOSS OF QUORUM</t>
  </si>
  <si>
    <t>PROHIBITED DISCUSSIONS</t>
  </si>
  <si>
    <t>2024-011901</t>
  </si>
  <si>
    <t>DLIR-WDC</t>
  </si>
  <si>
    <t>COUNTY OUTREACH</t>
  </si>
  <si>
    <t>NOT PUBLIC</t>
  </si>
  <si>
    <t>2024-012201</t>
  </si>
  <si>
    <t>U RFA-P 24-47</t>
  </si>
  <si>
    <t>FIRES, EMERGENCY RELIEF</t>
  </si>
  <si>
    <t>CONTRACTS, BUDGET</t>
  </si>
  <si>
    <t>2024-012301</t>
  </si>
  <si>
    <t>U APPEAL 24-29</t>
  </si>
  <si>
    <t>FIRE CONTRACTS, BUDGET</t>
  </si>
  <si>
    <t>2024-012401</t>
  </si>
  <si>
    <t>U RFA-P 24-51</t>
  </si>
  <si>
    <t>HEARING TESTIMONY</t>
  </si>
  <si>
    <t>SHORE WATER EVENT RULES</t>
  </si>
  <si>
    <t>2024-012402</t>
  </si>
  <si>
    <t>POSTAL ADDRESSES</t>
  </si>
  <si>
    <t>OWNERS</t>
  </si>
  <si>
    <t>2024-012403</t>
  </si>
  <si>
    <t>MONEY ORDERS</t>
  </si>
  <si>
    <t>2024-012501</t>
  </si>
  <si>
    <t>RFO-G 24-2</t>
  </si>
  <si>
    <t>LITIGATION DISCOVERY</t>
  </si>
  <si>
    <t>COURT ORDERS</t>
  </si>
  <si>
    <t>2024-013001</t>
  </si>
  <si>
    <t>2024-013002</t>
  </si>
  <si>
    <t>PENDING COMPLAINTS</t>
  </si>
  <si>
    <t>HOW RESOLVED</t>
  </si>
  <si>
    <t>2024-013003</t>
  </si>
  <si>
    <t>S APPEAL 24-6</t>
  </si>
  <si>
    <t>TESTIMONY REDACTED</t>
  </si>
  <si>
    <t>2024-013004</t>
  </si>
  <si>
    <t>U RFA-P 24-52</t>
  </si>
  <si>
    <t>CONTRACTOR &amp; AWARD</t>
  </si>
  <si>
    <t>REFERRED TO WEBSITE</t>
  </si>
  <si>
    <t>2024-013005</t>
  </si>
  <si>
    <t>S APPEAL 24-7</t>
  </si>
  <si>
    <t>ADVISORY COUNCIL</t>
  </si>
  <si>
    <t>2024-013101</t>
  </si>
  <si>
    <t>S APPEAL 24-8</t>
  </si>
  <si>
    <t>PROHIBITED COMMUNICATIONS</t>
  </si>
  <si>
    <t>EXECUTIVE SUMMARY</t>
  </si>
  <si>
    <t>2024-020201</t>
  </si>
  <si>
    <t>U RFA-P 24-53</t>
  </si>
  <si>
    <t>GRADUATE ASSISTANTS</t>
  </si>
  <si>
    <t>EMPLOYMENT INFO</t>
  </si>
  <si>
    <t>2024-020202</t>
  </si>
  <si>
    <t>U RFA-P 24-54</t>
  </si>
  <si>
    <t>Z. RELLES INVESTIGATION</t>
  </si>
  <si>
    <t>2024-020901</t>
  </si>
  <si>
    <t>S APPEAL 24-9</t>
  </si>
  <si>
    <t>REMOTE TESTIMONY</t>
  </si>
  <si>
    <t>BREAKOUT SESSIONS</t>
  </si>
  <si>
    <t>2024-021601</t>
  </si>
  <si>
    <t>U RFA-P 24-55</t>
  </si>
  <si>
    <t>POLICE REPORT;</t>
  </si>
  <si>
    <t>ACCOUNTING</t>
  </si>
  <si>
    <t>2024-022001</t>
  </si>
  <si>
    <t>U RFA-P 24-60</t>
  </si>
  <si>
    <t>COMPLETE PROCUREMENT REPORT</t>
  </si>
  <si>
    <t>INVOICES, CMTE MEMBER NAMES</t>
  </si>
  <si>
    <t>2024-022201</t>
  </si>
  <si>
    <t>U RFA-P 24-57</t>
  </si>
  <si>
    <t>Jx MAPS, CONTRACT</t>
  </si>
  <si>
    <t>2024-022202</t>
  </si>
  <si>
    <t>U RFA-P 24-58</t>
  </si>
  <si>
    <t>HSBA LICENSE #</t>
  </si>
  <si>
    <t>2024-022301</t>
  </si>
  <si>
    <t>U RFA-P 24-59</t>
  </si>
  <si>
    <t>FIRE INVESTIGATORS REPORT</t>
  </si>
  <si>
    <t>RESIDENCE</t>
  </si>
  <si>
    <t>2024-022601</t>
  </si>
  <si>
    <t>U RFA-P 24-61</t>
  </si>
  <si>
    <t>2024-022701</t>
  </si>
  <si>
    <t>OIP ASSISTANCE FORMS</t>
  </si>
  <si>
    <t>NO COPY OF REQUEST</t>
  </si>
  <si>
    <t>2024-022702</t>
  </si>
  <si>
    <t>92-9 CLARIFICATION</t>
  </si>
  <si>
    <t>2024-022801</t>
  </si>
  <si>
    <t>U RFA-P 24-62</t>
  </si>
  <si>
    <t>FUEL, MAINTENANCE LOGS</t>
  </si>
  <si>
    <t>COUNTY VEHICLE</t>
  </si>
  <si>
    <t>2024-022902</t>
  </si>
  <si>
    <t>U RFA-P 24-63</t>
  </si>
  <si>
    <t>PARKS-K</t>
  </si>
  <si>
    <t>PREDATOR CONTROL CONTRACT</t>
  </si>
  <si>
    <t>HALLUX ECOSYSTEM RECORDS</t>
  </si>
  <si>
    <t>2024-030101</t>
  </si>
  <si>
    <t>U RFA-P 24-64</t>
  </si>
  <si>
    <t>PUBLIC ADMIN PROGRAM</t>
  </si>
  <si>
    <t>ACCREDITATION &amp; OTHER RECORDS</t>
  </si>
  <si>
    <t>2024-030102</t>
  </si>
  <si>
    <t>U APPEAL 24-30</t>
  </si>
  <si>
    <t>NA MAHIAI`O KEANAE</t>
  </si>
  <si>
    <t>BUDGET &amp; OTHER DOCS</t>
  </si>
  <si>
    <t>2024-030103</t>
  </si>
  <si>
    <t>U RFA-P 24-65</t>
  </si>
  <si>
    <t>DIRT ROAD OWNER</t>
  </si>
  <si>
    <t>ASSESSMENT</t>
  </si>
  <si>
    <t>2024-030401</t>
  </si>
  <si>
    <t>U APPEAL 24-31</t>
  </si>
  <si>
    <t>COUNTY VEHICLE RECORDS</t>
  </si>
  <si>
    <t>U RFA-P 24-62
ABANDONED</t>
  </si>
  <si>
    <t>2024-030402</t>
  </si>
  <si>
    <t>U RFA-P 24-66</t>
  </si>
  <si>
    <t>DHHL RESPONSE</t>
  </si>
  <si>
    <t>2024-030403</t>
  </si>
  <si>
    <t>OIP SL TRAINING MATERIALS</t>
  </si>
  <si>
    <t>BOE PRACTICES</t>
  </si>
  <si>
    <t>2024-030501</t>
  </si>
  <si>
    <t>U APPEAL 24-32</t>
  </si>
  <si>
    <t>CHAIR'S EMAILS</t>
  </si>
  <si>
    <t>EMPLOYEE COMPLAINTS</t>
  </si>
  <si>
    <t>2024-030601</t>
  </si>
  <si>
    <t>S APPEAL 24-10</t>
  </si>
  <si>
    <t>DAGS-ELECC</t>
  </si>
  <si>
    <t>EXEC SESSION, ROLL CALL VOTE</t>
  </si>
  <si>
    <t>NOTICE, STAFF EVALUATION</t>
  </si>
  <si>
    <t>2024-030701</t>
  </si>
  <si>
    <t>U APPEAL 24-33</t>
  </si>
  <si>
    <t>CORP CNSL OPINION</t>
  </si>
  <si>
    <t>2024-031201</t>
  </si>
  <si>
    <t>U RFA-P 24-67</t>
  </si>
  <si>
    <t>BANKRUPTCY TRUSTEE</t>
  </si>
  <si>
    <t>TELECOM SVCS RECORDS</t>
  </si>
  <si>
    <t>2024-031202</t>
  </si>
  <si>
    <t>U RFA-P 24-68</t>
  </si>
  <si>
    <t>LAHAINA FIRE</t>
  </si>
  <si>
    <t>RESIDENT REQUEST</t>
  </si>
  <si>
    <t>2024-031302</t>
  </si>
  <si>
    <t>U RFA-P 24-69</t>
  </si>
  <si>
    <t>ORDERS, INVOICES, RECEIPTS</t>
  </si>
  <si>
    <t>SIGNS, LIFEGUARD EMPLOYMENT</t>
  </si>
  <si>
    <t>2024-031401</t>
  </si>
  <si>
    <t>U RFA-P 24-70</t>
  </si>
  <si>
    <t>UH-MED</t>
  </si>
  <si>
    <t>PHYSICIANS</t>
  </si>
  <si>
    <t>RACE/ETHNICITY</t>
  </si>
  <si>
    <t>2024-031501</t>
  </si>
  <si>
    <t>U RFA-P 24-71</t>
  </si>
  <si>
    <t>WINNING PROPOSAL</t>
  </si>
  <si>
    <t>2024-031502</t>
  </si>
  <si>
    <t>U RFA-P 24-72</t>
  </si>
  <si>
    <t>MMPI RESULTS</t>
  </si>
  <si>
    <t>ORTHOPEDIC RECORDS</t>
  </si>
  <si>
    <t>2024-031503</t>
  </si>
  <si>
    <t>SITE INSPECTION EXPENSE RECORDS</t>
  </si>
  <si>
    <t>PAYMENTS TO MEDIA INFLUENCERS</t>
  </si>
  <si>
    <t>2024-031504</t>
  </si>
  <si>
    <t>U RFA-P 24-74</t>
  </si>
  <si>
    <t>LIFEGUARD CERTIFICATE</t>
  </si>
  <si>
    <t>RECENT HIRE</t>
  </si>
  <si>
    <t>2024-031901</t>
  </si>
  <si>
    <t>S APPEAL 24-11</t>
  </si>
  <si>
    <t>DHS-HICH</t>
  </si>
  <si>
    <t>TECHNICAL ISSUES</t>
  </si>
  <si>
    <t>TESTIMONY LIMITS</t>
  </si>
  <si>
    <t>2024-032001</t>
  </si>
  <si>
    <t>NCO-NB16</t>
  </si>
  <si>
    <t>NB BYLAWS</t>
  </si>
  <si>
    <t>2024-032201</t>
  </si>
  <si>
    <t>CHART "LEGAL SECTION"</t>
  </si>
  <si>
    <t>2024-040301</t>
  </si>
  <si>
    <t>U RFA-P 24-73</t>
  </si>
  <si>
    <t>2024-040302</t>
  </si>
  <si>
    <t>U RFA-P 24-75</t>
  </si>
  <si>
    <t>REQUEST FOR CORRECT</t>
  </si>
  <si>
    <t>2024-040303</t>
  </si>
  <si>
    <t>U RFA-P 24-76</t>
  </si>
  <si>
    <t>KA'ALA FARM LOTS</t>
  </si>
  <si>
    <t>POAMOHO WATER ASSN.</t>
  </si>
  <si>
    <t>2024-040304</t>
  </si>
  <si>
    <t>U RFA-P 24-77</t>
  </si>
  <si>
    <t>FEES MISCALCULATED</t>
  </si>
  <si>
    <t>LIST AND SUMMARY</t>
  </si>
  <si>
    <t>2024-040305</t>
  </si>
  <si>
    <t>U RFA-P 24-78</t>
  </si>
  <si>
    <t>TUFTS RECORDS</t>
  </si>
  <si>
    <t>GI RECORDS</t>
  </si>
  <si>
    <t>2024-041001</t>
  </si>
  <si>
    <t>U RFA-P 24-79</t>
  </si>
  <si>
    <t>DISCIPLINARY &amp; MEDICAL RECORDS</t>
  </si>
  <si>
    <t>2024-041201</t>
  </si>
  <si>
    <t>U RFA-P 24-80</t>
  </si>
  <si>
    <t>NAME, QUALIFICATIONS</t>
  </si>
  <si>
    <t>PARLIAMENTARY ADVISOR</t>
  </si>
  <si>
    <t>2024-041202</t>
  </si>
  <si>
    <t>U RFA-P 24-81</t>
  </si>
  <si>
    <t>CHICK-FIL-A</t>
  </si>
  <si>
    <t>FRANCHISE RECORDS</t>
  </si>
  <si>
    <t>2024-041503</t>
  </si>
  <si>
    <t>U APPEAL 24-34</t>
  </si>
  <si>
    <t>UNIT DIDN'T FORWARD</t>
  </si>
  <si>
    <t>2024-041504</t>
  </si>
  <si>
    <t>S APPEAL 24-12</t>
  </si>
  <si>
    <t>EMPLOYEE EVALUATION</t>
  </si>
  <si>
    <t>2024-041601</t>
  </si>
  <si>
    <t>U RFA-P 24-82</t>
  </si>
  <si>
    <t>SMASH AND GRAB</t>
  </si>
  <si>
    <t>CHIEF'S RECORDS</t>
  </si>
  <si>
    <t>2024-041701</t>
  </si>
  <si>
    <t>U APPEAL 24-35</t>
  </si>
  <si>
    <t>RECORDS &amp; BWC</t>
  </si>
  <si>
    <t>2 INCIDENTS</t>
  </si>
  <si>
    <t>2024-041901</t>
  </si>
  <si>
    <t>U RFA-P 24-84</t>
  </si>
  <si>
    <t>VESSEL PERMIT PULLED</t>
  </si>
  <si>
    <t>NĀWILIWILI HARBOR</t>
  </si>
  <si>
    <t>2024-042201</t>
  </si>
  <si>
    <t>EMPLOYEES</t>
  </si>
  <si>
    <t>CONTACT INFO.</t>
  </si>
  <si>
    <t>2024-042202</t>
  </si>
  <si>
    <t>6 U APPEALS</t>
  </si>
  <si>
    <t>APPEAL, RESPONSE, CLOSING LETTER</t>
  </si>
  <si>
    <t>2024-042501</t>
  </si>
  <si>
    <t>U RFA-P 24-83</t>
  </si>
  <si>
    <t>HHS-M</t>
  </si>
  <si>
    <t>HOMELESSNESS</t>
  </si>
  <si>
    <t>3FY RECORDS</t>
  </si>
  <si>
    <t>2024-042502</t>
  </si>
  <si>
    <t>U RFA-P 24-85</t>
  </si>
  <si>
    <t>2024-042503</t>
  </si>
  <si>
    <t>U RFA-P 24-86</t>
  </si>
  <si>
    <t>HOMELESSNESS\HOUSELESSNESS</t>
  </si>
  <si>
    <t>2024-042601</t>
  </si>
  <si>
    <t>DRUG USE REVIEW BOARD</t>
  </si>
  <si>
    <t>CLINICAL STANDARDS OFFICE</t>
  </si>
  <si>
    <t>2024-042901</t>
  </si>
  <si>
    <t>S APPEAL 24-13</t>
  </si>
  <si>
    <t>ZOOM LINK</t>
  </si>
  <si>
    <t>2024-042902</t>
  </si>
  <si>
    <t>S APPEAL 24-14</t>
  </si>
  <si>
    <t>BOARD PACKET</t>
  </si>
  <si>
    <t>2024-042903</t>
  </si>
  <si>
    <t>U APPEAL 24-36</t>
  </si>
  <si>
    <t>DISCIPLINARY &amp; PRIVACY, REASONABLE SEARCH</t>
  </si>
  <si>
    <t>2024-043001</t>
  </si>
  <si>
    <t>U RFA-P 24-87</t>
  </si>
  <si>
    <t>CH3830 VEHICLE</t>
  </si>
  <si>
    <t>2024-050801</t>
  </si>
  <si>
    <t>U RFA-P 24-88</t>
  </si>
  <si>
    <t>FOOTBALL RULES</t>
  </si>
  <si>
    <t>OTHER TEAMS</t>
  </si>
  <si>
    <t>2024-050802</t>
  </si>
  <si>
    <t>U RFA-P 24-89</t>
  </si>
  <si>
    <t>ETHICS PLEDGE</t>
  </si>
  <si>
    <t>KONA DIST. RECREATION DIRECTOR</t>
  </si>
  <si>
    <t>2024-050901</t>
  </si>
  <si>
    <t>U APPEAL 24-37</t>
  </si>
  <si>
    <t>AGENDAS, MINUTES</t>
  </si>
  <si>
    <t>HEALTHCARE ADVISORY CMTE</t>
  </si>
  <si>
    <t>2024-051001</t>
  </si>
  <si>
    <t>RECORDS IN "SYSTEM";</t>
  </si>
  <si>
    <t>2024-051002</t>
  </si>
  <si>
    <t>U APPEAL 24-38</t>
  </si>
  <si>
    <t>AGE AT HIRE;</t>
  </si>
  <si>
    <t>2024-051301</t>
  </si>
  <si>
    <t>OIP PROCEDURES</t>
  </si>
  <si>
    <t>RFA's</t>
  </si>
  <si>
    <t>2024-051302</t>
  </si>
  <si>
    <t>U RFA-P 24-90</t>
  </si>
  <si>
    <t>DISPATCH RECORDS</t>
  </si>
  <si>
    <t>NONFATAL HIKE FALL</t>
  </si>
  <si>
    <t>2024-051401</t>
  </si>
  <si>
    <t>U APPEAL 24-39</t>
  </si>
  <si>
    <t>ADMINISTRATIVE DIRECTIVES</t>
  </si>
  <si>
    <t>ANNOUNCEMENTS, INFO RELEASES</t>
  </si>
  <si>
    <t>2024-051402</t>
  </si>
  <si>
    <t>U RFA-P 24-91</t>
  </si>
  <si>
    <t>CHILD CARE FACILITIES</t>
  </si>
  <si>
    <t>LIST, 2000-PRESENT</t>
  </si>
  <si>
    <t>2024-051403</t>
  </si>
  <si>
    <t>U RFA-P 24-92</t>
  </si>
  <si>
    <t>TTD POLICY</t>
  </si>
  <si>
    <t>NON PAYMENT</t>
  </si>
  <si>
    <t>2024-051501</t>
  </si>
  <si>
    <t>U APPEAL 24-40</t>
  </si>
  <si>
    <t>TELECOM SVCS</t>
  </si>
  <si>
    <t>U RFA- P 24-67</t>
  </si>
  <si>
    <t>2024-051502</t>
  </si>
  <si>
    <t>U APPEAL 24-41</t>
  </si>
  <si>
    <t>LEGAL SECTION</t>
  </si>
  <si>
    <t>U RFA-P 24-34
CORR 2024-0322-01
ABANDONED</t>
  </si>
  <si>
    <t>2024-051701</t>
  </si>
  <si>
    <t>GROUP TEXTS</t>
  </si>
  <si>
    <t>2024-051702</t>
  </si>
  <si>
    <t>U RFA-P 24-93</t>
  </si>
  <si>
    <t>PROBATION FILE</t>
  </si>
  <si>
    <t>2024-052101</t>
  </si>
  <si>
    <t>S APPEAL 24-15</t>
  </si>
  <si>
    <t>2024-052102</t>
  </si>
  <si>
    <t>U APPEAL 24-42</t>
  </si>
  <si>
    <t>REPORT 24-004789</t>
  </si>
  <si>
    <t>POSSIBLE PROSECUTION</t>
  </si>
  <si>
    <t>2024-052201</t>
  </si>
  <si>
    <t>U RFA-P 24-94</t>
  </si>
  <si>
    <t>VENDOR LEASE DOCS</t>
  </si>
  <si>
    <t>2024-052202</t>
  </si>
  <si>
    <t>U RFA-P 24-95</t>
  </si>
  <si>
    <t>BOAT CRANE REPLACEMENT</t>
  </si>
  <si>
    <t>MAHUKONA</t>
  </si>
  <si>
    <t>2024-053001</t>
  </si>
  <si>
    <t>U APPEAL 24-43</t>
  </si>
  <si>
    <t>DOR</t>
  </si>
  <si>
    <t>U MEMO 25-14
U RFA-P 24-88</t>
  </si>
  <si>
    <t>2024-053002</t>
  </si>
  <si>
    <t>DOH-HSH</t>
  </si>
  <si>
    <t>COPY OF OIP LETTER</t>
  </si>
  <si>
    <t>RETURN ORIGINALS</t>
  </si>
  <si>
    <t>2024-053003</t>
  </si>
  <si>
    <t>U RFA-P 24-97</t>
  </si>
  <si>
    <t>704 REPORTS</t>
  </si>
  <si>
    <t>DRS. HUSSEIN &amp; PEDRO LETTERS</t>
  </si>
  <si>
    <t>2024-060301</t>
  </si>
  <si>
    <t>U RFA-P 24-98</t>
  </si>
  <si>
    <t>AIS</t>
  </si>
  <si>
    <t>8 PARCELS</t>
  </si>
  <si>
    <t>U APPEAL 24-44</t>
  </si>
  <si>
    <t>2024-060501</t>
  </si>
  <si>
    <t>RECON-G 24-1</t>
  </si>
  <si>
    <t>EMPLOYMENT PHOTOS</t>
  </si>
  <si>
    <t>U MEMO 24-10
U APPEAL 22-03</t>
  </si>
  <si>
    <t>2024-060601</t>
  </si>
  <si>
    <t>U RFA-P 24-99</t>
  </si>
  <si>
    <t>EMS BILLING DATA</t>
  </si>
  <si>
    <t>AMBULANCE DEPOSITS</t>
  </si>
  <si>
    <t>2024-060701</t>
  </si>
  <si>
    <t>U RFA-P 24-100</t>
  </si>
  <si>
    <t>BOARD PROCEDURES</t>
  </si>
  <si>
    <t>PETITIONS FROM PUBLIC</t>
  </si>
  <si>
    <t>2024-061201</t>
  </si>
  <si>
    <t>U RFA-P 24-101</t>
  </si>
  <si>
    <t>KALANIANAOLE IMPROVEMENTS</t>
  </si>
  <si>
    <t>FEE; INCREMENTS</t>
  </si>
  <si>
    <t>2024-061202</t>
  </si>
  <si>
    <t>U RFA-P 24-102</t>
  </si>
  <si>
    <t>PAHOA LAVA ZONE MUSEUM;</t>
  </si>
  <si>
    <t>COMMUNCATIONS RE: PROJECT</t>
  </si>
  <si>
    <t>2024-061203</t>
  </si>
  <si>
    <t>2024-061401</t>
  </si>
  <si>
    <t>U RFA-P 24-103</t>
  </si>
  <si>
    <t>OIBC MEETINGS</t>
  </si>
  <si>
    <t>2024-061701</t>
  </si>
  <si>
    <t>S APPEAL 24-16</t>
  </si>
  <si>
    <t>POSTING, SUFFICIENCY</t>
  </si>
  <si>
    <t>2024-061702</t>
  </si>
  <si>
    <t>U RFA-P 24-104</t>
  </si>
  <si>
    <t>LODGING CONTRACTS</t>
  </si>
  <si>
    <t>FIRE SURVIVORS</t>
  </si>
  <si>
    <t>2024-061801</t>
  </si>
  <si>
    <t>U RFA-P 24-105</t>
  </si>
  <si>
    <t>USE PERMIT; ASSESSMENT APPLICATIONS</t>
  </si>
  <si>
    <t>HU HONUA PLOT PLAN</t>
  </si>
  <si>
    <t>2024-061802</t>
  </si>
  <si>
    <t>U RFA-P 24-106</t>
  </si>
  <si>
    <t>MINOR POLICE REPORT</t>
  </si>
  <si>
    <t>IMPROPER CITATIONS</t>
  </si>
  <si>
    <t>2020-062401</t>
  </si>
  <si>
    <t>U RFA-P 24-107</t>
  </si>
  <si>
    <t>OATHS OF OFC; ETC.</t>
  </si>
  <si>
    <t>TRAFFIC INFRACTION</t>
  </si>
  <si>
    <t>2024-062402</t>
  </si>
  <si>
    <t>U RFA-P 24-108</t>
  </si>
  <si>
    <t>2024-062403</t>
  </si>
  <si>
    <t>U RFA-P 24-109</t>
  </si>
  <si>
    <t>2024-062404</t>
  </si>
  <si>
    <t>U RFA-P 24-110</t>
  </si>
  <si>
    <t>2024-062405</t>
  </si>
  <si>
    <t>U RFA-P 24-111</t>
  </si>
  <si>
    <t>2024-062406</t>
  </si>
  <si>
    <t>U RFA-P 24-112</t>
  </si>
  <si>
    <t>2024-062407</t>
  </si>
  <si>
    <t>U RFA-P 24-113</t>
  </si>
  <si>
    <t>2024-062701</t>
  </si>
  <si>
    <t>U APPEAL 24-45</t>
  </si>
  <si>
    <t>HOMESTEAD LAND GRANT</t>
  </si>
  <si>
    <t>ATTY-CLIENT; NOT MAINTAIN</t>
  </si>
  <si>
    <t>2024-070301</t>
  </si>
  <si>
    <t>U RFA-P 25-01</t>
  </si>
  <si>
    <t>CRIM. 89-0003</t>
  </si>
  <si>
    <t>2024-071201</t>
  </si>
  <si>
    <t>PAVING RECORDS</t>
  </si>
  <si>
    <t>FEES, INCREMENTS</t>
  </si>
  <si>
    <t>2024-071202</t>
  </si>
  <si>
    <t>U RFA-P 25-02</t>
  </si>
  <si>
    <t>SECURITY OFFICER RECORDS</t>
  </si>
  <si>
    <t>2024-071203</t>
  </si>
  <si>
    <t>U RFA-P 25-03</t>
  </si>
  <si>
    <t>HOUSING-H</t>
  </si>
  <si>
    <t>SOURCES OF FUNDS</t>
  </si>
  <si>
    <t>HOMELESS SERVICES</t>
  </si>
  <si>
    <t>2024-071601</t>
  </si>
  <si>
    <t>U RFA-P 25-04</t>
  </si>
  <si>
    <t>PROSECUTOR NOTES</t>
  </si>
  <si>
    <t>CRIM. NO. 89-0003</t>
  </si>
  <si>
    <t>2024-071801</t>
  </si>
  <si>
    <t>MEETING NOTICES</t>
  </si>
  <si>
    <t>2024-071802</t>
  </si>
  <si>
    <t>U RFA-P 25-05</t>
  </si>
  <si>
    <t>FY23 LOGS</t>
  </si>
  <si>
    <t>3 REQUESTS</t>
  </si>
  <si>
    <t>2024-071803</t>
  </si>
  <si>
    <t>U RFA-P 25-06</t>
  </si>
  <si>
    <t>CLERK-M</t>
  </si>
  <si>
    <t>2024-071804</t>
  </si>
  <si>
    <t>U RFA-P 25-07</t>
  </si>
  <si>
    <t>2024-071805</t>
  </si>
  <si>
    <t>U RFA-P 25-08</t>
  </si>
  <si>
    <t>LICQ-M</t>
  </si>
  <si>
    <t>2024-071806</t>
  </si>
  <si>
    <t>U RFA-P 25-09</t>
  </si>
  <si>
    <t>2024-071807</t>
  </si>
  <si>
    <t>U RFA-P 25-10</t>
  </si>
  <si>
    <t>2024-071808</t>
  </si>
  <si>
    <t>U RFA-P 25-11</t>
  </si>
  <si>
    <t>2024-071809</t>
  </si>
  <si>
    <t>U RFA-P 25-12</t>
  </si>
  <si>
    <t>2024-0712201</t>
  </si>
  <si>
    <t>U APPEAL 25-01</t>
  </si>
  <si>
    <t>MONK SEAL PUPRHS</t>
  </si>
  <si>
    <t>OPEN INVESTIGATION</t>
  </si>
  <si>
    <t>2024-072301</t>
  </si>
  <si>
    <t>U RFA-P 25-13</t>
  </si>
  <si>
    <t>HK MANAGEMENT</t>
  </si>
  <si>
    <t>2019 PROPOSALS</t>
  </si>
  <si>
    <t>2024-072302</t>
  </si>
  <si>
    <t>2024-072401</t>
  </si>
  <si>
    <t>U APPEAL 25-02</t>
  </si>
  <si>
    <t>TMK CHANGES</t>
  </si>
  <si>
    <t>2024-072901</t>
  </si>
  <si>
    <t>HUMAN TRAFFICKING</t>
  </si>
  <si>
    <t>WHERE TO REPORT</t>
  </si>
  <si>
    <t>2024-073101</t>
  </si>
  <si>
    <t>U RFA-P 25-14</t>
  </si>
  <si>
    <t>GEOTHERMAL RELOCATION FUND</t>
  </si>
  <si>
    <t>2024-073102</t>
  </si>
  <si>
    <t>U RFA-P 25-15</t>
  </si>
  <si>
    <t>WATER LINE BREAK RECORDS</t>
  </si>
  <si>
    <t>2024-080901</t>
  </si>
  <si>
    <t>"DAY OF JIHAD"</t>
  </si>
  <si>
    <t>2024-081201</t>
  </si>
  <si>
    <t>U APPEAL 25-03</t>
  </si>
  <si>
    <t>TRAFFIC STOP</t>
  </si>
  <si>
    <t>2024-081301</t>
  </si>
  <si>
    <t>REQUESTS FORWARDED TO OIP</t>
  </si>
  <si>
    <t>2024-081401</t>
  </si>
  <si>
    <t>U APPEAL 25-04</t>
  </si>
  <si>
    <t>SPONSORED BILLS</t>
  </si>
  <si>
    <t>RETRIEVABLE</t>
  </si>
  <si>
    <t>2024-081402</t>
  </si>
  <si>
    <t>CIVIL CLAIMS</t>
  </si>
  <si>
    <t>2024-081403</t>
  </si>
  <si>
    <t>U RFA-P 25-16</t>
  </si>
  <si>
    <t>KAHULUI TOWN CENTER PERMITS</t>
  </si>
  <si>
    <t>2024-082001</t>
  </si>
  <si>
    <t>EMAILS, ETC RE MEDQUEST</t>
  </si>
  <si>
    <t>AUTHORITY, RULES, ETC.</t>
  </si>
  <si>
    <t>2024-082201</t>
  </si>
  <si>
    <t>U RFA-P 25-17</t>
  </si>
  <si>
    <t>WAIKOLOA</t>
  </si>
  <si>
    <t>EMERGENCY EGRESS</t>
  </si>
  <si>
    <t>2024-082202</t>
  </si>
  <si>
    <t>U RFA-P 25-18</t>
  </si>
  <si>
    <t>WAIKOLOA HEIGHTS</t>
  </si>
  <si>
    <t>PLANNED UNIT DEV'T</t>
  </si>
  <si>
    <t>2024-082203</t>
  </si>
  <si>
    <t>U RFA-P 25-19</t>
  </si>
  <si>
    <t>2024-082204</t>
  </si>
  <si>
    <t>U RFA-P 25-20</t>
  </si>
  <si>
    <t>2024-082205</t>
  </si>
  <si>
    <t>U RFA-P 25-21</t>
  </si>
  <si>
    <t>2024-082206</t>
  </si>
  <si>
    <t>U RFA-P 25-22</t>
  </si>
  <si>
    <t>MASS NOTIFICATION SYSTEM</t>
  </si>
  <si>
    <t>PROPOSAL DOCS</t>
  </si>
  <si>
    <t>2024-082301</t>
  </si>
  <si>
    <t>U RFA-P 25-23</t>
  </si>
  <si>
    <t>TMK (3) 1-3-002-122-0000</t>
  </si>
  <si>
    <t>BUILDING VIOLATION COMPLAINTS</t>
  </si>
  <si>
    <t>2024-082302</t>
  </si>
  <si>
    <t>U APPEAL 25-5</t>
  </si>
  <si>
    <t>PROFESSIONAL LAND SURVEYORS</t>
  </si>
  <si>
    <t>SITS</t>
  </si>
  <si>
    <t>2024-082303</t>
  </si>
  <si>
    <t>S APPEAL 25-1</t>
  </si>
  <si>
    <t>ANNOUNCEMENTS</t>
  </si>
  <si>
    <t>2024-082601</t>
  </si>
  <si>
    <t>U APPEAL 25-06</t>
  </si>
  <si>
    <t>DIANE SUZUKI</t>
  </si>
  <si>
    <t>HOMICIDE INVESTIGATION</t>
  </si>
  <si>
    <t>2024-082602</t>
  </si>
  <si>
    <t>U APPEAL 25-07</t>
  </si>
  <si>
    <t>AUTHORIZATION, REGULATION</t>
  </si>
  <si>
    <t>REPRESENTATION OF DHS</t>
  </si>
  <si>
    <t>2024-082603</t>
  </si>
  <si>
    <t>U RFA-P 25-24</t>
  </si>
  <si>
    <t>SPEECH PATHOLOGIST LICENSE</t>
  </si>
  <si>
    <t>DATE RESTORED</t>
  </si>
  <si>
    <t>2024-082604</t>
  </si>
  <si>
    <t>U RFA-P 25-25</t>
  </si>
  <si>
    <t>STREET SWEEPING SCHEDULE</t>
  </si>
  <si>
    <t>2024-082605</t>
  </si>
  <si>
    <t>U RFA-P 25-26</t>
  </si>
  <si>
    <t>HONOKOHAU HARBOR</t>
  </si>
  <si>
    <t>VEHICLES IN WATER</t>
  </si>
  <si>
    <t>2024-082606</t>
  </si>
  <si>
    <t>U RFA-P 25-27</t>
  </si>
  <si>
    <t>OVERPAYMENTS</t>
  </si>
  <si>
    <t>SNAP DOCUMENTATION</t>
  </si>
  <si>
    <t>2024-082701</t>
  </si>
  <si>
    <t>HRS 92F-15.3 NOTICE</t>
  </si>
  <si>
    <t>HGEA V. DEP'T OF PUBLIC SAFETY, NO. 1CCV-21-1304</t>
  </si>
  <si>
    <t>2024-082902</t>
  </si>
  <si>
    <t>MAUI FIRE &amp; FACILITIES MAINT.</t>
  </si>
  <si>
    <t>2024-082903</t>
  </si>
  <si>
    <t>U RFA-P 25-28</t>
  </si>
  <si>
    <t>NEEDS &amp; STRENGTHS STUDY</t>
  </si>
  <si>
    <t>587A-43 REDACTED REPORT</t>
  </si>
  <si>
    <t>2024-083001</t>
  </si>
  <si>
    <t>U APPEAL 25-08</t>
  </si>
  <si>
    <t>WAIKOLOA PERMIT INFO</t>
  </si>
  <si>
    <t>ABANDONED
U RFA-P 25-19</t>
  </si>
  <si>
    <t>2024-090301</t>
  </si>
  <si>
    <t>U RFA-P 25-29</t>
  </si>
  <si>
    <t>NEXT REQUEST CONTRACT</t>
  </si>
  <si>
    <t>OUTSTANDING FEES</t>
  </si>
  <si>
    <t>2024-091201</t>
  </si>
  <si>
    <t>S APPEAL 25-02</t>
  </si>
  <si>
    <t>ZOOM LINK NOTICE</t>
  </si>
  <si>
    <t>CHAT DISABLED</t>
  </si>
  <si>
    <t>2024-091202</t>
  </si>
  <si>
    <t>RECORD REQUEST FORM</t>
  </si>
  <si>
    <t>2024-091203</t>
  </si>
  <si>
    <t>HONOLULU PROSECUTOR</t>
  </si>
  <si>
    <t>HONOLULU MAYOR</t>
  </si>
  <si>
    <t>2024-091302</t>
  </si>
  <si>
    <t>U RFA-P 25-30</t>
  </si>
  <si>
    <t>SPED RECORDS</t>
  </si>
  <si>
    <t>MANOA ELEMENTARY</t>
  </si>
  <si>
    <t>2024-091701</t>
  </si>
  <si>
    <t>U APPEAL 25-09</t>
  </si>
  <si>
    <t>CONTRACT RECORDS</t>
  </si>
  <si>
    <t>FEES, REDACTIONS</t>
  </si>
  <si>
    <t>2024-091801</t>
  </si>
  <si>
    <t>S APPEAL 25-03</t>
  </si>
  <si>
    <t>2 BUSINESS DAYS</t>
  </si>
  <si>
    <t>2024-091901</t>
  </si>
  <si>
    <t>U RFA-P 25-31</t>
  </si>
  <si>
    <t>REP ONISHI EMAILS</t>
  </si>
  <si>
    <t>COUNCILMEMBER LEE LOY</t>
  </si>
  <si>
    <t>2024-092301</t>
  </si>
  <si>
    <t>REQUEST TO ACCESS A GOV'E RECORD</t>
  </si>
  <si>
    <t>COPIES OF FORMS</t>
  </si>
  <si>
    <t>2024-092302</t>
  </si>
  <si>
    <t>U RFA-P 25-32</t>
  </si>
  <si>
    <t>N. SHORE TRIENNIAL PERMIT</t>
  </si>
  <si>
    <t>APPLICATIONS AND OTHER RECORDS</t>
  </si>
  <si>
    <t>2024-100101</t>
  </si>
  <si>
    <t>U RFA-P 25-33</t>
  </si>
  <si>
    <t>MAINTENANCE CREW</t>
  </si>
  <si>
    <t>NAMES</t>
  </si>
  <si>
    <t>2024-100201</t>
  </si>
  <si>
    <t>LOGS 7/1/23-6/30/24</t>
  </si>
  <si>
    <t>2024-101101</t>
  </si>
  <si>
    <t>U APPEAL 25-10</t>
  </si>
  <si>
    <t>INTERVIEW RECORDS</t>
  </si>
  <si>
    <t>GENERAL LABORER I POSITION</t>
  </si>
  <si>
    <t>2024-101102</t>
  </si>
  <si>
    <t>U RFA-P 25-34</t>
  </si>
  <si>
    <t>REPORT 603</t>
  </si>
  <si>
    <t>PRIOR AUTHORIZATIONS</t>
  </si>
  <si>
    <t>2024-101501</t>
  </si>
  <si>
    <t>S RFO-G 25-01</t>
  </si>
  <si>
    <t>INB-M</t>
  </si>
  <si>
    <t>BOARD APPLICATIONS</t>
  </si>
  <si>
    <t>2024-101601</t>
  </si>
  <si>
    <t>MEMOS, NOTES, PHONE MESSAGES</t>
  </si>
  <si>
    <t>VARIOUS INDIVIDUALS</t>
  </si>
  <si>
    <t>2024-101701</t>
  </si>
  <si>
    <t>U RFA-P 25-35</t>
  </si>
  <si>
    <t>DBEDT-OPSD</t>
  </si>
  <si>
    <t>GIS DASHBOARD AWARD</t>
  </si>
  <si>
    <t>HWN ESTUARIES VIEWER AWARD</t>
  </si>
  <si>
    <t>2024-101702</t>
  </si>
  <si>
    <t>DRAFT WORKING PAPERS</t>
  </si>
  <si>
    <t>2024-101703</t>
  </si>
  <si>
    <t>U RFA-P 25-36</t>
  </si>
  <si>
    <t>PROPOSAL AND CONTRACT</t>
  </si>
  <si>
    <t>2024-101801</t>
  </si>
  <si>
    <t>SL GUIDCE - NBS</t>
  </si>
  <si>
    <t>MAIL PAPER COPY</t>
  </si>
  <si>
    <t>2024-102101</t>
  </si>
  <si>
    <t>AGENDA COMPLAINT</t>
  </si>
  <si>
    <t>AOD TIF 407</t>
  </si>
  <si>
    <t>2024-102102</t>
  </si>
  <si>
    <t>2024-102201</t>
  </si>
  <si>
    <t>U RFA-P 25-37</t>
  </si>
  <si>
    <t>MOU</t>
  </si>
  <si>
    <t>CITIZENS REVIEW PANEL</t>
  </si>
  <si>
    <t>2024-102401</t>
  </si>
  <si>
    <t>U RFA-P 25-38</t>
  </si>
  <si>
    <t>FOOTAGE, REPORTS</t>
  </si>
  <si>
    <t>2024-102402</t>
  </si>
  <si>
    <t>U RFA-P 25-39</t>
  </si>
  <si>
    <t>LIST OF CASE NUMBERS</t>
  </si>
  <si>
    <t>PERSONAL INJURY CASES</t>
  </si>
  <si>
    <t>2024-102801</t>
  </si>
  <si>
    <t>U RFA-P 25-40</t>
  </si>
  <si>
    <t>WITH CHAIR LEE</t>
  </si>
  <si>
    <t>2024-102901</t>
  </si>
  <si>
    <t>U RFA-P 25-41</t>
  </si>
  <si>
    <t>HON. HARBOR RECORDS</t>
  </si>
  <si>
    <t>FALLS OF CLYDE</t>
  </si>
  <si>
    <t>2024-102902</t>
  </si>
  <si>
    <t>U APPEAL 25-11</t>
  </si>
  <si>
    <t>2024-103101</t>
  </si>
  <si>
    <t>2024-103102</t>
  </si>
  <si>
    <t>U RFA-P 25-42</t>
  </si>
  <si>
    <t>FIRE INCIDENT REPORT</t>
  </si>
  <si>
    <t>DESTROYED PROPERTY</t>
  </si>
  <si>
    <t>2024-110601</t>
  </si>
  <si>
    <t>COMPLAINANTS NAME</t>
  </si>
  <si>
    <t>NB AGENDA</t>
  </si>
  <si>
    <t>2024-110602</t>
  </si>
  <si>
    <t>S APPEAL 25-04</t>
  </si>
  <si>
    <t>2024-110603</t>
  </si>
  <si>
    <t>U RFA-P 25-43</t>
  </si>
  <si>
    <t>CUST SVCS-HON</t>
  </si>
  <si>
    <t>WASTEWATER SYSTEMS</t>
  </si>
  <si>
    <t>IMPROVEMENTS</t>
  </si>
  <si>
    <t>2024-110702</t>
  </si>
  <si>
    <t>U RFA-P 25-44</t>
  </si>
  <si>
    <t>PHOTOGRAPHY PERMITS</t>
  </si>
  <si>
    <t>RELEASE FORMS</t>
  </si>
  <si>
    <t>2024-110703</t>
  </si>
  <si>
    <t>U RFA-P 25-45</t>
  </si>
  <si>
    <t>DETERMINATION</t>
  </si>
  <si>
    <t>2024-110701</t>
  </si>
  <si>
    <t>SENTENCE COMMUTATION</t>
  </si>
  <si>
    <t>APPLICANT</t>
  </si>
  <si>
    <t>2024-111801</t>
  </si>
  <si>
    <t>U RFA-P 25-46</t>
  </si>
  <si>
    <t>BALLOT CHAIN OF CUSTODY</t>
  </si>
  <si>
    <t>DOCUMENTATION; PROCEDURES</t>
  </si>
  <si>
    <t>2024-111802</t>
  </si>
  <si>
    <t>U RFA-P 25-47</t>
  </si>
  <si>
    <t>2024-111803</t>
  </si>
  <si>
    <t>U RFA-P 25-48</t>
  </si>
  <si>
    <t>2024-111804</t>
  </si>
  <si>
    <t>U RFA-P 25-49</t>
  </si>
  <si>
    <t>2024-111805</t>
  </si>
  <si>
    <t>U RFA-P 25-50</t>
  </si>
  <si>
    <t>CLERK-K</t>
  </si>
  <si>
    <t>2024-111901</t>
  </si>
  <si>
    <t>U APPEAL 25-12</t>
  </si>
  <si>
    <t>EC CHAIR;</t>
  </si>
  <si>
    <t>COMMUNICATIONS W/AG</t>
  </si>
  <si>
    <t>2024-111902</t>
  </si>
  <si>
    <t>S APPEAL 25-05</t>
  </si>
  <si>
    <t>NB-HON</t>
  </si>
  <si>
    <t>NB13; EMAILS</t>
  </si>
  <si>
    <t>AMENDING AGENDA</t>
  </si>
  <si>
    <t>2024-112102</t>
  </si>
  <si>
    <t>GRAND JURY, TRIAL</t>
  </si>
  <si>
    <t>2024-112701</t>
  </si>
  <si>
    <t>U RFA-P 25-51</t>
  </si>
  <si>
    <t>CERTIFIED MAIL</t>
  </si>
  <si>
    <t>SIGNED RECEIPTS</t>
  </si>
  <si>
    <t>2024-120301</t>
  </si>
  <si>
    <t>S APPEAL 25-06</t>
  </si>
  <si>
    <t>DAGS-IPSC</t>
  </si>
  <si>
    <t>2024-120501</t>
  </si>
  <si>
    <t>U APPEAL 25-14</t>
  </si>
  <si>
    <t>CAAP AWARDS; NON-ADMIN RECORDS</t>
  </si>
  <si>
    <t>READILY RETREIVABLE</t>
  </si>
  <si>
    <t>2024-120302</t>
  </si>
  <si>
    <t>U APPEAL 25-13</t>
  </si>
  <si>
    <t>ADMINISTRATIVE CONTROL PART III</t>
  </si>
  <si>
    <t>2025-120502</t>
  </si>
  <si>
    <t>U APPEAL 25-15</t>
  </si>
  <si>
    <t>DLE</t>
  </si>
  <si>
    <t>SWIC POSITION</t>
  </si>
  <si>
    <t>RECRUITMENT DOCS.</t>
  </si>
  <si>
    <t>2024-120901</t>
  </si>
  <si>
    <t>U RFA-P 25-52</t>
  </si>
  <si>
    <t>REPORT #18-028288</t>
  </si>
  <si>
    <t>BWC RECORDINGS</t>
  </si>
  <si>
    <t>2024-120902</t>
  </si>
  <si>
    <t>U RFA-P 25-53</t>
  </si>
  <si>
    <t>CERTIFICATES OF OCCUPANCY</t>
  </si>
  <si>
    <t>BLDG. CODE VIOLATIONS</t>
  </si>
  <si>
    <t>2024-121601</t>
  </si>
  <si>
    <t>U RFA-P 25-54</t>
  </si>
  <si>
    <t>KOLOA VILLAGE</t>
  </si>
  <si>
    <t>VARIOUS PROJECTS</t>
  </si>
  <si>
    <t>2024-121602</t>
  </si>
  <si>
    <t>U RFA-P 25-55</t>
  </si>
  <si>
    <t>CORAL ADVENTURE PARK</t>
  </si>
  <si>
    <t>KALAELOA GUIDELINES</t>
  </si>
  <si>
    <t>2024-121603</t>
  </si>
  <si>
    <t>U APPEAL 25-16</t>
  </si>
  <si>
    <t>TO &amp; FROM EMPLOYEE</t>
  </si>
  <si>
    <t>2024-121801</t>
  </si>
  <si>
    <t>U RFA-P 25-56</t>
  </si>
  <si>
    <t>CREDENTIALING RECORDS</t>
  </si>
  <si>
    <t>RELATED COMMUNICATIONS</t>
  </si>
  <si>
    <t>2025-122701</t>
  </si>
  <si>
    <t>U RFA-P 25-57</t>
  </si>
  <si>
    <t>BRILLIANT MINDS MEDIA</t>
  </si>
  <si>
    <t>2024-122702</t>
  </si>
  <si>
    <t>U RFA-P 25-58</t>
  </si>
  <si>
    <t>WRITTEN STATEMENT</t>
  </si>
  <si>
    <t>SPITTING INCIDENT</t>
  </si>
  <si>
    <t>2024-123001</t>
  </si>
  <si>
    <t>S APPEAL 25-07</t>
  </si>
  <si>
    <t>8/27/24 MINUTES</t>
  </si>
  <si>
    <t>TRUE REFLECTION, MATTERS DISCUSSED</t>
  </si>
  <si>
    <t>2024-123101</t>
  </si>
  <si>
    <t>RECON-P 25-1</t>
  </si>
  <si>
    <t>U MEMO 25-14</t>
  </si>
  <si>
    <t>FOOTBALL PRACTICE RULES</t>
  </si>
  <si>
    <t>2024-123102</t>
  </si>
  <si>
    <t>3RD TRIAL TRANSCRIPTS</t>
  </si>
  <si>
    <t>COUNSEL SIGNATURE</t>
  </si>
  <si>
    <t>2024-123103</t>
  </si>
  <si>
    <t>DAGS/AG</t>
  </si>
  <si>
    <t>LEGAL REFERRAL</t>
  </si>
  <si>
    <t>DCR - FAILURE TO PROTECT</t>
  </si>
  <si>
    <t>2025-010201</t>
  </si>
  <si>
    <t>PENDING &amp; COMPLETED CASES</t>
  </si>
  <si>
    <t>DATA FIELDS</t>
  </si>
  <si>
    <t>2025-010202</t>
  </si>
  <si>
    <t>U APPEAL 25-17</t>
  </si>
  <si>
    <t>KOLOA VILLAGE RECORDS</t>
  </si>
  <si>
    <t>2026-010601</t>
  </si>
  <si>
    <t>FINAL RESOLUTION</t>
  </si>
  <si>
    <t>EXPERIMENTAL APPEALS</t>
  </si>
  <si>
    <t>2025-010602</t>
  </si>
  <si>
    <t>U RFA-P 25-59</t>
  </si>
  <si>
    <t>2025-010603</t>
  </si>
  <si>
    <t>U RFA-P 25-60</t>
  </si>
  <si>
    <t>VEHICLE ACCIDENT</t>
  </si>
  <si>
    <t>SOH_CORRECTIONS_REHABILITATION</t>
  </si>
  <si>
    <t>Office of Information Practices</t>
  </si>
  <si>
    <t>County Clerks</t>
  </si>
  <si>
    <t># of Major OIP Matters 2020 - 2024</t>
  </si>
  <si>
    <t># of Major OIP Matters From 2025</t>
  </si>
  <si>
    <t># of Major OIP Matters From 2025 (annualized 5-year)</t>
  </si>
  <si>
    <t>Avg # of Major OIP Matters Per Year 2020 - 2024</t>
  </si>
  <si>
    <t>Honolulu BFS</t>
  </si>
  <si>
    <t>Hawai`i DEM</t>
  </si>
  <si>
    <t>Kaua`i OCA</t>
  </si>
  <si>
    <t>Maui DEM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</si>
</sst>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dd\-mmm\-yy"/>
    <numFmt numFmtId="165" formatCode="[$-409]d\-mmm\-yy;@"/>
  </numFmts>
  <fonts count="31">
    <font>
      <sz val="11"/>
      <color theme="1"/>
      <name val="Calibri"/>
      <family val="2"/>
      <scheme val="minor"/>
    </font>
    <font>
      <b/>
      <sz val="8"/>
      <color rgb="FF000000"/>
      <name val="Arial"/>
      <family val="2"/>
    </font>
    <font>
      <sz val="8"/>
      <color rgb="FF000000"/>
      <name val="Arial"/>
      <family val="2"/>
    </font>
    <font>
      <u/>
      <sz val="11"/>
      <color theme="10"/>
      <name val="Calibri"/>
      <family val="2"/>
      <scheme val="minor"/>
    </font>
    <font>
      <u/>
      <sz val="11"/>
      <color theme="11"/>
      <name val="Calibri"/>
      <family val="2"/>
      <scheme val="minor"/>
    </font>
    <font>
      <sz val="8"/>
      <name val="Arial"/>
      <family val="2"/>
    </font>
    <font>
      <sz val="11"/>
      <name val="Calibri"/>
      <family val="2"/>
      <scheme val="minor"/>
    </font>
    <font>
      <b/>
      <sz val="9"/>
      <color indexed="81"/>
      <name val="Calibri"/>
      <family val="2"/>
    </font>
    <font>
      <b/>
      <sz val="11"/>
      <color theme="1"/>
      <name val="Calibri"/>
      <family val="2"/>
      <scheme val="minor"/>
    </font>
    <font>
      <sz val="9"/>
      <color indexed="81"/>
      <name val="Calibri"/>
      <family val="2"/>
    </font>
    <font>
      <b/>
      <sz val="11"/>
      <color rgb="FF000000"/>
      <name val="Calibri"/>
      <family val="2"/>
      <scheme val="minor"/>
    </font>
    <font>
      <sz val="10"/>
      <color indexed="81"/>
      <name val="Calibri"/>
      <family val="2"/>
    </font>
    <font>
      <b/>
      <sz val="10"/>
      <color indexed="81"/>
      <name val="Calibri"/>
      <family val="2"/>
    </font>
    <font>
      <sz val="10"/>
      <color indexed="8"/>
      <name val="Arial"/>
      <family val="2"/>
    </font>
    <font>
      <sz val="11"/>
      <color indexed="8"/>
      <name val="Calibri"/>
      <family val="2"/>
    </font>
    <font>
      <sz val="10"/>
      <color indexed="8"/>
      <name val="Calibri"/>
      <family val="2"/>
      <scheme val="minor"/>
    </font>
    <font>
      <sz val="12"/>
      <color rgb="FF000000"/>
      <name val="Calibri"/>
      <family val="2"/>
      <scheme val="minor"/>
    </font>
    <font>
      <b/>
      <sz val="9"/>
      <color rgb="FF000000"/>
      <name val="Calibri"/>
      <family val="2"/>
    </font>
    <font>
      <sz val="9"/>
      <color rgb="FF000000"/>
      <name val="Calibri"/>
      <family val="2"/>
    </font>
    <font>
      <sz val="10"/>
      <color rgb="FF000000"/>
      <name val="Tahoma"/>
      <family val="2"/>
    </font>
    <font>
      <b/>
      <sz val="10"/>
      <color rgb="FF000000"/>
      <name val="Tahoma"/>
      <family val="2"/>
    </font>
    <font>
      <b/>
      <sz val="10"/>
      <color rgb="FF000000"/>
      <name val="Calibri"/>
      <family val="2"/>
    </font>
    <font>
      <sz val="10"/>
      <color rgb="FF000000"/>
      <name val="Calibri"/>
      <family val="2"/>
    </font>
    <font>
      <sz val="8"/>
      <color rgb="FF000000"/>
      <name val="MS Sans Serif"/>
    </font>
    <font>
      <sz val="8"/>
      <color theme="1"/>
      <name val="Arial"/>
      <family val="2"/>
    </font>
    <font>
      <b/>
      <sz val="8"/>
      <color theme="1"/>
      <name val="Arial"/>
      <family val="2"/>
    </font>
    <font>
      <sz val="10"/>
      <color theme="1"/>
      <name val="Arial"/>
      <family val="2"/>
    </font>
    <font>
      <sz val="8"/>
      <color theme="1"/>
      <name val="Helvetica"/>
      <family val="2"/>
    </font>
    <font>
      <b/>
      <sz val="9"/>
      <color rgb="FF000000"/>
      <name val="Tahoma"/>
      <family val="2"/>
    </font>
    <font>
      <sz val="9"/>
      <color rgb="FF000000"/>
      <name val="Tahoma"/>
      <family val="2"/>
    </font>
    <font>
      <sz val="11"/>
      <color rgb="FF000000"/>
      <name val="Calibri"/>
      <family val="2"/>
      <scheme val="minor"/>
    </font>
  </fonts>
  <fills count="3">
    <fill>
      <patternFill patternType="none"/>
    </fill>
    <fill>
      <patternFill patternType="gray125"/>
    </fill>
    <fill>
      <patternFill patternType="solid">
        <fgColor rgb="FFFEFFFF"/>
        <bgColor rgb="FFFEFFFF"/>
      </patternFill>
    </fill>
  </fills>
  <borders count="7">
    <border>
      <left/>
      <right/>
      <top/>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62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3"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22">
    <xf numFmtId="0" fontId="0" fillId="0" borderId="0" xfId="0"/>
    <xf numFmtId="0" fontId="0" fillId="0" borderId="0" xfId="0" applyAlignment="1">
      <alignment wrapText="1"/>
    </xf>
    <xf numFmtId="0" fontId="8" fillId="0" borderId="0" xfId="0" applyFont="1" applyAlignment="1">
      <alignment horizontal="center" wrapText="1"/>
    </xf>
    <xf numFmtId="0" fontId="8" fillId="0" borderId="0" xfId="0" applyFont="1" applyAlignment="1">
      <alignment horizontal="center"/>
    </xf>
    <xf numFmtId="8" fontId="0" fillId="0" borderId="0" xfId="0" applyNumberFormat="1"/>
    <xf numFmtId="0" fontId="8" fillId="0" borderId="0" xfId="0" applyFont="1"/>
    <xf numFmtId="0" fontId="10" fillId="0" borderId="0" xfId="0" applyFont="1" applyAlignment="1">
      <alignment horizontal="center" wrapText="1"/>
    </xf>
    <xf numFmtId="10" fontId="0" fillId="0" borderId="0" xfId="0" applyNumberFormat="1"/>
    <xf numFmtId="1" fontId="0" fillId="0" borderId="0" xfId="0" applyNumberFormat="1"/>
    <xf numFmtId="0" fontId="0" fillId="0" borderId="0" xfId="0" applyAlignment="1">
      <alignment horizontal="right" wrapText="1"/>
    </xf>
    <xf numFmtId="0" fontId="0" fillId="0" borderId="0" xfId="0" applyAlignment="1">
      <alignment horizontal="center"/>
    </xf>
    <xf numFmtId="10" fontId="6" fillId="0" borderId="0" xfId="0" applyNumberFormat="1" applyFont="1"/>
    <xf numFmtId="0" fontId="6" fillId="0" borderId="0" xfId="0" applyFont="1"/>
    <xf numFmtId="0" fontId="0" fillId="0" borderId="4" xfId="0" applyBorder="1"/>
    <xf numFmtId="0" fontId="16" fillId="0" borderId="0" xfId="0" applyFont="1"/>
    <xf numFmtId="8" fontId="16" fillId="0" borderId="0" xfId="0" applyNumberFormat="1" applyFont="1"/>
    <xf numFmtId="3" fontId="16" fillId="0" borderId="0" xfId="0" applyNumberFormat="1" applyFont="1"/>
    <xf numFmtId="4" fontId="16" fillId="0" borderId="0" xfId="0" applyNumberFormat="1" applyFont="1"/>
    <xf numFmtId="0" fontId="0" fillId="0" borderId="2" xfId="0" applyBorder="1"/>
    <xf numFmtId="15" fontId="0" fillId="0" borderId="2" xfId="0" applyNumberFormat="1" applyBorder="1"/>
    <xf numFmtId="4" fontId="0" fillId="0" borderId="0" xfId="0" applyNumberFormat="1"/>
    <xf numFmtId="3" fontId="0" fillId="0" borderId="0" xfId="0" applyNumberFormat="1"/>
    <xf numFmtId="0" fontId="0" fillId="0" borderId="1" xfId="0" applyBorder="1"/>
    <xf numFmtId="15" fontId="0" fillId="0" borderId="1" xfId="0" applyNumberFormat="1" applyBorder="1"/>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2" fillId="0" borderId="2" xfId="0" applyFont="1" applyBorder="1" applyAlignment="1">
      <alignment horizontal="right" vertical="center" wrapText="1"/>
    </xf>
    <xf numFmtId="164" fontId="2" fillId="0" borderId="2" xfId="0" applyNumberFormat="1" applyFont="1" applyBorder="1" applyAlignment="1">
      <alignment horizontal="right" vertical="center" wrapText="1"/>
    </xf>
    <xf numFmtId="0" fontId="2" fillId="0" borderId="2" xfId="0" applyFont="1" applyBorder="1" applyAlignment="1">
      <alignment vertical="center" wrapText="1"/>
    </xf>
    <xf numFmtId="164" fontId="2" fillId="0" borderId="0" xfId="0" applyNumberFormat="1" applyFont="1" applyAlignment="1">
      <alignment horizontal="right" vertical="center" wrapText="1"/>
    </xf>
    <xf numFmtId="0" fontId="5" fillId="0" borderId="2" xfId="0" applyFont="1" applyBorder="1" applyAlignment="1">
      <alignment horizontal="right" vertical="center" wrapText="1"/>
    </xf>
    <xf numFmtId="164" fontId="5" fillId="0" borderId="2" xfId="0" applyNumberFormat="1" applyFont="1" applyBorder="1" applyAlignment="1">
      <alignment horizontal="right" vertical="center" wrapText="1"/>
    </xf>
    <xf numFmtId="0" fontId="5" fillId="0" borderId="2" xfId="0" applyFont="1" applyBorder="1" applyAlignment="1">
      <alignment vertical="center" wrapText="1"/>
    </xf>
    <xf numFmtId="0" fontId="14" fillId="0" borderId="2" xfId="611" applyFont="1" applyBorder="1" applyAlignment="1">
      <alignment horizontal="right" wrapText="1"/>
    </xf>
    <xf numFmtId="164" fontId="14" fillId="0" borderId="2" xfId="611" applyNumberFormat="1" applyFont="1" applyBorder="1" applyAlignment="1">
      <alignment horizontal="right" wrapText="1"/>
    </xf>
    <xf numFmtId="0" fontId="14" fillId="0" borderId="2" xfId="611" applyFont="1" applyBorder="1" applyAlignment="1">
      <alignment wrapText="1"/>
    </xf>
    <xf numFmtId="0" fontId="13" fillId="0" borderId="0" xfId="611"/>
    <xf numFmtId="0" fontId="2" fillId="0" borderId="0" xfId="0" applyFont="1" applyAlignment="1">
      <alignment vertical="center" wrapText="1"/>
    </xf>
    <xf numFmtId="0" fontId="23" fillId="2" borderId="2" xfId="0" applyFont="1" applyFill="1" applyBorder="1" applyAlignment="1">
      <alignment horizontal="right" vertical="center" wrapText="1"/>
    </xf>
    <xf numFmtId="164" fontId="23" fillId="2" borderId="2" xfId="0" applyNumberFormat="1" applyFont="1" applyFill="1" applyBorder="1" applyAlignment="1">
      <alignment horizontal="right" vertical="center" wrapText="1"/>
    </xf>
    <xf numFmtId="0" fontId="23" fillId="2" borderId="2" xfId="0" applyFont="1" applyFill="1" applyBorder="1" applyAlignment="1">
      <alignment vertical="center" wrapText="1"/>
    </xf>
    <xf numFmtId="0" fontId="23" fillId="0" borderId="2" xfId="0" applyFont="1" applyBorder="1" applyAlignment="1">
      <alignment vertical="center" wrapText="1"/>
    </xf>
    <xf numFmtId="0" fontId="23" fillId="0" borderId="2" xfId="0" applyFont="1" applyBorder="1" applyAlignment="1">
      <alignment horizontal="right" vertical="center" wrapText="1"/>
    </xf>
    <xf numFmtId="0" fontId="2" fillId="0" borderId="0" xfId="0" applyFont="1" applyAlignment="1">
      <alignment horizontal="right" vertical="center" wrapText="1"/>
    </xf>
    <xf numFmtId="0" fontId="23" fillId="0" borderId="0" xfId="0" applyFont="1" applyAlignment="1">
      <alignment horizontal="right" vertical="center" wrapText="1"/>
    </xf>
    <xf numFmtId="164" fontId="23" fillId="2" borderId="0" xfId="0" applyNumberFormat="1" applyFont="1" applyFill="1" applyAlignment="1">
      <alignment horizontal="right" vertical="center" wrapText="1"/>
    </xf>
    <xf numFmtId="0" fontId="23" fillId="2" borderId="0" xfId="0" applyFont="1" applyFill="1" applyAlignment="1">
      <alignment vertical="center" wrapText="1"/>
    </xf>
    <xf numFmtId="0" fontId="2" fillId="0" borderId="4" xfId="0" applyFont="1" applyBorder="1" applyAlignment="1">
      <alignment horizontal="right" vertical="center" wrapText="1"/>
    </xf>
    <xf numFmtId="164" fontId="2" fillId="0" borderId="4" xfId="0" applyNumberFormat="1" applyFont="1" applyBorder="1" applyAlignment="1">
      <alignment horizontal="right" vertical="center" wrapText="1"/>
    </xf>
    <xf numFmtId="0" fontId="2" fillId="0" borderId="4" xfId="0" applyFont="1" applyBorder="1" applyAlignment="1">
      <alignment vertical="center" wrapText="1"/>
    </xf>
    <xf numFmtId="0" fontId="23" fillId="2" borderId="4" xfId="0" applyFont="1" applyFill="1" applyBorder="1" applyAlignment="1">
      <alignment horizontal="right" vertical="center" wrapText="1"/>
    </xf>
    <xf numFmtId="164" fontId="23" fillId="2" borderId="4" xfId="0" applyNumberFormat="1" applyFont="1" applyFill="1" applyBorder="1" applyAlignment="1">
      <alignment horizontal="right" vertical="center" wrapText="1"/>
    </xf>
    <xf numFmtId="0" fontId="23" fillId="2" borderId="4" xfId="0" applyFont="1" applyFill="1" applyBorder="1" applyAlignment="1">
      <alignment vertical="center" wrapText="1"/>
    </xf>
    <xf numFmtId="0" fontId="23" fillId="0" borderId="4" xfId="0" applyFont="1" applyBorder="1" applyAlignment="1">
      <alignment vertical="center" wrapText="1"/>
    </xf>
    <xf numFmtId="0" fontId="23" fillId="0" borderId="4" xfId="0" applyFont="1" applyBorder="1" applyAlignment="1">
      <alignment horizontal="right" vertical="center" wrapText="1"/>
    </xf>
    <xf numFmtId="0" fontId="14" fillId="0" borderId="4" xfId="611" applyFont="1" applyBorder="1" applyAlignment="1">
      <alignment horizontal="right" wrapText="1"/>
    </xf>
    <xf numFmtId="164" fontId="14" fillId="0" borderId="4" xfId="611" applyNumberFormat="1" applyFont="1" applyBorder="1" applyAlignment="1">
      <alignment horizontal="right" wrapText="1"/>
    </xf>
    <xf numFmtId="0" fontId="14" fillId="0" borderId="4" xfId="611" applyFont="1" applyBorder="1" applyAlignment="1">
      <alignment wrapText="1"/>
    </xf>
    <xf numFmtId="0" fontId="15" fillId="0" borderId="0" xfId="611" applyFont="1" applyAlignment="1">
      <alignment wrapText="1"/>
    </xf>
    <xf numFmtId="0" fontId="2" fillId="0" borderId="1" xfId="0" applyFont="1" applyBorder="1" applyAlignment="1">
      <alignment horizontal="right" vertical="center" wrapText="1"/>
    </xf>
    <xf numFmtId="164" fontId="2" fillId="0" borderId="1" xfId="0" applyNumberFormat="1" applyFont="1" applyBorder="1" applyAlignment="1">
      <alignment horizontal="right" vertical="center" wrapText="1"/>
    </xf>
    <xf numFmtId="0" fontId="2" fillId="0" borderId="1" xfId="0" applyFont="1" applyBorder="1" applyAlignment="1">
      <alignment vertical="center" wrapText="1"/>
    </xf>
    <xf numFmtId="164" fontId="23" fillId="2" borderId="1" xfId="0" applyNumberFormat="1" applyFont="1" applyFill="1" applyBorder="1" applyAlignment="1">
      <alignment horizontal="right" vertical="center" wrapText="1"/>
    </xf>
    <xf numFmtId="0" fontId="23" fillId="2" borderId="1" xfId="0" applyFont="1" applyFill="1" applyBorder="1" applyAlignment="1">
      <alignment vertical="center" wrapText="1"/>
    </xf>
    <xf numFmtId="0" fontId="23" fillId="2" borderId="1" xfId="0" applyFont="1" applyFill="1" applyBorder="1" applyAlignment="1">
      <alignment horizontal="right" vertical="center" wrapText="1"/>
    </xf>
    <xf numFmtId="0" fontId="23" fillId="0" borderId="1" xfId="0" applyFont="1" applyBorder="1" applyAlignment="1">
      <alignment vertical="center" wrapText="1"/>
    </xf>
    <xf numFmtId="0" fontId="23" fillId="0" borderId="1" xfId="0" applyFont="1" applyBorder="1" applyAlignment="1">
      <alignment horizontal="right" vertical="center" wrapText="1"/>
    </xf>
    <xf numFmtId="0" fontId="15" fillId="0" borderId="1" xfId="611" applyFont="1" applyBorder="1" applyAlignment="1">
      <alignment wrapText="1"/>
    </xf>
    <xf numFmtId="0" fontId="23" fillId="2" borderId="0" xfId="0" applyFont="1" applyFill="1" applyAlignment="1">
      <alignment horizontal="right" vertical="center" wrapText="1"/>
    </xf>
    <xf numFmtId="0" fontId="23" fillId="0" borderId="0" xfId="0" applyFont="1" applyAlignment="1">
      <alignment vertical="center" wrapText="1"/>
    </xf>
    <xf numFmtId="0" fontId="25" fillId="0" borderId="0" xfId="0" applyFont="1"/>
    <xf numFmtId="0" fontId="24" fillId="0" borderId="0" xfId="0" applyFont="1"/>
    <xf numFmtId="15" fontId="24" fillId="0" borderId="0" xfId="0" applyNumberFormat="1" applyFont="1"/>
    <xf numFmtId="14" fontId="24" fillId="0" borderId="0" xfId="0" applyNumberFormat="1" applyFont="1"/>
    <xf numFmtId="0" fontId="24" fillId="0" borderId="2" xfId="0" applyFont="1" applyBorder="1"/>
    <xf numFmtId="15" fontId="24" fillId="0" borderId="2" xfId="0" applyNumberFormat="1" applyFont="1" applyBorder="1"/>
    <xf numFmtId="17" fontId="24" fillId="0" borderId="0" xfId="0" applyNumberFormat="1" applyFont="1"/>
    <xf numFmtId="15" fontId="0" fillId="0" borderId="0" xfId="0" applyNumberFormat="1"/>
    <xf numFmtId="0" fontId="26" fillId="0" borderId="0" xfId="0" applyFont="1"/>
    <xf numFmtId="0" fontId="27" fillId="0" borderId="0" xfId="0" applyFont="1"/>
    <xf numFmtId="15" fontId="27" fillId="0" borderId="0" xfId="0" applyNumberFormat="1" applyFont="1"/>
    <xf numFmtId="15" fontId="27" fillId="0" borderId="2" xfId="0" applyNumberFormat="1" applyFont="1" applyBorder="1"/>
    <xf numFmtId="0" fontId="27" fillId="0" borderId="2" xfId="0" applyFont="1" applyBorder="1"/>
    <xf numFmtId="0" fontId="24" fillId="0" borderId="4" xfId="0" applyFont="1" applyBorder="1"/>
    <xf numFmtId="15" fontId="24" fillId="0" borderId="4" xfId="0" applyNumberFormat="1" applyFont="1" applyBorder="1"/>
    <xf numFmtId="0" fontId="27" fillId="0" borderId="4" xfId="0" applyFont="1" applyBorder="1"/>
    <xf numFmtId="15" fontId="27" fillId="0" borderId="4" xfId="0" applyNumberFormat="1" applyFont="1" applyBorder="1"/>
    <xf numFmtId="15" fontId="0" fillId="0" borderId="4" xfId="0" applyNumberFormat="1" applyBorder="1"/>
    <xf numFmtId="0" fontId="6" fillId="0" borderId="0" xfId="0" applyFont="1" applyAlignment="1">
      <alignment wrapText="1"/>
    </xf>
    <xf numFmtId="165" fontId="0" fillId="0" borderId="0" xfId="0" applyNumberFormat="1"/>
    <xf numFmtId="165" fontId="0" fillId="0" borderId="1" xfId="0" applyNumberFormat="1" applyBorder="1"/>
    <xf numFmtId="165" fontId="1" fillId="0" borderId="1" xfId="0" applyNumberFormat="1" applyFont="1" applyBorder="1" applyAlignment="1">
      <alignment horizontal="center" vertical="center"/>
    </xf>
    <xf numFmtId="165" fontId="2" fillId="0" borderId="2" xfId="0" applyNumberFormat="1" applyFont="1" applyBorder="1" applyAlignment="1">
      <alignment horizontal="right" vertical="center" wrapText="1"/>
    </xf>
    <xf numFmtId="165" fontId="5" fillId="0" borderId="2" xfId="0" applyNumberFormat="1" applyFont="1" applyBorder="1" applyAlignment="1">
      <alignment horizontal="right" vertical="center" wrapText="1"/>
    </xf>
    <xf numFmtId="165" fontId="2" fillId="0" borderId="0" xfId="0" applyNumberFormat="1" applyFont="1" applyAlignment="1">
      <alignment horizontal="right" vertical="center" wrapText="1"/>
    </xf>
    <xf numFmtId="165" fontId="13" fillId="0" borderId="2" xfId="611" applyNumberFormat="1" applyBorder="1"/>
    <xf numFmtId="165" fontId="14" fillId="0" borderId="2" xfId="611" applyNumberFormat="1" applyFont="1" applyBorder="1" applyAlignment="1">
      <alignment horizontal="right" wrapText="1"/>
    </xf>
    <xf numFmtId="165" fontId="14" fillId="0" borderId="0" xfId="611" applyNumberFormat="1" applyFont="1" applyAlignment="1">
      <alignment horizontal="right" wrapText="1"/>
    </xf>
    <xf numFmtId="165" fontId="0" fillId="0" borderId="2" xfId="0" applyNumberFormat="1" applyBorder="1"/>
    <xf numFmtId="165" fontId="13" fillId="0" borderId="0" xfId="611" applyNumberFormat="1"/>
    <xf numFmtId="165" fontId="23" fillId="2" borderId="2" xfId="0" applyNumberFormat="1" applyFont="1" applyFill="1" applyBorder="1" applyAlignment="1">
      <alignment horizontal="right" vertical="center" wrapText="1"/>
    </xf>
    <xf numFmtId="165" fontId="23" fillId="2" borderId="0" xfId="0" applyNumberFormat="1" applyFont="1" applyFill="1" applyAlignment="1">
      <alignment horizontal="right" vertical="center" wrapText="1"/>
    </xf>
    <xf numFmtId="165" fontId="2" fillId="0" borderId="4" xfId="0" applyNumberFormat="1" applyFont="1" applyBorder="1" applyAlignment="1">
      <alignment horizontal="right" vertical="center" wrapText="1"/>
    </xf>
    <xf numFmtId="165" fontId="13" fillId="0" borderId="4" xfId="611" applyNumberFormat="1" applyBorder="1"/>
    <xf numFmtId="165" fontId="23" fillId="2" borderId="4" xfId="0" applyNumberFormat="1" applyFont="1" applyFill="1" applyBorder="1" applyAlignment="1">
      <alignment horizontal="right" vertical="center" wrapText="1"/>
    </xf>
    <xf numFmtId="165" fontId="14" fillId="0" borderId="4" xfId="611" applyNumberFormat="1" applyFont="1" applyBorder="1" applyAlignment="1">
      <alignment horizontal="right" wrapText="1"/>
    </xf>
    <xf numFmtId="165" fontId="0" fillId="0" borderId="4" xfId="0" applyNumberFormat="1" applyBorder="1"/>
    <xf numFmtId="165" fontId="2" fillId="0" borderId="1" xfId="0" applyNumberFormat="1" applyFont="1" applyBorder="1" applyAlignment="1">
      <alignment horizontal="right" vertical="center" wrapText="1"/>
    </xf>
    <xf numFmtId="165" fontId="23" fillId="2" borderId="1" xfId="0" applyNumberFormat="1" applyFont="1" applyFill="1" applyBorder="1" applyAlignment="1">
      <alignment horizontal="right" vertical="center" wrapText="1"/>
    </xf>
    <xf numFmtId="0" fontId="30" fillId="0" borderId="0" xfId="0" applyFont="1"/>
    <xf numFmtId="165" fontId="15" fillId="0" borderId="0" xfId="611" applyNumberFormat="1" applyFont="1"/>
    <xf numFmtId="0" fontId="0" fillId="0" borderId="0" xfId="0" applyAlignment="1">
      <alignment horizontal="left" wrapText="1"/>
    </xf>
    <xf numFmtId="0" fontId="14" fillId="0" borderId="1" xfId="611" applyFont="1" applyBorder="1" applyAlignment="1">
      <alignment horizontal="right" wrapText="1"/>
    </xf>
    <xf numFmtId="0" fontId="23" fillId="2" borderId="6" xfId="0" applyFont="1" applyFill="1" applyBorder="1" applyAlignment="1">
      <alignment vertical="center" wrapText="1"/>
    </xf>
    <xf numFmtId="164" fontId="15" fillId="0" borderId="2" xfId="611" applyNumberFormat="1" applyFont="1" applyBorder="1" applyAlignment="1">
      <alignment horizontal="right" wrapText="1"/>
    </xf>
    <xf numFmtId="0" fontId="15" fillId="0" borderId="2" xfId="611" applyFont="1" applyBorder="1" applyAlignment="1">
      <alignment wrapText="1"/>
    </xf>
    <xf numFmtId="0" fontId="6" fillId="0" borderId="2" xfId="0" applyFont="1" applyBorder="1"/>
    <xf numFmtId="0" fontId="13" fillId="0" borderId="4" xfId="611" applyBorder="1"/>
    <xf numFmtId="165" fontId="15" fillId="0" borderId="2" xfId="611" applyNumberFormat="1" applyFont="1" applyBorder="1"/>
    <xf numFmtId="165" fontId="0" fillId="0" borderId="5" xfId="0" applyNumberFormat="1" applyBorder="1"/>
    <xf numFmtId="165" fontId="15" fillId="0" borderId="1" xfId="611" applyNumberFormat="1" applyFont="1" applyBorder="1"/>
    <xf numFmtId="165" fontId="15" fillId="0" borderId="2" xfId="611" applyNumberFormat="1" applyFont="1" applyBorder="1" applyAlignment="1">
      <alignment horizontal="right" wrapText="1"/>
    </xf>
  </cellXfs>
  <cellStyles count="62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Normal" xfId="0" builtinId="0"/>
    <cellStyle name="Normal_Sheet1" xfId="611" xr:uid="{00000000-0005-0000-0000-00006F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L15" dT="2025-09-12T02:11:02.52" personId="{00000000-0000-0000-0000-000000000000}" id="{007295D4-3BCE-E04E-82CB-799269FB036F}">
    <text>Maui FIN did not complete the form properly.</text>
  </threadedComment>
  <threadedComment ref="CL48" dT="2025-05-02T01:24:21.15" personId="{00000000-0000-0000-0000-000000000000}" id="{50438304-60E3-764A-802E-D7CCF554C2DF}">
    <text>Maui PW did not properly complete the form.</text>
  </threadedComment>
  <threadedComment ref="CL49" dT="2025-09-12T02:03:22.77" personId="{00000000-0000-0000-0000-000000000000}" id="{C70D8FC3-29B7-5C4A-904F-E205DE4650D0}">
    <text>Kauai PW did not properly complete the form.</text>
  </threadedComment>
  <threadedComment ref="CL92" dT="2025-09-12T02:02:24.23" personId="{00000000-0000-0000-0000-000000000000}" id="{CF9A10FA-8B8F-A448-AF9E-CBF135556655}">
    <text>DHRD did not properly complete the form.</text>
  </threadedComment>
</ThreadedComment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064"/>
  <sheetViews>
    <sheetView workbookViewId="0"/>
  </sheetViews>
  <sheetFormatPr baseColWidth="10" defaultColWidth="8.83203125" defaultRowHeight="15"/>
  <cols>
    <col min="1" max="1" width="16.83203125" customWidth="1"/>
    <col min="2" max="2" width="10.1640625" bestFit="1" customWidth="1"/>
    <col min="3" max="3" width="9.1640625" customWidth="1"/>
    <col min="4" max="4" width="10.1640625" bestFit="1" customWidth="1"/>
    <col min="5" max="5" width="11.5" customWidth="1"/>
    <col min="6" max="6" width="12" customWidth="1"/>
    <col min="7" max="7" width="3.5" customWidth="1"/>
    <col min="8" max="8" width="3" customWidth="1"/>
    <col min="9" max="9" width="4.6640625" customWidth="1"/>
    <col min="10" max="10" width="27.5" customWidth="1"/>
    <col min="11" max="11" width="28.83203125" customWidth="1"/>
    <col min="12" max="12" width="8.5" bestFit="1" customWidth="1"/>
    <col min="13" max="13" width="7.83203125" customWidth="1"/>
    <col min="14" max="14" width="9.1640625" customWidth="1"/>
    <col min="15" max="16" width="9.83203125" customWidth="1"/>
    <col min="17" max="17" width="12.1640625" customWidth="1"/>
  </cols>
  <sheetData>
    <row r="1" spans="1:18">
      <c r="A1" s="24" t="s">
        <v>0</v>
      </c>
      <c r="B1" s="24" t="s">
        <v>1</v>
      </c>
      <c r="C1" s="24" t="s">
        <v>2</v>
      </c>
      <c r="D1" s="24" t="s">
        <v>3</v>
      </c>
      <c r="E1" s="24" t="s">
        <v>4</v>
      </c>
      <c r="F1" s="24" t="s">
        <v>5</v>
      </c>
      <c r="G1" s="24" t="s">
        <v>6</v>
      </c>
      <c r="H1" s="24" t="s">
        <v>7</v>
      </c>
      <c r="I1" s="24" t="s">
        <v>8</v>
      </c>
      <c r="J1" s="24" t="s">
        <v>9</v>
      </c>
      <c r="K1" s="24" t="s">
        <v>10</v>
      </c>
      <c r="L1" s="24" t="s">
        <v>11</v>
      </c>
      <c r="M1" s="24" t="s">
        <v>12</v>
      </c>
      <c r="N1" s="24" t="s">
        <v>13</v>
      </c>
      <c r="O1" s="91" t="s">
        <v>14</v>
      </c>
      <c r="P1" s="24" t="s">
        <v>15</v>
      </c>
      <c r="Q1" s="24" t="s">
        <v>16</v>
      </c>
      <c r="R1" s="25" t="s">
        <v>16792</v>
      </c>
    </row>
    <row r="2" spans="1:18" ht="24">
      <c r="A2" s="26">
        <v>6931</v>
      </c>
      <c r="B2" s="27">
        <v>32486</v>
      </c>
      <c r="C2" s="28" t="s">
        <v>8384</v>
      </c>
      <c r="D2" s="27">
        <v>32483</v>
      </c>
      <c r="E2" s="28" t="s">
        <v>8385</v>
      </c>
      <c r="F2" s="28" t="s">
        <v>2146</v>
      </c>
      <c r="G2" s="28" t="s">
        <v>20</v>
      </c>
      <c r="H2" s="28" t="s">
        <v>189</v>
      </c>
      <c r="I2" s="28" t="s">
        <v>189</v>
      </c>
      <c r="J2" s="28" t="s">
        <v>8386</v>
      </c>
      <c r="K2" s="28" t="s">
        <v>21</v>
      </c>
      <c r="L2" s="28" t="s">
        <v>30</v>
      </c>
      <c r="M2" s="28" t="s">
        <v>21</v>
      </c>
      <c r="N2" s="18"/>
      <c r="O2" s="92">
        <v>32854</v>
      </c>
      <c r="P2" s="28" t="s">
        <v>21</v>
      </c>
      <c r="Q2" s="26" t="b">
        <v>0</v>
      </c>
      <c r="R2" s="22">
        <f t="shared" ref="R2:R65" si="0">IF(O2=" ", " ", INT(YEARFRAC(O2, B2)*365))</f>
        <v>368</v>
      </c>
    </row>
    <row r="3" spans="1:18" ht="24">
      <c r="A3" s="26">
        <v>6554</v>
      </c>
      <c r="B3" s="27">
        <v>32496</v>
      </c>
      <c r="C3" s="28" t="s">
        <v>7588</v>
      </c>
      <c r="D3" s="27">
        <v>32496</v>
      </c>
      <c r="E3" s="28" t="s">
        <v>7589</v>
      </c>
      <c r="F3" s="28" t="s">
        <v>7580</v>
      </c>
      <c r="G3" s="28" t="s">
        <v>20</v>
      </c>
      <c r="H3" s="28" t="s">
        <v>21</v>
      </c>
      <c r="I3" s="28" t="s">
        <v>21</v>
      </c>
      <c r="J3" s="28" t="s">
        <v>7590</v>
      </c>
      <c r="K3" s="28" t="s">
        <v>7591</v>
      </c>
      <c r="L3" s="28" t="s">
        <v>30</v>
      </c>
      <c r="M3" s="28" t="s">
        <v>21</v>
      </c>
      <c r="N3" s="18"/>
      <c r="O3" s="92">
        <v>32806</v>
      </c>
      <c r="P3" s="28" t="s">
        <v>21</v>
      </c>
      <c r="Q3" s="26" t="b">
        <v>0</v>
      </c>
      <c r="R3" s="22">
        <f t="shared" si="0"/>
        <v>310</v>
      </c>
    </row>
    <row r="4" spans="1:18" ht="24">
      <c r="A4" s="26">
        <v>6552</v>
      </c>
      <c r="B4" s="27">
        <v>32612</v>
      </c>
      <c r="C4" s="28" t="s">
        <v>7583</v>
      </c>
      <c r="D4" s="27">
        <v>32611</v>
      </c>
      <c r="E4" s="28" t="s">
        <v>7584</v>
      </c>
      <c r="F4" s="28" t="s">
        <v>7580</v>
      </c>
      <c r="G4" s="28" t="s">
        <v>20</v>
      </c>
      <c r="H4" s="28" t="s">
        <v>21</v>
      </c>
      <c r="I4" s="28" t="s">
        <v>21</v>
      </c>
      <c r="J4" s="28" t="s">
        <v>7585</v>
      </c>
      <c r="K4" s="28" t="s">
        <v>21</v>
      </c>
      <c r="L4" s="28" t="s">
        <v>30</v>
      </c>
      <c r="M4" s="28" t="s">
        <v>21</v>
      </c>
      <c r="N4" s="18"/>
      <c r="O4" s="92">
        <v>32925</v>
      </c>
      <c r="P4" s="28" t="s">
        <v>21</v>
      </c>
      <c r="Q4" s="26" t="b">
        <v>0</v>
      </c>
      <c r="R4" s="22">
        <f t="shared" si="0"/>
        <v>311</v>
      </c>
    </row>
    <row r="5" spans="1:18">
      <c r="A5" s="26">
        <v>6486</v>
      </c>
      <c r="B5" s="27">
        <v>32622</v>
      </c>
      <c r="C5" s="28" t="s">
        <v>7395</v>
      </c>
      <c r="D5" s="27">
        <v>32619</v>
      </c>
      <c r="E5" s="28" t="s">
        <v>7396</v>
      </c>
      <c r="F5" s="28" t="s">
        <v>39</v>
      </c>
      <c r="G5" s="28" t="s">
        <v>20</v>
      </c>
      <c r="H5" s="28" t="s">
        <v>21</v>
      </c>
      <c r="I5" s="28" t="s">
        <v>21</v>
      </c>
      <c r="J5" s="28" t="s">
        <v>7397</v>
      </c>
      <c r="K5" s="28" t="s">
        <v>21</v>
      </c>
      <c r="L5" s="28" t="s">
        <v>36</v>
      </c>
      <c r="M5" s="28" t="s">
        <v>21</v>
      </c>
      <c r="O5" s="92">
        <v>32832</v>
      </c>
      <c r="P5" s="28" t="s">
        <v>21</v>
      </c>
      <c r="Q5" s="26" t="b">
        <v>0</v>
      </c>
      <c r="R5" s="22">
        <f t="shared" si="0"/>
        <v>208</v>
      </c>
    </row>
    <row r="6" spans="1:18">
      <c r="A6" s="26">
        <v>6933</v>
      </c>
      <c r="B6" s="27">
        <v>32646</v>
      </c>
      <c r="C6" s="28" t="s">
        <v>8391</v>
      </c>
      <c r="D6" s="27">
        <v>32644</v>
      </c>
      <c r="E6" s="28" t="s">
        <v>1110</v>
      </c>
      <c r="F6" s="28" t="s">
        <v>3171</v>
      </c>
      <c r="G6" s="28" t="s">
        <v>20</v>
      </c>
      <c r="H6" s="28" t="s">
        <v>566</v>
      </c>
      <c r="I6" s="28" t="s">
        <v>566</v>
      </c>
      <c r="J6" s="28" t="s">
        <v>8392</v>
      </c>
      <c r="K6" s="28" t="s">
        <v>21</v>
      </c>
      <c r="L6" s="28" t="s">
        <v>24</v>
      </c>
      <c r="M6" s="28" t="s">
        <v>21</v>
      </c>
      <c r="N6" s="18"/>
      <c r="O6" s="92">
        <v>33519</v>
      </c>
      <c r="P6" s="28" t="s">
        <v>21</v>
      </c>
      <c r="Q6" s="26" t="b">
        <v>0</v>
      </c>
      <c r="R6" s="22">
        <f t="shared" si="0"/>
        <v>871</v>
      </c>
    </row>
    <row r="7" spans="1:18">
      <c r="A7" s="26">
        <v>7017</v>
      </c>
      <c r="B7" s="27">
        <v>32654</v>
      </c>
      <c r="C7" s="28" t="s">
        <v>8528</v>
      </c>
      <c r="D7" s="27">
        <v>32654</v>
      </c>
      <c r="E7" s="28" t="s">
        <v>8529</v>
      </c>
      <c r="F7" s="28" t="s">
        <v>359</v>
      </c>
      <c r="G7" s="28" t="s">
        <v>20</v>
      </c>
      <c r="H7" s="28" t="s">
        <v>21</v>
      </c>
      <c r="I7" s="28" t="s">
        <v>21</v>
      </c>
      <c r="J7" s="28" t="s">
        <v>8530</v>
      </c>
      <c r="K7" s="28" t="s">
        <v>8531</v>
      </c>
      <c r="L7" s="28" t="s">
        <v>8532</v>
      </c>
      <c r="M7" s="28" t="s">
        <v>21</v>
      </c>
      <c r="N7" s="18"/>
      <c r="O7" s="92">
        <v>32702</v>
      </c>
      <c r="P7" s="28" t="s">
        <v>21</v>
      </c>
      <c r="Q7" s="26" t="b">
        <v>0</v>
      </c>
      <c r="R7" s="22">
        <f t="shared" si="0"/>
        <v>47</v>
      </c>
    </row>
    <row r="8" spans="1:18" ht="24">
      <c r="A8" s="26">
        <v>6958</v>
      </c>
      <c r="B8" s="27">
        <v>32666</v>
      </c>
      <c r="C8" s="28" t="s">
        <v>8459</v>
      </c>
      <c r="D8" s="27">
        <v>32666</v>
      </c>
      <c r="E8" s="28" t="s">
        <v>8460</v>
      </c>
      <c r="F8" s="28" t="s">
        <v>70</v>
      </c>
      <c r="G8" s="28" t="s">
        <v>20</v>
      </c>
      <c r="H8" s="28" t="s">
        <v>71</v>
      </c>
      <c r="I8" s="28" t="s">
        <v>72</v>
      </c>
      <c r="J8" s="28" t="s">
        <v>8461</v>
      </c>
      <c r="K8" s="28" t="s">
        <v>21</v>
      </c>
      <c r="L8" s="28" t="s">
        <v>30</v>
      </c>
      <c r="M8" s="28" t="s">
        <v>21</v>
      </c>
      <c r="N8" s="18"/>
      <c r="O8" s="92">
        <v>32869</v>
      </c>
      <c r="P8" s="28" t="s">
        <v>31</v>
      </c>
      <c r="Q8" s="26" t="b">
        <v>0</v>
      </c>
      <c r="R8" s="22">
        <f t="shared" si="0"/>
        <v>202</v>
      </c>
    </row>
    <row r="9" spans="1:18">
      <c r="A9" s="26">
        <v>7016</v>
      </c>
      <c r="B9" s="27">
        <v>32667</v>
      </c>
      <c r="C9" s="28" t="s">
        <v>8524</v>
      </c>
      <c r="D9" s="27">
        <v>32666</v>
      </c>
      <c r="E9" s="28" t="s">
        <v>8525</v>
      </c>
      <c r="F9" s="28" t="s">
        <v>52</v>
      </c>
      <c r="G9" s="28" t="s">
        <v>20</v>
      </c>
      <c r="H9" s="28" t="s">
        <v>21</v>
      </c>
      <c r="I9" s="28" t="s">
        <v>21</v>
      </c>
      <c r="J9" s="28" t="s">
        <v>8526</v>
      </c>
      <c r="K9" s="28" t="s">
        <v>8527</v>
      </c>
      <c r="L9" s="28" t="s">
        <v>30</v>
      </c>
      <c r="M9" s="28" t="s">
        <v>21</v>
      </c>
      <c r="N9" s="18"/>
      <c r="O9" s="92">
        <v>32913</v>
      </c>
      <c r="P9" s="28" t="s">
        <v>21</v>
      </c>
      <c r="Q9" s="26" t="b">
        <v>0</v>
      </c>
      <c r="R9" s="22">
        <f t="shared" si="0"/>
        <v>244</v>
      </c>
    </row>
    <row r="10" spans="1:18" ht="24">
      <c r="A10" s="26">
        <v>6553</v>
      </c>
      <c r="B10" s="27">
        <v>32674</v>
      </c>
      <c r="C10" s="28" t="s">
        <v>7586</v>
      </c>
      <c r="D10" s="27">
        <v>32674</v>
      </c>
      <c r="E10" s="28" t="s">
        <v>7587</v>
      </c>
      <c r="F10" s="28" t="s">
        <v>7580</v>
      </c>
      <c r="G10" s="28" t="s">
        <v>20</v>
      </c>
      <c r="H10" s="28" t="s">
        <v>21</v>
      </c>
      <c r="I10" s="28" t="s">
        <v>21</v>
      </c>
      <c r="J10" s="28" t="s">
        <v>7585</v>
      </c>
      <c r="K10" s="28" t="s">
        <v>21</v>
      </c>
      <c r="L10" s="28" t="s">
        <v>30</v>
      </c>
      <c r="M10" s="28" t="s">
        <v>21</v>
      </c>
      <c r="O10" s="92">
        <v>32925</v>
      </c>
      <c r="P10" s="28" t="s">
        <v>21</v>
      </c>
      <c r="Q10" s="26" t="b">
        <v>0</v>
      </c>
      <c r="R10" s="22">
        <f t="shared" si="0"/>
        <v>249</v>
      </c>
    </row>
    <row r="11" spans="1:18" ht="24">
      <c r="A11" s="26">
        <v>6932</v>
      </c>
      <c r="B11" s="27">
        <v>32675</v>
      </c>
      <c r="C11" s="28" t="s">
        <v>8387</v>
      </c>
      <c r="D11" s="27">
        <v>32672</v>
      </c>
      <c r="E11" s="28" t="s">
        <v>8388</v>
      </c>
      <c r="F11" s="28" t="s">
        <v>689</v>
      </c>
      <c r="G11" s="28" t="s">
        <v>20</v>
      </c>
      <c r="H11" s="28" t="s">
        <v>212</v>
      </c>
      <c r="I11" s="28" t="s">
        <v>212</v>
      </c>
      <c r="J11" s="28" t="s">
        <v>8389</v>
      </c>
      <c r="K11" s="28" t="s">
        <v>8390</v>
      </c>
      <c r="L11" s="28" t="s">
        <v>24</v>
      </c>
      <c r="M11" s="28" t="s">
        <v>21</v>
      </c>
      <c r="N11" s="18"/>
      <c r="O11" s="92">
        <v>33830</v>
      </c>
      <c r="P11" s="28" t="s">
        <v>21</v>
      </c>
      <c r="Q11" s="26" t="b">
        <v>0</v>
      </c>
      <c r="R11" s="22">
        <f t="shared" si="0"/>
        <v>1153</v>
      </c>
    </row>
    <row r="12" spans="1:18">
      <c r="A12" s="26">
        <v>6479</v>
      </c>
      <c r="B12" s="27">
        <v>32678</v>
      </c>
      <c r="C12" s="28" t="s">
        <v>7383</v>
      </c>
      <c r="D12" s="27">
        <v>32678</v>
      </c>
      <c r="E12" s="28" t="s">
        <v>7384</v>
      </c>
      <c r="F12" s="28" t="s">
        <v>306</v>
      </c>
      <c r="G12" s="28" t="s">
        <v>20</v>
      </c>
      <c r="H12" s="28" t="s">
        <v>21</v>
      </c>
      <c r="I12" s="28" t="s">
        <v>21</v>
      </c>
      <c r="J12" s="28" t="s">
        <v>7385</v>
      </c>
      <c r="K12" s="28" t="s">
        <v>21</v>
      </c>
      <c r="L12" s="28" t="s">
        <v>30</v>
      </c>
      <c r="M12" s="28" t="s">
        <v>21</v>
      </c>
      <c r="N12" s="18"/>
      <c r="O12" s="92">
        <v>33477</v>
      </c>
      <c r="P12" s="28" t="s">
        <v>21</v>
      </c>
      <c r="Q12" s="26" t="b">
        <v>0</v>
      </c>
      <c r="R12" s="22">
        <f t="shared" si="0"/>
        <v>798</v>
      </c>
    </row>
    <row r="13" spans="1:18">
      <c r="A13" s="26">
        <v>6505</v>
      </c>
      <c r="B13" s="27">
        <v>32678</v>
      </c>
      <c r="C13" s="28" t="s">
        <v>7383</v>
      </c>
      <c r="D13" s="27">
        <v>32678</v>
      </c>
      <c r="E13" s="28" t="s">
        <v>7451</v>
      </c>
      <c r="F13" s="28" t="s">
        <v>216</v>
      </c>
      <c r="G13" s="28" t="s">
        <v>20</v>
      </c>
      <c r="H13" s="28" t="s">
        <v>21</v>
      </c>
      <c r="I13" s="28" t="s">
        <v>21</v>
      </c>
      <c r="J13" s="28" t="s">
        <v>7452</v>
      </c>
      <c r="K13" s="28" t="s">
        <v>21</v>
      </c>
      <c r="L13" s="28" t="s">
        <v>24</v>
      </c>
      <c r="M13" s="28" t="s">
        <v>21</v>
      </c>
      <c r="O13" s="92">
        <v>32821</v>
      </c>
      <c r="P13" s="28" t="s">
        <v>21</v>
      </c>
      <c r="Q13" s="26" t="b">
        <v>0</v>
      </c>
      <c r="R13" s="22">
        <f t="shared" si="0"/>
        <v>141</v>
      </c>
    </row>
    <row r="14" spans="1:18">
      <c r="A14" s="26">
        <v>6957</v>
      </c>
      <c r="B14" s="27">
        <v>32682</v>
      </c>
      <c r="C14" s="28" t="s">
        <v>8456</v>
      </c>
      <c r="D14" s="27">
        <v>32682</v>
      </c>
      <c r="E14" s="28" t="s">
        <v>8457</v>
      </c>
      <c r="F14" s="28" t="s">
        <v>70</v>
      </c>
      <c r="G14" s="28" t="s">
        <v>20</v>
      </c>
      <c r="H14" s="28" t="s">
        <v>71</v>
      </c>
      <c r="I14" s="28" t="s">
        <v>72</v>
      </c>
      <c r="J14" s="28" t="s">
        <v>8458</v>
      </c>
      <c r="K14" s="28" t="s">
        <v>21</v>
      </c>
      <c r="L14" s="28" t="s">
        <v>36</v>
      </c>
      <c r="M14" s="28" t="s">
        <v>21</v>
      </c>
      <c r="N14" s="18"/>
      <c r="O14" s="92">
        <v>33144</v>
      </c>
      <c r="P14" s="28" t="s">
        <v>21</v>
      </c>
      <c r="Q14" s="26" t="b">
        <v>0</v>
      </c>
      <c r="R14" s="22">
        <f t="shared" si="0"/>
        <v>461</v>
      </c>
    </row>
    <row r="15" spans="1:18">
      <c r="A15" s="26">
        <v>6480</v>
      </c>
      <c r="B15" s="27">
        <v>32692</v>
      </c>
      <c r="C15" s="28" t="s">
        <v>7386</v>
      </c>
      <c r="D15" s="27">
        <v>32688</v>
      </c>
      <c r="E15" s="28" t="s">
        <v>7387</v>
      </c>
      <c r="F15" s="28" t="s">
        <v>306</v>
      </c>
      <c r="G15" s="28" t="s">
        <v>20</v>
      </c>
      <c r="H15" s="28" t="s">
        <v>21</v>
      </c>
      <c r="I15" s="28" t="s">
        <v>21</v>
      </c>
      <c r="J15" s="28" t="s">
        <v>7388</v>
      </c>
      <c r="K15" s="28" t="s">
        <v>7389</v>
      </c>
      <c r="L15" s="28" t="s">
        <v>36</v>
      </c>
      <c r="M15" s="28" t="s">
        <v>21</v>
      </c>
      <c r="O15" s="92">
        <v>32962</v>
      </c>
      <c r="P15" s="28" t="s">
        <v>31</v>
      </c>
      <c r="Q15" s="26" t="b">
        <v>0</v>
      </c>
      <c r="R15" s="22">
        <f t="shared" si="0"/>
        <v>270</v>
      </c>
    </row>
    <row r="16" spans="1:18">
      <c r="A16" s="26">
        <v>6525</v>
      </c>
      <c r="B16" s="27">
        <v>32692</v>
      </c>
      <c r="C16" s="28" t="s">
        <v>7510</v>
      </c>
      <c r="D16" s="27">
        <v>32689</v>
      </c>
      <c r="E16" s="28" t="s">
        <v>7511</v>
      </c>
      <c r="F16" s="28" t="s">
        <v>85</v>
      </c>
      <c r="G16" s="28" t="s">
        <v>20</v>
      </c>
      <c r="H16" s="28" t="s">
        <v>21</v>
      </c>
      <c r="I16" s="28" t="s">
        <v>21</v>
      </c>
      <c r="J16" s="28" t="s">
        <v>7512</v>
      </c>
      <c r="K16" s="28" t="s">
        <v>21</v>
      </c>
      <c r="L16" s="28" t="s">
        <v>82</v>
      </c>
      <c r="M16" s="28" t="s">
        <v>21</v>
      </c>
      <c r="O16" s="92">
        <v>33277</v>
      </c>
      <c r="P16" s="28" t="s">
        <v>31</v>
      </c>
      <c r="Q16" s="26" t="b">
        <v>0</v>
      </c>
      <c r="R16" s="22">
        <f t="shared" si="0"/>
        <v>582</v>
      </c>
    </row>
    <row r="17" spans="1:18">
      <c r="A17" s="26">
        <v>6527</v>
      </c>
      <c r="B17" s="27">
        <v>32692</v>
      </c>
      <c r="C17" s="28" t="s">
        <v>7515</v>
      </c>
      <c r="D17" s="27">
        <v>32689</v>
      </c>
      <c r="E17" s="28" t="s">
        <v>7516</v>
      </c>
      <c r="F17" s="28" t="s">
        <v>85</v>
      </c>
      <c r="G17" s="28" t="s">
        <v>20</v>
      </c>
      <c r="H17" s="28" t="s">
        <v>21</v>
      </c>
      <c r="I17" s="28" t="s">
        <v>21</v>
      </c>
      <c r="J17" s="28" t="s">
        <v>7517</v>
      </c>
      <c r="K17" s="28" t="s">
        <v>21</v>
      </c>
      <c r="L17" s="28" t="s">
        <v>36</v>
      </c>
      <c r="M17" s="28" t="s">
        <v>21</v>
      </c>
      <c r="N17" s="18"/>
      <c r="O17" s="92">
        <v>32762</v>
      </c>
      <c r="P17" s="28" t="s">
        <v>21</v>
      </c>
      <c r="Q17" s="26" t="b">
        <v>0</v>
      </c>
      <c r="R17" s="22">
        <f t="shared" si="0"/>
        <v>68</v>
      </c>
    </row>
    <row r="18" spans="1:18">
      <c r="A18" s="26">
        <v>6956</v>
      </c>
      <c r="B18" s="27">
        <v>32695</v>
      </c>
      <c r="C18" s="28" t="s">
        <v>8453</v>
      </c>
      <c r="D18" s="27">
        <v>32694</v>
      </c>
      <c r="E18" s="28" t="s">
        <v>8454</v>
      </c>
      <c r="F18" s="28" t="s">
        <v>70</v>
      </c>
      <c r="G18" s="28" t="s">
        <v>20</v>
      </c>
      <c r="H18" s="28" t="s">
        <v>71</v>
      </c>
      <c r="I18" s="28" t="s">
        <v>72</v>
      </c>
      <c r="J18" s="28" t="s">
        <v>8455</v>
      </c>
      <c r="K18" s="28" t="s">
        <v>21</v>
      </c>
      <c r="L18" s="28" t="s">
        <v>36</v>
      </c>
      <c r="M18" s="28" t="s">
        <v>21</v>
      </c>
      <c r="N18" s="18"/>
      <c r="O18" s="92">
        <v>33149</v>
      </c>
      <c r="P18" s="28" t="s">
        <v>31</v>
      </c>
      <c r="Q18" s="26" t="b">
        <v>0</v>
      </c>
      <c r="R18" s="22">
        <f t="shared" si="0"/>
        <v>453</v>
      </c>
    </row>
    <row r="19" spans="1:18">
      <c r="A19" s="26">
        <v>6951</v>
      </c>
      <c r="B19" s="27">
        <v>32696</v>
      </c>
      <c r="C19" s="28" t="s">
        <v>8435</v>
      </c>
      <c r="D19" s="27">
        <v>32694</v>
      </c>
      <c r="E19" s="28" t="s">
        <v>8436</v>
      </c>
      <c r="F19" s="28" t="s">
        <v>999</v>
      </c>
      <c r="G19" s="28" t="s">
        <v>20</v>
      </c>
      <c r="H19" s="28" t="s">
        <v>71</v>
      </c>
      <c r="I19" s="28" t="s">
        <v>72</v>
      </c>
      <c r="J19" s="28" t="s">
        <v>8437</v>
      </c>
      <c r="K19" s="28" t="s">
        <v>21</v>
      </c>
      <c r="L19" s="28" t="s">
        <v>30</v>
      </c>
      <c r="M19" s="28" t="s">
        <v>21</v>
      </c>
      <c r="O19" s="92">
        <v>33603</v>
      </c>
      <c r="P19" s="28" t="s">
        <v>21</v>
      </c>
      <c r="Q19" s="26" t="b">
        <v>0</v>
      </c>
      <c r="R19" s="22">
        <f t="shared" si="0"/>
        <v>906</v>
      </c>
    </row>
    <row r="20" spans="1:18">
      <c r="A20" s="26">
        <v>6953</v>
      </c>
      <c r="B20" s="27">
        <v>32696</v>
      </c>
      <c r="C20" s="28" t="s">
        <v>8442</v>
      </c>
      <c r="D20" s="27">
        <v>32695</v>
      </c>
      <c r="E20" s="28" t="s">
        <v>8443</v>
      </c>
      <c r="F20" s="28" t="s">
        <v>1414</v>
      </c>
      <c r="G20" s="28" t="s">
        <v>20</v>
      </c>
      <c r="H20" s="28" t="s">
        <v>71</v>
      </c>
      <c r="I20" s="28" t="s">
        <v>72</v>
      </c>
      <c r="J20" s="28" t="s">
        <v>8444</v>
      </c>
      <c r="K20" s="28" t="s">
        <v>8445</v>
      </c>
      <c r="L20" s="28" t="s">
        <v>30</v>
      </c>
      <c r="M20" s="28" t="s">
        <v>21</v>
      </c>
      <c r="N20" s="18"/>
      <c r="O20" s="92">
        <v>32876</v>
      </c>
      <c r="P20" s="28" t="s">
        <v>21</v>
      </c>
      <c r="Q20" s="26" t="b">
        <v>0</v>
      </c>
      <c r="R20" s="22">
        <f t="shared" si="0"/>
        <v>178</v>
      </c>
    </row>
    <row r="21" spans="1:18">
      <c r="A21" s="26">
        <v>6952</v>
      </c>
      <c r="B21" s="27">
        <v>32703</v>
      </c>
      <c r="C21" s="28" t="s">
        <v>8438</v>
      </c>
      <c r="D21" s="27">
        <v>32700</v>
      </c>
      <c r="E21" s="28" t="s">
        <v>8439</v>
      </c>
      <c r="F21" s="28" t="s">
        <v>8440</v>
      </c>
      <c r="G21" s="28" t="s">
        <v>20</v>
      </c>
      <c r="H21" s="28" t="s">
        <v>71</v>
      </c>
      <c r="I21" s="28" t="s">
        <v>72</v>
      </c>
      <c r="J21" s="28" t="s">
        <v>8441</v>
      </c>
      <c r="K21" s="28" t="s">
        <v>21</v>
      </c>
      <c r="L21" s="28" t="s">
        <v>30</v>
      </c>
      <c r="M21" s="28" t="s">
        <v>21</v>
      </c>
      <c r="N21" s="18"/>
      <c r="O21" s="92">
        <v>33603</v>
      </c>
      <c r="P21" s="28" t="s">
        <v>21</v>
      </c>
      <c r="Q21" s="26" t="b">
        <v>0</v>
      </c>
      <c r="R21" s="22">
        <f t="shared" si="0"/>
        <v>899</v>
      </c>
    </row>
    <row r="22" spans="1:18">
      <c r="A22" s="26">
        <v>6955</v>
      </c>
      <c r="B22" s="27">
        <v>32707</v>
      </c>
      <c r="C22" s="28" t="s">
        <v>8449</v>
      </c>
      <c r="D22" s="27">
        <v>32706</v>
      </c>
      <c r="E22" s="28" t="s">
        <v>8450</v>
      </c>
      <c r="F22" s="28" t="s">
        <v>70</v>
      </c>
      <c r="G22" s="28" t="s">
        <v>20</v>
      </c>
      <c r="H22" s="28" t="s">
        <v>71</v>
      </c>
      <c r="I22" s="28" t="s">
        <v>72</v>
      </c>
      <c r="J22" s="28" t="s">
        <v>8451</v>
      </c>
      <c r="K22" s="28" t="s">
        <v>8452</v>
      </c>
      <c r="L22" s="28" t="s">
        <v>24</v>
      </c>
      <c r="M22" s="28" t="s">
        <v>21</v>
      </c>
      <c r="O22" s="92">
        <v>33261</v>
      </c>
      <c r="P22" s="28" t="s">
        <v>31</v>
      </c>
      <c r="Q22" s="26" t="b">
        <v>0</v>
      </c>
      <c r="R22" s="22">
        <f t="shared" si="0"/>
        <v>552</v>
      </c>
    </row>
    <row r="23" spans="1:18" ht="24">
      <c r="A23" s="26">
        <v>6598</v>
      </c>
      <c r="B23" s="27">
        <v>32709</v>
      </c>
      <c r="C23" s="28" t="s">
        <v>7654</v>
      </c>
      <c r="D23" s="27">
        <v>32708</v>
      </c>
      <c r="E23" s="28" t="s">
        <v>7655</v>
      </c>
      <c r="F23" s="28" t="s">
        <v>1111</v>
      </c>
      <c r="G23" s="28" t="s">
        <v>20</v>
      </c>
      <c r="H23" s="28" t="s">
        <v>21</v>
      </c>
      <c r="I23" s="28" t="s">
        <v>21</v>
      </c>
      <c r="J23" s="28" t="s">
        <v>7656</v>
      </c>
      <c r="K23" s="28" t="s">
        <v>21</v>
      </c>
      <c r="L23" s="28" t="s">
        <v>7657</v>
      </c>
      <c r="M23" s="28" t="s">
        <v>21</v>
      </c>
      <c r="N23" s="18"/>
      <c r="O23" s="92">
        <v>33765</v>
      </c>
      <c r="P23" s="28" t="s">
        <v>21</v>
      </c>
      <c r="Q23" s="26" t="b">
        <v>0</v>
      </c>
      <c r="R23" s="22">
        <f t="shared" si="0"/>
        <v>1054</v>
      </c>
    </row>
    <row r="24" spans="1:18">
      <c r="A24" s="26">
        <v>6600</v>
      </c>
      <c r="B24" s="27">
        <v>32713</v>
      </c>
      <c r="C24" s="28" t="s">
        <v>7659</v>
      </c>
      <c r="D24" s="27">
        <v>32708</v>
      </c>
      <c r="E24" s="28" t="s">
        <v>7660</v>
      </c>
      <c r="F24" s="28" t="s">
        <v>104</v>
      </c>
      <c r="G24" s="28" t="s">
        <v>20</v>
      </c>
      <c r="H24" s="28" t="s">
        <v>21</v>
      </c>
      <c r="I24" s="28" t="s">
        <v>21</v>
      </c>
      <c r="J24" s="28" t="s">
        <v>7661</v>
      </c>
      <c r="K24" s="28" t="s">
        <v>7662</v>
      </c>
      <c r="L24" s="28" t="s">
        <v>7663</v>
      </c>
      <c r="M24" s="28" t="s">
        <v>21</v>
      </c>
      <c r="O24" s="92">
        <v>32987</v>
      </c>
      <c r="P24" s="28" t="s">
        <v>21</v>
      </c>
      <c r="Q24" s="26" t="b">
        <v>0</v>
      </c>
      <c r="R24" s="22">
        <f t="shared" si="0"/>
        <v>273</v>
      </c>
    </row>
    <row r="25" spans="1:18" ht="24">
      <c r="A25" s="26">
        <v>6522</v>
      </c>
      <c r="B25" s="27">
        <v>32716</v>
      </c>
      <c r="C25" s="28" t="s">
        <v>7501</v>
      </c>
      <c r="D25" s="27">
        <v>32715</v>
      </c>
      <c r="E25" s="28" t="s">
        <v>7502</v>
      </c>
      <c r="F25" s="28" t="s">
        <v>242</v>
      </c>
      <c r="G25" s="28" t="s">
        <v>20</v>
      </c>
      <c r="H25" s="28" t="s">
        <v>21</v>
      </c>
      <c r="I25" s="28" t="s">
        <v>21</v>
      </c>
      <c r="J25" s="28" t="s">
        <v>7503</v>
      </c>
      <c r="K25" s="28" t="s">
        <v>21</v>
      </c>
      <c r="L25" s="28" t="s">
        <v>30</v>
      </c>
      <c r="M25" s="28" t="s">
        <v>21</v>
      </c>
      <c r="O25" s="92">
        <v>33073</v>
      </c>
      <c r="P25" s="28" t="s">
        <v>31</v>
      </c>
      <c r="Q25" s="26" t="b">
        <v>0</v>
      </c>
      <c r="R25" s="22">
        <f t="shared" si="0"/>
        <v>356</v>
      </c>
    </row>
    <row r="26" spans="1:18" ht="24">
      <c r="A26" s="26">
        <v>6930</v>
      </c>
      <c r="B26" s="27">
        <v>32717</v>
      </c>
      <c r="C26" s="28" t="s">
        <v>2949</v>
      </c>
      <c r="D26" s="27">
        <v>32714</v>
      </c>
      <c r="E26" s="28" t="s">
        <v>8382</v>
      </c>
      <c r="F26" s="28" t="s">
        <v>2146</v>
      </c>
      <c r="G26" s="28" t="s">
        <v>20</v>
      </c>
      <c r="H26" s="28" t="s">
        <v>189</v>
      </c>
      <c r="I26" s="28" t="s">
        <v>189</v>
      </c>
      <c r="J26" s="28" t="s">
        <v>8383</v>
      </c>
      <c r="K26" s="28" t="s">
        <v>21</v>
      </c>
      <c r="L26" s="28" t="s">
        <v>30</v>
      </c>
      <c r="M26" s="28" t="s">
        <v>21</v>
      </c>
      <c r="N26" s="18"/>
      <c r="O26" s="92">
        <v>32916</v>
      </c>
      <c r="P26" s="28" t="s">
        <v>21</v>
      </c>
      <c r="Q26" s="26" t="b">
        <v>0</v>
      </c>
      <c r="R26" s="22">
        <f t="shared" si="0"/>
        <v>196</v>
      </c>
    </row>
    <row r="27" spans="1:18">
      <c r="A27" s="26">
        <v>6515</v>
      </c>
      <c r="B27" s="27">
        <v>32720</v>
      </c>
      <c r="C27" s="28" t="s">
        <v>7483</v>
      </c>
      <c r="D27" s="27">
        <v>32703</v>
      </c>
      <c r="E27" s="28" t="s">
        <v>7484</v>
      </c>
      <c r="F27" s="28" t="s">
        <v>129</v>
      </c>
      <c r="G27" s="28" t="s">
        <v>20</v>
      </c>
      <c r="H27" s="28" t="s">
        <v>21</v>
      </c>
      <c r="I27" s="28" t="s">
        <v>21</v>
      </c>
      <c r="J27" s="28" t="s">
        <v>7485</v>
      </c>
      <c r="K27" s="28" t="s">
        <v>21</v>
      </c>
      <c r="L27" s="28" t="s">
        <v>30</v>
      </c>
      <c r="M27" s="28" t="s">
        <v>21</v>
      </c>
      <c r="O27" s="92">
        <v>33913</v>
      </c>
      <c r="P27" s="28" t="s">
        <v>21</v>
      </c>
      <c r="Q27" s="26" t="b">
        <v>0</v>
      </c>
      <c r="R27" s="22">
        <f t="shared" si="0"/>
        <v>1191</v>
      </c>
    </row>
    <row r="28" spans="1:18" ht="36">
      <c r="A28" s="26">
        <v>6448</v>
      </c>
      <c r="B28" s="27">
        <v>32721</v>
      </c>
      <c r="C28" s="28" t="s">
        <v>7331</v>
      </c>
      <c r="D28" s="27">
        <v>32731</v>
      </c>
      <c r="E28" s="28" t="s">
        <v>7332</v>
      </c>
      <c r="F28" s="28" t="s">
        <v>741</v>
      </c>
      <c r="G28" s="28" t="s">
        <v>20</v>
      </c>
      <c r="H28" s="28" t="s">
        <v>21</v>
      </c>
      <c r="I28" s="28" t="s">
        <v>21</v>
      </c>
      <c r="J28" s="28" t="s">
        <v>7333</v>
      </c>
      <c r="K28" s="28" t="s">
        <v>21</v>
      </c>
      <c r="L28" s="28" t="s">
        <v>24</v>
      </c>
      <c r="M28" s="28" t="s">
        <v>30</v>
      </c>
      <c r="N28" s="18"/>
      <c r="O28" s="92">
        <v>32832</v>
      </c>
      <c r="P28" s="28" t="s">
        <v>21</v>
      </c>
      <c r="Q28" s="26" t="b">
        <v>0</v>
      </c>
      <c r="R28" s="22">
        <f t="shared" si="0"/>
        <v>110</v>
      </c>
    </row>
    <row r="29" spans="1:18">
      <c r="A29" s="26">
        <v>6495</v>
      </c>
      <c r="B29" s="27">
        <v>32729</v>
      </c>
      <c r="C29" s="28" t="s">
        <v>7421</v>
      </c>
      <c r="D29" s="27">
        <v>32728</v>
      </c>
      <c r="E29" s="28" t="s">
        <v>7422</v>
      </c>
      <c r="F29" s="28" t="s">
        <v>98</v>
      </c>
      <c r="G29" s="28" t="s">
        <v>20</v>
      </c>
      <c r="H29" s="28" t="s">
        <v>21</v>
      </c>
      <c r="I29" s="28" t="s">
        <v>21</v>
      </c>
      <c r="J29" s="28" t="s">
        <v>7423</v>
      </c>
      <c r="K29" s="28" t="s">
        <v>7424</v>
      </c>
      <c r="L29" s="28" t="s">
        <v>30</v>
      </c>
      <c r="M29" s="28" t="s">
        <v>21</v>
      </c>
      <c r="N29" s="18"/>
      <c r="O29" s="92">
        <v>33317</v>
      </c>
      <c r="P29" s="28" t="s">
        <v>31</v>
      </c>
      <c r="Q29" s="26" t="b">
        <v>0</v>
      </c>
      <c r="R29" s="22">
        <f t="shared" si="0"/>
        <v>589</v>
      </c>
    </row>
    <row r="30" spans="1:18" ht="24">
      <c r="A30" s="26">
        <v>6540</v>
      </c>
      <c r="B30" s="27">
        <v>32731</v>
      </c>
      <c r="C30" s="28" t="s">
        <v>7552</v>
      </c>
      <c r="D30" s="27">
        <v>32727</v>
      </c>
      <c r="E30" s="28" t="s">
        <v>7553</v>
      </c>
      <c r="F30" s="28" t="s">
        <v>228</v>
      </c>
      <c r="G30" s="28" t="s">
        <v>20</v>
      </c>
      <c r="H30" s="28" t="s">
        <v>21</v>
      </c>
      <c r="I30" s="28" t="s">
        <v>21</v>
      </c>
      <c r="J30" s="28" t="s">
        <v>7465</v>
      </c>
      <c r="K30" s="28" t="s">
        <v>7554</v>
      </c>
      <c r="L30" s="28" t="s">
        <v>24</v>
      </c>
      <c r="M30" s="28" t="s">
        <v>21</v>
      </c>
      <c r="N30" s="18"/>
      <c r="O30" s="92">
        <v>32902</v>
      </c>
      <c r="P30" s="28" t="s">
        <v>31</v>
      </c>
      <c r="Q30" s="26" t="b">
        <v>0</v>
      </c>
      <c r="R30" s="22">
        <f t="shared" si="0"/>
        <v>170</v>
      </c>
    </row>
    <row r="31" spans="1:18">
      <c r="A31" s="26">
        <v>2396</v>
      </c>
      <c r="B31" s="27">
        <v>32737</v>
      </c>
      <c r="C31" s="28" t="s">
        <v>2827</v>
      </c>
      <c r="D31" s="27">
        <v>32631</v>
      </c>
      <c r="E31" s="28" t="s">
        <v>2828</v>
      </c>
      <c r="F31" s="28" t="s">
        <v>306</v>
      </c>
      <c r="G31" s="28" t="s">
        <v>20</v>
      </c>
      <c r="H31" s="28" t="s">
        <v>21</v>
      </c>
      <c r="I31" s="28" t="s">
        <v>21</v>
      </c>
      <c r="J31" s="28" t="s">
        <v>2829</v>
      </c>
      <c r="K31" s="28" t="s">
        <v>2830</v>
      </c>
      <c r="L31" s="28" t="s">
        <v>24</v>
      </c>
      <c r="M31" s="28" t="s">
        <v>21</v>
      </c>
      <c r="O31" s="92">
        <v>34446</v>
      </c>
      <c r="P31" s="28" t="s">
        <v>21</v>
      </c>
      <c r="Q31" s="26" t="b">
        <v>0</v>
      </c>
      <c r="R31" s="22">
        <f t="shared" si="0"/>
        <v>1708</v>
      </c>
    </row>
    <row r="32" spans="1:18">
      <c r="A32" s="26">
        <v>6535</v>
      </c>
      <c r="B32" s="27">
        <v>32737</v>
      </c>
      <c r="C32" s="28" t="s">
        <v>2827</v>
      </c>
      <c r="D32" s="27">
        <v>32735</v>
      </c>
      <c r="E32" s="28" t="s">
        <v>7538</v>
      </c>
      <c r="F32" s="28" t="s">
        <v>545</v>
      </c>
      <c r="G32" s="28" t="s">
        <v>20</v>
      </c>
      <c r="H32" s="28" t="s">
        <v>21</v>
      </c>
      <c r="I32" s="28" t="s">
        <v>21</v>
      </c>
      <c r="J32" s="28" t="s">
        <v>7539</v>
      </c>
      <c r="K32" s="28" t="s">
        <v>21</v>
      </c>
      <c r="L32" s="28" t="s">
        <v>24</v>
      </c>
      <c r="M32" s="28" t="s">
        <v>36</v>
      </c>
      <c r="N32" s="18"/>
      <c r="O32" s="92">
        <v>32891</v>
      </c>
      <c r="P32" s="28" t="s">
        <v>21</v>
      </c>
      <c r="Q32" s="26" t="b">
        <v>0</v>
      </c>
      <c r="R32" s="22">
        <f t="shared" si="0"/>
        <v>153</v>
      </c>
    </row>
    <row r="33" spans="1:18" ht="24">
      <c r="A33" s="26">
        <v>6528</v>
      </c>
      <c r="B33" s="27">
        <v>32743</v>
      </c>
      <c r="C33" s="28" t="s">
        <v>7518</v>
      </c>
      <c r="D33" s="27">
        <v>32742</v>
      </c>
      <c r="E33" s="28" t="s">
        <v>7519</v>
      </c>
      <c r="F33" s="28" t="s">
        <v>85</v>
      </c>
      <c r="G33" s="28" t="s">
        <v>20</v>
      </c>
      <c r="H33" s="28" t="s">
        <v>21</v>
      </c>
      <c r="I33" s="28" t="s">
        <v>21</v>
      </c>
      <c r="J33" s="28" t="s">
        <v>7520</v>
      </c>
      <c r="K33" s="28" t="s">
        <v>7521</v>
      </c>
      <c r="L33" s="28" t="s">
        <v>36</v>
      </c>
      <c r="M33" s="28" t="s">
        <v>21</v>
      </c>
      <c r="O33" s="92">
        <v>33702</v>
      </c>
      <c r="P33" s="28" t="s">
        <v>21</v>
      </c>
      <c r="Q33" s="26" t="b">
        <v>0</v>
      </c>
      <c r="R33" s="22">
        <f t="shared" si="0"/>
        <v>958</v>
      </c>
    </row>
    <row r="34" spans="1:18" ht="24">
      <c r="A34" s="26">
        <v>6936</v>
      </c>
      <c r="B34" s="27">
        <v>32743</v>
      </c>
      <c r="C34" s="28" t="s">
        <v>7518</v>
      </c>
      <c r="D34" s="27">
        <v>32741</v>
      </c>
      <c r="E34" s="28" t="s">
        <v>8399</v>
      </c>
      <c r="F34" s="28" t="s">
        <v>1047</v>
      </c>
      <c r="G34" s="28" t="s">
        <v>20</v>
      </c>
      <c r="H34" s="28" t="s">
        <v>71</v>
      </c>
      <c r="I34" s="28" t="s">
        <v>72</v>
      </c>
      <c r="J34" s="28" t="s">
        <v>8400</v>
      </c>
      <c r="K34" s="28" t="s">
        <v>21</v>
      </c>
      <c r="L34" s="28" t="s">
        <v>24</v>
      </c>
      <c r="M34" s="28" t="s">
        <v>21</v>
      </c>
      <c r="N34" s="18"/>
      <c r="O34" s="92">
        <v>32930</v>
      </c>
      <c r="P34" s="28" t="s">
        <v>21</v>
      </c>
      <c r="Q34" s="26" t="b">
        <v>0</v>
      </c>
      <c r="R34" s="22">
        <f t="shared" si="0"/>
        <v>185</v>
      </c>
    </row>
    <row r="35" spans="1:18" ht="24">
      <c r="A35" s="26">
        <v>6923</v>
      </c>
      <c r="B35" s="27">
        <v>32744</v>
      </c>
      <c r="C35" s="28" t="s">
        <v>8365</v>
      </c>
      <c r="D35" s="27">
        <v>32741</v>
      </c>
      <c r="E35" s="28" t="s">
        <v>8366</v>
      </c>
      <c r="F35" s="28" t="s">
        <v>665</v>
      </c>
      <c r="G35" s="28" t="s">
        <v>20</v>
      </c>
      <c r="H35" s="28" t="s">
        <v>21</v>
      </c>
      <c r="I35" s="28" t="s">
        <v>21</v>
      </c>
      <c r="J35" s="28" t="s">
        <v>8367</v>
      </c>
      <c r="K35" s="28" t="s">
        <v>21</v>
      </c>
      <c r="L35" s="28" t="s">
        <v>24</v>
      </c>
      <c r="M35" s="28" t="s">
        <v>21</v>
      </c>
      <c r="O35" s="92">
        <v>32832</v>
      </c>
      <c r="P35" s="28" t="s">
        <v>21</v>
      </c>
      <c r="Q35" s="26" t="b">
        <v>0</v>
      </c>
      <c r="R35" s="22">
        <f t="shared" si="0"/>
        <v>87</v>
      </c>
    </row>
    <row r="36" spans="1:18" ht="24">
      <c r="A36" s="26">
        <v>6946</v>
      </c>
      <c r="B36" s="27">
        <v>32744</v>
      </c>
      <c r="C36" s="28" t="s">
        <v>8365</v>
      </c>
      <c r="D36" s="27">
        <v>32741</v>
      </c>
      <c r="E36" s="28" t="s">
        <v>8427</v>
      </c>
      <c r="F36" s="28" t="s">
        <v>8428</v>
      </c>
      <c r="G36" s="28" t="s">
        <v>20</v>
      </c>
      <c r="H36" s="28" t="s">
        <v>71</v>
      </c>
      <c r="I36" s="28" t="s">
        <v>72</v>
      </c>
      <c r="J36" s="28" t="s">
        <v>8429</v>
      </c>
      <c r="K36" s="28" t="s">
        <v>8430</v>
      </c>
      <c r="L36" s="28" t="s">
        <v>24</v>
      </c>
      <c r="M36" s="28" t="s">
        <v>21</v>
      </c>
      <c r="N36" s="18"/>
      <c r="O36" s="92">
        <v>32854</v>
      </c>
      <c r="P36" s="28" t="s">
        <v>21</v>
      </c>
      <c r="Q36" s="26" t="b">
        <v>0</v>
      </c>
      <c r="R36" s="22">
        <f t="shared" si="0"/>
        <v>109</v>
      </c>
    </row>
    <row r="37" spans="1:18" ht="24">
      <c r="A37" s="26">
        <v>6533</v>
      </c>
      <c r="B37" s="27">
        <v>32748</v>
      </c>
      <c r="C37" s="28" t="s">
        <v>7532</v>
      </c>
      <c r="D37" s="27">
        <v>32745</v>
      </c>
      <c r="E37" s="28" t="s">
        <v>7533</v>
      </c>
      <c r="F37" s="28" t="s">
        <v>94</v>
      </c>
      <c r="G37" s="28" t="s">
        <v>20</v>
      </c>
      <c r="H37" s="28" t="s">
        <v>21</v>
      </c>
      <c r="I37" s="28" t="s">
        <v>21</v>
      </c>
      <c r="J37" s="28" t="s">
        <v>7534</v>
      </c>
      <c r="K37" s="28" t="s">
        <v>21</v>
      </c>
      <c r="L37" s="28" t="s">
        <v>24</v>
      </c>
      <c r="M37" s="28" t="s">
        <v>21</v>
      </c>
      <c r="N37" s="18"/>
      <c r="O37" s="92">
        <v>32815</v>
      </c>
      <c r="P37" s="28" t="s">
        <v>31</v>
      </c>
      <c r="Q37" s="26" t="b">
        <v>0</v>
      </c>
      <c r="R37" s="22">
        <f t="shared" si="0"/>
        <v>65</v>
      </c>
    </row>
    <row r="38" spans="1:18" ht="24">
      <c r="A38" s="26">
        <v>6481</v>
      </c>
      <c r="B38" s="27">
        <v>32749</v>
      </c>
      <c r="C38" s="28" t="s">
        <v>7390</v>
      </c>
      <c r="D38" s="27">
        <v>32749</v>
      </c>
      <c r="E38" s="28" t="s">
        <v>7391</v>
      </c>
      <c r="F38" s="28" t="s">
        <v>359</v>
      </c>
      <c r="G38" s="28" t="s">
        <v>20</v>
      </c>
      <c r="H38" s="28" t="s">
        <v>21</v>
      </c>
      <c r="I38" s="28" t="s">
        <v>21</v>
      </c>
      <c r="J38" s="28" t="s">
        <v>7392</v>
      </c>
      <c r="K38" s="28" t="s">
        <v>21</v>
      </c>
      <c r="L38" s="28" t="s">
        <v>24</v>
      </c>
      <c r="M38" s="28" t="s">
        <v>21</v>
      </c>
      <c r="O38" s="92">
        <v>32881</v>
      </c>
      <c r="P38" s="28" t="s">
        <v>21</v>
      </c>
      <c r="Q38" s="26" t="b">
        <v>0</v>
      </c>
      <c r="R38" s="22">
        <f t="shared" si="0"/>
        <v>130</v>
      </c>
    </row>
    <row r="39" spans="1:18" ht="24">
      <c r="A39" s="26">
        <v>7019</v>
      </c>
      <c r="B39" s="27">
        <v>32749</v>
      </c>
      <c r="C39" s="28" t="s">
        <v>8536</v>
      </c>
      <c r="D39" s="27">
        <v>32748</v>
      </c>
      <c r="E39" s="28" t="s">
        <v>8537</v>
      </c>
      <c r="F39" s="28" t="s">
        <v>70</v>
      </c>
      <c r="G39" s="28" t="s">
        <v>20</v>
      </c>
      <c r="H39" s="28" t="s">
        <v>71</v>
      </c>
      <c r="I39" s="28" t="s">
        <v>72</v>
      </c>
      <c r="J39" s="28" t="s">
        <v>8538</v>
      </c>
      <c r="K39" s="28" t="s">
        <v>21</v>
      </c>
      <c r="L39" s="28" t="s">
        <v>30</v>
      </c>
      <c r="M39" s="28" t="s">
        <v>21</v>
      </c>
      <c r="N39" s="18"/>
      <c r="O39" s="92">
        <v>33011</v>
      </c>
      <c r="P39" s="28" t="s">
        <v>21</v>
      </c>
      <c r="Q39" s="26" t="b">
        <v>0</v>
      </c>
      <c r="R39" s="22">
        <f t="shared" si="0"/>
        <v>262</v>
      </c>
    </row>
    <row r="40" spans="1:18" ht="24">
      <c r="A40" s="26">
        <v>6924</v>
      </c>
      <c r="B40" s="27">
        <v>32751</v>
      </c>
      <c r="C40" s="28" t="s">
        <v>8368</v>
      </c>
      <c r="D40" s="27">
        <v>32749</v>
      </c>
      <c r="E40" s="28" t="s">
        <v>8369</v>
      </c>
      <c r="F40" s="28" t="s">
        <v>665</v>
      </c>
      <c r="G40" s="28" t="s">
        <v>20</v>
      </c>
      <c r="H40" s="28" t="s">
        <v>21</v>
      </c>
      <c r="I40" s="28" t="s">
        <v>21</v>
      </c>
      <c r="J40" s="28" t="s">
        <v>6111</v>
      </c>
      <c r="K40" s="28" t="s">
        <v>8370</v>
      </c>
      <c r="L40" s="28" t="s">
        <v>24</v>
      </c>
      <c r="M40" s="28" t="s">
        <v>21</v>
      </c>
      <c r="N40" s="18"/>
      <c r="O40" s="92">
        <v>32832</v>
      </c>
      <c r="P40" s="28" t="s">
        <v>31</v>
      </c>
      <c r="Q40" s="26" t="b">
        <v>0</v>
      </c>
      <c r="R40" s="22">
        <f t="shared" si="0"/>
        <v>81</v>
      </c>
    </row>
    <row r="41" spans="1:18">
      <c r="A41" s="26">
        <v>6510</v>
      </c>
      <c r="B41" s="27">
        <v>32758</v>
      </c>
      <c r="C41" s="28" t="s">
        <v>7467</v>
      </c>
      <c r="D41" s="27">
        <v>32750</v>
      </c>
      <c r="E41" s="28" t="s">
        <v>7468</v>
      </c>
      <c r="F41" s="28" t="s">
        <v>149</v>
      </c>
      <c r="G41" s="28" t="s">
        <v>20</v>
      </c>
      <c r="H41" s="28" t="s">
        <v>21</v>
      </c>
      <c r="I41" s="28" t="s">
        <v>21</v>
      </c>
      <c r="J41" s="28" t="s">
        <v>7469</v>
      </c>
      <c r="K41" s="28" t="s">
        <v>7470</v>
      </c>
      <c r="L41" s="28" t="s">
        <v>24</v>
      </c>
      <c r="M41" s="28" t="s">
        <v>21</v>
      </c>
      <c r="N41" s="18"/>
      <c r="O41" s="92">
        <v>32827</v>
      </c>
      <c r="P41" s="28" t="s">
        <v>31</v>
      </c>
      <c r="Q41" s="26" t="b">
        <v>0</v>
      </c>
      <c r="R41" s="22">
        <f t="shared" si="0"/>
        <v>68</v>
      </c>
    </row>
    <row r="42" spans="1:18">
      <c r="A42" s="26">
        <v>6599</v>
      </c>
      <c r="B42" s="27">
        <v>32758</v>
      </c>
      <c r="C42" s="28" t="s">
        <v>7467</v>
      </c>
      <c r="D42" s="27">
        <v>32750</v>
      </c>
      <c r="E42" s="28" t="s">
        <v>7658</v>
      </c>
      <c r="F42" s="28" t="s">
        <v>104</v>
      </c>
      <c r="G42" s="28" t="s">
        <v>20</v>
      </c>
      <c r="H42" s="28" t="s">
        <v>21</v>
      </c>
      <c r="I42" s="28" t="s">
        <v>21</v>
      </c>
      <c r="J42" s="28" t="s">
        <v>21</v>
      </c>
      <c r="K42" s="28" t="s">
        <v>21</v>
      </c>
      <c r="L42" s="28" t="s">
        <v>30</v>
      </c>
      <c r="M42" s="28" t="s">
        <v>21</v>
      </c>
      <c r="N42" s="18"/>
      <c r="O42" s="92">
        <v>33073</v>
      </c>
      <c r="P42" s="28" t="s">
        <v>21</v>
      </c>
      <c r="Q42" s="26" t="b">
        <v>0</v>
      </c>
      <c r="R42" s="22">
        <f t="shared" si="0"/>
        <v>316</v>
      </c>
    </row>
    <row r="43" spans="1:18">
      <c r="A43" s="26">
        <v>2397</v>
      </c>
      <c r="B43" s="27">
        <v>32764</v>
      </c>
      <c r="C43" s="28" t="s">
        <v>2831</v>
      </c>
      <c r="D43" s="27">
        <v>32806</v>
      </c>
      <c r="E43" s="28" t="s">
        <v>2832</v>
      </c>
      <c r="F43" s="28" t="s">
        <v>39</v>
      </c>
      <c r="G43" s="28" t="s">
        <v>20</v>
      </c>
      <c r="H43" s="28" t="s">
        <v>21</v>
      </c>
      <c r="I43" s="28" t="s">
        <v>21</v>
      </c>
      <c r="J43" s="28" t="s">
        <v>2833</v>
      </c>
      <c r="K43" s="28" t="s">
        <v>2830</v>
      </c>
      <c r="L43" s="28" t="s">
        <v>24</v>
      </c>
      <c r="M43" s="28" t="s">
        <v>21</v>
      </c>
      <c r="N43" s="18"/>
      <c r="O43" s="92">
        <v>34479</v>
      </c>
      <c r="P43" s="28" t="s">
        <v>182</v>
      </c>
      <c r="Q43" s="26" t="b">
        <v>0</v>
      </c>
      <c r="R43" s="22">
        <f t="shared" si="0"/>
        <v>1715</v>
      </c>
    </row>
    <row r="44" spans="1:18">
      <c r="A44" s="26">
        <v>6499</v>
      </c>
      <c r="B44" s="27">
        <v>32765</v>
      </c>
      <c r="C44" s="28" t="s">
        <v>7434</v>
      </c>
      <c r="D44" s="27">
        <v>32762</v>
      </c>
      <c r="E44" s="28" t="s">
        <v>7435</v>
      </c>
      <c r="F44" s="28" t="s">
        <v>52</v>
      </c>
      <c r="G44" s="28" t="s">
        <v>20</v>
      </c>
      <c r="H44" s="28" t="s">
        <v>21</v>
      </c>
      <c r="I44" s="28" t="s">
        <v>21</v>
      </c>
      <c r="J44" s="28" t="s">
        <v>7436</v>
      </c>
      <c r="K44" s="28" t="s">
        <v>7437</v>
      </c>
      <c r="L44" s="28" t="s">
        <v>24</v>
      </c>
      <c r="M44" s="28" t="s">
        <v>21</v>
      </c>
      <c r="N44" s="18"/>
      <c r="O44" s="92">
        <v>33374</v>
      </c>
      <c r="P44" s="28" t="s">
        <v>21</v>
      </c>
      <c r="Q44" s="26" t="b">
        <v>0</v>
      </c>
      <c r="R44" s="22">
        <f t="shared" si="0"/>
        <v>610</v>
      </c>
    </row>
    <row r="45" spans="1:18">
      <c r="A45" s="26">
        <v>6521</v>
      </c>
      <c r="B45" s="27">
        <v>32771</v>
      </c>
      <c r="C45" s="28" t="s">
        <v>7498</v>
      </c>
      <c r="D45" s="27">
        <v>32769</v>
      </c>
      <c r="E45" s="28" t="s">
        <v>7499</v>
      </c>
      <c r="F45" s="28" t="s">
        <v>242</v>
      </c>
      <c r="G45" s="28" t="s">
        <v>20</v>
      </c>
      <c r="H45" s="28" t="s">
        <v>21</v>
      </c>
      <c r="I45" s="28" t="s">
        <v>21</v>
      </c>
      <c r="J45" s="28" t="s">
        <v>7500</v>
      </c>
      <c r="K45" s="28" t="s">
        <v>21</v>
      </c>
      <c r="L45" s="28" t="s">
        <v>36</v>
      </c>
      <c r="M45" s="28" t="s">
        <v>21</v>
      </c>
      <c r="N45" s="18"/>
      <c r="O45" s="92">
        <v>33361</v>
      </c>
      <c r="P45" s="28" t="s">
        <v>21</v>
      </c>
      <c r="Q45" s="26" t="b">
        <v>0</v>
      </c>
      <c r="R45" s="22">
        <f t="shared" si="0"/>
        <v>591</v>
      </c>
    </row>
    <row r="46" spans="1:18" ht="24">
      <c r="A46" s="26">
        <v>6539</v>
      </c>
      <c r="B46" s="27">
        <v>32772</v>
      </c>
      <c r="C46" s="28" t="s">
        <v>7549</v>
      </c>
      <c r="D46" s="27">
        <v>32771</v>
      </c>
      <c r="E46" s="28" t="s">
        <v>7550</v>
      </c>
      <c r="F46" s="28" t="s">
        <v>228</v>
      </c>
      <c r="G46" s="28" t="s">
        <v>20</v>
      </c>
      <c r="H46" s="28" t="s">
        <v>21</v>
      </c>
      <c r="I46" s="28" t="s">
        <v>21</v>
      </c>
      <c r="J46" s="28" t="s">
        <v>7551</v>
      </c>
      <c r="K46" s="28" t="s">
        <v>21</v>
      </c>
      <c r="L46" s="28" t="s">
        <v>30</v>
      </c>
      <c r="M46" s="28" t="s">
        <v>21</v>
      </c>
      <c r="N46" s="18"/>
      <c r="O46" s="92">
        <v>33542</v>
      </c>
      <c r="P46" s="28" t="s">
        <v>21</v>
      </c>
      <c r="Q46" s="26" t="b">
        <v>0</v>
      </c>
      <c r="R46" s="22">
        <f t="shared" si="0"/>
        <v>770</v>
      </c>
    </row>
    <row r="47" spans="1:18">
      <c r="A47" s="26">
        <v>6509</v>
      </c>
      <c r="B47" s="27">
        <v>32778</v>
      </c>
      <c r="C47" s="28" t="s">
        <v>7463</v>
      </c>
      <c r="D47" s="27">
        <v>32777</v>
      </c>
      <c r="E47" s="28" t="s">
        <v>7464</v>
      </c>
      <c r="F47" s="28" t="s">
        <v>149</v>
      </c>
      <c r="G47" s="28" t="s">
        <v>20</v>
      </c>
      <c r="H47" s="28" t="s">
        <v>21</v>
      </c>
      <c r="I47" s="28" t="s">
        <v>21</v>
      </c>
      <c r="J47" s="28" t="s">
        <v>7465</v>
      </c>
      <c r="K47" s="28" t="s">
        <v>7466</v>
      </c>
      <c r="L47" s="28" t="s">
        <v>24</v>
      </c>
      <c r="M47" s="28" t="s">
        <v>21</v>
      </c>
      <c r="N47" s="18"/>
      <c r="O47" s="92">
        <v>32854</v>
      </c>
      <c r="P47" s="28" t="s">
        <v>21</v>
      </c>
      <c r="Q47" s="26" t="b">
        <v>0</v>
      </c>
      <c r="R47" s="22">
        <f t="shared" si="0"/>
        <v>76</v>
      </c>
    </row>
    <row r="48" spans="1:18">
      <c r="A48" s="26">
        <v>6544</v>
      </c>
      <c r="B48" s="27">
        <v>32779</v>
      </c>
      <c r="C48" s="28" t="s">
        <v>7560</v>
      </c>
      <c r="D48" s="27">
        <v>32778</v>
      </c>
      <c r="E48" s="28" t="s">
        <v>7561</v>
      </c>
      <c r="F48" s="28" t="s">
        <v>145</v>
      </c>
      <c r="G48" s="28" t="s">
        <v>20</v>
      </c>
      <c r="H48" s="28" t="s">
        <v>21</v>
      </c>
      <c r="I48" s="28" t="s">
        <v>21</v>
      </c>
      <c r="J48" s="28" t="s">
        <v>7562</v>
      </c>
      <c r="K48" s="28" t="s">
        <v>7563</v>
      </c>
      <c r="L48" s="28" t="s">
        <v>24</v>
      </c>
      <c r="M48" s="28" t="s">
        <v>21</v>
      </c>
      <c r="N48" s="18"/>
      <c r="O48" s="92">
        <v>32832</v>
      </c>
      <c r="P48" s="28" t="s">
        <v>31</v>
      </c>
      <c r="Q48" s="26" t="b">
        <v>0</v>
      </c>
      <c r="R48" s="22">
        <f t="shared" si="0"/>
        <v>52</v>
      </c>
    </row>
    <row r="49" spans="1:18" ht="24">
      <c r="A49" s="26">
        <v>6508</v>
      </c>
      <c r="B49" s="27">
        <v>32780</v>
      </c>
      <c r="C49" s="28" t="s">
        <v>7459</v>
      </c>
      <c r="D49" s="27">
        <v>32778</v>
      </c>
      <c r="E49" s="28" t="s">
        <v>7460</v>
      </c>
      <c r="F49" s="28" t="s">
        <v>149</v>
      </c>
      <c r="G49" s="28" t="s">
        <v>20</v>
      </c>
      <c r="H49" s="28" t="s">
        <v>21</v>
      </c>
      <c r="I49" s="28" t="s">
        <v>21</v>
      </c>
      <c r="J49" s="28" t="s">
        <v>7461</v>
      </c>
      <c r="K49" s="28" t="s">
        <v>7462</v>
      </c>
      <c r="L49" s="28" t="s">
        <v>24</v>
      </c>
      <c r="M49" s="28" t="s">
        <v>21</v>
      </c>
      <c r="N49" s="18"/>
      <c r="O49" s="92">
        <v>32869</v>
      </c>
      <c r="P49" s="28" t="s">
        <v>21</v>
      </c>
      <c r="Q49" s="26" t="b">
        <v>0</v>
      </c>
      <c r="R49" s="22">
        <f t="shared" si="0"/>
        <v>89</v>
      </c>
    </row>
    <row r="50" spans="1:18">
      <c r="A50" s="26">
        <v>6500</v>
      </c>
      <c r="B50" s="27">
        <v>32783</v>
      </c>
      <c r="C50" s="28" t="s">
        <v>7438</v>
      </c>
      <c r="D50" s="27">
        <v>32763</v>
      </c>
      <c r="E50" s="28" t="s">
        <v>7439</v>
      </c>
      <c r="F50" s="28" t="s">
        <v>52</v>
      </c>
      <c r="G50" s="28" t="s">
        <v>20</v>
      </c>
      <c r="H50" s="28" t="s">
        <v>21</v>
      </c>
      <c r="I50" s="28" t="s">
        <v>21</v>
      </c>
      <c r="J50" s="28" t="s">
        <v>7440</v>
      </c>
      <c r="K50" s="28" t="s">
        <v>21</v>
      </c>
      <c r="L50" s="28" t="s">
        <v>24</v>
      </c>
      <c r="M50" s="28" t="s">
        <v>21</v>
      </c>
      <c r="N50" s="18"/>
      <c r="O50" s="92">
        <v>33308</v>
      </c>
      <c r="P50" s="28" t="s">
        <v>21</v>
      </c>
      <c r="Q50" s="26" t="b">
        <v>0</v>
      </c>
      <c r="R50" s="22">
        <f t="shared" si="0"/>
        <v>526</v>
      </c>
    </row>
    <row r="51" spans="1:18" ht="24">
      <c r="A51" s="26">
        <v>6466</v>
      </c>
      <c r="B51" s="27">
        <v>32785</v>
      </c>
      <c r="C51" s="28" t="s">
        <v>7363</v>
      </c>
      <c r="D51" s="27">
        <v>32784</v>
      </c>
      <c r="E51" s="28" t="s">
        <v>7364</v>
      </c>
      <c r="F51" s="28" t="s">
        <v>56</v>
      </c>
      <c r="G51" s="28" t="s">
        <v>20</v>
      </c>
      <c r="H51" s="28" t="s">
        <v>21</v>
      </c>
      <c r="I51" s="28" t="s">
        <v>21</v>
      </c>
      <c r="J51" s="28" t="s">
        <v>7365</v>
      </c>
      <c r="K51" s="28" t="s">
        <v>7366</v>
      </c>
      <c r="L51" s="28" t="s">
        <v>24</v>
      </c>
      <c r="M51" s="28" t="s">
        <v>21</v>
      </c>
      <c r="N51" s="18"/>
      <c r="O51" s="92">
        <v>32869</v>
      </c>
      <c r="P51" s="28" t="s">
        <v>21</v>
      </c>
      <c r="Q51" s="26" t="b">
        <v>0</v>
      </c>
      <c r="R51" s="22">
        <f t="shared" si="0"/>
        <v>84</v>
      </c>
    </row>
    <row r="52" spans="1:18">
      <c r="A52" s="26">
        <v>6523</v>
      </c>
      <c r="B52" s="27">
        <v>32785</v>
      </c>
      <c r="C52" s="28" t="s">
        <v>7363</v>
      </c>
      <c r="D52" s="27">
        <v>32771</v>
      </c>
      <c r="E52" s="28" t="s">
        <v>7504</v>
      </c>
      <c r="F52" s="28" t="s">
        <v>242</v>
      </c>
      <c r="G52" s="28" t="s">
        <v>20</v>
      </c>
      <c r="H52" s="28" t="s">
        <v>21</v>
      </c>
      <c r="I52" s="28" t="s">
        <v>21</v>
      </c>
      <c r="J52" s="28" t="s">
        <v>7505</v>
      </c>
      <c r="K52" s="28" t="s">
        <v>7506</v>
      </c>
      <c r="L52" s="28" t="s">
        <v>24</v>
      </c>
      <c r="M52" s="28" t="s">
        <v>21</v>
      </c>
      <c r="N52" s="18"/>
      <c r="O52" s="92">
        <v>32904</v>
      </c>
      <c r="P52" s="28" t="s">
        <v>31</v>
      </c>
      <c r="Q52" s="26" t="b">
        <v>0</v>
      </c>
      <c r="R52" s="22">
        <f t="shared" si="0"/>
        <v>118</v>
      </c>
    </row>
    <row r="53" spans="1:18" ht="24">
      <c r="A53" s="26">
        <v>6602</v>
      </c>
      <c r="B53" s="27">
        <v>32785</v>
      </c>
      <c r="C53" s="28" t="s">
        <v>7363</v>
      </c>
      <c r="D53" s="27">
        <v>32780</v>
      </c>
      <c r="E53" s="28" t="s">
        <v>7667</v>
      </c>
      <c r="F53" s="28" t="s">
        <v>104</v>
      </c>
      <c r="G53" s="28" t="s">
        <v>20</v>
      </c>
      <c r="H53" s="28" t="s">
        <v>21</v>
      </c>
      <c r="I53" s="28" t="s">
        <v>21</v>
      </c>
      <c r="J53" s="28" t="s">
        <v>7668</v>
      </c>
      <c r="K53" s="28" t="s">
        <v>21</v>
      </c>
      <c r="L53" s="28" t="s">
        <v>24</v>
      </c>
      <c r="M53" s="28" t="s">
        <v>21</v>
      </c>
      <c r="N53" s="18"/>
      <c r="O53" s="92">
        <v>32930</v>
      </c>
      <c r="P53" s="28" t="s">
        <v>21</v>
      </c>
      <c r="Q53" s="26" t="b">
        <v>0</v>
      </c>
      <c r="R53" s="22">
        <f t="shared" si="0"/>
        <v>143</v>
      </c>
    </row>
    <row r="54" spans="1:18" ht="24">
      <c r="A54" s="26">
        <v>6487</v>
      </c>
      <c r="B54" s="27">
        <v>32787</v>
      </c>
      <c r="C54" s="28" t="s">
        <v>7398</v>
      </c>
      <c r="D54" s="27">
        <v>32786</v>
      </c>
      <c r="E54" s="28" t="s">
        <v>7399</v>
      </c>
      <c r="F54" s="28" t="s">
        <v>3579</v>
      </c>
      <c r="G54" s="28" t="s">
        <v>20</v>
      </c>
      <c r="H54" s="28" t="s">
        <v>21</v>
      </c>
      <c r="I54" s="28" t="s">
        <v>21</v>
      </c>
      <c r="J54" s="28" t="s">
        <v>7400</v>
      </c>
      <c r="K54" s="28" t="s">
        <v>21</v>
      </c>
      <c r="L54" s="28" t="s">
        <v>36</v>
      </c>
      <c r="M54" s="28" t="s">
        <v>21</v>
      </c>
      <c r="N54" s="18"/>
      <c r="O54" s="92">
        <v>32862</v>
      </c>
      <c r="P54" s="28" t="s">
        <v>31</v>
      </c>
      <c r="Q54" s="26" t="b">
        <v>0</v>
      </c>
      <c r="R54" s="22">
        <f t="shared" si="0"/>
        <v>75</v>
      </c>
    </row>
    <row r="55" spans="1:18">
      <c r="A55" s="26">
        <v>6449</v>
      </c>
      <c r="B55" s="27">
        <v>32792</v>
      </c>
      <c r="C55" s="28" t="s">
        <v>7334</v>
      </c>
      <c r="D55" s="27">
        <v>32792</v>
      </c>
      <c r="E55" s="28" t="s">
        <v>7335</v>
      </c>
      <c r="F55" s="28" t="s">
        <v>741</v>
      </c>
      <c r="G55" s="28" t="s">
        <v>20</v>
      </c>
      <c r="H55" s="28" t="s">
        <v>21</v>
      </c>
      <c r="I55" s="28" t="s">
        <v>21</v>
      </c>
      <c r="J55" s="28" t="s">
        <v>2009</v>
      </c>
      <c r="K55" s="28" t="s">
        <v>7336</v>
      </c>
      <c r="L55" s="28" t="s">
        <v>24</v>
      </c>
      <c r="M55" s="28" t="s">
        <v>21</v>
      </c>
      <c r="N55" s="18"/>
      <c r="O55" s="92">
        <v>32794</v>
      </c>
      <c r="P55" s="28" t="s">
        <v>21</v>
      </c>
      <c r="Q55" s="26" t="b">
        <v>0</v>
      </c>
      <c r="R55" s="22">
        <f t="shared" si="0"/>
        <v>2</v>
      </c>
    </row>
    <row r="56" spans="1:18" ht="24">
      <c r="A56" s="26">
        <v>6524</v>
      </c>
      <c r="B56" s="27">
        <v>32792</v>
      </c>
      <c r="C56" s="28" t="s">
        <v>7334</v>
      </c>
      <c r="D56" s="27">
        <v>32786</v>
      </c>
      <c r="E56" s="28" t="s">
        <v>7507</v>
      </c>
      <c r="F56" s="28" t="s">
        <v>242</v>
      </c>
      <c r="G56" s="28" t="s">
        <v>20</v>
      </c>
      <c r="H56" s="28" t="s">
        <v>21</v>
      </c>
      <c r="I56" s="28" t="s">
        <v>21</v>
      </c>
      <c r="J56" s="28" t="s">
        <v>7508</v>
      </c>
      <c r="K56" s="28" t="s">
        <v>7509</v>
      </c>
      <c r="L56" s="28" t="s">
        <v>24</v>
      </c>
      <c r="M56" s="28" t="s">
        <v>21</v>
      </c>
      <c r="N56" s="18"/>
      <c r="O56" s="92">
        <v>34053</v>
      </c>
      <c r="P56" s="28" t="s">
        <v>21</v>
      </c>
      <c r="Q56" s="26" t="b">
        <v>0</v>
      </c>
      <c r="R56" s="22">
        <f t="shared" si="0"/>
        <v>1261</v>
      </c>
    </row>
    <row r="57" spans="1:18" ht="24">
      <c r="A57" s="26">
        <v>6601</v>
      </c>
      <c r="B57" s="27">
        <v>32792</v>
      </c>
      <c r="C57" s="28" t="s">
        <v>7334</v>
      </c>
      <c r="D57" s="27">
        <v>32790</v>
      </c>
      <c r="E57" s="28" t="s">
        <v>7664</v>
      </c>
      <c r="F57" s="28" t="s">
        <v>104</v>
      </c>
      <c r="G57" s="28" t="s">
        <v>20</v>
      </c>
      <c r="H57" s="28" t="s">
        <v>21</v>
      </c>
      <c r="I57" s="28" t="s">
        <v>21</v>
      </c>
      <c r="J57" s="28" t="s">
        <v>7665</v>
      </c>
      <c r="K57" s="28" t="s">
        <v>7666</v>
      </c>
      <c r="L57" s="28" t="s">
        <v>24</v>
      </c>
      <c r="M57" s="28" t="s">
        <v>21</v>
      </c>
      <c r="N57" s="18"/>
      <c r="O57" s="92">
        <v>32930</v>
      </c>
      <c r="P57" s="28" t="s">
        <v>21</v>
      </c>
      <c r="Q57" s="26" t="b">
        <v>0</v>
      </c>
      <c r="R57" s="22">
        <f t="shared" si="0"/>
        <v>136</v>
      </c>
    </row>
    <row r="58" spans="1:18">
      <c r="A58" s="26">
        <v>6507</v>
      </c>
      <c r="B58" s="27">
        <v>32801</v>
      </c>
      <c r="C58" s="28" t="s">
        <v>7455</v>
      </c>
      <c r="D58" s="27">
        <v>32799</v>
      </c>
      <c r="E58" s="28" t="s">
        <v>7456</v>
      </c>
      <c r="F58" s="28" t="s">
        <v>149</v>
      </c>
      <c r="G58" s="28" t="s">
        <v>20</v>
      </c>
      <c r="H58" s="28" t="s">
        <v>21</v>
      </c>
      <c r="I58" s="28" t="s">
        <v>21</v>
      </c>
      <c r="J58" s="28" t="s">
        <v>7457</v>
      </c>
      <c r="K58" s="28" t="s">
        <v>7458</v>
      </c>
      <c r="L58" s="28" t="s">
        <v>24</v>
      </c>
      <c r="M58" s="28" t="s">
        <v>21</v>
      </c>
      <c r="N58" s="18"/>
      <c r="O58" s="92">
        <v>33052</v>
      </c>
      <c r="P58" s="28" t="s">
        <v>31</v>
      </c>
      <c r="Q58" s="26" t="b">
        <v>0</v>
      </c>
      <c r="R58" s="22">
        <f t="shared" si="0"/>
        <v>251</v>
      </c>
    </row>
    <row r="59" spans="1:18">
      <c r="A59" s="26">
        <v>6464</v>
      </c>
      <c r="B59" s="27">
        <v>32805</v>
      </c>
      <c r="C59" s="28" t="s">
        <v>7356</v>
      </c>
      <c r="D59" s="27">
        <v>32800</v>
      </c>
      <c r="E59" s="28" t="s">
        <v>7357</v>
      </c>
      <c r="F59" s="28" t="s">
        <v>3062</v>
      </c>
      <c r="G59" s="28" t="s">
        <v>20</v>
      </c>
      <c r="H59" s="28" t="s">
        <v>21</v>
      </c>
      <c r="I59" s="28" t="s">
        <v>21</v>
      </c>
      <c r="J59" s="28" t="s">
        <v>7358</v>
      </c>
      <c r="K59" s="28" t="s">
        <v>7359</v>
      </c>
      <c r="L59" s="28" t="s">
        <v>30</v>
      </c>
      <c r="M59" s="28" t="s">
        <v>21</v>
      </c>
      <c r="N59" s="18"/>
      <c r="O59" s="92">
        <v>33995</v>
      </c>
      <c r="P59" s="28" t="s">
        <v>21</v>
      </c>
      <c r="Q59" s="26" t="b">
        <v>0</v>
      </c>
      <c r="R59" s="22">
        <f t="shared" si="0"/>
        <v>1188</v>
      </c>
    </row>
    <row r="60" spans="1:18">
      <c r="A60" s="26">
        <v>6549</v>
      </c>
      <c r="B60" s="27">
        <v>32806</v>
      </c>
      <c r="C60" s="28" t="s">
        <v>7570</v>
      </c>
      <c r="D60" s="27">
        <v>32806</v>
      </c>
      <c r="E60" s="28" t="s">
        <v>38</v>
      </c>
      <c r="F60" s="28" t="s">
        <v>145</v>
      </c>
      <c r="G60" s="28" t="s">
        <v>20</v>
      </c>
      <c r="H60" s="28" t="s">
        <v>21</v>
      </c>
      <c r="I60" s="28" t="s">
        <v>21</v>
      </c>
      <c r="J60" s="28" t="s">
        <v>7571</v>
      </c>
      <c r="K60" s="28" t="s">
        <v>7572</v>
      </c>
      <c r="L60" s="28" t="s">
        <v>59</v>
      </c>
      <c r="M60" s="28" t="s">
        <v>21</v>
      </c>
      <c r="O60" s="92">
        <v>32808</v>
      </c>
      <c r="P60" s="28" t="s">
        <v>21</v>
      </c>
      <c r="Q60" s="26" t="b">
        <v>0</v>
      </c>
      <c r="R60" s="22">
        <f t="shared" si="0"/>
        <v>2</v>
      </c>
    </row>
    <row r="61" spans="1:18" ht="24">
      <c r="A61" s="26">
        <v>6465</v>
      </c>
      <c r="B61" s="27">
        <v>32808</v>
      </c>
      <c r="C61" s="28" t="s">
        <v>7360</v>
      </c>
      <c r="D61" s="27">
        <v>32807</v>
      </c>
      <c r="E61" s="28" t="s">
        <v>7361</v>
      </c>
      <c r="F61" s="28" t="s">
        <v>350</v>
      </c>
      <c r="G61" s="28" t="s">
        <v>20</v>
      </c>
      <c r="H61" s="28" t="s">
        <v>21</v>
      </c>
      <c r="I61" s="28" t="s">
        <v>21</v>
      </c>
      <c r="J61" s="28" t="s">
        <v>7362</v>
      </c>
      <c r="K61" s="28" t="s">
        <v>21</v>
      </c>
      <c r="L61" s="28" t="s">
        <v>24</v>
      </c>
      <c r="M61" s="28" t="s">
        <v>21</v>
      </c>
      <c r="N61" s="18"/>
      <c r="O61" s="92">
        <v>32832</v>
      </c>
      <c r="P61" s="28" t="s">
        <v>21</v>
      </c>
      <c r="Q61" s="26" t="b">
        <v>0</v>
      </c>
      <c r="R61" s="22">
        <f t="shared" si="0"/>
        <v>23</v>
      </c>
    </row>
    <row r="62" spans="1:18" ht="24">
      <c r="A62" s="26">
        <v>6926</v>
      </c>
      <c r="B62" s="27">
        <v>32808</v>
      </c>
      <c r="C62" s="28" t="s">
        <v>7360</v>
      </c>
      <c r="D62" s="27">
        <v>32806</v>
      </c>
      <c r="E62" s="28" t="s">
        <v>8374</v>
      </c>
      <c r="F62" s="28" t="s">
        <v>665</v>
      </c>
      <c r="G62" s="28" t="s">
        <v>20</v>
      </c>
      <c r="H62" s="28" t="s">
        <v>21</v>
      </c>
      <c r="I62" s="28" t="s">
        <v>21</v>
      </c>
      <c r="J62" s="28" t="s">
        <v>8375</v>
      </c>
      <c r="K62" s="28" t="s">
        <v>21</v>
      </c>
      <c r="L62" s="28" t="s">
        <v>24</v>
      </c>
      <c r="M62" s="28" t="s">
        <v>21</v>
      </c>
      <c r="N62" s="18"/>
      <c r="O62" s="92">
        <v>33491</v>
      </c>
      <c r="P62" s="28" t="s">
        <v>21</v>
      </c>
      <c r="Q62" s="26" t="b">
        <v>0</v>
      </c>
      <c r="R62" s="22">
        <f t="shared" si="0"/>
        <v>682</v>
      </c>
    </row>
    <row r="63" spans="1:18">
      <c r="A63" s="26">
        <v>6954</v>
      </c>
      <c r="B63" s="27">
        <v>32811</v>
      </c>
      <c r="C63" s="28" t="s">
        <v>8446</v>
      </c>
      <c r="D63" s="27">
        <v>32807</v>
      </c>
      <c r="E63" s="28" t="s">
        <v>8447</v>
      </c>
      <c r="F63" s="28" t="s">
        <v>70</v>
      </c>
      <c r="G63" s="28" t="s">
        <v>20</v>
      </c>
      <c r="H63" s="28" t="s">
        <v>71</v>
      </c>
      <c r="I63" s="28" t="s">
        <v>72</v>
      </c>
      <c r="J63" s="28" t="s">
        <v>8448</v>
      </c>
      <c r="K63" s="28" t="s">
        <v>21</v>
      </c>
      <c r="L63" s="28" t="s">
        <v>24</v>
      </c>
      <c r="M63" s="28" t="s">
        <v>21</v>
      </c>
      <c r="O63" s="92">
        <v>33585</v>
      </c>
      <c r="P63" s="28" t="s">
        <v>31</v>
      </c>
      <c r="Q63" s="26" t="b">
        <v>0</v>
      </c>
      <c r="R63" s="22">
        <f t="shared" si="0"/>
        <v>773</v>
      </c>
    </row>
    <row r="64" spans="1:18">
      <c r="A64" s="26">
        <v>2398</v>
      </c>
      <c r="B64" s="27">
        <v>32828</v>
      </c>
      <c r="C64" s="28" t="s">
        <v>2834</v>
      </c>
      <c r="D64" s="27">
        <v>32828</v>
      </c>
      <c r="E64" s="28" t="s">
        <v>2835</v>
      </c>
      <c r="F64" s="28" t="s">
        <v>306</v>
      </c>
      <c r="G64" s="28" t="s">
        <v>20</v>
      </c>
      <c r="H64" s="28" t="s">
        <v>21</v>
      </c>
      <c r="I64" s="28" t="s">
        <v>21</v>
      </c>
      <c r="J64" s="28" t="s">
        <v>2836</v>
      </c>
      <c r="K64" s="28" t="s">
        <v>2830</v>
      </c>
      <c r="L64" s="28" t="s">
        <v>24</v>
      </c>
      <c r="M64" s="28" t="s">
        <v>21</v>
      </c>
      <c r="N64" s="18"/>
      <c r="O64" s="92">
        <v>34479</v>
      </c>
      <c r="P64" s="28" t="s">
        <v>21</v>
      </c>
      <c r="Q64" s="26" t="b">
        <v>0</v>
      </c>
      <c r="R64" s="22">
        <f t="shared" si="0"/>
        <v>1651</v>
      </c>
    </row>
    <row r="65" spans="1:18">
      <c r="A65" s="26">
        <v>6497</v>
      </c>
      <c r="B65" s="27">
        <v>32828</v>
      </c>
      <c r="C65" s="28" t="s">
        <v>2834</v>
      </c>
      <c r="D65" s="27">
        <v>32826</v>
      </c>
      <c r="E65" s="28" t="s">
        <v>7429</v>
      </c>
      <c r="F65" s="28" t="s">
        <v>38</v>
      </c>
      <c r="G65" s="28" t="s">
        <v>20</v>
      </c>
      <c r="H65" s="28" t="s">
        <v>21</v>
      </c>
      <c r="I65" s="28" t="s">
        <v>21</v>
      </c>
      <c r="J65" s="28" t="s">
        <v>7430</v>
      </c>
      <c r="K65" s="28" t="s">
        <v>7431</v>
      </c>
      <c r="L65" s="28" t="s">
        <v>24</v>
      </c>
      <c r="M65" s="28" t="s">
        <v>21</v>
      </c>
      <c r="N65" s="18"/>
      <c r="O65" s="92">
        <v>32857</v>
      </c>
      <c r="P65" s="28" t="s">
        <v>31</v>
      </c>
      <c r="Q65" s="26" t="b">
        <v>0</v>
      </c>
      <c r="R65" s="22">
        <f t="shared" si="0"/>
        <v>29</v>
      </c>
    </row>
    <row r="66" spans="1:18" ht="24">
      <c r="A66" s="26">
        <v>6551</v>
      </c>
      <c r="B66" s="27">
        <v>32839</v>
      </c>
      <c r="C66" s="28" t="s">
        <v>7578</v>
      </c>
      <c r="D66" s="27">
        <v>32834</v>
      </c>
      <c r="E66" s="28" t="s">
        <v>7579</v>
      </c>
      <c r="F66" s="28" t="s">
        <v>7580</v>
      </c>
      <c r="G66" s="28" t="s">
        <v>20</v>
      </c>
      <c r="H66" s="28" t="s">
        <v>21</v>
      </c>
      <c r="I66" s="28" t="s">
        <v>21</v>
      </c>
      <c r="J66" s="28" t="s">
        <v>7581</v>
      </c>
      <c r="K66" s="28" t="s">
        <v>7582</v>
      </c>
      <c r="L66" s="28" t="s">
        <v>82</v>
      </c>
      <c r="M66" s="28" t="s">
        <v>21</v>
      </c>
      <c r="N66" s="18"/>
      <c r="O66" s="92">
        <v>33361</v>
      </c>
      <c r="P66" s="28" t="s">
        <v>21</v>
      </c>
      <c r="Q66" s="26" t="b">
        <v>0</v>
      </c>
      <c r="R66" s="22">
        <f t="shared" ref="R66:R129" si="1">IF(O66=" ", " ", INT(YEARFRAC(O66, B66)*365))</f>
        <v>523</v>
      </c>
    </row>
    <row r="67" spans="1:18" ht="24">
      <c r="A67" s="26">
        <v>6468</v>
      </c>
      <c r="B67" s="27">
        <v>32840</v>
      </c>
      <c r="C67" s="28" t="s">
        <v>7370</v>
      </c>
      <c r="D67" s="27">
        <v>32839</v>
      </c>
      <c r="E67" s="28" t="s">
        <v>7371</v>
      </c>
      <c r="F67" s="28" t="s">
        <v>56</v>
      </c>
      <c r="G67" s="28" t="s">
        <v>20</v>
      </c>
      <c r="H67" s="28" t="s">
        <v>21</v>
      </c>
      <c r="I67" s="28" t="s">
        <v>21</v>
      </c>
      <c r="J67" s="28" t="s">
        <v>7372</v>
      </c>
      <c r="K67" s="28" t="s">
        <v>21</v>
      </c>
      <c r="L67" s="28" t="s">
        <v>24</v>
      </c>
      <c r="M67" s="28" t="s">
        <v>21</v>
      </c>
      <c r="N67" s="18"/>
      <c r="O67" s="92">
        <v>32854</v>
      </c>
      <c r="P67" s="28" t="s">
        <v>21</v>
      </c>
      <c r="Q67" s="26" t="b">
        <v>0</v>
      </c>
      <c r="R67" s="22">
        <f t="shared" si="1"/>
        <v>14</v>
      </c>
    </row>
    <row r="68" spans="1:18" ht="24">
      <c r="A68" s="26">
        <v>6526</v>
      </c>
      <c r="B68" s="27">
        <v>32840</v>
      </c>
      <c r="C68" s="28" t="s">
        <v>7370</v>
      </c>
      <c r="D68" s="27">
        <v>32836</v>
      </c>
      <c r="E68" s="28" t="s">
        <v>7513</v>
      </c>
      <c r="F68" s="28" t="s">
        <v>85</v>
      </c>
      <c r="G68" s="28" t="s">
        <v>20</v>
      </c>
      <c r="H68" s="28" t="s">
        <v>21</v>
      </c>
      <c r="I68" s="28" t="s">
        <v>21</v>
      </c>
      <c r="J68" s="28" t="s">
        <v>7514</v>
      </c>
      <c r="K68" s="28" t="s">
        <v>1783</v>
      </c>
      <c r="L68" s="28" t="s">
        <v>24</v>
      </c>
      <c r="M68" s="28" t="s">
        <v>21</v>
      </c>
      <c r="N68" s="18"/>
      <c r="O68" s="92">
        <v>33063</v>
      </c>
      <c r="P68" s="28" t="s">
        <v>21</v>
      </c>
      <c r="Q68" s="26" t="b">
        <v>0</v>
      </c>
      <c r="R68" s="22">
        <f t="shared" si="1"/>
        <v>224</v>
      </c>
    </row>
    <row r="69" spans="1:18">
      <c r="A69" s="26">
        <v>6494</v>
      </c>
      <c r="B69" s="27">
        <v>32841</v>
      </c>
      <c r="C69" s="28" t="s">
        <v>7417</v>
      </c>
      <c r="D69" s="27">
        <v>32833</v>
      </c>
      <c r="E69" s="28" t="s">
        <v>7418</v>
      </c>
      <c r="F69" s="28" t="s">
        <v>98</v>
      </c>
      <c r="G69" s="28" t="s">
        <v>20</v>
      </c>
      <c r="H69" s="28" t="s">
        <v>21</v>
      </c>
      <c r="I69" s="28" t="s">
        <v>21</v>
      </c>
      <c r="J69" s="28" t="s">
        <v>7419</v>
      </c>
      <c r="K69" s="28" t="s">
        <v>7420</v>
      </c>
      <c r="L69" s="28" t="s">
        <v>24</v>
      </c>
      <c r="M69" s="28" t="s">
        <v>21</v>
      </c>
      <c r="N69" s="18"/>
      <c r="O69" s="92">
        <v>32930</v>
      </c>
      <c r="P69" s="28" t="s">
        <v>21</v>
      </c>
      <c r="Q69" s="26" t="b">
        <v>0</v>
      </c>
      <c r="R69" s="22">
        <f t="shared" si="1"/>
        <v>88</v>
      </c>
    </row>
    <row r="70" spans="1:18" ht="24">
      <c r="A70" s="26">
        <v>6506</v>
      </c>
      <c r="B70" s="27">
        <v>32841</v>
      </c>
      <c r="C70" s="28" t="s">
        <v>7417</v>
      </c>
      <c r="D70" s="27">
        <v>32834</v>
      </c>
      <c r="E70" s="28" t="s">
        <v>7453</v>
      </c>
      <c r="F70" s="28" t="s">
        <v>149</v>
      </c>
      <c r="G70" s="28" t="s">
        <v>20</v>
      </c>
      <c r="H70" s="28" t="s">
        <v>21</v>
      </c>
      <c r="I70" s="28" t="s">
        <v>21</v>
      </c>
      <c r="J70" s="28" t="s">
        <v>7454</v>
      </c>
      <c r="K70" s="28" t="s">
        <v>21</v>
      </c>
      <c r="L70" s="28" t="s">
        <v>30</v>
      </c>
      <c r="M70" s="28" t="s">
        <v>21</v>
      </c>
      <c r="N70" s="18"/>
      <c r="O70" s="92">
        <v>33541</v>
      </c>
      <c r="P70" s="28" t="s">
        <v>21</v>
      </c>
      <c r="Q70" s="26" t="b">
        <v>0</v>
      </c>
      <c r="R70" s="22">
        <f t="shared" si="1"/>
        <v>700</v>
      </c>
    </row>
    <row r="71" spans="1:18">
      <c r="A71" s="26">
        <v>6492</v>
      </c>
      <c r="B71" s="27">
        <v>32843</v>
      </c>
      <c r="C71" s="28" t="s">
        <v>7410</v>
      </c>
      <c r="D71" s="27">
        <v>32839</v>
      </c>
      <c r="E71" s="28" t="s">
        <v>7411</v>
      </c>
      <c r="F71" s="28" t="s">
        <v>98</v>
      </c>
      <c r="G71" s="28" t="s">
        <v>20</v>
      </c>
      <c r="H71" s="28" t="s">
        <v>21</v>
      </c>
      <c r="I71" s="28" t="s">
        <v>21</v>
      </c>
      <c r="J71" s="28" t="s">
        <v>7412</v>
      </c>
      <c r="K71" s="28" t="s">
        <v>7413</v>
      </c>
      <c r="L71" s="28" t="s">
        <v>36</v>
      </c>
      <c r="M71" s="28" t="s">
        <v>21</v>
      </c>
      <c r="N71" s="18"/>
      <c r="O71" s="92">
        <v>33294</v>
      </c>
      <c r="P71" s="28" t="s">
        <v>31</v>
      </c>
      <c r="Q71" s="26" t="b">
        <v>0</v>
      </c>
      <c r="R71" s="22">
        <f t="shared" si="1"/>
        <v>450</v>
      </c>
    </row>
    <row r="72" spans="1:18" ht="24">
      <c r="A72" s="26">
        <v>6929</v>
      </c>
      <c r="B72" s="27">
        <v>32843</v>
      </c>
      <c r="C72" s="28" t="s">
        <v>7410</v>
      </c>
      <c r="D72" s="27">
        <v>32842</v>
      </c>
      <c r="E72" s="28" t="s">
        <v>8379</v>
      </c>
      <c r="F72" s="28" t="s">
        <v>6456</v>
      </c>
      <c r="G72" s="28" t="s">
        <v>20</v>
      </c>
      <c r="H72" s="28" t="s">
        <v>189</v>
      </c>
      <c r="I72" s="28" t="s">
        <v>189</v>
      </c>
      <c r="J72" s="28" t="s">
        <v>8380</v>
      </c>
      <c r="K72" s="28" t="s">
        <v>8381</v>
      </c>
      <c r="L72" s="28" t="s">
        <v>24</v>
      </c>
      <c r="M72" s="28" t="s">
        <v>21</v>
      </c>
      <c r="O72" s="92">
        <v>33011</v>
      </c>
      <c r="P72" s="28" t="s">
        <v>31</v>
      </c>
      <c r="Q72" s="26" t="b">
        <v>0</v>
      </c>
      <c r="R72" s="22">
        <f t="shared" si="1"/>
        <v>169</v>
      </c>
    </row>
    <row r="73" spans="1:18">
      <c r="A73" s="26">
        <v>6534</v>
      </c>
      <c r="B73" s="27">
        <v>32848</v>
      </c>
      <c r="C73" s="28" t="s">
        <v>7535</v>
      </c>
      <c r="D73" s="27">
        <v>32841</v>
      </c>
      <c r="E73" s="28" t="s">
        <v>7536</v>
      </c>
      <c r="F73" s="28" t="s">
        <v>19</v>
      </c>
      <c r="G73" s="28" t="s">
        <v>20</v>
      </c>
      <c r="H73" s="28" t="s">
        <v>21</v>
      </c>
      <c r="I73" s="28" t="s">
        <v>21</v>
      </c>
      <c r="J73" s="28" t="s">
        <v>7537</v>
      </c>
      <c r="K73" s="28" t="s">
        <v>21</v>
      </c>
      <c r="L73" s="28" t="s">
        <v>30</v>
      </c>
      <c r="M73" s="28" t="s">
        <v>21</v>
      </c>
      <c r="N73" s="18"/>
      <c r="O73" s="92">
        <v>33254</v>
      </c>
      <c r="P73" s="28" t="s">
        <v>31</v>
      </c>
      <c r="Q73" s="26" t="b">
        <v>0</v>
      </c>
      <c r="R73" s="22">
        <f t="shared" si="1"/>
        <v>405</v>
      </c>
    </row>
    <row r="74" spans="1:18">
      <c r="A74" s="26">
        <v>6928</v>
      </c>
      <c r="B74" s="27">
        <v>32848</v>
      </c>
      <c r="C74" s="28" t="s">
        <v>7535</v>
      </c>
      <c r="D74" s="27">
        <v>32858</v>
      </c>
      <c r="E74" s="28" t="s">
        <v>8376</v>
      </c>
      <c r="F74" s="28" t="s">
        <v>1232</v>
      </c>
      <c r="G74" s="28" t="s">
        <v>20</v>
      </c>
      <c r="H74" s="28" t="s">
        <v>189</v>
      </c>
      <c r="I74" s="28" t="s">
        <v>189</v>
      </c>
      <c r="J74" s="28" t="s">
        <v>8377</v>
      </c>
      <c r="K74" s="28" t="s">
        <v>8378</v>
      </c>
      <c r="L74" s="28" t="s">
        <v>24</v>
      </c>
      <c r="M74" s="28" t="s">
        <v>21</v>
      </c>
      <c r="O74" s="92">
        <v>33045</v>
      </c>
      <c r="P74" s="28" t="s">
        <v>31</v>
      </c>
      <c r="Q74" s="26" t="b">
        <v>0</v>
      </c>
      <c r="R74" s="22">
        <f t="shared" si="1"/>
        <v>197</v>
      </c>
    </row>
    <row r="75" spans="1:18">
      <c r="A75" s="26">
        <v>6538</v>
      </c>
      <c r="B75" s="27">
        <v>32849</v>
      </c>
      <c r="C75" s="28" t="s">
        <v>7545</v>
      </c>
      <c r="D75" s="27">
        <v>32849</v>
      </c>
      <c r="E75" s="28" t="s">
        <v>7546</v>
      </c>
      <c r="F75" s="28" t="s">
        <v>3503</v>
      </c>
      <c r="G75" s="28" t="s">
        <v>20</v>
      </c>
      <c r="H75" s="28" t="s">
        <v>21</v>
      </c>
      <c r="I75" s="28" t="s">
        <v>21</v>
      </c>
      <c r="J75" s="28" t="s">
        <v>7547</v>
      </c>
      <c r="K75" s="28" t="s">
        <v>7548</v>
      </c>
      <c r="L75" s="28" t="s">
        <v>30</v>
      </c>
      <c r="M75" s="28" t="s">
        <v>21</v>
      </c>
      <c r="N75" s="18"/>
      <c r="O75" s="92">
        <v>33267</v>
      </c>
      <c r="P75" s="28" t="s">
        <v>21</v>
      </c>
      <c r="Q75" s="26" t="b">
        <v>0</v>
      </c>
      <c r="R75" s="22">
        <f t="shared" si="1"/>
        <v>417</v>
      </c>
    </row>
    <row r="76" spans="1:18" ht="24">
      <c r="A76" s="26">
        <v>6548</v>
      </c>
      <c r="B76" s="27">
        <v>32849</v>
      </c>
      <c r="C76" s="28" t="s">
        <v>7545</v>
      </c>
      <c r="D76" s="27">
        <v>32836</v>
      </c>
      <c r="E76" s="28" t="s">
        <v>7568</v>
      </c>
      <c r="F76" s="28" t="s">
        <v>145</v>
      </c>
      <c r="G76" s="28" t="s">
        <v>20</v>
      </c>
      <c r="H76" s="28" t="s">
        <v>21</v>
      </c>
      <c r="I76" s="28" t="s">
        <v>21</v>
      </c>
      <c r="J76" s="28" t="s">
        <v>7569</v>
      </c>
      <c r="K76" s="28" t="s">
        <v>21</v>
      </c>
      <c r="L76" s="28" t="s">
        <v>24</v>
      </c>
      <c r="M76" s="28" t="s">
        <v>21</v>
      </c>
      <c r="O76" s="92">
        <v>32876</v>
      </c>
      <c r="P76" s="28" t="s">
        <v>31</v>
      </c>
      <c r="Q76" s="26" t="b">
        <v>0</v>
      </c>
      <c r="R76" s="22">
        <f t="shared" si="1"/>
        <v>26</v>
      </c>
    </row>
    <row r="77" spans="1:18" ht="24">
      <c r="A77" s="26">
        <v>6493</v>
      </c>
      <c r="B77" s="27">
        <v>32850</v>
      </c>
      <c r="C77" s="28" t="s">
        <v>7414</v>
      </c>
      <c r="D77" s="27">
        <v>32847</v>
      </c>
      <c r="E77" s="28" t="s">
        <v>7415</v>
      </c>
      <c r="F77" s="28" t="s">
        <v>98</v>
      </c>
      <c r="G77" s="28" t="s">
        <v>20</v>
      </c>
      <c r="H77" s="28" t="s">
        <v>21</v>
      </c>
      <c r="I77" s="28" t="s">
        <v>21</v>
      </c>
      <c r="J77" s="28" t="s">
        <v>3538</v>
      </c>
      <c r="K77" s="28" t="s">
        <v>7416</v>
      </c>
      <c r="L77" s="28" t="s">
        <v>30</v>
      </c>
      <c r="M77" s="28" t="s">
        <v>21</v>
      </c>
      <c r="N77" s="18"/>
      <c r="O77" s="92">
        <v>33108</v>
      </c>
      <c r="P77" s="28" t="s">
        <v>21</v>
      </c>
      <c r="Q77" s="26" t="b">
        <v>0</v>
      </c>
      <c r="R77" s="22">
        <f t="shared" si="1"/>
        <v>258</v>
      </c>
    </row>
    <row r="78" spans="1:18">
      <c r="A78" s="26">
        <v>6531</v>
      </c>
      <c r="B78" s="27">
        <v>32853</v>
      </c>
      <c r="C78" s="28" t="s">
        <v>7527</v>
      </c>
      <c r="D78" s="27">
        <v>32849</v>
      </c>
      <c r="E78" s="28" t="s">
        <v>7528</v>
      </c>
      <c r="F78" s="28" t="s">
        <v>124</v>
      </c>
      <c r="G78" s="28" t="s">
        <v>20</v>
      </c>
      <c r="H78" s="28" t="s">
        <v>21</v>
      </c>
      <c r="I78" s="28" t="s">
        <v>21</v>
      </c>
      <c r="J78" s="28" t="s">
        <v>7529</v>
      </c>
      <c r="K78" s="28" t="s">
        <v>6406</v>
      </c>
      <c r="L78" s="28" t="s">
        <v>82</v>
      </c>
      <c r="M78" s="28" t="s">
        <v>21</v>
      </c>
      <c r="N78" s="18"/>
      <c r="O78" s="92">
        <v>33333</v>
      </c>
      <c r="P78" s="28" t="s">
        <v>31</v>
      </c>
      <c r="Q78" s="26" t="b">
        <v>0</v>
      </c>
      <c r="R78" s="22">
        <f t="shared" si="1"/>
        <v>480</v>
      </c>
    </row>
    <row r="79" spans="1:18" ht="24">
      <c r="A79" s="26">
        <v>6498</v>
      </c>
      <c r="B79" s="27">
        <v>32855</v>
      </c>
      <c r="C79" s="28" t="s">
        <v>1106</v>
      </c>
      <c r="D79" s="27">
        <v>32853</v>
      </c>
      <c r="E79" s="28" t="s">
        <v>7432</v>
      </c>
      <c r="F79" s="28" t="s">
        <v>1338</v>
      </c>
      <c r="G79" s="28" t="s">
        <v>20</v>
      </c>
      <c r="H79" s="28" t="s">
        <v>21</v>
      </c>
      <c r="I79" s="28" t="s">
        <v>21</v>
      </c>
      <c r="J79" s="28" t="s">
        <v>7433</v>
      </c>
      <c r="K79" s="28" t="s">
        <v>21</v>
      </c>
      <c r="L79" s="28" t="s">
        <v>24</v>
      </c>
      <c r="M79" s="28" t="s">
        <v>21</v>
      </c>
      <c r="O79" s="92">
        <v>32884</v>
      </c>
      <c r="P79" s="28" t="s">
        <v>21</v>
      </c>
      <c r="Q79" s="26" t="b">
        <v>0</v>
      </c>
      <c r="R79" s="22">
        <f t="shared" si="1"/>
        <v>28</v>
      </c>
    </row>
    <row r="80" spans="1:18">
      <c r="A80" s="26">
        <v>6532</v>
      </c>
      <c r="B80" s="27">
        <v>32855</v>
      </c>
      <c r="C80" s="28" t="s">
        <v>1106</v>
      </c>
      <c r="D80" s="27">
        <v>32841</v>
      </c>
      <c r="E80" s="28" t="s">
        <v>7530</v>
      </c>
      <c r="F80" s="28" t="s">
        <v>124</v>
      </c>
      <c r="G80" s="28" t="s">
        <v>20</v>
      </c>
      <c r="H80" s="28" t="s">
        <v>21</v>
      </c>
      <c r="I80" s="28" t="s">
        <v>21</v>
      </c>
      <c r="J80" s="28" t="s">
        <v>7531</v>
      </c>
      <c r="K80" s="28" t="s">
        <v>21</v>
      </c>
      <c r="L80" s="28" t="s">
        <v>24</v>
      </c>
      <c r="M80" s="28" t="s">
        <v>21</v>
      </c>
      <c r="N80" s="18"/>
      <c r="O80" s="92">
        <v>33217</v>
      </c>
      <c r="P80" s="28" t="s">
        <v>21</v>
      </c>
      <c r="Q80" s="26" t="b">
        <v>0</v>
      </c>
      <c r="R80" s="22">
        <f t="shared" si="1"/>
        <v>361</v>
      </c>
    </row>
    <row r="81" spans="1:18" ht="24">
      <c r="A81" s="26">
        <v>6447</v>
      </c>
      <c r="B81" s="27">
        <v>32860</v>
      </c>
      <c r="C81" s="28" t="s">
        <v>7328</v>
      </c>
      <c r="D81" s="27">
        <v>32860</v>
      </c>
      <c r="E81" s="28" t="s">
        <v>7329</v>
      </c>
      <c r="F81" s="28" t="s">
        <v>741</v>
      </c>
      <c r="G81" s="28" t="s">
        <v>20</v>
      </c>
      <c r="H81" s="28" t="s">
        <v>21</v>
      </c>
      <c r="I81" s="28" t="s">
        <v>21</v>
      </c>
      <c r="J81" s="28" t="s">
        <v>7330</v>
      </c>
      <c r="K81" s="28" t="s">
        <v>21</v>
      </c>
      <c r="L81" s="28" t="s">
        <v>36</v>
      </c>
      <c r="M81" s="28" t="s">
        <v>21</v>
      </c>
      <c r="N81" s="18"/>
      <c r="O81" s="92">
        <v>33219</v>
      </c>
      <c r="P81" s="28" t="s">
        <v>21</v>
      </c>
      <c r="Q81" s="26" t="b">
        <v>0</v>
      </c>
      <c r="R81" s="22">
        <f t="shared" si="1"/>
        <v>358</v>
      </c>
    </row>
    <row r="82" spans="1:18" ht="24">
      <c r="A82" s="26">
        <v>6925</v>
      </c>
      <c r="B82" s="27">
        <v>32861</v>
      </c>
      <c r="C82" s="28" t="s">
        <v>8371</v>
      </c>
      <c r="D82" s="27">
        <v>32856</v>
      </c>
      <c r="E82" s="28" t="s">
        <v>8372</v>
      </c>
      <c r="F82" s="28" t="s">
        <v>665</v>
      </c>
      <c r="G82" s="28" t="s">
        <v>20</v>
      </c>
      <c r="H82" s="28" t="s">
        <v>21</v>
      </c>
      <c r="I82" s="28" t="s">
        <v>21</v>
      </c>
      <c r="J82" s="28" t="s">
        <v>8373</v>
      </c>
      <c r="K82" s="28" t="s">
        <v>21</v>
      </c>
      <c r="L82" s="28" t="s">
        <v>24</v>
      </c>
      <c r="M82" s="28" t="s">
        <v>21</v>
      </c>
      <c r="N82" s="18"/>
      <c r="O82" s="92">
        <v>33491</v>
      </c>
      <c r="P82" s="28" t="s">
        <v>21</v>
      </c>
      <c r="Q82" s="26" t="b">
        <v>0</v>
      </c>
      <c r="R82" s="22">
        <f t="shared" si="1"/>
        <v>629</v>
      </c>
    </row>
    <row r="83" spans="1:18" ht="24">
      <c r="A83" s="26">
        <v>6934</v>
      </c>
      <c r="B83" s="27">
        <v>32863</v>
      </c>
      <c r="C83" s="28" t="s">
        <v>8393</v>
      </c>
      <c r="D83" s="27">
        <v>32860</v>
      </c>
      <c r="E83" s="28" t="s">
        <v>8394</v>
      </c>
      <c r="F83" s="28" t="s">
        <v>8395</v>
      </c>
      <c r="G83" s="28" t="s">
        <v>20</v>
      </c>
      <c r="H83" s="28" t="s">
        <v>566</v>
      </c>
      <c r="I83" s="28" t="s">
        <v>566</v>
      </c>
      <c r="J83" s="28" t="s">
        <v>8396</v>
      </c>
      <c r="K83" s="28" t="s">
        <v>21</v>
      </c>
      <c r="L83" s="28" t="s">
        <v>24</v>
      </c>
      <c r="M83" s="28" t="s">
        <v>21</v>
      </c>
      <c r="N83" s="18"/>
      <c r="O83" s="92">
        <v>33224</v>
      </c>
      <c r="P83" s="28" t="s">
        <v>21</v>
      </c>
      <c r="Q83" s="26" t="b">
        <v>0</v>
      </c>
      <c r="R83" s="22">
        <f t="shared" si="1"/>
        <v>360</v>
      </c>
    </row>
    <row r="84" spans="1:18">
      <c r="A84" s="26">
        <v>6537</v>
      </c>
      <c r="B84" s="27">
        <v>32864</v>
      </c>
      <c r="C84" s="28" t="s">
        <v>7542</v>
      </c>
      <c r="D84" s="27">
        <v>32861</v>
      </c>
      <c r="E84" s="28" t="s">
        <v>7543</v>
      </c>
      <c r="F84" s="28" t="s">
        <v>1537</v>
      </c>
      <c r="G84" s="28" t="s">
        <v>20</v>
      </c>
      <c r="H84" s="28" t="s">
        <v>21</v>
      </c>
      <c r="I84" s="28" t="s">
        <v>21</v>
      </c>
      <c r="J84" s="28" t="s">
        <v>7544</v>
      </c>
      <c r="K84" s="28" t="s">
        <v>21</v>
      </c>
      <c r="L84" s="28" t="s">
        <v>24</v>
      </c>
      <c r="M84" s="28" t="s">
        <v>21</v>
      </c>
      <c r="N84" s="18"/>
      <c r="O84" s="92">
        <v>33268</v>
      </c>
      <c r="P84" s="28" t="s">
        <v>31</v>
      </c>
      <c r="Q84" s="26" t="b">
        <v>0</v>
      </c>
      <c r="R84" s="22">
        <f t="shared" si="1"/>
        <v>403</v>
      </c>
    </row>
    <row r="85" spans="1:18" ht="24">
      <c r="A85" s="26">
        <v>6542</v>
      </c>
      <c r="B85" s="27">
        <v>32864</v>
      </c>
      <c r="C85" s="28" t="s">
        <v>7542</v>
      </c>
      <c r="D85" s="27">
        <v>32864</v>
      </c>
      <c r="E85" s="28" t="s">
        <v>7556</v>
      </c>
      <c r="F85" s="28" t="s">
        <v>283</v>
      </c>
      <c r="G85" s="28" t="s">
        <v>20</v>
      </c>
      <c r="H85" s="28" t="s">
        <v>21</v>
      </c>
      <c r="I85" s="28" t="s">
        <v>21</v>
      </c>
      <c r="J85" s="28" t="s">
        <v>7557</v>
      </c>
      <c r="K85" s="28" t="s">
        <v>21</v>
      </c>
      <c r="L85" s="28" t="s">
        <v>24</v>
      </c>
      <c r="M85" s="28" t="s">
        <v>21</v>
      </c>
      <c r="N85" s="18"/>
      <c r="O85" s="92">
        <v>32925</v>
      </c>
      <c r="P85" s="28" t="s">
        <v>21</v>
      </c>
      <c r="Q85" s="26" t="b">
        <v>0</v>
      </c>
      <c r="R85" s="22">
        <f t="shared" si="1"/>
        <v>59</v>
      </c>
    </row>
    <row r="86" spans="1:18">
      <c r="A86" s="26">
        <v>6935</v>
      </c>
      <c r="B86" s="27">
        <v>32864</v>
      </c>
      <c r="C86" s="28" t="s">
        <v>7542</v>
      </c>
      <c r="D86" s="27">
        <v>32861</v>
      </c>
      <c r="E86" s="28" t="s">
        <v>8397</v>
      </c>
      <c r="F86" s="28" t="s">
        <v>1047</v>
      </c>
      <c r="G86" s="28" t="s">
        <v>20</v>
      </c>
      <c r="H86" s="28" t="s">
        <v>71</v>
      </c>
      <c r="I86" s="28" t="s">
        <v>72</v>
      </c>
      <c r="J86" s="28" t="s">
        <v>7465</v>
      </c>
      <c r="K86" s="28" t="s">
        <v>8398</v>
      </c>
      <c r="L86" s="28" t="s">
        <v>24</v>
      </c>
      <c r="M86" s="28" t="s">
        <v>21</v>
      </c>
      <c r="N86" s="18"/>
      <c r="O86" s="92">
        <v>33151</v>
      </c>
      <c r="P86" s="28" t="s">
        <v>21</v>
      </c>
      <c r="Q86" s="26" t="b">
        <v>0</v>
      </c>
      <c r="R86" s="22">
        <f t="shared" si="1"/>
        <v>286</v>
      </c>
    </row>
    <row r="87" spans="1:18" ht="24">
      <c r="A87" s="26">
        <v>6488</v>
      </c>
      <c r="B87" s="27">
        <v>32868</v>
      </c>
      <c r="C87" s="28" t="s">
        <v>7401</v>
      </c>
      <c r="D87" s="27">
        <v>32862</v>
      </c>
      <c r="E87" s="28" t="s">
        <v>7402</v>
      </c>
      <c r="F87" s="28" t="s">
        <v>39</v>
      </c>
      <c r="G87" s="28" t="s">
        <v>20</v>
      </c>
      <c r="H87" s="28" t="s">
        <v>21</v>
      </c>
      <c r="I87" s="28" t="s">
        <v>21</v>
      </c>
      <c r="J87" s="28" t="s">
        <v>7403</v>
      </c>
      <c r="K87" s="28" t="s">
        <v>21</v>
      </c>
      <c r="L87" s="28" t="s">
        <v>36</v>
      </c>
      <c r="M87" s="28" t="s">
        <v>21</v>
      </c>
      <c r="O87" s="92">
        <v>32891</v>
      </c>
      <c r="P87" s="28" t="s">
        <v>21</v>
      </c>
      <c r="Q87" s="26" t="b">
        <v>0</v>
      </c>
      <c r="R87" s="22">
        <f t="shared" si="1"/>
        <v>22</v>
      </c>
    </row>
    <row r="88" spans="1:18">
      <c r="A88" s="26">
        <v>6491</v>
      </c>
      <c r="B88" s="27">
        <v>32868</v>
      </c>
      <c r="C88" s="28" t="s">
        <v>7401</v>
      </c>
      <c r="D88" s="27">
        <v>32868</v>
      </c>
      <c r="E88" s="28" t="s">
        <v>7409</v>
      </c>
      <c r="F88" s="28" t="s">
        <v>98</v>
      </c>
      <c r="G88" s="28" t="s">
        <v>20</v>
      </c>
      <c r="H88" s="28" t="s">
        <v>21</v>
      </c>
      <c r="I88" s="28" t="s">
        <v>21</v>
      </c>
      <c r="J88" s="28" t="s">
        <v>221</v>
      </c>
      <c r="K88" s="28" t="s">
        <v>232</v>
      </c>
      <c r="L88" s="28" t="s">
        <v>24</v>
      </c>
      <c r="M88" s="28" t="s">
        <v>21</v>
      </c>
      <c r="N88" s="18"/>
      <c r="O88" s="92">
        <v>33308</v>
      </c>
      <c r="P88" s="28" t="s">
        <v>31</v>
      </c>
      <c r="Q88" s="26" t="b">
        <v>0</v>
      </c>
      <c r="R88" s="22">
        <f t="shared" si="1"/>
        <v>441</v>
      </c>
    </row>
    <row r="89" spans="1:18">
      <c r="A89" s="26">
        <v>6516</v>
      </c>
      <c r="B89" s="27">
        <v>32869</v>
      </c>
      <c r="C89" s="28" t="s">
        <v>7486</v>
      </c>
      <c r="D89" s="27">
        <v>32869</v>
      </c>
      <c r="E89" s="28" t="s">
        <v>7487</v>
      </c>
      <c r="F89" s="28" t="s">
        <v>129</v>
      </c>
      <c r="G89" s="28" t="s">
        <v>20</v>
      </c>
      <c r="H89" s="28" t="s">
        <v>21</v>
      </c>
      <c r="I89" s="28" t="s">
        <v>21</v>
      </c>
      <c r="J89" s="28" t="s">
        <v>7488</v>
      </c>
      <c r="K89" s="28" t="s">
        <v>21</v>
      </c>
      <c r="L89" s="28" t="s">
        <v>30</v>
      </c>
      <c r="M89" s="28" t="s">
        <v>21</v>
      </c>
      <c r="N89" s="18"/>
      <c r="O89" s="92">
        <v>32854</v>
      </c>
      <c r="P89" s="28" t="s">
        <v>21</v>
      </c>
      <c r="Q89" s="26" t="b">
        <v>0</v>
      </c>
      <c r="R89" s="22">
        <f t="shared" si="1"/>
        <v>15</v>
      </c>
    </row>
    <row r="90" spans="1:18" ht="24">
      <c r="A90" s="26">
        <v>6937</v>
      </c>
      <c r="B90" s="27">
        <v>32871</v>
      </c>
      <c r="C90" s="28" t="s">
        <v>8401</v>
      </c>
      <c r="D90" s="27">
        <v>32869</v>
      </c>
      <c r="E90" s="28" t="s">
        <v>8402</v>
      </c>
      <c r="F90" s="28" t="s">
        <v>2580</v>
      </c>
      <c r="G90" s="28" t="s">
        <v>20</v>
      </c>
      <c r="H90" s="28" t="s">
        <v>71</v>
      </c>
      <c r="I90" s="28" t="s">
        <v>72</v>
      </c>
      <c r="J90" s="28" t="s">
        <v>8403</v>
      </c>
      <c r="K90" s="28" t="s">
        <v>21</v>
      </c>
      <c r="L90" s="28" t="s">
        <v>24</v>
      </c>
      <c r="M90" s="28" t="s">
        <v>21</v>
      </c>
      <c r="O90" s="92">
        <v>33036</v>
      </c>
      <c r="P90" s="28" t="s">
        <v>182</v>
      </c>
      <c r="Q90" s="26" t="b">
        <v>0</v>
      </c>
      <c r="R90" s="22">
        <f t="shared" si="1"/>
        <v>165</v>
      </c>
    </row>
    <row r="91" spans="1:18">
      <c r="A91" s="26">
        <v>2</v>
      </c>
      <c r="B91" s="27">
        <v>32972</v>
      </c>
      <c r="C91" s="28" t="s">
        <v>17</v>
      </c>
      <c r="D91" s="27">
        <v>32898</v>
      </c>
      <c r="E91" s="28" t="s">
        <v>18</v>
      </c>
      <c r="F91" s="28" t="s">
        <v>19</v>
      </c>
      <c r="G91" s="28" t="s">
        <v>20</v>
      </c>
      <c r="H91" s="28" t="s">
        <v>21</v>
      </c>
      <c r="I91" s="28" t="s">
        <v>21</v>
      </c>
      <c r="J91" s="28" t="s">
        <v>22</v>
      </c>
      <c r="K91" s="28" t="s">
        <v>23</v>
      </c>
      <c r="L91" s="28" t="s">
        <v>24</v>
      </c>
      <c r="M91" s="28" t="s">
        <v>21</v>
      </c>
      <c r="N91" s="27">
        <v>32932</v>
      </c>
      <c r="O91" s="92">
        <v>33333</v>
      </c>
      <c r="P91" s="28" t="s">
        <v>21</v>
      </c>
      <c r="Q91" s="26" t="b">
        <v>1</v>
      </c>
      <c r="R91" s="22">
        <f t="shared" si="1"/>
        <v>360</v>
      </c>
    </row>
    <row r="92" spans="1:18">
      <c r="A92" s="26">
        <v>3</v>
      </c>
      <c r="B92" s="27">
        <v>32972</v>
      </c>
      <c r="C92" s="28" t="s">
        <v>25</v>
      </c>
      <c r="D92" s="27">
        <v>32899</v>
      </c>
      <c r="E92" s="28" t="s">
        <v>26</v>
      </c>
      <c r="F92" s="28" t="s">
        <v>27</v>
      </c>
      <c r="G92" s="28" t="s">
        <v>20</v>
      </c>
      <c r="H92" s="28" t="s">
        <v>21</v>
      </c>
      <c r="I92" s="28" t="s">
        <v>21</v>
      </c>
      <c r="J92" s="28" t="s">
        <v>28</v>
      </c>
      <c r="K92" s="28" t="s">
        <v>29</v>
      </c>
      <c r="L92" s="28" t="s">
        <v>30</v>
      </c>
      <c r="M92" s="28" t="s">
        <v>21</v>
      </c>
      <c r="N92" s="27">
        <v>32932</v>
      </c>
      <c r="O92" s="92">
        <v>33009</v>
      </c>
      <c r="P92" s="28" t="s">
        <v>31</v>
      </c>
      <c r="Q92" s="26" t="b">
        <v>0</v>
      </c>
      <c r="R92" s="22">
        <f t="shared" si="1"/>
        <v>37</v>
      </c>
    </row>
    <row r="93" spans="1:18">
      <c r="A93" s="26">
        <v>4</v>
      </c>
      <c r="B93" s="27">
        <v>32972</v>
      </c>
      <c r="C93" s="28" t="s">
        <v>32</v>
      </c>
      <c r="D93" s="27">
        <v>32752</v>
      </c>
      <c r="E93" s="28" t="s">
        <v>33</v>
      </c>
      <c r="F93" s="28" t="s">
        <v>34</v>
      </c>
      <c r="G93" s="28" t="s">
        <v>20</v>
      </c>
      <c r="H93" s="28" t="s">
        <v>21</v>
      </c>
      <c r="I93" s="28" t="s">
        <v>21</v>
      </c>
      <c r="J93" s="28" t="s">
        <v>35</v>
      </c>
      <c r="K93" s="28" t="s">
        <v>21</v>
      </c>
      <c r="L93" s="28" t="s">
        <v>36</v>
      </c>
      <c r="M93" s="28" t="s">
        <v>21</v>
      </c>
      <c r="N93" s="29">
        <v>32949</v>
      </c>
      <c r="O93" s="92">
        <v>33073</v>
      </c>
      <c r="P93" s="28" t="s">
        <v>21</v>
      </c>
      <c r="Q93" s="26" t="b">
        <v>0</v>
      </c>
      <c r="R93" s="22">
        <f t="shared" si="1"/>
        <v>101</v>
      </c>
    </row>
    <row r="94" spans="1:18">
      <c r="A94" s="26">
        <v>5</v>
      </c>
      <c r="B94" s="27">
        <v>32972</v>
      </c>
      <c r="C94" s="28" t="s">
        <v>37</v>
      </c>
      <c r="D94" s="27">
        <v>32871</v>
      </c>
      <c r="E94" s="28" t="s">
        <v>38</v>
      </c>
      <c r="F94" s="28" t="s">
        <v>39</v>
      </c>
      <c r="G94" s="28" t="s">
        <v>20</v>
      </c>
      <c r="H94" s="28" t="s">
        <v>21</v>
      </c>
      <c r="I94" s="28" t="s">
        <v>21</v>
      </c>
      <c r="J94" s="28" t="s">
        <v>40</v>
      </c>
      <c r="K94" s="28" t="s">
        <v>21</v>
      </c>
      <c r="L94" s="28" t="s">
        <v>30</v>
      </c>
      <c r="M94" s="28" t="s">
        <v>21</v>
      </c>
      <c r="O94" s="92">
        <v>32939</v>
      </c>
      <c r="P94" s="28" t="s">
        <v>31</v>
      </c>
      <c r="Q94" s="26" t="b">
        <v>0</v>
      </c>
      <c r="R94" s="22">
        <f t="shared" si="1"/>
        <v>32</v>
      </c>
    </row>
    <row r="95" spans="1:18">
      <c r="A95" s="26">
        <v>6</v>
      </c>
      <c r="B95" s="27">
        <v>32972</v>
      </c>
      <c r="C95" s="28" t="s">
        <v>41</v>
      </c>
      <c r="D95" s="27">
        <v>32904</v>
      </c>
      <c r="E95" s="28" t="s">
        <v>42</v>
      </c>
      <c r="F95" s="28" t="s">
        <v>43</v>
      </c>
      <c r="G95" s="28" t="s">
        <v>20</v>
      </c>
      <c r="H95" s="28" t="s">
        <v>21</v>
      </c>
      <c r="I95" s="28" t="s">
        <v>21</v>
      </c>
      <c r="J95" s="28" t="s">
        <v>44</v>
      </c>
      <c r="K95" s="28" t="s">
        <v>45</v>
      </c>
      <c r="L95" s="28" t="s">
        <v>24</v>
      </c>
      <c r="M95" s="28" t="s">
        <v>21</v>
      </c>
      <c r="N95" s="27">
        <v>32924</v>
      </c>
      <c r="O95" s="92">
        <v>32972</v>
      </c>
      <c r="P95" s="28" t="s">
        <v>21</v>
      </c>
      <c r="Q95" s="26" t="b">
        <v>0</v>
      </c>
      <c r="R95" s="22">
        <f t="shared" si="1"/>
        <v>0</v>
      </c>
    </row>
    <row r="96" spans="1:18">
      <c r="A96" s="26">
        <v>7</v>
      </c>
      <c r="B96" s="27">
        <v>32972</v>
      </c>
      <c r="C96" s="28" t="s">
        <v>46</v>
      </c>
      <c r="D96" s="27">
        <v>32906</v>
      </c>
      <c r="E96" s="28" t="s">
        <v>47</v>
      </c>
      <c r="F96" s="28" t="s">
        <v>27</v>
      </c>
      <c r="G96" s="28" t="s">
        <v>20</v>
      </c>
      <c r="H96" s="28" t="s">
        <v>21</v>
      </c>
      <c r="I96" s="28" t="s">
        <v>21</v>
      </c>
      <c r="J96" s="28" t="s">
        <v>48</v>
      </c>
      <c r="K96" s="28" t="s">
        <v>49</v>
      </c>
      <c r="L96" s="28" t="s">
        <v>24</v>
      </c>
      <c r="M96" s="28" t="s">
        <v>21</v>
      </c>
      <c r="N96" s="29">
        <v>32962</v>
      </c>
      <c r="O96" s="92">
        <v>33371</v>
      </c>
      <c r="P96" s="28" t="s">
        <v>21</v>
      </c>
      <c r="Q96" s="26" t="b">
        <v>0</v>
      </c>
      <c r="R96" s="22">
        <f t="shared" si="1"/>
        <v>399</v>
      </c>
    </row>
    <row r="97" spans="1:18">
      <c r="A97" s="26">
        <v>8</v>
      </c>
      <c r="B97" s="27">
        <v>32972</v>
      </c>
      <c r="C97" s="28" t="s">
        <v>50</v>
      </c>
      <c r="D97" s="27">
        <v>32906</v>
      </c>
      <c r="E97" s="28" t="s">
        <v>51</v>
      </c>
      <c r="F97" s="28" t="s">
        <v>52</v>
      </c>
      <c r="G97" s="28" t="s">
        <v>20</v>
      </c>
      <c r="H97" s="28" t="s">
        <v>21</v>
      </c>
      <c r="I97" s="28" t="s">
        <v>21</v>
      </c>
      <c r="J97" s="28" t="s">
        <v>53</v>
      </c>
      <c r="K97" s="28" t="s">
        <v>54</v>
      </c>
      <c r="L97" s="28" t="s">
        <v>24</v>
      </c>
      <c r="M97" s="28" t="s">
        <v>21</v>
      </c>
      <c r="N97" s="27">
        <v>32934</v>
      </c>
      <c r="O97" s="92">
        <v>33000</v>
      </c>
      <c r="P97" s="28" t="s">
        <v>21</v>
      </c>
      <c r="Q97" s="26" t="b">
        <v>0</v>
      </c>
      <c r="R97" s="22">
        <f t="shared" si="1"/>
        <v>28</v>
      </c>
    </row>
    <row r="98" spans="1:18">
      <c r="A98" s="26">
        <v>9</v>
      </c>
      <c r="B98" s="27">
        <v>32972</v>
      </c>
      <c r="C98" s="28" t="s">
        <v>55</v>
      </c>
      <c r="D98" s="27">
        <v>32912</v>
      </c>
      <c r="E98" s="28" t="s">
        <v>38</v>
      </c>
      <c r="F98" s="28" t="s">
        <v>56</v>
      </c>
      <c r="G98" s="28" t="s">
        <v>20</v>
      </c>
      <c r="H98" s="28" t="s">
        <v>21</v>
      </c>
      <c r="I98" s="28" t="s">
        <v>21</v>
      </c>
      <c r="J98" s="28" t="s">
        <v>57</v>
      </c>
      <c r="K98" s="28" t="s">
        <v>58</v>
      </c>
      <c r="L98" s="28" t="s">
        <v>59</v>
      </c>
      <c r="M98" s="28" t="s">
        <v>21</v>
      </c>
      <c r="N98" s="29">
        <v>32919</v>
      </c>
      <c r="O98" s="92">
        <v>32947</v>
      </c>
      <c r="P98" s="28" t="s">
        <v>21</v>
      </c>
      <c r="Q98" s="26" t="b">
        <v>0</v>
      </c>
      <c r="R98" s="22">
        <f t="shared" si="1"/>
        <v>24</v>
      </c>
    </row>
    <row r="99" spans="1:18">
      <c r="A99" s="26">
        <v>10</v>
      </c>
      <c r="B99" s="27">
        <v>32972</v>
      </c>
      <c r="C99" s="28" t="s">
        <v>60</v>
      </c>
      <c r="D99" s="27">
        <v>32917</v>
      </c>
      <c r="E99" s="28" t="s">
        <v>61</v>
      </c>
      <c r="F99" s="28" t="s">
        <v>56</v>
      </c>
      <c r="G99" s="28" t="s">
        <v>20</v>
      </c>
      <c r="H99" s="28" t="s">
        <v>21</v>
      </c>
      <c r="I99" s="28" t="s">
        <v>21</v>
      </c>
      <c r="J99" s="28" t="s">
        <v>21</v>
      </c>
      <c r="K99" s="28" t="s">
        <v>21</v>
      </c>
      <c r="L99" s="28" t="s">
        <v>59</v>
      </c>
      <c r="M99" s="28" t="s">
        <v>21</v>
      </c>
      <c r="O99" s="92">
        <v>32919</v>
      </c>
      <c r="P99" s="28" t="s">
        <v>21</v>
      </c>
      <c r="Q99" s="26" t="b">
        <v>0</v>
      </c>
      <c r="R99" s="22">
        <f t="shared" si="1"/>
        <v>54</v>
      </c>
    </row>
    <row r="100" spans="1:18" ht="24">
      <c r="A100" s="26">
        <v>11</v>
      </c>
      <c r="B100" s="27">
        <v>32972</v>
      </c>
      <c r="C100" s="28" t="s">
        <v>62</v>
      </c>
      <c r="D100" s="27">
        <v>32918</v>
      </c>
      <c r="E100" s="28" t="s">
        <v>63</v>
      </c>
      <c r="F100" s="28" t="s">
        <v>27</v>
      </c>
      <c r="G100" s="28" t="s">
        <v>20</v>
      </c>
      <c r="H100" s="28" t="s">
        <v>21</v>
      </c>
      <c r="I100" s="28" t="s">
        <v>21</v>
      </c>
      <c r="J100" s="28" t="s">
        <v>64</v>
      </c>
      <c r="K100" s="28" t="s">
        <v>65</v>
      </c>
      <c r="L100" s="28" t="s">
        <v>66</v>
      </c>
      <c r="M100" s="28" t="s">
        <v>67</v>
      </c>
      <c r="N100" s="29">
        <v>32948</v>
      </c>
      <c r="O100" s="92">
        <v>36367</v>
      </c>
      <c r="P100" s="28" t="s">
        <v>21</v>
      </c>
      <c r="Q100" s="26" t="b">
        <v>0</v>
      </c>
      <c r="R100" s="22">
        <f t="shared" si="1"/>
        <v>3393</v>
      </c>
    </row>
    <row r="101" spans="1:18">
      <c r="A101" s="26">
        <v>12</v>
      </c>
      <c r="B101" s="27">
        <v>32972</v>
      </c>
      <c r="C101" s="28" t="s">
        <v>68</v>
      </c>
      <c r="D101" s="27">
        <v>32918</v>
      </c>
      <c r="E101" s="28" t="s">
        <v>69</v>
      </c>
      <c r="F101" s="28" t="s">
        <v>70</v>
      </c>
      <c r="G101" s="28" t="s">
        <v>20</v>
      </c>
      <c r="H101" s="28" t="s">
        <v>71</v>
      </c>
      <c r="I101" s="28" t="s">
        <v>72</v>
      </c>
      <c r="J101" s="28" t="s">
        <v>73</v>
      </c>
      <c r="K101" s="28" t="s">
        <v>74</v>
      </c>
      <c r="L101" s="28" t="s">
        <v>36</v>
      </c>
      <c r="M101" s="28" t="s">
        <v>21</v>
      </c>
      <c r="N101" s="29">
        <v>32925</v>
      </c>
      <c r="O101" s="92">
        <v>33066</v>
      </c>
      <c r="P101" s="28" t="s">
        <v>31</v>
      </c>
      <c r="Q101" s="26" t="b">
        <v>0</v>
      </c>
      <c r="R101" s="22">
        <f t="shared" si="1"/>
        <v>94</v>
      </c>
    </row>
    <row r="102" spans="1:18">
      <c r="A102" s="26">
        <v>13</v>
      </c>
      <c r="B102" s="27">
        <v>32972</v>
      </c>
      <c r="C102" s="28" t="s">
        <v>75</v>
      </c>
      <c r="D102" s="27">
        <v>32919</v>
      </c>
      <c r="E102" s="28" t="s">
        <v>38</v>
      </c>
      <c r="F102" s="28" t="s">
        <v>56</v>
      </c>
      <c r="G102" s="28" t="s">
        <v>20</v>
      </c>
      <c r="H102" s="28" t="s">
        <v>21</v>
      </c>
      <c r="I102" s="28" t="s">
        <v>21</v>
      </c>
      <c r="J102" s="28" t="s">
        <v>76</v>
      </c>
      <c r="K102" s="28" t="s">
        <v>77</v>
      </c>
      <c r="L102" s="28" t="s">
        <v>59</v>
      </c>
      <c r="M102" s="28" t="s">
        <v>21</v>
      </c>
      <c r="N102" s="18"/>
      <c r="O102" s="92">
        <v>32939</v>
      </c>
      <c r="P102" s="28" t="s">
        <v>21</v>
      </c>
      <c r="Q102" s="26" t="b">
        <v>0</v>
      </c>
      <c r="R102" s="22">
        <f t="shared" si="1"/>
        <v>32</v>
      </c>
    </row>
    <row r="103" spans="1:18">
      <c r="A103" s="26">
        <v>15</v>
      </c>
      <c r="B103" s="27">
        <v>32972</v>
      </c>
      <c r="C103" s="28" t="s">
        <v>78</v>
      </c>
      <c r="D103" s="27">
        <v>32919</v>
      </c>
      <c r="E103" s="28" t="s">
        <v>79</v>
      </c>
      <c r="F103" s="28" t="s">
        <v>70</v>
      </c>
      <c r="G103" s="28" t="s">
        <v>20</v>
      </c>
      <c r="H103" s="28" t="s">
        <v>71</v>
      </c>
      <c r="I103" s="28" t="s">
        <v>72</v>
      </c>
      <c r="J103" s="28" t="s">
        <v>80</v>
      </c>
      <c r="K103" s="28" t="s">
        <v>81</v>
      </c>
      <c r="L103" s="28" t="s">
        <v>82</v>
      </c>
      <c r="M103" s="28" t="s">
        <v>21</v>
      </c>
      <c r="N103" s="29">
        <v>32941</v>
      </c>
      <c r="O103" s="92">
        <v>33318</v>
      </c>
      <c r="P103" s="28" t="s">
        <v>21</v>
      </c>
      <c r="Q103" s="26" t="b">
        <v>0</v>
      </c>
      <c r="R103" s="22">
        <f t="shared" si="1"/>
        <v>346</v>
      </c>
    </row>
    <row r="104" spans="1:18">
      <c r="A104" s="26">
        <v>16</v>
      </c>
      <c r="B104" s="27">
        <v>32972</v>
      </c>
      <c r="C104" s="28" t="s">
        <v>83</v>
      </c>
      <c r="D104" s="27">
        <v>32920</v>
      </c>
      <c r="E104" s="28" t="s">
        <v>84</v>
      </c>
      <c r="F104" s="28" t="s">
        <v>85</v>
      </c>
      <c r="G104" s="28" t="s">
        <v>20</v>
      </c>
      <c r="H104" s="28" t="s">
        <v>21</v>
      </c>
      <c r="I104" s="28" t="s">
        <v>21</v>
      </c>
      <c r="J104" s="28" t="s">
        <v>86</v>
      </c>
      <c r="K104" s="28" t="s">
        <v>87</v>
      </c>
      <c r="L104" s="28" t="s">
        <v>88</v>
      </c>
      <c r="M104" s="28" t="s">
        <v>67</v>
      </c>
      <c r="O104" s="92">
        <v>36300</v>
      </c>
      <c r="P104" s="28" t="s">
        <v>21</v>
      </c>
      <c r="Q104" s="26" t="b">
        <v>0</v>
      </c>
      <c r="R104" s="22">
        <f t="shared" si="1"/>
        <v>3326</v>
      </c>
    </row>
    <row r="105" spans="1:18">
      <c r="A105" s="26">
        <v>17</v>
      </c>
      <c r="B105" s="27">
        <v>32973</v>
      </c>
      <c r="C105" s="28" t="s">
        <v>89</v>
      </c>
      <c r="D105" s="27">
        <v>32926</v>
      </c>
      <c r="E105" s="28" t="s">
        <v>90</v>
      </c>
      <c r="F105" s="28" t="s">
        <v>70</v>
      </c>
      <c r="G105" s="28" t="s">
        <v>20</v>
      </c>
      <c r="H105" s="28" t="s">
        <v>71</v>
      </c>
      <c r="I105" s="28" t="s">
        <v>72</v>
      </c>
      <c r="J105" s="28" t="s">
        <v>91</v>
      </c>
      <c r="K105" s="28" t="s">
        <v>74</v>
      </c>
      <c r="L105" s="28" t="s">
        <v>24</v>
      </c>
      <c r="M105" s="28" t="s">
        <v>21</v>
      </c>
      <c r="O105" s="92">
        <v>33319</v>
      </c>
      <c r="P105" s="28" t="s">
        <v>31</v>
      </c>
      <c r="Q105" s="26" t="b">
        <v>0</v>
      </c>
      <c r="R105" s="22">
        <f t="shared" si="1"/>
        <v>346</v>
      </c>
    </row>
    <row r="106" spans="1:18">
      <c r="A106" s="26">
        <v>19</v>
      </c>
      <c r="B106" s="27">
        <v>32973</v>
      </c>
      <c r="C106" s="28" t="s">
        <v>92</v>
      </c>
      <c r="D106" s="27">
        <v>32930</v>
      </c>
      <c r="E106" s="28" t="s">
        <v>93</v>
      </c>
      <c r="F106" s="28" t="s">
        <v>94</v>
      </c>
      <c r="G106" s="28" t="s">
        <v>20</v>
      </c>
      <c r="H106" s="28" t="s">
        <v>21</v>
      </c>
      <c r="I106" s="28" t="s">
        <v>21</v>
      </c>
      <c r="J106" s="28" t="s">
        <v>95</v>
      </c>
      <c r="K106" s="28" t="s">
        <v>96</v>
      </c>
      <c r="L106" s="28" t="s">
        <v>24</v>
      </c>
      <c r="M106" s="28" t="s">
        <v>21</v>
      </c>
      <c r="N106" s="29">
        <v>32975</v>
      </c>
      <c r="O106" s="92">
        <v>33107</v>
      </c>
      <c r="P106" s="28" t="s">
        <v>21</v>
      </c>
      <c r="Q106" s="26" t="b">
        <v>0</v>
      </c>
      <c r="R106" s="22">
        <f t="shared" si="1"/>
        <v>133</v>
      </c>
    </row>
    <row r="107" spans="1:18">
      <c r="A107" s="26">
        <v>21</v>
      </c>
      <c r="B107" s="27">
        <v>32973</v>
      </c>
      <c r="C107" s="28" t="s">
        <v>97</v>
      </c>
      <c r="D107" s="27">
        <v>32930</v>
      </c>
      <c r="E107" s="28" t="s">
        <v>38</v>
      </c>
      <c r="F107" s="28" t="s">
        <v>98</v>
      </c>
      <c r="G107" s="28" t="s">
        <v>20</v>
      </c>
      <c r="H107" s="28" t="s">
        <v>21</v>
      </c>
      <c r="I107" s="28" t="s">
        <v>21</v>
      </c>
      <c r="J107" s="28" t="s">
        <v>99</v>
      </c>
      <c r="K107" s="28" t="s">
        <v>21</v>
      </c>
      <c r="L107" s="28" t="s">
        <v>24</v>
      </c>
      <c r="M107" s="28" t="s">
        <v>21</v>
      </c>
      <c r="N107" s="29">
        <v>32937</v>
      </c>
      <c r="O107" s="92">
        <v>32934</v>
      </c>
      <c r="P107" s="28" t="s">
        <v>31</v>
      </c>
      <c r="Q107" s="26" t="b">
        <v>0</v>
      </c>
      <c r="R107" s="22">
        <f t="shared" si="1"/>
        <v>38</v>
      </c>
    </row>
    <row r="108" spans="1:18" ht="24">
      <c r="A108" s="26">
        <v>22</v>
      </c>
      <c r="B108" s="27">
        <v>32973</v>
      </c>
      <c r="C108" s="28" t="s">
        <v>100</v>
      </c>
      <c r="D108" s="27">
        <v>32932</v>
      </c>
      <c r="E108" s="28" t="s">
        <v>38</v>
      </c>
      <c r="F108" s="28" t="s">
        <v>56</v>
      </c>
      <c r="G108" s="28" t="s">
        <v>20</v>
      </c>
      <c r="H108" s="28" t="s">
        <v>21</v>
      </c>
      <c r="I108" s="28" t="s">
        <v>21</v>
      </c>
      <c r="J108" s="28" t="s">
        <v>101</v>
      </c>
      <c r="K108" s="28" t="s">
        <v>21</v>
      </c>
      <c r="L108" s="28" t="s">
        <v>59</v>
      </c>
      <c r="M108" s="28" t="s">
        <v>21</v>
      </c>
      <c r="O108" s="92">
        <v>32940</v>
      </c>
      <c r="P108" s="28" t="s">
        <v>21</v>
      </c>
      <c r="Q108" s="26" t="b">
        <v>0</v>
      </c>
      <c r="R108" s="22">
        <f t="shared" si="1"/>
        <v>32</v>
      </c>
    </row>
    <row r="109" spans="1:18">
      <c r="A109" s="26">
        <v>23</v>
      </c>
      <c r="B109" s="27">
        <v>32973</v>
      </c>
      <c r="C109" s="28" t="s">
        <v>102</v>
      </c>
      <c r="D109" s="27">
        <v>32926</v>
      </c>
      <c r="E109" s="28" t="s">
        <v>103</v>
      </c>
      <c r="F109" s="28" t="s">
        <v>104</v>
      </c>
      <c r="G109" s="28" t="s">
        <v>20</v>
      </c>
      <c r="H109" s="28" t="s">
        <v>21</v>
      </c>
      <c r="I109" s="28" t="s">
        <v>21</v>
      </c>
      <c r="J109" s="28" t="s">
        <v>105</v>
      </c>
      <c r="K109" s="28" t="s">
        <v>21</v>
      </c>
      <c r="L109" s="28" t="s">
        <v>30</v>
      </c>
      <c r="M109" s="28" t="s">
        <v>21</v>
      </c>
      <c r="N109" s="29">
        <v>32965</v>
      </c>
      <c r="O109" s="92">
        <v>35647</v>
      </c>
      <c r="P109" s="28" t="s">
        <v>21</v>
      </c>
      <c r="Q109" s="26" t="b">
        <v>0</v>
      </c>
      <c r="R109" s="22">
        <f t="shared" si="1"/>
        <v>2671</v>
      </c>
    </row>
    <row r="110" spans="1:18">
      <c r="A110" s="26">
        <v>25</v>
      </c>
      <c r="B110" s="27">
        <v>32973</v>
      </c>
      <c r="C110" s="28" t="s">
        <v>106</v>
      </c>
      <c r="D110" s="27">
        <v>32931</v>
      </c>
      <c r="E110" s="28" t="s">
        <v>107</v>
      </c>
      <c r="F110" s="28" t="s">
        <v>70</v>
      </c>
      <c r="G110" s="28" t="s">
        <v>20</v>
      </c>
      <c r="H110" s="28" t="s">
        <v>71</v>
      </c>
      <c r="I110" s="28" t="s">
        <v>72</v>
      </c>
      <c r="J110" s="28" t="s">
        <v>108</v>
      </c>
      <c r="K110" s="28" t="s">
        <v>109</v>
      </c>
      <c r="L110" s="28" t="s">
        <v>24</v>
      </c>
      <c r="M110" s="28" t="s">
        <v>21</v>
      </c>
      <c r="N110" s="29">
        <v>32983</v>
      </c>
      <c r="O110" s="92">
        <v>33003</v>
      </c>
      <c r="P110" s="28" t="s">
        <v>21</v>
      </c>
      <c r="Q110" s="26" t="b">
        <v>0</v>
      </c>
      <c r="R110" s="22">
        <f t="shared" si="1"/>
        <v>30</v>
      </c>
    </row>
    <row r="111" spans="1:18" ht="24">
      <c r="A111" s="26">
        <v>26</v>
      </c>
      <c r="B111" s="27">
        <v>32973</v>
      </c>
      <c r="C111" s="28" t="s">
        <v>110</v>
      </c>
      <c r="D111" s="27">
        <v>32937</v>
      </c>
      <c r="E111" s="28" t="s">
        <v>111</v>
      </c>
      <c r="F111" s="28" t="s">
        <v>85</v>
      </c>
      <c r="G111" s="28" t="s">
        <v>20</v>
      </c>
      <c r="H111" s="28" t="s">
        <v>21</v>
      </c>
      <c r="I111" s="28" t="s">
        <v>21</v>
      </c>
      <c r="J111" s="28" t="s">
        <v>112</v>
      </c>
      <c r="K111" s="28" t="s">
        <v>113</v>
      </c>
      <c r="L111" s="28" t="s">
        <v>66</v>
      </c>
      <c r="M111" s="28" t="s">
        <v>21</v>
      </c>
      <c r="O111" s="92">
        <v>35432</v>
      </c>
      <c r="P111" s="28" t="s">
        <v>31</v>
      </c>
      <c r="Q111" s="26" t="b">
        <v>0</v>
      </c>
      <c r="R111" s="22">
        <f t="shared" si="1"/>
        <v>2455</v>
      </c>
    </row>
    <row r="112" spans="1:18">
      <c r="A112" s="26">
        <v>27</v>
      </c>
      <c r="B112" s="27">
        <v>32973</v>
      </c>
      <c r="C112" s="28" t="s">
        <v>114</v>
      </c>
      <c r="D112" s="27">
        <v>32947</v>
      </c>
      <c r="E112" s="28" t="s">
        <v>115</v>
      </c>
      <c r="F112" s="28" t="s">
        <v>116</v>
      </c>
      <c r="G112" s="28" t="s">
        <v>20</v>
      </c>
      <c r="H112" s="28" t="s">
        <v>21</v>
      </c>
      <c r="I112" s="28" t="s">
        <v>21</v>
      </c>
      <c r="J112" s="28" t="s">
        <v>117</v>
      </c>
      <c r="K112" s="28" t="s">
        <v>118</v>
      </c>
      <c r="L112" s="28" t="s">
        <v>30</v>
      </c>
      <c r="M112" s="28" t="s">
        <v>21</v>
      </c>
      <c r="N112" s="29">
        <v>32962</v>
      </c>
      <c r="O112" s="92">
        <v>33144</v>
      </c>
      <c r="P112" s="28" t="s">
        <v>31</v>
      </c>
      <c r="Q112" s="26" t="b">
        <v>0</v>
      </c>
      <c r="R112" s="22">
        <f t="shared" si="1"/>
        <v>170</v>
      </c>
    </row>
    <row r="113" spans="1:18">
      <c r="A113" s="26">
        <v>28</v>
      </c>
      <c r="B113" s="27">
        <v>32973</v>
      </c>
      <c r="C113" s="28" t="s">
        <v>119</v>
      </c>
      <c r="D113" s="27">
        <v>32939</v>
      </c>
      <c r="E113" s="28" t="s">
        <v>120</v>
      </c>
      <c r="F113" s="28" t="s">
        <v>70</v>
      </c>
      <c r="G113" s="28" t="s">
        <v>20</v>
      </c>
      <c r="H113" s="28" t="s">
        <v>71</v>
      </c>
      <c r="I113" s="28" t="s">
        <v>72</v>
      </c>
      <c r="J113" s="28" t="s">
        <v>121</v>
      </c>
      <c r="K113" s="28" t="s">
        <v>122</v>
      </c>
      <c r="L113" s="28" t="s">
        <v>24</v>
      </c>
      <c r="M113" s="28" t="s">
        <v>21</v>
      </c>
      <c r="O113" s="92">
        <v>33319</v>
      </c>
      <c r="P113" s="28" t="s">
        <v>21</v>
      </c>
      <c r="Q113" s="26" t="b">
        <v>0</v>
      </c>
      <c r="R113" s="22">
        <f t="shared" si="1"/>
        <v>346</v>
      </c>
    </row>
    <row r="114" spans="1:18">
      <c r="A114" s="26">
        <v>30</v>
      </c>
      <c r="B114" s="27">
        <v>32973</v>
      </c>
      <c r="C114" s="28" t="s">
        <v>123</v>
      </c>
      <c r="D114" s="27">
        <v>32932</v>
      </c>
      <c r="E114" s="28" t="s">
        <v>38</v>
      </c>
      <c r="F114" s="28" t="s">
        <v>124</v>
      </c>
      <c r="G114" s="28" t="s">
        <v>20</v>
      </c>
      <c r="H114" s="28" t="s">
        <v>21</v>
      </c>
      <c r="I114" s="28" t="s">
        <v>21</v>
      </c>
      <c r="J114" s="28" t="s">
        <v>125</v>
      </c>
      <c r="K114" s="28" t="s">
        <v>126</v>
      </c>
      <c r="L114" s="28" t="s">
        <v>30</v>
      </c>
      <c r="M114" s="28" t="s">
        <v>21</v>
      </c>
      <c r="O114" s="92">
        <v>32947</v>
      </c>
      <c r="P114" s="28" t="s">
        <v>21</v>
      </c>
      <c r="Q114" s="26" t="b">
        <v>0</v>
      </c>
      <c r="R114" s="22">
        <f t="shared" si="1"/>
        <v>25</v>
      </c>
    </row>
    <row r="115" spans="1:18">
      <c r="A115" s="26">
        <v>34</v>
      </c>
      <c r="B115" s="27">
        <v>32973</v>
      </c>
      <c r="C115" s="28" t="s">
        <v>127</v>
      </c>
      <c r="D115" s="27">
        <v>32968</v>
      </c>
      <c r="E115" s="28" t="s">
        <v>128</v>
      </c>
      <c r="F115" s="28" t="s">
        <v>129</v>
      </c>
      <c r="G115" s="28" t="s">
        <v>20</v>
      </c>
      <c r="H115" s="28" t="s">
        <v>21</v>
      </c>
      <c r="I115" s="28" t="s">
        <v>21</v>
      </c>
      <c r="J115" s="28" t="s">
        <v>130</v>
      </c>
      <c r="K115" s="28" t="s">
        <v>131</v>
      </c>
      <c r="L115" s="28" t="s">
        <v>30</v>
      </c>
      <c r="M115" s="28" t="s">
        <v>21</v>
      </c>
      <c r="N115" s="27">
        <v>33008</v>
      </c>
      <c r="O115" s="92">
        <v>33980</v>
      </c>
      <c r="P115" s="28" t="s">
        <v>21</v>
      </c>
      <c r="Q115" s="26" t="b">
        <v>0</v>
      </c>
      <c r="R115" s="22">
        <f t="shared" si="1"/>
        <v>1004</v>
      </c>
    </row>
    <row r="116" spans="1:18">
      <c r="A116" s="26">
        <v>36</v>
      </c>
      <c r="B116" s="27">
        <v>32973</v>
      </c>
      <c r="C116" s="28" t="s">
        <v>132</v>
      </c>
      <c r="D116" s="27">
        <v>32954</v>
      </c>
      <c r="E116" s="28" t="s">
        <v>38</v>
      </c>
      <c r="F116" s="28" t="s">
        <v>133</v>
      </c>
      <c r="G116" s="28" t="s">
        <v>20</v>
      </c>
      <c r="H116" s="28" t="s">
        <v>21</v>
      </c>
      <c r="I116" s="28" t="s">
        <v>21</v>
      </c>
      <c r="J116" s="28" t="s">
        <v>134</v>
      </c>
      <c r="K116" s="28" t="s">
        <v>21</v>
      </c>
      <c r="L116" s="28" t="s">
        <v>59</v>
      </c>
      <c r="M116" s="28" t="s">
        <v>21</v>
      </c>
      <c r="O116" s="92">
        <v>33466</v>
      </c>
      <c r="P116" s="28" t="s">
        <v>21</v>
      </c>
      <c r="Q116" s="26" t="b">
        <v>0</v>
      </c>
      <c r="R116" s="22">
        <f t="shared" si="1"/>
        <v>492</v>
      </c>
    </row>
    <row r="117" spans="1:18">
      <c r="A117" s="26">
        <v>38</v>
      </c>
      <c r="B117" s="27">
        <v>32973</v>
      </c>
      <c r="C117" s="28" t="s">
        <v>135</v>
      </c>
      <c r="D117" s="27">
        <v>32962</v>
      </c>
      <c r="E117" s="28" t="s">
        <v>136</v>
      </c>
      <c r="F117" s="28" t="s">
        <v>137</v>
      </c>
      <c r="G117" s="28" t="s">
        <v>20</v>
      </c>
      <c r="H117" s="28" t="s">
        <v>71</v>
      </c>
      <c r="I117" s="28" t="s">
        <v>72</v>
      </c>
      <c r="J117" s="28" t="s">
        <v>138</v>
      </c>
      <c r="K117" s="28" t="s">
        <v>139</v>
      </c>
      <c r="L117" s="28" t="s">
        <v>24</v>
      </c>
      <c r="M117" s="28" t="s">
        <v>21</v>
      </c>
      <c r="N117" s="27">
        <v>33008</v>
      </c>
      <c r="O117" s="92">
        <v>33512</v>
      </c>
      <c r="P117" s="28" t="s">
        <v>21</v>
      </c>
      <c r="Q117" s="26" t="b">
        <v>0</v>
      </c>
      <c r="R117" s="22">
        <f t="shared" si="1"/>
        <v>538</v>
      </c>
    </row>
    <row r="118" spans="1:18">
      <c r="A118" s="26">
        <v>39</v>
      </c>
      <c r="B118" s="27">
        <v>32973</v>
      </c>
      <c r="C118" s="28" t="s">
        <v>140</v>
      </c>
      <c r="D118" s="27">
        <v>32954</v>
      </c>
      <c r="E118" s="28" t="s">
        <v>141</v>
      </c>
      <c r="F118" s="28" t="s">
        <v>70</v>
      </c>
      <c r="G118" s="28" t="s">
        <v>20</v>
      </c>
      <c r="H118" s="28" t="s">
        <v>71</v>
      </c>
      <c r="I118" s="28" t="s">
        <v>72</v>
      </c>
      <c r="J118" s="28" t="s">
        <v>142</v>
      </c>
      <c r="K118" s="28" t="s">
        <v>143</v>
      </c>
      <c r="L118" s="28" t="s">
        <v>30</v>
      </c>
      <c r="M118" s="28" t="s">
        <v>21</v>
      </c>
      <c r="N118" s="29">
        <v>33024</v>
      </c>
      <c r="O118" s="92">
        <v>35716</v>
      </c>
      <c r="P118" s="28" t="s">
        <v>21</v>
      </c>
      <c r="Q118" s="26" t="b">
        <v>0</v>
      </c>
      <c r="R118" s="22">
        <f t="shared" si="1"/>
        <v>2740</v>
      </c>
    </row>
    <row r="119" spans="1:18">
      <c r="A119" s="26">
        <v>40</v>
      </c>
      <c r="B119" s="27">
        <v>32973</v>
      </c>
      <c r="C119" s="28" t="s">
        <v>144</v>
      </c>
      <c r="D119" s="27">
        <v>32953</v>
      </c>
      <c r="E119" s="28" t="s">
        <v>38</v>
      </c>
      <c r="F119" s="28" t="s">
        <v>145</v>
      </c>
      <c r="G119" s="28" t="s">
        <v>20</v>
      </c>
      <c r="H119" s="28" t="s">
        <v>21</v>
      </c>
      <c r="I119" s="28" t="s">
        <v>21</v>
      </c>
      <c r="J119" s="28" t="s">
        <v>146</v>
      </c>
      <c r="K119" s="28" t="s">
        <v>147</v>
      </c>
      <c r="L119" s="28" t="s">
        <v>24</v>
      </c>
      <c r="M119" s="28" t="s">
        <v>21</v>
      </c>
      <c r="N119" s="29">
        <v>32966</v>
      </c>
      <c r="O119" s="92">
        <v>32966</v>
      </c>
      <c r="P119" s="28" t="s">
        <v>21</v>
      </c>
      <c r="Q119" s="26" t="b">
        <v>0</v>
      </c>
      <c r="R119" s="22">
        <f t="shared" si="1"/>
        <v>7</v>
      </c>
    </row>
    <row r="120" spans="1:18">
      <c r="A120" s="26">
        <v>41</v>
      </c>
      <c r="B120" s="27">
        <v>32973</v>
      </c>
      <c r="C120" s="28" t="s">
        <v>148</v>
      </c>
      <c r="D120" s="27">
        <v>32955</v>
      </c>
      <c r="E120" s="28" t="s">
        <v>38</v>
      </c>
      <c r="F120" s="28" t="s">
        <v>149</v>
      </c>
      <c r="G120" s="28" t="s">
        <v>20</v>
      </c>
      <c r="H120" s="28" t="s">
        <v>21</v>
      </c>
      <c r="I120" s="28" t="s">
        <v>21</v>
      </c>
      <c r="J120" s="28" t="s">
        <v>150</v>
      </c>
      <c r="K120" s="28" t="s">
        <v>151</v>
      </c>
      <c r="L120" s="28" t="s">
        <v>59</v>
      </c>
      <c r="M120" s="28" t="s">
        <v>21</v>
      </c>
      <c r="O120" s="92">
        <v>32972</v>
      </c>
      <c r="P120" s="28" t="s">
        <v>21</v>
      </c>
      <c r="Q120" s="26" t="b">
        <v>0</v>
      </c>
      <c r="R120" s="22">
        <f t="shared" si="1"/>
        <v>1</v>
      </c>
    </row>
    <row r="121" spans="1:18">
      <c r="A121" s="26">
        <v>43</v>
      </c>
      <c r="B121" s="27">
        <v>32973</v>
      </c>
      <c r="C121" s="28" t="s">
        <v>152</v>
      </c>
      <c r="D121" s="27">
        <v>32951</v>
      </c>
      <c r="E121" s="28" t="s">
        <v>153</v>
      </c>
      <c r="F121" s="28" t="s">
        <v>39</v>
      </c>
      <c r="G121" s="28" t="s">
        <v>20</v>
      </c>
      <c r="H121" s="28" t="s">
        <v>21</v>
      </c>
      <c r="I121" s="28" t="s">
        <v>21</v>
      </c>
      <c r="J121" s="28" t="s">
        <v>154</v>
      </c>
      <c r="K121" s="28" t="s">
        <v>155</v>
      </c>
      <c r="L121" s="28" t="s">
        <v>30</v>
      </c>
      <c r="M121" s="28" t="s">
        <v>21</v>
      </c>
      <c r="N121" s="29">
        <v>32993</v>
      </c>
      <c r="O121" s="92">
        <v>33002</v>
      </c>
      <c r="P121" s="28" t="s">
        <v>31</v>
      </c>
      <c r="Q121" s="26" t="b">
        <v>0</v>
      </c>
      <c r="R121" s="22">
        <f t="shared" si="1"/>
        <v>29</v>
      </c>
    </row>
    <row r="122" spans="1:18">
      <c r="A122" s="26">
        <v>44</v>
      </c>
      <c r="B122" s="27">
        <v>32973</v>
      </c>
      <c r="C122" s="28" t="s">
        <v>156</v>
      </c>
      <c r="D122" s="27">
        <v>32960</v>
      </c>
      <c r="E122" s="28" t="s">
        <v>38</v>
      </c>
      <c r="F122" s="28" t="s">
        <v>56</v>
      </c>
      <c r="G122" s="28" t="s">
        <v>20</v>
      </c>
      <c r="H122" s="28" t="s">
        <v>21</v>
      </c>
      <c r="I122" s="28" t="s">
        <v>21</v>
      </c>
      <c r="J122" s="28" t="s">
        <v>157</v>
      </c>
      <c r="K122" s="28" t="s">
        <v>21</v>
      </c>
      <c r="L122" s="28" t="s">
        <v>59</v>
      </c>
      <c r="M122" s="28" t="s">
        <v>21</v>
      </c>
      <c r="N122" s="18"/>
      <c r="O122" s="92">
        <v>32965</v>
      </c>
      <c r="P122" s="28" t="s">
        <v>21</v>
      </c>
      <c r="Q122" s="26" t="b">
        <v>0</v>
      </c>
      <c r="R122" s="22">
        <f t="shared" si="1"/>
        <v>8</v>
      </c>
    </row>
    <row r="123" spans="1:18">
      <c r="A123" s="26">
        <v>45</v>
      </c>
      <c r="B123" s="27">
        <v>32973</v>
      </c>
      <c r="C123" s="28" t="s">
        <v>158</v>
      </c>
      <c r="D123" s="27">
        <v>32933</v>
      </c>
      <c r="E123" s="28" t="s">
        <v>159</v>
      </c>
      <c r="F123" s="28" t="s">
        <v>124</v>
      </c>
      <c r="G123" s="28" t="s">
        <v>20</v>
      </c>
      <c r="H123" s="28" t="s">
        <v>21</v>
      </c>
      <c r="I123" s="28" t="s">
        <v>21</v>
      </c>
      <c r="J123" s="28" t="s">
        <v>126</v>
      </c>
      <c r="K123" s="28" t="s">
        <v>160</v>
      </c>
      <c r="L123" s="28" t="s">
        <v>24</v>
      </c>
      <c r="M123" s="28" t="s">
        <v>21</v>
      </c>
      <c r="N123" s="29">
        <v>32955</v>
      </c>
      <c r="O123" s="92">
        <v>32973</v>
      </c>
      <c r="P123" s="28" t="s">
        <v>31</v>
      </c>
      <c r="Q123" s="26" t="b">
        <v>0</v>
      </c>
      <c r="R123" s="22">
        <f t="shared" si="1"/>
        <v>0</v>
      </c>
    </row>
    <row r="124" spans="1:18">
      <c r="A124" s="26">
        <v>46</v>
      </c>
      <c r="B124" s="27">
        <v>32973</v>
      </c>
      <c r="C124" s="28" t="s">
        <v>161</v>
      </c>
      <c r="D124" s="27">
        <v>32937</v>
      </c>
      <c r="E124" s="28" t="s">
        <v>162</v>
      </c>
      <c r="F124" s="28" t="s">
        <v>104</v>
      </c>
      <c r="G124" s="28" t="s">
        <v>20</v>
      </c>
      <c r="H124" s="28" t="s">
        <v>21</v>
      </c>
      <c r="I124" s="28" t="s">
        <v>21</v>
      </c>
      <c r="J124" s="28" t="s">
        <v>163</v>
      </c>
      <c r="K124" s="28" t="s">
        <v>164</v>
      </c>
      <c r="L124" s="28" t="s">
        <v>24</v>
      </c>
      <c r="M124" s="28" t="s">
        <v>21</v>
      </c>
      <c r="N124" s="18"/>
      <c r="O124" s="92">
        <v>33235</v>
      </c>
      <c r="P124" s="28" t="s">
        <v>21</v>
      </c>
      <c r="Q124" s="26" t="b">
        <v>0</v>
      </c>
      <c r="R124" s="22">
        <f t="shared" si="1"/>
        <v>261</v>
      </c>
    </row>
    <row r="125" spans="1:18">
      <c r="A125" s="26">
        <v>47</v>
      </c>
      <c r="B125" s="27">
        <v>32973</v>
      </c>
      <c r="C125" s="28" t="s">
        <v>165</v>
      </c>
      <c r="D125" s="27">
        <v>32938</v>
      </c>
      <c r="E125" s="28" t="s">
        <v>166</v>
      </c>
      <c r="F125" s="28" t="s">
        <v>39</v>
      </c>
      <c r="G125" s="28" t="s">
        <v>20</v>
      </c>
      <c r="H125" s="28" t="s">
        <v>21</v>
      </c>
      <c r="I125" s="28" t="s">
        <v>21</v>
      </c>
      <c r="J125" s="28" t="s">
        <v>167</v>
      </c>
      <c r="K125" s="28" t="s">
        <v>168</v>
      </c>
      <c r="L125" s="28" t="s">
        <v>30</v>
      </c>
      <c r="M125" s="28" t="s">
        <v>21</v>
      </c>
      <c r="N125" s="27">
        <v>32962</v>
      </c>
      <c r="O125" s="92">
        <v>33263</v>
      </c>
      <c r="P125" s="28" t="s">
        <v>31</v>
      </c>
      <c r="Q125" s="26" t="b">
        <v>0</v>
      </c>
      <c r="R125" s="22">
        <f t="shared" si="1"/>
        <v>288</v>
      </c>
    </row>
    <row r="126" spans="1:18">
      <c r="A126" s="26">
        <v>48</v>
      </c>
      <c r="B126" s="27">
        <v>32973</v>
      </c>
      <c r="C126" s="28" t="s">
        <v>169</v>
      </c>
      <c r="D126" s="27">
        <v>32934</v>
      </c>
      <c r="E126" s="28" t="s">
        <v>38</v>
      </c>
      <c r="F126" s="28" t="s">
        <v>56</v>
      </c>
      <c r="G126" s="28" t="s">
        <v>20</v>
      </c>
      <c r="H126" s="28" t="s">
        <v>21</v>
      </c>
      <c r="I126" s="28" t="s">
        <v>21</v>
      </c>
      <c r="J126" s="28" t="s">
        <v>170</v>
      </c>
      <c r="K126" s="28" t="s">
        <v>171</v>
      </c>
      <c r="L126" s="28" t="s">
        <v>59</v>
      </c>
      <c r="M126" s="28" t="s">
        <v>21</v>
      </c>
      <c r="N126" s="29">
        <v>32962</v>
      </c>
      <c r="O126" s="92">
        <v>33466</v>
      </c>
      <c r="P126" s="28" t="s">
        <v>21</v>
      </c>
      <c r="Q126" s="26" t="b">
        <v>0</v>
      </c>
      <c r="R126" s="22">
        <f t="shared" si="1"/>
        <v>492</v>
      </c>
    </row>
    <row r="127" spans="1:18">
      <c r="A127" s="26">
        <v>49</v>
      </c>
      <c r="B127" s="27">
        <v>32973</v>
      </c>
      <c r="C127" s="28" t="s">
        <v>172</v>
      </c>
      <c r="D127" s="27">
        <v>32952</v>
      </c>
      <c r="E127" s="28" t="s">
        <v>173</v>
      </c>
      <c r="F127" s="28" t="s">
        <v>70</v>
      </c>
      <c r="G127" s="28" t="s">
        <v>20</v>
      </c>
      <c r="H127" s="28" t="s">
        <v>71</v>
      </c>
      <c r="I127" s="28" t="s">
        <v>72</v>
      </c>
      <c r="J127" s="28" t="s">
        <v>121</v>
      </c>
      <c r="K127" s="28" t="s">
        <v>174</v>
      </c>
      <c r="L127" s="28" t="s">
        <v>24</v>
      </c>
      <c r="M127" s="28" t="s">
        <v>21</v>
      </c>
      <c r="O127" s="92">
        <v>34438</v>
      </c>
      <c r="P127" s="28" t="s">
        <v>21</v>
      </c>
      <c r="Q127" s="26" t="b">
        <v>0</v>
      </c>
      <c r="R127" s="22">
        <f t="shared" si="1"/>
        <v>1464</v>
      </c>
    </row>
    <row r="128" spans="1:18">
      <c r="A128" s="26">
        <v>50</v>
      </c>
      <c r="B128" s="27">
        <v>32974</v>
      </c>
      <c r="C128" s="28" t="s">
        <v>175</v>
      </c>
      <c r="D128" s="27">
        <v>32927</v>
      </c>
      <c r="E128" s="28" t="s">
        <v>38</v>
      </c>
      <c r="F128" s="28" t="s">
        <v>56</v>
      </c>
      <c r="G128" s="28" t="s">
        <v>20</v>
      </c>
      <c r="H128" s="28" t="s">
        <v>21</v>
      </c>
      <c r="I128" s="28" t="s">
        <v>21</v>
      </c>
      <c r="J128" s="28" t="s">
        <v>176</v>
      </c>
      <c r="K128" s="28" t="s">
        <v>21</v>
      </c>
      <c r="L128" s="28" t="s">
        <v>59</v>
      </c>
      <c r="M128" s="28" t="s">
        <v>21</v>
      </c>
      <c r="N128" s="29">
        <v>32932</v>
      </c>
      <c r="O128" s="92">
        <v>34079</v>
      </c>
      <c r="P128" s="28" t="s">
        <v>21</v>
      </c>
      <c r="Q128" s="26" t="b">
        <v>0</v>
      </c>
      <c r="R128" s="22">
        <f t="shared" si="1"/>
        <v>1104</v>
      </c>
    </row>
    <row r="129" spans="1:18">
      <c r="A129" s="26">
        <v>53</v>
      </c>
      <c r="B129" s="27">
        <v>32974</v>
      </c>
      <c r="C129" s="28" t="s">
        <v>177</v>
      </c>
      <c r="D129" s="27">
        <v>32972</v>
      </c>
      <c r="E129" s="28" t="s">
        <v>178</v>
      </c>
      <c r="F129" s="28" t="s">
        <v>179</v>
      </c>
      <c r="G129" s="28" t="s">
        <v>20</v>
      </c>
      <c r="H129" s="28" t="s">
        <v>71</v>
      </c>
      <c r="I129" s="28" t="s">
        <v>72</v>
      </c>
      <c r="J129" s="28" t="s">
        <v>180</v>
      </c>
      <c r="K129" s="28" t="s">
        <v>181</v>
      </c>
      <c r="L129" s="28" t="s">
        <v>24</v>
      </c>
      <c r="M129" s="28" t="s">
        <v>21</v>
      </c>
      <c r="N129" s="29">
        <v>33008</v>
      </c>
      <c r="O129" s="92">
        <v>33171</v>
      </c>
      <c r="P129" s="28" t="s">
        <v>182</v>
      </c>
      <c r="Q129" s="26" t="b">
        <v>0</v>
      </c>
      <c r="R129" s="22">
        <f t="shared" si="1"/>
        <v>196</v>
      </c>
    </row>
    <row r="130" spans="1:18">
      <c r="A130" s="26">
        <v>55</v>
      </c>
      <c r="B130" s="27">
        <v>32974</v>
      </c>
      <c r="C130" s="28" t="s">
        <v>183</v>
      </c>
      <c r="D130" s="27">
        <v>32903</v>
      </c>
      <c r="E130" s="28" t="s">
        <v>38</v>
      </c>
      <c r="F130" s="28" t="s">
        <v>145</v>
      </c>
      <c r="G130" s="28" t="s">
        <v>20</v>
      </c>
      <c r="H130" s="28" t="s">
        <v>21</v>
      </c>
      <c r="I130" s="28" t="s">
        <v>21</v>
      </c>
      <c r="J130" s="28" t="s">
        <v>184</v>
      </c>
      <c r="K130" s="28" t="s">
        <v>185</v>
      </c>
      <c r="L130" s="28" t="s">
        <v>59</v>
      </c>
      <c r="M130" s="28" t="s">
        <v>21</v>
      </c>
      <c r="N130" s="29">
        <v>32910</v>
      </c>
      <c r="O130" s="92">
        <v>32918</v>
      </c>
      <c r="P130" s="28" t="s">
        <v>21</v>
      </c>
      <c r="Q130" s="26" t="b">
        <v>0</v>
      </c>
      <c r="R130" s="22">
        <f t="shared" ref="R130:R193" si="2">IF(O130=" ", " ", INT(YEARFRAC(O130, B130)*365))</f>
        <v>57</v>
      </c>
    </row>
    <row r="131" spans="1:18">
      <c r="A131" s="26">
        <v>61</v>
      </c>
      <c r="B131" s="27">
        <v>32974</v>
      </c>
      <c r="C131" s="28" t="s">
        <v>186</v>
      </c>
      <c r="D131" s="27">
        <v>32905</v>
      </c>
      <c r="E131" s="28" t="s">
        <v>187</v>
      </c>
      <c r="F131" s="28" t="s">
        <v>188</v>
      </c>
      <c r="G131" s="28" t="s">
        <v>20</v>
      </c>
      <c r="H131" s="28" t="s">
        <v>189</v>
      </c>
      <c r="I131" s="28" t="s">
        <v>189</v>
      </c>
      <c r="J131" s="28" t="s">
        <v>190</v>
      </c>
      <c r="K131" s="28" t="s">
        <v>191</v>
      </c>
      <c r="L131" s="28" t="s">
        <v>30</v>
      </c>
      <c r="M131" s="28" t="s">
        <v>21</v>
      </c>
      <c r="N131" s="29">
        <v>32932</v>
      </c>
      <c r="O131" s="92">
        <v>32962</v>
      </c>
      <c r="P131" s="28" t="s">
        <v>21</v>
      </c>
      <c r="Q131" s="26" t="b">
        <v>0</v>
      </c>
      <c r="R131" s="22">
        <f t="shared" si="2"/>
        <v>11</v>
      </c>
    </row>
    <row r="132" spans="1:18" ht="24">
      <c r="A132" s="26">
        <v>62</v>
      </c>
      <c r="B132" s="27">
        <v>32974</v>
      </c>
      <c r="C132" s="28" t="s">
        <v>192</v>
      </c>
      <c r="D132" s="27">
        <v>32883</v>
      </c>
      <c r="E132" s="28" t="s">
        <v>193</v>
      </c>
      <c r="F132" s="28" t="s">
        <v>194</v>
      </c>
      <c r="G132" s="28" t="s">
        <v>20</v>
      </c>
      <c r="H132" s="28" t="s">
        <v>71</v>
      </c>
      <c r="I132" s="28" t="s">
        <v>72</v>
      </c>
      <c r="J132" s="28" t="s">
        <v>195</v>
      </c>
      <c r="K132" s="28" t="s">
        <v>196</v>
      </c>
      <c r="L132" s="28" t="s">
        <v>30</v>
      </c>
      <c r="M132" s="28" t="s">
        <v>21</v>
      </c>
      <c r="N132" s="29">
        <v>32932</v>
      </c>
      <c r="O132" s="92">
        <v>33904</v>
      </c>
      <c r="P132" s="28" t="s">
        <v>21</v>
      </c>
      <c r="Q132" s="26" t="b">
        <v>0</v>
      </c>
      <c r="R132" s="22">
        <f t="shared" si="2"/>
        <v>928</v>
      </c>
    </row>
    <row r="133" spans="1:18">
      <c r="A133" s="26">
        <v>63</v>
      </c>
      <c r="B133" s="27">
        <v>32974</v>
      </c>
      <c r="C133" s="28" t="s">
        <v>197</v>
      </c>
      <c r="D133" s="27">
        <v>32892</v>
      </c>
      <c r="E133" s="28" t="s">
        <v>198</v>
      </c>
      <c r="F133" s="28" t="s">
        <v>43</v>
      </c>
      <c r="G133" s="28" t="s">
        <v>20</v>
      </c>
      <c r="H133" s="28" t="s">
        <v>21</v>
      </c>
      <c r="I133" s="28" t="s">
        <v>21</v>
      </c>
      <c r="J133" s="28" t="s">
        <v>199</v>
      </c>
      <c r="K133" s="28" t="s">
        <v>200</v>
      </c>
      <c r="L133" s="28" t="s">
        <v>30</v>
      </c>
      <c r="M133" s="28" t="s">
        <v>21</v>
      </c>
      <c r="N133" s="29">
        <v>32947</v>
      </c>
      <c r="O133" s="92">
        <v>36479</v>
      </c>
      <c r="P133" s="28" t="s">
        <v>21</v>
      </c>
      <c r="Q133" s="26" t="b">
        <v>0</v>
      </c>
      <c r="R133" s="22">
        <f t="shared" si="2"/>
        <v>3501</v>
      </c>
    </row>
    <row r="134" spans="1:18" ht="24">
      <c r="A134" s="26">
        <v>69</v>
      </c>
      <c r="B134" s="27">
        <v>32974</v>
      </c>
      <c r="C134" s="28" t="s">
        <v>201</v>
      </c>
      <c r="D134" s="27">
        <v>32877</v>
      </c>
      <c r="E134" s="28" t="s">
        <v>202</v>
      </c>
      <c r="F134" s="28" t="s">
        <v>39</v>
      </c>
      <c r="G134" s="28" t="s">
        <v>20</v>
      </c>
      <c r="H134" s="28" t="s">
        <v>21</v>
      </c>
      <c r="I134" s="28" t="s">
        <v>21</v>
      </c>
      <c r="J134" s="28" t="s">
        <v>203</v>
      </c>
      <c r="K134" s="28" t="s">
        <v>204</v>
      </c>
      <c r="L134" s="28" t="s">
        <v>36</v>
      </c>
      <c r="M134" s="28" t="s">
        <v>21</v>
      </c>
      <c r="N134" s="29">
        <v>32906</v>
      </c>
      <c r="O134" s="92">
        <v>32906</v>
      </c>
      <c r="P134" s="28" t="s">
        <v>31</v>
      </c>
      <c r="Q134" s="26" t="b">
        <v>0</v>
      </c>
      <c r="R134" s="22">
        <f t="shared" si="2"/>
        <v>69</v>
      </c>
    </row>
    <row r="135" spans="1:18">
      <c r="A135" s="26">
        <v>70</v>
      </c>
      <c r="B135" s="27">
        <v>32974</v>
      </c>
      <c r="C135" s="28" t="s">
        <v>205</v>
      </c>
      <c r="D135" s="27">
        <v>32883</v>
      </c>
      <c r="E135" s="28" t="s">
        <v>206</v>
      </c>
      <c r="F135" s="28" t="s">
        <v>70</v>
      </c>
      <c r="G135" s="28" t="s">
        <v>20</v>
      </c>
      <c r="H135" s="28" t="s">
        <v>71</v>
      </c>
      <c r="I135" s="28" t="s">
        <v>72</v>
      </c>
      <c r="J135" s="28" t="s">
        <v>207</v>
      </c>
      <c r="K135" s="28" t="s">
        <v>208</v>
      </c>
      <c r="L135" s="28" t="s">
        <v>24</v>
      </c>
      <c r="M135" s="28" t="s">
        <v>21</v>
      </c>
      <c r="N135" s="29">
        <v>32918</v>
      </c>
      <c r="O135" s="92">
        <v>33322</v>
      </c>
      <c r="P135" s="28" t="s">
        <v>21</v>
      </c>
      <c r="Q135" s="26" t="b">
        <v>0</v>
      </c>
      <c r="R135" s="22">
        <f t="shared" si="2"/>
        <v>348</v>
      </c>
    </row>
    <row r="136" spans="1:18">
      <c r="A136" s="26">
        <v>71</v>
      </c>
      <c r="B136" s="27">
        <v>32974</v>
      </c>
      <c r="C136" s="28" t="s">
        <v>209</v>
      </c>
      <c r="D136" s="27">
        <v>32884</v>
      </c>
      <c r="E136" s="28" t="s">
        <v>210</v>
      </c>
      <c r="F136" s="28" t="s">
        <v>211</v>
      </c>
      <c r="G136" s="28" t="s">
        <v>20</v>
      </c>
      <c r="H136" s="28" t="s">
        <v>212</v>
      </c>
      <c r="I136" s="28" t="s">
        <v>212</v>
      </c>
      <c r="J136" s="28" t="s">
        <v>213</v>
      </c>
      <c r="K136" s="28" t="s">
        <v>208</v>
      </c>
      <c r="L136" s="28" t="s">
        <v>24</v>
      </c>
      <c r="M136" s="28" t="s">
        <v>21</v>
      </c>
      <c r="N136" s="29">
        <v>32918</v>
      </c>
      <c r="O136" s="92">
        <v>33322</v>
      </c>
      <c r="P136" s="28" t="s">
        <v>21</v>
      </c>
      <c r="Q136" s="26" t="b">
        <v>0</v>
      </c>
      <c r="R136" s="22">
        <f t="shared" si="2"/>
        <v>348</v>
      </c>
    </row>
    <row r="137" spans="1:18">
      <c r="A137" s="26">
        <v>72</v>
      </c>
      <c r="B137" s="27">
        <v>32974</v>
      </c>
      <c r="C137" s="28" t="s">
        <v>214</v>
      </c>
      <c r="D137" s="27">
        <v>32884</v>
      </c>
      <c r="E137" s="28" t="s">
        <v>215</v>
      </c>
      <c r="F137" s="28" t="s">
        <v>216</v>
      </c>
      <c r="G137" s="28" t="s">
        <v>20</v>
      </c>
      <c r="H137" s="28" t="s">
        <v>21</v>
      </c>
      <c r="I137" s="28" t="s">
        <v>21</v>
      </c>
      <c r="J137" s="28" t="s">
        <v>217</v>
      </c>
      <c r="K137" s="28" t="s">
        <v>218</v>
      </c>
      <c r="L137" s="28" t="s">
        <v>82</v>
      </c>
      <c r="M137" s="28" t="s">
        <v>21</v>
      </c>
      <c r="N137" s="29">
        <v>32932</v>
      </c>
      <c r="O137" s="92">
        <v>33528</v>
      </c>
      <c r="P137" s="28" t="s">
        <v>21</v>
      </c>
      <c r="Q137" s="26" t="b">
        <v>0</v>
      </c>
      <c r="R137" s="22">
        <f t="shared" si="2"/>
        <v>553</v>
      </c>
    </row>
    <row r="138" spans="1:18">
      <c r="A138" s="26">
        <v>76</v>
      </c>
      <c r="B138" s="27">
        <v>32974</v>
      </c>
      <c r="C138" s="28" t="s">
        <v>219</v>
      </c>
      <c r="D138" s="27">
        <v>32903</v>
      </c>
      <c r="E138" s="28" t="s">
        <v>220</v>
      </c>
      <c r="F138" s="28" t="s">
        <v>19</v>
      </c>
      <c r="G138" s="28" t="s">
        <v>20</v>
      </c>
      <c r="H138" s="28" t="s">
        <v>21</v>
      </c>
      <c r="I138" s="28" t="s">
        <v>21</v>
      </c>
      <c r="J138" s="28" t="s">
        <v>221</v>
      </c>
      <c r="K138" s="28" t="s">
        <v>222</v>
      </c>
      <c r="L138" s="28" t="s">
        <v>30</v>
      </c>
      <c r="M138" s="28" t="s">
        <v>21</v>
      </c>
      <c r="N138" s="29">
        <v>32912</v>
      </c>
      <c r="O138" s="92">
        <v>35244</v>
      </c>
      <c r="P138" s="28" t="s">
        <v>21</v>
      </c>
      <c r="Q138" s="26" t="b">
        <v>0</v>
      </c>
      <c r="R138" s="22">
        <f t="shared" si="2"/>
        <v>2268</v>
      </c>
    </row>
    <row r="139" spans="1:18">
      <c r="A139" s="26">
        <v>77</v>
      </c>
      <c r="B139" s="27">
        <v>32974</v>
      </c>
      <c r="C139" s="28" t="s">
        <v>223</v>
      </c>
      <c r="D139" s="27">
        <v>32876</v>
      </c>
      <c r="E139" s="28" t="s">
        <v>224</v>
      </c>
      <c r="F139" s="28" t="s">
        <v>104</v>
      </c>
      <c r="G139" s="28" t="s">
        <v>20</v>
      </c>
      <c r="H139" s="28" t="s">
        <v>21</v>
      </c>
      <c r="I139" s="28" t="s">
        <v>21</v>
      </c>
      <c r="J139" s="28" t="s">
        <v>225</v>
      </c>
      <c r="K139" s="28" t="s">
        <v>21</v>
      </c>
      <c r="L139" s="28" t="s">
        <v>24</v>
      </c>
      <c r="M139" s="28" t="s">
        <v>21</v>
      </c>
      <c r="N139" s="29">
        <v>32904</v>
      </c>
      <c r="O139" s="92">
        <v>32930</v>
      </c>
      <c r="P139" s="28" t="s">
        <v>31</v>
      </c>
      <c r="Q139" s="26" t="b">
        <v>0</v>
      </c>
      <c r="R139" s="22">
        <f t="shared" si="2"/>
        <v>45</v>
      </c>
    </row>
    <row r="140" spans="1:18">
      <c r="A140" s="26">
        <v>78</v>
      </c>
      <c r="B140" s="27">
        <v>32974</v>
      </c>
      <c r="C140" s="28" t="s">
        <v>226</v>
      </c>
      <c r="D140" s="27">
        <v>32878</v>
      </c>
      <c r="E140" s="28" t="s">
        <v>227</v>
      </c>
      <c r="F140" s="28" t="s">
        <v>228</v>
      </c>
      <c r="G140" s="28" t="s">
        <v>20</v>
      </c>
      <c r="H140" s="28" t="s">
        <v>21</v>
      </c>
      <c r="I140" s="28" t="s">
        <v>21</v>
      </c>
      <c r="J140" s="28" t="s">
        <v>229</v>
      </c>
      <c r="K140" s="28" t="s">
        <v>21</v>
      </c>
      <c r="L140" s="28" t="s">
        <v>24</v>
      </c>
      <c r="M140" s="28" t="s">
        <v>21</v>
      </c>
      <c r="N140" s="29">
        <v>32904</v>
      </c>
      <c r="O140" s="92">
        <v>32987</v>
      </c>
      <c r="P140" s="28" t="s">
        <v>31</v>
      </c>
      <c r="Q140" s="26" t="b">
        <v>0</v>
      </c>
      <c r="R140" s="22">
        <f t="shared" si="2"/>
        <v>13</v>
      </c>
    </row>
    <row r="141" spans="1:18">
      <c r="A141" s="26">
        <v>79</v>
      </c>
      <c r="B141" s="27">
        <v>32974</v>
      </c>
      <c r="C141" s="28" t="s">
        <v>230</v>
      </c>
      <c r="D141" s="27">
        <v>32863</v>
      </c>
      <c r="E141" s="28" t="s">
        <v>231</v>
      </c>
      <c r="F141" s="28" t="s">
        <v>98</v>
      </c>
      <c r="G141" s="28" t="s">
        <v>20</v>
      </c>
      <c r="H141" s="28" t="s">
        <v>21</v>
      </c>
      <c r="I141" s="28" t="s">
        <v>21</v>
      </c>
      <c r="J141" s="28" t="s">
        <v>221</v>
      </c>
      <c r="K141" s="28" t="s">
        <v>232</v>
      </c>
      <c r="L141" s="28" t="s">
        <v>24</v>
      </c>
      <c r="M141" s="28" t="s">
        <v>21</v>
      </c>
      <c r="N141" s="29">
        <v>32906</v>
      </c>
      <c r="O141" s="92">
        <v>33308</v>
      </c>
      <c r="P141" s="28" t="s">
        <v>21</v>
      </c>
      <c r="Q141" s="26" t="b">
        <v>0</v>
      </c>
      <c r="R141" s="22">
        <f t="shared" si="2"/>
        <v>334</v>
      </c>
    </row>
    <row r="142" spans="1:18">
      <c r="A142" s="26">
        <v>80</v>
      </c>
      <c r="B142" s="27">
        <v>32974</v>
      </c>
      <c r="C142" s="28" t="s">
        <v>233</v>
      </c>
      <c r="D142" s="27">
        <v>32871</v>
      </c>
      <c r="E142" s="28" t="s">
        <v>234</v>
      </c>
      <c r="F142" s="28" t="s">
        <v>98</v>
      </c>
      <c r="G142" s="28" t="s">
        <v>20</v>
      </c>
      <c r="H142" s="28" t="s">
        <v>21</v>
      </c>
      <c r="I142" s="28" t="s">
        <v>21</v>
      </c>
      <c r="J142" s="28" t="s">
        <v>235</v>
      </c>
      <c r="K142" s="28" t="s">
        <v>236</v>
      </c>
      <c r="L142" s="28" t="s">
        <v>24</v>
      </c>
      <c r="M142" s="28" t="s">
        <v>21</v>
      </c>
      <c r="N142" s="29">
        <v>32919</v>
      </c>
      <c r="O142" s="92">
        <v>34918</v>
      </c>
      <c r="P142" s="28" t="s">
        <v>31</v>
      </c>
      <c r="Q142" s="26" t="b">
        <v>0</v>
      </c>
      <c r="R142" s="22">
        <f t="shared" si="2"/>
        <v>1942</v>
      </c>
    </row>
    <row r="143" spans="1:18">
      <c r="A143" s="26">
        <v>81</v>
      </c>
      <c r="B143" s="27">
        <v>32974</v>
      </c>
      <c r="C143" s="28" t="s">
        <v>237</v>
      </c>
      <c r="D143" s="27">
        <v>32883</v>
      </c>
      <c r="E143" s="28" t="s">
        <v>238</v>
      </c>
      <c r="F143" s="28" t="s">
        <v>129</v>
      </c>
      <c r="G143" s="28" t="s">
        <v>20</v>
      </c>
      <c r="H143" s="28" t="s">
        <v>21</v>
      </c>
      <c r="I143" s="28" t="s">
        <v>21</v>
      </c>
      <c r="J143" s="28" t="s">
        <v>239</v>
      </c>
      <c r="K143" s="28" t="s">
        <v>21</v>
      </c>
      <c r="L143" s="28" t="s">
        <v>24</v>
      </c>
      <c r="M143" s="28" t="s">
        <v>21</v>
      </c>
      <c r="N143" s="29">
        <v>32904</v>
      </c>
      <c r="O143" s="92">
        <v>32904</v>
      </c>
      <c r="P143" s="28" t="s">
        <v>21</v>
      </c>
      <c r="Q143" s="26" t="b">
        <v>0</v>
      </c>
      <c r="R143" s="22">
        <f t="shared" si="2"/>
        <v>71</v>
      </c>
    </row>
    <row r="144" spans="1:18">
      <c r="A144" s="26">
        <v>82</v>
      </c>
      <c r="B144" s="27">
        <v>32974</v>
      </c>
      <c r="C144" s="28" t="s">
        <v>240</v>
      </c>
      <c r="D144" s="27">
        <v>32883</v>
      </c>
      <c r="E144" s="28" t="s">
        <v>241</v>
      </c>
      <c r="F144" s="28" t="s">
        <v>242</v>
      </c>
      <c r="G144" s="28" t="s">
        <v>20</v>
      </c>
      <c r="H144" s="28" t="s">
        <v>21</v>
      </c>
      <c r="I144" s="28" t="s">
        <v>21</v>
      </c>
      <c r="J144" s="28" t="s">
        <v>243</v>
      </c>
      <c r="K144" s="28" t="s">
        <v>244</v>
      </c>
      <c r="L144" s="28" t="s">
        <v>24</v>
      </c>
      <c r="M144" s="28" t="s">
        <v>21</v>
      </c>
      <c r="N144" s="27">
        <v>32906</v>
      </c>
      <c r="O144" s="92">
        <v>32912</v>
      </c>
      <c r="P144" s="28" t="s">
        <v>21</v>
      </c>
      <c r="Q144" s="26" t="b">
        <v>0</v>
      </c>
      <c r="R144" s="22">
        <f t="shared" si="2"/>
        <v>63</v>
      </c>
    </row>
    <row r="145" spans="1:18">
      <c r="A145" s="26">
        <v>83</v>
      </c>
      <c r="B145" s="27">
        <v>32974</v>
      </c>
      <c r="C145" s="28" t="s">
        <v>245</v>
      </c>
      <c r="D145" s="27">
        <v>32897</v>
      </c>
      <c r="E145" s="28" t="s">
        <v>246</v>
      </c>
      <c r="F145" s="28" t="s">
        <v>149</v>
      </c>
      <c r="G145" s="28" t="s">
        <v>20</v>
      </c>
      <c r="H145" s="28" t="s">
        <v>21</v>
      </c>
      <c r="I145" s="28" t="s">
        <v>21</v>
      </c>
      <c r="J145" s="28" t="s">
        <v>247</v>
      </c>
      <c r="K145" s="28" t="s">
        <v>248</v>
      </c>
      <c r="L145" s="28" t="s">
        <v>24</v>
      </c>
      <c r="M145" s="28" t="s">
        <v>21</v>
      </c>
      <c r="N145" s="29">
        <v>32932</v>
      </c>
      <c r="O145" s="92">
        <v>32903</v>
      </c>
      <c r="P145" s="28" t="s">
        <v>31</v>
      </c>
      <c r="Q145" s="26" t="b">
        <v>0</v>
      </c>
      <c r="R145" s="22">
        <f t="shared" si="2"/>
        <v>71</v>
      </c>
    </row>
    <row r="146" spans="1:18">
      <c r="A146" s="26">
        <v>94</v>
      </c>
      <c r="B146" s="27">
        <v>32979</v>
      </c>
      <c r="C146" s="28" t="s">
        <v>249</v>
      </c>
      <c r="D146" s="27">
        <v>32969</v>
      </c>
      <c r="E146" s="28" t="s">
        <v>250</v>
      </c>
      <c r="F146" s="28" t="s">
        <v>98</v>
      </c>
      <c r="G146" s="28" t="s">
        <v>20</v>
      </c>
      <c r="H146" s="28" t="s">
        <v>21</v>
      </c>
      <c r="I146" s="28" t="s">
        <v>21</v>
      </c>
      <c r="J146" s="28" t="s">
        <v>251</v>
      </c>
      <c r="K146" s="28" t="s">
        <v>252</v>
      </c>
      <c r="L146" s="28" t="s">
        <v>30</v>
      </c>
      <c r="M146" s="28" t="s">
        <v>21</v>
      </c>
      <c r="N146" s="27">
        <v>33023</v>
      </c>
      <c r="O146" s="92">
        <v>35663</v>
      </c>
      <c r="P146" s="28" t="s">
        <v>21</v>
      </c>
      <c r="Q146" s="26" t="b">
        <v>0</v>
      </c>
      <c r="R146" s="22">
        <f t="shared" si="2"/>
        <v>2681</v>
      </c>
    </row>
    <row r="147" spans="1:18">
      <c r="A147" s="26">
        <v>95</v>
      </c>
      <c r="B147" s="27">
        <v>32979</v>
      </c>
      <c r="C147" s="28" t="s">
        <v>253</v>
      </c>
      <c r="D147" s="27">
        <v>32974</v>
      </c>
      <c r="E147" s="28" t="s">
        <v>254</v>
      </c>
      <c r="F147" s="28" t="s">
        <v>149</v>
      </c>
      <c r="G147" s="28" t="s">
        <v>20</v>
      </c>
      <c r="H147" s="28" t="s">
        <v>21</v>
      </c>
      <c r="I147" s="28" t="s">
        <v>21</v>
      </c>
      <c r="J147" s="28" t="s">
        <v>255</v>
      </c>
      <c r="K147" s="28" t="s">
        <v>256</v>
      </c>
      <c r="L147" s="28" t="s">
        <v>30</v>
      </c>
      <c r="M147" s="28" t="s">
        <v>21</v>
      </c>
      <c r="N147" s="27">
        <v>33024</v>
      </c>
      <c r="O147" s="92">
        <v>36445</v>
      </c>
      <c r="P147" s="28" t="s">
        <v>21</v>
      </c>
      <c r="Q147" s="26" t="b">
        <v>0</v>
      </c>
      <c r="R147" s="22">
        <f t="shared" si="2"/>
        <v>3463</v>
      </c>
    </row>
    <row r="148" spans="1:18">
      <c r="A148" s="26">
        <v>97</v>
      </c>
      <c r="B148" s="27">
        <v>32979</v>
      </c>
      <c r="C148" s="28" t="s">
        <v>257</v>
      </c>
      <c r="D148" s="27">
        <v>32863</v>
      </c>
      <c r="E148" s="28" t="s">
        <v>258</v>
      </c>
      <c r="F148" s="28" t="s">
        <v>259</v>
      </c>
      <c r="G148" s="28" t="s">
        <v>20</v>
      </c>
      <c r="H148" s="28" t="s">
        <v>21</v>
      </c>
      <c r="I148" s="28" t="s">
        <v>21</v>
      </c>
      <c r="J148" s="28" t="s">
        <v>260</v>
      </c>
      <c r="K148" s="28" t="s">
        <v>261</v>
      </c>
      <c r="L148" s="28" t="s">
        <v>24</v>
      </c>
      <c r="M148" s="28" t="s">
        <v>21</v>
      </c>
      <c r="N148" s="27">
        <v>32947</v>
      </c>
      <c r="O148" s="92">
        <v>33235</v>
      </c>
      <c r="P148" s="28" t="s">
        <v>21</v>
      </c>
      <c r="Q148" s="26" t="b">
        <v>0</v>
      </c>
      <c r="R148" s="22">
        <f t="shared" si="2"/>
        <v>255</v>
      </c>
    </row>
    <row r="149" spans="1:18">
      <c r="A149" s="26">
        <v>98</v>
      </c>
      <c r="B149" s="27">
        <v>32979</v>
      </c>
      <c r="C149" s="28" t="s">
        <v>262</v>
      </c>
      <c r="D149" s="27">
        <v>32878</v>
      </c>
      <c r="E149" s="28" t="s">
        <v>263</v>
      </c>
      <c r="F149" s="28" t="s">
        <v>98</v>
      </c>
      <c r="G149" s="28" t="s">
        <v>20</v>
      </c>
      <c r="H149" s="28" t="s">
        <v>21</v>
      </c>
      <c r="I149" s="28" t="s">
        <v>21</v>
      </c>
      <c r="J149" s="28" t="s">
        <v>221</v>
      </c>
      <c r="K149" s="28" t="s">
        <v>264</v>
      </c>
      <c r="L149" s="28" t="s">
        <v>24</v>
      </c>
      <c r="M149" s="28" t="s">
        <v>21</v>
      </c>
      <c r="O149" s="92">
        <v>33449</v>
      </c>
      <c r="P149" s="28" t="s">
        <v>21</v>
      </c>
      <c r="Q149" s="26" t="b">
        <v>0</v>
      </c>
      <c r="R149" s="22">
        <f t="shared" si="2"/>
        <v>470</v>
      </c>
    </row>
    <row r="150" spans="1:18">
      <c r="A150" s="26">
        <v>99</v>
      </c>
      <c r="B150" s="27">
        <v>32980</v>
      </c>
      <c r="C150" s="28" t="s">
        <v>265</v>
      </c>
      <c r="D150" s="27">
        <v>32944</v>
      </c>
      <c r="E150" s="28" t="s">
        <v>38</v>
      </c>
      <c r="F150" s="28" t="s">
        <v>39</v>
      </c>
      <c r="G150" s="28" t="s">
        <v>20</v>
      </c>
      <c r="H150" s="28" t="s">
        <v>21</v>
      </c>
      <c r="I150" s="28" t="s">
        <v>21</v>
      </c>
      <c r="J150" s="28" t="s">
        <v>266</v>
      </c>
      <c r="K150" s="28" t="s">
        <v>21</v>
      </c>
      <c r="L150" s="28" t="s">
        <v>30</v>
      </c>
      <c r="M150" s="28" t="s">
        <v>21</v>
      </c>
      <c r="N150" s="29">
        <v>32990</v>
      </c>
      <c r="O150" s="92">
        <v>32995</v>
      </c>
      <c r="P150" s="28" t="s">
        <v>31</v>
      </c>
      <c r="Q150" s="26" t="b">
        <v>0</v>
      </c>
      <c r="R150" s="22">
        <f t="shared" si="2"/>
        <v>15</v>
      </c>
    </row>
    <row r="151" spans="1:18">
      <c r="A151" s="26">
        <v>100</v>
      </c>
      <c r="B151" s="27">
        <v>32982</v>
      </c>
      <c r="C151" s="28" t="s">
        <v>267</v>
      </c>
      <c r="D151" s="27">
        <v>32981</v>
      </c>
      <c r="E151" s="28" t="s">
        <v>268</v>
      </c>
      <c r="F151" s="28" t="s">
        <v>145</v>
      </c>
      <c r="G151" s="28" t="s">
        <v>20</v>
      </c>
      <c r="H151" s="28" t="s">
        <v>21</v>
      </c>
      <c r="I151" s="28" t="s">
        <v>21</v>
      </c>
      <c r="J151" s="28" t="s">
        <v>269</v>
      </c>
      <c r="K151" s="28" t="s">
        <v>270</v>
      </c>
      <c r="L151" s="28" t="s">
        <v>24</v>
      </c>
      <c r="M151" s="28" t="s">
        <v>21</v>
      </c>
      <c r="N151" s="29">
        <v>32997</v>
      </c>
      <c r="O151" s="92">
        <v>33044</v>
      </c>
      <c r="P151" s="28" t="s">
        <v>21</v>
      </c>
      <c r="Q151" s="26" t="b">
        <v>0</v>
      </c>
      <c r="R151" s="22">
        <f t="shared" si="2"/>
        <v>61</v>
      </c>
    </row>
    <row r="152" spans="1:18">
      <c r="A152" s="26">
        <v>101</v>
      </c>
      <c r="B152" s="27">
        <v>32986</v>
      </c>
      <c r="C152" s="28" t="s">
        <v>271</v>
      </c>
      <c r="D152" s="27">
        <v>32981</v>
      </c>
      <c r="E152" s="28" t="s">
        <v>38</v>
      </c>
      <c r="F152" s="28" t="s">
        <v>124</v>
      </c>
      <c r="G152" s="28" t="s">
        <v>20</v>
      </c>
      <c r="H152" s="28" t="s">
        <v>21</v>
      </c>
      <c r="I152" s="28" t="s">
        <v>21</v>
      </c>
      <c r="J152" s="28" t="s">
        <v>272</v>
      </c>
      <c r="K152" s="28" t="s">
        <v>273</v>
      </c>
      <c r="L152" s="28" t="s">
        <v>24</v>
      </c>
      <c r="M152" s="28" t="s">
        <v>21</v>
      </c>
      <c r="O152" s="92">
        <v>32989</v>
      </c>
      <c r="P152" s="28" t="s">
        <v>21</v>
      </c>
      <c r="Q152" s="26" t="b">
        <v>0</v>
      </c>
      <c r="R152" s="22">
        <f t="shared" si="2"/>
        <v>3</v>
      </c>
    </row>
    <row r="153" spans="1:18">
      <c r="A153" s="26">
        <v>102</v>
      </c>
      <c r="B153" s="27">
        <v>32986</v>
      </c>
      <c r="C153" s="28" t="s">
        <v>249</v>
      </c>
      <c r="D153" s="27">
        <v>32984</v>
      </c>
      <c r="E153" s="28" t="s">
        <v>274</v>
      </c>
      <c r="F153" s="28" t="s">
        <v>275</v>
      </c>
      <c r="G153" s="28" t="s">
        <v>20</v>
      </c>
      <c r="H153" s="28" t="s">
        <v>21</v>
      </c>
      <c r="I153" s="28" t="s">
        <v>21</v>
      </c>
      <c r="J153" s="28" t="s">
        <v>276</v>
      </c>
      <c r="K153" s="28" t="s">
        <v>277</v>
      </c>
      <c r="L153" s="28" t="s">
        <v>66</v>
      </c>
      <c r="M153" s="28" t="s">
        <v>21</v>
      </c>
      <c r="N153" s="29">
        <v>33054</v>
      </c>
      <c r="O153" s="92">
        <v>35669</v>
      </c>
      <c r="P153" s="28" t="s">
        <v>21</v>
      </c>
      <c r="Q153" s="26" t="b">
        <v>0</v>
      </c>
      <c r="R153" s="22">
        <f t="shared" si="2"/>
        <v>2680</v>
      </c>
    </row>
    <row r="154" spans="1:18">
      <c r="A154" s="26">
        <v>103</v>
      </c>
      <c r="B154" s="27">
        <v>32986</v>
      </c>
      <c r="C154" s="28" t="s">
        <v>278</v>
      </c>
      <c r="D154" s="27">
        <v>32834</v>
      </c>
      <c r="E154" s="28" t="s">
        <v>61</v>
      </c>
      <c r="F154" s="28" t="s">
        <v>275</v>
      </c>
      <c r="G154" s="28" t="s">
        <v>20</v>
      </c>
      <c r="H154" s="28" t="s">
        <v>21</v>
      </c>
      <c r="I154" s="28" t="s">
        <v>21</v>
      </c>
      <c r="J154" s="28" t="s">
        <v>279</v>
      </c>
      <c r="K154" s="28" t="s">
        <v>280</v>
      </c>
      <c r="L154" s="28" t="s">
        <v>59</v>
      </c>
      <c r="M154" s="28" t="s">
        <v>21</v>
      </c>
      <c r="N154" s="27">
        <v>32840</v>
      </c>
      <c r="O154" s="92">
        <v>32840</v>
      </c>
      <c r="P154" s="28" t="s">
        <v>21</v>
      </c>
      <c r="Q154" s="26" t="b">
        <v>0</v>
      </c>
      <c r="R154" s="22">
        <f t="shared" si="2"/>
        <v>147</v>
      </c>
    </row>
    <row r="155" spans="1:18">
      <c r="A155" s="26">
        <v>116</v>
      </c>
      <c r="B155" s="27">
        <v>32988</v>
      </c>
      <c r="C155" s="28" t="s">
        <v>281</v>
      </c>
      <c r="D155" s="27">
        <v>32987</v>
      </c>
      <c r="E155" s="28" t="s">
        <v>282</v>
      </c>
      <c r="F155" s="28" t="s">
        <v>283</v>
      </c>
      <c r="G155" s="28" t="s">
        <v>20</v>
      </c>
      <c r="H155" s="28" t="s">
        <v>21</v>
      </c>
      <c r="I155" s="28" t="s">
        <v>21</v>
      </c>
      <c r="J155" s="28" t="s">
        <v>284</v>
      </c>
      <c r="K155" s="28" t="s">
        <v>285</v>
      </c>
      <c r="L155" s="28" t="s">
        <v>30</v>
      </c>
      <c r="M155" s="28" t="s">
        <v>21</v>
      </c>
      <c r="N155" s="29">
        <v>32997</v>
      </c>
      <c r="O155" s="92">
        <v>33016</v>
      </c>
      <c r="P155" s="28" t="s">
        <v>21</v>
      </c>
      <c r="Q155" s="26" t="b">
        <v>0</v>
      </c>
      <c r="R155" s="22">
        <f t="shared" si="2"/>
        <v>28</v>
      </c>
    </row>
    <row r="156" spans="1:18">
      <c r="A156" s="26">
        <v>118</v>
      </c>
      <c r="B156" s="27">
        <v>32994</v>
      </c>
      <c r="C156" s="28" t="s">
        <v>286</v>
      </c>
      <c r="D156" s="27">
        <v>32987</v>
      </c>
      <c r="E156" s="28" t="s">
        <v>287</v>
      </c>
      <c r="F156" s="28" t="s">
        <v>145</v>
      </c>
      <c r="G156" s="28" t="s">
        <v>20</v>
      </c>
      <c r="H156" s="28" t="s">
        <v>21</v>
      </c>
      <c r="I156" s="28" t="s">
        <v>21</v>
      </c>
      <c r="J156" s="28" t="s">
        <v>288</v>
      </c>
      <c r="K156" s="28" t="s">
        <v>289</v>
      </c>
      <c r="L156" s="28" t="s">
        <v>24</v>
      </c>
      <c r="M156" s="28" t="s">
        <v>21</v>
      </c>
      <c r="N156" s="27">
        <v>32997</v>
      </c>
      <c r="O156" s="92">
        <v>33044</v>
      </c>
      <c r="P156" s="28" t="s">
        <v>31</v>
      </c>
      <c r="Q156" s="26" t="b">
        <v>0</v>
      </c>
      <c r="R156" s="22">
        <f t="shared" si="2"/>
        <v>49</v>
      </c>
    </row>
    <row r="157" spans="1:18">
      <c r="A157" s="26">
        <v>119</v>
      </c>
      <c r="B157" s="27">
        <v>32994</v>
      </c>
      <c r="C157" s="28" t="s">
        <v>290</v>
      </c>
      <c r="D157" s="27">
        <v>32989</v>
      </c>
      <c r="E157" s="28" t="s">
        <v>291</v>
      </c>
      <c r="F157" s="28" t="s">
        <v>149</v>
      </c>
      <c r="G157" s="28" t="s">
        <v>20</v>
      </c>
      <c r="H157" s="28" t="s">
        <v>21</v>
      </c>
      <c r="I157" s="28" t="s">
        <v>21</v>
      </c>
      <c r="J157" s="28" t="s">
        <v>292</v>
      </c>
      <c r="K157" s="28" t="s">
        <v>293</v>
      </c>
      <c r="L157" s="28" t="s">
        <v>30</v>
      </c>
      <c r="M157" s="28" t="s">
        <v>21</v>
      </c>
      <c r="N157" s="27">
        <v>32997</v>
      </c>
      <c r="O157" s="92">
        <v>33031</v>
      </c>
      <c r="P157" s="28" t="s">
        <v>21</v>
      </c>
      <c r="Q157" s="26" t="b">
        <v>0</v>
      </c>
      <c r="R157" s="22">
        <f t="shared" si="2"/>
        <v>36</v>
      </c>
    </row>
    <row r="158" spans="1:18">
      <c r="A158" s="26">
        <v>120</v>
      </c>
      <c r="B158" s="27">
        <v>32994</v>
      </c>
      <c r="C158" s="28" t="s">
        <v>294</v>
      </c>
      <c r="D158" s="27">
        <v>32987</v>
      </c>
      <c r="E158" s="28" t="s">
        <v>295</v>
      </c>
      <c r="F158" s="28" t="s">
        <v>275</v>
      </c>
      <c r="G158" s="28" t="s">
        <v>20</v>
      </c>
      <c r="H158" s="28" t="s">
        <v>21</v>
      </c>
      <c r="I158" s="28" t="s">
        <v>21</v>
      </c>
      <c r="J158" s="28" t="s">
        <v>296</v>
      </c>
      <c r="K158" s="28" t="s">
        <v>297</v>
      </c>
      <c r="L158" s="28" t="s">
        <v>30</v>
      </c>
      <c r="M158" s="28" t="s">
        <v>21</v>
      </c>
      <c r="N158" s="29">
        <v>33036</v>
      </c>
      <c r="O158" s="92">
        <v>33997</v>
      </c>
      <c r="P158" s="28" t="s">
        <v>21</v>
      </c>
      <c r="Q158" s="26" t="b">
        <v>0</v>
      </c>
      <c r="R158" s="22">
        <f t="shared" si="2"/>
        <v>1000</v>
      </c>
    </row>
    <row r="159" spans="1:18">
      <c r="A159" s="26">
        <v>122</v>
      </c>
      <c r="B159" s="27">
        <v>33001</v>
      </c>
      <c r="C159" s="28" t="s">
        <v>304</v>
      </c>
      <c r="D159" s="27">
        <v>32993</v>
      </c>
      <c r="E159" s="28" t="s">
        <v>305</v>
      </c>
      <c r="F159" s="28" t="s">
        <v>306</v>
      </c>
      <c r="G159" s="28" t="s">
        <v>20</v>
      </c>
      <c r="H159" s="28" t="s">
        <v>21</v>
      </c>
      <c r="I159" s="28" t="s">
        <v>21</v>
      </c>
      <c r="J159" s="28" t="s">
        <v>307</v>
      </c>
      <c r="K159" s="28" t="s">
        <v>308</v>
      </c>
      <c r="L159" s="28" t="s">
        <v>36</v>
      </c>
      <c r="M159" s="28" t="s">
        <v>21</v>
      </c>
      <c r="N159" s="27">
        <v>33011</v>
      </c>
      <c r="O159" s="92">
        <v>33011</v>
      </c>
      <c r="P159" s="28" t="s">
        <v>21</v>
      </c>
      <c r="Q159" s="26" t="b">
        <v>0</v>
      </c>
      <c r="R159" s="22">
        <f t="shared" si="2"/>
        <v>10</v>
      </c>
    </row>
    <row r="160" spans="1:18">
      <c r="A160" s="26">
        <v>121</v>
      </c>
      <c r="B160" s="27">
        <v>33002</v>
      </c>
      <c r="C160" s="28" t="s">
        <v>298</v>
      </c>
      <c r="D160" s="27">
        <v>33002</v>
      </c>
      <c r="E160" s="28" t="s">
        <v>299</v>
      </c>
      <c r="F160" s="28" t="s">
        <v>300</v>
      </c>
      <c r="G160" s="28" t="s">
        <v>20</v>
      </c>
      <c r="H160" s="28" t="s">
        <v>71</v>
      </c>
      <c r="I160" s="28" t="s">
        <v>72</v>
      </c>
      <c r="J160" s="28" t="s">
        <v>301</v>
      </c>
      <c r="K160" s="28" t="s">
        <v>302</v>
      </c>
      <c r="L160" s="28" t="s">
        <v>303</v>
      </c>
      <c r="M160" s="28" t="s">
        <v>21</v>
      </c>
      <c r="N160" s="29">
        <v>33024</v>
      </c>
      <c r="O160" s="92">
        <v>33802</v>
      </c>
      <c r="P160" s="28" t="s">
        <v>21</v>
      </c>
      <c r="Q160" s="26" t="b">
        <v>0</v>
      </c>
      <c r="R160" s="22">
        <f t="shared" si="2"/>
        <v>798</v>
      </c>
    </row>
    <row r="161" spans="1:18" ht="24">
      <c r="A161" s="26">
        <v>126</v>
      </c>
      <c r="B161" s="27">
        <v>33003</v>
      </c>
      <c r="C161" s="28" t="s">
        <v>309</v>
      </c>
      <c r="D161" s="27">
        <v>33003</v>
      </c>
      <c r="E161" s="28" t="s">
        <v>310</v>
      </c>
      <c r="F161" s="28" t="s">
        <v>311</v>
      </c>
      <c r="G161" s="28" t="s">
        <v>20</v>
      </c>
      <c r="H161" s="28" t="s">
        <v>21</v>
      </c>
      <c r="I161" s="28" t="s">
        <v>21</v>
      </c>
      <c r="J161" s="28" t="s">
        <v>312</v>
      </c>
      <c r="K161" s="28" t="s">
        <v>313</v>
      </c>
      <c r="L161" s="28" t="s">
        <v>314</v>
      </c>
      <c r="M161" s="28" t="s">
        <v>315</v>
      </c>
      <c r="O161" s="92">
        <v>37375</v>
      </c>
      <c r="P161" s="28" t="s">
        <v>21</v>
      </c>
      <c r="Q161" s="26" t="b">
        <v>0</v>
      </c>
      <c r="R161" s="22">
        <f t="shared" si="2"/>
        <v>4368</v>
      </c>
    </row>
    <row r="162" spans="1:18">
      <c r="A162" s="26">
        <v>127</v>
      </c>
      <c r="B162" s="27">
        <v>33007</v>
      </c>
      <c r="C162" s="28" t="s">
        <v>316</v>
      </c>
      <c r="D162" s="27">
        <v>33007</v>
      </c>
      <c r="E162" s="28" t="s">
        <v>317</v>
      </c>
      <c r="F162" s="28" t="s">
        <v>149</v>
      </c>
      <c r="G162" s="28" t="s">
        <v>20</v>
      </c>
      <c r="H162" s="28" t="s">
        <v>21</v>
      </c>
      <c r="I162" s="28" t="s">
        <v>21</v>
      </c>
      <c r="J162" s="28" t="s">
        <v>318</v>
      </c>
      <c r="K162" s="28" t="s">
        <v>319</v>
      </c>
      <c r="L162" s="28" t="s">
        <v>36</v>
      </c>
      <c r="M162" s="28" t="s">
        <v>21</v>
      </c>
      <c r="N162" s="29">
        <v>33011</v>
      </c>
      <c r="O162" s="92">
        <v>33067</v>
      </c>
      <c r="P162" s="28" t="s">
        <v>21</v>
      </c>
      <c r="Q162" s="26" t="b">
        <v>0</v>
      </c>
      <c r="R162" s="22">
        <f t="shared" si="2"/>
        <v>59</v>
      </c>
    </row>
    <row r="163" spans="1:18">
      <c r="A163" s="26">
        <v>130</v>
      </c>
      <c r="B163" s="27">
        <v>33015</v>
      </c>
      <c r="C163" s="28" t="s">
        <v>320</v>
      </c>
      <c r="D163" s="27">
        <v>33014</v>
      </c>
      <c r="E163" s="28" t="s">
        <v>321</v>
      </c>
      <c r="F163" s="28" t="s">
        <v>322</v>
      </c>
      <c r="G163" s="28" t="s">
        <v>20</v>
      </c>
      <c r="H163" s="28" t="s">
        <v>71</v>
      </c>
      <c r="I163" s="28" t="s">
        <v>72</v>
      </c>
      <c r="J163" s="28" t="s">
        <v>323</v>
      </c>
      <c r="K163" s="28" t="s">
        <v>324</v>
      </c>
      <c r="L163" s="28" t="s">
        <v>30</v>
      </c>
      <c r="M163" s="28" t="s">
        <v>21</v>
      </c>
      <c r="O163" s="92">
        <v>35649</v>
      </c>
      <c r="P163" s="28" t="s">
        <v>21</v>
      </c>
      <c r="Q163" s="26" t="b">
        <v>0</v>
      </c>
      <c r="R163" s="22">
        <f t="shared" si="2"/>
        <v>2631</v>
      </c>
    </row>
    <row r="164" spans="1:18">
      <c r="A164" s="26">
        <v>140</v>
      </c>
      <c r="B164" s="27">
        <v>33022</v>
      </c>
      <c r="C164" s="28" t="s">
        <v>325</v>
      </c>
      <c r="D164" s="27">
        <v>33016</v>
      </c>
      <c r="E164" s="28" t="s">
        <v>326</v>
      </c>
      <c r="F164" s="28" t="s">
        <v>327</v>
      </c>
      <c r="G164" s="28" t="s">
        <v>20</v>
      </c>
      <c r="H164" s="28" t="s">
        <v>21</v>
      </c>
      <c r="I164" s="28" t="s">
        <v>21</v>
      </c>
      <c r="J164" s="28" t="s">
        <v>328</v>
      </c>
      <c r="K164" s="28" t="s">
        <v>329</v>
      </c>
      <c r="L164" s="28" t="s">
        <v>30</v>
      </c>
      <c r="M164" s="28" t="s">
        <v>21</v>
      </c>
      <c r="N164" s="29">
        <v>33036</v>
      </c>
      <c r="O164" s="92">
        <v>33050</v>
      </c>
      <c r="P164" s="28" t="s">
        <v>31</v>
      </c>
      <c r="Q164" s="26" t="b">
        <v>0</v>
      </c>
      <c r="R164" s="22">
        <f t="shared" si="2"/>
        <v>27</v>
      </c>
    </row>
    <row r="165" spans="1:18">
      <c r="A165" s="26">
        <v>153</v>
      </c>
      <c r="B165" s="27">
        <v>33031</v>
      </c>
      <c r="C165" s="28" t="s">
        <v>330</v>
      </c>
      <c r="D165" s="27">
        <v>33029</v>
      </c>
      <c r="E165" s="28" t="s">
        <v>331</v>
      </c>
      <c r="F165" s="28" t="s">
        <v>129</v>
      </c>
      <c r="G165" s="28" t="s">
        <v>20</v>
      </c>
      <c r="H165" s="28" t="s">
        <v>21</v>
      </c>
      <c r="I165" s="28" t="s">
        <v>21</v>
      </c>
      <c r="J165" s="28" t="s">
        <v>332</v>
      </c>
      <c r="K165" s="28" t="s">
        <v>333</v>
      </c>
      <c r="L165" s="28" t="s">
        <v>30</v>
      </c>
      <c r="M165" s="28" t="s">
        <v>21</v>
      </c>
      <c r="N165" s="18"/>
      <c r="O165" s="92">
        <v>33585</v>
      </c>
      <c r="P165" s="28" t="s">
        <v>21</v>
      </c>
      <c r="Q165" s="26" t="b">
        <v>0</v>
      </c>
      <c r="R165" s="22">
        <f t="shared" si="2"/>
        <v>553</v>
      </c>
    </row>
    <row r="166" spans="1:18">
      <c r="A166" s="26">
        <v>157</v>
      </c>
      <c r="B166" s="27">
        <v>33036</v>
      </c>
      <c r="C166" s="28" t="s">
        <v>334</v>
      </c>
      <c r="D166" s="27">
        <v>33028</v>
      </c>
      <c r="E166" s="28" t="s">
        <v>335</v>
      </c>
      <c r="F166" s="28" t="s">
        <v>336</v>
      </c>
      <c r="G166" s="28" t="s">
        <v>20</v>
      </c>
      <c r="H166" s="28" t="s">
        <v>21</v>
      </c>
      <c r="I166" s="28" t="s">
        <v>21</v>
      </c>
      <c r="J166" s="28" t="s">
        <v>337</v>
      </c>
      <c r="K166" s="28" t="s">
        <v>338</v>
      </c>
      <c r="L166" s="28" t="s">
        <v>88</v>
      </c>
      <c r="M166" s="28" t="s">
        <v>21</v>
      </c>
      <c r="N166" s="29">
        <v>33101</v>
      </c>
      <c r="O166" s="92">
        <v>35542</v>
      </c>
      <c r="P166" s="28" t="s">
        <v>21</v>
      </c>
      <c r="Q166" s="26" t="b">
        <v>0</v>
      </c>
      <c r="R166" s="22">
        <f t="shared" si="2"/>
        <v>2504</v>
      </c>
    </row>
    <row r="167" spans="1:18">
      <c r="A167" s="26">
        <v>160</v>
      </c>
      <c r="B167" s="27">
        <v>33037</v>
      </c>
      <c r="C167" s="28" t="s">
        <v>339</v>
      </c>
      <c r="D167" s="27">
        <v>33036</v>
      </c>
      <c r="E167" s="28" t="s">
        <v>340</v>
      </c>
      <c r="F167" s="28" t="s">
        <v>327</v>
      </c>
      <c r="G167" s="28" t="s">
        <v>20</v>
      </c>
      <c r="H167" s="28" t="s">
        <v>21</v>
      </c>
      <c r="I167" s="28" t="s">
        <v>21</v>
      </c>
      <c r="J167" s="28" t="s">
        <v>341</v>
      </c>
      <c r="K167" s="28" t="s">
        <v>342</v>
      </c>
      <c r="L167" s="28" t="s">
        <v>24</v>
      </c>
      <c r="M167" s="28" t="s">
        <v>21</v>
      </c>
      <c r="N167" s="27">
        <v>33074</v>
      </c>
      <c r="O167" s="92">
        <v>34877</v>
      </c>
      <c r="P167" s="28" t="s">
        <v>31</v>
      </c>
      <c r="Q167" s="26" t="b">
        <v>0</v>
      </c>
      <c r="R167" s="22">
        <f t="shared" si="2"/>
        <v>1839</v>
      </c>
    </row>
    <row r="168" spans="1:18">
      <c r="A168" s="26">
        <v>161</v>
      </c>
      <c r="B168" s="27">
        <v>33038</v>
      </c>
      <c r="C168" s="28" t="s">
        <v>343</v>
      </c>
      <c r="D168" s="27">
        <v>33036</v>
      </c>
      <c r="E168" s="28" t="s">
        <v>344</v>
      </c>
      <c r="F168" s="28" t="s">
        <v>345</v>
      </c>
      <c r="G168" s="28" t="s">
        <v>20</v>
      </c>
      <c r="H168" s="28" t="s">
        <v>71</v>
      </c>
      <c r="I168" s="28" t="s">
        <v>72</v>
      </c>
      <c r="J168" s="28" t="s">
        <v>346</v>
      </c>
      <c r="K168" s="28" t="s">
        <v>347</v>
      </c>
      <c r="L168" s="28" t="s">
        <v>24</v>
      </c>
      <c r="M168" s="28" t="s">
        <v>21</v>
      </c>
      <c r="N168" s="18"/>
      <c r="O168" s="92">
        <v>34148</v>
      </c>
      <c r="P168" s="28" t="s">
        <v>21</v>
      </c>
      <c r="Q168" s="26" t="b">
        <v>0</v>
      </c>
      <c r="R168" s="22">
        <f t="shared" si="2"/>
        <v>1109</v>
      </c>
    </row>
    <row r="169" spans="1:18">
      <c r="A169" s="26">
        <v>165</v>
      </c>
      <c r="B169" s="27">
        <v>33044</v>
      </c>
      <c r="C169" s="28" t="s">
        <v>348</v>
      </c>
      <c r="D169" s="27">
        <v>33039</v>
      </c>
      <c r="E169" s="28" t="s">
        <v>349</v>
      </c>
      <c r="F169" s="28" t="s">
        <v>350</v>
      </c>
      <c r="G169" s="28" t="s">
        <v>20</v>
      </c>
      <c r="H169" s="28" t="s">
        <v>21</v>
      </c>
      <c r="I169" s="28" t="s">
        <v>21</v>
      </c>
      <c r="J169" s="28" t="s">
        <v>351</v>
      </c>
      <c r="K169" s="28" t="s">
        <v>352</v>
      </c>
      <c r="L169" s="28" t="s">
        <v>30</v>
      </c>
      <c r="M169" s="28" t="s">
        <v>21</v>
      </c>
      <c r="N169" s="29">
        <v>33085</v>
      </c>
      <c r="O169" s="92">
        <v>33863</v>
      </c>
      <c r="P169" s="28" t="s">
        <v>21</v>
      </c>
      <c r="Q169" s="26" t="b">
        <v>0</v>
      </c>
      <c r="R169" s="22">
        <f t="shared" si="2"/>
        <v>817</v>
      </c>
    </row>
    <row r="170" spans="1:18">
      <c r="A170" s="26">
        <v>169</v>
      </c>
      <c r="B170" s="27">
        <v>33051</v>
      </c>
      <c r="C170" s="28" t="s">
        <v>353</v>
      </c>
      <c r="D170" s="27">
        <v>33049</v>
      </c>
      <c r="E170" s="28" t="s">
        <v>354</v>
      </c>
      <c r="F170" s="28" t="s">
        <v>350</v>
      </c>
      <c r="G170" s="28" t="s">
        <v>20</v>
      </c>
      <c r="H170" s="28" t="s">
        <v>21</v>
      </c>
      <c r="I170" s="28" t="s">
        <v>21</v>
      </c>
      <c r="J170" s="28" t="s">
        <v>355</v>
      </c>
      <c r="K170" s="28" t="s">
        <v>356</v>
      </c>
      <c r="L170" s="28" t="s">
        <v>82</v>
      </c>
      <c r="M170" s="28" t="s">
        <v>21</v>
      </c>
      <c r="N170" s="29">
        <v>33067</v>
      </c>
      <c r="O170" s="92">
        <v>33407</v>
      </c>
      <c r="P170" s="28" t="s">
        <v>31</v>
      </c>
      <c r="Q170" s="26" t="b">
        <v>0</v>
      </c>
      <c r="R170" s="22">
        <f t="shared" si="2"/>
        <v>355</v>
      </c>
    </row>
    <row r="171" spans="1:18">
      <c r="A171" s="26">
        <v>170</v>
      </c>
      <c r="B171" s="27">
        <v>33056</v>
      </c>
      <c r="C171" s="28" t="s">
        <v>357</v>
      </c>
      <c r="D171" s="27">
        <v>33052</v>
      </c>
      <c r="E171" s="28" t="s">
        <v>358</v>
      </c>
      <c r="F171" s="28" t="s">
        <v>359</v>
      </c>
      <c r="G171" s="28" t="s">
        <v>20</v>
      </c>
      <c r="H171" s="28" t="s">
        <v>21</v>
      </c>
      <c r="I171" s="28" t="s">
        <v>21</v>
      </c>
      <c r="J171" s="28" t="s">
        <v>360</v>
      </c>
      <c r="K171" s="28" t="s">
        <v>361</v>
      </c>
      <c r="L171" s="28" t="s">
        <v>36</v>
      </c>
      <c r="M171" s="28" t="s">
        <v>21</v>
      </c>
      <c r="N171" s="27">
        <v>33081</v>
      </c>
      <c r="O171" s="92">
        <v>33129</v>
      </c>
      <c r="P171" s="28" t="s">
        <v>31</v>
      </c>
      <c r="Q171" s="26" t="b">
        <v>0</v>
      </c>
      <c r="R171" s="22">
        <f t="shared" si="2"/>
        <v>71</v>
      </c>
    </row>
    <row r="172" spans="1:18">
      <c r="A172" s="26">
        <v>171</v>
      </c>
      <c r="B172" s="27">
        <v>33057</v>
      </c>
      <c r="C172" s="28" t="s">
        <v>362</v>
      </c>
      <c r="D172" s="27">
        <v>33053</v>
      </c>
      <c r="E172" s="28" t="s">
        <v>38</v>
      </c>
      <c r="F172" s="28" t="s">
        <v>56</v>
      </c>
      <c r="G172" s="28" t="s">
        <v>20</v>
      </c>
      <c r="H172" s="28" t="s">
        <v>21</v>
      </c>
      <c r="I172" s="28" t="s">
        <v>21</v>
      </c>
      <c r="J172" s="28" t="s">
        <v>363</v>
      </c>
      <c r="K172" s="28" t="s">
        <v>364</v>
      </c>
      <c r="L172" s="28" t="s">
        <v>36</v>
      </c>
      <c r="M172" s="28" t="s">
        <v>21</v>
      </c>
      <c r="N172" s="29">
        <v>33067</v>
      </c>
      <c r="O172" s="92">
        <v>33080</v>
      </c>
      <c r="P172" s="28" t="s">
        <v>21</v>
      </c>
      <c r="Q172" s="26" t="b">
        <v>0</v>
      </c>
      <c r="R172" s="22">
        <f t="shared" si="2"/>
        <v>23</v>
      </c>
    </row>
    <row r="173" spans="1:18">
      <c r="A173" s="26">
        <v>172</v>
      </c>
      <c r="B173" s="27">
        <v>33057</v>
      </c>
      <c r="C173" s="28" t="s">
        <v>365</v>
      </c>
      <c r="D173" s="27">
        <v>33054</v>
      </c>
      <c r="E173" s="28" t="s">
        <v>366</v>
      </c>
      <c r="F173" s="28" t="s">
        <v>367</v>
      </c>
      <c r="G173" s="28" t="s">
        <v>20</v>
      </c>
      <c r="H173" s="28" t="s">
        <v>71</v>
      </c>
      <c r="I173" s="28" t="s">
        <v>72</v>
      </c>
      <c r="J173" s="28" t="s">
        <v>368</v>
      </c>
      <c r="K173" s="28" t="s">
        <v>369</v>
      </c>
      <c r="L173" s="28" t="s">
        <v>30</v>
      </c>
      <c r="M173" s="28" t="s">
        <v>21</v>
      </c>
      <c r="N173" s="29">
        <v>33067</v>
      </c>
      <c r="O173" s="92">
        <v>33169</v>
      </c>
      <c r="P173" s="28" t="s">
        <v>21</v>
      </c>
      <c r="Q173" s="26" t="b">
        <v>0</v>
      </c>
      <c r="R173" s="22">
        <f t="shared" si="2"/>
        <v>111</v>
      </c>
    </row>
    <row r="174" spans="1:18">
      <c r="A174" s="26">
        <v>173</v>
      </c>
      <c r="B174" s="27">
        <v>33057</v>
      </c>
      <c r="C174" s="28" t="s">
        <v>370</v>
      </c>
      <c r="D174" s="27">
        <v>33049</v>
      </c>
      <c r="E174" s="28" t="s">
        <v>38</v>
      </c>
      <c r="F174" s="28" t="s">
        <v>371</v>
      </c>
      <c r="G174" s="28" t="s">
        <v>20</v>
      </c>
      <c r="H174" s="28" t="s">
        <v>21</v>
      </c>
      <c r="I174" s="28" t="s">
        <v>21</v>
      </c>
      <c r="J174" s="28" t="s">
        <v>372</v>
      </c>
      <c r="K174" s="28" t="s">
        <v>373</v>
      </c>
      <c r="L174" s="28" t="s">
        <v>24</v>
      </c>
      <c r="M174" s="28" t="s">
        <v>21</v>
      </c>
      <c r="N174" s="29">
        <v>33060</v>
      </c>
      <c r="O174" s="92">
        <v>33066</v>
      </c>
      <c r="P174" s="28" t="s">
        <v>31</v>
      </c>
      <c r="Q174" s="26" t="b">
        <v>0</v>
      </c>
      <c r="R174" s="22">
        <f t="shared" si="2"/>
        <v>9</v>
      </c>
    </row>
    <row r="175" spans="1:18">
      <c r="A175" s="26">
        <v>174</v>
      </c>
      <c r="B175" s="27">
        <v>33057</v>
      </c>
      <c r="C175" s="28" t="s">
        <v>374</v>
      </c>
      <c r="D175" s="27">
        <v>33036</v>
      </c>
      <c r="E175" s="28" t="s">
        <v>38</v>
      </c>
      <c r="F175" s="28" t="s">
        <v>327</v>
      </c>
      <c r="G175" s="28" t="s">
        <v>20</v>
      </c>
      <c r="H175" s="28" t="s">
        <v>21</v>
      </c>
      <c r="I175" s="28" t="s">
        <v>21</v>
      </c>
      <c r="J175" s="28" t="s">
        <v>375</v>
      </c>
      <c r="K175" s="28" t="s">
        <v>376</v>
      </c>
      <c r="L175" s="28" t="s">
        <v>24</v>
      </c>
      <c r="M175" s="28" t="s">
        <v>21</v>
      </c>
      <c r="N175" s="29">
        <v>33067</v>
      </c>
      <c r="O175" s="92">
        <v>33065</v>
      </c>
      <c r="P175" s="28" t="s">
        <v>21</v>
      </c>
      <c r="Q175" s="26" t="b">
        <v>0</v>
      </c>
      <c r="R175" s="22">
        <f t="shared" si="2"/>
        <v>8</v>
      </c>
    </row>
    <row r="176" spans="1:18">
      <c r="A176" s="26">
        <v>176</v>
      </c>
      <c r="B176" s="27">
        <v>33060</v>
      </c>
      <c r="C176" s="28" t="s">
        <v>377</v>
      </c>
      <c r="D176" s="27">
        <v>33056</v>
      </c>
      <c r="E176" s="28" t="s">
        <v>61</v>
      </c>
      <c r="F176" s="28" t="s">
        <v>56</v>
      </c>
      <c r="G176" s="28" t="s">
        <v>20</v>
      </c>
      <c r="H176" s="28" t="s">
        <v>21</v>
      </c>
      <c r="I176" s="28" t="s">
        <v>21</v>
      </c>
      <c r="J176" s="28" t="s">
        <v>378</v>
      </c>
      <c r="K176" s="28" t="s">
        <v>379</v>
      </c>
      <c r="L176" s="28" t="s">
        <v>59</v>
      </c>
      <c r="M176" s="28" t="s">
        <v>21</v>
      </c>
      <c r="O176" s="92">
        <v>33066</v>
      </c>
      <c r="P176" s="28" t="s">
        <v>21</v>
      </c>
      <c r="Q176" s="26" t="b">
        <v>0</v>
      </c>
      <c r="R176" s="22">
        <f t="shared" si="2"/>
        <v>6</v>
      </c>
    </row>
    <row r="177" spans="1:18">
      <c r="A177" s="26">
        <v>185</v>
      </c>
      <c r="B177" s="27">
        <v>33070</v>
      </c>
      <c r="C177" s="28" t="s">
        <v>380</v>
      </c>
      <c r="D177" s="27">
        <v>33065</v>
      </c>
      <c r="E177" s="28" t="s">
        <v>381</v>
      </c>
      <c r="F177" s="28" t="s">
        <v>228</v>
      </c>
      <c r="G177" s="28" t="s">
        <v>20</v>
      </c>
      <c r="H177" s="28" t="s">
        <v>21</v>
      </c>
      <c r="I177" s="28" t="s">
        <v>21</v>
      </c>
      <c r="J177" s="28" t="s">
        <v>382</v>
      </c>
      <c r="K177" s="28" t="s">
        <v>383</v>
      </c>
      <c r="L177" s="28" t="s">
        <v>36</v>
      </c>
      <c r="M177" s="28" t="s">
        <v>21</v>
      </c>
      <c r="N177" s="29">
        <v>33074</v>
      </c>
      <c r="O177" s="92">
        <v>33073</v>
      </c>
      <c r="P177" s="28" t="s">
        <v>31</v>
      </c>
      <c r="Q177" s="26" t="b">
        <v>0</v>
      </c>
      <c r="R177" s="22">
        <f t="shared" si="2"/>
        <v>3</v>
      </c>
    </row>
    <row r="178" spans="1:18">
      <c r="A178" s="26">
        <v>186</v>
      </c>
      <c r="B178" s="27">
        <v>33070</v>
      </c>
      <c r="C178" s="28" t="s">
        <v>384</v>
      </c>
      <c r="D178" s="27">
        <v>33067</v>
      </c>
      <c r="E178" s="28" t="s">
        <v>385</v>
      </c>
      <c r="F178" s="28" t="s">
        <v>85</v>
      </c>
      <c r="G178" s="28" t="s">
        <v>20</v>
      </c>
      <c r="H178" s="28" t="s">
        <v>21</v>
      </c>
      <c r="I178" s="28" t="s">
        <v>21</v>
      </c>
      <c r="J178" s="28" t="s">
        <v>386</v>
      </c>
      <c r="K178" s="28" t="s">
        <v>387</v>
      </c>
      <c r="L178" s="28" t="s">
        <v>30</v>
      </c>
      <c r="M178" s="28" t="s">
        <v>21</v>
      </c>
      <c r="N178" s="29">
        <v>33088</v>
      </c>
      <c r="O178" s="92">
        <v>36479</v>
      </c>
      <c r="P178" s="28" t="s">
        <v>21</v>
      </c>
      <c r="Q178" s="26" t="b">
        <v>0</v>
      </c>
      <c r="R178" s="22">
        <f t="shared" si="2"/>
        <v>3405</v>
      </c>
    </row>
    <row r="179" spans="1:18">
      <c r="A179" s="26">
        <v>192</v>
      </c>
      <c r="B179" s="27">
        <v>33074</v>
      </c>
      <c r="C179" s="28" t="s">
        <v>388</v>
      </c>
      <c r="D179" s="27">
        <v>33067</v>
      </c>
      <c r="E179" s="28" t="s">
        <v>389</v>
      </c>
      <c r="F179" s="28" t="s">
        <v>149</v>
      </c>
      <c r="G179" s="28" t="s">
        <v>20</v>
      </c>
      <c r="H179" s="28" t="s">
        <v>21</v>
      </c>
      <c r="I179" s="28" t="s">
        <v>21</v>
      </c>
      <c r="J179" s="28" t="s">
        <v>390</v>
      </c>
      <c r="K179" s="28" t="s">
        <v>108</v>
      </c>
      <c r="L179" s="28" t="s">
        <v>24</v>
      </c>
      <c r="M179" s="28" t="s">
        <v>21</v>
      </c>
      <c r="O179" s="92">
        <v>33269</v>
      </c>
      <c r="P179" s="28" t="s">
        <v>21</v>
      </c>
      <c r="Q179" s="26" t="b">
        <v>0</v>
      </c>
      <c r="R179" s="22">
        <f t="shared" si="2"/>
        <v>193</v>
      </c>
    </row>
    <row r="180" spans="1:18">
      <c r="A180" s="26">
        <v>195</v>
      </c>
      <c r="B180" s="27">
        <v>33077</v>
      </c>
      <c r="C180" s="28" t="s">
        <v>391</v>
      </c>
      <c r="D180" s="27">
        <v>33073</v>
      </c>
      <c r="E180" s="28" t="s">
        <v>61</v>
      </c>
      <c r="F180" s="28" t="s">
        <v>56</v>
      </c>
      <c r="G180" s="28" t="s">
        <v>20</v>
      </c>
      <c r="H180" s="28" t="s">
        <v>21</v>
      </c>
      <c r="I180" s="28" t="s">
        <v>21</v>
      </c>
      <c r="J180" s="28" t="s">
        <v>392</v>
      </c>
      <c r="K180" s="28" t="s">
        <v>21</v>
      </c>
      <c r="L180" s="28" t="s">
        <v>59</v>
      </c>
      <c r="M180" s="28" t="s">
        <v>21</v>
      </c>
      <c r="N180" s="29">
        <v>33077</v>
      </c>
      <c r="O180" s="92">
        <v>33077</v>
      </c>
      <c r="P180" s="28" t="s">
        <v>21</v>
      </c>
      <c r="Q180" s="26" t="b">
        <v>0</v>
      </c>
      <c r="R180" s="22">
        <f t="shared" si="2"/>
        <v>0</v>
      </c>
    </row>
    <row r="181" spans="1:18">
      <c r="A181" s="26">
        <v>196</v>
      </c>
      <c r="B181" s="27">
        <v>33077</v>
      </c>
      <c r="C181" s="28" t="s">
        <v>393</v>
      </c>
      <c r="D181" s="27">
        <v>33071</v>
      </c>
      <c r="E181" s="28" t="s">
        <v>394</v>
      </c>
      <c r="F181" s="28" t="s">
        <v>395</v>
      </c>
      <c r="G181" s="28" t="s">
        <v>20</v>
      </c>
      <c r="H181" s="28" t="s">
        <v>21</v>
      </c>
      <c r="I181" s="28" t="s">
        <v>21</v>
      </c>
      <c r="J181" s="28" t="s">
        <v>396</v>
      </c>
      <c r="K181" s="28" t="s">
        <v>397</v>
      </c>
      <c r="L181" s="28" t="s">
        <v>30</v>
      </c>
      <c r="M181" s="28" t="s">
        <v>21</v>
      </c>
      <c r="N181" s="29">
        <v>33093</v>
      </c>
      <c r="O181" s="92">
        <v>33172</v>
      </c>
      <c r="P181" s="28" t="s">
        <v>21</v>
      </c>
      <c r="Q181" s="26" t="b">
        <v>0</v>
      </c>
      <c r="R181" s="22">
        <f t="shared" si="2"/>
        <v>94</v>
      </c>
    </row>
    <row r="182" spans="1:18">
      <c r="A182" s="26">
        <v>197</v>
      </c>
      <c r="B182" s="27">
        <v>33077</v>
      </c>
      <c r="C182" s="28" t="s">
        <v>398</v>
      </c>
      <c r="D182" s="27">
        <v>33073</v>
      </c>
      <c r="E182" s="28" t="s">
        <v>399</v>
      </c>
      <c r="F182" s="28" t="s">
        <v>242</v>
      </c>
      <c r="G182" s="28" t="s">
        <v>20</v>
      </c>
      <c r="H182" s="28" t="s">
        <v>21</v>
      </c>
      <c r="I182" s="28" t="s">
        <v>21</v>
      </c>
      <c r="J182" s="28" t="s">
        <v>400</v>
      </c>
      <c r="K182" s="28" t="s">
        <v>401</v>
      </c>
      <c r="L182" s="28" t="s">
        <v>24</v>
      </c>
      <c r="M182" s="28" t="s">
        <v>21</v>
      </c>
      <c r="O182" s="92">
        <v>33375</v>
      </c>
      <c r="P182" s="28" t="s">
        <v>21</v>
      </c>
      <c r="Q182" s="26" t="b">
        <v>0</v>
      </c>
      <c r="R182" s="22">
        <f t="shared" si="2"/>
        <v>298</v>
      </c>
    </row>
    <row r="183" spans="1:18">
      <c r="A183" s="26">
        <v>200</v>
      </c>
      <c r="B183" s="27">
        <v>33079</v>
      </c>
      <c r="C183" s="28" t="s">
        <v>402</v>
      </c>
      <c r="D183" s="27">
        <v>33074</v>
      </c>
      <c r="E183" s="28" t="s">
        <v>403</v>
      </c>
      <c r="F183" s="28" t="s">
        <v>124</v>
      </c>
      <c r="G183" s="28" t="s">
        <v>20</v>
      </c>
      <c r="H183" s="28" t="s">
        <v>21</v>
      </c>
      <c r="I183" s="28" t="s">
        <v>21</v>
      </c>
      <c r="J183" s="28" t="s">
        <v>404</v>
      </c>
      <c r="K183" s="28" t="s">
        <v>405</v>
      </c>
      <c r="L183" s="28" t="s">
        <v>30</v>
      </c>
      <c r="M183" s="28" t="s">
        <v>21</v>
      </c>
      <c r="O183" s="92">
        <v>34297</v>
      </c>
      <c r="P183" s="28" t="s">
        <v>31</v>
      </c>
      <c r="Q183" s="26" t="b">
        <v>0</v>
      </c>
      <c r="R183" s="22">
        <f t="shared" si="2"/>
        <v>1215</v>
      </c>
    </row>
    <row r="184" spans="1:18">
      <c r="A184" s="26">
        <v>201</v>
      </c>
      <c r="B184" s="27">
        <v>33079</v>
      </c>
      <c r="C184" s="28" t="s">
        <v>406</v>
      </c>
      <c r="D184" s="27">
        <v>33079</v>
      </c>
      <c r="E184" s="28" t="s">
        <v>407</v>
      </c>
      <c r="F184" s="28" t="s">
        <v>408</v>
      </c>
      <c r="G184" s="28" t="s">
        <v>20</v>
      </c>
      <c r="H184" s="28" t="s">
        <v>21</v>
      </c>
      <c r="I184" s="28" t="s">
        <v>21</v>
      </c>
      <c r="J184" s="28" t="s">
        <v>409</v>
      </c>
      <c r="K184" s="28" t="s">
        <v>410</v>
      </c>
      <c r="L184" s="28" t="s">
        <v>30</v>
      </c>
      <c r="M184" s="28" t="s">
        <v>21</v>
      </c>
      <c r="N184" s="29">
        <v>33088</v>
      </c>
      <c r="O184" s="92">
        <v>33367</v>
      </c>
      <c r="P184" s="28" t="s">
        <v>21</v>
      </c>
      <c r="Q184" s="26" t="b">
        <v>0</v>
      </c>
      <c r="R184" s="22">
        <f t="shared" si="2"/>
        <v>287</v>
      </c>
    </row>
    <row r="185" spans="1:18">
      <c r="A185" s="26">
        <v>202</v>
      </c>
      <c r="B185" s="27">
        <v>33080</v>
      </c>
      <c r="C185" s="28" t="s">
        <v>411</v>
      </c>
      <c r="D185" s="27">
        <v>33078</v>
      </c>
      <c r="E185" s="28" t="s">
        <v>38</v>
      </c>
      <c r="F185" s="28" t="s">
        <v>124</v>
      </c>
      <c r="G185" s="28" t="s">
        <v>20</v>
      </c>
      <c r="H185" s="28" t="s">
        <v>21</v>
      </c>
      <c r="I185" s="28" t="s">
        <v>21</v>
      </c>
      <c r="J185" s="28" t="s">
        <v>412</v>
      </c>
      <c r="K185" s="28" t="s">
        <v>21</v>
      </c>
      <c r="L185" s="28" t="s">
        <v>24</v>
      </c>
      <c r="M185" s="28" t="s">
        <v>21</v>
      </c>
      <c r="O185" s="92">
        <v>33084</v>
      </c>
      <c r="P185" s="28" t="s">
        <v>31</v>
      </c>
      <c r="Q185" s="26" t="b">
        <v>0</v>
      </c>
      <c r="R185" s="22">
        <f t="shared" si="2"/>
        <v>4</v>
      </c>
    </row>
    <row r="186" spans="1:18">
      <c r="A186" s="26">
        <v>204</v>
      </c>
      <c r="B186" s="27">
        <v>33081</v>
      </c>
      <c r="C186" s="28" t="s">
        <v>413</v>
      </c>
      <c r="D186" s="27">
        <v>33074</v>
      </c>
      <c r="E186" s="28" t="s">
        <v>414</v>
      </c>
      <c r="F186" s="28" t="s">
        <v>98</v>
      </c>
      <c r="G186" s="28" t="s">
        <v>20</v>
      </c>
      <c r="H186" s="28" t="s">
        <v>21</v>
      </c>
      <c r="I186" s="28" t="s">
        <v>21</v>
      </c>
      <c r="J186" s="28" t="s">
        <v>415</v>
      </c>
      <c r="K186" s="28" t="s">
        <v>416</v>
      </c>
      <c r="L186" s="28" t="s">
        <v>30</v>
      </c>
      <c r="M186" s="28" t="s">
        <v>21</v>
      </c>
      <c r="N186" s="29">
        <v>33109</v>
      </c>
      <c r="O186" s="92">
        <v>33284</v>
      </c>
      <c r="P186" s="28" t="s">
        <v>21</v>
      </c>
      <c r="Q186" s="26" t="b">
        <v>0</v>
      </c>
      <c r="R186" s="22">
        <f t="shared" si="2"/>
        <v>200</v>
      </c>
    </row>
    <row r="187" spans="1:18">
      <c r="A187" s="26">
        <v>206</v>
      </c>
      <c r="B187" s="27">
        <v>33084</v>
      </c>
      <c r="C187" s="28" t="s">
        <v>417</v>
      </c>
      <c r="D187" s="27">
        <v>33081</v>
      </c>
      <c r="E187" s="28" t="s">
        <v>418</v>
      </c>
      <c r="F187" s="28" t="s">
        <v>85</v>
      </c>
      <c r="G187" s="28" t="s">
        <v>20</v>
      </c>
      <c r="H187" s="28" t="s">
        <v>21</v>
      </c>
      <c r="I187" s="28" t="s">
        <v>21</v>
      </c>
      <c r="J187" s="28" t="s">
        <v>419</v>
      </c>
      <c r="K187" s="28" t="s">
        <v>420</v>
      </c>
      <c r="L187" s="28" t="s">
        <v>66</v>
      </c>
      <c r="M187" s="28" t="s">
        <v>21</v>
      </c>
      <c r="O187" s="92">
        <v>37104</v>
      </c>
      <c r="P187" s="28" t="s">
        <v>21</v>
      </c>
      <c r="Q187" s="26" t="b">
        <v>0</v>
      </c>
      <c r="R187" s="22">
        <f t="shared" si="2"/>
        <v>4016</v>
      </c>
    </row>
    <row r="188" spans="1:18">
      <c r="A188" s="26">
        <v>207</v>
      </c>
      <c r="B188" s="27">
        <v>33085</v>
      </c>
      <c r="C188" s="28" t="s">
        <v>421</v>
      </c>
      <c r="D188" s="27">
        <v>33084</v>
      </c>
      <c r="E188" s="28" t="s">
        <v>422</v>
      </c>
      <c r="F188" s="28" t="s">
        <v>70</v>
      </c>
      <c r="G188" s="28" t="s">
        <v>20</v>
      </c>
      <c r="H188" s="28" t="s">
        <v>71</v>
      </c>
      <c r="I188" s="28" t="s">
        <v>72</v>
      </c>
      <c r="J188" s="28" t="s">
        <v>423</v>
      </c>
      <c r="K188" s="28" t="s">
        <v>424</v>
      </c>
      <c r="L188" s="28" t="s">
        <v>30</v>
      </c>
      <c r="M188" s="28" t="s">
        <v>24</v>
      </c>
      <c r="O188" s="92">
        <v>35244</v>
      </c>
      <c r="P188" s="28" t="s">
        <v>21</v>
      </c>
      <c r="Q188" s="26" t="b">
        <v>0</v>
      </c>
      <c r="R188" s="22">
        <f t="shared" si="2"/>
        <v>2157</v>
      </c>
    </row>
    <row r="189" spans="1:18">
      <c r="A189" s="26">
        <v>209</v>
      </c>
      <c r="B189" s="27">
        <v>33098</v>
      </c>
      <c r="C189" s="28" t="s">
        <v>425</v>
      </c>
      <c r="D189" s="27">
        <v>33087</v>
      </c>
      <c r="E189" s="28" t="s">
        <v>426</v>
      </c>
      <c r="F189" s="28" t="s">
        <v>27</v>
      </c>
      <c r="G189" s="28" t="s">
        <v>20</v>
      </c>
      <c r="H189" s="28" t="s">
        <v>21</v>
      </c>
      <c r="I189" s="28" t="s">
        <v>21</v>
      </c>
      <c r="J189" s="28" t="s">
        <v>427</v>
      </c>
      <c r="K189" s="28" t="s">
        <v>428</v>
      </c>
      <c r="L189" s="28" t="s">
        <v>24</v>
      </c>
      <c r="M189" s="28" t="s">
        <v>21</v>
      </c>
      <c r="O189" s="92">
        <v>33224</v>
      </c>
      <c r="P189" s="28" t="s">
        <v>21</v>
      </c>
      <c r="Q189" s="26" t="b">
        <v>0</v>
      </c>
      <c r="R189" s="22">
        <f t="shared" si="2"/>
        <v>125</v>
      </c>
    </row>
    <row r="190" spans="1:18">
      <c r="A190" s="26">
        <v>211</v>
      </c>
      <c r="B190" s="27">
        <v>33098</v>
      </c>
      <c r="C190" s="28" t="s">
        <v>429</v>
      </c>
      <c r="D190" s="27">
        <v>33091</v>
      </c>
      <c r="E190" s="28" t="s">
        <v>61</v>
      </c>
      <c r="F190" s="28" t="s">
        <v>56</v>
      </c>
      <c r="G190" s="28" t="s">
        <v>20</v>
      </c>
      <c r="H190" s="28" t="s">
        <v>21</v>
      </c>
      <c r="I190" s="28" t="s">
        <v>21</v>
      </c>
      <c r="J190" s="28" t="s">
        <v>430</v>
      </c>
      <c r="K190" s="28" t="s">
        <v>21</v>
      </c>
      <c r="L190" s="28" t="s">
        <v>59</v>
      </c>
      <c r="M190" s="28" t="s">
        <v>21</v>
      </c>
      <c r="N190" s="18"/>
      <c r="O190" s="92">
        <v>33117</v>
      </c>
      <c r="P190" s="28" t="s">
        <v>21</v>
      </c>
      <c r="Q190" s="26" t="b">
        <v>0</v>
      </c>
      <c r="R190" s="22">
        <f t="shared" si="2"/>
        <v>18</v>
      </c>
    </row>
    <row r="191" spans="1:18">
      <c r="A191" s="26">
        <v>212</v>
      </c>
      <c r="B191" s="27">
        <v>33098</v>
      </c>
      <c r="C191" s="28" t="s">
        <v>431</v>
      </c>
      <c r="D191" s="27">
        <v>33093</v>
      </c>
      <c r="E191" s="28" t="s">
        <v>61</v>
      </c>
      <c r="F191" s="28" t="s">
        <v>242</v>
      </c>
      <c r="G191" s="28" t="s">
        <v>20</v>
      </c>
      <c r="H191" s="28" t="s">
        <v>21</v>
      </c>
      <c r="I191" s="28" t="s">
        <v>21</v>
      </c>
      <c r="J191" s="28" t="s">
        <v>432</v>
      </c>
      <c r="K191" s="28" t="s">
        <v>21</v>
      </c>
      <c r="L191" s="28" t="s">
        <v>59</v>
      </c>
      <c r="M191" s="28" t="s">
        <v>21</v>
      </c>
      <c r="N191" s="29">
        <v>33093</v>
      </c>
      <c r="O191" s="92">
        <v>33093</v>
      </c>
      <c r="P191" s="28" t="s">
        <v>21</v>
      </c>
      <c r="Q191" s="26" t="b">
        <v>0</v>
      </c>
      <c r="R191" s="22">
        <f t="shared" si="2"/>
        <v>5</v>
      </c>
    </row>
    <row r="192" spans="1:18">
      <c r="A192" s="26">
        <v>215</v>
      </c>
      <c r="B192" s="27">
        <v>33098</v>
      </c>
      <c r="C192" s="28" t="s">
        <v>433</v>
      </c>
      <c r="D192" s="27">
        <v>33094</v>
      </c>
      <c r="E192" s="28" t="s">
        <v>434</v>
      </c>
      <c r="F192" s="28" t="s">
        <v>124</v>
      </c>
      <c r="G192" s="28" t="s">
        <v>20</v>
      </c>
      <c r="H192" s="28" t="s">
        <v>21</v>
      </c>
      <c r="I192" s="28" t="s">
        <v>21</v>
      </c>
      <c r="J192" s="28" t="s">
        <v>435</v>
      </c>
      <c r="K192" s="28" t="s">
        <v>436</v>
      </c>
      <c r="L192" s="28" t="s">
        <v>24</v>
      </c>
      <c r="M192" s="28" t="s">
        <v>21</v>
      </c>
      <c r="O192" s="92">
        <v>33224</v>
      </c>
      <c r="P192" s="28" t="s">
        <v>31</v>
      </c>
      <c r="Q192" s="26" t="b">
        <v>0</v>
      </c>
      <c r="R192" s="22">
        <f t="shared" si="2"/>
        <v>125</v>
      </c>
    </row>
    <row r="193" spans="1:18">
      <c r="A193" s="26">
        <v>216</v>
      </c>
      <c r="B193" s="27">
        <v>33098</v>
      </c>
      <c r="C193" s="28" t="s">
        <v>437</v>
      </c>
      <c r="D193" s="27">
        <v>33094</v>
      </c>
      <c r="E193" s="28" t="s">
        <v>438</v>
      </c>
      <c r="F193" s="28" t="s">
        <v>439</v>
      </c>
      <c r="G193" s="28" t="s">
        <v>20</v>
      </c>
      <c r="H193" s="28" t="s">
        <v>71</v>
      </c>
      <c r="I193" s="28" t="s">
        <v>72</v>
      </c>
      <c r="J193" s="28" t="s">
        <v>440</v>
      </c>
      <c r="K193" s="28" t="s">
        <v>441</v>
      </c>
      <c r="L193" s="28" t="s">
        <v>24</v>
      </c>
      <c r="M193" s="28" t="s">
        <v>21</v>
      </c>
      <c r="O193" s="92">
        <v>33603</v>
      </c>
      <c r="P193" s="28" t="s">
        <v>21</v>
      </c>
      <c r="Q193" s="26" t="b">
        <v>0</v>
      </c>
      <c r="R193" s="22">
        <f t="shared" si="2"/>
        <v>504</v>
      </c>
    </row>
    <row r="194" spans="1:18">
      <c r="A194" s="26">
        <v>217</v>
      </c>
      <c r="B194" s="27">
        <v>33100</v>
      </c>
      <c r="C194" s="28" t="s">
        <v>442</v>
      </c>
      <c r="D194" s="27">
        <v>33098</v>
      </c>
      <c r="E194" s="28" t="s">
        <v>443</v>
      </c>
      <c r="F194" s="28" t="s">
        <v>371</v>
      </c>
      <c r="G194" s="28" t="s">
        <v>20</v>
      </c>
      <c r="H194" s="28" t="s">
        <v>21</v>
      </c>
      <c r="I194" s="28" t="s">
        <v>21</v>
      </c>
      <c r="J194" s="28" t="s">
        <v>444</v>
      </c>
      <c r="K194" s="28" t="s">
        <v>445</v>
      </c>
      <c r="L194" s="28" t="s">
        <v>24</v>
      </c>
      <c r="M194" s="28" t="s">
        <v>21</v>
      </c>
      <c r="O194" s="92">
        <v>33193</v>
      </c>
      <c r="P194" s="28" t="s">
        <v>31</v>
      </c>
      <c r="Q194" s="26" t="b">
        <v>0</v>
      </c>
      <c r="R194" s="22">
        <f t="shared" ref="R194:R257" si="3">IF(O194=" ", " ", INT(YEARFRAC(O194, B194)*365))</f>
        <v>92</v>
      </c>
    </row>
    <row r="195" spans="1:18">
      <c r="A195" s="26">
        <v>218</v>
      </c>
      <c r="B195" s="27">
        <v>33105</v>
      </c>
      <c r="C195" s="28" t="s">
        <v>446</v>
      </c>
      <c r="D195" s="27">
        <v>33101</v>
      </c>
      <c r="E195" s="28" t="s">
        <v>447</v>
      </c>
      <c r="F195" s="28" t="s">
        <v>34</v>
      </c>
      <c r="G195" s="28" t="s">
        <v>20</v>
      </c>
      <c r="H195" s="28" t="s">
        <v>21</v>
      </c>
      <c r="I195" s="28" t="s">
        <v>21</v>
      </c>
      <c r="J195" s="28" t="s">
        <v>448</v>
      </c>
      <c r="K195" s="28" t="s">
        <v>21</v>
      </c>
      <c r="L195" s="28" t="s">
        <v>36</v>
      </c>
      <c r="M195" s="28" t="s">
        <v>21</v>
      </c>
      <c r="O195" s="92">
        <v>33197</v>
      </c>
      <c r="P195" s="28" t="s">
        <v>21</v>
      </c>
      <c r="Q195" s="26" t="b">
        <v>0</v>
      </c>
      <c r="R195" s="22">
        <f t="shared" si="3"/>
        <v>91</v>
      </c>
    </row>
    <row r="196" spans="1:18">
      <c r="A196" s="26">
        <v>219</v>
      </c>
      <c r="B196" s="27">
        <v>33105</v>
      </c>
      <c r="C196" s="28" t="s">
        <v>449</v>
      </c>
      <c r="D196" s="27">
        <v>33098</v>
      </c>
      <c r="E196" s="28" t="s">
        <v>450</v>
      </c>
      <c r="F196" s="28" t="s">
        <v>242</v>
      </c>
      <c r="G196" s="28" t="s">
        <v>20</v>
      </c>
      <c r="H196" s="28" t="s">
        <v>21</v>
      </c>
      <c r="I196" s="28" t="s">
        <v>21</v>
      </c>
      <c r="J196" s="28" t="s">
        <v>451</v>
      </c>
      <c r="K196" s="28" t="s">
        <v>452</v>
      </c>
      <c r="L196" s="28" t="s">
        <v>30</v>
      </c>
      <c r="M196" s="28" t="s">
        <v>21</v>
      </c>
      <c r="O196" s="92">
        <v>33926</v>
      </c>
      <c r="P196" s="28" t="s">
        <v>21</v>
      </c>
      <c r="Q196" s="26" t="b">
        <v>0</v>
      </c>
      <c r="R196" s="22">
        <f t="shared" si="3"/>
        <v>819</v>
      </c>
    </row>
    <row r="197" spans="1:18">
      <c r="A197" s="26">
        <v>221</v>
      </c>
      <c r="B197" s="27">
        <v>33107</v>
      </c>
      <c r="C197" s="28" t="s">
        <v>453</v>
      </c>
      <c r="D197" s="27">
        <v>33105</v>
      </c>
      <c r="E197" s="28" t="s">
        <v>454</v>
      </c>
      <c r="F197" s="28" t="s">
        <v>455</v>
      </c>
      <c r="G197" s="28" t="s">
        <v>20</v>
      </c>
      <c r="H197" s="28" t="s">
        <v>71</v>
      </c>
      <c r="I197" s="28" t="s">
        <v>72</v>
      </c>
      <c r="J197" s="28" t="s">
        <v>456</v>
      </c>
      <c r="K197" s="28" t="s">
        <v>457</v>
      </c>
      <c r="L197" s="28" t="s">
        <v>24</v>
      </c>
      <c r="M197" s="28" t="s">
        <v>21</v>
      </c>
      <c r="N197" s="18"/>
      <c r="O197" s="92">
        <v>33211</v>
      </c>
      <c r="P197" s="28" t="s">
        <v>21</v>
      </c>
      <c r="Q197" s="26" t="b">
        <v>0</v>
      </c>
      <c r="R197" s="22">
        <f t="shared" si="3"/>
        <v>103</v>
      </c>
    </row>
    <row r="198" spans="1:18">
      <c r="A198" s="26">
        <v>224</v>
      </c>
      <c r="B198" s="27">
        <v>33114</v>
      </c>
      <c r="C198" s="28" t="s">
        <v>458</v>
      </c>
      <c r="D198" s="27">
        <v>33113</v>
      </c>
      <c r="E198" s="28" t="s">
        <v>459</v>
      </c>
      <c r="F198" s="28" t="s">
        <v>70</v>
      </c>
      <c r="G198" s="28" t="s">
        <v>20</v>
      </c>
      <c r="H198" s="28" t="s">
        <v>71</v>
      </c>
      <c r="I198" s="28" t="s">
        <v>72</v>
      </c>
      <c r="J198" s="28" t="s">
        <v>460</v>
      </c>
      <c r="K198" s="28" t="s">
        <v>461</v>
      </c>
      <c r="L198" s="28" t="s">
        <v>66</v>
      </c>
      <c r="M198" s="28" t="s">
        <v>24</v>
      </c>
      <c r="O198" s="92">
        <v>35542</v>
      </c>
      <c r="P198" s="28" t="s">
        <v>21</v>
      </c>
      <c r="Q198" s="26" t="b">
        <v>0</v>
      </c>
      <c r="R198" s="22">
        <f t="shared" si="3"/>
        <v>2426</v>
      </c>
    </row>
    <row r="199" spans="1:18">
      <c r="A199" s="26">
        <v>225</v>
      </c>
      <c r="B199" s="27">
        <v>33116</v>
      </c>
      <c r="C199" s="28" t="s">
        <v>462</v>
      </c>
      <c r="D199" s="27">
        <v>33115</v>
      </c>
      <c r="E199" s="28" t="s">
        <v>463</v>
      </c>
      <c r="F199" s="28" t="s">
        <v>70</v>
      </c>
      <c r="G199" s="28" t="s">
        <v>20</v>
      </c>
      <c r="H199" s="28" t="s">
        <v>71</v>
      </c>
      <c r="I199" s="28" t="s">
        <v>72</v>
      </c>
      <c r="J199" s="28" t="s">
        <v>464</v>
      </c>
      <c r="K199" s="28" t="s">
        <v>465</v>
      </c>
      <c r="L199" s="28" t="s">
        <v>30</v>
      </c>
      <c r="M199" s="28" t="s">
        <v>24</v>
      </c>
      <c r="O199" s="92">
        <v>35244</v>
      </c>
      <c r="P199" s="28" t="s">
        <v>21</v>
      </c>
      <c r="Q199" s="26" t="b">
        <v>0</v>
      </c>
      <c r="R199" s="22">
        <f t="shared" si="3"/>
        <v>2127</v>
      </c>
    </row>
    <row r="200" spans="1:18">
      <c r="A200" s="26">
        <v>226</v>
      </c>
      <c r="B200" s="27">
        <v>33120</v>
      </c>
      <c r="C200" s="28" t="s">
        <v>466</v>
      </c>
      <c r="D200" s="27">
        <v>33116</v>
      </c>
      <c r="E200" s="28" t="s">
        <v>467</v>
      </c>
      <c r="F200" s="28" t="s">
        <v>98</v>
      </c>
      <c r="G200" s="28" t="s">
        <v>20</v>
      </c>
      <c r="H200" s="28" t="s">
        <v>21</v>
      </c>
      <c r="I200" s="28" t="s">
        <v>21</v>
      </c>
      <c r="J200" s="28" t="s">
        <v>468</v>
      </c>
      <c r="K200" s="28" t="s">
        <v>469</v>
      </c>
      <c r="L200" s="28" t="s">
        <v>30</v>
      </c>
      <c r="M200" s="28" t="s">
        <v>21</v>
      </c>
      <c r="N200" s="18"/>
      <c r="O200" s="92">
        <v>33178</v>
      </c>
      <c r="P200" s="28" t="s">
        <v>31</v>
      </c>
      <c r="Q200" s="26" t="b">
        <v>0</v>
      </c>
      <c r="R200" s="22">
        <f t="shared" si="3"/>
        <v>57</v>
      </c>
    </row>
    <row r="201" spans="1:18">
      <c r="A201" s="26">
        <v>227</v>
      </c>
      <c r="B201" s="27">
        <v>33121</v>
      </c>
      <c r="C201" s="28" t="s">
        <v>470</v>
      </c>
      <c r="D201" s="27">
        <v>33120</v>
      </c>
      <c r="E201" s="28" t="s">
        <v>38</v>
      </c>
      <c r="F201" s="28" t="s">
        <v>242</v>
      </c>
      <c r="G201" s="28" t="s">
        <v>20</v>
      </c>
      <c r="H201" s="28" t="s">
        <v>21</v>
      </c>
      <c r="I201" s="28" t="s">
        <v>21</v>
      </c>
      <c r="J201" s="28" t="s">
        <v>471</v>
      </c>
      <c r="K201" s="28" t="s">
        <v>21</v>
      </c>
      <c r="L201" s="28" t="s">
        <v>59</v>
      </c>
      <c r="M201" s="28" t="s">
        <v>21</v>
      </c>
      <c r="O201" s="92">
        <v>34127</v>
      </c>
      <c r="P201" s="28" t="s">
        <v>21</v>
      </c>
      <c r="Q201" s="26" t="b">
        <v>0</v>
      </c>
      <c r="R201" s="22">
        <f t="shared" si="3"/>
        <v>1005</v>
      </c>
    </row>
    <row r="202" spans="1:18">
      <c r="A202" s="26">
        <v>230</v>
      </c>
      <c r="B202" s="27">
        <v>33123</v>
      </c>
      <c r="C202" s="28" t="s">
        <v>472</v>
      </c>
      <c r="D202" s="27">
        <v>33122</v>
      </c>
      <c r="E202" s="28" t="s">
        <v>61</v>
      </c>
      <c r="F202" s="28" t="s">
        <v>56</v>
      </c>
      <c r="G202" s="28" t="s">
        <v>20</v>
      </c>
      <c r="H202" s="28" t="s">
        <v>21</v>
      </c>
      <c r="I202" s="28" t="s">
        <v>21</v>
      </c>
      <c r="J202" s="28" t="s">
        <v>473</v>
      </c>
      <c r="K202" s="28" t="s">
        <v>21</v>
      </c>
      <c r="L202" s="28" t="s">
        <v>59</v>
      </c>
      <c r="M202" s="28" t="s">
        <v>21</v>
      </c>
      <c r="O202" s="92">
        <v>33767</v>
      </c>
      <c r="P202" s="28" t="s">
        <v>21</v>
      </c>
      <c r="Q202" s="26" t="b">
        <v>0</v>
      </c>
      <c r="R202" s="22">
        <f t="shared" si="3"/>
        <v>643</v>
      </c>
    </row>
    <row r="203" spans="1:18">
      <c r="A203" s="26">
        <v>233</v>
      </c>
      <c r="B203" s="27">
        <v>33129</v>
      </c>
      <c r="C203" s="28" t="s">
        <v>474</v>
      </c>
      <c r="D203" s="27">
        <v>33127</v>
      </c>
      <c r="E203" s="28" t="s">
        <v>475</v>
      </c>
      <c r="F203" s="28" t="s">
        <v>327</v>
      </c>
      <c r="G203" s="28" t="s">
        <v>20</v>
      </c>
      <c r="H203" s="28" t="s">
        <v>21</v>
      </c>
      <c r="I203" s="28" t="s">
        <v>21</v>
      </c>
      <c r="J203" s="28" t="s">
        <v>476</v>
      </c>
      <c r="K203" s="28" t="s">
        <v>21</v>
      </c>
      <c r="L203" s="28" t="s">
        <v>24</v>
      </c>
      <c r="M203" s="28" t="s">
        <v>21</v>
      </c>
      <c r="O203" s="92">
        <v>33224</v>
      </c>
      <c r="P203" s="28" t="s">
        <v>21</v>
      </c>
      <c r="Q203" s="26" t="b">
        <v>0</v>
      </c>
      <c r="R203" s="22">
        <f t="shared" si="3"/>
        <v>95</v>
      </c>
    </row>
    <row r="204" spans="1:18">
      <c r="A204" s="26">
        <v>234</v>
      </c>
      <c r="B204" s="27">
        <v>33133</v>
      </c>
      <c r="C204" s="28" t="s">
        <v>477</v>
      </c>
      <c r="D204" s="27">
        <v>33095</v>
      </c>
      <c r="E204" s="28" t="s">
        <v>38</v>
      </c>
      <c r="F204" s="28" t="s">
        <v>371</v>
      </c>
      <c r="G204" s="28" t="s">
        <v>20</v>
      </c>
      <c r="H204" s="28" t="s">
        <v>21</v>
      </c>
      <c r="I204" s="28" t="s">
        <v>21</v>
      </c>
      <c r="J204" s="28" t="s">
        <v>478</v>
      </c>
      <c r="K204" s="28" t="s">
        <v>479</v>
      </c>
      <c r="L204" s="28" t="s">
        <v>36</v>
      </c>
      <c r="M204" s="28" t="s">
        <v>21</v>
      </c>
      <c r="N204" s="29">
        <v>33137</v>
      </c>
      <c r="O204" s="92">
        <v>33143</v>
      </c>
      <c r="P204" s="28" t="s">
        <v>31</v>
      </c>
      <c r="Q204" s="26" t="b">
        <v>0</v>
      </c>
      <c r="R204" s="22">
        <f t="shared" si="3"/>
        <v>10</v>
      </c>
    </row>
    <row r="205" spans="1:18">
      <c r="A205" s="26">
        <v>236</v>
      </c>
      <c r="B205" s="27">
        <v>33133</v>
      </c>
      <c r="C205" s="28" t="s">
        <v>480</v>
      </c>
      <c r="D205" s="27">
        <v>33128</v>
      </c>
      <c r="E205" s="28" t="s">
        <v>481</v>
      </c>
      <c r="F205" s="28" t="s">
        <v>482</v>
      </c>
      <c r="G205" s="28" t="s">
        <v>20</v>
      </c>
      <c r="H205" s="28" t="s">
        <v>21</v>
      </c>
      <c r="I205" s="28" t="s">
        <v>21</v>
      </c>
      <c r="J205" s="28" t="s">
        <v>483</v>
      </c>
      <c r="K205" s="28" t="s">
        <v>484</v>
      </c>
      <c r="L205" s="28" t="s">
        <v>82</v>
      </c>
      <c r="M205" s="28" t="s">
        <v>21</v>
      </c>
      <c r="O205" s="92">
        <v>33282</v>
      </c>
      <c r="P205" s="28" t="s">
        <v>21</v>
      </c>
      <c r="Q205" s="26" t="b">
        <v>0</v>
      </c>
      <c r="R205" s="22">
        <f t="shared" si="3"/>
        <v>148</v>
      </c>
    </row>
    <row r="206" spans="1:18">
      <c r="A206" s="26">
        <v>237</v>
      </c>
      <c r="B206" s="27">
        <v>33133</v>
      </c>
      <c r="C206" s="28" t="s">
        <v>485</v>
      </c>
      <c r="D206" s="27">
        <v>33127</v>
      </c>
      <c r="E206" s="28" t="s">
        <v>486</v>
      </c>
      <c r="F206" s="28" t="s">
        <v>104</v>
      </c>
      <c r="G206" s="28" t="s">
        <v>20</v>
      </c>
      <c r="H206" s="28" t="s">
        <v>21</v>
      </c>
      <c r="I206" s="28" t="s">
        <v>21</v>
      </c>
      <c r="J206" s="28" t="s">
        <v>487</v>
      </c>
      <c r="K206" s="28" t="s">
        <v>488</v>
      </c>
      <c r="L206" s="28" t="s">
        <v>30</v>
      </c>
      <c r="M206" s="28" t="s">
        <v>21</v>
      </c>
      <c r="N206" s="29">
        <v>33177</v>
      </c>
      <c r="O206" s="92">
        <v>35647</v>
      </c>
      <c r="P206" s="28" t="s">
        <v>21</v>
      </c>
      <c r="Q206" s="26" t="b">
        <v>0</v>
      </c>
      <c r="R206" s="22">
        <f t="shared" si="3"/>
        <v>2512</v>
      </c>
    </row>
    <row r="207" spans="1:18">
      <c r="A207" s="26">
        <v>241</v>
      </c>
      <c r="B207" s="27">
        <v>33135</v>
      </c>
      <c r="C207" s="28" t="s">
        <v>489</v>
      </c>
      <c r="D207" s="27">
        <v>33133</v>
      </c>
      <c r="E207" s="28" t="s">
        <v>490</v>
      </c>
      <c r="F207" s="28" t="s">
        <v>19</v>
      </c>
      <c r="G207" s="28" t="s">
        <v>20</v>
      </c>
      <c r="H207" s="28" t="s">
        <v>21</v>
      </c>
      <c r="I207" s="28" t="s">
        <v>21</v>
      </c>
      <c r="J207" s="28" t="s">
        <v>491</v>
      </c>
      <c r="K207" s="28" t="s">
        <v>21</v>
      </c>
      <c r="L207" s="28" t="s">
        <v>24</v>
      </c>
      <c r="M207" s="28" t="s">
        <v>21</v>
      </c>
      <c r="O207" s="92">
        <v>33437</v>
      </c>
      <c r="P207" s="28" t="s">
        <v>21</v>
      </c>
      <c r="Q207" s="26" t="b">
        <v>0</v>
      </c>
      <c r="R207" s="22">
        <f t="shared" si="3"/>
        <v>303</v>
      </c>
    </row>
    <row r="208" spans="1:18">
      <c r="A208" s="26">
        <v>242</v>
      </c>
      <c r="B208" s="27">
        <v>33136</v>
      </c>
      <c r="C208" s="28" t="s">
        <v>492</v>
      </c>
      <c r="D208" s="27">
        <v>33135</v>
      </c>
      <c r="E208" s="28" t="s">
        <v>493</v>
      </c>
      <c r="F208" s="28" t="s">
        <v>494</v>
      </c>
      <c r="G208" s="28" t="s">
        <v>20</v>
      </c>
      <c r="H208" s="28" t="s">
        <v>212</v>
      </c>
      <c r="I208" s="28" t="s">
        <v>212</v>
      </c>
      <c r="J208" s="28" t="s">
        <v>495</v>
      </c>
      <c r="K208" s="28" t="s">
        <v>496</v>
      </c>
      <c r="L208" s="28" t="s">
        <v>24</v>
      </c>
      <c r="M208" s="28" t="s">
        <v>21</v>
      </c>
      <c r="O208" s="92">
        <v>34480</v>
      </c>
      <c r="P208" s="28" t="s">
        <v>21</v>
      </c>
      <c r="Q208" s="26" t="b">
        <v>0</v>
      </c>
      <c r="R208" s="22">
        <f t="shared" si="3"/>
        <v>1344</v>
      </c>
    </row>
    <row r="209" spans="1:18">
      <c r="A209" s="26">
        <v>252</v>
      </c>
      <c r="B209" s="27">
        <v>33147</v>
      </c>
      <c r="C209" s="28" t="s">
        <v>497</v>
      </c>
      <c r="D209" s="27">
        <v>33145</v>
      </c>
      <c r="E209" s="28" t="s">
        <v>61</v>
      </c>
      <c r="F209" s="28" t="s">
        <v>56</v>
      </c>
      <c r="G209" s="28" t="s">
        <v>20</v>
      </c>
      <c r="H209" s="28" t="s">
        <v>21</v>
      </c>
      <c r="I209" s="28" t="s">
        <v>21</v>
      </c>
      <c r="J209" s="28" t="s">
        <v>498</v>
      </c>
      <c r="K209" s="28" t="s">
        <v>499</v>
      </c>
      <c r="L209" s="28" t="s">
        <v>59</v>
      </c>
      <c r="M209" s="28" t="s">
        <v>21</v>
      </c>
      <c r="O209" s="92">
        <v>33165</v>
      </c>
      <c r="P209" s="28" t="s">
        <v>21</v>
      </c>
      <c r="Q209" s="26" t="b">
        <v>0</v>
      </c>
      <c r="R209" s="22">
        <f t="shared" si="3"/>
        <v>18</v>
      </c>
    </row>
    <row r="210" spans="1:18">
      <c r="A210" s="26">
        <v>254</v>
      </c>
      <c r="B210" s="27">
        <v>33148</v>
      </c>
      <c r="C210" s="28" t="s">
        <v>500</v>
      </c>
      <c r="D210" s="27">
        <v>33147</v>
      </c>
      <c r="E210" s="28" t="s">
        <v>501</v>
      </c>
      <c r="F210" s="28" t="s">
        <v>327</v>
      </c>
      <c r="G210" s="28" t="s">
        <v>20</v>
      </c>
      <c r="H210" s="28" t="s">
        <v>21</v>
      </c>
      <c r="I210" s="28" t="s">
        <v>21</v>
      </c>
      <c r="J210" s="28" t="s">
        <v>502</v>
      </c>
      <c r="K210" s="28" t="s">
        <v>21</v>
      </c>
      <c r="L210" s="28" t="s">
        <v>24</v>
      </c>
      <c r="M210" s="28" t="s">
        <v>21</v>
      </c>
      <c r="O210" s="92">
        <v>33154</v>
      </c>
      <c r="P210" s="28" t="s">
        <v>21</v>
      </c>
      <c r="Q210" s="26" t="b">
        <v>0</v>
      </c>
      <c r="R210" s="22">
        <f t="shared" si="3"/>
        <v>6</v>
      </c>
    </row>
    <row r="211" spans="1:18">
      <c r="A211" s="26">
        <v>255</v>
      </c>
      <c r="B211" s="27">
        <v>33148</v>
      </c>
      <c r="C211" s="28" t="s">
        <v>503</v>
      </c>
      <c r="D211" s="27">
        <v>33143</v>
      </c>
      <c r="E211" s="28" t="s">
        <v>504</v>
      </c>
      <c r="F211" s="28" t="s">
        <v>306</v>
      </c>
      <c r="G211" s="28" t="s">
        <v>20</v>
      </c>
      <c r="H211" s="28" t="s">
        <v>21</v>
      </c>
      <c r="I211" s="28" t="s">
        <v>21</v>
      </c>
      <c r="J211" s="28" t="s">
        <v>505</v>
      </c>
      <c r="K211" s="28" t="s">
        <v>506</v>
      </c>
      <c r="L211" s="28" t="s">
        <v>30</v>
      </c>
      <c r="M211" s="28" t="s">
        <v>21</v>
      </c>
      <c r="N211" s="29">
        <v>33151</v>
      </c>
      <c r="O211" s="92">
        <v>33179</v>
      </c>
      <c r="P211" s="28" t="s">
        <v>31</v>
      </c>
      <c r="Q211" s="26" t="b">
        <v>0</v>
      </c>
      <c r="R211" s="22">
        <f t="shared" si="3"/>
        <v>30</v>
      </c>
    </row>
    <row r="212" spans="1:18">
      <c r="A212" s="26">
        <v>258</v>
      </c>
      <c r="B212" s="27">
        <v>33149</v>
      </c>
      <c r="C212" s="28" t="s">
        <v>507</v>
      </c>
      <c r="D212" s="27">
        <v>33147</v>
      </c>
      <c r="E212" s="28" t="s">
        <v>508</v>
      </c>
      <c r="F212" s="28" t="s">
        <v>228</v>
      </c>
      <c r="G212" s="28" t="s">
        <v>20</v>
      </c>
      <c r="H212" s="28" t="s">
        <v>21</v>
      </c>
      <c r="I212" s="28" t="s">
        <v>21</v>
      </c>
      <c r="J212" s="28" t="s">
        <v>509</v>
      </c>
      <c r="K212" s="28" t="s">
        <v>510</v>
      </c>
      <c r="L212" s="28" t="s">
        <v>82</v>
      </c>
      <c r="M212" s="28" t="s">
        <v>21</v>
      </c>
      <c r="N212" s="18"/>
      <c r="O212" s="92">
        <v>33298</v>
      </c>
      <c r="P212" s="28" t="s">
        <v>31</v>
      </c>
      <c r="Q212" s="26" t="b">
        <v>0</v>
      </c>
      <c r="R212" s="22">
        <f t="shared" si="3"/>
        <v>150</v>
      </c>
    </row>
    <row r="213" spans="1:18">
      <c r="A213" s="26">
        <v>259</v>
      </c>
      <c r="B213" s="27">
        <v>33150</v>
      </c>
      <c r="C213" s="28" t="s">
        <v>511</v>
      </c>
      <c r="D213" s="27">
        <v>33149</v>
      </c>
      <c r="E213" s="28" t="s">
        <v>512</v>
      </c>
      <c r="F213" s="28" t="s">
        <v>513</v>
      </c>
      <c r="G213" s="28" t="s">
        <v>20</v>
      </c>
      <c r="H213" s="28" t="s">
        <v>21</v>
      </c>
      <c r="I213" s="28" t="s">
        <v>21</v>
      </c>
      <c r="J213" s="28" t="s">
        <v>514</v>
      </c>
      <c r="K213" s="28" t="s">
        <v>515</v>
      </c>
      <c r="L213" s="28" t="s">
        <v>24</v>
      </c>
      <c r="M213" s="28" t="s">
        <v>21</v>
      </c>
      <c r="N213" s="27">
        <v>33172</v>
      </c>
      <c r="O213" s="92">
        <v>33169</v>
      </c>
      <c r="P213" s="28" t="s">
        <v>21</v>
      </c>
      <c r="Q213" s="26" t="b">
        <v>0</v>
      </c>
      <c r="R213" s="22">
        <f t="shared" si="3"/>
        <v>19</v>
      </c>
    </row>
    <row r="214" spans="1:18">
      <c r="A214" s="26">
        <v>265</v>
      </c>
      <c r="B214" s="27">
        <v>33156</v>
      </c>
      <c r="C214" s="28" t="s">
        <v>516</v>
      </c>
      <c r="D214" s="27">
        <v>33156</v>
      </c>
      <c r="E214" s="28" t="s">
        <v>517</v>
      </c>
      <c r="F214" s="28" t="s">
        <v>52</v>
      </c>
      <c r="G214" s="28" t="s">
        <v>20</v>
      </c>
      <c r="H214" s="28" t="s">
        <v>21</v>
      </c>
      <c r="I214" s="28" t="s">
        <v>21</v>
      </c>
      <c r="J214" s="28" t="s">
        <v>518</v>
      </c>
      <c r="K214" s="28" t="s">
        <v>519</v>
      </c>
      <c r="L214" s="28" t="s">
        <v>30</v>
      </c>
      <c r="M214" s="28" t="s">
        <v>21</v>
      </c>
      <c r="N214" s="29">
        <v>33165</v>
      </c>
      <c r="O214" s="92">
        <v>33165</v>
      </c>
      <c r="P214" s="28" t="s">
        <v>21</v>
      </c>
      <c r="Q214" s="26" t="b">
        <v>0</v>
      </c>
      <c r="R214" s="22">
        <f t="shared" si="3"/>
        <v>9</v>
      </c>
    </row>
    <row r="215" spans="1:18">
      <c r="A215" s="26">
        <v>266</v>
      </c>
      <c r="B215" s="27">
        <v>33157</v>
      </c>
      <c r="C215" s="28" t="s">
        <v>520</v>
      </c>
      <c r="D215" s="27">
        <v>33155</v>
      </c>
      <c r="E215" s="28" t="s">
        <v>521</v>
      </c>
      <c r="F215" s="28" t="s">
        <v>149</v>
      </c>
      <c r="G215" s="28" t="s">
        <v>20</v>
      </c>
      <c r="H215" s="28" t="s">
        <v>21</v>
      </c>
      <c r="I215" s="28" t="s">
        <v>21</v>
      </c>
      <c r="J215" s="28" t="s">
        <v>522</v>
      </c>
      <c r="K215" s="28" t="s">
        <v>523</v>
      </c>
      <c r="L215" s="28" t="s">
        <v>24</v>
      </c>
      <c r="M215" s="28" t="s">
        <v>21</v>
      </c>
      <c r="O215" s="92">
        <v>33167</v>
      </c>
      <c r="P215" s="28" t="s">
        <v>21</v>
      </c>
      <c r="Q215" s="26" t="b">
        <v>0</v>
      </c>
      <c r="R215" s="22">
        <f t="shared" si="3"/>
        <v>10</v>
      </c>
    </row>
    <row r="216" spans="1:18">
      <c r="A216" s="26">
        <v>267</v>
      </c>
      <c r="B216" s="27">
        <v>33164</v>
      </c>
      <c r="C216" s="28" t="s">
        <v>524</v>
      </c>
      <c r="D216" s="27">
        <v>33156</v>
      </c>
      <c r="E216" s="28" t="s">
        <v>525</v>
      </c>
      <c r="F216" s="28" t="s">
        <v>98</v>
      </c>
      <c r="G216" s="28" t="s">
        <v>20</v>
      </c>
      <c r="H216" s="28" t="s">
        <v>21</v>
      </c>
      <c r="I216" s="28" t="s">
        <v>21</v>
      </c>
      <c r="J216" s="28" t="s">
        <v>526</v>
      </c>
      <c r="K216" s="28" t="s">
        <v>527</v>
      </c>
      <c r="L216" s="28" t="s">
        <v>24</v>
      </c>
      <c r="M216" s="28" t="s">
        <v>21</v>
      </c>
      <c r="O216" s="92">
        <v>33182</v>
      </c>
      <c r="P216" s="28" t="s">
        <v>31</v>
      </c>
      <c r="Q216" s="26" t="b">
        <v>0</v>
      </c>
      <c r="R216" s="22">
        <f t="shared" si="3"/>
        <v>17</v>
      </c>
    </row>
    <row r="217" spans="1:18">
      <c r="A217" s="26">
        <v>268</v>
      </c>
      <c r="B217" s="27">
        <v>33164</v>
      </c>
      <c r="C217" s="28" t="s">
        <v>528</v>
      </c>
      <c r="D217" s="27">
        <v>33163</v>
      </c>
      <c r="E217" s="28" t="s">
        <v>38</v>
      </c>
      <c r="F217" s="28" t="s">
        <v>124</v>
      </c>
      <c r="G217" s="28" t="s">
        <v>20</v>
      </c>
      <c r="H217" s="28" t="s">
        <v>21</v>
      </c>
      <c r="I217" s="28" t="s">
        <v>21</v>
      </c>
      <c r="J217" s="28" t="s">
        <v>529</v>
      </c>
      <c r="K217" s="28" t="s">
        <v>530</v>
      </c>
      <c r="L217" s="28" t="s">
        <v>24</v>
      </c>
      <c r="M217" s="28" t="s">
        <v>21</v>
      </c>
      <c r="O217" s="92">
        <v>33168</v>
      </c>
      <c r="P217" s="28" t="s">
        <v>31</v>
      </c>
      <c r="Q217" s="26" t="b">
        <v>0</v>
      </c>
      <c r="R217" s="22">
        <f t="shared" si="3"/>
        <v>4</v>
      </c>
    </row>
    <row r="218" spans="1:18">
      <c r="A218" s="26">
        <v>283</v>
      </c>
      <c r="B218" s="27">
        <v>33169</v>
      </c>
      <c r="C218" s="28" t="s">
        <v>531</v>
      </c>
      <c r="D218" s="27">
        <v>33168</v>
      </c>
      <c r="E218" s="28" t="s">
        <v>532</v>
      </c>
      <c r="F218" s="28" t="s">
        <v>533</v>
      </c>
      <c r="G218" s="28" t="s">
        <v>20</v>
      </c>
      <c r="H218" s="28" t="s">
        <v>21</v>
      </c>
      <c r="I218" s="28" t="s">
        <v>21</v>
      </c>
      <c r="J218" s="28" t="s">
        <v>534</v>
      </c>
      <c r="K218" s="28" t="s">
        <v>535</v>
      </c>
      <c r="L218" s="28" t="s">
        <v>24</v>
      </c>
      <c r="M218" s="28" t="s">
        <v>21</v>
      </c>
      <c r="O218" s="92">
        <v>33567</v>
      </c>
      <c r="P218" s="28" t="s">
        <v>21</v>
      </c>
      <c r="Q218" s="26" t="b">
        <v>0</v>
      </c>
      <c r="R218" s="22">
        <f t="shared" si="3"/>
        <v>397</v>
      </c>
    </row>
    <row r="219" spans="1:18">
      <c r="A219" s="26">
        <v>285</v>
      </c>
      <c r="B219" s="27">
        <v>33171</v>
      </c>
      <c r="C219" s="28" t="s">
        <v>536</v>
      </c>
      <c r="D219" s="27">
        <v>33170</v>
      </c>
      <c r="E219" s="28" t="s">
        <v>537</v>
      </c>
      <c r="F219" s="28" t="s">
        <v>242</v>
      </c>
      <c r="G219" s="28" t="s">
        <v>20</v>
      </c>
      <c r="H219" s="28" t="s">
        <v>21</v>
      </c>
      <c r="I219" s="28" t="s">
        <v>21</v>
      </c>
      <c r="J219" s="28" t="s">
        <v>538</v>
      </c>
      <c r="K219" s="28" t="s">
        <v>539</v>
      </c>
      <c r="L219" s="28" t="s">
        <v>30</v>
      </c>
      <c r="M219" s="28" t="s">
        <v>21</v>
      </c>
      <c r="O219" s="92">
        <v>33546</v>
      </c>
      <c r="P219" s="28" t="s">
        <v>21</v>
      </c>
      <c r="Q219" s="26" t="b">
        <v>0</v>
      </c>
      <c r="R219" s="22">
        <f t="shared" si="3"/>
        <v>374</v>
      </c>
    </row>
    <row r="220" spans="1:18">
      <c r="A220" s="26">
        <v>286</v>
      </c>
      <c r="B220" s="27">
        <v>33172</v>
      </c>
      <c r="C220" s="28" t="s">
        <v>540</v>
      </c>
      <c r="D220" s="27">
        <v>33170</v>
      </c>
      <c r="E220" s="28" t="s">
        <v>38</v>
      </c>
      <c r="F220" s="28" t="s">
        <v>149</v>
      </c>
      <c r="G220" s="28" t="s">
        <v>20</v>
      </c>
      <c r="H220" s="28" t="s">
        <v>21</v>
      </c>
      <c r="I220" s="28" t="s">
        <v>21</v>
      </c>
      <c r="J220" s="28" t="s">
        <v>541</v>
      </c>
      <c r="K220" s="28" t="s">
        <v>542</v>
      </c>
      <c r="L220" s="28" t="s">
        <v>24</v>
      </c>
      <c r="M220" s="28" t="s">
        <v>21</v>
      </c>
      <c r="O220" s="92">
        <v>33175</v>
      </c>
      <c r="P220" s="28" t="s">
        <v>182</v>
      </c>
      <c r="Q220" s="26" t="b">
        <v>0</v>
      </c>
      <c r="R220" s="22">
        <f t="shared" si="3"/>
        <v>3</v>
      </c>
    </row>
    <row r="221" spans="1:18">
      <c r="A221" s="26">
        <v>287</v>
      </c>
      <c r="B221" s="27">
        <v>33175</v>
      </c>
      <c r="C221" s="28" t="s">
        <v>543</v>
      </c>
      <c r="D221" s="27">
        <v>33172</v>
      </c>
      <c r="E221" s="28" t="s">
        <v>544</v>
      </c>
      <c r="F221" s="28" t="s">
        <v>545</v>
      </c>
      <c r="G221" s="28" t="s">
        <v>20</v>
      </c>
      <c r="H221" s="28" t="s">
        <v>21</v>
      </c>
      <c r="I221" s="28" t="s">
        <v>21</v>
      </c>
      <c r="J221" s="28" t="s">
        <v>546</v>
      </c>
      <c r="K221" s="28" t="s">
        <v>491</v>
      </c>
      <c r="L221" s="28" t="s">
        <v>24</v>
      </c>
      <c r="M221" s="28" t="s">
        <v>21</v>
      </c>
      <c r="O221" s="92">
        <v>33437</v>
      </c>
      <c r="P221" s="28" t="s">
        <v>31</v>
      </c>
      <c r="Q221" s="26" t="b">
        <v>0</v>
      </c>
      <c r="R221" s="22">
        <f t="shared" si="3"/>
        <v>262</v>
      </c>
    </row>
    <row r="222" spans="1:18">
      <c r="A222" s="26">
        <v>288</v>
      </c>
      <c r="B222" s="27">
        <v>33176</v>
      </c>
      <c r="C222" s="28" t="s">
        <v>547</v>
      </c>
      <c r="D222" s="27">
        <v>33175</v>
      </c>
      <c r="E222" s="28" t="s">
        <v>548</v>
      </c>
      <c r="F222" s="28" t="s">
        <v>98</v>
      </c>
      <c r="G222" s="28" t="s">
        <v>20</v>
      </c>
      <c r="H222" s="28" t="s">
        <v>21</v>
      </c>
      <c r="I222" s="28" t="s">
        <v>21</v>
      </c>
      <c r="J222" s="28" t="s">
        <v>549</v>
      </c>
      <c r="K222" s="28" t="s">
        <v>550</v>
      </c>
      <c r="L222" s="28" t="s">
        <v>24</v>
      </c>
      <c r="M222" s="28" t="s">
        <v>21</v>
      </c>
      <c r="O222" s="92">
        <v>33193</v>
      </c>
      <c r="P222" s="28" t="s">
        <v>21</v>
      </c>
      <c r="Q222" s="26" t="b">
        <v>0</v>
      </c>
      <c r="R222" s="22">
        <f t="shared" si="3"/>
        <v>16</v>
      </c>
    </row>
    <row r="223" spans="1:18">
      <c r="A223" s="26">
        <v>290</v>
      </c>
      <c r="B223" s="27">
        <v>33178</v>
      </c>
      <c r="C223" s="28" t="s">
        <v>551</v>
      </c>
      <c r="D223" s="27">
        <v>33172</v>
      </c>
      <c r="E223" s="28" t="s">
        <v>552</v>
      </c>
      <c r="F223" s="28" t="s">
        <v>322</v>
      </c>
      <c r="G223" s="28" t="s">
        <v>20</v>
      </c>
      <c r="H223" s="28" t="s">
        <v>71</v>
      </c>
      <c r="I223" s="28" t="s">
        <v>72</v>
      </c>
      <c r="J223" s="28" t="s">
        <v>553</v>
      </c>
      <c r="K223" s="28" t="s">
        <v>554</v>
      </c>
      <c r="L223" s="28" t="s">
        <v>36</v>
      </c>
      <c r="M223" s="28" t="s">
        <v>21</v>
      </c>
      <c r="O223" s="92">
        <v>33186</v>
      </c>
      <c r="P223" s="28" t="s">
        <v>21</v>
      </c>
      <c r="Q223" s="26" t="b">
        <v>0</v>
      </c>
      <c r="R223" s="22">
        <f t="shared" si="3"/>
        <v>8</v>
      </c>
    </row>
    <row r="224" spans="1:18">
      <c r="A224" s="26">
        <v>294</v>
      </c>
      <c r="B224" s="27">
        <v>33182</v>
      </c>
      <c r="C224" s="28" t="s">
        <v>555</v>
      </c>
      <c r="D224" s="27">
        <v>33182</v>
      </c>
      <c r="E224" s="28" t="s">
        <v>556</v>
      </c>
      <c r="F224" s="28" t="s">
        <v>350</v>
      </c>
      <c r="G224" s="28" t="s">
        <v>20</v>
      </c>
      <c r="H224" s="28" t="s">
        <v>21</v>
      </c>
      <c r="I224" s="28" t="s">
        <v>21</v>
      </c>
      <c r="J224" s="28" t="s">
        <v>557</v>
      </c>
      <c r="K224" s="28" t="s">
        <v>558</v>
      </c>
      <c r="L224" s="28" t="s">
        <v>30</v>
      </c>
      <c r="M224" s="28" t="s">
        <v>21</v>
      </c>
      <c r="O224" s="92">
        <v>35660</v>
      </c>
      <c r="P224" s="28" t="s">
        <v>21</v>
      </c>
      <c r="Q224" s="26" t="b">
        <v>0</v>
      </c>
      <c r="R224" s="22">
        <f t="shared" si="3"/>
        <v>2476</v>
      </c>
    </row>
    <row r="225" spans="1:18">
      <c r="A225" s="26">
        <v>300</v>
      </c>
      <c r="B225" s="27">
        <v>33190</v>
      </c>
      <c r="C225" s="28" t="s">
        <v>559</v>
      </c>
      <c r="D225" s="27">
        <v>33186</v>
      </c>
      <c r="E225" s="28" t="s">
        <v>560</v>
      </c>
      <c r="F225" s="28" t="s">
        <v>322</v>
      </c>
      <c r="G225" s="28" t="s">
        <v>20</v>
      </c>
      <c r="H225" s="28" t="s">
        <v>71</v>
      </c>
      <c r="I225" s="28" t="s">
        <v>72</v>
      </c>
      <c r="J225" s="28" t="s">
        <v>561</v>
      </c>
      <c r="K225" s="28" t="s">
        <v>562</v>
      </c>
      <c r="L225" s="28" t="s">
        <v>24</v>
      </c>
      <c r="M225" s="28" t="s">
        <v>21</v>
      </c>
      <c r="O225" s="92">
        <v>33312</v>
      </c>
      <c r="P225" s="28" t="s">
        <v>21</v>
      </c>
      <c r="Q225" s="26" t="b">
        <v>0</v>
      </c>
      <c r="R225" s="22">
        <f t="shared" si="3"/>
        <v>123</v>
      </c>
    </row>
    <row r="226" spans="1:18">
      <c r="A226" s="26">
        <v>301</v>
      </c>
      <c r="B226" s="27">
        <v>33190</v>
      </c>
      <c r="C226" s="28" t="s">
        <v>563</v>
      </c>
      <c r="D226" s="27">
        <v>33186</v>
      </c>
      <c r="E226" s="28" t="s">
        <v>564</v>
      </c>
      <c r="F226" s="28" t="s">
        <v>565</v>
      </c>
      <c r="G226" s="28" t="s">
        <v>20</v>
      </c>
      <c r="H226" s="28" t="s">
        <v>566</v>
      </c>
      <c r="I226" s="28" t="s">
        <v>566</v>
      </c>
      <c r="J226" s="28" t="s">
        <v>561</v>
      </c>
      <c r="K226" s="28" t="s">
        <v>562</v>
      </c>
      <c r="L226" s="28" t="s">
        <v>24</v>
      </c>
      <c r="M226" s="28" t="s">
        <v>21</v>
      </c>
      <c r="O226" s="92">
        <v>33312</v>
      </c>
      <c r="P226" s="28" t="s">
        <v>21</v>
      </c>
      <c r="Q226" s="26" t="b">
        <v>0</v>
      </c>
      <c r="R226" s="22">
        <f t="shared" si="3"/>
        <v>123</v>
      </c>
    </row>
    <row r="227" spans="1:18">
      <c r="A227" s="26">
        <v>302</v>
      </c>
      <c r="B227" s="27">
        <v>33190</v>
      </c>
      <c r="C227" s="28" t="s">
        <v>567</v>
      </c>
      <c r="D227" s="27">
        <v>33185</v>
      </c>
      <c r="E227" s="28" t="s">
        <v>568</v>
      </c>
      <c r="F227" s="28" t="s">
        <v>306</v>
      </c>
      <c r="G227" s="28" t="s">
        <v>20</v>
      </c>
      <c r="H227" s="28" t="s">
        <v>21</v>
      </c>
      <c r="I227" s="28" t="s">
        <v>21</v>
      </c>
      <c r="J227" s="28" t="s">
        <v>569</v>
      </c>
      <c r="K227" s="28" t="s">
        <v>570</v>
      </c>
      <c r="L227" s="28" t="s">
        <v>36</v>
      </c>
      <c r="M227" s="28" t="s">
        <v>21</v>
      </c>
      <c r="O227" s="92">
        <v>33210</v>
      </c>
      <c r="P227" s="28" t="s">
        <v>21</v>
      </c>
      <c r="Q227" s="26" t="b">
        <v>0</v>
      </c>
      <c r="R227" s="22">
        <f t="shared" si="3"/>
        <v>20</v>
      </c>
    </row>
    <row r="228" spans="1:18">
      <c r="A228" s="26">
        <v>303</v>
      </c>
      <c r="B228" s="27">
        <v>33196</v>
      </c>
      <c r="C228" s="28" t="s">
        <v>571</v>
      </c>
      <c r="D228" s="27">
        <v>33186</v>
      </c>
      <c r="E228" s="28" t="s">
        <v>38</v>
      </c>
      <c r="F228" s="28" t="s">
        <v>124</v>
      </c>
      <c r="G228" s="28" t="s">
        <v>20</v>
      </c>
      <c r="H228" s="28" t="s">
        <v>21</v>
      </c>
      <c r="I228" s="28" t="s">
        <v>21</v>
      </c>
      <c r="J228" s="28" t="s">
        <v>572</v>
      </c>
      <c r="K228" s="28" t="s">
        <v>21</v>
      </c>
      <c r="L228" s="28" t="s">
        <v>24</v>
      </c>
      <c r="M228" s="28" t="s">
        <v>21</v>
      </c>
      <c r="O228" s="92">
        <v>33198</v>
      </c>
      <c r="P228" s="28" t="s">
        <v>31</v>
      </c>
      <c r="Q228" s="26" t="b">
        <v>0</v>
      </c>
      <c r="R228" s="22">
        <f t="shared" si="3"/>
        <v>2</v>
      </c>
    </row>
    <row r="229" spans="1:18">
      <c r="A229" s="26">
        <v>306</v>
      </c>
      <c r="B229" s="27">
        <v>33205</v>
      </c>
      <c r="C229" s="28" t="s">
        <v>573</v>
      </c>
      <c r="D229" s="27">
        <v>33178</v>
      </c>
      <c r="E229" s="28" t="s">
        <v>61</v>
      </c>
      <c r="F229" s="28" t="s">
        <v>482</v>
      </c>
      <c r="G229" s="28" t="s">
        <v>20</v>
      </c>
      <c r="H229" s="28" t="s">
        <v>71</v>
      </c>
      <c r="I229" s="28" t="s">
        <v>21</v>
      </c>
      <c r="J229" s="28" t="s">
        <v>176</v>
      </c>
      <c r="K229" s="28" t="s">
        <v>21</v>
      </c>
      <c r="L229" s="28" t="s">
        <v>59</v>
      </c>
      <c r="M229" s="28" t="s">
        <v>21</v>
      </c>
      <c r="O229" s="92">
        <v>34079</v>
      </c>
      <c r="P229" s="28" t="s">
        <v>21</v>
      </c>
      <c r="Q229" s="26" t="b">
        <v>0</v>
      </c>
      <c r="R229" s="22">
        <f t="shared" si="3"/>
        <v>873</v>
      </c>
    </row>
    <row r="230" spans="1:18">
      <c r="A230" s="26">
        <v>307</v>
      </c>
      <c r="B230" s="27">
        <v>33210</v>
      </c>
      <c r="C230" s="28" t="s">
        <v>574</v>
      </c>
      <c r="D230" s="27">
        <v>33210</v>
      </c>
      <c r="E230" s="28" t="s">
        <v>575</v>
      </c>
      <c r="F230" s="28" t="s">
        <v>98</v>
      </c>
      <c r="G230" s="28" t="s">
        <v>20</v>
      </c>
      <c r="H230" s="28" t="s">
        <v>21</v>
      </c>
      <c r="I230" s="28" t="s">
        <v>21</v>
      </c>
      <c r="J230" s="28" t="s">
        <v>576</v>
      </c>
      <c r="K230" s="28" t="s">
        <v>577</v>
      </c>
      <c r="L230" s="28" t="s">
        <v>24</v>
      </c>
      <c r="M230" s="28" t="s">
        <v>21</v>
      </c>
      <c r="O230" s="92">
        <v>33343</v>
      </c>
      <c r="P230" s="28" t="s">
        <v>31</v>
      </c>
      <c r="Q230" s="26" t="b">
        <v>0</v>
      </c>
      <c r="R230" s="22">
        <f t="shared" si="3"/>
        <v>133</v>
      </c>
    </row>
    <row r="231" spans="1:18" ht="24">
      <c r="A231" s="26">
        <v>308</v>
      </c>
      <c r="B231" s="27">
        <v>33210</v>
      </c>
      <c r="C231" s="28" t="s">
        <v>578</v>
      </c>
      <c r="D231" s="27">
        <v>33198</v>
      </c>
      <c r="E231" s="28" t="s">
        <v>38</v>
      </c>
      <c r="F231" s="28" t="s">
        <v>482</v>
      </c>
      <c r="G231" s="28" t="s">
        <v>20</v>
      </c>
      <c r="H231" s="28" t="s">
        <v>71</v>
      </c>
      <c r="I231" s="28" t="s">
        <v>21</v>
      </c>
      <c r="J231" s="28" t="s">
        <v>579</v>
      </c>
      <c r="K231" s="28" t="s">
        <v>580</v>
      </c>
      <c r="L231" s="28" t="s">
        <v>59</v>
      </c>
      <c r="M231" s="28" t="s">
        <v>21</v>
      </c>
      <c r="O231" s="92">
        <v>33211</v>
      </c>
      <c r="P231" s="28" t="s">
        <v>21</v>
      </c>
      <c r="Q231" s="26" t="b">
        <v>0</v>
      </c>
      <c r="R231" s="22">
        <f t="shared" si="3"/>
        <v>1</v>
      </c>
    </row>
    <row r="232" spans="1:18">
      <c r="A232" s="26">
        <v>310</v>
      </c>
      <c r="B232" s="27">
        <v>33213</v>
      </c>
      <c r="C232" s="28" t="s">
        <v>581</v>
      </c>
      <c r="D232" s="27">
        <v>33211</v>
      </c>
      <c r="E232" s="28" t="s">
        <v>582</v>
      </c>
      <c r="F232" s="28" t="s">
        <v>322</v>
      </c>
      <c r="G232" s="28" t="s">
        <v>20</v>
      </c>
      <c r="H232" s="28" t="s">
        <v>71</v>
      </c>
      <c r="I232" s="28" t="s">
        <v>72</v>
      </c>
      <c r="J232" s="28" t="s">
        <v>583</v>
      </c>
      <c r="K232" s="28" t="s">
        <v>584</v>
      </c>
      <c r="L232" s="28" t="s">
        <v>66</v>
      </c>
      <c r="M232" s="28" t="s">
        <v>21</v>
      </c>
      <c r="O232" s="92">
        <v>35552</v>
      </c>
      <c r="P232" s="28" t="s">
        <v>21</v>
      </c>
      <c r="Q232" s="26" t="b">
        <v>0</v>
      </c>
      <c r="R232" s="22">
        <f t="shared" si="3"/>
        <v>2338</v>
      </c>
    </row>
    <row r="233" spans="1:18">
      <c r="A233" s="26">
        <v>311</v>
      </c>
      <c r="B233" s="27">
        <v>33213</v>
      </c>
      <c r="C233" s="28" t="s">
        <v>585</v>
      </c>
      <c r="D233" s="27">
        <v>33212</v>
      </c>
      <c r="E233" s="28" t="s">
        <v>38</v>
      </c>
      <c r="F233" s="28" t="s">
        <v>124</v>
      </c>
      <c r="G233" s="28" t="s">
        <v>20</v>
      </c>
      <c r="H233" s="28" t="s">
        <v>21</v>
      </c>
      <c r="I233" s="28" t="s">
        <v>21</v>
      </c>
      <c r="J233" s="28" t="s">
        <v>586</v>
      </c>
      <c r="K233" s="28" t="s">
        <v>587</v>
      </c>
      <c r="L233" s="28" t="s">
        <v>30</v>
      </c>
      <c r="M233" s="28" t="s">
        <v>21</v>
      </c>
      <c r="N233" s="29">
        <v>33237</v>
      </c>
      <c r="O233" s="92">
        <v>33242</v>
      </c>
      <c r="P233" s="28" t="s">
        <v>31</v>
      </c>
      <c r="Q233" s="26" t="b">
        <v>0</v>
      </c>
      <c r="R233" s="22">
        <f t="shared" si="3"/>
        <v>28</v>
      </c>
    </row>
    <row r="234" spans="1:18">
      <c r="A234" s="26">
        <v>312</v>
      </c>
      <c r="B234" s="27">
        <v>33217</v>
      </c>
      <c r="C234" s="28" t="s">
        <v>588</v>
      </c>
      <c r="D234" s="27">
        <v>33211</v>
      </c>
      <c r="E234" s="28" t="s">
        <v>61</v>
      </c>
      <c r="F234" s="28" t="s">
        <v>482</v>
      </c>
      <c r="G234" s="28" t="s">
        <v>20</v>
      </c>
      <c r="H234" s="28" t="s">
        <v>71</v>
      </c>
      <c r="I234" s="28" t="s">
        <v>21</v>
      </c>
      <c r="J234" s="28" t="s">
        <v>589</v>
      </c>
      <c r="K234" s="28" t="s">
        <v>21</v>
      </c>
      <c r="L234" s="28" t="s">
        <v>24</v>
      </c>
      <c r="M234" s="28" t="s">
        <v>21</v>
      </c>
      <c r="N234" s="18"/>
      <c r="O234" s="92">
        <v>33217</v>
      </c>
      <c r="P234" s="28" t="s">
        <v>21</v>
      </c>
      <c r="Q234" s="26" t="b">
        <v>0</v>
      </c>
      <c r="R234" s="22">
        <f t="shared" si="3"/>
        <v>0</v>
      </c>
    </row>
    <row r="235" spans="1:18">
      <c r="A235" s="26">
        <v>313</v>
      </c>
      <c r="B235" s="27">
        <v>33219</v>
      </c>
      <c r="C235" s="28" t="s">
        <v>590</v>
      </c>
      <c r="D235" s="27">
        <v>33212</v>
      </c>
      <c r="E235" s="28" t="s">
        <v>591</v>
      </c>
      <c r="F235" s="28" t="s">
        <v>350</v>
      </c>
      <c r="G235" s="28" t="s">
        <v>20</v>
      </c>
      <c r="H235" s="28" t="s">
        <v>21</v>
      </c>
      <c r="I235" s="28" t="s">
        <v>21</v>
      </c>
      <c r="J235" s="28" t="s">
        <v>557</v>
      </c>
      <c r="K235" s="28" t="s">
        <v>592</v>
      </c>
      <c r="L235" s="28" t="s">
        <v>24</v>
      </c>
      <c r="M235" s="28" t="s">
        <v>21</v>
      </c>
      <c r="N235" s="29">
        <v>33269</v>
      </c>
      <c r="O235" s="92">
        <v>33360</v>
      </c>
      <c r="P235" s="28" t="s">
        <v>21</v>
      </c>
      <c r="Q235" s="26" t="b">
        <v>0</v>
      </c>
      <c r="R235" s="22">
        <f t="shared" si="3"/>
        <v>141</v>
      </c>
    </row>
    <row r="236" spans="1:18">
      <c r="A236" s="26">
        <v>314</v>
      </c>
      <c r="B236" s="27">
        <v>33219</v>
      </c>
      <c r="C236" s="28" t="s">
        <v>593</v>
      </c>
      <c r="D236" s="27">
        <v>33212</v>
      </c>
      <c r="E236" s="28" t="s">
        <v>594</v>
      </c>
      <c r="F236" s="28" t="s">
        <v>350</v>
      </c>
      <c r="G236" s="28" t="s">
        <v>20</v>
      </c>
      <c r="H236" s="28" t="s">
        <v>21</v>
      </c>
      <c r="I236" s="28" t="s">
        <v>21</v>
      </c>
      <c r="J236" s="28" t="s">
        <v>557</v>
      </c>
      <c r="K236" s="28" t="s">
        <v>595</v>
      </c>
      <c r="L236" s="28" t="s">
        <v>24</v>
      </c>
      <c r="M236" s="28" t="s">
        <v>21</v>
      </c>
      <c r="N236" s="29">
        <v>33269</v>
      </c>
      <c r="O236" s="92">
        <v>33360</v>
      </c>
      <c r="P236" s="28" t="s">
        <v>21</v>
      </c>
      <c r="Q236" s="26" t="b">
        <v>0</v>
      </c>
      <c r="R236" s="22">
        <f t="shared" si="3"/>
        <v>141</v>
      </c>
    </row>
    <row r="237" spans="1:18">
      <c r="A237" s="26">
        <v>315</v>
      </c>
      <c r="B237" s="27">
        <v>33221</v>
      </c>
      <c r="C237" s="28" t="s">
        <v>596</v>
      </c>
      <c r="D237" s="27">
        <v>33218</v>
      </c>
      <c r="E237" s="28" t="s">
        <v>597</v>
      </c>
      <c r="F237" s="28" t="s">
        <v>145</v>
      </c>
      <c r="G237" s="28" t="s">
        <v>20</v>
      </c>
      <c r="H237" s="28" t="s">
        <v>21</v>
      </c>
      <c r="I237" s="28" t="s">
        <v>21</v>
      </c>
      <c r="J237" s="28" t="s">
        <v>598</v>
      </c>
      <c r="K237" s="28" t="s">
        <v>599</v>
      </c>
      <c r="L237" s="28" t="s">
        <v>24</v>
      </c>
      <c r="M237" s="28" t="s">
        <v>21</v>
      </c>
      <c r="N237" s="29">
        <v>33253</v>
      </c>
      <c r="O237" s="92">
        <v>34877</v>
      </c>
      <c r="P237" s="28" t="s">
        <v>21</v>
      </c>
      <c r="Q237" s="26" t="b">
        <v>0</v>
      </c>
      <c r="R237" s="22">
        <f t="shared" si="3"/>
        <v>1655</v>
      </c>
    </row>
    <row r="238" spans="1:18">
      <c r="A238" s="26">
        <v>317</v>
      </c>
      <c r="B238" s="27">
        <v>33224</v>
      </c>
      <c r="C238" s="28" t="s">
        <v>600</v>
      </c>
      <c r="D238" s="27">
        <v>33220</v>
      </c>
      <c r="E238" s="28" t="s">
        <v>601</v>
      </c>
      <c r="F238" s="28" t="s">
        <v>327</v>
      </c>
      <c r="G238" s="28" t="s">
        <v>20</v>
      </c>
      <c r="H238" s="28" t="s">
        <v>21</v>
      </c>
      <c r="I238" s="28" t="s">
        <v>21</v>
      </c>
      <c r="J238" s="28" t="s">
        <v>602</v>
      </c>
      <c r="K238" s="28" t="s">
        <v>21</v>
      </c>
      <c r="L238" s="28" t="s">
        <v>30</v>
      </c>
      <c r="M238" s="28" t="s">
        <v>24</v>
      </c>
      <c r="O238" s="92">
        <v>35244</v>
      </c>
      <c r="P238" s="28" t="s">
        <v>31</v>
      </c>
      <c r="Q238" s="26" t="b">
        <v>0</v>
      </c>
      <c r="R238" s="22">
        <f t="shared" si="3"/>
        <v>2018</v>
      </c>
    </row>
    <row r="239" spans="1:18">
      <c r="A239" s="26">
        <v>318</v>
      </c>
      <c r="B239" s="27">
        <v>33225</v>
      </c>
      <c r="C239" s="28" t="s">
        <v>603</v>
      </c>
      <c r="D239" s="27">
        <v>33219</v>
      </c>
      <c r="E239" s="28" t="s">
        <v>604</v>
      </c>
      <c r="F239" s="28" t="s">
        <v>27</v>
      </c>
      <c r="G239" s="28" t="s">
        <v>20</v>
      </c>
      <c r="H239" s="28" t="s">
        <v>21</v>
      </c>
      <c r="I239" s="28" t="s">
        <v>21</v>
      </c>
      <c r="J239" s="28" t="s">
        <v>605</v>
      </c>
      <c r="K239" s="28" t="s">
        <v>606</v>
      </c>
      <c r="L239" s="28" t="s">
        <v>24</v>
      </c>
      <c r="M239" s="28" t="s">
        <v>21</v>
      </c>
      <c r="O239" s="92">
        <v>33225</v>
      </c>
      <c r="P239" s="28" t="s">
        <v>31</v>
      </c>
      <c r="Q239" s="26" t="b">
        <v>0</v>
      </c>
      <c r="R239" s="22">
        <f t="shared" si="3"/>
        <v>0</v>
      </c>
    </row>
    <row r="240" spans="1:18">
      <c r="A240" s="26">
        <v>322</v>
      </c>
      <c r="B240" s="27">
        <v>33231</v>
      </c>
      <c r="C240" s="28" t="s">
        <v>607</v>
      </c>
      <c r="D240" s="27">
        <v>33228</v>
      </c>
      <c r="E240" s="28" t="s">
        <v>608</v>
      </c>
      <c r="F240" s="28" t="s">
        <v>104</v>
      </c>
      <c r="G240" s="28" t="s">
        <v>20</v>
      </c>
      <c r="H240" s="28" t="s">
        <v>21</v>
      </c>
      <c r="I240" s="28" t="s">
        <v>21</v>
      </c>
      <c r="J240" s="28" t="s">
        <v>609</v>
      </c>
      <c r="K240" s="28" t="s">
        <v>610</v>
      </c>
      <c r="L240" s="28" t="s">
        <v>24</v>
      </c>
      <c r="M240" s="28" t="s">
        <v>21</v>
      </c>
      <c r="O240" s="92">
        <v>33241</v>
      </c>
      <c r="P240" s="28" t="s">
        <v>21</v>
      </c>
      <c r="Q240" s="26" t="b">
        <v>0</v>
      </c>
      <c r="R240" s="22">
        <f t="shared" si="3"/>
        <v>9</v>
      </c>
    </row>
    <row r="241" spans="1:18">
      <c r="A241" s="26">
        <v>324</v>
      </c>
      <c r="B241" s="27">
        <v>33240</v>
      </c>
      <c r="C241" s="28" t="s">
        <v>611</v>
      </c>
      <c r="D241" s="27">
        <v>33231</v>
      </c>
      <c r="E241" s="28" t="s">
        <v>38</v>
      </c>
      <c r="F241" s="28" t="s">
        <v>27</v>
      </c>
      <c r="G241" s="28" t="s">
        <v>20</v>
      </c>
      <c r="H241" s="28" t="s">
        <v>21</v>
      </c>
      <c r="I241" s="28" t="s">
        <v>21</v>
      </c>
      <c r="J241" s="28" t="s">
        <v>612</v>
      </c>
      <c r="K241" s="28" t="s">
        <v>613</v>
      </c>
      <c r="L241" s="28" t="s">
        <v>24</v>
      </c>
      <c r="M241" s="28" t="s">
        <v>21</v>
      </c>
      <c r="N241" s="18"/>
      <c r="O241" s="92">
        <v>33240</v>
      </c>
      <c r="P241" s="28" t="s">
        <v>31</v>
      </c>
      <c r="Q241" s="26" t="b">
        <v>0</v>
      </c>
      <c r="R241" s="22">
        <f t="shared" si="3"/>
        <v>0</v>
      </c>
    </row>
    <row r="242" spans="1:18">
      <c r="A242" s="26">
        <v>325</v>
      </c>
      <c r="B242" s="27">
        <v>33240</v>
      </c>
      <c r="C242" s="28" t="s">
        <v>614</v>
      </c>
      <c r="D242" s="27">
        <v>33231</v>
      </c>
      <c r="E242" s="28" t="s">
        <v>615</v>
      </c>
      <c r="F242" s="28" t="s">
        <v>104</v>
      </c>
      <c r="G242" s="28" t="s">
        <v>20</v>
      </c>
      <c r="H242" s="28" t="s">
        <v>21</v>
      </c>
      <c r="I242" s="28" t="s">
        <v>21</v>
      </c>
      <c r="J242" s="28" t="s">
        <v>616</v>
      </c>
      <c r="K242" s="28" t="s">
        <v>617</v>
      </c>
      <c r="L242" s="28" t="s">
        <v>59</v>
      </c>
      <c r="M242" s="28" t="s">
        <v>21</v>
      </c>
      <c r="O242" s="92">
        <v>34488</v>
      </c>
      <c r="P242" s="28" t="s">
        <v>21</v>
      </c>
      <c r="Q242" s="26" t="b">
        <v>0</v>
      </c>
      <c r="R242" s="22">
        <f t="shared" si="3"/>
        <v>1248</v>
      </c>
    </row>
    <row r="243" spans="1:18">
      <c r="A243" s="26">
        <v>326</v>
      </c>
      <c r="B243" s="27">
        <v>33240</v>
      </c>
      <c r="C243" s="28" t="s">
        <v>618</v>
      </c>
      <c r="D243" s="27">
        <v>33240</v>
      </c>
      <c r="E243" s="28" t="s">
        <v>38</v>
      </c>
      <c r="F243" s="28" t="s">
        <v>482</v>
      </c>
      <c r="G243" s="28" t="s">
        <v>20</v>
      </c>
      <c r="H243" s="28" t="s">
        <v>71</v>
      </c>
      <c r="I243" s="28" t="s">
        <v>21</v>
      </c>
      <c r="J243" s="28" t="s">
        <v>619</v>
      </c>
      <c r="K243" s="28" t="s">
        <v>21</v>
      </c>
      <c r="L243" s="28" t="s">
        <v>24</v>
      </c>
      <c r="M243" s="28" t="s">
        <v>21</v>
      </c>
      <c r="N243" s="29">
        <v>33240</v>
      </c>
      <c r="O243" s="92">
        <v>33240</v>
      </c>
      <c r="P243" s="28" t="s">
        <v>21</v>
      </c>
      <c r="Q243" s="26" t="b">
        <v>0</v>
      </c>
      <c r="R243" s="22">
        <f t="shared" si="3"/>
        <v>0</v>
      </c>
    </row>
    <row r="244" spans="1:18">
      <c r="A244" s="26">
        <v>327</v>
      </c>
      <c r="B244" s="27">
        <v>33241</v>
      </c>
      <c r="C244" s="28" t="s">
        <v>620</v>
      </c>
      <c r="D244" s="27">
        <v>33236</v>
      </c>
      <c r="E244" s="28" t="s">
        <v>621</v>
      </c>
      <c r="F244" s="28" t="s">
        <v>124</v>
      </c>
      <c r="G244" s="28" t="s">
        <v>20</v>
      </c>
      <c r="H244" s="28" t="s">
        <v>21</v>
      </c>
      <c r="I244" s="28" t="s">
        <v>21</v>
      </c>
      <c r="J244" s="28" t="s">
        <v>622</v>
      </c>
      <c r="K244" s="28" t="s">
        <v>529</v>
      </c>
      <c r="L244" s="28" t="s">
        <v>24</v>
      </c>
      <c r="M244" s="28" t="s">
        <v>21</v>
      </c>
      <c r="N244" s="18"/>
      <c r="O244" s="92">
        <v>33253</v>
      </c>
      <c r="P244" s="28" t="s">
        <v>31</v>
      </c>
      <c r="Q244" s="26" t="b">
        <v>0</v>
      </c>
      <c r="R244" s="22">
        <f t="shared" si="3"/>
        <v>12</v>
      </c>
    </row>
    <row r="245" spans="1:18">
      <c r="A245" s="26">
        <v>329</v>
      </c>
      <c r="B245" s="27">
        <v>33246</v>
      </c>
      <c r="C245" s="28" t="s">
        <v>623</v>
      </c>
      <c r="D245" s="27">
        <v>33242</v>
      </c>
      <c r="E245" s="28" t="s">
        <v>38</v>
      </c>
      <c r="F245" s="28" t="s">
        <v>482</v>
      </c>
      <c r="G245" s="28" t="s">
        <v>20</v>
      </c>
      <c r="H245" s="28" t="s">
        <v>71</v>
      </c>
      <c r="I245" s="28" t="s">
        <v>21</v>
      </c>
      <c r="J245" s="28" t="s">
        <v>624</v>
      </c>
      <c r="K245" s="28" t="s">
        <v>21</v>
      </c>
      <c r="L245" s="28" t="s">
        <v>59</v>
      </c>
      <c r="M245" s="28" t="s">
        <v>21</v>
      </c>
      <c r="N245" s="29">
        <v>33246</v>
      </c>
      <c r="O245" s="92">
        <v>33246</v>
      </c>
      <c r="P245" s="28" t="s">
        <v>21</v>
      </c>
      <c r="Q245" s="26" t="b">
        <v>0</v>
      </c>
      <c r="R245" s="22">
        <f t="shared" si="3"/>
        <v>0</v>
      </c>
    </row>
    <row r="246" spans="1:18">
      <c r="A246" s="26">
        <v>332</v>
      </c>
      <c r="B246" s="27">
        <v>33246</v>
      </c>
      <c r="C246" s="28" t="s">
        <v>625</v>
      </c>
      <c r="D246" s="27">
        <v>33242</v>
      </c>
      <c r="E246" s="28" t="s">
        <v>38</v>
      </c>
      <c r="F246" s="28" t="s">
        <v>104</v>
      </c>
      <c r="G246" s="28" t="s">
        <v>20</v>
      </c>
      <c r="H246" s="28" t="s">
        <v>21</v>
      </c>
      <c r="I246" s="28" t="s">
        <v>21</v>
      </c>
      <c r="J246" s="28" t="s">
        <v>626</v>
      </c>
      <c r="K246" s="28" t="s">
        <v>627</v>
      </c>
      <c r="L246" s="28" t="s">
        <v>59</v>
      </c>
      <c r="M246" s="28" t="s">
        <v>21</v>
      </c>
      <c r="N246" s="29">
        <v>33242</v>
      </c>
      <c r="O246" s="92">
        <v>33242</v>
      </c>
      <c r="P246" s="28" t="s">
        <v>21</v>
      </c>
      <c r="Q246" s="26" t="b">
        <v>0</v>
      </c>
      <c r="R246" s="22">
        <f t="shared" si="3"/>
        <v>4</v>
      </c>
    </row>
    <row r="247" spans="1:18">
      <c r="A247" s="26">
        <v>333</v>
      </c>
      <c r="B247" s="27">
        <v>33247</v>
      </c>
      <c r="C247" s="28" t="s">
        <v>628</v>
      </c>
      <c r="D247" s="27">
        <v>33247</v>
      </c>
      <c r="E247" s="28" t="s">
        <v>629</v>
      </c>
      <c r="F247" s="28" t="s">
        <v>104</v>
      </c>
      <c r="G247" s="28" t="s">
        <v>20</v>
      </c>
      <c r="H247" s="28" t="s">
        <v>21</v>
      </c>
      <c r="I247" s="28" t="s">
        <v>21</v>
      </c>
      <c r="J247" s="28" t="s">
        <v>630</v>
      </c>
      <c r="K247" s="28" t="s">
        <v>631</v>
      </c>
      <c r="L247" s="28" t="s">
        <v>59</v>
      </c>
      <c r="M247" s="28" t="s">
        <v>21</v>
      </c>
      <c r="N247" s="18"/>
      <c r="O247" s="92">
        <v>33765</v>
      </c>
      <c r="P247" s="28" t="s">
        <v>21</v>
      </c>
      <c r="Q247" s="26" t="b">
        <v>0</v>
      </c>
      <c r="R247" s="22">
        <f t="shared" si="3"/>
        <v>518</v>
      </c>
    </row>
    <row r="248" spans="1:18">
      <c r="A248" s="26">
        <v>334</v>
      </c>
      <c r="B248" s="27">
        <v>33247</v>
      </c>
      <c r="C248" s="28" t="s">
        <v>632</v>
      </c>
      <c r="D248" s="27">
        <v>33246</v>
      </c>
      <c r="E248" s="28" t="s">
        <v>633</v>
      </c>
      <c r="F248" s="28" t="s">
        <v>145</v>
      </c>
      <c r="G248" s="28" t="s">
        <v>20</v>
      </c>
      <c r="H248" s="28" t="s">
        <v>21</v>
      </c>
      <c r="I248" s="28" t="s">
        <v>21</v>
      </c>
      <c r="J248" s="28" t="s">
        <v>634</v>
      </c>
      <c r="K248" s="28" t="s">
        <v>635</v>
      </c>
      <c r="L248" s="28" t="s">
        <v>30</v>
      </c>
      <c r="M248" s="28" t="s">
        <v>21</v>
      </c>
      <c r="N248" s="27">
        <v>33255</v>
      </c>
      <c r="O248" s="92">
        <v>33413</v>
      </c>
      <c r="P248" s="28" t="s">
        <v>21</v>
      </c>
      <c r="Q248" s="26" t="b">
        <v>0</v>
      </c>
      <c r="R248" s="22">
        <f t="shared" si="3"/>
        <v>167</v>
      </c>
    </row>
    <row r="249" spans="1:18">
      <c r="A249" s="26">
        <v>335</v>
      </c>
      <c r="B249" s="27">
        <v>33247</v>
      </c>
      <c r="C249" s="28" t="s">
        <v>636</v>
      </c>
      <c r="D249" s="27">
        <v>32749</v>
      </c>
      <c r="E249" s="28" t="s">
        <v>38</v>
      </c>
      <c r="F249" s="28" t="s">
        <v>149</v>
      </c>
      <c r="G249" s="28" t="s">
        <v>20</v>
      </c>
      <c r="H249" s="28" t="s">
        <v>21</v>
      </c>
      <c r="I249" s="28" t="s">
        <v>21</v>
      </c>
      <c r="J249" s="28" t="s">
        <v>637</v>
      </c>
      <c r="K249" s="28" t="s">
        <v>21</v>
      </c>
      <c r="L249" s="28" t="s">
        <v>59</v>
      </c>
      <c r="M249" s="28" t="s">
        <v>21</v>
      </c>
      <c r="O249" s="92">
        <v>34333</v>
      </c>
      <c r="P249" s="28" t="s">
        <v>21</v>
      </c>
      <c r="Q249" s="26" t="b">
        <v>0</v>
      </c>
      <c r="R249" s="22">
        <f t="shared" si="3"/>
        <v>1085</v>
      </c>
    </row>
    <row r="250" spans="1:18">
      <c r="A250" s="26">
        <v>344</v>
      </c>
      <c r="B250" s="27">
        <v>33261</v>
      </c>
      <c r="C250" s="28" t="s">
        <v>638</v>
      </c>
      <c r="D250" s="27">
        <v>33249</v>
      </c>
      <c r="E250" s="28" t="s">
        <v>38</v>
      </c>
      <c r="F250" s="28" t="s">
        <v>149</v>
      </c>
      <c r="G250" s="28" t="s">
        <v>20</v>
      </c>
      <c r="H250" s="28" t="s">
        <v>71</v>
      </c>
      <c r="I250" s="28" t="s">
        <v>21</v>
      </c>
      <c r="J250" s="28" t="s">
        <v>639</v>
      </c>
      <c r="K250" s="28" t="s">
        <v>640</v>
      </c>
      <c r="L250" s="28" t="s">
        <v>59</v>
      </c>
      <c r="M250" s="28" t="s">
        <v>21</v>
      </c>
      <c r="N250" s="18"/>
      <c r="O250" s="92">
        <v>34079</v>
      </c>
      <c r="P250" s="28" t="s">
        <v>21</v>
      </c>
      <c r="Q250" s="26" t="b">
        <v>0</v>
      </c>
      <c r="R250" s="22">
        <f t="shared" si="3"/>
        <v>818</v>
      </c>
    </row>
    <row r="251" spans="1:18">
      <c r="A251" s="26">
        <v>348</v>
      </c>
      <c r="B251" s="27">
        <v>33263</v>
      </c>
      <c r="C251" s="28" t="s">
        <v>641</v>
      </c>
      <c r="D251" s="27">
        <v>33260</v>
      </c>
      <c r="E251" s="28" t="s">
        <v>38</v>
      </c>
      <c r="F251" s="28" t="s">
        <v>19</v>
      </c>
      <c r="G251" s="28" t="s">
        <v>20</v>
      </c>
      <c r="H251" s="28" t="s">
        <v>21</v>
      </c>
      <c r="I251" s="28" t="s">
        <v>21</v>
      </c>
      <c r="J251" s="28" t="s">
        <v>642</v>
      </c>
      <c r="K251" s="28" t="s">
        <v>21</v>
      </c>
      <c r="L251" s="28" t="s">
        <v>30</v>
      </c>
      <c r="M251" s="28" t="s">
        <v>21</v>
      </c>
      <c r="O251" s="92">
        <v>33274</v>
      </c>
      <c r="P251" s="28" t="s">
        <v>31</v>
      </c>
      <c r="Q251" s="26" t="b">
        <v>0</v>
      </c>
      <c r="R251" s="22">
        <f t="shared" si="3"/>
        <v>10</v>
      </c>
    </row>
    <row r="252" spans="1:18">
      <c r="A252" s="26">
        <v>349</v>
      </c>
      <c r="B252" s="27">
        <v>33263</v>
      </c>
      <c r="C252" s="28" t="s">
        <v>643</v>
      </c>
      <c r="D252" s="27">
        <v>33260</v>
      </c>
      <c r="E252" s="28" t="s">
        <v>644</v>
      </c>
      <c r="F252" s="28" t="s">
        <v>70</v>
      </c>
      <c r="G252" s="28" t="s">
        <v>20</v>
      </c>
      <c r="H252" s="28" t="s">
        <v>71</v>
      </c>
      <c r="I252" s="28" t="s">
        <v>72</v>
      </c>
      <c r="J252" s="28" t="s">
        <v>645</v>
      </c>
      <c r="K252" s="28" t="s">
        <v>21</v>
      </c>
      <c r="L252" s="28" t="s">
        <v>24</v>
      </c>
      <c r="M252" s="28" t="s">
        <v>21</v>
      </c>
      <c r="O252" s="92">
        <v>33294</v>
      </c>
      <c r="P252" s="28" t="s">
        <v>21</v>
      </c>
      <c r="Q252" s="26" t="b">
        <v>0</v>
      </c>
      <c r="R252" s="22">
        <f t="shared" si="3"/>
        <v>30</v>
      </c>
    </row>
    <row r="253" spans="1:18">
      <c r="A253" s="26">
        <v>352</v>
      </c>
      <c r="B253" s="27">
        <v>33268</v>
      </c>
      <c r="C253" s="28" t="s">
        <v>646</v>
      </c>
      <c r="D253" s="27">
        <v>33267</v>
      </c>
      <c r="E253" s="28" t="s">
        <v>38</v>
      </c>
      <c r="F253" s="28" t="s">
        <v>242</v>
      </c>
      <c r="G253" s="28" t="s">
        <v>20</v>
      </c>
      <c r="H253" s="28" t="s">
        <v>212</v>
      </c>
      <c r="I253" s="28" t="s">
        <v>212</v>
      </c>
      <c r="J253" s="28" t="s">
        <v>647</v>
      </c>
      <c r="K253" s="28" t="s">
        <v>21</v>
      </c>
      <c r="L253" s="28" t="s">
        <v>24</v>
      </c>
      <c r="M253" s="28" t="s">
        <v>21</v>
      </c>
      <c r="N253" s="18"/>
      <c r="O253" s="92">
        <v>33387</v>
      </c>
      <c r="P253" s="28" t="s">
        <v>31</v>
      </c>
      <c r="Q253" s="26" t="b">
        <v>0</v>
      </c>
      <c r="R253" s="22">
        <f t="shared" si="3"/>
        <v>120</v>
      </c>
    </row>
    <row r="254" spans="1:18">
      <c r="A254" s="26">
        <v>353</v>
      </c>
      <c r="B254" s="27">
        <v>33269</v>
      </c>
      <c r="C254" s="28" t="s">
        <v>648</v>
      </c>
      <c r="D254" s="27">
        <v>33268</v>
      </c>
      <c r="E254" s="28" t="s">
        <v>38</v>
      </c>
      <c r="F254" s="28" t="s">
        <v>649</v>
      </c>
      <c r="G254" s="28" t="s">
        <v>20</v>
      </c>
      <c r="H254" s="28" t="s">
        <v>21</v>
      </c>
      <c r="I254" s="28" t="s">
        <v>21</v>
      </c>
      <c r="J254" s="28" t="s">
        <v>650</v>
      </c>
      <c r="K254" s="28" t="s">
        <v>21</v>
      </c>
      <c r="L254" s="28" t="s">
        <v>651</v>
      </c>
      <c r="M254" s="28" t="s">
        <v>21</v>
      </c>
      <c r="N254" s="29">
        <v>33457</v>
      </c>
      <c r="O254" s="92">
        <v>33548</v>
      </c>
      <c r="P254" s="28" t="s">
        <v>21</v>
      </c>
      <c r="Q254" s="26" t="b">
        <v>0</v>
      </c>
      <c r="R254" s="22">
        <f t="shared" si="3"/>
        <v>279</v>
      </c>
    </row>
    <row r="255" spans="1:18" ht="24">
      <c r="A255" s="26">
        <v>354</v>
      </c>
      <c r="B255" s="27">
        <v>33270</v>
      </c>
      <c r="C255" s="28" t="s">
        <v>652</v>
      </c>
      <c r="D255" s="27">
        <v>33270</v>
      </c>
      <c r="E255" s="28" t="s">
        <v>653</v>
      </c>
      <c r="F255" s="28" t="s">
        <v>129</v>
      </c>
      <c r="G255" s="28" t="s">
        <v>20</v>
      </c>
      <c r="H255" s="28" t="s">
        <v>21</v>
      </c>
      <c r="I255" s="28" t="s">
        <v>21</v>
      </c>
      <c r="J255" s="28" t="s">
        <v>654</v>
      </c>
      <c r="K255" s="28" t="s">
        <v>655</v>
      </c>
      <c r="L255" s="28" t="s">
        <v>24</v>
      </c>
      <c r="M255" s="28" t="s">
        <v>21</v>
      </c>
      <c r="N255" s="18"/>
      <c r="O255" s="92">
        <v>34978</v>
      </c>
      <c r="P255" s="28" t="s">
        <v>21</v>
      </c>
      <c r="Q255" s="26" t="b">
        <v>0</v>
      </c>
      <c r="R255" s="22">
        <f t="shared" si="3"/>
        <v>1708</v>
      </c>
    </row>
    <row r="256" spans="1:18">
      <c r="A256" s="26">
        <v>355</v>
      </c>
      <c r="B256" s="27">
        <v>33273</v>
      </c>
      <c r="C256" s="28" t="s">
        <v>656</v>
      </c>
      <c r="D256" s="27">
        <v>33268</v>
      </c>
      <c r="E256" s="28" t="s">
        <v>657</v>
      </c>
      <c r="F256" s="28" t="s">
        <v>39</v>
      </c>
      <c r="G256" s="28" t="s">
        <v>20</v>
      </c>
      <c r="H256" s="28" t="s">
        <v>21</v>
      </c>
      <c r="I256" s="28" t="s">
        <v>21</v>
      </c>
      <c r="J256" s="28" t="s">
        <v>658</v>
      </c>
      <c r="K256" s="28" t="s">
        <v>659</v>
      </c>
      <c r="L256" s="28" t="s">
        <v>30</v>
      </c>
      <c r="M256" s="28" t="s">
        <v>21</v>
      </c>
      <c r="N256" s="29">
        <v>33284</v>
      </c>
      <c r="O256" s="92">
        <v>33500</v>
      </c>
      <c r="P256" s="28" t="s">
        <v>21</v>
      </c>
      <c r="Q256" s="26" t="b">
        <v>0</v>
      </c>
      <c r="R256" s="22">
        <f t="shared" si="3"/>
        <v>228</v>
      </c>
    </row>
    <row r="257" spans="1:18">
      <c r="A257" s="26">
        <v>356</v>
      </c>
      <c r="B257" s="27">
        <v>33273</v>
      </c>
      <c r="C257" s="28" t="s">
        <v>660</v>
      </c>
      <c r="D257" s="27">
        <v>33269</v>
      </c>
      <c r="E257" s="28" t="s">
        <v>661</v>
      </c>
      <c r="F257" s="28" t="s">
        <v>39</v>
      </c>
      <c r="G257" s="28" t="s">
        <v>20</v>
      </c>
      <c r="H257" s="28" t="s">
        <v>21</v>
      </c>
      <c r="I257" s="28" t="s">
        <v>21</v>
      </c>
      <c r="J257" s="28" t="s">
        <v>658</v>
      </c>
      <c r="K257" s="28" t="s">
        <v>662</v>
      </c>
      <c r="L257" s="28" t="s">
        <v>30</v>
      </c>
      <c r="M257" s="28" t="s">
        <v>21</v>
      </c>
      <c r="N257" s="29">
        <v>33284</v>
      </c>
      <c r="O257" s="92">
        <v>33500</v>
      </c>
      <c r="P257" s="28" t="s">
        <v>21</v>
      </c>
      <c r="Q257" s="26" t="b">
        <v>0</v>
      </c>
      <c r="R257" s="22">
        <f t="shared" si="3"/>
        <v>228</v>
      </c>
    </row>
    <row r="258" spans="1:18">
      <c r="A258" s="26">
        <v>360</v>
      </c>
      <c r="B258" s="27">
        <v>33280</v>
      </c>
      <c r="C258" s="28" t="s">
        <v>663</v>
      </c>
      <c r="D258" s="27">
        <v>33273</v>
      </c>
      <c r="E258" s="28" t="s">
        <v>664</v>
      </c>
      <c r="F258" s="28" t="s">
        <v>665</v>
      </c>
      <c r="G258" s="28" t="s">
        <v>20</v>
      </c>
      <c r="H258" s="28" t="s">
        <v>21</v>
      </c>
      <c r="I258" s="28" t="s">
        <v>21</v>
      </c>
      <c r="J258" s="28" t="s">
        <v>666</v>
      </c>
      <c r="K258" s="28" t="s">
        <v>667</v>
      </c>
      <c r="L258" s="28" t="s">
        <v>24</v>
      </c>
      <c r="M258" s="28" t="s">
        <v>21</v>
      </c>
      <c r="O258" s="92">
        <v>33283</v>
      </c>
      <c r="P258" s="28" t="s">
        <v>21</v>
      </c>
      <c r="Q258" s="26" t="b">
        <v>0</v>
      </c>
      <c r="R258" s="22">
        <f t="shared" ref="R258:R321" si="4">IF(O258=" ", " ", INT(YEARFRAC(O258, B258)*365))</f>
        <v>3</v>
      </c>
    </row>
    <row r="259" spans="1:18">
      <c r="A259" s="26">
        <v>366</v>
      </c>
      <c r="B259" s="27">
        <v>33282</v>
      </c>
      <c r="C259" s="28" t="s">
        <v>668</v>
      </c>
      <c r="D259" s="27">
        <v>33263</v>
      </c>
      <c r="E259" s="28" t="s">
        <v>38</v>
      </c>
      <c r="F259" s="28" t="s">
        <v>124</v>
      </c>
      <c r="G259" s="28" t="s">
        <v>20</v>
      </c>
      <c r="H259" s="28" t="s">
        <v>21</v>
      </c>
      <c r="I259" s="28" t="s">
        <v>21</v>
      </c>
      <c r="J259" s="28" t="s">
        <v>669</v>
      </c>
      <c r="K259" s="28" t="s">
        <v>670</v>
      </c>
      <c r="L259" s="28" t="s">
        <v>24</v>
      </c>
      <c r="M259" s="28" t="s">
        <v>21</v>
      </c>
      <c r="O259" s="92">
        <v>33282</v>
      </c>
      <c r="P259" s="28" t="s">
        <v>21</v>
      </c>
      <c r="Q259" s="26" t="b">
        <v>0</v>
      </c>
      <c r="R259" s="22">
        <f t="shared" si="4"/>
        <v>0</v>
      </c>
    </row>
    <row r="260" spans="1:18">
      <c r="A260" s="26">
        <v>368</v>
      </c>
      <c r="B260" s="27">
        <v>33289</v>
      </c>
      <c r="C260" s="28" t="s">
        <v>671</v>
      </c>
      <c r="D260" s="27">
        <v>33284</v>
      </c>
      <c r="E260" s="28" t="s">
        <v>38</v>
      </c>
      <c r="F260" s="28" t="s">
        <v>56</v>
      </c>
      <c r="G260" s="28" t="s">
        <v>20</v>
      </c>
      <c r="H260" s="28" t="s">
        <v>21</v>
      </c>
      <c r="I260" s="28" t="s">
        <v>21</v>
      </c>
      <c r="J260" s="28" t="s">
        <v>672</v>
      </c>
      <c r="K260" s="28" t="s">
        <v>21</v>
      </c>
      <c r="L260" s="28" t="s">
        <v>30</v>
      </c>
      <c r="M260" s="28" t="s">
        <v>21</v>
      </c>
      <c r="N260" s="29">
        <v>33290</v>
      </c>
      <c r="O260" s="92">
        <v>33289</v>
      </c>
      <c r="P260" s="28" t="s">
        <v>21</v>
      </c>
      <c r="Q260" s="26" t="b">
        <v>0</v>
      </c>
      <c r="R260" s="22">
        <f t="shared" si="4"/>
        <v>0</v>
      </c>
    </row>
    <row r="261" spans="1:18">
      <c r="A261" s="26">
        <v>369</v>
      </c>
      <c r="B261" s="27">
        <v>33289</v>
      </c>
      <c r="C261" s="28" t="s">
        <v>673</v>
      </c>
      <c r="D261" s="27">
        <v>33288</v>
      </c>
      <c r="E261" s="28" t="s">
        <v>38</v>
      </c>
      <c r="F261" s="28" t="s">
        <v>371</v>
      </c>
      <c r="G261" s="28" t="s">
        <v>20</v>
      </c>
      <c r="H261" s="28" t="s">
        <v>21</v>
      </c>
      <c r="I261" s="28" t="s">
        <v>21</v>
      </c>
      <c r="J261" s="28" t="s">
        <v>674</v>
      </c>
      <c r="K261" s="28" t="s">
        <v>675</v>
      </c>
      <c r="L261" s="28" t="s">
        <v>82</v>
      </c>
      <c r="M261" s="28" t="s">
        <v>21</v>
      </c>
      <c r="O261" s="92">
        <v>33290</v>
      </c>
      <c r="P261" s="28" t="s">
        <v>31</v>
      </c>
      <c r="Q261" s="26" t="b">
        <v>0</v>
      </c>
      <c r="R261" s="22">
        <f t="shared" si="4"/>
        <v>1</v>
      </c>
    </row>
    <row r="262" spans="1:18">
      <c r="A262" s="26">
        <v>370</v>
      </c>
      <c r="B262" s="27">
        <v>33289</v>
      </c>
      <c r="C262" s="28" t="s">
        <v>676</v>
      </c>
      <c r="D262" s="27">
        <v>33281</v>
      </c>
      <c r="E262" s="28" t="s">
        <v>38</v>
      </c>
      <c r="F262" s="28" t="s">
        <v>149</v>
      </c>
      <c r="G262" s="28" t="s">
        <v>20</v>
      </c>
      <c r="H262" s="28" t="s">
        <v>71</v>
      </c>
      <c r="I262" s="28" t="s">
        <v>21</v>
      </c>
      <c r="J262" s="28" t="s">
        <v>677</v>
      </c>
      <c r="K262" s="28" t="s">
        <v>678</v>
      </c>
      <c r="L262" s="28" t="s">
        <v>24</v>
      </c>
      <c r="M262" s="28" t="s">
        <v>21</v>
      </c>
      <c r="O262" s="92">
        <v>33290</v>
      </c>
      <c r="P262" s="28" t="s">
        <v>21</v>
      </c>
      <c r="Q262" s="26" t="b">
        <v>0</v>
      </c>
      <c r="R262" s="22">
        <f t="shared" si="4"/>
        <v>1</v>
      </c>
    </row>
    <row r="263" spans="1:18">
      <c r="A263" s="26">
        <v>373</v>
      </c>
      <c r="B263" s="27">
        <v>33290</v>
      </c>
      <c r="C263" s="28" t="s">
        <v>679</v>
      </c>
      <c r="D263" s="27">
        <v>33289</v>
      </c>
      <c r="E263" s="28" t="s">
        <v>61</v>
      </c>
      <c r="F263" s="28" t="s">
        <v>242</v>
      </c>
      <c r="G263" s="28" t="s">
        <v>20</v>
      </c>
      <c r="H263" s="28" t="s">
        <v>71</v>
      </c>
      <c r="I263" s="28" t="s">
        <v>21</v>
      </c>
      <c r="J263" s="28" t="s">
        <v>680</v>
      </c>
      <c r="K263" s="28" t="s">
        <v>681</v>
      </c>
      <c r="L263" s="28" t="s">
        <v>30</v>
      </c>
      <c r="M263" s="28" t="s">
        <v>21</v>
      </c>
      <c r="O263" s="92">
        <v>33317</v>
      </c>
      <c r="P263" s="28" t="s">
        <v>21</v>
      </c>
      <c r="Q263" s="26" t="b">
        <v>0</v>
      </c>
      <c r="R263" s="22">
        <f t="shared" si="4"/>
        <v>29</v>
      </c>
    </row>
    <row r="264" spans="1:18" ht="24">
      <c r="A264" s="26">
        <v>375</v>
      </c>
      <c r="B264" s="27">
        <v>33291</v>
      </c>
      <c r="C264" s="28" t="s">
        <v>682</v>
      </c>
      <c r="D264" s="27">
        <v>33275</v>
      </c>
      <c r="E264" s="28" t="s">
        <v>683</v>
      </c>
      <c r="F264" s="28" t="s">
        <v>124</v>
      </c>
      <c r="G264" s="28" t="s">
        <v>20</v>
      </c>
      <c r="H264" s="28" t="s">
        <v>21</v>
      </c>
      <c r="I264" s="28" t="s">
        <v>21</v>
      </c>
      <c r="J264" s="28" t="s">
        <v>684</v>
      </c>
      <c r="K264" s="28" t="s">
        <v>685</v>
      </c>
      <c r="L264" s="28" t="s">
        <v>686</v>
      </c>
      <c r="M264" s="28" t="s">
        <v>21</v>
      </c>
      <c r="O264" s="92">
        <v>36476</v>
      </c>
      <c r="P264" s="28" t="s">
        <v>21</v>
      </c>
      <c r="Q264" s="26" t="b">
        <v>0</v>
      </c>
      <c r="R264" s="22">
        <f t="shared" si="4"/>
        <v>3183</v>
      </c>
    </row>
    <row r="265" spans="1:18">
      <c r="A265" s="26">
        <v>379</v>
      </c>
      <c r="B265" s="27">
        <v>33294</v>
      </c>
      <c r="C265" s="28" t="s">
        <v>687</v>
      </c>
      <c r="D265" s="27">
        <v>33292</v>
      </c>
      <c r="E265" s="28" t="s">
        <v>688</v>
      </c>
      <c r="F265" s="28" t="s">
        <v>689</v>
      </c>
      <c r="G265" s="28" t="s">
        <v>20</v>
      </c>
      <c r="H265" s="28" t="s">
        <v>212</v>
      </c>
      <c r="I265" s="28" t="s">
        <v>212</v>
      </c>
      <c r="J265" s="28" t="s">
        <v>690</v>
      </c>
      <c r="K265" s="28" t="s">
        <v>328</v>
      </c>
      <c r="L265" s="28" t="s">
        <v>24</v>
      </c>
      <c r="M265" s="28" t="s">
        <v>21</v>
      </c>
      <c r="O265" s="92">
        <v>33312</v>
      </c>
      <c r="P265" s="28" t="s">
        <v>21</v>
      </c>
      <c r="Q265" s="26" t="b">
        <v>0</v>
      </c>
      <c r="R265" s="22">
        <f t="shared" si="4"/>
        <v>20</v>
      </c>
    </row>
    <row r="266" spans="1:18">
      <c r="A266" s="26">
        <v>380</v>
      </c>
      <c r="B266" s="27">
        <v>33294</v>
      </c>
      <c r="C266" s="28" t="s">
        <v>691</v>
      </c>
      <c r="D266" s="27">
        <v>33292</v>
      </c>
      <c r="E266" s="28" t="s">
        <v>692</v>
      </c>
      <c r="F266" s="28" t="s">
        <v>693</v>
      </c>
      <c r="G266" s="28" t="s">
        <v>20</v>
      </c>
      <c r="H266" s="28" t="s">
        <v>189</v>
      </c>
      <c r="I266" s="28" t="s">
        <v>189</v>
      </c>
      <c r="J266" s="28" t="s">
        <v>690</v>
      </c>
      <c r="K266" s="28" t="s">
        <v>328</v>
      </c>
      <c r="L266" s="28" t="s">
        <v>24</v>
      </c>
      <c r="M266" s="28" t="s">
        <v>21</v>
      </c>
      <c r="O266" s="92">
        <v>33312</v>
      </c>
      <c r="P266" s="28" t="s">
        <v>21</v>
      </c>
      <c r="Q266" s="26" t="b">
        <v>0</v>
      </c>
      <c r="R266" s="22">
        <f t="shared" si="4"/>
        <v>20</v>
      </c>
    </row>
    <row r="267" spans="1:18">
      <c r="A267" s="26">
        <v>383</v>
      </c>
      <c r="B267" s="27">
        <v>33294</v>
      </c>
      <c r="C267" s="28" t="s">
        <v>694</v>
      </c>
      <c r="D267" s="27">
        <v>33266</v>
      </c>
      <c r="E267" s="28" t="s">
        <v>695</v>
      </c>
      <c r="F267" s="28" t="s">
        <v>52</v>
      </c>
      <c r="G267" s="28" t="s">
        <v>20</v>
      </c>
      <c r="H267" s="28" t="s">
        <v>21</v>
      </c>
      <c r="I267" s="28" t="s">
        <v>21</v>
      </c>
      <c r="J267" s="28" t="s">
        <v>696</v>
      </c>
      <c r="K267" s="28" t="s">
        <v>697</v>
      </c>
      <c r="L267" s="28" t="s">
        <v>30</v>
      </c>
      <c r="M267" s="28" t="s">
        <v>21</v>
      </c>
      <c r="O267" s="92">
        <v>33926</v>
      </c>
      <c r="P267" s="28" t="s">
        <v>21</v>
      </c>
      <c r="Q267" s="26" t="b">
        <v>0</v>
      </c>
      <c r="R267" s="22">
        <f t="shared" si="4"/>
        <v>631</v>
      </c>
    </row>
    <row r="268" spans="1:18">
      <c r="A268" s="26">
        <v>384</v>
      </c>
      <c r="B268" s="27">
        <v>33294</v>
      </c>
      <c r="C268" s="28" t="s">
        <v>698</v>
      </c>
      <c r="D268" s="27">
        <v>33249</v>
      </c>
      <c r="E268" s="28" t="s">
        <v>699</v>
      </c>
      <c r="F268" s="28" t="s">
        <v>149</v>
      </c>
      <c r="G268" s="28" t="s">
        <v>20</v>
      </c>
      <c r="H268" s="28" t="s">
        <v>21</v>
      </c>
      <c r="I268" s="28" t="s">
        <v>21</v>
      </c>
      <c r="J268" s="28" t="s">
        <v>700</v>
      </c>
      <c r="K268" s="28" t="s">
        <v>701</v>
      </c>
      <c r="L268" s="28" t="s">
        <v>82</v>
      </c>
      <c r="M268" s="28" t="s">
        <v>21</v>
      </c>
      <c r="O268" s="92">
        <v>33771</v>
      </c>
      <c r="P268" s="28" t="s">
        <v>21</v>
      </c>
      <c r="Q268" s="26" t="b">
        <v>0</v>
      </c>
      <c r="R268" s="22">
        <f t="shared" si="4"/>
        <v>477</v>
      </c>
    </row>
    <row r="269" spans="1:18">
      <c r="A269" s="26">
        <v>385</v>
      </c>
      <c r="B269" s="27">
        <v>33294</v>
      </c>
      <c r="C269" s="28" t="s">
        <v>702</v>
      </c>
      <c r="D269" s="27">
        <v>33294</v>
      </c>
      <c r="E269" s="28" t="s">
        <v>703</v>
      </c>
      <c r="F269" s="28" t="s">
        <v>242</v>
      </c>
      <c r="G269" s="28" t="s">
        <v>20</v>
      </c>
      <c r="H269" s="28" t="s">
        <v>21</v>
      </c>
      <c r="I269" s="28" t="s">
        <v>21</v>
      </c>
      <c r="J269" s="28" t="s">
        <v>704</v>
      </c>
      <c r="K269" s="28" t="s">
        <v>21</v>
      </c>
      <c r="L269" s="28" t="s">
        <v>24</v>
      </c>
      <c r="M269" s="28" t="s">
        <v>21</v>
      </c>
      <c r="O269" s="92">
        <v>33816</v>
      </c>
      <c r="P269" s="28" t="s">
        <v>31</v>
      </c>
      <c r="Q269" s="26" t="b">
        <v>0</v>
      </c>
      <c r="R269" s="22">
        <f t="shared" si="4"/>
        <v>523</v>
      </c>
    </row>
    <row r="270" spans="1:18">
      <c r="A270" s="26">
        <v>386</v>
      </c>
      <c r="B270" s="27">
        <v>33296</v>
      </c>
      <c r="C270" s="28" t="s">
        <v>705</v>
      </c>
      <c r="D270" s="27">
        <v>33290</v>
      </c>
      <c r="E270" s="28" t="s">
        <v>706</v>
      </c>
      <c r="F270" s="28" t="s">
        <v>104</v>
      </c>
      <c r="G270" s="28" t="s">
        <v>20</v>
      </c>
      <c r="H270" s="28" t="s">
        <v>21</v>
      </c>
      <c r="I270" s="28" t="s">
        <v>21</v>
      </c>
      <c r="J270" s="28" t="s">
        <v>707</v>
      </c>
      <c r="K270" s="28" t="s">
        <v>708</v>
      </c>
      <c r="L270" s="28" t="s">
        <v>88</v>
      </c>
      <c r="M270" s="28" t="s">
        <v>21</v>
      </c>
      <c r="O270" s="92">
        <v>35979</v>
      </c>
      <c r="P270" s="28" t="s">
        <v>21</v>
      </c>
      <c r="Q270" s="26" t="b">
        <v>0</v>
      </c>
      <c r="R270" s="22">
        <f t="shared" si="4"/>
        <v>2682</v>
      </c>
    </row>
    <row r="271" spans="1:18">
      <c r="A271" s="26">
        <v>392</v>
      </c>
      <c r="B271" s="27">
        <v>33297</v>
      </c>
      <c r="C271" s="28" t="s">
        <v>709</v>
      </c>
      <c r="D271" s="27">
        <v>33296</v>
      </c>
      <c r="E271" s="28" t="s">
        <v>38</v>
      </c>
      <c r="F271" s="28" t="s">
        <v>39</v>
      </c>
      <c r="G271" s="28" t="s">
        <v>20</v>
      </c>
      <c r="H271" s="28" t="s">
        <v>21</v>
      </c>
      <c r="I271" s="28" t="s">
        <v>21</v>
      </c>
      <c r="J271" s="28" t="s">
        <v>658</v>
      </c>
      <c r="K271" s="28" t="s">
        <v>710</v>
      </c>
      <c r="L271" s="28" t="s">
        <v>30</v>
      </c>
      <c r="M271" s="28" t="s">
        <v>21</v>
      </c>
      <c r="O271" s="92">
        <v>33309</v>
      </c>
      <c r="P271" s="28" t="s">
        <v>31</v>
      </c>
      <c r="Q271" s="26" t="b">
        <v>0</v>
      </c>
      <c r="R271" s="22">
        <f t="shared" si="4"/>
        <v>12</v>
      </c>
    </row>
    <row r="272" spans="1:18">
      <c r="A272" s="26">
        <v>393</v>
      </c>
      <c r="B272" s="27">
        <v>33298</v>
      </c>
      <c r="C272" s="28" t="s">
        <v>711</v>
      </c>
      <c r="D272" s="27">
        <v>33297</v>
      </c>
      <c r="E272" s="28" t="s">
        <v>712</v>
      </c>
      <c r="F272" s="28" t="s">
        <v>98</v>
      </c>
      <c r="G272" s="28" t="s">
        <v>20</v>
      </c>
      <c r="H272" s="28" t="s">
        <v>21</v>
      </c>
      <c r="I272" s="28" t="s">
        <v>21</v>
      </c>
      <c r="J272" s="28" t="s">
        <v>713</v>
      </c>
      <c r="K272" s="28" t="s">
        <v>21</v>
      </c>
      <c r="L272" s="28" t="s">
        <v>30</v>
      </c>
      <c r="M272" s="28" t="s">
        <v>21</v>
      </c>
      <c r="O272" s="92">
        <v>33449</v>
      </c>
      <c r="P272" s="28" t="s">
        <v>21</v>
      </c>
      <c r="Q272" s="26" t="b">
        <v>0</v>
      </c>
      <c r="R272" s="22">
        <f t="shared" si="4"/>
        <v>151</v>
      </c>
    </row>
    <row r="273" spans="1:18">
      <c r="A273" s="26">
        <v>394</v>
      </c>
      <c r="B273" s="27">
        <v>33301</v>
      </c>
      <c r="C273" s="28" t="s">
        <v>714</v>
      </c>
      <c r="D273" s="27">
        <v>33298</v>
      </c>
      <c r="E273" s="28" t="s">
        <v>715</v>
      </c>
      <c r="F273" s="28" t="s">
        <v>56</v>
      </c>
      <c r="G273" s="28" t="s">
        <v>20</v>
      </c>
      <c r="H273" s="28" t="s">
        <v>21</v>
      </c>
      <c r="I273" s="28" t="s">
        <v>21</v>
      </c>
      <c r="J273" s="28" t="s">
        <v>716</v>
      </c>
      <c r="K273" s="28" t="s">
        <v>21</v>
      </c>
      <c r="L273" s="28" t="s">
        <v>24</v>
      </c>
      <c r="M273" s="28" t="s">
        <v>21</v>
      </c>
      <c r="O273" s="92">
        <v>33315</v>
      </c>
      <c r="P273" s="28" t="s">
        <v>21</v>
      </c>
      <c r="Q273" s="26" t="b">
        <v>0</v>
      </c>
      <c r="R273" s="22">
        <f t="shared" si="4"/>
        <v>14</v>
      </c>
    </row>
    <row r="274" spans="1:18">
      <c r="A274" s="26">
        <v>395</v>
      </c>
      <c r="B274" s="27">
        <v>33301</v>
      </c>
      <c r="C274" s="28" t="s">
        <v>717</v>
      </c>
      <c r="D274" s="27">
        <v>33297</v>
      </c>
      <c r="E274" s="28" t="s">
        <v>718</v>
      </c>
      <c r="F274" s="28" t="s">
        <v>149</v>
      </c>
      <c r="G274" s="28" t="s">
        <v>20</v>
      </c>
      <c r="H274" s="28" t="s">
        <v>21</v>
      </c>
      <c r="I274" s="28" t="s">
        <v>21</v>
      </c>
      <c r="J274" s="28" t="s">
        <v>719</v>
      </c>
      <c r="K274" s="28" t="s">
        <v>720</v>
      </c>
      <c r="L274" s="28" t="s">
        <v>24</v>
      </c>
      <c r="M274" s="28" t="s">
        <v>21</v>
      </c>
      <c r="O274" s="92">
        <v>33634</v>
      </c>
      <c r="P274" s="28" t="s">
        <v>21</v>
      </c>
      <c r="Q274" s="26" t="b">
        <v>0</v>
      </c>
      <c r="R274" s="22">
        <f t="shared" si="4"/>
        <v>331</v>
      </c>
    </row>
    <row r="275" spans="1:18">
      <c r="A275" s="26">
        <v>396</v>
      </c>
      <c r="B275" s="27">
        <v>33301</v>
      </c>
      <c r="C275" s="28" t="s">
        <v>721</v>
      </c>
      <c r="D275" s="27">
        <v>33298</v>
      </c>
      <c r="E275" s="28" t="s">
        <v>38</v>
      </c>
      <c r="F275" s="28" t="s">
        <v>482</v>
      </c>
      <c r="G275" s="28" t="s">
        <v>20</v>
      </c>
      <c r="H275" s="28" t="s">
        <v>71</v>
      </c>
      <c r="I275" s="28" t="s">
        <v>21</v>
      </c>
      <c r="J275" s="28" t="s">
        <v>722</v>
      </c>
      <c r="K275" s="28" t="s">
        <v>723</v>
      </c>
      <c r="L275" s="28" t="s">
        <v>24</v>
      </c>
      <c r="M275" s="28" t="s">
        <v>21</v>
      </c>
      <c r="O275" s="92">
        <v>33302</v>
      </c>
      <c r="P275" s="28" t="s">
        <v>21</v>
      </c>
      <c r="Q275" s="26" t="b">
        <v>0</v>
      </c>
      <c r="R275" s="22">
        <f t="shared" si="4"/>
        <v>1</v>
      </c>
    </row>
    <row r="276" spans="1:18">
      <c r="A276" s="26">
        <v>397</v>
      </c>
      <c r="B276" s="27">
        <v>33305</v>
      </c>
      <c r="C276" s="28" t="s">
        <v>724</v>
      </c>
      <c r="D276" s="27">
        <v>33301</v>
      </c>
      <c r="E276" s="28" t="s">
        <v>725</v>
      </c>
      <c r="F276" s="28" t="s">
        <v>259</v>
      </c>
      <c r="G276" s="28" t="s">
        <v>20</v>
      </c>
      <c r="H276" s="28" t="s">
        <v>21</v>
      </c>
      <c r="I276" s="28" t="s">
        <v>21</v>
      </c>
      <c r="J276" s="28" t="s">
        <v>726</v>
      </c>
      <c r="K276" s="28" t="s">
        <v>727</v>
      </c>
      <c r="L276" s="28" t="s">
        <v>30</v>
      </c>
      <c r="M276" s="28" t="s">
        <v>21</v>
      </c>
      <c r="N276" s="18"/>
      <c r="O276" s="92">
        <v>33563</v>
      </c>
      <c r="P276" s="28" t="s">
        <v>31</v>
      </c>
      <c r="Q276" s="26" t="b">
        <v>0</v>
      </c>
      <c r="R276" s="22">
        <f t="shared" si="4"/>
        <v>256</v>
      </c>
    </row>
    <row r="277" spans="1:18">
      <c r="A277" s="26">
        <v>398</v>
      </c>
      <c r="B277" s="27">
        <v>33310</v>
      </c>
      <c r="C277" s="28" t="s">
        <v>728</v>
      </c>
      <c r="D277" s="27">
        <v>33304</v>
      </c>
      <c r="E277" s="28" t="s">
        <v>729</v>
      </c>
      <c r="F277" s="28" t="s">
        <v>145</v>
      </c>
      <c r="G277" s="28" t="s">
        <v>20</v>
      </c>
      <c r="H277" s="28" t="s">
        <v>21</v>
      </c>
      <c r="I277" s="28" t="s">
        <v>21</v>
      </c>
      <c r="J277" s="28" t="s">
        <v>730</v>
      </c>
      <c r="K277" s="28" t="s">
        <v>21</v>
      </c>
      <c r="L277" s="28" t="s">
        <v>24</v>
      </c>
      <c r="M277" s="28" t="s">
        <v>21</v>
      </c>
      <c r="N277" s="18"/>
      <c r="O277" s="92">
        <v>34978</v>
      </c>
      <c r="P277" s="28" t="s">
        <v>21</v>
      </c>
      <c r="Q277" s="26" t="b">
        <v>0</v>
      </c>
      <c r="R277" s="22">
        <f t="shared" si="4"/>
        <v>1665</v>
      </c>
    </row>
    <row r="278" spans="1:18">
      <c r="A278" s="26">
        <v>399</v>
      </c>
      <c r="B278" s="27">
        <v>33310</v>
      </c>
      <c r="C278" s="28" t="s">
        <v>731</v>
      </c>
      <c r="D278" s="27">
        <v>33304</v>
      </c>
      <c r="E278" s="28" t="s">
        <v>732</v>
      </c>
      <c r="F278" s="28" t="s">
        <v>733</v>
      </c>
      <c r="G278" s="28" t="s">
        <v>20</v>
      </c>
      <c r="H278" s="28" t="s">
        <v>21</v>
      </c>
      <c r="I278" s="28" t="s">
        <v>21</v>
      </c>
      <c r="J278" s="28" t="s">
        <v>734</v>
      </c>
      <c r="K278" s="28" t="s">
        <v>735</v>
      </c>
      <c r="L278" s="28" t="s">
        <v>24</v>
      </c>
      <c r="M278" s="28" t="s">
        <v>21</v>
      </c>
      <c r="N278" s="18"/>
      <c r="O278" s="92">
        <v>33829</v>
      </c>
      <c r="P278" s="28" t="s">
        <v>21</v>
      </c>
      <c r="Q278" s="26" t="b">
        <v>0</v>
      </c>
      <c r="R278" s="22">
        <f t="shared" si="4"/>
        <v>517</v>
      </c>
    </row>
    <row r="279" spans="1:18">
      <c r="A279" s="26">
        <v>400</v>
      </c>
      <c r="B279" s="27">
        <v>33310</v>
      </c>
      <c r="C279" s="28" t="s">
        <v>736</v>
      </c>
      <c r="D279" s="27">
        <v>33309</v>
      </c>
      <c r="E279" s="28" t="s">
        <v>737</v>
      </c>
      <c r="F279" s="28" t="s">
        <v>149</v>
      </c>
      <c r="G279" s="28" t="s">
        <v>20</v>
      </c>
      <c r="H279" s="28" t="s">
        <v>21</v>
      </c>
      <c r="I279" s="28" t="s">
        <v>21</v>
      </c>
      <c r="J279" s="28" t="s">
        <v>738</v>
      </c>
      <c r="K279" s="28" t="s">
        <v>739</v>
      </c>
      <c r="L279" s="28" t="s">
        <v>30</v>
      </c>
      <c r="M279" s="28" t="s">
        <v>21</v>
      </c>
      <c r="N279" s="27">
        <v>33343</v>
      </c>
      <c r="O279" s="92">
        <v>35780</v>
      </c>
      <c r="P279" s="28" t="s">
        <v>21</v>
      </c>
      <c r="Q279" s="26" t="b">
        <v>0</v>
      </c>
      <c r="R279" s="22">
        <f t="shared" si="4"/>
        <v>2466</v>
      </c>
    </row>
    <row r="280" spans="1:18">
      <c r="A280" s="26">
        <v>402</v>
      </c>
      <c r="B280" s="27">
        <v>33310</v>
      </c>
      <c r="C280" s="28" t="s">
        <v>740</v>
      </c>
      <c r="D280" s="27">
        <v>33309</v>
      </c>
      <c r="E280" s="28" t="s">
        <v>38</v>
      </c>
      <c r="F280" s="28" t="s">
        <v>741</v>
      </c>
      <c r="G280" s="28" t="s">
        <v>20</v>
      </c>
      <c r="H280" s="28" t="s">
        <v>21</v>
      </c>
      <c r="I280" s="28" t="s">
        <v>21</v>
      </c>
      <c r="J280" s="28" t="s">
        <v>742</v>
      </c>
      <c r="K280" s="28" t="s">
        <v>272</v>
      </c>
      <c r="L280" s="28" t="s">
        <v>24</v>
      </c>
      <c r="M280" s="28" t="s">
        <v>21</v>
      </c>
      <c r="N280" s="18"/>
      <c r="O280" s="92">
        <v>33312</v>
      </c>
      <c r="P280" s="28" t="s">
        <v>21</v>
      </c>
      <c r="Q280" s="26" t="b">
        <v>0</v>
      </c>
      <c r="R280" s="22">
        <f t="shared" si="4"/>
        <v>2</v>
      </c>
    </row>
    <row r="281" spans="1:18">
      <c r="A281" s="26">
        <v>406</v>
      </c>
      <c r="B281" s="27">
        <v>33311</v>
      </c>
      <c r="C281" s="28" t="s">
        <v>743</v>
      </c>
      <c r="D281" s="27">
        <v>33310</v>
      </c>
      <c r="E281" s="28" t="s">
        <v>38</v>
      </c>
      <c r="F281" s="28" t="s">
        <v>371</v>
      </c>
      <c r="G281" s="28" t="s">
        <v>20</v>
      </c>
      <c r="H281" s="28" t="s">
        <v>21</v>
      </c>
      <c r="I281" s="28" t="s">
        <v>21</v>
      </c>
      <c r="J281" s="28" t="s">
        <v>744</v>
      </c>
      <c r="K281" s="28" t="s">
        <v>745</v>
      </c>
      <c r="L281" s="28" t="s">
        <v>82</v>
      </c>
      <c r="M281" s="28" t="s">
        <v>21</v>
      </c>
      <c r="N281" s="18"/>
      <c r="O281" s="92">
        <v>33315</v>
      </c>
      <c r="P281" s="28" t="s">
        <v>31</v>
      </c>
      <c r="Q281" s="26" t="b">
        <v>0</v>
      </c>
      <c r="R281" s="22">
        <f t="shared" si="4"/>
        <v>4</v>
      </c>
    </row>
    <row r="282" spans="1:18">
      <c r="A282" s="26">
        <v>407</v>
      </c>
      <c r="B282" s="27">
        <v>33311</v>
      </c>
      <c r="C282" s="28" t="s">
        <v>746</v>
      </c>
      <c r="D282" s="27">
        <v>33310</v>
      </c>
      <c r="E282" s="28" t="s">
        <v>747</v>
      </c>
      <c r="F282" s="28" t="s">
        <v>56</v>
      </c>
      <c r="G282" s="28" t="s">
        <v>20</v>
      </c>
      <c r="H282" s="28" t="s">
        <v>21</v>
      </c>
      <c r="I282" s="28" t="s">
        <v>21</v>
      </c>
      <c r="J282" s="28" t="s">
        <v>748</v>
      </c>
      <c r="K282" s="28" t="s">
        <v>749</v>
      </c>
      <c r="L282" s="28" t="s">
        <v>24</v>
      </c>
      <c r="M282" s="28" t="s">
        <v>21</v>
      </c>
      <c r="O282" s="92">
        <v>33347</v>
      </c>
      <c r="P282" s="28" t="s">
        <v>21</v>
      </c>
      <c r="Q282" s="26" t="b">
        <v>0</v>
      </c>
      <c r="R282" s="22">
        <f t="shared" si="4"/>
        <v>35</v>
      </c>
    </row>
    <row r="283" spans="1:18">
      <c r="A283" s="26">
        <v>408</v>
      </c>
      <c r="B283" s="27">
        <v>33315</v>
      </c>
      <c r="C283" s="28" t="s">
        <v>750</v>
      </c>
      <c r="D283" s="29">
        <v>33311</v>
      </c>
      <c r="E283" s="28" t="s">
        <v>751</v>
      </c>
      <c r="F283" s="28" t="s">
        <v>752</v>
      </c>
      <c r="G283" s="28" t="s">
        <v>20</v>
      </c>
      <c r="H283" s="28" t="s">
        <v>71</v>
      </c>
      <c r="I283" s="28" t="s">
        <v>72</v>
      </c>
      <c r="J283" s="28" t="s">
        <v>753</v>
      </c>
      <c r="K283" s="28" t="s">
        <v>754</v>
      </c>
      <c r="L283" s="28" t="s">
        <v>82</v>
      </c>
      <c r="M283" s="28" t="s">
        <v>21</v>
      </c>
      <c r="O283" s="92">
        <v>33828</v>
      </c>
      <c r="P283" s="28" t="s">
        <v>21</v>
      </c>
      <c r="Q283" s="26" t="b">
        <v>0</v>
      </c>
      <c r="R283" s="22">
        <f t="shared" si="4"/>
        <v>511</v>
      </c>
    </row>
    <row r="284" spans="1:18">
      <c r="A284" s="26">
        <v>411</v>
      </c>
      <c r="B284" s="27">
        <v>33315</v>
      </c>
      <c r="C284" s="28" t="s">
        <v>755</v>
      </c>
      <c r="D284" s="27">
        <v>33315</v>
      </c>
      <c r="E284" s="28" t="s">
        <v>61</v>
      </c>
      <c r="F284" s="28" t="s">
        <v>513</v>
      </c>
      <c r="G284" s="28" t="s">
        <v>20</v>
      </c>
      <c r="H284" s="28" t="s">
        <v>21</v>
      </c>
      <c r="I284" s="28" t="s">
        <v>21</v>
      </c>
      <c r="J284" s="28" t="s">
        <v>756</v>
      </c>
      <c r="K284" s="28" t="s">
        <v>757</v>
      </c>
      <c r="L284" s="28" t="s">
        <v>30</v>
      </c>
      <c r="M284" s="28" t="s">
        <v>21</v>
      </c>
      <c r="O284" s="92">
        <v>33336</v>
      </c>
      <c r="P284" s="28" t="s">
        <v>21</v>
      </c>
      <c r="Q284" s="26" t="b">
        <v>0</v>
      </c>
      <c r="R284" s="22">
        <f t="shared" si="4"/>
        <v>20</v>
      </c>
    </row>
    <row r="285" spans="1:18">
      <c r="A285" s="26">
        <v>414</v>
      </c>
      <c r="B285" s="27">
        <v>33316</v>
      </c>
      <c r="C285" s="28" t="s">
        <v>758</v>
      </c>
      <c r="D285" s="27">
        <v>33312</v>
      </c>
      <c r="E285" s="28" t="s">
        <v>759</v>
      </c>
      <c r="F285" s="28" t="s">
        <v>760</v>
      </c>
      <c r="G285" s="28" t="s">
        <v>20</v>
      </c>
      <c r="H285" s="28" t="s">
        <v>212</v>
      </c>
      <c r="I285" s="28" t="s">
        <v>212</v>
      </c>
      <c r="J285" s="28" t="s">
        <v>761</v>
      </c>
      <c r="K285" s="28" t="s">
        <v>762</v>
      </c>
      <c r="L285" s="28" t="s">
        <v>24</v>
      </c>
      <c r="M285" s="28" t="s">
        <v>21</v>
      </c>
      <c r="N285" s="18"/>
      <c r="O285" s="92">
        <v>33317</v>
      </c>
      <c r="P285" s="28" t="s">
        <v>21</v>
      </c>
      <c r="Q285" s="26" t="b">
        <v>0</v>
      </c>
      <c r="R285" s="22">
        <f t="shared" si="4"/>
        <v>1</v>
      </c>
    </row>
    <row r="286" spans="1:18">
      <c r="A286" s="26">
        <v>415</v>
      </c>
      <c r="B286" s="27">
        <v>33318</v>
      </c>
      <c r="C286" s="28" t="s">
        <v>763</v>
      </c>
      <c r="D286" s="27">
        <v>33317</v>
      </c>
      <c r="E286" s="28" t="s">
        <v>38</v>
      </c>
      <c r="F286" s="28" t="s">
        <v>482</v>
      </c>
      <c r="G286" s="28" t="s">
        <v>20</v>
      </c>
      <c r="H286" s="28" t="s">
        <v>71</v>
      </c>
      <c r="I286" s="28" t="s">
        <v>21</v>
      </c>
      <c r="J286" s="28" t="s">
        <v>764</v>
      </c>
      <c r="K286" s="28" t="s">
        <v>765</v>
      </c>
      <c r="L286" s="28" t="s">
        <v>24</v>
      </c>
      <c r="M286" s="28" t="s">
        <v>21</v>
      </c>
      <c r="N286" s="29">
        <v>33338</v>
      </c>
      <c r="O286" s="92">
        <v>33332</v>
      </c>
      <c r="P286" s="28" t="s">
        <v>21</v>
      </c>
      <c r="Q286" s="26" t="b">
        <v>0</v>
      </c>
      <c r="R286" s="22">
        <f t="shared" si="4"/>
        <v>13</v>
      </c>
    </row>
    <row r="287" spans="1:18">
      <c r="A287" s="26">
        <v>416</v>
      </c>
      <c r="B287" s="27">
        <v>33319</v>
      </c>
      <c r="C287" s="28" t="s">
        <v>766</v>
      </c>
      <c r="D287" s="27">
        <v>33316</v>
      </c>
      <c r="E287" s="28" t="s">
        <v>38</v>
      </c>
      <c r="F287" s="28" t="s">
        <v>767</v>
      </c>
      <c r="G287" s="28" t="s">
        <v>20</v>
      </c>
      <c r="H287" s="28" t="s">
        <v>71</v>
      </c>
      <c r="I287" s="28" t="s">
        <v>72</v>
      </c>
      <c r="J287" s="28" t="s">
        <v>768</v>
      </c>
      <c r="K287" s="28" t="s">
        <v>21</v>
      </c>
      <c r="L287" s="28" t="s">
        <v>24</v>
      </c>
      <c r="M287" s="28" t="s">
        <v>21</v>
      </c>
      <c r="N287" s="18"/>
      <c r="O287" s="92">
        <v>33333</v>
      </c>
      <c r="P287" s="28" t="s">
        <v>21</v>
      </c>
      <c r="Q287" s="26" t="b">
        <v>0</v>
      </c>
      <c r="R287" s="22">
        <f t="shared" si="4"/>
        <v>13</v>
      </c>
    </row>
    <row r="288" spans="1:18">
      <c r="A288" s="26">
        <v>417</v>
      </c>
      <c r="B288" s="27">
        <v>33319</v>
      </c>
      <c r="C288" s="28" t="s">
        <v>769</v>
      </c>
      <c r="D288" s="27">
        <v>33319</v>
      </c>
      <c r="E288" s="28" t="s">
        <v>38</v>
      </c>
      <c r="F288" s="28" t="s">
        <v>56</v>
      </c>
      <c r="G288" s="28" t="s">
        <v>20</v>
      </c>
      <c r="H288" s="28" t="s">
        <v>21</v>
      </c>
      <c r="I288" s="28" t="s">
        <v>21</v>
      </c>
      <c r="J288" s="28" t="s">
        <v>770</v>
      </c>
      <c r="K288" s="28" t="s">
        <v>21</v>
      </c>
      <c r="L288" s="28" t="s">
        <v>82</v>
      </c>
      <c r="M288" s="28" t="s">
        <v>21</v>
      </c>
      <c r="O288" s="92">
        <v>33329</v>
      </c>
      <c r="P288" s="28" t="s">
        <v>21</v>
      </c>
      <c r="Q288" s="26" t="b">
        <v>0</v>
      </c>
      <c r="R288" s="22">
        <f t="shared" si="4"/>
        <v>9</v>
      </c>
    </row>
    <row r="289" spans="1:18">
      <c r="A289" s="26">
        <v>418</v>
      </c>
      <c r="B289" s="27">
        <v>33319</v>
      </c>
      <c r="C289" s="28" t="s">
        <v>771</v>
      </c>
      <c r="D289" s="27">
        <v>33319</v>
      </c>
      <c r="E289" s="28" t="s">
        <v>38</v>
      </c>
      <c r="F289" s="28" t="s">
        <v>350</v>
      </c>
      <c r="G289" s="28" t="s">
        <v>20</v>
      </c>
      <c r="H289" s="28" t="s">
        <v>71</v>
      </c>
      <c r="I289" s="28" t="s">
        <v>21</v>
      </c>
      <c r="J289" s="28" t="s">
        <v>557</v>
      </c>
      <c r="K289" s="28" t="s">
        <v>595</v>
      </c>
      <c r="L289" s="28" t="s">
        <v>24</v>
      </c>
      <c r="M289" s="28" t="s">
        <v>21</v>
      </c>
      <c r="N289" s="29">
        <v>33333</v>
      </c>
      <c r="O289" s="92">
        <v>33360</v>
      </c>
      <c r="P289" s="28" t="s">
        <v>21</v>
      </c>
      <c r="Q289" s="26" t="b">
        <v>0</v>
      </c>
      <c r="R289" s="22">
        <f t="shared" si="4"/>
        <v>40</v>
      </c>
    </row>
    <row r="290" spans="1:18">
      <c r="A290" s="26">
        <v>419</v>
      </c>
      <c r="B290" s="27">
        <v>33324</v>
      </c>
      <c r="C290" s="28" t="s">
        <v>772</v>
      </c>
      <c r="D290" s="27">
        <v>33322</v>
      </c>
      <c r="E290" s="28" t="s">
        <v>773</v>
      </c>
      <c r="F290" s="28" t="s">
        <v>149</v>
      </c>
      <c r="G290" s="28" t="s">
        <v>20</v>
      </c>
      <c r="H290" s="28" t="s">
        <v>21</v>
      </c>
      <c r="I290" s="28" t="s">
        <v>21</v>
      </c>
      <c r="J290" s="28" t="s">
        <v>774</v>
      </c>
      <c r="K290" s="28" t="s">
        <v>21</v>
      </c>
      <c r="L290" s="28" t="s">
        <v>24</v>
      </c>
      <c r="M290" s="28" t="s">
        <v>21</v>
      </c>
      <c r="O290" s="92">
        <v>33353</v>
      </c>
      <c r="P290" s="28" t="s">
        <v>31</v>
      </c>
      <c r="Q290" s="26" t="b">
        <v>0</v>
      </c>
      <c r="R290" s="22">
        <f t="shared" si="4"/>
        <v>28</v>
      </c>
    </row>
    <row r="291" spans="1:18">
      <c r="A291" s="26">
        <v>422</v>
      </c>
      <c r="B291" s="27">
        <v>33325</v>
      </c>
      <c r="C291" s="28" t="s">
        <v>775</v>
      </c>
      <c r="D291" s="27">
        <v>33323</v>
      </c>
      <c r="E291" s="28" t="s">
        <v>38</v>
      </c>
      <c r="F291" s="28" t="s">
        <v>371</v>
      </c>
      <c r="G291" s="28" t="s">
        <v>20</v>
      </c>
      <c r="H291" s="28" t="s">
        <v>21</v>
      </c>
      <c r="I291" s="28" t="s">
        <v>21</v>
      </c>
      <c r="J291" s="28" t="s">
        <v>748</v>
      </c>
      <c r="K291" s="28" t="s">
        <v>776</v>
      </c>
      <c r="L291" s="28" t="s">
        <v>82</v>
      </c>
      <c r="M291" s="28" t="s">
        <v>21</v>
      </c>
      <c r="N291" s="18"/>
      <c r="O291" s="92">
        <v>33350</v>
      </c>
      <c r="P291" s="28" t="s">
        <v>31</v>
      </c>
      <c r="Q291" s="26" t="b">
        <v>0</v>
      </c>
      <c r="R291" s="22">
        <f t="shared" si="4"/>
        <v>24</v>
      </c>
    </row>
    <row r="292" spans="1:18">
      <c r="A292" s="26">
        <v>424</v>
      </c>
      <c r="B292" s="27">
        <v>33329</v>
      </c>
      <c r="C292" s="28" t="s">
        <v>777</v>
      </c>
      <c r="D292" s="27">
        <v>33325</v>
      </c>
      <c r="E292" s="28" t="s">
        <v>778</v>
      </c>
      <c r="F292" s="28" t="s">
        <v>98</v>
      </c>
      <c r="G292" s="28" t="s">
        <v>20</v>
      </c>
      <c r="H292" s="28" t="s">
        <v>21</v>
      </c>
      <c r="I292" s="28" t="s">
        <v>21</v>
      </c>
      <c r="J292" s="28" t="s">
        <v>779</v>
      </c>
      <c r="K292" s="28" t="s">
        <v>780</v>
      </c>
      <c r="L292" s="28" t="s">
        <v>30</v>
      </c>
      <c r="M292" s="28" t="s">
        <v>21</v>
      </c>
      <c r="N292" s="18"/>
      <c r="O292" s="92">
        <v>33449</v>
      </c>
      <c r="P292" s="28" t="s">
        <v>21</v>
      </c>
      <c r="Q292" s="26" t="b">
        <v>0</v>
      </c>
      <c r="R292" s="22">
        <f t="shared" si="4"/>
        <v>120</v>
      </c>
    </row>
    <row r="293" spans="1:18">
      <c r="A293" s="26">
        <v>425</v>
      </c>
      <c r="B293" s="27">
        <v>33329</v>
      </c>
      <c r="C293" s="28" t="s">
        <v>781</v>
      </c>
      <c r="D293" s="27">
        <v>33326</v>
      </c>
      <c r="E293" s="28" t="s">
        <v>782</v>
      </c>
      <c r="F293" s="28" t="s">
        <v>98</v>
      </c>
      <c r="G293" s="28" t="s">
        <v>20</v>
      </c>
      <c r="H293" s="28" t="s">
        <v>21</v>
      </c>
      <c r="I293" s="28" t="s">
        <v>21</v>
      </c>
      <c r="J293" s="28" t="s">
        <v>779</v>
      </c>
      <c r="K293" s="28" t="s">
        <v>780</v>
      </c>
      <c r="L293" s="28" t="s">
        <v>30</v>
      </c>
      <c r="M293" s="28" t="s">
        <v>21</v>
      </c>
      <c r="N293" s="18"/>
      <c r="O293" s="92">
        <v>33451</v>
      </c>
      <c r="P293" s="28" t="s">
        <v>31</v>
      </c>
      <c r="Q293" s="26" t="b">
        <v>0</v>
      </c>
      <c r="R293" s="22">
        <f t="shared" si="4"/>
        <v>121</v>
      </c>
    </row>
    <row r="294" spans="1:18">
      <c r="A294" s="26">
        <v>427</v>
      </c>
      <c r="B294" s="27">
        <v>33330</v>
      </c>
      <c r="C294" s="28" t="s">
        <v>783</v>
      </c>
      <c r="D294" s="27">
        <v>33329</v>
      </c>
      <c r="E294" s="28" t="s">
        <v>784</v>
      </c>
      <c r="F294" s="28" t="s">
        <v>545</v>
      </c>
      <c r="G294" s="28" t="s">
        <v>20</v>
      </c>
      <c r="H294" s="28" t="s">
        <v>21</v>
      </c>
      <c r="I294" s="28" t="s">
        <v>21</v>
      </c>
      <c r="J294" s="28" t="s">
        <v>785</v>
      </c>
      <c r="K294" s="28" t="s">
        <v>786</v>
      </c>
      <c r="L294" s="28" t="s">
        <v>24</v>
      </c>
      <c r="M294" s="28" t="s">
        <v>21</v>
      </c>
      <c r="N294" s="18"/>
      <c r="O294" s="92">
        <v>33351</v>
      </c>
      <c r="P294" s="28" t="s">
        <v>31</v>
      </c>
      <c r="Q294" s="26" t="b">
        <v>0</v>
      </c>
      <c r="R294" s="22">
        <f t="shared" si="4"/>
        <v>21</v>
      </c>
    </row>
    <row r="295" spans="1:18">
      <c r="A295" s="26">
        <v>428</v>
      </c>
      <c r="B295" s="27">
        <v>33331</v>
      </c>
      <c r="C295" s="28" t="s">
        <v>787</v>
      </c>
      <c r="D295" s="27">
        <v>33330</v>
      </c>
      <c r="E295" s="28" t="s">
        <v>788</v>
      </c>
      <c r="F295" s="28" t="s">
        <v>19</v>
      </c>
      <c r="G295" s="28" t="s">
        <v>20</v>
      </c>
      <c r="H295" s="28" t="s">
        <v>21</v>
      </c>
      <c r="I295" s="28" t="s">
        <v>21</v>
      </c>
      <c r="J295" s="28" t="s">
        <v>789</v>
      </c>
      <c r="K295" s="28" t="s">
        <v>790</v>
      </c>
      <c r="L295" s="28" t="s">
        <v>24</v>
      </c>
      <c r="M295" s="28" t="s">
        <v>21</v>
      </c>
      <c r="O295" s="92">
        <v>33470</v>
      </c>
      <c r="P295" s="28" t="s">
        <v>31</v>
      </c>
      <c r="Q295" s="26" t="b">
        <v>0</v>
      </c>
      <c r="R295" s="22">
        <f t="shared" si="4"/>
        <v>138</v>
      </c>
    </row>
    <row r="296" spans="1:18">
      <c r="A296" s="26">
        <v>429</v>
      </c>
      <c r="B296" s="27">
        <v>33332</v>
      </c>
      <c r="C296" s="28" t="s">
        <v>791</v>
      </c>
      <c r="D296" s="27">
        <v>33330</v>
      </c>
      <c r="E296" s="28" t="s">
        <v>792</v>
      </c>
      <c r="F296" s="28" t="s">
        <v>793</v>
      </c>
      <c r="G296" s="28" t="s">
        <v>20</v>
      </c>
      <c r="H296" s="28" t="s">
        <v>21</v>
      </c>
      <c r="I296" s="28" t="s">
        <v>21</v>
      </c>
      <c r="J296" s="28" t="s">
        <v>794</v>
      </c>
      <c r="K296" s="28" t="s">
        <v>795</v>
      </c>
      <c r="L296" s="28" t="s">
        <v>30</v>
      </c>
      <c r="M296" s="28" t="s">
        <v>21</v>
      </c>
      <c r="O296" s="92">
        <v>33340</v>
      </c>
      <c r="P296" s="28" t="s">
        <v>21</v>
      </c>
      <c r="Q296" s="26" t="b">
        <v>0</v>
      </c>
      <c r="R296" s="22">
        <f t="shared" si="4"/>
        <v>8</v>
      </c>
    </row>
    <row r="297" spans="1:18">
      <c r="A297" s="26">
        <v>431</v>
      </c>
      <c r="B297" s="27">
        <v>33333</v>
      </c>
      <c r="C297" s="28" t="s">
        <v>796</v>
      </c>
      <c r="D297" s="27">
        <v>33333</v>
      </c>
      <c r="E297" s="28" t="s">
        <v>38</v>
      </c>
      <c r="F297" s="28" t="s">
        <v>482</v>
      </c>
      <c r="G297" s="28" t="s">
        <v>20</v>
      </c>
      <c r="H297" s="28" t="s">
        <v>71</v>
      </c>
      <c r="I297" s="28" t="s">
        <v>21</v>
      </c>
      <c r="J297" s="28" t="s">
        <v>797</v>
      </c>
      <c r="K297" s="28" t="s">
        <v>798</v>
      </c>
      <c r="L297" s="28" t="s">
        <v>59</v>
      </c>
      <c r="M297" s="28" t="s">
        <v>21</v>
      </c>
      <c r="N297" s="18"/>
      <c r="O297" s="92">
        <v>33336</v>
      </c>
      <c r="P297" s="28" t="s">
        <v>21</v>
      </c>
      <c r="Q297" s="26" t="b">
        <v>0</v>
      </c>
      <c r="R297" s="22">
        <f t="shared" si="4"/>
        <v>3</v>
      </c>
    </row>
    <row r="298" spans="1:18">
      <c r="A298" s="26">
        <v>434</v>
      </c>
      <c r="B298" s="27">
        <v>33339</v>
      </c>
      <c r="C298" s="28" t="s">
        <v>799</v>
      </c>
      <c r="D298" s="27">
        <v>33338</v>
      </c>
      <c r="E298" s="28" t="s">
        <v>800</v>
      </c>
      <c r="F298" s="28" t="s">
        <v>98</v>
      </c>
      <c r="G298" s="28" t="s">
        <v>20</v>
      </c>
      <c r="H298" s="28" t="s">
        <v>21</v>
      </c>
      <c r="I298" s="28" t="s">
        <v>21</v>
      </c>
      <c r="J298" s="28" t="s">
        <v>801</v>
      </c>
      <c r="K298" s="28" t="s">
        <v>802</v>
      </c>
      <c r="L298" s="28" t="s">
        <v>30</v>
      </c>
      <c r="M298" s="28" t="s">
        <v>21</v>
      </c>
      <c r="O298" s="92">
        <v>33449</v>
      </c>
      <c r="P298" s="28" t="s">
        <v>21</v>
      </c>
      <c r="Q298" s="26" t="b">
        <v>0</v>
      </c>
      <c r="R298" s="22">
        <f t="shared" si="4"/>
        <v>110</v>
      </c>
    </row>
    <row r="299" spans="1:18">
      <c r="A299" s="26">
        <v>435</v>
      </c>
      <c r="B299" s="27">
        <v>33339</v>
      </c>
      <c r="C299" s="28" t="s">
        <v>803</v>
      </c>
      <c r="D299" s="27">
        <v>33336</v>
      </c>
      <c r="E299" s="28" t="s">
        <v>804</v>
      </c>
      <c r="F299" s="28" t="s">
        <v>371</v>
      </c>
      <c r="G299" s="28" t="s">
        <v>20</v>
      </c>
      <c r="H299" s="28" t="s">
        <v>21</v>
      </c>
      <c r="I299" s="28" t="s">
        <v>21</v>
      </c>
      <c r="J299" s="28" t="s">
        <v>805</v>
      </c>
      <c r="K299" s="28" t="s">
        <v>21</v>
      </c>
      <c r="L299" s="28" t="s">
        <v>24</v>
      </c>
      <c r="M299" s="28" t="s">
        <v>21</v>
      </c>
      <c r="O299" s="92">
        <v>33340</v>
      </c>
      <c r="P299" s="28" t="s">
        <v>31</v>
      </c>
      <c r="Q299" s="26" t="b">
        <v>0</v>
      </c>
      <c r="R299" s="22">
        <f t="shared" si="4"/>
        <v>1</v>
      </c>
    </row>
    <row r="300" spans="1:18">
      <c r="A300" s="26">
        <v>436</v>
      </c>
      <c r="B300" s="27">
        <v>33339</v>
      </c>
      <c r="C300" s="28" t="s">
        <v>806</v>
      </c>
      <c r="D300" s="27">
        <v>33338</v>
      </c>
      <c r="E300" s="28" t="s">
        <v>807</v>
      </c>
      <c r="F300" s="28" t="s">
        <v>545</v>
      </c>
      <c r="G300" s="28" t="s">
        <v>20</v>
      </c>
      <c r="H300" s="28" t="s">
        <v>21</v>
      </c>
      <c r="I300" s="28" t="s">
        <v>21</v>
      </c>
      <c r="J300" s="28" t="s">
        <v>491</v>
      </c>
      <c r="K300" s="28" t="s">
        <v>808</v>
      </c>
      <c r="L300" s="28" t="s">
        <v>24</v>
      </c>
      <c r="M300" s="28" t="s">
        <v>21</v>
      </c>
      <c r="O300" s="92">
        <v>33437</v>
      </c>
      <c r="P300" s="28" t="s">
        <v>31</v>
      </c>
      <c r="Q300" s="26" t="b">
        <v>0</v>
      </c>
      <c r="R300" s="22">
        <f t="shared" si="4"/>
        <v>98</v>
      </c>
    </row>
    <row r="301" spans="1:18">
      <c r="A301" s="26">
        <v>437</v>
      </c>
      <c r="B301" s="27">
        <v>33343</v>
      </c>
      <c r="C301" s="28" t="s">
        <v>809</v>
      </c>
      <c r="D301" s="27">
        <v>33340</v>
      </c>
      <c r="E301" s="28" t="s">
        <v>810</v>
      </c>
      <c r="F301" s="28" t="s">
        <v>359</v>
      </c>
      <c r="G301" s="28" t="s">
        <v>20</v>
      </c>
      <c r="H301" s="28" t="s">
        <v>21</v>
      </c>
      <c r="I301" s="28" t="s">
        <v>21</v>
      </c>
      <c r="J301" s="28" t="s">
        <v>811</v>
      </c>
      <c r="K301" s="28" t="s">
        <v>812</v>
      </c>
      <c r="L301" s="28" t="s">
        <v>30</v>
      </c>
      <c r="M301" s="28" t="s">
        <v>21</v>
      </c>
      <c r="N301" s="27">
        <v>33346</v>
      </c>
      <c r="O301" s="92">
        <v>33367</v>
      </c>
      <c r="P301" s="28" t="s">
        <v>21</v>
      </c>
      <c r="Q301" s="26" t="b">
        <v>0</v>
      </c>
      <c r="R301" s="22">
        <f t="shared" si="4"/>
        <v>24</v>
      </c>
    </row>
    <row r="302" spans="1:18">
      <c r="A302" s="26">
        <v>439</v>
      </c>
      <c r="B302" s="27">
        <v>33343</v>
      </c>
      <c r="C302" s="28" t="s">
        <v>813</v>
      </c>
      <c r="D302" s="27">
        <v>33338</v>
      </c>
      <c r="E302" s="28" t="s">
        <v>814</v>
      </c>
      <c r="F302" s="28" t="s">
        <v>242</v>
      </c>
      <c r="G302" s="28" t="s">
        <v>20</v>
      </c>
      <c r="H302" s="28" t="s">
        <v>21</v>
      </c>
      <c r="I302" s="28" t="s">
        <v>21</v>
      </c>
      <c r="J302" s="28" t="s">
        <v>815</v>
      </c>
      <c r="K302" s="28" t="s">
        <v>816</v>
      </c>
      <c r="L302" s="28" t="s">
        <v>30</v>
      </c>
      <c r="M302" s="28" t="s">
        <v>21</v>
      </c>
      <c r="N302" s="29">
        <v>33361</v>
      </c>
      <c r="O302" s="92">
        <v>33380</v>
      </c>
      <c r="P302" s="28" t="s">
        <v>21</v>
      </c>
      <c r="Q302" s="26" t="b">
        <v>0</v>
      </c>
      <c r="R302" s="22">
        <f t="shared" si="4"/>
        <v>37</v>
      </c>
    </row>
    <row r="303" spans="1:18">
      <c r="A303" s="26">
        <v>440</v>
      </c>
      <c r="B303" s="27">
        <v>33345</v>
      </c>
      <c r="C303" s="28" t="s">
        <v>817</v>
      </c>
      <c r="D303" s="27">
        <v>33338</v>
      </c>
      <c r="E303" s="28" t="s">
        <v>818</v>
      </c>
      <c r="F303" s="28" t="s">
        <v>149</v>
      </c>
      <c r="G303" s="28" t="s">
        <v>20</v>
      </c>
      <c r="H303" s="28" t="s">
        <v>21</v>
      </c>
      <c r="I303" s="28" t="s">
        <v>21</v>
      </c>
      <c r="J303" s="28" t="s">
        <v>819</v>
      </c>
      <c r="K303" s="28" t="s">
        <v>820</v>
      </c>
      <c r="L303" s="28" t="s">
        <v>821</v>
      </c>
      <c r="M303" s="28" t="s">
        <v>88</v>
      </c>
      <c r="O303" s="92">
        <v>36469</v>
      </c>
      <c r="P303" s="28" t="s">
        <v>21</v>
      </c>
      <c r="Q303" s="26" t="b">
        <v>0</v>
      </c>
      <c r="R303" s="22">
        <f t="shared" si="4"/>
        <v>3120</v>
      </c>
    </row>
    <row r="304" spans="1:18">
      <c r="A304" s="26">
        <v>441</v>
      </c>
      <c r="B304" s="27">
        <v>33345</v>
      </c>
      <c r="C304" s="28" t="s">
        <v>822</v>
      </c>
      <c r="D304" s="27">
        <v>33339</v>
      </c>
      <c r="E304" s="28" t="s">
        <v>823</v>
      </c>
      <c r="F304" s="28" t="s">
        <v>824</v>
      </c>
      <c r="G304" s="28" t="s">
        <v>20</v>
      </c>
      <c r="H304" s="28" t="s">
        <v>71</v>
      </c>
      <c r="I304" s="28" t="s">
        <v>72</v>
      </c>
      <c r="J304" s="28" t="s">
        <v>825</v>
      </c>
      <c r="K304" s="28" t="s">
        <v>826</v>
      </c>
      <c r="L304" s="28" t="s">
        <v>30</v>
      </c>
      <c r="M304" s="28" t="s">
        <v>24</v>
      </c>
      <c r="O304" s="92">
        <v>35244</v>
      </c>
      <c r="P304" s="28" t="s">
        <v>21</v>
      </c>
      <c r="Q304" s="26" t="b">
        <v>0</v>
      </c>
      <c r="R304" s="22">
        <f t="shared" si="4"/>
        <v>1896</v>
      </c>
    </row>
    <row r="305" spans="1:18">
      <c r="A305" s="26">
        <v>443</v>
      </c>
      <c r="B305" s="27">
        <v>33347</v>
      </c>
      <c r="C305" s="28" t="s">
        <v>827</v>
      </c>
      <c r="D305" s="27">
        <v>33344</v>
      </c>
      <c r="E305" s="28" t="s">
        <v>828</v>
      </c>
      <c r="F305" s="28" t="s">
        <v>242</v>
      </c>
      <c r="G305" s="28" t="s">
        <v>20</v>
      </c>
      <c r="H305" s="28" t="s">
        <v>21</v>
      </c>
      <c r="I305" s="28" t="s">
        <v>21</v>
      </c>
      <c r="J305" s="28" t="s">
        <v>815</v>
      </c>
      <c r="K305" s="28" t="s">
        <v>829</v>
      </c>
      <c r="L305" s="28" t="s">
        <v>24</v>
      </c>
      <c r="M305" s="28" t="s">
        <v>21</v>
      </c>
      <c r="N305" s="18"/>
      <c r="O305" s="92">
        <v>33361</v>
      </c>
      <c r="P305" s="28" t="s">
        <v>21</v>
      </c>
      <c r="Q305" s="26" t="b">
        <v>0</v>
      </c>
      <c r="R305" s="22">
        <f t="shared" si="4"/>
        <v>14</v>
      </c>
    </row>
    <row r="306" spans="1:18">
      <c r="A306" s="26">
        <v>444</v>
      </c>
      <c r="B306" s="27">
        <v>33351</v>
      </c>
      <c r="C306" s="28" t="s">
        <v>830</v>
      </c>
      <c r="D306" s="27">
        <v>33351</v>
      </c>
      <c r="E306" s="28" t="s">
        <v>38</v>
      </c>
      <c r="F306" s="28" t="s">
        <v>124</v>
      </c>
      <c r="G306" s="28" t="s">
        <v>20</v>
      </c>
      <c r="H306" s="28" t="s">
        <v>21</v>
      </c>
      <c r="I306" s="28" t="s">
        <v>21</v>
      </c>
      <c r="J306" s="28" t="s">
        <v>831</v>
      </c>
      <c r="K306" s="28" t="s">
        <v>21</v>
      </c>
      <c r="L306" s="28" t="s">
        <v>82</v>
      </c>
      <c r="M306" s="28" t="s">
        <v>21</v>
      </c>
      <c r="N306" s="18"/>
      <c r="O306" s="92">
        <v>33357</v>
      </c>
      <c r="P306" s="28" t="s">
        <v>31</v>
      </c>
      <c r="Q306" s="26" t="b">
        <v>0</v>
      </c>
      <c r="R306" s="22">
        <f t="shared" si="4"/>
        <v>6</v>
      </c>
    </row>
    <row r="307" spans="1:18">
      <c r="A307" s="26">
        <v>446</v>
      </c>
      <c r="B307" s="27">
        <v>33352</v>
      </c>
      <c r="C307" s="28" t="s">
        <v>832</v>
      </c>
      <c r="D307" s="27">
        <v>33347</v>
      </c>
      <c r="E307" s="28" t="s">
        <v>833</v>
      </c>
      <c r="F307" s="28" t="s">
        <v>104</v>
      </c>
      <c r="G307" s="28" t="s">
        <v>20</v>
      </c>
      <c r="H307" s="28" t="s">
        <v>21</v>
      </c>
      <c r="I307" s="28" t="s">
        <v>21</v>
      </c>
      <c r="J307" s="28" t="s">
        <v>834</v>
      </c>
      <c r="K307" s="28" t="s">
        <v>835</v>
      </c>
      <c r="L307" s="28" t="s">
        <v>66</v>
      </c>
      <c r="M307" s="28" t="s">
        <v>21</v>
      </c>
      <c r="O307" s="92">
        <v>36339</v>
      </c>
      <c r="P307" s="28" t="s">
        <v>21</v>
      </c>
      <c r="Q307" s="26" t="b">
        <v>0</v>
      </c>
      <c r="R307" s="22">
        <f t="shared" si="4"/>
        <v>2984</v>
      </c>
    </row>
    <row r="308" spans="1:18">
      <c r="A308" s="26">
        <v>448</v>
      </c>
      <c r="B308" s="27">
        <v>33359</v>
      </c>
      <c r="C308" s="28" t="s">
        <v>836</v>
      </c>
      <c r="D308" s="27">
        <v>33357</v>
      </c>
      <c r="E308" s="28" t="s">
        <v>837</v>
      </c>
      <c r="F308" s="28" t="s">
        <v>359</v>
      </c>
      <c r="G308" s="28" t="s">
        <v>20</v>
      </c>
      <c r="H308" s="28" t="s">
        <v>21</v>
      </c>
      <c r="I308" s="28" t="s">
        <v>21</v>
      </c>
      <c r="J308" s="28" t="s">
        <v>838</v>
      </c>
      <c r="K308" s="28" t="s">
        <v>839</v>
      </c>
      <c r="L308" s="28" t="s">
        <v>82</v>
      </c>
      <c r="M308" s="28" t="s">
        <v>21</v>
      </c>
      <c r="O308" s="92">
        <v>33422</v>
      </c>
      <c r="P308" s="28" t="s">
        <v>21</v>
      </c>
      <c r="Q308" s="26" t="b">
        <v>0</v>
      </c>
      <c r="R308" s="22">
        <f t="shared" si="4"/>
        <v>62</v>
      </c>
    </row>
    <row r="309" spans="1:18">
      <c r="A309" s="26">
        <v>450</v>
      </c>
      <c r="B309" s="27">
        <v>33361</v>
      </c>
      <c r="C309" s="28" t="s">
        <v>840</v>
      </c>
      <c r="D309" s="27">
        <v>33360</v>
      </c>
      <c r="E309" s="28" t="s">
        <v>841</v>
      </c>
      <c r="F309" s="28" t="s">
        <v>228</v>
      </c>
      <c r="G309" s="28" t="s">
        <v>20</v>
      </c>
      <c r="H309" s="28" t="s">
        <v>21</v>
      </c>
      <c r="I309" s="28" t="s">
        <v>21</v>
      </c>
      <c r="J309" s="28" t="s">
        <v>842</v>
      </c>
      <c r="K309" s="28" t="s">
        <v>843</v>
      </c>
      <c r="L309" s="28" t="s">
        <v>24</v>
      </c>
      <c r="M309" s="28" t="s">
        <v>21</v>
      </c>
      <c r="N309" s="18"/>
      <c r="O309" s="92">
        <v>33776</v>
      </c>
      <c r="P309" s="28" t="s">
        <v>31</v>
      </c>
      <c r="Q309" s="26" t="b">
        <v>0</v>
      </c>
      <c r="R309" s="22">
        <f t="shared" si="4"/>
        <v>413</v>
      </c>
    </row>
    <row r="310" spans="1:18">
      <c r="A310" s="26">
        <v>451</v>
      </c>
      <c r="B310" s="27">
        <v>33364</v>
      </c>
      <c r="C310" s="28" t="s">
        <v>844</v>
      </c>
      <c r="D310" s="27">
        <v>33360</v>
      </c>
      <c r="E310" s="28" t="s">
        <v>38</v>
      </c>
      <c r="F310" s="28" t="s">
        <v>98</v>
      </c>
      <c r="G310" s="28" t="s">
        <v>20</v>
      </c>
      <c r="H310" s="28" t="s">
        <v>21</v>
      </c>
      <c r="I310" s="28" t="s">
        <v>21</v>
      </c>
      <c r="J310" s="28" t="s">
        <v>845</v>
      </c>
      <c r="K310" s="28" t="s">
        <v>21</v>
      </c>
      <c r="L310" s="28" t="s">
        <v>24</v>
      </c>
      <c r="M310" s="28" t="s">
        <v>21</v>
      </c>
      <c r="N310" s="18"/>
      <c r="O310" s="92">
        <v>33366</v>
      </c>
      <c r="P310" s="28" t="s">
        <v>31</v>
      </c>
      <c r="Q310" s="26" t="b">
        <v>0</v>
      </c>
      <c r="R310" s="22">
        <f t="shared" si="4"/>
        <v>2</v>
      </c>
    </row>
    <row r="311" spans="1:18">
      <c r="A311" s="26">
        <v>452</v>
      </c>
      <c r="B311" s="27">
        <v>33367</v>
      </c>
      <c r="C311" s="28" t="s">
        <v>846</v>
      </c>
      <c r="D311" s="27">
        <v>33360</v>
      </c>
      <c r="E311" s="28" t="s">
        <v>841</v>
      </c>
      <c r="F311" s="28" t="s">
        <v>228</v>
      </c>
      <c r="G311" s="28" t="s">
        <v>20</v>
      </c>
      <c r="H311" s="28" t="s">
        <v>21</v>
      </c>
      <c r="I311" s="28" t="s">
        <v>21</v>
      </c>
      <c r="J311" s="28" t="s">
        <v>847</v>
      </c>
      <c r="K311" s="28" t="s">
        <v>21</v>
      </c>
      <c r="L311" s="28" t="s">
        <v>24</v>
      </c>
      <c r="M311" s="28" t="s">
        <v>21</v>
      </c>
      <c r="O311" s="92">
        <v>33776</v>
      </c>
      <c r="P311" s="28" t="s">
        <v>21</v>
      </c>
      <c r="Q311" s="26" t="b">
        <v>0</v>
      </c>
      <c r="R311" s="22">
        <f t="shared" si="4"/>
        <v>407</v>
      </c>
    </row>
    <row r="312" spans="1:18">
      <c r="A312" s="26">
        <v>453</v>
      </c>
      <c r="B312" s="27">
        <v>33367</v>
      </c>
      <c r="C312" s="28" t="s">
        <v>848</v>
      </c>
      <c r="D312" s="27">
        <v>33364</v>
      </c>
      <c r="E312" s="28" t="s">
        <v>849</v>
      </c>
      <c r="F312" s="28" t="s">
        <v>228</v>
      </c>
      <c r="G312" s="28" t="s">
        <v>20</v>
      </c>
      <c r="H312" s="28" t="s">
        <v>21</v>
      </c>
      <c r="I312" s="28" t="s">
        <v>21</v>
      </c>
      <c r="J312" s="28" t="s">
        <v>847</v>
      </c>
      <c r="K312" s="28" t="s">
        <v>850</v>
      </c>
      <c r="L312" s="28" t="s">
        <v>24</v>
      </c>
      <c r="M312" s="28" t="s">
        <v>21</v>
      </c>
      <c r="O312" s="92">
        <v>33776</v>
      </c>
      <c r="P312" s="28" t="s">
        <v>31</v>
      </c>
      <c r="Q312" s="26" t="b">
        <v>0</v>
      </c>
      <c r="R312" s="22">
        <f t="shared" si="4"/>
        <v>407</v>
      </c>
    </row>
    <row r="313" spans="1:18">
      <c r="A313" s="26">
        <v>455</v>
      </c>
      <c r="B313" s="27">
        <v>33367</v>
      </c>
      <c r="C313" s="28" t="s">
        <v>851</v>
      </c>
      <c r="D313" s="27">
        <v>33366</v>
      </c>
      <c r="E313" s="28" t="s">
        <v>852</v>
      </c>
      <c r="F313" s="28" t="s">
        <v>27</v>
      </c>
      <c r="G313" s="28" t="s">
        <v>20</v>
      </c>
      <c r="H313" s="28" t="s">
        <v>21</v>
      </c>
      <c r="I313" s="28" t="s">
        <v>21</v>
      </c>
      <c r="J313" s="28" t="s">
        <v>557</v>
      </c>
      <c r="K313" s="28" t="s">
        <v>853</v>
      </c>
      <c r="L313" s="28" t="s">
        <v>24</v>
      </c>
      <c r="M313" s="28" t="s">
        <v>21</v>
      </c>
      <c r="N313" s="18"/>
      <c r="O313" s="92">
        <v>33437</v>
      </c>
      <c r="P313" s="28" t="s">
        <v>21</v>
      </c>
      <c r="Q313" s="26" t="b">
        <v>0</v>
      </c>
      <c r="R313" s="22">
        <f t="shared" si="4"/>
        <v>69</v>
      </c>
    </row>
    <row r="314" spans="1:18">
      <c r="A314" s="26">
        <v>458</v>
      </c>
      <c r="B314" s="27">
        <v>33371</v>
      </c>
      <c r="C314" s="28" t="s">
        <v>854</v>
      </c>
      <c r="D314" s="27">
        <v>33369</v>
      </c>
      <c r="E314" s="28" t="s">
        <v>38</v>
      </c>
      <c r="F314" s="28" t="s">
        <v>98</v>
      </c>
      <c r="G314" s="28" t="s">
        <v>20</v>
      </c>
      <c r="H314" s="28" t="s">
        <v>21</v>
      </c>
      <c r="I314" s="28" t="s">
        <v>21</v>
      </c>
      <c r="J314" s="28" t="s">
        <v>855</v>
      </c>
      <c r="K314" s="28" t="s">
        <v>856</v>
      </c>
      <c r="L314" s="28" t="s">
        <v>24</v>
      </c>
      <c r="M314" s="28" t="s">
        <v>21</v>
      </c>
      <c r="N314" s="18"/>
      <c r="O314" s="92">
        <v>33399</v>
      </c>
      <c r="P314" s="28" t="s">
        <v>21</v>
      </c>
      <c r="Q314" s="26" t="b">
        <v>0</v>
      </c>
      <c r="R314" s="22">
        <f t="shared" si="4"/>
        <v>27</v>
      </c>
    </row>
    <row r="315" spans="1:18">
      <c r="A315" s="26">
        <v>468</v>
      </c>
      <c r="B315" s="27">
        <v>33372</v>
      </c>
      <c r="C315" s="28" t="s">
        <v>857</v>
      </c>
      <c r="D315" s="27">
        <v>33370</v>
      </c>
      <c r="E315" s="28" t="s">
        <v>38</v>
      </c>
      <c r="F315" s="28" t="s">
        <v>124</v>
      </c>
      <c r="G315" s="28" t="s">
        <v>20</v>
      </c>
      <c r="H315" s="28" t="s">
        <v>21</v>
      </c>
      <c r="I315" s="28" t="s">
        <v>21</v>
      </c>
      <c r="J315" s="28" t="s">
        <v>858</v>
      </c>
      <c r="K315" s="28" t="s">
        <v>859</v>
      </c>
      <c r="L315" s="28" t="s">
        <v>82</v>
      </c>
      <c r="M315" s="28" t="s">
        <v>21</v>
      </c>
      <c r="O315" s="92">
        <v>33374</v>
      </c>
      <c r="P315" s="28" t="s">
        <v>31</v>
      </c>
      <c r="Q315" s="26" t="b">
        <v>0</v>
      </c>
      <c r="R315" s="22">
        <f t="shared" si="4"/>
        <v>2</v>
      </c>
    </row>
    <row r="316" spans="1:18">
      <c r="A316" s="26">
        <v>470</v>
      </c>
      <c r="B316" s="27">
        <v>33373</v>
      </c>
      <c r="C316" s="28" t="s">
        <v>860</v>
      </c>
      <c r="D316" s="27">
        <v>33365</v>
      </c>
      <c r="E316" s="28" t="s">
        <v>38</v>
      </c>
      <c r="F316" s="28" t="s">
        <v>861</v>
      </c>
      <c r="G316" s="28" t="s">
        <v>20</v>
      </c>
      <c r="H316" s="28" t="s">
        <v>566</v>
      </c>
      <c r="I316" s="28" t="s">
        <v>566</v>
      </c>
      <c r="J316" s="28" t="s">
        <v>862</v>
      </c>
      <c r="K316" s="28" t="s">
        <v>21</v>
      </c>
      <c r="L316" s="28" t="s">
        <v>36</v>
      </c>
      <c r="M316" s="28" t="s">
        <v>21</v>
      </c>
      <c r="N316" s="18"/>
      <c r="O316" s="92">
        <v>33373</v>
      </c>
      <c r="P316" s="28" t="s">
        <v>31</v>
      </c>
      <c r="Q316" s="26" t="b">
        <v>0</v>
      </c>
      <c r="R316" s="22">
        <f t="shared" si="4"/>
        <v>0</v>
      </c>
    </row>
    <row r="317" spans="1:18">
      <c r="A317" s="26">
        <v>471</v>
      </c>
      <c r="B317" s="27">
        <v>33374</v>
      </c>
      <c r="C317" s="28" t="s">
        <v>863</v>
      </c>
      <c r="D317" s="27">
        <v>33372</v>
      </c>
      <c r="E317" s="28" t="s">
        <v>864</v>
      </c>
      <c r="F317" s="28" t="s">
        <v>242</v>
      </c>
      <c r="G317" s="28" t="s">
        <v>20</v>
      </c>
      <c r="H317" s="28" t="s">
        <v>21</v>
      </c>
      <c r="I317" s="28" t="s">
        <v>21</v>
      </c>
      <c r="J317" s="28" t="s">
        <v>865</v>
      </c>
      <c r="K317" s="28" t="s">
        <v>866</v>
      </c>
      <c r="L317" s="28" t="s">
        <v>24</v>
      </c>
      <c r="M317" s="28" t="s">
        <v>21</v>
      </c>
      <c r="O317" s="92">
        <v>33478</v>
      </c>
      <c r="P317" s="28" t="s">
        <v>21</v>
      </c>
      <c r="Q317" s="26" t="b">
        <v>0</v>
      </c>
      <c r="R317" s="22">
        <f t="shared" si="4"/>
        <v>103</v>
      </c>
    </row>
    <row r="318" spans="1:18">
      <c r="A318" s="26">
        <v>472</v>
      </c>
      <c r="B318" s="27">
        <v>33374</v>
      </c>
      <c r="C318" s="28" t="s">
        <v>867</v>
      </c>
      <c r="D318" s="27">
        <v>33373</v>
      </c>
      <c r="E318" s="28" t="s">
        <v>868</v>
      </c>
      <c r="F318" s="28" t="s">
        <v>327</v>
      </c>
      <c r="G318" s="28" t="s">
        <v>20</v>
      </c>
      <c r="H318" s="28" t="s">
        <v>21</v>
      </c>
      <c r="I318" s="28" t="s">
        <v>21</v>
      </c>
      <c r="J318" s="28" t="s">
        <v>869</v>
      </c>
      <c r="K318" s="28" t="s">
        <v>870</v>
      </c>
      <c r="L318" s="28" t="s">
        <v>66</v>
      </c>
      <c r="M318" s="28" t="s">
        <v>21</v>
      </c>
      <c r="O318" s="92">
        <v>35548</v>
      </c>
      <c r="P318" s="28" t="s">
        <v>31</v>
      </c>
      <c r="Q318" s="26" t="b">
        <v>0</v>
      </c>
      <c r="R318" s="22">
        <f t="shared" si="4"/>
        <v>2171</v>
      </c>
    </row>
    <row r="319" spans="1:18">
      <c r="A319" s="26">
        <v>474</v>
      </c>
      <c r="B319" s="27">
        <v>33378</v>
      </c>
      <c r="C319" s="28" t="s">
        <v>871</v>
      </c>
      <c r="D319" s="27">
        <v>33376</v>
      </c>
      <c r="E319" s="28" t="s">
        <v>38</v>
      </c>
      <c r="F319" s="28" t="s">
        <v>98</v>
      </c>
      <c r="G319" s="28" t="s">
        <v>20</v>
      </c>
      <c r="H319" s="28" t="s">
        <v>21</v>
      </c>
      <c r="I319" s="28" t="s">
        <v>21</v>
      </c>
      <c r="J319" s="28" t="s">
        <v>872</v>
      </c>
      <c r="K319" s="28" t="s">
        <v>873</v>
      </c>
      <c r="L319" s="28" t="s">
        <v>24</v>
      </c>
      <c r="M319" s="28" t="s">
        <v>21</v>
      </c>
      <c r="N319" s="18"/>
      <c r="O319" s="92">
        <v>33401</v>
      </c>
      <c r="P319" s="28" t="s">
        <v>31</v>
      </c>
      <c r="Q319" s="26" t="b">
        <v>0</v>
      </c>
      <c r="R319" s="22">
        <f t="shared" si="4"/>
        <v>22</v>
      </c>
    </row>
    <row r="320" spans="1:18">
      <c r="A320" s="26">
        <v>475</v>
      </c>
      <c r="B320" s="27">
        <v>33379</v>
      </c>
      <c r="C320" s="28" t="s">
        <v>874</v>
      </c>
      <c r="D320" s="27">
        <v>33374</v>
      </c>
      <c r="E320" s="28" t="s">
        <v>875</v>
      </c>
      <c r="F320" s="28" t="s">
        <v>861</v>
      </c>
      <c r="G320" s="28" t="s">
        <v>20</v>
      </c>
      <c r="H320" s="28" t="s">
        <v>566</v>
      </c>
      <c r="I320" s="28" t="s">
        <v>566</v>
      </c>
      <c r="J320" s="28" t="s">
        <v>876</v>
      </c>
      <c r="K320" s="28" t="s">
        <v>877</v>
      </c>
      <c r="L320" s="28" t="s">
        <v>24</v>
      </c>
      <c r="M320" s="28" t="s">
        <v>21</v>
      </c>
      <c r="N320" s="18"/>
      <c r="O320" s="92">
        <v>33392</v>
      </c>
      <c r="P320" s="28" t="s">
        <v>21</v>
      </c>
      <c r="Q320" s="26" t="b">
        <v>0</v>
      </c>
      <c r="R320" s="22">
        <f t="shared" si="4"/>
        <v>12</v>
      </c>
    </row>
    <row r="321" spans="1:18">
      <c r="A321" s="26">
        <v>478</v>
      </c>
      <c r="B321" s="27">
        <v>33382</v>
      </c>
      <c r="C321" s="28" t="s">
        <v>878</v>
      </c>
      <c r="D321" s="27">
        <v>33378</v>
      </c>
      <c r="E321" s="28" t="s">
        <v>879</v>
      </c>
      <c r="F321" s="28" t="s">
        <v>27</v>
      </c>
      <c r="G321" s="28" t="s">
        <v>20</v>
      </c>
      <c r="H321" s="28" t="s">
        <v>21</v>
      </c>
      <c r="I321" s="28" t="s">
        <v>21</v>
      </c>
      <c r="J321" s="28" t="s">
        <v>880</v>
      </c>
      <c r="K321" s="28" t="s">
        <v>881</v>
      </c>
      <c r="L321" s="28" t="s">
        <v>82</v>
      </c>
      <c r="M321" s="28" t="s">
        <v>21</v>
      </c>
      <c r="N321" s="18"/>
      <c r="O321" s="92">
        <v>33777</v>
      </c>
      <c r="P321" s="28" t="s">
        <v>21</v>
      </c>
      <c r="Q321" s="26" t="b">
        <v>0</v>
      </c>
      <c r="R321" s="22">
        <f t="shared" si="4"/>
        <v>393</v>
      </c>
    </row>
    <row r="322" spans="1:18">
      <c r="A322" s="26">
        <v>483</v>
      </c>
      <c r="B322" s="27">
        <v>33387</v>
      </c>
      <c r="C322" s="28" t="s">
        <v>882</v>
      </c>
      <c r="D322" s="27">
        <v>33380</v>
      </c>
      <c r="E322" s="28" t="s">
        <v>883</v>
      </c>
      <c r="F322" s="28" t="s">
        <v>124</v>
      </c>
      <c r="G322" s="28" t="s">
        <v>20</v>
      </c>
      <c r="H322" s="28" t="s">
        <v>21</v>
      </c>
      <c r="I322" s="28" t="s">
        <v>21</v>
      </c>
      <c r="J322" s="28" t="s">
        <v>884</v>
      </c>
      <c r="K322" s="28" t="s">
        <v>885</v>
      </c>
      <c r="L322" s="28" t="s">
        <v>82</v>
      </c>
      <c r="M322" s="28" t="s">
        <v>21</v>
      </c>
      <c r="N322" s="18"/>
      <c r="O322" s="92">
        <v>33417</v>
      </c>
      <c r="P322" s="28" t="s">
        <v>31</v>
      </c>
      <c r="Q322" s="26" t="b">
        <v>0</v>
      </c>
      <c r="R322" s="22">
        <f t="shared" ref="R322:R385" si="5">IF(O322=" ", " ", INT(YEARFRAC(O322, B322)*365))</f>
        <v>29</v>
      </c>
    </row>
    <row r="323" spans="1:18">
      <c r="A323" s="26">
        <v>493</v>
      </c>
      <c r="B323" s="27">
        <v>33389</v>
      </c>
      <c r="C323" s="28" t="s">
        <v>886</v>
      </c>
      <c r="D323" s="27">
        <v>33386</v>
      </c>
      <c r="E323" s="28" t="s">
        <v>887</v>
      </c>
      <c r="F323" s="28" t="s">
        <v>228</v>
      </c>
      <c r="G323" s="28" t="s">
        <v>20</v>
      </c>
      <c r="H323" s="28" t="s">
        <v>21</v>
      </c>
      <c r="I323" s="28" t="s">
        <v>21</v>
      </c>
      <c r="J323" s="28" t="s">
        <v>888</v>
      </c>
      <c r="K323" s="28" t="s">
        <v>889</v>
      </c>
      <c r="L323" s="28" t="s">
        <v>24</v>
      </c>
      <c r="M323" s="28" t="s">
        <v>21</v>
      </c>
      <c r="N323" s="29">
        <v>33419</v>
      </c>
      <c r="O323" s="92">
        <v>33473</v>
      </c>
      <c r="P323" s="28" t="s">
        <v>21</v>
      </c>
      <c r="Q323" s="26" t="b">
        <v>0</v>
      </c>
      <c r="R323" s="22">
        <f t="shared" si="5"/>
        <v>84</v>
      </c>
    </row>
    <row r="324" spans="1:18">
      <c r="A324" s="26">
        <v>497</v>
      </c>
      <c r="B324" s="27">
        <v>33389</v>
      </c>
      <c r="C324" s="28" t="s">
        <v>890</v>
      </c>
      <c r="D324" s="27">
        <v>33389</v>
      </c>
      <c r="E324" s="28" t="s">
        <v>891</v>
      </c>
      <c r="F324" s="28" t="s">
        <v>124</v>
      </c>
      <c r="G324" s="28" t="s">
        <v>20</v>
      </c>
      <c r="H324" s="28" t="s">
        <v>21</v>
      </c>
      <c r="I324" s="28" t="s">
        <v>21</v>
      </c>
      <c r="J324" s="28" t="s">
        <v>892</v>
      </c>
      <c r="K324" s="28" t="s">
        <v>893</v>
      </c>
      <c r="L324" s="28" t="s">
        <v>82</v>
      </c>
      <c r="M324" s="28" t="s">
        <v>21</v>
      </c>
      <c r="N324" s="18"/>
      <c r="O324" s="92">
        <v>33422</v>
      </c>
      <c r="P324" s="28" t="s">
        <v>31</v>
      </c>
      <c r="Q324" s="26" t="b">
        <v>0</v>
      </c>
      <c r="R324" s="22">
        <f t="shared" si="5"/>
        <v>33</v>
      </c>
    </row>
    <row r="325" spans="1:18">
      <c r="A325" s="26">
        <v>502</v>
      </c>
      <c r="B325" s="27">
        <v>33395</v>
      </c>
      <c r="C325" s="28" t="s">
        <v>894</v>
      </c>
      <c r="D325" s="27">
        <v>33394</v>
      </c>
      <c r="E325" s="28" t="s">
        <v>895</v>
      </c>
      <c r="F325" s="28" t="s">
        <v>533</v>
      </c>
      <c r="G325" s="28" t="s">
        <v>20</v>
      </c>
      <c r="H325" s="28" t="s">
        <v>21</v>
      </c>
      <c r="I325" s="28" t="s">
        <v>21</v>
      </c>
      <c r="J325" s="28" t="s">
        <v>896</v>
      </c>
      <c r="K325" s="28" t="s">
        <v>897</v>
      </c>
      <c r="L325" s="28" t="s">
        <v>24</v>
      </c>
      <c r="M325" s="28" t="s">
        <v>21</v>
      </c>
      <c r="O325" s="92">
        <v>33396</v>
      </c>
      <c r="P325" s="28" t="s">
        <v>31</v>
      </c>
      <c r="Q325" s="26" t="b">
        <v>0</v>
      </c>
      <c r="R325" s="22">
        <f t="shared" si="5"/>
        <v>1</v>
      </c>
    </row>
    <row r="326" spans="1:18">
      <c r="A326" s="26">
        <v>503</v>
      </c>
      <c r="B326" s="27">
        <v>33395</v>
      </c>
      <c r="C326" s="28" t="s">
        <v>898</v>
      </c>
      <c r="D326" s="27">
        <v>33393</v>
      </c>
      <c r="E326" s="28" t="s">
        <v>899</v>
      </c>
      <c r="F326" s="28" t="s">
        <v>85</v>
      </c>
      <c r="G326" s="28" t="s">
        <v>20</v>
      </c>
      <c r="H326" s="28" t="s">
        <v>21</v>
      </c>
      <c r="I326" s="28" t="s">
        <v>21</v>
      </c>
      <c r="J326" s="28" t="s">
        <v>900</v>
      </c>
      <c r="K326" s="28" t="s">
        <v>901</v>
      </c>
      <c r="L326" s="28" t="s">
        <v>24</v>
      </c>
      <c r="M326" s="28" t="s">
        <v>21</v>
      </c>
      <c r="O326" s="92">
        <v>33250</v>
      </c>
      <c r="P326" s="28" t="s">
        <v>31</v>
      </c>
      <c r="Q326" s="26" t="b">
        <v>0</v>
      </c>
      <c r="R326" s="22">
        <f t="shared" si="5"/>
        <v>146</v>
      </c>
    </row>
    <row r="327" spans="1:18">
      <c r="A327" s="26">
        <v>504</v>
      </c>
      <c r="B327" s="27">
        <v>33395</v>
      </c>
      <c r="C327" s="28" t="s">
        <v>902</v>
      </c>
      <c r="D327" s="27">
        <v>33394</v>
      </c>
      <c r="E327" s="28" t="s">
        <v>903</v>
      </c>
      <c r="F327" s="28" t="s">
        <v>904</v>
      </c>
      <c r="G327" s="28" t="s">
        <v>20</v>
      </c>
      <c r="H327" s="28" t="s">
        <v>21</v>
      </c>
      <c r="I327" s="28" t="s">
        <v>21</v>
      </c>
      <c r="J327" s="28" t="s">
        <v>905</v>
      </c>
      <c r="K327" s="28" t="s">
        <v>906</v>
      </c>
      <c r="L327" s="28" t="s">
        <v>24</v>
      </c>
      <c r="M327" s="28" t="s">
        <v>21</v>
      </c>
      <c r="O327" s="92">
        <v>33715</v>
      </c>
      <c r="P327" s="28" t="s">
        <v>31</v>
      </c>
      <c r="Q327" s="26" t="b">
        <v>0</v>
      </c>
      <c r="R327" s="22">
        <f t="shared" si="5"/>
        <v>319</v>
      </c>
    </row>
    <row r="328" spans="1:18">
      <c r="A328" s="26">
        <v>506</v>
      </c>
      <c r="B328" s="27">
        <v>33395</v>
      </c>
      <c r="C328" s="28" t="s">
        <v>907</v>
      </c>
      <c r="D328" s="27">
        <v>33393</v>
      </c>
      <c r="E328" s="28" t="s">
        <v>908</v>
      </c>
      <c r="F328" s="28" t="s">
        <v>149</v>
      </c>
      <c r="G328" s="28" t="s">
        <v>20</v>
      </c>
      <c r="H328" s="28" t="s">
        <v>21</v>
      </c>
      <c r="I328" s="28" t="s">
        <v>21</v>
      </c>
      <c r="J328" s="28" t="s">
        <v>909</v>
      </c>
      <c r="K328" s="28" t="s">
        <v>910</v>
      </c>
      <c r="L328" s="28" t="s">
        <v>82</v>
      </c>
      <c r="M328" s="28" t="s">
        <v>21</v>
      </c>
      <c r="O328" s="92">
        <v>33422</v>
      </c>
      <c r="P328" s="28" t="s">
        <v>21</v>
      </c>
      <c r="Q328" s="26" t="b">
        <v>0</v>
      </c>
      <c r="R328" s="22">
        <f t="shared" si="5"/>
        <v>27</v>
      </c>
    </row>
    <row r="329" spans="1:18">
      <c r="A329" s="26">
        <v>523</v>
      </c>
      <c r="B329" s="27">
        <v>33408</v>
      </c>
      <c r="C329" s="28" t="s">
        <v>911</v>
      </c>
      <c r="D329" s="27">
        <v>33408</v>
      </c>
      <c r="E329" s="28" t="s">
        <v>912</v>
      </c>
      <c r="F329" s="28" t="s">
        <v>145</v>
      </c>
      <c r="G329" s="28" t="s">
        <v>20</v>
      </c>
      <c r="H329" s="28" t="s">
        <v>21</v>
      </c>
      <c r="I329" s="28" t="s">
        <v>21</v>
      </c>
      <c r="J329" s="28" t="s">
        <v>913</v>
      </c>
      <c r="K329" s="28" t="s">
        <v>21</v>
      </c>
      <c r="L329" s="28" t="s">
        <v>59</v>
      </c>
      <c r="M329" s="28" t="s">
        <v>21</v>
      </c>
      <c r="O329" s="92">
        <v>33408</v>
      </c>
      <c r="P329" s="28" t="s">
        <v>21</v>
      </c>
      <c r="Q329" s="26" t="b">
        <v>0</v>
      </c>
      <c r="R329" s="22">
        <f t="shared" si="5"/>
        <v>0</v>
      </c>
    </row>
    <row r="330" spans="1:18">
      <c r="A330" s="26">
        <v>525</v>
      </c>
      <c r="B330" s="27">
        <v>33408</v>
      </c>
      <c r="C330" s="28" t="s">
        <v>914</v>
      </c>
      <c r="D330" s="27">
        <v>33406</v>
      </c>
      <c r="E330" s="28" t="s">
        <v>915</v>
      </c>
      <c r="F330" s="28" t="s">
        <v>149</v>
      </c>
      <c r="G330" s="28" t="s">
        <v>20</v>
      </c>
      <c r="H330" s="28" t="s">
        <v>21</v>
      </c>
      <c r="I330" s="28" t="s">
        <v>21</v>
      </c>
      <c r="J330" s="28" t="s">
        <v>916</v>
      </c>
      <c r="K330" s="28" t="s">
        <v>917</v>
      </c>
      <c r="L330" s="28" t="s">
        <v>651</v>
      </c>
      <c r="M330" s="28" t="s">
        <v>21</v>
      </c>
      <c r="N330" s="27">
        <v>33417</v>
      </c>
      <c r="O330" s="92">
        <v>33451</v>
      </c>
      <c r="P330" s="28" t="s">
        <v>21</v>
      </c>
      <c r="Q330" s="26" t="b">
        <v>0</v>
      </c>
      <c r="R330" s="22">
        <f t="shared" si="5"/>
        <v>42</v>
      </c>
    </row>
    <row r="331" spans="1:18">
      <c r="A331" s="26">
        <v>528</v>
      </c>
      <c r="B331" s="27">
        <v>33410</v>
      </c>
      <c r="C331" s="28" t="s">
        <v>918</v>
      </c>
      <c r="D331" s="27">
        <v>33410</v>
      </c>
      <c r="E331" s="28" t="s">
        <v>919</v>
      </c>
      <c r="F331" s="28" t="s">
        <v>56</v>
      </c>
      <c r="G331" s="28" t="s">
        <v>20</v>
      </c>
      <c r="H331" s="28" t="s">
        <v>21</v>
      </c>
      <c r="I331" s="28" t="s">
        <v>21</v>
      </c>
      <c r="J331" s="28" t="s">
        <v>920</v>
      </c>
      <c r="K331" s="28" t="s">
        <v>921</v>
      </c>
      <c r="L331" s="28" t="s">
        <v>24</v>
      </c>
      <c r="M331" s="28" t="s">
        <v>21</v>
      </c>
      <c r="O331" s="92">
        <v>33567</v>
      </c>
      <c r="P331" s="28" t="s">
        <v>21</v>
      </c>
      <c r="Q331" s="26" t="b">
        <v>0</v>
      </c>
      <c r="R331" s="22">
        <f t="shared" si="5"/>
        <v>156</v>
      </c>
    </row>
    <row r="332" spans="1:18">
      <c r="A332" s="26">
        <v>529</v>
      </c>
      <c r="B332" s="27">
        <v>33413</v>
      </c>
      <c r="C332" s="28" t="s">
        <v>922</v>
      </c>
      <c r="D332" s="27">
        <v>33410</v>
      </c>
      <c r="E332" s="28" t="s">
        <v>923</v>
      </c>
      <c r="F332" s="28" t="s">
        <v>98</v>
      </c>
      <c r="G332" s="28" t="s">
        <v>20</v>
      </c>
      <c r="H332" s="28" t="s">
        <v>21</v>
      </c>
      <c r="I332" s="28" t="s">
        <v>21</v>
      </c>
      <c r="J332" s="28" t="s">
        <v>924</v>
      </c>
      <c r="K332" s="28" t="s">
        <v>925</v>
      </c>
      <c r="L332" s="28" t="s">
        <v>24</v>
      </c>
      <c r="M332" s="28" t="s">
        <v>21</v>
      </c>
      <c r="O332" s="92">
        <v>33940</v>
      </c>
      <c r="P332" s="28" t="s">
        <v>21</v>
      </c>
      <c r="Q332" s="26" t="b">
        <v>0</v>
      </c>
      <c r="R332" s="22">
        <f t="shared" si="5"/>
        <v>525</v>
      </c>
    </row>
    <row r="333" spans="1:18">
      <c r="A333" s="26">
        <v>535</v>
      </c>
      <c r="B333" s="27">
        <v>33416</v>
      </c>
      <c r="C333" s="28" t="s">
        <v>926</v>
      </c>
      <c r="D333" s="27">
        <v>33415</v>
      </c>
      <c r="E333" s="28" t="s">
        <v>927</v>
      </c>
      <c r="F333" s="28" t="s">
        <v>145</v>
      </c>
      <c r="G333" s="28" t="s">
        <v>20</v>
      </c>
      <c r="H333" s="28" t="s">
        <v>21</v>
      </c>
      <c r="I333" s="28" t="s">
        <v>21</v>
      </c>
      <c r="J333" s="28" t="s">
        <v>928</v>
      </c>
      <c r="K333" s="28" t="s">
        <v>929</v>
      </c>
      <c r="L333" s="28" t="s">
        <v>30</v>
      </c>
      <c r="M333" s="28" t="s">
        <v>21</v>
      </c>
      <c r="N333" s="27">
        <v>33424</v>
      </c>
      <c r="O333" s="92">
        <v>33424</v>
      </c>
      <c r="P333" s="28" t="s">
        <v>21</v>
      </c>
      <c r="Q333" s="26" t="b">
        <v>0</v>
      </c>
      <c r="R333" s="22">
        <f t="shared" si="5"/>
        <v>8</v>
      </c>
    </row>
    <row r="334" spans="1:18">
      <c r="A334" s="26">
        <v>537</v>
      </c>
      <c r="B334" s="27">
        <v>33417</v>
      </c>
      <c r="C334" s="28" t="s">
        <v>930</v>
      </c>
      <c r="D334" s="27">
        <v>33416</v>
      </c>
      <c r="E334" s="28" t="s">
        <v>931</v>
      </c>
      <c r="F334" s="28" t="s">
        <v>27</v>
      </c>
      <c r="G334" s="28" t="s">
        <v>20</v>
      </c>
      <c r="H334" s="28" t="s">
        <v>21</v>
      </c>
      <c r="I334" s="28" t="s">
        <v>21</v>
      </c>
      <c r="J334" s="28" t="s">
        <v>932</v>
      </c>
      <c r="K334" s="28" t="s">
        <v>933</v>
      </c>
      <c r="L334" s="28" t="s">
        <v>24</v>
      </c>
      <c r="M334" s="28" t="s">
        <v>21</v>
      </c>
      <c r="O334" s="92">
        <v>33437</v>
      </c>
      <c r="P334" s="28" t="s">
        <v>21</v>
      </c>
      <c r="Q334" s="26" t="b">
        <v>0</v>
      </c>
      <c r="R334" s="22">
        <f t="shared" si="5"/>
        <v>20</v>
      </c>
    </row>
    <row r="335" spans="1:18">
      <c r="A335" s="26">
        <v>540</v>
      </c>
      <c r="B335" s="27">
        <v>33420</v>
      </c>
      <c r="C335" s="28" t="s">
        <v>934</v>
      </c>
      <c r="D335" s="27">
        <v>33416</v>
      </c>
      <c r="E335" s="28" t="s">
        <v>935</v>
      </c>
      <c r="F335" s="28" t="s">
        <v>259</v>
      </c>
      <c r="G335" s="28" t="s">
        <v>20</v>
      </c>
      <c r="H335" s="28" t="s">
        <v>21</v>
      </c>
      <c r="I335" s="28" t="s">
        <v>21</v>
      </c>
      <c r="J335" s="28" t="s">
        <v>936</v>
      </c>
      <c r="K335" s="28" t="s">
        <v>937</v>
      </c>
      <c r="L335" s="28" t="s">
        <v>24</v>
      </c>
      <c r="M335" s="28" t="s">
        <v>21</v>
      </c>
      <c r="O335" s="92">
        <v>33770</v>
      </c>
      <c r="P335" s="28" t="s">
        <v>31</v>
      </c>
      <c r="Q335" s="26" t="b">
        <v>0</v>
      </c>
      <c r="R335" s="22">
        <f t="shared" si="5"/>
        <v>348</v>
      </c>
    </row>
    <row r="336" spans="1:18">
      <c r="A336" s="26">
        <v>541</v>
      </c>
      <c r="B336" s="27">
        <v>33420</v>
      </c>
      <c r="C336" s="28" t="s">
        <v>938</v>
      </c>
      <c r="D336" s="27">
        <v>33415</v>
      </c>
      <c r="E336" s="28" t="s">
        <v>38</v>
      </c>
      <c r="F336" s="28" t="s">
        <v>98</v>
      </c>
      <c r="G336" s="28" t="s">
        <v>20</v>
      </c>
      <c r="H336" s="28" t="s">
        <v>21</v>
      </c>
      <c r="I336" s="28" t="s">
        <v>21</v>
      </c>
      <c r="J336" s="28" t="s">
        <v>939</v>
      </c>
      <c r="K336" s="28" t="s">
        <v>940</v>
      </c>
      <c r="L336" s="28" t="s">
        <v>30</v>
      </c>
      <c r="M336" s="28" t="s">
        <v>21</v>
      </c>
      <c r="N336" s="27">
        <v>33427</v>
      </c>
      <c r="O336" s="92">
        <v>33421</v>
      </c>
      <c r="P336" s="28" t="s">
        <v>21</v>
      </c>
      <c r="Q336" s="26" t="b">
        <v>0</v>
      </c>
      <c r="R336" s="22">
        <f t="shared" si="5"/>
        <v>1</v>
      </c>
    </row>
    <row r="337" spans="1:18">
      <c r="A337" s="26">
        <v>542</v>
      </c>
      <c r="B337" s="27">
        <v>33421</v>
      </c>
      <c r="C337" s="28" t="s">
        <v>941</v>
      </c>
      <c r="D337" s="27">
        <v>33418</v>
      </c>
      <c r="E337" s="28" t="s">
        <v>38</v>
      </c>
      <c r="F337" s="28" t="s">
        <v>98</v>
      </c>
      <c r="G337" s="28" t="s">
        <v>20</v>
      </c>
      <c r="H337" s="28" t="s">
        <v>21</v>
      </c>
      <c r="I337" s="28" t="s">
        <v>21</v>
      </c>
      <c r="J337" s="28" t="s">
        <v>939</v>
      </c>
      <c r="K337" s="28" t="s">
        <v>942</v>
      </c>
      <c r="L337" s="28" t="s">
        <v>30</v>
      </c>
      <c r="M337" s="28" t="s">
        <v>21</v>
      </c>
      <c r="N337" s="29">
        <v>33434</v>
      </c>
      <c r="O337" s="92">
        <v>33449</v>
      </c>
      <c r="P337" s="28" t="s">
        <v>31</v>
      </c>
      <c r="Q337" s="26" t="b">
        <v>0</v>
      </c>
      <c r="R337" s="22">
        <f t="shared" si="5"/>
        <v>28</v>
      </c>
    </row>
    <row r="338" spans="1:18">
      <c r="A338" s="26">
        <v>543</v>
      </c>
      <c r="B338" s="27">
        <v>33421</v>
      </c>
      <c r="C338" s="28" t="s">
        <v>943</v>
      </c>
      <c r="D338" s="27">
        <v>33418</v>
      </c>
      <c r="E338" s="28" t="s">
        <v>38</v>
      </c>
      <c r="F338" s="28" t="s">
        <v>43</v>
      </c>
      <c r="G338" s="28" t="s">
        <v>20</v>
      </c>
      <c r="H338" s="28" t="s">
        <v>21</v>
      </c>
      <c r="I338" s="28" t="s">
        <v>21</v>
      </c>
      <c r="J338" s="28" t="s">
        <v>86</v>
      </c>
      <c r="K338" s="28" t="s">
        <v>944</v>
      </c>
      <c r="L338" s="28" t="s">
        <v>24</v>
      </c>
      <c r="M338" s="28" t="s">
        <v>21</v>
      </c>
      <c r="O338" s="92">
        <v>33435</v>
      </c>
      <c r="P338" s="28" t="s">
        <v>31</v>
      </c>
      <c r="Q338" s="26" t="b">
        <v>0</v>
      </c>
      <c r="R338" s="22">
        <f t="shared" si="5"/>
        <v>14</v>
      </c>
    </row>
    <row r="339" spans="1:18">
      <c r="A339" s="26">
        <v>545</v>
      </c>
      <c r="B339" s="27">
        <v>33424</v>
      </c>
      <c r="C339" s="28" t="s">
        <v>945</v>
      </c>
      <c r="D339" s="27">
        <v>33417</v>
      </c>
      <c r="E339" s="28" t="s">
        <v>946</v>
      </c>
      <c r="F339" s="28" t="s">
        <v>149</v>
      </c>
      <c r="G339" s="28" t="s">
        <v>20</v>
      </c>
      <c r="H339" s="28" t="s">
        <v>21</v>
      </c>
      <c r="I339" s="28" t="s">
        <v>21</v>
      </c>
      <c r="J339" s="28" t="s">
        <v>947</v>
      </c>
      <c r="K339" s="28" t="s">
        <v>948</v>
      </c>
      <c r="L339" s="28" t="s">
        <v>30</v>
      </c>
      <c r="M339" s="28" t="s">
        <v>21</v>
      </c>
      <c r="N339" s="27">
        <v>33450</v>
      </c>
      <c r="O339" s="92">
        <v>33585</v>
      </c>
      <c r="P339" s="28" t="s">
        <v>21</v>
      </c>
      <c r="Q339" s="26" t="b">
        <v>0</v>
      </c>
      <c r="R339" s="22">
        <f t="shared" si="5"/>
        <v>160</v>
      </c>
    </row>
    <row r="340" spans="1:18">
      <c r="A340" s="26">
        <v>548</v>
      </c>
      <c r="B340" s="27">
        <v>33424</v>
      </c>
      <c r="C340" s="28" t="s">
        <v>949</v>
      </c>
      <c r="D340" s="27">
        <v>33422</v>
      </c>
      <c r="E340" s="28" t="s">
        <v>950</v>
      </c>
      <c r="F340" s="28" t="s">
        <v>689</v>
      </c>
      <c r="G340" s="28" t="s">
        <v>20</v>
      </c>
      <c r="H340" s="28" t="s">
        <v>212</v>
      </c>
      <c r="I340" s="28" t="s">
        <v>212</v>
      </c>
      <c r="J340" s="28" t="s">
        <v>951</v>
      </c>
      <c r="K340" s="28" t="s">
        <v>952</v>
      </c>
      <c r="L340" s="28" t="s">
        <v>24</v>
      </c>
      <c r="M340" s="28" t="s">
        <v>21</v>
      </c>
      <c r="O340" s="92">
        <v>33518</v>
      </c>
      <c r="P340" s="28" t="s">
        <v>21</v>
      </c>
      <c r="Q340" s="26" t="b">
        <v>0</v>
      </c>
      <c r="R340" s="22">
        <f t="shared" si="5"/>
        <v>93</v>
      </c>
    </row>
    <row r="341" spans="1:18">
      <c r="A341" s="26">
        <v>549</v>
      </c>
      <c r="B341" s="27">
        <v>33427</v>
      </c>
      <c r="C341" s="28" t="s">
        <v>953</v>
      </c>
      <c r="D341" s="27">
        <v>33424</v>
      </c>
      <c r="E341" s="28" t="s">
        <v>954</v>
      </c>
      <c r="F341" s="28" t="s">
        <v>955</v>
      </c>
      <c r="G341" s="28" t="s">
        <v>20</v>
      </c>
      <c r="H341" s="28" t="s">
        <v>21</v>
      </c>
      <c r="I341" s="28" t="s">
        <v>21</v>
      </c>
      <c r="J341" s="28" t="s">
        <v>956</v>
      </c>
      <c r="K341" s="28" t="s">
        <v>957</v>
      </c>
      <c r="L341" s="28" t="s">
        <v>82</v>
      </c>
      <c r="M341" s="28" t="s">
        <v>21</v>
      </c>
      <c r="O341" s="92">
        <v>34841</v>
      </c>
      <c r="P341" s="28" t="s">
        <v>21</v>
      </c>
      <c r="Q341" s="26" t="b">
        <v>0</v>
      </c>
      <c r="R341" s="22">
        <f t="shared" si="5"/>
        <v>1413</v>
      </c>
    </row>
    <row r="342" spans="1:18">
      <c r="A342" s="26">
        <v>552</v>
      </c>
      <c r="B342" s="27">
        <v>33428</v>
      </c>
      <c r="C342" s="28" t="s">
        <v>958</v>
      </c>
      <c r="D342" s="27">
        <v>33421</v>
      </c>
      <c r="E342" s="28" t="s">
        <v>959</v>
      </c>
      <c r="F342" s="28" t="s">
        <v>85</v>
      </c>
      <c r="G342" s="28" t="s">
        <v>20</v>
      </c>
      <c r="H342" s="28" t="s">
        <v>21</v>
      </c>
      <c r="I342" s="28" t="s">
        <v>21</v>
      </c>
      <c r="J342" s="28" t="s">
        <v>960</v>
      </c>
      <c r="K342" s="28" t="s">
        <v>961</v>
      </c>
      <c r="L342" s="28" t="s">
        <v>24</v>
      </c>
      <c r="M342" s="28" t="s">
        <v>21</v>
      </c>
      <c r="N342" s="27">
        <v>33452</v>
      </c>
      <c r="O342" s="92">
        <v>33458</v>
      </c>
      <c r="P342" s="28" t="s">
        <v>21</v>
      </c>
      <c r="Q342" s="26" t="b">
        <v>0</v>
      </c>
      <c r="R342" s="22">
        <f t="shared" si="5"/>
        <v>29</v>
      </c>
    </row>
    <row r="343" spans="1:18">
      <c r="A343" s="26">
        <v>553</v>
      </c>
      <c r="B343" s="27">
        <v>33429</v>
      </c>
      <c r="C343" s="28" t="s">
        <v>962</v>
      </c>
      <c r="D343" s="27">
        <v>33424</v>
      </c>
      <c r="E343" s="28" t="s">
        <v>38</v>
      </c>
      <c r="F343" s="28" t="s">
        <v>98</v>
      </c>
      <c r="G343" s="28" t="s">
        <v>20</v>
      </c>
      <c r="H343" s="28" t="s">
        <v>21</v>
      </c>
      <c r="I343" s="28" t="s">
        <v>21</v>
      </c>
      <c r="J343" s="28" t="s">
        <v>963</v>
      </c>
      <c r="K343" s="28" t="s">
        <v>964</v>
      </c>
      <c r="L343" s="28" t="s">
        <v>30</v>
      </c>
      <c r="M343" s="28" t="s">
        <v>21</v>
      </c>
      <c r="N343" s="18"/>
      <c r="O343" s="92">
        <v>33449</v>
      </c>
      <c r="P343" s="28" t="s">
        <v>21</v>
      </c>
      <c r="Q343" s="26" t="b">
        <v>0</v>
      </c>
      <c r="R343" s="22">
        <f t="shared" si="5"/>
        <v>20</v>
      </c>
    </row>
    <row r="344" spans="1:18">
      <c r="A344" s="26">
        <v>560</v>
      </c>
      <c r="B344" s="27">
        <v>33431</v>
      </c>
      <c r="C344" s="28" t="s">
        <v>965</v>
      </c>
      <c r="D344" s="27">
        <v>33249</v>
      </c>
      <c r="E344" s="28" t="s">
        <v>38</v>
      </c>
      <c r="F344" s="28" t="s">
        <v>124</v>
      </c>
      <c r="G344" s="28" t="s">
        <v>20</v>
      </c>
      <c r="H344" s="28" t="s">
        <v>21</v>
      </c>
      <c r="I344" s="28" t="s">
        <v>21</v>
      </c>
      <c r="J344" s="28" t="s">
        <v>966</v>
      </c>
      <c r="K344" s="28" t="s">
        <v>329</v>
      </c>
      <c r="L344" s="28" t="s">
        <v>82</v>
      </c>
      <c r="M344" s="28" t="s">
        <v>21</v>
      </c>
      <c r="N344" s="27">
        <v>33438</v>
      </c>
      <c r="O344" s="92">
        <v>33436</v>
      </c>
      <c r="P344" s="28" t="s">
        <v>31</v>
      </c>
      <c r="Q344" s="26" t="b">
        <v>0</v>
      </c>
      <c r="R344" s="22">
        <f t="shared" si="5"/>
        <v>5</v>
      </c>
    </row>
    <row r="345" spans="1:18">
      <c r="A345" s="26">
        <v>561</v>
      </c>
      <c r="B345" s="27">
        <v>33431</v>
      </c>
      <c r="C345" s="28" t="s">
        <v>967</v>
      </c>
      <c r="D345" s="27">
        <v>33430</v>
      </c>
      <c r="E345" s="28" t="s">
        <v>38</v>
      </c>
      <c r="F345" s="28" t="s">
        <v>43</v>
      </c>
      <c r="G345" s="28" t="s">
        <v>20</v>
      </c>
      <c r="H345" s="28" t="s">
        <v>21</v>
      </c>
      <c r="I345" s="28" t="s">
        <v>21</v>
      </c>
      <c r="J345" s="28" t="s">
        <v>944</v>
      </c>
      <c r="K345" s="28" t="s">
        <v>968</v>
      </c>
      <c r="L345" s="28" t="s">
        <v>24</v>
      </c>
      <c r="M345" s="28" t="s">
        <v>21</v>
      </c>
      <c r="O345" s="92">
        <v>33436</v>
      </c>
      <c r="P345" s="28" t="s">
        <v>31</v>
      </c>
      <c r="Q345" s="26" t="b">
        <v>0</v>
      </c>
      <c r="R345" s="22">
        <f t="shared" si="5"/>
        <v>5</v>
      </c>
    </row>
    <row r="346" spans="1:18">
      <c r="A346" s="26">
        <v>562</v>
      </c>
      <c r="B346" s="27">
        <v>33431</v>
      </c>
      <c r="C346" s="28" t="s">
        <v>969</v>
      </c>
      <c r="D346" s="27">
        <v>33430</v>
      </c>
      <c r="E346" s="28" t="s">
        <v>38</v>
      </c>
      <c r="F346" s="28" t="s">
        <v>19</v>
      </c>
      <c r="G346" s="28" t="s">
        <v>20</v>
      </c>
      <c r="H346" s="28" t="s">
        <v>21</v>
      </c>
      <c r="I346" s="28" t="s">
        <v>21</v>
      </c>
      <c r="J346" s="28" t="s">
        <v>970</v>
      </c>
      <c r="K346" s="28" t="s">
        <v>971</v>
      </c>
      <c r="L346" s="28" t="s">
        <v>24</v>
      </c>
      <c r="M346" s="28" t="s">
        <v>21</v>
      </c>
      <c r="O346" s="92">
        <v>33433</v>
      </c>
      <c r="P346" s="28" t="s">
        <v>21</v>
      </c>
      <c r="Q346" s="26" t="b">
        <v>0</v>
      </c>
      <c r="R346" s="22">
        <f t="shared" si="5"/>
        <v>2</v>
      </c>
    </row>
    <row r="347" spans="1:18">
      <c r="A347" s="26">
        <v>563</v>
      </c>
      <c r="B347" s="27">
        <v>33431</v>
      </c>
      <c r="C347" s="28" t="s">
        <v>972</v>
      </c>
      <c r="D347" s="27">
        <v>33430</v>
      </c>
      <c r="E347" s="28" t="s">
        <v>973</v>
      </c>
      <c r="F347" s="28" t="s">
        <v>974</v>
      </c>
      <c r="G347" s="28" t="s">
        <v>20</v>
      </c>
      <c r="H347" s="28" t="s">
        <v>212</v>
      </c>
      <c r="I347" s="28" t="s">
        <v>212</v>
      </c>
      <c r="J347" s="28" t="s">
        <v>975</v>
      </c>
      <c r="K347" s="28" t="s">
        <v>952</v>
      </c>
      <c r="L347" s="28" t="s">
        <v>24</v>
      </c>
      <c r="M347" s="28" t="s">
        <v>21</v>
      </c>
      <c r="N347" s="18"/>
      <c r="O347" s="92">
        <v>33518</v>
      </c>
      <c r="P347" s="28" t="s">
        <v>21</v>
      </c>
      <c r="Q347" s="26" t="b">
        <v>0</v>
      </c>
      <c r="R347" s="22">
        <f t="shared" si="5"/>
        <v>86</v>
      </c>
    </row>
    <row r="348" spans="1:18">
      <c r="A348" s="26">
        <v>565</v>
      </c>
      <c r="B348" s="27">
        <v>33435</v>
      </c>
      <c r="C348" s="28" t="s">
        <v>976</v>
      </c>
      <c r="D348" s="27">
        <v>33435</v>
      </c>
      <c r="E348" s="28" t="s">
        <v>977</v>
      </c>
      <c r="F348" s="28" t="s">
        <v>98</v>
      </c>
      <c r="G348" s="28" t="s">
        <v>20</v>
      </c>
      <c r="H348" s="28" t="s">
        <v>21</v>
      </c>
      <c r="I348" s="28" t="s">
        <v>21</v>
      </c>
      <c r="J348" s="28" t="s">
        <v>978</v>
      </c>
      <c r="K348" s="28" t="s">
        <v>979</v>
      </c>
      <c r="L348" s="28" t="s">
        <v>24</v>
      </c>
      <c r="M348" s="28" t="s">
        <v>21</v>
      </c>
      <c r="N348" s="18"/>
      <c r="O348" s="92">
        <v>33445</v>
      </c>
      <c r="P348" s="28" t="s">
        <v>31</v>
      </c>
      <c r="Q348" s="26" t="b">
        <v>0</v>
      </c>
      <c r="R348" s="22">
        <f t="shared" si="5"/>
        <v>10</v>
      </c>
    </row>
    <row r="349" spans="1:18">
      <c r="A349" s="26">
        <v>568</v>
      </c>
      <c r="B349" s="27">
        <v>33436</v>
      </c>
      <c r="C349" s="28" t="s">
        <v>980</v>
      </c>
      <c r="D349" s="27">
        <v>33436</v>
      </c>
      <c r="E349" s="28" t="s">
        <v>38</v>
      </c>
      <c r="F349" s="28" t="s">
        <v>43</v>
      </c>
      <c r="G349" s="28" t="s">
        <v>20</v>
      </c>
      <c r="H349" s="28" t="s">
        <v>21</v>
      </c>
      <c r="I349" s="28" t="s">
        <v>21</v>
      </c>
      <c r="J349" s="28" t="s">
        <v>944</v>
      </c>
      <c r="K349" s="28" t="s">
        <v>981</v>
      </c>
      <c r="L349" s="28" t="s">
        <v>24</v>
      </c>
      <c r="M349" s="28" t="s">
        <v>21</v>
      </c>
      <c r="N349" s="18"/>
      <c r="O349" s="92">
        <v>33436</v>
      </c>
      <c r="P349" s="28" t="s">
        <v>31</v>
      </c>
      <c r="Q349" s="26" t="b">
        <v>0</v>
      </c>
      <c r="R349" s="22">
        <f t="shared" si="5"/>
        <v>0</v>
      </c>
    </row>
    <row r="350" spans="1:18">
      <c r="A350" s="26">
        <v>569</v>
      </c>
      <c r="B350" s="27">
        <v>33437</v>
      </c>
      <c r="C350" s="28" t="s">
        <v>982</v>
      </c>
      <c r="D350" s="27">
        <v>33437</v>
      </c>
      <c r="E350" s="28" t="s">
        <v>983</v>
      </c>
      <c r="F350" s="28" t="s">
        <v>984</v>
      </c>
      <c r="G350" s="28" t="s">
        <v>20</v>
      </c>
      <c r="H350" s="28" t="s">
        <v>21</v>
      </c>
      <c r="I350" s="28" t="s">
        <v>21</v>
      </c>
      <c r="J350" s="28" t="s">
        <v>985</v>
      </c>
      <c r="K350" s="28" t="s">
        <v>986</v>
      </c>
      <c r="L350" s="28" t="s">
        <v>24</v>
      </c>
      <c r="M350" s="28" t="s">
        <v>21</v>
      </c>
      <c r="N350" s="18"/>
      <c r="O350" s="92">
        <v>33441</v>
      </c>
      <c r="P350" s="28" t="s">
        <v>31</v>
      </c>
      <c r="Q350" s="26" t="b">
        <v>0</v>
      </c>
      <c r="R350" s="22">
        <f t="shared" si="5"/>
        <v>4</v>
      </c>
    </row>
    <row r="351" spans="1:18">
      <c r="A351" s="26">
        <v>570</v>
      </c>
      <c r="B351" s="27">
        <v>33437</v>
      </c>
      <c r="C351" s="28" t="s">
        <v>987</v>
      </c>
      <c r="D351" s="27">
        <v>33437</v>
      </c>
      <c r="E351" s="28" t="s">
        <v>38</v>
      </c>
      <c r="F351" s="28" t="s">
        <v>43</v>
      </c>
      <c r="G351" s="28" t="s">
        <v>20</v>
      </c>
      <c r="H351" s="28" t="s">
        <v>21</v>
      </c>
      <c r="I351" s="28" t="s">
        <v>21</v>
      </c>
      <c r="J351" s="28" t="s">
        <v>944</v>
      </c>
      <c r="K351" s="28" t="s">
        <v>988</v>
      </c>
      <c r="L351" s="28" t="s">
        <v>24</v>
      </c>
      <c r="M351" s="28" t="s">
        <v>21</v>
      </c>
      <c r="N351" s="18"/>
      <c r="O351" s="92">
        <v>33438</v>
      </c>
      <c r="P351" s="28" t="s">
        <v>31</v>
      </c>
      <c r="Q351" s="26" t="b">
        <v>0</v>
      </c>
      <c r="R351" s="22">
        <f t="shared" si="5"/>
        <v>1</v>
      </c>
    </row>
    <row r="352" spans="1:18">
      <c r="A352" s="26">
        <v>572</v>
      </c>
      <c r="B352" s="27">
        <v>33441</v>
      </c>
      <c r="C352" s="28" t="s">
        <v>989</v>
      </c>
      <c r="D352" s="27">
        <v>33430</v>
      </c>
      <c r="E352" s="28" t="s">
        <v>38</v>
      </c>
      <c r="F352" s="28" t="s">
        <v>990</v>
      </c>
      <c r="G352" s="28" t="s">
        <v>20</v>
      </c>
      <c r="H352" s="28" t="s">
        <v>21</v>
      </c>
      <c r="I352" s="28" t="s">
        <v>21</v>
      </c>
      <c r="J352" s="28" t="s">
        <v>991</v>
      </c>
      <c r="K352" s="28" t="s">
        <v>21</v>
      </c>
      <c r="L352" s="28" t="s">
        <v>21</v>
      </c>
      <c r="M352" s="28" t="s">
        <v>21</v>
      </c>
      <c r="N352" s="18"/>
      <c r="O352" s="92">
        <v>33441</v>
      </c>
      <c r="P352" s="28" t="s">
        <v>31</v>
      </c>
      <c r="Q352" s="26" t="b">
        <v>0</v>
      </c>
      <c r="R352" s="22">
        <f t="shared" si="5"/>
        <v>0</v>
      </c>
    </row>
    <row r="353" spans="1:18">
      <c r="A353" s="26">
        <v>573</v>
      </c>
      <c r="B353" s="27">
        <v>33441</v>
      </c>
      <c r="C353" s="28" t="s">
        <v>992</v>
      </c>
      <c r="D353" s="27">
        <v>33435</v>
      </c>
      <c r="E353" s="28" t="s">
        <v>993</v>
      </c>
      <c r="F353" s="28" t="s">
        <v>124</v>
      </c>
      <c r="G353" s="28" t="s">
        <v>20</v>
      </c>
      <c r="H353" s="28" t="s">
        <v>21</v>
      </c>
      <c r="I353" s="28" t="s">
        <v>21</v>
      </c>
      <c r="J353" s="28" t="s">
        <v>126</v>
      </c>
      <c r="K353" s="28" t="s">
        <v>994</v>
      </c>
      <c r="L353" s="28" t="s">
        <v>82</v>
      </c>
      <c r="M353" s="28" t="s">
        <v>21</v>
      </c>
      <c r="O353" s="92">
        <v>33583</v>
      </c>
      <c r="P353" s="28" t="s">
        <v>31</v>
      </c>
      <c r="Q353" s="26" t="b">
        <v>0</v>
      </c>
      <c r="R353" s="22">
        <f t="shared" si="5"/>
        <v>140</v>
      </c>
    </row>
    <row r="354" spans="1:18">
      <c r="A354" s="26">
        <v>574</v>
      </c>
      <c r="B354" s="27">
        <v>33441</v>
      </c>
      <c r="C354" s="28" t="s">
        <v>995</v>
      </c>
      <c r="D354" s="27">
        <v>33437</v>
      </c>
      <c r="E354" s="28" t="s">
        <v>996</v>
      </c>
      <c r="F354" s="28" t="s">
        <v>124</v>
      </c>
      <c r="G354" s="28" t="s">
        <v>20</v>
      </c>
      <c r="H354" s="28" t="s">
        <v>21</v>
      </c>
      <c r="I354" s="28" t="s">
        <v>21</v>
      </c>
      <c r="J354" s="28" t="s">
        <v>126</v>
      </c>
      <c r="K354" s="28" t="s">
        <v>994</v>
      </c>
      <c r="L354" s="28" t="s">
        <v>82</v>
      </c>
      <c r="M354" s="28" t="s">
        <v>21</v>
      </c>
      <c r="O354" s="92">
        <v>33476</v>
      </c>
      <c r="P354" s="28" t="s">
        <v>31</v>
      </c>
      <c r="Q354" s="26" t="b">
        <v>0</v>
      </c>
      <c r="R354" s="22">
        <f t="shared" si="5"/>
        <v>34</v>
      </c>
    </row>
    <row r="355" spans="1:18">
      <c r="A355" s="26">
        <v>575</v>
      </c>
      <c r="B355" s="27">
        <v>33442</v>
      </c>
      <c r="C355" s="28" t="s">
        <v>997</v>
      </c>
      <c r="D355" s="27">
        <v>33442</v>
      </c>
      <c r="E355" s="28" t="s">
        <v>998</v>
      </c>
      <c r="F355" s="28" t="s">
        <v>999</v>
      </c>
      <c r="G355" s="28" t="s">
        <v>20</v>
      </c>
      <c r="H355" s="28" t="s">
        <v>71</v>
      </c>
      <c r="I355" s="28" t="s">
        <v>72</v>
      </c>
      <c r="J355" s="28" t="s">
        <v>1000</v>
      </c>
      <c r="K355" s="28" t="s">
        <v>1001</v>
      </c>
      <c r="L355" s="28" t="s">
        <v>82</v>
      </c>
      <c r="M355" s="28" t="s">
        <v>21</v>
      </c>
      <c r="O355" s="92">
        <v>33603</v>
      </c>
      <c r="P355" s="28" t="s">
        <v>31</v>
      </c>
      <c r="Q355" s="26" t="b">
        <v>0</v>
      </c>
      <c r="R355" s="22">
        <f t="shared" si="5"/>
        <v>160</v>
      </c>
    </row>
    <row r="356" spans="1:18">
      <c r="A356" s="26">
        <v>576</v>
      </c>
      <c r="B356" s="27">
        <v>33443</v>
      </c>
      <c r="C356" s="28" t="s">
        <v>1002</v>
      </c>
      <c r="D356" s="27">
        <v>33434</v>
      </c>
      <c r="E356" s="28" t="s">
        <v>38</v>
      </c>
      <c r="F356" s="28" t="s">
        <v>533</v>
      </c>
      <c r="G356" s="28" t="s">
        <v>20</v>
      </c>
      <c r="H356" s="28" t="s">
        <v>21</v>
      </c>
      <c r="I356" s="28" t="s">
        <v>21</v>
      </c>
      <c r="J356" s="28" t="s">
        <v>1003</v>
      </c>
      <c r="K356" s="28" t="s">
        <v>1004</v>
      </c>
      <c r="L356" s="28" t="s">
        <v>24</v>
      </c>
      <c r="M356" s="28" t="s">
        <v>21</v>
      </c>
      <c r="N356" s="18"/>
      <c r="O356" s="92">
        <v>33450</v>
      </c>
      <c r="P356" s="28" t="s">
        <v>31</v>
      </c>
      <c r="Q356" s="26" t="b">
        <v>0</v>
      </c>
      <c r="R356" s="22">
        <f t="shared" si="5"/>
        <v>7</v>
      </c>
    </row>
    <row r="357" spans="1:18">
      <c r="A357" s="26">
        <v>584</v>
      </c>
      <c r="B357" s="27">
        <v>33449</v>
      </c>
      <c r="C357" s="28" t="s">
        <v>1005</v>
      </c>
      <c r="D357" s="27">
        <v>33448</v>
      </c>
      <c r="E357" s="28" t="s">
        <v>1006</v>
      </c>
      <c r="F357" s="28" t="s">
        <v>455</v>
      </c>
      <c r="G357" s="28" t="s">
        <v>20</v>
      </c>
      <c r="H357" s="28" t="s">
        <v>71</v>
      </c>
      <c r="I357" s="28" t="s">
        <v>72</v>
      </c>
      <c r="J357" s="28" t="s">
        <v>1007</v>
      </c>
      <c r="K357" s="28" t="s">
        <v>1008</v>
      </c>
      <c r="L357" s="28" t="s">
        <v>24</v>
      </c>
      <c r="M357" s="28" t="s">
        <v>21</v>
      </c>
      <c r="N357" s="18"/>
      <c r="O357" s="92">
        <v>33800</v>
      </c>
      <c r="P357" s="28" t="s">
        <v>21</v>
      </c>
      <c r="Q357" s="26" t="b">
        <v>0</v>
      </c>
      <c r="R357" s="22">
        <f t="shared" si="5"/>
        <v>349</v>
      </c>
    </row>
    <row r="358" spans="1:18">
      <c r="A358" s="26">
        <v>585</v>
      </c>
      <c r="B358" s="27">
        <v>33449</v>
      </c>
      <c r="C358" s="28" t="s">
        <v>1009</v>
      </c>
      <c r="D358" s="27">
        <v>33449</v>
      </c>
      <c r="E358" s="28" t="s">
        <v>1010</v>
      </c>
      <c r="F358" s="28" t="s">
        <v>43</v>
      </c>
      <c r="G358" s="28" t="s">
        <v>20</v>
      </c>
      <c r="H358" s="28" t="s">
        <v>21</v>
      </c>
      <c r="I358" s="28" t="s">
        <v>21</v>
      </c>
      <c r="J358" s="28" t="s">
        <v>1011</v>
      </c>
      <c r="K358" s="28" t="s">
        <v>1012</v>
      </c>
      <c r="L358" s="28" t="s">
        <v>24</v>
      </c>
      <c r="M358" s="28" t="s">
        <v>21</v>
      </c>
      <c r="O358" s="92">
        <v>33450</v>
      </c>
      <c r="P358" s="28" t="s">
        <v>31</v>
      </c>
      <c r="Q358" s="26" t="b">
        <v>0</v>
      </c>
      <c r="R358" s="22">
        <f t="shared" si="5"/>
        <v>0</v>
      </c>
    </row>
    <row r="359" spans="1:18">
      <c r="A359" s="26">
        <v>589</v>
      </c>
      <c r="B359" s="27">
        <v>33450</v>
      </c>
      <c r="C359" s="28" t="s">
        <v>1013</v>
      </c>
      <c r="D359" s="27">
        <v>33449</v>
      </c>
      <c r="E359" s="28" t="s">
        <v>1014</v>
      </c>
      <c r="F359" s="28" t="s">
        <v>56</v>
      </c>
      <c r="G359" s="28" t="s">
        <v>20</v>
      </c>
      <c r="H359" s="28" t="s">
        <v>21</v>
      </c>
      <c r="I359" s="28" t="s">
        <v>21</v>
      </c>
      <c r="J359" s="28" t="s">
        <v>1015</v>
      </c>
      <c r="K359" s="28" t="s">
        <v>1016</v>
      </c>
      <c r="L359" s="28" t="s">
        <v>24</v>
      </c>
      <c r="M359" s="28" t="s">
        <v>21</v>
      </c>
      <c r="N359" s="18"/>
      <c r="O359" s="92">
        <v>33463</v>
      </c>
      <c r="P359" s="28" t="s">
        <v>21</v>
      </c>
      <c r="Q359" s="26" t="b">
        <v>0</v>
      </c>
      <c r="R359" s="22">
        <f t="shared" si="5"/>
        <v>13</v>
      </c>
    </row>
    <row r="360" spans="1:18">
      <c r="A360" s="26">
        <v>590</v>
      </c>
      <c r="B360" s="27">
        <v>33451</v>
      </c>
      <c r="C360" s="28" t="s">
        <v>1017</v>
      </c>
      <c r="D360" s="27">
        <v>33442</v>
      </c>
      <c r="E360" s="28" t="s">
        <v>1018</v>
      </c>
      <c r="F360" s="28" t="s">
        <v>1019</v>
      </c>
      <c r="G360" s="28" t="s">
        <v>20</v>
      </c>
      <c r="H360" s="28" t="s">
        <v>21</v>
      </c>
      <c r="I360" s="28" t="s">
        <v>21</v>
      </c>
      <c r="J360" s="28" t="s">
        <v>1020</v>
      </c>
      <c r="K360" s="28" t="s">
        <v>1021</v>
      </c>
      <c r="L360" s="28" t="s">
        <v>651</v>
      </c>
      <c r="M360" s="28" t="s">
        <v>21</v>
      </c>
      <c r="N360" s="18"/>
      <c r="O360" s="92">
        <v>33526</v>
      </c>
      <c r="P360" s="28" t="s">
        <v>21</v>
      </c>
      <c r="Q360" s="26" t="b">
        <v>0</v>
      </c>
      <c r="R360" s="22">
        <f t="shared" si="5"/>
        <v>75</v>
      </c>
    </row>
    <row r="361" spans="1:18">
      <c r="A361" s="26">
        <v>592</v>
      </c>
      <c r="B361" s="27">
        <v>33452</v>
      </c>
      <c r="C361" s="28" t="s">
        <v>1022</v>
      </c>
      <c r="D361" s="27">
        <v>33452</v>
      </c>
      <c r="E361" s="28" t="s">
        <v>1023</v>
      </c>
      <c r="F361" s="28" t="s">
        <v>104</v>
      </c>
      <c r="G361" s="28" t="s">
        <v>20</v>
      </c>
      <c r="H361" s="28" t="s">
        <v>21</v>
      </c>
      <c r="I361" s="28" t="s">
        <v>21</v>
      </c>
      <c r="J361" s="28" t="s">
        <v>1024</v>
      </c>
      <c r="K361" s="28" t="s">
        <v>1025</v>
      </c>
      <c r="L361" s="28" t="s">
        <v>24</v>
      </c>
      <c r="M361" s="28" t="s">
        <v>21</v>
      </c>
      <c r="O361" s="92">
        <v>33455</v>
      </c>
      <c r="P361" s="28" t="s">
        <v>21</v>
      </c>
      <c r="Q361" s="26" t="b">
        <v>0</v>
      </c>
      <c r="R361" s="22">
        <f t="shared" si="5"/>
        <v>3</v>
      </c>
    </row>
    <row r="362" spans="1:18">
      <c r="A362" s="26">
        <v>593</v>
      </c>
      <c r="B362" s="27">
        <v>33452</v>
      </c>
      <c r="C362" s="28" t="s">
        <v>1026</v>
      </c>
      <c r="D362" s="27">
        <v>33449</v>
      </c>
      <c r="E362" s="28" t="s">
        <v>1027</v>
      </c>
      <c r="F362" s="28" t="s">
        <v>904</v>
      </c>
      <c r="G362" s="28" t="s">
        <v>20</v>
      </c>
      <c r="H362" s="28" t="s">
        <v>21</v>
      </c>
      <c r="I362" s="28" t="s">
        <v>21</v>
      </c>
      <c r="J362" s="28" t="s">
        <v>1028</v>
      </c>
      <c r="K362" s="28" t="s">
        <v>1029</v>
      </c>
      <c r="L362" s="28" t="s">
        <v>686</v>
      </c>
      <c r="M362" s="28" t="s">
        <v>21</v>
      </c>
      <c r="O362" s="92">
        <v>35857</v>
      </c>
      <c r="P362" s="28" t="s">
        <v>21</v>
      </c>
      <c r="Q362" s="26" t="b">
        <v>0</v>
      </c>
      <c r="R362" s="22">
        <f t="shared" si="5"/>
        <v>2403</v>
      </c>
    </row>
    <row r="363" spans="1:18">
      <c r="A363" s="26">
        <v>594</v>
      </c>
      <c r="B363" s="27">
        <v>33452</v>
      </c>
      <c r="C363" s="28" t="s">
        <v>1030</v>
      </c>
      <c r="D363" s="27">
        <v>33450</v>
      </c>
      <c r="E363" s="28" t="s">
        <v>1031</v>
      </c>
      <c r="F363" s="28" t="s">
        <v>124</v>
      </c>
      <c r="G363" s="28" t="s">
        <v>20</v>
      </c>
      <c r="H363" s="28" t="s">
        <v>21</v>
      </c>
      <c r="I363" s="28" t="s">
        <v>21</v>
      </c>
      <c r="J363" s="28" t="s">
        <v>126</v>
      </c>
      <c r="K363" s="28" t="s">
        <v>1032</v>
      </c>
      <c r="L363" s="28" t="s">
        <v>82</v>
      </c>
      <c r="M363" s="28" t="s">
        <v>21</v>
      </c>
      <c r="O363" s="92">
        <v>33583</v>
      </c>
      <c r="P363" s="28" t="s">
        <v>31</v>
      </c>
      <c r="Q363" s="26" t="b">
        <v>0</v>
      </c>
      <c r="R363" s="22">
        <f t="shared" si="5"/>
        <v>130</v>
      </c>
    </row>
    <row r="364" spans="1:18">
      <c r="A364" s="26">
        <v>597</v>
      </c>
      <c r="B364" s="27">
        <v>33456</v>
      </c>
      <c r="C364" s="28" t="s">
        <v>1033</v>
      </c>
      <c r="D364" s="27">
        <v>33452</v>
      </c>
      <c r="E364" s="28" t="s">
        <v>1034</v>
      </c>
      <c r="F364" s="28" t="s">
        <v>455</v>
      </c>
      <c r="G364" s="28" t="s">
        <v>20</v>
      </c>
      <c r="H364" s="28" t="s">
        <v>71</v>
      </c>
      <c r="I364" s="28" t="s">
        <v>72</v>
      </c>
      <c r="J364" s="28" t="s">
        <v>1035</v>
      </c>
      <c r="K364" s="28" t="s">
        <v>1036</v>
      </c>
      <c r="L364" s="28" t="s">
        <v>24</v>
      </c>
      <c r="M364" s="28" t="s">
        <v>21</v>
      </c>
      <c r="O364" s="92">
        <v>35059</v>
      </c>
      <c r="P364" s="28" t="s">
        <v>21</v>
      </c>
      <c r="Q364" s="26" t="b">
        <v>0</v>
      </c>
      <c r="R364" s="22">
        <f t="shared" si="5"/>
        <v>1601</v>
      </c>
    </row>
    <row r="365" spans="1:18">
      <c r="A365" s="26">
        <v>602</v>
      </c>
      <c r="B365" s="27">
        <v>33459</v>
      </c>
      <c r="C365" s="28" t="s">
        <v>1037</v>
      </c>
      <c r="D365" s="27">
        <v>33457</v>
      </c>
      <c r="E365" s="28" t="s">
        <v>1038</v>
      </c>
      <c r="F365" s="28" t="s">
        <v>1039</v>
      </c>
      <c r="G365" s="28" t="s">
        <v>20</v>
      </c>
      <c r="H365" s="28" t="s">
        <v>21</v>
      </c>
      <c r="I365" s="28" t="s">
        <v>21</v>
      </c>
      <c r="J365" s="28" t="s">
        <v>920</v>
      </c>
      <c r="K365" s="28" t="s">
        <v>1040</v>
      </c>
      <c r="L365" s="28" t="s">
        <v>24</v>
      </c>
      <c r="M365" s="28" t="s">
        <v>21</v>
      </c>
      <c r="N365" s="29">
        <v>33480</v>
      </c>
      <c r="O365" s="92">
        <v>33577</v>
      </c>
      <c r="P365" s="28" t="s">
        <v>21</v>
      </c>
      <c r="Q365" s="26" t="b">
        <v>0</v>
      </c>
      <c r="R365" s="22">
        <f t="shared" si="5"/>
        <v>117</v>
      </c>
    </row>
    <row r="366" spans="1:18">
      <c r="A366" s="26">
        <v>603</v>
      </c>
      <c r="B366" s="27">
        <v>33462</v>
      </c>
      <c r="C366" s="28" t="s">
        <v>1041</v>
      </c>
      <c r="D366" s="27">
        <v>33458</v>
      </c>
      <c r="E366" s="28" t="s">
        <v>61</v>
      </c>
      <c r="F366" s="28" t="s">
        <v>98</v>
      </c>
      <c r="G366" s="28" t="s">
        <v>20</v>
      </c>
      <c r="H366" s="28" t="s">
        <v>21</v>
      </c>
      <c r="I366" s="28" t="s">
        <v>21</v>
      </c>
      <c r="J366" s="28" t="s">
        <v>1042</v>
      </c>
      <c r="K366" s="28" t="s">
        <v>21</v>
      </c>
      <c r="L366" s="28" t="s">
        <v>21</v>
      </c>
      <c r="M366" s="28" t="s">
        <v>21</v>
      </c>
      <c r="N366" s="29">
        <v>33479</v>
      </c>
      <c r="O366" s="92">
        <v>33463</v>
      </c>
      <c r="P366" s="28" t="s">
        <v>21</v>
      </c>
      <c r="Q366" s="26" t="b">
        <v>0</v>
      </c>
      <c r="R366" s="22">
        <f t="shared" si="5"/>
        <v>1</v>
      </c>
    </row>
    <row r="367" spans="1:18">
      <c r="A367" s="26">
        <v>607</v>
      </c>
      <c r="B367" s="27">
        <v>33465</v>
      </c>
      <c r="C367" s="28" t="s">
        <v>1043</v>
      </c>
      <c r="D367" s="27">
        <v>33464</v>
      </c>
      <c r="E367" s="28" t="s">
        <v>38</v>
      </c>
      <c r="F367" s="28" t="s">
        <v>371</v>
      </c>
      <c r="G367" s="28" t="s">
        <v>20</v>
      </c>
      <c r="H367" s="28" t="s">
        <v>21</v>
      </c>
      <c r="I367" s="28" t="s">
        <v>21</v>
      </c>
      <c r="J367" s="28" t="s">
        <v>1044</v>
      </c>
      <c r="K367" s="28" t="s">
        <v>1045</v>
      </c>
      <c r="L367" s="28" t="s">
        <v>651</v>
      </c>
      <c r="M367" s="28" t="s">
        <v>21</v>
      </c>
      <c r="N367" s="29">
        <v>33473</v>
      </c>
      <c r="O367" s="92">
        <v>33472</v>
      </c>
      <c r="P367" s="28" t="s">
        <v>31</v>
      </c>
      <c r="Q367" s="26" t="b">
        <v>0</v>
      </c>
      <c r="R367" s="22">
        <f t="shared" si="5"/>
        <v>7</v>
      </c>
    </row>
    <row r="368" spans="1:18">
      <c r="A368" s="26">
        <v>608</v>
      </c>
      <c r="B368" s="27">
        <v>33465</v>
      </c>
      <c r="C368" s="28" t="s">
        <v>1046</v>
      </c>
      <c r="D368" s="27">
        <v>33473</v>
      </c>
      <c r="E368" s="28" t="s">
        <v>299</v>
      </c>
      <c r="F368" s="28" t="s">
        <v>1047</v>
      </c>
      <c r="G368" s="28" t="s">
        <v>20</v>
      </c>
      <c r="H368" s="28" t="s">
        <v>71</v>
      </c>
      <c r="I368" s="28" t="s">
        <v>72</v>
      </c>
      <c r="J368" s="28" t="s">
        <v>1048</v>
      </c>
      <c r="K368" s="28" t="s">
        <v>802</v>
      </c>
      <c r="L368" s="28" t="s">
        <v>1049</v>
      </c>
      <c r="M368" s="28" t="s">
        <v>21</v>
      </c>
      <c r="N368" s="27">
        <v>33473</v>
      </c>
      <c r="O368" s="92">
        <v>33469</v>
      </c>
      <c r="P368" s="28" t="s">
        <v>21</v>
      </c>
      <c r="Q368" s="26" t="b">
        <v>0</v>
      </c>
      <c r="R368" s="22">
        <f t="shared" si="5"/>
        <v>4</v>
      </c>
    </row>
    <row r="369" spans="1:18">
      <c r="A369" s="26">
        <v>610</v>
      </c>
      <c r="B369" s="27">
        <v>33471</v>
      </c>
      <c r="C369" s="28" t="s">
        <v>1050</v>
      </c>
      <c r="D369" s="27">
        <v>33462</v>
      </c>
      <c r="E369" s="28" t="s">
        <v>1051</v>
      </c>
      <c r="F369" s="28" t="s">
        <v>98</v>
      </c>
      <c r="G369" s="28" t="s">
        <v>20</v>
      </c>
      <c r="H369" s="28" t="s">
        <v>21</v>
      </c>
      <c r="I369" s="28" t="s">
        <v>21</v>
      </c>
      <c r="J369" s="28" t="s">
        <v>1052</v>
      </c>
      <c r="K369" s="28" t="s">
        <v>1053</v>
      </c>
      <c r="L369" s="28" t="s">
        <v>30</v>
      </c>
      <c r="M369" s="28" t="s">
        <v>21</v>
      </c>
      <c r="N369" s="27">
        <v>33501</v>
      </c>
      <c r="O369" s="92">
        <v>34974</v>
      </c>
      <c r="P369" s="28" t="s">
        <v>21</v>
      </c>
      <c r="Q369" s="26" t="b">
        <v>0</v>
      </c>
      <c r="R369" s="22">
        <f t="shared" si="5"/>
        <v>1501</v>
      </c>
    </row>
    <row r="370" spans="1:18">
      <c r="A370" s="26">
        <v>615</v>
      </c>
      <c r="B370" s="27">
        <v>33473</v>
      </c>
      <c r="C370" s="28" t="s">
        <v>1054</v>
      </c>
      <c r="D370" s="27">
        <v>33473</v>
      </c>
      <c r="E370" s="28" t="s">
        <v>1055</v>
      </c>
      <c r="F370" s="28" t="s">
        <v>149</v>
      </c>
      <c r="G370" s="28" t="s">
        <v>20</v>
      </c>
      <c r="H370" s="28" t="s">
        <v>21</v>
      </c>
      <c r="I370" s="28" t="s">
        <v>21</v>
      </c>
      <c r="J370" s="28" t="s">
        <v>1056</v>
      </c>
      <c r="K370" s="28" t="s">
        <v>1057</v>
      </c>
      <c r="L370" s="28" t="s">
        <v>651</v>
      </c>
      <c r="M370" s="28" t="s">
        <v>21</v>
      </c>
      <c r="N370" s="27">
        <v>33484</v>
      </c>
      <c r="O370" s="92">
        <v>33487</v>
      </c>
      <c r="P370" s="28" t="s">
        <v>21</v>
      </c>
      <c r="Q370" s="26" t="b">
        <v>0</v>
      </c>
      <c r="R370" s="22">
        <f t="shared" si="5"/>
        <v>13</v>
      </c>
    </row>
    <row r="371" spans="1:18">
      <c r="A371" s="26">
        <v>617</v>
      </c>
      <c r="B371" s="27">
        <v>33473</v>
      </c>
      <c r="C371" s="28" t="s">
        <v>1058</v>
      </c>
      <c r="D371" s="27">
        <v>33470</v>
      </c>
      <c r="E371" s="28" t="s">
        <v>38</v>
      </c>
      <c r="F371" s="28" t="s">
        <v>242</v>
      </c>
      <c r="G371" s="28" t="s">
        <v>20</v>
      </c>
      <c r="H371" s="28" t="s">
        <v>21</v>
      </c>
      <c r="I371" s="28" t="s">
        <v>21</v>
      </c>
      <c r="J371" s="28" t="s">
        <v>1059</v>
      </c>
      <c r="K371" s="28" t="s">
        <v>21</v>
      </c>
      <c r="L371" s="28" t="s">
        <v>24</v>
      </c>
      <c r="M371" s="28" t="s">
        <v>21</v>
      </c>
      <c r="O371" s="92">
        <v>33473</v>
      </c>
      <c r="P371" s="28" t="s">
        <v>21</v>
      </c>
      <c r="Q371" s="26" t="b">
        <v>0</v>
      </c>
      <c r="R371" s="22">
        <f t="shared" si="5"/>
        <v>0</v>
      </c>
    </row>
    <row r="372" spans="1:18">
      <c r="A372" s="26">
        <v>618</v>
      </c>
      <c r="B372" s="27">
        <v>33476</v>
      </c>
      <c r="C372" s="28" t="s">
        <v>1060</v>
      </c>
      <c r="D372" s="18"/>
      <c r="E372" s="28" t="s">
        <v>299</v>
      </c>
      <c r="F372" s="28" t="s">
        <v>1061</v>
      </c>
      <c r="G372" s="28" t="s">
        <v>20</v>
      </c>
      <c r="H372" s="28" t="s">
        <v>21</v>
      </c>
      <c r="I372" s="28" t="s">
        <v>21</v>
      </c>
      <c r="J372" s="28" t="s">
        <v>1062</v>
      </c>
      <c r="K372" s="28" t="s">
        <v>1063</v>
      </c>
      <c r="L372" s="28" t="s">
        <v>1049</v>
      </c>
      <c r="M372" s="28" t="s">
        <v>21</v>
      </c>
      <c r="N372" s="18"/>
      <c r="O372" s="92">
        <v>33480</v>
      </c>
      <c r="P372" s="28" t="s">
        <v>21</v>
      </c>
      <c r="Q372" s="26" t="b">
        <v>0</v>
      </c>
      <c r="R372" s="22">
        <f t="shared" si="5"/>
        <v>4</v>
      </c>
    </row>
    <row r="373" spans="1:18">
      <c r="A373" s="26">
        <v>620</v>
      </c>
      <c r="B373" s="27">
        <v>33478</v>
      </c>
      <c r="C373" s="28" t="s">
        <v>1064</v>
      </c>
      <c r="D373" s="27">
        <v>33476</v>
      </c>
      <c r="E373" s="28" t="s">
        <v>1065</v>
      </c>
      <c r="F373" s="28" t="s">
        <v>124</v>
      </c>
      <c r="G373" s="28" t="s">
        <v>20</v>
      </c>
      <c r="H373" s="28" t="s">
        <v>21</v>
      </c>
      <c r="I373" s="28" t="s">
        <v>21</v>
      </c>
      <c r="J373" s="28" t="s">
        <v>1066</v>
      </c>
      <c r="K373" s="28" t="s">
        <v>1067</v>
      </c>
      <c r="L373" s="28" t="s">
        <v>24</v>
      </c>
      <c r="M373" s="28" t="s">
        <v>21</v>
      </c>
      <c r="N373" s="18"/>
      <c r="O373" s="92">
        <v>33485</v>
      </c>
      <c r="P373" s="28" t="s">
        <v>31</v>
      </c>
      <c r="Q373" s="26" t="b">
        <v>0</v>
      </c>
      <c r="R373" s="22">
        <f t="shared" si="5"/>
        <v>6</v>
      </c>
    </row>
    <row r="374" spans="1:18">
      <c r="A374" s="26">
        <v>621</v>
      </c>
      <c r="B374" s="27">
        <v>33480</v>
      </c>
      <c r="C374" s="28" t="s">
        <v>1068</v>
      </c>
      <c r="D374" s="27">
        <v>33479</v>
      </c>
      <c r="E374" s="28" t="s">
        <v>61</v>
      </c>
      <c r="F374" s="28" t="s">
        <v>56</v>
      </c>
      <c r="G374" s="28" t="s">
        <v>20</v>
      </c>
      <c r="H374" s="28" t="s">
        <v>21</v>
      </c>
      <c r="I374" s="28" t="s">
        <v>21</v>
      </c>
      <c r="J374" s="28" t="s">
        <v>21</v>
      </c>
      <c r="K374" s="28" t="s">
        <v>21</v>
      </c>
      <c r="L374" s="28" t="s">
        <v>59</v>
      </c>
      <c r="M374" s="28" t="s">
        <v>21</v>
      </c>
      <c r="N374" s="27">
        <v>33486</v>
      </c>
      <c r="O374" s="92">
        <v>33484</v>
      </c>
      <c r="P374" s="28" t="s">
        <v>21</v>
      </c>
      <c r="Q374" s="26" t="b">
        <v>0</v>
      </c>
      <c r="R374" s="22">
        <f t="shared" si="5"/>
        <v>3</v>
      </c>
    </row>
    <row r="375" spans="1:18">
      <c r="A375" s="26">
        <v>622</v>
      </c>
      <c r="B375" s="27">
        <v>33484</v>
      </c>
      <c r="C375" s="28" t="s">
        <v>1069</v>
      </c>
      <c r="D375" s="27">
        <v>33480</v>
      </c>
      <c r="E375" s="28" t="s">
        <v>1070</v>
      </c>
      <c r="F375" s="28" t="s">
        <v>19</v>
      </c>
      <c r="G375" s="28" t="s">
        <v>20</v>
      </c>
      <c r="H375" s="28" t="s">
        <v>21</v>
      </c>
      <c r="I375" s="28" t="s">
        <v>21</v>
      </c>
      <c r="J375" s="28" t="s">
        <v>1071</v>
      </c>
      <c r="K375" s="28" t="s">
        <v>1072</v>
      </c>
      <c r="L375" s="28" t="s">
        <v>651</v>
      </c>
      <c r="M375" s="28" t="s">
        <v>21</v>
      </c>
      <c r="N375" s="18"/>
      <c r="O375" s="92">
        <v>33506</v>
      </c>
      <c r="P375" s="28" t="s">
        <v>31</v>
      </c>
      <c r="Q375" s="26" t="b">
        <v>0</v>
      </c>
      <c r="R375" s="22">
        <f t="shared" si="5"/>
        <v>22</v>
      </c>
    </row>
    <row r="376" spans="1:18">
      <c r="A376" s="26">
        <v>623</v>
      </c>
      <c r="B376" s="27">
        <v>33486</v>
      </c>
      <c r="C376" s="28" t="s">
        <v>1073</v>
      </c>
      <c r="D376" s="27">
        <v>33486</v>
      </c>
      <c r="E376" s="28" t="s">
        <v>1074</v>
      </c>
      <c r="F376" s="28" t="s">
        <v>242</v>
      </c>
      <c r="G376" s="28" t="s">
        <v>20</v>
      </c>
      <c r="H376" s="28" t="s">
        <v>21</v>
      </c>
      <c r="I376" s="28" t="s">
        <v>21</v>
      </c>
      <c r="J376" s="28" t="s">
        <v>1075</v>
      </c>
      <c r="K376" s="28" t="s">
        <v>1076</v>
      </c>
      <c r="L376" s="28" t="s">
        <v>651</v>
      </c>
      <c r="M376" s="28" t="s">
        <v>21</v>
      </c>
      <c r="N376" s="27">
        <v>33492</v>
      </c>
      <c r="O376" s="92">
        <v>33493</v>
      </c>
      <c r="P376" s="28" t="s">
        <v>21</v>
      </c>
      <c r="Q376" s="26" t="b">
        <v>0</v>
      </c>
      <c r="R376" s="22">
        <f t="shared" si="5"/>
        <v>7</v>
      </c>
    </row>
    <row r="377" spans="1:18">
      <c r="A377" s="26">
        <v>626</v>
      </c>
      <c r="B377" s="27">
        <v>33490</v>
      </c>
      <c r="C377" s="28" t="s">
        <v>1077</v>
      </c>
      <c r="D377" s="27">
        <v>33487</v>
      </c>
      <c r="E377" s="28" t="s">
        <v>1078</v>
      </c>
      <c r="F377" s="28" t="s">
        <v>395</v>
      </c>
      <c r="G377" s="28" t="s">
        <v>20</v>
      </c>
      <c r="H377" s="28" t="s">
        <v>21</v>
      </c>
      <c r="I377" s="28" t="s">
        <v>21</v>
      </c>
      <c r="J377" s="28" t="s">
        <v>1079</v>
      </c>
      <c r="K377" s="28" t="s">
        <v>1080</v>
      </c>
      <c r="L377" s="28" t="s">
        <v>24</v>
      </c>
      <c r="M377" s="28" t="s">
        <v>21</v>
      </c>
      <c r="N377" s="18"/>
      <c r="O377" s="92">
        <v>33732</v>
      </c>
      <c r="P377" s="28" t="s">
        <v>31</v>
      </c>
      <c r="Q377" s="26" t="b">
        <v>0</v>
      </c>
      <c r="R377" s="22">
        <f t="shared" si="5"/>
        <v>242</v>
      </c>
    </row>
    <row r="378" spans="1:18">
      <c r="A378" s="26">
        <v>627</v>
      </c>
      <c r="B378" s="27">
        <v>33491</v>
      </c>
      <c r="C378" s="28" t="s">
        <v>1081</v>
      </c>
      <c r="D378" s="27">
        <v>33489</v>
      </c>
      <c r="E378" s="28" t="s">
        <v>1082</v>
      </c>
      <c r="F378" s="28" t="s">
        <v>124</v>
      </c>
      <c r="G378" s="28" t="s">
        <v>20</v>
      </c>
      <c r="H378" s="28" t="s">
        <v>21</v>
      </c>
      <c r="I378" s="28" t="s">
        <v>21</v>
      </c>
      <c r="J378" s="28" t="s">
        <v>1083</v>
      </c>
      <c r="K378" s="28" t="s">
        <v>1084</v>
      </c>
      <c r="L378" s="28" t="s">
        <v>24</v>
      </c>
      <c r="M378" s="28" t="s">
        <v>21</v>
      </c>
      <c r="N378" s="18"/>
      <c r="O378" s="92">
        <v>33590</v>
      </c>
      <c r="P378" s="28" t="s">
        <v>31</v>
      </c>
      <c r="Q378" s="26" t="b">
        <v>0</v>
      </c>
      <c r="R378" s="22">
        <f t="shared" si="5"/>
        <v>99</v>
      </c>
    </row>
    <row r="379" spans="1:18">
      <c r="A379" s="26">
        <v>629</v>
      </c>
      <c r="B379" s="27">
        <v>33493</v>
      </c>
      <c r="C379" s="28" t="s">
        <v>1085</v>
      </c>
      <c r="D379" s="27">
        <v>33491</v>
      </c>
      <c r="E379" s="28" t="s">
        <v>1086</v>
      </c>
      <c r="F379" s="28" t="s">
        <v>395</v>
      </c>
      <c r="G379" s="28" t="s">
        <v>20</v>
      </c>
      <c r="H379" s="28" t="s">
        <v>21</v>
      </c>
      <c r="I379" s="28" t="s">
        <v>21</v>
      </c>
      <c r="J379" s="28" t="s">
        <v>1079</v>
      </c>
      <c r="K379" s="28" t="s">
        <v>1087</v>
      </c>
      <c r="L379" s="28" t="s">
        <v>24</v>
      </c>
      <c r="M379" s="28" t="s">
        <v>21</v>
      </c>
      <c r="O379" s="92">
        <v>33732</v>
      </c>
      <c r="P379" s="28" t="s">
        <v>31</v>
      </c>
      <c r="Q379" s="26" t="b">
        <v>0</v>
      </c>
      <c r="R379" s="22">
        <f t="shared" si="5"/>
        <v>239</v>
      </c>
    </row>
    <row r="380" spans="1:18">
      <c r="A380" s="26">
        <v>631</v>
      </c>
      <c r="B380" s="27">
        <v>33497</v>
      </c>
      <c r="C380" s="28" t="s">
        <v>1088</v>
      </c>
      <c r="D380" s="27">
        <v>33493</v>
      </c>
      <c r="E380" s="28" t="s">
        <v>1089</v>
      </c>
      <c r="F380" s="28" t="s">
        <v>39</v>
      </c>
      <c r="G380" s="28" t="s">
        <v>20</v>
      </c>
      <c r="H380" s="28" t="s">
        <v>21</v>
      </c>
      <c r="I380" s="28" t="s">
        <v>21</v>
      </c>
      <c r="J380" s="28" t="s">
        <v>1090</v>
      </c>
      <c r="K380" s="28" t="s">
        <v>21</v>
      </c>
      <c r="L380" s="28" t="s">
        <v>30</v>
      </c>
      <c r="M380" s="28" t="s">
        <v>21</v>
      </c>
      <c r="N380" s="29">
        <v>33499</v>
      </c>
      <c r="O380" s="92">
        <v>34974</v>
      </c>
      <c r="P380" s="28" t="s">
        <v>21</v>
      </c>
      <c r="Q380" s="26" t="b">
        <v>0</v>
      </c>
      <c r="R380" s="22">
        <f t="shared" si="5"/>
        <v>1476</v>
      </c>
    </row>
    <row r="381" spans="1:18">
      <c r="A381" s="26">
        <v>632</v>
      </c>
      <c r="B381" s="27">
        <v>33498</v>
      </c>
      <c r="C381" s="28" t="s">
        <v>1091</v>
      </c>
      <c r="D381" s="27">
        <v>33492</v>
      </c>
      <c r="E381" s="28" t="s">
        <v>1092</v>
      </c>
      <c r="F381" s="28" t="s">
        <v>39</v>
      </c>
      <c r="G381" s="28" t="s">
        <v>20</v>
      </c>
      <c r="H381" s="28" t="s">
        <v>21</v>
      </c>
      <c r="I381" s="28" t="s">
        <v>21</v>
      </c>
      <c r="J381" s="28" t="s">
        <v>1093</v>
      </c>
      <c r="K381" s="28" t="s">
        <v>1094</v>
      </c>
      <c r="L381" s="28" t="s">
        <v>30</v>
      </c>
      <c r="M381" s="28" t="s">
        <v>21</v>
      </c>
      <c r="N381" s="27">
        <v>33505</v>
      </c>
      <c r="O381" s="92">
        <v>33505</v>
      </c>
      <c r="P381" s="28" t="s">
        <v>21</v>
      </c>
      <c r="Q381" s="26" t="b">
        <v>0</v>
      </c>
      <c r="R381" s="22">
        <f t="shared" si="5"/>
        <v>7</v>
      </c>
    </row>
    <row r="382" spans="1:18">
      <c r="A382" s="26">
        <v>633</v>
      </c>
      <c r="B382" s="27">
        <v>33498</v>
      </c>
      <c r="C382" s="28" t="s">
        <v>1095</v>
      </c>
      <c r="D382" s="27">
        <v>33487</v>
      </c>
      <c r="E382" s="28" t="s">
        <v>38</v>
      </c>
      <c r="F382" s="28" t="s">
        <v>149</v>
      </c>
      <c r="G382" s="28" t="s">
        <v>20</v>
      </c>
      <c r="H382" s="28" t="s">
        <v>21</v>
      </c>
      <c r="I382" s="28" t="s">
        <v>21</v>
      </c>
      <c r="J382" s="28" t="s">
        <v>1096</v>
      </c>
      <c r="K382" s="28" t="s">
        <v>1097</v>
      </c>
      <c r="L382" s="28" t="s">
        <v>30</v>
      </c>
      <c r="M382" s="28" t="s">
        <v>21</v>
      </c>
      <c r="N382" s="27">
        <v>33511</v>
      </c>
      <c r="O382" s="92">
        <v>33505</v>
      </c>
      <c r="P382" s="28" t="s">
        <v>21</v>
      </c>
      <c r="Q382" s="26" t="b">
        <v>0</v>
      </c>
      <c r="R382" s="22">
        <f t="shared" si="5"/>
        <v>7</v>
      </c>
    </row>
    <row r="383" spans="1:18">
      <c r="A383" s="26">
        <v>634</v>
      </c>
      <c r="B383" s="27">
        <v>33499</v>
      </c>
      <c r="C383" s="28" t="s">
        <v>1098</v>
      </c>
      <c r="D383" s="27">
        <v>33495</v>
      </c>
      <c r="E383" s="28" t="s">
        <v>1099</v>
      </c>
      <c r="F383" s="28" t="s">
        <v>999</v>
      </c>
      <c r="G383" s="28" t="s">
        <v>20</v>
      </c>
      <c r="H383" s="28" t="s">
        <v>71</v>
      </c>
      <c r="I383" s="28" t="s">
        <v>72</v>
      </c>
      <c r="J383" s="28" t="s">
        <v>1100</v>
      </c>
      <c r="K383" s="28" t="s">
        <v>1101</v>
      </c>
      <c r="L383" s="28" t="s">
        <v>82</v>
      </c>
      <c r="M383" s="28" t="s">
        <v>21</v>
      </c>
      <c r="N383" s="27">
        <v>33515</v>
      </c>
      <c r="O383" s="92">
        <v>33641</v>
      </c>
      <c r="P383" s="28" t="s">
        <v>31</v>
      </c>
      <c r="Q383" s="26" t="b">
        <v>0</v>
      </c>
      <c r="R383" s="22">
        <f t="shared" si="5"/>
        <v>140</v>
      </c>
    </row>
    <row r="384" spans="1:18">
      <c r="A384" s="26">
        <v>635</v>
      </c>
      <c r="B384" s="27">
        <v>33499</v>
      </c>
      <c r="C384" s="28" t="s">
        <v>1102</v>
      </c>
      <c r="D384" s="27">
        <v>33497</v>
      </c>
      <c r="E384" s="28" t="s">
        <v>1103</v>
      </c>
      <c r="F384" s="28" t="s">
        <v>104</v>
      </c>
      <c r="G384" s="28" t="s">
        <v>20</v>
      </c>
      <c r="H384" s="28" t="s">
        <v>21</v>
      </c>
      <c r="I384" s="28" t="s">
        <v>21</v>
      </c>
      <c r="J384" s="28" t="s">
        <v>1104</v>
      </c>
      <c r="K384" s="28" t="s">
        <v>1105</v>
      </c>
      <c r="L384" s="28" t="s">
        <v>24</v>
      </c>
      <c r="M384" s="28" t="s">
        <v>21</v>
      </c>
      <c r="N384" s="18"/>
      <c r="O384" s="92">
        <v>33603</v>
      </c>
      <c r="P384" s="28" t="s">
        <v>21</v>
      </c>
      <c r="Q384" s="26" t="b">
        <v>0</v>
      </c>
      <c r="R384" s="22">
        <f t="shared" si="5"/>
        <v>104</v>
      </c>
    </row>
    <row r="385" spans="1:18">
      <c r="A385" s="26">
        <v>636</v>
      </c>
      <c r="B385" s="27">
        <v>33504</v>
      </c>
      <c r="C385" s="28" t="s">
        <v>1106</v>
      </c>
      <c r="D385" s="27">
        <v>32829</v>
      </c>
      <c r="E385" s="28" t="s">
        <v>1107</v>
      </c>
      <c r="F385" s="28" t="s">
        <v>85</v>
      </c>
      <c r="G385" s="28" t="s">
        <v>20</v>
      </c>
      <c r="H385" s="28" t="s">
        <v>21</v>
      </c>
      <c r="I385" s="28" t="s">
        <v>21</v>
      </c>
      <c r="J385" s="28" t="s">
        <v>1108</v>
      </c>
      <c r="K385" s="28" t="s">
        <v>21</v>
      </c>
      <c r="L385" s="28" t="s">
        <v>66</v>
      </c>
      <c r="M385" s="28" t="s">
        <v>24</v>
      </c>
      <c r="N385" s="18"/>
      <c r="O385" s="92">
        <v>37071</v>
      </c>
      <c r="P385" s="28" t="s">
        <v>21</v>
      </c>
      <c r="Q385" s="26" t="b">
        <v>0</v>
      </c>
      <c r="R385" s="22">
        <f t="shared" si="5"/>
        <v>3564</v>
      </c>
    </row>
    <row r="386" spans="1:18">
      <c r="A386" s="26">
        <v>637</v>
      </c>
      <c r="B386" s="27">
        <v>33504</v>
      </c>
      <c r="C386" s="28" t="s">
        <v>1109</v>
      </c>
      <c r="D386" s="27">
        <v>32644</v>
      </c>
      <c r="E386" s="28" t="s">
        <v>1110</v>
      </c>
      <c r="F386" s="28" t="s">
        <v>1111</v>
      </c>
      <c r="G386" s="28" t="s">
        <v>20</v>
      </c>
      <c r="H386" s="28" t="s">
        <v>21</v>
      </c>
      <c r="I386" s="28" t="s">
        <v>21</v>
      </c>
      <c r="J386" s="28" t="s">
        <v>1112</v>
      </c>
      <c r="K386" s="28" t="s">
        <v>21</v>
      </c>
      <c r="L386" s="28" t="s">
        <v>24</v>
      </c>
      <c r="M386" s="28" t="s">
        <v>21</v>
      </c>
      <c r="N386" s="27">
        <v>33519</v>
      </c>
      <c r="O386" s="92">
        <v>33519</v>
      </c>
      <c r="P386" s="28" t="s">
        <v>21</v>
      </c>
      <c r="Q386" s="26" t="b">
        <v>0</v>
      </c>
      <c r="R386" s="22">
        <f t="shared" ref="R386:R449" si="6">IF(O386=" ", " ", INT(YEARFRAC(O386, B386)*365))</f>
        <v>15</v>
      </c>
    </row>
    <row r="387" spans="1:18">
      <c r="A387" s="26">
        <v>638</v>
      </c>
      <c r="B387" s="27">
        <v>33504</v>
      </c>
      <c r="C387" s="28" t="s">
        <v>1113</v>
      </c>
      <c r="D387" s="27">
        <v>33501</v>
      </c>
      <c r="E387" s="28" t="s">
        <v>38</v>
      </c>
      <c r="F387" s="28" t="s">
        <v>974</v>
      </c>
      <c r="G387" s="28" t="s">
        <v>20</v>
      </c>
      <c r="H387" s="28" t="s">
        <v>212</v>
      </c>
      <c r="I387" s="28" t="s">
        <v>212</v>
      </c>
      <c r="J387" s="28" t="s">
        <v>1114</v>
      </c>
      <c r="K387" s="28" t="s">
        <v>21</v>
      </c>
      <c r="L387" s="28" t="s">
        <v>24</v>
      </c>
      <c r="M387" s="28" t="s">
        <v>21</v>
      </c>
      <c r="N387" s="18"/>
      <c r="O387" s="92">
        <v>33518</v>
      </c>
      <c r="P387" s="28" t="s">
        <v>21</v>
      </c>
      <c r="Q387" s="26" t="b">
        <v>0</v>
      </c>
      <c r="R387" s="22">
        <f t="shared" si="6"/>
        <v>14</v>
      </c>
    </row>
    <row r="388" spans="1:18">
      <c r="A388" s="26">
        <v>649</v>
      </c>
      <c r="B388" s="27">
        <v>33506</v>
      </c>
      <c r="C388" s="28" t="s">
        <v>1132</v>
      </c>
      <c r="D388" s="27">
        <v>33506</v>
      </c>
      <c r="E388" s="28" t="s">
        <v>1133</v>
      </c>
      <c r="F388" s="28" t="s">
        <v>39</v>
      </c>
      <c r="G388" s="28" t="s">
        <v>20</v>
      </c>
      <c r="H388" s="28" t="s">
        <v>21</v>
      </c>
      <c r="I388" s="28" t="s">
        <v>21</v>
      </c>
      <c r="J388" s="28" t="s">
        <v>1134</v>
      </c>
      <c r="K388" s="28" t="s">
        <v>1135</v>
      </c>
      <c r="L388" s="28" t="s">
        <v>24</v>
      </c>
      <c r="M388" s="28" t="s">
        <v>21</v>
      </c>
      <c r="N388" s="18"/>
      <c r="O388" s="92">
        <v>33519</v>
      </c>
      <c r="P388" s="28" t="s">
        <v>21</v>
      </c>
      <c r="Q388" s="26" t="b">
        <v>0</v>
      </c>
      <c r="R388" s="22">
        <f t="shared" si="6"/>
        <v>13</v>
      </c>
    </row>
    <row r="389" spans="1:18">
      <c r="A389" s="26">
        <v>643</v>
      </c>
      <c r="B389" s="27">
        <v>33514</v>
      </c>
      <c r="C389" s="28" t="s">
        <v>1115</v>
      </c>
      <c r="D389" s="27">
        <v>33508</v>
      </c>
      <c r="E389" s="28" t="s">
        <v>1116</v>
      </c>
      <c r="F389" s="28" t="s">
        <v>27</v>
      </c>
      <c r="G389" s="28" t="s">
        <v>20</v>
      </c>
      <c r="H389" s="28" t="s">
        <v>21</v>
      </c>
      <c r="I389" s="28" t="s">
        <v>21</v>
      </c>
      <c r="J389" s="28" t="s">
        <v>1117</v>
      </c>
      <c r="K389" s="28" t="s">
        <v>58</v>
      </c>
      <c r="L389" s="28" t="s">
        <v>24</v>
      </c>
      <c r="M389" s="28" t="s">
        <v>21</v>
      </c>
      <c r="N389" s="18"/>
      <c r="O389" s="92">
        <v>33529</v>
      </c>
      <c r="P389" s="28" t="s">
        <v>21</v>
      </c>
      <c r="Q389" s="26" t="b">
        <v>0</v>
      </c>
      <c r="R389" s="22">
        <f t="shared" si="6"/>
        <v>15</v>
      </c>
    </row>
    <row r="390" spans="1:18">
      <c r="A390" s="26">
        <v>644</v>
      </c>
      <c r="B390" s="27">
        <v>33514</v>
      </c>
      <c r="C390" s="28" t="s">
        <v>1118</v>
      </c>
      <c r="D390" s="27">
        <v>33506</v>
      </c>
      <c r="E390" s="28" t="s">
        <v>1119</v>
      </c>
      <c r="F390" s="28" t="s">
        <v>149</v>
      </c>
      <c r="G390" s="28" t="s">
        <v>20</v>
      </c>
      <c r="H390" s="28" t="s">
        <v>21</v>
      </c>
      <c r="I390" s="28" t="s">
        <v>21</v>
      </c>
      <c r="J390" s="28" t="s">
        <v>1120</v>
      </c>
      <c r="K390" s="28" t="s">
        <v>1121</v>
      </c>
      <c r="L390" s="28" t="s">
        <v>24</v>
      </c>
      <c r="M390" s="28" t="s">
        <v>21</v>
      </c>
      <c r="N390" s="18"/>
      <c r="O390" s="92">
        <v>33645</v>
      </c>
      <c r="P390" s="28" t="s">
        <v>21</v>
      </c>
      <c r="Q390" s="26" t="b">
        <v>0</v>
      </c>
      <c r="R390" s="22">
        <f t="shared" si="6"/>
        <v>129</v>
      </c>
    </row>
    <row r="391" spans="1:18">
      <c r="A391" s="26">
        <v>646</v>
      </c>
      <c r="B391" s="27">
        <v>33515</v>
      </c>
      <c r="C391" s="28" t="s">
        <v>1122</v>
      </c>
      <c r="D391" s="27">
        <v>33509</v>
      </c>
      <c r="E391" s="28" t="s">
        <v>38</v>
      </c>
      <c r="F391" s="28" t="s">
        <v>689</v>
      </c>
      <c r="G391" s="28" t="s">
        <v>20</v>
      </c>
      <c r="H391" s="28" t="s">
        <v>212</v>
      </c>
      <c r="I391" s="28" t="s">
        <v>212</v>
      </c>
      <c r="J391" s="28" t="s">
        <v>1123</v>
      </c>
      <c r="K391" s="28" t="s">
        <v>1124</v>
      </c>
      <c r="L391" s="28" t="s">
        <v>24</v>
      </c>
      <c r="M391" s="28" t="s">
        <v>21</v>
      </c>
      <c r="N391" s="27">
        <v>33535</v>
      </c>
      <c r="O391" s="92">
        <v>33522</v>
      </c>
      <c r="P391" s="28" t="s">
        <v>21</v>
      </c>
      <c r="Q391" s="26" t="b">
        <v>0</v>
      </c>
      <c r="R391" s="22">
        <f t="shared" si="6"/>
        <v>7</v>
      </c>
    </row>
    <row r="392" spans="1:18">
      <c r="A392" s="26">
        <v>647</v>
      </c>
      <c r="B392" s="27">
        <v>33515</v>
      </c>
      <c r="C392" s="28" t="s">
        <v>1125</v>
      </c>
      <c r="D392" s="27">
        <v>33513</v>
      </c>
      <c r="E392" s="28" t="s">
        <v>255</v>
      </c>
      <c r="F392" s="28" t="s">
        <v>52</v>
      </c>
      <c r="G392" s="28" t="s">
        <v>20</v>
      </c>
      <c r="H392" s="28" t="s">
        <v>21</v>
      </c>
      <c r="I392" s="28" t="s">
        <v>21</v>
      </c>
      <c r="J392" s="28" t="s">
        <v>1126</v>
      </c>
      <c r="K392" s="28" t="s">
        <v>1127</v>
      </c>
      <c r="L392" s="28" t="s">
        <v>30</v>
      </c>
      <c r="M392" s="28" t="s">
        <v>21</v>
      </c>
      <c r="N392" s="18"/>
      <c r="O392" s="92">
        <v>33539</v>
      </c>
      <c r="P392" s="28" t="s">
        <v>21</v>
      </c>
      <c r="Q392" s="26" t="b">
        <v>0</v>
      </c>
      <c r="R392" s="22">
        <f t="shared" si="6"/>
        <v>24</v>
      </c>
    </row>
    <row r="393" spans="1:18">
      <c r="A393" s="26">
        <v>648</v>
      </c>
      <c r="B393" s="27">
        <v>33518</v>
      </c>
      <c r="C393" s="28" t="s">
        <v>1128</v>
      </c>
      <c r="D393" s="27">
        <v>33513</v>
      </c>
      <c r="E393" s="28" t="s">
        <v>1129</v>
      </c>
      <c r="F393" s="28" t="s">
        <v>228</v>
      </c>
      <c r="G393" s="28" t="s">
        <v>20</v>
      </c>
      <c r="H393" s="28" t="s">
        <v>21</v>
      </c>
      <c r="I393" s="28" t="s">
        <v>21</v>
      </c>
      <c r="J393" s="28" t="s">
        <v>1130</v>
      </c>
      <c r="K393" s="28" t="s">
        <v>1131</v>
      </c>
      <c r="L393" s="28" t="s">
        <v>30</v>
      </c>
      <c r="M393" s="28" t="s">
        <v>21</v>
      </c>
      <c r="N393" s="18"/>
      <c r="O393" s="92">
        <v>33568</v>
      </c>
      <c r="P393" s="28" t="s">
        <v>31</v>
      </c>
      <c r="Q393" s="26" t="b">
        <v>0</v>
      </c>
      <c r="R393" s="22">
        <f t="shared" si="6"/>
        <v>49</v>
      </c>
    </row>
    <row r="394" spans="1:18">
      <c r="A394" s="26">
        <v>652</v>
      </c>
      <c r="B394" s="27">
        <v>33521</v>
      </c>
      <c r="C394" s="28" t="s">
        <v>1136</v>
      </c>
      <c r="D394" s="27">
        <v>33518</v>
      </c>
      <c r="E394" s="28" t="s">
        <v>61</v>
      </c>
      <c r="F394" s="28" t="s">
        <v>19</v>
      </c>
      <c r="G394" s="28" t="s">
        <v>20</v>
      </c>
      <c r="H394" s="28" t="s">
        <v>21</v>
      </c>
      <c r="I394" s="28" t="s">
        <v>21</v>
      </c>
      <c r="J394" s="28" t="s">
        <v>1137</v>
      </c>
      <c r="K394" s="28" t="s">
        <v>1138</v>
      </c>
      <c r="L394" s="28" t="s">
        <v>59</v>
      </c>
      <c r="M394" s="28" t="s">
        <v>21</v>
      </c>
      <c r="N394" s="29">
        <v>33527</v>
      </c>
      <c r="O394" s="92">
        <v>33526</v>
      </c>
      <c r="P394" s="28" t="s">
        <v>21</v>
      </c>
      <c r="Q394" s="26" t="b">
        <v>0</v>
      </c>
      <c r="R394" s="22">
        <f t="shared" si="6"/>
        <v>5</v>
      </c>
    </row>
    <row r="395" spans="1:18">
      <c r="A395" s="26">
        <v>653</v>
      </c>
      <c r="B395" s="27">
        <v>33522</v>
      </c>
      <c r="C395" s="28" t="s">
        <v>1139</v>
      </c>
      <c r="D395" s="27">
        <v>33520</v>
      </c>
      <c r="E395" s="28" t="s">
        <v>299</v>
      </c>
      <c r="F395" s="28" t="s">
        <v>228</v>
      </c>
      <c r="G395" s="28" t="s">
        <v>20</v>
      </c>
      <c r="H395" s="28" t="s">
        <v>21</v>
      </c>
      <c r="I395" s="28" t="s">
        <v>21</v>
      </c>
      <c r="J395" s="28" t="s">
        <v>1140</v>
      </c>
      <c r="K395" s="28" t="s">
        <v>1141</v>
      </c>
      <c r="L395" s="28" t="s">
        <v>59</v>
      </c>
      <c r="M395" s="28" t="s">
        <v>21</v>
      </c>
      <c r="N395" s="27">
        <v>33529</v>
      </c>
      <c r="O395" s="92">
        <v>33528</v>
      </c>
      <c r="P395" s="28" t="s">
        <v>21</v>
      </c>
      <c r="Q395" s="26" t="b">
        <v>0</v>
      </c>
      <c r="R395" s="22">
        <f t="shared" si="6"/>
        <v>6</v>
      </c>
    </row>
    <row r="396" spans="1:18">
      <c r="A396" s="26">
        <v>654</v>
      </c>
      <c r="B396" s="27">
        <v>33527</v>
      </c>
      <c r="C396" s="28" t="s">
        <v>1142</v>
      </c>
      <c r="D396" s="27">
        <v>33522</v>
      </c>
      <c r="E396" s="28" t="s">
        <v>1143</v>
      </c>
      <c r="F396" s="28" t="s">
        <v>104</v>
      </c>
      <c r="G396" s="28" t="s">
        <v>20</v>
      </c>
      <c r="H396" s="28" t="s">
        <v>21</v>
      </c>
      <c r="I396" s="28" t="s">
        <v>21</v>
      </c>
      <c r="J396" s="28" t="s">
        <v>1144</v>
      </c>
      <c r="K396" s="28" t="s">
        <v>1145</v>
      </c>
      <c r="L396" s="28" t="s">
        <v>88</v>
      </c>
      <c r="M396" s="28" t="s">
        <v>1146</v>
      </c>
      <c r="N396" s="18"/>
      <c r="O396" s="92">
        <v>35978</v>
      </c>
      <c r="P396" s="28" t="s">
        <v>21</v>
      </c>
      <c r="Q396" s="26" t="b">
        <v>0</v>
      </c>
      <c r="R396" s="22">
        <f t="shared" si="6"/>
        <v>2449</v>
      </c>
    </row>
    <row r="397" spans="1:18">
      <c r="A397" s="26">
        <v>655</v>
      </c>
      <c r="B397" s="27">
        <v>33527</v>
      </c>
      <c r="C397" s="28" t="s">
        <v>1147</v>
      </c>
      <c r="D397" s="27">
        <v>33521</v>
      </c>
      <c r="E397" s="28" t="s">
        <v>1148</v>
      </c>
      <c r="F397" s="28" t="s">
        <v>1149</v>
      </c>
      <c r="G397" s="28" t="s">
        <v>20</v>
      </c>
      <c r="H397" s="28" t="s">
        <v>21</v>
      </c>
      <c r="I397" s="28" t="s">
        <v>21</v>
      </c>
      <c r="J397" s="28" t="s">
        <v>1150</v>
      </c>
      <c r="K397" s="28" t="s">
        <v>1151</v>
      </c>
      <c r="L397" s="28" t="s">
        <v>1152</v>
      </c>
      <c r="M397" s="28" t="s">
        <v>21</v>
      </c>
      <c r="O397" s="92">
        <v>33877</v>
      </c>
      <c r="P397" s="28" t="s">
        <v>21</v>
      </c>
      <c r="Q397" s="26" t="b">
        <v>0</v>
      </c>
      <c r="R397" s="22">
        <f t="shared" si="6"/>
        <v>348</v>
      </c>
    </row>
    <row r="398" spans="1:18">
      <c r="A398" s="26">
        <v>656</v>
      </c>
      <c r="B398" s="27">
        <v>33528</v>
      </c>
      <c r="C398" s="28" t="s">
        <v>1153</v>
      </c>
      <c r="D398" s="27">
        <v>33525</v>
      </c>
      <c r="E398" s="28" t="s">
        <v>1154</v>
      </c>
      <c r="F398" s="28" t="s">
        <v>275</v>
      </c>
      <c r="G398" s="28" t="s">
        <v>20</v>
      </c>
      <c r="H398" s="28" t="s">
        <v>21</v>
      </c>
      <c r="I398" s="28" t="s">
        <v>21</v>
      </c>
      <c r="J398" s="28" t="s">
        <v>1155</v>
      </c>
      <c r="K398" s="28" t="s">
        <v>1156</v>
      </c>
      <c r="L398" s="28" t="s">
        <v>30</v>
      </c>
      <c r="M398" s="28" t="s">
        <v>21</v>
      </c>
      <c r="N398" s="27">
        <v>33562</v>
      </c>
      <c r="O398" s="92">
        <v>33599</v>
      </c>
      <c r="P398" s="28" t="s">
        <v>21</v>
      </c>
      <c r="Q398" s="26" t="b">
        <v>0</v>
      </c>
      <c r="R398" s="22">
        <f t="shared" si="6"/>
        <v>70</v>
      </c>
    </row>
    <row r="399" spans="1:18">
      <c r="A399" s="26">
        <v>657</v>
      </c>
      <c r="B399" s="27">
        <v>33528</v>
      </c>
      <c r="C399" s="28" t="s">
        <v>1157</v>
      </c>
      <c r="D399" s="27">
        <v>33528</v>
      </c>
      <c r="E399" s="28" t="s">
        <v>1158</v>
      </c>
      <c r="F399" s="28" t="s">
        <v>1159</v>
      </c>
      <c r="G399" s="28" t="s">
        <v>20</v>
      </c>
      <c r="H399" s="28" t="s">
        <v>71</v>
      </c>
      <c r="I399" s="28" t="s">
        <v>72</v>
      </c>
      <c r="J399" s="28" t="s">
        <v>1160</v>
      </c>
      <c r="K399" s="28" t="s">
        <v>1161</v>
      </c>
      <c r="L399" s="28" t="s">
        <v>30</v>
      </c>
      <c r="M399" s="28" t="s">
        <v>21</v>
      </c>
      <c r="N399" s="27">
        <v>33554</v>
      </c>
      <c r="O399" s="92">
        <v>35730</v>
      </c>
      <c r="P399" s="28" t="s">
        <v>21</v>
      </c>
      <c r="Q399" s="26" t="b">
        <v>0</v>
      </c>
      <c r="R399" s="22">
        <f t="shared" si="6"/>
        <v>2200</v>
      </c>
    </row>
    <row r="400" spans="1:18">
      <c r="A400" s="26">
        <v>659</v>
      </c>
      <c r="B400" s="27">
        <v>33528</v>
      </c>
      <c r="C400" s="28" t="s">
        <v>1162</v>
      </c>
      <c r="D400" s="27">
        <v>33528</v>
      </c>
      <c r="E400" s="28" t="s">
        <v>1163</v>
      </c>
      <c r="F400" s="28" t="s">
        <v>350</v>
      </c>
      <c r="G400" s="28" t="s">
        <v>20</v>
      </c>
      <c r="H400" s="28" t="s">
        <v>21</v>
      </c>
      <c r="I400" s="28" t="s">
        <v>21</v>
      </c>
      <c r="J400" s="28" t="s">
        <v>1164</v>
      </c>
      <c r="K400" s="28" t="s">
        <v>1165</v>
      </c>
      <c r="L400" s="28" t="s">
        <v>24</v>
      </c>
      <c r="M400" s="28" t="s">
        <v>21</v>
      </c>
      <c r="N400" s="18"/>
      <c r="O400" s="92">
        <v>33536</v>
      </c>
      <c r="P400" s="28" t="s">
        <v>31</v>
      </c>
      <c r="Q400" s="26" t="b">
        <v>0</v>
      </c>
      <c r="R400" s="22">
        <f t="shared" si="6"/>
        <v>8</v>
      </c>
    </row>
    <row r="401" spans="1:18">
      <c r="A401" s="26">
        <v>660</v>
      </c>
      <c r="B401" s="27">
        <v>33533</v>
      </c>
      <c r="C401" s="28" t="s">
        <v>1166</v>
      </c>
      <c r="D401" s="27">
        <v>33527</v>
      </c>
      <c r="E401" s="28" t="s">
        <v>1167</v>
      </c>
      <c r="F401" s="28" t="s">
        <v>124</v>
      </c>
      <c r="G401" s="28" t="s">
        <v>20</v>
      </c>
      <c r="H401" s="28" t="s">
        <v>21</v>
      </c>
      <c r="I401" s="28" t="s">
        <v>21</v>
      </c>
      <c r="J401" s="28" t="s">
        <v>1168</v>
      </c>
      <c r="K401" s="28" t="s">
        <v>1169</v>
      </c>
      <c r="L401" s="28" t="s">
        <v>24</v>
      </c>
      <c r="M401" s="28" t="s">
        <v>21</v>
      </c>
      <c r="N401" s="18"/>
      <c r="O401" s="92">
        <v>33590</v>
      </c>
      <c r="P401" s="28" t="s">
        <v>31</v>
      </c>
      <c r="Q401" s="26" t="b">
        <v>0</v>
      </c>
      <c r="R401" s="22">
        <f t="shared" si="6"/>
        <v>56</v>
      </c>
    </row>
    <row r="402" spans="1:18">
      <c r="A402" s="30">
        <v>661</v>
      </c>
      <c r="B402" s="31">
        <v>33533</v>
      </c>
      <c r="C402" s="32" t="s">
        <v>1170</v>
      </c>
      <c r="D402" s="31">
        <v>33532</v>
      </c>
      <c r="E402" s="32" t="s">
        <v>1171</v>
      </c>
      <c r="F402" s="32" t="s">
        <v>104</v>
      </c>
      <c r="G402" s="32" t="s">
        <v>20</v>
      </c>
      <c r="H402" s="32" t="s">
        <v>21</v>
      </c>
      <c r="I402" s="32" t="s">
        <v>21</v>
      </c>
      <c r="J402" s="32" t="s">
        <v>1172</v>
      </c>
      <c r="K402" s="32" t="s">
        <v>1173</v>
      </c>
      <c r="L402" s="32" t="s">
        <v>66</v>
      </c>
      <c r="M402" s="32" t="s">
        <v>67</v>
      </c>
      <c r="N402" s="31">
        <v>33564</v>
      </c>
      <c r="O402" s="93">
        <v>37319</v>
      </c>
      <c r="P402" s="28" t="s">
        <v>31</v>
      </c>
      <c r="Q402" s="26" t="b">
        <v>0</v>
      </c>
      <c r="R402" s="22">
        <f t="shared" si="6"/>
        <v>3783</v>
      </c>
    </row>
    <row r="403" spans="1:18">
      <c r="A403" s="26">
        <v>662</v>
      </c>
      <c r="B403" s="27">
        <v>33533</v>
      </c>
      <c r="C403" s="28" t="s">
        <v>1174</v>
      </c>
      <c r="D403" s="27">
        <v>33533</v>
      </c>
      <c r="E403" s="28" t="s">
        <v>38</v>
      </c>
      <c r="F403" s="28" t="s">
        <v>1159</v>
      </c>
      <c r="G403" s="28" t="s">
        <v>20</v>
      </c>
      <c r="H403" s="28" t="s">
        <v>71</v>
      </c>
      <c r="I403" s="28" t="s">
        <v>72</v>
      </c>
      <c r="J403" s="28" t="s">
        <v>1175</v>
      </c>
      <c r="K403" s="28" t="s">
        <v>1176</v>
      </c>
      <c r="L403" s="28" t="s">
        <v>59</v>
      </c>
      <c r="M403" s="28" t="s">
        <v>21</v>
      </c>
      <c r="N403" s="27">
        <v>33534</v>
      </c>
      <c r="O403" s="92">
        <v>33534</v>
      </c>
      <c r="P403" s="28" t="s">
        <v>21</v>
      </c>
      <c r="Q403" s="26" t="b">
        <v>0</v>
      </c>
      <c r="R403" s="22">
        <f t="shared" si="6"/>
        <v>1</v>
      </c>
    </row>
    <row r="404" spans="1:18">
      <c r="A404" s="26">
        <v>663</v>
      </c>
      <c r="B404" s="27">
        <v>33534</v>
      </c>
      <c r="C404" s="28" t="s">
        <v>1177</v>
      </c>
      <c r="D404" s="27">
        <v>33532</v>
      </c>
      <c r="E404" s="28" t="s">
        <v>1178</v>
      </c>
      <c r="F404" s="28" t="s">
        <v>1179</v>
      </c>
      <c r="G404" s="28" t="s">
        <v>20</v>
      </c>
      <c r="H404" s="28" t="s">
        <v>21</v>
      </c>
      <c r="I404" s="28" t="s">
        <v>21</v>
      </c>
      <c r="J404" s="28" t="s">
        <v>1180</v>
      </c>
      <c r="K404" s="28" t="s">
        <v>1181</v>
      </c>
      <c r="L404" s="28" t="s">
        <v>66</v>
      </c>
      <c r="M404" s="28" t="s">
        <v>21</v>
      </c>
      <c r="O404" s="92">
        <v>35496</v>
      </c>
      <c r="P404" s="28" t="s">
        <v>21</v>
      </c>
      <c r="Q404" s="26" t="b">
        <v>0</v>
      </c>
      <c r="R404" s="22">
        <f t="shared" si="6"/>
        <v>1960</v>
      </c>
    </row>
    <row r="405" spans="1:18">
      <c r="A405" s="26">
        <v>664</v>
      </c>
      <c r="B405" s="27">
        <v>33534</v>
      </c>
      <c r="C405" s="28" t="s">
        <v>1182</v>
      </c>
      <c r="D405" s="27">
        <v>33533</v>
      </c>
      <c r="E405" s="28" t="s">
        <v>1183</v>
      </c>
      <c r="F405" s="28" t="s">
        <v>1159</v>
      </c>
      <c r="G405" s="28" t="s">
        <v>20</v>
      </c>
      <c r="H405" s="28" t="s">
        <v>71</v>
      </c>
      <c r="I405" s="28" t="s">
        <v>72</v>
      </c>
      <c r="J405" s="28" t="s">
        <v>1184</v>
      </c>
      <c r="K405" s="28" t="s">
        <v>1185</v>
      </c>
      <c r="L405" s="28" t="s">
        <v>24</v>
      </c>
      <c r="M405" s="28" t="s">
        <v>21</v>
      </c>
      <c r="N405" s="27">
        <v>33536</v>
      </c>
      <c r="O405" s="92">
        <v>33539</v>
      </c>
      <c r="P405" s="28" t="s">
        <v>31</v>
      </c>
      <c r="Q405" s="26" t="b">
        <v>0</v>
      </c>
      <c r="R405" s="22">
        <f t="shared" si="6"/>
        <v>5</v>
      </c>
    </row>
    <row r="406" spans="1:18">
      <c r="A406" s="26">
        <v>665</v>
      </c>
      <c r="B406" s="27">
        <v>33534</v>
      </c>
      <c r="C406" s="28" t="s">
        <v>1186</v>
      </c>
      <c r="D406" s="27">
        <v>33532</v>
      </c>
      <c r="E406" s="28" t="s">
        <v>1187</v>
      </c>
      <c r="F406" s="28" t="s">
        <v>104</v>
      </c>
      <c r="G406" s="28" t="s">
        <v>20</v>
      </c>
      <c r="H406" s="28" t="s">
        <v>21</v>
      </c>
      <c r="I406" s="28" t="s">
        <v>21</v>
      </c>
      <c r="J406" s="28" t="s">
        <v>1188</v>
      </c>
      <c r="K406" s="28" t="s">
        <v>1189</v>
      </c>
      <c r="L406" s="28" t="s">
        <v>24</v>
      </c>
      <c r="M406" s="28" t="s">
        <v>21</v>
      </c>
      <c r="N406" s="18"/>
      <c r="O406" s="92">
        <v>33536</v>
      </c>
      <c r="P406" s="28" t="s">
        <v>31</v>
      </c>
      <c r="Q406" s="26" t="b">
        <v>0</v>
      </c>
      <c r="R406" s="22">
        <f t="shared" si="6"/>
        <v>2</v>
      </c>
    </row>
    <row r="407" spans="1:18">
      <c r="A407" s="26">
        <v>666</v>
      </c>
      <c r="B407" s="27">
        <v>33534</v>
      </c>
      <c r="C407" s="28" t="s">
        <v>1190</v>
      </c>
      <c r="D407" s="27">
        <v>33533</v>
      </c>
      <c r="E407" s="28" t="s">
        <v>38</v>
      </c>
      <c r="F407" s="28" t="s">
        <v>56</v>
      </c>
      <c r="G407" s="28" t="s">
        <v>20</v>
      </c>
      <c r="H407" s="28" t="s">
        <v>21</v>
      </c>
      <c r="I407" s="28" t="s">
        <v>21</v>
      </c>
      <c r="J407" s="28" t="s">
        <v>1191</v>
      </c>
      <c r="K407" s="28" t="s">
        <v>1192</v>
      </c>
      <c r="L407" s="28" t="s">
        <v>59</v>
      </c>
      <c r="M407" s="28" t="s">
        <v>21</v>
      </c>
      <c r="O407" s="92">
        <v>33534</v>
      </c>
      <c r="P407" s="28" t="s">
        <v>21</v>
      </c>
      <c r="Q407" s="26" t="b">
        <v>0</v>
      </c>
      <c r="R407" s="22">
        <f t="shared" si="6"/>
        <v>0</v>
      </c>
    </row>
    <row r="408" spans="1:18" ht="24">
      <c r="A408" s="26">
        <v>667</v>
      </c>
      <c r="B408" s="27">
        <v>33536</v>
      </c>
      <c r="C408" s="28" t="s">
        <v>1193</v>
      </c>
      <c r="D408" s="27">
        <v>33533</v>
      </c>
      <c r="E408" s="28" t="s">
        <v>1194</v>
      </c>
      <c r="F408" s="28" t="s">
        <v>27</v>
      </c>
      <c r="G408" s="28" t="s">
        <v>20</v>
      </c>
      <c r="H408" s="28" t="s">
        <v>21</v>
      </c>
      <c r="I408" s="28" t="s">
        <v>21</v>
      </c>
      <c r="J408" s="28" t="s">
        <v>1195</v>
      </c>
      <c r="K408" s="28" t="s">
        <v>1196</v>
      </c>
      <c r="L408" s="28" t="s">
        <v>651</v>
      </c>
      <c r="M408" s="28" t="s">
        <v>21</v>
      </c>
      <c r="N408" s="27">
        <v>33557</v>
      </c>
      <c r="O408" s="92">
        <v>33548</v>
      </c>
      <c r="P408" s="28" t="s">
        <v>31</v>
      </c>
      <c r="Q408" s="26" t="b">
        <v>0</v>
      </c>
      <c r="R408" s="22">
        <f t="shared" si="6"/>
        <v>11</v>
      </c>
    </row>
    <row r="409" spans="1:18">
      <c r="A409" s="26">
        <v>670</v>
      </c>
      <c r="B409" s="27">
        <v>33539</v>
      </c>
      <c r="C409" s="28" t="s">
        <v>1197</v>
      </c>
      <c r="D409" s="27">
        <v>33539</v>
      </c>
      <c r="E409" s="28" t="s">
        <v>38</v>
      </c>
      <c r="F409" s="28" t="s">
        <v>56</v>
      </c>
      <c r="G409" s="28" t="s">
        <v>20</v>
      </c>
      <c r="H409" s="28" t="s">
        <v>21</v>
      </c>
      <c r="I409" s="28" t="s">
        <v>21</v>
      </c>
      <c r="J409" s="28" t="s">
        <v>1198</v>
      </c>
      <c r="K409" s="28" t="s">
        <v>1199</v>
      </c>
      <c r="L409" s="28" t="s">
        <v>59</v>
      </c>
      <c r="M409" s="28" t="s">
        <v>21</v>
      </c>
      <c r="N409" s="27">
        <v>33543</v>
      </c>
      <c r="O409" s="92">
        <v>33546</v>
      </c>
      <c r="P409" s="28" t="s">
        <v>21</v>
      </c>
      <c r="Q409" s="26" t="b">
        <v>0</v>
      </c>
      <c r="R409" s="22">
        <f t="shared" si="6"/>
        <v>6</v>
      </c>
    </row>
    <row r="410" spans="1:18">
      <c r="A410" s="26">
        <v>671</v>
      </c>
      <c r="B410" s="27">
        <v>33540</v>
      </c>
      <c r="C410" s="28" t="s">
        <v>1200</v>
      </c>
      <c r="D410" s="27">
        <v>33536</v>
      </c>
      <c r="E410" s="28" t="s">
        <v>38</v>
      </c>
      <c r="F410" s="28" t="s">
        <v>104</v>
      </c>
      <c r="G410" s="28" t="s">
        <v>20</v>
      </c>
      <c r="H410" s="28" t="s">
        <v>21</v>
      </c>
      <c r="I410" s="28" t="s">
        <v>21</v>
      </c>
      <c r="J410" s="28" t="s">
        <v>1201</v>
      </c>
      <c r="K410" s="28" t="s">
        <v>1202</v>
      </c>
      <c r="L410" s="28" t="s">
        <v>30</v>
      </c>
      <c r="M410" s="28" t="s">
        <v>21</v>
      </c>
      <c r="N410" s="29">
        <v>33557</v>
      </c>
      <c r="O410" s="92">
        <v>33667</v>
      </c>
      <c r="P410" s="28" t="s">
        <v>21</v>
      </c>
      <c r="Q410" s="26" t="b">
        <v>0</v>
      </c>
      <c r="R410" s="22">
        <f t="shared" si="6"/>
        <v>126</v>
      </c>
    </row>
    <row r="411" spans="1:18">
      <c r="A411" s="26">
        <v>672</v>
      </c>
      <c r="B411" s="27">
        <v>33541</v>
      </c>
      <c r="C411" s="28" t="s">
        <v>1203</v>
      </c>
      <c r="D411" s="27">
        <v>33537</v>
      </c>
      <c r="E411" s="28" t="s">
        <v>1204</v>
      </c>
      <c r="F411" s="28" t="s">
        <v>56</v>
      </c>
      <c r="G411" s="28" t="s">
        <v>20</v>
      </c>
      <c r="H411" s="28" t="s">
        <v>21</v>
      </c>
      <c r="I411" s="28" t="s">
        <v>21</v>
      </c>
      <c r="J411" s="28" t="s">
        <v>1205</v>
      </c>
      <c r="K411" s="28" t="s">
        <v>1168</v>
      </c>
      <c r="L411" s="28" t="s">
        <v>59</v>
      </c>
      <c r="M411" s="28" t="s">
        <v>21</v>
      </c>
      <c r="N411" s="29">
        <v>33546</v>
      </c>
      <c r="O411" s="92">
        <v>33546</v>
      </c>
      <c r="P411" s="28" t="s">
        <v>21</v>
      </c>
      <c r="Q411" s="26" t="b">
        <v>0</v>
      </c>
      <c r="R411" s="22">
        <f t="shared" si="6"/>
        <v>4</v>
      </c>
    </row>
    <row r="412" spans="1:18">
      <c r="A412" s="26">
        <v>673</v>
      </c>
      <c r="B412" s="27">
        <v>33541</v>
      </c>
      <c r="C412" s="28" t="s">
        <v>1206</v>
      </c>
      <c r="D412" s="27">
        <v>33536</v>
      </c>
      <c r="E412" s="28" t="s">
        <v>1207</v>
      </c>
      <c r="F412" s="28" t="s">
        <v>104</v>
      </c>
      <c r="G412" s="28" t="s">
        <v>20</v>
      </c>
      <c r="H412" s="28" t="s">
        <v>21</v>
      </c>
      <c r="I412" s="28" t="s">
        <v>21</v>
      </c>
      <c r="J412" s="28" t="s">
        <v>1208</v>
      </c>
      <c r="K412" s="28" t="s">
        <v>1209</v>
      </c>
      <c r="L412" s="28" t="s">
        <v>82</v>
      </c>
      <c r="M412" s="28" t="s">
        <v>21</v>
      </c>
      <c r="N412" s="18"/>
      <c r="O412" s="92">
        <v>33816</v>
      </c>
      <c r="P412" s="28" t="s">
        <v>21</v>
      </c>
      <c r="Q412" s="26" t="b">
        <v>0</v>
      </c>
      <c r="R412" s="22">
        <f t="shared" si="6"/>
        <v>273</v>
      </c>
    </row>
    <row r="413" spans="1:18">
      <c r="A413" s="26">
        <v>674</v>
      </c>
      <c r="B413" s="27">
        <v>33541</v>
      </c>
      <c r="C413" s="28" t="s">
        <v>1210</v>
      </c>
      <c r="D413" s="27">
        <v>33539</v>
      </c>
      <c r="E413" s="28" t="s">
        <v>1211</v>
      </c>
      <c r="F413" s="28" t="s">
        <v>1212</v>
      </c>
      <c r="G413" s="28" t="s">
        <v>20</v>
      </c>
      <c r="H413" s="28" t="s">
        <v>21</v>
      </c>
      <c r="I413" s="28" t="s">
        <v>21</v>
      </c>
      <c r="J413" s="28" t="s">
        <v>1213</v>
      </c>
      <c r="K413" s="28" t="s">
        <v>1214</v>
      </c>
      <c r="L413" s="28" t="s">
        <v>24</v>
      </c>
      <c r="M413" s="28" t="s">
        <v>21</v>
      </c>
      <c r="N413" s="29">
        <v>33557</v>
      </c>
      <c r="O413" s="92">
        <v>34096</v>
      </c>
      <c r="P413" s="28" t="s">
        <v>21</v>
      </c>
      <c r="Q413" s="26" t="b">
        <v>0</v>
      </c>
      <c r="R413" s="22">
        <f t="shared" si="6"/>
        <v>554</v>
      </c>
    </row>
    <row r="414" spans="1:18">
      <c r="A414" s="26">
        <v>676</v>
      </c>
      <c r="B414" s="27">
        <v>33542</v>
      </c>
      <c r="C414" s="28" t="s">
        <v>1215</v>
      </c>
      <c r="D414" s="27">
        <v>33540</v>
      </c>
      <c r="E414" s="28" t="s">
        <v>1216</v>
      </c>
      <c r="F414" s="28" t="s">
        <v>27</v>
      </c>
      <c r="G414" s="28" t="s">
        <v>20</v>
      </c>
      <c r="H414" s="28" t="s">
        <v>21</v>
      </c>
      <c r="I414" s="28" t="s">
        <v>21</v>
      </c>
      <c r="J414" s="28" t="s">
        <v>1217</v>
      </c>
      <c r="K414" s="28" t="s">
        <v>1218</v>
      </c>
      <c r="L414" s="28" t="s">
        <v>30</v>
      </c>
      <c r="M414" s="28" t="s">
        <v>21</v>
      </c>
      <c r="O414" s="92">
        <v>33596</v>
      </c>
      <c r="P414" s="28" t="s">
        <v>31</v>
      </c>
      <c r="Q414" s="26" t="b">
        <v>0</v>
      </c>
      <c r="R414" s="22">
        <f t="shared" si="6"/>
        <v>54</v>
      </c>
    </row>
    <row r="415" spans="1:18">
      <c r="A415" s="26">
        <v>677</v>
      </c>
      <c r="B415" s="27">
        <v>33543</v>
      </c>
      <c r="C415" s="28" t="s">
        <v>1219</v>
      </c>
      <c r="D415" s="27">
        <v>33534</v>
      </c>
      <c r="E415" s="28" t="s">
        <v>1220</v>
      </c>
      <c r="F415" s="28" t="s">
        <v>124</v>
      </c>
      <c r="G415" s="28" t="s">
        <v>20</v>
      </c>
      <c r="H415" s="28" t="s">
        <v>21</v>
      </c>
      <c r="I415" s="28" t="s">
        <v>21</v>
      </c>
      <c r="J415" s="28" t="s">
        <v>1221</v>
      </c>
      <c r="K415" s="28" t="s">
        <v>572</v>
      </c>
      <c r="L415" s="28" t="s">
        <v>24</v>
      </c>
      <c r="M415" s="28" t="s">
        <v>21</v>
      </c>
      <c r="O415" s="92">
        <v>33574</v>
      </c>
      <c r="P415" s="28" t="s">
        <v>31</v>
      </c>
      <c r="Q415" s="26" t="b">
        <v>0</v>
      </c>
      <c r="R415" s="22">
        <f t="shared" si="6"/>
        <v>31</v>
      </c>
    </row>
    <row r="416" spans="1:18">
      <c r="A416" s="26">
        <v>679</v>
      </c>
      <c r="B416" s="27">
        <v>33543</v>
      </c>
      <c r="C416" s="28" t="s">
        <v>1222</v>
      </c>
      <c r="D416" s="27">
        <v>33542</v>
      </c>
      <c r="E416" s="28" t="s">
        <v>1223</v>
      </c>
      <c r="F416" s="28" t="s">
        <v>70</v>
      </c>
      <c r="G416" s="28" t="s">
        <v>20</v>
      </c>
      <c r="H416" s="28" t="s">
        <v>71</v>
      </c>
      <c r="I416" s="28" t="s">
        <v>72</v>
      </c>
      <c r="J416" s="28" t="s">
        <v>1224</v>
      </c>
      <c r="K416" s="28" t="s">
        <v>1225</v>
      </c>
      <c r="L416" s="28" t="s">
        <v>24</v>
      </c>
      <c r="M416" s="28" t="s">
        <v>21</v>
      </c>
      <c r="N416" s="18"/>
      <c r="O416" s="92">
        <v>33568</v>
      </c>
      <c r="P416" s="28" t="s">
        <v>21</v>
      </c>
      <c r="Q416" s="26" t="b">
        <v>0</v>
      </c>
      <c r="R416" s="22">
        <f t="shared" si="6"/>
        <v>25</v>
      </c>
    </row>
    <row r="417" spans="1:18">
      <c r="A417" s="26">
        <v>680</v>
      </c>
      <c r="B417" s="27">
        <v>33546</v>
      </c>
      <c r="C417" s="28" t="s">
        <v>1226</v>
      </c>
      <c r="D417" s="27">
        <v>33546</v>
      </c>
      <c r="E417" s="28" t="s">
        <v>1227</v>
      </c>
      <c r="F417" s="28" t="s">
        <v>98</v>
      </c>
      <c r="G417" s="28" t="s">
        <v>20</v>
      </c>
      <c r="H417" s="28" t="s">
        <v>21</v>
      </c>
      <c r="I417" s="28" t="s">
        <v>21</v>
      </c>
      <c r="J417" s="28" t="s">
        <v>1228</v>
      </c>
      <c r="K417" s="28" t="s">
        <v>1229</v>
      </c>
      <c r="L417" s="28" t="s">
        <v>30</v>
      </c>
      <c r="M417" s="28" t="s">
        <v>21</v>
      </c>
      <c r="N417" s="18"/>
      <c r="O417" s="92">
        <v>33611</v>
      </c>
      <c r="P417" s="28" t="s">
        <v>21</v>
      </c>
      <c r="Q417" s="26" t="b">
        <v>0</v>
      </c>
      <c r="R417" s="22">
        <f t="shared" si="6"/>
        <v>64</v>
      </c>
    </row>
    <row r="418" spans="1:18">
      <c r="A418" s="26">
        <v>684</v>
      </c>
      <c r="B418" s="27">
        <v>33554</v>
      </c>
      <c r="C418" s="28" t="s">
        <v>1230</v>
      </c>
      <c r="D418" s="27">
        <v>33487</v>
      </c>
      <c r="E418" s="28" t="s">
        <v>1231</v>
      </c>
      <c r="F418" s="28" t="s">
        <v>1232</v>
      </c>
      <c r="G418" s="28" t="s">
        <v>20</v>
      </c>
      <c r="H418" s="28" t="s">
        <v>189</v>
      </c>
      <c r="I418" s="28" t="s">
        <v>189</v>
      </c>
      <c r="J418" s="28" t="s">
        <v>1233</v>
      </c>
      <c r="K418" s="28" t="s">
        <v>1234</v>
      </c>
      <c r="L418" s="28" t="s">
        <v>24</v>
      </c>
      <c r="M418" s="28" t="s">
        <v>21</v>
      </c>
      <c r="N418" s="18"/>
      <c r="O418" s="92">
        <v>33578</v>
      </c>
      <c r="P418" s="28" t="s">
        <v>21</v>
      </c>
      <c r="Q418" s="26" t="b">
        <v>0</v>
      </c>
      <c r="R418" s="22">
        <f t="shared" si="6"/>
        <v>24</v>
      </c>
    </row>
    <row r="419" spans="1:18">
      <c r="A419" s="26">
        <v>686</v>
      </c>
      <c r="B419" s="27">
        <v>33554</v>
      </c>
      <c r="C419" s="28" t="s">
        <v>1235</v>
      </c>
      <c r="D419" s="27">
        <v>33550</v>
      </c>
      <c r="E419" s="28" t="s">
        <v>38</v>
      </c>
      <c r="F419" s="28" t="s">
        <v>104</v>
      </c>
      <c r="G419" s="28" t="s">
        <v>20</v>
      </c>
      <c r="H419" s="28" t="s">
        <v>21</v>
      </c>
      <c r="I419" s="28" t="s">
        <v>21</v>
      </c>
      <c r="J419" s="28" t="s">
        <v>1236</v>
      </c>
      <c r="K419" s="28" t="s">
        <v>1237</v>
      </c>
      <c r="L419" s="28" t="s">
        <v>59</v>
      </c>
      <c r="M419" s="28" t="s">
        <v>21</v>
      </c>
      <c r="N419" s="27">
        <v>33556</v>
      </c>
      <c r="O419" s="92">
        <v>33557</v>
      </c>
      <c r="P419" s="28" t="s">
        <v>21</v>
      </c>
      <c r="Q419" s="26" t="b">
        <v>0</v>
      </c>
      <c r="R419" s="22">
        <f t="shared" si="6"/>
        <v>3</v>
      </c>
    </row>
    <row r="420" spans="1:18">
      <c r="A420" s="26">
        <v>687</v>
      </c>
      <c r="B420" s="27">
        <v>33555</v>
      </c>
      <c r="C420" s="28" t="s">
        <v>1238</v>
      </c>
      <c r="D420" s="27">
        <v>33553</v>
      </c>
      <c r="E420" s="28" t="s">
        <v>1239</v>
      </c>
      <c r="F420" s="28" t="s">
        <v>104</v>
      </c>
      <c r="G420" s="28" t="s">
        <v>20</v>
      </c>
      <c r="H420" s="28" t="s">
        <v>21</v>
      </c>
      <c r="I420" s="28" t="s">
        <v>21</v>
      </c>
      <c r="J420" s="28" t="s">
        <v>1240</v>
      </c>
      <c r="K420" s="28" t="s">
        <v>1241</v>
      </c>
      <c r="L420" s="28" t="s">
        <v>24</v>
      </c>
      <c r="M420" s="28" t="s">
        <v>21</v>
      </c>
      <c r="O420" s="92">
        <v>33640</v>
      </c>
      <c r="P420" s="28" t="s">
        <v>21</v>
      </c>
      <c r="Q420" s="26" t="b">
        <v>0</v>
      </c>
      <c r="R420" s="22">
        <f t="shared" si="6"/>
        <v>84</v>
      </c>
    </row>
    <row r="421" spans="1:18">
      <c r="A421" s="26">
        <v>691</v>
      </c>
      <c r="B421" s="27">
        <v>33561</v>
      </c>
      <c r="C421" s="28" t="s">
        <v>1242</v>
      </c>
      <c r="D421" s="27">
        <v>33558</v>
      </c>
      <c r="E421" s="28" t="s">
        <v>38</v>
      </c>
      <c r="F421" s="28" t="s">
        <v>124</v>
      </c>
      <c r="G421" s="28" t="s">
        <v>20</v>
      </c>
      <c r="H421" s="28" t="s">
        <v>21</v>
      </c>
      <c r="I421" s="28" t="s">
        <v>21</v>
      </c>
      <c r="J421" s="28" t="s">
        <v>1243</v>
      </c>
      <c r="K421" s="28" t="s">
        <v>1244</v>
      </c>
      <c r="L421" s="28" t="s">
        <v>30</v>
      </c>
      <c r="M421" s="28" t="s">
        <v>21</v>
      </c>
      <c r="N421" s="18"/>
      <c r="O421" s="92">
        <v>33602</v>
      </c>
      <c r="P421" s="28" t="s">
        <v>31</v>
      </c>
      <c r="Q421" s="26" t="b">
        <v>0</v>
      </c>
      <c r="R421" s="22">
        <f t="shared" si="6"/>
        <v>41</v>
      </c>
    </row>
    <row r="422" spans="1:18">
      <c r="A422" s="26">
        <v>693</v>
      </c>
      <c r="B422" s="27">
        <v>33562</v>
      </c>
      <c r="C422" s="28" t="s">
        <v>1245</v>
      </c>
      <c r="D422" s="27">
        <v>33561</v>
      </c>
      <c r="E422" s="28" t="s">
        <v>1246</v>
      </c>
      <c r="F422" s="28" t="s">
        <v>27</v>
      </c>
      <c r="G422" s="28" t="s">
        <v>20</v>
      </c>
      <c r="H422" s="28" t="s">
        <v>21</v>
      </c>
      <c r="I422" s="28" t="s">
        <v>21</v>
      </c>
      <c r="J422" s="28" t="s">
        <v>1247</v>
      </c>
      <c r="K422" s="28" t="s">
        <v>1248</v>
      </c>
      <c r="L422" s="28" t="s">
        <v>30</v>
      </c>
      <c r="M422" s="28" t="s">
        <v>21</v>
      </c>
      <c r="N422" s="27">
        <v>33585</v>
      </c>
      <c r="O422" s="92">
        <v>33596</v>
      </c>
      <c r="P422" s="28" t="s">
        <v>21</v>
      </c>
      <c r="Q422" s="26" t="b">
        <v>0</v>
      </c>
      <c r="R422" s="22">
        <f t="shared" si="6"/>
        <v>34</v>
      </c>
    </row>
    <row r="423" spans="1:18">
      <c r="A423" s="26">
        <v>694</v>
      </c>
      <c r="B423" s="27">
        <v>33563</v>
      </c>
      <c r="C423" s="28" t="s">
        <v>1249</v>
      </c>
      <c r="D423" s="27">
        <v>33560</v>
      </c>
      <c r="E423" s="28" t="s">
        <v>1250</v>
      </c>
      <c r="F423" s="28" t="s">
        <v>129</v>
      </c>
      <c r="G423" s="28" t="s">
        <v>20</v>
      </c>
      <c r="H423" s="28" t="s">
        <v>21</v>
      </c>
      <c r="I423" s="28" t="s">
        <v>21</v>
      </c>
      <c r="J423" s="28" t="s">
        <v>1251</v>
      </c>
      <c r="K423" s="28" t="s">
        <v>1252</v>
      </c>
      <c r="L423" s="28" t="s">
        <v>82</v>
      </c>
      <c r="M423" s="28" t="s">
        <v>21</v>
      </c>
      <c r="N423" s="18"/>
      <c r="O423" s="92">
        <v>33578</v>
      </c>
      <c r="P423" s="28" t="s">
        <v>31</v>
      </c>
      <c r="Q423" s="26" t="b">
        <v>0</v>
      </c>
      <c r="R423" s="22">
        <f t="shared" si="6"/>
        <v>15</v>
      </c>
    </row>
    <row r="424" spans="1:18">
      <c r="A424" s="26">
        <v>695</v>
      </c>
      <c r="B424" s="27">
        <v>33564</v>
      </c>
      <c r="C424" s="28" t="s">
        <v>1253</v>
      </c>
      <c r="D424" s="27">
        <v>33553</v>
      </c>
      <c r="E424" s="28" t="s">
        <v>38</v>
      </c>
      <c r="F424" s="28" t="s">
        <v>70</v>
      </c>
      <c r="G424" s="28" t="s">
        <v>20</v>
      </c>
      <c r="H424" s="28" t="s">
        <v>71</v>
      </c>
      <c r="I424" s="28" t="s">
        <v>72</v>
      </c>
      <c r="J424" s="28" t="s">
        <v>1254</v>
      </c>
      <c r="K424" s="28" t="s">
        <v>1255</v>
      </c>
      <c r="L424" s="28" t="s">
        <v>82</v>
      </c>
      <c r="M424" s="28" t="s">
        <v>21</v>
      </c>
      <c r="O424" s="92">
        <v>33583</v>
      </c>
      <c r="P424" s="28" t="s">
        <v>21</v>
      </c>
      <c r="Q424" s="26" t="b">
        <v>0</v>
      </c>
      <c r="R424" s="22">
        <f t="shared" si="6"/>
        <v>19</v>
      </c>
    </row>
    <row r="425" spans="1:18">
      <c r="A425" s="26">
        <v>696</v>
      </c>
      <c r="B425" s="27">
        <v>33577</v>
      </c>
      <c r="C425" s="28" t="s">
        <v>1256</v>
      </c>
      <c r="D425" s="27">
        <v>33577</v>
      </c>
      <c r="E425" s="28" t="s">
        <v>1257</v>
      </c>
      <c r="F425" s="28" t="s">
        <v>98</v>
      </c>
      <c r="G425" s="28" t="s">
        <v>20</v>
      </c>
      <c r="H425" s="28" t="s">
        <v>21</v>
      </c>
      <c r="I425" s="28" t="s">
        <v>21</v>
      </c>
      <c r="J425" s="28" t="s">
        <v>1258</v>
      </c>
      <c r="K425" s="28" t="s">
        <v>1259</v>
      </c>
      <c r="L425" s="28" t="s">
        <v>24</v>
      </c>
      <c r="M425" s="28" t="s">
        <v>21</v>
      </c>
      <c r="N425" s="27">
        <v>33603</v>
      </c>
      <c r="O425" s="92">
        <v>33590</v>
      </c>
      <c r="P425" s="28" t="s">
        <v>21</v>
      </c>
      <c r="Q425" s="26" t="b">
        <v>0</v>
      </c>
      <c r="R425" s="22">
        <f t="shared" si="6"/>
        <v>13</v>
      </c>
    </row>
    <row r="426" spans="1:18">
      <c r="A426" s="26">
        <v>704</v>
      </c>
      <c r="B426" s="27">
        <v>33583</v>
      </c>
      <c r="C426" s="28" t="s">
        <v>1260</v>
      </c>
      <c r="D426" s="27">
        <v>33582</v>
      </c>
      <c r="E426" s="28" t="s">
        <v>1261</v>
      </c>
      <c r="F426" s="28" t="s">
        <v>52</v>
      </c>
      <c r="G426" s="28" t="s">
        <v>20</v>
      </c>
      <c r="H426" s="28" t="s">
        <v>21</v>
      </c>
      <c r="I426" s="28" t="s">
        <v>21</v>
      </c>
      <c r="J426" s="28" t="s">
        <v>1262</v>
      </c>
      <c r="K426" s="28" t="s">
        <v>121</v>
      </c>
      <c r="L426" s="28" t="s">
        <v>24</v>
      </c>
      <c r="M426" s="28" t="s">
        <v>21</v>
      </c>
      <c r="N426" s="18"/>
      <c r="O426" s="92">
        <v>33625</v>
      </c>
      <c r="P426" s="28" t="s">
        <v>21</v>
      </c>
      <c r="Q426" s="26" t="b">
        <v>0</v>
      </c>
      <c r="R426" s="22">
        <f t="shared" si="6"/>
        <v>41</v>
      </c>
    </row>
    <row r="427" spans="1:18">
      <c r="A427" s="26">
        <v>706</v>
      </c>
      <c r="B427" s="27">
        <v>33584</v>
      </c>
      <c r="C427" s="28" t="s">
        <v>1263</v>
      </c>
      <c r="D427" s="27">
        <v>33579</v>
      </c>
      <c r="E427" s="28" t="s">
        <v>1264</v>
      </c>
      <c r="F427" s="28" t="s">
        <v>124</v>
      </c>
      <c r="G427" s="28" t="s">
        <v>20</v>
      </c>
      <c r="H427" s="28" t="s">
        <v>21</v>
      </c>
      <c r="I427" s="28" t="s">
        <v>21</v>
      </c>
      <c r="J427" s="28" t="s">
        <v>1265</v>
      </c>
      <c r="K427" s="28" t="s">
        <v>1266</v>
      </c>
      <c r="L427" s="28" t="s">
        <v>24</v>
      </c>
      <c r="M427" s="28" t="s">
        <v>21</v>
      </c>
      <c r="O427" s="92">
        <v>33732</v>
      </c>
      <c r="P427" s="28" t="s">
        <v>31</v>
      </c>
      <c r="Q427" s="26" t="b">
        <v>0</v>
      </c>
      <c r="R427" s="22">
        <f t="shared" si="6"/>
        <v>148</v>
      </c>
    </row>
    <row r="428" spans="1:18">
      <c r="A428" s="26">
        <v>707</v>
      </c>
      <c r="B428" s="27">
        <v>33589</v>
      </c>
      <c r="C428" s="28" t="s">
        <v>1267</v>
      </c>
      <c r="D428" s="27">
        <v>33584</v>
      </c>
      <c r="E428" s="28" t="s">
        <v>38</v>
      </c>
      <c r="F428" s="28" t="s">
        <v>27</v>
      </c>
      <c r="G428" s="28" t="s">
        <v>20</v>
      </c>
      <c r="H428" s="28" t="s">
        <v>21</v>
      </c>
      <c r="I428" s="28" t="s">
        <v>21</v>
      </c>
      <c r="J428" s="28" t="s">
        <v>1268</v>
      </c>
      <c r="K428" s="28" t="s">
        <v>1269</v>
      </c>
      <c r="L428" s="28" t="s">
        <v>30</v>
      </c>
      <c r="M428" s="28" t="s">
        <v>21</v>
      </c>
      <c r="N428" s="29">
        <v>33595</v>
      </c>
      <c r="O428" s="92">
        <v>33596</v>
      </c>
      <c r="P428" s="28" t="s">
        <v>31</v>
      </c>
      <c r="Q428" s="26" t="b">
        <v>0</v>
      </c>
      <c r="R428" s="22">
        <f t="shared" si="6"/>
        <v>7</v>
      </c>
    </row>
    <row r="429" spans="1:18">
      <c r="A429" s="26">
        <v>710</v>
      </c>
      <c r="B429" s="27">
        <v>33589</v>
      </c>
      <c r="C429" s="28" t="s">
        <v>1270</v>
      </c>
      <c r="D429" s="27">
        <v>33588</v>
      </c>
      <c r="E429" s="28" t="s">
        <v>38</v>
      </c>
      <c r="F429" s="28" t="s">
        <v>129</v>
      </c>
      <c r="G429" s="28" t="s">
        <v>20</v>
      </c>
      <c r="H429" s="28" t="s">
        <v>21</v>
      </c>
      <c r="I429" s="28" t="s">
        <v>21</v>
      </c>
      <c r="J429" s="28" t="s">
        <v>1271</v>
      </c>
      <c r="K429" s="28" t="s">
        <v>1272</v>
      </c>
      <c r="L429" s="28" t="s">
        <v>82</v>
      </c>
      <c r="M429" s="28" t="s">
        <v>21</v>
      </c>
      <c r="O429" s="92">
        <v>33596</v>
      </c>
      <c r="P429" s="28" t="s">
        <v>31</v>
      </c>
      <c r="Q429" s="26" t="b">
        <v>0</v>
      </c>
      <c r="R429" s="22">
        <f t="shared" si="6"/>
        <v>7</v>
      </c>
    </row>
    <row r="430" spans="1:18" ht="36">
      <c r="A430" s="30">
        <v>711</v>
      </c>
      <c r="B430" s="31">
        <v>33591</v>
      </c>
      <c r="C430" s="32" t="s">
        <v>1273</v>
      </c>
      <c r="D430" s="31">
        <v>33589</v>
      </c>
      <c r="E430" s="32" t="s">
        <v>1274</v>
      </c>
      <c r="F430" s="32" t="s">
        <v>327</v>
      </c>
      <c r="G430" s="32" t="s">
        <v>20</v>
      </c>
      <c r="H430" s="32" t="s">
        <v>21</v>
      </c>
      <c r="I430" s="32" t="s">
        <v>21</v>
      </c>
      <c r="J430" s="32" t="s">
        <v>1275</v>
      </c>
      <c r="K430" s="32" t="s">
        <v>1276</v>
      </c>
      <c r="L430" s="32" t="s">
        <v>314</v>
      </c>
      <c r="M430" s="32" t="s">
        <v>1277</v>
      </c>
      <c r="N430" s="116"/>
      <c r="O430" s="93">
        <v>37925</v>
      </c>
      <c r="P430" s="28" t="s">
        <v>31</v>
      </c>
      <c r="Q430" s="26" t="b">
        <v>0</v>
      </c>
      <c r="R430" s="22">
        <f t="shared" si="6"/>
        <v>4331</v>
      </c>
    </row>
    <row r="431" spans="1:18">
      <c r="A431" s="26">
        <v>712</v>
      </c>
      <c r="B431" s="27">
        <v>33591</v>
      </c>
      <c r="C431" s="28" t="s">
        <v>1278</v>
      </c>
      <c r="D431" s="27">
        <v>33589</v>
      </c>
      <c r="E431" s="28" t="s">
        <v>38</v>
      </c>
      <c r="F431" s="28" t="s">
        <v>1279</v>
      </c>
      <c r="G431" s="28" t="s">
        <v>20</v>
      </c>
      <c r="H431" s="28" t="s">
        <v>21</v>
      </c>
      <c r="I431" s="28" t="s">
        <v>21</v>
      </c>
      <c r="J431" s="28" t="s">
        <v>1280</v>
      </c>
      <c r="K431" s="28" t="s">
        <v>1281</v>
      </c>
      <c r="L431" s="28" t="s">
        <v>82</v>
      </c>
      <c r="M431" s="28" t="s">
        <v>21</v>
      </c>
      <c r="N431" s="27">
        <v>33596</v>
      </c>
      <c r="O431" s="92">
        <v>33595</v>
      </c>
      <c r="P431" s="28" t="s">
        <v>21</v>
      </c>
      <c r="Q431" s="26" t="b">
        <v>0</v>
      </c>
      <c r="R431" s="22">
        <f t="shared" si="6"/>
        <v>4</v>
      </c>
    </row>
    <row r="432" spans="1:18">
      <c r="A432" s="26">
        <v>713</v>
      </c>
      <c r="B432" s="27">
        <v>33592</v>
      </c>
      <c r="C432" s="28" t="s">
        <v>1282</v>
      </c>
      <c r="D432" s="27">
        <v>33584</v>
      </c>
      <c r="E432" s="28" t="s">
        <v>1283</v>
      </c>
      <c r="F432" s="28" t="s">
        <v>149</v>
      </c>
      <c r="G432" s="28" t="s">
        <v>20</v>
      </c>
      <c r="H432" s="28" t="s">
        <v>21</v>
      </c>
      <c r="I432" s="28" t="s">
        <v>21</v>
      </c>
      <c r="J432" s="28" t="s">
        <v>1284</v>
      </c>
      <c r="K432" s="28" t="s">
        <v>1285</v>
      </c>
      <c r="L432" s="28" t="s">
        <v>30</v>
      </c>
      <c r="M432" s="28" t="s">
        <v>21</v>
      </c>
      <c r="N432" s="27">
        <v>33634</v>
      </c>
      <c r="O432" s="92">
        <v>36494</v>
      </c>
      <c r="P432" s="28" t="s">
        <v>21</v>
      </c>
      <c r="Q432" s="26" t="b">
        <v>0</v>
      </c>
      <c r="R432" s="22">
        <f t="shared" si="6"/>
        <v>2899</v>
      </c>
    </row>
    <row r="433" spans="1:18">
      <c r="A433" s="26">
        <v>714</v>
      </c>
      <c r="B433" s="27">
        <v>33592</v>
      </c>
      <c r="C433" s="28" t="s">
        <v>1286</v>
      </c>
      <c r="D433" s="27">
        <v>33590</v>
      </c>
      <c r="E433" s="28" t="s">
        <v>1287</v>
      </c>
      <c r="F433" s="28" t="s">
        <v>104</v>
      </c>
      <c r="G433" s="28" t="s">
        <v>20</v>
      </c>
      <c r="H433" s="28" t="s">
        <v>21</v>
      </c>
      <c r="I433" s="28" t="s">
        <v>21</v>
      </c>
      <c r="J433" s="28" t="s">
        <v>1172</v>
      </c>
      <c r="K433" s="28" t="s">
        <v>1288</v>
      </c>
      <c r="L433" s="28" t="s">
        <v>82</v>
      </c>
      <c r="M433" s="28" t="s">
        <v>21</v>
      </c>
      <c r="N433" s="27">
        <v>33634</v>
      </c>
      <c r="O433" s="92">
        <v>33816</v>
      </c>
      <c r="P433" s="28" t="s">
        <v>31</v>
      </c>
      <c r="Q433" s="26" t="b">
        <v>0</v>
      </c>
      <c r="R433" s="22">
        <f t="shared" si="6"/>
        <v>224</v>
      </c>
    </row>
    <row r="434" spans="1:18">
      <c r="A434" s="26">
        <v>721</v>
      </c>
      <c r="B434" s="27">
        <v>33598</v>
      </c>
      <c r="C434" s="28" t="s">
        <v>1289</v>
      </c>
      <c r="D434" s="27">
        <v>33594</v>
      </c>
      <c r="E434" s="28" t="s">
        <v>1290</v>
      </c>
      <c r="F434" s="28" t="s">
        <v>124</v>
      </c>
      <c r="G434" s="28" t="s">
        <v>20</v>
      </c>
      <c r="H434" s="28" t="s">
        <v>21</v>
      </c>
      <c r="I434" s="28" t="s">
        <v>21</v>
      </c>
      <c r="J434" s="28" t="s">
        <v>1291</v>
      </c>
      <c r="K434" s="28" t="s">
        <v>1292</v>
      </c>
      <c r="L434" s="28" t="s">
        <v>24</v>
      </c>
      <c r="M434" s="28" t="s">
        <v>21</v>
      </c>
      <c r="O434" s="92">
        <v>33654</v>
      </c>
      <c r="P434" s="28" t="s">
        <v>31</v>
      </c>
      <c r="Q434" s="26" t="b">
        <v>0</v>
      </c>
      <c r="R434" s="22">
        <f t="shared" si="6"/>
        <v>54</v>
      </c>
    </row>
    <row r="435" spans="1:18">
      <c r="A435" s="26">
        <v>722</v>
      </c>
      <c r="B435" s="27">
        <v>33602</v>
      </c>
      <c r="C435" s="28" t="s">
        <v>1293</v>
      </c>
      <c r="D435" s="27">
        <v>33595</v>
      </c>
      <c r="E435" s="28" t="s">
        <v>1294</v>
      </c>
      <c r="F435" s="28" t="s">
        <v>322</v>
      </c>
      <c r="G435" s="28" t="s">
        <v>20</v>
      </c>
      <c r="H435" s="28" t="s">
        <v>71</v>
      </c>
      <c r="I435" s="28" t="s">
        <v>72</v>
      </c>
      <c r="J435" s="28" t="s">
        <v>1295</v>
      </c>
      <c r="K435" s="28" t="s">
        <v>1296</v>
      </c>
      <c r="L435" s="28" t="s">
        <v>66</v>
      </c>
      <c r="M435" s="28" t="s">
        <v>1297</v>
      </c>
      <c r="N435" s="18"/>
      <c r="O435" s="92">
        <v>37433</v>
      </c>
      <c r="P435" s="28" t="s">
        <v>21</v>
      </c>
      <c r="Q435" s="26" t="b">
        <v>0</v>
      </c>
      <c r="R435" s="22">
        <f t="shared" si="6"/>
        <v>3828</v>
      </c>
    </row>
    <row r="436" spans="1:18">
      <c r="A436" s="26">
        <v>723</v>
      </c>
      <c r="B436" s="27">
        <v>33605</v>
      </c>
      <c r="C436" s="28" t="s">
        <v>1298</v>
      </c>
      <c r="D436" s="27">
        <v>33602</v>
      </c>
      <c r="E436" s="28" t="s">
        <v>299</v>
      </c>
      <c r="F436" s="28" t="s">
        <v>1299</v>
      </c>
      <c r="G436" s="28" t="s">
        <v>20</v>
      </c>
      <c r="H436" s="28" t="s">
        <v>189</v>
      </c>
      <c r="I436" s="28" t="s">
        <v>189</v>
      </c>
      <c r="J436" s="28" t="s">
        <v>1300</v>
      </c>
      <c r="K436" s="28" t="s">
        <v>1301</v>
      </c>
      <c r="L436" s="28" t="s">
        <v>1049</v>
      </c>
      <c r="M436" s="28" t="s">
        <v>21</v>
      </c>
      <c r="N436" s="27">
        <v>33662</v>
      </c>
      <c r="O436" s="92">
        <v>33619</v>
      </c>
      <c r="P436" s="28" t="s">
        <v>21</v>
      </c>
      <c r="Q436" s="26" t="b">
        <v>0</v>
      </c>
      <c r="R436" s="22">
        <f t="shared" si="6"/>
        <v>14</v>
      </c>
    </row>
    <row r="437" spans="1:18">
      <c r="A437" s="26">
        <v>724</v>
      </c>
      <c r="B437" s="27">
        <v>33606</v>
      </c>
      <c r="C437" s="28" t="s">
        <v>1302</v>
      </c>
      <c r="D437" s="27">
        <v>33602</v>
      </c>
      <c r="E437" s="28" t="s">
        <v>1303</v>
      </c>
      <c r="F437" s="28" t="s">
        <v>242</v>
      </c>
      <c r="G437" s="28" t="s">
        <v>20</v>
      </c>
      <c r="H437" s="28" t="s">
        <v>21</v>
      </c>
      <c r="I437" s="28" t="s">
        <v>21</v>
      </c>
      <c r="J437" s="28" t="s">
        <v>1304</v>
      </c>
      <c r="K437" s="28" t="s">
        <v>944</v>
      </c>
      <c r="L437" s="28" t="s">
        <v>82</v>
      </c>
      <c r="M437" s="28" t="s">
        <v>21</v>
      </c>
      <c r="N437" s="27">
        <v>33641</v>
      </c>
      <c r="O437" s="92">
        <v>33696</v>
      </c>
      <c r="P437" s="28" t="s">
        <v>31</v>
      </c>
      <c r="Q437" s="26" t="b">
        <v>0</v>
      </c>
      <c r="R437" s="22">
        <f t="shared" si="6"/>
        <v>90</v>
      </c>
    </row>
    <row r="438" spans="1:18">
      <c r="A438" s="26">
        <v>725</v>
      </c>
      <c r="B438" s="27">
        <v>33610</v>
      </c>
      <c r="C438" s="28" t="s">
        <v>1305</v>
      </c>
      <c r="D438" s="27">
        <v>33609</v>
      </c>
      <c r="E438" s="28" t="s">
        <v>38</v>
      </c>
      <c r="F438" s="28" t="s">
        <v>129</v>
      </c>
      <c r="G438" s="28" t="s">
        <v>20</v>
      </c>
      <c r="H438" s="28" t="s">
        <v>21</v>
      </c>
      <c r="I438" s="28" t="s">
        <v>21</v>
      </c>
      <c r="J438" s="28" t="s">
        <v>1306</v>
      </c>
      <c r="K438" s="28" t="s">
        <v>1307</v>
      </c>
      <c r="L438" s="28" t="s">
        <v>82</v>
      </c>
      <c r="M438" s="28" t="s">
        <v>21</v>
      </c>
      <c r="N438" s="29">
        <v>33255</v>
      </c>
      <c r="O438" s="92">
        <v>33620</v>
      </c>
      <c r="P438" s="28" t="s">
        <v>31</v>
      </c>
      <c r="Q438" s="26" t="b">
        <v>0</v>
      </c>
      <c r="R438" s="22">
        <f t="shared" si="6"/>
        <v>10</v>
      </c>
    </row>
    <row r="439" spans="1:18">
      <c r="A439" s="26">
        <v>726</v>
      </c>
      <c r="B439" s="27">
        <v>33610</v>
      </c>
      <c r="C439" s="28" t="s">
        <v>1308</v>
      </c>
      <c r="D439" s="27">
        <v>33610</v>
      </c>
      <c r="E439" s="28" t="s">
        <v>38</v>
      </c>
      <c r="F439" s="28" t="s">
        <v>98</v>
      </c>
      <c r="G439" s="28" t="s">
        <v>20</v>
      </c>
      <c r="H439" s="28" t="s">
        <v>21</v>
      </c>
      <c r="I439" s="28" t="s">
        <v>21</v>
      </c>
      <c r="J439" s="28" t="s">
        <v>1309</v>
      </c>
      <c r="K439" s="28" t="s">
        <v>21</v>
      </c>
      <c r="L439" s="28" t="s">
        <v>24</v>
      </c>
      <c r="M439" s="28" t="s">
        <v>21</v>
      </c>
      <c r="N439" s="27">
        <v>33612</v>
      </c>
      <c r="O439" s="92">
        <v>33611</v>
      </c>
      <c r="P439" s="28" t="s">
        <v>21</v>
      </c>
      <c r="Q439" s="26" t="b">
        <v>0</v>
      </c>
      <c r="R439" s="22">
        <f t="shared" si="6"/>
        <v>1</v>
      </c>
    </row>
    <row r="440" spans="1:18">
      <c r="A440" s="26">
        <v>735</v>
      </c>
      <c r="B440" s="27">
        <v>33618</v>
      </c>
      <c r="C440" s="28" t="s">
        <v>1310</v>
      </c>
      <c r="D440" s="27">
        <v>33617</v>
      </c>
      <c r="E440" s="28" t="s">
        <v>1311</v>
      </c>
      <c r="F440" s="28" t="s">
        <v>56</v>
      </c>
      <c r="G440" s="28" t="s">
        <v>20</v>
      </c>
      <c r="H440" s="28" t="s">
        <v>21</v>
      </c>
      <c r="I440" s="28" t="s">
        <v>21</v>
      </c>
      <c r="J440" s="28" t="s">
        <v>1312</v>
      </c>
      <c r="K440" s="28" t="s">
        <v>1313</v>
      </c>
      <c r="L440" s="28" t="s">
        <v>24</v>
      </c>
      <c r="M440" s="28" t="s">
        <v>21</v>
      </c>
      <c r="N440" s="29">
        <v>33627</v>
      </c>
      <c r="O440" s="92">
        <v>33620</v>
      </c>
      <c r="P440" s="28" t="s">
        <v>21</v>
      </c>
      <c r="Q440" s="26" t="b">
        <v>0</v>
      </c>
      <c r="R440" s="22">
        <f t="shared" si="6"/>
        <v>2</v>
      </c>
    </row>
    <row r="441" spans="1:18">
      <c r="A441" s="26">
        <v>736</v>
      </c>
      <c r="B441" s="27">
        <v>33618</v>
      </c>
      <c r="C441" s="28" t="s">
        <v>1314</v>
      </c>
      <c r="D441" s="27">
        <v>33612</v>
      </c>
      <c r="E441" s="28" t="s">
        <v>1315</v>
      </c>
      <c r="F441" s="28" t="s">
        <v>741</v>
      </c>
      <c r="G441" s="28" t="s">
        <v>20</v>
      </c>
      <c r="H441" s="28" t="s">
        <v>21</v>
      </c>
      <c r="I441" s="28" t="s">
        <v>21</v>
      </c>
      <c r="J441" s="28" t="s">
        <v>1316</v>
      </c>
      <c r="K441" s="28" t="s">
        <v>1317</v>
      </c>
      <c r="L441" s="28" t="s">
        <v>30</v>
      </c>
      <c r="M441" s="28" t="s">
        <v>21</v>
      </c>
      <c r="N441" s="27">
        <v>33634</v>
      </c>
      <c r="O441" s="92">
        <v>33830</v>
      </c>
      <c r="P441" s="28" t="s">
        <v>21</v>
      </c>
      <c r="Q441" s="26" t="b">
        <v>0</v>
      </c>
      <c r="R441" s="22">
        <f t="shared" si="6"/>
        <v>211</v>
      </c>
    </row>
    <row r="442" spans="1:18">
      <c r="A442" s="26">
        <v>749</v>
      </c>
      <c r="B442" s="27">
        <v>33624</v>
      </c>
      <c r="C442" s="28" t="s">
        <v>1318</v>
      </c>
      <c r="D442" s="27">
        <v>33620</v>
      </c>
      <c r="E442" s="28" t="s">
        <v>1319</v>
      </c>
      <c r="F442" s="28" t="s">
        <v>70</v>
      </c>
      <c r="G442" s="28" t="s">
        <v>20</v>
      </c>
      <c r="H442" s="28" t="s">
        <v>71</v>
      </c>
      <c r="I442" s="28" t="s">
        <v>72</v>
      </c>
      <c r="J442" s="28" t="s">
        <v>1320</v>
      </c>
      <c r="K442" s="28" t="s">
        <v>1321</v>
      </c>
      <c r="L442" s="28" t="s">
        <v>24</v>
      </c>
      <c r="M442" s="28" t="s">
        <v>21</v>
      </c>
      <c r="O442" s="92">
        <v>35369</v>
      </c>
      <c r="P442" s="28" t="s">
        <v>21</v>
      </c>
      <c r="Q442" s="26" t="b">
        <v>0</v>
      </c>
      <c r="R442" s="22">
        <f t="shared" si="6"/>
        <v>1743</v>
      </c>
    </row>
    <row r="443" spans="1:18">
      <c r="A443" s="26">
        <v>750</v>
      </c>
      <c r="B443" s="27">
        <v>33624</v>
      </c>
      <c r="C443" s="28" t="s">
        <v>1322</v>
      </c>
      <c r="D443" s="27">
        <v>33619</v>
      </c>
      <c r="E443" s="28" t="s">
        <v>38</v>
      </c>
      <c r="F443" s="28" t="s">
        <v>327</v>
      </c>
      <c r="G443" s="28" t="s">
        <v>20</v>
      </c>
      <c r="H443" s="28" t="s">
        <v>21</v>
      </c>
      <c r="I443" s="28" t="s">
        <v>21</v>
      </c>
      <c r="J443" s="28" t="s">
        <v>1323</v>
      </c>
      <c r="K443" s="28" t="s">
        <v>21</v>
      </c>
      <c r="L443" s="28" t="s">
        <v>24</v>
      </c>
      <c r="M443" s="28" t="s">
        <v>21</v>
      </c>
      <c r="O443" s="92">
        <v>34877</v>
      </c>
      <c r="P443" s="28" t="s">
        <v>31</v>
      </c>
      <c r="Q443" s="26" t="b">
        <v>0</v>
      </c>
      <c r="R443" s="22">
        <f t="shared" si="6"/>
        <v>1253</v>
      </c>
    </row>
    <row r="444" spans="1:18">
      <c r="A444" s="26">
        <v>751</v>
      </c>
      <c r="B444" s="27">
        <v>33624</v>
      </c>
      <c r="C444" s="28" t="s">
        <v>1324</v>
      </c>
      <c r="D444" s="27">
        <v>33616</v>
      </c>
      <c r="E444" s="28" t="s">
        <v>1204</v>
      </c>
      <c r="F444" s="28" t="s">
        <v>56</v>
      </c>
      <c r="G444" s="28" t="s">
        <v>20</v>
      </c>
      <c r="H444" s="28" t="s">
        <v>21</v>
      </c>
      <c r="I444" s="28" t="s">
        <v>21</v>
      </c>
      <c r="J444" s="28" t="s">
        <v>1325</v>
      </c>
      <c r="K444" s="28" t="s">
        <v>1326</v>
      </c>
      <c r="L444" s="28" t="s">
        <v>24</v>
      </c>
      <c r="M444" s="28" t="s">
        <v>21</v>
      </c>
      <c r="N444" s="18"/>
      <c r="O444" s="92">
        <v>33626</v>
      </c>
      <c r="P444" s="28" t="s">
        <v>21</v>
      </c>
      <c r="Q444" s="26" t="b">
        <v>0</v>
      </c>
      <c r="R444" s="22">
        <f t="shared" si="6"/>
        <v>2</v>
      </c>
    </row>
    <row r="445" spans="1:18">
      <c r="A445" s="26">
        <v>752</v>
      </c>
      <c r="B445" s="27">
        <v>33627</v>
      </c>
      <c r="C445" s="28" t="s">
        <v>1327</v>
      </c>
      <c r="D445" s="27">
        <v>33627</v>
      </c>
      <c r="E445" s="28" t="s">
        <v>1328</v>
      </c>
      <c r="F445" s="28" t="s">
        <v>98</v>
      </c>
      <c r="G445" s="28" t="s">
        <v>20</v>
      </c>
      <c r="H445" s="28" t="s">
        <v>21</v>
      </c>
      <c r="I445" s="28" t="s">
        <v>21</v>
      </c>
      <c r="J445" s="28" t="s">
        <v>1258</v>
      </c>
      <c r="K445" s="28" t="s">
        <v>1329</v>
      </c>
      <c r="L445" s="28" t="s">
        <v>24</v>
      </c>
      <c r="M445" s="28" t="s">
        <v>21</v>
      </c>
      <c r="N445" s="27">
        <v>33630</v>
      </c>
      <c r="O445" s="92">
        <v>33627</v>
      </c>
      <c r="P445" s="28" t="s">
        <v>21</v>
      </c>
      <c r="Q445" s="26" t="b">
        <v>0</v>
      </c>
      <c r="R445" s="22">
        <f t="shared" si="6"/>
        <v>0</v>
      </c>
    </row>
    <row r="446" spans="1:18">
      <c r="A446" s="26">
        <v>761</v>
      </c>
      <c r="B446" s="27">
        <v>33631</v>
      </c>
      <c r="C446" s="28" t="s">
        <v>1330</v>
      </c>
      <c r="D446" s="27">
        <v>33613</v>
      </c>
      <c r="E446" s="28" t="s">
        <v>1204</v>
      </c>
      <c r="F446" s="28" t="s">
        <v>741</v>
      </c>
      <c r="G446" s="28" t="s">
        <v>20</v>
      </c>
      <c r="H446" s="28" t="s">
        <v>21</v>
      </c>
      <c r="I446" s="28" t="s">
        <v>21</v>
      </c>
      <c r="J446" s="28" t="s">
        <v>1331</v>
      </c>
      <c r="K446" s="28" t="s">
        <v>21</v>
      </c>
      <c r="L446" s="28" t="s">
        <v>59</v>
      </c>
      <c r="M446" s="28" t="s">
        <v>21</v>
      </c>
      <c r="N446" s="29">
        <v>33673</v>
      </c>
      <c r="O446" s="92">
        <v>33725</v>
      </c>
      <c r="P446" s="28" t="s">
        <v>21</v>
      </c>
      <c r="Q446" s="26" t="b">
        <v>0</v>
      </c>
      <c r="R446" s="22">
        <f t="shared" si="6"/>
        <v>94</v>
      </c>
    </row>
    <row r="447" spans="1:18">
      <c r="A447" s="26">
        <v>762</v>
      </c>
      <c r="B447" s="27">
        <v>33632</v>
      </c>
      <c r="C447" s="28" t="s">
        <v>1332</v>
      </c>
      <c r="D447" s="27">
        <v>33632</v>
      </c>
      <c r="E447" s="28" t="s">
        <v>38</v>
      </c>
      <c r="F447" s="28" t="s">
        <v>228</v>
      </c>
      <c r="G447" s="28" t="s">
        <v>20</v>
      </c>
      <c r="H447" s="28" t="s">
        <v>21</v>
      </c>
      <c r="I447" s="28" t="s">
        <v>21</v>
      </c>
      <c r="J447" s="28" t="s">
        <v>1333</v>
      </c>
      <c r="K447" s="28" t="s">
        <v>1334</v>
      </c>
      <c r="L447" s="28" t="s">
        <v>30</v>
      </c>
      <c r="M447" s="28" t="s">
        <v>21</v>
      </c>
      <c r="N447" s="18"/>
      <c r="O447" s="92">
        <v>33805</v>
      </c>
      <c r="P447" s="28" t="s">
        <v>21</v>
      </c>
      <c r="Q447" s="26" t="b">
        <v>0</v>
      </c>
      <c r="R447" s="22">
        <f t="shared" si="6"/>
        <v>173</v>
      </c>
    </row>
    <row r="448" spans="1:18">
      <c r="A448" s="26">
        <v>763</v>
      </c>
      <c r="B448" s="27">
        <v>33632</v>
      </c>
      <c r="C448" s="28" t="s">
        <v>1335</v>
      </c>
      <c r="D448" s="27">
        <v>33632</v>
      </c>
      <c r="E448" s="28" t="s">
        <v>38</v>
      </c>
      <c r="F448" s="28" t="s">
        <v>104</v>
      </c>
      <c r="G448" s="28" t="s">
        <v>20</v>
      </c>
      <c r="H448" s="28" t="s">
        <v>21</v>
      </c>
      <c r="I448" s="28" t="s">
        <v>21</v>
      </c>
      <c r="J448" s="28" t="s">
        <v>121</v>
      </c>
      <c r="K448" s="28" t="s">
        <v>21</v>
      </c>
      <c r="L448" s="28" t="s">
        <v>24</v>
      </c>
      <c r="M448" s="28" t="s">
        <v>21</v>
      </c>
      <c r="N448" s="29">
        <v>33632</v>
      </c>
      <c r="O448" s="92">
        <v>33632</v>
      </c>
      <c r="P448" s="28" t="s">
        <v>21</v>
      </c>
      <c r="Q448" s="26" t="b">
        <v>0</v>
      </c>
      <c r="R448" s="22">
        <f t="shared" si="6"/>
        <v>0</v>
      </c>
    </row>
    <row r="449" spans="1:18">
      <c r="A449" s="26">
        <v>771</v>
      </c>
      <c r="B449" s="27">
        <v>33634</v>
      </c>
      <c r="C449" s="28" t="s">
        <v>1341</v>
      </c>
      <c r="D449" s="27">
        <v>33632</v>
      </c>
      <c r="E449" s="28" t="s">
        <v>1342</v>
      </c>
      <c r="F449" s="28" t="s">
        <v>104</v>
      </c>
      <c r="G449" s="28" t="s">
        <v>20</v>
      </c>
      <c r="H449" s="28" t="s">
        <v>21</v>
      </c>
      <c r="I449" s="28" t="s">
        <v>21</v>
      </c>
      <c r="J449" s="28" t="s">
        <v>1343</v>
      </c>
      <c r="K449" s="28" t="s">
        <v>21</v>
      </c>
      <c r="L449" s="28" t="s">
        <v>1152</v>
      </c>
      <c r="M449" s="28" t="s">
        <v>21</v>
      </c>
      <c r="N449" s="18"/>
      <c r="O449" s="92">
        <v>34129</v>
      </c>
      <c r="P449" s="28" t="s">
        <v>21</v>
      </c>
      <c r="Q449" s="26" t="b">
        <v>0</v>
      </c>
      <c r="R449" s="22">
        <f t="shared" si="6"/>
        <v>495</v>
      </c>
    </row>
    <row r="450" spans="1:18">
      <c r="A450" s="26">
        <v>772</v>
      </c>
      <c r="B450" s="27">
        <v>33639</v>
      </c>
      <c r="C450" s="28" t="s">
        <v>1344</v>
      </c>
      <c r="D450" s="27">
        <v>33636</v>
      </c>
      <c r="E450" s="28" t="s">
        <v>38</v>
      </c>
      <c r="F450" s="28" t="s">
        <v>104</v>
      </c>
      <c r="G450" s="28" t="s">
        <v>20</v>
      </c>
      <c r="H450" s="28" t="s">
        <v>21</v>
      </c>
      <c r="I450" s="28" t="s">
        <v>21</v>
      </c>
      <c r="J450" s="28" t="s">
        <v>1345</v>
      </c>
      <c r="K450" s="28" t="s">
        <v>1346</v>
      </c>
      <c r="L450" s="28" t="s">
        <v>24</v>
      </c>
      <c r="M450" s="28" t="s">
        <v>21</v>
      </c>
      <c r="N450" s="18"/>
      <c r="O450" s="92">
        <v>33640</v>
      </c>
      <c r="P450" s="28" t="s">
        <v>21</v>
      </c>
      <c r="Q450" s="26" t="b">
        <v>0</v>
      </c>
      <c r="R450" s="22">
        <f t="shared" ref="R450:R513" si="7">IF(O450=" ", " ", INT(YEARFRAC(O450, B450)*365))</f>
        <v>1</v>
      </c>
    </row>
    <row r="451" spans="1:18">
      <c r="A451" s="26">
        <v>776</v>
      </c>
      <c r="B451" s="27">
        <v>33645</v>
      </c>
      <c r="C451" s="28" t="s">
        <v>1347</v>
      </c>
      <c r="D451" s="27">
        <v>33644</v>
      </c>
      <c r="E451" s="28" t="s">
        <v>1348</v>
      </c>
      <c r="F451" s="28" t="s">
        <v>52</v>
      </c>
      <c r="G451" s="28" t="s">
        <v>20</v>
      </c>
      <c r="H451" s="28" t="s">
        <v>21</v>
      </c>
      <c r="I451" s="28" t="s">
        <v>21</v>
      </c>
      <c r="J451" s="28" t="s">
        <v>1349</v>
      </c>
      <c r="K451" s="28" t="s">
        <v>1350</v>
      </c>
      <c r="L451" s="28" t="s">
        <v>24</v>
      </c>
      <c r="M451" s="28" t="s">
        <v>21</v>
      </c>
      <c r="N451" s="18"/>
      <c r="O451" s="92">
        <v>33666</v>
      </c>
      <c r="P451" s="28" t="s">
        <v>21</v>
      </c>
      <c r="Q451" s="26" t="b">
        <v>0</v>
      </c>
      <c r="R451" s="22">
        <f t="shared" si="7"/>
        <v>22</v>
      </c>
    </row>
    <row r="452" spans="1:18">
      <c r="A452" s="26">
        <v>779</v>
      </c>
      <c r="B452" s="27">
        <v>33646</v>
      </c>
      <c r="C452" s="28" t="s">
        <v>1351</v>
      </c>
      <c r="D452" s="27">
        <v>33644</v>
      </c>
      <c r="E452" s="28" t="s">
        <v>1352</v>
      </c>
      <c r="F452" s="28" t="s">
        <v>39</v>
      </c>
      <c r="G452" s="28" t="s">
        <v>20</v>
      </c>
      <c r="H452" s="28" t="s">
        <v>21</v>
      </c>
      <c r="I452" s="28" t="s">
        <v>21</v>
      </c>
      <c r="J452" s="28" t="s">
        <v>1258</v>
      </c>
      <c r="K452" s="28" t="s">
        <v>44</v>
      </c>
      <c r="L452" s="28" t="s">
        <v>30</v>
      </c>
      <c r="M452" s="28" t="s">
        <v>21</v>
      </c>
      <c r="O452" s="92">
        <v>36486</v>
      </c>
      <c r="P452" s="28" t="s">
        <v>21</v>
      </c>
      <c r="Q452" s="26" t="b">
        <v>0</v>
      </c>
      <c r="R452" s="22">
        <f t="shared" si="7"/>
        <v>2838</v>
      </c>
    </row>
    <row r="453" spans="1:18">
      <c r="A453" s="26">
        <v>781</v>
      </c>
      <c r="B453" s="27">
        <v>33646</v>
      </c>
      <c r="C453" s="28" t="s">
        <v>1353</v>
      </c>
      <c r="D453" s="27">
        <v>33646</v>
      </c>
      <c r="E453" s="28" t="s">
        <v>1354</v>
      </c>
      <c r="F453" s="28" t="s">
        <v>85</v>
      </c>
      <c r="G453" s="28" t="s">
        <v>20</v>
      </c>
      <c r="H453" s="28" t="s">
        <v>21</v>
      </c>
      <c r="I453" s="28" t="s">
        <v>21</v>
      </c>
      <c r="J453" s="28" t="s">
        <v>1355</v>
      </c>
      <c r="K453" s="28" t="s">
        <v>1356</v>
      </c>
      <c r="L453" s="28" t="s">
        <v>1152</v>
      </c>
      <c r="M453" s="28" t="s">
        <v>21</v>
      </c>
      <c r="N453" s="18"/>
      <c r="O453" s="92">
        <v>33784</v>
      </c>
      <c r="P453" s="28" t="s">
        <v>31</v>
      </c>
      <c r="Q453" s="26" t="b">
        <v>0</v>
      </c>
      <c r="R453" s="22">
        <f t="shared" si="7"/>
        <v>138</v>
      </c>
    </row>
    <row r="454" spans="1:18">
      <c r="A454" s="26">
        <v>782</v>
      </c>
      <c r="B454" s="27">
        <v>33647</v>
      </c>
      <c r="C454" s="28" t="s">
        <v>1357</v>
      </c>
      <c r="D454" s="27">
        <v>33645</v>
      </c>
      <c r="E454" s="28" t="s">
        <v>1358</v>
      </c>
      <c r="F454" s="28" t="s">
        <v>98</v>
      </c>
      <c r="G454" s="28" t="s">
        <v>20</v>
      </c>
      <c r="H454" s="28" t="s">
        <v>21</v>
      </c>
      <c r="I454" s="28" t="s">
        <v>21</v>
      </c>
      <c r="J454" s="28" t="s">
        <v>1349</v>
      </c>
      <c r="K454" s="28" t="s">
        <v>1359</v>
      </c>
      <c r="L454" s="28" t="s">
        <v>82</v>
      </c>
      <c r="M454" s="28" t="s">
        <v>21</v>
      </c>
      <c r="N454" s="18"/>
      <c r="O454" s="92">
        <v>33659</v>
      </c>
      <c r="P454" s="28" t="s">
        <v>31</v>
      </c>
      <c r="Q454" s="26" t="b">
        <v>0</v>
      </c>
      <c r="R454" s="22">
        <f t="shared" si="7"/>
        <v>12</v>
      </c>
    </row>
    <row r="455" spans="1:18">
      <c r="A455" s="26">
        <v>786</v>
      </c>
      <c r="B455" s="27">
        <v>33648</v>
      </c>
      <c r="C455" s="28" t="s">
        <v>1360</v>
      </c>
      <c r="D455" s="27">
        <v>33647</v>
      </c>
      <c r="E455" s="28" t="s">
        <v>1361</v>
      </c>
      <c r="F455" s="28" t="s">
        <v>741</v>
      </c>
      <c r="G455" s="28" t="s">
        <v>20</v>
      </c>
      <c r="H455" s="28" t="s">
        <v>21</v>
      </c>
      <c r="I455" s="28" t="s">
        <v>21</v>
      </c>
      <c r="J455" s="28" t="s">
        <v>1258</v>
      </c>
      <c r="K455" s="28" t="s">
        <v>21</v>
      </c>
      <c r="L455" s="28" t="s">
        <v>24</v>
      </c>
      <c r="M455" s="28" t="s">
        <v>21</v>
      </c>
      <c r="N455" s="18"/>
      <c r="O455" s="92">
        <v>33658</v>
      </c>
      <c r="P455" s="28" t="s">
        <v>21</v>
      </c>
      <c r="Q455" s="26" t="b">
        <v>0</v>
      </c>
      <c r="R455" s="22">
        <f t="shared" si="7"/>
        <v>10</v>
      </c>
    </row>
    <row r="456" spans="1:18">
      <c r="A456" s="26">
        <v>794</v>
      </c>
      <c r="B456" s="27">
        <v>33658</v>
      </c>
      <c r="C456" s="28" t="s">
        <v>1362</v>
      </c>
      <c r="D456" s="27">
        <v>33658</v>
      </c>
      <c r="E456" s="28" t="s">
        <v>283</v>
      </c>
      <c r="F456" s="28" t="s">
        <v>242</v>
      </c>
      <c r="G456" s="28" t="s">
        <v>20</v>
      </c>
      <c r="H456" s="28" t="s">
        <v>21</v>
      </c>
      <c r="I456" s="28" t="s">
        <v>21</v>
      </c>
      <c r="J456" s="28" t="s">
        <v>1363</v>
      </c>
      <c r="K456" s="28" t="s">
        <v>1364</v>
      </c>
      <c r="L456" s="28" t="s">
        <v>24</v>
      </c>
      <c r="M456" s="28" t="s">
        <v>21</v>
      </c>
      <c r="N456" s="27">
        <v>33660</v>
      </c>
      <c r="O456" s="92">
        <v>33658</v>
      </c>
      <c r="P456" s="28" t="s">
        <v>21</v>
      </c>
      <c r="Q456" s="26" t="b">
        <v>0</v>
      </c>
      <c r="R456" s="22">
        <f t="shared" si="7"/>
        <v>0</v>
      </c>
    </row>
    <row r="457" spans="1:18">
      <c r="A457" s="26">
        <v>795</v>
      </c>
      <c r="B457" s="27">
        <v>33659</v>
      </c>
      <c r="C457" s="28" t="s">
        <v>1365</v>
      </c>
      <c r="D457" s="27">
        <v>33655</v>
      </c>
      <c r="E457" s="28" t="s">
        <v>299</v>
      </c>
      <c r="F457" s="28" t="s">
        <v>1366</v>
      </c>
      <c r="G457" s="28" t="s">
        <v>20</v>
      </c>
      <c r="H457" s="28" t="s">
        <v>212</v>
      </c>
      <c r="I457" s="28" t="s">
        <v>212</v>
      </c>
      <c r="J457" s="28" t="s">
        <v>1367</v>
      </c>
      <c r="K457" s="28" t="s">
        <v>1368</v>
      </c>
      <c r="L457" s="28" t="s">
        <v>1049</v>
      </c>
      <c r="M457" s="28" t="s">
        <v>21</v>
      </c>
      <c r="N457" s="27">
        <v>33676</v>
      </c>
      <c r="O457" s="92">
        <v>34272</v>
      </c>
      <c r="P457" s="28" t="s">
        <v>21</v>
      </c>
      <c r="Q457" s="26" t="b">
        <v>0</v>
      </c>
      <c r="R457" s="22">
        <f t="shared" si="7"/>
        <v>613</v>
      </c>
    </row>
    <row r="458" spans="1:18">
      <c r="A458" s="26">
        <v>799</v>
      </c>
      <c r="B458" s="27">
        <v>33662</v>
      </c>
      <c r="C458" s="28" t="s">
        <v>1369</v>
      </c>
      <c r="D458" s="27">
        <v>33661</v>
      </c>
      <c r="E458" s="28" t="s">
        <v>1370</v>
      </c>
      <c r="F458" s="28" t="s">
        <v>94</v>
      </c>
      <c r="G458" s="28" t="s">
        <v>20</v>
      </c>
      <c r="H458" s="28" t="s">
        <v>21</v>
      </c>
      <c r="I458" s="28" t="s">
        <v>21</v>
      </c>
      <c r="J458" s="28" t="s">
        <v>1371</v>
      </c>
      <c r="K458" s="28" t="s">
        <v>1372</v>
      </c>
      <c r="L458" s="28" t="s">
        <v>24</v>
      </c>
      <c r="M458" s="28" t="s">
        <v>21</v>
      </c>
      <c r="N458" s="27">
        <v>33694</v>
      </c>
      <c r="O458" s="92">
        <v>33817</v>
      </c>
      <c r="P458" s="28" t="s">
        <v>31</v>
      </c>
      <c r="Q458" s="26" t="b">
        <v>0</v>
      </c>
      <c r="R458" s="22">
        <f t="shared" si="7"/>
        <v>155</v>
      </c>
    </row>
    <row r="459" spans="1:18">
      <c r="A459" s="26">
        <v>800</v>
      </c>
      <c r="B459" s="27">
        <v>33662</v>
      </c>
      <c r="C459" s="28" t="s">
        <v>1373</v>
      </c>
      <c r="D459" s="27">
        <v>33660</v>
      </c>
      <c r="E459" s="28" t="s">
        <v>1374</v>
      </c>
      <c r="F459" s="28" t="s">
        <v>39</v>
      </c>
      <c r="G459" s="28" t="s">
        <v>20</v>
      </c>
      <c r="H459" s="28" t="s">
        <v>21</v>
      </c>
      <c r="I459" s="28" t="s">
        <v>21</v>
      </c>
      <c r="J459" s="28" t="s">
        <v>1375</v>
      </c>
      <c r="K459" s="28" t="s">
        <v>1202</v>
      </c>
      <c r="L459" s="28" t="s">
        <v>67</v>
      </c>
      <c r="M459" s="28" t="s">
        <v>21</v>
      </c>
      <c r="N459" s="18"/>
      <c r="O459" s="92">
        <v>35496</v>
      </c>
      <c r="P459" s="28" t="s">
        <v>31</v>
      </c>
      <c r="Q459" s="26" t="b">
        <v>0</v>
      </c>
      <c r="R459" s="22">
        <f t="shared" si="7"/>
        <v>1834</v>
      </c>
    </row>
    <row r="460" spans="1:18">
      <c r="A460" s="26">
        <v>801</v>
      </c>
      <c r="B460" s="27">
        <v>33662</v>
      </c>
      <c r="C460" s="28" t="s">
        <v>1376</v>
      </c>
      <c r="D460" s="27">
        <v>33662</v>
      </c>
      <c r="E460" s="28" t="s">
        <v>1377</v>
      </c>
      <c r="F460" s="28" t="s">
        <v>275</v>
      </c>
      <c r="G460" s="28" t="s">
        <v>20</v>
      </c>
      <c r="H460" s="28" t="s">
        <v>21</v>
      </c>
      <c r="I460" s="28" t="s">
        <v>21</v>
      </c>
      <c r="J460" s="28" t="s">
        <v>1378</v>
      </c>
      <c r="K460" s="28" t="s">
        <v>1379</v>
      </c>
      <c r="L460" s="28" t="s">
        <v>30</v>
      </c>
      <c r="M460" s="28" t="s">
        <v>21</v>
      </c>
      <c r="N460" s="27">
        <v>33673</v>
      </c>
      <c r="O460" s="92">
        <v>34827</v>
      </c>
      <c r="P460" s="28" t="s">
        <v>21</v>
      </c>
      <c r="Q460" s="26" t="b">
        <v>0</v>
      </c>
      <c r="R460" s="22">
        <f t="shared" si="7"/>
        <v>1165</v>
      </c>
    </row>
    <row r="461" spans="1:18">
      <c r="A461" s="26">
        <v>808</v>
      </c>
      <c r="B461" s="27">
        <v>33668</v>
      </c>
      <c r="C461" s="28" t="s">
        <v>1380</v>
      </c>
      <c r="D461" s="27">
        <v>33665</v>
      </c>
      <c r="E461" s="28" t="s">
        <v>1381</v>
      </c>
      <c r="F461" s="28" t="s">
        <v>70</v>
      </c>
      <c r="G461" s="28" t="s">
        <v>20</v>
      </c>
      <c r="H461" s="28" t="s">
        <v>71</v>
      </c>
      <c r="I461" s="28" t="s">
        <v>72</v>
      </c>
      <c r="J461" s="28" t="s">
        <v>1382</v>
      </c>
      <c r="K461" s="28" t="s">
        <v>1383</v>
      </c>
      <c r="L461" s="28" t="s">
        <v>30</v>
      </c>
      <c r="M461" s="28" t="s">
        <v>21</v>
      </c>
      <c r="N461" s="27">
        <v>33694</v>
      </c>
      <c r="O461" s="92">
        <v>34466</v>
      </c>
      <c r="P461" s="28" t="s">
        <v>21</v>
      </c>
      <c r="Q461" s="26" t="b">
        <v>0</v>
      </c>
      <c r="R461" s="22">
        <f t="shared" si="7"/>
        <v>797</v>
      </c>
    </row>
    <row r="462" spans="1:18">
      <c r="A462" s="26">
        <v>809</v>
      </c>
      <c r="B462" s="27">
        <v>33668</v>
      </c>
      <c r="C462" s="28" t="s">
        <v>1384</v>
      </c>
      <c r="D462" s="27">
        <v>33667</v>
      </c>
      <c r="E462" s="28" t="s">
        <v>1385</v>
      </c>
      <c r="F462" s="28" t="s">
        <v>85</v>
      </c>
      <c r="G462" s="28" t="s">
        <v>20</v>
      </c>
      <c r="H462" s="28" t="s">
        <v>21</v>
      </c>
      <c r="I462" s="28" t="s">
        <v>21</v>
      </c>
      <c r="J462" s="28" t="s">
        <v>1386</v>
      </c>
      <c r="K462" s="28" t="s">
        <v>1387</v>
      </c>
      <c r="L462" s="28" t="s">
        <v>1152</v>
      </c>
      <c r="M462" s="28" t="s">
        <v>21</v>
      </c>
      <c r="N462" s="29">
        <v>33709</v>
      </c>
      <c r="O462" s="92">
        <v>33784</v>
      </c>
      <c r="P462" s="28" t="s">
        <v>21</v>
      </c>
      <c r="Q462" s="26" t="b">
        <v>0</v>
      </c>
      <c r="R462" s="22">
        <f t="shared" si="7"/>
        <v>115</v>
      </c>
    </row>
    <row r="463" spans="1:18">
      <c r="A463" s="26">
        <v>817</v>
      </c>
      <c r="B463" s="27">
        <v>33673</v>
      </c>
      <c r="C463" s="28" t="s">
        <v>1388</v>
      </c>
      <c r="D463" s="27">
        <v>33672</v>
      </c>
      <c r="E463" s="28" t="s">
        <v>1204</v>
      </c>
      <c r="F463" s="28" t="s">
        <v>56</v>
      </c>
      <c r="G463" s="28" t="s">
        <v>20</v>
      </c>
      <c r="H463" s="28" t="s">
        <v>21</v>
      </c>
      <c r="I463" s="28" t="s">
        <v>21</v>
      </c>
      <c r="J463" s="28" t="s">
        <v>1389</v>
      </c>
      <c r="K463" s="28" t="s">
        <v>1390</v>
      </c>
      <c r="L463" s="28" t="s">
        <v>59</v>
      </c>
      <c r="M463" s="28" t="s">
        <v>21</v>
      </c>
      <c r="N463" s="29">
        <v>33675</v>
      </c>
      <c r="O463" s="92">
        <v>33674</v>
      </c>
      <c r="P463" s="28" t="s">
        <v>21</v>
      </c>
      <c r="Q463" s="26" t="b">
        <v>0</v>
      </c>
      <c r="R463" s="22">
        <f t="shared" si="7"/>
        <v>1</v>
      </c>
    </row>
    <row r="464" spans="1:18">
      <c r="A464" s="26">
        <v>819</v>
      </c>
      <c r="B464" s="27">
        <v>33674</v>
      </c>
      <c r="C464" s="28" t="s">
        <v>1391</v>
      </c>
      <c r="D464" s="27">
        <v>33673</v>
      </c>
      <c r="E464" s="28" t="s">
        <v>1392</v>
      </c>
      <c r="F464" s="28" t="s">
        <v>228</v>
      </c>
      <c r="G464" s="28" t="s">
        <v>20</v>
      </c>
      <c r="H464" s="28" t="s">
        <v>21</v>
      </c>
      <c r="I464" s="28" t="s">
        <v>21</v>
      </c>
      <c r="J464" s="28" t="s">
        <v>1393</v>
      </c>
      <c r="K464" s="28" t="s">
        <v>1394</v>
      </c>
      <c r="L464" s="28" t="s">
        <v>24</v>
      </c>
      <c r="M464" s="28" t="s">
        <v>21</v>
      </c>
      <c r="N464" s="27">
        <v>33680</v>
      </c>
      <c r="O464" s="92">
        <v>33682</v>
      </c>
      <c r="P464" s="28" t="s">
        <v>31</v>
      </c>
      <c r="Q464" s="26" t="b">
        <v>0</v>
      </c>
      <c r="R464" s="22">
        <f t="shared" si="7"/>
        <v>8</v>
      </c>
    </row>
    <row r="465" spans="1:18" ht="24">
      <c r="A465" s="26">
        <v>822</v>
      </c>
      <c r="B465" s="27">
        <v>33675</v>
      </c>
      <c r="C465" s="28" t="s">
        <v>1395</v>
      </c>
      <c r="D465" s="27">
        <v>33673</v>
      </c>
      <c r="E465" s="28" t="s">
        <v>1396</v>
      </c>
      <c r="F465" s="28" t="s">
        <v>19</v>
      </c>
      <c r="G465" s="28" t="s">
        <v>20</v>
      </c>
      <c r="H465" s="28" t="s">
        <v>21</v>
      </c>
      <c r="I465" s="28" t="s">
        <v>21</v>
      </c>
      <c r="J465" s="28" t="s">
        <v>1397</v>
      </c>
      <c r="K465" s="28" t="s">
        <v>1398</v>
      </c>
      <c r="L465" s="28" t="s">
        <v>24</v>
      </c>
      <c r="M465" s="28" t="s">
        <v>21</v>
      </c>
      <c r="N465" s="29">
        <v>33694</v>
      </c>
      <c r="O465" s="92">
        <v>33709</v>
      </c>
      <c r="P465" s="28" t="s">
        <v>21</v>
      </c>
      <c r="Q465" s="26" t="b">
        <v>0</v>
      </c>
      <c r="R465" s="22">
        <f t="shared" si="7"/>
        <v>33</v>
      </c>
    </row>
    <row r="466" spans="1:18">
      <c r="A466" s="26">
        <v>825</v>
      </c>
      <c r="B466" s="27">
        <v>33680</v>
      </c>
      <c r="C466" s="28" t="s">
        <v>1399</v>
      </c>
      <c r="D466" s="27">
        <v>33676</v>
      </c>
      <c r="E466" s="28" t="s">
        <v>1400</v>
      </c>
      <c r="F466" s="28" t="s">
        <v>104</v>
      </c>
      <c r="G466" s="28" t="s">
        <v>20</v>
      </c>
      <c r="H466" s="28" t="s">
        <v>21</v>
      </c>
      <c r="I466" s="28" t="s">
        <v>21</v>
      </c>
      <c r="J466" s="28" t="s">
        <v>1401</v>
      </c>
      <c r="K466" s="28" t="s">
        <v>1402</v>
      </c>
      <c r="L466" s="28" t="s">
        <v>24</v>
      </c>
      <c r="M466" s="28" t="s">
        <v>21</v>
      </c>
      <c r="N466" s="27">
        <v>33688</v>
      </c>
      <c r="O466" s="92">
        <v>33688</v>
      </c>
      <c r="P466" s="28" t="s">
        <v>21</v>
      </c>
      <c r="Q466" s="26" t="b">
        <v>0</v>
      </c>
      <c r="R466" s="22">
        <f t="shared" si="7"/>
        <v>8</v>
      </c>
    </row>
    <row r="467" spans="1:18">
      <c r="A467" s="26">
        <v>827</v>
      </c>
      <c r="B467" s="27">
        <v>33682</v>
      </c>
      <c r="C467" s="28" t="s">
        <v>1403</v>
      </c>
      <c r="D467" s="27">
        <v>33682</v>
      </c>
      <c r="E467" s="28" t="s">
        <v>1404</v>
      </c>
      <c r="F467" s="28" t="s">
        <v>19</v>
      </c>
      <c r="G467" s="28" t="s">
        <v>20</v>
      </c>
      <c r="H467" s="28" t="s">
        <v>21</v>
      </c>
      <c r="I467" s="28" t="s">
        <v>21</v>
      </c>
      <c r="J467" s="28" t="s">
        <v>1405</v>
      </c>
      <c r="K467" s="28" t="s">
        <v>1406</v>
      </c>
      <c r="L467" s="28" t="s">
        <v>30</v>
      </c>
      <c r="M467" s="28" t="s">
        <v>21</v>
      </c>
      <c r="O467" s="92">
        <v>34151</v>
      </c>
      <c r="P467" s="28" t="s">
        <v>31</v>
      </c>
      <c r="Q467" s="26" t="b">
        <v>0</v>
      </c>
      <c r="R467" s="22">
        <f t="shared" si="7"/>
        <v>468</v>
      </c>
    </row>
    <row r="468" spans="1:18">
      <c r="A468" s="26">
        <v>828</v>
      </c>
      <c r="B468" s="27">
        <v>33683</v>
      </c>
      <c r="C468" s="28" t="s">
        <v>1407</v>
      </c>
      <c r="D468" s="27">
        <v>33662</v>
      </c>
      <c r="E468" s="28" t="s">
        <v>1408</v>
      </c>
      <c r="F468" s="28" t="s">
        <v>1409</v>
      </c>
      <c r="G468" s="28" t="s">
        <v>20</v>
      </c>
      <c r="H468" s="28" t="s">
        <v>189</v>
      </c>
      <c r="I468" s="28" t="s">
        <v>189</v>
      </c>
      <c r="J468" s="28" t="s">
        <v>1410</v>
      </c>
      <c r="K468" s="28" t="s">
        <v>1411</v>
      </c>
      <c r="L468" s="28" t="s">
        <v>59</v>
      </c>
      <c r="M468" s="28" t="s">
        <v>21</v>
      </c>
      <c r="N468" s="18"/>
      <c r="O468" s="92">
        <v>33682</v>
      </c>
      <c r="P468" s="28" t="s">
        <v>31</v>
      </c>
      <c r="Q468" s="26" t="b">
        <v>0</v>
      </c>
      <c r="R468" s="22">
        <f t="shared" si="7"/>
        <v>1</v>
      </c>
    </row>
    <row r="469" spans="1:18">
      <c r="A469" s="26">
        <v>829</v>
      </c>
      <c r="B469" s="27">
        <v>33686</v>
      </c>
      <c r="C469" s="28" t="s">
        <v>1412</v>
      </c>
      <c r="D469" s="27">
        <v>33682</v>
      </c>
      <c r="E469" s="28" t="s">
        <v>1413</v>
      </c>
      <c r="F469" s="28" t="s">
        <v>1414</v>
      </c>
      <c r="G469" s="28" t="s">
        <v>20</v>
      </c>
      <c r="H469" s="28" t="s">
        <v>71</v>
      </c>
      <c r="I469" s="28" t="s">
        <v>72</v>
      </c>
      <c r="J469" s="28" t="s">
        <v>1415</v>
      </c>
      <c r="K469" s="28" t="s">
        <v>1416</v>
      </c>
      <c r="L469" s="28" t="s">
        <v>30</v>
      </c>
      <c r="M469" s="28" t="s">
        <v>21</v>
      </c>
      <c r="N469" s="29">
        <v>33724</v>
      </c>
      <c r="O469" s="92">
        <v>33793</v>
      </c>
      <c r="P469" s="28" t="s">
        <v>21</v>
      </c>
      <c r="Q469" s="26" t="b">
        <v>0</v>
      </c>
      <c r="R469" s="22">
        <f t="shared" si="7"/>
        <v>106</v>
      </c>
    </row>
    <row r="470" spans="1:18">
      <c r="A470" s="26">
        <v>833</v>
      </c>
      <c r="B470" s="27">
        <v>33687</v>
      </c>
      <c r="C470" s="28" t="s">
        <v>1417</v>
      </c>
      <c r="D470" s="27">
        <v>33687</v>
      </c>
      <c r="E470" s="28" t="s">
        <v>38</v>
      </c>
      <c r="F470" s="28" t="s">
        <v>228</v>
      </c>
      <c r="G470" s="28" t="s">
        <v>20</v>
      </c>
      <c r="H470" s="28" t="s">
        <v>21</v>
      </c>
      <c r="I470" s="28" t="s">
        <v>21</v>
      </c>
      <c r="J470" s="28" t="s">
        <v>1418</v>
      </c>
      <c r="K470" s="28" t="s">
        <v>1419</v>
      </c>
      <c r="L470" s="28" t="s">
        <v>59</v>
      </c>
      <c r="M470" s="28" t="s">
        <v>21</v>
      </c>
      <c r="N470" s="27">
        <v>33688</v>
      </c>
      <c r="O470" s="92">
        <v>33688</v>
      </c>
      <c r="P470" s="28" t="s">
        <v>21</v>
      </c>
      <c r="Q470" s="26" t="b">
        <v>0</v>
      </c>
      <c r="R470" s="22">
        <f t="shared" si="7"/>
        <v>1</v>
      </c>
    </row>
    <row r="471" spans="1:18">
      <c r="A471" s="26">
        <v>835</v>
      </c>
      <c r="B471" s="27">
        <v>33694</v>
      </c>
      <c r="C471" s="28" t="s">
        <v>1420</v>
      </c>
      <c r="D471" s="27">
        <v>33688</v>
      </c>
      <c r="E471" s="28" t="s">
        <v>1421</v>
      </c>
      <c r="F471" s="28" t="s">
        <v>39</v>
      </c>
      <c r="G471" s="28" t="s">
        <v>20</v>
      </c>
      <c r="H471" s="28" t="s">
        <v>21</v>
      </c>
      <c r="I471" s="28" t="s">
        <v>21</v>
      </c>
      <c r="J471" s="28" t="s">
        <v>1422</v>
      </c>
      <c r="K471" s="28" t="s">
        <v>1423</v>
      </c>
      <c r="L471" s="28" t="s">
        <v>24</v>
      </c>
      <c r="M471" s="28" t="s">
        <v>21</v>
      </c>
      <c r="N471" s="29">
        <v>33724</v>
      </c>
      <c r="O471" s="92">
        <v>33849</v>
      </c>
      <c r="P471" s="28" t="s">
        <v>21</v>
      </c>
      <c r="Q471" s="26" t="b">
        <v>0</v>
      </c>
      <c r="R471" s="22">
        <f t="shared" si="7"/>
        <v>154</v>
      </c>
    </row>
    <row r="472" spans="1:18">
      <c r="A472" s="26">
        <v>836</v>
      </c>
      <c r="B472" s="27">
        <v>33694</v>
      </c>
      <c r="C472" s="28" t="s">
        <v>1424</v>
      </c>
      <c r="D472" s="27">
        <v>33693</v>
      </c>
      <c r="E472" s="28" t="s">
        <v>1425</v>
      </c>
      <c r="F472" s="28" t="s">
        <v>1338</v>
      </c>
      <c r="G472" s="28" t="s">
        <v>20</v>
      </c>
      <c r="H472" s="28" t="s">
        <v>21</v>
      </c>
      <c r="I472" s="28" t="s">
        <v>21</v>
      </c>
      <c r="J472" s="28" t="s">
        <v>1426</v>
      </c>
      <c r="K472" s="28" t="s">
        <v>1427</v>
      </c>
      <c r="L472" s="28" t="s">
        <v>30</v>
      </c>
      <c r="M472" s="28" t="s">
        <v>21</v>
      </c>
      <c r="N472" s="27">
        <v>33724</v>
      </c>
      <c r="O472" s="92">
        <v>33829</v>
      </c>
      <c r="P472" s="28" t="s">
        <v>21</v>
      </c>
      <c r="Q472" s="26" t="b">
        <v>0</v>
      </c>
      <c r="R472" s="22">
        <f t="shared" si="7"/>
        <v>134</v>
      </c>
    </row>
    <row r="473" spans="1:18">
      <c r="A473" s="26">
        <v>837</v>
      </c>
      <c r="B473" s="27">
        <v>33694</v>
      </c>
      <c r="C473" s="28" t="s">
        <v>1428</v>
      </c>
      <c r="D473" s="27">
        <v>33688</v>
      </c>
      <c r="E473" s="28" t="s">
        <v>38</v>
      </c>
      <c r="F473" s="28" t="s">
        <v>85</v>
      </c>
      <c r="G473" s="28" t="s">
        <v>20</v>
      </c>
      <c r="H473" s="28" t="s">
        <v>21</v>
      </c>
      <c r="I473" s="28" t="s">
        <v>21</v>
      </c>
      <c r="J473" s="28" t="s">
        <v>1429</v>
      </c>
      <c r="K473" s="28" t="s">
        <v>1430</v>
      </c>
      <c r="L473" s="28" t="s">
        <v>82</v>
      </c>
      <c r="M473" s="28" t="s">
        <v>21</v>
      </c>
      <c r="N473" s="27">
        <v>33697</v>
      </c>
      <c r="O473" s="92">
        <v>33697</v>
      </c>
      <c r="P473" s="28" t="s">
        <v>31</v>
      </c>
      <c r="Q473" s="26" t="b">
        <v>0</v>
      </c>
      <c r="R473" s="22">
        <f t="shared" si="7"/>
        <v>3</v>
      </c>
    </row>
    <row r="474" spans="1:18">
      <c r="A474" s="26">
        <v>838</v>
      </c>
      <c r="B474" s="27">
        <v>33694</v>
      </c>
      <c r="C474" s="28" t="s">
        <v>1431</v>
      </c>
      <c r="D474" s="27">
        <v>33674</v>
      </c>
      <c r="E474" s="28" t="s">
        <v>1432</v>
      </c>
      <c r="F474" s="28" t="s">
        <v>39</v>
      </c>
      <c r="G474" s="28" t="s">
        <v>20</v>
      </c>
      <c r="H474" s="28" t="s">
        <v>21</v>
      </c>
      <c r="I474" s="28" t="s">
        <v>21</v>
      </c>
      <c r="J474" s="28" t="s">
        <v>1433</v>
      </c>
      <c r="K474" s="28" t="s">
        <v>1434</v>
      </c>
      <c r="L474" s="28" t="s">
        <v>30</v>
      </c>
      <c r="M474" s="28" t="s">
        <v>21</v>
      </c>
      <c r="N474" s="27">
        <v>33969</v>
      </c>
      <c r="O474" s="92">
        <v>34029</v>
      </c>
      <c r="P474" s="28" t="s">
        <v>21</v>
      </c>
      <c r="Q474" s="26" t="b">
        <v>0</v>
      </c>
      <c r="R474" s="22">
        <f t="shared" si="7"/>
        <v>335</v>
      </c>
    </row>
    <row r="475" spans="1:18">
      <c r="A475" s="26">
        <v>840</v>
      </c>
      <c r="B475" s="27">
        <v>33694</v>
      </c>
      <c r="C475" s="28" t="s">
        <v>1435</v>
      </c>
      <c r="D475" s="27">
        <v>33667</v>
      </c>
      <c r="E475" s="28" t="s">
        <v>1204</v>
      </c>
      <c r="F475" s="28" t="s">
        <v>56</v>
      </c>
      <c r="G475" s="28" t="s">
        <v>20</v>
      </c>
      <c r="H475" s="28" t="s">
        <v>21</v>
      </c>
      <c r="I475" s="28" t="s">
        <v>21</v>
      </c>
      <c r="J475" s="28" t="s">
        <v>1436</v>
      </c>
      <c r="K475" s="28" t="s">
        <v>1437</v>
      </c>
      <c r="L475" s="28" t="s">
        <v>59</v>
      </c>
      <c r="M475" s="28" t="s">
        <v>21</v>
      </c>
      <c r="N475" s="27">
        <v>33709</v>
      </c>
      <c r="O475" s="92">
        <v>33730</v>
      </c>
      <c r="P475" s="28" t="s">
        <v>21</v>
      </c>
      <c r="Q475" s="26" t="b">
        <v>0</v>
      </c>
      <c r="R475" s="22">
        <f t="shared" si="7"/>
        <v>36</v>
      </c>
    </row>
    <row r="476" spans="1:18">
      <c r="A476" s="26">
        <v>847</v>
      </c>
      <c r="B476" s="27">
        <v>33695</v>
      </c>
      <c r="C476" s="28" t="s">
        <v>1438</v>
      </c>
      <c r="D476" s="27">
        <v>33690</v>
      </c>
      <c r="E476" s="28" t="s">
        <v>1439</v>
      </c>
      <c r="F476" s="28" t="s">
        <v>124</v>
      </c>
      <c r="G476" s="28" t="s">
        <v>20</v>
      </c>
      <c r="H476" s="28" t="s">
        <v>21</v>
      </c>
      <c r="I476" s="28" t="s">
        <v>21</v>
      </c>
      <c r="J476" s="28" t="s">
        <v>1440</v>
      </c>
      <c r="K476" s="28" t="s">
        <v>1441</v>
      </c>
      <c r="L476" s="28" t="s">
        <v>82</v>
      </c>
      <c r="M476" s="28" t="s">
        <v>21</v>
      </c>
      <c r="N476" s="29">
        <v>33702</v>
      </c>
      <c r="O476" s="92">
        <v>33697</v>
      </c>
      <c r="P476" s="28" t="s">
        <v>31</v>
      </c>
      <c r="Q476" s="26" t="b">
        <v>0</v>
      </c>
      <c r="R476" s="22">
        <f t="shared" si="7"/>
        <v>2</v>
      </c>
    </row>
    <row r="477" spans="1:18">
      <c r="A477" s="26">
        <v>850</v>
      </c>
      <c r="B477" s="27">
        <v>33696</v>
      </c>
      <c r="C477" s="28" t="s">
        <v>1442</v>
      </c>
      <c r="D477" s="27">
        <v>33696</v>
      </c>
      <c r="E477" s="28" t="s">
        <v>1443</v>
      </c>
      <c r="F477" s="28" t="s">
        <v>104</v>
      </c>
      <c r="G477" s="28" t="s">
        <v>20</v>
      </c>
      <c r="H477" s="28" t="s">
        <v>21</v>
      </c>
      <c r="I477" s="28" t="s">
        <v>21</v>
      </c>
      <c r="J477" s="28" t="s">
        <v>1444</v>
      </c>
      <c r="K477" s="28" t="s">
        <v>1445</v>
      </c>
      <c r="L477" s="28" t="s">
        <v>24</v>
      </c>
      <c r="M477" s="28" t="s">
        <v>21</v>
      </c>
      <c r="N477" s="27">
        <v>33696</v>
      </c>
      <c r="O477" s="92">
        <v>33696</v>
      </c>
      <c r="P477" s="28" t="s">
        <v>21</v>
      </c>
      <c r="Q477" s="26" t="b">
        <v>0</v>
      </c>
      <c r="R477" s="22">
        <f t="shared" si="7"/>
        <v>0</v>
      </c>
    </row>
    <row r="478" spans="1:18">
      <c r="A478" s="26">
        <v>859</v>
      </c>
      <c r="B478" s="27">
        <v>33701</v>
      </c>
      <c r="C478" s="28" t="s">
        <v>1446</v>
      </c>
      <c r="D478" s="27">
        <v>33700</v>
      </c>
      <c r="E478" s="28" t="s">
        <v>1447</v>
      </c>
      <c r="F478" s="28" t="s">
        <v>149</v>
      </c>
      <c r="G478" s="28" t="s">
        <v>20</v>
      </c>
      <c r="H478" s="28" t="s">
        <v>21</v>
      </c>
      <c r="I478" s="28" t="s">
        <v>21</v>
      </c>
      <c r="J478" s="28" t="s">
        <v>1448</v>
      </c>
      <c r="K478" s="28" t="s">
        <v>1449</v>
      </c>
      <c r="L478" s="28" t="s">
        <v>24</v>
      </c>
      <c r="M478" s="28" t="s">
        <v>21</v>
      </c>
      <c r="N478" s="27">
        <v>33724</v>
      </c>
      <c r="O478" s="92">
        <v>33708</v>
      </c>
      <c r="P478" s="28" t="s">
        <v>21</v>
      </c>
      <c r="Q478" s="26" t="b">
        <v>0</v>
      </c>
      <c r="R478" s="22">
        <f t="shared" si="7"/>
        <v>7</v>
      </c>
    </row>
    <row r="479" spans="1:18">
      <c r="A479" s="26">
        <v>860</v>
      </c>
      <c r="B479" s="27">
        <v>33702</v>
      </c>
      <c r="C479" s="28" t="s">
        <v>1450</v>
      </c>
      <c r="D479" s="27">
        <v>33700</v>
      </c>
      <c r="E479" s="28" t="s">
        <v>38</v>
      </c>
      <c r="F479" s="28" t="s">
        <v>124</v>
      </c>
      <c r="G479" s="28" t="s">
        <v>20</v>
      </c>
      <c r="H479" s="28" t="s">
        <v>21</v>
      </c>
      <c r="I479" s="28" t="s">
        <v>21</v>
      </c>
      <c r="J479" s="28" t="s">
        <v>1451</v>
      </c>
      <c r="K479" s="28" t="s">
        <v>1452</v>
      </c>
      <c r="L479" s="28" t="s">
        <v>82</v>
      </c>
      <c r="M479" s="28" t="s">
        <v>21</v>
      </c>
      <c r="N479" s="27">
        <v>33714</v>
      </c>
      <c r="O479" s="92">
        <v>33714</v>
      </c>
      <c r="P479" s="28" t="s">
        <v>31</v>
      </c>
      <c r="Q479" s="26" t="b">
        <v>0</v>
      </c>
      <c r="R479" s="22">
        <f t="shared" si="7"/>
        <v>12</v>
      </c>
    </row>
    <row r="480" spans="1:18">
      <c r="A480" s="26">
        <v>863</v>
      </c>
      <c r="B480" s="27">
        <v>33703</v>
      </c>
      <c r="C480" s="28" t="s">
        <v>1453</v>
      </c>
      <c r="D480" s="27">
        <v>33703</v>
      </c>
      <c r="E480" s="28" t="s">
        <v>1204</v>
      </c>
      <c r="F480" s="28" t="s">
        <v>741</v>
      </c>
      <c r="G480" s="28" t="s">
        <v>21</v>
      </c>
      <c r="H480" s="28" t="s">
        <v>21</v>
      </c>
      <c r="I480" s="28" t="s">
        <v>21</v>
      </c>
      <c r="J480" s="28" t="s">
        <v>1454</v>
      </c>
      <c r="K480" s="28" t="s">
        <v>1455</v>
      </c>
      <c r="L480" s="28" t="s">
        <v>59</v>
      </c>
      <c r="M480" s="28" t="s">
        <v>21</v>
      </c>
      <c r="N480" s="27">
        <v>33709</v>
      </c>
      <c r="O480" s="92">
        <v>33708</v>
      </c>
      <c r="P480" s="28" t="s">
        <v>21</v>
      </c>
      <c r="Q480" s="26" t="b">
        <v>0</v>
      </c>
      <c r="R480" s="22">
        <f t="shared" si="7"/>
        <v>5</v>
      </c>
    </row>
    <row r="481" spans="1:18">
      <c r="A481" s="26">
        <v>871</v>
      </c>
      <c r="B481" s="27">
        <v>33707</v>
      </c>
      <c r="C481" s="28" t="s">
        <v>1456</v>
      </c>
      <c r="D481" s="27">
        <v>33696</v>
      </c>
      <c r="E481" s="28" t="s">
        <v>38</v>
      </c>
      <c r="F481" s="28" t="s">
        <v>104</v>
      </c>
      <c r="G481" s="28" t="s">
        <v>20</v>
      </c>
      <c r="H481" s="28" t="s">
        <v>21</v>
      </c>
      <c r="I481" s="28" t="s">
        <v>21</v>
      </c>
      <c r="J481" s="28" t="s">
        <v>1457</v>
      </c>
      <c r="K481" s="28" t="s">
        <v>1458</v>
      </c>
      <c r="L481" s="28" t="s">
        <v>59</v>
      </c>
      <c r="M481" s="28" t="s">
        <v>21</v>
      </c>
      <c r="N481" s="27">
        <v>33709</v>
      </c>
      <c r="O481" s="92">
        <v>33708</v>
      </c>
      <c r="P481" s="28" t="s">
        <v>21</v>
      </c>
      <c r="Q481" s="26" t="b">
        <v>0</v>
      </c>
      <c r="R481" s="22">
        <f t="shared" si="7"/>
        <v>1</v>
      </c>
    </row>
    <row r="482" spans="1:18">
      <c r="A482" s="26">
        <v>872</v>
      </c>
      <c r="B482" s="27">
        <v>33709</v>
      </c>
      <c r="C482" s="28" t="s">
        <v>1459</v>
      </c>
      <c r="D482" s="27">
        <v>33709</v>
      </c>
      <c r="E482" s="28" t="s">
        <v>1460</v>
      </c>
      <c r="F482" s="28" t="s">
        <v>39</v>
      </c>
      <c r="G482" s="28" t="s">
        <v>20</v>
      </c>
      <c r="H482" s="28" t="s">
        <v>21</v>
      </c>
      <c r="I482" s="28" t="s">
        <v>21</v>
      </c>
      <c r="J482" s="28" t="s">
        <v>1461</v>
      </c>
      <c r="K482" s="28" t="s">
        <v>1462</v>
      </c>
      <c r="L482" s="28" t="s">
        <v>24</v>
      </c>
      <c r="M482" s="28" t="s">
        <v>21</v>
      </c>
      <c r="O482" s="92">
        <v>33732</v>
      </c>
      <c r="P482" s="28" t="s">
        <v>21</v>
      </c>
      <c r="Q482" s="26" t="b">
        <v>0</v>
      </c>
      <c r="R482" s="22">
        <f t="shared" si="7"/>
        <v>23</v>
      </c>
    </row>
    <row r="483" spans="1:18">
      <c r="A483" s="26">
        <v>877</v>
      </c>
      <c r="B483" s="27">
        <v>33710</v>
      </c>
      <c r="C483" s="28" t="s">
        <v>1463</v>
      </c>
      <c r="D483" s="27">
        <v>33707</v>
      </c>
      <c r="E483" s="28" t="s">
        <v>299</v>
      </c>
      <c r="F483" s="28" t="s">
        <v>149</v>
      </c>
      <c r="G483" s="28" t="s">
        <v>20</v>
      </c>
      <c r="H483" s="28" t="s">
        <v>71</v>
      </c>
      <c r="I483" s="28" t="s">
        <v>72</v>
      </c>
      <c r="J483" s="28" t="s">
        <v>1464</v>
      </c>
      <c r="K483" s="28" t="s">
        <v>21</v>
      </c>
      <c r="L483" s="28" t="s">
        <v>303</v>
      </c>
      <c r="M483" s="28" t="s">
        <v>21</v>
      </c>
      <c r="N483" s="27">
        <v>33724</v>
      </c>
      <c r="O483" s="92">
        <v>34148</v>
      </c>
      <c r="P483" s="28" t="s">
        <v>21</v>
      </c>
      <c r="Q483" s="26" t="b">
        <v>0</v>
      </c>
      <c r="R483" s="22">
        <f t="shared" si="7"/>
        <v>438</v>
      </c>
    </row>
    <row r="484" spans="1:18">
      <c r="A484" s="26">
        <v>878</v>
      </c>
      <c r="B484" s="27">
        <v>33710</v>
      </c>
      <c r="C484" s="28" t="s">
        <v>1465</v>
      </c>
      <c r="D484" s="27">
        <v>33707</v>
      </c>
      <c r="E484" s="28" t="s">
        <v>299</v>
      </c>
      <c r="F484" s="28" t="s">
        <v>1466</v>
      </c>
      <c r="G484" s="28" t="s">
        <v>20</v>
      </c>
      <c r="H484" s="28" t="s">
        <v>71</v>
      </c>
      <c r="I484" s="28" t="s">
        <v>72</v>
      </c>
      <c r="J484" s="28" t="s">
        <v>1464</v>
      </c>
      <c r="K484" s="28" t="s">
        <v>1467</v>
      </c>
      <c r="L484" s="28" t="s">
        <v>303</v>
      </c>
      <c r="M484" s="28" t="s">
        <v>21</v>
      </c>
      <c r="N484" s="27">
        <v>33724</v>
      </c>
      <c r="O484" s="92">
        <v>34148</v>
      </c>
      <c r="P484" s="28" t="s">
        <v>21</v>
      </c>
      <c r="Q484" s="26" t="b">
        <v>0</v>
      </c>
      <c r="R484" s="22">
        <f t="shared" si="7"/>
        <v>438</v>
      </c>
    </row>
    <row r="485" spans="1:18">
      <c r="A485" s="26">
        <v>884</v>
      </c>
      <c r="B485" s="27">
        <v>33716</v>
      </c>
      <c r="C485" s="28" t="s">
        <v>1468</v>
      </c>
      <c r="D485" s="27">
        <v>33710</v>
      </c>
      <c r="E485" s="28" t="s">
        <v>1469</v>
      </c>
      <c r="F485" s="28" t="s">
        <v>984</v>
      </c>
      <c r="G485" s="28" t="s">
        <v>20</v>
      </c>
      <c r="H485" s="28" t="s">
        <v>21</v>
      </c>
      <c r="I485" s="28" t="s">
        <v>21</v>
      </c>
      <c r="J485" s="28" t="s">
        <v>1452</v>
      </c>
      <c r="K485" s="28" t="s">
        <v>1470</v>
      </c>
      <c r="L485" s="28" t="s">
        <v>24</v>
      </c>
      <c r="M485" s="28" t="s">
        <v>21</v>
      </c>
      <c r="N485" s="18"/>
      <c r="O485" s="92">
        <v>33724</v>
      </c>
      <c r="P485" s="28" t="s">
        <v>21</v>
      </c>
      <c r="Q485" s="26" t="b">
        <v>0</v>
      </c>
      <c r="R485" s="22">
        <f t="shared" si="7"/>
        <v>8</v>
      </c>
    </row>
    <row r="486" spans="1:18">
      <c r="A486" s="26">
        <v>885</v>
      </c>
      <c r="B486" s="27">
        <v>33716</v>
      </c>
      <c r="C486" s="28" t="s">
        <v>1471</v>
      </c>
      <c r="D486" s="27">
        <v>33716</v>
      </c>
      <c r="E486" s="28" t="s">
        <v>38</v>
      </c>
      <c r="F486" s="28" t="s">
        <v>665</v>
      </c>
      <c r="G486" s="28" t="s">
        <v>20</v>
      </c>
      <c r="H486" s="28" t="s">
        <v>21</v>
      </c>
      <c r="I486" s="28" t="s">
        <v>21</v>
      </c>
      <c r="J486" s="28" t="s">
        <v>1472</v>
      </c>
      <c r="K486" s="28" t="s">
        <v>1473</v>
      </c>
      <c r="L486" s="28" t="s">
        <v>24</v>
      </c>
      <c r="M486" s="28" t="s">
        <v>21</v>
      </c>
      <c r="N486" s="29">
        <v>33716</v>
      </c>
      <c r="O486" s="92">
        <v>33716</v>
      </c>
      <c r="P486" s="28" t="s">
        <v>31</v>
      </c>
      <c r="Q486" s="26" t="b">
        <v>0</v>
      </c>
      <c r="R486" s="22">
        <f t="shared" si="7"/>
        <v>0</v>
      </c>
    </row>
    <row r="487" spans="1:18">
      <c r="A487" s="26">
        <v>770</v>
      </c>
      <c r="B487" s="27">
        <v>33717</v>
      </c>
      <c r="C487" s="28" t="s">
        <v>1336</v>
      </c>
      <c r="D487" s="27">
        <v>33633</v>
      </c>
      <c r="E487" s="28" t="s">
        <v>1337</v>
      </c>
      <c r="F487" s="28" t="s">
        <v>1338</v>
      </c>
      <c r="G487" s="28" t="s">
        <v>20</v>
      </c>
      <c r="H487" s="28" t="s">
        <v>21</v>
      </c>
      <c r="I487" s="28" t="s">
        <v>21</v>
      </c>
      <c r="J487" s="28" t="s">
        <v>1339</v>
      </c>
      <c r="K487" s="28" t="s">
        <v>1340</v>
      </c>
      <c r="L487" s="28" t="s">
        <v>1152</v>
      </c>
      <c r="M487" s="28" t="s">
        <v>21</v>
      </c>
      <c r="N487" s="27">
        <v>33750</v>
      </c>
      <c r="O487" s="92">
        <v>33801</v>
      </c>
      <c r="P487" s="28" t="s">
        <v>21</v>
      </c>
      <c r="Q487" s="26" t="b">
        <v>0</v>
      </c>
      <c r="R487" s="22">
        <f t="shared" si="7"/>
        <v>84</v>
      </c>
    </row>
    <row r="488" spans="1:18">
      <c r="A488" s="26">
        <v>887</v>
      </c>
      <c r="B488" s="27">
        <v>33717</v>
      </c>
      <c r="C488" s="28" t="s">
        <v>1474</v>
      </c>
      <c r="D488" s="27">
        <v>32808</v>
      </c>
      <c r="E488" s="28" t="s">
        <v>1475</v>
      </c>
      <c r="F488" s="28" t="s">
        <v>85</v>
      </c>
      <c r="G488" s="28" t="s">
        <v>20</v>
      </c>
      <c r="H488" s="28" t="s">
        <v>21</v>
      </c>
      <c r="I488" s="28" t="s">
        <v>21</v>
      </c>
      <c r="J488" s="28" t="s">
        <v>1476</v>
      </c>
      <c r="K488" s="28" t="s">
        <v>1477</v>
      </c>
      <c r="L488" s="28" t="s">
        <v>1152</v>
      </c>
      <c r="M488" s="28" t="s">
        <v>21</v>
      </c>
      <c r="N488" s="29">
        <v>33739</v>
      </c>
      <c r="O488" s="92">
        <v>33890</v>
      </c>
      <c r="P488" s="28" t="s">
        <v>21</v>
      </c>
      <c r="Q488" s="26" t="b">
        <v>0</v>
      </c>
      <c r="R488" s="22">
        <f t="shared" si="7"/>
        <v>172</v>
      </c>
    </row>
    <row r="489" spans="1:18">
      <c r="A489" s="26">
        <v>900</v>
      </c>
      <c r="B489" s="27">
        <v>33725</v>
      </c>
      <c r="C489" s="28" t="s">
        <v>1478</v>
      </c>
      <c r="D489" s="27">
        <v>33721</v>
      </c>
      <c r="E489" s="28" t="s">
        <v>1479</v>
      </c>
      <c r="F489" s="28" t="s">
        <v>124</v>
      </c>
      <c r="G489" s="28" t="s">
        <v>20</v>
      </c>
      <c r="H489" s="28" t="s">
        <v>21</v>
      </c>
      <c r="I489" s="28" t="s">
        <v>21</v>
      </c>
      <c r="J489" s="28" t="s">
        <v>1480</v>
      </c>
      <c r="K489" s="28" t="s">
        <v>1481</v>
      </c>
      <c r="L489" s="28" t="s">
        <v>24</v>
      </c>
      <c r="M489" s="28" t="s">
        <v>21</v>
      </c>
      <c r="N489" s="27">
        <v>33770</v>
      </c>
      <c r="O489" s="92">
        <v>33729</v>
      </c>
      <c r="P489" s="28" t="s">
        <v>31</v>
      </c>
      <c r="Q489" s="26" t="b">
        <v>0</v>
      </c>
      <c r="R489" s="22">
        <f t="shared" si="7"/>
        <v>4</v>
      </c>
    </row>
    <row r="490" spans="1:18">
      <c r="A490" s="26">
        <v>901</v>
      </c>
      <c r="B490" s="27">
        <v>33728</v>
      </c>
      <c r="C490" s="28" t="s">
        <v>1482</v>
      </c>
      <c r="D490" s="27">
        <v>33722</v>
      </c>
      <c r="E490" s="28" t="s">
        <v>299</v>
      </c>
      <c r="F490" s="28" t="s">
        <v>1483</v>
      </c>
      <c r="G490" s="28" t="s">
        <v>20</v>
      </c>
      <c r="H490" s="28" t="s">
        <v>71</v>
      </c>
      <c r="I490" s="28" t="s">
        <v>72</v>
      </c>
      <c r="J490" s="28" t="s">
        <v>1464</v>
      </c>
      <c r="K490" s="28" t="s">
        <v>21</v>
      </c>
      <c r="L490" s="28" t="s">
        <v>303</v>
      </c>
      <c r="M490" s="28" t="s">
        <v>21</v>
      </c>
      <c r="N490" s="29">
        <v>33739</v>
      </c>
      <c r="O490" s="92">
        <v>34148</v>
      </c>
      <c r="P490" s="28" t="s">
        <v>21</v>
      </c>
      <c r="Q490" s="26" t="b">
        <v>0</v>
      </c>
      <c r="R490" s="22">
        <f t="shared" si="7"/>
        <v>419</v>
      </c>
    </row>
    <row r="491" spans="1:18" ht="24">
      <c r="A491" s="26">
        <v>906</v>
      </c>
      <c r="B491" s="27">
        <v>33728</v>
      </c>
      <c r="C491" s="28" t="s">
        <v>1484</v>
      </c>
      <c r="D491" s="27">
        <v>33728</v>
      </c>
      <c r="E491" s="28" t="s">
        <v>299</v>
      </c>
      <c r="F491" s="28" t="s">
        <v>1485</v>
      </c>
      <c r="G491" s="28" t="s">
        <v>21</v>
      </c>
      <c r="H491" s="28" t="s">
        <v>21</v>
      </c>
      <c r="I491" s="28" t="s">
        <v>21</v>
      </c>
      <c r="J491" s="28" t="s">
        <v>1485</v>
      </c>
      <c r="K491" s="28" t="s">
        <v>1486</v>
      </c>
      <c r="L491" s="28" t="s">
        <v>1487</v>
      </c>
      <c r="M491" s="28" t="s">
        <v>21</v>
      </c>
      <c r="N491" s="27">
        <v>33737</v>
      </c>
      <c r="O491" s="92">
        <v>33795</v>
      </c>
      <c r="P491" s="28" t="s">
        <v>21</v>
      </c>
      <c r="Q491" s="26" t="b">
        <v>0</v>
      </c>
      <c r="R491" s="22">
        <f t="shared" si="7"/>
        <v>66</v>
      </c>
    </row>
    <row r="492" spans="1:18">
      <c r="A492" s="26">
        <v>910</v>
      </c>
      <c r="B492" s="27">
        <v>33728</v>
      </c>
      <c r="C492" s="28" t="s">
        <v>1488</v>
      </c>
      <c r="D492" s="27">
        <v>33728</v>
      </c>
      <c r="E492" s="28" t="s">
        <v>1489</v>
      </c>
      <c r="F492" s="28" t="s">
        <v>306</v>
      </c>
      <c r="G492" s="28" t="s">
        <v>20</v>
      </c>
      <c r="H492" s="28" t="s">
        <v>21</v>
      </c>
      <c r="I492" s="28" t="s">
        <v>21</v>
      </c>
      <c r="J492" s="28" t="s">
        <v>1490</v>
      </c>
      <c r="K492" s="28" t="s">
        <v>1491</v>
      </c>
      <c r="L492" s="28" t="s">
        <v>1152</v>
      </c>
      <c r="M492" s="28" t="s">
        <v>21</v>
      </c>
      <c r="N492" s="27">
        <v>33739</v>
      </c>
      <c r="O492" s="92">
        <v>33744</v>
      </c>
      <c r="P492" s="28" t="s">
        <v>21</v>
      </c>
      <c r="Q492" s="26" t="b">
        <v>0</v>
      </c>
      <c r="R492" s="22">
        <f t="shared" si="7"/>
        <v>16</v>
      </c>
    </row>
    <row r="493" spans="1:18">
      <c r="A493" s="26">
        <v>920</v>
      </c>
      <c r="B493" s="27">
        <v>33735</v>
      </c>
      <c r="C493" s="28" t="s">
        <v>1492</v>
      </c>
      <c r="D493" s="27">
        <v>33731</v>
      </c>
      <c r="E493" s="28" t="s">
        <v>1493</v>
      </c>
      <c r="F493" s="28" t="s">
        <v>179</v>
      </c>
      <c r="G493" s="28" t="s">
        <v>20</v>
      </c>
      <c r="H493" s="28" t="s">
        <v>71</v>
      </c>
      <c r="I493" s="28" t="s">
        <v>72</v>
      </c>
      <c r="J493" s="28" t="s">
        <v>1494</v>
      </c>
      <c r="K493" s="28" t="s">
        <v>1495</v>
      </c>
      <c r="L493" s="28" t="s">
        <v>24</v>
      </c>
      <c r="M493" s="28" t="s">
        <v>21</v>
      </c>
      <c r="N493" s="18"/>
      <c r="O493" s="92">
        <v>34877</v>
      </c>
      <c r="P493" s="28" t="s">
        <v>31</v>
      </c>
      <c r="Q493" s="26" t="b">
        <v>0</v>
      </c>
      <c r="R493" s="22">
        <f t="shared" si="7"/>
        <v>1141</v>
      </c>
    </row>
    <row r="494" spans="1:18">
      <c r="A494" s="26">
        <v>928</v>
      </c>
      <c r="B494" s="27">
        <v>33739</v>
      </c>
      <c r="C494" s="28" t="s">
        <v>1496</v>
      </c>
      <c r="D494" s="27">
        <v>33738</v>
      </c>
      <c r="E494" s="28" t="s">
        <v>1497</v>
      </c>
      <c r="F494" s="28" t="s">
        <v>124</v>
      </c>
      <c r="G494" s="28" t="s">
        <v>20</v>
      </c>
      <c r="H494" s="28" t="s">
        <v>21</v>
      </c>
      <c r="I494" s="28" t="s">
        <v>21</v>
      </c>
      <c r="J494" s="28" t="s">
        <v>1498</v>
      </c>
      <c r="K494" s="28" t="s">
        <v>1499</v>
      </c>
      <c r="L494" s="28" t="s">
        <v>1152</v>
      </c>
      <c r="M494" s="28" t="s">
        <v>21</v>
      </c>
      <c r="N494" s="27">
        <v>33770</v>
      </c>
      <c r="O494" s="92">
        <v>34071</v>
      </c>
      <c r="P494" s="28" t="s">
        <v>21</v>
      </c>
      <c r="Q494" s="26" t="b">
        <v>0</v>
      </c>
      <c r="R494" s="22">
        <f t="shared" si="7"/>
        <v>331</v>
      </c>
    </row>
    <row r="495" spans="1:18">
      <c r="A495" s="26">
        <v>951</v>
      </c>
      <c r="B495" s="27">
        <v>33743</v>
      </c>
      <c r="C495" s="28" t="s">
        <v>1500</v>
      </c>
      <c r="D495" s="27">
        <v>33736</v>
      </c>
      <c r="E495" s="28" t="s">
        <v>1501</v>
      </c>
      <c r="F495" s="28" t="s">
        <v>56</v>
      </c>
      <c r="G495" s="28" t="s">
        <v>20</v>
      </c>
      <c r="H495" s="28" t="s">
        <v>21</v>
      </c>
      <c r="I495" s="28" t="s">
        <v>21</v>
      </c>
      <c r="J495" s="28" t="s">
        <v>1502</v>
      </c>
      <c r="K495" s="28" t="s">
        <v>1503</v>
      </c>
      <c r="L495" s="28" t="s">
        <v>30</v>
      </c>
      <c r="M495" s="28" t="s">
        <v>21</v>
      </c>
      <c r="N495" s="27">
        <v>33785</v>
      </c>
      <c r="O495" s="92">
        <v>33833</v>
      </c>
      <c r="P495" s="28" t="s">
        <v>21</v>
      </c>
      <c r="Q495" s="26" t="b">
        <v>0</v>
      </c>
      <c r="R495" s="22">
        <f t="shared" si="7"/>
        <v>89</v>
      </c>
    </row>
    <row r="496" spans="1:18">
      <c r="A496" s="26">
        <v>969</v>
      </c>
      <c r="B496" s="27">
        <v>33744</v>
      </c>
      <c r="C496" s="28" t="s">
        <v>1504</v>
      </c>
      <c r="D496" s="27">
        <v>33744</v>
      </c>
      <c r="E496" s="28" t="s">
        <v>1505</v>
      </c>
      <c r="F496" s="28" t="s">
        <v>104</v>
      </c>
      <c r="G496" s="28" t="s">
        <v>20</v>
      </c>
      <c r="H496" s="28" t="s">
        <v>21</v>
      </c>
      <c r="I496" s="28" t="s">
        <v>21</v>
      </c>
      <c r="J496" s="28" t="s">
        <v>1506</v>
      </c>
      <c r="K496" s="28" t="s">
        <v>1507</v>
      </c>
      <c r="L496" s="28" t="s">
        <v>30</v>
      </c>
      <c r="M496" s="28" t="s">
        <v>21</v>
      </c>
      <c r="O496" s="92">
        <v>33793</v>
      </c>
      <c r="P496" s="28" t="s">
        <v>21</v>
      </c>
      <c r="Q496" s="26" t="b">
        <v>0</v>
      </c>
      <c r="R496" s="22">
        <f t="shared" si="7"/>
        <v>48</v>
      </c>
    </row>
    <row r="497" spans="1:18">
      <c r="A497" s="26">
        <v>978</v>
      </c>
      <c r="B497" s="27">
        <v>33745</v>
      </c>
      <c r="C497" s="28" t="s">
        <v>1508</v>
      </c>
      <c r="D497" s="27">
        <v>33745</v>
      </c>
      <c r="E497" s="28" t="s">
        <v>38</v>
      </c>
      <c r="F497" s="28" t="s">
        <v>104</v>
      </c>
      <c r="G497" s="28" t="s">
        <v>20</v>
      </c>
      <c r="H497" s="28" t="s">
        <v>21</v>
      </c>
      <c r="I497" s="28" t="s">
        <v>21</v>
      </c>
      <c r="J497" s="28" t="s">
        <v>1509</v>
      </c>
      <c r="K497" s="28" t="s">
        <v>1510</v>
      </c>
      <c r="L497" s="28" t="s">
        <v>30</v>
      </c>
      <c r="M497" s="28" t="s">
        <v>21</v>
      </c>
      <c r="N497" s="27">
        <v>33754</v>
      </c>
      <c r="O497" s="92">
        <v>33856</v>
      </c>
      <c r="P497" s="28" t="s">
        <v>31</v>
      </c>
      <c r="Q497" s="26" t="b">
        <v>0</v>
      </c>
      <c r="R497" s="22">
        <f t="shared" si="7"/>
        <v>109</v>
      </c>
    </row>
    <row r="498" spans="1:18">
      <c r="A498" s="26">
        <v>981</v>
      </c>
      <c r="B498" s="27">
        <v>33751</v>
      </c>
      <c r="C498" s="28" t="s">
        <v>1511</v>
      </c>
      <c r="D498" s="27">
        <v>33751</v>
      </c>
      <c r="E498" s="28" t="s">
        <v>1512</v>
      </c>
      <c r="F498" s="28" t="s">
        <v>149</v>
      </c>
      <c r="G498" s="28" t="s">
        <v>20</v>
      </c>
      <c r="H498" s="28" t="s">
        <v>21</v>
      </c>
      <c r="I498" s="28" t="s">
        <v>21</v>
      </c>
      <c r="J498" s="28" t="s">
        <v>1258</v>
      </c>
      <c r="K498" s="28" t="s">
        <v>1513</v>
      </c>
      <c r="L498" s="28" t="s">
        <v>30</v>
      </c>
      <c r="M498" s="28" t="s">
        <v>21</v>
      </c>
      <c r="N498" s="29">
        <v>33767</v>
      </c>
      <c r="O498" s="92">
        <v>33967</v>
      </c>
      <c r="P498" s="28" t="s">
        <v>21</v>
      </c>
      <c r="Q498" s="26" t="b">
        <v>0</v>
      </c>
      <c r="R498" s="22">
        <f t="shared" si="7"/>
        <v>214</v>
      </c>
    </row>
    <row r="499" spans="1:18">
      <c r="A499" s="26">
        <v>988</v>
      </c>
      <c r="B499" s="27">
        <v>33752</v>
      </c>
      <c r="C499" s="28" t="s">
        <v>1514</v>
      </c>
      <c r="D499" s="27">
        <v>33751</v>
      </c>
      <c r="E499" s="28" t="s">
        <v>299</v>
      </c>
      <c r="F499" s="28" t="s">
        <v>1515</v>
      </c>
      <c r="G499" s="28" t="s">
        <v>20</v>
      </c>
      <c r="H499" s="28" t="s">
        <v>71</v>
      </c>
      <c r="I499" s="28" t="s">
        <v>72</v>
      </c>
      <c r="J499" s="28" t="s">
        <v>1516</v>
      </c>
      <c r="K499" s="28" t="s">
        <v>21</v>
      </c>
      <c r="L499" s="28" t="s">
        <v>24</v>
      </c>
      <c r="M499" s="28" t="s">
        <v>21</v>
      </c>
      <c r="O499" s="92">
        <v>33753</v>
      </c>
      <c r="P499" s="28" t="s">
        <v>21</v>
      </c>
      <c r="Q499" s="26" t="b">
        <v>0</v>
      </c>
      <c r="R499" s="22">
        <f t="shared" si="7"/>
        <v>1</v>
      </c>
    </row>
    <row r="500" spans="1:18">
      <c r="A500" s="26">
        <v>989</v>
      </c>
      <c r="B500" s="27">
        <v>33752</v>
      </c>
      <c r="C500" s="28" t="s">
        <v>1517</v>
      </c>
      <c r="D500" s="27">
        <v>33749</v>
      </c>
      <c r="E500" s="28" t="s">
        <v>38</v>
      </c>
      <c r="F500" s="28" t="s">
        <v>124</v>
      </c>
      <c r="G500" s="28" t="s">
        <v>20</v>
      </c>
      <c r="H500" s="28" t="s">
        <v>21</v>
      </c>
      <c r="I500" s="28" t="s">
        <v>21</v>
      </c>
      <c r="J500" s="28" t="s">
        <v>273</v>
      </c>
      <c r="K500" s="28" t="s">
        <v>1518</v>
      </c>
      <c r="L500" s="28" t="s">
        <v>82</v>
      </c>
      <c r="M500" s="28" t="s">
        <v>21</v>
      </c>
      <c r="O500" s="92">
        <v>33772</v>
      </c>
      <c r="P500" s="28" t="s">
        <v>31</v>
      </c>
      <c r="Q500" s="26" t="b">
        <v>0</v>
      </c>
      <c r="R500" s="22">
        <f t="shared" si="7"/>
        <v>19</v>
      </c>
    </row>
    <row r="501" spans="1:18">
      <c r="A501" s="26">
        <v>997</v>
      </c>
      <c r="B501" s="27">
        <v>33758</v>
      </c>
      <c r="C501" s="28" t="s">
        <v>1519</v>
      </c>
      <c r="D501" s="27">
        <v>33751</v>
      </c>
      <c r="E501" s="28" t="s">
        <v>38</v>
      </c>
      <c r="F501" s="28" t="s">
        <v>27</v>
      </c>
      <c r="G501" s="28" t="s">
        <v>20</v>
      </c>
      <c r="H501" s="28" t="s">
        <v>21</v>
      </c>
      <c r="I501" s="28" t="s">
        <v>21</v>
      </c>
      <c r="J501" s="28" t="s">
        <v>1520</v>
      </c>
      <c r="K501" s="28" t="s">
        <v>1521</v>
      </c>
      <c r="L501" s="28" t="s">
        <v>24</v>
      </c>
      <c r="M501" s="28" t="s">
        <v>21</v>
      </c>
      <c r="N501" s="29">
        <v>33763</v>
      </c>
      <c r="O501" s="92">
        <v>33765</v>
      </c>
      <c r="P501" s="28" t="s">
        <v>21</v>
      </c>
      <c r="Q501" s="26" t="b">
        <v>0</v>
      </c>
      <c r="R501" s="22">
        <f t="shared" si="7"/>
        <v>7</v>
      </c>
    </row>
    <row r="502" spans="1:18">
      <c r="A502" s="26">
        <v>999</v>
      </c>
      <c r="B502" s="27">
        <v>33760</v>
      </c>
      <c r="C502" s="28" t="s">
        <v>1522</v>
      </c>
      <c r="D502" s="27">
        <v>33759</v>
      </c>
      <c r="E502" s="28" t="s">
        <v>1523</v>
      </c>
      <c r="F502" s="28" t="s">
        <v>27</v>
      </c>
      <c r="G502" s="28" t="s">
        <v>20</v>
      </c>
      <c r="H502" s="28" t="s">
        <v>21</v>
      </c>
      <c r="I502" s="28" t="s">
        <v>21</v>
      </c>
      <c r="J502" s="28" t="s">
        <v>1524</v>
      </c>
      <c r="K502" s="28" t="s">
        <v>21</v>
      </c>
      <c r="L502" s="28" t="s">
        <v>24</v>
      </c>
      <c r="M502" s="28" t="s">
        <v>21</v>
      </c>
      <c r="O502" s="92">
        <v>34942</v>
      </c>
      <c r="P502" s="28" t="s">
        <v>21</v>
      </c>
      <c r="Q502" s="26" t="b">
        <v>0</v>
      </c>
      <c r="R502" s="22">
        <f t="shared" si="7"/>
        <v>1182</v>
      </c>
    </row>
    <row r="503" spans="1:18">
      <c r="A503" s="26">
        <v>1003</v>
      </c>
      <c r="B503" s="27">
        <v>33771</v>
      </c>
      <c r="C503" s="28" t="s">
        <v>1525</v>
      </c>
      <c r="D503" s="27">
        <v>33765</v>
      </c>
      <c r="E503" s="28" t="s">
        <v>1526</v>
      </c>
      <c r="F503" s="28" t="s">
        <v>52</v>
      </c>
      <c r="G503" s="28" t="s">
        <v>20</v>
      </c>
      <c r="H503" s="28" t="s">
        <v>21</v>
      </c>
      <c r="I503" s="28" t="s">
        <v>21</v>
      </c>
      <c r="J503" s="28" t="s">
        <v>1340</v>
      </c>
      <c r="K503" s="28" t="s">
        <v>1527</v>
      </c>
      <c r="L503" s="28" t="s">
        <v>66</v>
      </c>
      <c r="M503" s="28" t="s">
        <v>21</v>
      </c>
      <c r="N503" s="18"/>
      <c r="O503" s="92">
        <v>35482</v>
      </c>
      <c r="P503" s="28" t="s">
        <v>21</v>
      </c>
      <c r="Q503" s="26" t="b">
        <v>0</v>
      </c>
      <c r="R503" s="22">
        <f t="shared" si="7"/>
        <v>1708</v>
      </c>
    </row>
    <row r="504" spans="1:18">
      <c r="A504" s="26">
        <v>1007</v>
      </c>
      <c r="B504" s="27">
        <v>33774</v>
      </c>
      <c r="C504" s="28" t="s">
        <v>1528</v>
      </c>
      <c r="D504" s="27">
        <v>33773</v>
      </c>
      <c r="E504" s="28" t="s">
        <v>1529</v>
      </c>
      <c r="F504" s="28" t="s">
        <v>984</v>
      </c>
      <c r="G504" s="28" t="s">
        <v>20</v>
      </c>
      <c r="H504" s="28" t="s">
        <v>21</v>
      </c>
      <c r="I504" s="28" t="s">
        <v>21</v>
      </c>
      <c r="J504" s="28" t="s">
        <v>1530</v>
      </c>
      <c r="K504" s="28" t="s">
        <v>1531</v>
      </c>
      <c r="L504" s="28" t="s">
        <v>1152</v>
      </c>
      <c r="M504" s="28" t="s">
        <v>21</v>
      </c>
      <c r="O504" s="92">
        <v>34101</v>
      </c>
      <c r="P504" s="28" t="s">
        <v>31</v>
      </c>
      <c r="Q504" s="26" t="b">
        <v>0</v>
      </c>
      <c r="R504" s="22">
        <f t="shared" si="7"/>
        <v>327</v>
      </c>
    </row>
    <row r="505" spans="1:18">
      <c r="A505" s="26">
        <v>1010</v>
      </c>
      <c r="B505" s="27">
        <v>33778</v>
      </c>
      <c r="C505" s="28" t="s">
        <v>1532</v>
      </c>
      <c r="D505" s="27">
        <v>33772</v>
      </c>
      <c r="E505" s="28" t="s">
        <v>1533</v>
      </c>
      <c r="F505" s="28" t="s">
        <v>124</v>
      </c>
      <c r="G505" s="28" t="s">
        <v>20</v>
      </c>
      <c r="H505" s="28" t="s">
        <v>21</v>
      </c>
      <c r="I505" s="28" t="s">
        <v>21</v>
      </c>
      <c r="J505" s="28" t="s">
        <v>1534</v>
      </c>
      <c r="K505" s="28" t="s">
        <v>21</v>
      </c>
      <c r="L505" s="28" t="s">
        <v>82</v>
      </c>
      <c r="M505" s="28" t="s">
        <v>21</v>
      </c>
      <c r="N505" s="27">
        <v>33795</v>
      </c>
      <c r="O505" s="92">
        <v>33821</v>
      </c>
      <c r="P505" s="28" t="s">
        <v>31</v>
      </c>
      <c r="Q505" s="26" t="b">
        <v>0</v>
      </c>
      <c r="R505" s="22">
        <f t="shared" si="7"/>
        <v>42</v>
      </c>
    </row>
    <row r="506" spans="1:18">
      <c r="A506" s="26">
        <v>1013</v>
      </c>
      <c r="B506" s="27">
        <v>33784</v>
      </c>
      <c r="C506" s="28" t="s">
        <v>1535</v>
      </c>
      <c r="D506" s="27">
        <v>33784</v>
      </c>
      <c r="E506" s="28" t="s">
        <v>1536</v>
      </c>
      <c r="F506" s="28" t="s">
        <v>1537</v>
      </c>
      <c r="G506" s="28" t="s">
        <v>20</v>
      </c>
      <c r="H506" s="28" t="s">
        <v>21</v>
      </c>
      <c r="I506" s="28" t="s">
        <v>21</v>
      </c>
      <c r="J506" s="28" t="s">
        <v>1258</v>
      </c>
      <c r="K506" s="28" t="s">
        <v>1538</v>
      </c>
      <c r="L506" s="28" t="s">
        <v>82</v>
      </c>
      <c r="M506" s="28" t="s">
        <v>21</v>
      </c>
      <c r="N506" s="27">
        <v>33788</v>
      </c>
      <c r="O506" s="92">
        <v>33802</v>
      </c>
      <c r="P506" s="28" t="s">
        <v>31</v>
      </c>
      <c r="Q506" s="26" t="b">
        <v>0</v>
      </c>
      <c r="R506" s="22">
        <f t="shared" si="7"/>
        <v>18</v>
      </c>
    </row>
    <row r="507" spans="1:18">
      <c r="A507" s="26">
        <v>1026</v>
      </c>
      <c r="B507" s="27">
        <v>33793</v>
      </c>
      <c r="C507" s="28" t="s">
        <v>1539</v>
      </c>
      <c r="D507" s="27">
        <v>33793</v>
      </c>
      <c r="E507" s="28" t="s">
        <v>1540</v>
      </c>
      <c r="F507" s="28" t="s">
        <v>124</v>
      </c>
      <c r="G507" s="28" t="s">
        <v>20</v>
      </c>
      <c r="H507" s="28" t="s">
        <v>21</v>
      </c>
      <c r="I507" s="28" t="s">
        <v>21</v>
      </c>
      <c r="J507" s="28" t="s">
        <v>1541</v>
      </c>
      <c r="K507" s="28" t="s">
        <v>21</v>
      </c>
      <c r="L507" s="28" t="s">
        <v>24</v>
      </c>
      <c r="M507" s="28" t="s">
        <v>21</v>
      </c>
      <c r="N507" s="27">
        <v>33815</v>
      </c>
      <c r="O507" s="92">
        <v>33794</v>
      </c>
      <c r="P507" s="28" t="s">
        <v>21</v>
      </c>
      <c r="Q507" s="26" t="b">
        <v>0</v>
      </c>
      <c r="R507" s="22">
        <f t="shared" si="7"/>
        <v>1</v>
      </c>
    </row>
    <row r="508" spans="1:18">
      <c r="A508" s="26">
        <v>1028</v>
      </c>
      <c r="B508" s="27">
        <v>33794</v>
      </c>
      <c r="C508" s="28" t="s">
        <v>1542</v>
      </c>
      <c r="D508" s="27">
        <v>33792</v>
      </c>
      <c r="E508" s="28" t="s">
        <v>38</v>
      </c>
      <c r="F508" s="28" t="s">
        <v>371</v>
      </c>
      <c r="G508" s="28" t="s">
        <v>20</v>
      </c>
      <c r="H508" s="28" t="s">
        <v>21</v>
      </c>
      <c r="I508" s="28" t="s">
        <v>21</v>
      </c>
      <c r="J508" s="28" t="s">
        <v>1543</v>
      </c>
      <c r="K508" s="28" t="s">
        <v>1544</v>
      </c>
      <c r="L508" s="28" t="s">
        <v>30</v>
      </c>
      <c r="M508" s="28" t="s">
        <v>21</v>
      </c>
      <c r="N508" s="29">
        <v>33815</v>
      </c>
      <c r="O508" s="92">
        <v>33815</v>
      </c>
      <c r="P508" s="28" t="s">
        <v>31</v>
      </c>
      <c r="Q508" s="26" t="b">
        <v>0</v>
      </c>
      <c r="R508" s="22">
        <f t="shared" si="7"/>
        <v>21</v>
      </c>
    </row>
    <row r="509" spans="1:18">
      <c r="A509" s="26">
        <v>1030</v>
      </c>
      <c r="B509" s="27">
        <v>33794</v>
      </c>
      <c r="C509" s="28" t="s">
        <v>1545</v>
      </c>
      <c r="D509" s="27">
        <v>33793</v>
      </c>
      <c r="E509" s="28" t="s">
        <v>38</v>
      </c>
      <c r="F509" s="28" t="s">
        <v>1546</v>
      </c>
      <c r="G509" s="28" t="s">
        <v>189</v>
      </c>
      <c r="H509" s="28" t="s">
        <v>71</v>
      </c>
      <c r="I509" s="28" t="s">
        <v>72</v>
      </c>
      <c r="J509" s="28" t="s">
        <v>1340</v>
      </c>
      <c r="K509" s="28" t="s">
        <v>21</v>
      </c>
      <c r="L509" s="28" t="s">
        <v>24</v>
      </c>
      <c r="M509" s="28" t="s">
        <v>21</v>
      </c>
      <c r="N509" s="18"/>
      <c r="O509" s="92">
        <v>33800</v>
      </c>
      <c r="P509" s="28" t="s">
        <v>21</v>
      </c>
      <c r="Q509" s="26" t="b">
        <v>0</v>
      </c>
      <c r="R509" s="22">
        <f t="shared" si="7"/>
        <v>6</v>
      </c>
    </row>
    <row r="510" spans="1:18">
      <c r="A510" s="26">
        <v>1032</v>
      </c>
      <c r="B510" s="27">
        <v>33798</v>
      </c>
      <c r="C510" s="28" t="s">
        <v>1547</v>
      </c>
      <c r="D510" s="27">
        <v>33794</v>
      </c>
      <c r="E510" s="28" t="s">
        <v>1548</v>
      </c>
      <c r="F510" s="28" t="s">
        <v>149</v>
      </c>
      <c r="G510" s="28" t="s">
        <v>20</v>
      </c>
      <c r="H510" s="28" t="s">
        <v>21</v>
      </c>
      <c r="I510" s="28" t="s">
        <v>21</v>
      </c>
      <c r="J510" s="28" t="s">
        <v>1549</v>
      </c>
      <c r="K510" s="28" t="s">
        <v>1550</v>
      </c>
      <c r="L510" s="28" t="s">
        <v>1152</v>
      </c>
      <c r="M510" s="28" t="s">
        <v>21</v>
      </c>
      <c r="N510" s="27">
        <v>33805</v>
      </c>
      <c r="O510" s="92">
        <v>33822</v>
      </c>
      <c r="P510" s="28" t="s">
        <v>21</v>
      </c>
      <c r="Q510" s="26" t="b">
        <v>0</v>
      </c>
      <c r="R510" s="22">
        <f t="shared" si="7"/>
        <v>23</v>
      </c>
    </row>
    <row r="511" spans="1:18">
      <c r="A511" s="26">
        <v>1035</v>
      </c>
      <c r="B511" s="27">
        <v>33799</v>
      </c>
      <c r="C511" s="28" t="s">
        <v>1551</v>
      </c>
      <c r="D511" s="27">
        <v>33793</v>
      </c>
      <c r="E511" s="28" t="s">
        <v>38</v>
      </c>
      <c r="F511" s="28" t="s">
        <v>98</v>
      </c>
      <c r="G511" s="28" t="s">
        <v>20</v>
      </c>
      <c r="H511" s="28" t="s">
        <v>21</v>
      </c>
      <c r="I511" s="28" t="s">
        <v>21</v>
      </c>
      <c r="J511" s="28" t="s">
        <v>838</v>
      </c>
      <c r="K511" s="28" t="s">
        <v>1510</v>
      </c>
      <c r="L511" s="28" t="s">
        <v>30</v>
      </c>
      <c r="M511" s="28" t="s">
        <v>21</v>
      </c>
      <c r="N511" s="27">
        <v>33810</v>
      </c>
      <c r="O511" s="92">
        <v>33823</v>
      </c>
      <c r="P511" s="28" t="s">
        <v>31</v>
      </c>
      <c r="Q511" s="26" t="b">
        <v>0</v>
      </c>
      <c r="R511" s="22">
        <f t="shared" si="7"/>
        <v>23</v>
      </c>
    </row>
    <row r="512" spans="1:18">
      <c r="A512" s="26">
        <v>1036</v>
      </c>
      <c r="B512" s="27">
        <v>33799</v>
      </c>
      <c r="C512" s="28" t="s">
        <v>1552</v>
      </c>
      <c r="D512" s="27">
        <v>33799</v>
      </c>
      <c r="E512" s="28" t="s">
        <v>1204</v>
      </c>
      <c r="F512" s="28" t="s">
        <v>56</v>
      </c>
      <c r="G512" s="28" t="s">
        <v>21</v>
      </c>
      <c r="H512" s="28" t="s">
        <v>21</v>
      </c>
      <c r="I512" s="28" t="s">
        <v>21</v>
      </c>
      <c r="J512" s="28" t="s">
        <v>255</v>
      </c>
      <c r="K512" s="28" t="s">
        <v>1553</v>
      </c>
      <c r="L512" s="28" t="s">
        <v>24</v>
      </c>
      <c r="M512" s="28" t="s">
        <v>21</v>
      </c>
      <c r="N512" s="29">
        <v>33841</v>
      </c>
      <c r="O512" s="92">
        <v>33844</v>
      </c>
      <c r="P512" s="28" t="s">
        <v>21</v>
      </c>
      <c r="Q512" s="26" t="b">
        <v>0</v>
      </c>
      <c r="R512" s="22">
        <f t="shared" si="7"/>
        <v>44</v>
      </c>
    </row>
    <row r="513" spans="1:18">
      <c r="A513" s="26">
        <v>1039</v>
      </c>
      <c r="B513" s="27">
        <v>33805</v>
      </c>
      <c r="C513" s="28" t="s">
        <v>1557</v>
      </c>
      <c r="D513" s="27">
        <v>33805</v>
      </c>
      <c r="E513" s="28" t="s">
        <v>1558</v>
      </c>
      <c r="F513" s="28" t="s">
        <v>228</v>
      </c>
      <c r="G513" s="28" t="s">
        <v>20</v>
      </c>
      <c r="H513" s="28" t="s">
        <v>21</v>
      </c>
      <c r="I513" s="28" t="s">
        <v>21</v>
      </c>
      <c r="J513" s="28" t="s">
        <v>1559</v>
      </c>
      <c r="K513" s="28" t="s">
        <v>21</v>
      </c>
      <c r="L513" s="28" t="s">
        <v>30</v>
      </c>
      <c r="M513" s="28" t="s">
        <v>21</v>
      </c>
      <c r="N513" s="27">
        <v>33813</v>
      </c>
      <c r="O513" s="92">
        <v>33841</v>
      </c>
      <c r="P513" s="28" t="s">
        <v>21</v>
      </c>
      <c r="Q513" s="26" t="b">
        <v>0</v>
      </c>
      <c r="R513" s="22">
        <f t="shared" si="7"/>
        <v>35</v>
      </c>
    </row>
    <row r="514" spans="1:18">
      <c r="A514" s="26">
        <v>1043</v>
      </c>
      <c r="B514" s="27">
        <v>33807</v>
      </c>
      <c r="C514" s="28" t="s">
        <v>1560</v>
      </c>
      <c r="D514" s="27">
        <v>33807</v>
      </c>
      <c r="E514" s="28" t="s">
        <v>1204</v>
      </c>
      <c r="F514" s="28" t="s">
        <v>56</v>
      </c>
      <c r="G514" s="28" t="s">
        <v>21</v>
      </c>
      <c r="H514" s="28" t="s">
        <v>21</v>
      </c>
      <c r="I514" s="28" t="s">
        <v>21</v>
      </c>
      <c r="J514" s="28" t="s">
        <v>1561</v>
      </c>
      <c r="K514" s="28" t="s">
        <v>21</v>
      </c>
      <c r="L514" s="28" t="s">
        <v>24</v>
      </c>
      <c r="M514" s="28" t="s">
        <v>21</v>
      </c>
      <c r="N514" s="27">
        <v>33811</v>
      </c>
      <c r="O514" s="92">
        <v>33814</v>
      </c>
      <c r="P514" s="28" t="s">
        <v>21</v>
      </c>
      <c r="Q514" s="26" t="b">
        <v>0</v>
      </c>
      <c r="R514" s="22">
        <f t="shared" ref="R514:R577" si="8">IF(O514=" ", " ", INT(YEARFRAC(O514, B514)*365))</f>
        <v>7</v>
      </c>
    </row>
    <row r="515" spans="1:18">
      <c r="A515" s="26">
        <v>1052</v>
      </c>
      <c r="B515" s="27">
        <v>33815</v>
      </c>
      <c r="C515" s="28" t="s">
        <v>1562</v>
      </c>
      <c r="D515" s="27">
        <v>33815</v>
      </c>
      <c r="E515" s="28" t="s">
        <v>1563</v>
      </c>
      <c r="F515" s="28" t="s">
        <v>306</v>
      </c>
      <c r="G515" s="28" t="s">
        <v>20</v>
      </c>
      <c r="H515" s="28" t="s">
        <v>21</v>
      </c>
      <c r="I515" s="28" t="s">
        <v>21</v>
      </c>
      <c r="J515" s="28" t="s">
        <v>754</v>
      </c>
      <c r="K515" s="28" t="s">
        <v>1564</v>
      </c>
      <c r="L515" s="28" t="s">
        <v>82</v>
      </c>
      <c r="M515" s="28" t="s">
        <v>21</v>
      </c>
      <c r="N515" s="18"/>
      <c r="O515" s="92">
        <v>33833</v>
      </c>
      <c r="P515" s="28" t="s">
        <v>21</v>
      </c>
      <c r="Q515" s="26" t="b">
        <v>0</v>
      </c>
      <c r="R515" s="22">
        <f t="shared" si="8"/>
        <v>17</v>
      </c>
    </row>
    <row r="516" spans="1:18">
      <c r="A516" s="26">
        <v>1038</v>
      </c>
      <c r="B516" s="27">
        <v>33816</v>
      </c>
      <c r="C516" s="28" t="s">
        <v>1554</v>
      </c>
      <c r="D516" s="27">
        <v>33814</v>
      </c>
      <c r="E516" s="28" t="s">
        <v>1555</v>
      </c>
      <c r="F516" s="28" t="s">
        <v>1537</v>
      </c>
      <c r="G516" s="28" t="s">
        <v>20</v>
      </c>
      <c r="H516" s="28" t="s">
        <v>21</v>
      </c>
      <c r="I516" s="28" t="s">
        <v>21</v>
      </c>
      <c r="J516" s="28" t="s">
        <v>1556</v>
      </c>
      <c r="K516" s="28" t="s">
        <v>21</v>
      </c>
      <c r="L516" s="28" t="s">
        <v>82</v>
      </c>
      <c r="M516" s="28" t="s">
        <v>21</v>
      </c>
      <c r="N516" s="18"/>
      <c r="O516" s="92">
        <v>33851</v>
      </c>
      <c r="P516" s="28" t="s">
        <v>21</v>
      </c>
      <c r="Q516" s="26" t="b">
        <v>0</v>
      </c>
      <c r="R516" s="22">
        <f t="shared" si="8"/>
        <v>34</v>
      </c>
    </row>
    <row r="517" spans="1:18">
      <c r="A517" s="26">
        <v>1056</v>
      </c>
      <c r="B517" s="27">
        <v>33819</v>
      </c>
      <c r="C517" s="28" t="s">
        <v>1569</v>
      </c>
      <c r="D517" s="27">
        <v>33817</v>
      </c>
      <c r="E517" s="28" t="s">
        <v>1570</v>
      </c>
      <c r="F517" s="28" t="s">
        <v>70</v>
      </c>
      <c r="G517" s="28" t="s">
        <v>20</v>
      </c>
      <c r="H517" s="28" t="s">
        <v>71</v>
      </c>
      <c r="I517" s="28" t="s">
        <v>72</v>
      </c>
      <c r="J517" s="28" t="s">
        <v>1571</v>
      </c>
      <c r="K517" s="28" t="s">
        <v>1572</v>
      </c>
      <c r="L517" s="28" t="s">
        <v>30</v>
      </c>
      <c r="M517" s="28" t="s">
        <v>21</v>
      </c>
      <c r="O517" s="92">
        <v>33840</v>
      </c>
      <c r="P517" s="28" t="s">
        <v>21</v>
      </c>
      <c r="Q517" s="26" t="b">
        <v>0</v>
      </c>
      <c r="R517" s="22">
        <f t="shared" si="8"/>
        <v>21</v>
      </c>
    </row>
    <row r="518" spans="1:18">
      <c r="A518" s="26">
        <v>1057</v>
      </c>
      <c r="B518" s="27">
        <v>33819</v>
      </c>
      <c r="C518" s="28" t="s">
        <v>1573</v>
      </c>
      <c r="D518" s="27">
        <v>33819</v>
      </c>
      <c r="E518" s="28" t="s">
        <v>38</v>
      </c>
      <c r="F518" s="28" t="s">
        <v>39</v>
      </c>
      <c r="G518" s="28" t="s">
        <v>20</v>
      </c>
      <c r="H518" s="28" t="s">
        <v>21</v>
      </c>
      <c r="I518" s="28" t="s">
        <v>21</v>
      </c>
      <c r="J518" s="28" t="s">
        <v>1574</v>
      </c>
      <c r="K518" s="28" t="s">
        <v>21</v>
      </c>
      <c r="L518" s="28" t="s">
        <v>24</v>
      </c>
      <c r="M518" s="28" t="s">
        <v>21</v>
      </c>
      <c r="N518" s="27">
        <v>33821</v>
      </c>
      <c r="O518" s="92">
        <v>33821</v>
      </c>
      <c r="P518" s="28" t="s">
        <v>31</v>
      </c>
      <c r="Q518" s="26" t="b">
        <v>0</v>
      </c>
      <c r="R518" s="22">
        <f t="shared" si="8"/>
        <v>2</v>
      </c>
    </row>
    <row r="519" spans="1:18">
      <c r="A519" s="26">
        <v>1058</v>
      </c>
      <c r="B519" s="27">
        <v>33819</v>
      </c>
      <c r="C519" s="28" t="s">
        <v>1575</v>
      </c>
      <c r="D519" s="27">
        <v>33819</v>
      </c>
      <c r="E519" s="28" t="s">
        <v>38</v>
      </c>
      <c r="F519" s="28" t="s">
        <v>984</v>
      </c>
      <c r="G519" s="28" t="s">
        <v>20</v>
      </c>
      <c r="H519" s="28" t="s">
        <v>21</v>
      </c>
      <c r="I519" s="28" t="s">
        <v>21</v>
      </c>
      <c r="J519" s="28" t="s">
        <v>1576</v>
      </c>
      <c r="K519" s="28" t="s">
        <v>1577</v>
      </c>
      <c r="L519" s="28" t="s">
        <v>1152</v>
      </c>
      <c r="M519" s="28" t="s">
        <v>21</v>
      </c>
      <c r="N519" s="27">
        <v>33822</v>
      </c>
      <c r="O519" s="92">
        <v>33827</v>
      </c>
      <c r="P519" s="28" t="s">
        <v>31</v>
      </c>
      <c r="Q519" s="26" t="b">
        <v>0</v>
      </c>
      <c r="R519" s="22">
        <f t="shared" si="8"/>
        <v>8</v>
      </c>
    </row>
    <row r="520" spans="1:18">
      <c r="A520" s="26">
        <v>1065</v>
      </c>
      <c r="B520" s="27">
        <v>33821</v>
      </c>
      <c r="C520" s="28" t="s">
        <v>1578</v>
      </c>
      <c r="D520" s="27">
        <v>33812</v>
      </c>
      <c r="E520" s="28" t="s">
        <v>38</v>
      </c>
      <c r="F520" s="28" t="s">
        <v>124</v>
      </c>
      <c r="G520" s="28" t="s">
        <v>20</v>
      </c>
      <c r="H520" s="28" t="s">
        <v>21</v>
      </c>
      <c r="I520" s="28" t="s">
        <v>21</v>
      </c>
      <c r="J520" s="28" t="s">
        <v>1579</v>
      </c>
      <c r="K520" s="28" t="s">
        <v>21</v>
      </c>
      <c r="L520" s="28" t="s">
        <v>24</v>
      </c>
      <c r="M520" s="28" t="s">
        <v>21</v>
      </c>
      <c r="N520" s="29">
        <v>33826</v>
      </c>
      <c r="O520" s="92">
        <v>33823</v>
      </c>
      <c r="P520" s="28" t="s">
        <v>31</v>
      </c>
      <c r="Q520" s="26" t="b">
        <v>0</v>
      </c>
      <c r="R520" s="22">
        <f t="shared" si="8"/>
        <v>2</v>
      </c>
    </row>
    <row r="521" spans="1:18">
      <c r="A521" s="26">
        <v>1069</v>
      </c>
      <c r="B521" s="27">
        <v>33827</v>
      </c>
      <c r="C521" s="28" t="s">
        <v>1580</v>
      </c>
      <c r="D521" s="27">
        <v>33823</v>
      </c>
      <c r="E521" s="28" t="s">
        <v>38</v>
      </c>
      <c r="F521" s="28" t="s">
        <v>27</v>
      </c>
      <c r="G521" s="28" t="s">
        <v>20</v>
      </c>
      <c r="H521" s="28" t="s">
        <v>21</v>
      </c>
      <c r="I521" s="28" t="s">
        <v>21</v>
      </c>
      <c r="J521" s="28" t="s">
        <v>1581</v>
      </c>
      <c r="K521" s="28" t="s">
        <v>1582</v>
      </c>
      <c r="L521" s="28" t="s">
        <v>24</v>
      </c>
      <c r="M521" s="28" t="s">
        <v>21</v>
      </c>
      <c r="N521" s="27">
        <v>33831</v>
      </c>
      <c r="O521" s="92">
        <v>33828</v>
      </c>
      <c r="P521" s="28" t="s">
        <v>21</v>
      </c>
      <c r="Q521" s="26" t="b">
        <v>0</v>
      </c>
      <c r="R521" s="22">
        <f t="shared" si="8"/>
        <v>1</v>
      </c>
    </row>
    <row r="522" spans="1:18">
      <c r="A522" s="26">
        <v>1072</v>
      </c>
      <c r="B522" s="27">
        <v>33829</v>
      </c>
      <c r="C522" s="28" t="s">
        <v>1583</v>
      </c>
      <c r="D522" s="27">
        <v>33827</v>
      </c>
      <c r="E522" s="28" t="s">
        <v>1584</v>
      </c>
      <c r="F522" s="28" t="s">
        <v>1366</v>
      </c>
      <c r="G522" s="28" t="s">
        <v>20</v>
      </c>
      <c r="H522" s="28" t="s">
        <v>212</v>
      </c>
      <c r="I522" s="28" t="s">
        <v>212</v>
      </c>
      <c r="J522" s="28" t="s">
        <v>1585</v>
      </c>
      <c r="K522" s="28" t="s">
        <v>1510</v>
      </c>
      <c r="L522" s="28" t="s">
        <v>24</v>
      </c>
      <c r="M522" s="28" t="s">
        <v>21</v>
      </c>
      <c r="O522" s="92">
        <v>33884</v>
      </c>
      <c r="P522" s="28" t="s">
        <v>21</v>
      </c>
      <c r="Q522" s="26" t="b">
        <v>0</v>
      </c>
      <c r="R522" s="22">
        <f t="shared" si="8"/>
        <v>54</v>
      </c>
    </row>
    <row r="523" spans="1:18">
      <c r="A523" s="26">
        <v>1055</v>
      </c>
      <c r="B523" s="27">
        <v>33833</v>
      </c>
      <c r="C523" s="28" t="s">
        <v>1565</v>
      </c>
      <c r="D523" s="27">
        <v>33833</v>
      </c>
      <c r="E523" s="28" t="s">
        <v>1566</v>
      </c>
      <c r="F523" s="28" t="s">
        <v>228</v>
      </c>
      <c r="G523" s="28" t="s">
        <v>20</v>
      </c>
      <c r="H523" s="28" t="s">
        <v>21</v>
      </c>
      <c r="I523" s="28" t="s">
        <v>21</v>
      </c>
      <c r="J523" s="28" t="s">
        <v>1567</v>
      </c>
      <c r="K523" s="28" t="s">
        <v>1568</v>
      </c>
      <c r="L523" s="28" t="s">
        <v>1152</v>
      </c>
      <c r="M523" s="28" t="s">
        <v>21</v>
      </c>
      <c r="N523" s="18"/>
      <c r="O523" s="92">
        <v>34183</v>
      </c>
      <c r="P523" s="28" t="s">
        <v>31</v>
      </c>
      <c r="Q523" s="26" t="b">
        <v>0</v>
      </c>
      <c r="R523" s="22">
        <f t="shared" si="8"/>
        <v>349</v>
      </c>
    </row>
    <row r="524" spans="1:18">
      <c r="A524" s="26">
        <v>1074</v>
      </c>
      <c r="B524" s="27">
        <v>33833</v>
      </c>
      <c r="C524" s="28" t="s">
        <v>1586</v>
      </c>
      <c r="D524" s="27">
        <v>33833</v>
      </c>
      <c r="E524" s="28" t="s">
        <v>1432</v>
      </c>
      <c r="F524" s="28" t="s">
        <v>1587</v>
      </c>
      <c r="G524" s="28" t="s">
        <v>21</v>
      </c>
      <c r="H524" s="28" t="s">
        <v>21</v>
      </c>
      <c r="I524" s="28" t="s">
        <v>21</v>
      </c>
      <c r="J524" s="28" t="s">
        <v>1588</v>
      </c>
      <c r="K524" s="28" t="s">
        <v>21</v>
      </c>
      <c r="L524" s="28" t="s">
        <v>24</v>
      </c>
      <c r="M524" s="28" t="s">
        <v>21</v>
      </c>
      <c r="N524" s="27">
        <v>33838</v>
      </c>
      <c r="O524" s="92">
        <v>33833</v>
      </c>
      <c r="P524" s="28" t="s">
        <v>21</v>
      </c>
      <c r="Q524" s="26" t="b">
        <v>0</v>
      </c>
      <c r="R524" s="22">
        <f t="shared" si="8"/>
        <v>0</v>
      </c>
    </row>
    <row r="525" spans="1:18">
      <c r="A525" s="26">
        <v>1075</v>
      </c>
      <c r="B525" s="27">
        <v>33833</v>
      </c>
      <c r="C525" s="28" t="s">
        <v>1589</v>
      </c>
      <c r="D525" s="27">
        <v>33833</v>
      </c>
      <c r="E525" s="28" t="s">
        <v>38</v>
      </c>
      <c r="F525" s="28" t="s">
        <v>149</v>
      </c>
      <c r="G525" s="28" t="s">
        <v>20</v>
      </c>
      <c r="H525" s="28" t="s">
        <v>21</v>
      </c>
      <c r="I525" s="28" t="s">
        <v>21</v>
      </c>
      <c r="J525" s="28" t="s">
        <v>1590</v>
      </c>
      <c r="K525" s="28" t="s">
        <v>1591</v>
      </c>
      <c r="L525" s="28" t="s">
        <v>1152</v>
      </c>
      <c r="M525" s="28" t="s">
        <v>21</v>
      </c>
      <c r="N525" s="29">
        <v>33836</v>
      </c>
      <c r="O525" s="92">
        <v>33833</v>
      </c>
      <c r="P525" s="28" t="s">
        <v>21</v>
      </c>
      <c r="Q525" s="26" t="b">
        <v>0</v>
      </c>
      <c r="R525" s="22">
        <f t="shared" si="8"/>
        <v>0</v>
      </c>
    </row>
    <row r="526" spans="1:18">
      <c r="A526" s="26">
        <v>1081</v>
      </c>
      <c r="B526" s="27">
        <v>33835</v>
      </c>
      <c r="C526" s="28" t="s">
        <v>1592</v>
      </c>
      <c r="D526" s="27">
        <v>33830</v>
      </c>
      <c r="E526" s="28" t="s">
        <v>38</v>
      </c>
      <c r="F526" s="28" t="s">
        <v>56</v>
      </c>
      <c r="G526" s="28" t="s">
        <v>21</v>
      </c>
      <c r="H526" s="28" t="s">
        <v>21</v>
      </c>
      <c r="I526" s="28" t="s">
        <v>21</v>
      </c>
      <c r="J526" s="28" t="s">
        <v>1593</v>
      </c>
      <c r="K526" s="28" t="s">
        <v>126</v>
      </c>
      <c r="L526" s="28" t="s">
        <v>82</v>
      </c>
      <c r="M526" s="28" t="s">
        <v>21</v>
      </c>
      <c r="N526" s="27">
        <v>33837</v>
      </c>
      <c r="O526" s="92">
        <v>33833</v>
      </c>
      <c r="P526" s="28" t="s">
        <v>21</v>
      </c>
      <c r="Q526" s="26" t="b">
        <v>0</v>
      </c>
      <c r="R526" s="22">
        <f t="shared" si="8"/>
        <v>2</v>
      </c>
    </row>
    <row r="527" spans="1:18">
      <c r="A527" s="26">
        <v>1082</v>
      </c>
      <c r="B527" s="27">
        <v>33836</v>
      </c>
      <c r="C527" s="28" t="s">
        <v>1594</v>
      </c>
      <c r="D527" s="27">
        <v>33836</v>
      </c>
      <c r="E527" s="28" t="s">
        <v>1595</v>
      </c>
      <c r="F527" s="28" t="s">
        <v>124</v>
      </c>
      <c r="G527" s="28" t="s">
        <v>20</v>
      </c>
      <c r="H527" s="28" t="s">
        <v>21</v>
      </c>
      <c r="I527" s="28" t="s">
        <v>21</v>
      </c>
      <c r="J527" s="28" t="s">
        <v>457</v>
      </c>
      <c r="K527" s="28" t="s">
        <v>1596</v>
      </c>
      <c r="L527" s="28" t="s">
        <v>24</v>
      </c>
      <c r="M527" s="28" t="s">
        <v>21</v>
      </c>
      <c r="O527" s="92">
        <v>34877</v>
      </c>
      <c r="P527" s="28" t="s">
        <v>31</v>
      </c>
      <c r="Q527" s="26" t="b">
        <v>0</v>
      </c>
      <c r="R527" s="22">
        <f t="shared" si="8"/>
        <v>1041</v>
      </c>
    </row>
    <row r="528" spans="1:18">
      <c r="A528" s="26">
        <v>1083</v>
      </c>
      <c r="B528" s="27">
        <v>33836</v>
      </c>
      <c r="C528" s="28" t="s">
        <v>1597</v>
      </c>
      <c r="D528" s="27">
        <v>33836</v>
      </c>
      <c r="E528" s="28" t="s">
        <v>1598</v>
      </c>
      <c r="F528" s="28" t="s">
        <v>259</v>
      </c>
      <c r="G528" s="28" t="s">
        <v>20</v>
      </c>
      <c r="H528" s="28" t="s">
        <v>21</v>
      </c>
      <c r="I528" s="28" t="s">
        <v>21</v>
      </c>
      <c r="J528" s="28" t="s">
        <v>333</v>
      </c>
      <c r="K528" s="28" t="s">
        <v>754</v>
      </c>
      <c r="L528" s="28" t="s">
        <v>82</v>
      </c>
      <c r="M528" s="28" t="s">
        <v>21</v>
      </c>
      <c r="N528" s="27">
        <v>33839</v>
      </c>
      <c r="O528" s="92">
        <v>33840</v>
      </c>
      <c r="P528" s="28" t="s">
        <v>21</v>
      </c>
      <c r="Q528" s="26" t="b">
        <v>0</v>
      </c>
      <c r="R528" s="22">
        <f t="shared" si="8"/>
        <v>4</v>
      </c>
    </row>
    <row r="529" spans="1:18">
      <c r="A529" s="26">
        <v>1084</v>
      </c>
      <c r="B529" s="27">
        <v>33842</v>
      </c>
      <c r="C529" s="28" t="s">
        <v>1599</v>
      </c>
      <c r="D529" s="27">
        <v>33841</v>
      </c>
      <c r="E529" s="28" t="s">
        <v>1600</v>
      </c>
      <c r="F529" s="28" t="s">
        <v>367</v>
      </c>
      <c r="G529" s="28" t="s">
        <v>20</v>
      </c>
      <c r="H529" s="28" t="s">
        <v>71</v>
      </c>
      <c r="I529" s="28" t="s">
        <v>72</v>
      </c>
      <c r="J529" s="28" t="s">
        <v>1601</v>
      </c>
      <c r="K529" s="28" t="s">
        <v>1602</v>
      </c>
      <c r="L529" s="28" t="s">
        <v>30</v>
      </c>
      <c r="M529" s="28" t="s">
        <v>21</v>
      </c>
      <c r="N529" s="18"/>
      <c r="O529" s="92">
        <v>35712</v>
      </c>
      <c r="P529" s="28" t="s">
        <v>21</v>
      </c>
      <c r="Q529" s="26" t="b">
        <v>0</v>
      </c>
      <c r="R529" s="22">
        <f t="shared" si="8"/>
        <v>1868</v>
      </c>
    </row>
    <row r="530" spans="1:18">
      <c r="A530" s="26">
        <v>1085</v>
      </c>
      <c r="B530" s="27">
        <v>33842</v>
      </c>
      <c r="C530" s="28" t="s">
        <v>1603</v>
      </c>
      <c r="D530" s="27">
        <v>33842</v>
      </c>
      <c r="E530" s="28" t="s">
        <v>38</v>
      </c>
      <c r="F530" s="28" t="s">
        <v>984</v>
      </c>
      <c r="G530" s="28" t="s">
        <v>20</v>
      </c>
      <c r="H530" s="28" t="s">
        <v>21</v>
      </c>
      <c r="I530" s="28" t="s">
        <v>21</v>
      </c>
      <c r="J530" s="28" t="s">
        <v>1604</v>
      </c>
      <c r="K530" s="28" t="s">
        <v>21</v>
      </c>
      <c r="L530" s="28" t="s">
        <v>30</v>
      </c>
      <c r="M530" s="28" t="s">
        <v>21</v>
      </c>
      <c r="N530" s="29">
        <v>33857</v>
      </c>
      <c r="O530" s="92">
        <v>33842</v>
      </c>
      <c r="P530" s="28" t="s">
        <v>31</v>
      </c>
      <c r="Q530" s="26" t="b">
        <v>0</v>
      </c>
      <c r="R530" s="22">
        <f t="shared" si="8"/>
        <v>0</v>
      </c>
    </row>
    <row r="531" spans="1:18">
      <c r="A531" s="26">
        <v>1086</v>
      </c>
      <c r="B531" s="27">
        <v>33843</v>
      </c>
      <c r="C531" s="28" t="s">
        <v>1605</v>
      </c>
      <c r="D531" s="27">
        <v>33841</v>
      </c>
      <c r="E531" s="28" t="s">
        <v>1606</v>
      </c>
      <c r="F531" s="28" t="s">
        <v>124</v>
      </c>
      <c r="G531" s="28" t="s">
        <v>20</v>
      </c>
      <c r="H531" s="28" t="s">
        <v>21</v>
      </c>
      <c r="I531" s="28" t="s">
        <v>21</v>
      </c>
      <c r="J531" s="28" t="s">
        <v>272</v>
      </c>
      <c r="K531" s="28" t="s">
        <v>457</v>
      </c>
      <c r="L531" s="28" t="s">
        <v>30</v>
      </c>
      <c r="M531" s="28" t="s">
        <v>21</v>
      </c>
      <c r="N531" s="18"/>
      <c r="O531" s="92">
        <v>33891</v>
      </c>
      <c r="P531" s="28" t="s">
        <v>31</v>
      </c>
      <c r="Q531" s="26" t="b">
        <v>0</v>
      </c>
      <c r="R531" s="22">
        <f t="shared" si="8"/>
        <v>47</v>
      </c>
    </row>
    <row r="532" spans="1:18">
      <c r="A532" s="26">
        <v>1088</v>
      </c>
      <c r="B532" s="27">
        <v>33847</v>
      </c>
      <c r="C532" s="28" t="s">
        <v>1607</v>
      </c>
      <c r="D532" s="27">
        <v>33842</v>
      </c>
      <c r="E532" s="28" t="s">
        <v>38</v>
      </c>
      <c r="F532" s="28" t="s">
        <v>124</v>
      </c>
      <c r="G532" s="28" t="s">
        <v>21</v>
      </c>
      <c r="H532" s="28" t="s">
        <v>21</v>
      </c>
      <c r="I532" s="28" t="s">
        <v>21</v>
      </c>
      <c r="J532" s="28" t="s">
        <v>21</v>
      </c>
      <c r="K532" s="28" t="s">
        <v>21</v>
      </c>
      <c r="L532" s="28" t="s">
        <v>24</v>
      </c>
      <c r="M532" s="28" t="s">
        <v>21</v>
      </c>
      <c r="N532" s="18"/>
      <c r="O532" s="92">
        <v>34877</v>
      </c>
      <c r="P532" s="28" t="s">
        <v>21</v>
      </c>
      <c r="Q532" s="26" t="b">
        <v>0</v>
      </c>
      <c r="R532" s="22">
        <f t="shared" si="8"/>
        <v>1031</v>
      </c>
    </row>
    <row r="533" spans="1:18">
      <c r="A533" s="26">
        <v>1091</v>
      </c>
      <c r="B533" s="27">
        <v>33849</v>
      </c>
      <c r="C533" s="28" t="s">
        <v>1608</v>
      </c>
      <c r="D533" s="27">
        <v>33847</v>
      </c>
      <c r="E533" s="28" t="s">
        <v>38</v>
      </c>
      <c r="F533" s="28" t="s">
        <v>56</v>
      </c>
      <c r="G533" s="28" t="s">
        <v>21</v>
      </c>
      <c r="H533" s="28" t="s">
        <v>21</v>
      </c>
      <c r="I533" s="28" t="s">
        <v>21</v>
      </c>
      <c r="J533" s="28" t="s">
        <v>1593</v>
      </c>
      <c r="K533" s="28" t="s">
        <v>21</v>
      </c>
      <c r="L533" s="28" t="s">
        <v>30</v>
      </c>
      <c r="M533" s="28" t="s">
        <v>21</v>
      </c>
      <c r="N533" s="27">
        <v>33854</v>
      </c>
      <c r="O533" s="92">
        <v>33856</v>
      </c>
      <c r="P533" s="28" t="s">
        <v>21</v>
      </c>
      <c r="Q533" s="26" t="b">
        <v>0</v>
      </c>
      <c r="R533" s="22">
        <f t="shared" si="8"/>
        <v>7</v>
      </c>
    </row>
    <row r="534" spans="1:18">
      <c r="A534" s="26">
        <v>1095</v>
      </c>
      <c r="B534" s="27">
        <v>33851</v>
      </c>
      <c r="C534" s="28" t="s">
        <v>1609</v>
      </c>
      <c r="D534" s="27">
        <v>33851</v>
      </c>
      <c r="E534" s="28" t="s">
        <v>1610</v>
      </c>
      <c r="F534" s="28" t="s">
        <v>19</v>
      </c>
      <c r="G534" s="28" t="s">
        <v>20</v>
      </c>
      <c r="H534" s="28" t="s">
        <v>21</v>
      </c>
      <c r="I534" s="28" t="s">
        <v>21</v>
      </c>
      <c r="J534" s="28" t="s">
        <v>1611</v>
      </c>
      <c r="K534" s="28" t="s">
        <v>21</v>
      </c>
      <c r="L534" s="28" t="s">
        <v>1152</v>
      </c>
      <c r="M534" s="28" t="s">
        <v>21</v>
      </c>
      <c r="N534" s="27">
        <v>33862</v>
      </c>
      <c r="O534" s="92">
        <v>33857</v>
      </c>
      <c r="P534" s="28" t="s">
        <v>31</v>
      </c>
      <c r="Q534" s="26" t="b">
        <v>0</v>
      </c>
      <c r="R534" s="22">
        <f t="shared" si="8"/>
        <v>6</v>
      </c>
    </row>
    <row r="535" spans="1:18">
      <c r="A535" s="26">
        <v>1096</v>
      </c>
      <c r="B535" s="27">
        <v>33851</v>
      </c>
      <c r="C535" s="28" t="s">
        <v>1612</v>
      </c>
      <c r="D535" s="27">
        <v>33851</v>
      </c>
      <c r="E535" s="28" t="s">
        <v>1613</v>
      </c>
      <c r="F535" s="28" t="s">
        <v>27</v>
      </c>
      <c r="G535" s="28" t="s">
        <v>20</v>
      </c>
      <c r="H535" s="28" t="s">
        <v>21</v>
      </c>
      <c r="I535" s="28" t="s">
        <v>21</v>
      </c>
      <c r="J535" s="28" t="s">
        <v>1614</v>
      </c>
      <c r="K535" s="28" t="s">
        <v>1615</v>
      </c>
      <c r="L535" s="28" t="s">
        <v>82</v>
      </c>
      <c r="M535" s="28" t="s">
        <v>21</v>
      </c>
      <c r="N535" s="18"/>
      <c r="O535" s="92">
        <v>33948</v>
      </c>
      <c r="P535" s="28" t="s">
        <v>31</v>
      </c>
      <c r="Q535" s="26" t="b">
        <v>0</v>
      </c>
      <c r="R535" s="22">
        <f t="shared" si="8"/>
        <v>97</v>
      </c>
    </row>
    <row r="536" spans="1:18">
      <c r="A536" s="26">
        <v>1098</v>
      </c>
      <c r="B536" s="27">
        <v>33855</v>
      </c>
      <c r="C536" s="28" t="s">
        <v>1616</v>
      </c>
      <c r="D536" s="27">
        <v>33851</v>
      </c>
      <c r="E536" s="28" t="s">
        <v>1617</v>
      </c>
      <c r="F536" s="28" t="s">
        <v>216</v>
      </c>
      <c r="G536" s="28" t="s">
        <v>20</v>
      </c>
      <c r="H536" s="28" t="s">
        <v>21</v>
      </c>
      <c r="I536" s="28" t="s">
        <v>21</v>
      </c>
      <c r="J536" s="28" t="s">
        <v>1618</v>
      </c>
      <c r="K536" s="28" t="s">
        <v>1619</v>
      </c>
      <c r="L536" s="28" t="s">
        <v>82</v>
      </c>
      <c r="M536" s="28" t="s">
        <v>21</v>
      </c>
      <c r="N536" s="27">
        <v>33877</v>
      </c>
      <c r="O536" s="92">
        <v>33904</v>
      </c>
      <c r="P536" s="28" t="s">
        <v>31</v>
      </c>
      <c r="Q536" s="26" t="b">
        <v>0</v>
      </c>
      <c r="R536" s="22">
        <f t="shared" si="8"/>
        <v>49</v>
      </c>
    </row>
    <row r="537" spans="1:18">
      <c r="A537" s="26">
        <v>1099</v>
      </c>
      <c r="B537" s="27">
        <v>33855</v>
      </c>
      <c r="C537" s="28" t="s">
        <v>1620</v>
      </c>
      <c r="D537" s="27">
        <v>33849</v>
      </c>
      <c r="E537" s="28" t="s">
        <v>38</v>
      </c>
      <c r="F537" s="28" t="s">
        <v>124</v>
      </c>
      <c r="G537" s="28" t="s">
        <v>20</v>
      </c>
      <c r="H537" s="28" t="s">
        <v>21</v>
      </c>
      <c r="I537" s="28" t="s">
        <v>21</v>
      </c>
      <c r="J537" s="28" t="s">
        <v>1621</v>
      </c>
      <c r="K537" s="28" t="s">
        <v>1622</v>
      </c>
      <c r="L537" s="28" t="s">
        <v>24</v>
      </c>
      <c r="M537" s="28" t="s">
        <v>21</v>
      </c>
      <c r="N537" s="18"/>
      <c r="O537" s="92">
        <v>33856</v>
      </c>
      <c r="P537" s="28" t="s">
        <v>31</v>
      </c>
      <c r="Q537" s="26" t="b">
        <v>0</v>
      </c>
      <c r="R537" s="22">
        <f t="shared" si="8"/>
        <v>1</v>
      </c>
    </row>
    <row r="538" spans="1:18">
      <c r="A538" s="26">
        <v>1101</v>
      </c>
      <c r="B538" s="27">
        <v>33861</v>
      </c>
      <c r="C538" s="28" t="s">
        <v>1623</v>
      </c>
      <c r="D538" s="27">
        <v>33857</v>
      </c>
      <c r="E538" s="28" t="s">
        <v>1624</v>
      </c>
      <c r="F538" s="28" t="s">
        <v>149</v>
      </c>
      <c r="G538" s="28" t="s">
        <v>21</v>
      </c>
      <c r="H538" s="28" t="s">
        <v>21</v>
      </c>
      <c r="I538" s="28" t="s">
        <v>21</v>
      </c>
      <c r="J538" s="28" t="s">
        <v>1625</v>
      </c>
      <c r="K538" s="28" t="s">
        <v>1626</v>
      </c>
      <c r="L538" s="28" t="s">
        <v>82</v>
      </c>
      <c r="M538" s="28" t="s">
        <v>21</v>
      </c>
      <c r="N538" s="27">
        <v>33923</v>
      </c>
      <c r="O538" s="92">
        <v>33883</v>
      </c>
      <c r="P538" s="28" t="s">
        <v>21</v>
      </c>
      <c r="Q538" s="26" t="b">
        <v>0</v>
      </c>
      <c r="R538" s="22">
        <f t="shared" si="8"/>
        <v>22</v>
      </c>
    </row>
    <row r="539" spans="1:18">
      <c r="A539" s="26">
        <v>1102</v>
      </c>
      <c r="B539" s="27">
        <v>33861</v>
      </c>
      <c r="C539" s="28" t="s">
        <v>1627</v>
      </c>
      <c r="D539" s="27">
        <v>33861</v>
      </c>
      <c r="E539" s="28" t="s">
        <v>1628</v>
      </c>
      <c r="F539" s="28" t="s">
        <v>359</v>
      </c>
      <c r="G539" s="28" t="s">
        <v>20</v>
      </c>
      <c r="H539" s="28" t="s">
        <v>21</v>
      </c>
      <c r="I539" s="28" t="s">
        <v>21</v>
      </c>
      <c r="J539" s="28" t="s">
        <v>1629</v>
      </c>
      <c r="K539" s="28" t="s">
        <v>1630</v>
      </c>
      <c r="L539" s="28" t="s">
        <v>686</v>
      </c>
      <c r="M539" s="28" t="s">
        <v>21</v>
      </c>
      <c r="N539" s="27">
        <v>33923</v>
      </c>
      <c r="O539" s="92">
        <v>36468</v>
      </c>
      <c r="P539" s="28" t="s">
        <v>21</v>
      </c>
      <c r="Q539" s="26" t="b">
        <v>0</v>
      </c>
      <c r="R539" s="22">
        <f t="shared" si="8"/>
        <v>2605</v>
      </c>
    </row>
    <row r="540" spans="1:18">
      <c r="A540" s="26">
        <v>1103</v>
      </c>
      <c r="B540" s="27">
        <v>33862</v>
      </c>
      <c r="C540" s="28" t="s">
        <v>1631</v>
      </c>
      <c r="D540" s="27">
        <v>33859</v>
      </c>
      <c r="E540" s="28" t="s">
        <v>38</v>
      </c>
      <c r="F540" s="28" t="s">
        <v>39</v>
      </c>
      <c r="G540" s="28" t="s">
        <v>20</v>
      </c>
      <c r="H540" s="28" t="s">
        <v>21</v>
      </c>
      <c r="I540" s="28" t="s">
        <v>21</v>
      </c>
      <c r="J540" s="28" t="s">
        <v>1632</v>
      </c>
      <c r="K540" s="28" t="s">
        <v>1633</v>
      </c>
      <c r="L540" s="28" t="s">
        <v>24</v>
      </c>
      <c r="M540" s="28" t="s">
        <v>21</v>
      </c>
      <c r="N540" s="27">
        <v>33864</v>
      </c>
      <c r="O540" s="92">
        <v>33864</v>
      </c>
      <c r="P540" s="28" t="s">
        <v>31</v>
      </c>
      <c r="Q540" s="26" t="b">
        <v>0</v>
      </c>
      <c r="R540" s="22">
        <f t="shared" si="8"/>
        <v>2</v>
      </c>
    </row>
    <row r="541" spans="1:18">
      <c r="A541" s="26">
        <v>1105</v>
      </c>
      <c r="B541" s="27">
        <v>33864</v>
      </c>
      <c r="C541" s="28" t="s">
        <v>1634</v>
      </c>
      <c r="D541" s="27">
        <v>33862</v>
      </c>
      <c r="E541" s="28" t="s">
        <v>1635</v>
      </c>
      <c r="F541" s="28" t="s">
        <v>124</v>
      </c>
      <c r="G541" s="28" t="s">
        <v>20</v>
      </c>
      <c r="H541" s="28" t="s">
        <v>21</v>
      </c>
      <c r="I541" s="28" t="s">
        <v>21</v>
      </c>
      <c r="J541" s="28" t="s">
        <v>1636</v>
      </c>
      <c r="K541" s="28" t="s">
        <v>1596</v>
      </c>
      <c r="L541" s="28" t="s">
        <v>82</v>
      </c>
      <c r="M541" s="28" t="s">
        <v>21</v>
      </c>
      <c r="N541" s="18"/>
      <c r="O541" s="92">
        <v>33885</v>
      </c>
      <c r="P541" s="28" t="s">
        <v>31</v>
      </c>
      <c r="Q541" s="26" t="b">
        <v>0</v>
      </c>
      <c r="R541" s="22">
        <f t="shared" si="8"/>
        <v>21</v>
      </c>
    </row>
    <row r="542" spans="1:18">
      <c r="A542" s="26">
        <v>1112</v>
      </c>
      <c r="B542" s="27">
        <v>33869</v>
      </c>
      <c r="C542" s="28" t="s">
        <v>17260</v>
      </c>
      <c r="D542" s="27">
        <v>33869</v>
      </c>
      <c r="E542" s="28" t="s">
        <v>17261</v>
      </c>
      <c r="F542" s="28" t="s">
        <v>21</v>
      </c>
      <c r="G542" s="28" t="s">
        <v>21</v>
      </c>
      <c r="H542" s="28" t="s">
        <v>21</v>
      </c>
      <c r="I542" s="28" t="s">
        <v>21</v>
      </c>
      <c r="J542" s="28" t="s">
        <v>17262</v>
      </c>
      <c r="K542" s="28" t="s">
        <v>21</v>
      </c>
      <c r="L542" s="28" t="s">
        <v>1152</v>
      </c>
      <c r="M542" s="28" t="s">
        <v>21</v>
      </c>
      <c r="N542" s="27">
        <v>33886</v>
      </c>
      <c r="O542" s="92">
        <v>33877</v>
      </c>
      <c r="P542" s="28" t="s">
        <v>21</v>
      </c>
      <c r="Q542" s="26" t="b">
        <v>0</v>
      </c>
      <c r="R542" s="22">
        <f t="shared" si="8"/>
        <v>8</v>
      </c>
    </row>
    <row r="543" spans="1:18">
      <c r="A543" s="26">
        <v>1114</v>
      </c>
      <c r="B543" s="27">
        <v>33877</v>
      </c>
      <c r="C543" s="28" t="s">
        <v>1637</v>
      </c>
      <c r="D543" s="27">
        <v>33877</v>
      </c>
      <c r="E543" s="28" t="s">
        <v>1638</v>
      </c>
      <c r="F543" s="28" t="s">
        <v>359</v>
      </c>
      <c r="G543" s="28" t="s">
        <v>20</v>
      </c>
      <c r="H543" s="28" t="s">
        <v>21</v>
      </c>
      <c r="I543" s="28" t="s">
        <v>21</v>
      </c>
      <c r="J543" s="28" t="s">
        <v>1639</v>
      </c>
      <c r="K543" s="28" t="s">
        <v>1640</v>
      </c>
      <c r="L543" s="28" t="s">
        <v>1152</v>
      </c>
      <c r="M543" s="28" t="s">
        <v>21</v>
      </c>
      <c r="N543" s="27">
        <v>33907</v>
      </c>
      <c r="O543" s="92">
        <v>33968</v>
      </c>
      <c r="P543" s="28" t="s">
        <v>31</v>
      </c>
      <c r="Q543" s="26" t="b">
        <v>0</v>
      </c>
      <c r="R543" s="22">
        <f t="shared" si="8"/>
        <v>91</v>
      </c>
    </row>
    <row r="544" spans="1:18">
      <c r="A544" s="26">
        <v>1115</v>
      </c>
      <c r="B544" s="27">
        <v>33877</v>
      </c>
      <c r="C544" s="28" t="s">
        <v>1641</v>
      </c>
      <c r="D544" s="27">
        <v>33872</v>
      </c>
      <c r="E544" s="28" t="s">
        <v>1642</v>
      </c>
      <c r="F544" s="28" t="s">
        <v>741</v>
      </c>
      <c r="G544" s="28" t="s">
        <v>20</v>
      </c>
      <c r="H544" s="28" t="s">
        <v>21</v>
      </c>
      <c r="I544" s="28" t="s">
        <v>21</v>
      </c>
      <c r="J544" s="28" t="s">
        <v>742</v>
      </c>
      <c r="K544" s="28" t="s">
        <v>1643</v>
      </c>
      <c r="L544" s="28" t="s">
        <v>24</v>
      </c>
      <c r="M544" s="28" t="s">
        <v>21</v>
      </c>
      <c r="N544" s="29">
        <v>33909</v>
      </c>
      <c r="O544" s="92">
        <v>33885</v>
      </c>
      <c r="P544" s="28" t="s">
        <v>21</v>
      </c>
      <c r="Q544" s="26" t="b">
        <v>0</v>
      </c>
      <c r="R544" s="22">
        <f t="shared" si="8"/>
        <v>8</v>
      </c>
    </row>
    <row r="545" spans="1:18">
      <c r="A545" s="26">
        <v>1117</v>
      </c>
      <c r="B545" s="27">
        <v>33882</v>
      </c>
      <c r="C545" s="28" t="s">
        <v>1644</v>
      </c>
      <c r="D545" s="27">
        <v>33878</v>
      </c>
      <c r="E545" s="28" t="s">
        <v>1645</v>
      </c>
      <c r="F545" s="28" t="s">
        <v>27</v>
      </c>
      <c r="G545" s="28" t="s">
        <v>20</v>
      </c>
      <c r="H545" s="28" t="s">
        <v>21</v>
      </c>
      <c r="I545" s="28" t="s">
        <v>21</v>
      </c>
      <c r="J545" s="28" t="s">
        <v>1646</v>
      </c>
      <c r="K545" s="28" t="s">
        <v>235</v>
      </c>
      <c r="L545" s="28" t="s">
        <v>82</v>
      </c>
      <c r="M545" s="28" t="s">
        <v>21</v>
      </c>
      <c r="N545" s="27">
        <v>33897</v>
      </c>
      <c r="O545" s="92">
        <v>33948</v>
      </c>
      <c r="P545" s="28" t="s">
        <v>31</v>
      </c>
      <c r="Q545" s="26" t="b">
        <v>0</v>
      </c>
      <c r="R545" s="22">
        <f t="shared" si="8"/>
        <v>65</v>
      </c>
    </row>
    <row r="546" spans="1:18">
      <c r="A546" s="26">
        <v>1119</v>
      </c>
      <c r="B546" s="27">
        <v>33883</v>
      </c>
      <c r="C546" s="28" t="s">
        <v>1647</v>
      </c>
      <c r="D546" s="27">
        <v>33871</v>
      </c>
      <c r="E546" s="28" t="s">
        <v>38</v>
      </c>
      <c r="F546" s="28" t="s">
        <v>39</v>
      </c>
      <c r="G546" s="28" t="s">
        <v>20</v>
      </c>
      <c r="H546" s="28" t="s">
        <v>21</v>
      </c>
      <c r="I546" s="28" t="s">
        <v>21</v>
      </c>
      <c r="J546" s="28" t="s">
        <v>1422</v>
      </c>
      <c r="K546" s="28" t="s">
        <v>21</v>
      </c>
      <c r="L546" s="28" t="s">
        <v>24</v>
      </c>
      <c r="M546" s="28" t="s">
        <v>21</v>
      </c>
      <c r="N546" s="27">
        <v>33885</v>
      </c>
      <c r="O546" s="92">
        <v>33884</v>
      </c>
      <c r="P546" s="28" t="s">
        <v>31</v>
      </c>
      <c r="Q546" s="26" t="b">
        <v>0</v>
      </c>
      <c r="R546" s="22">
        <f t="shared" si="8"/>
        <v>1</v>
      </c>
    </row>
    <row r="547" spans="1:18">
      <c r="A547" s="26">
        <v>1121</v>
      </c>
      <c r="B547" s="27">
        <v>33884</v>
      </c>
      <c r="C547" s="28" t="s">
        <v>1648</v>
      </c>
      <c r="D547" s="27">
        <v>33884</v>
      </c>
      <c r="E547" s="28" t="s">
        <v>38</v>
      </c>
      <c r="F547" s="28" t="s">
        <v>359</v>
      </c>
      <c r="G547" s="28" t="s">
        <v>20</v>
      </c>
      <c r="H547" s="28" t="s">
        <v>21</v>
      </c>
      <c r="I547" s="28" t="s">
        <v>21</v>
      </c>
      <c r="J547" s="28" t="s">
        <v>1649</v>
      </c>
      <c r="K547" s="28" t="s">
        <v>1604</v>
      </c>
      <c r="L547" s="28" t="s">
        <v>24</v>
      </c>
      <c r="M547" s="28" t="s">
        <v>21</v>
      </c>
      <c r="N547" s="27">
        <v>33887</v>
      </c>
      <c r="O547" s="92">
        <v>33886</v>
      </c>
      <c r="P547" s="28" t="s">
        <v>31</v>
      </c>
      <c r="Q547" s="26" t="b">
        <v>0</v>
      </c>
      <c r="R547" s="22">
        <f t="shared" si="8"/>
        <v>2</v>
      </c>
    </row>
    <row r="548" spans="1:18">
      <c r="A548" s="26">
        <v>1122</v>
      </c>
      <c r="B548" s="27">
        <v>33884</v>
      </c>
      <c r="C548" s="28" t="s">
        <v>1650</v>
      </c>
      <c r="D548" s="27">
        <v>33884</v>
      </c>
      <c r="E548" s="28" t="s">
        <v>38</v>
      </c>
      <c r="F548" s="28" t="s">
        <v>359</v>
      </c>
      <c r="G548" s="28" t="s">
        <v>20</v>
      </c>
      <c r="H548" s="28" t="s">
        <v>21</v>
      </c>
      <c r="I548" s="28" t="s">
        <v>21</v>
      </c>
      <c r="J548" s="28" t="s">
        <v>1651</v>
      </c>
      <c r="K548" s="28" t="s">
        <v>21</v>
      </c>
      <c r="L548" s="28" t="s">
        <v>24</v>
      </c>
      <c r="M548" s="28" t="s">
        <v>21</v>
      </c>
      <c r="N548" s="27">
        <v>33887</v>
      </c>
      <c r="O548" s="92">
        <v>33885</v>
      </c>
      <c r="P548" s="28" t="s">
        <v>31</v>
      </c>
      <c r="Q548" s="26" t="b">
        <v>0</v>
      </c>
      <c r="R548" s="22">
        <f t="shared" si="8"/>
        <v>1</v>
      </c>
    </row>
    <row r="549" spans="1:18">
      <c r="A549" s="26">
        <v>1126</v>
      </c>
      <c r="B549" s="27">
        <v>33889</v>
      </c>
      <c r="C549" s="28" t="s">
        <v>1652</v>
      </c>
      <c r="D549" s="27">
        <v>33884</v>
      </c>
      <c r="E549" s="28" t="s">
        <v>1653</v>
      </c>
      <c r="F549" s="28" t="s">
        <v>56</v>
      </c>
      <c r="G549" s="28" t="s">
        <v>20</v>
      </c>
      <c r="H549" s="28" t="s">
        <v>21</v>
      </c>
      <c r="I549" s="28" t="s">
        <v>21</v>
      </c>
      <c r="J549" s="28" t="s">
        <v>1654</v>
      </c>
      <c r="K549" s="28" t="s">
        <v>1655</v>
      </c>
      <c r="L549" s="28" t="s">
        <v>24</v>
      </c>
      <c r="M549" s="28" t="s">
        <v>21</v>
      </c>
      <c r="N549" s="27">
        <v>33907</v>
      </c>
      <c r="O549" s="92">
        <v>33904</v>
      </c>
      <c r="P549" s="28" t="s">
        <v>21</v>
      </c>
      <c r="Q549" s="26" t="b">
        <v>0</v>
      </c>
      <c r="R549" s="22">
        <f t="shared" si="8"/>
        <v>15</v>
      </c>
    </row>
    <row r="550" spans="1:18">
      <c r="A550" s="26">
        <v>1127</v>
      </c>
      <c r="B550" s="27">
        <v>33889</v>
      </c>
      <c r="C550" s="28" t="s">
        <v>1656</v>
      </c>
      <c r="D550" s="27">
        <v>33882</v>
      </c>
      <c r="E550" s="28" t="s">
        <v>1140</v>
      </c>
      <c r="F550" s="28" t="s">
        <v>124</v>
      </c>
      <c r="G550" s="28" t="s">
        <v>20</v>
      </c>
      <c r="H550" s="28" t="s">
        <v>21</v>
      </c>
      <c r="I550" s="28" t="s">
        <v>21</v>
      </c>
      <c r="J550" s="28" t="s">
        <v>1657</v>
      </c>
      <c r="K550" s="28" t="s">
        <v>21</v>
      </c>
      <c r="L550" s="28" t="s">
        <v>24</v>
      </c>
      <c r="M550" s="28" t="s">
        <v>21</v>
      </c>
      <c r="N550" s="27">
        <v>33892</v>
      </c>
      <c r="O550" s="92">
        <v>33890</v>
      </c>
      <c r="P550" s="28" t="s">
        <v>21</v>
      </c>
      <c r="Q550" s="26" t="b">
        <v>0</v>
      </c>
      <c r="R550" s="22">
        <f t="shared" si="8"/>
        <v>1</v>
      </c>
    </row>
    <row r="551" spans="1:18">
      <c r="A551" s="26">
        <v>1130</v>
      </c>
      <c r="B551" s="27">
        <v>33890</v>
      </c>
      <c r="C551" s="28" t="s">
        <v>1658</v>
      </c>
      <c r="D551" s="27">
        <v>33889</v>
      </c>
      <c r="E551" s="28" t="s">
        <v>38</v>
      </c>
      <c r="F551" s="28" t="s">
        <v>1537</v>
      </c>
      <c r="G551" s="28" t="s">
        <v>20</v>
      </c>
      <c r="H551" s="28" t="s">
        <v>21</v>
      </c>
      <c r="I551" s="28" t="s">
        <v>21</v>
      </c>
      <c r="J551" s="28" t="s">
        <v>1659</v>
      </c>
      <c r="K551" s="28" t="s">
        <v>21</v>
      </c>
      <c r="L551" s="28" t="s">
        <v>24</v>
      </c>
      <c r="M551" s="28" t="s">
        <v>21</v>
      </c>
      <c r="N551" s="27">
        <v>33892</v>
      </c>
      <c r="O551" s="92">
        <v>33891</v>
      </c>
      <c r="P551" s="28" t="s">
        <v>31</v>
      </c>
      <c r="Q551" s="26" t="b">
        <v>0</v>
      </c>
      <c r="R551" s="22">
        <f t="shared" si="8"/>
        <v>1</v>
      </c>
    </row>
    <row r="552" spans="1:18">
      <c r="A552" s="26">
        <v>1135</v>
      </c>
      <c r="B552" s="27">
        <v>33904</v>
      </c>
      <c r="C552" s="28" t="s">
        <v>1660</v>
      </c>
      <c r="D552" s="27">
        <v>33899</v>
      </c>
      <c r="E552" s="28" t="s">
        <v>1661</v>
      </c>
      <c r="F552" s="28" t="s">
        <v>1662</v>
      </c>
      <c r="G552" s="28" t="s">
        <v>20</v>
      </c>
      <c r="H552" s="28" t="s">
        <v>21</v>
      </c>
      <c r="I552" s="28" t="s">
        <v>21</v>
      </c>
      <c r="J552" s="28" t="s">
        <v>1172</v>
      </c>
      <c r="K552" s="28" t="s">
        <v>1663</v>
      </c>
      <c r="L552" s="28" t="s">
        <v>82</v>
      </c>
      <c r="M552" s="28" t="s">
        <v>21</v>
      </c>
      <c r="N552" s="18"/>
      <c r="O552" s="92">
        <v>33888</v>
      </c>
      <c r="P552" s="28" t="s">
        <v>21</v>
      </c>
      <c r="Q552" s="26" t="b">
        <v>0</v>
      </c>
      <c r="R552" s="22">
        <f t="shared" si="8"/>
        <v>16</v>
      </c>
    </row>
    <row r="553" spans="1:18">
      <c r="A553" s="26">
        <v>1140</v>
      </c>
      <c r="B553" s="27">
        <v>33905</v>
      </c>
      <c r="C553" s="28" t="s">
        <v>1664</v>
      </c>
      <c r="D553" s="27">
        <v>33904</v>
      </c>
      <c r="E553" s="28" t="s">
        <v>38</v>
      </c>
      <c r="F553" s="28" t="s">
        <v>984</v>
      </c>
      <c r="G553" s="28" t="s">
        <v>20</v>
      </c>
      <c r="H553" s="28" t="s">
        <v>21</v>
      </c>
      <c r="I553" s="28" t="s">
        <v>21</v>
      </c>
      <c r="J553" s="28" t="s">
        <v>1665</v>
      </c>
      <c r="K553" s="28" t="s">
        <v>21</v>
      </c>
      <c r="L553" s="28" t="s">
        <v>1152</v>
      </c>
      <c r="M553" s="28" t="s">
        <v>21</v>
      </c>
      <c r="N553" s="18"/>
      <c r="O553" s="92">
        <v>33913</v>
      </c>
      <c r="P553" s="28" t="s">
        <v>31</v>
      </c>
      <c r="Q553" s="26" t="b">
        <v>0</v>
      </c>
      <c r="R553" s="22">
        <f t="shared" si="8"/>
        <v>7</v>
      </c>
    </row>
    <row r="554" spans="1:18">
      <c r="A554" s="26">
        <v>1141</v>
      </c>
      <c r="B554" s="27">
        <v>33905</v>
      </c>
      <c r="C554" s="28" t="s">
        <v>1666</v>
      </c>
      <c r="D554" s="27">
        <v>33905</v>
      </c>
      <c r="E554" s="28" t="s">
        <v>1667</v>
      </c>
      <c r="F554" s="28" t="s">
        <v>367</v>
      </c>
      <c r="G554" s="28" t="s">
        <v>20</v>
      </c>
      <c r="H554" s="28" t="s">
        <v>71</v>
      </c>
      <c r="I554" s="28" t="s">
        <v>72</v>
      </c>
      <c r="J554" s="28" t="s">
        <v>332</v>
      </c>
      <c r="K554" s="28" t="s">
        <v>1572</v>
      </c>
      <c r="L554" s="28" t="s">
        <v>24</v>
      </c>
      <c r="M554" s="28" t="s">
        <v>21</v>
      </c>
      <c r="N554" s="27">
        <v>33906</v>
      </c>
      <c r="O554" s="92">
        <v>33906</v>
      </c>
      <c r="P554" s="28" t="s">
        <v>21</v>
      </c>
      <c r="Q554" s="26" t="b">
        <v>0</v>
      </c>
      <c r="R554" s="22">
        <f t="shared" si="8"/>
        <v>1</v>
      </c>
    </row>
    <row r="555" spans="1:18">
      <c r="A555" s="26">
        <v>1144</v>
      </c>
      <c r="B555" s="27">
        <v>33913</v>
      </c>
      <c r="C555" s="28" t="s">
        <v>1673</v>
      </c>
      <c r="D555" s="27">
        <v>33911</v>
      </c>
      <c r="E555" s="28" t="s">
        <v>38</v>
      </c>
      <c r="F555" s="28" t="s">
        <v>359</v>
      </c>
      <c r="G555" s="28" t="s">
        <v>20</v>
      </c>
      <c r="H555" s="28" t="s">
        <v>21</v>
      </c>
      <c r="I555" s="28" t="s">
        <v>21</v>
      </c>
      <c r="J555" s="28" t="s">
        <v>1674</v>
      </c>
      <c r="K555" s="28" t="s">
        <v>1675</v>
      </c>
      <c r="L555" s="28" t="s">
        <v>24</v>
      </c>
      <c r="M555" s="28" t="s">
        <v>21</v>
      </c>
      <c r="N555" s="27">
        <v>33915</v>
      </c>
      <c r="O555" s="92">
        <v>33913</v>
      </c>
      <c r="P555" s="28" t="s">
        <v>31</v>
      </c>
      <c r="Q555" s="26" t="b">
        <v>0</v>
      </c>
      <c r="R555" s="22">
        <f t="shared" si="8"/>
        <v>0</v>
      </c>
    </row>
    <row r="556" spans="1:18">
      <c r="A556" s="26">
        <v>1145</v>
      </c>
      <c r="B556" s="27">
        <v>33913</v>
      </c>
      <c r="C556" s="28" t="s">
        <v>1676</v>
      </c>
      <c r="D556" s="27">
        <v>33913</v>
      </c>
      <c r="E556" s="28" t="s">
        <v>1677</v>
      </c>
      <c r="F556" s="28" t="s">
        <v>1678</v>
      </c>
      <c r="G556" s="28" t="s">
        <v>20</v>
      </c>
      <c r="H556" s="28" t="s">
        <v>566</v>
      </c>
      <c r="I556" s="28" t="s">
        <v>566</v>
      </c>
      <c r="J556" s="28" t="s">
        <v>1679</v>
      </c>
      <c r="K556" s="28" t="s">
        <v>1680</v>
      </c>
      <c r="L556" s="28" t="s">
        <v>24</v>
      </c>
      <c r="M556" s="28" t="s">
        <v>21</v>
      </c>
      <c r="N556" s="18"/>
      <c r="O556" s="92">
        <v>34523</v>
      </c>
      <c r="P556" s="28" t="s">
        <v>21</v>
      </c>
      <c r="Q556" s="26" t="b">
        <v>0</v>
      </c>
      <c r="R556" s="22">
        <f t="shared" si="8"/>
        <v>611</v>
      </c>
    </row>
    <row r="557" spans="1:18">
      <c r="A557" s="26">
        <v>1149</v>
      </c>
      <c r="B557" s="27">
        <v>33918</v>
      </c>
      <c r="C557" s="28" t="s">
        <v>1681</v>
      </c>
      <c r="D557" s="27">
        <v>33910</v>
      </c>
      <c r="E557" s="28" t="s">
        <v>38</v>
      </c>
      <c r="F557" s="28" t="s">
        <v>85</v>
      </c>
      <c r="G557" s="28" t="s">
        <v>20</v>
      </c>
      <c r="H557" s="28" t="s">
        <v>21</v>
      </c>
      <c r="I557" s="28" t="s">
        <v>21</v>
      </c>
      <c r="J557" s="28" t="s">
        <v>1682</v>
      </c>
      <c r="K557" s="28" t="s">
        <v>1683</v>
      </c>
      <c r="L557" s="28" t="s">
        <v>30</v>
      </c>
      <c r="M557" s="28" t="s">
        <v>21</v>
      </c>
      <c r="N557" s="27">
        <v>33923</v>
      </c>
      <c r="O557" s="92">
        <v>33920</v>
      </c>
      <c r="P557" s="28" t="s">
        <v>21</v>
      </c>
      <c r="Q557" s="26" t="b">
        <v>0</v>
      </c>
      <c r="R557" s="22">
        <f t="shared" si="8"/>
        <v>2</v>
      </c>
    </row>
    <row r="558" spans="1:18">
      <c r="A558" s="26">
        <v>1150</v>
      </c>
      <c r="B558" s="27">
        <v>33920</v>
      </c>
      <c r="C558" s="28" t="s">
        <v>1684</v>
      </c>
      <c r="D558" s="27">
        <v>33918</v>
      </c>
      <c r="E558" s="28" t="s">
        <v>1685</v>
      </c>
      <c r="F558" s="28" t="s">
        <v>1686</v>
      </c>
      <c r="G558" s="28" t="s">
        <v>20</v>
      </c>
      <c r="H558" s="28" t="s">
        <v>21</v>
      </c>
      <c r="I558" s="28" t="s">
        <v>21</v>
      </c>
      <c r="J558" s="28" t="s">
        <v>1687</v>
      </c>
      <c r="K558" s="28" t="s">
        <v>96</v>
      </c>
      <c r="L558" s="28" t="s">
        <v>24</v>
      </c>
      <c r="M558" s="28" t="s">
        <v>21</v>
      </c>
      <c r="N558" s="18"/>
      <c r="O558" s="92">
        <v>33962</v>
      </c>
      <c r="P558" s="28" t="s">
        <v>21</v>
      </c>
      <c r="Q558" s="26" t="b">
        <v>0</v>
      </c>
      <c r="R558" s="22">
        <f t="shared" si="8"/>
        <v>42</v>
      </c>
    </row>
    <row r="559" spans="1:18">
      <c r="A559" s="26">
        <v>1151</v>
      </c>
      <c r="B559" s="27">
        <v>33924</v>
      </c>
      <c r="C559" s="28" t="s">
        <v>1688</v>
      </c>
      <c r="D559" s="27">
        <v>33920</v>
      </c>
      <c r="E559" s="28" t="s">
        <v>1140</v>
      </c>
      <c r="F559" s="28" t="s">
        <v>85</v>
      </c>
      <c r="G559" s="28" t="s">
        <v>21</v>
      </c>
      <c r="H559" s="28" t="s">
        <v>71</v>
      </c>
      <c r="I559" s="28" t="s">
        <v>72</v>
      </c>
      <c r="J559" s="28" t="s">
        <v>1689</v>
      </c>
      <c r="K559" s="28" t="s">
        <v>21</v>
      </c>
      <c r="L559" s="28" t="s">
        <v>1049</v>
      </c>
      <c r="M559" s="28" t="s">
        <v>21</v>
      </c>
      <c r="N559" s="27">
        <v>33938</v>
      </c>
      <c r="O559" s="92">
        <v>33926</v>
      </c>
      <c r="P559" s="28" t="s">
        <v>21</v>
      </c>
      <c r="Q559" s="26" t="b">
        <v>0</v>
      </c>
      <c r="R559" s="22">
        <f t="shared" si="8"/>
        <v>2</v>
      </c>
    </row>
    <row r="560" spans="1:18">
      <c r="A560" s="26">
        <v>1152</v>
      </c>
      <c r="B560" s="27">
        <v>33925</v>
      </c>
      <c r="C560" s="28" t="s">
        <v>1690</v>
      </c>
      <c r="D560" s="27">
        <v>33923</v>
      </c>
      <c r="E560" s="28" t="s">
        <v>1691</v>
      </c>
      <c r="F560" s="28" t="s">
        <v>85</v>
      </c>
      <c r="G560" s="28" t="s">
        <v>20</v>
      </c>
      <c r="H560" s="28" t="s">
        <v>21</v>
      </c>
      <c r="I560" s="28" t="s">
        <v>21</v>
      </c>
      <c r="J560" s="28" t="s">
        <v>387</v>
      </c>
      <c r="K560" s="28" t="s">
        <v>1692</v>
      </c>
      <c r="L560" s="28" t="s">
        <v>821</v>
      </c>
      <c r="M560" s="28" t="s">
        <v>30</v>
      </c>
      <c r="N560" s="18"/>
      <c r="O560" s="92">
        <v>36950</v>
      </c>
      <c r="P560" s="28" t="s">
        <v>31</v>
      </c>
      <c r="Q560" s="26" t="b">
        <v>0</v>
      </c>
      <c r="R560" s="22">
        <f t="shared" si="8"/>
        <v>3022</v>
      </c>
    </row>
    <row r="561" spans="1:18">
      <c r="A561" s="26">
        <v>1153</v>
      </c>
      <c r="B561" s="27">
        <v>33925</v>
      </c>
      <c r="C561" s="28" t="s">
        <v>1693</v>
      </c>
      <c r="D561" s="27">
        <v>33925</v>
      </c>
      <c r="E561" s="28" t="s">
        <v>1694</v>
      </c>
      <c r="F561" s="28" t="s">
        <v>129</v>
      </c>
      <c r="G561" s="28" t="s">
        <v>20</v>
      </c>
      <c r="H561" s="28" t="s">
        <v>21</v>
      </c>
      <c r="I561" s="28" t="s">
        <v>21</v>
      </c>
      <c r="J561" s="28" t="s">
        <v>269</v>
      </c>
      <c r="K561" s="28" t="s">
        <v>1695</v>
      </c>
      <c r="L561" s="28" t="s">
        <v>82</v>
      </c>
      <c r="M561" s="28" t="s">
        <v>21</v>
      </c>
      <c r="N561" s="27">
        <v>33953</v>
      </c>
      <c r="O561" s="92">
        <v>34806</v>
      </c>
      <c r="P561" s="28" t="s">
        <v>21</v>
      </c>
      <c r="Q561" s="26" t="b">
        <v>0</v>
      </c>
      <c r="R561" s="22">
        <f t="shared" si="8"/>
        <v>882</v>
      </c>
    </row>
    <row r="562" spans="1:18">
      <c r="A562" s="26">
        <v>1154</v>
      </c>
      <c r="B562" s="27">
        <v>33927</v>
      </c>
      <c r="C562" s="28" t="s">
        <v>1696</v>
      </c>
      <c r="D562" s="27">
        <v>33925</v>
      </c>
      <c r="E562" s="28" t="s">
        <v>1697</v>
      </c>
      <c r="F562" s="28" t="s">
        <v>52</v>
      </c>
      <c r="G562" s="28" t="s">
        <v>20</v>
      </c>
      <c r="H562" s="28" t="s">
        <v>21</v>
      </c>
      <c r="I562" s="28" t="s">
        <v>21</v>
      </c>
      <c r="J562" s="28" t="s">
        <v>1698</v>
      </c>
      <c r="K562" s="28" t="s">
        <v>1699</v>
      </c>
      <c r="L562" s="28" t="s">
        <v>82</v>
      </c>
      <c r="M562" s="28" t="s">
        <v>21</v>
      </c>
      <c r="N562" s="27">
        <v>33995</v>
      </c>
      <c r="O562" s="92">
        <v>33995</v>
      </c>
      <c r="P562" s="28" t="s">
        <v>21</v>
      </c>
      <c r="Q562" s="26" t="b">
        <v>0</v>
      </c>
      <c r="R562" s="22">
        <f t="shared" si="8"/>
        <v>67</v>
      </c>
    </row>
    <row r="563" spans="1:18">
      <c r="A563" s="26">
        <v>1155</v>
      </c>
      <c r="B563" s="27">
        <v>33927</v>
      </c>
      <c r="C563" s="28" t="s">
        <v>1700</v>
      </c>
      <c r="D563" s="27">
        <v>33927</v>
      </c>
      <c r="E563" s="28" t="s">
        <v>1204</v>
      </c>
      <c r="F563" s="28" t="s">
        <v>1701</v>
      </c>
      <c r="G563" s="28" t="s">
        <v>20</v>
      </c>
      <c r="H563" s="28" t="s">
        <v>21</v>
      </c>
      <c r="I563" s="28" t="s">
        <v>21</v>
      </c>
      <c r="J563" s="28" t="s">
        <v>1702</v>
      </c>
      <c r="K563" s="28" t="s">
        <v>21</v>
      </c>
      <c r="L563" s="28" t="s">
        <v>24</v>
      </c>
      <c r="M563" s="28" t="s">
        <v>21</v>
      </c>
      <c r="N563" s="27">
        <v>33949</v>
      </c>
      <c r="O563" s="92">
        <v>33928</v>
      </c>
      <c r="P563" s="28" t="s">
        <v>21</v>
      </c>
      <c r="Q563" s="26" t="b">
        <v>0</v>
      </c>
      <c r="R563" s="22">
        <f t="shared" si="8"/>
        <v>1</v>
      </c>
    </row>
    <row r="564" spans="1:18">
      <c r="A564" s="26">
        <v>1157</v>
      </c>
      <c r="B564" s="27">
        <v>33931</v>
      </c>
      <c r="C564" s="28" t="s">
        <v>1703</v>
      </c>
      <c r="D564" s="27">
        <v>33931</v>
      </c>
      <c r="E564" s="28" t="s">
        <v>38</v>
      </c>
      <c r="F564" s="28" t="s">
        <v>741</v>
      </c>
      <c r="G564" s="28" t="s">
        <v>20</v>
      </c>
      <c r="H564" s="28" t="s">
        <v>21</v>
      </c>
      <c r="I564" s="28" t="s">
        <v>21</v>
      </c>
      <c r="J564" s="28" t="s">
        <v>1704</v>
      </c>
      <c r="K564" s="28" t="s">
        <v>1705</v>
      </c>
      <c r="L564" s="28" t="s">
        <v>24</v>
      </c>
      <c r="M564" s="28" t="s">
        <v>21</v>
      </c>
      <c r="N564" s="27">
        <v>33933</v>
      </c>
      <c r="O564" s="92">
        <v>33932</v>
      </c>
      <c r="P564" s="28" t="s">
        <v>21</v>
      </c>
      <c r="Q564" s="26" t="b">
        <v>0</v>
      </c>
      <c r="R564" s="22">
        <f t="shared" si="8"/>
        <v>1</v>
      </c>
    </row>
    <row r="565" spans="1:18">
      <c r="A565" s="26">
        <v>1158</v>
      </c>
      <c r="B565" s="27">
        <v>33931</v>
      </c>
      <c r="C565" s="28" t="s">
        <v>1706</v>
      </c>
      <c r="D565" s="27">
        <v>33925</v>
      </c>
      <c r="E565" s="28" t="s">
        <v>1707</v>
      </c>
      <c r="F565" s="28" t="s">
        <v>1708</v>
      </c>
      <c r="G565" s="28" t="s">
        <v>20</v>
      </c>
      <c r="H565" s="28" t="s">
        <v>189</v>
      </c>
      <c r="I565" s="28" t="s">
        <v>189</v>
      </c>
      <c r="J565" s="28" t="s">
        <v>222</v>
      </c>
      <c r="K565" s="28" t="s">
        <v>1709</v>
      </c>
      <c r="L565" s="28" t="s">
        <v>30</v>
      </c>
      <c r="M565" s="28" t="s">
        <v>21</v>
      </c>
      <c r="N565" s="18"/>
      <c r="O565" s="92">
        <v>36455</v>
      </c>
      <c r="P565" s="28" t="s">
        <v>21</v>
      </c>
      <c r="Q565" s="26" t="b">
        <v>0</v>
      </c>
      <c r="R565" s="22">
        <f t="shared" si="8"/>
        <v>2523</v>
      </c>
    </row>
    <row r="566" spans="1:18">
      <c r="A566" s="26">
        <v>1159</v>
      </c>
      <c r="B566" s="27">
        <v>33931</v>
      </c>
      <c r="C566" s="28" t="s">
        <v>1710</v>
      </c>
      <c r="D566" s="27">
        <v>33923</v>
      </c>
      <c r="E566" s="28" t="s">
        <v>1711</v>
      </c>
      <c r="F566" s="28" t="s">
        <v>104</v>
      </c>
      <c r="G566" s="28" t="s">
        <v>20</v>
      </c>
      <c r="H566" s="28" t="s">
        <v>21</v>
      </c>
      <c r="I566" s="28" t="s">
        <v>21</v>
      </c>
      <c r="J566" s="28" t="s">
        <v>1712</v>
      </c>
      <c r="K566" s="28" t="s">
        <v>1713</v>
      </c>
      <c r="L566" s="28" t="s">
        <v>82</v>
      </c>
      <c r="M566" s="28" t="s">
        <v>21</v>
      </c>
      <c r="N566" s="27">
        <v>33938</v>
      </c>
      <c r="O566" s="92">
        <v>33959</v>
      </c>
      <c r="P566" s="28" t="s">
        <v>31</v>
      </c>
      <c r="Q566" s="26" t="b">
        <v>0</v>
      </c>
      <c r="R566" s="22">
        <f t="shared" si="8"/>
        <v>28</v>
      </c>
    </row>
    <row r="567" spans="1:18">
      <c r="A567" s="26">
        <v>1160</v>
      </c>
      <c r="B567" s="27">
        <v>33932</v>
      </c>
      <c r="C567" s="28" t="s">
        <v>1714</v>
      </c>
      <c r="D567" s="27">
        <v>33931</v>
      </c>
      <c r="E567" s="28" t="s">
        <v>1715</v>
      </c>
      <c r="F567" s="28" t="s">
        <v>228</v>
      </c>
      <c r="G567" s="28" t="s">
        <v>20</v>
      </c>
      <c r="H567" s="28" t="s">
        <v>21</v>
      </c>
      <c r="I567" s="28" t="s">
        <v>21</v>
      </c>
      <c r="J567" s="28" t="s">
        <v>1716</v>
      </c>
      <c r="K567" s="28" t="s">
        <v>1717</v>
      </c>
      <c r="L567" s="28" t="s">
        <v>30</v>
      </c>
      <c r="M567" s="28" t="s">
        <v>21</v>
      </c>
      <c r="N567" s="27">
        <v>33947</v>
      </c>
      <c r="O567" s="92">
        <v>34151</v>
      </c>
      <c r="P567" s="28" t="s">
        <v>31</v>
      </c>
      <c r="Q567" s="26" t="b">
        <v>0</v>
      </c>
      <c r="R567" s="22">
        <f t="shared" si="8"/>
        <v>220</v>
      </c>
    </row>
    <row r="568" spans="1:18">
      <c r="A568" s="26">
        <v>1210</v>
      </c>
      <c r="B568" s="27">
        <v>33932</v>
      </c>
      <c r="C568" s="28" t="s">
        <v>1792</v>
      </c>
      <c r="D568" s="27">
        <v>33932</v>
      </c>
      <c r="E568" s="28" t="s">
        <v>1793</v>
      </c>
      <c r="F568" s="28" t="s">
        <v>85</v>
      </c>
      <c r="G568" s="28" t="s">
        <v>20</v>
      </c>
      <c r="H568" s="28" t="s">
        <v>21</v>
      </c>
      <c r="I568" s="28" t="s">
        <v>21</v>
      </c>
      <c r="J568" s="28" t="s">
        <v>1794</v>
      </c>
      <c r="K568" s="28" t="s">
        <v>1795</v>
      </c>
      <c r="L568" s="28" t="s">
        <v>1152</v>
      </c>
      <c r="M568" s="28" t="s">
        <v>21</v>
      </c>
      <c r="N568" s="27">
        <v>33984</v>
      </c>
      <c r="O568" s="92">
        <v>33968</v>
      </c>
      <c r="P568" s="28" t="s">
        <v>21</v>
      </c>
      <c r="Q568" s="26" t="b">
        <v>0</v>
      </c>
      <c r="R568" s="22">
        <f t="shared" si="8"/>
        <v>36</v>
      </c>
    </row>
    <row r="569" spans="1:18">
      <c r="A569" s="26">
        <v>1162</v>
      </c>
      <c r="B569" s="27">
        <v>33935</v>
      </c>
      <c r="C569" s="28" t="s">
        <v>1718</v>
      </c>
      <c r="D569" s="27">
        <v>33935</v>
      </c>
      <c r="E569" s="28" t="s">
        <v>38</v>
      </c>
      <c r="F569" s="28" t="s">
        <v>741</v>
      </c>
      <c r="G569" s="28" t="s">
        <v>20</v>
      </c>
      <c r="H569" s="28" t="s">
        <v>21</v>
      </c>
      <c r="I569" s="28" t="s">
        <v>21</v>
      </c>
      <c r="J569" s="28" t="s">
        <v>1719</v>
      </c>
      <c r="K569" s="28" t="s">
        <v>1720</v>
      </c>
      <c r="L569" s="28" t="s">
        <v>24</v>
      </c>
      <c r="M569" s="28" t="s">
        <v>21</v>
      </c>
      <c r="N569" s="27">
        <v>33935</v>
      </c>
      <c r="O569" s="92">
        <v>33935</v>
      </c>
      <c r="P569" s="28" t="s">
        <v>21</v>
      </c>
      <c r="Q569" s="26" t="b">
        <v>0</v>
      </c>
      <c r="R569" s="22">
        <f t="shared" si="8"/>
        <v>0</v>
      </c>
    </row>
    <row r="570" spans="1:18">
      <c r="A570" s="26">
        <v>1166</v>
      </c>
      <c r="B570" s="27">
        <v>33939</v>
      </c>
      <c r="C570" s="28" t="s">
        <v>1721</v>
      </c>
      <c r="D570" s="27">
        <v>33939</v>
      </c>
      <c r="E570" s="28" t="s">
        <v>38</v>
      </c>
      <c r="F570" s="28" t="s">
        <v>145</v>
      </c>
      <c r="G570" s="28" t="s">
        <v>20</v>
      </c>
      <c r="H570" s="28" t="s">
        <v>21</v>
      </c>
      <c r="I570" s="28" t="s">
        <v>21</v>
      </c>
      <c r="J570" s="28" t="s">
        <v>1722</v>
      </c>
      <c r="K570" s="28" t="s">
        <v>1723</v>
      </c>
      <c r="L570" s="28" t="s">
        <v>24</v>
      </c>
      <c r="M570" s="28" t="s">
        <v>21</v>
      </c>
      <c r="N570" s="27">
        <v>33947</v>
      </c>
      <c r="O570" s="92">
        <v>34071</v>
      </c>
      <c r="P570" s="28" t="s">
        <v>21</v>
      </c>
      <c r="Q570" s="26" t="b">
        <v>0</v>
      </c>
      <c r="R570" s="22">
        <f t="shared" si="8"/>
        <v>132</v>
      </c>
    </row>
    <row r="571" spans="1:18">
      <c r="A571" s="26">
        <v>1168</v>
      </c>
      <c r="B571" s="27">
        <v>33940</v>
      </c>
      <c r="C571" s="28" t="s">
        <v>1724</v>
      </c>
      <c r="D571" s="27">
        <v>33940</v>
      </c>
      <c r="E571" s="28" t="s">
        <v>38</v>
      </c>
      <c r="F571" s="28" t="s">
        <v>39</v>
      </c>
      <c r="G571" s="28" t="s">
        <v>20</v>
      </c>
      <c r="H571" s="28" t="s">
        <v>21</v>
      </c>
      <c r="I571" s="28" t="s">
        <v>21</v>
      </c>
      <c r="J571" s="28" t="s">
        <v>1725</v>
      </c>
      <c r="K571" s="28" t="s">
        <v>1726</v>
      </c>
      <c r="L571" s="28" t="s">
        <v>30</v>
      </c>
      <c r="M571" s="28" t="s">
        <v>21</v>
      </c>
      <c r="N571" s="27">
        <v>33948</v>
      </c>
      <c r="O571" s="92">
        <v>33956</v>
      </c>
      <c r="P571" s="28" t="s">
        <v>21</v>
      </c>
      <c r="Q571" s="26" t="b">
        <v>0</v>
      </c>
      <c r="R571" s="22">
        <f t="shared" si="8"/>
        <v>16</v>
      </c>
    </row>
    <row r="572" spans="1:18">
      <c r="A572" s="26">
        <v>1169</v>
      </c>
      <c r="B572" s="27">
        <v>33940</v>
      </c>
      <c r="C572" s="28" t="s">
        <v>1727</v>
      </c>
      <c r="D572" s="27">
        <v>33940</v>
      </c>
      <c r="E572" s="28" t="s">
        <v>1728</v>
      </c>
      <c r="F572" s="28" t="s">
        <v>98</v>
      </c>
      <c r="G572" s="28" t="s">
        <v>20</v>
      </c>
      <c r="H572" s="28" t="s">
        <v>21</v>
      </c>
      <c r="I572" s="28" t="s">
        <v>21</v>
      </c>
      <c r="J572" s="28" t="s">
        <v>1729</v>
      </c>
      <c r="K572" s="28" t="s">
        <v>1730</v>
      </c>
      <c r="L572" s="28" t="s">
        <v>66</v>
      </c>
      <c r="M572" s="28" t="s">
        <v>21</v>
      </c>
      <c r="N572" s="18"/>
      <c r="O572" s="92">
        <v>35403</v>
      </c>
      <c r="P572" s="28" t="s">
        <v>31</v>
      </c>
      <c r="Q572" s="26" t="b">
        <v>0</v>
      </c>
      <c r="R572" s="22">
        <f t="shared" si="8"/>
        <v>1462</v>
      </c>
    </row>
    <row r="573" spans="1:18">
      <c r="A573" s="26">
        <v>1171</v>
      </c>
      <c r="B573" s="27">
        <v>33940</v>
      </c>
      <c r="C573" s="28" t="s">
        <v>1732</v>
      </c>
      <c r="D573" s="27">
        <v>33940</v>
      </c>
      <c r="E573" s="28" t="s">
        <v>1733</v>
      </c>
      <c r="F573" s="28" t="s">
        <v>39</v>
      </c>
      <c r="G573" s="28" t="s">
        <v>20</v>
      </c>
      <c r="H573" s="28" t="s">
        <v>21</v>
      </c>
      <c r="I573" s="28" t="s">
        <v>21</v>
      </c>
      <c r="J573" s="28" t="s">
        <v>1734</v>
      </c>
      <c r="K573" s="28" t="s">
        <v>1735</v>
      </c>
      <c r="L573" s="28" t="s">
        <v>30</v>
      </c>
      <c r="M573" s="28" t="s">
        <v>21</v>
      </c>
      <c r="N573" s="27">
        <v>33948</v>
      </c>
      <c r="O573" s="92">
        <v>33961</v>
      </c>
      <c r="P573" s="28" t="s">
        <v>21</v>
      </c>
      <c r="Q573" s="26" t="b">
        <v>0</v>
      </c>
      <c r="R573" s="22">
        <f t="shared" si="8"/>
        <v>21</v>
      </c>
    </row>
    <row r="574" spans="1:18">
      <c r="A574" s="26">
        <v>1170</v>
      </c>
      <c r="B574" s="27">
        <v>33941</v>
      </c>
      <c r="C574" s="28" t="s">
        <v>1731</v>
      </c>
      <c r="D574" s="27">
        <v>33933</v>
      </c>
      <c r="E574" s="28" t="s">
        <v>38</v>
      </c>
      <c r="F574" s="28" t="s">
        <v>124</v>
      </c>
      <c r="G574" s="28" t="s">
        <v>20</v>
      </c>
      <c r="H574" s="28" t="s">
        <v>21</v>
      </c>
      <c r="I574" s="28" t="s">
        <v>21</v>
      </c>
      <c r="J574" s="28" t="s">
        <v>1712</v>
      </c>
      <c r="K574" s="28" t="s">
        <v>1704</v>
      </c>
      <c r="L574" s="28" t="s">
        <v>24</v>
      </c>
      <c r="M574" s="28" t="s">
        <v>21</v>
      </c>
      <c r="N574" s="29">
        <v>33943</v>
      </c>
      <c r="O574" s="92">
        <v>33941</v>
      </c>
      <c r="P574" s="28" t="s">
        <v>21</v>
      </c>
      <c r="Q574" s="26" t="b">
        <v>0</v>
      </c>
      <c r="R574" s="22">
        <f t="shared" si="8"/>
        <v>0</v>
      </c>
    </row>
    <row r="575" spans="1:18">
      <c r="A575" s="26">
        <v>1173</v>
      </c>
      <c r="B575" s="27">
        <v>33942</v>
      </c>
      <c r="C575" s="28" t="s">
        <v>1736</v>
      </c>
      <c r="D575" s="27">
        <v>33941</v>
      </c>
      <c r="E575" s="28" t="s">
        <v>38</v>
      </c>
      <c r="F575" s="28" t="s">
        <v>27</v>
      </c>
      <c r="G575" s="28" t="s">
        <v>20</v>
      </c>
      <c r="H575" s="28" t="s">
        <v>21</v>
      </c>
      <c r="I575" s="28" t="s">
        <v>21</v>
      </c>
      <c r="J575" s="28" t="s">
        <v>1140</v>
      </c>
      <c r="K575" s="28" t="s">
        <v>1737</v>
      </c>
      <c r="L575" s="28" t="s">
        <v>24</v>
      </c>
      <c r="M575" s="28" t="s">
        <v>21</v>
      </c>
      <c r="N575" s="27">
        <v>33948</v>
      </c>
      <c r="O575" s="92">
        <v>33945</v>
      </c>
      <c r="P575" s="28" t="s">
        <v>31</v>
      </c>
      <c r="Q575" s="26" t="b">
        <v>0</v>
      </c>
      <c r="R575" s="22">
        <f t="shared" si="8"/>
        <v>3</v>
      </c>
    </row>
    <row r="576" spans="1:18">
      <c r="A576" s="26">
        <v>1174</v>
      </c>
      <c r="B576" s="27">
        <v>33942</v>
      </c>
      <c r="C576" s="28" t="s">
        <v>1738</v>
      </c>
      <c r="D576" s="27">
        <v>33940</v>
      </c>
      <c r="E576" s="28" t="s">
        <v>1739</v>
      </c>
      <c r="F576" s="28" t="s">
        <v>129</v>
      </c>
      <c r="G576" s="28" t="s">
        <v>20</v>
      </c>
      <c r="H576" s="28" t="s">
        <v>21</v>
      </c>
      <c r="I576" s="28" t="s">
        <v>21</v>
      </c>
      <c r="J576" s="28" t="s">
        <v>1740</v>
      </c>
      <c r="K576" s="28" t="s">
        <v>1741</v>
      </c>
      <c r="L576" s="28" t="s">
        <v>82</v>
      </c>
      <c r="M576" s="28" t="s">
        <v>21</v>
      </c>
      <c r="N576" s="18"/>
      <c r="O576" s="92">
        <v>34827</v>
      </c>
      <c r="P576" s="28" t="s">
        <v>21</v>
      </c>
      <c r="Q576" s="26" t="b">
        <v>0</v>
      </c>
      <c r="R576" s="22">
        <f t="shared" si="8"/>
        <v>886</v>
      </c>
    </row>
    <row r="577" spans="1:18">
      <c r="A577" s="26">
        <v>1176</v>
      </c>
      <c r="B577" s="27">
        <v>33945</v>
      </c>
      <c r="C577" s="28" t="s">
        <v>1742</v>
      </c>
      <c r="D577" s="27">
        <v>33945</v>
      </c>
      <c r="E577" s="28" t="s">
        <v>1697</v>
      </c>
      <c r="F577" s="28" t="s">
        <v>52</v>
      </c>
      <c r="G577" s="28" t="s">
        <v>20</v>
      </c>
      <c r="H577" s="28" t="s">
        <v>21</v>
      </c>
      <c r="I577" s="28" t="s">
        <v>21</v>
      </c>
      <c r="J577" s="28" t="s">
        <v>1698</v>
      </c>
      <c r="K577" s="28" t="s">
        <v>1743</v>
      </c>
      <c r="L577" s="28" t="s">
        <v>24</v>
      </c>
      <c r="M577" s="28" t="s">
        <v>21</v>
      </c>
      <c r="N577" s="27">
        <v>33977</v>
      </c>
      <c r="O577" s="92">
        <v>33977</v>
      </c>
      <c r="P577" s="28" t="s">
        <v>21</v>
      </c>
      <c r="Q577" s="26" t="b">
        <v>0</v>
      </c>
      <c r="R577" s="22">
        <f t="shared" si="8"/>
        <v>31</v>
      </c>
    </row>
    <row r="578" spans="1:18">
      <c r="A578" s="26">
        <v>1177</v>
      </c>
      <c r="B578" s="27">
        <v>33946</v>
      </c>
      <c r="C578" s="28" t="s">
        <v>1744</v>
      </c>
      <c r="D578" s="27">
        <v>33942</v>
      </c>
      <c r="E578" s="28" t="s">
        <v>1745</v>
      </c>
      <c r="F578" s="28" t="s">
        <v>359</v>
      </c>
      <c r="G578" s="28" t="s">
        <v>20</v>
      </c>
      <c r="H578" s="28" t="s">
        <v>21</v>
      </c>
      <c r="I578" s="28" t="s">
        <v>21</v>
      </c>
      <c r="J578" s="28" t="s">
        <v>1746</v>
      </c>
      <c r="K578" s="28" t="s">
        <v>21</v>
      </c>
      <c r="L578" s="28" t="s">
        <v>1152</v>
      </c>
      <c r="M578" s="28" t="s">
        <v>21</v>
      </c>
      <c r="N578" s="18"/>
      <c r="O578" s="92">
        <v>33969</v>
      </c>
      <c r="P578" s="28" t="s">
        <v>21</v>
      </c>
      <c r="Q578" s="26" t="b">
        <v>0</v>
      </c>
      <c r="R578" s="22">
        <f t="shared" ref="R578:R641" si="9">IF(O578=" ", " ", INT(YEARFRAC(O578, B578)*365))</f>
        <v>23</v>
      </c>
    </row>
    <row r="579" spans="1:18">
      <c r="A579" s="26">
        <v>1178</v>
      </c>
      <c r="B579" s="27">
        <v>33948</v>
      </c>
      <c r="C579" s="28" t="s">
        <v>1747</v>
      </c>
      <c r="D579" s="27">
        <v>33948</v>
      </c>
      <c r="E579" s="28" t="s">
        <v>1204</v>
      </c>
      <c r="F579" s="28" t="s">
        <v>56</v>
      </c>
      <c r="G579" s="28" t="s">
        <v>21</v>
      </c>
      <c r="H579" s="28" t="s">
        <v>21</v>
      </c>
      <c r="I579" s="28" t="s">
        <v>21</v>
      </c>
      <c r="J579" s="28" t="s">
        <v>1748</v>
      </c>
      <c r="K579" s="28" t="s">
        <v>1749</v>
      </c>
      <c r="L579" s="28" t="s">
        <v>24</v>
      </c>
      <c r="M579" s="28" t="s">
        <v>21</v>
      </c>
      <c r="N579" s="27">
        <v>33949</v>
      </c>
      <c r="O579" s="92">
        <v>33949</v>
      </c>
      <c r="P579" s="28" t="s">
        <v>21</v>
      </c>
      <c r="Q579" s="26" t="b">
        <v>0</v>
      </c>
      <c r="R579" s="22">
        <f t="shared" si="9"/>
        <v>1</v>
      </c>
    </row>
    <row r="580" spans="1:18">
      <c r="A580" s="26">
        <v>1179</v>
      </c>
      <c r="B580" s="27">
        <v>33948</v>
      </c>
      <c r="C580" s="28" t="s">
        <v>1750</v>
      </c>
      <c r="D580" s="27">
        <v>33947</v>
      </c>
      <c r="E580" s="28" t="s">
        <v>1751</v>
      </c>
      <c r="F580" s="28" t="s">
        <v>904</v>
      </c>
      <c r="G580" s="28" t="s">
        <v>20</v>
      </c>
      <c r="H580" s="28" t="s">
        <v>21</v>
      </c>
      <c r="I580" s="28" t="s">
        <v>21</v>
      </c>
      <c r="J580" s="28" t="s">
        <v>1752</v>
      </c>
      <c r="K580" s="28" t="s">
        <v>1753</v>
      </c>
      <c r="L580" s="28" t="s">
        <v>686</v>
      </c>
      <c r="M580" s="28" t="s">
        <v>21</v>
      </c>
      <c r="N580" s="18"/>
      <c r="O580" s="92">
        <v>35828</v>
      </c>
      <c r="P580" s="28" t="s">
        <v>31</v>
      </c>
      <c r="Q580" s="26" t="b">
        <v>0</v>
      </c>
      <c r="R580" s="22">
        <f t="shared" si="9"/>
        <v>1877</v>
      </c>
    </row>
    <row r="581" spans="1:18">
      <c r="A581" s="26">
        <v>1180</v>
      </c>
      <c r="B581" s="27">
        <v>33949</v>
      </c>
      <c r="C581" s="28" t="s">
        <v>1754</v>
      </c>
      <c r="D581" s="27">
        <v>33938</v>
      </c>
      <c r="E581" s="28" t="s">
        <v>38</v>
      </c>
      <c r="F581" s="28" t="s">
        <v>124</v>
      </c>
      <c r="G581" s="28" t="s">
        <v>20</v>
      </c>
      <c r="H581" s="28" t="s">
        <v>21</v>
      </c>
      <c r="I581" s="28" t="s">
        <v>21</v>
      </c>
      <c r="J581" s="28" t="s">
        <v>1755</v>
      </c>
      <c r="K581" s="28" t="s">
        <v>1756</v>
      </c>
      <c r="L581" s="28" t="s">
        <v>24</v>
      </c>
      <c r="M581" s="28" t="s">
        <v>21</v>
      </c>
      <c r="N581" s="27">
        <v>33958</v>
      </c>
      <c r="O581" s="92">
        <v>33954</v>
      </c>
      <c r="P581" s="28" t="s">
        <v>31</v>
      </c>
      <c r="Q581" s="26" t="b">
        <v>0</v>
      </c>
      <c r="R581" s="22">
        <f t="shared" si="9"/>
        <v>5</v>
      </c>
    </row>
    <row r="582" spans="1:18">
      <c r="A582" s="26">
        <v>1181</v>
      </c>
      <c r="B582" s="27">
        <v>33953</v>
      </c>
      <c r="C582" s="28" t="s">
        <v>1757</v>
      </c>
      <c r="D582" s="27">
        <v>33949</v>
      </c>
      <c r="E582" s="28" t="s">
        <v>38</v>
      </c>
      <c r="F582" s="28" t="s">
        <v>216</v>
      </c>
      <c r="G582" s="28" t="s">
        <v>20</v>
      </c>
      <c r="H582" s="28" t="s">
        <v>21</v>
      </c>
      <c r="I582" s="28" t="s">
        <v>21</v>
      </c>
      <c r="J582" s="28" t="s">
        <v>1758</v>
      </c>
      <c r="K582" s="28" t="s">
        <v>1759</v>
      </c>
      <c r="L582" s="28" t="s">
        <v>82</v>
      </c>
      <c r="M582" s="28" t="s">
        <v>21</v>
      </c>
      <c r="N582" s="27">
        <v>33958</v>
      </c>
      <c r="O582" s="92">
        <v>33983</v>
      </c>
      <c r="P582" s="28" t="s">
        <v>31</v>
      </c>
      <c r="Q582" s="26" t="b">
        <v>0</v>
      </c>
      <c r="R582" s="22">
        <f t="shared" si="9"/>
        <v>29</v>
      </c>
    </row>
    <row r="583" spans="1:18">
      <c r="A583" s="26">
        <v>1185</v>
      </c>
      <c r="B583" s="27">
        <v>33955</v>
      </c>
      <c r="C583" s="28" t="s">
        <v>1760</v>
      </c>
      <c r="D583" s="27">
        <v>33952</v>
      </c>
      <c r="E583" s="28" t="s">
        <v>1761</v>
      </c>
      <c r="F583" s="28" t="s">
        <v>34</v>
      </c>
      <c r="G583" s="28" t="s">
        <v>20</v>
      </c>
      <c r="H583" s="28" t="s">
        <v>21</v>
      </c>
      <c r="I583" s="28" t="s">
        <v>21</v>
      </c>
      <c r="J583" s="28" t="s">
        <v>272</v>
      </c>
      <c r="K583" s="28" t="s">
        <v>1762</v>
      </c>
      <c r="L583" s="28" t="s">
        <v>82</v>
      </c>
      <c r="M583" s="28" t="s">
        <v>21</v>
      </c>
      <c r="N583" s="27">
        <v>33961</v>
      </c>
      <c r="O583" s="92">
        <v>34008</v>
      </c>
      <c r="P583" s="28" t="s">
        <v>31</v>
      </c>
      <c r="Q583" s="26" t="b">
        <v>0</v>
      </c>
      <c r="R583" s="22">
        <f t="shared" si="9"/>
        <v>51</v>
      </c>
    </row>
    <row r="584" spans="1:18">
      <c r="A584" s="26">
        <v>1186</v>
      </c>
      <c r="B584" s="27">
        <v>33955</v>
      </c>
      <c r="C584" s="28" t="s">
        <v>1763</v>
      </c>
      <c r="D584" s="27">
        <v>33951</v>
      </c>
      <c r="E584" s="28" t="s">
        <v>38</v>
      </c>
      <c r="F584" s="28" t="s">
        <v>124</v>
      </c>
      <c r="G584" s="28" t="s">
        <v>20</v>
      </c>
      <c r="H584" s="28" t="s">
        <v>21</v>
      </c>
      <c r="I584" s="28" t="s">
        <v>21</v>
      </c>
      <c r="J584" s="28" t="s">
        <v>1712</v>
      </c>
      <c r="K584" s="28" t="s">
        <v>1764</v>
      </c>
      <c r="L584" s="28" t="s">
        <v>24</v>
      </c>
      <c r="M584" s="28" t="s">
        <v>21</v>
      </c>
      <c r="N584" s="27">
        <v>33962</v>
      </c>
      <c r="O584" s="92">
        <v>33962</v>
      </c>
      <c r="P584" s="28" t="s">
        <v>31</v>
      </c>
      <c r="Q584" s="26" t="b">
        <v>0</v>
      </c>
      <c r="R584" s="22">
        <f t="shared" si="9"/>
        <v>7</v>
      </c>
    </row>
    <row r="585" spans="1:18">
      <c r="A585" s="26">
        <v>1188</v>
      </c>
      <c r="B585" s="27">
        <v>33959</v>
      </c>
      <c r="C585" s="28" t="s">
        <v>1765</v>
      </c>
      <c r="D585" s="27">
        <v>33959</v>
      </c>
      <c r="E585" s="28" t="s">
        <v>1766</v>
      </c>
      <c r="F585" s="28" t="s">
        <v>984</v>
      </c>
      <c r="G585" s="28" t="s">
        <v>20</v>
      </c>
      <c r="H585" s="28" t="s">
        <v>21</v>
      </c>
      <c r="I585" s="28" t="s">
        <v>21</v>
      </c>
      <c r="J585" s="28" t="s">
        <v>1767</v>
      </c>
      <c r="K585" s="28" t="s">
        <v>1768</v>
      </c>
      <c r="L585" s="28" t="s">
        <v>30</v>
      </c>
      <c r="M585" s="28" t="s">
        <v>21</v>
      </c>
      <c r="N585" s="27">
        <v>33969</v>
      </c>
      <c r="O585" s="92">
        <v>34067</v>
      </c>
      <c r="P585" s="28" t="s">
        <v>31</v>
      </c>
      <c r="Q585" s="26" t="b">
        <v>0</v>
      </c>
      <c r="R585" s="22">
        <f t="shared" si="9"/>
        <v>108</v>
      </c>
    </row>
    <row r="586" spans="1:18">
      <c r="A586" s="26">
        <v>1189</v>
      </c>
      <c r="B586" s="27">
        <v>33959</v>
      </c>
      <c r="C586" s="28" t="s">
        <v>1769</v>
      </c>
      <c r="D586" s="27">
        <v>33959</v>
      </c>
      <c r="E586" s="28" t="s">
        <v>1770</v>
      </c>
      <c r="F586" s="28" t="s">
        <v>1771</v>
      </c>
      <c r="G586" s="28" t="s">
        <v>20</v>
      </c>
      <c r="H586" s="28" t="s">
        <v>189</v>
      </c>
      <c r="I586" s="28" t="s">
        <v>189</v>
      </c>
      <c r="J586" s="28" t="s">
        <v>1772</v>
      </c>
      <c r="K586" s="28" t="s">
        <v>1773</v>
      </c>
      <c r="L586" s="28" t="s">
        <v>821</v>
      </c>
      <c r="M586" s="28" t="s">
        <v>1774</v>
      </c>
      <c r="N586" s="18"/>
      <c r="O586" s="92">
        <v>35244</v>
      </c>
      <c r="P586" s="28" t="s">
        <v>31</v>
      </c>
      <c r="Q586" s="26" t="b">
        <v>0</v>
      </c>
      <c r="R586" s="22">
        <f t="shared" si="9"/>
        <v>1284</v>
      </c>
    </row>
    <row r="587" spans="1:18">
      <c r="A587" s="26">
        <v>1195</v>
      </c>
      <c r="B587" s="27">
        <v>33961</v>
      </c>
      <c r="C587" s="28" t="s">
        <v>1775</v>
      </c>
      <c r="D587" s="27">
        <v>33955</v>
      </c>
      <c r="E587" s="28" t="s">
        <v>1776</v>
      </c>
      <c r="F587" s="28" t="s">
        <v>984</v>
      </c>
      <c r="G587" s="28" t="s">
        <v>20</v>
      </c>
      <c r="H587" s="28" t="s">
        <v>21</v>
      </c>
      <c r="I587" s="28" t="s">
        <v>21</v>
      </c>
      <c r="J587" s="28" t="s">
        <v>1767</v>
      </c>
      <c r="K587" s="28" t="s">
        <v>1777</v>
      </c>
      <c r="L587" s="28" t="s">
        <v>30</v>
      </c>
      <c r="M587" s="28" t="s">
        <v>21</v>
      </c>
      <c r="N587" s="27">
        <v>33969</v>
      </c>
      <c r="O587" s="92">
        <v>34067</v>
      </c>
      <c r="P587" s="28" t="s">
        <v>21</v>
      </c>
      <c r="Q587" s="26" t="b">
        <v>0</v>
      </c>
      <c r="R587" s="22">
        <f t="shared" si="9"/>
        <v>106</v>
      </c>
    </row>
    <row r="588" spans="1:18">
      <c r="A588" s="26">
        <v>1201</v>
      </c>
      <c r="B588" s="27">
        <v>33968</v>
      </c>
      <c r="C588" s="28" t="s">
        <v>1778</v>
      </c>
      <c r="D588" s="27">
        <v>33968</v>
      </c>
      <c r="E588" s="28" t="s">
        <v>1779</v>
      </c>
      <c r="F588" s="28" t="s">
        <v>283</v>
      </c>
      <c r="G588" s="28" t="s">
        <v>20</v>
      </c>
      <c r="H588" s="28" t="s">
        <v>21</v>
      </c>
      <c r="I588" s="28" t="s">
        <v>21</v>
      </c>
      <c r="J588" s="28" t="s">
        <v>1780</v>
      </c>
      <c r="K588" s="28" t="s">
        <v>1781</v>
      </c>
      <c r="L588" s="28" t="s">
        <v>24</v>
      </c>
      <c r="M588" s="28" t="s">
        <v>21</v>
      </c>
      <c r="N588" s="18"/>
      <c r="O588" s="92">
        <v>33984</v>
      </c>
      <c r="P588" s="28" t="s">
        <v>21</v>
      </c>
      <c r="Q588" s="26" t="b">
        <v>0</v>
      </c>
      <c r="R588" s="22">
        <f t="shared" si="9"/>
        <v>15</v>
      </c>
    </row>
    <row r="589" spans="1:18">
      <c r="A589" s="26">
        <v>1202</v>
      </c>
      <c r="B589" s="27">
        <v>33973</v>
      </c>
      <c r="C589" s="28" t="s">
        <v>1782</v>
      </c>
      <c r="D589" s="27">
        <v>33970</v>
      </c>
      <c r="E589" s="28" t="s">
        <v>38</v>
      </c>
      <c r="F589" s="28" t="s">
        <v>359</v>
      </c>
      <c r="G589" s="28" t="s">
        <v>20</v>
      </c>
      <c r="H589" s="28" t="s">
        <v>21</v>
      </c>
      <c r="I589" s="28" t="s">
        <v>21</v>
      </c>
      <c r="J589" s="28" t="s">
        <v>1639</v>
      </c>
      <c r="K589" s="28" t="s">
        <v>1783</v>
      </c>
      <c r="L589" s="28" t="s">
        <v>24</v>
      </c>
      <c r="M589" s="28" t="s">
        <v>21</v>
      </c>
      <c r="N589" s="18"/>
      <c r="O589" s="92">
        <v>33982</v>
      </c>
      <c r="P589" s="28" t="s">
        <v>31</v>
      </c>
      <c r="Q589" s="26" t="b">
        <v>0</v>
      </c>
      <c r="R589" s="22">
        <f t="shared" si="9"/>
        <v>9</v>
      </c>
    </row>
    <row r="590" spans="1:18">
      <c r="A590" s="26">
        <v>1203</v>
      </c>
      <c r="B590" s="27">
        <v>33974</v>
      </c>
      <c r="C590" s="28" t="s">
        <v>1784</v>
      </c>
      <c r="D590" s="27">
        <v>33973</v>
      </c>
      <c r="E590" s="28" t="s">
        <v>1785</v>
      </c>
      <c r="F590" s="28" t="s">
        <v>216</v>
      </c>
      <c r="G590" s="28" t="s">
        <v>20</v>
      </c>
      <c r="H590" s="28" t="s">
        <v>21</v>
      </c>
      <c r="I590" s="28" t="s">
        <v>21</v>
      </c>
      <c r="J590" s="28" t="s">
        <v>1786</v>
      </c>
      <c r="K590" s="28" t="s">
        <v>1787</v>
      </c>
      <c r="L590" s="28" t="s">
        <v>66</v>
      </c>
      <c r="M590" s="28" t="s">
        <v>21</v>
      </c>
      <c r="O590" s="92">
        <v>37370</v>
      </c>
      <c r="P590" s="28" t="s">
        <v>31</v>
      </c>
      <c r="Q590" s="26" t="b">
        <v>0</v>
      </c>
      <c r="R590" s="22">
        <f t="shared" si="9"/>
        <v>3395</v>
      </c>
    </row>
    <row r="591" spans="1:18">
      <c r="A591" s="26">
        <v>1207</v>
      </c>
      <c r="B591" s="27">
        <v>33975</v>
      </c>
      <c r="C591" s="28" t="s">
        <v>1788</v>
      </c>
      <c r="D591" s="27">
        <v>33974</v>
      </c>
      <c r="E591" s="28" t="s">
        <v>38</v>
      </c>
      <c r="F591" s="28" t="s">
        <v>359</v>
      </c>
      <c r="G591" s="28" t="s">
        <v>20</v>
      </c>
      <c r="H591" s="28" t="s">
        <v>21</v>
      </c>
      <c r="I591" s="28" t="s">
        <v>21</v>
      </c>
      <c r="J591" s="28" t="s">
        <v>1789</v>
      </c>
      <c r="K591" s="28" t="s">
        <v>21</v>
      </c>
      <c r="L591" s="28" t="s">
        <v>66</v>
      </c>
      <c r="M591" s="28" t="s">
        <v>21</v>
      </c>
      <c r="N591" s="18"/>
      <c r="O591" s="92">
        <v>35732</v>
      </c>
      <c r="P591" s="28" t="s">
        <v>31</v>
      </c>
      <c r="Q591" s="26" t="b">
        <v>0</v>
      </c>
      <c r="R591" s="22">
        <f t="shared" si="9"/>
        <v>1757</v>
      </c>
    </row>
    <row r="592" spans="1:18">
      <c r="A592" s="26">
        <v>1209</v>
      </c>
      <c r="B592" s="27">
        <v>33977</v>
      </c>
      <c r="C592" s="28" t="s">
        <v>1790</v>
      </c>
      <c r="D592" s="27">
        <v>33977</v>
      </c>
      <c r="E592" s="28" t="s">
        <v>38</v>
      </c>
      <c r="F592" s="28" t="s">
        <v>56</v>
      </c>
      <c r="G592" s="28" t="s">
        <v>20</v>
      </c>
      <c r="H592" s="28" t="s">
        <v>21</v>
      </c>
      <c r="I592" s="28" t="s">
        <v>21</v>
      </c>
      <c r="J592" s="28" t="s">
        <v>1791</v>
      </c>
      <c r="K592" s="28" t="s">
        <v>22</v>
      </c>
      <c r="L592" s="28" t="s">
        <v>82</v>
      </c>
      <c r="M592" s="28" t="s">
        <v>21</v>
      </c>
      <c r="N592" s="18"/>
      <c r="O592" s="92">
        <v>33977</v>
      </c>
      <c r="P592" s="28" t="s">
        <v>21</v>
      </c>
      <c r="Q592" s="26" t="b">
        <v>0</v>
      </c>
      <c r="R592" s="22">
        <f t="shared" si="9"/>
        <v>0</v>
      </c>
    </row>
    <row r="593" spans="1:18" ht="24">
      <c r="A593" s="26">
        <v>1211</v>
      </c>
      <c r="B593" s="27">
        <v>33980</v>
      </c>
      <c r="C593" s="28" t="s">
        <v>1796</v>
      </c>
      <c r="D593" s="27">
        <v>33977</v>
      </c>
      <c r="E593" s="28" t="s">
        <v>1797</v>
      </c>
      <c r="F593" s="28" t="s">
        <v>350</v>
      </c>
      <c r="G593" s="28" t="s">
        <v>20</v>
      </c>
      <c r="H593" s="28" t="s">
        <v>21</v>
      </c>
      <c r="I593" s="28" t="s">
        <v>21</v>
      </c>
      <c r="J593" s="28" t="s">
        <v>1798</v>
      </c>
      <c r="K593" s="28" t="s">
        <v>1799</v>
      </c>
      <c r="L593" s="28" t="s">
        <v>314</v>
      </c>
      <c r="M593" s="28" t="s">
        <v>1800</v>
      </c>
      <c r="N593" s="18"/>
      <c r="O593" s="92">
        <v>37544</v>
      </c>
      <c r="P593" s="28" t="s">
        <v>21</v>
      </c>
      <c r="Q593" s="26" t="b">
        <v>0</v>
      </c>
      <c r="R593" s="22">
        <f t="shared" si="9"/>
        <v>3562</v>
      </c>
    </row>
    <row r="594" spans="1:18">
      <c r="A594" s="26">
        <v>1212</v>
      </c>
      <c r="B594" s="27">
        <v>33980</v>
      </c>
      <c r="C594" s="28" t="s">
        <v>1801</v>
      </c>
      <c r="D594" s="27">
        <v>33978</v>
      </c>
      <c r="E594" s="28" t="s">
        <v>38</v>
      </c>
      <c r="F594" s="28" t="s">
        <v>56</v>
      </c>
      <c r="G594" s="28" t="s">
        <v>20</v>
      </c>
      <c r="H594" s="28" t="s">
        <v>21</v>
      </c>
      <c r="I594" s="28" t="s">
        <v>21</v>
      </c>
      <c r="J594" s="28" t="s">
        <v>1802</v>
      </c>
      <c r="K594" s="28" t="s">
        <v>383</v>
      </c>
      <c r="L594" s="28" t="s">
        <v>24</v>
      </c>
      <c r="M594" s="28" t="s">
        <v>21</v>
      </c>
      <c r="N594" s="27">
        <v>33989</v>
      </c>
      <c r="O594" s="92">
        <v>33982</v>
      </c>
      <c r="P594" s="28" t="s">
        <v>21</v>
      </c>
      <c r="Q594" s="26" t="b">
        <v>0</v>
      </c>
      <c r="R594" s="22">
        <f t="shared" si="9"/>
        <v>2</v>
      </c>
    </row>
    <row r="595" spans="1:18">
      <c r="A595" s="26">
        <v>1263</v>
      </c>
      <c r="B595" s="27">
        <v>33981</v>
      </c>
      <c r="C595" s="28" t="s">
        <v>1851</v>
      </c>
      <c r="D595" s="27">
        <v>34011</v>
      </c>
      <c r="E595" s="28" t="s">
        <v>1852</v>
      </c>
      <c r="F595" s="28" t="s">
        <v>98</v>
      </c>
      <c r="G595" s="28" t="s">
        <v>20</v>
      </c>
      <c r="H595" s="28" t="s">
        <v>21</v>
      </c>
      <c r="I595" s="28" t="s">
        <v>21</v>
      </c>
      <c r="J595" s="28" t="s">
        <v>255</v>
      </c>
      <c r="K595" s="28" t="s">
        <v>1853</v>
      </c>
      <c r="L595" s="28" t="s">
        <v>30</v>
      </c>
      <c r="M595" s="28" t="s">
        <v>21</v>
      </c>
      <c r="N595" s="18"/>
      <c r="O595" s="92">
        <v>34652</v>
      </c>
      <c r="P595" s="28" t="s">
        <v>21</v>
      </c>
      <c r="Q595" s="26" t="b">
        <v>0</v>
      </c>
      <c r="R595" s="22">
        <f t="shared" si="9"/>
        <v>671</v>
      </c>
    </row>
    <row r="596" spans="1:18">
      <c r="A596" s="26">
        <v>1216</v>
      </c>
      <c r="B596" s="27">
        <v>33982</v>
      </c>
      <c r="C596" s="28" t="s">
        <v>1809</v>
      </c>
      <c r="D596" s="27">
        <v>33977</v>
      </c>
      <c r="E596" s="28" t="s">
        <v>1810</v>
      </c>
      <c r="F596" s="28" t="s">
        <v>283</v>
      </c>
      <c r="G596" s="28" t="s">
        <v>20</v>
      </c>
      <c r="H596" s="28" t="s">
        <v>21</v>
      </c>
      <c r="I596" s="28" t="s">
        <v>21</v>
      </c>
      <c r="J596" s="28" t="s">
        <v>1811</v>
      </c>
      <c r="K596" s="28" t="s">
        <v>1812</v>
      </c>
      <c r="L596" s="28" t="s">
        <v>24</v>
      </c>
      <c r="M596" s="28" t="s">
        <v>21</v>
      </c>
      <c r="O596" s="92">
        <v>34250</v>
      </c>
      <c r="P596" s="28" t="s">
        <v>21</v>
      </c>
      <c r="Q596" s="26" t="b">
        <v>0</v>
      </c>
      <c r="R596" s="22">
        <f t="shared" si="9"/>
        <v>268</v>
      </c>
    </row>
    <row r="597" spans="1:18">
      <c r="A597" s="26">
        <v>1214</v>
      </c>
      <c r="B597" s="27">
        <v>33983</v>
      </c>
      <c r="C597" s="28" t="s">
        <v>1803</v>
      </c>
      <c r="D597" s="27">
        <v>33966</v>
      </c>
      <c r="E597" s="28" t="s">
        <v>38</v>
      </c>
      <c r="F597" s="28" t="s">
        <v>1804</v>
      </c>
      <c r="G597" s="28" t="s">
        <v>20</v>
      </c>
      <c r="H597" s="28" t="s">
        <v>566</v>
      </c>
      <c r="I597" s="28" t="s">
        <v>566</v>
      </c>
      <c r="J597" s="28" t="s">
        <v>1805</v>
      </c>
      <c r="K597" s="28" t="s">
        <v>332</v>
      </c>
      <c r="L597" s="28" t="s">
        <v>82</v>
      </c>
      <c r="M597" s="28" t="s">
        <v>21</v>
      </c>
      <c r="N597" s="27">
        <v>33989</v>
      </c>
      <c r="O597" s="92">
        <v>33988</v>
      </c>
      <c r="P597" s="28" t="s">
        <v>21</v>
      </c>
      <c r="Q597" s="26" t="b">
        <v>0</v>
      </c>
      <c r="R597" s="22">
        <f t="shared" si="9"/>
        <v>5</v>
      </c>
    </row>
    <row r="598" spans="1:18">
      <c r="A598" s="26">
        <v>1215</v>
      </c>
      <c r="B598" s="27">
        <v>33984</v>
      </c>
      <c r="C598" s="28" t="s">
        <v>1806</v>
      </c>
      <c r="D598" s="27">
        <v>33984</v>
      </c>
      <c r="E598" s="28" t="s">
        <v>38</v>
      </c>
      <c r="F598" s="28" t="s">
        <v>56</v>
      </c>
      <c r="G598" s="28" t="s">
        <v>20</v>
      </c>
      <c r="H598" s="28" t="s">
        <v>21</v>
      </c>
      <c r="I598" s="28" t="s">
        <v>21</v>
      </c>
      <c r="J598" s="28" t="s">
        <v>1807</v>
      </c>
      <c r="K598" s="28" t="s">
        <v>1808</v>
      </c>
      <c r="L598" s="28" t="s">
        <v>82</v>
      </c>
      <c r="M598" s="28" t="s">
        <v>21</v>
      </c>
      <c r="N598" s="27">
        <v>33992</v>
      </c>
      <c r="O598" s="92">
        <v>33988</v>
      </c>
      <c r="P598" s="28" t="s">
        <v>21</v>
      </c>
      <c r="Q598" s="26" t="b">
        <v>0</v>
      </c>
      <c r="R598" s="22">
        <f t="shared" si="9"/>
        <v>4</v>
      </c>
    </row>
    <row r="599" spans="1:18">
      <c r="A599" s="26">
        <v>1217</v>
      </c>
      <c r="B599" s="27">
        <v>33984</v>
      </c>
      <c r="C599" s="28" t="s">
        <v>1813</v>
      </c>
      <c r="D599" s="27">
        <v>33974</v>
      </c>
      <c r="E599" s="28" t="s">
        <v>38</v>
      </c>
      <c r="F599" s="28" t="s">
        <v>371</v>
      </c>
      <c r="G599" s="28" t="s">
        <v>20</v>
      </c>
      <c r="H599" s="28" t="s">
        <v>21</v>
      </c>
      <c r="I599" s="28" t="s">
        <v>21</v>
      </c>
      <c r="J599" s="28" t="s">
        <v>675</v>
      </c>
      <c r="K599" s="28" t="s">
        <v>1814</v>
      </c>
      <c r="L599" s="28" t="s">
        <v>1152</v>
      </c>
      <c r="M599" s="28" t="s">
        <v>21</v>
      </c>
      <c r="N599" s="27">
        <v>33994</v>
      </c>
      <c r="O599" s="92">
        <v>33991</v>
      </c>
      <c r="P599" s="28" t="s">
        <v>31</v>
      </c>
      <c r="Q599" s="26" t="b">
        <v>0</v>
      </c>
      <c r="R599" s="22">
        <f t="shared" si="9"/>
        <v>7</v>
      </c>
    </row>
    <row r="600" spans="1:18">
      <c r="A600" s="26">
        <v>1221</v>
      </c>
      <c r="B600" s="27">
        <v>33990</v>
      </c>
      <c r="C600" s="28" t="s">
        <v>1815</v>
      </c>
      <c r="D600" s="27">
        <v>33989</v>
      </c>
      <c r="E600" s="28" t="s">
        <v>38</v>
      </c>
      <c r="F600" s="28" t="s">
        <v>1338</v>
      </c>
      <c r="G600" s="28" t="s">
        <v>20</v>
      </c>
      <c r="H600" s="28" t="s">
        <v>21</v>
      </c>
      <c r="I600" s="28" t="s">
        <v>21</v>
      </c>
      <c r="J600" s="28" t="s">
        <v>1816</v>
      </c>
      <c r="K600" s="28" t="s">
        <v>1817</v>
      </c>
      <c r="L600" s="28" t="s">
        <v>82</v>
      </c>
      <c r="M600" s="28" t="s">
        <v>21</v>
      </c>
      <c r="N600" s="27">
        <v>33996</v>
      </c>
      <c r="O600" s="92">
        <v>34002</v>
      </c>
      <c r="P600" s="28" t="s">
        <v>31</v>
      </c>
      <c r="Q600" s="26" t="b">
        <v>0</v>
      </c>
      <c r="R600" s="22">
        <f t="shared" si="9"/>
        <v>11</v>
      </c>
    </row>
    <row r="601" spans="1:18">
      <c r="A601" s="26">
        <v>1222</v>
      </c>
      <c r="B601" s="27">
        <v>33990</v>
      </c>
      <c r="C601" s="28" t="s">
        <v>1818</v>
      </c>
      <c r="D601" s="27">
        <v>33988</v>
      </c>
      <c r="E601" s="28" t="s">
        <v>38</v>
      </c>
      <c r="F601" s="28" t="s">
        <v>1338</v>
      </c>
      <c r="G601" s="28" t="s">
        <v>20</v>
      </c>
      <c r="H601" s="28" t="s">
        <v>21</v>
      </c>
      <c r="I601" s="28" t="s">
        <v>21</v>
      </c>
      <c r="J601" s="28" t="s">
        <v>1816</v>
      </c>
      <c r="K601" s="28" t="s">
        <v>21</v>
      </c>
      <c r="L601" s="28" t="s">
        <v>82</v>
      </c>
      <c r="M601" s="28" t="s">
        <v>21</v>
      </c>
      <c r="N601" s="27">
        <v>33996</v>
      </c>
      <c r="O601" s="92">
        <v>34002</v>
      </c>
      <c r="P601" s="28" t="s">
        <v>31</v>
      </c>
      <c r="Q601" s="26" t="b">
        <v>0</v>
      </c>
      <c r="R601" s="22">
        <f t="shared" si="9"/>
        <v>11</v>
      </c>
    </row>
    <row r="602" spans="1:18">
      <c r="A602" s="26">
        <v>1224</v>
      </c>
      <c r="B602" s="27">
        <v>33991</v>
      </c>
      <c r="C602" s="28" t="s">
        <v>1819</v>
      </c>
      <c r="D602" s="27">
        <v>33991</v>
      </c>
      <c r="E602" s="28" t="s">
        <v>1820</v>
      </c>
      <c r="F602" s="28" t="s">
        <v>228</v>
      </c>
      <c r="G602" s="28" t="s">
        <v>20</v>
      </c>
      <c r="H602" s="28" t="s">
        <v>21</v>
      </c>
      <c r="I602" s="28" t="s">
        <v>21</v>
      </c>
      <c r="J602" s="28" t="s">
        <v>1821</v>
      </c>
      <c r="K602" s="28" t="s">
        <v>1822</v>
      </c>
      <c r="L602" s="28" t="s">
        <v>82</v>
      </c>
      <c r="M602" s="28" t="s">
        <v>21</v>
      </c>
      <c r="N602" s="18"/>
      <c r="O602" s="92">
        <v>34933</v>
      </c>
      <c r="P602" s="28" t="s">
        <v>31</v>
      </c>
      <c r="Q602" s="26" t="b">
        <v>0</v>
      </c>
      <c r="R602" s="22">
        <f t="shared" si="9"/>
        <v>942</v>
      </c>
    </row>
    <row r="603" spans="1:18">
      <c r="A603" s="26">
        <v>1228</v>
      </c>
      <c r="B603" s="27">
        <v>33995</v>
      </c>
      <c r="C603" s="28" t="s">
        <v>1823</v>
      </c>
      <c r="D603" s="27">
        <v>33995</v>
      </c>
      <c r="E603" s="28" t="s">
        <v>38</v>
      </c>
      <c r="F603" s="28" t="s">
        <v>1414</v>
      </c>
      <c r="G603" s="28" t="s">
        <v>20</v>
      </c>
      <c r="H603" s="28" t="s">
        <v>71</v>
      </c>
      <c r="I603" s="28" t="s">
        <v>72</v>
      </c>
      <c r="J603" s="28" t="s">
        <v>332</v>
      </c>
      <c r="K603" s="28" t="s">
        <v>21</v>
      </c>
      <c r="L603" s="28" t="s">
        <v>30</v>
      </c>
      <c r="M603" s="28" t="s">
        <v>21</v>
      </c>
      <c r="N603" s="27">
        <v>34010</v>
      </c>
      <c r="O603" s="92">
        <v>33996</v>
      </c>
      <c r="P603" s="28" t="s">
        <v>21</v>
      </c>
      <c r="Q603" s="26" t="b">
        <v>0</v>
      </c>
      <c r="R603" s="22">
        <f t="shared" si="9"/>
        <v>1</v>
      </c>
    </row>
    <row r="604" spans="1:18">
      <c r="A604" s="26">
        <v>1243</v>
      </c>
      <c r="B604" s="27">
        <v>34001</v>
      </c>
      <c r="C604" s="28" t="s">
        <v>1824</v>
      </c>
      <c r="D604" s="27">
        <v>34001</v>
      </c>
      <c r="E604" s="28" t="s">
        <v>1825</v>
      </c>
      <c r="F604" s="28" t="s">
        <v>56</v>
      </c>
      <c r="G604" s="28" t="s">
        <v>20</v>
      </c>
      <c r="H604" s="28" t="s">
        <v>21</v>
      </c>
      <c r="I604" s="28" t="s">
        <v>21</v>
      </c>
      <c r="J604" s="28" t="s">
        <v>1826</v>
      </c>
      <c r="K604" s="28" t="s">
        <v>1827</v>
      </c>
      <c r="L604" s="28" t="s">
        <v>24</v>
      </c>
      <c r="M604" s="28" t="s">
        <v>21</v>
      </c>
      <c r="N604" s="29">
        <v>34003</v>
      </c>
      <c r="O604" s="92">
        <v>34002</v>
      </c>
      <c r="P604" s="28" t="s">
        <v>21</v>
      </c>
      <c r="Q604" s="26" t="b">
        <v>0</v>
      </c>
      <c r="R604" s="22">
        <f t="shared" si="9"/>
        <v>1</v>
      </c>
    </row>
    <row r="605" spans="1:18">
      <c r="A605" s="26">
        <v>1244</v>
      </c>
      <c r="B605" s="27">
        <v>34002</v>
      </c>
      <c r="C605" s="28" t="s">
        <v>1828</v>
      </c>
      <c r="D605" s="27">
        <v>34002</v>
      </c>
      <c r="E605" s="28" t="s">
        <v>1829</v>
      </c>
      <c r="F605" s="28" t="s">
        <v>1830</v>
      </c>
      <c r="G605" s="28" t="s">
        <v>20</v>
      </c>
      <c r="H605" s="28" t="s">
        <v>21</v>
      </c>
      <c r="I605" s="28" t="s">
        <v>21</v>
      </c>
      <c r="J605" s="28" t="s">
        <v>1831</v>
      </c>
      <c r="K605" s="28" t="s">
        <v>1258</v>
      </c>
      <c r="L605" s="28" t="s">
        <v>24</v>
      </c>
      <c r="M605" s="28" t="s">
        <v>21</v>
      </c>
      <c r="N605" s="27">
        <v>34005</v>
      </c>
      <c r="O605" s="92">
        <v>34003</v>
      </c>
      <c r="P605" s="28" t="s">
        <v>21</v>
      </c>
      <c r="Q605" s="26" t="b">
        <v>0</v>
      </c>
      <c r="R605" s="22">
        <f t="shared" si="9"/>
        <v>1</v>
      </c>
    </row>
    <row r="606" spans="1:18">
      <c r="A606" s="26">
        <v>1250</v>
      </c>
      <c r="B606" s="27">
        <v>34003</v>
      </c>
      <c r="C606" s="28" t="s">
        <v>1832</v>
      </c>
      <c r="D606" s="27">
        <v>34003</v>
      </c>
      <c r="E606" s="28" t="s">
        <v>1833</v>
      </c>
      <c r="F606" s="28" t="s">
        <v>984</v>
      </c>
      <c r="G606" s="28" t="s">
        <v>20</v>
      </c>
      <c r="H606" s="28" t="s">
        <v>21</v>
      </c>
      <c r="I606" s="28" t="s">
        <v>21</v>
      </c>
      <c r="J606" s="28" t="s">
        <v>1834</v>
      </c>
      <c r="K606" s="28" t="s">
        <v>1835</v>
      </c>
      <c r="L606" s="28" t="s">
        <v>82</v>
      </c>
      <c r="M606" s="28" t="s">
        <v>21</v>
      </c>
      <c r="N606" s="27">
        <v>34015</v>
      </c>
      <c r="O606" s="92">
        <v>34005</v>
      </c>
      <c r="P606" s="28" t="s">
        <v>21</v>
      </c>
      <c r="Q606" s="26" t="b">
        <v>0</v>
      </c>
      <c r="R606" s="22">
        <f t="shared" si="9"/>
        <v>2</v>
      </c>
    </row>
    <row r="607" spans="1:18">
      <c r="A607" s="26">
        <v>1251</v>
      </c>
      <c r="B607" s="27">
        <v>34003</v>
      </c>
      <c r="C607" s="28" t="s">
        <v>1836</v>
      </c>
      <c r="D607" s="27">
        <v>34003</v>
      </c>
      <c r="E607" s="28" t="s">
        <v>1837</v>
      </c>
      <c r="F607" s="28" t="s">
        <v>104</v>
      </c>
      <c r="G607" s="28" t="s">
        <v>20</v>
      </c>
      <c r="H607" s="28" t="s">
        <v>21</v>
      </c>
      <c r="I607" s="28" t="s">
        <v>21</v>
      </c>
      <c r="J607" s="28" t="s">
        <v>1838</v>
      </c>
      <c r="K607" s="28" t="s">
        <v>1839</v>
      </c>
      <c r="L607" s="28" t="s">
        <v>30</v>
      </c>
      <c r="M607" s="28" t="s">
        <v>21</v>
      </c>
      <c r="N607" s="18"/>
      <c r="O607" s="92">
        <v>34003</v>
      </c>
      <c r="P607" s="28" t="s">
        <v>21</v>
      </c>
      <c r="Q607" s="26" t="b">
        <v>0</v>
      </c>
      <c r="R607" s="22">
        <f t="shared" si="9"/>
        <v>0</v>
      </c>
    </row>
    <row r="608" spans="1:18">
      <c r="A608" s="26">
        <v>1254</v>
      </c>
      <c r="B608" s="27">
        <v>34005</v>
      </c>
      <c r="C608" s="28" t="s">
        <v>1840</v>
      </c>
      <c r="D608" s="27">
        <v>33997</v>
      </c>
      <c r="E608" s="28" t="s">
        <v>38</v>
      </c>
      <c r="F608" s="28" t="s">
        <v>27</v>
      </c>
      <c r="G608" s="28" t="s">
        <v>20</v>
      </c>
      <c r="H608" s="28" t="s">
        <v>21</v>
      </c>
      <c r="I608" s="28" t="s">
        <v>21</v>
      </c>
      <c r="J608" s="28" t="s">
        <v>1581</v>
      </c>
      <c r="K608" s="28" t="s">
        <v>1841</v>
      </c>
      <c r="L608" s="28" t="s">
        <v>24</v>
      </c>
      <c r="M608" s="28" t="s">
        <v>21</v>
      </c>
      <c r="N608" s="29">
        <v>34010</v>
      </c>
      <c r="O608" s="92">
        <v>34010</v>
      </c>
      <c r="P608" s="28" t="s">
        <v>31</v>
      </c>
      <c r="Q608" s="26" t="b">
        <v>0</v>
      </c>
      <c r="R608" s="22">
        <f t="shared" si="9"/>
        <v>5</v>
      </c>
    </row>
    <row r="609" spans="1:18">
      <c r="A609" s="26">
        <v>1255</v>
      </c>
      <c r="B609" s="27">
        <v>34008</v>
      </c>
      <c r="C609" s="28" t="s">
        <v>1842</v>
      </c>
      <c r="D609" s="27">
        <v>34008</v>
      </c>
      <c r="E609" s="28" t="s">
        <v>1843</v>
      </c>
      <c r="F609" s="28" t="s">
        <v>56</v>
      </c>
      <c r="G609" s="28" t="s">
        <v>20</v>
      </c>
      <c r="H609" s="28" t="s">
        <v>21</v>
      </c>
      <c r="I609" s="28" t="s">
        <v>21</v>
      </c>
      <c r="J609" s="28" t="s">
        <v>1844</v>
      </c>
      <c r="K609" s="28" t="s">
        <v>1845</v>
      </c>
      <c r="L609" s="28" t="s">
        <v>24</v>
      </c>
      <c r="M609" s="28" t="s">
        <v>21</v>
      </c>
      <c r="N609" s="27">
        <v>34010</v>
      </c>
      <c r="O609" s="92">
        <v>34010</v>
      </c>
      <c r="P609" s="28" t="s">
        <v>21</v>
      </c>
      <c r="Q609" s="26" t="b">
        <v>0</v>
      </c>
      <c r="R609" s="22">
        <f t="shared" si="9"/>
        <v>2</v>
      </c>
    </row>
    <row r="610" spans="1:18">
      <c r="A610" s="26">
        <v>1257</v>
      </c>
      <c r="B610" s="27">
        <v>34009</v>
      </c>
      <c r="C610" s="28" t="s">
        <v>1846</v>
      </c>
      <c r="D610" s="27">
        <v>34009</v>
      </c>
      <c r="E610" s="28" t="s">
        <v>1847</v>
      </c>
      <c r="F610" s="28" t="s">
        <v>793</v>
      </c>
      <c r="G610" s="28" t="s">
        <v>20</v>
      </c>
      <c r="H610" s="28" t="s">
        <v>21</v>
      </c>
      <c r="I610" s="28" t="s">
        <v>21</v>
      </c>
      <c r="J610" s="28" t="s">
        <v>1379</v>
      </c>
      <c r="K610" s="28" t="s">
        <v>1848</v>
      </c>
      <c r="L610" s="28" t="s">
        <v>30</v>
      </c>
      <c r="M610" s="28" t="s">
        <v>21</v>
      </c>
      <c r="N610" s="18"/>
      <c r="O610" s="92">
        <v>34827</v>
      </c>
      <c r="P610" s="28" t="s">
        <v>21</v>
      </c>
      <c r="Q610" s="26" t="b">
        <v>0</v>
      </c>
      <c r="R610" s="22">
        <f t="shared" si="9"/>
        <v>820</v>
      </c>
    </row>
    <row r="611" spans="1:18">
      <c r="A611" s="26">
        <v>1262</v>
      </c>
      <c r="B611" s="27">
        <v>34012</v>
      </c>
      <c r="C611" s="28" t="s">
        <v>1849</v>
      </c>
      <c r="D611" s="27">
        <v>34011</v>
      </c>
      <c r="E611" s="28" t="s">
        <v>1850</v>
      </c>
      <c r="F611" s="28" t="s">
        <v>34</v>
      </c>
      <c r="G611" s="28" t="s">
        <v>20</v>
      </c>
      <c r="H611" s="28" t="s">
        <v>21</v>
      </c>
      <c r="I611" s="28" t="s">
        <v>21</v>
      </c>
      <c r="J611" s="28" t="s">
        <v>1762</v>
      </c>
      <c r="K611" s="28" t="s">
        <v>332</v>
      </c>
      <c r="L611" s="28" t="s">
        <v>82</v>
      </c>
      <c r="M611" s="28" t="s">
        <v>21</v>
      </c>
      <c r="N611" s="27">
        <v>34020</v>
      </c>
      <c r="O611" s="92">
        <v>34016</v>
      </c>
      <c r="P611" s="28" t="s">
        <v>31</v>
      </c>
      <c r="Q611" s="26" t="b">
        <v>0</v>
      </c>
      <c r="R611" s="22">
        <f t="shared" si="9"/>
        <v>4</v>
      </c>
    </row>
    <row r="612" spans="1:18">
      <c r="A612" s="26">
        <v>1264</v>
      </c>
      <c r="B612" s="27">
        <v>34016</v>
      </c>
      <c r="C612" s="28" t="s">
        <v>1854</v>
      </c>
      <c r="D612" s="27">
        <v>34016</v>
      </c>
      <c r="E612" s="28" t="s">
        <v>1204</v>
      </c>
      <c r="F612" s="28" t="s">
        <v>56</v>
      </c>
      <c r="G612" s="28" t="s">
        <v>21</v>
      </c>
      <c r="H612" s="28" t="s">
        <v>21</v>
      </c>
      <c r="I612" s="28" t="s">
        <v>21</v>
      </c>
      <c r="J612" s="28" t="s">
        <v>1719</v>
      </c>
      <c r="K612" s="28" t="s">
        <v>1855</v>
      </c>
      <c r="L612" s="28" t="s">
        <v>24</v>
      </c>
      <c r="M612" s="28" t="s">
        <v>21</v>
      </c>
      <c r="N612" s="27">
        <v>34017</v>
      </c>
      <c r="O612" s="92">
        <v>34017</v>
      </c>
      <c r="P612" s="28" t="s">
        <v>21</v>
      </c>
      <c r="Q612" s="26" t="b">
        <v>0</v>
      </c>
      <c r="R612" s="22">
        <f t="shared" si="9"/>
        <v>1</v>
      </c>
    </row>
    <row r="613" spans="1:18">
      <c r="A613" s="26">
        <v>1265</v>
      </c>
      <c r="B613" s="27">
        <v>34017</v>
      </c>
      <c r="C613" s="28" t="s">
        <v>1856</v>
      </c>
      <c r="D613" s="27">
        <v>34017</v>
      </c>
      <c r="E613" s="28" t="s">
        <v>38</v>
      </c>
      <c r="F613" s="28" t="s">
        <v>533</v>
      </c>
      <c r="G613" s="28" t="s">
        <v>20</v>
      </c>
      <c r="H613" s="28" t="s">
        <v>21</v>
      </c>
      <c r="I613" s="28" t="s">
        <v>21</v>
      </c>
      <c r="J613" s="28" t="s">
        <v>1857</v>
      </c>
      <c r="K613" s="28" t="s">
        <v>1858</v>
      </c>
      <c r="L613" s="28" t="s">
        <v>24</v>
      </c>
      <c r="M613" s="28" t="s">
        <v>21</v>
      </c>
      <c r="N613" s="29">
        <v>34021</v>
      </c>
      <c r="O613" s="92">
        <v>34043</v>
      </c>
      <c r="P613" s="28" t="s">
        <v>31</v>
      </c>
      <c r="Q613" s="26" t="b">
        <v>0</v>
      </c>
      <c r="R613" s="22">
        <f t="shared" si="9"/>
        <v>28</v>
      </c>
    </row>
    <row r="614" spans="1:18" ht="24">
      <c r="A614" s="26">
        <v>1271</v>
      </c>
      <c r="B614" s="27">
        <v>34023</v>
      </c>
      <c r="C614" s="28" t="s">
        <v>1859</v>
      </c>
      <c r="D614" s="27">
        <v>34022</v>
      </c>
      <c r="E614" s="28" t="s">
        <v>1860</v>
      </c>
      <c r="F614" s="28" t="s">
        <v>1771</v>
      </c>
      <c r="G614" s="28" t="s">
        <v>20</v>
      </c>
      <c r="H614" s="28" t="s">
        <v>189</v>
      </c>
      <c r="I614" s="28" t="s">
        <v>189</v>
      </c>
      <c r="J614" s="28" t="s">
        <v>1861</v>
      </c>
      <c r="K614" s="28" t="s">
        <v>1862</v>
      </c>
      <c r="L614" s="28" t="s">
        <v>88</v>
      </c>
      <c r="M614" s="28" t="s">
        <v>24</v>
      </c>
      <c r="N614" s="18"/>
      <c r="O614" s="92">
        <v>36147</v>
      </c>
      <c r="P614" s="28" t="s">
        <v>21</v>
      </c>
      <c r="Q614" s="26" t="b">
        <v>0</v>
      </c>
      <c r="R614" s="22">
        <f t="shared" si="9"/>
        <v>2124</v>
      </c>
    </row>
    <row r="615" spans="1:18">
      <c r="A615" s="26">
        <v>1276</v>
      </c>
      <c r="B615" s="27">
        <v>34025</v>
      </c>
      <c r="C615" s="28" t="s">
        <v>1863</v>
      </c>
      <c r="D615" s="27">
        <v>34025</v>
      </c>
      <c r="E615" s="28" t="s">
        <v>1864</v>
      </c>
      <c r="F615" s="28" t="s">
        <v>19</v>
      </c>
      <c r="G615" s="28" t="s">
        <v>20</v>
      </c>
      <c r="H615" s="28" t="s">
        <v>21</v>
      </c>
      <c r="I615" s="28" t="s">
        <v>21</v>
      </c>
      <c r="J615" s="28" t="s">
        <v>1865</v>
      </c>
      <c r="K615" s="28" t="s">
        <v>1866</v>
      </c>
      <c r="L615" s="28" t="s">
        <v>1152</v>
      </c>
      <c r="M615" s="28" t="s">
        <v>21</v>
      </c>
      <c r="N615" s="27">
        <v>34043</v>
      </c>
      <c r="O615" s="92">
        <v>34029</v>
      </c>
      <c r="P615" s="28" t="s">
        <v>21</v>
      </c>
      <c r="Q615" s="26" t="b">
        <v>0</v>
      </c>
      <c r="R615" s="22">
        <f t="shared" si="9"/>
        <v>6</v>
      </c>
    </row>
    <row r="616" spans="1:18">
      <c r="A616" s="26">
        <v>1277</v>
      </c>
      <c r="B616" s="27">
        <v>34025</v>
      </c>
      <c r="C616" s="28" t="s">
        <v>1867</v>
      </c>
      <c r="D616" s="27">
        <v>34025</v>
      </c>
      <c r="E616" s="28" t="s">
        <v>1868</v>
      </c>
      <c r="F616" s="28" t="s">
        <v>350</v>
      </c>
      <c r="G616" s="28" t="s">
        <v>20</v>
      </c>
      <c r="H616" s="28" t="s">
        <v>21</v>
      </c>
      <c r="I616" s="28" t="s">
        <v>21</v>
      </c>
      <c r="J616" s="28" t="s">
        <v>1869</v>
      </c>
      <c r="K616" s="28" t="s">
        <v>1870</v>
      </c>
      <c r="L616" s="28" t="s">
        <v>24</v>
      </c>
      <c r="M616" s="28" t="s">
        <v>21</v>
      </c>
      <c r="N616" s="18"/>
      <c r="O616" s="92">
        <v>34031</v>
      </c>
      <c r="P616" s="28" t="s">
        <v>21</v>
      </c>
      <c r="Q616" s="26" t="b">
        <v>0</v>
      </c>
      <c r="R616" s="22">
        <f t="shared" si="9"/>
        <v>8</v>
      </c>
    </row>
    <row r="617" spans="1:18">
      <c r="A617" s="26">
        <v>1279</v>
      </c>
      <c r="B617" s="27">
        <v>34026</v>
      </c>
      <c r="C617" s="28" t="s">
        <v>1871</v>
      </c>
      <c r="D617" s="27">
        <v>34024</v>
      </c>
      <c r="E617" s="28" t="s">
        <v>1204</v>
      </c>
      <c r="F617" s="28" t="s">
        <v>56</v>
      </c>
      <c r="G617" s="28" t="s">
        <v>20</v>
      </c>
      <c r="H617" s="28" t="s">
        <v>21</v>
      </c>
      <c r="I617" s="28" t="s">
        <v>21</v>
      </c>
      <c r="J617" s="28" t="s">
        <v>1872</v>
      </c>
      <c r="K617" s="28" t="s">
        <v>1873</v>
      </c>
      <c r="L617" s="28" t="s">
        <v>59</v>
      </c>
      <c r="M617" s="28" t="s">
        <v>21</v>
      </c>
      <c r="N617" s="27">
        <v>34033</v>
      </c>
      <c r="O617" s="92">
        <v>34333</v>
      </c>
      <c r="P617" s="28" t="s">
        <v>21</v>
      </c>
      <c r="Q617" s="26" t="b">
        <v>0</v>
      </c>
      <c r="R617" s="22">
        <f t="shared" si="9"/>
        <v>308</v>
      </c>
    </row>
    <row r="618" spans="1:18">
      <c r="A618" s="26">
        <v>1280</v>
      </c>
      <c r="B618" s="27">
        <v>34026</v>
      </c>
      <c r="C618" s="28" t="s">
        <v>1874</v>
      </c>
      <c r="D618" s="27">
        <v>34023</v>
      </c>
      <c r="E618" s="28" t="s">
        <v>61</v>
      </c>
      <c r="F618" s="28" t="s">
        <v>56</v>
      </c>
      <c r="G618" s="28" t="s">
        <v>20</v>
      </c>
      <c r="H618" s="28" t="s">
        <v>21</v>
      </c>
      <c r="I618" s="28" t="s">
        <v>21</v>
      </c>
      <c r="J618" s="28" t="s">
        <v>1875</v>
      </c>
      <c r="K618" s="28" t="s">
        <v>1876</v>
      </c>
      <c r="L618" s="28" t="s">
        <v>1152</v>
      </c>
      <c r="M618" s="28" t="s">
        <v>21</v>
      </c>
      <c r="N618" s="27">
        <v>34032</v>
      </c>
      <c r="O618" s="92">
        <v>34047</v>
      </c>
      <c r="P618" s="28" t="s">
        <v>21</v>
      </c>
      <c r="Q618" s="26" t="b">
        <v>0</v>
      </c>
      <c r="R618" s="22">
        <f t="shared" si="9"/>
        <v>23</v>
      </c>
    </row>
    <row r="619" spans="1:18">
      <c r="A619" s="26">
        <v>1281</v>
      </c>
      <c r="B619" s="27">
        <v>34029</v>
      </c>
      <c r="C619" s="28" t="s">
        <v>1877</v>
      </c>
      <c r="D619" s="27">
        <v>34029</v>
      </c>
      <c r="E619" s="28" t="s">
        <v>1204</v>
      </c>
      <c r="F619" s="28" t="s">
        <v>56</v>
      </c>
      <c r="G619" s="28" t="s">
        <v>21</v>
      </c>
      <c r="H619" s="28" t="s">
        <v>21</v>
      </c>
      <c r="I619" s="28" t="s">
        <v>21</v>
      </c>
      <c r="J619" s="28" t="s">
        <v>1878</v>
      </c>
      <c r="K619" s="28" t="s">
        <v>1879</v>
      </c>
      <c r="L619" s="28" t="s">
        <v>59</v>
      </c>
      <c r="M619" s="28" t="s">
        <v>21</v>
      </c>
      <c r="N619" s="18"/>
      <c r="O619" s="92">
        <v>34032</v>
      </c>
      <c r="P619" s="28" t="s">
        <v>21</v>
      </c>
      <c r="Q619" s="26" t="b">
        <v>0</v>
      </c>
      <c r="R619" s="22">
        <f t="shared" si="9"/>
        <v>3</v>
      </c>
    </row>
    <row r="620" spans="1:18">
      <c r="A620" s="26">
        <v>1282</v>
      </c>
      <c r="B620" s="27">
        <v>34029</v>
      </c>
      <c r="C620" s="28" t="s">
        <v>1880</v>
      </c>
      <c r="D620" s="27">
        <v>34024</v>
      </c>
      <c r="E620" s="28" t="s">
        <v>1881</v>
      </c>
      <c r="F620" s="28" t="s">
        <v>665</v>
      </c>
      <c r="G620" s="28" t="s">
        <v>20</v>
      </c>
      <c r="H620" s="28" t="s">
        <v>21</v>
      </c>
      <c r="I620" s="28" t="s">
        <v>21</v>
      </c>
      <c r="J620" s="28" t="s">
        <v>1882</v>
      </c>
      <c r="K620" s="28" t="s">
        <v>1883</v>
      </c>
      <c r="L620" s="28" t="s">
        <v>24</v>
      </c>
      <c r="M620" s="28" t="s">
        <v>21</v>
      </c>
      <c r="N620" s="27">
        <v>34033</v>
      </c>
      <c r="O620" s="92">
        <v>34051</v>
      </c>
      <c r="P620" s="28" t="s">
        <v>21</v>
      </c>
      <c r="Q620" s="26" t="b">
        <v>0</v>
      </c>
      <c r="R620" s="22">
        <f t="shared" si="9"/>
        <v>22</v>
      </c>
    </row>
    <row r="621" spans="1:18">
      <c r="A621" s="26">
        <v>1285</v>
      </c>
      <c r="B621" s="27">
        <v>34029</v>
      </c>
      <c r="C621" s="28" t="s">
        <v>1888</v>
      </c>
      <c r="D621" s="27">
        <v>34029</v>
      </c>
      <c r="E621" s="28" t="s">
        <v>1889</v>
      </c>
      <c r="F621" s="28" t="s">
        <v>70</v>
      </c>
      <c r="G621" s="28" t="s">
        <v>20</v>
      </c>
      <c r="H621" s="28" t="s">
        <v>71</v>
      </c>
      <c r="I621" s="28" t="s">
        <v>72</v>
      </c>
      <c r="J621" s="28" t="s">
        <v>1890</v>
      </c>
      <c r="K621" s="28" t="s">
        <v>1891</v>
      </c>
      <c r="L621" s="28" t="s">
        <v>66</v>
      </c>
      <c r="M621" s="28" t="s">
        <v>21</v>
      </c>
      <c r="N621" s="27">
        <v>34064</v>
      </c>
      <c r="O621" s="92">
        <v>37439</v>
      </c>
      <c r="P621" s="28" t="s">
        <v>31</v>
      </c>
      <c r="Q621" s="26" t="b">
        <v>0</v>
      </c>
      <c r="R621" s="22">
        <f t="shared" si="9"/>
        <v>3407</v>
      </c>
    </row>
    <row r="622" spans="1:18">
      <c r="A622" s="26">
        <v>1283</v>
      </c>
      <c r="B622" s="27">
        <v>34030</v>
      </c>
      <c r="C622" s="28" t="s">
        <v>1884</v>
      </c>
      <c r="D622" s="27">
        <v>34008</v>
      </c>
      <c r="E622" s="28" t="s">
        <v>1885</v>
      </c>
      <c r="F622" s="28" t="s">
        <v>533</v>
      </c>
      <c r="G622" s="28" t="s">
        <v>20</v>
      </c>
      <c r="H622" s="28" t="s">
        <v>21</v>
      </c>
      <c r="I622" s="28" t="s">
        <v>21</v>
      </c>
      <c r="J622" s="28" t="s">
        <v>1886</v>
      </c>
      <c r="K622" s="28" t="s">
        <v>1887</v>
      </c>
      <c r="L622" s="28" t="s">
        <v>24</v>
      </c>
      <c r="M622" s="28" t="s">
        <v>21</v>
      </c>
      <c r="N622" s="27">
        <v>34038</v>
      </c>
      <c r="O622" s="92">
        <v>34043</v>
      </c>
      <c r="P622" s="28" t="s">
        <v>31</v>
      </c>
      <c r="Q622" s="26" t="b">
        <v>0</v>
      </c>
      <c r="R622" s="22">
        <f t="shared" si="9"/>
        <v>13</v>
      </c>
    </row>
    <row r="623" spans="1:18">
      <c r="A623" s="26">
        <v>1292</v>
      </c>
      <c r="B623" s="27">
        <v>34032</v>
      </c>
      <c r="C623" s="28" t="s">
        <v>1892</v>
      </c>
      <c r="D623" s="27">
        <v>34032</v>
      </c>
      <c r="E623" s="28" t="s">
        <v>38</v>
      </c>
      <c r="F623" s="28" t="s">
        <v>124</v>
      </c>
      <c r="G623" s="28" t="s">
        <v>20</v>
      </c>
      <c r="H623" s="28" t="s">
        <v>21</v>
      </c>
      <c r="I623" s="28" t="s">
        <v>21</v>
      </c>
      <c r="J623" s="28" t="s">
        <v>557</v>
      </c>
      <c r="K623" s="28" t="s">
        <v>21</v>
      </c>
      <c r="L623" s="28" t="s">
        <v>24</v>
      </c>
      <c r="M623" s="28" t="s">
        <v>21</v>
      </c>
      <c r="N623" s="27">
        <v>34059</v>
      </c>
      <c r="O623" s="92">
        <v>34122</v>
      </c>
      <c r="P623" s="28" t="s">
        <v>31</v>
      </c>
      <c r="Q623" s="26" t="b">
        <v>0</v>
      </c>
      <c r="R623" s="22">
        <f t="shared" si="9"/>
        <v>89</v>
      </c>
    </row>
    <row r="624" spans="1:18">
      <c r="A624" s="26">
        <v>1296</v>
      </c>
      <c r="B624" s="27">
        <v>34032</v>
      </c>
      <c r="C624" s="28" t="s">
        <v>1899</v>
      </c>
      <c r="D624" s="27">
        <v>34032</v>
      </c>
      <c r="E624" s="28" t="s">
        <v>38</v>
      </c>
      <c r="F624" s="28" t="s">
        <v>1587</v>
      </c>
      <c r="G624" s="28" t="s">
        <v>21</v>
      </c>
      <c r="H624" s="28" t="s">
        <v>21</v>
      </c>
      <c r="I624" s="28" t="s">
        <v>21</v>
      </c>
      <c r="J624" s="28" t="s">
        <v>1900</v>
      </c>
      <c r="K624" s="28" t="s">
        <v>1901</v>
      </c>
      <c r="L624" s="28" t="s">
        <v>30</v>
      </c>
      <c r="M624" s="28" t="s">
        <v>21</v>
      </c>
      <c r="N624" s="29">
        <v>34036</v>
      </c>
      <c r="O624" s="92">
        <v>34036</v>
      </c>
      <c r="P624" s="28" t="s">
        <v>21</v>
      </c>
      <c r="Q624" s="26" t="b">
        <v>0</v>
      </c>
      <c r="R624" s="22">
        <f t="shared" si="9"/>
        <v>4</v>
      </c>
    </row>
    <row r="625" spans="1:18">
      <c r="A625" s="26">
        <v>1293</v>
      </c>
      <c r="B625" s="27">
        <v>34033</v>
      </c>
      <c r="C625" s="28" t="s">
        <v>1893</v>
      </c>
      <c r="D625" s="27">
        <v>34029</v>
      </c>
      <c r="E625" s="28" t="s">
        <v>1894</v>
      </c>
      <c r="F625" s="28" t="s">
        <v>455</v>
      </c>
      <c r="G625" s="28" t="s">
        <v>20</v>
      </c>
      <c r="H625" s="28" t="s">
        <v>71</v>
      </c>
      <c r="I625" s="28" t="s">
        <v>72</v>
      </c>
      <c r="J625" s="28" t="s">
        <v>1340</v>
      </c>
      <c r="K625" s="28" t="s">
        <v>1895</v>
      </c>
      <c r="L625" s="28" t="s">
        <v>67</v>
      </c>
      <c r="M625" s="28" t="s">
        <v>21</v>
      </c>
      <c r="N625" s="27">
        <v>34064</v>
      </c>
      <c r="O625" s="92">
        <v>35643</v>
      </c>
      <c r="P625" s="28" t="s">
        <v>21</v>
      </c>
      <c r="Q625" s="26" t="b">
        <v>0</v>
      </c>
      <c r="R625" s="22">
        <f t="shared" si="9"/>
        <v>1608</v>
      </c>
    </row>
    <row r="626" spans="1:18">
      <c r="A626" s="26">
        <v>1294</v>
      </c>
      <c r="B626" s="27">
        <v>34033</v>
      </c>
      <c r="C626" s="28" t="s">
        <v>1896</v>
      </c>
      <c r="D626" s="27">
        <v>34032</v>
      </c>
      <c r="E626" s="28" t="s">
        <v>38</v>
      </c>
      <c r="F626" s="28" t="s">
        <v>34</v>
      </c>
      <c r="G626" s="28" t="s">
        <v>20</v>
      </c>
      <c r="H626" s="28" t="s">
        <v>21</v>
      </c>
      <c r="I626" s="28" t="s">
        <v>21</v>
      </c>
      <c r="J626" s="28" t="s">
        <v>1897</v>
      </c>
      <c r="K626" s="28" t="s">
        <v>1898</v>
      </c>
      <c r="L626" s="28" t="s">
        <v>82</v>
      </c>
      <c r="M626" s="28" t="s">
        <v>21</v>
      </c>
      <c r="N626" s="27">
        <v>34047</v>
      </c>
      <c r="O626" s="92">
        <v>34047</v>
      </c>
      <c r="P626" s="28" t="s">
        <v>31</v>
      </c>
      <c r="Q626" s="26" t="b">
        <v>0</v>
      </c>
      <c r="R626" s="22">
        <f t="shared" si="9"/>
        <v>14</v>
      </c>
    </row>
    <row r="627" spans="1:18">
      <c r="A627" s="26">
        <v>1297</v>
      </c>
      <c r="B627" s="27">
        <v>34037</v>
      </c>
      <c r="C627" s="28" t="s">
        <v>1902</v>
      </c>
      <c r="D627" s="27">
        <v>34036</v>
      </c>
      <c r="E627" s="28" t="s">
        <v>1903</v>
      </c>
      <c r="F627" s="28" t="s">
        <v>85</v>
      </c>
      <c r="G627" s="28" t="s">
        <v>20</v>
      </c>
      <c r="H627" s="28" t="s">
        <v>21</v>
      </c>
      <c r="I627" s="28" t="s">
        <v>21</v>
      </c>
      <c r="J627" s="28" t="s">
        <v>1904</v>
      </c>
      <c r="K627" s="28" t="s">
        <v>1905</v>
      </c>
      <c r="L627" s="28" t="s">
        <v>82</v>
      </c>
      <c r="M627" s="28" t="s">
        <v>21</v>
      </c>
      <c r="N627" s="27">
        <v>34069</v>
      </c>
      <c r="O627" s="92">
        <v>34122</v>
      </c>
      <c r="P627" s="28" t="s">
        <v>21</v>
      </c>
      <c r="Q627" s="26" t="b">
        <v>0</v>
      </c>
      <c r="R627" s="22">
        <f t="shared" si="9"/>
        <v>84</v>
      </c>
    </row>
    <row r="628" spans="1:18">
      <c r="A628" s="26">
        <v>1300</v>
      </c>
      <c r="B628" s="27">
        <v>34039</v>
      </c>
      <c r="C628" s="28" t="s">
        <v>1906</v>
      </c>
      <c r="D628" s="27">
        <v>34037</v>
      </c>
      <c r="E628" s="28" t="s">
        <v>1907</v>
      </c>
      <c r="F628" s="28" t="s">
        <v>98</v>
      </c>
      <c r="G628" s="28" t="s">
        <v>20</v>
      </c>
      <c r="H628" s="28" t="s">
        <v>21</v>
      </c>
      <c r="I628" s="28" t="s">
        <v>21</v>
      </c>
      <c r="J628" s="28" t="s">
        <v>1908</v>
      </c>
      <c r="K628" s="28" t="s">
        <v>1909</v>
      </c>
      <c r="L628" s="28" t="s">
        <v>1152</v>
      </c>
      <c r="M628" s="28" t="s">
        <v>21</v>
      </c>
      <c r="N628" s="27">
        <v>34089</v>
      </c>
      <c r="O628" s="92">
        <v>35256</v>
      </c>
      <c r="P628" s="28" t="s">
        <v>21</v>
      </c>
      <c r="Q628" s="26" t="b">
        <v>0</v>
      </c>
      <c r="R628" s="22">
        <f t="shared" si="9"/>
        <v>1215</v>
      </c>
    </row>
    <row r="629" spans="1:18">
      <c r="A629" s="26">
        <v>1302</v>
      </c>
      <c r="B629" s="27">
        <v>34046</v>
      </c>
      <c r="C629" s="28" t="s">
        <v>1910</v>
      </c>
      <c r="D629" s="27">
        <v>34036</v>
      </c>
      <c r="E629" s="28" t="s">
        <v>283</v>
      </c>
      <c r="F629" s="28" t="s">
        <v>129</v>
      </c>
      <c r="G629" s="28" t="s">
        <v>20</v>
      </c>
      <c r="H629" s="28" t="s">
        <v>21</v>
      </c>
      <c r="I629" s="28" t="s">
        <v>21</v>
      </c>
      <c r="J629" s="28" t="s">
        <v>1911</v>
      </c>
      <c r="K629" s="28" t="s">
        <v>1912</v>
      </c>
      <c r="L629" s="28" t="s">
        <v>24</v>
      </c>
      <c r="M629" s="28" t="s">
        <v>21</v>
      </c>
      <c r="N629" s="27">
        <v>34050</v>
      </c>
      <c r="O629" s="92">
        <v>34047</v>
      </c>
      <c r="P629" s="28" t="s">
        <v>21</v>
      </c>
      <c r="Q629" s="26" t="b">
        <v>0</v>
      </c>
      <c r="R629" s="22">
        <f t="shared" si="9"/>
        <v>1</v>
      </c>
    </row>
    <row r="630" spans="1:18">
      <c r="A630" s="26">
        <v>1308</v>
      </c>
      <c r="B630" s="27">
        <v>34050</v>
      </c>
      <c r="C630" s="28" t="s">
        <v>1913</v>
      </c>
      <c r="D630" s="27">
        <v>34050</v>
      </c>
      <c r="E630" s="28" t="s">
        <v>1914</v>
      </c>
      <c r="F630" s="28" t="s">
        <v>741</v>
      </c>
      <c r="G630" s="28" t="s">
        <v>20</v>
      </c>
      <c r="H630" s="28" t="s">
        <v>21</v>
      </c>
      <c r="I630" s="28" t="s">
        <v>21</v>
      </c>
      <c r="J630" s="28" t="s">
        <v>1915</v>
      </c>
      <c r="K630" s="28" t="s">
        <v>1916</v>
      </c>
      <c r="L630" s="28" t="s">
        <v>30</v>
      </c>
      <c r="M630" s="28" t="s">
        <v>21</v>
      </c>
      <c r="N630" s="27">
        <v>34089</v>
      </c>
      <c r="O630" s="92">
        <v>34128</v>
      </c>
      <c r="P630" s="28" t="s">
        <v>21</v>
      </c>
      <c r="Q630" s="26" t="b">
        <v>0</v>
      </c>
      <c r="R630" s="22">
        <f t="shared" si="9"/>
        <v>77</v>
      </c>
    </row>
    <row r="631" spans="1:18">
      <c r="A631" s="26">
        <v>1309</v>
      </c>
      <c r="B631" s="27">
        <v>34050</v>
      </c>
      <c r="C631" s="28" t="s">
        <v>1917</v>
      </c>
      <c r="D631" s="27">
        <v>34047</v>
      </c>
      <c r="E631" s="28" t="s">
        <v>1918</v>
      </c>
      <c r="F631" s="28" t="s">
        <v>455</v>
      </c>
      <c r="G631" s="28" t="s">
        <v>20</v>
      </c>
      <c r="H631" s="28" t="s">
        <v>71</v>
      </c>
      <c r="I631" s="28" t="s">
        <v>72</v>
      </c>
      <c r="J631" s="28" t="s">
        <v>1919</v>
      </c>
      <c r="K631" s="28" t="s">
        <v>1920</v>
      </c>
      <c r="L631" s="28" t="s">
        <v>66</v>
      </c>
      <c r="M631" s="28" t="s">
        <v>21</v>
      </c>
      <c r="N631" s="27">
        <v>34104</v>
      </c>
      <c r="O631" s="92">
        <v>35926</v>
      </c>
      <c r="P631" s="28" t="s">
        <v>31</v>
      </c>
      <c r="Q631" s="26" t="b">
        <v>0</v>
      </c>
      <c r="R631" s="22">
        <f t="shared" si="9"/>
        <v>1874</v>
      </c>
    </row>
    <row r="632" spans="1:18">
      <c r="A632" s="26">
        <v>1315</v>
      </c>
      <c r="B632" s="27">
        <v>34052</v>
      </c>
      <c r="C632" s="28" t="s">
        <v>1929</v>
      </c>
      <c r="D632" s="27">
        <v>34051</v>
      </c>
      <c r="E632" s="28" t="s">
        <v>1930</v>
      </c>
      <c r="F632" s="28" t="s">
        <v>327</v>
      </c>
      <c r="G632" s="28" t="s">
        <v>20</v>
      </c>
      <c r="H632" s="28" t="s">
        <v>21</v>
      </c>
      <c r="I632" s="28" t="s">
        <v>21</v>
      </c>
      <c r="J632" s="28" t="s">
        <v>1931</v>
      </c>
      <c r="K632" s="28" t="s">
        <v>1932</v>
      </c>
      <c r="L632" s="28" t="s">
        <v>66</v>
      </c>
      <c r="M632" s="28" t="s">
        <v>21</v>
      </c>
      <c r="N632" s="27">
        <v>34089</v>
      </c>
      <c r="O632" s="92">
        <v>35411</v>
      </c>
      <c r="P632" s="28" t="s">
        <v>31</v>
      </c>
      <c r="Q632" s="26" t="b">
        <v>0</v>
      </c>
      <c r="R632" s="22">
        <f t="shared" si="9"/>
        <v>1356</v>
      </c>
    </row>
    <row r="633" spans="1:18">
      <c r="A633" s="26">
        <v>1313</v>
      </c>
      <c r="B633" s="27">
        <v>34053</v>
      </c>
      <c r="C633" s="28" t="s">
        <v>1921</v>
      </c>
      <c r="D633" s="27">
        <v>34052</v>
      </c>
      <c r="E633" s="28" t="s">
        <v>1922</v>
      </c>
      <c r="F633" s="28" t="s">
        <v>39</v>
      </c>
      <c r="G633" s="28" t="s">
        <v>20</v>
      </c>
      <c r="H633" s="28" t="s">
        <v>21</v>
      </c>
      <c r="I633" s="28" t="s">
        <v>21</v>
      </c>
      <c r="J633" s="28" t="s">
        <v>1923</v>
      </c>
      <c r="K633" s="28" t="s">
        <v>1924</v>
      </c>
      <c r="L633" s="28" t="s">
        <v>82</v>
      </c>
      <c r="M633" s="28" t="s">
        <v>21</v>
      </c>
      <c r="N633" s="27">
        <v>34061</v>
      </c>
      <c r="O633" s="92">
        <v>34576</v>
      </c>
      <c r="P633" s="28" t="s">
        <v>21</v>
      </c>
      <c r="Q633" s="26" t="b">
        <v>0</v>
      </c>
      <c r="R633" s="22">
        <f t="shared" si="9"/>
        <v>522</v>
      </c>
    </row>
    <row r="634" spans="1:18">
      <c r="A634" s="26">
        <v>1314</v>
      </c>
      <c r="B634" s="27">
        <v>34053</v>
      </c>
      <c r="C634" s="28" t="s">
        <v>1925</v>
      </c>
      <c r="D634" s="27">
        <v>34051</v>
      </c>
      <c r="E634" s="28" t="s">
        <v>1926</v>
      </c>
      <c r="F634" s="28" t="s">
        <v>242</v>
      </c>
      <c r="G634" s="28" t="s">
        <v>20</v>
      </c>
      <c r="H634" s="28" t="s">
        <v>21</v>
      </c>
      <c r="I634" s="28" t="s">
        <v>21</v>
      </c>
      <c r="J634" s="28" t="s">
        <v>1927</v>
      </c>
      <c r="K634" s="28" t="s">
        <v>1928</v>
      </c>
      <c r="L634" s="28" t="s">
        <v>1152</v>
      </c>
      <c r="M634" s="28" t="s">
        <v>21</v>
      </c>
      <c r="O634" s="92">
        <v>34449</v>
      </c>
      <c r="P634" s="28" t="s">
        <v>31</v>
      </c>
      <c r="Q634" s="26" t="b">
        <v>0</v>
      </c>
      <c r="R634" s="22">
        <f t="shared" si="9"/>
        <v>395</v>
      </c>
    </row>
    <row r="635" spans="1:18">
      <c r="A635" s="26">
        <v>1319</v>
      </c>
      <c r="B635" s="27">
        <v>34057</v>
      </c>
      <c r="C635" s="28" t="s">
        <v>1933</v>
      </c>
      <c r="D635" s="27">
        <v>34051</v>
      </c>
      <c r="E635" s="28" t="s">
        <v>1934</v>
      </c>
      <c r="F635" s="28" t="s">
        <v>34</v>
      </c>
      <c r="G635" s="28" t="s">
        <v>20</v>
      </c>
      <c r="H635" s="28" t="s">
        <v>21</v>
      </c>
      <c r="I635" s="28" t="s">
        <v>21</v>
      </c>
      <c r="J635" s="28" t="s">
        <v>1935</v>
      </c>
      <c r="K635" s="28" t="s">
        <v>1936</v>
      </c>
      <c r="L635" s="28" t="s">
        <v>82</v>
      </c>
      <c r="M635" s="28" t="s">
        <v>21</v>
      </c>
      <c r="N635" s="29">
        <v>34089</v>
      </c>
      <c r="O635" s="92">
        <v>34064</v>
      </c>
      <c r="P635" s="28" t="s">
        <v>31</v>
      </c>
      <c r="Q635" s="26" t="b">
        <v>0</v>
      </c>
      <c r="R635" s="22">
        <f t="shared" si="9"/>
        <v>6</v>
      </c>
    </row>
    <row r="636" spans="1:18">
      <c r="A636" s="26">
        <v>1328</v>
      </c>
      <c r="B636" s="27">
        <v>34059</v>
      </c>
      <c r="C636" s="28" t="s">
        <v>1937</v>
      </c>
      <c r="D636" s="27">
        <v>34058</v>
      </c>
      <c r="E636" s="28" t="s">
        <v>1938</v>
      </c>
      <c r="F636" s="28" t="s">
        <v>1939</v>
      </c>
      <c r="G636" s="28" t="s">
        <v>20</v>
      </c>
      <c r="H636" s="28" t="s">
        <v>21</v>
      </c>
      <c r="I636" s="28" t="s">
        <v>21</v>
      </c>
      <c r="J636" s="28" t="s">
        <v>1940</v>
      </c>
      <c r="K636" s="28" t="s">
        <v>1941</v>
      </c>
      <c r="L636" s="28" t="s">
        <v>24</v>
      </c>
      <c r="M636" s="28" t="s">
        <v>21</v>
      </c>
      <c r="N636" s="27">
        <v>34089</v>
      </c>
      <c r="O636" s="92">
        <v>34128</v>
      </c>
      <c r="P636" s="28" t="s">
        <v>21</v>
      </c>
      <c r="Q636" s="26" t="b">
        <v>0</v>
      </c>
      <c r="R636" s="22">
        <f t="shared" si="9"/>
        <v>68</v>
      </c>
    </row>
    <row r="637" spans="1:18" ht="24">
      <c r="A637" s="26">
        <v>1329</v>
      </c>
      <c r="B637" s="27">
        <v>34059</v>
      </c>
      <c r="C637" s="28" t="s">
        <v>1942</v>
      </c>
      <c r="D637" s="27">
        <v>34058</v>
      </c>
      <c r="E637" s="28" t="s">
        <v>1943</v>
      </c>
      <c r="F637" s="28" t="s">
        <v>85</v>
      </c>
      <c r="G637" s="28" t="s">
        <v>20</v>
      </c>
      <c r="H637" s="28" t="s">
        <v>21</v>
      </c>
      <c r="I637" s="28" t="s">
        <v>21</v>
      </c>
      <c r="J637" s="28" t="s">
        <v>1944</v>
      </c>
      <c r="K637" s="28" t="s">
        <v>1945</v>
      </c>
      <c r="L637" s="28" t="s">
        <v>1946</v>
      </c>
      <c r="M637" s="28" t="s">
        <v>1947</v>
      </c>
      <c r="N637" s="29">
        <v>34089</v>
      </c>
      <c r="O637" s="92">
        <v>40556</v>
      </c>
      <c r="P637" s="28" t="s">
        <v>21</v>
      </c>
      <c r="Q637" s="26" t="b">
        <v>0</v>
      </c>
      <c r="R637" s="22">
        <f t="shared" si="9"/>
        <v>6491</v>
      </c>
    </row>
    <row r="638" spans="1:18">
      <c r="A638" s="26">
        <v>1333</v>
      </c>
      <c r="B638" s="27">
        <v>34060</v>
      </c>
      <c r="C638" s="28" t="s">
        <v>1948</v>
      </c>
      <c r="D638" s="27">
        <v>34060</v>
      </c>
      <c r="E638" s="28" t="s">
        <v>1949</v>
      </c>
      <c r="F638" s="28" t="s">
        <v>56</v>
      </c>
      <c r="G638" s="28" t="s">
        <v>20</v>
      </c>
      <c r="H638" s="28" t="s">
        <v>21</v>
      </c>
      <c r="I638" s="28" t="s">
        <v>21</v>
      </c>
      <c r="J638" s="28" t="s">
        <v>1950</v>
      </c>
      <c r="K638" s="28" t="s">
        <v>1951</v>
      </c>
      <c r="L638" s="28" t="s">
        <v>24</v>
      </c>
      <c r="M638" s="28" t="s">
        <v>21</v>
      </c>
      <c r="N638" s="29">
        <v>34068</v>
      </c>
      <c r="O638" s="92">
        <v>34066</v>
      </c>
      <c r="P638" s="28" t="s">
        <v>21</v>
      </c>
      <c r="Q638" s="26" t="b">
        <v>0</v>
      </c>
      <c r="R638" s="22">
        <f t="shared" si="9"/>
        <v>6</v>
      </c>
    </row>
    <row r="639" spans="1:18">
      <c r="A639" s="26">
        <v>1334</v>
      </c>
      <c r="B639" s="27">
        <v>34060</v>
      </c>
      <c r="C639" s="28" t="s">
        <v>1952</v>
      </c>
      <c r="D639" s="27">
        <v>34059</v>
      </c>
      <c r="E639" s="28" t="s">
        <v>1204</v>
      </c>
      <c r="F639" s="28" t="s">
        <v>1953</v>
      </c>
      <c r="G639" s="28" t="s">
        <v>21</v>
      </c>
      <c r="H639" s="28" t="s">
        <v>21</v>
      </c>
      <c r="I639" s="28" t="s">
        <v>21</v>
      </c>
      <c r="J639" s="28" t="s">
        <v>1954</v>
      </c>
      <c r="K639" s="28" t="s">
        <v>1955</v>
      </c>
      <c r="L639" s="28" t="s">
        <v>59</v>
      </c>
      <c r="M639" s="28" t="s">
        <v>21</v>
      </c>
      <c r="N639" s="29">
        <v>34074</v>
      </c>
      <c r="O639" s="92">
        <v>34074</v>
      </c>
      <c r="P639" s="28" t="s">
        <v>21</v>
      </c>
      <c r="Q639" s="26" t="b">
        <v>0</v>
      </c>
      <c r="R639" s="22">
        <f t="shared" si="9"/>
        <v>14</v>
      </c>
    </row>
    <row r="640" spans="1:18">
      <c r="A640" s="26">
        <v>1339</v>
      </c>
      <c r="B640" s="27">
        <v>34065</v>
      </c>
      <c r="C640" s="28" t="s">
        <v>1956</v>
      </c>
      <c r="D640" s="27">
        <v>34059</v>
      </c>
      <c r="E640" s="28" t="s">
        <v>1957</v>
      </c>
      <c r="F640" s="28" t="s">
        <v>98</v>
      </c>
      <c r="G640" s="28" t="s">
        <v>20</v>
      </c>
      <c r="H640" s="28" t="s">
        <v>21</v>
      </c>
      <c r="I640" s="28" t="s">
        <v>21</v>
      </c>
      <c r="J640" s="28" t="s">
        <v>1958</v>
      </c>
      <c r="K640" s="28" t="s">
        <v>1959</v>
      </c>
      <c r="L640" s="28" t="s">
        <v>1152</v>
      </c>
      <c r="M640" s="28" t="s">
        <v>21</v>
      </c>
      <c r="N640" s="29">
        <v>34096</v>
      </c>
      <c r="O640" s="92">
        <v>34243</v>
      </c>
      <c r="P640" s="28" t="s">
        <v>21</v>
      </c>
      <c r="Q640" s="26" t="b">
        <v>0</v>
      </c>
      <c r="R640" s="22">
        <f t="shared" si="9"/>
        <v>177</v>
      </c>
    </row>
    <row r="641" spans="1:18">
      <c r="A641" s="26">
        <v>1342</v>
      </c>
      <c r="B641" s="27">
        <v>34066</v>
      </c>
      <c r="C641" s="28" t="s">
        <v>1960</v>
      </c>
      <c r="D641" s="27">
        <v>34066</v>
      </c>
      <c r="E641" s="28" t="s">
        <v>1204</v>
      </c>
      <c r="F641" s="28" t="s">
        <v>56</v>
      </c>
      <c r="G641" s="28" t="s">
        <v>21</v>
      </c>
      <c r="H641" s="28" t="s">
        <v>21</v>
      </c>
      <c r="I641" s="28" t="s">
        <v>21</v>
      </c>
      <c r="J641" s="28" t="s">
        <v>1961</v>
      </c>
      <c r="K641" s="28" t="s">
        <v>1962</v>
      </c>
      <c r="L641" s="28" t="s">
        <v>59</v>
      </c>
      <c r="M641" s="28" t="s">
        <v>21</v>
      </c>
      <c r="N641" s="29">
        <v>34075</v>
      </c>
      <c r="O641" s="92">
        <v>34075</v>
      </c>
      <c r="P641" s="28" t="s">
        <v>21</v>
      </c>
      <c r="Q641" s="26" t="b">
        <v>0</v>
      </c>
      <c r="R641" s="22">
        <f t="shared" si="9"/>
        <v>9</v>
      </c>
    </row>
    <row r="642" spans="1:18">
      <c r="A642" s="26">
        <v>1346</v>
      </c>
      <c r="B642" s="27">
        <v>34067</v>
      </c>
      <c r="C642" s="28" t="s">
        <v>1963</v>
      </c>
      <c r="D642" s="27">
        <v>34064</v>
      </c>
      <c r="E642" s="28" t="s">
        <v>1964</v>
      </c>
      <c r="F642" s="28" t="s">
        <v>98</v>
      </c>
      <c r="G642" s="28" t="s">
        <v>20</v>
      </c>
      <c r="H642" s="28" t="s">
        <v>21</v>
      </c>
      <c r="I642" s="28" t="s">
        <v>21</v>
      </c>
      <c r="J642" s="28" t="s">
        <v>1965</v>
      </c>
      <c r="K642" s="28" t="s">
        <v>1966</v>
      </c>
      <c r="L642" s="28" t="s">
        <v>82</v>
      </c>
      <c r="M642" s="28" t="s">
        <v>21</v>
      </c>
      <c r="N642" s="29">
        <v>34104</v>
      </c>
      <c r="O642" s="92">
        <v>34099</v>
      </c>
      <c r="P642" s="28" t="s">
        <v>31</v>
      </c>
      <c r="Q642" s="26" t="b">
        <v>0</v>
      </c>
      <c r="R642" s="22">
        <f t="shared" ref="R642:R705" si="10">IF(O642=" ", " ", INT(YEARFRAC(O642, B642)*365))</f>
        <v>32</v>
      </c>
    </row>
    <row r="643" spans="1:18">
      <c r="A643" s="26">
        <v>1347</v>
      </c>
      <c r="B643" s="27">
        <v>34071</v>
      </c>
      <c r="C643" s="28" t="s">
        <v>1967</v>
      </c>
      <c r="D643" s="27">
        <v>34071</v>
      </c>
      <c r="E643" s="28" t="s">
        <v>1968</v>
      </c>
      <c r="F643" s="28" t="s">
        <v>70</v>
      </c>
      <c r="G643" s="28" t="s">
        <v>20</v>
      </c>
      <c r="H643" s="28" t="s">
        <v>71</v>
      </c>
      <c r="I643" s="28" t="s">
        <v>72</v>
      </c>
      <c r="J643" s="28" t="s">
        <v>1969</v>
      </c>
      <c r="K643" s="28" t="s">
        <v>1970</v>
      </c>
      <c r="L643" s="28" t="s">
        <v>82</v>
      </c>
      <c r="M643" s="28" t="s">
        <v>21</v>
      </c>
      <c r="N643" s="29">
        <v>34084</v>
      </c>
      <c r="O643" s="92">
        <v>34176</v>
      </c>
      <c r="P643" s="28" t="s">
        <v>21</v>
      </c>
      <c r="Q643" s="26" t="b">
        <v>0</v>
      </c>
      <c r="R643" s="22">
        <f t="shared" si="10"/>
        <v>105</v>
      </c>
    </row>
    <row r="644" spans="1:18">
      <c r="A644" s="26">
        <v>1348</v>
      </c>
      <c r="B644" s="27">
        <v>34071</v>
      </c>
      <c r="C644" s="28" t="s">
        <v>1971</v>
      </c>
      <c r="D644" s="27">
        <v>34071</v>
      </c>
      <c r="E644" s="28" t="s">
        <v>1972</v>
      </c>
      <c r="F644" s="28" t="s">
        <v>188</v>
      </c>
      <c r="G644" s="28" t="s">
        <v>20</v>
      </c>
      <c r="H644" s="28" t="s">
        <v>189</v>
      </c>
      <c r="I644" s="28" t="s">
        <v>189</v>
      </c>
      <c r="J644" s="28" t="s">
        <v>1973</v>
      </c>
      <c r="K644" s="28" t="s">
        <v>1974</v>
      </c>
      <c r="L644" s="28" t="s">
        <v>82</v>
      </c>
      <c r="M644" s="28" t="s">
        <v>21</v>
      </c>
      <c r="N644" s="29">
        <v>34104</v>
      </c>
      <c r="O644" s="92">
        <v>34718</v>
      </c>
      <c r="P644" s="28" t="s">
        <v>31</v>
      </c>
      <c r="Q644" s="26" t="b">
        <v>0</v>
      </c>
      <c r="R644" s="22">
        <f t="shared" si="10"/>
        <v>645</v>
      </c>
    </row>
    <row r="645" spans="1:18">
      <c r="A645" s="26">
        <v>1354</v>
      </c>
      <c r="B645" s="27">
        <v>34074</v>
      </c>
      <c r="C645" s="28" t="s">
        <v>1975</v>
      </c>
      <c r="D645" s="27">
        <v>34065</v>
      </c>
      <c r="E645" s="28" t="s">
        <v>1976</v>
      </c>
      <c r="F645" s="28" t="s">
        <v>513</v>
      </c>
      <c r="G645" s="28" t="s">
        <v>20</v>
      </c>
      <c r="H645" s="28" t="s">
        <v>21</v>
      </c>
      <c r="I645" s="28" t="s">
        <v>21</v>
      </c>
      <c r="J645" s="28" t="s">
        <v>1977</v>
      </c>
      <c r="K645" s="28" t="s">
        <v>1978</v>
      </c>
      <c r="L645" s="28" t="s">
        <v>30</v>
      </c>
      <c r="M645" s="28" t="s">
        <v>21</v>
      </c>
      <c r="N645" s="29">
        <v>34104</v>
      </c>
      <c r="O645" s="92">
        <v>34103</v>
      </c>
      <c r="P645" s="28" t="s">
        <v>21</v>
      </c>
      <c r="Q645" s="26" t="b">
        <v>0</v>
      </c>
      <c r="R645" s="22">
        <f t="shared" si="10"/>
        <v>29</v>
      </c>
    </row>
    <row r="646" spans="1:18">
      <c r="A646" s="26">
        <v>1355</v>
      </c>
      <c r="B646" s="27">
        <v>34074</v>
      </c>
      <c r="C646" s="28" t="s">
        <v>1979</v>
      </c>
      <c r="D646" s="27">
        <v>34073</v>
      </c>
      <c r="E646" s="28" t="s">
        <v>1204</v>
      </c>
      <c r="F646" s="28" t="s">
        <v>56</v>
      </c>
      <c r="G646" s="28" t="s">
        <v>21</v>
      </c>
      <c r="H646" s="28" t="s">
        <v>21</v>
      </c>
      <c r="I646" s="28" t="s">
        <v>21</v>
      </c>
      <c r="J646" s="28" t="s">
        <v>1980</v>
      </c>
      <c r="K646" s="28" t="s">
        <v>1981</v>
      </c>
      <c r="L646" s="28" t="s">
        <v>59</v>
      </c>
      <c r="M646" s="28" t="s">
        <v>21</v>
      </c>
      <c r="N646" s="29">
        <v>34082</v>
      </c>
      <c r="O646" s="92">
        <v>34081</v>
      </c>
      <c r="P646" s="28" t="s">
        <v>21</v>
      </c>
      <c r="Q646" s="26" t="b">
        <v>0</v>
      </c>
      <c r="R646" s="22">
        <f t="shared" si="10"/>
        <v>7</v>
      </c>
    </row>
    <row r="647" spans="1:18">
      <c r="A647" s="26">
        <v>1359</v>
      </c>
      <c r="B647" s="27">
        <v>34079</v>
      </c>
      <c r="C647" s="28" t="s">
        <v>1982</v>
      </c>
      <c r="D647" s="27">
        <v>34079</v>
      </c>
      <c r="E647" s="28" t="s">
        <v>38</v>
      </c>
      <c r="F647" s="28" t="s">
        <v>228</v>
      </c>
      <c r="G647" s="28" t="s">
        <v>20</v>
      </c>
      <c r="H647" s="28" t="s">
        <v>21</v>
      </c>
      <c r="I647" s="28" t="s">
        <v>21</v>
      </c>
      <c r="J647" s="28" t="s">
        <v>1983</v>
      </c>
      <c r="K647" s="28" t="s">
        <v>1984</v>
      </c>
      <c r="L647" s="28" t="s">
        <v>24</v>
      </c>
      <c r="M647" s="28" t="s">
        <v>21</v>
      </c>
      <c r="N647" s="27">
        <v>34089</v>
      </c>
      <c r="O647" s="92">
        <v>34081</v>
      </c>
      <c r="P647" s="28" t="s">
        <v>21</v>
      </c>
      <c r="Q647" s="26" t="b">
        <v>0</v>
      </c>
      <c r="R647" s="22">
        <f t="shared" si="10"/>
        <v>2</v>
      </c>
    </row>
    <row r="648" spans="1:18">
      <c r="A648" s="26">
        <v>1362</v>
      </c>
      <c r="B648" s="27">
        <v>34080</v>
      </c>
      <c r="C648" s="28" t="s">
        <v>1985</v>
      </c>
      <c r="D648" s="27">
        <v>34074</v>
      </c>
      <c r="E648" s="28" t="s">
        <v>1986</v>
      </c>
      <c r="F648" s="28" t="s">
        <v>104</v>
      </c>
      <c r="G648" s="28" t="s">
        <v>20</v>
      </c>
      <c r="H648" s="28" t="s">
        <v>21</v>
      </c>
      <c r="I648" s="28" t="s">
        <v>21</v>
      </c>
      <c r="J648" s="28" t="s">
        <v>1987</v>
      </c>
      <c r="K648" s="28" t="s">
        <v>1988</v>
      </c>
      <c r="L648" s="28" t="s">
        <v>67</v>
      </c>
      <c r="M648" s="28" t="s">
        <v>21</v>
      </c>
      <c r="N648" s="29">
        <v>34120</v>
      </c>
      <c r="O648" s="92">
        <v>35495</v>
      </c>
      <c r="P648" s="28" t="s">
        <v>21</v>
      </c>
      <c r="Q648" s="26" t="b">
        <v>0</v>
      </c>
      <c r="R648" s="22">
        <f t="shared" si="10"/>
        <v>1414</v>
      </c>
    </row>
    <row r="649" spans="1:18">
      <c r="A649" s="26">
        <v>1363</v>
      </c>
      <c r="B649" s="27">
        <v>34080</v>
      </c>
      <c r="C649" s="28" t="s">
        <v>1989</v>
      </c>
      <c r="D649" s="27">
        <v>34079</v>
      </c>
      <c r="E649" s="28" t="s">
        <v>1204</v>
      </c>
      <c r="F649" s="28" t="s">
        <v>56</v>
      </c>
      <c r="G649" s="28" t="s">
        <v>20</v>
      </c>
      <c r="H649" s="28" t="s">
        <v>21</v>
      </c>
      <c r="I649" s="28" t="s">
        <v>21</v>
      </c>
      <c r="J649" s="28" t="s">
        <v>1990</v>
      </c>
      <c r="K649" s="28" t="s">
        <v>1991</v>
      </c>
      <c r="L649" s="28" t="s">
        <v>59</v>
      </c>
      <c r="M649" s="28" t="s">
        <v>21</v>
      </c>
      <c r="N649" s="29">
        <v>34094</v>
      </c>
      <c r="O649" s="92">
        <v>34333</v>
      </c>
      <c r="P649" s="28" t="s">
        <v>21</v>
      </c>
      <c r="Q649" s="26" t="b">
        <v>0</v>
      </c>
      <c r="R649" s="22">
        <f t="shared" si="10"/>
        <v>252</v>
      </c>
    </row>
    <row r="650" spans="1:18">
      <c r="A650" s="26">
        <v>1365</v>
      </c>
      <c r="B650" s="27">
        <v>34081</v>
      </c>
      <c r="C650" s="28" t="s">
        <v>1992</v>
      </c>
      <c r="D650" s="27">
        <v>34078</v>
      </c>
      <c r="E650" s="28" t="s">
        <v>1204</v>
      </c>
      <c r="F650" s="28" t="s">
        <v>56</v>
      </c>
      <c r="G650" s="28" t="s">
        <v>20</v>
      </c>
      <c r="H650" s="28" t="s">
        <v>21</v>
      </c>
      <c r="I650" s="28" t="s">
        <v>21</v>
      </c>
      <c r="J650" s="28" t="s">
        <v>1993</v>
      </c>
      <c r="K650" s="28" t="s">
        <v>1994</v>
      </c>
      <c r="L650" s="28" t="s">
        <v>59</v>
      </c>
      <c r="M650" s="28" t="s">
        <v>21</v>
      </c>
      <c r="N650" s="29">
        <v>34089</v>
      </c>
      <c r="O650" s="92">
        <v>34081</v>
      </c>
      <c r="P650" s="28" t="s">
        <v>21</v>
      </c>
      <c r="Q650" s="26" t="b">
        <v>0</v>
      </c>
      <c r="R650" s="22">
        <f t="shared" si="10"/>
        <v>0</v>
      </c>
    </row>
    <row r="651" spans="1:18">
      <c r="A651" s="26">
        <v>1366</v>
      </c>
      <c r="B651" s="27">
        <v>34081</v>
      </c>
      <c r="C651" s="28" t="s">
        <v>1995</v>
      </c>
      <c r="D651" s="27">
        <v>34079</v>
      </c>
      <c r="E651" s="28" t="s">
        <v>1996</v>
      </c>
      <c r="F651" s="28" t="s">
        <v>70</v>
      </c>
      <c r="G651" s="28" t="s">
        <v>20</v>
      </c>
      <c r="H651" s="28" t="s">
        <v>71</v>
      </c>
      <c r="I651" s="28" t="s">
        <v>72</v>
      </c>
      <c r="J651" s="28" t="s">
        <v>1997</v>
      </c>
      <c r="K651" s="28" t="s">
        <v>1998</v>
      </c>
      <c r="L651" s="28" t="s">
        <v>24</v>
      </c>
      <c r="M651" s="28" t="s">
        <v>21</v>
      </c>
      <c r="N651" s="29">
        <v>34120</v>
      </c>
      <c r="O651" s="92">
        <v>34113</v>
      </c>
      <c r="P651" s="28" t="s">
        <v>21</v>
      </c>
      <c r="Q651" s="26" t="b">
        <v>0</v>
      </c>
      <c r="R651" s="22">
        <f t="shared" si="10"/>
        <v>32</v>
      </c>
    </row>
    <row r="652" spans="1:18">
      <c r="A652" s="26">
        <v>1377</v>
      </c>
      <c r="B652" s="27">
        <v>34086</v>
      </c>
      <c r="C652" s="28" t="s">
        <v>2003</v>
      </c>
      <c r="D652" s="27">
        <v>34085</v>
      </c>
      <c r="E652" s="28" t="s">
        <v>2004</v>
      </c>
      <c r="F652" s="28" t="s">
        <v>27</v>
      </c>
      <c r="G652" s="28" t="s">
        <v>20</v>
      </c>
      <c r="H652" s="28" t="s">
        <v>21</v>
      </c>
      <c r="I652" s="28" t="s">
        <v>21</v>
      </c>
      <c r="J652" s="28" t="s">
        <v>2005</v>
      </c>
      <c r="K652" s="28" t="s">
        <v>2006</v>
      </c>
      <c r="L652" s="28" t="s">
        <v>24</v>
      </c>
      <c r="M652" s="28" t="s">
        <v>21</v>
      </c>
      <c r="N652" s="29">
        <v>34119</v>
      </c>
      <c r="O652" s="92">
        <v>34480</v>
      </c>
      <c r="P652" s="28" t="s">
        <v>21</v>
      </c>
      <c r="Q652" s="26" t="b">
        <v>0</v>
      </c>
      <c r="R652" s="22">
        <f t="shared" si="10"/>
        <v>394</v>
      </c>
    </row>
    <row r="653" spans="1:18">
      <c r="A653" s="26">
        <v>1378</v>
      </c>
      <c r="B653" s="27">
        <v>34086</v>
      </c>
      <c r="C653" s="28" t="s">
        <v>17263</v>
      </c>
      <c r="D653" s="27">
        <v>34080</v>
      </c>
      <c r="E653" s="28" t="s">
        <v>17264</v>
      </c>
      <c r="F653" s="28" t="s">
        <v>21</v>
      </c>
      <c r="G653" s="28" t="s">
        <v>20</v>
      </c>
      <c r="H653" s="28" t="s">
        <v>21</v>
      </c>
      <c r="I653" s="28" t="s">
        <v>21</v>
      </c>
      <c r="J653" s="28" t="s">
        <v>2868</v>
      </c>
      <c r="K653" s="28" t="s">
        <v>17265</v>
      </c>
      <c r="L653" s="28" t="s">
        <v>24</v>
      </c>
      <c r="M653" s="28" t="s">
        <v>21</v>
      </c>
      <c r="N653" s="29">
        <v>34119</v>
      </c>
      <c r="O653" s="92">
        <v>34093</v>
      </c>
      <c r="P653" s="28" t="s">
        <v>31</v>
      </c>
      <c r="Q653" s="26" t="b">
        <v>0</v>
      </c>
      <c r="R653" s="22">
        <f t="shared" si="10"/>
        <v>7</v>
      </c>
    </row>
    <row r="654" spans="1:18">
      <c r="A654" s="26">
        <v>1379</v>
      </c>
      <c r="B654" s="27">
        <v>34087</v>
      </c>
      <c r="C654" s="28" t="s">
        <v>2007</v>
      </c>
      <c r="D654" s="27">
        <v>34082</v>
      </c>
      <c r="E654" s="28" t="s">
        <v>2008</v>
      </c>
      <c r="F654" s="28" t="s">
        <v>129</v>
      </c>
      <c r="G654" s="28" t="s">
        <v>20</v>
      </c>
      <c r="H654" s="28" t="s">
        <v>21</v>
      </c>
      <c r="I654" s="28" t="s">
        <v>21</v>
      </c>
      <c r="J654" s="28" t="s">
        <v>2009</v>
      </c>
      <c r="K654" s="28" t="s">
        <v>2010</v>
      </c>
      <c r="L654" s="28" t="s">
        <v>24</v>
      </c>
      <c r="M654" s="28" t="s">
        <v>21</v>
      </c>
      <c r="N654" s="29">
        <v>34119</v>
      </c>
      <c r="O654" s="92">
        <v>34978</v>
      </c>
      <c r="P654" s="28" t="s">
        <v>21</v>
      </c>
      <c r="Q654" s="26" t="b">
        <v>0</v>
      </c>
      <c r="R654" s="22">
        <f t="shared" si="10"/>
        <v>890</v>
      </c>
    </row>
    <row r="655" spans="1:18">
      <c r="A655" s="26">
        <v>1389</v>
      </c>
      <c r="B655" s="27">
        <v>34087</v>
      </c>
      <c r="C655" s="28" t="s">
        <v>2015</v>
      </c>
      <c r="D655" s="27">
        <v>34067</v>
      </c>
      <c r="E655" s="28" t="s">
        <v>38</v>
      </c>
      <c r="F655" s="28" t="s">
        <v>242</v>
      </c>
      <c r="G655" s="28" t="s">
        <v>20</v>
      </c>
      <c r="H655" s="28" t="s">
        <v>21</v>
      </c>
      <c r="I655" s="28" t="s">
        <v>21</v>
      </c>
      <c r="J655" s="28" t="s">
        <v>2016</v>
      </c>
      <c r="K655" s="28" t="s">
        <v>1875</v>
      </c>
      <c r="L655" s="28" t="s">
        <v>24</v>
      </c>
      <c r="M655" s="28" t="s">
        <v>21</v>
      </c>
      <c r="N655" s="27">
        <v>34093</v>
      </c>
      <c r="O655" s="92">
        <v>34094</v>
      </c>
      <c r="P655" s="28" t="s">
        <v>21</v>
      </c>
      <c r="Q655" s="26" t="b">
        <v>0</v>
      </c>
      <c r="R655" s="22">
        <f t="shared" si="10"/>
        <v>7</v>
      </c>
    </row>
    <row r="656" spans="1:18">
      <c r="A656" s="26">
        <v>1376</v>
      </c>
      <c r="B656" s="27">
        <v>34088</v>
      </c>
      <c r="C656" s="28" t="s">
        <v>1999</v>
      </c>
      <c r="D656" s="27">
        <v>34075</v>
      </c>
      <c r="E656" s="28" t="s">
        <v>2000</v>
      </c>
      <c r="F656" s="28" t="s">
        <v>27</v>
      </c>
      <c r="G656" s="28" t="s">
        <v>20</v>
      </c>
      <c r="H656" s="28" t="s">
        <v>21</v>
      </c>
      <c r="I656" s="28" t="s">
        <v>21</v>
      </c>
      <c r="J656" s="28" t="s">
        <v>2001</v>
      </c>
      <c r="K656" s="28" t="s">
        <v>2002</v>
      </c>
      <c r="L656" s="28" t="s">
        <v>1152</v>
      </c>
      <c r="M656" s="28" t="s">
        <v>21</v>
      </c>
      <c r="N656" s="29">
        <v>34103</v>
      </c>
      <c r="O656" s="92">
        <v>34134</v>
      </c>
      <c r="P656" s="28" t="s">
        <v>21</v>
      </c>
      <c r="Q656" s="26" t="b">
        <v>0</v>
      </c>
      <c r="R656" s="22">
        <f t="shared" si="10"/>
        <v>45</v>
      </c>
    </row>
    <row r="657" spans="1:18">
      <c r="A657" s="26">
        <v>1380</v>
      </c>
      <c r="B657" s="27">
        <v>34088</v>
      </c>
      <c r="C657" s="28" t="s">
        <v>2011</v>
      </c>
      <c r="D657" s="27">
        <v>34087</v>
      </c>
      <c r="E657" s="28" t="s">
        <v>1204</v>
      </c>
      <c r="F657" s="28" t="s">
        <v>85</v>
      </c>
      <c r="G657" s="28" t="s">
        <v>20</v>
      </c>
      <c r="H657" s="28" t="s">
        <v>21</v>
      </c>
      <c r="I657" s="28" t="s">
        <v>21</v>
      </c>
      <c r="J657" s="28" t="s">
        <v>2012</v>
      </c>
      <c r="K657" s="28" t="s">
        <v>2013</v>
      </c>
      <c r="L657" s="28" t="s">
        <v>2014</v>
      </c>
      <c r="M657" s="28" t="s">
        <v>21</v>
      </c>
      <c r="N657" s="29">
        <v>34104</v>
      </c>
      <c r="O657" s="92">
        <v>34108</v>
      </c>
      <c r="P657" s="28" t="s">
        <v>21</v>
      </c>
      <c r="Q657" s="26" t="b">
        <v>0</v>
      </c>
      <c r="R657" s="22">
        <f t="shared" si="10"/>
        <v>20</v>
      </c>
    </row>
    <row r="658" spans="1:18">
      <c r="A658" s="26">
        <v>1403</v>
      </c>
      <c r="B658" s="27">
        <v>34092</v>
      </c>
      <c r="C658" s="28" t="s">
        <v>2017</v>
      </c>
      <c r="D658" s="27">
        <v>34092</v>
      </c>
      <c r="E658" s="28" t="s">
        <v>2018</v>
      </c>
      <c r="F658" s="28" t="s">
        <v>98</v>
      </c>
      <c r="G658" s="28" t="s">
        <v>20</v>
      </c>
      <c r="H658" s="28" t="s">
        <v>21</v>
      </c>
      <c r="I658" s="28" t="s">
        <v>21</v>
      </c>
      <c r="J658" s="28" t="s">
        <v>2019</v>
      </c>
      <c r="K658" s="28" t="s">
        <v>2020</v>
      </c>
      <c r="L658" s="28" t="s">
        <v>24</v>
      </c>
      <c r="M658" s="28" t="s">
        <v>21</v>
      </c>
      <c r="N658" s="29">
        <v>34096</v>
      </c>
      <c r="O658" s="92">
        <v>34134</v>
      </c>
      <c r="P658" s="28" t="s">
        <v>31</v>
      </c>
      <c r="Q658" s="26" t="b">
        <v>0</v>
      </c>
      <c r="R658" s="22">
        <f t="shared" si="10"/>
        <v>41</v>
      </c>
    </row>
    <row r="659" spans="1:18">
      <c r="A659" s="26">
        <v>1410</v>
      </c>
      <c r="B659" s="27">
        <v>34095</v>
      </c>
      <c r="C659" s="28" t="s">
        <v>2021</v>
      </c>
      <c r="D659" s="27">
        <v>34095</v>
      </c>
      <c r="E659" s="28" t="s">
        <v>1204</v>
      </c>
      <c r="F659" s="28" t="s">
        <v>1953</v>
      </c>
      <c r="G659" s="28" t="s">
        <v>21</v>
      </c>
      <c r="H659" s="28" t="s">
        <v>21</v>
      </c>
      <c r="I659" s="28" t="s">
        <v>21</v>
      </c>
      <c r="J659" s="28" t="s">
        <v>2022</v>
      </c>
      <c r="K659" s="28" t="s">
        <v>2023</v>
      </c>
      <c r="L659" s="28" t="s">
        <v>59</v>
      </c>
      <c r="M659" s="28" t="s">
        <v>21</v>
      </c>
      <c r="N659" s="29">
        <v>34100</v>
      </c>
      <c r="O659" s="92">
        <v>34100</v>
      </c>
      <c r="P659" s="28" t="s">
        <v>21</v>
      </c>
      <c r="Q659" s="26" t="b">
        <v>0</v>
      </c>
      <c r="R659" s="22">
        <f t="shared" si="10"/>
        <v>5</v>
      </c>
    </row>
    <row r="660" spans="1:18">
      <c r="A660" s="26">
        <v>1416</v>
      </c>
      <c r="B660" s="27">
        <v>34095</v>
      </c>
      <c r="C660" s="28" t="s">
        <v>2035</v>
      </c>
      <c r="D660" s="27">
        <v>34089</v>
      </c>
      <c r="E660" s="28" t="s">
        <v>38</v>
      </c>
      <c r="F660" s="28" t="s">
        <v>533</v>
      </c>
      <c r="G660" s="28" t="s">
        <v>20</v>
      </c>
      <c r="H660" s="28" t="s">
        <v>21</v>
      </c>
      <c r="I660" s="28" t="s">
        <v>21</v>
      </c>
      <c r="J660" s="28" t="s">
        <v>2036</v>
      </c>
      <c r="K660" s="28" t="s">
        <v>2037</v>
      </c>
      <c r="L660" s="28" t="s">
        <v>24</v>
      </c>
      <c r="M660" s="28" t="s">
        <v>21</v>
      </c>
      <c r="N660" s="29">
        <v>34104</v>
      </c>
      <c r="O660" s="92">
        <v>34103</v>
      </c>
      <c r="P660" s="28" t="s">
        <v>31</v>
      </c>
      <c r="Q660" s="26" t="b">
        <v>0</v>
      </c>
      <c r="R660" s="22">
        <f t="shared" si="10"/>
        <v>8</v>
      </c>
    </row>
    <row r="661" spans="1:18">
      <c r="A661" s="26">
        <v>1413</v>
      </c>
      <c r="B661" s="27">
        <v>34096</v>
      </c>
      <c r="C661" s="28" t="s">
        <v>2024</v>
      </c>
      <c r="D661" s="27">
        <v>34093</v>
      </c>
      <c r="E661" s="28" t="s">
        <v>1204</v>
      </c>
      <c r="F661" s="28" t="s">
        <v>56</v>
      </c>
      <c r="G661" s="28" t="s">
        <v>21</v>
      </c>
      <c r="H661" s="28" t="s">
        <v>21</v>
      </c>
      <c r="I661" s="28" t="s">
        <v>21</v>
      </c>
      <c r="J661" s="28" t="s">
        <v>2025</v>
      </c>
      <c r="K661" s="28" t="s">
        <v>2026</v>
      </c>
      <c r="L661" s="28" t="s">
        <v>2027</v>
      </c>
      <c r="M661" s="28" t="s">
        <v>21</v>
      </c>
      <c r="N661" s="29">
        <v>34100</v>
      </c>
      <c r="O661" s="92">
        <v>34102</v>
      </c>
      <c r="P661" s="28" t="s">
        <v>21</v>
      </c>
      <c r="Q661" s="26" t="b">
        <v>0</v>
      </c>
      <c r="R661" s="22">
        <f t="shared" si="10"/>
        <v>6</v>
      </c>
    </row>
    <row r="662" spans="1:18">
      <c r="A662" s="26">
        <v>1414</v>
      </c>
      <c r="B662" s="27">
        <v>34096</v>
      </c>
      <c r="C662" s="28" t="s">
        <v>2028</v>
      </c>
      <c r="D662" s="27">
        <v>34092</v>
      </c>
      <c r="E662" s="28" t="s">
        <v>1204</v>
      </c>
      <c r="F662" s="28" t="s">
        <v>56</v>
      </c>
      <c r="G662" s="28" t="s">
        <v>21</v>
      </c>
      <c r="H662" s="28" t="s">
        <v>21</v>
      </c>
      <c r="I662" s="28" t="s">
        <v>21</v>
      </c>
      <c r="J662" s="28" t="s">
        <v>2029</v>
      </c>
      <c r="K662" s="28" t="s">
        <v>2030</v>
      </c>
      <c r="L662" s="28" t="s">
        <v>59</v>
      </c>
      <c r="M662" s="28" t="s">
        <v>21</v>
      </c>
      <c r="N662" s="29">
        <v>34104</v>
      </c>
      <c r="O662" s="92">
        <v>34120</v>
      </c>
      <c r="P662" s="28" t="s">
        <v>21</v>
      </c>
      <c r="Q662" s="26" t="b">
        <v>0</v>
      </c>
      <c r="R662" s="22">
        <f t="shared" si="10"/>
        <v>24</v>
      </c>
    </row>
    <row r="663" spans="1:18">
      <c r="A663" s="26">
        <v>1415</v>
      </c>
      <c r="B663" s="27">
        <v>34096</v>
      </c>
      <c r="C663" s="28" t="s">
        <v>2031</v>
      </c>
      <c r="D663" s="29">
        <v>34086</v>
      </c>
      <c r="E663" s="28" t="s">
        <v>2032</v>
      </c>
      <c r="F663" s="28" t="s">
        <v>104</v>
      </c>
      <c r="G663" s="28" t="s">
        <v>20</v>
      </c>
      <c r="H663" s="28" t="s">
        <v>21</v>
      </c>
      <c r="I663" s="28" t="s">
        <v>21</v>
      </c>
      <c r="J663" s="28" t="s">
        <v>2033</v>
      </c>
      <c r="K663" s="28" t="s">
        <v>2034</v>
      </c>
      <c r="L663" s="28" t="s">
        <v>24</v>
      </c>
      <c r="M663" s="28" t="s">
        <v>21</v>
      </c>
      <c r="N663" s="27">
        <v>34150</v>
      </c>
      <c r="O663" s="92">
        <v>35235</v>
      </c>
      <c r="P663" s="28" t="s">
        <v>21</v>
      </c>
      <c r="Q663" s="26" t="b">
        <v>0</v>
      </c>
      <c r="R663" s="22">
        <f t="shared" si="10"/>
        <v>1137</v>
      </c>
    </row>
    <row r="664" spans="1:18">
      <c r="A664" s="26">
        <v>1417</v>
      </c>
      <c r="B664" s="27">
        <v>34096</v>
      </c>
      <c r="C664" s="28" t="s">
        <v>2038</v>
      </c>
      <c r="D664" s="27">
        <v>34096</v>
      </c>
      <c r="E664" s="28" t="s">
        <v>2039</v>
      </c>
      <c r="F664" s="28" t="s">
        <v>52</v>
      </c>
      <c r="G664" s="28" t="s">
        <v>20</v>
      </c>
      <c r="H664" s="28" t="s">
        <v>21</v>
      </c>
      <c r="I664" s="28" t="s">
        <v>21</v>
      </c>
      <c r="J664" s="28" t="s">
        <v>2040</v>
      </c>
      <c r="K664" s="28" t="s">
        <v>2041</v>
      </c>
      <c r="L664" s="28" t="s">
        <v>82</v>
      </c>
      <c r="M664" s="28" t="s">
        <v>21</v>
      </c>
      <c r="O664" s="92">
        <v>34267</v>
      </c>
      <c r="P664" s="28" t="s">
        <v>21</v>
      </c>
      <c r="Q664" s="26" t="b">
        <v>0</v>
      </c>
      <c r="R664" s="22">
        <f t="shared" si="10"/>
        <v>170</v>
      </c>
    </row>
    <row r="665" spans="1:18">
      <c r="A665" s="26">
        <v>1430</v>
      </c>
      <c r="B665" s="27">
        <v>34101</v>
      </c>
      <c r="C665" s="28" t="s">
        <v>2045</v>
      </c>
      <c r="D665" s="27">
        <v>34096</v>
      </c>
      <c r="E665" s="28" t="s">
        <v>283</v>
      </c>
      <c r="F665" s="28" t="s">
        <v>56</v>
      </c>
      <c r="G665" s="28" t="s">
        <v>20</v>
      </c>
      <c r="H665" s="28" t="s">
        <v>21</v>
      </c>
      <c r="I665" s="28" t="s">
        <v>21</v>
      </c>
      <c r="J665" s="28" t="s">
        <v>2046</v>
      </c>
      <c r="K665" s="28" t="s">
        <v>2047</v>
      </c>
      <c r="L665" s="28" t="s">
        <v>24</v>
      </c>
      <c r="M665" s="28" t="s">
        <v>21</v>
      </c>
      <c r="N665" s="29">
        <v>34107</v>
      </c>
      <c r="O665" s="92">
        <v>34107</v>
      </c>
      <c r="P665" s="28" t="s">
        <v>21</v>
      </c>
      <c r="Q665" s="26" t="b">
        <v>0</v>
      </c>
      <c r="R665" s="22">
        <f t="shared" si="10"/>
        <v>6</v>
      </c>
    </row>
    <row r="666" spans="1:18">
      <c r="A666" s="26">
        <v>1431</v>
      </c>
      <c r="B666" s="27">
        <v>34101</v>
      </c>
      <c r="C666" s="28" t="s">
        <v>2048</v>
      </c>
      <c r="D666" s="27">
        <v>34099</v>
      </c>
      <c r="E666" s="28" t="s">
        <v>2049</v>
      </c>
      <c r="F666" s="28" t="s">
        <v>741</v>
      </c>
      <c r="G666" s="28" t="s">
        <v>20</v>
      </c>
      <c r="H666" s="28" t="s">
        <v>21</v>
      </c>
      <c r="I666" s="28" t="s">
        <v>21</v>
      </c>
      <c r="J666" s="28" t="s">
        <v>2050</v>
      </c>
      <c r="K666" s="28" t="s">
        <v>2051</v>
      </c>
      <c r="L666" s="28" t="s">
        <v>30</v>
      </c>
      <c r="M666" s="28" t="s">
        <v>21</v>
      </c>
      <c r="N666" s="29">
        <v>34132</v>
      </c>
      <c r="O666" s="92">
        <v>36452</v>
      </c>
      <c r="P666" s="28" t="s">
        <v>21</v>
      </c>
      <c r="Q666" s="26" t="b">
        <v>0</v>
      </c>
      <c r="R666" s="22">
        <f t="shared" si="10"/>
        <v>2349</v>
      </c>
    </row>
    <row r="667" spans="1:18">
      <c r="A667" s="26">
        <v>1432</v>
      </c>
      <c r="B667" s="27">
        <v>34101</v>
      </c>
      <c r="C667" s="28" t="s">
        <v>2052</v>
      </c>
      <c r="D667" s="27">
        <v>34089</v>
      </c>
      <c r="E667" s="28" t="s">
        <v>38</v>
      </c>
      <c r="F667" s="28" t="s">
        <v>98</v>
      </c>
      <c r="G667" s="28" t="s">
        <v>20</v>
      </c>
      <c r="H667" s="28" t="s">
        <v>21</v>
      </c>
      <c r="I667" s="28" t="s">
        <v>21</v>
      </c>
      <c r="J667" s="28" t="s">
        <v>2053</v>
      </c>
      <c r="K667" s="28" t="s">
        <v>21</v>
      </c>
      <c r="L667" s="28" t="s">
        <v>24</v>
      </c>
      <c r="M667" s="28" t="s">
        <v>21</v>
      </c>
      <c r="N667" s="29">
        <v>34105</v>
      </c>
      <c r="O667" s="92">
        <v>34109</v>
      </c>
      <c r="P667" s="28" t="s">
        <v>31</v>
      </c>
      <c r="Q667" s="26" t="b">
        <v>0</v>
      </c>
      <c r="R667" s="22">
        <f t="shared" si="10"/>
        <v>8</v>
      </c>
    </row>
    <row r="668" spans="1:18">
      <c r="A668" s="26">
        <v>1433</v>
      </c>
      <c r="B668" s="27">
        <v>34101</v>
      </c>
      <c r="C668" s="28" t="s">
        <v>2054</v>
      </c>
      <c r="D668" s="27">
        <v>34099</v>
      </c>
      <c r="E668" s="28" t="s">
        <v>2055</v>
      </c>
      <c r="F668" s="28" t="s">
        <v>124</v>
      </c>
      <c r="G668" s="28" t="s">
        <v>20</v>
      </c>
      <c r="H668" s="28" t="s">
        <v>21</v>
      </c>
      <c r="I668" s="28" t="s">
        <v>21</v>
      </c>
      <c r="J668" s="28" t="s">
        <v>2056</v>
      </c>
      <c r="K668" s="28" t="s">
        <v>2057</v>
      </c>
      <c r="L668" s="28" t="s">
        <v>24</v>
      </c>
      <c r="M668" s="28" t="s">
        <v>21</v>
      </c>
      <c r="N668" s="29">
        <v>34135</v>
      </c>
      <c r="O668" s="92">
        <v>34177</v>
      </c>
      <c r="P668" s="28" t="s">
        <v>31</v>
      </c>
      <c r="Q668" s="26" t="b">
        <v>0</v>
      </c>
      <c r="R668" s="22">
        <f t="shared" si="10"/>
        <v>76</v>
      </c>
    </row>
    <row r="669" spans="1:18">
      <c r="A669" s="26">
        <v>1447</v>
      </c>
      <c r="B669" s="27">
        <v>34103</v>
      </c>
      <c r="C669" s="28" t="s">
        <v>2062</v>
      </c>
      <c r="D669" s="27">
        <v>34095</v>
      </c>
      <c r="E669" s="28" t="s">
        <v>2063</v>
      </c>
      <c r="F669" s="28" t="s">
        <v>56</v>
      </c>
      <c r="G669" s="28" t="s">
        <v>20</v>
      </c>
      <c r="H669" s="28" t="s">
        <v>21</v>
      </c>
      <c r="I669" s="28" t="s">
        <v>21</v>
      </c>
      <c r="J669" s="28" t="s">
        <v>2064</v>
      </c>
      <c r="K669" s="28" t="s">
        <v>2065</v>
      </c>
      <c r="L669" s="28" t="s">
        <v>82</v>
      </c>
      <c r="M669" s="28" t="s">
        <v>21</v>
      </c>
      <c r="N669" s="29">
        <v>34135</v>
      </c>
      <c r="O669" s="92">
        <v>34227</v>
      </c>
      <c r="P669" s="28" t="s">
        <v>21</v>
      </c>
      <c r="Q669" s="26" t="b">
        <v>0</v>
      </c>
      <c r="R669" s="22">
        <f t="shared" si="10"/>
        <v>122</v>
      </c>
    </row>
    <row r="670" spans="1:18">
      <c r="A670" s="26">
        <v>1446</v>
      </c>
      <c r="B670" s="27">
        <v>34106</v>
      </c>
      <c r="C670" s="28" t="s">
        <v>2058</v>
      </c>
      <c r="D670" s="27">
        <v>34102</v>
      </c>
      <c r="E670" s="28" t="s">
        <v>2059</v>
      </c>
      <c r="F670" s="28" t="s">
        <v>367</v>
      </c>
      <c r="G670" s="28" t="s">
        <v>20</v>
      </c>
      <c r="H670" s="28" t="s">
        <v>71</v>
      </c>
      <c r="I670" s="28" t="s">
        <v>72</v>
      </c>
      <c r="J670" s="28" t="s">
        <v>2060</v>
      </c>
      <c r="K670" s="28" t="s">
        <v>2061</v>
      </c>
      <c r="L670" s="28" t="s">
        <v>88</v>
      </c>
      <c r="M670" s="28" t="s">
        <v>21</v>
      </c>
      <c r="N670" s="29">
        <v>34150</v>
      </c>
      <c r="O670" s="92">
        <v>36033</v>
      </c>
      <c r="P670" s="28" t="s">
        <v>21</v>
      </c>
      <c r="Q670" s="26" t="b">
        <v>0</v>
      </c>
      <c r="R670" s="22">
        <f t="shared" si="10"/>
        <v>1925</v>
      </c>
    </row>
    <row r="671" spans="1:18">
      <c r="A671" s="26">
        <v>1448</v>
      </c>
      <c r="B671" s="27">
        <v>34106</v>
      </c>
      <c r="C671" s="28" t="s">
        <v>2066</v>
      </c>
      <c r="D671" s="27">
        <v>34100</v>
      </c>
      <c r="E671" s="28" t="s">
        <v>2067</v>
      </c>
      <c r="F671" s="28" t="s">
        <v>104</v>
      </c>
      <c r="G671" s="28" t="s">
        <v>20</v>
      </c>
      <c r="H671" s="28" t="s">
        <v>21</v>
      </c>
      <c r="I671" s="28" t="s">
        <v>21</v>
      </c>
      <c r="J671" s="28" t="s">
        <v>2068</v>
      </c>
      <c r="K671" s="28" t="s">
        <v>2069</v>
      </c>
      <c r="L671" s="28" t="s">
        <v>24</v>
      </c>
      <c r="M671" s="28" t="s">
        <v>21</v>
      </c>
      <c r="N671" s="29">
        <v>34150</v>
      </c>
      <c r="O671" s="92">
        <v>34115</v>
      </c>
      <c r="P671" s="28" t="s">
        <v>21</v>
      </c>
      <c r="Q671" s="26" t="b">
        <v>0</v>
      </c>
      <c r="R671" s="22">
        <f t="shared" si="10"/>
        <v>9</v>
      </c>
    </row>
    <row r="672" spans="1:18">
      <c r="A672" s="26">
        <v>1449</v>
      </c>
      <c r="B672" s="27">
        <v>34107</v>
      </c>
      <c r="C672" s="28" t="s">
        <v>2070</v>
      </c>
      <c r="D672" s="27">
        <v>34107</v>
      </c>
      <c r="E672" s="28" t="s">
        <v>2071</v>
      </c>
      <c r="F672" s="28" t="s">
        <v>56</v>
      </c>
      <c r="G672" s="28" t="s">
        <v>20</v>
      </c>
      <c r="H672" s="28" t="s">
        <v>21</v>
      </c>
      <c r="I672" s="28" t="s">
        <v>21</v>
      </c>
      <c r="J672" s="28" t="s">
        <v>2072</v>
      </c>
      <c r="K672" s="28" t="s">
        <v>2073</v>
      </c>
      <c r="L672" s="28" t="s">
        <v>24</v>
      </c>
      <c r="M672" s="28" t="s">
        <v>21</v>
      </c>
      <c r="N672" s="29">
        <v>34138</v>
      </c>
      <c r="O672" s="92">
        <v>34113</v>
      </c>
      <c r="P672" s="28" t="s">
        <v>21</v>
      </c>
      <c r="Q672" s="26" t="b">
        <v>0</v>
      </c>
      <c r="R672" s="22">
        <f t="shared" si="10"/>
        <v>6</v>
      </c>
    </row>
    <row r="673" spans="1:18">
      <c r="A673" s="26">
        <v>1451</v>
      </c>
      <c r="B673" s="27">
        <v>34107</v>
      </c>
      <c r="C673" s="28" t="s">
        <v>2074</v>
      </c>
      <c r="D673" s="27">
        <v>34106</v>
      </c>
      <c r="E673" s="28" t="s">
        <v>2075</v>
      </c>
      <c r="F673" s="28" t="s">
        <v>56</v>
      </c>
      <c r="G673" s="28" t="s">
        <v>20</v>
      </c>
      <c r="H673" s="28" t="s">
        <v>21</v>
      </c>
      <c r="I673" s="28" t="s">
        <v>21</v>
      </c>
      <c r="J673" s="28" t="s">
        <v>2076</v>
      </c>
      <c r="K673" s="28" t="s">
        <v>2077</v>
      </c>
      <c r="L673" s="28" t="s">
        <v>1152</v>
      </c>
      <c r="M673" s="28" t="s">
        <v>21</v>
      </c>
      <c r="N673" s="27">
        <v>34117</v>
      </c>
      <c r="O673" s="92">
        <v>34116</v>
      </c>
      <c r="P673" s="28" t="s">
        <v>21</v>
      </c>
      <c r="Q673" s="26" t="b">
        <v>0</v>
      </c>
      <c r="R673" s="22">
        <f t="shared" si="10"/>
        <v>9</v>
      </c>
    </row>
    <row r="674" spans="1:18">
      <c r="A674" s="26">
        <v>1453</v>
      </c>
      <c r="B674" s="27">
        <v>34108</v>
      </c>
      <c r="C674" s="28" t="s">
        <v>2078</v>
      </c>
      <c r="D674" s="27">
        <v>34107</v>
      </c>
      <c r="E674" s="28" t="s">
        <v>2079</v>
      </c>
      <c r="F674" s="28" t="s">
        <v>104</v>
      </c>
      <c r="G674" s="28" t="s">
        <v>20</v>
      </c>
      <c r="H674" s="28" t="s">
        <v>21</v>
      </c>
      <c r="I674" s="28" t="s">
        <v>21</v>
      </c>
      <c r="J674" s="28" t="s">
        <v>2080</v>
      </c>
      <c r="K674" s="28" t="s">
        <v>2081</v>
      </c>
      <c r="L674" s="28" t="s">
        <v>82</v>
      </c>
      <c r="M674" s="28" t="s">
        <v>21</v>
      </c>
      <c r="N674" s="29">
        <v>34130</v>
      </c>
      <c r="O674" s="92">
        <v>34121</v>
      </c>
      <c r="P674" s="28" t="s">
        <v>31</v>
      </c>
      <c r="Q674" s="26" t="b">
        <v>0</v>
      </c>
      <c r="R674" s="22">
        <f t="shared" si="10"/>
        <v>12</v>
      </c>
    </row>
    <row r="675" spans="1:18">
      <c r="A675" s="26">
        <v>1466</v>
      </c>
      <c r="B675" s="27">
        <v>34109</v>
      </c>
      <c r="C675" s="28" t="s">
        <v>2082</v>
      </c>
      <c r="D675" s="27">
        <v>34107</v>
      </c>
      <c r="E675" s="28" t="s">
        <v>2083</v>
      </c>
      <c r="F675" s="28" t="s">
        <v>104</v>
      </c>
      <c r="G675" s="28" t="s">
        <v>20</v>
      </c>
      <c r="H675" s="28" t="s">
        <v>21</v>
      </c>
      <c r="I675" s="28" t="s">
        <v>21</v>
      </c>
      <c r="J675" s="28" t="s">
        <v>2084</v>
      </c>
      <c r="K675" s="28" t="s">
        <v>2085</v>
      </c>
      <c r="L675" s="28" t="s">
        <v>1152</v>
      </c>
      <c r="M675" s="28" t="s">
        <v>21</v>
      </c>
      <c r="N675" s="27">
        <v>34150</v>
      </c>
      <c r="O675" s="92">
        <v>34708</v>
      </c>
      <c r="P675" s="28" t="s">
        <v>21</v>
      </c>
      <c r="Q675" s="26" t="b">
        <v>0</v>
      </c>
      <c r="R675" s="22">
        <f t="shared" si="10"/>
        <v>597</v>
      </c>
    </row>
    <row r="676" spans="1:18">
      <c r="A676" s="26">
        <v>1467</v>
      </c>
      <c r="B676" s="27">
        <v>34109</v>
      </c>
      <c r="C676" s="28" t="s">
        <v>2086</v>
      </c>
      <c r="D676" s="27">
        <v>34109</v>
      </c>
      <c r="E676" s="28" t="s">
        <v>2087</v>
      </c>
      <c r="F676" s="28" t="s">
        <v>283</v>
      </c>
      <c r="G676" s="28" t="s">
        <v>20</v>
      </c>
      <c r="H676" s="28" t="s">
        <v>21</v>
      </c>
      <c r="I676" s="28" t="s">
        <v>21</v>
      </c>
      <c r="J676" s="28" t="s">
        <v>1780</v>
      </c>
      <c r="K676" s="28" t="s">
        <v>2088</v>
      </c>
      <c r="L676" s="28" t="s">
        <v>24</v>
      </c>
      <c r="M676" s="28" t="s">
        <v>21</v>
      </c>
      <c r="N676" s="29">
        <v>34150</v>
      </c>
      <c r="O676" s="92">
        <v>34914</v>
      </c>
      <c r="P676" s="28" t="s">
        <v>21</v>
      </c>
      <c r="Q676" s="26" t="b">
        <v>0</v>
      </c>
      <c r="R676" s="22">
        <f t="shared" si="10"/>
        <v>804</v>
      </c>
    </row>
    <row r="677" spans="1:18">
      <c r="A677" s="26">
        <v>1428</v>
      </c>
      <c r="B677" s="27">
        <v>34111</v>
      </c>
      <c r="C677" s="28" t="s">
        <v>2042</v>
      </c>
      <c r="D677" s="27">
        <v>34111</v>
      </c>
      <c r="E677" s="28" t="s">
        <v>2043</v>
      </c>
      <c r="F677" s="28" t="s">
        <v>1179</v>
      </c>
      <c r="G677" s="28" t="s">
        <v>20</v>
      </c>
      <c r="H677" s="28" t="s">
        <v>21</v>
      </c>
      <c r="I677" s="28" t="s">
        <v>21</v>
      </c>
      <c r="J677" s="28" t="s">
        <v>2044</v>
      </c>
      <c r="K677" s="28" t="s">
        <v>1831</v>
      </c>
      <c r="L677" s="28" t="s">
        <v>24</v>
      </c>
      <c r="M677" s="28" t="s">
        <v>21</v>
      </c>
      <c r="N677" s="29">
        <v>34119</v>
      </c>
      <c r="O677" s="92">
        <v>34115</v>
      </c>
      <c r="P677" s="28" t="s">
        <v>21</v>
      </c>
      <c r="Q677" s="26" t="b">
        <v>0</v>
      </c>
      <c r="R677" s="22">
        <f t="shared" si="10"/>
        <v>4</v>
      </c>
    </row>
    <row r="678" spans="1:18">
      <c r="A678" s="26">
        <v>1469</v>
      </c>
      <c r="B678" s="27">
        <v>34113</v>
      </c>
      <c r="C678" s="28" t="s">
        <v>2089</v>
      </c>
      <c r="D678" s="27">
        <v>34109</v>
      </c>
      <c r="E678" s="28" t="s">
        <v>2090</v>
      </c>
      <c r="F678" s="28" t="s">
        <v>283</v>
      </c>
      <c r="G678" s="28" t="s">
        <v>20</v>
      </c>
      <c r="H678" s="28" t="s">
        <v>21</v>
      </c>
      <c r="I678" s="28" t="s">
        <v>21</v>
      </c>
      <c r="J678" s="28" t="s">
        <v>2091</v>
      </c>
      <c r="K678" s="28" t="s">
        <v>2092</v>
      </c>
      <c r="L678" s="28" t="s">
        <v>24</v>
      </c>
      <c r="M678" s="28" t="s">
        <v>21</v>
      </c>
      <c r="N678" s="29">
        <v>34114</v>
      </c>
      <c r="O678" s="92">
        <v>34914</v>
      </c>
      <c r="P678" s="28" t="s">
        <v>21</v>
      </c>
      <c r="Q678" s="26" t="b">
        <v>0</v>
      </c>
      <c r="R678" s="22">
        <f t="shared" si="10"/>
        <v>799</v>
      </c>
    </row>
    <row r="679" spans="1:18">
      <c r="A679" s="26">
        <v>1470</v>
      </c>
      <c r="B679" s="27">
        <v>34113</v>
      </c>
      <c r="C679" s="28" t="s">
        <v>2093</v>
      </c>
      <c r="D679" s="27">
        <v>34109</v>
      </c>
      <c r="E679" s="28" t="s">
        <v>2094</v>
      </c>
      <c r="F679" s="28" t="s">
        <v>19</v>
      </c>
      <c r="G679" s="28" t="s">
        <v>20</v>
      </c>
      <c r="H679" s="28" t="s">
        <v>21</v>
      </c>
      <c r="I679" s="28" t="s">
        <v>21</v>
      </c>
      <c r="J679" s="28" t="s">
        <v>2095</v>
      </c>
      <c r="K679" s="28" t="s">
        <v>2096</v>
      </c>
      <c r="L679" s="28" t="s">
        <v>1152</v>
      </c>
      <c r="M679" s="28" t="s">
        <v>21</v>
      </c>
      <c r="N679" s="29">
        <v>34145</v>
      </c>
      <c r="O679" s="92">
        <v>34115</v>
      </c>
      <c r="P679" s="28" t="s">
        <v>31</v>
      </c>
      <c r="Q679" s="26" t="b">
        <v>0</v>
      </c>
      <c r="R679" s="22">
        <f t="shared" si="10"/>
        <v>2</v>
      </c>
    </row>
    <row r="680" spans="1:18">
      <c r="A680" s="26">
        <v>1471</v>
      </c>
      <c r="B680" s="27">
        <v>34113</v>
      </c>
      <c r="C680" s="28" t="s">
        <v>2097</v>
      </c>
      <c r="D680" s="27">
        <v>34110</v>
      </c>
      <c r="E680" s="28" t="s">
        <v>38</v>
      </c>
      <c r="F680" s="28" t="s">
        <v>188</v>
      </c>
      <c r="G680" s="28" t="s">
        <v>20</v>
      </c>
      <c r="H680" s="28" t="s">
        <v>189</v>
      </c>
      <c r="I680" s="28" t="s">
        <v>189</v>
      </c>
      <c r="J680" s="28" t="s">
        <v>2098</v>
      </c>
      <c r="K680" s="28" t="s">
        <v>1004</v>
      </c>
      <c r="L680" s="28" t="s">
        <v>82</v>
      </c>
      <c r="M680" s="28" t="s">
        <v>21</v>
      </c>
      <c r="O680" s="92">
        <v>34121</v>
      </c>
      <c r="P680" s="28" t="s">
        <v>21</v>
      </c>
      <c r="Q680" s="26" t="b">
        <v>0</v>
      </c>
      <c r="R680" s="22">
        <f t="shared" si="10"/>
        <v>7</v>
      </c>
    </row>
    <row r="681" spans="1:18">
      <c r="A681" s="26">
        <v>1473</v>
      </c>
      <c r="B681" s="27">
        <v>34113</v>
      </c>
      <c r="C681" s="28" t="s">
        <v>2099</v>
      </c>
      <c r="D681" s="27">
        <v>34110</v>
      </c>
      <c r="E681" s="28" t="s">
        <v>2100</v>
      </c>
      <c r="F681" s="28" t="s">
        <v>149</v>
      </c>
      <c r="G681" s="28" t="s">
        <v>20</v>
      </c>
      <c r="H681" s="28" t="s">
        <v>21</v>
      </c>
      <c r="I681" s="28" t="s">
        <v>21</v>
      </c>
      <c r="J681" s="28" t="s">
        <v>2101</v>
      </c>
      <c r="K681" s="28" t="s">
        <v>2102</v>
      </c>
      <c r="L681" s="28" t="s">
        <v>24</v>
      </c>
      <c r="M681" s="28" t="s">
        <v>21</v>
      </c>
      <c r="N681" s="29">
        <v>34145</v>
      </c>
      <c r="O681" s="92">
        <v>34610</v>
      </c>
      <c r="P681" s="28" t="s">
        <v>21</v>
      </c>
      <c r="Q681" s="26" t="b">
        <v>0</v>
      </c>
      <c r="R681" s="22">
        <f t="shared" si="10"/>
        <v>495</v>
      </c>
    </row>
    <row r="682" spans="1:18">
      <c r="A682" s="26">
        <v>1474</v>
      </c>
      <c r="B682" s="27">
        <v>34114</v>
      </c>
      <c r="C682" s="28" t="s">
        <v>2103</v>
      </c>
      <c r="D682" s="27">
        <v>34113</v>
      </c>
      <c r="E682" s="28" t="s">
        <v>2104</v>
      </c>
      <c r="F682" s="28" t="s">
        <v>2105</v>
      </c>
      <c r="G682" s="28" t="s">
        <v>20</v>
      </c>
      <c r="H682" s="28" t="s">
        <v>189</v>
      </c>
      <c r="I682" s="28" t="s">
        <v>189</v>
      </c>
      <c r="J682" s="28" t="s">
        <v>2106</v>
      </c>
      <c r="K682" s="28" t="s">
        <v>2107</v>
      </c>
      <c r="L682" s="28" t="s">
        <v>82</v>
      </c>
      <c r="M682" s="28" t="s">
        <v>21</v>
      </c>
      <c r="N682" s="29">
        <v>34150</v>
      </c>
      <c r="O682" s="92">
        <v>34892</v>
      </c>
      <c r="P682" s="28" t="s">
        <v>21</v>
      </c>
      <c r="Q682" s="26" t="b">
        <v>0</v>
      </c>
      <c r="R682" s="22">
        <f t="shared" si="10"/>
        <v>777</v>
      </c>
    </row>
    <row r="683" spans="1:18">
      <c r="A683" s="26">
        <v>1478</v>
      </c>
      <c r="B683" s="27">
        <v>34114</v>
      </c>
      <c r="C683" s="28" t="s">
        <v>2113</v>
      </c>
      <c r="D683" s="27">
        <v>34114</v>
      </c>
      <c r="E683" s="28" t="s">
        <v>38</v>
      </c>
      <c r="F683" s="28" t="s">
        <v>741</v>
      </c>
      <c r="G683" s="28" t="s">
        <v>20</v>
      </c>
      <c r="H683" s="28" t="s">
        <v>21</v>
      </c>
      <c r="I683" s="28" t="s">
        <v>21</v>
      </c>
      <c r="J683" s="28" t="s">
        <v>2114</v>
      </c>
      <c r="K683" s="28" t="s">
        <v>2115</v>
      </c>
      <c r="L683" s="28" t="s">
        <v>30</v>
      </c>
      <c r="M683" s="28" t="s">
        <v>21</v>
      </c>
      <c r="N683" s="29">
        <v>34120</v>
      </c>
      <c r="O683" s="92">
        <v>34117</v>
      </c>
      <c r="P683" s="28" t="s">
        <v>21</v>
      </c>
      <c r="Q683" s="26" t="b">
        <v>0</v>
      </c>
      <c r="R683" s="22">
        <f t="shared" si="10"/>
        <v>3</v>
      </c>
    </row>
    <row r="684" spans="1:18">
      <c r="A684" s="26">
        <v>1476</v>
      </c>
      <c r="B684" s="27">
        <v>34115</v>
      </c>
      <c r="C684" s="28" t="s">
        <v>2108</v>
      </c>
      <c r="D684" s="27">
        <v>34113</v>
      </c>
      <c r="E684" s="28" t="s">
        <v>2109</v>
      </c>
      <c r="F684" s="28" t="s">
        <v>2110</v>
      </c>
      <c r="G684" s="28" t="s">
        <v>20</v>
      </c>
      <c r="H684" s="28" t="s">
        <v>189</v>
      </c>
      <c r="I684" s="28" t="s">
        <v>189</v>
      </c>
      <c r="J684" s="28" t="s">
        <v>2111</v>
      </c>
      <c r="K684" s="28" t="s">
        <v>2112</v>
      </c>
      <c r="L684" s="28" t="s">
        <v>66</v>
      </c>
      <c r="M684" s="28" t="s">
        <v>67</v>
      </c>
      <c r="N684" s="27">
        <v>34135</v>
      </c>
      <c r="O684" s="92">
        <v>37984</v>
      </c>
      <c r="P684" s="28" t="s">
        <v>21</v>
      </c>
      <c r="Q684" s="26" t="b">
        <v>0</v>
      </c>
      <c r="R684" s="22">
        <f t="shared" si="10"/>
        <v>3865</v>
      </c>
    </row>
    <row r="685" spans="1:18">
      <c r="A685" s="26">
        <v>1479</v>
      </c>
      <c r="B685" s="27">
        <v>34115</v>
      </c>
      <c r="C685" s="28" t="s">
        <v>2116</v>
      </c>
      <c r="D685" s="27">
        <v>34114</v>
      </c>
      <c r="E685" s="28" t="s">
        <v>38</v>
      </c>
      <c r="F685" s="28" t="s">
        <v>494</v>
      </c>
      <c r="G685" s="28" t="s">
        <v>20</v>
      </c>
      <c r="H685" s="28" t="s">
        <v>212</v>
      </c>
      <c r="I685" s="28" t="s">
        <v>212</v>
      </c>
      <c r="J685" s="28" t="s">
        <v>2117</v>
      </c>
      <c r="K685" s="28" t="s">
        <v>2118</v>
      </c>
      <c r="L685" s="28" t="s">
        <v>24</v>
      </c>
      <c r="M685" s="28" t="s">
        <v>21</v>
      </c>
      <c r="N685" s="27">
        <v>34120</v>
      </c>
      <c r="O685" s="92">
        <v>34127</v>
      </c>
      <c r="P685" s="28" t="s">
        <v>21</v>
      </c>
      <c r="Q685" s="26" t="b">
        <v>0</v>
      </c>
      <c r="R685" s="22">
        <f t="shared" si="10"/>
        <v>11</v>
      </c>
    </row>
    <row r="686" spans="1:18">
      <c r="A686" s="26">
        <v>1491</v>
      </c>
      <c r="B686" s="27">
        <v>34121</v>
      </c>
      <c r="C686" s="28" t="s">
        <v>2119</v>
      </c>
      <c r="D686" s="27">
        <v>34121</v>
      </c>
      <c r="E686" s="28" t="s">
        <v>2120</v>
      </c>
      <c r="F686" s="28" t="s">
        <v>1771</v>
      </c>
      <c r="G686" s="28" t="s">
        <v>20</v>
      </c>
      <c r="H686" s="28" t="s">
        <v>189</v>
      </c>
      <c r="I686" s="28" t="s">
        <v>189</v>
      </c>
      <c r="J686" s="28" t="s">
        <v>2121</v>
      </c>
      <c r="K686" s="28" t="s">
        <v>2122</v>
      </c>
      <c r="L686" s="28" t="s">
        <v>88</v>
      </c>
      <c r="M686" s="28" t="s">
        <v>21</v>
      </c>
      <c r="O686" s="92">
        <v>35461</v>
      </c>
      <c r="P686" s="28" t="s">
        <v>21</v>
      </c>
      <c r="Q686" s="26" t="b">
        <v>0</v>
      </c>
      <c r="R686" s="22">
        <f t="shared" si="10"/>
        <v>1338</v>
      </c>
    </row>
    <row r="687" spans="1:18">
      <c r="A687" s="26">
        <v>1492</v>
      </c>
      <c r="B687" s="27">
        <v>34122</v>
      </c>
      <c r="C687" s="28" t="s">
        <v>2123</v>
      </c>
      <c r="D687" s="27">
        <v>34122</v>
      </c>
      <c r="E687" s="28" t="s">
        <v>2124</v>
      </c>
      <c r="F687" s="28" t="s">
        <v>741</v>
      </c>
      <c r="G687" s="28" t="s">
        <v>20</v>
      </c>
      <c r="H687" s="28" t="s">
        <v>21</v>
      </c>
      <c r="I687" s="28" t="s">
        <v>21</v>
      </c>
      <c r="J687" s="28" t="s">
        <v>2125</v>
      </c>
      <c r="K687" s="28" t="s">
        <v>2126</v>
      </c>
      <c r="L687" s="28" t="s">
        <v>24</v>
      </c>
      <c r="M687" s="28" t="s">
        <v>21</v>
      </c>
      <c r="N687" s="27">
        <v>34126</v>
      </c>
      <c r="O687" s="92">
        <v>34127</v>
      </c>
      <c r="P687" s="28" t="s">
        <v>21</v>
      </c>
      <c r="Q687" s="26" t="b">
        <v>0</v>
      </c>
      <c r="R687" s="22">
        <f t="shared" si="10"/>
        <v>5</v>
      </c>
    </row>
    <row r="688" spans="1:18">
      <c r="A688" s="26">
        <v>1493</v>
      </c>
      <c r="B688" s="27">
        <v>34122</v>
      </c>
      <c r="C688" s="28" t="s">
        <v>2127</v>
      </c>
      <c r="D688" s="27">
        <v>34120</v>
      </c>
      <c r="E688" s="28" t="s">
        <v>2128</v>
      </c>
      <c r="F688" s="28" t="s">
        <v>533</v>
      </c>
      <c r="G688" s="28" t="s">
        <v>20</v>
      </c>
      <c r="H688" s="28" t="s">
        <v>21</v>
      </c>
      <c r="I688" s="28" t="s">
        <v>21</v>
      </c>
      <c r="J688" s="28" t="s">
        <v>2129</v>
      </c>
      <c r="K688" s="28" t="s">
        <v>2130</v>
      </c>
      <c r="L688" s="28" t="s">
        <v>82</v>
      </c>
      <c r="M688" s="28" t="s">
        <v>21</v>
      </c>
      <c r="N688" s="29">
        <v>34150</v>
      </c>
      <c r="O688" s="92">
        <v>34156</v>
      </c>
      <c r="P688" s="28" t="s">
        <v>31</v>
      </c>
      <c r="Q688" s="26" t="b">
        <v>0</v>
      </c>
      <c r="R688" s="22">
        <f t="shared" si="10"/>
        <v>34</v>
      </c>
    </row>
    <row r="689" spans="1:18">
      <c r="A689" s="26">
        <v>1507</v>
      </c>
      <c r="B689" s="27">
        <v>34128</v>
      </c>
      <c r="C689" s="28" t="s">
        <v>2131</v>
      </c>
      <c r="D689" s="27">
        <v>34128</v>
      </c>
      <c r="E689" s="28" t="s">
        <v>2132</v>
      </c>
      <c r="F689" s="28" t="s">
        <v>741</v>
      </c>
      <c r="G689" s="28" t="s">
        <v>20</v>
      </c>
      <c r="H689" s="28" t="s">
        <v>21</v>
      </c>
      <c r="I689" s="28" t="s">
        <v>21</v>
      </c>
      <c r="J689" s="28" t="s">
        <v>2133</v>
      </c>
      <c r="K689" s="28" t="s">
        <v>2134</v>
      </c>
      <c r="L689" s="28" t="s">
        <v>24</v>
      </c>
      <c r="M689" s="28" t="s">
        <v>21</v>
      </c>
      <c r="N689" s="27">
        <v>34136</v>
      </c>
      <c r="O689" s="92">
        <v>34134</v>
      </c>
      <c r="P689" s="28" t="s">
        <v>21</v>
      </c>
      <c r="Q689" s="26" t="b">
        <v>0</v>
      </c>
      <c r="R689" s="22">
        <f t="shared" si="10"/>
        <v>6</v>
      </c>
    </row>
    <row r="690" spans="1:18">
      <c r="A690" s="26">
        <v>1508</v>
      </c>
      <c r="B690" s="27">
        <v>34129</v>
      </c>
      <c r="C690" s="28" t="s">
        <v>2135</v>
      </c>
      <c r="D690" s="27">
        <v>34128</v>
      </c>
      <c r="E690" s="28" t="s">
        <v>38</v>
      </c>
      <c r="F690" s="28" t="s">
        <v>56</v>
      </c>
      <c r="G690" s="28" t="s">
        <v>21</v>
      </c>
      <c r="H690" s="28" t="s">
        <v>21</v>
      </c>
      <c r="I690" s="28" t="s">
        <v>21</v>
      </c>
      <c r="J690" s="28" t="s">
        <v>2136</v>
      </c>
      <c r="K690" s="28" t="s">
        <v>2137</v>
      </c>
      <c r="L690" s="28" t="s">
        <v>82</v>
      </c>
      <c r="M690" s="28" t="s">
        <v>21</v>
      </c>
      <c r="N690" s="29">
        <v>34141</v>
      </c>
      <c r="O690" s="92">
        <v>34137</v>
      </c>
      <c r="P690" s="28" t="s">
        <v>21</v>
      </c>
      <c r="Q690" s="26" t="b">
        <v>0</v>
      </c>
      <c r="R690" s="22">
        <f t="shared" si="10"/>
        <v>8</v>
      </c>
    </row>
    <row r="691" spans="1:18">
      <c r="A691" s="26">
        <v>1510</v>
      </c>
      <c r="B691" s="27">
        <v>34129</v>
      </c>
      <c r="C691" s="28" t="s">
        <v>2138</v>
      </c>
      <c r="D691" s="27">
        <v>34127</v>
      </c>
      <c r="E691" s="28" t="s">
        <v>38</v>
      </c>
      <c r="F691" s="28" t="s">
        <v>533</v>
      </c>
      <c r="G691" s="28" t="s">
        <v>20</v>
      </c>
      <c r="H691" s="28" t="s">
        <v>21</v>
      </c>
      <c r="I691" s="28" t="s">
        <v>21</v>
      </c>
      <c r="J691" s="28" t="s">
        <v>2139</v>
      </c>
      <c r="K691" s="28" t="s">
        <v>1003</v>
      </c>
      <c r="L691" s="28" t="s">
        <v>82</v>
      </c>
      <c r="M691" s="28" t="s">
        <v>21</v>
      </c>
      <c r="N691" s="27">
        <v>34138</v>
      </c>
      <c r="O691" s="92">
        <v>34151</v>
      </c>
      <c r="P691" s="28" t="s">
        <v>21</v>
      </c>
      <c r="Q691" s="26" t="b">
        <v>0</v>
      </c>
      <c r="R691" s="22">
        <f t="shared" si="10"/>
        <v>22</v>
      </c>
    </row>
    <row r="692" spans="1:18">
      <c r="A692" s="26">
        <v>1513</v>
      </c>
      <c r="B692" s="27">
        <v>34130</v>
      </c>
      <c r="C692" s="28" t="s">
        <v>2140</v>
      </c>
      <c r="D692" s="27">
        <v>34129</v>
      </c>
      <c r="E692" s="28" t="s">
        <v>2141</v>
      </c>
      <c r="F692" s="28" t="s">
        <v>34</v>
      </c>
      <c r="G692" s="28" t="s">
        <v>20</v>
      </c>
      <c r="H692" s="28" t="s">
        <v>21</v>
      </c>
      <c r="I692" s="28" t="s">
        <v>21</v>
      </c>
      <c r="J692" s="28" t="s">
        <v>2142</v>
      </c>
      <c r="K692" s="28" t="s">
        <v>2143</v>
      </c>
      <c r="L692" s="28" t="s">
        <v>88</v>
      </c>
      <c r="M692" s="28" t="s">
        <v>21</v>
      </c>
      <c r="N692" s="29">
        <v>34150</v>
      </c>
      <c r="O692" s="92">
        <v>35451</v>
      </c>
      <c r="P692" s="28" t="s">
        <v>21</v>
      </c>
      <c r="Q692" s="26" t="b">
        <v>0</v>
      </c>
      <c r="R692" s="22">
        <f t="shared" si="10"/>
        <v>1319</v>
      </c>
    </row>
    <row r="693" spans="1:18">
      <c r="A693" s="26">
        <v>1514</v>
      </c>
      <c r="B693" s="27">
        <v>34134</v>
      </c>
      <c r="C693" s="28" t="s">
        <v>2144</v>
      </c>
      <c r="D693" s="27">
        <v>34130</v>
      </c>
      <c r="E693" s="28" t="s">
        <v>2145</v>
      </c>
      <c r="F693" s="28" t="s">
        <v>2146</v>
      </c>
      <c r="G693" s="28" t="s">
        <v>20</v>
      </c>
      <c r="H693" s="28" t="s">
        <v>189</v>
      </c>
      <c r="I693" s="28" t="s">
        <v>189</v>
      </c>
      <c r="J693" s="28" t="s">
        <v>2147</v>
      </c>
      <c r="K693" s="28" t="s">
        <v>2148</v>
      </c>
      <c r="L693" s="28" t="s">
        <v>1152</v>
      </c>
      <c r="M693" s="28" t="s">
        <v>21</v>
      </c>
      <c r="N693" s="29">
        <v>34150</v>
      </c>
      <c r="O693" s="92">
        <v>34267</v>
      </c>
      <c r="P693" s="28" t="s">
        <v>21</v>
      </c>
      <c r="Q693" s="26" t="b">
        <v>0</v>
      </c>
      <c r="R693" s="22">
        <f t="shared" si="10"/>
        <v>132</v>
      </c>
    </row>
    <row r="694" spans="1:18">
      <c r="A694" s="26">
        <v>1516</v>
      </c>
      <c r="B694" s="27">
        <v>34135</v>
      </c>
      <c r="C694" s="28" t="s">
        <v>2149</v>
      </c>
      <c r="D694" s="27">
        <v>34134</v>
      </c>
      <c r="E694" s="28" t="s">
        <v>2150</v>
      </c>
      <c r="F694" s="28" t="s">
        <v>359</v>
      </c>
      <c r="G694" s="28" t="s">
        <v>20</v>
      </c>
      <c r="H694" s="28" t="s">
        <v>21</v>
      </c>
      <c r="I694" s="28" t="s">
        <v>21</v>
      </c>
      <c r="J694" s="28" t="s">
        <v>2151</v>
      </c>
      <c r="K694" s="28" t="s">
        <v>2152</v>
      </c>
      <c r="L694" s="28" t="s">
        <v>1152</v>
      </c>
      <c r="M694" s="28" t="s">
        <v>21</v>
      </c>
      <c r="O694" s="92">
        <v>34466</v>
      </c>
      <c r="P694" s="28" t="s">
        <v>31</v>
      </c>
      <c r="Q694" s="26" t="b">
        <v>0</v>
      </c>
      <c r="R694" s="22">
        <f t="shared" si="10"/>
        <v>331</v>
      </c>
    </row>
    <row r="695" spans="1:18">
      <c r="A695" s="26">
        <v>1520</v>
      </c>
      <c r="B695" s="27">
        <v>34136</v>
      </c>
      <c r="C695" s="28" t="s">
        <v>2153</v>
      </c>
      <c r="D695" s="27">
        <v>34113</v>
      </c>
      <c r="E695" s="28" t="s">
        <v>38</v>
      </c>
      <c r="F695" s="28" t="s">
        <v>306</v>
      </c>
      <c r="G695" s="28" t="s">
        <v>20</v>
      </c>
      <c r="H695" s="28" t="s">
        <v>71</v>
      </c>
      <c r="I695" s="28" t="s">
        <v>72</v>
      </c>
      <c r="J695" s="28" t="s">
        <v>2154</v>
      </c>
      <c r="K695" s="28" t="s">
        <v>2155</v>
      </c>
      <c r="L695" s="28" t="s">
        <v>30</v>
      </c>
      <c r="M695" s="28" t="s">
        <v>21</v>
      </c>
      <c r="N695" s="29">
        <v>34138</v>
      </c>
      <c r="O695" s="92">
        <v>34138</v>
      </c>
      <c r="P695" s="28" t="s">
        <v>21</v>
      </c>
      <c r="Q695" s="26" t="b">
        <v>0</v>
      </c>
      <c r="R695" s="22">
        <f t="shared" si="10"/>
        <v>2</v>
      </c>
    </row>
    <row r="696" spans="1:18">
      <c r="A696" s="26">
        <v>1526</v>
      </c>
      <c r="B696" s="27">
        <v>34137</v>
      </c>
      <c r="C696" s="28" t="s">
        <v>2156</v>
      </c>
      <c r="D696" s="27">
        <v>34137</v>
      </c>
      <c r="E696" s="28" t="s">
        <v>2157</v>
      </c>
      <c r="F696" s="28" t="s">
        <v>741</v>
      </c>
      <c r="G696" s="28" t="s">
        <v>20</v>
      </c>
      <c r="H696" s="28" t="s">
        <v>21</v>
      </c>
      <c r="I696" s="28" t="s">
        <v>21</v>
      </c>
      <c r="J696" s="28" t="s">
        <v>2133</v>
      </c>
      <c r="K696" s="28" t="s">
        <v>2158</v>
      </c>
      <c r="L696" s="28" t="s">
        <v>30</v>
      </c>
      <c r="M696" s="28" t="s">
        <v>21</v>
      </c>
      <c r="N696" s="29">
        <v>34150</v>
      </c>
      <c r="O696" s="92">
        <v>36452</v>
      </c>
      <c r="P696" s="28" t="s">
        <v>21</v>
      </c>
      <c r="Q696" s="26" t="b">
        <v>0</v>
      </c>
      <c r="R696" s="22">
        <f t="shared" si="10"/>
        <v>2313</v>
      </c>
    </row>
    <row r="697" spans="1:18">
      <c r="A697" s="26">
        <v>2392</v>
      </c>
      <c r="B697" s="27">
        <v>34138</v>
      </c>
      <c r="C697" s="28" t="s">
        <v>2816</v>
      </c>
      <c r="D697" s="27">
        <v>34138</v>
      </c>
      <c r="E697" s="28" t="s">
        <v>2817</v>
      </c>
      <c r="F697" s="28" t="s">
        <v>359</v>
      </c>
      <c r="G697" s="28" t="s">
        <v>20</v>
      </c>
      <c r="H697" s="28" t="s">
        <v>21</v>
      </c>
      <c r="I697" s="28" t="s">
        <v>21</v>
      </c>
      <c r="J697" s="28" t="s">
        <v>2348</v>
      </c>
      <c r="K697" s="28" t="s">
        <v>2818</v>
      </c>
      <c r="L697" s="28" t="s">
        <v>66</v>
      </c>
      <c r="M697" s="28" t="s">
        <v>21</v>
      </c>
      <c r="N697" s="29">
        <v>34181</v>
      </c>
      <c r="O697" s="92">
        <v>35509</v>
      </c>
      <c r="P697" s="28" t="s">
        <v>31</v>
      </c>
      <c r="Q697" s="26" t="b">
        <v>0</v>
      </c>
      <c r="R697" s="22">
        <f t="shared" si="10"/>
        <v>1370</v>
      </c>
    </row>
    <row r="698" spans="1:18">
      <c r="A698" s="26">
        <v>1528</v>
      </c>
      <c r="B698" s="27">
        <v>34143</v>
      </c>
      <c r="C698" s="28" t="s">
        <v>2159</v>
      </c>
      <c r="D698" s="27">
        <v>34141</v>
      </c>
      <c r="E698" s="28" t="s">
        <v>1432</v>
      </c>
      <c r="F698" s="28" t="s">
        <v>104</v>
      </c>
      <c r="G698" s="28" t="s">
        <v>21</v>
      </c>
      <c r="H698" s="28" t="s">
        <v>21</v>
      </c>
      <c r="I698" s="28" t="s">
        <v>21</v>
      </c>
      <c r="J698" s="28" t="s">
        <v>2160</v>
      </c>
      <c r="K698" s="28" t="s">
        <v>2161</v>
      </c>
      <c r="L698" s="28" t="s">
        <v>24</v>
      </c>
      <c r="M698" s="28" t="s">
        <v>21</v>
      </c>
      <c r="N698" s="29">
        <v>34145</v>
      </c>
      <c r="O698" s="92">
        <v>34143</v>
      </c>
      <c r="P698" s="28" t="s">
        <v>21</v>
      </c>
      <c r="Q698" s="26" t="b">
        <v>0</v>
      </c>
      <c r="R698" s="22">
        <f t="shared" si="10"/>
        <v>0</v>
      </c>
    </row>
    <row r="699" spans="1:18">
      <c r="A699" s="26">
        <v>1529</v>
      </c>
      <c r="B699" s="27">
        <v>34143</v>
      </c>
      <c r="C699" s="28" t="s">
        <v>2162</v>
      </c>
      <c r="D699" s="27">
        <v>34141</v>
      </c>
      <c r="E699" s="28" t="s">
        <v>38</v>
      </c>
      <c r="F699" s="28" t="s">
        <v>149</v>
      </c>
      <c r="G699" s="28" t="s">
        <v>20</v>
      </c>
      <c r="H699" s="28" t="s">
        <v>21</v>
      </c>
      <c r="I699" s="28" t="s">
        <v>21</v>
      </c>
      <c r="J699" s="28" t="s">
        <v>255</v>
      </c>
      <c r="K699" s="28" t="s">
        <v>2163</v>
      </c>
      <c r="L699" s="28" t="s">
        <v>24</v>
      </c>
      <c r="M699" s="28" t="s">
        <v>21</v>
      </c>
      <c r="N699" s="18"/>
      <c r="O699" s="92">
        <v>34204</v>
      </c>
      <c r="P699" s="28" t="s">
        <v>21</v>
      </c>
      <c r="Q699" s="26" t="b">
        <v>0</v>
      </c>
      <c r="R699" s="22">
        <f t="shared" si="10"/>
        <v>60</v>
      </c>
    </row>
    <row r="700" spans="1:18">
      <c r="A700" s="26">
        <v>1530</v>
      </c>
      <c r="B700" s="27">
        <v>34143</v>
      </c>
      <c r="C700" s="28" t="s">
        <v>2164</v>
      </c>
      <c r="D700" s="27">
        <v>34136</v>
      </c>
      <c r="E700" s="28" t="s">
        <v>2165</v>
      </c>
      <c r="F700" s="28" t="s">
        <v>733</v>
      </c>
      <c r="G700" s="28" t="s">
        <v>20</v>
      </c>
      <c r="H700" s="28" t="s">
        <v>21</v>
      </c>
      <c r="I700" s="28" t="s">
        <v>21</v>
      </c>
      <c r="J700" s="28" t="s">
        <v>2166</v>
      </c>
      <c r="K700" s="28" t="s">
        <v>2167</v>
      </c>
      <c r="L700" s="28" t="s">
        <v>82</v>
      </c>
      <c r="M700" s="28" t="s">
        <v>21</v>
      </c>
      <c r="N700" s="29">
        <v>34150</v>
      </c>
      <c r="O700" s="92">
        <v>34229</v>
      </c>
      <c r="P700" s="28" t="s">
        <v>31</v>
      </c>
      <c r="Q700" s="26" t="b">
        <v>0</v>
      </c>
      <c r="R700" s="22">
        <f t="shared" si="10"/>
        <v>85</v>
      </c>
    </row>
    <row r="701" spans="1:18">
      <c r="A701" s="26">
        <v>1532</v>
      </c>
      <c r="B701" s="27">
        <v>34143</v>
      </c>
      <c r="C701" s="28" t="s">
        <v>2168</v>
      </c>
      <c r="D701" s="27">
        <v>34143</v>
      </c>
      <c r="E701" s="28" t="s">
        <v>38</v>
      </c>
      <c r="F701" s="28" t="s">
        <v>149</v>
      </c>
      <c r="G701" s="28" t="s">
        <v>20</v>
      </c>
      <c r="H701" s="28" t="s">
        <v>21</v>
      </c>
      <c r="I701" s="28" t="s">
        <v>21</v>
      </c>
      <c r="J701" s="28" t="s">
        <v>2169</v>
      </c>
      <c r="K701" s="28" t="s">
        <v>2170</v>
      </c>
      <c r="L701" s="28" t="s">
        <v>24</v>
      </c>
      <c r="M701" s="28" t="s">
        <v>21</v>
      </c>
      <c r="N701" s="27">
        <v>34150</v>
      </c>
      <c r="O701" s="92">
        <v>34144</v>
      </c>
      <c r="P701" s="28" t="s">
        <v>21</v>
      </c>
      <c r="Q701" s="26" t="b">
        <v>0</v>
      </c>
      <c r="R701" s="22">
        <f t="shared" si="10"/>
        <v>1</v>
      </c>
    </row>
    <row r="702" spans="1:18">
      <c r="A702" s="26">
        <v>1533</v>
      </c>
      <c r="B702" s="27">
        <v>34143</v>
      </c>
      <c r="C702" s="28" t="s">
        <v>2171</v>
      </c>
      <c r="D702" s="27">
        <v>34141</v>
      </c>
      <c r="E702" s="28" t="s">
        <v>2172</v>
      </c>
      <c r="F702" s="28" t="s">
        <v>124</v>
      </c>
      <c r="G702" s="28" t="s">
        <v>20</v>
      </c>
      <c r="H702" s="28" t="s">
        <v>21</v>
      </c>
      <c r="I702" s="28" t="s">
        <v>21</v>
      </c>
      <c r="J702" s="28" t="s">
        <v>2173</v>
      </c>
      <c r="K702" s="28" t="s">
        <v>2174</v>
      </c>
      <c r="L702" s="28" t="s">
        <v>821</v>
      </c>
      <c r="M702" s="28" t="s">
        <v>88</v>
      </c>
      <c r="N702" s="29">
        <v>34181</v>
      </c>
      <c r="O702" s="92">
        <v>36372</v>
      </c>
      <c r="P702" s="28" t="s">
        <v>31</v>
      </c>
      <c r="Q702" s="26" t="b">
        <v>0</v>
      </c>
      <c r="R702" s="22">
        <f t="shared" si="10"/>
        <v>2228</v>
      </c>
    </row>
    <row r="703" spans="1:18">
      <c r="A703" s="26">
        <v>1536</v>
      </c>
      <c r="B703" s="27">
        <v>34145</v>
      </c>
      <c r="C703" s="28" t="s">
        <v>2175</v>
      </c>
      <c r="D703" s="27">
        <v>34141</v>
      </c>
      <c r="E703" s="28" t="s">
        <v>2176</v>
      </c>
      <c r="F703" s="28" t="s">
        <v>124</v>
      </c>
      <c r="G703" s="28" t="s">
        <v>20</v>
      </c>
      <c r="H703" s="28" t="s">
        <v>21</v>
      </c>
      <c r="I703" s="28" t="s">
        <v>21</v>
      </c>
      <c r="J703" s="28" t="s">
        <v>2177</v>
      </c>
      <c r="K703" s="28" t="s">
        <v>2178</v>
      </c>
      <c r="L703" s="28" t="s">
        <v>1152</v>
      </c>
      <c r="M703" s="28" t="s">
        <v>21</v>
      </c>
      <c r="N703" s="29">
        <v>34181</v>
      </c>
      <c r="O703" s="92">
        <v>34458</v>
      </c>
      <c r="P703" s="28" t="s">
        <v>31</v>
      </c>
      <c r="Q703" s="26" t="b">
        <v>0</v>
      </c>
      <c r="R703" s="22">
        <f t="shared" si="10"/>
        <v>313</v>
      </c>
    </row>
    <row r="704" spans="1:18">
      <c r="A704" s="26">
        <v>1537</v>
      </c>
      <c r="B704" s="27">
        <v>34145</v>
      </c>
      <c r="C704" s="28" t="s">
        <v>2179</v>
      </c>
      <c r="D704" s="27">
        <v>34143</v>
      </c>
      <c r="E704" s="28" t="s">
        <v>2180</v>
      </c>
      <c r="F704" s="28" t="s">
        <v>228</v>
      </c>
      <c r="G704" s="28" t="s">
        <v>20</v>
      </c>
      <c r="H704" s="28" t="s">
        <v>21</v>
      </c>
      <c r="I704" s="28" t="s">
        <v>21</v>
      </c>
      <c r="J704" s="28" t="s">
        <v>2166</v>
      </c>
      <c r="K704" s="28" t="s">
        <v>2181</v>
      </c>
      <c r="L704" s="28" t="s">
        <v>82</v>
      </c>
      <c r="M704" s="28" t="s">
        <v>21</v>
      </c>
      <c r="O704" s="92">
        <v>34229</v>
      </c>
      <c r="P704" s="28" t="s">
        <v>21</v>
      </c>
      <c r="Q704" s="26" t="b">
        <v>0</v>
      </c>
      <c r="R704" s="22">
        <f t="shared" si="10"/>
        <v>83</v>
      </c>
    </row>
    <row r="705" spans="1:18">
      <c r="A705" s="26">
        <v>1538</v>
      </c>
      <c r="B705" s="27">
        <v>34149</v>
      </c>
      <c r="C705" s="28" t="s">
        <v>2182</v>
      </c>
      <c r="D705" s="27">
        <v>34144</v>
      </c>
      <c r="E705" s="28" t="s">
        <v>2183</v>
      </c>
      <c r="F705" s="28" t="s">
        <v>104</v>
      </c>
      <c r="G705" s="28" t="s">
        <v>20</v>
      </c>
      <c r="H705" s="28" t="s">
        <v>21</v>
      </c>
      <c r="I705" s="28" t="s">
        <v>21</v>
      </c>
      <c r="J705" s="28" t="s">
        <v>2184</v>
      </c>
      <c r="K705" s="28" t="s">
        <v>2185</v>
      </c>
      <c r="L705" s="28" t="s">
        <v>66</v>
      </c>
      <c r="M705" s="28" t="s">
        <v>21</v>
      </c>
      <c r="N705" s="27">
        <v>34196</v>
      </c>
      <c r="O705" s="92">
        <v>37840</v>
      </c>
      <c r="P705" s="28" t="s">
        <v>21</v>
      </c>
      <c r="Q705" s="26" t="b">
        <v>0</v>
      </c>
      <c r="R705" s="22">
        <f t="shared" si="10"/>
        <v>3688</v>
      </c>
    </row>
    <row r="706" spans="1:18">
      <c r="A706" s="26">
        <v>1539</v>
      </c>
      <c r="B706" s="27">
        <v>34151</v>
      </c>
      <c r="C706" s="28" t="s">
        <v>2186</v>
      </c>
      <c r="D706" s="27">
        <v>34149</v>
      </c>
      <c r="E706" s="28" t="s">
        <v>2187</v>
      </c>
      <c r="F706" s="28" t="s">
        <v>124</v>
      </c>
      <c r="G706" s="28" t="s">
        <v>20</v>
      </c>
      <c r="H706" s="28" t="s">
        <v>21</v>
      </c>
      <c r="I706" s="28" t="s">
        <v>21</v>
      </c>
      <c r="J706" s="28" t="s">
        <v>2188</v>
      </c>
      <c r="K706" s="28" t="s">
        <v>2189</v>
      </c>
      <c r="L706" s="28" t="s">
        <v>82</v>
      </c>
      <c r="M706" s="28" t="s">
        <v>21</v>
      </c>
      <c r="N706" s="29">
        <v>34181</v>
      </c>
      <c r="O706" s="92">
        <v>34180</v>
      </c>
      <c r="P706" s="28" t="s">
        <v>31</v>
      </c>
      <c r="Q706" s="26" t="b">
        <v>0</v>
      </c>
      <c r="R706" s="22">
        <f t="shared" ref="R706:R769" si="11">IF(O706=" ", " ", INT(YEARFRAC(O706, B706)*365))</f>
        <v>29</v>
      </c>
    </row>
    <row r="707" spans="1:18">
      <c r="A707" s="26">
        <v>1540</v>
      </c>
      <c r="B707" s="27">
        <v>34151</v>
      </c>
      <c r="C707" s="28" t="s">
        <v>2190</v>
      </c>
      <c r="D707" s="27">
        <v>34149</v>
      </c>
      <c r="E707" s="28" t="s">
        <v>2191</v>
      </c>
      <c r="F707" s="28" t="s">
        <v>70</v>
      </c>
      <c r="G707" s="28" t="s">
        <v>20</v>
      </c>
      <c r="H707" s="28" t="s">
        <v>71</v>
      </c>
      <c r="I707" s="28" t="s">
        <v>72</v>
      </c>
      <c r="J707" s="28" t="s">
        <v>2192</v>
      </c>
      <c r="K707" s="28" t="s">
        <v>2193</v>
      </c>
      <c r="L707" s="28" t="s">
        <v>1152</v>
      </c>
      <c r="M707" s="28" t="s">
        <v>21</v>
      </c>
      <c r="N707" s="29">
        <v>34165</v>
      </c>
      <c r="O707" s="92">
        <v>34458</v>
      </c>
      <c r="P707" s="28" t="s">
        <v>21</v>
      </c>
      <c r="Q707" s="26" t="b">
        <v>0</v>
      </c>
      <c r="R707" s="22">
        <f t="shared" si="11"/>
        <v>307</v>
      </c>
    </row>
    <row r="708" spans="1:18">
      <c r="A708" s="26">
        <v>1541</v>
      </c>
      <c r="B708" s="27">
        <v>34151</v>
      </c>
      <c r="C708" s="28" t="s">
        <v>2194</v>
      </c>
      <c r="D708" s="27">
        <v>34145</v>
      </c>
      <c r="E708" s="28" t="s">
        <v>2195</v>
      </c>
      <c r="F708" s="28" t="s">
        <v>104</v>
      </c>
      <c r="G708" s="28" t="s">
        <v>20</v>
      </c>
      <c r="H708" s="28" t="s">
        <v>21</v>
      </c>
      <c r="I708" s="28" t="s">
        <v>21</v>
      </c>
      <c r="J708" s="28" t="s">
        <v>121</v>
      </c>
      <c r="K708" s="28" t="s">
        <v>2196</v>
      </c>
      <c r="L708" s="28" t="s">
        <v>88</v>
      </c>
      <c r="M708" s="28" t="s">
        <v>21</v>
      </c>
      <c r="N708" s="29">
        <v>34181</v>
      </c>
      <c r="O708" s="92">
        <v>35451</v>
      </c>
      <c r="P708" s="28" t="s">
        <v>21</v>
      </c>
      <c r="Q708" s="26" t="b">
        <v>0</v>
      </c>
      <c r="R708" s="22">
        <f t="shared" si="11"/>
        <v>1297</v>
      </c>
    </row>
    <row r="709" spans="1:18">
      <c r="A709" s="26">
        <v>1543</v>
      </c>
      <c r="B709" s="27">
        <v>34151</v>
      </c>
      <c r="C709" s="28" t="s">
        <v>2197</v>
      </c>
      <c r="D709" s="27">
        <v>34151</v>
      </c>
      <c r="E709" s="28" t="s">
        <v>2198</v>
      </c>
      <c r="F709" s="28" t="s">
        <v>228</v>
      </c>
      <c r="G709" s="28" t="s">
        <v>20</v>
      </c>
      <c r="H709" s="28" t="s">
        <v>21</v>
      </c>
      <c r="I709" s="28" t="s">
        <v>21</v>
      </c>
      <c r="J709" s="28" t="s">
        <v>2181</v>
      </c>
      <c r="K709" s="28" t="s">
        <v>2199</v>
      </c>
      <c r="L709" s="28" t="s">
        <v>82</v>
      </c>
      <c r="M709" s="28" t="s">
        <v>21</v>
      </c>
      <c r="N709" s="29">
        <v>34181</v>
      </c>
      <c r="O709" s="92">
        <v>34235</v>
      </c>
      <c r="P709" s="28" t="s">
        <v>21</v>
      </c>
      <c r="Q709" s="26" t="b">
        <v>0</v>
      </c>
      <c r="R709" s="22">
        <f t="shared" si="11"/>
        <v>83</v>
      </c>
    </row>
    <row r="710" spans="1:18" ht="24">
      <c r="A710" s="26">
        <v>1548</v>
      </c>
      <c r="B710" s="27">
        <v>34156</v>
      </c>
      <c r="C710" s="28" t="s">
        <v>2200</v>
      </c>
      <c r="D710" s="27">
        <v>34150</v>
      </c>
      <c r="E710" s="28" t="s">
        <v>2201</v>
      </c>
      <c r="F710" s="28" t="s">
        <v>2202</v>
      </c>
      <c r="G710" s="28" t="s">
        <v>20</v>
      </c>
      <c r="H710" s="28" t="s">
        <v>189</v>
      </c>
      <c r="I710" s="28" t="s">
        <v>189</v>
      </c>
      <c r="J710" s="28" t="s">
        <v>2203</v>
      </c>
      <c r="K710" s="28" t="s">
        <v>2204</v>
      </c>
      <c r="L710" s="28" t="s">
        <v>2205</v>
      </c>
      <c r="M710" s="28" t="s">
        <v>2206</v>
      </c>
      <c r="N710" s="27">
        <v>34212</v>
      </c>
      <c r="O710" s="92">
        <v>38407</v>
      </c>
      <c r="P710" s="28" t="s">
        <v>21</v>
      </c>
      <c r="Q710" s="26" t="b">
        <v>0</v>
      </c>
      <c r="R710" s="22">
        <f t="shared" si="11"/>
        <v>4246</v>
      </c>
    </row>
    <row r="711" spans="1:18">
      <c r="A711" s="26">
        <v>1549</v>
      </c>
      <c r="B711" s="27">
        <v>34158</v>
      </c>
      <c r="C711" s="28" t="s">
        <v>2207</v>
      </c>
      <c r="D711" s="27">
        <v>34156</v>
      </c>
      <c r="E711" s="28" t="s">
        <v>2208</v>
      </c>
      <c r="F711" s="28" t="s">
        <v>149</v>
      </c>
      <c r="G711" s="28" t="s">
        <v>20</v>
      </c>
      <c r="H711" s="28" t="s">
        <v>21</v>
      </c>
      <c r="I711" s="28" t="s">
        <v>21</v>
      </c>
      <c r="J711" s="28" t="s">
        <v>2209</v>
      </c>
      <c r="K711" s="28" t="s">
        <v>2210</v>
      </c>
      <c r="L711" s="28" t="s">
        <v>82</v>
      </c>
      <c r="M711" s="28" t="s">
        <v>21</v>
      </c>
      <c r="N711" s="29">
        <v>34166</v>
      </c>
      <c r="O711" s="92">
        <v>34172</v>
      </c>
      <c r="P711" s="28" t="s">
        <v>21</v>
      </c>
      <c r="Q711" s="26" t="b">
        <v>0</v>
      </c>
      <c r="R711" s="22">
        <f t="shared" si="11"/>
        <v>14</v>
      </c>
    </row>
    <row r="712" spans="1:18">
      <c r="A712" s="26">
        <v>1566</v>
      </c>
      <c r="B712" s="27">
        <v>34162</v>
      </c>
      <c r="C712" s="28" t="s">
        <v>2211</v>
      </c>
      <c r="D712" s="27">
        <v>34162</v>
      </c>
      <c r="E712" s="28" t="s">
        <v>2212</v>
      </c>
      <c r="F712" s="28" t="s">
        <v>1039</v>
      </c>
      <c r="G712" s="28" t="s">
        <v>20</v>
      </c>
      <c r="H712" s="28" t="s">
        <v>21</v>
      </c>
      <c r="I712" s="28" t="s">
        <v>21</v>
      </c>
      <c r="J712" s="28" t="s">
        <v>2213</v>
      </c>
      <c r="K712" s="28" t="s">
        <v>2181</v>
      </c>
      <c r="L712" s="28" t="s">
        <v>66</v>
      </c>
      <c r="M712" s="28" t="s">
        <v>21</v>
      </c>
      <c r="N712" s="29">
        <v>34212</v>
      </c>
      <c r="O712" s="92">
        <v>35373</v>
      </c>
      <c r="P712" s="28" t="s">
        <v>31</v>
      </c>
      <c r="Q712" s="26" t="b">
        <v>0</v>
      </c>
      <c r="R712" s="22">
        <f t="shared" si="11"/>
        <v>1208</v>
      </c>
    </row>
    <row r="713" spans="1:18">
      <c r="A713" s="26">
        <v>1575</v>
      </c>
      <c r="B713" s="27">
        <v>34170</v>
      </c>
      <c r="C713" s="28" t="s">
        <v>2214</v>
      </c>
      <c r="D713" s="27">
        <v>34170</v>
      </c>
      <c r="E713" s="28" t="s">
        <v>2215</v>
      </c>
      <c r="F713" s="28" t="s">
        <v>145</v>
      </c>
      <c r="G713" s="28" t="s">
        <v>20</v>
      </c>
      <c r="H713" s="28" t="s">
        <v>21</v>
      </c>
      <c r="I713" s="28" t="s">
        <v>21</v>
      </c>
      <c r="J713" s="28" t="s">
        <v>2216</v>
      </c>
      <c r="K713" s="28" t="s">
        <v>2217</v>
      </c>
      <c r="L713" s="28" t="s">
        <v>1152</v>
      </c>
      <c r="M713" s="28" t="s">
        <v>21</v>
      </c>
      <c r="N713" s="29">
        <v>34181</v>
      </c>
      <c r="O713" s="92">
        <v>34183</v>
      </c>
      <c r="P713" s="28" t="s">
        <v>31</v>
      </c>
      <c r="Q713" s="26" t="b">
        <v>0</v>
      </c>
      <c r="R713" s="22">
        <f t="shared" si="11"/>
        <v>12</v>
      </c>
    </row>
    <row r="714" spans="1:18">
      <c r="A714" s="26">
        <v>1580</v>
      </c>
      <c r="B714" s="27">
        <v>34170</v>
      </c>
      <c r="C714" s="28" t="s">
        <v>2218</v>
      </c>
      <c r="D714" s="27">
        <v>34169</v>
      </c>
      <c r="E714" s="28" t="s">
        <v>2219</v>
      </c>
      <c r="F714" s="28" t="s">
        <v>359</v>
      </c>
      <c r="G714" s="28" t="s">
        <v>20</v>
      </c>
      <c r="H714" s="28" t="s">
        <v>21</v>
      </c>
      <c r="I714" s="28" t="s">
        <v>21</v>
      </c>
      <c r="J714" s="28" t="s">
        <v>2220</v>
      </c>
      <c r="K714" s="28" t="s">
        <v>2221</v>
      </c>
      <c r="L714" s="28" t="s">
        <v>821</v>
      </c>
      <c r="M714" s="28" t="s">
        <v>2222</v>
      </c>
      <c r="N714" s="29">
        <v>34212</v>
      </c>
      <c r="O714" s="92">
        <v>36620</v>
      </c>
      <c r="P714" s="28" t="s">
        <v>31</v>
      </c>
      <c r="Q714" s="26" t="b">
        <v>0</v>
      </c>
      <c r="R714" s="22">
        <f t="shared" si="11"/>
        <v>2447</v>
      </c>
    </row>
    <row r="715" spans="1:18">
      <c r="A715" s="26">
        <v>1581</v>
      </c>
      <c r="B715" s="27">
        <v>34170</v>
      </c>
      <c r="C715" s="28" t="s">
        <v>2223</v>
      </c>
      <c r="D715" s="27">
        <v>34170</v>
      </c>
      <c r="E715" s="28" t="s">
        <v>38</v>
      </c>
      <c r="F715" s="28" t="s">
        <v>2224</v>
      </c>
      <c r="G715" s="28" t="s">
        <v>21</v>
      </c>
      <c r="H715" s="28" t="s">
        <v>21</v>
      </c>
      <c r="I715" s="28" t="s">
        <v>21</v>
      </c>
      <c r="J715" s="28" t="s">
        <v>2225</v>
      </c>
      <c r="K715" s="28" t="s">
        <v>2226</v>
      </c>
      <c r="L715" s="28" t="s">
        <v>82</v>
      </c>
      <c r="M715" s="28" t="s">
        <v>21</v>
      </c>
      <c r="O715" s="92">
        <v>34176</v>
      </c>
      <c r="P715" s="28" t="s">
        <v>21</v>
      </c>
      <c r="Q715" s="26" t="b">
        <v>0</v>
      </c>
      <c r="R715" s="22">
        <f t="shared" si="11"/>
        <v>6</v>
      </c>
    </row>
    <row r="716" spans="1:18">
      <c r="A716" s="26">
        <v>1583</v>
      </c>
      <c r="B716" s="27">
        <v>34170</v>
      </c>
      <c r="C716" s="28" t="s">
        <v>2231</v>
      </c>
      <c r="D716" s="27">
        <v>34169</v>
      </c>
      <c r="E716" s="28" t="s">
        <v>38</v>
      </c>
      <c r="F716" s="28" t="s">
        <v>359</v>
      </c>
      <c r="G716" s="28" t="s">
        <v>20</v>
      </c>
      <c r="H716" s="28" t="s">
        <v>21</v>
      </c>
      <c r="I716" s="28" t="s">
        <v>21</v>
      </c>
      <c r="J716" s="28" t="s">
        <v>1004</v>
      </c>
      <c r="K716" s="28" t="s">
        <v>2232</v>
      </c>
      <c r="L716" s="28" t="s">
        <v>1152</v>
      </c>
      <c r="M716" s="28" t="s">
        <v>21</v>
      </c>
      <c r="N716" s="29">
        <v>34181</v>
      </c>
      <c r="O716" s="92">
        <v>34193</v>
      </c>
      <c r="P716" s="28" t="s">
        <v>31</v>
      </c>
      <c r="Q716" s="26" t="b">
        <v>0</v>
      </c>
      <c r="R716" s="22">
        <f t="shared" si="11"/>
        <v>22</v>
      </c>
    </row>
    <row r="717" spans="1:18">
      <c r="A717" s="26">
        <v>1582</v>
      </c>
      <c r="B717" s="27">
        <v>34171</v>
      </c>
      <c r="C717" s="28" t="s">
        <v>2227</v>
      </c>
      <c r="D717" s="27">
        <v>34169</v>
      </c>
      <c r="E717" s="28" t="s">
        <v>2228</v>
      </c>
      <c r="F717" s="28" t="s">
        <v>98</v>
      </c>
      <c r="G717" s="28" t="s">
        <v>20</v>
      </c>
      <c r="H717" s="28" t="s">
        <v>21</v>
      </c>
      <c r="I717" s="28" t="s">
        <v>21</v>
      </c>
      <c r="J717" s="28" t="s">
        <v>2229</v>
      </c>
      <c r="K717" s="28" t="s">
        <v>2230</v>
      </c>
      <c r="L717" s="28" t="s">
        <v>67</v>
      </c>
      <c r="M717" s="28" t="s">
        <v>21</v>
      </c>
      <c r="N717" s="29">
        <v>34227</v>
      </c>
      <c r="O717" s="92">
        <v>35691</v>
      </c>
      <c r="P717" s="28" t="s">
        <v>31</v>
      </c>
      <c r="Q717" s="26" t="b">
        <v>0</v>
      </c>
      <c r="R717" s="22">
        <f t="shared" si="11"/>
        <v>1517</v>
      </c>
    </row>
    <row r="718" spans="1:18">
      <c r="A718" s="26">
        <v>1594</v>
      </c>
      <c r="B718" s="27">
        <v>34171</v>
      </c>
      <c r="C718" s="28" t="s">
        <v>2236</v>
      </c>
      <c r="D718" s="27">
        <v>34171</v>
      </c>
      <c r="E718" s="28" t="s">
        <v>1432</v>
      </c>
      <c r="F718" s="28" t="s">
        <v>1587</v>
      </c>
      <c r="G718" s="28" t="s">
        <v>21</v>
      </c>
      <c r="H718" s="28" t="s">
        <v>21</v>
      </c>
      <c r="I718" s="28" t="s">
        <v>21</v>
      </c>
      <c r="J718" s="28" t="s">
        <v>2237</v>
      </c>
      <c r="K718" s="28" t="s">
        <v>2238</v>
      </c>
      <c r="L718" s="28" t="s">
        <v>59</v>
      </c>
      <c r="M718" s="28" t="s">
        <v>21</v>
      </c>
      <c r="N718" s="29">
        <v>34171</v>
      </c>
      <c r="O718" s="92">
        <v>34171</v>
      </c>
      <c r="P718" s="28" t="s">
        <v>21</v>
      </c>
      <c r="Q718" s="26" t="b">
        <v>0</v>
      </c>
      <c r="R718" s="22">
        <f t="shared" si="11"/>
        <v>0</v>
      </c>
    </row>
    <row r="719" spans="1:18">
      <c r="A719" s="26">
        <v>1597</v>
      </c>
      <c r="B719" s="27">
        <v>34171</v>
      </c>
      <c r="C719" s="28" t="s">
        <v>2239</v>
      </c>
      <c r="D719" s="27">
        <v>34171</v>
      </c>
      <c r="E719" s="28" t="s">
        <v>1204</v>
      </c>
      <c r="F719" s="28" t="s">
        <v>56</v>
      </c>
      <c r="G719" s="28" t="s">
        <v>21</v>
      </c>
      <c r="H719" s="28" t="s">
        <v>21</v>
      </c>
      <c r="I719" s="28" t="s">
        <v>21</v>
      </c>
      <c r="J719" s="28" t="s">
        <v>2240</v>
      </c>
      <c r="K719" s="28" t="s">
        <v>2241</v>
      </c>
      <c r="L719" s="28" t="s">
        <v>59</v>
      </c>
      <c r="M719" s="28" t="s">
        <v>21</v>
      </c>
      <c r="N719" s="29">
        <v>34184</v>
      </c>
      <c r="O719" s="92">
        <v>34187</v>
      </c>
      <c r="P719" s="28" t="s">
        <v>21</v>
      </c>
      <c r="Q719" s="26" t="b">
        <v>0</v>
      </c>
      <c r="R719" s="22">
        <f t="shared" si="11"/>
        <v>15</v>
      </c>
    </row>
    <row r="720" spans="1:18">
      <c r="A720" s="26">
        <v>1601</v>
      </c>
      <c r="B720" s="27">
        <v>34171</v>
      </c>
      <c r="C720" s="28" t="s">
        <v>2242</v>
      </c>
      <c r="D720" s="27">
        <v>34163</v>
      </c>
      <c r="E720" s="28" t="s">
        <v>2243</v>
      </c>
      <c r="F720" s="28" t="s">
        <v>98</v>
      </c>
      <c r="G720" s="28" t="s">
        <v>20</v>
      </c>
      <c r="H720" s="28" t="s">
        <v>21</v>
      </c>
      <c r="I720" s="28" t="s">
        <v>21</v>
      </c>
      <c r="J720" s="28" t="s">
        <v>2244</v>
      </c>
      <c r="K720" s="28" t="s">
        <v>2245</v>
      </c>
      <c r="L720" s="28" t="s">
        <v>82</v>
      </c>
      <c r="M720" s="28" t="s">
        <v>21</v>
      </c>
      <c r="N720" s="29">
        <v>34187</v>
      </c>
      <c r="O720" s="92">
        <v>34186</v>
      </c>
      <c r="P720" s="28" t="s">
        <v>31</v>
      </c>
      <c r="Q720" s="26" t="b">
        <v>0</v>
      </c>
      <c r="R720" s="22">
        <f t="shared" si="11"/>
        <v>14</v>
      </c>
    </row>
    <row r="721" spans="1:18">
      <c r="A721" s="26">
        <v>1593</v>
      </c>
      <c r="B721" s="27">
        <v>34172</v>
      </c>
      <c r="C721" s="28" t="s">
        <v>2233</v>
      </c>
      <c r="D721" s="27">
        <v>34164</v>
      </c>
      <c r="E721" s="28" t="s">
        <v>1432</v>
      </c>
      <c r="F721" s="28" t="s">
        <v>1587</v>
      </c>
      <c r="G721" s="28" t="s">
        <v>21</v>
      </c>
      <c r="H721" s="28" t="s">
        <v>21</v>
      </c>
      <c r="I721" s="28" t="s">
        <v>21</v>
      </c>
      <c r="J721" s="28" t="s">
        <v>2234</v>
      </c>
      <c r="K721" s="28" t="s">
        <v>2235</v>
      </c>
      <c r="L721" s="28" t="s">
        <v>59</v>
      </c>
      <c r="M721" s="28" t="s">
        <v>21</v>
      </c>
      <c r="N721" s="29">
        <v>34176</v>
      </c>
      <c r="O721" s="92">
        <v>34176</v>
      </c>
      <c r="P721" s="28" t="s">
        <v>21</v>
      </c>
      <c r="Q721" s="26" t="b">
        <v>0</v>
      </c>
      <c r="R721" s="22">
        <f t="shared" si="11"/>
        <v>4</v>
      </c>
    </row>
    <row r="722" spans="1:18">
      <c r="A722" s="26">
        <v>1602</v>
      </c>
      <c r="B722" s="27">
        <v>34177</v>
      </c>
      <c r="C722" s="28" t="s">
        <v>2246</v>
      </c>
      <c r="D722" s="27">
        <v>34159</v>
      </c>
      <c r="E722" s="28" t="s">
        <v>1443</v>
      </c>
      <c r="F722" s="28" t="s">
        <v>56</v>
      </c>
      <c r="G722" s="28" t="s">
        <v>20</v>
      </c>
      <c r="H722" s="28" t="s">
        <v>21</v>
      </c>
      <c r="I722" s="28" t="s">
        <v>21</v>
      </c>
      <c r="J722" s="28" t="s">
        <v>2247</v>
      </c>
      <c r="K722" s="28" t="s">
        <v>2248</v>
      </c>
      <c r="L722" s="28" t="s">
        <v>82</v>
      </c>
      <c r="M722" s="28" t="s">
        <v>21</v>
      </c>
      <c r="N722" s="29">
        <v>34191</v>
      </c>
      <c r="O722" s="92">
        <v>34200</v>
      </c>
      <c r="P722" s="28" t="s">
        <v>21</v>
      </c>
      <c r="Q722" s="26" t="b">
        <v>0</v>
      </c>
      <c r="R722" s="22">
        <f t="shared" si="11"/>
        <v>22</v>
      </c>
    </row>
    <row r="723" spans="1:18">
      <c r="A723" s="26">
        <v>1605</v>
      </c>
      <c r="B723" s="27">
        <v>34180</v>
      </c>
      <c r="C723" s="28" t="s">
        <v>2249</v>
      </c>
      <c r="D723" s="27">
        <v>34178</v>
      </c>
      <c r="E723" s="28" t="s">
        <v>2250</v>
      </c>
      <c r="F723" s="28" t="s">
        <v>259</v>
      </c>
      <c r="G723" s="28" t="s">
        <v>20</v>
      </c>
      <c r="H723" s="28" t="s">
        <v>21</v>
      </c>
      <c r="I723" s="28" t="s">
        <v>21</v>
      </c>
      <c r="J723" s="28" t="s">
        <v>2251</v>
      </c>
      <c r="K723" s="28" t="s">
        <v>2252</v>
      </c>
      <c r="L723" s="28" t="s">
        <v>24</v>
      </c>
      <c r="M723" s="28" t="s">
        <v>21</v>
      </c>
      <c r="N723" s="29">
        <v>34212</v>
      </c>
      <c r="O723" s="92">
        <v>34479</v>
      </c>
      <c r="P723" s="28" t="s">
        <v>21</v>
      </c>
      <c r="Q723" s="26" t="b">
        <v>0</v>
      </c>
      <c r="R723" s="22">
        <f t="shared" si="11"/>
        <v>299</v>
      </c>
    </row>
    <row r="724" spans="1:18">
      <c r="A724" s="26">
        <v>1606</v>
      </c>
      <c r="B724" s="27">
        <v>34183</v>
      </c>
      <c r="C724" s="28" t="s">
        <v>2253</v>
      </c>
      <c r="D724" s="27">
        <v>34180</v>
      </c>
      <c r="E724" s="28" t="s">
        <v>2254</v>
      </c>
      <c r="F724" s="28" t="s">
        <v>1414</v>
      </c>
      <c r="G724" s="28" t="s">
        <v>20</v>
      </c>
      <c r="H724" s="28" t="s">
        <v>71</v>
      </c>
      <c r="I724" s="28" t="s">
        <v>72</v>
      </c>
      <c r="J724" s="28" t="s">
        <v>2255</v>
      </c>
      <c r="K724" s="28" t="s">
        <v>2256</v>
      </c>
      <c r="L724" s="28" t="s">
        <v>24</v>
      </c>
      <c r="M724" s="28" t="s">
        <v>21</v>
      </c>
      <c r="N724" s="29">
        <v>34242</v>
      </c>
      <c r="O724" s="92">
        <v>34186</v>
      </c>
      <c r="P724" s="28" t="s">
        <v>31</v>
      </c>
      <c r="Q724" s="26" t="b">
        <v>0</v>
      </c>
      <c r="R724" s="22">
        <f t="shared" si="11"/>
        <v>3</v>
      </c>
    </row>
    <row r="725" spans="1:18">
      <c r="A725" s="26">
        <v>1143</v>
      </c>
      <c r="B725" s="27">
        <v>34185</v>
      </c>
      <c r="C725" s="28" t="s">
        <v>1668</v>
      </c>
      <c r="D725" s="27">
        <v>33903</v>
      </c>
      <c r="E725" s="28" t="s">
        <v>1669</v>
      </c>
      <c r="F725" s="28" t="s">
        <v>19</v>
      </c>
      <c r="G725" s="28" t="s">
        <v>20</v>
      </c>
      <c r="H725" s="28" t="s">
        <v>21</v>
      </c>
      <c r="I725" s="28" t="s">
        <v>21</v>
      </c>
      <c r="J725" s="28" t="s">
        <v>1670</v>
      </c>
      <c r="K725" s="28" t="s">
        <v>1671</v>
      </c>
      <c r="L725" s="28" t="s">
        <v>66</v>
      </c>
      <c r="M725" s="28" t="s">
        <v>1672</v>
      </c>
      <c r="O725" s="92">
        <v>37055</v>
      </c>
      <c r="P725" s="28" t="s">
        <v>21</v>
      </c>
      <c r="Q725" s="26" t="b">
        <v>0</v>
      </c>
      <c r="R725" s="22">
        <f t="shared" si="11"/>
        <v>2868</v>
      </c>
    </row>
    <row r="726" spans="1:18">
      <c r="A726" s="26">
        <v>2393</v>
      </c>
      <c r="B726" s="27">
        <v>34185</v>
      </c>
      <c r="C726" s="28" t="s">
        <v>2819</v>
      </c>
      <c r="D726" s="27">
        <v>34180</v>
      </c>
      <c r="E726" s="28" t="s">
        <v>2820</v>
      </c>
      <c r="F726" s="28" t="s">
        <v>533</v>
      </c>
      <c r="G726" s="28" t="s">
        <v>20</v>
      </c>
      <c r="H726" s="28" t="s">
        <v>21</v>
      </c>
      <c r="I726" s="28" t="s">
        <v>21</v>
      </c>
      <c r="J726" s="28" t="s">
        <v>2821</v>
      </c>
      <c r="K726" s="28" t="s">
        <v>2822</v>
      </c>
      <c r="L726" s="28" t="s">
        <v>686</v>
      </c>
      <c r="M726" s="28" t="s">
        <v>67</v>
      </c>
      <c r="O726" s="92">
        <v>36472</v>
      </c>
      <c r="P726" s="28" t="s">
        <v>21</v>
      </c>
      <c r="Q726" s="26" t="b">
        <v>0</v>
      </c>
      <c r="R726" s="22">
        <f t="shared" si="11"/>
        <v>2285</v>
      </c>
    </row>
    <row r="727" spans="1:18">
      <c r="A727" s="26">
        <v>1618</v>
      </c>
      <c r="B727" s="27">
        <v>34186</v>
      </c>
      <c r="C727" s="28" t="s">
        <v>2261</v>
      </c>
      <c r="D727" s="27">
        <v>34171</v>
      </c>
      <c r="E727" s="28" t="s">
        <v>2262</v>
      </c>
      <c r="F727" s="28" t="s">
        <v>34</v>
      </c>
      <c r="G727" s="28" t="s">
        <v>20</v>
      </c>
      <c r="H727" s="28" t="s">
        <v>21</v>
      </c>
      <c r="I727" s="28" t="s">
        <v>21</v>
      </c>
      <c r="J727" s="28" t="s">
        <v>2263</v>
      </c>
      <c r="K727" s="28" t="s">
        <v>2264</v>
      </c>
      <c r="L727" s="28" t="s">
        <v>24</v>
      </c>
      <c r="M727" s="28" t="s">
        <v>1152</v>
      </c>
      <c r="O727" s="92">
        <v>34243</v>
      </c>
      <c r="P727" s="28" t="s">
        <v>21</v>
      </c>
      <c r="Q727" s="26" t="b">
        <v>0</v>
      </c>
      <c r="R727" s="22">
        <f t="shared" si="11"/>
        <v>56</v>
      </c>
    </row>
    <row r="728" spans="1:18">
      <c r="A728" s="26">
        <v>1626</v>
      </c>
      <c r="B728" s="27">
        <v>34186</v>
      </c>
      <c r="C728" s="28" t="s">
        <v>2265</v>
      </c>
      <c r="D728" s="27">
        <v>34186</v>
      </c>
      <c r="E728" s="28" t="s">
        <v>38</v>
      </c>
      <c r="F728" s="28" t="s">
        <v>124</v>
      </c>
      <c r="G728" s="28" t="s">
        <v>20</v>
      </c>
      <c r="H728" s="28" t="s">
        <v>21</v>
      </c>
      <c r="I728" s="28" t="s">
        <v>21</v>
      </c>
      <c r="J728" s="28" t="s">
        <v>2266</v>
      </c>
      <c r="K728" s="28" t="s">
        <v>2267</v>
      </c>
      <c r="L728" s="28" t="s">
        <v>24</v>
      </c>
      <c r="M728" s="28" t="s">
        <v>21</v>
      </c>
      <c r="N728" s="29">
        <v>34211</v>
      </c>
      <c r="O728" s="92">
        <v>34207</v>
      </c>
      <c r="P728" s="28" t="s">
        <v>21</v>
      </c>
      <c r="Q728" s="26" t="b">
        <v>0</v>
      </c>
      <c r="R728" s="22">
        <f t="shared" si="11"/>
        <v>21</v>
      </c>
    </row>
    <row r="729" spans="1:18">
      <c r="A729" s="26">
        <v>1632</v>
      </c>
      <c r="B729" s="27">
        <v>34192</v>
      </c>
      <c r="C729" s="28" t="s">
        <v>2268</v>
      </c>
      <c r="D729" s="27">
        <v>34191</v>
      </c>
      <c r="E729" s="28" t="s">
        <v>2269</v>
      </c>
      <c r="F729" s="28" t="s">
        <v>56</v>
      </c>
      <c r="G729" s="28" t="s">
        <v>20</v>
      </c>
      <c r="H729" s="28" t="s">
        <v>21</v>
      </c>
      <c r="I729" s="28" t="s">
        <v>21</v>
      </c>
      <c r="J729" s="28" t="s">
        <v>2270</v>
      </c>
      <c r="K729" s="28" t="s">
        <v>2271</v>
      </c>
      <c r="L729" s="28" t="s">
        <v>24</v>
      </c>
      <c r="M729" s="28" t="s">
        <v>21</v>
      </c>
      <c r="O729" s="92">
        <v>34233</v>
      </c>
      <c r="P729" s="28" t="s">
        <v>21</v>
      </c>
      <c r="Q729" s="26" t="b">
        <v>0</v>
      </c>
      <c r="R729" s="22">
        <f t="shared" si="11"/>
        <v>40</v>
      </c>
    </row>
    <row r="730" spans="1:18">
      <c r="A730" s="26">
        <v>1716</v>
      </c>
      <c r="B730" s="27">
        <v>34193</v>
      </c>
      <c r="C730" s="28" t="s">
        <v>2342</v>
      </c>
      <c r="D730" s="27">
        <v>34187</v>
      </c>
      <c r="E730" s="28" t="s">
        <v>2343</v>
      </c>
      <c r="F730" s="28" t="s">
        <v>216</v>
      </c>
      <c r="G730" s="28" t="s">
        <v>20</v>
      </c>
      <c r="H730" s="28" t="s">
        <v>21</v>
      </c>
      <c r="I730" s="28" t="s">
        <v>21</v>
      </c>
      <c r="J730" s="28" t="s">
        <v>2344</v>
      </c>
      <c r="K730" s="28" t="s">
        <v>2345</v>
      </c>
      <c r="L730" s="28" t="s">
        <v>82</v>
      </c>
      <c r="M730" s="28" t="s">
        <v>21</v>
      </c>
      <c r="O730" s="92">
        <v>34208</v>
      </c>
      <c r="P730" s="28" t="s">
        <v>31</v>
      </c>
      <c r="Q730" s="26" t="b">
        <v>0</v>
      </c>
      <c r="R730" s="22">
        <f t="shared" si="11"/>
        <v>15</v>
      </c>
    </row>
    <row r="731" spans="1:18">
      <c r="A731" s="26">
        <v>1608</v>
      </c>
      <c r="B731" s="27">
        <v>34194</v>
      </c>
      <c r="C731" s="28" t="s">
        <v>2257</v>
      </c>
      <c r="D731" s="27">
        <v>34190</v>
      </c>
      <c r="E731" s="28" t="s">
        <v>2258</v>
      </c>
      <c r="F731" s="28" t="s">
        <v>228</v>
      </c>
      <c r="G731" s="28" t="s">
        <v>20</v>
      </c>
      <c r="H731" s="28" t="s">
        <v>21</v>
      </c>
      <c r="I731" s="28" t="s">
        <v>21</v>
      </c>
      <c r="J731" s="28" t="s">
        <v>2259</v>
      </c>
      <c r="K731" s="28" t="s">
        <v>2260</v>
      </c>
      <c r="L731" s="28" t="s">
        <v>24</v>
      </c>
      <c r="M731" s="28" t="s">
        <v>21</v>
      </c>
      <c r="O731" s="92">
        <v>34226</v>
      </c>
      <c r="P731" s="28" t="s">
        <v>31</v>
      </c>
      <c r="Q731" s="26" t="b">
        <v>0</v>
      </c>
      <c r="R731" s="22">
        <f t="shared" si="11"/>
        <v>31</v>
      </c>
    </row>
    <row r="732" spans="1:18">
      <c r="A732" s="26">
        <v>1643</v>
      </c>
      <c r="B732" s="27">
        <v>34198</v>
      </c>
      <c r="C732" s="28" t="s">
        <v>2272</v>
      </c>
      <c r="D732" s="27">
        <v>34199</v>
      </c>
      <c r="E732" s="28" t="s">
        <v>1443</v>
      </c>
      <c r="F732" s="28" t="s">
        <v>104</v>
      </c>
      <c r="G732" s="28" t="s">
        <v>20</v>
      </c>
      <c r="H732" s="28" t="s">
        <v>21</v>
      </c>
      <c r="I732" s="28" t="s">
        <v>21</v>
      </c>
      <c r="J732" s="28" t="s">
        <v>2273</v>
      </c>
      <c r="K732" s="28" t="s">
        <v>2274</v>
      </c>
      <c r="L732" s="28" t="s">
        <v>24</v>
      </c>
      <c r="M732" s="28" t="s">
        <v>21</v>
      </c>
      <c r="O732" s="92">
        <v>34199</v>
      </c>
      <c r="P732" s="28" t="s">
        <v>21</v>
      </c>
      <c r="Q732" s="26" t="b">
        <v>0</v>
      </c>
      <c r="R732" s="22">
        <f t="shared" si="11"/>
        <v>1</v>
      </c>
    </row>
    <row r="733" spans="1:18">
      <c r="A733" s="26">
        <v>1652</v>
      </c>
      <c r="B733" s="27">
        <v>34204</v>
      </c>
      <c r="C733" s="28" t="s">
        <v>2275</v>
      </c>
      <c r="D733" s="27">
        <v>34167</v>
      </c>
      <c r="E733" s="28" t="s">
        <v>2276</v>
      </c>
      <c r="F733" s="28" t="s">
        <v>793</v>
      </c>
      <c r="G733" s="28" t="s">
        <v>20</v>
      </c>
      <c r="H733" s="28" t="s">
        <v>21</v>
      </c>
      <c r="I733" s="28" t="s">
        <v>21</v>
      </c>
      <c r="J733" s="28" t="s">
        <v>2277</v>
      </c>
      <c r="K733" s="28" t="s">
        <v>2278</v>
      </c>
      <c r="L733" s="28" t="s">
        <v>24</v>
      </c>
      <c r="M733" s="28" t="s">
        <v>21</v>
      </c>
      <c r="N733" s="18"/>
      <c r="O733" s="92">
        <v>34914</v>
      </c>
      <c r="P733" s="28" t="s">
        <v>21</v>
      </c>
      <c r="Q733" s="26" t="b">
        <v>0</v>
      </c>
      <c r="R733" s="22">
        <f t="shared" si="11"/>
        <v>709</v>
      </c>
    </row>
    <row r="734" spans="1:18">
      <c r="A734" s="26">
        <v>1654</v>
      </c>
      <c r="B734" s="27">
        <v>34204</v>
      </c>
      <c r="C734" s="28" t="s">
        <v>2279</v>
      </c>
      <c r="D734" s="27">
        <v>34199</v>
      </c>
      <c r="E734" s="28" t="s">
        <v>38</v>
      </c>
      <c r="F734" s="28" t="s">
        <v>124</v>
      </c>
      <c r="G734" s="28" t="s">
        <v>20</v>
      </c>
      <c r="H734" s="28" t="s">
        <v>21</v>
      </c>
      <c r="I734" s="28" t="s">
        <v>21</v>
      </c>
      <c r="J734" s="28" t="s">
        <v>2280</v>
      </c>
      <c r="K734" s="28" t="s">
        <v>2281</v>
      </c>
      <c r="L734" s="28" t="s">
        <v>82</v>
      </c>
      <c r="M734" s="28" t="s">
        <v>21</v>
      </c>
      <c r="O734" s="92">
        <v>34225</v>
      </c>
      <c r="P734" s="28" t="s">
        <v>31</v>
      </c>
      <c r="Q734" s="26" t="b">
        <v>0</v>
      </c>
      <c r="R734" s="22">
        <f t="shared" si="11"/>
        <v>20</v>
      </c>
    </row>
    <row r="735" spans="1:18">
      <c r="A735" s="26">
        <v>1655</v>
      </c>
      <c r="B735" s="27">
        <v>34204</v>
      </c>
      <c r="C735" s="28" t="s">
        <v>2282</v>
      </c>
      <c r="D735" s="27">
        <v>34199</v>
      </c>
      <c r="E735" s="28" t="s">
        <v>38</v>
      </c>
      <c r="F735" s="28" t="s">
        <v>124</v>
      </c>
      <c r="G735" s="28" t="s">
        <v>20</v>
      </c>
      <c r="H735" s="28" t="s">
        <v>21</v>
      </c>
      <c r="I735" s="28" t="s">
        <v>21</v>
      </c>
      <c r="J735" s="28" t="s">
        <v>2283</v>
      </c>
      <c r="K735" s="28" t="s">
        <v>2284</v>
      </c>
      <c r="L735" s="28" t="s">
        <v>82</v>
      </c>
      <c r="M735" s="28" t="s">
        <v>21</v>
      </c>
      <c r="O735" s="92">
        <v>34222</v>
      </c>
      <c r="P735" s="28" t="s">
        <v>31</v>
      </c>
      <c r="Q735" s="26" t="b">
        <v>0</v>
      </c>
      <c r="R735" s="22">
        <f t="shared" si="11"/>
        <v>17</v>
      </c>
    </row>
    <row r="736" spans="1:18">
      <c r="A736" s="26">
        <v>1657</v>
      </c>
      <c r="B736" s="27">
        <v>34205</v>
      </c>
      <c r="C736" s="28" t="s">
        <v>2285</v>
      </c>
      <c r="D736" s="27">
        <v>34199</v>
      </c>
      <c r="E736" s="28" t="s">
        <v>2286</v>
      </c>
      <c r="F736" s="28" t="s">
        <v>124</v>
      </c>
      <c r="G736" s="28" t="s">
        <v>20</v>
      </c>
      <c r="H736" s="28" t="s">
        <v>21</v>
      </c>
      <c r="I736" s="28" t="s">
        <v>21</v>
      </c>
      <c r="J736" s="28" t="s">
        <v>2287</v>
      </c>
      <c r="K736" s="28" t="s">
        <v>273</v>
      </c>
      <c r="L736" s="28" t="s">
        <v>24</v>
      </c>
      <c r="M736" s="28" t="s">
        <v>21</v>
      </c>
      <c r="O736" s="92">
        <v>34620</v>
      </c>
      <c r="P736" s="28" t="s">
        <v>31</v>
      </c>
      <c r="Q736" s="26" t="b">
        <v>0</v>
      </c>
      <c r="R736" s="22">
        <f t="shared" si="11"/>
        <v>414</v>
      </c>
    </row>
    <row r="737" spans="1:18">
      <c r="A737" s="26">
        <v>1658</v>
      </c>
      <c r="B737" s="27">
        <v>34206</v>
      </c>
      <c r="C737" s="28" t="s">
        <v>2288</v>
      </c>
      <c r="D737" s="27">
        <v>34205</v>
      </c>
      <c r="E737" s="28" t="s">
        <v>1443</v>
      </c>
      <c r="F737" s="28" t="s">
        <v>56</v>
      </c>
      <c r="G737" s="28" t="s">
        <v>20</v>
      </c>
      <c r="H737" s="28" t="s">
        <v>21</v>
      </c>
      <c r="I737" s="28" t="s">
        <v>21</v>
      </c>
      <c r="J737" s="28" t="s">
        <v>1841</v>
      </c>
      <c r="K737" s="28" t="s">
        <v>2289</v>
      </c>
      <c r="L737" s="28" t="s">
        <v>82</v>
      </c>
      <c r="M737" s="28" t="s">
        <v>21</v>
      </c>
      <c r="N737" s="18"/>
      <c r="O737" s="92">
        <v>34208</v>
      </c>
      <c r="P737" s="28" t="s">
        <v>21</v>
      </c>
      <c r="Q737" s="26" t="b">
        <v>0</v>
      </c>
      <c r="R737" s="22">
        <f t="shared" si="11"/>
        <v>2</v>
      </c>
    </row>
    <row r="738" spans="1:18">
      <c r="A738" s="26">
        <v>1724</v>
      </c>
      <c r="B738" s="27">
        <v>34207</v>
      </c>
      <c r="C738" s="28" t="s">
        <v>2290</v>
      </c>
      <c r="D738" s="18"/>
      <c r="E738" s="28" t="s">
        <v>2358</v>
      </c>
      <c r="F738" s="28" t="s">
        <v>2359</v>
      </c>
      <c r="G738" s="28" t="s">
        <v>20</v>
      </c>
      <c r="H738" s="28" t="s">
        <v>71</v>
      </c>
      <c r="I738" s="28" t="s">
        <v>72</v>
      </c>
      <c r="J738" s="28" t="s">
        <v>448</v>
      </c>
      <c r="K738" s="28" t="s">
        <v>2360</v>
      </c>
      <c r="L738" s="28" t="s">
        <v>24</v>
      </c>
      <c r="M738" s="28" t="s">
        <v>21</v>
      </c>
      <c r="N738" s="29">
        <v>34222</v>
      </c>
      <c r="O738" s="92">
        <v>34214</v>
      </c>
      <c r="P738" s="28" t="s">
        <v>21</v>
      </c>
      <c r="Q738" s="26" t="b">
        <v>0</v>
      </c>
      <c r="R738" s="22">
        <f t="shared" si="11"/>
        <v>6</v>
      </c>
    </row>
    <row r="739" spans="1:18">
      <c r="A739" s="26">
        <v>1659</v>
      </c>
      <c r="B739" s="27">
        <v>34211</v>
      </c>
      <c r="C739" s="28" t="s">
        <v>2290</v>
      </c>
      <c r="D739" s="27">
        <v>34207</v>
      </c>
      <c r="E739" s="28" t="s">
        <v>2291</v>
      </c>
      <c r="F739" s="28" t="s">
        <v>56</v>
      </c>
      <c r="G739" s="28" t="s">
        <v>20</v>
      </c>
      <c r="H739" s="28" t="s">
        <v>21</v>
      </c>
      <c r="I739" s="28" t="s">
        <v>21</v>
      </c>
      <c r="J739" s="28" t="s">
        <v>2292</v>
      </c>
      <c r="K739" s="28" t="s">
        <v>2293</v>
      </c>
      <c r="L739" s="28" t="s">
        <v>24</v>
      </c>
      <c r="M739" s="28" t="s">
        <v>21</v>
      </c>
      <c r="O739" s="92">
        <v>35289</v>
      </c>
      <c r="P739" s="28" t="s">
        <v>31</v>
      </c>
      <c r="Q739" s="26" t="b">
        <v>0</v>
      </c>
      <c r="R739" s="22">
        <f t="shared" si="11"/>
        <v>1076</v>
      </c>
    </row>
    <row r="740" spans="1:18">
      <c r="A740" s="26">
        <v>1664</v>
      </c>
      <c r="B740" s="27">
        <v>34213</v>
      </c>
      <c r="C740" s="28" t="s">
        <v>2294</v>
      </c>
      <c r="D740" s="27">
        <v>34213</v>
      </c>
      <c r="E740" s="28" t="s">
        <v>2295</v>
      </c>
      <c r="F740" s="28" t="s">
        <v>2296</v>
      </c>
      <c r="G740" s="28" t="s">
        <v>20</v>
      </c>
      <c r="H740" s="28" t="s">
        <v>566</v>
      </c>
      <c r="I740" s="28" t="s">
        <v>566</v>
      </c>
      <c r="J740" s="28" t="s">
        <v>2297</v>
      </c>
      <c r="K740" s="28" t="s">
        <v>2298</v>
      </c>
      <c r="L740" s="28" t="s">
        <v>88</v>
      </c>
      <c r="M740" s="28" t="s">
        <v>21</v>
      </c>
      <c r="O740" s="92">
        <v>35451</v>
      </c>
      <c r="P740" s="28" t="s">
        <v>21</v>
      </c>
      <c r="Q740" s="26" t="b">
        <v>0</v>
      </c>
      <c r="R740" s="22">
        <f t="shared" si="11"/>
        <v>1236</v>
      </c>
    </row>
    <row r="741" spans="1:18">
      <c r="A741" s="26">
        <v>1666</v>
      </c>
      <c r="B741" s="27">
        <v>34213</v>
      </c>
      <c r="C741" s="28" t="s">
        <v>2299</v>
      </c>
      <c r="D741" s="27">
        <v>34213</v>
      </c>
      <c r="E741" s="28" t="s">
        <v>38</v>
      </c>
      <c r="F741" s="28" t="s">
        <v>350</v>
      </c>
      <c r="G741" s="28" t="s">
        <v>20</v>
      </c>
      <c r="H741" s="28" t="s">
        <v>21</v>
      </c>
      <c r="I741" s="28" t="s">
        <v>21</v>
      </c>
      <c r="J741" s="28" t="s">
        <v>2300</v>
      </c>
      <c r="K741" s="28" t="s">
        <v>2301</v>
      </c>
      <c r="L741" s="28" t="s">
        <v>24</v>
      </c>
      <c r="M741" s="28" t="s">
        <v>21</v>
      </c>
      <c r="O741" s="92">
        <v>34219</v>
      </c>
      <c r="P741" s="28" t="s">
        <v>31</v>
      </c>
      <c r="Q741" s="26" t="b">
        <v>0</v>
      </c>
      <c r="R741" s="22">
        <f t="shared" si="11"/>
        <v>6</v>
      </c>
    </row>
    <row r="742" spans="1:18">
      <c r="A742" s="26">
        <v>1673</v>
      </c>
      <c r="B742" s="27">
        <v>34220</v>
      </c>
      <c r="C742" s="28" t="s">
        <v>2302</v>
      </c>
      <c r="D742" s="27">
        <v>34220</v>
      </c>
      <c r="E742" s="28" t="s">
        <v>38</v>
      </c>
      <c r="F742" s="28" t="s">
        <v>124</v>
      </c>
      <c r="G742" s="28" t="s">
        <v>20</v>
      </c>
      <c r="H742" s="28" t="s">
        <v>21</v>
      </c>
      <c r="I742" s="28" t="s">
        <v>21</v>
      </c>
      <c r="J742" s="28" t="s">
        <v>2303</v>
      </c>
      <c r="K742" s="28" t="s">
        <v>1401</v>
      </c>
      <c r="L742" s="28" t="s">
        <v>24</v>
      </c>
      <c r="M742" s="28" t="s">
        <v>21</v>
      </c>
      <c r="N742" s="27">
        <v>34227</v>
      </c>
      <c r="O742" s="92">
        <v>34222</v>
      </c>
      <c r="P742" s="28" t="s">
        <v>21</v>
      </c>
      <c r="Q742" s="26" t="b">
        <v>0</v>
      </c>
      <c r="R742" s="22">
        <f t="shared" si="11"/>
        <v>2</v>
      </c>
    </row>
    <row r="743" spans="1:18">
      <c r="A743" s="26">
        <v>1681</v>
      </c>
      <c r="B743" s="27">
        <v>34221</v>
      </c>
      <c r="C743" s="28" t="s">
        <v>2304</v>
      </c>
      <c r="D743" s="27">
        <v>34215</v>
      </c>
      <c r="E743" s="28" t="s">
        <v>2305</v>
      </c>
      <c r="F743" s="28" t="s">
        <v>228</v>
      </c>
      <c r="G743" s="28" t="s">
        <v>20</v>
      </c>
      <c r="H743" s="28" t="s">
        <v>21</v>
      </c>
      <c r="I743" s="28" t="s">
        <v>21</v>
      </c>
      <c r="J743" s="28" t="s">
        <v>2284</v>
      </c>
      <c r="K743" s="28" t="s">
        <v>2306</v>
      </c>
      <c r="L743" s="28" t="s">
        <v>1152</v>
      </c>
      <c r="M743" s="28" t="s">
        <v>21</v>
      </c>
      <c r="O743" s="92">
        <v>34353</v>
      </c>
      <c r="P743" s="28" t="s">
        <v>31</v>
      </c>
      <c r="Q743" s="26" t="b">
        <v>0</v>
      </c>
      <c r="R743" s="22">
        <f t="shared" si="11"/>
        <v>131</v>
      </c>
    </row>
    <row r="744" spans="1:18">
      <c r="A744" s="26">
        <v>1682</v>
      </c>
      <c r="B744" s="27">
        <v>34221</v>
      </c>
      <c r="C744" s="28" t="s">
        <v>2307</v>
      </c>
      <c r="D744" s="27">
        <v>34221</v>
      </c>
      <c r="E744" s="28" t="s">
        <v>2308</v>
      </c>
      <c r="F744" s="28" t="s">
        <v>194</v>
      </c>
      <c r="G744" s="28" t="s">
        <v>20</v>
      </c>
      <c r="H744" s="28" t="s">
        <v>71</v>
      </c>
      <c r="I744" s="28" t="s">
        <v>72</v>
      </c>
      <c r="J744" s="28" t="s">
        <v>2309</v>
      </c>
      <c r="K744" s="28" t="s">
        <v>2310</v>
      </c>
      <c r="L744" s="28" t="s">
        <v>66</v>
      </c>
      <c r="M744" s="28" t="s">
        <v>24</v>
      </c>
      <c r="N744" s="18"/>
      <c r="O744" s="92">
        <v>35828</v>
      </c>
      <c r="P744" s="28" t="s">
        <v>21</v>
      </c>
      <c r="Q744" s="26" t="b">
        <v>0</v>
      </c>
      <c r="R744" s="22">
        <f t="shared" si="11"/>
        <v>1604</v>
      </c>
    </row>
    <row r="745" spans="1:18">
      <c r="A745" s="26">
        <v>1683</v>
      </c>
      <c r="B745" s="27">
        <v>34221</v>
      </c>
      <c r="C745" s="28" t="s">
        <v>2311</v>
      </c>
      <c r="D745" s="27">
        <v>34220</v>
      </c>
      <c r="E745" s="28" t="s">
        <v>1443</v>
      </c>
      <c r="F745" s="28" t="s">
        <v>56</v>
      </c>
      <c r="G745" s="28" t="s">
        <v>20</v>
      </c>
      <c r="H745" s="28" t="s">
        <v>21</v>
      </c>
      <c r="I745" s="28" t="s">
        <v>21</v>
      </c>
      <c r="J745" s="28" t="s">
        <v>2312</v>
      </c>
      <c r="K745" s="28" t="s">
        <v>2313</v>
      </c>
      <c r="L745" s="28" t="s">
        <v>24</v>
      </c>
      <c r="M745" s="28" t="s">
        <v>21</v>
      </c>
      <c r="O745" s="92">
        <v>34227</v>
      </c>
      <c r="P745" s="28" t="s">
        <v>21</v>
      </c>
      <c r="Q745" s="26" t="b">
        <v>0</v>
      </c>
      <c r="R745" s="22">
        <f t="shared" si="11"/>
        <v>6</v>
      </c>
    </row>
    <row r="746" spans="1:18">
      <c r="A746" s="26">
        <v>1684</v>
      </c>
      <c r="B746" s="27">
        <v>34222</v>
      </c>
      <c r="C746" s="28" t="s">
        <v>2314</v>
      </c>
      <c r="D746" s="27">
        <v>34219</v>
      </c>
      <c r="E746" s="28" t="s">
        <v>2315</v>
      </c>
      <c r="F746" s="28" t="s">
        <v>39</v>
      </c>
      <c r="G746" s="28" t="s">
        <v>20</v>
      </c>
      <c r="H746" s="28" t="s">
        <v>189</v>
      </c>
      <c r="I746" s="28" t="s">
        <v>189</v>
      </c>
      <c r="J746" s="28" t="s">
        <v>2316</v>
      </c>
      <c r="K746" s="28" t="s">
        <v>2317</v>
      </c>
      <c r="L746" s="28" t="s">
        <v>24</v>
      </c>
      <c r="M746" s="28" t="s">
        <v>21</v>
      </c>
      <c r="O746" s="92">
        <v>34239</v>
      </c>
      <c r="P746" s="28" t="s">
        <v>21</v>
      </c>
      <c r="Q746" s="26" t="b">
        <v>0</v>
      </c>
      <c r="R746" s="22">
        <f t="shared" si="11"/>
        <v>17</v>
      </c>
    </row>
    <row r="747" spans="1:18">
      <c r="A747" s="26">
        <v>1685</v>
      </c>
      <c r="B747" s="27">
        <v>34225</v>
      </c>
      <c r="C747" s="28" t="s">
        <v>2318</v>
      </c>
      <c r="D747" s="27">
        <v>34225</v>
      </c>
      <c r="E747" s="28" t="s">
        <v>38</v>
      </c>
      <c r="F747" s="28" t="s">
        <v>98</v>
      </c>
      <c r="G747" s="28" t="s">
        <v>20</v>
      </c>
      <c r="H747" s="28" t="s">
        <v>21</v>
      </c>
      <c r="I747" s="28" t="s">
        <v>21</v>
      </c>
      <c r="J747" s="28" t="s">
        <v>2319</v>
      </c>
      <c r="K747" s="28" t="s">
        <v>2320</v>
      </c>
      <c r="L747" s="28" t="s">
        <v>82</v>
      </c>
      <c r="M747" s="28" t="s">
        <v>21</v>
      </c>
      <c r="N747" s="18"/>
      <c r="O747" s="92">
        <v>34232</v>
      </c>
      <c r="P747" s="28" t="s">
        <v>31</v>
      </c>
      <c r="Q747" s="26" t="b">
        <v>0</v>
      </c>
      <c r="R747" s="22">
        <f t="shared" si="11"/>
        <v>7</v>
      </c>
    </row>
    <row r="748" spans="1:18" ht="24">
      <c r="A748" s="26">
        <v>1701</v>
      </c>
      <c r="B748" s="27">
        <v>34227</v>
      </c>
      <c r="C748" s="28" t="s">
        <v>2324</v>
      </c>
      <c r="D748" s="27">
        <v>34225</v>
      </c>
      <c r="E748" s="28" t="s">
        <v>2325</v>
      </c>
      <c r="F748" s="28" t="s">
        <v>124</v>
      </c>
      <c r="G748" s="28" t="s">
        <v>20</v>
      </c>
      <c r="H748" s="28" t="s">
        <v>21</v>
      </c>
      <c r="I748" s="28" t="s">
        <v>21</v>
      </c>
      <c r="J748" s="28" t="s">
        <v>2326</v>
      </c>
      <c r="K748" s="28" t="s">
        <v>2327</v>
      </c>
      <c r="L748" s="28" t="s">
        <v>314</v>
      </c>
      <c r="M748" s="28" t="s">
        <v>1800</v>
      </c>
      <c r="N748" s="18"/>
      <c r="O748" s="92">
        <v>37686</v>
      </c>
      <c r="P748" s="28" t="s">
        <v>31</v>
      </c>
      <c r="Q748" s="26" t="b">
        <v>0</v>
      </c>
      <c r="R748" s="22">
        <f t="shared" si="11"/>
        <v>3458</v>
      </c>
    </row>
    <row r="749" spans="1:18">
      <c r="A749" s="26">
        <v>1700</v>
      </c>
      <c r="B749" s="27">
        <v>34228</v>
      </c>
      <c r="C749" s="28" t="s">
        <v>2321</v>
      </c>
      <c r="D749" s="27">
        <v>34226</v>
      </c>
      <c r="E749" s="28" t="s">
        <v>38</v>
      </c>
      <c r="F749" s="28" t="s">
        <v>513</v>
      </c>
      <c r="G749" s="28" t="s">
        <v>20</v>
      </c>
      <c r="H749" s="28" t="s">
        <v>21</v>
      </c>
      <c r="I749" s="28" t="s">
        <v>21</v>
      </c>
      <c r="J749" s="28" t="s">
        <v>2322</v>
      </c>
      <c r="K749" s="28" t="s">
        <v>2323</v>
      </c>
      <c r="L749" s="28" t="s">
        <v>82</v>
      </c>
      <c r="M749" s="28" t="s">
        <v>21</v>
      </c>
      <c r="O749" s="92">
        <v>34232</v>
      </c>
      <c r="P749" s="28" t="s">
        <v>21</v>
      </c>
      <c r="Q749" s="26" t="b">
        <v>0</v>
      </c>
      <c r="R749" s="22">
        <f t="shared" si="11"/>
        <v>4</v>
      </c>
    </row>
    <row r="750" spans="1:18">
      <c r="A750" s="26">
        <v>1704</v>
      </c>
      <c r="B750" s="27">
        <v>34229</v>
      </c>
      <c r="C750" s="28" t="s">
        <v>2328</v>
      </c>
      <c r="D750" s="27">
        <v>34227</v>
      </c>
      <c r="E750" s="28" t="s">
        <v>1443</v>
      </c>
      <c r="F750" s="28" t="s">
        <v>2224</v>
      </c>
      <c r="G750" s="28" t="s">
        <v>21</v>
      </c>
      <c r="H750" s="28" t="s">
        <v>21</v>
      </c>
      <c r="I750" s="28" t="s">
        <v>21</v>
      </c>
      <c r="J750" s="28" t="s">
        <v>2329</v>
      </c>
      <c r="K750" s="28" t="s">
        <v>2330</v>
      </c>
      <c r="L750" s="28" t="s">
        <v>1152</v>
      </c>
      <c r="M750" s="28" t="s">
        <v>21</v>
      </c>
      <c r="N750" s="29">
        <v>34239</v>
      </c>
      <c r="O750" s="92">
        <v>34446</v>
      </c>
      <c r="P750" s="28" t="s">
        <v>21</v>
      </c>
      <c r="Q750" s="26" t="b">
        <v>0</v>
      </c>
      <c r="R750" s="22">
        <f t="shared" si="11"/>
        <v>217</v>
      </c>
    </row>
    <row r="751" spans="1:18">
      <c r="A751" s="26">
        <v>1705</v>
      </c>
      <c r="B751" s="27">
        <v>34229</v>
      </c>
      <c r="C751" s="28" t="s">
        <v>2331</v>
      </c>
      <c r="D751" s="27">
        <v>34227</v>
      </c>
      <c r="E751" s="28" t="s">
        <v>2332</v>
      </c>
      <c r="F751" s="28" t="s">
        <v>211</v>
      </c>
      <c r="G751" s="28" t="s">
        <v>20</v>
      </c>
      <c r="H751" s="28" t="s">
        <v>212</v>
      </c>
      <c r="I751" s="28" t="s">
        <v>212</v>
      </c>
      <c r="J751" s="28" t="s">
        <v>2333</v>
      </c>
      <c r="K751" s="28" t="s">
        <v>2334</v>
      </c>
      <c r="L751" s="28" t="s">
        <v>67</v>
      </c>
      <c r="M751" s="28" t="s">
        <v>21</v>
      </c>
      <c r="O751" s="92">
        <v>35444</v>
      </c>
      <c r="P751" s="28" t="s">
        <v>21</v>
      </c>
      <c r="Q751" s="26" t="b">
        <v>0</v>
      </c>
      <c r="R751" s="22">
        <f t="shared" si="11"/>
        <v>1213</v>
      </c>
    </row>
    <row r="752" spans="1:18">
      <c r="A752" s="26">
        <v>1706</v>
      </c>
      <c r="B752" s="27">
        <v>34229</v>
      </c>
      <c r="C752" s="28" t="s">
        <v>2335</v>
      </c>
      <c r="D752" s="27">
        <v>34228</v>
      </c>
      <c r="E752" s="28" t="s">
        <v>2336</v>
      </c>
      <c r="F752" s="28" t="s">
        <v>228</v>
      </c>
      <c r="G752" s="28" t="s">
        <v>20</v>
      </c>
      <c r="H752" s="28" t="s">
        <v>21</v>
      </c>
      <c r="I752" s="28" t="s">
        <v>21</v>
      </c>
      <c r="J752" s="28" t="s">
        <v>2337</v>
      </c>
      <c r="K752" s="28" t="s">
        <v>2338</v>
      </c>
      <c r="L752" s="28" t="s">
        <v>24</v>
      </c>
      <c r="M752" s="28" t="s">
        <v>21</v>
      </c>
      <c r="O752" s="92">
        <v>34239</v>
      </c>
      <c r="P752" s="28" t="s">
        <v>31</v>
      </c>
      <c r="Q752" s="26" t="b">
        <v>0</v>
      </c>
      <c r="R752" s="22">
        <f t="shared" si="11"/>
        <v>10</v>
      </c>
    </row>
    <row r="753" spans="1:18">
      <c r="A753" s="26">
        <v>1717</v>
      </c>
      <c r="B753" s="27">
        <v>34232</v>
      </c>
      <c r="C753" s="28" t="s">
        <v>2346</v>
      </c>
      <c r="D753" s="27">
        <v>34232</v>
      </c>
      <c r="E753" s="28" t="s">
        <v>2347</v>
      </c>
      <c r="F753" s="28" t="s">
        <v>359</v>
      </c>
      <c r="G753" s="28" t="s">
        <v>20</v>
      </c>
      <c r="H753" s="28" t="s">
        <v>21</v>
      </c>
      <c r="I753" s="28" t="s">
        <v>21</v>
      </c>
      <c r="J753" s="28" t="s">
        <v>2348</v>
      </c>
      <c r="K753" s="28" t="s">
        <v>2349</v>
      </c>
      <c r="L753" s="28" t="s">
        <v>1152</v>
      </c>
      <c r="M753" s="28" t="s">
        <v>21</v>
      </c>
      <c r="O753" s="92">
        <v>34477</v>
      </c>
      <c r="P753" s="28" t="s">
        <v>31</v>
      </c>
      <c r="Q753" s="26" t="b">
        <v>0</v>
      </c>
      <c r="R753" s="22">
        <f t="shared" si="11"/>
        <v>246</v>
      </c>
    </row>
    <row r="754" spans="1:18">
      <c r="A754" s="26">
        <v>1715</v>
      </c>
      <c r="B754" s="27">
        <v>34235</v>
      </c>
      <c r="C754" s="28" t="s">
        <v>2339</v>
      </c>
      <c r="D754" s="27">
        <v>34232</v>
      </c>
      <c r="E754" s="28" t="s">
        <v>2340</v>
      </c>
      <c r="F754" s="28" t="s">
        <v>70</v>
      </c>
      <c r="G754" s="28" t="s">
        <v>20</v>
      </c>
      <c r="H754" s="28" t="s">
        <v>71</v>
      </c>
      <c r="I754" s="28" t="s">
        <v>72</v>
      </c>
      <c r="J754" s="28" t="s">
        <v>2341</v>
      </c>
      <c r="K754" s="28" t="s">
        <v>1891</v>
      </c>
      <c r="L754" s="28" t="s">
        <v>66</v>
      </c>
      <c r="M754" s="28" t="s">
        <v>21</v>
      </c>
      <c r="N754" s="18"/>
      <c r="O754" s="92">
        <v>37439</v>
      </c>
      <c r="P754" s="28" t="s">
        <v>31</v>
      </c>
      <c r="Q754" s="26" t="b">
        <v>0</v>
      </c>
      <c r="R754" s="22">
        <f t="shared" si="11"/>
        <v>3202</v>
      </c>
    </row>
    <row r="755" spans="1:18">
      <c r="A755" s="26">
        <v>1721</v>
      </c>
      <c r="B755" s="27">
        <v>34235</v>
      </c>
      <c r="C755" s="28" t="s">
        <v>2350</v>
      </c>
      <c r="D755" s="27">
        <v>34232</v>
      </c>
      <c r="E755" s="28" t="s">
        <v>2351</v>
      </c>
      <c r="F755" s="28" t="s">
        <v>124</v>
      </c>
      <c r="G755" s="28" t="s">
        <v>20</v>
      </c>
      <c r="H755" s="28" t="s">
        <v>21</v>
      </c>
      <c r="I755" s="28" t="s">
        <v>21</v>
      </c>
      <c r="J755" s="28" t="s">
        <v>2352</v>
      </c>
      <c r="K755" s="28" t="s">
        <v>2353</v>
      </c>
      <c r="L755" s="28" t="s">
        <v>1152</v>
      </c>
      <c r="M755" s="28" t="s">
        <v>21</v>
      </c>
      <c r="O755" s="92">
        <v>34443</v>
      </c>
      <c r="P755" s="28" t="s">
        <v>31</v>
      </c>
      <c r="Q755" s="26" t="b">
        <v>0</v>
      </c>
      <c r="R755" s="22">
        <f t="shared" si="11"/>
        <v>208</v>
      </c>
    </row>
    <row r="756" spans="1:18">
      <c r="A756" s="26">
        <v>1722</v>
      </c>
      <c r="B756" s="27">
        <v>34235</v>
      </c>
      <c r="C756" s="28" t="s">
        <v>17266</v>
      </c>
      <c r="D756" s="27">
        <v>34235</v>
      </c>
      <c r="E756" s="28" t="s">
        <v>17267</v>
      </c>
      <c r="F756" s="28" t="s">
        <v>21</v>
      </c>
      <c r="G756" s="28" t="s">
        <v>21</v>
      </c>
      <c r="H756" s="28" t="s">
        <v>21</v>
      </c>
      <c r="I756" s="28" t="s">
        <v>21</v>
      </c>
      <c r="J756" s="28" t="s">
        <v>17268</v>
      </c>
      <c r="K756" s="28" t="s">
        <v>17269</v>
      </c>
      <c r="L756" s="28" t="s">
        <v>82</v>
      </c>
      <c r="M756" s="28" t="s">
        <v>21</v>
      </c>
      <c r="N756" s="18"/>
      <c r="O756" s="92">
        <v>34239</v>
      </c>
      <c r="P756" s="28" t="s">
        <v>21</v>
      </c>
      <c r="Q756" s="26" t="b">
        <v>0</v>
      </c>
      <c r="R756" s="22">
        <f t="shared" si="11"/>
        <v>4</v>
      </c>
    </row>
    <row r="757" spans="1:18">
      <c r="A757" s="26">
        <v>1723</v>
      </c>
      <c r="B757" s="27">
        <v>34236</v>
      </c>
      <c r="C757" s="28" t="s">
        <v>2354</v>
      </c>
      <c r="D757" s="27">
        <v>34236</v>
      </c>
      <c r="E757" s="28" t="s">
        <v>2355</v>
      </c>
      <c r="F757" s="28" t="s">
        <v>228</v>
      </c>
      <c r="G757" s="28" t="s">
        <v>20</v>
      </c>
      <c r="H757" s="28" t="s">
        <v>21</v>
      </c>
      <c r="I757" s="28" t="s">
        <v>21</v>
      </c>
      <c r="J757" s="28" t="s">
        <v>2356</v>
      </c>
      <c r="K757" s="28" t="s">
        <v>2357</v>
      </c>
      <c r="L757" s="28" t="s">
        <v>24</v>
      </c>
      <c r="M757" s="28" t="s">
        <v>21</v>
      </c>
      <c r="O757" s="92">
        <v>34243</v>
      </c>
      <c r="P757" s="28" t="s">
        <v>31</v>
      </c>
      <c r="Q757" s="26" t="b">
        <v>0</v>
      </c>
      <c r="R757" s="22">
        <f t="shared" si="11"/>
        <v>7</v>
      </c>
    </row>
    <row r="758" spans="1:18">
      <c r="A758" s="26">
        <v>1726</v>
      </c>
      <c r="B758" s="27">
        <v>34239</v>
      </c>
      <c r="C758" s="28" t="s">
        <v>2364</v>
      </c>
      <c r="D758" s="27">
        <v>34236</v>
      </c>
      <c r="E758" s="28" t="s">
        <v>283</v>
      </c>
      <c r="F758" s="28" t="s">
        <v>98</v>
      </c>
      <c r="G758" s="28" t="s">
        <v>20</v>
      </c>
      <c r="H758" s="28" t="s">
        <v>21</v>
      </c>
      <c r="I758" s="28" t="s">
        <v>21</v>
      </c>
      <c r="J758" s="28" t="s">
        <v>2365</v>
      </c>
      <c r="K758" s="28" t="s">
        <v>2366</v>
      </c>
      <c r="L758" s="28" t="s">
        <v>24</v>
      </c>
      <c r="M758" s="28" t="s">
        <v>21</v>
      </c>
      <c r="N758" s="18"/>
      <c r="O758" s="92">
        <v>34577</v>
      </c>
      <c r="P758" s="28" t="s">
        <v>21</v>
      </c>
      <c r="Q758" s="26" t="b">
        <v>0</v>
      </c>
      <c r="R758" s="22">
        <f t="shared" si="11"/>
        <v>338</v>
      </c>
    </row>
    <row r="759" spans="1:18">
      <c r="A759" s="26">
        <v>1730</v>
      </c>
      <c r="B759" s="27">
        <v>34239</v>
      </c>
      <c r="C759" s="28" t="s">
        <v>2367</v>
      </c>
      <c r="D759" s="27">
        <v>34235</v>
      </c>
      <c r="E759" s="28" t="s">
        <v>2368</v>
      </c>
      <c r="F759" s="28" t="s">
        <v>70</v>
      </c>
      <c r="G759" s="28" t="s">
        <v>20</v>
      </c>
      <c r="H759" s="28" t="s">
        <v>71</v>
      </c>
      <c r="I759" s="28" t="s">
        <v>72</v>
      </c>
      <c r="J759" s="28" t="s">
        <v>2369</v>
      </c>
      <c r="K759" s="28" t="s">
        <v>2370</v>
      </c>
      <c r="L759" s="28" t="s">
        <v>24</v>
      </c>
      <c r="M759" s="28" t="s">
        <v>21</v>
      </c>
      <c r="O759" s="92">
        <v>34939</v>
      </c>
      <c r="P759" s="28" t="s">
        <v>21</v>
      </c>
      <c r="Q759" s="26" t="b">
        <v>0</v>
      </c>
      <c r="R759" s="22">
        <f t="shared" si="11"/>
        <v>700</v>
      </c>
    </row>
    <row r="760" spans="1:18">
      <c r="A760" s="26">
        <v>1731</v>
      </c>
      <c r="B760" s="27">
        <v>34239</v>
      </c>
      <c r="C760" s="28" t="s">
        <v>2371</v>
      </c>
      <c r="D760" s="27">
        <v>34239</v>
      </c>
      <c r="E760" s="28" t="s">
        <v>2372</v>
      </c>
      <c r="F760" s="28" t="s">
        <v>124</v>
      </c>
      <c r="G760" s="28" t="s">
        <v>20</v>
      </c>
      <c r="H760" s="28" t="s">
        <v>21</v>
      </c>
      <c r="I760" s="28" t="s">
        <v>21</v>
      </c>
      <c r="J760" s="28" t="s">
        <v>2373</v>
      </c>
      <c r="K760" s="28" t="s">
        <v>2374</v>
      </c>
      <c r="L760" s="28" t="s">
        <v>82</v>
      </c>
      <c r="M760" s="28" t="s">
        <v>21</v>
      </c>
      <c r="O760" s="92">
        <v>34827</v>
      </c>
      <c r="P760" s="28" t="s">
        <v>21</v>
      </c>
      <c r="Q760" s="26" t="b">
        <v>0</v>
      </c>
      <c r="R760" s="22">
        <f t="shared" si="11"/>
        <v>589</v>
      </c>
    </row>
    <row r="761" spans="1:18">
      <c r="A761" s="26">
        <v>1738</v>
      </c>
      <c r="B761" s="27">
        <v>34241</v>
      </c>
      <c r="C761" s="28" t="s">
        <v>2375</v>
      </c>
      <c r="D761" s="27">
        <v>34239</v>
      </c>
      <c r="E761" s="28" t="s">
        <v>2376</v>
      </c>
      <c r="F761" s="28" t="s">
        <v>228</v>
      </c>
      <c r="G761" s="28" t="s">
        <v>20</v>
      </c>
      <c r="H761" s="28" t="s">
        <v>21</v>
      </c>
      <c r="I761" s="28" t="s">
        <v>21</v>
      </c>
      <c r="J761" s="28" t="s">
        <v>2377</v>
      </c>
      <c r="K761" s="28" t="s">
        <v>2378</v>
      </c>
      <c r="L761" s="28" t="s">
        <v>82</v>
      </c>
      <c r="M761" s="28" t="s">
        <v>21</v>
      </c>
      <c r="O761" s="92">
        <v>34277</v>
      </c>
      <c r="P761" s="28" t="s">
        <v>21</v>
      </c>
      <c r="Q761" s="26" t="b">
        <v>0</v>
      </c>
      <c r="R761" s="22">
        <f t="shared" si="11"/>
        <v>35</v>
      </c>
    </row>
    <row r="762" spans="1:18">
      <c r="A762" s="26">
        <v>1742</v>
      </c>
      <c r="B762" s="27">
        <v>34241</v>
      </c>
      <c r="C762" s="28" t="s">
        <v>2383</v>
      </c>
      <c r="D762" s="27">
        <v>34238</v>
      </c>
      <c r="E762" s="28" t="s">
        <v>2384</v>
      </c>
      <c r="F762" s="28" t="s">
        <v>306</v>
      </c>
      <c r="G762" s="28" t="s">
        <v>20</v>
      </c>
      <c r="H762" s="28" t="s">
        <v>21</v>
      </c>
      <c r="I762" s="28" t="s">
        <v>21</v>
      </c>
      <c r="J762" s="28" t="s">
        <v>2385</v>
      </c>
      <c r="K762" s="28" t="s">
        <v>2386</v>
      </c>
      <c r="L762" s="28" t="s">
        <v>30</v>
      </c>
      <c r="M762" s="28" t="s">
        <v>21</v>
      </c>
      <c r="O762" s="92">
        <v>34297</v>
      </c>
      <c r="P762" s="28" t="s">
        <v>31</v>
      </c>
      <c r="Q762" s="26" t="b">
        <v>0</v>
      </c>
      <c r="R762" s="22">
        <f t="shared" si="11"/>
        <v>55</v>
      </c>
    </row>
    <row r="763" spans="1:18">
      <c r="A763" s="26">
        <v>1740</v>
      </c>
      <c r="B763" s="27">
        <v>34242</v>
      </c>
      <c r="C763" s="28" t="s">
        <v>2379</v>
      </c>
      <c r="D763" s="27">
        <v>34238</v>
      </c>
      <c r="E763" s="28" t="s">
        <v>2380</v>
      </c>
      <c r="F763" s="28" t="s">
        <v>306</v>
      </c>
      <c r="G763" s="28" t="s">
        <v>20</v>
      </c>
      <c r="H763" s="28" t="s">
        <v>21</v>
      </c>
      <c r="I763" s="28" t="s">
        <v>21</v>
      </c>
      <c r="J763" s="28" t="s">
        <v>2381</v>
      </c>
      <c r="K763" s="28" t="s">
        <v>2382</v>
      </c>
      <c r="L763" s="28" t="s">
        <v>67</v>
      </c>
      <c r="M763" s="28" t="s">
        <v>21</v>
      </c>
      <c r="O763" s="92">
        <v>35495</v>
      </c>
      <c r="P763" s="28" t="s">
        <v>31</v>
      </c>
      <c r="Q763" s="26" t="b">
        <v>0</v>
      </c>
      <c r="R763" s="22">
        <f t="shared" si="11"/>
        <v>1253</v>
      </c>
    </row>
    <row r="764" spans="1:18">
      <c r="A764" s="26">
        <v>1743</v>
      </c>
      <c r="B764" s="27">
        <v>34242</v>
      </c>
      <c r="C764" s="28" t="s">
        <v>2387</v>
      </c>
      <c r="D764" s="27">
        <v>34242</v>
      </c>
      <c r="E764" s="28" t="s">
        <v>2388</v>
      </c>
      <c r="F764" s="28" t="s">
        <v>149</v>
      </c>
      <c r="G764" s="28" t="s">
        <v>20</v>
      </c>
      <c r="H764" s="28" t="s">
        <v>21</v>
      </c>
      <c r="I764" s="28" t="s">
        <v>21</v>
      </c>
      <c r="J764" s="28" t="s">
        <v>2389</v>
      </c>
      <c r="K764" s="28" t="s">
        <v>2390</v>
      </c>
      <c r="L764" s="28" t="s">
        <v>24</v>
      </c>
      <c r="M764" s="28" t="s">
        <v>21</v>
      </c>
      <c r="O764" s="92">
        <v>34270</v>
      </c>
      <c r="P764" s="28" t="s">
        <v>31</v>
      </c>
      <c r="Q764" s="26" t="b">
        <v>0</v>
      </c>
      <c r="R764" s="22">
        <f t="shared" si="11"/>
        <v>28</v>
      </c>
    </row>
    <row r="765" spans="1:18">
      <c r="A765" s="26">
        <v>1744</v>
      </c>
      <c r="B765" s="27">
        <v>34242</v>
      </c>
      <c r="C765" s="28" t="s">
        <v>2391</v>
      </c>
      <c r="D765" s="27">
        <v>34242</v>
      </c>
      <c r="E765" s="28" t="s">
        <v>2392</v>
      </c>
      <c r="F765" s="28" t="s">
        <v>904</v>
      </c>
      <c r="G765" s="28" t="s">
        <v>20</v>
      </c>
      <c r="H765" s="28" t="s">
        <v>21</v>
      </c>
      <c r="I765" s="28" t="s">
        <v>21</v>
      </c>
      <c r="J765" s="28" t="s">
        <v>2393</v>
      </c>
      <c r="K765" s="28" t="s">
        <v>2394</v>
      </c>
      <c r="L765" s="28" t="s">
        <v>82</v>
      </c>
      <c r="M765" s="28" t="s">
        <v>21</v>
      </c>
      <c r="O765" s="92">
        <v>34470</v>
      </c>
      <c r="P765" s="28" t="s">
        <v>31</v>
      </c>
      <c r="Q765" s="26" t="b">
        <v>0</v>
      </c>
      <c r="R765" s="22">
        <f t="shared" si="11"/>
        <v>229</v>
      </c>
    </row>
    <row r="766" spans="1:18">
      <c r="A766" s="26">
        <v>1781</v>
      </c>
      <c r="B766" s="27">
        <v>34242</v>
      </c>
      <c r="C766" s="28" t="s">
        <v>2435</v>
      </c>
      <c r="D766" s="27">
        <v>34242</v>
      </c>
      <c r="E766" s="28" t="s">
        <v>38</v>
      </c>
      <c r="F766" s="28" t="s">
        <v>149</v>
      </c>
      <c r="G766" s="28" t="s">
        <v>20</v>
      </c>
      <c r="H766" s="28" t="s">
        <v>21</v>
      </c>
      <c r="I766" s="28" t="s">
        <v>21</v>
      </c>
      <c r="J766" s="28" t="s">
        <v>2436</v>
      </c>
      <c r="K766" s="28" t="s">
        <v>2437</v>
      </c>
      <c r="L766" s="28" t="s">
        <v>24</v>
      </c>
      <c r="M766" s="28" t="s">
        <v>21</v>
      </c>
      <c r="O766" s="92">
        <v>34242</v>
      </c>
      <c r="P766" s="28" t="s">
        <v>31</v>
      </c>
      <c r="Q766" s="26" t="b">
        <v>0</v>
      </c>
      <c r="R766" s="22">
        <f t="shared" si="11"/>
        <v>0</v>
      </c>
    </row>
    <row r="767" spans="1:18">
      <c r="A767" s="26">
        <v>1745</v>
      </c>
      <c r="B767" s="27">
        <v>34243</v>
      </c>
      <c r="C767" s="28" t="s">
        <v>2395</v>
      </c>
      <c r="D767" s="27">
        <v>34239</v>
      </c>
      <c r="E767" s="28" t="s">
        <v>2396</v>
      </c>
      <c r="F767" s="28" t="s">
        <v>104</v>
      </c>
      <c r="G767" s="28" t="s">
        <v>20</v>
      </c>
      <c r="H767" s="28" t="s">
        <v>71</v>
      </c>
      <c r="I767" s="28" t="s">
        <v>72</v>
      </c>
      <c r="J767" s="28" t="s">
        <v>2397</v>
      </c>
      <c r="K767" s="28" t="s">
        <v>2398</v>
      </c>
      <c r="L767" s="28" t="s">
        <v>59</v>
      </c>
      <c r="M767" s="28" t="s">
        <v>21</v>
      </c>
      <c r="N767" s="29">
        <v>34243</v>
      </c>
      <c r="O767" s="92">
        <v>34243</v>
      </c>
      <c r="P767" s="28" t="s">
        <v>21</v>
      </c>
      <c r="Q767" s="26" t="b">
        <v>0</v>
      </c>
      <c r="R767" s="22">
        <f t="shared" si="11"/>
        <v>0</v>
      </c>
    </row>
    <row r="768" spans="1:18">
      <c r="A768" s="26">
        <v>1746</v>
      </c>
      <c r="B768" s="27">
        <v>34243</v>
      </c>
      <c r="C768" s="28" t="s">
        <v>2399</v>
      </c>
      <c r="D768" s="27">
        <v>34242</v>
      </c>
      <c r="E768" s="28" t="s">
        <v>2400</v>
      </c>
      <c r="F768" s="28" t="s">
        <v>19</v>
      </c>
      <c r="G768" s="28" t="s">
        <v>20</v>
      </c>
      <c r="H768" s="28" t="s">
        <v>21</v>
      </c>
      <c r="I768" s="28" t="s">
        <v>21</v>
      </c>
      <c r="J768" s="28" t="s">
        <v>2401</v>
      </c>
      <c r="K768" s="28" t="s">
        <v>2402</v>
      </c>
      <c r="L768" s="28" t="s">
        <v>1152</v>
      </c>
      <c r="M768" s="28" t="s">
        <v>21</v>
      </c>
      <c r="O768" s="92">
        <v>34263</v>
      </c>
      <c r="P768" s="28" t="s">
        <v>31</v>
      </c>
      <c r="Q768" s="26" t="b">
        <v>0</v>
      </c>
      <c r="R768" s="22">
        <f t="shared" si="11"/>
        <v>20</v>
      </c>
    </row>
    <row r="769" spans="1:18">
      <c r="A769" s="26">
        <v>1747</v>
      </c>
      <c r="B769" s="27">
        <v>34243</v>
      </c>
      <c r="C769" s="28" t="s">
        <v>2403</v>
      </c>
      <c r="D769" s="27">
        <v>34243</v>
      </c>
      <c r="E769" s="28" t="s">
        <v>2404</v>
      </c>
      <c r="F769" s="28" t="s">
        <v>104</v>
      </c>
      <c r="G769" s="28" t="s">
        <v>20</v>
      </c>
      <c r="H769" s="28" t="s">
        <v>21</v>
      </c>
      <c r="I769" s="28" t="s">
        <v>21</v>
      </c>
      <c r="J769" s="28" t="s">
        <v>2405</v>
      </c>
      <c r="K769" s="28" t="s">
        <v>2406</v>
      </c>
      <c r="L769" s="28" t="s">
        <v>59</v>
      </c>
      <c r="M769" s="28" t="s">
        <v>21</v>
      </c>
      <c r="N769" s="29">
        <v>34247</v>
      </c>
      <c r="O769" s="92">
        <v>34295</v>
      </c>
      <c r="P769" s="28" t="s">
        <v>31</v>
      </c>
      <c r="Q769" s="26" t="b">
        <v>0</v>
      </c>
      <c r="R769" s="22">
        <f t="shared" si="11"/>
        <v>51</v>
      </c>
    </row>
    <row r="770" spans="1:18">
      <c r="A770" s="26">
        <v>1751</v>
      </c>
      <c r="B770" s="27">
        <v>34248</v>
      </c>
      <c r="C770" s="28" t="s">
        <v>2407</v>
      </c>
      <c r="D770" s="27">
        <v>34243</v>
      </c>
      <c r="E770" s="28" t="s">
        <v>2408</v>
      </c>
      <c r="F770" s="28" t="s">
        <v>904</v>
      </c>
      <c r="G770" s="28" t="s">
        <v>20</v>
      </c>
      <c r="H770" s="28" t="s">
        <v>21</v>
      </c>
      <c r="I770" s="28" t="s">
        <v>21</v>
      </c>
      <c r="J770" s="28" t="s">
        <v>2409</v>
      </c>
      <c r="K770" s="28" t="s">
        <v>2410</v>
      </c>
      <c r="L770" s="28" t="s">
        <v>82</v>
      </c>
      <c r="M770" s="28" t="s">
        <v>21</v>
      </c>
      <c r="N770" s="18"/>
      <c r="O770" s="92">
        <v>34470</v>
      </c>
      <c r="P770" s="28" t="s">
        <v>31</v>
      </c>
      <c r="Q770" s="26" t="b">
        <v>0</v>
      </c>
      <c r="R770" s="22">
        <f t="shared" ref="R770:R833" si="12">IF(O770=" ", " ", INT(YEARFRAC(O770, B770)*365))</f>
        <v>223</v>
      </c>
    </row>
    <row r="771" spans="1:18">
      <c r="A771" s="26">
        <v>1752</v>
      </c>
      <c r="B771" s="27">
        <v>34248</v>
      </c>
      <c r="C771" s="28" t="s">
        <v>2411</v>
      </c>
      <c r="D771" s="27">
        <v>34239</v>
      </c>
      <c r="E771" s="28" t="s">
        <v>2412</v>
      </c>
      <c r="F771" s="28" t="s">
        <v>2413</v>
      </c>
      <c r="G771" s="28" t="s">
        <v>20</v>
      </c>
      <c r="H771" s="28" t="s">
        <v>566</v>
      </c>
      <c r="I771" s="28" t="s">
        <v>566</v>
      </c>
      <c r="J771" s="28" t="s">
        <v>2414</v>
      </c>
      <c r="K771" s="28" t="s">
        <v>2415</v>
      </c>
      <c r="L771" s="28" t="s">
        <v>82</v>
      </c>
      <c r="M771" s="28" t="s">
        <v>21</v>
      </c>
      <c r="O771" s="92">
        <v>34262</v>
      </c>
      <c r="P771" s="28" t="s">
        <v>31</v>
      </c>
      <c r="Q771" s="26" t="b">
        <v>0</v>
      </c>
      <c r="R771" s="22">
        <f t="shared" si="12"/>
        <v>14</v>
      </c>
    </row>
    <row r="772" spans="1:18">
      <c r="A772" s="26">
        <v>1767</v>
      </c>
      <c r="B772" s="27">
        <v>34255</v>
      </c>
      <c r="C772" s="28" t="s">
        <v>2416</v>
      </c>
      <c r="D772" s="27">
        <v>34248</v>
      </c>
      <c r="E772" s="28" t="s">
        <v>2417</v>
      </c>
      <c r="F772" s="28" t="s">
        <v>228</v>
      </c>
      <c r="G772" s="28" t="s">
        <v>20</v>
      </c>
      <c r="H772" s="28" t="s">
        <v>21</v>
      </c>
      <c r="I772" s="28" t="s">
        <v>21</v>
      </c>
      <c r="J772" s="28" t="s">
        <v>2418</v>
      </c>
      <c r="K772" s="28" t="s">
        <v>2419</v>
      </c>
      <c r="L772" s="28" t="s">
        <v>30</v>
      </c>
      <c r="M772" s="28" t="s">
        <v>21</v>
      </c>
      <c r="O772" s="92">
        <v>34352</v>
      </c>
      <c r="P772" s="28" t="s">
        <v>31</v>
      </c>
      <c r="Q772" s="26" t="b">
        <v>0</v>
      </c>
      <c r="R772" s="22">
        <f t="shared" si="12"/>
        <v>96</v>
      </c>
    </row>
    <row r="773" spans="1:18">
      <c r="A773" s="26">
        <v>1768</v>
      </c>
      <c r="B773" s="27">
        <v>34255</v>
      </c>
      <c r="C773" s="28" t="s">
        <v>2420</v>
      </c>
      <c r="D773" s="27">
        <v>34248</v>
      </c>
      <c r="E773" s="28" t="s">
        <v>2421</v>
      </c>
      <c r="F773" s="28" t="s">
        <v>98</v>
      </c>
      <c r="G773" s="28" t="s">
        <v>20</v>
      </c>
      <c r="H773" s="28" t="s">
        <v>21</v>
      </c>
      <c r="I773" s="28" t="s">
        <v>21</v>
      </c>
      <c r="J773" s="28" t="s">
        <v>2422</v>
      </c>
      <c r="K773" s="28" t="s">
        <v>2423</v>
      </c>
      <c r="L773" s="28" t="s">
        <v>24</v>
      </c>
      <c r="M773" s="28" t="s">
        <v>21</v>
      </c>
      <c r="O773" s="92">
        <v>34684</v>
      </c>
      <c r="P773" s="28" t="s">
        <v>31</v>
      </c>
      <c r="Q773" s="26" t="b">
        <v>0</v>
      </c>
      <c r="R773" s="22">
        <f t="shared" si="12"/>
        <v>428</v>
      </c>
    </row>
    <row r="774" spans="1:18">
      <c r="A774" s="26">
        <v>1773</v>
      </c>
      <c r="B774" s="27">
        <v>34256</v>
      </c>
      <c r="C774" s="28" t="s">
        <v>2424</v>
      </c>
      <c r="D774" s="27">
        <v>34255</v>
      </c>
      <c r="E774" s="28" t="s">
        <v>38</v>
      </c>
      <c r="F774" s="28" t="s">
        <v>124</v>
      </c>
      <c r="G774" s="28" t="s">
        <v>20</v>
      </c>
      <c r="H774" s="28" t="s">
        <v>21</v>
      </c>
      <c r="I774" s="28" t="s">
        <v>21</v>
      </c>
      <c r="J774" s="28" t="s">
        <v>2425</v>
      </c>
      <c r="K774" s="28" t="s">
        <v>2426</v>
      </c>
      <c r="L774" s="28" t="s">
        <v>30</v>
      </c>
      <c r="M774" s="28" t="s">
        <v>21</v>
      </c>
      <c r="O774" s="92">
        <v>34303</v>
      </c>
      <c r="P774" s="28" t="s">
        <v>31</v>
      </c>
      <c r="Q774" s="26" t="b">
        <v>0</v>
      </c>
      <c r="R774" s="22">
        <f t="shared" si="12"/>
        <v>46</v>
      </c>
    </row>
    <row r="775" spans="1:18">
      <c r="A775" s="26">
        <v>1774</v>
      </c>
      <c r="B775" s="27">
        <v>34256</v>
      </c>
      <c r="C775" s="28" t="s">
        <v>2427</v>
      </c>
      <c r="D775" s="27">
        <v>34255</v>
      </c>
      <c r="E775" s="28" t="s">
        <v>2428</v>
      </c>
      <c r="F775" s="28" t="s">
        <v>85</v>
      </c>
      <c r="G775" s="28" t="s">
        <v>20</v>
      </c>
      <c r="H775" s="28" t="s">
        <v>21</v>
      </c>
      <c r="I775" s="28" t="s">
        <v>21</v>
      </c>
      <c r="J775" s="28" t="s">
        <v>2429</v>
      </c>
      <c r="K775" s="28" t="s">
        <v>2430</v>
      </c>
      <c r="L775" s="28" t="s">
        <v>24</v>
      </c>
      <c r="M775" s="28" t="s">
        <v>21</v>
      </c>
      <c r="O775" s="92">
        <v>34767</v>
      </c>
      <c r="P775" s="28" t="s">
        <v>31</v>
      </c>
      <c r="Q775" s="26" t="b">
        <v>0</v>
      </c>
      <c r="R775" s="22">
        <f t="shared" si="12"/>
        <v>512</v>
      </c>
    </row>
    <row r="776" spans="1:18">
      <c r="A776" s="26">
        <v>1779</v>
      </c>
      <c r="B776" s="27">
        <v>34257</v>
      </c>
      <c r="C776" s="28" t="s">
        <v>2431</v>
      </c>
      <c r="D776" s="27">
        <v>34257</v>
      </c>
      <c r="E776" s="28" t="s">
        <v>2432</v>
      </c>
      <c r="F776" s="28" t="s">
        <v>1159</v>
      </c>
      <c r="G776" s="28" t="s">
        <v>20</v>
      </c>
      <c r="H776" s="28" t="s">
        <v>71</v>
      </c>
      <c r="I776" s="28" t="s">
        <v>72</v>
      </c>
      <c r="J776" s="28" t="s">
        <v>2433</v>
      </c>
      <c r="K776" s="28" t="s">
        <v>2434</v>
      </c>
      <c r="L776" s="28" t="s">
        <v>24</v>
      </c>
      <c r="M776" s="28" t="s">
        <v>21</v>
      </c>
      <c r="O776" s="92">
        <v>34589</v>
      </c>
      <c r="P776" s="28" t="s">
        <v>21</v>
      </c>
      <c r="Q776" s="26" t="b">
        <v>0</v>
      </c>
      <c r="R776" s="22">
        <f t="shared" si="12"/>
        <v>331</v>
      </c>
    </row>
    <row r="777" spans="1:18">
      <c r="A777" s="26">
        <v>1783</v>
      </c>
      <c r="B777" s="27">
        <v>34262</v>
      </c>
      <c r="C777" s="28" t="s">
        <v>2438</v>
      </c>
      <c r="D777" s="27">
        <v>34262</v>
      </c>
      <c r="E777" s="28" t="s">
        <v>1204</v>
      </c>
      <c r="F777" s="28" t="s">
        <v>56</v>
      </c>
      <c r="G777" s="28" t="s">
        <v>21</v>
      </c>
      <c r="H777" s="28" t="s">
        <v>21</v>
      </c>
      <c r="I777" s="28" t="s">
        <v>21</v>
      </c>
      <c r="J777" s="28" t="s">
        <v>2439</v>
      </c>
      <c r="K777" s="28" t="s">
        <v>2440</v>
      </c>
      <c r="L777" s="28" t="s">
        <v>59</v>
      </c>
      <c r="M777" s="28" t="s">
        <v>21</v>
      </c>
      <c r="N777" s="29">
        <v>34285</v>
      </c>
      <c r="O777" s="92">
        <v>34282</v>
      </c>
      <c r="P777" s="28" t="s">
        <v>21</v>
      </c>
      <c r="Q777" s="26" t="b">
        <v>0</v>
      </c>
      <c r="R777" s="22">
        <f t="shared" si="12"/>
        <v>19</v>
      </c>
    </row>
    <row r="778" spans="1:18">
      <c r="A778" s="26">
        <v>1799</v>
      </c>
      <c r="B778" s="27">
        <v>34262</v>
      </c>
      <c r="C778" s="28" t="s">
        <v>2463</v>
      </c>
      <c r="D778" s="27">
        <v>34255</v>
      </c>
      <c r="E778" s="28" t="s">
        <v>1204</v>
      </c>
      <c r="F778" s="28" t="s">
        <v>56</v>
      </c>
      <c r="G778" s="28" t="s">
        <v>21</v>
      </c>
      <c r="H778" s="28" t="s">
        <v>21</v>
      </c>
      <c r="I778" s="28" t="s">
        <v>21</v>
      </c>
      <c r="J778" s="28" t="s">
        <v>2464</v>
      </c>
      <c r="K778" s="28" t="s">
        <v>2465</v>
      </c>
      <c r="L778" s="28" t="s">
        <v>59</v>
      </c>
      <c r="M778" s="28" t="s">
        <v>21</v>
      </c>
      <c r="N778" s="29">
        <v>34271</v>
      </c>
      <c r="O778" s="92">
        <v>34262</v>
      </c>
      <c r="P778" s="28" t="s">
        <v>21</v>
      </c>
      <c r="Q778" s="26" t="b">
        <v>0</v>
      </c>
      <c r="R778" s="22">
        <f t="shared" si="12"/>
        <v>0</v>
      </c>
    </row>
    <row r="779" spans="1:18">
      <c r="A779" s="26">
        <v>1784</v>
      </c>
      <c r="B779" s="27">
        <v>34263</v>
      </c>
      <c r="C779" s="28" t="s">
        <v>2441</v>
      </c>
      <c r="D779" s="27">
        <v>34250</v>
      </c>
      <c r="E779" s="28" t="s">
        <v>1204</v>
      </c>
      <c r="F779" s="28" t="s">
        <v>56</v>
      </c>
      <c r="G779" s="28" t="s">
        <v>21</v>
      </c>
      <c r="H779" s="28" t="s">
        <v>21</v>
      </c>
      <c r="I779" s="28" t="s">
        <v>21</v>
      </c>
      <c r="J779" s="28" t="s">
        <v>2442</v>
      </c>
      <c r="K779" s="28" t="s">
        <v>2443</v>
      </c>
      <c r="L779" s="28" t="s">
        <v>59</v>
      </c>
      <c r="M779" s="28" t="s">
        <v>21</v>
      </c>
      <c r="N779" s="29">
        <v>34267</v>
      </c>
      <c r="O779" s="92">
        <v>34271</v>
      </c>
      <c r="P779" s="28" t="s">
        <v>21</v>
      </c>
      <c r="Q779" s="26" t="b">
        <v>0</v>
      </c>
      <c r="R779" s="22">
        <f t="shared" si="12"/>
        <v>8</v>
      </c>
    </row>
    <row r="780" spans="1:18">
      <c r="A780" s="26">
        <v>1788</v>
      </c>
      <c r="B780" s="27">
        <v>34263</v>
      </c>
      <c r="C780" s="28" t="s">
        <v>2444</v>
      </c>
      <c r="D780" s="27">
        <v>34259</v>
      </c>
      <c r="E780" s="28" t="s">
        <v>2445</v>
      </c>
      <c r="F780" s="28" t="s">
        <v>124</v>
      </c>
      <c r="G780" s="28" t="s">
        <v>21</v>
      </c>
      <c r="H780" s="28" t="s">
        <v>21</v>
      </c>
      <c r="I780" s="28" t="s">
        <v>21</v>
      </c>
      <c r="J780" s="28" t="s">
        <v>2446</v>
      </c>
      <c r="K780" s="28" t="s">
        <v>2447</v>
      </c>
      <c r="L780" s="28" t="s">
        <v>30</v>
      </c>
      <c r="M780" s="28" t="s">
        <v>21</v>
      </c>
      <c r="O780" s="92">
        <v>35730</v>
      </c>
      <c r="P780" s="28" t="s">
        <v>21</v>
      </c>
      <c r="Q780" s="26" t="b">
        <v>0</v>
      </c>
      <c r="R780" s="22">
        <f t="shared" si="12"/>
        <v>1466</v>
      </c>
    </row>
    <row r="781" spans="1:18">
      <c r="A781" s="26">
        <v>1789</v>
      </c>
      <c r="B781" s="27">
        <v>34264</v>
      </c>
      <c r="C781" s="28" t="s">
        <v>2448</v>
      </c>
      <c r="D781" s="27">
        <v>34263</v>
      </c>
      <c r="E781" s="28" t="s">
        <v>1204</v>
      </c>
      <c r="F781" s="28" t="s">
        <v>1953</v>
      </c>
      <c r="G781" s="28" t="s">
        <v>21</v>
      </c>
      <c r="H781" s="28" t="s">
        <v>21</v>
      </c>
      <c r="I781" s="28" t="s">
        <v>21</v>
      </c>
      <c r="J781" s="28" t="s">
        <v>2449</v>
      </c>
      <c r="K781" s="28" t="s">
        <v>2450</v>
      </c>
      <c r="L781" s="28" t="s">
        <v>59</v>
      </c>
      <c r="M781" s="28" t="s">
        <v>21</v>
      </c>
      <c r="N781" s="29">
        <v>34269</v>
      </c>
      <c r="O781" s="92">
        <v>34269</v>
      </c>
      <c r="P781" s="28" t="s">
        <v>21</v>
      </c>
      <c r="Q781" s="26" t="b">
        <v>0</v>
      </c>
      <c r="R781" s="22">
        <f t="shared" si="12"/>
        <v>5</v>
      </c>
    </row>
    <row r="782" spans="1:18">
      <c r="A782" s="26">
        <v>1793</v>
      </c>
      <c r="B782" s="27">
        <v>34264</v>
      </c>
      <c r="C782" s="28" t="s">
        <v>2451</v>
      </c>
      <c r="D782" s="27">
        <v>34260</v>
      </c>
      <c r="E782" s="28" t="s">
        <v>2452</v>
      </c>
      <c r="F782" s="28" t="s">
        <v>990</v>
      </c>
      <c r="G782" s="28" t="s">
        <v>20</v>
      </c>
      <c r="H782" s="28" t="s">
        <v>21</v>
      </c>
      <c r="I782" s="28" t="s">
        <v>21</v>
      </c>
      <c r="J782" s="28" t="s">
        <v>2453</v>
      </c>
      <c r="K782" s="28" t="s">
        <v>2454</v>
      </c>
      <c r="L782" s="28" t="s">
        <v>24</v>
      </c>
      <c r="M782" s="28" t="s">
        <v>21</v>
      </c>
      <c r="O782" s="92">
        <v>34296</v>
      </c>
      <c r="P782" s="28" t="s">
        <v>21</v>
      </c>
      <c r="Q782" s="26" t="b">
        <v>0</v>
      </c>
      <c r="R782" s="22">
        <f t="shared" si="12"/>
        <v>31</v>
      </c>
    </row>
    <row r="783" spans="1:18">
      <c r="A783" s="26">
        <v>1794</v>
      </c>
      <c r="B783" s="27">
        <v>34264</v>
      </c>
      <c r="C783" s="28" t="s">
        <v>2455</v>
      </c>
      <c r="D783" s="27">
        <v>34264</v>
      </c>
      <c r="E783" s="28" t="s">
        <v>2456</v>
      </c>
      <c r="F783" s="28" t="s">
        <v>359</v>
      </c>
      <c r="G783" s="28" t="s">
        <v>20</v>
      </c>
      <c r="H783" s="28" t="s">
        <v>21</v>
      </c>
      <c r="I783" s="28" t="s">
        <v>21</v>
      </c>
      <c r="J783" s="28" t="s">
        <v>2457</v>
      </c>
      <c r="K783" s="28" t="s">
        <v>2458</v>
      </c>
      <c r="L783" s="28" t="s">
        <v>88</v>
      </c>
      <c r="M783" s="28" t="s">
        <v>21</v>
      </c>
      <c r="N783" s="29">
        <v>34278</v>
      </c>
      <c r="O783" s="92">
        <v>35641</v>
      </c>
      <c r="P783" s="28" t="s">
        <v>31</v>
      </c>
      <c r="Q783" s="26" t="b">
        <v>0</v>
      </c>
      <c r="R783" s="22">
        <f t="shared" si="12"/>
        <v>1376</v>
      </c>
    </row>
    <row r="784" spans="1:18">
      <c r="A784" s="26">
        <v>1795</v>
      </c>
      <c r="B784" s="27">
        <v>34267</v>
      </c>
      <c r="C784" s="28" t="s">
        <v>17270</v>
      </c>
      <c r="D784" s="27">
        <v>34262</v>
      </c>
      <c r="E784" s="28" t="s">
        <v>17271</v>
      </c>
      <c r="F784" s="28" t="s">
        <v>21</v>
      </c>
      <c r="G784" s="28" t="s">
        <v>21</v>
      </c>
      <c r="H784" s="28" t="s">
        <v>21</v>
      </c>
      <c r="I784" s="28" t="s">
        <v>21</v>
      </c>
      <c r="J784" s="28" t="s">
        <v>17272</v>
      </c>
      <c r="K784" s="28" t="s">
        <v>21</v>
      </c>
      <c r="L784" s="28" t="s">
        <v>82</v>
      </c>
      <c r="M784" s="28" t="s">
        <v>21</v>
      </c>
      <c r="O784" s="92">
        <v>34283</v>
      </c>
      <c r="P784" s="28" t="s">
        <v>21</v>
      </c>
      <c r="Q784" s="26" t="b">
        <v>0</v>
      </c>
      <c r="R784" s="22">
        <f t="shared" si="12"/>
        <v>15</v>
      </c>
    </row>
    <row r="785" spans="1:18">
      <c r="A785" s="26">
        <v>1798</v>
      </c>
      <c r="B785" s="27">
        <v>34268</v>
      </c>
      <c r="C785" s="28" t="s">
        <v>2459</v>
      </c>
      <c r="D785" s="27">
        <v>34264</v>
      </c>
      <c r="E785" s="28" t="s">
        <v>2460</v>
      </c>
      <c r="F785" s="28" t="s">
        <v>211</v>
      </c>
      <c r="G785" s="28" t="s">
        <v>20</v>
      </c>
      <c r="H785" s="28" t="s">
        <v>212</v>
      </c>
      <c r="I785" s="28" t="s">
        <v>212</v>
      </c>
      <c r="J785" s="28" t="s">
        <v>2461</v>
      </c>
      <c r="K785" s="28" t="s">
        <v>2462</v>
      </c>
      <c r="L785" s="28" t="s">
        <v>24</v>
      </c>
      <c r="M785" s="28" t="s">
        <v>21</v>
      </c>
      <c r="N785" s="18"/>
      <c r="O785" s="92">
        <v>34296</v>
      </c>
      <c r="P785" s="28" t="s">
        <v>21</v>
      </c>
      <c r="Q785" s="26" t="b">
        <v>0</v>
      </c>
      <c r="R785" s="22">
        <f t="shared" si="12"/>
        <v>27</v>
      </c>
    </row>
    <row r="786" spans="1:18">
      <c r="A786" s="26">
        <v>1800</v>
      </c>
      <c r="B786" s="27">
        <v>34269</v>
      </c>
      <c r="C786" s="28" t="s">
        <v>2466</v>
      </c>
      <c r="D786" s="27">
        <v>34267</v>
      </c>
      <c r="E786" s="28" t="s">
        <v>2467</v>
      </c>
      <c r="F786" s="28" t="s">
        <v>85</v>
      </c>
      <c r="G786" s="28" t="s">
        <v>20</v>
      </c>
      <c r="H786" s="28" t="s">
        <v>21</v>
      </c>
      <c r="I786" s="28" t="s">
        <v>21</v>
      </c>
      <c r="J786" s="28" t="s">
        <v>2468</v>
      </c>
      <c r="K786" s="28" t="s">
        <v>2469</v>
      </c>
      <c r="L786" s="28" t="s">
        <v>30</v>
      </c>
      <c r="M786" s="28" t="s">
        <v>21</v>
      </c>
      <c r="O786" s="92">
        <v>36466</v>
      </c>
      <c r="P786" s="28" t="s">
        <v>21</v>
      </c>
      <c r="Q786" s="26" t="b">
        <v>0</v>
      </c>
      <c r="R786" s="22">
        <f t="shared" si="12"/>
        <v>2195</v>
      </c>
    </row>
    <row r="787" spans="1:18">
      <c r="A787" s="26">
        <v>1801</v>
      </c>
      <c r="B787" s="27">
        <v>34269</v>
      </c>
      <c r="C787" s="28" t="s">
        <v>2470</v>
      </c>
      <c r="D787" s="27">
        <v>34268</v>
      </c>
      <c r="E787" s="28" t="s">
        <v>2471</v>
      </c>
      <c r="F787" s="28" t="s">
        <v>104</v>
      </c>
      <c r="G787" s="28" t="s">
        <v>20</v>
      </c>
      <c r="H787" s="28" t="s">
        <v>21</v>
      </c>
      <c r="I787" s="28" t="s">
        <v>21</v>
      </c>
      <c r="J787" s="28" t="s">
        <v>2472</v>
      </c>
      <c r="K787" s="28" t="s">
        <v>2473</v>
      </c>
      <c r="L787" s="28" t="s">
        <v>24</v>
      </c>
      <c r="M787" s="28" t="s">
        <v>21</v>
      </c>
      <c r="N787" s="18"/>
      <c r="O787" s="92">
        <v>34954</v>
      </c>
      <c r="P787" s="28" t="s">
        <v>21</v>
      </c>
      <c r="Q787" s="26" t="b">
        <v>0</v>
      </c>
      <c r="R787" s="22">
        <f t="shared" si="12"/>
        <v>684</v>
      </c>
    </row>
    <row r="788" spans="1:18">
      <c r="A788" s="26">
        <v>1806</v>
      </c>
      <c r="B788" s="27">
        <v>34270</v>
      </c>
      <c r="C788" s="28" t="s">
        <v>2474</v>
      </c>
      <c r="D788" s="27">
        <v>34268</v>
      </c>
      <c r="E788" s="28" t="s">
        <v>1443</v>
      </c>
      <c r="F788" s="28" t="s">
        <v>27</v>
      </c>
      <c r="G788" s="28" t="s">
        <v>20</v>
      </c>
      <c r="H788" s="28" t="s">
        <v>21</v>
      </c>
      <c r="I788" s="28" t="s">
        <v>21</v>
      </c>
      <c r="J788" s="28" t="s">
        <v>2475</v>
      </c>
      <c r="K788" s="28" t="s">
        <v>2476</v>
      </c>
      <c r="L788" s="28" t="s">
        <v>1152</v>
      </c>
      <c r="M788" s="28" t="s">
        <v>21</v>
      </c>
      <c r="O788" s="92">
        <v>34330</v>
      </c>
      <c r="P788" s="28" t="s">
        <v>21</v>
      </c>
      <c r="Q788" s="26" t="b">
        <v>0</v>
      </c>
      <c r="R788" s="22">
        <f t="shared" si="12"/>
        <v>59</v>
      </c>
    </row>
    <row r="789" spans="1:18">
      <c r="A789" s="26">
        <v>1808</v>
      </c>
      <c r="B789" s="27">
        <v>34271</v>
      </c>
      <c r="C789" s="28" t="s">
        <v>2477</v>
      </c>
      <c r="D789" s="27">
        <v>34271</v>
      </c>
      <c r="E789" s="28" t="s">
        <v>2478</v>
      </c>
      <c r="F789" s="28" t="s">
        <v>359</v>
      </c>
      <c r="G789" s="28" t="s">
        <v>20</v>
      </c>
      <c r="H789" s="28" t="s">
        <v>21</v>
      </c>
      <c r="I789" s="28" t="s">
        <v>21</v>
      </c>
      <c r="J789" s="28" t="s">
        <v>2479</v>
      </c>
      <c r="K789" s="28" t="s">
        <v>2480</v>
      </c>
      <c r="L789" s="28" t="s">
        <v>1152</v>
      </c>
      <c r="M789" s="28" t="s">
        <v>21</v>
      </c>
      <c r="O789" s="92">
        <v>34477</v>
      </c>
      <c r="P789" s="28" t="s">
        <v>31</v>
      </c>
      <c r="Q789" s="26" t="b">
        <v>0</v>
      </c>
      <c r="R789" s="22">
        <f t="shared" si="12"/>
        <v>206</v>
      </c>
    </row>
    <row r="790" spans="1:18">
      <c r="A790" s="26">
        <v>1814</v>
      </c>
      <c r="B790" s="27">
        <v>34275</v>
      </c>
      <c r="C790" s="28" t="s">
        <v>2481</v>
      </c>
      <c r="D790" s="27">
        <v>34274</v>
      </c>
      <c r="E790" s="28" t="s">
        <v>2482</v>
      </c>
      <c r="F790" s="28" t="s">
        <v>56</v>
      </c>
      <c r="G790" s="28" t="s">
        <v>20</v>
      </c>
      <c r="H790" s="28" t="s">
        <v>21</v>
      </c>
      <c r="I790" s="28" t="s">
        <v>21</v>
      </c>
      <c r="J790" s="28" t="s">
        <v>2483</v>
      </c>
      <c r="K790" s="28" t="s">
        <v>2484</v>
      </c>
      <c r="L790" s="28" t="s">
        <v>24</v>
      </c>
      <c r="M790" s="28" t="s">
        <v>21</v>
      </c>
      <c r="O790" s="92">
        <v>34296</v>
      </c>
      <c r="P790" s="28" t="s">
        <v>21</v>
      </c>
      <c r="Q790" s="26" t="b">
        <v>0</v>
      </c>
      <c r="R790" s="22">
        <f t="shared" si="12"/>
        <v>21</v>
      </c>
    </row>
    <row r="791" spans="1:18">
      <c r="A791" s="26">
        <v>1817</v>
      </c>
      <c r="B791" s="27">
        <v>34276</v>
      </c>
      <c r="C791" s="28" t="s">
        <v>2485</v>
      </c>
      <c r="D791" s="27">
        <v>34270</v>
      </c>
      <c r="E791" s="28" t="s">
        <v>2486</v>
      </c>
      <c r="F791" s="28" t="s">
        <v>70</v>
      </c>
      <c r="G791" s="28" t="s">
        <v>20</v>
      </c>
      <c r="H791" s="28" t="s">
        <v>71</v>
      </c>
      <c r="I791" s="28" t="s">
        <v>72</v>
      </c>
      <c r="J791" s="28" t="s">
        <v>2487</v>
      </c>
      <c r="K791" s="28" t="s">
        <v>2488</v>
      </c>
      <c r="L791" s="28" t="s">
        <v>24</v>
      </c>
      <c r="M791" s="28" t="s">
        <v>21</v>
      </c>
      <c r="O791" s="92">
        <v>34451</v>
      </c>
      <c r="P791" s="28" t="s">
        <v>21</v>
      </c>
      <c r="Q791" s="26" t="b">
        <v>0</v>
      </c>
      <c r="R791" s="22">
        <f t="shared" si="12"/>
        <v>176</v>
      </c>
    </row>
    <row r="792" spans="1:18">
      <c r="A792" s="26">
        <v>1820</v>
      </c>
      <c r="B792" s="27">
        <v>34276</v>
      </c>
      <c r="C792" s="28" t="s">
        <v>2489</v>
      </c>
      <c r="D792" s="27">
        <v>34269</v>
      </c>
      <c r="E792" s="28" t="s">
        <v>2490</v>
      </c>
      <c r="F792" s="28" t="s">
        <v>306</v>
      </c>
      <c r="G792" s="28" t="s">
        <v>20</v>
      </c>
      <c r="H792" s="28" t="s">
        <v>21</v>
      </c>
      <c r="I792" s="28" t="s">
        <v>21</v>
      </c>
      <c r="J792" s="28" t="s">
        <v>2491</v>
      </c>
      <c r="K792" s="28" t="s">
        <v>2492</v>
      </c>
      <c r="L792" s="28" t="s">
        <v>30</v>
      </c>
      <c r="M792" s="28" t="s">
        <v>21</v>
      </c>
      <c r="O792" s="92">
        <v>34359</v>
      </c>
      <c r="P792" s="28" t="s">
        <v>21</v>
      </c>
      <c r="Q792" s="26" t="b">
        <v>0</v>
      </c>
      <c r="R792" s="22">
        <f t="shared" si="12"/>
        <v>83</v>
      </c>
    </row>
    <row r="793" spans="1:18">
      <c r="A793" s="26">
        <v>1845</v>
      </c>
      <c r="B793" s="27">
        <v>34281</v>
      </c>
      <c r="C793" s="28" t="s">
        <v>2493</v>
      </c>
      <c r="D793" s="27">
        <v>34278</v>
      </c>
      <c r="E793" s="28" t="s">
        <v>2494</v>
      </c>
      <c r="F793" s="28" t="s">
        <v>124</v>
      </c>
      <c r="G793" s="28" t="s">
        <v>20</v>
      </c>
      <c r="H793" s="28" t="s">
        <v>21</v>
      </c>
      <c r="I793" s="28" t="s">
        <v>21</v>
      </c>
      <c r="J793" s="28" t="s">
        <v>2266</v>
      </c>
      <c r="K793" s="28" t="s">
        <v>2495</v>
      </c>
      <c r="L793" s="28" t="s">
        <v>24</v>
      </c>
      <c r="M793" s="28" t="s">
        <v>21</v>
      </c>
      <c r="N793" s="29">
        <v>34290</v>
      </c>
      <c r="O793" s="92">
        <v>34620</v>
      </c>
      <c r="P793" s="28" t="s">
        <v>31</v>
      </c>
      <c r="Q793" s="26" t="b">
        <v>0</v>
      </c>
      <c r="R793" s="22">
        <f t="shared" si="12"/>
        <v>339</v>
      </c>
    </row>
    <row r="794" spans="1:18">
      <c r="A794" s="26">
        <v>1846</v>
      </c>
      <c r="B794" s="27">
        <v>34281</v>
      </c>
      <c r="C794" s="28" t="s">
        <v>2496</v>
      </c>
      <c r="D794" s="27">
        <v>34274</v>
      </c>
      <c r="E794" s="28" t="s">
        <v>2497</v>
      </c>
      <c r="F794" s="28" t="s">
        <v>104</v>
      </c>
      <c r="G794" s="28" t="s">
        <v>20</v>
      </c>
      <c r="H794" s="28" t="s">
        <v>189</v>
      </c>
      <c r="I794" s="28" t="s">
        <v>189</v>
      </c>
      <c r="J794" s="28" t="s">
        <v>2498</v>
      </c>
      <c r="K794" s="28" t="s">
        <v>2499</v>
      </c>
      <c r="L794" s="28" t="s">
        <v>24</v>
      </c>
      <c r="M794" s="28" t="s">
        <v>21</v>
      </c>
      <c r="O794" s="92">
        <v>34416</v>
      </c>
      <c r="P794" s="28" t="s">
        <v>21</v>
      </c>
      <c r="Q794" s="26" t="b">
        <v>0</v>
      </c>
      <c r="R794" s="22">
        <f t="shared" si="12"/>
        <v>136</v>
      </c>
    </row>
    <row r="795" spans="1:18">
      <c r="A795" s="26">
        <v>1854</v>
      </c>
      <c r="B795" s="27">
        <v>34288</v>
      </c>
      <c r="C795" s="28" t="s">
        <v>2500</v>
      </c>
      <c r="D795" s="27">
        <v>34277</v>
      </c>
      <c r="E795" s="28" t="s">
        <v>1204</v>
      </c>
      <c r="F795" s="28" t="s">
        <v>1251</v>
      </c>
      <c r="G795" s="28" t="s">
        <v>21</v>
      </c>
      <c r="H795" s="28" t="s">
        <v>21</v>
      </c>
      <c r="I795" s="28" t="s">
        <v>21</v>
      </c>
      <c r="J795" s="28" t="s">
        <v>2501</v>
      </c>
      <c r="K795" s="28" t="s">
        <v>2502</v>
      </c>
      <c r="L795" s="28" t="s">
        <v>59</v>
      </c>
      <c r="M795" s="28" t="s">
        <v>21</v>
      </c>
      <c r="N795" s="29">
        <v>34320</v>
      </c>
      <c r="O795" s="92">
        <v>34291</v>
      </c>
      <c r="P795" s="28" t="s">
        <v>21</v>
      </c>
      <c r="Q795" s="26" t="b">
        <v>0</v>
      </c>
      <c r="R795" s="22">
        <f t="shared" si="12"/>
        <v>3</v>
      </c>
    </row>
    <row r="796" spans="1:18">
      <c r="A796" s="26">
        <v>1857</v>
      </c>
      <c r="B796" s="27">
        <v>34288</v>
      </c>
      <c r="C796" s="28" t="s">
        <v>2503</v>
      </c>
      <c r="D796" s="27">
        <v>34288</v>
      </c>
      <c r="E796" s="28" t="s">
        <v>2504</v>
      </c>
      <c r="F796" s="28" t="s">
        <v>228</v>
      </c>
      <c r="G796" s="28" t="s">
        <v>20</v>
      </c>
      <c r="H796" s="28" t="s">
        <v>21</v>
      </c>
      <c r="I796" s="28" t="s">
        <v>21</v>
      </c>
      <c r="J796" s="28" t="s">
        <v>2505</v>
      </c>
      <c r="K796" s="28" t="s">
        <v>2506</v>
      </c>
      <c r="L796" s="28" t="s">
        <v>67</v>
      </c>
      <c r="M796" s="28" t="s">
        <v>21</v>
      </c>
      <c r="N796" s="18"/>
      <c r="O796" s="92">
        <v>35639</v>
      </c>
      <c r="P796" s="28" t="s">
        <v>31</v>
      </c>
      <c r="Q796" s="26" t="b">
        <v>0</v>
      </c>
      <c r="R796" s="22">
        <f t="shared" si="12"/>
        <v>1351</v>
      </c>
    </row>
    <row r="797" spans="1:18">
      <c r="A797" s="26">
        <v>1860</v>
      </c>
      <c r="B797" s="27">
        <v>34289</v>
      </c>
      <c r="C797" s="28" t="s">
        <v>2507</v>
      </c>
      <c r="D797" s="27">
        <v>34289</v>
      </c>
      <c r="E797" s="28" t="s">
        <v>2508</v>
      </c>
      <c r="F797" s="28" t="s">
        <v>104</v>
      </c>
      <c r="G797" s="28" t="s">
        <v>20</v>
      </c>
      <c r="H797" s="28" t="s">
        <v>21</v>
      </c>
      <c r="I797" s="28" t="s">
        <v>21</v>
      </c>
      <c r="J797" s="28" t="s">
        <v>2509</v>
      </c>
      <c r="K797" s="28" t="s">
        <v>2510</v>
      </c>
      <c r="L797" s="28" t="s">
        <v>24</v>
      </c>
      <c r="M797" s="28" t="s">
        <v>21</v>
      </c>
      <c r="O797" s="92">
        <v>34292</v>
      </c>
      <c r="P797" s="28" t="s">
        <v>21</v>
      </c>
      <c r="Q797" s="26" t="b">
        <v>0</v>
      </c>
      <c r="R797" s="22">
        <f t="shared" si="12"/>
        <v>3</v>
      </c>
    </row>
    <row r="798" spans="1:18">
      <c r="A798" s="26">
        <v>1861</v>
      </c>
      <c r="B798" s="27">
        <v>34289</v>
      </c>
      <c r="C798" s="28" t="s">
        <v>2511</v>
      </c>
      <c r="D798" s="27">
        <v>34286</v>
      </c>
      <c r="E798" s="28" t="s">
        <v>2512</v>
      </c>
      <c r="F798" s="28" t="s">
        <v>104</v>
      </c>
      <c r="G798" s="28" t="s">
        <v>20</v>
      </c>
      <c r="H798" s="28" t="s">
        <v>21</v>
      </c>
      <c r="I798" s="28" t="s">
        <v>21</v>
      </c>
      <c r="J798" s="28" t="s">
        <v>2513</v>
      </c>
      <c r="K798" s="28" t="s">
        <v>2514</v>
      </c>
      <c r="L798" s="28" t="s">
        <v>24</v>
      </c>
      <c r="M798" s="28" t="s">
        <v>21</v>
      </c>
      <c r="O798" s="92">
        <v>34954</v>
      </c>
      <c r="P798" s="28" t="s">
        <v>21</v>
      </c>
      <c r="Q798" s="26" t="b">
        <v>0</v>
      </c>
      <c r="R798" s="22">
        <f t="shared" si="12"/>
        <v>665</v>
      </c>
    </row>
    <row r="799" spans="1:18">
      <c r="A799" s="26">
        <v>1862</v>
      </c>
      <c r="B799" s="27">
        <v>34289</v>
      </c>
      <c r="C799" s="28" t="s">
        <v>2515</v>
      </c>
      <c r="D799" s="27">
        <v>34289</v>
      </c>
      <c r="E799" s="28" t="s">
        <v>2516</v>
      </c>
      <c r="F799" s="28" t="s">
        <v>1804</v>
      </c>
      <c r="G799" s="28" t="s">
        <v>20</v>
      </c>
      <c r="H799" s="28" t="s">
        <v>566</v>
      </c>
      <c r="I799" s="28" t="s">
        <v>566</v>
      </c>
      <c r="J799" s="28" t="s">
        <v>2517</v>
      </c>
      <c r="K799" s="28" t="s">
        <v>2518</v>
      </c>
      <c r="L799" s="28" t="s">
        <v>88</v>
      </c>
      <c r="M799" s="28" t="s">
        <v>21</v>
      </c>
      <c r="N799" s="29">
        <v>34289</v>
      </c>
      <c r="O799" s="92">
        <v>35578</v>
      </c>
      <c r="P799" s="28" t="s">
        <v>21</v>
      </c>
      <c r="Q799" s="26" t="b">
        <v>0</v>
      </c>
      <c r="R799" s="22">
        <f t="shared" si="12"/>
        <v>1289</v>
      </c>
    </row>
    <row r="800" spans="1:18" ht="24">
      <c r="A800" s="26">
        <v>1879</v>
      </c>
      <c r="B800" s="27">
        <v>34289</v>
      </c>
      <c r="C800" s="28" t="s">
        <v>2545</v>
      </c>
      <c r="D800" s="27">
        <v>34295</v>
      </c>
      <c r="E800" s="28" t="s">
        <v>2546</v>
      </c>
      <c r="F800" s="28" t="s">
        <v>124</v>
      </c>
      <c r="G800" s="28" t="s">
        <v>20</v>
      </c>
      <c r="H800" s="28" t="s">
        <v>21</v>
      </c>
      <c r="I800" s="28" t="s">
        <v>21</v>
      </c>
      <c r="J800" s="28" t="s">
        <v>2547</v>
      </c>
      <c r="K800" s="28" t="s">
        <v>1510</v>
      </c>
      <c r="L800" s="28" t="s">
        <v>314</v>
      </c>
      <c r="M800" s="28" t="s">
        <v>2548</v>
      </c>
      <c r="O800" s="92">
        <v>37545</v>
      </c>
      <c r="P800" s="28" t="s">
        <v>21</v>
      </c>
      <c r="Q800" s="26" t="b">
        <v>0</v>
      </c>
      <c r="R800" s="22">
        <f t="shared" si="12"/>
        <v>3254</v>
      </c>
    </row>
    <row r="801" spans="1:18">
      <c r="A801" s="26">
        <v>1864</v>
      </c>
      <c r="B801" s="27">
        <v>34290</v>
      </c>
      <c r="C801" s="28" t="s">
        <v>2519</v>
      </c>
      <c r="D801" s="27">
        <v>34288</v>
      </c>
      <c r="E801" s="28" t="s">
        <v>2520</v>
      </c>
      <c r="F801" s="28" t="s">
        <v>2521</v>
      </c>
      <c r="G801" s="28" t="s">
        <v>20</v>
      </c>
      <c r="H801" s="28" t="s">
        <v>566</v>
      </c>
      <c r="I801" s="28" t="s">
        <v>566</v>
      </c>
      <c r="J801" s="28" t="s">
        <v>2522</v>
      </c>
      <c r="K801" s="28" t="s">
        <v>2523</v>
      </c>
      <c r="L801" s="28" t="s">
        <v>82</v>
      </c>
      <c r="M801" s="28" t="s">
        <v>21</v>
      </c>
      <c r="O801" s="92">
        <v>34827</v>
      </c>
      <c r="P801" s="28" t="s">
        <v>21</v>
      </c>
      <c r="Q801" s="26" t="b">
        <v>0</v>
      </c>
      <c r="R801" s="22">
        <f t="shared" si="12"/>
        <v>538</v>
      </c>
    </row>
    <row r="802" spans="1:18">
      <c r="A802" s="26">
        <v>1865</v>
      </c>
      <c r="B802" s="27">
        <v>34291</v>
      </c>
      <c r="C802" s="28" t="s">
        <v>2524</v>
      </c>
      <c r="D802" s="27">
        <v>34290</v>
      </c>
      <c r="E802" s="28" t="s">
        <v>2525</v>
      </c>
      <c r="F802" s="28" t="s">
        <v>39</v>
      </c>
      <c r="G802" s="28" t="s">
        <v>20</v>
      </c>
      <c r="H802" s="28" t="s">
        <v>21</v>
      </c>
      <c r="I802" s="28" t="s">
        <v>21</v>
      </c>
      <c r="J802" s="28" t="s">
        <v>2526</v>
      </c>
      <c r="K802" s="28" t="s">
        <v>2527</v>
      </c>
      <c r="L802" s="28" t="s">
        <v>24</v>
      </c>
      <c r="M802" s="28" t="s">
        <v>21</v>
      </c>
      <c r="O802" s="92">
        <v>34309</v>
      </c>
      <c r="P802" s="28" t="s">
        <v>21</v>
      </c>
      <c r="Q802" s="26" t="b">
        <v>0</v>
      </c>
      <c r="R802" s="22">
        <f t="shared" si="12"/>
        <v>18</v>
      </c>
    </row>
    <row r="803" spans="1:18">
      <c r="A803" s="26">
        <v>1866</v>
      </c>
      <c r="B803" s="27">
        <v>34291</v>
      </c>
      <c r="C803" s="28" t="s">
        <v>2528</v>
      </c>
      <c r="D803" s="27">
        <v>34291</v>
      </c>
      <c r="E803" s="28" t="s">
        <v>2529</v>
      </c>
      <c r="F803" s="28" t="s">
        <v>228</v>
      </c>
      <c r="G803" s="28" t="s">
        <v>21</v>
      </c>
      <c r="H803" s="28" t="s">
        <v>21</v>
      </c>
      <c r="I803" s="28" t="s">
        <v>21</v>
      </c>
      <c r="J803" s="28" t="s">
        <v>2530</v>
      </c>
      <c r="K803" s="28" t="s">
        <v>2531</v>
      </c>
      <c r="L803" s="28" t="s">
        <v>82</v>
      </c>
      <c r="M803" s="28" t="s">
        <v>21</v>
      </c>
      <c r="N803" s="18"/>
      <c r="O803" s="92">
        <v>35373</v>
      </c>
      <c r="P803" s="28" t="s">
        <v>21</v>
      </c>
      <c r="Q803" s="26" t="b">
        <v>0</v>
      </c>
      <c r="R803" s="22">
        <f t="shared" si="12"/>
        <v>1080</v>
      </c>
    </row>
    <row r="804" spans="1:18" ht="24">
      <c r="A804" s="26">
        <v>1871</v>
      </c>
      <c r="B804" s="27">
        <v>34292</v>
      </c>
      <c r="C804" s="28" t="s">
        <v>2532</v>
      </c>
      <c r="D804" s="27">
        <v>34292</v>
      </c>
      <c r="E804" s="28" t="s">
        <v>2533</v>
      </c>
      <c r="F804" s="28" t="s">
        <v>124</v>
      </c>
      <c r="G804" s="28" t="s">
        <v>20</v>
      </c>
      <c r="H804" s="28" t="s">
        <v>21</v>
      </c>
      <c r="I804" s="28" t="s">
        <v>21</v>
      </c>
      <c r="J804" s="28" t="s">
        <v>2534</v>
      </c>
      <c r="K804" s="28" t="s">
        <v>2535</v>
      </c>
      <c r="L804" s="28" t="s">
        <v>314</v>
      </c>
      <c r="M804" s="28" t="s">
        <v>2536</v>
      </c>
      <c r="N804" s="18"/>
      <c r="O804" s="92">
        <v>37937</v>
      </c>
      <c r="P804" s="28" t="s">
        <v>31</v>
      </c>
      <c r="Q804" s="26" t="b">
        <v>0</v>
      </c>
      <c r="R804" s="22">
        <f t="shared" si="12"/>
        <v>3642</v>
      </c>
    </row>
    <row r="805" spans="1:18">
      <c r="A805" s="26">
        <v>1877</v>
      </c>
      <c r="B805" s="27">
        <v>34292</v>
      </c>
      <c r="C805" s="28" t="s">
        <v>2539</v>
      </c>
      <c r="D805" s="27">
        <v>34290</v>
      </c>
      <c r="E805" s="28" t="s">
        <v>2540</v>
      </c>
      <c r="F805" s="28" t="s">
        <v>85</v>
      </c>
      <c r="G805" s="28" t="s">
        <v>20</v>
      </c>
      <c r="H805" s="28" t="s">
        <v>21</v>
      </c>
      <c r="I805" s="28" t="s">
        <v>21</v>
      </c>
      <c r="J805" s="28" t="s">
        <v>2541</v>
      </c>
      <c r="K805" s="28" t="s">
        <v>2542</v>
      </c>
      <c r="L805" s="28" t="s">
        <v>24</v>
      </c>
      <c r="M805" s="28" t="s">
        <v>21</v>
      </c>
      <c r="N805" s="18"/>
      <c r="O805" s="92">
        <v>34954</v>
      </c>
      <c r="P805" s="28" t="s">
        <v>31</v>
      </c>
      <c r="Q805" s="26" t="b">
        <v>0</v>
      </c>
      <c r="R805" s="22">
        <f t="shared" si="12"/>
        <v>662</v>
      </c>
    </row>
    <row r="806" spans="1:18">
      <c r="A806" s="26">
        <v>1878</v>
      </c>
      <c r="B806" s="27">
        <v>34295</v>
      </c>
      <c r="C806" s="28" t="s">
        <v>2543</v>
      </c>
      <c r="D806" s="27">
        <v>34292</v>
      </c>
      <c r="E806" s="28" t="s">
        <v>2544</v>
      </c>
      <c r="F806" s="28" t="s">
        <v>85</v>
      </c>
      <c r="G806" s="28" t="s">
        <v>20</v>
      </c>
      <c r="H806" s="28" t="s">
        <v>21</v>
      </c>
      <c r="I806" s="28" t="s">
        <v>21</v>
      </c>
      <c r="J806" s="28" t="s">
        <v>2541</v>
      </c>
      <c r="K806" s="28" t="s">
        <v>2542</v>
      </c>
      <c r="L806" s="28" t="s">
        <v>24</v>
      </c>
      <c r="M806" s="28" t="s">
        <v>21</v>
      </c>
      <c r="N806" s="18"/>
      <c r="O806" s="92">
        <v>34954</v>
      </c>
      <c r="P806" s="28" t="s">
        <v>21</v>
      </c>
      <c r="Q806" s="26" t="b">
        <v>0</v>
      </c>
      <c r="R806" s="22">
        <f t="shared" si="12"/>
        <v>659</v>
      </c>
    </row>
    <row r="807" spans="1:18">
      <c r="A807" s="26">
        <v>1725</v>
      </c>
      <c r="B807" s="27">
        <v>34297</v>
      </c>
      <c r="C807" s="28" t="s">
        <v>2361</v>
      </c>
      <c r="D807" s="27">
        <v>34297</v>
      </c>
      <c r="E807" s="28" t="s">
        <v>1443</v>
      </c>
      <c r="F807" s="28" t="s">
        <v>56</v>
      </c>
      <c r="G807" s="28" t="s">
        <v>20</v>
      </c>
      <c r="H807" s="28" t="s">
        <v>21</v>
      </c>
      <c r="I807" s="28" t="s">
        <v>21</v>
      </c>
      <c r="J807" s="28" t="s">
        <v>2362</v>
      </c>
      <c r="K807" s="28" t="s">
        <v>2363</v>
      </c>
      <c r="L807" s="28" t="s">
        <v>24</v>
      </c>
      <c r="M807" s="28" t="s">
        <v>21</v>
      </c>
      <c r="O807" s="92">
        <v>34305</v>
      </c>
      <c r="P807" s="28" t="s">
        <v>21</v>
      </c>
      <c r="Q807" s="26" t="b">
        <v>0</v>
      </c>
      <c r="R807" s="22">
        <f t="shared" si="12"/>
        <v>8</v>
      </c>
    </row>
    <row r="808" spans="1:18">
      <c r="A808" s="26">
        <v>1874</v>
      </c>
      <c r="B808" s="27">
        <v>34302</v>
      </c>
      <c r="C808" s="28" t="s">
        <v>2537</v>
      </c>
      <c r="D808" s="27">
        <v>34302</v>
      </c>
      <c r="E808" s="28" t="s">
        <v>38</v>
      </c>
      <c r="F808" s="28" t="s">
        <v>39</v>
      </c>
      <c r="G808" s="28" t="s">
        <v>20</v>
      </c>
      <c r="H808" s="28" t="s">
        <v>21</v>
      </c>
      <c r="I808" s="28" t="s">
        <v>21</v>
      </c>
      <c r="J808" s="28" t="s">
        <v>39</v>
      </c>
      <c r="K808" s="28" t="s">
        <v>2538</v>
      </c>
      <c r="L808" s="28" t="s">
        <v>24</v>
      </c>
      <c r="M808" s="28" t="s">
        <v>21</v>
      </c>
      <c r="N808" s="27">
        <v>34313</v>
      </c>
      <c r="O808" s="92">
        <v>34304</v>
      </c>
      <c r="P808" s="28" t="s">
        <v>31</v>
      </c>
      <c r="Q808" s="26" t="b">
        <v>0</v>
      </c>
      <c r="R808" s="22">
        <f t="shared" si="12"/>
        <v>2</v>
      </c>
    </row>
    <row r="809" spans="1:18">
      <c r="A809" s="26">
        <v>1897</v>
      </c>
      <c r="B809" s="27">
        <v>34311</v>
      </c>
      <c r="C809" s="28" t="s">
        <v>2549</v>
      </c>
      <c r="D809" s="27">
        <v>34311</v>
      </c>
      <c r="E809" s="28" t="s">
        <v>2550</v>
      </c>
      <c r="F809" s="28" t="s">
        <v>752</v>
      </c>
      <c r="G809" s="28" t="s">
        <v>20</v>
      </c>
      <c r="H809" s="28" t="s">
        <v>71</v>
      </c>
      <c r="I809" s="28" t="s">
        <v>72</v>
      </c>
      <c r="J809" s="28" t="s">
        <v>2551</v>
      </c>
      <c r="K809" s="28" t="s">
        <v>2552</v>
      </c>
      <c r="L809" s="28" t="s">
        <v>24</v>
      </c>
      <c r="M809" s="28" t="s">
        <v>21</v>
      </c>
      <c r="O809" s="92">
        <v>34451</v>
      </c>
      <c r="P809" s="28" t="s">
        <v>31</v>
      </c>
      <c r="Q809" s="26" t="b">
        <v>0</v>
      </c>
      <c r="R809" s="22">
        <f t="shared" si="12"/>
        <v>140</v>
      </c>
    </row>
    <row r="810" spans="1:18" ht="24">
      <c r="A810" s="26">
        <v>1900</v>
      </c>
      <c r="B810" s="27">
        <v>34312</v>
      </c>
      <c r="C810" s="28" t="s">
        <v>2553</v>
      </c>
      <c r="D810" s="27">
        <v>34303</v>
      </c>
      <c r="E810" s="28" t="s">
        <v>38</v>
      </c>
      <c r="F810" s="28" t="s">
        <v>984</v>
      </c>
      <c r="G810" s="28" t="s">
        <v>20</v>
      </c>
      <c r="H810" s="28" t="s">
        <v>21</v>
      </c>
      <c r="I810" s="28" t="s">
        <v>21</v>
      </c>
      <c r="J810" s="28" t="s">
        <v>2554</v>
      </c>
      <c r="K810" s="28" t="s">
        <v>2555</v>
      </c>
      <c r="L810" s="28" t="s">
        <v>82</v>
      </c>
      <c r="M810" s="28" t="s">
        <v>21</v>
      </c>
      <c r="O810" s="92">
        <v>34337</v>
      </c>
      <c r="P810" s="28" t="s">
        <v>21</v>
      </c>
      <c r="Q810" s="26" t="b">
        <v>0</v>
      </c>
      <c r="R810" s="22">
        <f t="shared" si="12"/>
        <v>24</v>
      </c>
    </row>
    <row r="811" spans="1:18">
      <c r="A811" s="26">
        <v>1903</v>
      </c>
      <c r="B811" s="27">
        <v>34317</v>
      </c>
      <c r="C811" s="28" t="s">
        <v>2556</v>
      </c>
      <c r="D811" s="27">
        <v>34316</v>
      </c>
      <c r="E811" s="28" t="s">
        <v>2557</v>
      </c>
      <c r="F811" s="28" t="s">
        <v>104</v>
      </c>
      <c r="G811" s="28" t="s">
        <v>20</v>
      </c>
      <c r="H811" s="28" t="s">
        <v>21</v>
      </c>
      <c r="I811" s="28" t="s">
        <v>21</v>
      </c>
      <c r="J811" s="28" t="s">
        <v>1812</v>
      </c>
      <c r="K811" s="28" t="s">
        <v>2558</v>
      </c>
      <c r="L811" s="28" t="s">
        <v>30</v>
      </c>
      <c r="M811" s="28" t="s">
        <v>21</v>
      </c>
      <c r="O811" s="92">
        <v>34348</v>
      </c>
      <c r="P811" s="28" t="s">
        <v>31</v>
      </c>
      <c r="Q811" s="26" t="b">
        <v>0</v>
      </c>
      <c r="R811" s="22">
        <f t="shared" si="12"/>
        <v>30</v>
      </c>
    </row>
    <row r="812" spans="1:18">
      <c r="A812" s="26">
        <v>1904</v>
      </c>
      <c r="B812" s="27">
        <v>34317</v>
      </c>
      <c r="C812" s="28" t="s">
        <v>2559</v>
      </c>
      <c r="D812" s="27">
        <v>34317</v>
      </c>
      <c r="E812" s="28" t="s">
        <v>2560</v>
      </c>
      <c r="F812" s="28" t="s">
        <v>228</v>
      </c>
      <c r="G812" s="28" t="s">
        <v>20</v>
      </c>
      <c r="H812" s="28" t="s">
        <v>21</v>
      </c>
      <c r="I812" s="28" t="s">
        <v>21</v>
      </c>
      <c r="J812" s="28" t="s">
        <v>2561</v>
      </c>
      <c r="K812" s="28" t="s">
        <v>2562</v>
      </c>
      <c r="L812" s="28" t="s">
        <v>66</v>
      </c>
      <c r="M812" s="28" t="s">
        <v>21</v>
      </c>
      <c r="O812" s="92">
        <v>37712</v>
      </c>
      <c r="P812" s="28" t="s">
        <v>31</v>
      </c>
      <c r="Q812" s="26" t="b">
        <v>0</v>
      </c>
      <c r="R812" s="22">
        <f t="shared" si="12"/>
        <v>3393</v>
      </c>
    </row>
    <row r="813" spans="1:18" ht="24">
      <c r="A813" s="26">
        <v>1909</v>
      </c>
      <c r="B813" s="27">
        <v>34323</v>
      </c>
      <c r="C813" s="28" t="s">
        <v>2563</v>
      </c>
      <c r="D813" s="27">
        <v>34317</v>
      </c>
      <c r="E813" s="28" t="s">
        <v>2564</v>
      </c>
      <c r="F813" s="28" t="s">
        <v>2565</v>
      </c>
      <c r="G813" s="28" t="s">
        <v>20</v>
      </c>
      <c r="H813" s="28" t="s">
        <v>189</v>
      </c>
      <c r="I813" s="28" t="s">
        <v>189</v>
      </c>
      <c r="J813" s="28" t="s">
        <v>2566</v>
      </c>
      <c r="K813" s="28" t="s">
        <v>2567</v>
      </c>
      <c r="L813" s="28" t="s">
        <v>314</v>
      </c>
      <c r="M813" s="28" t="s">
        <v>1800</v>
      </c>
      <c r="N813" s="18"/>
      <c r="O813" s="92">
        <v>37524</v>
      </c>
      <c r="P813" s="28" t="s">
        <v>21</v>
      </c>
      <c r="Q813" s="26" t="b">
        <v>0</v>
      </c>
      <c r="R813" s="22">
        <f t="shared" si="12"/>
        <v>3198</v>
      </c>
    </row>
    <row r="814" spans="1:18">
      <c r="A814" s="26">
        <v>1910</v>
      </c>
      <c r="B814" s="27">
        <v>34323</v>
      </c>
      <c r="C814" s="28" t="s">
        <v>2568</v>
      </c>
      <c r="D814" s="27">
        <v>34320</v>
      </c>
      <c r="E814" s="28" t="s">
        <v>2569</v>
      </c>
      <c r="F814" s="28" t="s">
        <v>85</v>
      </c>
      <c r="G814" s="28" t="s">
        <v>20</v>
      </c>
      <c r="H814" s="28" t="s">
        <v>21</v>
      </c>
      <c r="I814" s="28" t="s">
        <v>21</v>
      </c>
      <c r="J814" s="28" t="s">
        <v>2570</v>
      </c>
      <c r="K814" s="28" t="s">
        <v>2571</v>
      </c>
      <c r="L814" s="28" t="s">
        <v>66</v>
      </c>
      <c r="M814" s="28" t="s">
        <v>21</v>
      </c>
      <c r="O814" s="92">
        <v>35671</v>
      </c>
      <c r="P814" s="28" t="s">
        <v>31</v>
      </c>
      <c r="Q814" s="26" t="b">
        <v>0</v>
      </c>
      <c r="R814" s="22">
        <f t="shared" si="12"/>
        <v>1347</v>
      </c>
    </row>
    <row r="815" spans="1:18">
      <c r="A815" s="26">
        <v>1911</v>
      </c>
      <c r="B815" s="27">
        <v>34325</v>
      </c>
      <c r="C815" s="28" t="s">
        <v>2572</v>
      </c>
      <c r="D815" s="27">
        <v>34324</v>
      </c>
      <c r="E815" s="28" t="s">
        <v>38</v>
      </c>
      <c r="F815" s="28" t="s">
        <v>149</v>
      </c>
      <c r="G815" s="28" t="s">
        <v>20</v>
      </c>
      <c r="H815" s="28" t="s">
        <v>21</v>
      </c>
      <c r="I815" s="28" t="s">
        <v>21</v>
      </c>
      <c r="J815" s="28" t="s">
        <v>2547</v>
      </c>
      <c r="K815" s="28" t="s">
        <v>2573</v>
      </c>
      <c r="L815" s="28" t="s">
        <v>24</v>
      </c>
      <c r="M815" s="28" t="s">
        <v>21</v>
      </c>
      <c r="N815" s="18"/>
      <c r="O815" s="92">
        <v>34326</v>
      </c>
      <c r="P815" s="28" t="s">
        <v>31</v>
      </c>
      <c r="Q815" s="26" t="b">
        <v>0</v>
      </c>
      <c r="R815" s="22">
        <f t="shared" si="12"/>
        <v>1</v>
      </c>
    </row>
    <row r="816" spans="1:18">
      <c r="A816" s="26">
        <v>1913</v>
      </c>
      <c r="B816" s="27">
        <v>34325</v>
      </c>
      <c r="C816" s="28" t="s">
        <v>2574</v>
      </c>
      <c r="D816" s="27">
        <v>34323</v>
      </c>
      <c r="E816" s="28" t="s">
        <v>2575</v>
      </c>
      <c r="F816" s="28" t="s">
        <v>2521</v>
      </c>
      <c r="G816" s="28" t="s">
        <v>189</v>
      </c>
      <c r="H816" s="28" t="s">
        <v>566</v>
      </c>
      <c r="I816" s="28" t="s">
        <v>566</v>
      </c>
      <c r="J816" s="28" t="s">
        <v>2576</v>
      </c>
      <c r="K816" s="28" t="s">
        <v>2577</v>
      </c>
      <c r="L816" s="28" t="s">
        <v>82</v>
      </c>
      <c r="M816" s="28" t="s">
        <v>21</v>
      </c>
      <c r="O816" s="92">
        <v>34827</v>
      </c>
      <c r="P816" s="28" t="s">
        <v>21</v>
      </c>
      <c r="Q816" s="26" t="b">
        <v>0</v>
      </c>
      <c r="R816" s="22">
        <f t="shared" si="12"/>
        <v>502</v>
      </c>
    </row>
    <row r="817" spans="1:18">
      <c r="A817" s="26">
        <v>1914</v>
      </c>
      <c r="B817" s="27">
        <v>34325</v>
      </c>
      <c r="C817" s="28" t="s">
        <v>2578</v>
      </c>
      <c r="D817" s="27">
        <v>34324</v>
      </c>
      <c r="E817" s="28" t="s">
        <v>2579</v>
      </c>
      <c r="F817" s="28" t="s">
        <v>2580</v>
      </c>
      <c r="G817" s="28" t="s">
        <v>20</v>
      </c>
      <c r="H817" s="28" t="s">
        <v>71</v>
      </c>
      <c r="I817" s="28" t="s">
        <v>72</v>
      </c>
      <c r="J817" s="28" t="s">
        <v>2581</v>
      </c>
      <c r="K817" s="28" t="s">
        <v>2582</v>
      </c>
      <c r="L817" s="28" t="s">
        <v>24</v>
      </c>
      <c r="M817" s="28" t="s">
        <v>21</v>
      </c>
      <c r="N817" s="18"/>
      <c r="O817" s="92">
        <v>34394</v>
      </c>
      <c r="P817" s="28" t="s">
        <v>31</v>
      </c>
      <c r="Q817" s="26" t="b">
        <v>0</v>
      </c>
      <c r="R817" s="22">
        <f t="shared" si="12"/>
        <v>69</v>
      </c>
    </row>
    <row r="818" spans="1:18">
      <c r="A818" s="26">
        <v>1919</v>
      </c>
      <c r="B818" s="27">
        <v>34331</v>
      </c>
      <c r="C818" s="28" t="s">
        <v>2583</v>
      </c>
      <c r="D818" s="27">
        <v>34330</v>
      </c>
      <c r="E818" s="28" t="s">
        <v>2584</v>
      </c>
      <c r="F818" s="28" t="s">
        <v>43</v>
      </c>
      <c r="G818" s="28" t="s">
        <v>20</v>
      </c>
      <c r="H818" s="28" t="s">
        <v>21</v>
      </c>
      <c r="I818" s="28" t="s">
        <v>21</v>
      </c>
      <c r="J818" s="28" t="s">
        <v>2585</v>
      </c>
      <c r="K818" s="28" t="s">
        <v>2586</v>
      </c>
      <c r="L818" s="28" t="s">
        <v>24</v>
      </c>
      <c r="M818" s="28" t="s">
        <v>21</v>
      </c>
      <c r="O818" s="92">
        <v>34347</v>
      </c>
      <c r="P818" s="28" t="s">
        <v>31</v>
      </c>
      <c r="Q818" s="26" t="b">
        <v>0</v>
      </c>
      <c r="R818" s="22">
        <f t="shared" si="12"/>
        <v>15</v>
      </c>
    </row>
    <row r="819" spans="1:18">
      <c r="A819" s="26">
        <v>1920</v>
      </c>
      <c r="B819" s="27">
        <v>34331</v>
      </c>
      <c r="C819" s="28" t="s">
        <v>2587</v>
      </c>
      <c r="D819" s="27">
        <v>34326</v>
      </c>
      <c r="E819" s="28" t="s">
        <v>2588</v>
      </c>
      <c r="F819" s="28" t="s">
        <v>124</v>
      </c>
      <c r="G819" s="28" t="s">
        <v>20</v>
      </c>
      <c r="H819" s="28" t="s">
        <v>21</v>
      </c>
      <c r="I819" s="28" t="s">
        <v>21</v>
      </c>
      <c r="J819" s="28" t="s">
        <v>2589</v>
      </c>
      <c r="K819" s="28" t="s">
        <v>2590</v>
      </c>
      <c r="L819" s="28" t="s">
        <v>24</v>
      </c>
      <c r="M819" s="28" t="s">
        <v>21</v>
      </c>
      <c r="O819" s="92">
        <v>34354</v>
      </c>
      <c r="P819" s="28" t="s">
        <v>31</v>
      </c>
      <c r="Q819" s="26" t="b">
        <v>0</v>
      </c>
      <c r="R819" s="22">
        <f t="shared" si="12"/>
        <v>22</v>
      </c>
    </row>
    <row r="820" spans="1:18">
      <c r="A820" s="26">
        <v>1932</v>
      </c>
      <c r="B820" s="27">
        <v>34333</v>
      </c>
      <c r="C820" s="28" t="s">
        <v>2591</v>
      </c>
      <c r="D820" s="27">
        <v>34333</v>
      </c>
      <c r="E820" s="28" t="s">
        <v>2592</v>
      </c>
      <c r="F820" s="28" t="s">
        <v>56</v>
      </c>
      <c r="G820" s="28" t="s">
        <v>20</v>
      </c>
      <c r="H820" s="28" t="s">
        <v>21</v>
      </c>
      <c r="I820" s="28" t="s">
        <v>21</v>
      </c>
      <c r="J820" s="28" t="s">
        <v>2593</v>
      </c>
      <c r="K820" s="28" t="s">
        <v>2594</v>
      </c>
      <c r="L820" s="28" t="s">
        <v>82</v>
      </c>
      <c r="M820" s="28" t="s">
        <v>21</v>
      </c>
      <c r="O820" s="92">
        <v>34358</v>
      </c>
      <c r="P820" s="28" t="s">
        <v>21</v>
      </c>
      <c r="Q820" s="26" t="b">
        <v>0</v>
      </c>
      <c r="R820" s="22">
        <f t="shared" si="12"/>
        <v>24</v>
      </c>
    </row>
    <row r="821" spans="1:18">
      <c r="A821" s="26">
        <v>2033</v>
      </c>
      <c r="B821" s="27">
        <v>34340</v>
      </c>
      <c r="C821" s="28" t="s">
        <v>17273</v>
      </c>
      <c r="D821" s="27">
        <v>34333</v>
      </c>
      <c r="E821" s="28" t="s">
        <v>17274</v>
      </c>
      <c r="F821" s="28" t="s">
        <v>21</v>
      </c>
      <c r="G821" s="28" t="s">
        <v>21</v>
      </c>
      <c r="H821" s="28" t="s">
        <v>21</v>
      </c>
      <c r="I821" s="28" t="s">
        <v>21</v>
      </c>
      <c r="J821" s="28" t="s">
        <v>17275</v>
      </c>
      <c r="K821" s="28" t="s">
        <v>17276</v>
      </c>
      <c r="L821" s="28" t="s">
        <v>82</v>
      </c>
      <c r="M821" s="28" t="s">
        <v>21</v>
      </c>
      <c r="O821" s="92">
        <v>34347</v>
      </c>
      <c r="P821" s="28" t="s">
        <v>21</v>
      </c>
      <c r="Q821" s="26" t="b">
        <v>0</v>
      </c>
      <c r="R821" s="22">
        <f t="shared" si="12"/>
        <v>7</v>
      </c>
    </row>
    <row r="822" spans="1:18">
      <c r="A822" s="26">
        <v>2052</v>
      </c>
      <c r="B822" s="27">
        <v>34344</v>
      </c>
      <c r="C822" s="28" t="s">
        <v>2595</v>
      </c>
      <c r="D822" s="27">
        <v>34344</v>
      </c>
      <c r="E822" s="28" t="s">
        <v>2596</v>
      </c>
      <c r="F822" s="28" t="s">
        <v>2597</v>
      </c>
      <c r="G822" s="28" t="s">
        <v>20</v>
      </c>
      <c r="H822" s="28" t="s">
        <v>21</v>
      </c>
      <c r="I822" s="28" t="s">
        <v>21</v>
      </c>
      <c r="J822" s="28" t="s">
        <v>2598</v>
      </c>
      <c r="K822" s="28" t="s">
        <v>2599</v>
      </c>
      <c r="L822" s="28" t="s">
        <v>821</v>
      </c>
      <c r="M822" s="28" t="s">
        <v>88</v>
      </c>
      <c r="O822" s="92">
        <v>36350</v>
      </c>
      <c r="P822" s="28" t="s">
        <v>31</v>
      </c>
      <c r="Q822" s="26" t="b">
        <v>0</v>
      </c>
      <c r="R822" s="22">
        <f t="shared" si="12"/>
        <v>2006</v>
      </c>
    </row>
    <row r="823" spans="1:18">
      <c r="A823" s="26">
        <v>2053</v>
      </c>
      <c r="B823" s="27">
        <v>34344</v>
      </c>
      <c r="C823" s="28" t="s">
        <v>2600</v>
      </c>
      <c r="D823" s="27">
        <v>34344</v>
      </c>
      <c r="E823" s="28" t="s">
        <v>2601</v>
      </c>
      <c r="F823" s="28" t="s">
        <v>259</v>
      </c>
      <c r="G823" s="28" t="s">
        <v>20</v>
      </c>
      <c r="H823" s="28" t="s">
        <v>21</v>
      </c>
      <c r="I823" s="28" t="s">
        <v>21</v>
      </c>
      <c r="J823" s="28" t="s">
        <v>2602</v>
      </c>
      <c r="K823" s="28" t="s">
        <v>2415</v>
      </c>
      <c r="L823" s="28" t="s">
        <v>24</v>
      </c>
      <c r="M823" s="28" t="s">
        <v>21</v>
      </c>
      <c r="N823" s="18"/>
      <c r="O823" s="92">
        <v>34450</v>
      </c>
      <c r="P823" s="28" t="s">
        <v>31</v>
      </c>
      <c r="Q823" s="26" t="b">
        <v>0</v>
      </c>
      <c r="R823" s="22">
        <f t="shared" si="12"/>
        <v>107</v>
      </c>
    </row>
    <row r="824" spans="1:18">
      <c r="A824" s="26">
        <v>2057</v>
      </c>
      <c r="B824" s="27">
        <v>34345</v>
      </c>
      <c r="C824" s="28" t="s">
        <v>2606</v>
      </c>
      <c r="D824" s="27">
        <v>34345</v>
      </c>
      <c r="E824" s="28" t="s">
        <v>38</v>
      </c>
      <c r="F824" s="28" t="s">
        <v>39</v>
      </c>
      <c r="G824" s="28" t="s">
        <v>20</v>
      </c>
      <c r="H824" s="28" t="s">
        <v>21</v>
      </c>
      <c r="I824" s="28" t="s">
        <v>21</v>
      </c>
      <c r="J824" s="28" t="s">
        <v>2607</v>
      </c>
      <c r="K824" s="28" t="s">
        <v>2608</v>
      </c>
      <c r="L824" s="28" t="s">
        <v>24</v>
      </c>
      <c r="M824" s="28" t="s">
        <v>21</v>
      </c>
      <c r="O824" s="92">
        <v>34347</v>
      </c>
      <c r="P824" s="28" t="s">
        <v>21</v>
      </c>
      <c r="Q824" s="26" t="b">
        <v>0</v>
      </c>
      <c r="R824" s="22">
        <f t="shared" si="12"/>
        <v>2</v>
      </c>
    </row>
    <row r="825" spans="1:18">
      <c r="A825" s="26">
        <v>2054</v>
      </c>
      <c r="B825" s="27">
        <v>34346</v>
      </c>
      <c r="C825" s="28" t="s">
        <v>2603</v>
      </c>
      <c r="D825" s="27">
        <v>34345</v>
      </c>
      <c r="E825" s="28" t="s">
        <v>2604</v>
      </c>
      <c r="F825" s="28" t="s">
        <v>367</v>
      </c>
      <c r="G825" s="28" t="s">
        <v>20</v>
      </c>
      <c r="H825" s="28" t="s">
        <v>71</v>
      </c>
      <c r="I825" s="28" t="s">
        <v>72</v>
      </c>
      <c r="J825" s="28" t="s">
        <v>2605</v>
      </c>
      <c r="K825" s="28" t="s">
        <v>2363</v>
      </c>
      <c r="L825" s="28" t="s">
        <v>24</v>
      </c>
      <c r="M825" s="28" t="s">
        <v>21</v>
      </c>
      <c r="O825" s="92">
        <v>34493</v>
      </c>
      <c r="P825" s="28" t="s">
        <v>21</v>
      </c>
      <c r="Q825" s="26" t="b">
        <v>0</v>
      </c>
      <c r="R825" s="22">
        <f t="shared" si="12"/>
        <v>148</v>
      </c>
    </row>
    <row r="826" spans="1:18">
      <c r="A826" s="26">
        <v>2058</v>
      </c>
      <c r="B826" s="27">
        <v>34346</v>
      </c>
      <c r="C826" s="28" t="s">
        <v>2609</v>
      </c>
      <c r="D826" s="27">
        <v>33981</v>
      </c>
      <c r="E826" s="28" t="s">
        <v>38</v>
      </c>
      <c r="F826" s="28" t="s">
        <v>39</v>
      </c>
      <c r="G826" s="28" t="s">
        <v>20</v>
      </c>
      <c r="H826" s="28" t="s">
        <v>21</v>
      </c>
      <c r="I826" s="28" t="s">
        <v>21</v>
      </c>
      <c r="J826" s="28" t="s">
        <v>2607</v>
      </c>
      <c r="K826" s="28" t="s">
        <v>2608</v>
      </c>
      <c r="L826" s="28" t="s">
        <v>24</v>
      </c>
      <c r="M826" s="28" t="s">
        <v>21</v>
      </c>
      <c r="O826" s="92">
        <v>34347</v>
      </c>
      <c r="P826" s="28" t="s">
        <v>21</v>
      </c>
      <c r="Q826" s="26" t="b">
        <v>0</v>
      </c>
      <c r="R826" s="22">
        <f t="shared" si="12"/>
        <v>1</v>
      </c>
    </row>
    <row r="827" spans="1:18">
      <c r="A827" s="26">
        <v>2059</v>
      </c>
      <c r="B827" s="27">
        <v>34346</v>
      </c>
      <c r="C827" s="28" t="s">
        <v>2610</v>
      </c>
      <c r="D827" s="27">
        <v>34346</v>
      </c>
      <c r="E827" s="28" t="s">
        <v>2611</v>
      </c>
      <c r="F827" s="28" t="s">
        <v>533</v>
      </c>
      <c r="G827" s="28" t="s">
        <v>20</v>
      </c>
      <c r="H827" s="28" t="s">
        <v>21</v>
      </c>
      <c r="I827" s="28" t="s">
        <v>21</v>
      </c>
      <c r="J827" s="28" t="s">
        <v>2612</v>
      </c>
      <c r="K827" s="28" t="s">
        <v>2613</v>
      </c>
      <c r="L827" s="28" t="s">
        <v>24</v>
      </c>
      <c r="M827" s="28" t="s">
        <v>21</v>
      </c>
      <c r="O827" s="92">
        <v>34505</v>
      </c>
      <c r="P827" s="28" t="s">
        <v>21</v>
      </c>
      <c r="Q827" s="26" t="b">
        <v>0</v>
      </c>
      <c r="R827" s="22">
        <f t="shared" si="12"/>
        <v>160</v>
      </c>
    </row>
    <row r="828" spans="1:18" ht="36">
      <c r="A828" s="26">
        <v>2061</v>
      </c>
      <c r="B828" s="27">
        <v>34347</v>
      </c>
      <c r="C828" s="28" t="s">
        <v>2614</v>
      </c>
      <c r="D828" s="27">
        <v>34347</v>
      </c>
      <c r="E828" s="28" t="s">
        <v>38</v>
      </c>
      <c r="F828" s="28" t="s">
        <v>2565</v>
      </c>
      <c r="G828" s="28" t="s">
        <v>20</v>
      </c>
      <c r="H828" s="28" t="s">
        <v>189</v>
      </c>
      <c r="I828" s="28" t="s">
        <v>189</v>
      </c>
      <c r="J828" s="28" t="s">
        <v>2615</v>
      </c>
      <c r="K828" s="28" t="s">
        <v>2616</v>
      </c>
      <c r="L828" s="28" t="s">
        <v>314</v>
      </c>
      <c r="M828" s="28" t="s">
        <v>2617</v>
      </c>
      <c r="O828" s="92">
        <v>37544</v>
      </c>
      <c r="P828" s="28" t="s">
        <v>21</v>
      </c>
      <c r="Q828" s="26" t="b">
        <v>0</v>
      </c>
      <c r="R828" s="22">
        <f t="shared" si="12"/>
        <v>3195</v>
      </c>
    </row>
    <row r="829" spans="1:18">
      <c r="A829" s="26">
        <v>2065</v>
      </c>
      <c r="B829" s="27">
        <v>34353</v>
      </c>
      <c r="C829" s="28" t="s">
        <v>2618</v>
      </c>
      <c r="D829" s="27">
        <v>34353</v>
      </c>
      <c r="E829" s="28" t="s">
        <v>283</v>
      </c>
      <c r="F829" s="28" t="s">
        <v>94</v>
      </c>
      <c r="G829" s="28" t="s">
        <v>20</v>
      </c>
      <c r="H829" s="28" t="s">
        <v>21</v>
      </c>
      <c r="I829" s="28" t="s">
        <v>21</v>
      </c>
      <c r="J829" s="28" t="s">
        <v>2619</v>
      </c>
      <c r="K829" s="28" t="s">
        <v>2620</v>
      </c>
      <c r="L829" s="28" t="s">
        <v>24</v>
      </c>
      <c r="M829" s="28" t="s">
        <v>21</v>
      </c>
      <c r="N829" s="29">
        <v>34354</v>
      </c>
      <c r="O829" s="92">
        <v>34354</v>
      </c>
      <c r="P829" s="28" t="s">
        <v>21</v>
      </c>
      <c r="Q829" s="26" t="b">
        <v>0</v>
      </c>
      <c r="R829" s="22">
        <f t="shared" si="12"/>
        <v>1</v>
      </c>
    </row>
    <row r="830" spans="1:18">
      <c r="A830" s="26">
        <v>2067</v>
      </c>
      <c r="B830" s="27">
        <v>34353</v>
      </c>
      <c r="C830" s="28" t="s">
        <v>2621</v>
      </c>
      <c r="D830" s="27">
        <v>34347</v>
      </c>
      <c r="E830" s="28" t="s">
        <v>2622</v>
      </c>
      <c r="F830" s="28" t="s">
        <v>70</v>
      </c>
      <c r="G830" s="28" t="s">
        <v>20</v>
      </c>
      <c r="H830" s="28" t="s">
        <v>71</v>
      </c>
      <c r="I830" s="28" t="s">
        <v>72</v>
      </c>
      <c r="J830" s="28" t="s">
        <v>2623</v>
      </c>
      <c r="K830" s="28" t="s">
        <v>2624</v>
      </c>
      <c r="L830" s="28" t="s">
        <v>30</v>
      </c>
      <c r="M830" s="28" t="s">
        <v>21</v>
      </c>
      <c r="O830" s="92">
        <v>35244</v>
      </c>
      <c r="P830" s="28" t="s">
        <v>21</v>
      </c>
      <c r="Q830" s="26" t="b">
        <v>0</v>
      </c>
      <c r="R830" s="22">
        <f t="shared" si="12"/>
        <v>891</v>
      </c>
    </row>
    <row r="831" spans="1:18">
      <c r="A831" s="26">
        <v>2072</v>
      </c>
      <c r="B831" s="27">
        <v>34355</v>
      </c>
      <c r="C831" s="28" t="s">
        <v>2625</v>
      </c>
      <c r="D831" s="27">
        <v>34353</v>
      </c>
      <c r="E831" s="28" t="s">
        <v>2626</v>
      </c>
      <c r="F831" s="28" t="s">
        <v>19</v>
      </c>
      <c r="G831" s="28" t="s">
        <v>20</v>
      </c>
      <c r="H831" s="28" t="s">
        <v>21</v>
      </c>
      <c r="I831" s="28" t="s">
        <v>21</v>
      </c>
      <c r="J831" s="28" t="s">
        <v>2627</v>
      </c>
      <c r="K831" s="28" t="s">
        <v>2628</v>
      </c>
      <c r="L831" s="28" t="s">
        <v>88</v>
      </c>
      <c r="M831" s="28" t="s">
        <v>21</v>
      </c>
      <c r="N831" s="18"/>
      <c r="O831" s="92">
        <v>35867</v>
      </c>
      <c r="P831" s="28" t="s">
        <v>31</v>
      </c>
      <c r="Q831" s="26" t="b">
        <v>0</v>
      </c>
      <c r="R831" s="22">
        <f t="shared" si="12"/>
        <v>1512</v>
      </c>
    </row>
    <row r="832" spans="1:18">
      <c r="A832" s="26">
        <v>2073</v>
      </c>
      <c r="B832" s="27">
        <v>34355</v>
      </c>
      <c r="C832" s="28" t="s">
        <v>2629</v>
      </c>
      <c r="D832" s="27">
        <v>34354</v>
      </c>
      <c r="E832" s="28" t="s">
        <v>38</v>
      </c>
      <c r="F832" s="28" t="s">
        <v>39</v>
      </c>
      <c r="G832" s="28" t="s">
        <v>20</v>
      </c>
      <c r="H832" s="28" t="s">
        <v>21</v>
      </c>
      <c r="I832" s="28" t="s">
        <v>21</v>
      </c>
      <c r="J832" s="28" t="s">
        <v>39</v>
      </c>
      <c r="K832" s="28" t="s">
        <v>2630</v>
      </c>
      <c r="L832" s="28" t="s">
        <v>24</v>
      </c>
      <c r="M832" s="28" t="s">
        <v>21</v>
      </c>
      <c r="N832" s="18"/>
      <c r="O832" s="92">
        <v>35751</v>
      </c>
      <c r="P832" s="28" t="s">
        <v>31</v>
      </c>
      <c r="Q832" s="26" t="b">
        <v>0</v>
      </c>
      <c r="R832" s="22">
        <f t="shared" si="12"/>
        <v>1395</v>
      </c>
    </row>
    <row r="833" spans="1:18">
      <c r="A833" s="26">
        <v>2084</v>
      </c>
      <c r="B833" s="27">
        <v>34355</v>
      </c>
      <c r="C833" s="28" t="s">
        <v>2631</v>
      </c>
      <c r="D833" s="27">
        <v>34355</v>
      </c>
      <c r="E833" s="28" t="s">
        <v>299</v>
      </c>
      <c r="F833" s="28" t="s">
        <v>94</v>
      </c>
      <c r="G833" s="28" t="s">
        <v>20</v>
      </c>
      <c r="H833" s="28" t="s">
        <v>21</v>
      </c>
      <c r="I833" s="28" t="s">
        <v>21</v>
      </c>
      <c r="J833" s="28" t="s">
        <v>2632</v>
      </c>
      <c r="K833" s="28" t="s">
        <v>2633</v>
      </c>
      <c r="L833" s="28" t="s">
        <v>2634</v>
      </c>
      <c r="M833" s="28" t="s">
        <v>21</v>
      </c>
      <c r="N833" s="27">
        <v>34365</v>
      </c>
      <c r="O833" s="92">
        <v>34367</v>
      </c>
      <c r="P833" s="28" t="s">
        <v>21</v>
      </c>
      <c r="Q833" s="26" t="b">
        <v>0</v>
      </c>
      <c r="R833" s="22">
        <f t="shared" si="12"/>
        <v>11</v>
      </c>
    </row>
    <row r="834" spans="1:18">
      <c r="A834" s="26">
        <v>2145</v>
      </c>
      <c r="B834" s="27">
        <v>34367</v>
      </c>
      <c r="C834" s="28" t="s">
        <v>2635</v>
      </c>
      <c r="D834" s="27">
        <v>34367</v>
      </c>
      <c r="E834" s="28" t="s">
        <v>2636</v>
      </c>
      <c r="F834" s="28" t="s">
        <v>984</v>
      </c>
      <c r="G834" s="28" t="s">
        <v>20</v>
      </c>
      <c r="H834" s="28" t="s">
        <v>21</v>
      </c>
      <c r="I834" s="28" t="s">
        <v>21</v>
      </c>
      <c r="J834" s="28" t="s">
        <v>2637</v>
      </c>
      <c r="K834" s="28" t="s">
        <v>2638</v>
      </c>
      <c r="L834" s="28" t="s">
        <v>82</v>
      </c>
      <c r="M834" s="28" t="s">
        <v>21</v>
      </c>
      <c r="O834" s="92">
        <v>34407</v>
      </c>
      <c r="P834" s="28" t="s">
        <v>21</v>
      </c>
      <c r="Q834" s="26" t="b">
        <v>0</v>
      </c>
      <c r="R834" s="22">
        <f t="shared" ref="R834:R897" si="13">IF(O834=" ", " ", INT(YEARFRAC(O834, B834)*365))</f>
        <v>42</v>
      </c>
    </row>
    <row r="835" spans="1:18" ht="24">
      <c r="A835" s="26">
        <v>2155</v>
      </c>
      <c r="B835" s="27">
        <v>34367</v>
      </c>
      <c r="C835" s="28" t="s">
        <v>2639</v>
      </c>
      <c r="D835" s="27">
        <v>34347</v>
      </c>
      <c r="E835" s="28" t="s">
        <v>2640</v>
      </c>
      <c r="F835" s="28" t="s">
        <v>104</v>
      </c>
      <c r="G835" s="28" t="s">
        <v>20</v>
      </c>
      <c r="H835" s="28" t="s">
        <v>21</v>
      </c>
      <c r="I835" s="28" t="s">
        <v>21</v>
      </c>
      <c r="J835" s="28" t="s">
        <v>2641</v>
      </c>
      <c r="K835" s="28" t="s">
        <v>2642</v>
      </c>
      <c r="L835" s="28" t="s">
        <v>24</v>
      </c>
      <c r="M835" s="28" t="s">
        <v>21</v>
      </c>
      <c r="N835" s="18"/>
      <c r="O835" s="92">
        <v>34698</v>
      </c>
      <c r="P835" s="28" t="s">
        <v>21</v>
      </c>
      <c r="Q835" s="26" t="b">
        <v>0</v>
      </c>
      <c r="R835" s="22">
        <f t="shared" si="13"/>
        <v>332</v>
      </c>
    </row>
    <row r="836" spans="1:18">
      <c r="A836" s="26">
        <v>2156</v>
      </c>
      <c r="B836" s="27">
        <v>34367</v>
      </c>
      <c r="C836" s="28" t="s">
        <v>2643</v>
      </c>
      <c r="D836" s="27">
        <v>34365</v>
      </c>
      <c r="E836" s="28" t="s">
        <v>2644</v>
      </c>
      <c r="F836" s="28" t="s">
        <v>741</v>
      </c>
      <c r="G836" s="28" t="s">
        <v>20</v>
      </c>
      <c r="H836" s="28" t="s">
        <v>21</v>
      </c>
      <c r="I836" s="28" t="s">
        <v>21</v>
      </c>
      <c r="J836" s="28" t="s">
        <v>2645</v>
      </c>
      <c r="K836" s="28" t="s">
        <v>2646</v>
      </c>
      <c r="L836" s="28" t="s">
        <v>66</v>
      </c>
      <c r="M836" s="28" t="s">
        <v>21</v>
      </c>
      <c r="N836" s="18"/>
      <c r="O836" s="92">
        <v>36459</v>
      </c>
      <c r="P836" s="28" t="s">
        <v>31</v>
      </c>
      <c r="Q836" s="26" t="b">
        <v>0</v>
      </c>
      <c r="R836" s="22">
        <f t="shared" si="13"/>
        <v>2092</v>
      </c>
    </row>
    <row r="837" spans="1:18">
      <c r="A837" s="26">
        <v>2157</v>
      </c>
      <c r="B837" s="27">
        <v>34367</v>
      </c>
      <c r="C837" s="28" t="s">
        <v>2647</v>
      </c>
      <c r="D837" s="27">
        <v>34366</v>
      </c>
      <c r="E837" s="28" t="s">
        <v>2648</v>
      </c>
      <c r="F837" s="28" t="s">
        <v>741</v>
      </c>
      <c r="G837" s="28" t="s">
        <v>20</v>
      </c>
      <c r="H837" s="28" t="s">
        <v>21</v>
      </c>
      <c r="I837" s="28" t="s">
        <v>21</v>
      </c>
      <c r="J837" s="28" t="s">
        <v>2649</v>
      </c>
      <c r="K837" s="28" t="s">
        <v>2650</v>
      </c>
      <c r="L837" s="28" t="s">
        <v>821</v>
      </c>
      <c r="M837" s="28" t="s">
        <v>88</v>
      </c>
      <c r="O837" s="92">
        <v>36459</v>
      </c>
      <c r="P837" s="28" t="s">
        <v>21</v>
      </c>
      <c r="Q837" s="26" t="b">
        <v>0</v>
      </c>
      <c r="R837" s="22">
        <f t="shared" si="13"/>
        <v>2092</v>
      </c>
    </row>
    <row r="838" spans="1:18">
      <c r="A838" s="26">
        <v>2228</v>
      </c>
      <c r="B838" s="27">
        <v>34373</v>
      </c>
      <c r="C838" s="28" t="s">
        <v>2654</v>
      </c>
      <c r="D838" s="27">
        <v>34369</v>
      </c>
      <c r="E838" s="28" t="s">
        <v>2655</v>
      </c>
      <c r="F838" s="28" t="s">
        <v>2521</v>
      </c>
      <c r="G838" s="28" t="s">
        <v>20</v>
      </c>
      <c r="H838" s="28" t="s">
        <v>566</v>
      </c>
      <c r="I838" s="28" t="s">
        <v>566</v>
      </c>
      <c r="J838" s="28" t="s">
        <v>2656</v>
      </c>
      <c r="K838" s="28" t="s">
        <v>2657</v>
      </c>
      <c r="L838" s="28" t="s">
        <v>82</v>
      </c>
      <c r="M838" s="28" t="s">
        <v>21</v>
      </c>
      <c r="O838" s="92">
        <v>34827</v>
      </c>
      <c r="P838" s="28" t="s">
        <v>21</v>
      </c>
      <c r="Q838" s="26" t="b">
        <v>0</v>
      </c>
      <c r="R838" s="22">
        <f t="shared" si="13"/>
        <v>456</v>
      </c>
    </row>
    <row r="839" spans="1:18">
      <c r="A839" s="26">
        <v>2223</v>
      </c>
      <c r="B839" s="27">
        <v>34374</v>
      </c>
      <c r="C839" s="28" t="s">
        <v>2651</v>
      </c>
      <c r="D839" s="27">
        <v>34373</v>
      </c>
      <c r="E839" s="28" t="s">
        <v>1443</v>
      </c>
      <c r="F839" s="28" t="s">
        <v>27</v>
      </c>
      <c r="G839" s="28" t="s">
        <v>20</v>
      </c>
      <c r="H839" s="28" t="s">
        <v>21</v>
      </c>
      <c r="I839" s="28" t="s">
        <v>21</v>
      </c>
      <c r="J839" s="28" t="s">
        <v>2652</v>
      </c>
      <c r="K839" s="28" t="s">
        <v>2653</v>
      </c>
      <c r="L839" s="28" t="s">
        <v>1152</v>
      </c>
      <c r="M839" s="28" t="s">
        <v>21</v>
      </c>
      <c r="N839" s="29">
        <v>34393</v>
      </c>
      <c r="O839" s="92">
        <v>34428</v>
      </c>
      <c r="P839" s="28" t="s">
        <v>21</v>
      </c>
      <c r="Q839" s="26" t="b">
        <v>0</v>
      </c>
      <c r="R839" s="22">
        <f t="shared" si="13"/>
        <v>55</v>
      </c>
    </row>
    <row r="840" spans="1:18">
      <c r="A840" s="26">
        <v>2230</v>
      </c>
      <c r="B840" s="27">
        <v>34379</v>
      </c>
      <c r="C840" s="28" t="s">
        <v>2662</v>
      </c>
      <c r="D840" s="27">
        <v>34352</v>
      </c>
      <c r="E840" s="28" t="s">
        <v>2663</v>
      </c>
      <c r="F840" s="28" t="s">
        <v>149</v>
      </c>
      <c r="G840" s="28" t="s">
        <v>20</v>
      </c>
      <c r="H840" s="28" t="s">
        <v>21</v>
      </c>
      <c r="I840" s="28" t="s">
        <v>21</v>
      </c>
      <c r="J840" s="28" t="s">
        <v>2664</v>
      </c>
      <c r="K840" s="28" t="s">
        <v>2665</v>
      </c>
      <c r="L840" s="28" t="s">
        <v>24</v>
      </c>
      <c r="M840" s="28" t="s">
        <v>21</v>
      </c>
      <c r="O840" s="92">
        <v>34394</v>
      </c>
      <c r="P840" s="28" t="s">
        <v>31</v>
      </c>
      <c r="Q840" s="26" t="b">
        <v>0</v>
      </c>
      <c r="R840" s="22">
        <f t="shared" si="13"/>
        <v>17</v>
      </c>
    </row>
    <row r="841" spans="1:18" ht="24">
      <c r="A841" s="26">
        <v>2229</v>
      </c>
      <c r="B841" s="27">
        <v>34380</v>
      </c>
      <c r="C841" s="28" t="s">
        <v>2658</v>
      </c>
      <c r="D841" s="27">
        <v>34379</v>
      </c>
      <c r="E841" s="28" t="s">
        <v>2659</v>
      </c>
      <c r="F841" s="28" t="s">
        <v>2597</v>
      </c>
      <c r="G841" s="28" t="s">
        <v>20</v>
      </c>
      <c r="H841" s="28" t="s">
        <v>21</v>
      </c>
      <c r="I841" s="28" t="s">
        <v>21</v>
      </c>
      <c r="J841" s="28" t="s">
        <v>2660</v>
      </c>
      <c r="K841" s="28" t="s">
        <v>2661</v>
      </c>
      <c r="L841" s="28" t="s">
        <v>82</v>
      </c>
      <c r="M841" s="28" t="s">
        <v>21</v>
      </c>
      <c r="N841" s="29">
        <v>34408</v>
      </c>
      <c r="O841" s="92">
        <v>34414</v>
      </c>
      <c r="P841" s="28" t="s">
        <v>21</v>
      </c>
      <c r="Q841" s="26" t="b">
        <v>0</v>
      </c>
      <c r="R841" s="22">
        <f t="shared" si="13"/>
        <v>36</v>
      </c>
    </row>
    <row r="842" spans="1:18">
      <c r="A842" s="26">
        <v>2236</v>
      </c>
      <c r="B842" s="27">
        <v>34382</v>
      </c>
      <c r="C842" s="28" t="s">
        <v>2666</v>
      </c>
      <c r="D842" s="27">
        <v>34379</v>
      </c>
      <c r="E842" s="28" t="s">
        <v>2667</v>
      </c>
      <c r="F842" s="28" t="s">
        <v>124</v>
      </c>
      <c r="G842" s="28" t="s">
        <v>20</v>
      </c>
      <c r="H842" s="28" t="s">
        <v>21</v>
      </c>
      <c r="I842" s="28" t="s">
        <v>21</v>
      </c>
      <c r="J842" s="28" t="s">
        <v>2668</v>
      </c>
      <c r="K842" s="28" t="s">
        <v>2547</v>
      </c>
      <c r="L842" s="28" t="s">
        <v>82</v>
      </c>
      <c r="M842" s="28" t="s">
        <v>21</v>
      </c>
      <c r="O842" s="92">
        <v>34761</v>
      </c>
      <c r="P842" s="28" t="s">
        <v>31</v>
      </c>
      <c r="Q842" s="26" t="b">
        <v>0</v>
      </c>
      <c r="R842" s="22">
        <f t="shared" si="13"/>
        <v>381</v>
      </c>
    </row>
    <row r="843" spans="1:18">
      <c r="A843" s="26">
        <v>2238</v>
      </c>
      <c r="B843" s="27">
        <v>34387</v>
      </c>
      <c r="C843" s="28" t="s">
        <v>2669</v>
      </c>
      <c r="D843" s="27">
        <v>34383</v>
      </c>
      <c r="E843" s="28" t="s">
        <v>2670</v>
      </c>
      <c r="F843" s="28" t="s">
        <v>56</v>
      </c>
      <c r="G843" s="28" t="s">
        <v>20</v>
      </c>
      <c r="H843" s="28" t="s">
        <v>21</v>
      </c>
      <c r="I843" s="28" t="s">
        <v>21</v>
      </c>
      <c r="J843" s="28" t="s">
        <v>2671</v>
      </c>
      <c r="K843" s="28" t="s">
        <v>2672</v>
      </c>
      <c r="L843" s="28" t="s">
        <v>82</v>
      </c>
      <c r="M843" s="28" t="s">
        <v>21</v>
      </c>
      <c r="N843" s="29">
        <v>34404</v>
      </c>
      <c r="O843" s="92">
        <v>34404</v>
      </c>
      <c r="P843" s="28" t="s">
        <v>21</v>
      </c>
      <c r="Q843" s="26" t="b">
        <v>0</v>
      </c>
      <c r="R843" s="22">
        <f t="shared" si="13"/>
        <v>19</v>
      </c>
    </row>
    <row r="844" spans="1:18">
      <c r="A844" s="26">
        <v>2243</v>
      </c>
      <c r="B844" s="27">
        <v>34387</v>
      </c>
      <c r="C844" s="28" t="s">
        <v>2673</v>
      </c>
      <c r="D844" s="27">
        <v>34380</v>
      </c>
      <c r="E844" s="28" t="s">
        <v>2674</v>
      </c>
      <c r="F844" s="28" t="s">
        <v>104</v>
      </c>
      <c r="G844" s="28" t="s">
        <v>20</v>
      </c>
      <c r="H844" s="28" t="s">
        <v>21</v>
      </c>
      <c r="I844" s="28" t="s">
        <v>21</v>
      </c>
      <c r="J844" s="28" t="s">
        <v>2675</v>
      </c>
      <c r="K844" s="28" t="s">
        <v>2676</v>
      </c>
      <c r="L844" s="28" t="s">
        <v>82</v>
      </c>
      <c r="M844" s="28" t="s">
        <v>21</v>
      </c>
      <c r="N844" s="29">
        <v>34403</v>
      </c>
      <c r="O844" s="92">
        <v>34401</v>
      </c>
      <c r="P844" s="28" t="s">
        <v>31</v>
      </c>
      <c r="Q844" s="26" t="b">
        <v>0</v>
      </c>
      <c r="R844" s="22">
        <f t="shared" si="13"/>
        <v>16</v>
      </c>
    </row>
    <row r="845" spans="1:18">
      <c r="A845" s="26">
        <v>2257</v>
      </c>
      <c r="B845" s="27">
        <v>34390</v>
      </c>
      <c r="C845" s="28" t="s">
        <v>2677</v>
      </c>
      <c r="D845" s="27">
        <v>34387</v>
      </c>
      <c r="E845" s="28" t="s">
        <v>2678</v>
      </c>
      <c r="F845" s="28" t="s">
        <v>56</v>
      </c>
      <c r="G845" s="28" t="s">
        <v>20</v>
      </c>
      <c r="H845" s="28" t="s">
        <v>21</v>
      </c>
      <c r="I845" s="28" t="s">
        <v>21</v>
      </c>
      <c r="J845" s="28" t="s">
        <v>2679</v>
      </c>
      <c r="K845" s="28" t="s">
        <v>2680</v>
      </c>
      <c r="L845" s="28" t="s">
        <v>82</v>
      </c>
      <c r="M845" s="28" t="s">
        <v>21</v>
      </c>
      <c r="O845" s="92">
        <v>34428</v>
      </c>
      <c r="P845" s="28" t="s">
        <v>21</v>
      </c>
      <c r="Q845" s="26" t="b">
        <v>0</v>
      </c>
      <c r="R845" s="22">
        <f t="shared" si="13"/>
        <v>39</v>
      </c>
    </row>
    <row r="846" spans="1:18">
      <c r="A846" s="26">
        <v>2271</v>
      </c>
      <c r="B846" s="27">
        <v>34394</v>
      </c>
      <c r="C846" s="28" t="s">
        <v>2685</v>
      </c>
      <c r="D846" s="27">
        <v>34394</v>
      </c>
      <c r="E846" s="28" t="s">
        <v>38</v>
      </c>
      <c r="F846" s="28" t="s">
        <v>70</v>
      </c>
      <c r="G846" s="28" t="s">
        <v>20</v>
      </c>
      <c r="H846" s="28" t="s">
        <v>71</v>
      </c>
      <c r="I846" s="28" t="s">
        <v>72</v>
      </c>
      <c r="J846" s="28" t="s">
        <v>2686</v>
      </c>
      <c r="K846" s="28" t="s">
        <v>2687</v>
      </c>
      <c r="L846" s="28" t="s">
        <v>1152</v>
      </c>
      <c r="M846" s="28" t="s">
        <v>21</v>
      </c>
      <c r="O846" s="92">
        <v>34402</v>
      </c>
      <c r="P846" s="28" t="s">
        <v>21</v>
      </c>
      <c r="Q846" s="26" t="b">
        <v>0</v>
      </c>
      <c r="R846" s="22">
        <f t="shared" si="13"/>
        <v>8</v>
      </c>
    </row>
    <row r="847" spans="1:18">
      <c r="A847" s="26">
        <v>2272</v>
      </c>
      <c r="B847" s="27">
        <v>34394</v>
      </c>
      <c r="C847" s="28" t="s">
        <v>2688</v>
      </c>
      <c r="D847" s="27">
        <v>34394</v>
      </c>
      <c r="E847" s="28" t="s">
        <v>2689</v>
      </c>
      <c r="F847" s="28" t="s">
        <v>43</v>
      </c>
      <c r="G847" s="28" t="s">
        <v>20</v>
      </c>
      <c r="H847" s="28" t="s">
        <v>21</v>
      </c>
      <c r="I847" s="28" t="s">
        <v>21</v>
      </c>
      <c r="J847" s="28" t="s">
        <v>2690</v>
      </c>
      <c r="K847" s="28" t="s">
        <v>2691</v>
      </c>
      <c r="L847" s="28" t="s">
        <v>1152</v>
      </c>
      <c r="M847" s="28" t="s">
        <v>21</v>
      </c>
      <c r="O847" s="92">
        <v>34829</v>
      </c>
      <c r="P847" s="28" t="s">
        <v>31</v>
      </c>
      <c r="Q847" s="26" t="b">
        <v>0</v>
      </c>
      <c r="R847" s="22">
        <f t="shared" si="13"/>
        <v>434</v>
      </c>
    </row>
    <row r="848" spans="1:18">
      <c r="A848" s="26">
        <v>2277</v>
      </c>
      <c r="B848" s="27">
        <v>34395</v>
      </c>
      <c r="C848" s="28" t="s">
        <v>2692</v>
      </c>
      <c r="D848" s="27">
        <v>34390</v>
      </c>
      <c r="E848" s="28" t="s">
        <v>2693</v>
      </c>
      <c r="F848" s="28" t="s">
        <v>56</v>
      </c>
      <c r="G848" s="28" t="s">
        <v>20</v>
      </c>
      <c r="H848" s="28" t="s">
        <v>21</v>
      </c>
      <c r="I848" s="28" t="s">
        <v>21</v>
      </c>
      <c r="J848" s="28" t="s">
        <v>2694</v>
      </c>
      <c r="K848" s="28" t="s">
        <v>2695</v>
      </c>
      <c r="L848" s="28" t="s">
        <v>24</v>
      </c>
      <c r="M848" s="28" t="s">
        <v>21</v>
      </c>
      <c r="O848" s="92">
        <v>34740</v>
      </c>
      <c r="P848" s="28" t="s">
        <v>21</v>
      </c>
      <c r="Q848" s="26" t="b">
        <v>0</v>
      </c>
      <c r="R848" s="22">
        <f t="shared" si="13"/>
        <v>342</v>
      </c>
    </row>
    <row r="849" spans="1:18">
      <c r="A849" s="26">
        <v>2280</v>
      </c>
      <c r="B849" s="27">
        <v>34395</v>
      </c>
      <c r="C849" s="28" t="s">
        <v>2696</v>
      </c>
      <c r="D849" s="27">
        <v>34395</v>
      </c>
      <c r="E849" s="28" t="s">
        <v>2697</v>
      </c>
      <c r="F849" s="28" t="s">
        <v>104</v>
      </c>
      <c r="G849" s="28" t="s">
        <v>20</v>
      </c>
      <c r="H849" s="28" t="s">
        <v>21</v>
      </c>
      <c r="I849" s="28" t="s">
        <v>21</v>
      </c>
      <c r="J849" s="28" t="s">
        <v>2698</v>
      </c>
      <c r="K849" s="28" t="s">
        <v>2699</v>
      </c>
      <c r="L849" s="28" t="s">
        <v>30</v>
      </c>
      <c r="M849" s="28" t="s">
        <v>21</v>
      </c>
      <c r="N849" s="27">
        <v>34402</v>
      </c>
      <c r="O849" s="92">
        <v>35594</v>
      </c>
      <c r="P849" s="28" t="s">
        <v>21</v>
      </c>
      <c r="Q849" s="26" t="b">
        <v>0</v>
      </c>
      <c r="R849" s="22">
        <f t="shared" si="13"/>
        <v>1197</v>
      </c>
    </row>
    <row r="850" spans="1:18">
      <c r="A850" s="26">
        <v>2270</v>
      </c>
      <c r="B850" s="27">
        <v>34402</v>
      </c>
      <c r="C850" s="28" t="s">
        <v>2681</v>
      </c>
      <c r="D850" s="27">
        <v>34396</v>
      </c>
      <c r="E850" s="28" t="s">
        <v>2682</v>
      </c>
      <c r="F850" s="28" t="s">
        <v>70</v>
      </c>
      <c r="G850" s="28" t="s">
        <v>20</v>
      </c>
      <c r="H850" s="28" t="s">
        <v>71</v>
      </c>
      <c r="I850" s="28" t="s">
        <v>72</v>
      </c>
      <c r="J850" s="28" t="s">
        <v>2683</v>
      </c>
      <c r="K850" s="28" t="s">
        <v>2684</v>
      </c>
      <c r="L850" s="28" t="s">
        <v>66</v>
      </c>
      <c r="M850" s="28" t="s">
        <v>21</v>
      </c>
      <c r="O850" s="92">
        <v>35403</v>
      </c>
      <c r="P850" s="28" t="s">
        <v>21</v>
      </c>
      <c r="Q850" s="26" t="b">
        <v>0</v>
      </c>
      <c r="R850" s="22">
        <f t="shared" si="13"/>
        <v>998</v>
      </c>
    </row>
    <row r="851" spans="1:18">
      <c r="A851" s="26">
        <v>2283</v>
      </c>
      <c r="B851" s="27">
        <v>34403</v>
      </c>
      <c r="C851" s="28" t="s">
        <v>2700</v>
      </c>
      <c r="D851" s="27">
        <v>34401</v>
      </c>
      <c r="E851" s="28" t="s">
        <v>2701</v>
      </c>
      <c r="F851" s="28" t="s">
        <v>1830</v>
      </c>
      <c r="G851" s="28" t="s">
        <v>20</v>
      </c>
      <c r="H851" s="28" t="s">
        <v>21</v>
      </c>
      <c r="I851" s="28" t="s">
        <v>21</v>
      </c>
      <c r="J851" s="28" t="s">
        <v>2702</v>
      </c>
      <c r="K851" s="28" t="s">
        <v>2703</v>
      </c>
      <c r="L851" s="28" t="s">
        <v>30</v>
      </c>
      <c r="M851" s="28" t="s">
        <v>21</v>
      </c>
      <c r="N851" s="18"/>
      <c r="O851" s="92">
        <v>34409</v>
      </c>
      <c r="P851" s="28" t="s">
        <v>21</v>
      </c>
      <c r="Q851" s="26" t="b">
        <v>0</v>
      </c>
      <c r="R851" s="22">
        <f t="shared" si="13"/>
        <v>6</v>
      </c>
    </row>
    <row r="852" spans="1:18">
      <c r="A852" s="26">
        <v>2285</v>
      </c>
      <c r="B852" s="27">
        <v>34403</v>
      </c>
      <c r="C852" s="28" t="s">
        <v>2704</v>
      </c>
      <c r="D852" s="27">
        <v>34402</v>
      </c>
      <c r="E852" s="28" t="s">
        <v>1443</v>
      </c>
      <c r="F852" s="28" t="s">
        <v>124</v>
      </c>
      <c r="G852" s="28" t="s">
        <v>20</v>
      </c>
      <c r="H852" s="28" t="s">
        <v>21</v>
      </c>
      <c r="I852" s="28" t="s">
        <v>21</v>
      </c>
      <c r="J852" s="28" t="s">
        <v>2705</v>
      </c>
      <c r="K852" s="28" t="s">
        <v>2706</v>
      </c>
      <c r="L852" s="28" t="s">
        <v>1152</v>
      </c>
      <c r="M852" s="28" t="s">
        <v>21</v>
      </c>
      <c r="N852" s="27">
        <v>34408</v>
      </c>
      <c r="O852" s="92">
        <v>34423</v>
      </c>
      <c r="P852" s="28" t="s">
        <v>21</v>
      </c>
      <c r="Q852" s="26" t="b">
        <v>0</v>
      </c>
      <c r="R852" s="22">
        <f t="shared" si="13"/>
        <v>20</v>
      </c>
    </row>
    <row r="853" spans="1:18" ht="24">
      <c r="A853" s="26">
        <v>2286</v>
      </c>
      <c r="B853" s="27">
        <v>34403</v>
      </c>
      <c r="C853" s="28" t="s">
        <v>2707</v>
      </c>
      <c r="D853" s="27">
        <v>34402</v>
      </c>
      <c r="E853" s="28" t="s">
        <v>2708</v>
      </c>
      <c r="F853" s="28" t="s">
        <v>104</v>
      </c>
      <c r="G853" s="28" t="s">
        <v>20</v>
      </c>
      <c r="H853" s="28" t="s">
        <v>21</v>
      </c>
      <c r="I853" s="28" t="s">
        <v>21</v>
      </c>
      <c r="J853" s="28" t="s">
        <v>2709</v>
      </c>
      <c r="K853" s="28" t="s">
        <v>2710</v>
      </c>
      <c r="L853" s="28" t="s">
        <v>24</v>
      </c>
      <c r="M853" s="28" t="s">
        <v>21</v>
      </c>
      <c r="O853" s="92">
        <v>34757</v>
      </c>
      <c r="P853" s="28" t="s">
        <v>21</v>
      </c>
      <c r="Q853" s="26" t="b">
        <v>0</v>
      </c>
      <c r="R853" s="22">
        <f t="shared" si="13"/>
        <v>351</v>
      </c>
    </row>
    <row r="854" spans="1:18">
      <c r="A854" s="26">
        <v>2287</v>
      </c>
      <c r="B854" s="27">
        <v>34407</v>
      </c>
      <c r="C854" s="28" t="s">
        <v>2711</v>
      </c>
      <c r="D854" s="27">
        <v>34388</v>
      </c>
      <c r="E854" s="28" t="s">
        <v>2712</v>
      </c>
      <c r="F854" s="28" t="s">
        <v>350</v>
      </c>
      <c r="G854" s="28" t="s">
        <v>20</v>
      </c>
      <c r="H854" s="28" t="s">
        <v>21</v>
      </c>
      <c r="I854" s="28" t="s">
        <v>21</v>
      </c>
      <c r="J854" s="28" t="s">
        <v>2713</v>
      </c>
      <c r="K854" s="28" t="s">
        <v>2714</v>
      </c>
      <c r="L854" s="28" t="s">
        <v>82</v>
      </c>
      <c r="M854" s="28" t="s">
        <v>21</v>
      </c>
      <c r="N854" s="29">
        <v>34426</v>
      </c>
      <c r="O854" s="92">
        <v>34556</v>
      </c>
      <c r="P854" s="28" t="s">
        <v>31</v>
      </c>
      <c r="Q854" s="26" t="b">
        <v>0</v>
      </c>
      <c r="R854" s="22">
        <f t="shared" si="13"/>
        <v>148</v>
      </c>
    </row>
    <row r="855" spans="1:18" ht="24">
      <c r="A855" s="26">
        <v>2307</v>
      </c>
      <c r="B855" s="27">
        <v>34421</v>
      </c>
      <c r="C855" s="28" t="s">
        <v>2718</v>
      </c>
      <c r="D855" s="27">
        <v>34416</v>
      </c>
      <c r="E855" s="28" t="s">
        <v>2719</v>
      </c>
      <c r="F855" s="28" t="s">
        <v>85</v>
      </c>
      <c r="G855" s="28" t="s">
        <v>20</v>
      </c>
      <c r="H855" s="28" t="s">
        <v>21</v>
      </c>
      <c r="I855" s="28" t="s">
        <v>21</v>
      </c>
      <c r="J855" s="28" t="s">
        <v>2720</v>
      </c>
      <c r="K855" s="28" t="s">
        <v>2721</v>
      </c>
      <c r="L855" s="28" t="s">
        <v>1946</v>
      </c>
      <c r="M855" s="28" t="s">
        <v>1947</v>
      </c>
      <c r="N855" s="18"/>
      <c r="O855" s="92">
        <v>40556</v>
      </c>
      <c r="P855" s="28" t="s">
        <v>21</v>
      </c>
      <c r="Q855" s="26" t="b">
        <v>0</v>
      </c>
      <c r="R855" s="22">
        <f t="shared" si="13"/>
        <v>6128</v>
      </c>
    </row>
    <row r="856" spans="1:18">
      <c r="A856" s="26">
        <v>2308</v>
      </c>
      <c r="B856" s="27">
        <v>34421</v>
      </c>
      <c r="C856" s="28" t="s">
        <v>2722</v>
      </c>
      <c r="D856" s="27">
        <v>34416</v>
      </c>
      <c r="E856" s="28" t="s">
        <v>2723</v>
      </c>
      <c r="F856" s="28" t="s">
        <v>27</v>
      </c>
      <c r="G856" s="28" t="s">
        <v>20</v>
      </c>
      <c r="H856" s="28" t="s">
        <v>21</v>
      </c>
      <c r="I856" s="28" t="s">
        <v>21</v>
      </c>
      <c r="J856" s="28" t="s">
        <v>2724</v>
      </c>
      <c r="K856" s="28" t="s">
        <v>2725</v>
      </c>
      <c r="L856" s="28" t="s">
        <v>30</v>
      </c>
      <c r="M856" s="28" t="s">
        <v>21</v>
      </c>
      <c r="O856" s="92">
        <v>36474</v>
      </c>
      <c r="P856" s="28" t="s">
        <v>31</v>
      </c>
      <c r="Q856" s="26" t="b">
        <v>0</v>
      </c>
      <c r="R856" s="22">
        <f t="shared" si="13"/>
        <v>2050</v>
      </c>
    </row>
    <row r="857" spans="1:18">
      <c r="A857" s="26">
        <v>2311</v>
      </c>
      <c r="B857" s="27">
        <v>34421</v>
      </c>
      <c r="C857" s="28" t="s">
        <v>2726</v>
      </c>
      <c r="D857" s="27">
        <v>34421</v>
      </c>
      <c r="E857" s="28" t="s">
        <v>38</v>
      </c>
      <c r="F857" s="28" t="s">
        <v>2727</v>
      </c>
      <c r="G857" s="28" t="s">
        <v>20</v>
      </c>
      <c r="H857" s="28" t="s">
        <v>71</v>
      </c>
      <c r="I857" s="28" t="s">
        <v>72</v>
      </c>
      <c r="J857" s="28" t="s">
        <v>2728</v>
      </c>
      <c r="K857" s="28" t="s">
        <v>2729</v>
      </c>
      <c r="L857" s="28" t="s">
        <v>24</v>
      </c>
      <c r="M857" s="28" t="s">
        <v>21</v>
      </c>
      <c r="O857" s="92">
        <v>34430</v>
      </c>
      <c r="P857" s="28" t="s">
        <v>31</v>
      </c>
      <c r="Q857" s="26" t="b">
        <v>0</v>
      </c>
      <c r="R857" s="22">
        <f t="shared" si="13"/>
        <v>8</v>
      </c>
    </row>
    <row r="858" spans="1:18">
      <c r="A858" s="26">
        <v>2299</v>
      </c>
      <c r="B858" s="27">
        <v>34424</v>
      </c>
      <c r="C858" s="28" t="s">
        <v>2715</v>
      </c>
      <c r="D858" s="27">
        <v>34422</v>
      </c>
      <c r="E858" s="28" t="s">
        <v>2716</v>
      </c>
      <c r="F858" s="28" t="s">
        <v>124</v>
      </c>
      <c r="G858" s="28" t="s">
        <v>20</v>
      </c>
      <c r="H858" s="28" t="s">
        <v>21</v>
      </c>
      <c r="I858" s="28" t="s">
        <v>21</v>
      </c>
      <c r="J858" s="28" t="s">
        <v>2717</v>
      </c>
      <c r="K858" s="28" t="s">
        <v>1452</v>
      </c>
      <c r="L858" s="28" t="s">
        <v>1152</v>
      </c>
      <c r="M858" s="28" t="s">
        <v>21</v>
      </c>
      <c r="O858" s="92">
        <v>34479</v>
      </c>
      <c r="P858" s="28" t="s">
        <v>31</v>
      </c>
      <c r="Q858" s="26" t="b">
        <v>0</v>
      </c>
      <c r="R858" s="22">
        <f t="shared" si="13"/>
        <v>55</v>
      </c>
    </row>
    <row r="859" spans="1:18">
      <c r="A859" s="26">
        <v>2330</v>
      </c>
      <c r="B859" s="27">
        <v>34429</v>
      </c>
      <c r="C859" s="28" t="s">
        <v>2730</v>
      </c>
      <c r="D859" s="27">
        <v>34429</v>
      </c>
      <c r="E859" s="28" t="s">
        <v>38</v>
      </c>
      <c r="F859" s="28" t="s">
        <v>149</v>
      </c>
      <c r="G859" s="28" t="s">
        <v>20</v>
      </c>
      <c r="H859" s="28" t="s">
        <v>21</v>
      </c>
      <c r="I859" s="28" t="s">
        <v>21</v>
      </c>
      <c r="J859" s="28" t="s">
        <v>2731</v>
      </c>
      <c r="K859" s="28" t="s">
        <v>2732</v>
      </c>
      <c r="L859" s="28" t="s">
        <v>24</v>
      </c>
      <c r="M859" s="28" t="s">
        <v>21</v>
      </c>
      <c r="O859" s="92">
        <v>34430</v>
      </c>
      <c r="P859" s="28" t="s">
        <v>31</v>
      </c>
      <c r="Q859" s="26" t="b">
        <v>0</v>
      </c>
      <c r="R859" s="22">
        <f t="shared" si="13"/>
        <v>1</v>
      </c>
    </row>
    <row r="860" spans="1:18">
      <c r="A860" s="26">
        <v>2331</v>
      </c>
      <c r="B860" s="27">
        <v>34429</v>
      </c>
      <c r="C860" s="28" t="s">
        <v>2733</v>
      </c>
      <c r="D860" s="27">
        <v>34429</v>
      </c>
      <c r="E860" s="28" t="s">
        <v>38</v>
      </c>
      <c r="F860" s="28" t="s">
        <v>149</v>
      </c>
      <c r="G860" s="28" t="s">
        <v>20</v>
      </c>
      <c r="H860" s="28" t="s">
        <v>21</v>
      </c>
      <c r="I860" s="28" t="s">
        <v>21</v>
      </c>
      <c r="J860" s="28" t="s">
        <v>2731</v>
      </c>
      <c r="K860" s="28" t="s">
        <v>2734</v>
      </c>
      <c r="L860" s="28" t="s">
        <v>24</v>
      </c>
      <c r="M860" s="28" t="s">
        <v>21</v>
      </c>
      <c r="O860" s="92">
        <v>34430</v>
      </c>
      <c r="P860" s="28" t="s">
        <v>31</v>
      </c>
      <c r="Q860" s="26" t="b">
        <v>0</v>
      </c>
      <c r="R860" s="22">
        <f t="shared" si="13"/>
        <v>1</v>
      </c>
    </row>
    <row r="861" spans="1:18" ht="24">
      <c r="A861" s="26">
        <v>2387</v>
      </c>
      <c r="B861" s="27">
        <v>34430</v>
      </c>
      <c r="C861" s="28" t="s">
        <v>2808</v>
      </c>
      <c r="D861" s="27">
        <v>34423</v>
      </c>
      <c r="E861" s="28" t="s">
        <v>2809</v>
      </c>
      <c r="F861" s="28" t="s">
        <v>98</v>
      </c>
      <c r="G861" s="28" t="s">
        <v>20</v>
      </c>
      <c r="H861" s="28" t="s">
        <v>21</v>
      </c>
      <c r="I861" s="28" t="s">
        <v>21</v>
      </c>
      <c r="J861" s="28" t="s">
        <v>2810</v>
      </c>
      <c r="K861" s="28" t="s">
        <v>2811</v>
      </c>
      <c r="L861" s="28" t="s">
        <v>1152</v>
      </c>
      <c r="M861" s="28" t="s">
        <v>21</v>
      </c>
      <c r="N861" s="29">
        <v>34444</v>
      </c>
      <c r="O861" s="92">
        <v>34435</v>
      </c>
      <c r="P861" s="28" t="s">
        <v>31</v>
      </c>
      <c r="Q861" s="26" t="b">
        <v>0</v>
      </c>
      <c r="R861" s="22">
        <f t="shared" si="13"/>
        <v>5</v>
      </c>
    </row>
    <row r="862" spans="1:18">
      <c r="A862" s="26">
        <v>2352</v>
      </c>
      <c r="B862" s="27">
        <v>34432</v>
      </c>
      <c r="C862" s="28" t="s">
        <v>2735</v>
      </c>
      <c r="D862" s="27">
        <v>34414</v>
      </c>
      <c r="E862" s="28" t="s">
        <v>2736</v>
      </c>
      <c r="F862" s="28" t="s">
        <v>124</v>
      </c>
      <c r="G862" s="28" t="s">
        <v>20</v>
      </c>
      <c r="H862" s="28" t="s">
        <v>21</v>
      </c>
      <c r="I862" s="28" t="s">
        <v>21</v>
      </c>
      <c r="J862" s="28" t="s">
        <v>2737</v>
      </c>
      <c r="K862" s="28" t="s">
        <v>2738</v>
      </c>
      <c r="L862" s="28" t="s">
        <v>24</v>
      </c>
      <c r="M862" s="28" t="s">
        <v>21</v>
      </c>
      <c r="O862" s="92">
        <v>34722</v>
      </c>
      <c r="P862" s="28" t="s">
        <v>31</v>
      </c>
      <c r="Q862" s="26" t="b">
        <v>0</v>
      </c>
      <c r="R862" s="22">
        <f t="shared" si="13"/>
        <v>288</v>
      </c>
    </row>
    <row r="863" spans="1:18">
      <c r="A863" s="26">
        <v>2354</v>
      </c>
      <c r="B863" s="27">
        <v>34432</v>
      </c>
      <c r="C863" s="28" t="s">
        <v>2739</v>
      </c>
      <c r="D863" s="27">
        <v>34429</v>
      </c>
      <c r="E863" s="28" t="s">
        <v>38</v>
      </c>
      <c r="F863" s="28" t="s">
        <v>56</v>
      </c>
      <c r="G863" s="28" t="s">
        <v>20</v>
      </c>
      <c r="H863" s="28" t="s">
        <v>21</v>
      </c>
      <c r="I863" s="28" t="s">
        <v>21</v>
      </c>
      <c r="J863" s="28" t="s">
        <v>2740</v>
      </c>
      <c r="K863" s="28" t="s">
        <v>2741</v>
      </c>
      <c r="L863" s="28" t="s">
        <v>24</v>
      </c>
      <c r="M863" s="28" t="s">
        <v>21</v>
      </c>
      <c r="O863" s="92">
        <v>34437</v>
      </c>
      <c r="P863" s="28" t="s">
        <v>21</v>
      </c>
      <c r="Q863" s="26" t="b">
        <v>0</v>
      </c>
      <c r="R863" s="22">
        <f t="shared" si="13"/>
        <v>5</v>
      </c>
    </row>
    <row r="864" spans="1:18">
      <c r="A864" s="26">
        <v>2367</v>
      </c>
      <c r="B864" s="27">
        <v>34432</v>
      </c>
      <c r="C864" s="28" t="s">
        <v>2746</v>
      </c>
      <c r="D864" s="27">
        <v>34430</v>
      </c>
      <c r="E864" s="28" t="s">
        <v>2747</v>
      </c>
      <c r="F864" s="28" t="s">
        <v>371</v>
      </c>
      <c r="G864" s="28" t="s">
        <v>20</v>
      </c>
      <c r="H864" s="28" t="s">
        <v>21</v>
      </c>
      <c r="I864" s="28" t="s">
        <v>21</v>
      </c>
      <c r="J864" s="28" t="s">
        <v>2748</v>
      </c>
      <c r="K864" s="28" t="s">
        <v>1480</v>
      </c>
      <c r="L864" s="28" t="s">
        <v>66</v>
      </c>
      <c r="M864" s="28" t="s">
        <v>21</v>
      </c>
      <c r="O864" s="92">
        <v>35487</v>
      </c>
      <c r="P864" s="28" t="s">
        <v>21</v>
      </c>
      <c r="Q864" s="26" t="b">
        <v>0</v>
      </c>
      <c r="R864" s="22">
        <f t="shared" si="13"/>
        <v>1052</v>
      </c>
    </row>
    <row r="865" spans="1:18">
      <c r="A865" s="26">
        <v>2368</v>
      </c>
      <c r="B865" s="27">
        <v>34432</v>
      </c>
      <c r="C865" s="28" t="s">
        <v>2749</v>
      </c>
      <c r="D865" s="27">
        <v>34431</v>
      </c>
      <c r="E865" s="28" t="s">
        <v>2750</v>
      </c>
      <c r="F865" s="28" t="s">
        <v>52</v>
      </c>
      <c r="G865" s="28" t="s">
        <v>20</v>
      </c>
      <c r="H865" s="28" t="s">
        <v>21</v>
      </c>
      <c r="I865" s="28" t="s">
        <v>21</v>
      </c>
      <c r="J865" s="28" t="s">
        <v>2751</v>
      </c>
      <c r="K865" s="28" t="s">
        <v>2752</v>
      </c>
      <c r="L865" s="28" t="s">
        <v>24</v>
      </c>
      <c r="M865" s="28" t="s">
        <v>21</v>
      </c>
      <c r="N865" s="18"/>
      <c r="O865" s="92">
        <v>34549</v>
      </c>
      <c r="P865" s="28" t="s">
        <v>31</v>
      </c>
      <c r="Q865" s="26" t="b">
        <v>0</v>
      </c>
      <c r="R865" s="22">
        <f t="shared" si="13"/>
        <v>116</v>
      </c>
    </row>
    <row r="866" spans="1:18">
      <c r="A866" s="26">
        <v>2366</v>
      </c>
      <c r="B866" s="27">
        <v>34436</v>
      </c>
      <c r="C866" s="28" t="s">
        <v>2742</v>
      </c>
      <c r="D866" s="27">
        <v>32556</v>
      </c>
      <c r="E866" s="28" t="s">
        <v>2743</v>
      </c>
      <c r="F866" s="28" t="s">
        <v>133</v>
      </c>
      <c r="G866" s="28" t="s">
        <v>20</v>
      </c>
      <c r="H866" s="28" t="s">
        <v>21</v>
      </c>
      <c r="I866" s="28" t="s">
        <v>21</v>
      </c>
      <c r="J866" s="28" t="s">
        <v>2744</v>
      </c>
      <c r="K866" s="28" t="s">
        <v>2745</v>
      </c>
      <c r="L866" s="28" t="s">
        <v>82</v>
      </c>
      <c r="M866" s="28" t="s">
        <v>21</v>
      </c>
      <c r="N866" s="18"/>
      <c r="O866" s="92">
        <v>34452</v>
      </c>
      <c r="P866" s="28" t="s">
        <v>21</v>
      </c>
      <c r="Q866" s="26" t="b">
        <v>0</v>
      </c>
      <c r="R866" s="22">
        <f t="shared" si="13"/>
        <v>16</v>
      </c>
    </row>
    <row r="867" spans="1:18">
      <c r="A867" s="26">
        <v>2369</v>
      </c>
      <c r="B867" s="27">
        <v>34436</v>
      </c>
      <c r="C867" s="28" t="s">
        <v>2753</v>
      </c>
      <c r="D867" s="27">
        <v>34431</v>
      </c>
      <c r="E867" s="28" t="s">
        <v>2754</v>
      </c>
      <c r="F867" s="28" t="s">
        <v>70</v>
      </c>
      <c r="G867" s="28" t="s">
        <v>20</v>
      </c>
      <c r="H867" s="28" t="s">
        <v>71</v>
      </c>
      <c r="I867" s="28" t="s">
        <v>72</v>
      </c>
      <c r="J867" s="28" t="s">
        <v>2755</v>
      </c>
      <c r="K867" s="28" t="s">
        <v>2756</v>
      </c>
      <c r="L867" s="28" t="s">
        <v>24</v>
      </c>
      <c r="M867" s="28" t="s">
        <v>21</v>
      </c>
      <c r="N867" s="27">
        <v>34446</v>
      </c>
      <c r="O867" s="92">
        <v>34437</v>
      </c>
      <c r="P867" s="28" t="s">
        <v>21</v>
      </c>
      <c r="Q867" s="26" t="b">
        <v>0</v>
      </c>
      <c r="R867" s="22">
        <f t="shared" si="13"/>
        <v>1</v>
      </c>
    </row>
    <row r="868" spans="1:18">
      <c r="A868" s="26">
        <v>2370</v>
      </c>
      <c r="B868" s="27">
        <v>34437</v>
      </c>
      <c r="C868" s="28" t="s">
        <v>2757</v>
      </c>
      <c r="D868" s="27">
        <v>32688</v>
      </c>
      <c r="E868" s="28" t="s">
        <v>2758</v>
      </c>
      <c r="F868" s="28" t="s">
        <v>85</v>
      </c>
      <c r="G868" s="28" t="s">
        <v>20</v>
      </c>
      <c r="H868" s="28" t="s">
        <v>21</v>
      </c>
      <c r="I868" s="28" t="s">
        <v>21</v>
      </c>
      <c r="J868" s="28" t="s">
        <v>2759</v>
      </c>
      <c r="K868" s="28" t="s">
        <v>2760</v>
      </c>
      <c r="L868" s="28" t="s">
        <v>24</v>
      </c>
      <c r="M868" s="28" t="s">
        <v>21</v>
      </c>
      <c r="N868" s="18"/>
      <c r="O868" s="92">
        <v>34918</v>
      </c>
      <c r="P868" s="28" t="s">
        <v>21</v>
      </c>
      <c r="Q868" s="26" t="b">
        <v>0</v>
      </c>
      <c r="R868" s="22">
        <f t="shared" si="13"/>
        <v>480</v>
      </c>
    </row>
    <row r="869" spans="1:18">
      <c r="A869" s="26">
        <v>2371</v>
      </c>
      <c r="B869" s="27">
        <v>34437</v>
      </c>
      <c r="C869" s="28" t="s">
        <v>2761</v>
      </c>
      <c r="D869" s="27">
        <v>32737</v>
      </c>
      <c r="E869" s="28" t="s">
        <v>2762</v>
      </c>
      <c r="F869" s="28" t="s">
        <v>350</v>
      </c>
      <c r="G869" s="28" t="s">
        <v>20</v>
      </c>
      <c r="H869" s="28" t="s">
        <v>21</v>
      </c>
      <c r="I869" s="28" t="s">
        <v>21</v>
      </c>
      <c r="J869" s="28" t="s">
        <v>2763</v>
      </c>
      <c r="K869" s="28" t="s">
        <v>2764</v>
      </c>
      <c r="L869" s="28" t="s">
        <v>30</v>
      </c>
      <c r="M869" s="28" t="s">
        <v>21</v>
      </c>
      <c r="O869" s="92">
        <v>36501</v>
      </c>
      <c r="P869" s="28" t="s">
        <v>21</v>
      </c>
      <c r="Q869" s="26" t="b">
        <v>0</v>
      </c>
      <c r="R869" s="22">
        <f t="shared" si="13"/>
        <v>2062</v>
      </c>
    </row>
    <row r="870" spans="1:18">
      <c r="A870" s="26">
        <v>2372</v>
      </c>
      <c r="B870" s="27">
        <v>34437</v>
      </c>
      <c r="C870" s="28" t="s">
        <v>2765</v>
      </c>
      <c r="D870" s="27">
        <v>32757</v>
      </c>
      <c r="E870" s="28" t="s">
        <v>2766</v>
      </c>
      <c r="F870" s="28" t="s">
        <v>1771</v>
      </c>
      <c r="G870" s="28" t="s">
        <v>20</v>
      </c>
      <c r="H870" s="28" t="s">
        <v>189</v>
      </c>
      <c r="I870" s="28" t="s">
        <v>189</v>
      </c>
      <c r="J870" s="28" t="s">
        <v>222</v>
      </c>
      <c r="K870" s="28" t="s">
        <v>2767</v>
      </c>
      <c r="L870" s="28" t="s">
        <v>30</v>
      </c>
      <c r="M870" s="28" t="s">
        <v>24</v>
      </c>
      <c r="N870" s="18"/>
      <c r="O870" s="92">
        <v>35244</v>
      </c>
      <c r="P870" s="28" t="s">
        <v>21</v>
      </c>
      <c r="Q870" s="26" t="b">
        <v>0</v>
      </c>
      <c r="R870" s="22">
        <f t="shared" si="13"/>
        <v>806</v>
      </c>
    </row>
    <row r="871" spans="1:18">
      <c r="A871" s="26">
        <v>2373</v>
      </c>
      <c r="B871" s="27">
        <v>34437</v>
      </c>
      <c r="C871" s="28" t="s">
        <v>2768</v>
      </c>
      <c r="D871" s="27">
        <v>32893</v>
      </c>
      <c r="E871" s="28" t="s">
        <v>2769</v>
      </c>
      <c r="F871" s="28" t="s">
        <v>98</v>
      </c>
      <c r="G871" s="28" t="s">
        <v>20</v>
      </c>
      <c r="H871" s="28" t="s">
        <v>21</v>
      </c>
      <c r="I871" s="28" t="s">
        <v>21</v>
      </c>
      <c r="J871" s="28" t="s">
        <v>2770</v>
      </c>
      <c r="K871" s="28" t="s">
        <v>98</v>
      </c>
      <c r="L871" s="28" t="s">
        <v>24</v>
      </c>
      <c r="M871" s="28" t="s">
        <v>21</v>
      </c>
      <c r="N871" s="18"/>
      <c r="O871" s="92">
        <v>34918</v>
      </c>
      <c r="P871" s="28" t="s">
        <v>31</v>
      </c>
      <c r="Q871" s="26" t="b">
        <v>0</v>
      </c>
      <c r="R871" s="22">
        <f t="shared" si="13"/>
        <v>480</v>
      </c>
    </row>
    <row r="872" spans="1:18">
      <c r="A872" s="26">
        <v>2374</v>
      </c>
      <c r="B872" s="27">
        <v>34437</v>
      </c>
      <c r="C872" s="28" t="s">
        <v>2771</v>
      </c>
      <c r="D872" s="27">
        <v>32727</v>
      </c>
      <c r="E872" s="28" t="s">
        <v>2772</v>
      </c>
      <c r="F872" s="28" t="s">
        <v>242</v>
      </c>
      <c r="G872" s="28" t="s">
        <v>20</v>
      </c>
      <c r="H872" s="28" t="s">
        <v>21</v>
      </c>
      <c r="I872" s="28" t="s">
        <v>21</v>
      </c>
      <c r="J872" s="28" t="s">
        <v>2773</v>
      </c>
      <c r="K872" s="28" t="s">
        <v>21</v>
      </c>
      <c r="L872" s="28" t="s">
        <v>24</v>
      </c>
      <c r="M872" s="28" t="s">
        <v>21</v>
      </c>
      <c r="N872" s="18"/>
      <c r="O872" s="92">
        <v>34918</v>
      </c>
      <c r="P872" s="28" t="s">
        <v>21</v>
      </c>
      <c r="Q872" s="26" t="b">
        <v>0</v>
      </c>
      <c r="R872" s="22">
        <f t="shared" si="13"/>
        <v>480</v>
      </c>
    </row>
    <row r="873" spans="1:18">
      <c r="A873" s="26">
        <v>2375</v>
      </c>
      <c r="B873" s="27">
        <v>34437</v>
      </c>
      <c r="C873" s="28" t="s">
        <v>2774</v>
      </c>
      <c r="D873" s="27">
        <v>32796</v>
      </c>
      <c r="E873" s="28" t="s">
        <v>2775</v>
      </c>
      <c r="F873" s="28" t="s">
        <v>327</v>
      </c>
      <c r="G873" s="28" t="s">
        <v>20</v>
      </c>
      <c r="H873" s="28" t="s">
        <v>21</v>
      </c>
      <c r="I873" s="28" t="s">
        <v>21</v>
      </c>
      <c r="J873" s="28" t="s">
        <v>2776</v>
      </c>
      <c r="K873" s="28" t="s">
        <v>1524</v>
      </c>
      <c r="L873" s="28" t="s">
        <v>30</v>
      </c>
      <c r="M873" s="28" t="s">
        <v>24</v>
      </c>
      <c r="N873" s="18"/>
      <c r="O873" s="92">
        <v>35244</v>
      </c>
      <c r="P873" s="28" t="s">
        <v>21</v>
      </c>
      <c r="Q873" s="26" t="b">
        <v>0</v>
      </c>
      <c r="R873" s="22">
        <f t="shared" si="13"/>
        <v>806</v>
      </c>
    </row>
    <row r="874" spans="1:18">
      <c r="A874" s="26">
        <v>2376</v>
      </c>
      <c r="B874" s="27">
        <v>34437</v>
      </c>
      <c r="C874" s="28" t="s">
        <v>2777</v>
      </c>
      <c r="D874" s="27">
        <v>32771</v>
      </c>
      <c r="E874" s="28" t="s">
        <v>2778</v>
      </c>
      <c r="F874" s="28" t="s">
        <v>1771</v>
      </c>
      <c r="G874" s="28" t="s">
        <v>20</v>
      </c>
      <c r="H874" s="28" t="s">
        <v>189</v>
      </c>
      <c r="I874" s="28" t="s">
        <v>189</v>
      </c>
      <c r="J874" s="28" t="s">
        <v>2779</v>
      </c>
      <c r="K874" s="28" t="s">
        <v>1300</v>
      </c>
      <c r="L874" s="28" t="s">
        <v>30</v>
      </c>
      <c r="M874" s="28" t="s">
        <v>24</v>
      </c>
      <c r="N874" s="18"/>
      <c r="O874" s="92">
        <v>35244</v>
      </c>
      <c r="P874" s="28" t="s">
        <v>21</v>
      </c>
      <c r="Q874" s="26" t="b">
        <v>0</v>
      </c>
      <c r="R874" s="22">
        <f t="shared" si="13"/>
        <v>806</v>
      </c>
    </row>
    <row r="875" spans="1:18">
      <c r="A875" s="26">
        <v>2377</v>
      </c>
      <c r="B875" s="27">
        <v>34437</v>
      </c>
      <c r="C875" s="28" t="s">
        <v>2780</v>
      </c>
      <c r="D875" s="27">
        <v>32772</v>
      </c>
      <c r="E875" s="28" t="s">
        <v>2781</v>
      </c>
      <c r="F875" s="28" t="s">
        <v>2782</v>
      </c>
      <c r="G875" s="28" t="s">
        <v>20</v>
      </c>
      <c r="H875" s="28" t="s">
        <v>71</v>
      </c>
      <c r="I875" s="28" t="s">
        <v>72</v>
      </c>
      <c r="J875" s="28" t="s">
        <v>2783</v>
      </c>
      <c r="K875" s="28" t="s">
        <v>2784</v>
      </c>
      <c r="L875" s="28" t="s">
        <v>24</v>
      </c>
      <c r="M875" s="28" t="s">
        <v>21</v>
      </c>
      <c r="N875" s="18"/>
      <c r="O875" s="92">
        <v>34918</v>
      </c>
      <c r="P875" s="28" t="s">
        <v>21</v>
      </c>
      <c r="Q875" s="26" t="b">
        <v>0</v>
      </c>
      <c r="R875" s="22">
        <f t="shared" si="13"/>
        <v>480</v>
      </c>
    </row>
    <row r="876" spans="1:18">
      <c r="A876" s="26">
        <v>2378</v>
      </c>
      <c r="B876" s="27">
        <v>34437</v>
      </c>
      <c r="C876" s="28" t="s">
        <v>2785</v>
      </c>
      <c r="D876" s="27">
        <v>32821</v>
      </c>
      <c r="E876" s="28" t="s">
        <v>2786</v>
      </c>
      <c r="F876" s="28" t="s">
        <v>242</v>
      </c>
      <c r="G876" s="28" t="s">
        <v>20</v>
      </c>
      <c r="H876" s="28" t="s">
        <v>21</v>
      </c>
      <c r="I876" s="28" t="s">
        <v>21</v>
      </c>
      <c r="J876" s="28" t="s">
        <v>242</v>
      </c>
      <c r="K876" s="28" t="s">
        <v>2787</v>
      </c>
      <c r="L876" s="28" t="s">
        <v>24</v>
      </c>
      <c r="M876" s="28" t="s">
        <v>21</v>
      </c>
      <c r="N876" s="18"/>
      <c r="O876" s="92">
        <v>34918</v>
      </c>
      <c r="P876" s="28" t="s">
        <v>31</v>
      </c>
      <c r="Q876" s="26" t="b">
        <v>0</v>
      </c>
      <c r="R876" s="22">
        <f t="shared" si="13"/>
        <v>480</v>
      </c>
    </row>
    <row r="877" spans="1:18">
      <c r="A877" s="26">
        <v>2379</v>
      </c>
      <c r="B877" s="27">
        <v>34437</v>
      </c>
      <c r="C877" s="28" t="s">
        <v>2788</v>
      </c>
      <c r="D877" s="27">
        <v>34436</v>
      </c>
      <c r="E877" s="28" t="s">
        <v>2789</v>
      </c>
      <c r="F877" s="28" t="s">
        <v>56</v>
      </c>
      <c r="G877" s="28" t="s">
        <v>20</v>
      </c>
      <c r="H877" s="28" t="s">
        <v>21</v>
      </c>
      <c r="I877" s="28" t="s">
        <v>21</v>
      </c>
      <c r="J877" s="28" t="s">
        <v>2790</v>
      </c>
      <c r="K877" s="28" t="s">
        <v>2791</v>
      </c>
      <c r="L877" s="28" t="s">
        <v>24</v>
      </c>
      <c r="M877" s="28" t="s">
        <v>21</v>
      </c>
      <c r="O877" s="92">
        <v>34509</v>
      </c>
      <c r="P877" s="28" t="s">
        <v>21</v>
      </c>
      <c r="Q877" s="26" t="b">
        <v>0</v>
      </c>
      <c r="R877" s="22">
        <f t="shared" si="13"/>
        <v>71</v>
      </c>
    </row>
    <row r="878" spans="1:18">
      <c r="A878" s="26">
        <v>2381</v>
      </c>
      <c r="B878" s="27">
        <v>34437</v>
      </c>
      <c r="C878" s="28" t="s">
        <v>2792</v>
      </c>
      <c r="D878" s="27">
        <v>34437</v>
      </c>
      <c r="E878" s="28" t="s">
        <v>2793</v>
      </c>
      <c r="F878" s="28" t="s">
        <v>70</v>
      </c>
      <c r="G878" s="28" t="s">
        <v>20</v>
      </c>
      <c r="H878" s="28" t="s">
        <v>71</v>
      </c>
      <c r="I878" s="28" t="s">
        <v>72</v>
      </c>
      <c r="J878" s="28" t="s">
        <v>2794</v>
      </c>
      <c r="K878" s="28" t="s">
        <v>2795</v>
      </c>
      <c r="L878" s="28" t="s">
        <v>24</v>
      </c>
      <c r="M878" s="28" t="s">
        <v>21</v>
      </c>
      <c r="N878" s="18"/>
      <c r="O878" s="92">
        <v>34478</v>
      </c>
      <c r="P878" s="28" t="s">
        <v>21</v>
      </c>
      <c r="Q878" s="26" t="b">
        <v>0</v>
      </c>
      <c r="R878" s="22">
        <f t="shared" si="13"/>
        <v>41</v>
      </c>
    </row>
    <row r="879" spans="1:18">
      <c r="A879" s="26">
        <v>2382</v>
      </c>
      <c r="B879" s="27">
        <v>34438</v>
      </c>
      <c r="C879" s="28" t="s">
        <v>2796</v>
      </c>
      <c r="D879" s="27">
        <v>34437</v>
      </c>
      <c r="E879" s="28" t="s">
        <v>2797</v>
      </c>
      <c r="F879" s="28" t="s">
        <v>70</v>
      </c>
      <c r="G879" s="28" t="s">
        <v>20</v>
      </c>
      <c r="H879" s="28" t="s">
        <v>71</v>
      </c>
      <c r="I879" s="28" t="s">
        <v>72</v>
      </c>
      <c r="J879" s="28" t="s">
        <v>2798</v>
      </c>
      <c r="K879" s="28" t="s">
        <v>2799</v>
      </c>
      <c r="L879" s="28" t="s">
        <v>82</v>
      </c>
      <c r="M879" s="28" t="s">
        <v>21</v>
      </c>
      <c r="O879" s="92">
        <v>34444</v>
      </c>
      <c r="P879" s="28" t="s">
        <v>21</v>
      </c>
      <c r="Q879" s="26" t="b">
        <v>0</v>
      </c>
      <c r="R879" s="22">
        <f t="shared" si="13"/>
        <v>6</v>
      </c>
    </row>
    <row r="880" spans="1:18">
      <c r="A880" s="26">
        <v>2385</v>
      </c>
      <c r="B880" s="27">
        <v>34438</v>
      </c>
      <c r="C880" s="28" t="s">
        <v>2800</v>
      </c>
      <c r="D880" s="27">
        <v>34437</v>
      </c>
      <c r="E880" s="28" t="s">
        <v>2801</v>
      </c>
      <c r="F880" s="28" t="s">
        <v>149</v>
      </c>
      <c r="G880" s="28" t="s">
        <v>20</v>
      </c>
      <c r="H880" s="28" t="s">
        <v>21</v>
      </c>
      <c r="I880" s="28" t="s">
        <v>21</v>
      </c>
      <c r="J880" s="28" t="s">
        <v>2802</v>
      </c>
      <c r="K880" s="28" t="s">
        <v>2803</v>
      </c>
      <c r="L880" s="28" t="s">
        <v>24</v>
      </c>
      <c r="M880" s="28" t="s">
        <v>21</v>
      </c>
      <c r="O880" s="92">
        <v>35235</v>
      </c>
      <c r="P880" s="28" t="s">
        <v>21</v>
      </c>
      <c r="Q880" s="26" t="b">
        <v>0</v>
      </c>
      <c r="R880" s="22">
        <f t="shared" si="13"/>
        <v>795</v>
      </c>
    </row>
    <row r="881" spans="1:18">
      <c r="A881" s="26">
        <v>2386</v>
      </c>
      <c r="B881" s="27">
        <v>34438</v>
      </c>
      <c r="C881" s="28" t="s">
        <v>2804</v>
      </c>
      <c r="D881" s="27">
        <v>34438</v>
      </c>
      <c r="E881" s="28" t="s">
        <v>2805</v>
      </c>
      <c r="F881" s="28" t="s">
        <v>85</v>
      </c>
      <c r="G881" s="28" t="s">
        <v>20</v>
      </c>
      <c r="H881" s="28" t="s">
        <v>21</v>
      </c>
      <c r="I881" s="28" t="s">
        <v>21</v>
      </c>
      <c r="J881" s="28" t="s">
        <v>2806</v>
      </c>
      <c r="K881" s="28" t="s">
        <v>2807</v>
      </c>
      <c r="L881" s="28" t="s">
        <v>66</v>
      </c>
      <c r="M881" s="28" t="s">
        <v>21</v>
      </c>
      <c r="O881" s="92">
        <v>35702</v>
      </c>
      <c r="P881" s="28" t="s">
        <v>21</v>
      </c>
      <c r="Q881" s="26" t="b">
        <v>0</v>
      </c>
      <c r="R881" s="22">
        <f t="shared" si="13"/>
        <v>1262</v>
      </c>
    </row>
    <row r="882" spans="1:18" ht="24">
      <c r="A882" s="26">
        <v>2391</v>
      </c>
      <c r="B882" s="27">
        <v>34442</v>
      </c>
      <c r="C882" s="28" t="s">
        <v>2812</v>
      </c>
      <c r="D882" s="27">
        <v>34439</v>
      </c>
      <c r="E882" s="28" t="s">
        <v>2813</v>
      </c>
      <c r="F882" s="28" t="s">
        <v>793</v>
      </c>
      <c r="G882" s="28" t="s">
        <v>20</v>
      </c>
      <c r="H882" s="28" t="s">
        <v>21</v>
      </c>
      <c r="I882" s="28" t="s">
        <v>21</v>
      </c>
      <c r="J882" s="28" t="s">
        <v>2814</v>
      </c>
      <c r="K882" s="28" t="s">
        <v>2815</v>
      </c>
      <c r="L882" s="28" t="s">
        <v>24</v>
      </c>
      <c r="M882" s="28" t="s">
        <v>21</v>
      </c>
      <c r="O882" s="92">
        <v>34534</v>
      </c>
      <c r="P882" s="28" t="s">
        <v>21</v>
      </c>
      <c r="Q882" s="26" t="b">
        <v>0</v>
      </c>
      <c r="R882" s="22">
        <f t="shared" si="13"/>
        <v>92</v>
      </c>
    </row>
    <row r="883" spans="1:18">
      <c r="A883" s="26">
        <v>2395</v>
      </c>
      <c r="B883" s="27">
        <v>34446</v>
      </c>
      <c r="C883" s="28" t="s">
        <v>2823</v>
      </c>
      <c r="D883" s="27">
        <v>34446</v>
      </c>
      <c r="E883" s="28" t="s">
        <v>2824</v>
      </c>
      <c r="F883" s="28" t="s">
        <v>104</v>
      </c>
      <c r="G883" s="28" t="s">
        <v>20</v>
      </c>
      <c r="H883" s="28" t="s">
        <v>21</v>
      </c>
      <c r="I883" s="28" t="s">
        <v>21</v>
      </c>
      <c r="J883" s="28" t="s">
        <v>2825</v>
      </c>
      <c r="K883" s="28" t="s">
        <v>2826</v>
      </c>
      <c r="L883" s="28" t="s">
        <v>24</v>
      </c>
      <c r="M883" s="28" t="s">
        <v>21</v>
      </c>
      <c r="O883" s="92">
        <v>34452</v>
      </c>
      <c r="P883" s="28" t="s">
        <v>21</v>
      </c>
      <c r="Q883" s="26" t="b">
        <v>0</v>
      </c>
      <c r="R883" s="22">
        <f t="shared" si="13"/>
        <v>6</v>
      </c>
    </row>
    <row r="884" spans="1:18">
      <c r="A884" s="26">
        <v>2401</v>
      </c>
      <c r="B884" s="27">
        <v>34449</v>
      </c>
      <c r="C884" s="28" t="s">
        <v>2841</v>
      </c>
      <c r="D884" s="27">
        <v>34445</v>
      </c>
      <c r="E884" s="28" t="s">
        <v>2842</v>
      </c>
      <c r="F884" s="28" t="s">
        <v>124</v>
      </c>
      <c r="G884" s="28" t="s">
        <v>20</v>
      </c>
      <c r="H884" s="28" t="s">
        <v>21</v>
      </c>
      <c r="I884" s="28" t="s">
        <v>21</v>
      </c>
      <c r="J884" s="28" t="s">
        <v>2843</v>
      </c>
      <c r="K884" s="28" t="s">
        <v>2844</v>
      </c>
      <c r="L884" s="28" t="s">
        <v>24</v>
      </c>
      <c r="M884" s="28" t="s">
        <v>21</v>
      </c>
      <c r="N884" s="18"/>
      <c r="O884" s="92">
        <v>34682</v>
      </c>
      <c r="P884" s="28" t="s">
        <v>31</v>
      </c>
      <c r="Q884" s="26" t="b">
        <v>0</v>
      </c>
      <c r="R884" s="22">
        <f t="shared" si="13"/>
        <v>232</v>
      </c>
    </row>
    <row r="885" spans="1:18">
      <c r="A885" s="26">
        <v>2411</v>
      </c>
      <c r="B885" s="27">
        <v>34452</v>
      </c>
      <c r="C885" s="28" t="s">
        <v>2845</v>
      </c>
      <c r="D885" s="27">
        <v>34451</v>
      </c>
      <c r="E885" s="28" t="s">
        <v>2846</v>
      </c>
      <c r="F885" s="28" t="s">
        <v>70</v>
      </c>
      <c r="G885" s="28" t="s">
        <v>20</v>
      </c>
      <c r="H885" s="28" t="s">
        <v>71</v>
      </c>
      <c r="I885" s="28" t="s">
        <v>72</v>
      </c>
      <c r="J885" s="28" t="s">
        <v>2847</v>
      </c>
      <c r="K885" s="28" t="s">
        <v>2848</v>
      </c>
      <c r="L885" s="28" t="s">
        <v>67</v>
      </c>
      <c r="M885" s="28" t="s">
        <v>21</v>
      </c>
      <c r="N885" s="18"/>
      <c r="O885" s="92">
        <v>35500</v>
      </c>
      <c r="P885" s="28" t="s">
        <v>21</v>
      </c>
      <c r="Q885" s="26" t="b">
        <v>0</v>
      </c>
      <c r="R885" s="22">
        <f t="shared" si="13"/>
        <v>1047</v>
      </c>
    </row>
    <row r="886" spans="1:18">
      <c r="A886" s="26">
        <v>2413</v>
      </c>
      <c r="B886" s="27">
        <v>34452</v>
      </c>
      <c r="C886" s="28" t="s">
        <v>2852</v>
      </c>
      <c r="D886" s="27">
        <v>34449</v>
      </c>
      <c r="E886" s="28" t="s">
        <v>2853</v>
      </c>
      <c r="F886" s="28" t="s">
        <v>104</v>
      </c>
      <c r="G886" s="28" t="s">
        <v>20</v>
      </c>
      <c r="H886" s="28" t="s">
        <v>21</v>
      </c>
      <c r="I886" s="28" t="s">
        <v>21</v>
      </c>
      <c r="J886" s="28" t="s">
        <v>2854</v>
      </c>
      <c r="K886" s="28" t="s">
        <v>104</v>
      </c>
      <c r="L886" s="28" t="s">
        <v>24</v>
      </c>
      <c r="M886" s="28" t="s">
        <v>21</v>
      </c>
      <c r="N886" s="18"/>
      <c r="O886" s="92">
        <v>34786</v>
      </c>
      <c r="P886" s="28" t="s">
        <v>21</v>
      </c>
      <c r="Q886" s="26" t="b">
        <v>0</v>
      </c>
      <c r="R886" s="22">
        <f t="shared" si="13"/>
        <v>334</v>
      </c>
    </row>
    <row r="887" spans="1:18">
      <c r="A887" s="26">
        <v>2412</v>
      </c>
      <c r="B887" s="27">
        <v>34453</v>
      </c>
      <c r="C887" s="28" t="s">
        <v>2849</v>
      </c>
      <c r="D887" s="27">
        <v>34451</v>
      </c>
      <c r="E887" s="28" t="s">
        <v>283</v>
      </c>
      <c r="F887" s="28" t="s">
        <v>2850</v>
      </c>
      <c r="G887" s="28" t="s">
        <v>21</v>
      </c>
      <c r="H887" s="28" t="s">
        <v>21</v>
      </c>
      <c r="I887" s="28" t="s">
        <v>21</v>
      </c>
      <c r="J887" s="28" t="s">
        <v>2851</v>
      </c>
      <c r="K887" s="28" t="s">
        <v>2047</v>
      </c>
      <c r="L887" s="28" t="s">
        <v>24</v>
      </c>
      <c r="M887" s="28" t="s">
        <v>21</v>
      </c>
      <c r="N887" s="27">
        <v>34457</v>
      </c>
      <c r="O887" s="92">
        <v>34459</v>
      </c>
      <c r="P887" s="28" t="s">
        <v>21</v>
      </c>
      <c r="Q887" s="26" t="b">
        <v>0</v>
      </c>
      <c r="R887" s="22">
        <f t="shared" si="13"/>
        <v>6</v>
      </c>
    </row>
    <row r="888" spans="1:18">
      <c r="A888" s="26">
        <v>2414</v>
      </c>
      <c r="B888" s="27">
        <v>34456</v>
      </c>
      <c r="C888" s="28" t="s">
        <v>2855</v>
      </c>
      <c r="D888" s="27">
        <v>34451</v>
      </c>
      <c r="E888" s="28" t="s">
        <v>2856</v>
      </c>
      <c r="F888" s="28" t="s">
        <v>861</v>
      </c>
      <c r="G888" s="28" t="s">
        <v>20</v>
      </c>
      <c r="H888" s="28" t="s">
        <v>566</v>
      </c>
      <c r="I888" s="28" t="s">
        <v>566</v>
      </c>
      <c r="J888" s="28" t="s">
        <v>2857</v>
      </c>
      <c r="K888" s="28" t="s">
        <v>1149</v>
      </c>
      <c r="L888" s="28" t="s">
        <v>82</v>
      </c>
      <c r="M888" s="28" t="s">
        <v>21</v>
      </c>
      <c r="N888" s="18"/>
      <c r="O888" s="92">
        <v>34500</v>
      </c>
      <c r="P888" s="28" t="s">
        <v>21</v>
      </c>
      <c r="Q888" s="26" t="b">
        <v>0</v>
      </c>
      <c r="R888" s="22">
        <f t="shared" si="13"/>
        <v>43</v>
      </c>
    </row>
    <row r="889" spans="1:18">
      <c r="A889" s="26">
        <v>2400</v>
      </c>
      <c r="B889" s="27">
        <v>34457</v>
      </c>
      <c r="C889" s="28" t="s">
        <v>2837</v>
      </c>
      <c r="D889" s="27">
        <v>34457</v>
      </c>
      <c r="E889" s="28" t="s">
        <v>1443</v>
      </c>
      <c r="F889" s="28" t="s">
        <v>2838</v>
      </c>
      <c r="G889" s="28" t="s">
        <v>20</v>
      </c>
      <c r="H889" s="28" t="s">
        <v>21</v>
      </c>
      <c r="I889" s="28" t="s">
        <v>21</v>
      </c>
      <c r="J889" s="28" t="s">
        <v>2839</v>
      </c>
      <c r="K889" s="28" t="s">
        <v>2840</v>
      </c>
      <c r="L889" s="28" t="s">
        <v>1152</v>
      </c>
      <c r="M889" s="28" t="s">
        <v>21</v>
      </c>
      <c r="O889" s="92">
        <v>34485</v>
      </c>
      <c r="P889" s="28" t="s">
        <v>21</v>
      </c>
      <c r="Q889" s="26" t="b">
        <v>0</v>
      </c>
      <c r="R889" s="22">
        <f t="shared" si="13"/>
        <v>28</v>
      </c>
    </row>
    <row r="890" spans="1:18">
      <c r="A890" s="26">
        <v>2415</v>
      </c>
      <c r="B890" s="27">
        <v>34459</v>
      </c>
      <c r="C890" s="28" t="s">
        <v>2858</v>
      </c>
      <c r="D890" s="27">
        <v>34457</v>
      </c>
      <c r="E890" s="28" t="s">
        <v>283</v>
      </c>
      <c r="F890" s="28" t="s">
        <v>19</v>
      </c>
      <c r="G890" s="28" t="s">
        <v>20</v>
      </c>
      <c r="H890" s="28" t="s">
        <v>21</v>
      </c>
      <c r="I890" s="28" t="s">
        <v>21</v>
      </c>
      <c r="J890" s="28" t="s">
        <v>2859</v>
      </c>
      <c r="K890" s="28" t="s">
        <v>2860</v>
      </c>
      <c r="L890" s="28" t="s">
        <v>24</v>
      </c>
      <c r="M890" s="28" t="s">
        <v>21</v>
      </c>
      <c r="N890" s="18"/>
      <c r="O890" s="92">
        <v>34460</v>
      </c>
      <c r="P890" s="28" t="s">
        <v>21</v>
      </c>
      <c r="Q890" s="26" t="b">
        <v>0</v>
      </c>
      <c r="R890" s="22">
        <f t="shared" si="13"/>
        <v>1</v>
      </c>
    </row>
    <row r="891" spans="1:18">
      <c r="A891" s="26">
        <v>2416</v>
      </c>
      <c r="B891" s="27">
        <v>34460</v>
      </c>
      <c r="C891" s="28" t="s">
        <v>2861</v>
      </c>
      <c r="D891" s="27">
        <v>34459</v>
      </c>
      <c r="E891" s="28" t="s">
        <v>2862</v>
      </c>
      <c r="F891" s="28" t="s">
        <v>242</v>
      </c>
      <c r="G891" s="28" t="s">
        <v>20</v>
      </c>
      <c r="H891" s="28" t="s">
        <v>21</v>
      </c>
      <c r="I891" s="28" t="s">
        <v>21</v>
      </c>
      <c r="J891" s="28" t="s">
        <v>2863</v>
      </c>
      <c r="K891" s="28" t="s">
        <v>2864</v>
      </c>
      <c r="L891" s="28" t="s">
        <v>66</v>
      </c>
      <c r="M891" s="28" t="s">
        <v>67</v>
      </c>
      <c r="O891" s="92">
        <v>36417</v>
      </c>
      <c r="P891" s="28" t="s">
        <v>21</v>
      </c>
      <c r="Q891" s="26" t="b">
        <v>0</v>
      </c>
      <c r="R891" s="22">
        <f t="shared" si="13"/>
        <v>1954</v>
      </c>
    </row>
    <row r="892" spans="1:18">
      <c r="A892" s="26">
        <v>2418</v>
      </c>
      <c r="B892" s="27">
        <v>34463</v>
      </c>
      <c r="C892" s="28" t="s">
        <v>2865</v>
      </c>
      <c r="D892" s="27">
        <v>34459</v>
      </c>
      <c r="E892" s="28" t="s">
        <v>2866</v>
      </c>
      <c r="F892" s="28" t="s">
        <v>124</v>
      </c>
      <c r="G892" s="28" t="s">
        <v>20</v>
      </c>
      <c r="H892" s="28" t="s">
        <v>21</v>
      </c>
      <c r="I892" s="28" t="s">
        <v>21</v>
      </c>
      <c r="J892" s="28" t="s">
        <v>2867</v>
      </c>
      <c r="K892" s="28" t="s">
        <v>2868</v>
      </c>
      <c r="L892" s="28" t="s">
        <v>66</v>
      </c>
      <c r="M892" s="28" t="s">
        <v>2869</v>
      </c>
      <c r="N892" s="18"/>
      <c r="O892" s="92">
        <v>36774</v>
      </c>
      <c r="P892" s="28" t="s">
        <v>31</v>
      </c>
      <c r="Q892" s="26" t="b">
        <v>0</v>
      </c>
      <c r="R892" s="22">
        <f t="shared" si="13"/>
        <v>2307</v>
      </c>
    </row>
    <row r="893" spans="1:18" ht="24">
      <c r="A893" s="26">
        <v>2419</v>
      </c>
      <c r="B893" s="27">
        <v>34464</v>
      </c>
      <c r="C893" s="28" t="s">
        <v>2870</v>
      </c>
      <c r="D893" s="27">
        <v>34460</v>
      </c>
      <c r="E893" s="28" t="s">
        <v>2871</v>
      </c>
      <c r="F893" s="28" t="s">
        <v>1771</v>
      </c>
      <c r="G893" s="28" t="s">
        <v>20</v>
      </c>
      <c r="H893" s="28" t="s">
        <v>189</v>
      </c>
      <c r="I893" s="28" t="s">
        <v>189</v>
      </c>
      <c r="J893" s="28" t="s">
        <v>1149</v>
      </c>
      <c r="K893" s="28" t="s">
        <v>2872</v>
      </c>
      <c r="L893" s="28" t="s">
        <v>24</v>
      </c>
      <c r="M893" s="28" t="s">
        <v>21</v>
      </c>
      <c r="N893" s="18"/>
      <c r="O893" s="92">
        <v>34827</v>
      </c>
      <c r="P893" s="28" t="s">
        <v>21</v>
      </c>
      <c r="Q893" s="26" t="b">
        <v>0</v>
      </c>
      <c r="R893" s="22">
        <f t="shared" si="13"/>
        <v>362</v>
      </c>
    </row>
    <row r="894" spans="1:18">
      <c r="A894" s="26">
        <v>2430</v>
      </c>
      <c r="B894" s="27">
        <v>34464</v>
      </c>
      <c r="C894" s="28" t="s">
        <v>2877</v>
      </c>
      <c r="D894" s="27">
        <v>34464</v>
      </c>
      <c r="E894" s="28" t="s">
        <v>38</v>
      </c>
      <c r="F894" s="28" t="s">
        <v>39</v>
      </c>
      <c r="G894" s="28" t="s">
        <v>21</v>
      </c>
      <c r="H894" s="28" t="s">
        <v>21</v>
      </c>
      <c r="I894" s="28" t="s">
        <v>21</v>
      </c>
      <c r="J894" s="28" t="s">
        <v>2878</v>
      </c>
      <c r="K894" s="28" t="s">
        <v>2879</v>
      </c>
      <c r="L894" s="28" t="s">
        <v>24</v>
      </c>
      <c r="M894" s="28" t="s">
        <v>21</v>
      </c>
      <c r="N894" s="29">
        <v>34466</v>
      </c>
      <c r="O894" s="92">
        <v>34466</v>
      </c>
      <c r="P894" s="28" t="s">
        <v>21</v>
      </c>
      <c r="Q894" s="26" t="b">
        <v>0</v>
      </c>
      <c r="R894" s="22">
        <f t="shared" si="13"/>
        <v>2</v>
      </c>
    </row>
    <row r="895" spans="1:18">
      <c r="A895" s="26">
        <v>2421</v>
      </c>
      <c r="B895" s="27">
        <v>34465</v>
      </c>
      <c r="C895" s="28" t="s">
        <v>2873</v>
      </c>
      <c r="D895" s="27">
        <v>34465</v>
      </c>
      <c r="E895" s="28" t="s">
        <v>255</v>
      </c>
      <c r="F895" s="28" t="s">
        <v>2874</v>
      </c>
      <c r="G895" s="28" t="s">
        <v>20</v>
      </c>
      <c r="H895" s="28" t="s">
        <v>71</v>
      </c>
      <c r="I895" s="28" t="s">
        <v>72</v>
      </c>
      <c r="J895" s="28" t="s">
        <v>2875</v>
      </c>
      <c r="K895" s="28" t="s">
        <v>2876</v>
      </c>
      <c r="L895" s="28" t="s">
        <v>24</v>
      </c>
      <c r="M895" s="28" t="s">
        <v>21</v>
      </c>
      <c r="N895" s="27">
        <v>34494</v>
      </c>
      <c r="O895" s="92">
        <v>34824</v>
      </c>
      <c r="P895" s="28" t="s">
        <v>21</v>
      </c>
      <c r="Q895" s="26" t="b">
        <v>0</v>
      </c>
      <c r="R895" s="22">
        <f t="shared" si="13"/>
        <v>358</v>
      </c>
    </row>
    <row r="896" spans="1:18">
      <c r="A896" s="26">
        <v>2439</v>
      </c>
      <c r="B896" s="27">
        <v>34473</v>
      </c>
      <c r="C896" s="28" t="s">
        <v>2880</v>
      </c>
      <c r="D896" s="27">
        <v>34471</v>
      </c>
      <c r="E896" s="28" t="s">
        <v>2881</v>
      </c>
      <c r="F896" s="28" t="s">
        <v>2882</v>
      </c>
      <c r="G896" s="28" t="s">
        <v>20</v>
      </c>
      <c r="H896" s="28" t="s">
        <v>566</v>
      </c>
      <c r="I896" s="28" t="s">
        <v>566</v>
      </c>
      <c r="J896" s="28" t="s">
        <v>2883</v>
      </c>
      <c r="K896" s="28" t="s">
        <v>2884</v>
      </c>
      <c r="L896" s="28" t="s">
        <v>67</v>
      </c>
      <c r="M896" s="28" t="s">
        <v>21</v>
      </c>
      <c r="N896" s="27">
        <v>34500</v>
      </c>
      <c r="O896" s="92">
        <v>35496</v>
      </c>
      <c r="P896" s="28" t="s">
        <v>21</v>
      </c>
      <c r="Q896" s="26" t="b">
        <v>0</v>
      </c>
      <c r="R896" s="22">
        <f t="shared" si="13"/>
        <v>1022</v>
      </c>
    </row>
    <row r="897" spans="1:18">
      <c r="A897" s="26">
        <v>2525</v>
      </c>
      <c r="B897" s="27">
        <v>34479</v>
      </c>
      <c r="C897" s="28" t="s">
        <v>2971</v>
      </c>
      <c r="D897" s="27">
        <v>34479</v>
      </c>
      <c r="E897" s="28" t="s">
        <v>38</v>
      </c>
      <c r="F897" s="28" t="s">
        <v>39</v>
      </c>
      <c r="G897" s="28" t="s">
        <v>20</v>
      </c>
      <c r="H897" s="28" t="s">
        <v>21</v>
      </c>
      <c r="I897" s="28" t="s">
        <v>21</v>
      </c>
      <c r="J897" s="28" t="s">
        <v>2972</v>
      </c>
      <c r="K897" s="28" t="s">
        <v>2973</v>
      </c>
      <c r="L897" s="28" t="s">
        <v>24</v>
      </c>
      <c r="M897" s="28" t="s">
        <v>21</v>
      </c>
      <c r="N897" s="27">
        <v>34511</v>
      </c>
      <c r="O897" s="92">
        <v>34515</v>
      </c>
      <c r="P897" s="28" t="s">
        <v>21</v>
      </c>
      <c r="Q897" s="26" t="b">
        <v>0</v>
      </c>
      <c r="R897" s="22">
        <f t="shared" si="13"/>
        <v>35</v>
      </c>
    </row>
    <row r="898" spans="1:18">
      <c r="A898" s="26">
        <v>2450</v>
      </c>
      <c r="B898" s="27">
        <v>34480</v>
      </c>
      <c r="C898" s="28" t="s">
        <v>2892</v>
      </c>
      <c r="D898" s="27">
        <v>34477</v>
      </c>
      <c r="E898" s="28" t="s">
        <v>2893</v>
      </c>
      <c r="F898" s="28" t="s">
        <v>1830</v>
      </c>
      <c r="G898" s="28" t="s">
        <v>20</v>
      </c>
      <c r="H898" s="28" t="s">
        <v>21</v>
      </c>
      <c r="I898" s="28" t="s">
        <v>21</v>
      </c>
      <c r="J898" s="28" t="s">
        <v>2894</v>
      </c>
      <c r="K898" s="28" t="s">
        <v>2895</v>
      </c>
      <c r="L898" s="28" t="s">
        <v>1152</v>
      </c>
      <c r="M898" s="28" t="s">
        <v>21</v>
      </c>
      <c r="N898" s="27">
        <v>34491</v>
      </c>
      <c r="O898" s="92">
        <v>34487</v>
      </c>
      <c r="P898" s="28" t="s">
        <v>21</v>
      </c>
      <c r="Q898" s="26" t="b">
        <v>0</v>
      </c>
      <c r="R898" s="22">
        <f t="shared" ref="R898:R961" si="14">IF(O898=" ", " ", INT(YEARFRAC(O898, B898)*365))</f>
        <v>6</v>
      </c>
    </row>
    <row r="899" spans="1:18">
      <c r="A899" s="26">
        <v>2451</v>
      </c>
      <c r="B899" s="27">
        <v>34480</v>
      </c>
      <c r="C899" s="28" t="s">
        <v>2896</v>
      </c>
      <c r="D899" s="27">
        <v>34479</v>
      </c>
      <c r="E899" s="28" t="s">
        <v>2897</v>
      </c>
      <c r="F899" s="28" t="s">
        <v>129</v>
      </c>
      <c r="G899" s="28" t="s">
        <v>20</v>
      </c>
      <c r="H899" s="28" t="s">
        <v>21</v>
      </c>
      <c r="I899" s="28" t="s">
        <v>21</v>
      </c>
      <c r="J899" s="28" t="s">
        <v>2898</v>
      </c>
      <c r="K899" s="28" t="s">
        <v>2899</v>
      </c>
      <c r="L899" s="28" t="s">
        <v>24</v>
      </c>
      <c r="M899" s="28" t="s">
        <v>21</v>
      </c>
      <c r="O899" s="92">
        <v>34487</v>
      </c>
      <c r="P899" s="28" t="s">
        <v>31</v>
      </c>
      <c r="Q899" s="26" t="b">
        <v>0</v>
      </c>
      <c r="R899" s="22">
        <f t="shared" si="14"/>
        <v>6</v>
      </c>
    </row>
    <row r="900" spans="1:18">
      <c r="A900" s="26">
        <v>2452</v>
      </c>
      <c r="B900" s="27">
        <v>34480</v>
      </c>
      <c r="C900" s="28" t="s">
        <v>2900</v>
      </c>
      <c r="D900" s="27">
        <v>34477</v>
      </c>
      <c r="E900" s="28" t="s">
        <v>2901</v>
      </c>
      <c r="F900" s="28" t="s">
        <v>2580</v>
      </c>
      <c r="G900" s="28" t="s">
        <v>20</v>
      </c>
      <c r="H900" s="28" t="s">
        <v>71</v>
      </c>
      <c r="I900" s="28" t="s">
        <v>72</v>
      </c>
      <c r="J900" s="28" t="s">
        <v>2902</v>
      </c>
      <c r="K900" s="28" t="s">
        <v>2903</v>
      </c>
      <c r="L900" s="28" t="s">
        <v>24</v>
      </c>
      <c r="M900" s="28" t="s">
        <v>21</v>
      </c>
      <c r="O900" s="92">
        <v>34500</v>
      </c>
      <c r="P900" s="28" t="s">
        <v>31</v>
      </c>
      <c r="Q900" s="26" t="b">
        <v>0</v>
      </c>
      <c r="R900" s="22">
        <f t="shared" si="14"/>
        <v>19</v>
      </c>
    </row>
    <row r="901" spans="1:18">
      <c r="A901" s="26">
        <v>2453</v>
      </c>
      <c r="B901" s="27">
        <v>34480</v>
      </c>
      <c r="C901" s="28" t="s">
        <v>2904</v>
      </c>
      <c r="D901" s="27">
        <v>34478</v>
      </c>
      <c r="E901" s="28" t="s">
        <v>38</v>
      </c>
      <c r="F901" s="28" t="s">
        <v>1251</v>
      </c>
      <c r="G901" s="28" t="s">
        <v>21</v>
      </c>
      <c r="H901" s="28" t="s">
        <v>21</v>
      </c>
      <c r="I901" s="28" t="s">
        <v>21</v>
      </c>
      <c r="J901" s="28" t="s">
        <v>1251</v>
      </c>
      <c r="K901" s="28" t="s">
        <v>2905</v>
      </c>
      <c r="L901" s="28" t="s">
        <v>24</v>
      </c>
      <c r="M901" s="28" t="s">
        <v>21</v>
      </c>
      <c r="N901" s="18"/>
      <c r="O901" s="92">
        <v>34487</v>
      </c>
      <c r="P901" s="28" t="s">
        <v>21</v>
      </c>
      <c r="Q901" s="26" t="b">
        <v>0</v>
      </c>
      <c r="R901" s="22">
        <f t="shared" si="14"/>
        <v>6</v>
      </c>
    </row>
    <row r="902" spans="1:18">
      <c r="A902" s="26">
        <v>2454</v>
      </c>
      <c r="B902" s="27">
        <v>34480</v>
      </c>
      <c r="C902" s="28" t="s">
        <v>2906</v>
      </c>
      <c r="D902" s="27">
        <v>34472</v>
      </c>
      <c r="E902" s="28" t="s">
        <v>2907</v>
      </c>
      <c r="F902" s="28" t="s">
        <v>124</v>
      </c>
      <c r="G902" s="28" t="s">
        <v>20</v>
      </c>
      <c r="H902" s="28" t="s">
        <v>21</v>
      </c>
      <c r="I902" s="28" t="s">
        <v>21</v>
      </c>
      <c r="J902" s="28" t="s">
        <v>2327</v>
      </c>
      <c r="K902" s="28" t="s">
        <v>2908</v>
      </c>
      <c r="L902" s="28" t="s">
        <v>66</v>
      </c>
      <c r="M902" s="28" t="s">
        <v>21</v>
      </c>
      <c r="N902" s="18"/>
      <c r="O902" s="92">
        <v>35689</v>
      </c>
      <c r="P902" s="28" t="s">
        <v>31</v>
      </c>
      <c r="Q902" s="26" t="b">
        <v>0</v>
      </c>
      <c r="R902" s="22">
        <f t="shared" si="14"/>
        <v>1206</v>
      </c>
    </row>
    <row r="903" spans="1:18">
      <c r="A903" s="26">
        <v>2489</v>
      </c>
      <c r="B903" s="27">
        <v>34480</v>
      </c>
      <c r="C903" s="28" t="s">
        <v>2921</v>
      </c>
      <c r="D903" s="27">
        <v>34478</v>
      </c>
      <c r="E903" s="28" t="s">
        <v>1204</v>
      </c>
      <c r="F903" s="28" t="s">
        <v>1953</v>
      </c>
      <c r="G903" s="28" t="s">
        <v>21</v>
      </c>
      <c r="H903" s="28" t="s">
        <v>21</v>
      </c>
      <c r="I903" s="28" t="s">
        <v>21</v>
      </c>
      <c r="J903" s="28" t="s">
        <v>2922</v>
      </c>
      <c r="K903" s="28" t="s">
        <v>2923</v>
      </c>
      <c r="L903" s="28" t="s">
        <v>59</v>
      </c>
      <c r="M903" s="28" t="s">
        <v>21</v>
      </c>
      <c r="O903" s="92">
        <v>34486</v>
      </c>
      <c r="P903" s="28" t="s">
        <v>21</v>
      </c>
      <c r="Q903" s="26" t="b">
        <v>0</v>
      </c>
      <c r="R903" s="22">
        <f t="shared" si="14"/>
        <v>5</v>
      </c>
    </row>
    <row r="904" spans="1:18">
      <c r="A904" s="26">
        <v>2447</v>
      </c>
      <c r="B904" s="27">
        <v>34481</v>
      </c>
      <c r="C904" s="28" t="s">
        <v>2885</v>
      </c>
      <c r="D904" s="27">
        <v>34481</v>
      </c>
      <c r="E904" s="28" t="s">
        <v>1204</v>
      </c>
      <c r="F904" s="28" t="s">
        <v>56</v>
      </c>
      <c r="G904" s="28" t="s">
        <v>21</v>
      </c>
      <c r="H904" s="28" t="s">
        <v>21</v>
      </c>
      <c r="I904" s="28" t="s">
        <v>21</v>
      </c>
      <c r="J904" s="28" t="s">
        <v>2886</v>
      </c>
      <c r="K904" s="28" t="s">
        <v>2887</v>
      </c>
      <c r="L904" s="28" t="s">
        <v>59</v>
      </c>
      <c r="M904" s="28" t="s">
        <v>21</v>
      </c>
      <c r="N904" s="27">
        <v>34481</v>
      </c>
      <c r="O904" s="92">
        <v>34485</v>
      </c>
      <c r="P904" s="28" t="s">
        <v>21</v>
      </c>
      <c r="Q904" s="26" t="b">
        <v>0</v>
      </c>
      <c r="R904" s="22">
        <f t="shared" si="14"/>
        <v>4</v>
      </c>
    </row>
    <row r="905" spans="1:18">
      <c r="A905" s="26">
        <v>2449</v>
      </c>
      <c r="B905" s="27">
        <v>34481</v>
      </c>
      <c r="C905" s="28" t="s">
        <v>2888</v>
      </c>
      <c r="D905" s="27">
        <v>34481</v>
      </c>
      <c r="E905" s="28" t="s">
        <v>2889</v>
      </c>
      <c r="F905" s="28" t="s">
        <v>70</v>
      </c>
      <c r="G905" s="28" t="s">
        <v>20</v>
      </c>
      <c r="H905" s="28" t="s">
        <v>71</v>
      </c>
      <c r="I905" s="28" t="s">
        <v>72</v>
      </c>
      <c r="J905" s="28" t="s">
        <v>2890</v>
      </c>
      <c r="K905" s="28" t="s">
        <v>2891</v>
      </c>
      <c r="L905" s="28" t="s">
        <v>88</v>
      </c>
      <c r="M905" s="28" t="s">
        <v>21</v>
      </c>
      <c r="O905" s="92">
        <v>36216</v>
      </c>
      <c r="P905" s="28" t="s">
        <v>21</v>
      </c>
      <c r="Q905" s="26" t="b">
        <v>0</v>
      </c>
      <c r="R905" s="22">
        <f t="shared" si="14"/>
        <v>1731</v>
      </c>
    </row>
    <row r="906" spans="1:18">
      <c r="A906" s="26">
        <v>2455</v>
      </c>
      <c r="B906" s="27">
        <v>34481</v>
      </c>
      <c r="C906" s="28" t="s">
        <v>2909</v>
      </c>
      <c r="D906" s="27">
        <v>34481</v>
      </c>
      <c r="E906" s="28" t="s">
        <v>2910</v>
      </c>
      <c r="F906" s="28" t="s">
        <v>1159</v>
      </c>
      <c r="G906" s="28" t="s">
        <v>20</v>
      </c>
      <c r="H906" s="28" t="s">
        <v>71</v>
      </c>
      <c r="I906" s="28" t="s">
        <v>72</v>
      </c>
      <c r="J906" s="28" t="s">
        <v>2911</v>
      </c>
      <c r="K906" s="28" t="s">
        <v>2912</v>
      </c>
      <c r="L906" s="28" t="s">
        <v>30</v>
      </c>
      <c r="M906" s="28" t="s">
        <v>21</v>
      </c>
      <c r="N906" s="27">
        <v>34515</v>
      </c>
      <c r="O906" s="92">
        <v>34541</v>
      </c>
      <c r="P906" s="28" t="s">
        <v>21</v>
      </c>
      <c r="Q906" s="26" t="b">
        <v>0</v>
      </c>
      <c r="R906" s="22">
        <f t="shared" si="14"/>
        <v>59</v>
      </c>
    </row>
    <row r="907" spans="1:18">
      <c r="A907" s="26">
        <v>2487</v>
      </c>
      <c r="B907" s="27">
        <v>34485</v>
      </c>
      <c r="C907" s="28" t="s">
        <v>2913</v>
      </c>
      <c r="D907" s="27">
        <v>34484</v>
      </c>
      <c r="E907" s="28" t="s">
        <v>2914</v>
      </c>
      <c r="F907" s="28" t="s">
        <v>70</v>
      </c>
      <c r="G907" s="28" t="s">
        <v>20</v>
      </c>
      <c r="H907" s="28" t="s">
        <v>71</v>
      </c>
      <c r="I907" s="28" t="s">
        <v>72</v>
      </c>
      <c r="J907" s="28" t="s">
        <v>2915</v>
      </c>
      <c r="K907" s="28" t="s">
        <v>2916</v>
      </c>
      <c r="L907" s="28" t="s">
        <v>67</v>
      </c>
      <c r="M907" s="28" t="s">
        <v>21</v>
      </c>
      <c r="N907" s="18"/>
      <c r="O907" s="92">
        <v>35440</v>
      </c>
      <c r="P907" s="28" t="s">
        <v>21</v>
      </c>
      <c r="Q907" s="26" t="b">
        <v>0</v>
      </c>
      <c r="R907" s="22">
        <f t="shared" si="14"/>
        <v>953</v>
      </c>
    </row>
    <row r="908" spans="1:18">
      <c r="A908" s="26">
        <v>2488</v>
      </c>
      <c r="B908" s="27">
        <v>34486</v>
      </c>
      <c r="C908" s="28" t="s">
        <v>2917</v>
      </c>
      <c r="D908" s="27">
        <v>34479</v>
      </c>
      <c r="E908" s="28" t="s">
        <v>2918</v>
      </c>
      <c r="F908" s="28" t="s">
        <v>371</v>
      </c>
      <c r="G908" s="28" t="s">
        <v>20</v>
      </c>
      <c r="H908" s="28" t="s">
        <v>21</v>
      </c>
      <c r="I908" s="28" t="s">
        <v>21</v>
      </c>
      <c r="J908" s="28" t="s">
        <v>2919</v>
      </c>
      <c r="K908" s="28" t="s">
        <v>2920</v>
      </c>
      <c r="L908" s="28" t="s">
        <v>30</v>
      </c>
      <c r="M908" s="28" t="s">
        <v>21</v>
      </c>
      <c r="N908" s="27">
        <v>34515</v>
      </c>
      <c r="O908" s="92">
        <v>35384</v>
      </c>
      <c r="P908" s="28" t="s">
        <v>21</v>
      </c>
      <c r="Q908" s="26" t="b">
        <v>0</v>
      </c>
      <c r="R908" s="22">
        <f t="shared" si="14"/>
        <v>896</v>
      </c>
    </row>
    <row r="909" spans="1:18">
      <c r="A909" s="26">
        <v>2494</v>
      </c>
      <c r="B909" s="27">
        <v>34487</v>
      </c>
      <c r="C909" s="28" t="s">
        <v>2924</v>
      </c>
      <c r="D909" s="27">
        <v>34487</v>
      </c>
      <c r="E909" s="28" t="s">
        <v>2925</v>
      </c>
      <c r="F909" s="28" t="s">
        <v>1149</v>
      </c>
      <c r="G909" s="28" t="s">
        <v>21</v>
      </c>
      <c r="H909" s="28" t="s">
        <v>21</v>
      </c>
      <c r="I909" s="28" t="s">
        <v>21</v>
      </c>
      <c r="J909" s="28" t="s">
        <v>74</v>
      </c>
      <c r="K909" s="28" t="s">
        <v>2926</v>
      </c>
      <c r="L909" s="28" t="s">
        <v>2927</v>
      </c>
      <c r="M909" s="28" t="s">
        <v>21</v>
      </c>
      <c r="N909" s="27">
        <v>34491</v>
      </c>
      <c r="O909" s="92">
        <v>34491</v>
      </c>
      <c r="P909" s="28" t="s">
        <v>21</v>
      </c>
      <c r="Q909" s="26" t="b">
        <v>0</v>
      </c>
      <c r="R909" s="22">
        <f t="shared" si="14"/>
        <v>4</v>
      </c>
    </row>
    <row r="910" spans="1:18">
      <c r="A910" s="26">
        <v>2504</v>
      </c>
      <c r="B910" s="27">
        <v>34487</v>
      </c>
      <c r="C910" s="28" t="s">
        <v>2932</v>
      </c>
      <c r="D910" s="27">
        <v>34467</v>
      </c>
      <c r="E910" s="28" t="s">
        <v>2933</v>
      </c>
      <c r="F910" s="28" t="s">
        <v>665</v>
      </c>
      <c r="G910" s="28" t="s">
        <v>20</v>
      </c>
      <c r="H910" s="28" t="s">
        <v>21</v>
      </c>
      <c r="I910" s="28" t="s">
        <v>21</v>
      </c>
      <c r="J910" s="28" t="s">
        <v>2934</v>
      </c>
      <c r="K910" s="28" t="s">
        <v>2935</v>
      </c>
      <c r="L910" s="28" t="s">
        <v>30</v>
      </c>
      <c r="M910" s="28" t="s">
        <v>21</v>
      </c>
      <c r="N910" s="18"/>
      <c r="O910" s="92">
        <v>34844</v>
      </c>
      <c r="P910" s="28" t="s">
        <v>31</v>
      </c>
      <c r="Q910" s="26" t="b">
        <v>0</v>
      </c>
      <c r="R910" s="22">
        <f t="shared" si="14"/>
        <v>357</v>
      </c>
    </row>
    <row r="911" spans="1:18">
      <c r="A911" s="26">
        <v>2495</v>
      </c>
      <c r="B911" s="27">
        <v>34488</v>
      </c>
      <c r="C911" s="28" t="s">
        <v>2928</v>
      </c>
      <c r="D911" s="27">
        <v>34488</v>
      </c>
      <c r="E911" s="28" t="s">
        <v>2929</v>
      </c>
      <c r="F911" s="28" t="s">
        <v>98</v>
      </c>
      <c r="G911" s="28" t="s">
        <v>20</v>
      </c>
      <c r="H911" s="28" t="s">
        <v>21</v>
      </c>
      <c r="I911" s="28" t="s">
        <v>21</v>
      </c>
      <c r="J911" s="28" t="s">
        <v>2930</v>
      </c>
      <c r="K911" s="28" t="s">
        <v>2931</v>
      </c>
      <c r="L911" s="28" t="s">
        <v>821</v>
      </c>
      <c r="M911" s="28" t="s">
        <v>88</v>
      </c>
      <c r="O911" s="92">
        <v>36459</v>
      </c>
      <c r="P911" s="28" t="s">
        <v>31</v>
      </c>
      <c r="Q911" s="26" t="b">
        <v>0</v>
      </c>
      <c r="R911" s="22">
        <f t="shared" si="14"/>
        <v>1969</v>
      </c>
    </row>
    <row r="912" spans="1:18">
      <c r="A912" s="26">
        <v>2505</v>
      </c>
      <c r="B912" s="27">
        <v>34488</v>
      </c>
      <c r="C912" s="28" t="s">
        <v>2936</v>
      </c>
      <c r="D912" s="27">
        <v>34486</v>
      </c>
      <c r="E912" s="28" t="s">
        <v>2937</v>
      </c>
      <c r="F912" s="28" t="s">
        <v>124</v>
      </c>
      <c r="G912" s="28" t="s">
        <v>20</v>
      </c>
      <c r="H912" s="28" t="s">
        <v>21</v>
      </c>
      <c r="I912" s="28" t="s">
        <v>21</v>
      </c>
      <c r="J912" s="28" t="s">
        <v>2938</v>
      </c>
      <c r="K912" s="28" t="s">
        <v>2939</v>
      </c>
      <c r="L912" s="28" t="s">
        <v>88</v>
      </c>
      <c r="M912" s="28" t="s">
        <v>21</v>
      </c>
      <c r="N912" s="18"/>
      <c r="O912" s="92">
        <v>35578</v>
      </c>
      <c r="P912" s="28" t="s">
        <v>31</v>
      </c>
      <c r="Q912" s="26" t="b">
        <v>0</v>
      </c>
      <c r="R912" s="22">
        <f t="shared" si="14"/>
        <v>1089</v>
      </c>
    </row>
    <row r="913" spans="1:18">
      <c r="A913" s="26">
        <v>2508</v>
      </c>
      <c r="B913" s="27">
        <v>34488</v>
      </c>
      <c r="C913" s="28" t="s">
        <v>2940</v>
      </c>
      <c r="D913" s="27">
        <v>34488</v>
      </c>
      <c r="E913" s="28" t="s">
        <v>38</v>
      </c>
      <c r="F913" s="28" t="s">
        <v>124</v>
      </c>
      <c r="G913" s="28" t="s">
        <v>20</v>
      </c>
      <c r="H913" s="28" t="s">
        <v>21</v>
      </c>
      <c r="I913" s="28" t="s">
        <v>21</v>
      </c>
      <c r="J913" s="28" t="s">
        <v>2589</v>
      </c>
      <c r="K913" s="28" t="s">
        <v>2547</v>
      </c>
      <c r="L913" s="28" t="s">
        <v>1152</v>
      </c>
      <c r="M913" s="28" t="s">
        <v>21</v>
      </c>
      <c r="N913" s="18"/>
      <c r="O913" s="92">
        <v>34745</v>
      </c>
      <c r="P913" s="28" t="s">
        <v>31</v>
      </c>
      <c r="Q913" s="26" t="b">
        <v>0</v>
      </c>
      <c r="R913" s="22">
        <f t="shared" si="14"/>
        <v>255</v>
      </c>
    </row>
    <row r="914" spans="1:18">
      <c r="A914" s="26">
        <v>2512</v>
      </c>
      <c r="B914" s="27">
        <v>34491</v>
      </c>
      <c r="C914" s="28" t="s">
        <v>2941</v>
      </c>
      <c r="D914" s="27">
        <v>34448</v>
      </c>
      <c r="E914" s="28" t="s">
        <v>2942</v>
      </c>
      <c r="F914" s="28" t="s">
        <v>2943</v>
      </c>
      <c r="G914" s="28" t="s">
        <v>20</v>
      </c>
      <c r="H914" s="28" t="s">
        <v>21</v>
      </c>
      <c r="I914" s="28" t="s">
        <v>21</v>
      </c>
      <c r="J914" s="28" t="s">
        <v>199</v>
      </c>
      <c r="K914" s="28" t="s">
        <v>2944</v>
      </c>
      <c r="L914" s="28" t="s">
        <v>30</v>
      </c>
      <c r="M914" s="28" t="s">
        <v>21</v>
      </c>
      <c r="N914" s="18"/>
      <c r="O914" s="92">
        <v>36510</v>
      </c>
      <c r="P914" s="28" t="s">
        <v>21</v>
      </c>
      <c r="Q914" s="26" t="b">
        <v>0</v>
      </c>
      <c r="R914" s="22">
        <f t="shared" si="14"/>
        <v>2017</v>
      </c>
    </row>
    <row r="915" spans="1:18">
      <c r="A915" s="26">
        <v>2513</v>
      </c>
      <c r="B915" s="27">
        <v>34491</v>
      </c>
      <c r="C915" s="28" t="s">
        <v>2945</v>
      </c>
      <c r="D915" s="27">
        <v>32772</v>
      </c>
      <c r="E915" s="28" t="s">
        <v>2946</v>
      </c>
      <c r="F915" s="28" t="s">
        <v>98</v>
      </c>
      <c r="G915" s="28" t="s">
        <v>20</v>
      </c>
      <c r="H915" s="28" t="s">
        <v>21</v>
      </c>
      <c r="I915" s="28" t="s">
        <v>21</v>
      </c>
      <c r="J915" s="28" t="s">
        <v>2947</v>
      </c>
      <c r="K915" s="28" t="s">
        <v>2948</v>
      </c>
      <c r="L915" s="28" t="s">
        <v>30</v>
      </c>
      <c r="M915" s="28" t="s">
        <v>21</v>
      </c>
      <c r="N915" s="29">
        <v>32537</v>
      </c>
      <c r="O915" s="92">
        <v>34975</v>
      </c>
      <c r="P915" s="28" t="s">
        <v>31</v>
      </c>
      <c r="Q915" s="26" t="b">
        <v>0</v>
      </c>
      <c r="R915" s="22">
        <f t="shared" si="14"/>
        <v>483</v>
      </c>
    </row>
    <row r="916" spans="1:18">
      <c r="A916" s="26">
        <v>2514</v>
      </c>
      <c r="B916" s="27">
        <v>34491</v>
      </c>
      <c r="C916" s="28" t="s">
        <v>2949</v>
      </c>
      <c r="D916" s="27">
        <v>32716</v>
      </c>
      <c r="E916" s="28" t="s">
        <v>2950</v>
      </c>
      <c r="F916" s="28" t="s">
        <v>104</v>
      </c>
      <c r="G916" s="28" t="s">
        <v>20</v>
      </c>
      <c r="H916" s="28" t="s">
        <v>21</v>
      </c>
      <c r="I916" s="28" t="s">
        <v>21</v>
      </c>
      <c r="J916" s="28" t="s">
        <v>332</v>
      </c>
      <c r="K916" s="28" t="s">
        <v>2951</v>
      </c>
      <c r="L916" s="28" t="s">
        <v>30</v>
      </c>
      <c r="M916" s="28" t="s">
        <v>21</v>
      </c>
      <c r="O916" s="92">
        <v>36467</v>
      </c>
      <c r="P916" s="28" t="s">
        <v>21</v>
      </c>
      <c r="Q916" s="26" t="b">
        <v>0</v>
      </c>
      <c r="R916" s="22">
        <f t="shared" si="14"/>
        <v>1974</v>
      </c>
    </row>
    <row r="917" spans="1:18">
      <c r="A917" s="26">
        <v>2515</v>
      </c>
      <c r="B917" s="27">
        <v>34491</v>
      </c>
      <c r="C917" s="28" t="s">
        <v>2952</v>
      </c>
      <c r="D917" s="27">
        <v>32730</v>
      </c>
      <c r="E917" s="28" t="s">
        <v>2953</v>
      </c>
      <c r="F917" s="28" t="s">
        <v>104</v>
      </c>
      <c r="G917" s="28" t="s">
        <v>20</v>
      </c>
      <c r="H917" s="28" t="s">
        <v>21</v>
      </c>
      <c r="I917" s="28" t="s">
        <v>21</v>
      </c>
      <c r="J917" s="28" t="s">
        <v>2954</v>
      </c>
      <c r="K917" s="28" t="s">
        <v>1241</v>
      </c>
      <c r="L917" s="28" t="s">
        <v>30</v>
      </c>
      <c r="M917" s="28" t="s">
        <v>21</v>
      </c>
      <c r="O917" s="92">
        <v>36434</v>
      </c>
      <c r="P917" s="28" t="s">
        <v>21</v>
      </c>
      <c r="Q917" s="26" t="b">
        <v>0</v>
      </c>
      <c r="R917" s="22">
        <f t="shared" si="14"/>
        <v>1941</v>
      </c>
    </row>
    <row r="918" spans="1:18">
      <c r="A918" s="26">
        <v>2516</v>
      </c>
      <c r="B918" s="27">
        <v>34491</v>
      </c>
      <c r="C918" s="28" t="s">
        <v>2955</v>
      </c>
      <c r="D918" s="27">
        <v>32818</v>
      </c>
      <c r="E918" s="28" t="s">
        <v>2956</v>
      </c>
      <c r="F918" s="28" t="s">
        <v>149</v>
      </c>
      <c r="G918" s="28" t="s">
        <v>20</v>
      </c>
      <c r="H918" s="28" t="s">
        <v>21</v>
      </c>
      <c r="I918" s="28" t="s">
        <v>21</v>
      </c>
      <c r="J918" s="28" t="s">
        <v>2957</v>
      </c>
      <c r="K918" s="28" t="s">
        <v>2958</v>
      </c>
      <c r="L918" s="28" t="s">
        <v>30</v>
      </c>
      <c r="M918" s="28" t="s">
        <v>21</v>
      </c>
      <c r="O918" s="92">
        <v>36494</v>
      </c>
      <c r="P918" s="28" t="s">
        <v>21</v>
      </c>
      <c r="Q918" s="26" t="b">
        <v>0</v>
      </c>
      <c r="R918" s="22">
        <f t="shared" si="14"/>
        <v>2001</v>
      </c>
    </row>
    <row r="919" spans="1:18">
      <c r="A919" s="26">
        <v>2518</v>
      </c>
      <c r="B919" s="27">
        <v>34492</v>
      </c>
      <c r="C919" s="28" t="s">
        <v>2959</v>
      </c>
      <c r="D919" s="27">
        <v>34492</v>
      </c>
      <c r="E919" s="28" t="s">
        <v>2960</v>
      </c>
      <c r="F919" s="28" t="s">
        <v>741</v>
      </c>
      <c r="G919" s="28" t="s">
        <v>20</v>
      </c>
      <c r="H919" s="28" t="s">
        <v>21</v>
      </c>
      <c r="I919" s="28" t="s">
        <v>21</v>
      </c>
      <c r="J919" s="28" t="s">
        <v>2961</v>
      </c>
      <c r="K919" s="28" t="s">
        <v>2962</v>
      </c>
      <c r="L919" s="28" t="s">
        <v>24</v>
      </c>
      <c r="M919" s="28" t="s">
        <v>21</v>
      </c>
      <c r="O919" s="92">
        <v>34530</v>
      </c>
      <c r="P919" s="28" t="s">
        <v>21</v>
      </c>
      <c r="Q919" s="26" t="b">
        <v>0</v>
      </c>
      <c r="R919" s="22">
        <f t="shared" si="14"/>
        <v>38</v>
      </c>
    </row>
    <row r="920" spans="1:18">
      <c r="A920" s="26">
        <v>2519</v>
      </c>
      <c r="B920" s="27">
        <v>34492</v>
      </c>
      <c r="C920" s="28" t="s">
        <v>2963</v>
      </c>
      <c r="D920" s="27">
        <v>34490</v>
      </c>
      <c r="E920" s="28" t="s">
        <v>2964</v>
      </c>
      <c r="F920" s="28" t="s">
        <v>70</v>
      </c>
      <c r="G920" s="28" t="s">
        <v>20</v>
      </c>
      <c r="H920" s="28" t="s">
        <v>71</v>
      </c>
      <c r="I920" s="28" t="s">
        <v>72</v>
      </c>
      <c r="J920" s="28" t="s">
        <v>2965</v>
      </c>
      <c r="K920" s="28" t="s">
        <v>221</v>
      </c>
      <c r="L920" s="28" t="s">
        <v>67</v>
      </c>
      <c r="M920" s="28" t="s">
        <v>21</v>
      </c>
      <c r="N920" s="18"/>
      <c r="O920" s="92">
        <v>35695</v>
      </c>
      <c r="P920" s="28" t="s">
        <v>21</v>
      </c>
      <c r="Q920" s="26" t="b">
        <v>0</v>
      </c>
      <c r="R920" s="22">
        <f t="shared" si="14"/>
        <v>1201</v>
      </c>
    </row>
    <row r="921" spans="1:18">
      <c r="A921" s="26">
        <v>2527</v>
      </c>
      <c r="B921" s="27">
        <v>34492</v>
      </c>
      <c r="C921" s="28" t="s">
        <v>2974</v>
      </c>
      <c r="D921" s="27">
        <v>34492</v>
      </c>
      <c r="E921" s="28" t="s">
        <v>2975</v>
      </c>
      <c r="F921" s="28" t="s">
        <v>85</v>
      </c>
      <c r="G921" s="28" t="s">
        <v>20</v>
      </c>
      <c r="H921" s="28" t="s">
        <v>21</v>
      </c>
      <c r="I921" s="28" t="s">
        <v>21</v>
      </c>
      <c r="J921" s="28" t="s">
        <v>2976</v>
      </c>
      <c r="K921" s="28" t="s">
        <v>2977</v>
      </c>
      <c r="L921" s="28" t="s">
        <v>66</v>
      </c>
      <c r="M921" s="28" t="s">
        <v>21</v>
      </c>
      <c r="N921" s="29">
        <v>34523</v>
      </c>
      <c r="O921" s="92">
        <v>36367</v>
      </c>
      <c r="P921" s="28" t="s">
        <v>21</v>
      </c>
      <c r="Q921" s="26" t="b">
        <v>0</v>
      </c>
      <c r="R921" s="22">
        <f t="shared" si="14"/>
        <v>1874</v>
      </c>
    </row>
    <row r="922" spans="1:18">
      <c r="A922" s="26">
        <v>2523</v>
      </c>
      <c r="B922" s="27">
        <v>34493</v>
      </c>
      <c r="C922" s="28" t="s">
        <v>2966</v>
      </c>
      <c r="D922" s="27">
        <v>34492</v>
      </c>
      <c r="E922" s="28" t="s">
        <v>2925</v>
      </c>
      <c r="F922" s="28" t="s">
        <v>124</v>
      </c>
      <c r="G922" s="28" t="s">
        <v>21</v>
      </c>
      <c r="H922" s="28" t="s">
        <v>21</v>
      </c>
      <c r="I922" s="28" t="s">
        <v>21</v>
      </c>
      <c r="J922" s="28" t="s">
        <v>2967</v>
      </c>
      <c r="K922" s="28" t="s">
        <v>2968</v>
      </c>
      <c r="L922" s="28" t="s">
        <v>2927</v>
      </c>
      <c r="M922" s="28" t="s">
        <v>21</v>
      </c>
      <c r="O922" s="92">
        <v>34548</v>
      </c>
      <c r="P922" s="28" t="s">
        <v>21</v>
      </c>
      <c r="Q922" s="26" t="b">
        <v>0</v>
      </c>
      <c r="R922" s="22">
        <f t="shared" si="14"/>
        <v>54</v>
      </c>
    </row>
    <row r="923" spans="1:18">
      <c r="A923" s="26">
        <v>2524</v>
      </c>
      <c r="B923" s="27">
        <v>34493</v>
      </c>
      <c r="C923" s="28" t="s">
        <v>2969</v>
      </c>
      <c r="D923" s="27">
        <v>34492</v>
      </c>
      <c r="E923" s="28" t="s">
        <v>2925</v>
      </c>
      <c r="F923" s="28" t="s">
        <v>124</v>
      </c>
      <c r="G923" s="28" t="s">
        <v>21</v>
      </c>
      <c r="H923" s="28" t="s">
        <v>21</v>
      </c>
      <c r="I923" s="28" t="s">
        <v>21</v>
      </c>
      <c r="J923" s="28" t="s">
        <v>2970</v>
      </c>
      <c r="K923" s="28" t="s">
        <v>21</v>
      </c>
      <c r="L923" s="28" t="s">
        <v>2927</v>
      </c>
      <c r="M923" s="28" t="s">
        <v>21</v>
      </c>
      <c r="N923" s="18"/>
      <c r="O923" s="92">
        <v>34548</v>
      </c>
      <c r="P923" s="28" t="s">
        <v>21</v>
      </c>
      <c r="Q923" s="26" t="b">
        <v>0</v>
      </c>
      <c r="R923" s="22">
        <f t="shared" si="14"/>
        <v>54</v>
      </c>
    </row>
    <row r="924" spans="1:18">
      <c r="A924" s="26">
        <v>2528</v>
      </c>
      <c r="B924" s="27">
        <v>34493</v>
      </c>
      <c r="C924" s="28" t="s">
        <v>2978</v>
      </c>
      <c r="D924" s="27">
        <v>34493</v>
      </c>
      <c r="E924" s="28" t="s">
        <v>2925</v>
      </c>
      <c r="F924" s="28" t="s">
        <v>283</v>
      </c>
      <c r="G924" s="28" t="s">
        <v>21</v>
      </c>
      <c r="H924" s="28" t="s">
        <v>21</v>
      </c>
      <c r="I924" s="28" t="s">
        <v>21</v>
      </c>
      <c r="J924" s="28" t="s">
        <v>2979</v>
      </c>
      <c r="K924" s="28" t="s">
        <v>2980</v>
      </c>
      <c r="L924" s="28" t="s">
        <v>2927</v>
      </c>
      <c r="M924" s="28" t="s">
        <v>21</v>
      </c>
      <c r="N924" s="29">
        <v>34499</v>
      </c>
      <c r="O924" s="92">
        <v>34512</v>
      </c>
      <c r="P924" s="28" t="s">
        <v>21</v>
      </c>
      <c r="Q924" s="26" t="b">
        <v>0</v>
      </c>
      <c r="R924" s="22">
        <f t="shared" si="14"/>
        <v>19</v>
      </c>
    </row>
    <row r="925" spans="1:18">
      <c r="A925" s="26">
        <v>2530</v>
      </c>
      <c r="B925" s="27">
        <v>34493</v>
      </c>
      <c r="C925" s="28" t="s">
        <v>2981</v>
      </c>
      <c r="D925" s="27">
        <v>34492</v>
      </c>
      <c r="E925" s="28" t="s">
        <v>2982</v>
      </c>
      <c r="F925" s="28" t="s">
        <v>70</v>
      </c>
      <c r="G925" s="28" t="s">
        <v>20</v>
      </c>
      <c r="H925" s="28" t="s">
        <v>71</v>
      </c>
      <c r="I925" s="28" t="s">
        <v>72</v>
      </c>
      <c r="J925" s="28" t="s">
        <v>2983</v>
      </c>
      <c r="K925" s="28" t="s">
        <v>2984</v>
      </c>
      <c r="L925" s="28" t="s">
        <v>82</v>
      </c>
      <c r="M925" s="28" t="s">
        <v>21</v>
      </c>
      <c r="N925" s="18"/>
      <c r="O925" s="92">
        <v>35240</v>
      </c>
      <c r="P925" s="28" t="s">
        <v>21</v>
      </c>
      <c r="Q925" s="26" t="b">
        <v>0</v>
      </c>
      <c r="R925" s="22">
        <f t="shared" si="14"/>
        <v>746</v>
      </c>
    </row>
    <row r="926" spans="1:18">
      <c r="A926" s="26">
        <v>2542</v>
      </c>
      <c r="B926" s="27">
        <v>34494</v>
      </c>
      <c r="C926" s="28" t="s">
        <v>2996</v>
      </c>
      <c r="D926" s="27">
        <v>34493</v>
      </c>
      <c r="E926" s="28" t="s">
        <v>2997</v>
      </c>
      <c r="F926" s="28" t="s">
        <v>39</v>
      </c>
      <c r="G926" s="28" t="s">
        <v>20</v>
      </c>
      <c r="H926" s="28" t="s">
        <v>21</v>
      </c>
      <c r="I926" s="28" t="s">
        <v>21</v>
      </c>
      <c r="J926" s="28" t="s">
        <v>2998</v>
      </c>
      <c r="K926" s="28" t="s">
        <v>2999</v>
      </c>
      <c r="L926" s="28" t="s">
        <v>24</v>
      </c>
      <c r="M926" s="28" t="s">
        <v>21</v>
      </c>
      <c r="O926" s="92">
        <v>34502</v>
      </c>
      <c r="P926" s="28" t="s">
        <v>21</v>
      </c>
      <c r="Q926" s="26" t="b">
        <v>0</v>
      </c>
      <c r="R926" s="22">
        <f t="shared" si="14"/>
        <v>8</v>
      </c>
    </row>
    <row r="927" spans="1:18">
      <c r="A927" s="26">
        <v>2534</v>
      </c>
      <c r="B927" s="27">
        <v>34499</v>
      </c>
      <c r="C927" s="28" t="s">
        <v>2985</v>
      </c>
      <c r="D927" s="27">
        <v>34499</v>
      </c>
      <c r="E927" s="28" t="s">
        <v>2925</v>
      </c>
      <c r="F927" s="28" t="s">
        <v>2986</v>
      </c>
      <c r="G927" s="28" t="s">
        <v>21</v>
      </c>
      <c r="H927" s="28" t="s">
        <v>21</v>
      </c>
      <c r="I927" s="28" t="s">
        <v>21</v>
      </c>
      <c r="J927" s="28" t="s">
        <v>2987</v>
      </c>
      <c r="K927" s="28" t="s">
        <v>2988</v>
      </c>
      <c r="L927" s="28" t="s">
        <v>2927</v>
      </c>
      <c r="M927" s="28" t="s">
        <v>21</v>
      </c>
      <c r="N927" s="27">
        <v>34501</v>
      </c>
      <c r="O927" s="92">
        <v>34500</v>
      </c>
      <c r="P927" s="28" t="s">
        <v>21</v>
      </c>
      <c r="Q927" s="26" t="b">
        <v>0</v>
      </c>
      <c r="R927" s="22">
        <f t="shared" si="14"/>
        <v>1</v>
      </c>
    </row>
    <row r="928" spans="1:18">
      <c r="A928" s="26">
        <v>2536</v>
      </c>
      <c r="B928" s="27">
        <v>34499</v>
      </c>
      <c r="C928" s="28" t="s">
        <v>2989</v>
      </c>
      <c r="D928" s="27">
        <v>34498</v>
      </c>
      <c r="E928" s="28" t="s">
        <v>2990</v>
      </c>
      <c r="F928" s="28" t="s">
        <v>741</v>
      </c>
      <c r="G928" s="28" t="s">
        <v>20</v>
      </c>
      <c r="H928" s="28" t="s">
        <v>21</v>
      </c>
      <c r="I928" s="28" t="s">
        <v>21</v>
      </c>
      <c r="J928" s="28" t="s">
        <v>2991</v>
      </c>
      <c r="K928" s="28" t="s">
        <v>2992</v>
      </c>
      <c r="L928" s="28" t="s">
        <v>30</v>
      </c>
      <c r="M928" s="28" t="s">
        <v>21</v>
      </c>
      <c r="N928" s="29">
        <v>34530</v>
      </c>
      <c r="O928" s="92">
        <v>36438</v>
      </c>
      <c r="P928" s="28" t="s">
        <v>21</v>
      </c>
      <c r="Q928" s="26" t="b">
        <v>0</v>
      </c>
      <c r="R928" s="22">
        <f t="shared" si="14"/>
        <v>1937</v>
      </c>
    </row>
    <row r="929" spans="1:18">
      <c r="A929" s="26">
        <v>2538</v>
      </c>
      <c r="B929" s="27">
        <v>34499</v>
      </c>
      <c r="C929" s="28" t="s">
        <v>2993</v>
      </c>
      <c r="D929" s="27">
        <v>34499</v>
      </c>
      <c r="E929" s="28" t="s">
        <v>38</v>
      </c>
      <c r="F929" s="28" t="s">
        <v>1771</v>
      </c>
      <c r="G929" s="28" t="s">
        <v>20</v>
      </c>
      <c r="H929" s="28" t="s">
        <v>189</v>
      </c>
      <c r="I929" s="28" t="s">
        <v>189</v>
      </c>
      <c r="J929" s="28" t="s">
        <v>2994</v>
      </c>
      <c r="K929" s="28" t="s">
        <v>2995</v>
      </c>
      <c r="L929" s="28" t="s">
        <v>24</v>
      </c>
      <c r="M929" s="28" t="s">
        <v>21</v>
      </c>
      <c r="N929" s="18"/>
      <c r="O929" s="92">
        <v>34500</v>
      </c>
      <c r="P929" s="28" t="s">
        <v>21</v>
      </c>
      <c r="Q929" s="26" t="b">
        <v>0</v>
      </c>
      <c r="R929" s="22">
        <f t="shared" si="14"/>
        <v>1</v>
      </c>
    </row>
    <row r="930" spans="1:18">
      <c r="A930" s="26">
        <v>2544</v>
      </c>
      <c r="B930" s="27">
        <v>34501</v>
      </c>
      <c r="C930" s="28" t="s">
        <v>3000</v>
      </c>
      <c r="D930" s="27">
        <v>34501</v>
      </c>
      <c r="E930" s="28" t="s">
        <v>3001</v>
      </c>
      <c r="F930" s="28" t="s">
        <v>545</v>
      </c>
      <c r="G930" s="28" t="s">
        <v>20</v>
      </c>
      <c r="H930" s="28" t="s">
        <v>21</v>
      </c>
      <c r="I930" s="28" t="s">
        <v>21</v>
      </c>
      <c r="J930" s="28" t="s">
        <v>3002</v>
      </c>
      <c r="K930" s="28" t="s">
        <v>3003</v>
      </c>
      <c r="L930" s="28" t="s">
        <v>24</v>
      </c>
      <c r="M930" s="28" t="s">
        <v>21</v>
      </c>
      <c r="N930" s="18"/>
      <c r="O930" s="92">
        <v>34507</v>
      </c>
      <c r="P930" s="28" t="s">
        <v>21</v>
      </c>
      <c r="Q930" s="26" t="b">
        <v>0</v>
      </c>
      <c r="R930" s="22">
        <f t="shared" si="14"/>
        <v>6</v>
      </c>
    </row>
    <row r="931" spans="1:18">
      <c r="A931" s="26">
        <v>2546</v>
      </c>
      <c r="B931" s="27">
        <v>34507</v>
      </c>
      <c r="C931" s="28" t="s">
        <v>3004</v>
      </c>
      <c r="D931" s="27">
        <v>34498</v>
      </c>
      <c r="E931" s="28" t="s">
        <v>3005</v>
      </c>
      <c r="F931" s="28" t="s">
        <v>371</v>
      </c>
      <c r="G931" s="28" t="s">
        <v>20</v>
      </c>
      <c r="H931" s="28" t="s">
        <v>21</v>
      </c>
      <c r="I931" s="28" t="s">
        <v>21</v>
      </c>
      <c r="J931" s="28" t="s">
        <v>3006</v>
      </c>
      <c r="K931" s="28" t="s">
        <v>748</v>
      </c>
      <c r="L931" s="28" t="s">
        <v>24</v>
      </c>
      <c r="M931" s="28" t="s">
        <v>21</v>
      </c>
      <c r="O931" s="92">
        <v>34508</v>
      </c>
      <c r="P931" s="28" t="s">
        <v>31</v>
      </c>
      <c r="Q931" s="26" t="b">
        <v>0</v>
      </c>
      <c r="R931" s="22">
        <f t="shared" si="14"/>
        <v>1</v>
      </c>
    </row>
    <row r="932" spans="1:18">
      <c r="A932" s="26">
        <v>2551</v>
      </c>
      <c r="B932" s="27">
        <v>34508</v>
      </c>
      <c r="C932" s="28" t="s">
        <v>3007</v>
      </c>
      <c r="D932" s="27">
        <v>34502</v>
      </c>
      <c r="E932" s="28" t="s">
        <v>3008</v>
      </c>
      <c r="F932" s="28" t="s">
        <v>104</v>
      </c>
      <c r="G932" s="28" t="s">
        <v>20</v>
      </c>
      <c r="H932" s="28" t="s">
        <v>21</v>
      </c>
      <c r="I932" s="28" t="s">
        <v>21</v>
      </c>
      <c r="J932" s="28" t="s">
        <v>3009</v>
      </c>
      <c r="K932" s="28" t="s">
        <v>3010</v>
      </c>
      <c r="L932" s="28" t="s">
        <v>82</v>
      </c>
      <c r="M932" s="28" t="s">
        <v>21</v>
      </c>
      <c r="O932" s="92">
        <v>34698</v>
      </c>
      <c r="P932" s="28" t="s">
        <v>21</v>
      </c>
      <c r="Q932" s="26" t="b">
        <v>0</v>
      </c>
      <c r="R932" s="22">
        <f t="shared" si="14"/>
        <v>189</v>
      </c>
    </row>
    <row r="933" spans="1:18">
      <c r="A933" s="26">
        <v>2568</v>
      </c>
      <c r="B933" s="27">
        <v>34508</v>
      </c>
      <c r="C933" s="28" t="s">
        <v>3011</v>
      </c>
      <c r="D933" s="27">
        <v>34508</v>
      </c>
      <c r="E933" s="28" t="s">
        <v>38</v>
      </c>
      <c r="F933" s="28" t="s">
        <v>43</v>
      </c>
      <c r="G933" s="28" t="s">
        <v>20</v>
      </c>
      <c r="H933" s="28" t="s">
        <v>21</v>
      </c>
      <c r="I933" s="28" t="s">
        <v>21</v>
      </c>
      <c r="J933" s="28" t="s">
        <v>3012</v>
      </c>
      <c r="K933" s="28" t="s">
        <v>3013</v>
      </c>
      <c r="L933" s="28" t="s">
        <v>82</v>
      </c>
      <c r="M933" s="28" t="s">
        <v>21</v>
      </c>
      <c r="O933" s="92">
        <v>34520</v>
      </c>
      <c r="P933" s="28" t="s">
        <v>31</v>
      </c>
      <c r="Q933" s="26" t="b">
        <v>0</v>
      </c>
      <c r="R933" s="22">
        <f t="shared" si="14"/>
        <v>12</v>
      </c>
    </row>
    <row r="934" spans="1:18">
      <c r="A934" s="26">
        <v>2569</v>
      </c>
      <c r="B934" s="27">
        <v>34509</v>
      </c>
      <c r="C934" s="28" t="s">
        <v>3014</v>
      </c>
      <c r="D934" s="27">
        <v>34506</v>
      </c>
      <c r="E934" s="28" t="s">
        <v>3015</v>
      </c>
      <c r="F934" s="28" t="s">
        <v>52</v>
      </c>
      <c r="G934" s="28" t="s">
        <v>20</v>
      </c>
      <c r="H934" s="28" t="s">
        <v>21</v>
      </c>
      <c r="I934" s="28" t="s">
        <v>21</v>
      </c>
      <c r="J934" s="28" t="s">
        <v>3016</v>
      </c>
      <c r="K934" s="28" t="s">
        <v>1639</v>
      </c>
      <c r="L934" s="28" t="s">
        <v>24</v>
      </c>
      <c r="M934" s="28" t="s">
        <v>21</v>
      </c>
      <c r="N934" s="18"/>
      <c r="O934" s="92">
        <v>34514</v>
      </c>
      <c r="P934" s="28" t="s">
        <v>21</v>
      </c>
      <c r="Q934" s="26" t="b">
        <v>0</v>
      </c>
      <c r="R934" s="22">
        <f t="shared" si="14"/>
        <v>5</v>
      </c>
    </row>
    <row r="935" spans="1:18">
      <c r="A935" s="26">
        <v>2570</v>
      </c>
      <c r="B935" s="27">
        <v>34509</v>
      </c>
      <c r="C935" s="28" t="s">
        <v>3017</v>
      </c>
      <c r="D935" s="27">
        <v>34507</v>
      </c>
      <c r="E935" s="28" t="s">
        <v>3018</v>
      </c>
      <c r="F935" s="28" t="s">
        <v>104</v>
      </c>
      <c r="G935" s="28" t="s">
        <v>20</v>
      </c>
      <c r="H935" s="28" t="s">
        <v>21</v>
      </c>
      <c r="I935" s="28" t="s">
        <v>21</v>
      </c>
      <c r="J935" s="28" t="s">
        <v>3019</v>
      </c>
      <c r="K935" s="28" t="s">
        <v>3020</v>
      </c>
      <c r="L935" s="28" t="s">
        <v>30</v>
      </c>
      <c r="M935" s="28" t="s">
        <v>21</v>
      </c>
      <c r="N935" s="18"/>
      <c r="O935" s="92">
        <v>34698</v>
      </c>
      <c r="P935" s="28" t="s">
        <v>21</v>
      </c>
      <c r="Q935" s="26" t="b">
        <v>0</v>
      </c>
      <c r="R935" s="22">
        <f t="shared" si="14"/>
        <v>188</v>
      </c>
    </row>
    <row r="936" spans="1:18">
      <c r="A936" s="26">
        <v>2571</v>
      </c>
      <c r="B936" s="27">
        <v>34512</v>
      </c>
      <c r="C936" s="28" t="s">
        <v>3021</v>
      </c>
      <c r="D936" s="27">
        <v>34512</v>
      </c>
      <c r="E936" s="28" t="s">
        <v>3022</v>
      </c>
      <c r="F936" s="28" t="s">
        <v>1771</v>
      </c>
      <c r="G936" s="28" t="s">
        <v>20</v>
      </c>
      <c r="H936" s="28" t="s">
        <v>189</v>
      </c>
      <c r="I936" s="28" t="s">
        <v>189</v>
      </c>
      <c r="J936" s="28" t="s">
        <v>3023</v>
      </c>
      <c r="K936" s="28" t="s">
        <v>3024</v>
      </c>
      <c r="L936" s="28" t="s">
        <v>24</v>
      </c>
      <c r="M936" s="28" t="s">
        <v>21</v>
      </c>
      <c r="N936" s="18"/>
      <c r="O936" s="92">
        <v>34513</v>
      </c>
      <c r="P936" s="28" t="s">
        <v>21</v>
      </c>
      <c r="Q936" s="26" t="b">
        <v>0</v>
      </c>
      <c r="R936" s="22">
        <f t="shared" si="14"/>
        <v>1</v>
      </c>
    </row>
    <row r="937" spans="1:18">
      <c r="A937" s="26">
        <v>2575</v>
      </c>
      <c r="B937" s="27">
        <v>34513</v>
      </c>
      <c r="C937" s="28" t="s">
        <v>3025</v>
      </c>
      <c r="D937" s="27">
        <v>34502</v>
      </c>
      <c r="E937" s="28" t="s">
        <v>3026</v>
      </c>
      <c r="F937" s="28" t="s">
        <v>52</v>
      </c>
      <c r="G937" s="28" t="s">
        <v>20</v>
      </c>
      <c r="H937" s="28" t="s">
        <v>21</v>
      </c>
      <c r="I937" s="28" t="s">
        <v>21</v>
      </c>
      <c r="J937" s="28" t="s">
        <v>3027</v>
      </c>
      <c r="K937" s="28" t="s">
        <v>3028</v>
      </c>
      <c r="L937" s="28" t="s">
        <v>24</v>
      </c>
      <c r="M937" s="28" t="s">
        <v>21</v>
      </c>
      <c r="N937" s="18"/>
      <c r="O937" s="92">
        <v>34543</v>
      </c>
      <c r="P937" s="28" t="s">
        <v>21</v>
      </c>
      <c r="Q937" s="26" t="b">
        <v>0</v>
      </c>
      <c r="R937" s="22">
        <f t="shared" si="14"/>
        <v>30</v>
      </c>
    </row>
    <row r="938" spans="1:18">
      <c r="A938" s="26">
        <v>2592</v>
      </c>
      <c r="B938" s="27">
        <v>34515</v>
      </c>
      <c r="C938" s="28" t="s">
        <v>3029</v>
      </c>
      <c r="D938" s="27">
        <v>34515</v>
      </c>
      <c r="E938" s="28" t="s">
        <v>1443</v>
      </c>
      <c r="F938" s="28" t="s">
        <v>27</v>
      </c>
      <c r="G938" s="28" t="s">
        <v>20</v>
      </c>
      <c r="H938" s="28" t="s">
        <v>21</v>
      </c>
      <c r="I938" s="28" t="s">
        <v>21</v>
      </c>
      <c r="J938" s="28" t="s">
        <v>3030</v>
      </c>
      <c r="K938" s="28" t="s">
        <v>3031</v>
      </c>
      <c r="L938" s="28" t="s">
        <v>24</v>
      </c>
      <c r="M938" s="28" t="s">
        <v>21</v>
      </c>
      <c r="N938" s="18"/>
      <c r="O938" s="92">
        <v>34520</v>
      </c>
      <c r="P938" s="28" t="s">
        <v>21</v>
      </c>
      <c r="Q938" s="26" t="b">
        <v>0</v>
      </c>
      <c r="R938" s="22">
        <f t="shared" si="14"/>
        <v>5</v>
      </c>
    </row>
    <row r="939" spans="1:18">
      <c r="A939" s="26">
        <v>2593</v>
      </c>
      <c r="B939" s="27">
        <v>34516</v>
      </c>
      <c r="C939" s="28" t="s">
        <v>3032</v>
      </c>
      <c r="D939" s="27">
        <v>34514</v>
      </c>
      <c r="E939" s="28" t="s">
        <v>3033</v>
      </c>
      <c r="F939" s="28" t="s">
        <v>149</v>
      </c>
      <c r="G939" s="28" t="s">
        <v>20</v>
      </c>
      <c r="H939" s="28" t="s">
        <v>21</v>
      </c>
      <c r="I939" s="28" t="s">
        <v>21</v>
      </c>
      <c r="J939" s="28" t="s">
        <v>3034</v>
      </c>
      <c r="K939" s="28" t="s">
        <v>3035</v>
      </c>
      <c r="L939" s="28" t="s">
        <v>66</v>
      </c>
      <c r="M939" s="28" t="s">
        <v>88</v>
      </c>
      <c r="N939" s="18"/>
      <c r="O939" s="92">
        <v>36487</v>
      </c>
      <c r="P939" s="28" t="s">
        <v>21</v>
      </c>
      <c r="Q939" s="26" t="b">
        <v>0</v>
      </c>
      <c r="R939" s="22">
        <f t="shared" si="14"/>
        <v>1968</v>
      </c>
    </row>
    <row r="940" spans="1:18">
      <c r="A940" s="26">
        <v>2594</v>
      </c>
      <c r="B940" s="27">
        <v>34520</v>
      </c>
      <c r="C940" s="28" t="s">
        <v>3036</v>
      </c>
      <c r="D940" s="27">
        <v>34516</v>
      </c>
      <c r="E940" s="28" t="s">
        <v>38</v>
      </c>
      <c r="F940" s="28" t="s">
        <v>3037</v>
      </c>
      <c r="G940" s="28" t="s">
        <v>21</v>
      </c>
      <c r="H940" s="28" t="s">
        <v>21</v>
      </c>
      <c r="I940" s="28" t="s">
        <v>21</v>
      </c>
      <c r="J940" s="28" t="s">
        <v>3038</v>
      </c>
      <c r="K940" s="28" t="s">
        <v>3039</v>
      </c>
      <c r="L940" s="28" t="s">
        <v>24</v>
      </c>
      <c r="M940" s="28" t="s">
        <v>21</v>
      </c>
      <c r="N940" s="27">
        <v>34522</v>
      </c>
      <c r="O940" s="92">
        <v>34527</v>
      </c>
      <c r="P940" s="28" t="s">
        <v>21</v>
      </c>
      <c r="Q940" s="26" t="b">
        <v>0</v>
      </c>
      <c r="R940" s="22">
        <f t="shared" si="14"/>
        <v>7</v>
      </c>
    </row>
    <row r="941" spans="1:18">
      <c r="A941" s="26">
        <v>2598</v>
      </c>
      <c r="B941" s="27">
        <v>34520</v>
      </c>
      <c r="C941" s="28" t="s">
        <v>3040</v>
      </c>
      <c r="D941" s="27">
        <v>34517</v>
      </c>
      <c r="E941" s="28" t="s">
        <v>3041</v>
      </c>
      <c r="F941" s="28" t="s">
        <v>104</v>
      </c>
      <c r="G941" s="28" t="s">
        <v>20</v>
      </c>
      <c r="H941" s="28" t="s">
        <v>21</v>
      </c>
      <c r="I941" s="28" t="s">
        <v>21</v>
      </c>
      <c r="J941" s="28" t="s">
        <v>3042</v>
      </c>
      <c r="K941" s="28" t="s">
        <v>3043</v>
      </c>
      <c r="L941" s="28" t="s">
        <v>24</v>
      </c>
      <c r="M941" s="28" t="s">
        <v>21</v>
      </c>
      <c r="O941" s="92">
        <v>34345</v>
      </c>
      <c r="P941" s="28" t="s">
        <v>31</v>
      </c>
      <c r="Q941" s="26" t="b">
        <v>0</v>
      </c>
      <c r="R941" s="22">
        <f t="shared" si="14"/>
        <v>176</v>
      </c>
    </row>
    <row r="942" spans="1:18">
      <c r="A942" s="26">
        <v>2599</v>
      </c>
      <c r="B942" s="27">
        <v>34521</v>
      </c>
      <c r="C942" s="28" t="s">
        <v>3044</v>
      </c>
      <c r="D942" s="27">
        <v>34521</v>
      </c>
      <c r="E942" s="28" t="s">
        <v>3045</v>
      </c>
      <c r="F942" s="28" t="s">
        <v>3046</v>
      </c>
      <c r="G942" s="28" t="s">
        <v>21</v>
      </c>
      <c r="H942" s="28" t="s">
        <v>21</v>
      </c>
      <c r="I942" s="28" t="s">
        <v>21</v>
      </c>
      <c r="J942" s="28" t="s">
        <v>3047</v>
      </c>
      <c r="K942" s="28" t="s">
        <v>3048</v>
      </c>
      <c r="L942" s="28" t="s">
        <v>24</v>
      </c>
      <c r="M942" s="28" t="s">
        <v>21</v>
      </c>
      <c r="N942" s="29">
        <v>34526</v>
      </c>
      <c r="O942" s="92">
        <v>34526</v>
      </c>
      <c r="P942" s="28" t="s">
        <v>31</v>
      </c>
      <c r="Q942" s="26" t="b">
        <v>0</v>
      </c>
      <c r="R942" s="22">
        <f t="shared" si="14"/>
        <v>5</v>
      </c>
    </row>
    <row r="943" spans="1:18">
      <c r="A943" s="26">
        <v>2609</v>
      </c>
      <c r="B943" s="27">
        <v>34522</v>
      </c>
      <c r="C943" s="28" t="s">
        <v>3049</v>
      </c>
      <c r="D943" s="27">
        <v>34520</v>
      </c>
      <c r="E943" s="28" t="s">
        <v>3050</v>
      </c>
      <c r="F943" s="28" t="s">
        <v>228</v>
      </c>
      <c r="G943" s="28" t="s">
        <v>20</v>
      </c>
      <c r="H943" s="28" t="s">
        <v>21</v>
      </c>
      <c r="I943" s="28" t="s">
        <v>21</v>
      </c>
      <c r="J943" s="28" t="s">
        <v>3051</v>
      </c>
      <c r="K943" s="28" t="s">
        <v>3052</v>
      </c>
      <c r="L943" s="28" t="s">
        <v>30</v>
      </c>
      <c r="M943" s="28" t="s">
        <v>21</v>
      </c>
      <c r="N943" s="27">
        <v>34546</v>
      </c>
      <c r="O943" s="92">
        <v>34761</v>
      </c>
      <c r="P943" s="28" t="s">
        <v>31</v>
      </c>
      <c r="Q943" s="26" t="b">
        <v>0</v>
      </c>
      <c r="R943" s="22">
        <f t="shared" si="14"/>
        <v>239</v>
      </c>
    </row>
    <row r="944" spans="1:18">
      <c r="A944" s="26">
        <v>2610</v>
      </c>
      <c r="B944" s="27">
        <v>34522</v>
      </c>
      <c r="C944" s="28" t="s">
        <v>3053</v>
      </c>
      <c r="D944" s="27">
        <v>34514</v>
      </c>
      <c r="E944" s="28" t="s">
        <v>3054</v>
      </c>
      <c r="F944" s="28" t="s">
        <v>1771</v>
      </c>
      <c r="G944" s="28" t="s">
        <v>20</v>
      </c>
      <c r="H944" s="28" t="s">
        <v>189</v>
      </c>
      <c r="I944" s="28" t="s">
        <v>189</v>
      </c>
      <c r="J944" s="28" t="s">
        <v>3055</v>
      </c>
      <c r="K944" s="28" t="s">
        <v>3056</v>
      </c>
      <c r="L944" s="28" t="s">
        <v>24</v>
      </c>
      <c r="M944" s="28" t="s">
        <v>21</v>
      </c>
      <c r="N944" s="18"/>
      <c r="O944" s="92">
        <v>34535</v>
      </c>
      <c r="P944" s="28" t="s">
        <v>21</v>
      </c>
      <c r="Q944" s="26" t="b">
        <v>0</v>
      </c>
      <c r="R944" s="22">
        <f t="shared" si="14"/>
        <v>13</v>
      </c>
    </row>
    <row r="945" spans="1:18">
      <c r="A945" s="26">
        <v>2618</v>
      </c>
      <c r="B945" s="27">
        <v>34526</v>
      </c>
      <c r="C945" s="28" t="s">
        <v>3057</v>
      </c>
      <c r="D945" s="27">
        <v>34522</v>
      </c>
      <c r="E945" s="28" t="s">
        <v>3058</v>
      </c>
      <c r="F945" s="28" t="s">
        <v>56</v>
      </c>
      <c r="G945" s="28" t="s">
        <v>20</v>
      </c>
      <c r="H945" s="28" t="s">
        <v>21</v>
      </c>
      <c r="I945" s="28" t="s">
        <v>21</v>
      </c>
      <c r="J945" s="28" t="s">
        <v>3059</v>
      </c>
      <c r="K945" s="28" t="s">
        <v>3060</v>
      </c>
      <c r="L945" s="28" t="s">
        <v>66</v>
      </c>
      <c r="M945" s="28" t="s">
        <v>30</v>
      </c>
      <c r="N945" s="18"/>
      <c r="O945" s="92">
        <v>36500</v>
      </c>
      <c r="P945" s="28" t="s">
        <v>21</v>
      </c>
      <c r="Q945" s="26" t="b">
        <v>0</v>
      </c>
      <c r="R945" s="22">
        <f t="shared" si="14"/>
        <v>1972</v>
      </c>
    </row>
    <row r="946" spans="1:18">
      <c r="A946" s="26">
        <v>2619</v>
      </c>
      <c r="B946" s="27">
        <v>34526</v>
      </c>
      <c r="C946" s="28" t="s">
        <v>3061</v>
      </c>
      <c r="D946" s="27">
        <v>34523</v>
      </c>
      <c r="E946" s="28" t="s">
        <v>38</v>
      </c>
      <c r="F946" s="28" t="s">
        <v>3062</v>
      </c>
      <c r="G946" s="28" t="s">
        <v>20</v>
      </c>
      <c r="H946" s="28" t="s">
        <v>21</v>
      </c>
      <c r="I946" s="28" t="s">
        <v>21</v>
      </c>
      <c r="J946" s="28" t="s">
        <v>3063</v>
      </c>
      <c r="K946" s="28" t="s">
        <v>3064</v>
      </c>
      <c r="L946" s="28" t="s">
        <v>24</v>
      </c>
      <c r="M946" s="28" t="s">
        <v>21</v>
      </c>
      <c r="N946" s="29">
        <v>34544</v>
      </c>
      <c r="O946" s="92">
        <v>34536</v>
      </c>
      <c r="P946" s="28" t="s">
        <v>21</v>
      </c>
      <c r="Q946" s="26" t="b">
        <v>0</v>
      </c>
      <c r="R946" s="22">
        <f t="shared" si="14"/>
        <v>10</v>
      </c>
    </row>
    <row r="947" spans="1:18">
      <c r="A947" s="26">
        <v>2620</v>
      </c>
      <c r="B947" s="27">
        <v>34526</v>
      </c>
      <c r="C947" s="28" t="s">
        <v>3065</v>
      </c>
      <c r="D947" s="27">
        <v>34521</v>
      </c>
      <c r="E947" s="28" t="s">
        <v>3066</v>
      </c>
      <c r="F947" s="28" t="s">
        <v>188</v>
      </c>
      <c r="G947" s="28" t="s">
        <v>20</v>
      </c>
      <c r="H947" s="28" t="s">
        <v>189</v>
      </c>
      <c r="I947" s="28" t="s">
        <v>189</v>
      </c>
      <c r="J947" s="28" t="s">
        <v>3067</v>
      </c>
      <c r="K947" s="28" t="s">
        <v>3068</v>
      </c>
      <c r="L947" s="28" t="s">
        <v>24</v>
      </c>
      <c r="M947" s="28" t="s">
        <v>21</v>
      </c>
      <c r="O947" s="92">
        <v>34684</v>
      </c>
      <c r="P947" s="28" t="s">
        <v>21</v>
      </c>
      <c r="Q947" s="26" t="b">
        <v>0</v>
      </c>
      <c r="R947" s="22">
        <f t="shared" si="14"/>
        <v>157</v>
      </c>
    </row>
    <row r="948" spans="1:18">
      <c r="A948" s="26">
        <v>2626</v>
      </c>
      <c r="B948" s="27">
        <v>34527</v>
      </c>
      <c r="C948" s="28" t="s">
        <v>3069</v>
      </c>
      <c r="D948" s="27">
        <v>34526</v>
      </c>
      <c r="E948" s="28" t="s">
        <v>1443</v>
      </c>
      <c r="F948" s="28" t="s">
        <v>56</v>
      </c>
      <c r="G948" s="28" t="s">
        <v>20</v>
      </c>
      <c r="H948" s="28" t="s">
        <v>21</v>
      </c>
      <c r="I948" s="28" t="s">
        <v>21</v>
      </c>
      <c r="J948" s="28" t="s">
        <v>255</v>
      </c>
      <c r="K948" s="28" t="s">
        <v>3070</v>
      </c>
      <c r="L948" s="28" t="s">
        <v>24</v>
      </c>
      <c r="M948" s="28" t="s">
        <v>21</v>
      </c>
      <c r="O948" s="92">
        <v>34537</v>
      </c>
      <c r="P948" s="28" t="s">
        <v>21</v>
      </c>
      <c r="Q948" s="26" t="b">
        <v>0</v>
      </c>
      <c r="R948" s="22">
        <f t="shared" si="14"/>
        <v>10</v>
      </c>
    </row>
    <row r="949" spans="1:18">
      <c r="A949" s="26">
        <v>2632</v>
      </c>
      <c r="B949" s="27">
        <v>34528</v>
      </c>
      <c r="C949" s="28" t="s">
        <v>3071</v>
      </c>
      <c r="D949" s="27">
        <v>34528</v>
      </c>
      <c r="E949" s="28" t="s">
        <v>3072</v>
      </c>
      <c r="F949" s="28" t="s">
        <v>1939</v>
      </c>
      <c r="G949" s="28" t="s">
        <v>20</v>
      </c>
      <c r="H949" s="28" t="s">
        <v>21</v>
      </c>
      <c r="I949" s="28" t="s">
        <v>21</v>
      </c>
      <c r="J949" s="28" t="s">
        <v>3073</v>
      </c>
      <c r="K949" s="28" t="s">
        <v>3074</v>
      </c>
      <c r="L949" s="28" t="s">
        <v>24</v>
      </c>
      <c r="M949" s="28" t="s">
        <v>21</v>
      </c>
      <c r="N949" s="18"/>
      <c r="O949" s="92">
        <v>34541</v>
      </c>
      <c r="P949" s="28" t="s">
        <v>21</v>
      </c>
      <c r="Q949" s="26" t="b">
        <v>0</v>
      </c>
      <c r="R949" s="22">
        <f t="shared" si="14"/>
        <v>13</v>
      </c>
    </row>
    <row r="950" spans="1:18">
      <c r="A950" s="26">
        <v>2645</v>
      </c>
      <c r="B950" s="27">
        <v>34529</v>
      </c>
      <c r="C950" s="28" t="s">
        <v>3075</v>
      </c>
      <c r="D950" s="27">
        <v>34528</v>
      </c>
      <c r="E950" s="28" t="s">
        <v>38</v>
      </c>
      <c r="F950" s="28" t="s">
        <v>129</v>
      </c>
      <c r="G950" s="28" t="s">
        <v>20</v>
      </c>
      <c r="H950" s="28" t="s">
        <v>21</v>
      </c>
      <c r="I950" s="28" t="s">
        <v>21</v>
      </c>
      <c r="J950" s="28" t="s">
        <v>3076</v>
      </c>
      <c r="K950" s="28" t="s">
        <v>3077</v>
      </c>
      <c r="L950" s="28" t="s">
        <v>24</v>
      </c>
      <c r="M950" s="28" t="s">
        <v>21</v>
      </c>
      <c r="O950" s="92">
        <v>34817</v>
      </c>
      <c r="P950" s="28" t="s">
        <v>31</v>
      </c>
      <c r="Q950" s="26" t="b">
        <v>0</v>
      </c>
      <c r="R950" s="22">
        <f t="shared" si="14"/>
        <v>287</v>
      </c>
    </row>
    <row r="951" spans="1:18">
      <c r="A951" s="26">
        <v>2649</v>
      </c>
      <c r="B951" s="27">
        <v>34529</v>
      </c>
      <c r="C951" s="28" t="s">
        <v>3078</v>
      </c>
      <c r="D951" s="27">
        <v>34529</v>
      </c>
      <c r="E951" s="28" t="s">
        <v>2925</v>
      </c>
      <c r="F951" s="28" t="s">
        <v>104</v>
      </c>
      <c r="G951" s="28" t="s">
        <v>20</v>
      </c>
      <c r="H951" s="28" t="s">
        <v>21</v>
      </c>
      <c r="I951" s="28" t="s">
        <v>21</v>
      </c>
      <c r="J951" s="28" t="s">
        <v>3009</v>
      </c>
      <c r="K951" s="28" t="s">
        <v>3079</v>
      </c>
      <c r="L951" s="28" t="s">
        <v>2927</v>
      </c>
      <c r="M951" s="28" t="s">
        <v>21</v>
      </c>
      <c r="O951" s="92">
        <v>34533</v>
      </c>
      <c r="P951" s="28" t="s">
        <v>31</v>
      </c>
      <c r="Q951" s="26" t="b">
        <v>0</v>
      </c>
      <c r="R951" s="22">
        <f t="shared" si="14"/>
        <v>4</v>
      </c>
    </row>
    <row r="952" spans="1:18">
      <c r="A952" s="26">
        <v>2663</v>
      </c>
      <c r="B952" s="27">
        <v>34529</v>
      </c>
      <c r="C952" s="28" t="s">
        <v>3084</v>
      </c>
      <c r="D952" s="27">
        <v>34526</v>
      </c>
      <c r="E952" s="28" t="s">
        <v>3085</v>
      </c>
      <c r="F952" s="28" t="s">
        <v>27</v>
      </c>
      <c r="G952" s="28" t="s">
        <v>20</v>
      </c>
      <c r="H952" s="28" t="s">
        <v>21</v>
      </c>
      <c r="I952" s="28" t="s">
        <v>21</v>
      </c>
      <c r="J952" s="28" t="s">
        <v>3086</v>
      </c>
      <c r="K952" s="28" t="s">
        <v>3087</v>
      </c>
      <c r="L952" s="28" t="s">
        <v>66</v>
      </c>
      <c r="M952" s="28" t="s">
        <v>21</v>
      </c>
      <c r="N952" s="18"/>
      <c r="O952" s="92">
        <v>35506</v>
      </c>
      <c r="P952" s="28" t="s">
        <v>31</v>
      </c>
      <c r="Q952" s="26" t="b">
        <v>0</v>
      </c>
      <c r="R952" s="22">
        <f t="shared" si="14"/>
        <v>976</v>
      </c>
    </row>
    <row r="953" spans="1:18" ht="24">
      <c r="A953" s="26">
        <v>2656</v>
      </c>
      <c r="B953" s="27">
        <v>34530</v>
      </c>
      <c r="C953" s="28" t="s">
        <v>3080</v>
      </c>
      <c r="D953" s="27">
        <v>34527</v>
      </c>
      <c r="E953" s="28" t="s">
        <v>3081</v>
      </c>
      <c r="F953" s="28" t="s">
        <v>70</v>
      </c>
      <c r="G953" s="28" t="s">
        <v>20</v>
      </c>
      <c r="H953" s="28" t="s">
        <v>71</v>
      </c>
      <c r="I953" s="28" t="s">
        <v>72</v>
      </c>
      <c r="J953" s="28" t="s">
        <v>3082</v>
      </c>
      <c r="K953" s="28" t="s">
        <v>3083</v>
      </c>
      <c r="L953" s="28" t="s">
        <v>314</v>
      </c>
      <c r="M953" s="28" t="s">
        <v>1800</v>
      </c>
      <c r="N953" s="18"/>
      <c r="O953" s="92">
        <v>37798</v>
      </c>
      <c r="P953" s="28" t="s">
        <v>21</v>
      </c>
      <c r="Q953" s="26" t="b">
        <v>0</v>
      </c>
      <c r="R953" s="22">
        <f t="shared" si="14"/>
        <v>3265</v>
      </c>
    </row>
    <row r="954" spans="1:18">
      <c r="A954" s="26">
        <v>2664</v>
      </c>
      <c r="B954" s="27">
        <v>34530</v>
      </c>
      <c r="C954" s="28" t="s">
        <v>3088</v>
      </c>
      <c r="D954" s="27">
        <v>34529</v>
      </c>
      <c r="E954" s="28" t="s">
        <v>38</v>
      </c>
      <c r="F954" s="28" t="s">
        <v>27</v>
      </c>
      <c r="G954" s="28" t="s">
        <v>20</v>
      </c>
      <c r="H954" s="28" t="s">
        <v>21</v>
      </c>
      <c r="I954" s="28" t="s">
        <v>21</v>
      </c>
      <c r="J954" s="28" t="s">
        <v>3089</v>
      </c>
      <c r="K954" s="28" t="s">
        <v>3090</v>
      </c>
      <c r="L954" s="28" t="s">
        <v>30</v>
      </c>
      <c r="M954" s="28" t="s">
        <v>21</v>
      </c>
      <c r="N954" s="18"/>
      <c r="O954" s="92">
        <v>34974</v>
      </c>
      <c r="P954" s="28" t="s">
        <v>31</v>
      </c>
      <c r="Q954" s="26" t="b">
        <v>0</v>
      </c>
      <c r="R954" s="22">
        <f t="shared" si="14"/>
        <v>443</v>
      </c>
    </row>
    <row r="955" spans="1:18">
      <c r="A955" s="26">
        <v>2665</v>
      </c>
      <c r="B955" s="27">
        <v>34533</v>
      </c>
      <c r="C955" s="28" t="s">
        <v>3091</v>
      </c>
      <c r="D955" s="27">
        <v>34533</v>
      </c>
      <c r="E955" s="28" t="s">
        <v>2925</v>
      </c>
      <c r="F955" s="28" t="s">
        <v>1149</v>
      </c>
      <c r="G955" s="28" t="s">
        <v>21</v>
      </c>
      <c r="H955" s="28" t="s">
        <v>21</v>
      </c>
      <c r="I955" s="28" t="s">
        <v>21</v>
      </c>
      <c r="J955" s="28" t="s">
        <v>3092</v>
      </c>
      <c r="K955" s="28" t="s">
        <v>3093</v>
      </c>
      <c r="L955" s="28" t="s">
        <v>2927</v>
      </c>
      <c r="M955" s="28" t="s">
        <v>21</v>
      </c>
      <c r="N955" s="18"/>
      <c r="O955" s="92">
        <v>34535</v>
      </c>
      <c r="P955" s="28" t="s">
        <v>21</v>
      </c>
      <c r="Q955" s="26" t="b">
        <v>0</v>
      </c>
      <c r="R955" s="22">
        <f t="shared" si="14"/>
        <v>2</v>
      </c>
    </row>
    <row r="956" spans="1:18" ht="24">
      <c r="A956" s="26">
        <v>2670</v>
      </c>
      <c r="B956" s="27">
        <v>34534</v>
      </c>
      <c r="C956" s="28" t="s">
        <v>3094</v>
      </c>
      <c r="D956" s="27">
        <v>34529</v>
      </c>
      <c r="E956" s="28" t="s">
        <v>299</v>
      </c>
      <c r="F956" s="28" t="s">
        <v>3095</v>
      </c>
      <c r="G956" s="28" t="s">
        <v>21</v>
      </c>
      <c r="H956" s="28" t="s">
        <v>21</v>
      </c>
      <c r="I956" s="28" t="s">
        <v>21</v>
      </c>
      <c r="J956" s="28" t="s">
        <v>3096</v>
      </c>
      <c r="K956" s="28" t="s">
        <v>3097</v>
      </c>
      <c r="L956" s="28" t="s">
        <v>3098</v>
      </c>
      <c r="M956" s="28" t="s">
        <v>21</v>
      </c>
      <c r="N956" s="27">
        <v>34551</v>
      </c>
      <c r="O956" s="92">
        <v>34534</v>
      </c>
      <c r="P956" s="28" t="s">
        <v>21</v>
      </c>
      <c r="Q956" s="26" t="b">
        <v>0</v>
      </c>
      <c r="R956" s="22">
        <f t="shared" si="14"/>
        <v>0</v>
      </c>
    </row>
    <row r="957" spans="1:18">
      <c r="A957" s="26">
        <v>2671</v>
      </c>
      <c r="B957" s="27">
        <v>34534</v>
      </c>
      <c r="C957" s="28" t="s">
        <v>3099</v>
      </c>
      <c r="D957" s="27">
        <v>34529</v>
      </c>
      <c r="E957" s="28" t="s">
        <v>38</v>
      </c>
      <c r="F957" s="28" t="s">
        <v>85</v>
      </c>
      <c r="G957" s="28" t="s">
        <v>20</v>
      </c>
      <c r="H957" s="28" t="s">
        <v>21</v>
      </c>
      <c r="I957" s="28" t="s">
        <v>21</v>
      </c>
      <c r="J957" s="28" t="s">
        <v>3100</v>
      </c>
      <c r="K957" s="28" t="s">
        <v>3101</v>
      </c>
      <c r="L957" s="28" t="s">
        <v>30</v>
      </c>
      <c r="M957" s="28" t="s">
        <v>21</v>
      </c>
      <c r="N957" s="29">
        <v>34536</v>
      </c>
      <c r="O957" s="92">
        <v>34535</v>
      </c>
      <c r="P957" s="28" t="s">
        <v>21</v>
      </c>
      <c r="Q957" s="26" t="b">
        <v>0</v>
      </c>
      <c r="R957" s="22">
        <f t="shared" si="14"/>
        <v>1</v>
      </c>
    </row>
    <row r="958" spans="1:18">
      <c r="A958" s="26">
        <v>2675</v>
      </c>
      <c r="B958" s="27">
        <v>34535</v>
      </c>
      <c r="C958" s="28" t="s">
        <v>3102</v>
      </c>
      <c r="D958" s="27">
        <v>34534</v>
      </c>
      <c r="E958" s="28" t="s">
        <v>3103</v>
      </c>
      <c r="F958" s="28" t="s">
        <v>98</v>
      </c>
      <c r="G958" s="28" t="s">
        <v>20</v>
      </c>
      <c r="H958" s="28" t="s">
        <v>21</v>
      </c>
      <c r="I958" s="28" t="s">
        <v>21</v>
      </c>
      <c r="J958" s="28" t="s">
        <v>3104</v>
      </c>
      <c r="K958" s="28" t="s">
        <v>3105</v>
      </c>
      <c r="L958" s="28" t="s">
        <v>686</v>
      </c>
      <c r="M958" s="28" t="s">
        <v>21</v>
      </c>
      <c r="N958" s="27">
        <v>35835</v>
      </c>
      <c r="O958" s="92">
        <v>35828</v>
      </c>
      <c r="P958" s="28" t="s">
        <v>31</v>
      </c>
      <c r="Q958" s="26" t="b">
        <v>0</v>
      </c>
      <c r="R958" s="22">
        <f t="shared" si="14"/>
        <v>1289</v>
      </c>
    </row>
    <row r="959" spans="1:18">
      <c r="A959" s="26">
        <v>2679</v>
      </c>
      <c r="B959" s="27">
        <v>34536</v>
      </c>
      <c r="C959" s="28" t="s">
        <v>3106</v>
      </c>
      <c r="D959" s="27">
        <v>34532</v>
      </c>
      <c r="E959" s="28" t="s">
        <v>38</v>
      </c>
      <c r="F959" s="28" t="s">
        <v>39</v>
      </c>
      <c r="G959" s="28" t="s">
        <v>20</v>
      </c>
      <c r="H959" s="28" t="s">
        <v>21</v>
      </c>
      <c r="I959" s="28" t="s">
        <v>21</v>
      </c>
      <c r="J959" s="28" t="s">
        <v>3107</v>
      </c>
      <c r="K959" s="28" t="s">
        <v>3108</v>
      </c>
      <c r="L959" s="28" t="s">
        <v>24</v>
      </c>
      <c r="M959" s="28" t="s">
        <v>21</v>
      </c>
      <c r="N959" s="29">
        <v>34542</v>
      </c>
      <c r="O959" s="92">
        <v>34557</v>
      </c>
      <c r="P959" s="28" t="s">
        <v>31</v>
      </c>
      <c r="Q959" s="26" t="b">
        <v>0</v>
      </c>
      <c r="R959" s="22">
        <f t="shared" si="14"/>
        <v>20</v>
      </c>
    </row>
    <row r="960" spans="1:18">
      <c r="A960" s="26">
        <v>2707</v>
      </c>
      <c r="B960" s="27">
        <v>34537</v>
      </c>
      <c r="C960" s="28" t="s">
        <v>3109</v>
      </c>
      <c r="D960" s="27">
        <v>34537</v>
      </c>
      <c r="E960" s="28" t="s">
        <v>38</v>
      </c>
      <c r="F960" s="28" t="s">
        <v>39</v>
      </c>
      <c r="G960" s="28" t="s">
        <v>20</v>
      </c>
      <c r="H960" s="28" t="s">
        <v>21</v>
      </c>
      <c r="I960" s="28" t="s">
        <v>21</v>
      </c>
      <c r="J960" s="28" t="s">
        <v>3110</v>
      </c>
      <c r="K960" s="28" t="s">
        <v>3111</v>
      </c>
      <c r="L960" s="28" t="s">
        <v>24</v>
      </c>
      <c r="M960" s="28" t="s">
        <v>21</v>
      </c>
      <c r="N960" s="18"/>
      <c r="O960" s="92">
        <v>34540</v>
      </c>
      <c r="P960" s="28" t="s">
        <v>31</v>
      </c>
      <c r="Q960" s="26" t="b">
        <v>0</v>
      </c>
      <c r="R960" s="22">
        <f t="shared" si="14"/>
        <v>3</v>
      </c>
    </row>
    <row r="961" spans="1:18">
      <c r="A961" s="26">
        <v>2710</v>
      </c>
      <c r="B961" s="27">
        <v>34537</v>
      </c>
      <c r="C961" s="28" t="s">
        <v>3112</v>
      </c>
      <c r="D961" s="27">
        <v>34537</v>
      </c>
      <c r="E961" s="28" t="s">
        <v>38</v>
      </c>
      <c r="F961" s="28" t="s">
        <v>104</v>
      </c>
      <c r="G961" s="28" t="s">
        <v>20</v>
      </c>
      <c r="H961" s="28" t="s">
        <v>21</v>
      </c>
      <c r="I961" s="28" t="s">
        <v>21</v>
      </c>
      <c r="J961" s="28" t="s">
        <v>3113</v>
      </c>
      <c r="K961" s="28" t="s">
        <v>3114</v>
      </c>
      <c r="L961" s="28" t="s">
        <v>24</v>
      </c>
      <c r="M961" s="28" t="s">
        <v>21</v>
      </c>
      <c r="N961" s="27">
        <v>34544</v>
      </c>
      <c r="O961" s="92">
        <v>34537</v>
      </c>
      <c r="P961" s="28" t="s">
        <v>21</v>
      </c>
      <c r="Q961" s="26" t="b">
        <v>0</v>
      </c>
      <c r="R961" s="22">
        <f t="shared" si="14"/>
        <v>0</v>
      </c>
    </row>
    <row r="962" spans="1:18">
      <c r="A962" s="26">
        <v>2713</v>
      </c>
      <c r="B962" s="27">
        <v>34540</v>
      </c>
      <c r="C962" s="28" t="s">
        <v>3115</v>
      </c>
      <c r="D962" s="27">
        <v>34537</v>
      </c>
      <c r="E962" s="28" t="s">
        <v>3116</v>
      </c>
      <c r="F962" s="28" t="s">
        <v>741</v>
      </c>
      <c r="G962" s="28" t="s">
        <v>20</v>
      </c>
      <c r="H962" s="28" t="s">
        <v>21</v>
      </c>
      <c r="I962" s="28" t="s">
        <v>21</v>
      </c>
      <c r="J962" s="28" t="s">
        <v>3117</v>
      </c>
      <c r="K962" s="28" t="s">
        <v>3118</v>
      </c>
      <c r="L962" s="28" t="s">
        <v>24</v>
      </c>
      <c r="M962" s="28" t="s">
        <v>21</v>
      </c>
      <c r="N962" s="29">
        <v>34547</v>
      </c>
      <c r="O962" s="92">
        <v>34578</v>
      </c>
      <c r="P962" s="28" t="s">
        <v>21</v>
      </c>
      <c r="Q962" s="26" t="b">
        <v>0</v>
      </c>
      <c r="R962" s="22">
        <f t="shared" ref="R962:R1025" si="15">IF(O962=" ", " ", INT(YEARFRAC(O962, B962)*365))</f>
        <v>36</v>
      </c>
    </row>
    <row r="963" spans="1:18">
      <c r="A963" s="26">
        <v>2715</v>
      </c>
      <c r="B963" s="27">
        <v>34541</v>
      </c>
      <c r="C963" s="28" t="s">
        <v>3119</v>
      </c>
      <c r="D963" s="27">
        <v>34539</v>
      </c>
      <c r="E963" s="28" t="s">
        <v>38</v>
      </c>
      <c r="F963" s="28" t="s">
        <v>70</v>
      </c>
      <c r="G963" s="28" t="s">
        <v>20</v>
      </c>
      <c r="H963" s="28" t="s">
        <v>71</v>
      </c>
      <c r="I963" s="28" t="s">
        <v>72</v>
      </c>
      <c r="J963" s="28" t="s">
        <v>3120</v>
      </c>
      <c r="K963" s="28" t="s">
        <v>3121</v>
      </c>
      <c r="L963" s="28" t="s">
        <v>67</v>
      </c>
      <c r="M963" s="28" t="s">
        <v>21</v>
      </c>
      <c r="N963" s="27">
        <v>34549</v>
      </c>
      <c r="O963" s="92">
        <v>35718</v>
      </c>
      <c r="P963" s="28" t="s">
        <v>31</v>
      </c>
      <c r="Q963" s="26" t="b">
        <v>0</v>
      </c>
      <c r="R963" s="22">
        <f t="shared" si="15"/>
        <v>1175</v>
      </c>
    </row>
    <row r="964" spans="1:18">
      <c r="A964" s="26">
        <v>2730</v>
      </c>
      <c r="B964" s="27">
        <v>34543</v>
      </c>
      <c r="C964" s="28" t="s">
        <v>3125</v>
      </c>
      <c r="D964" s="27">
        <v>34540</v>
      </c>
      <c r="E964" s="28" t="s">
        <v>3126</v>
      </c>
      <c r="F964" s="28" t="s">
        <v>124</v>
      </c>
      <c r="G964" s="28" t="s">
        <v>21</v>
      </c>
      <c r="H964" s="28" t="s">
        <v>21</v>
      </c>
      <c r="I964" s="28" t="s">
        <v>21</v>
      </c>
      <c r="J964" s="28" t="s">
        <v>3127</v>
      </c>
      <c r="K964" s="28" t="s">
        <v>3128</v>
      </c>
      <c r="L964" s="28" t="s">
        <v>24</v>
      </c>
      <c r="M964" s="28" t="s">
        <v>21</v>
      </c>
      <c r="N964" s="29">
        <v>34554</v>
      </c>
      <c r="O964" s="92">
        <v>34548</v>
      </c>
      <c r="P964" s="28" t="s">
        <v>31</v>
      </c>
      <c r="Q964" s="26" t="b">
        <v>0</v>
      </c>
      <c r="R964" s="22">
        <f t="shared" si="15"/>
        <v>4</v>
      </c>
    </row>
    <row r="965" spans="1:18">
      <c r="A965" s="26">
        <v>2734</v>
      </c>
      <c r="B965" s="27">
        <v>34547</v>
      </c>
      <c r="C965" s="28" t="s">
        <v>3129</v>
      </c>
      <c r="D965" s="27">
        <v>34544</v>
      </c>
      <c r="E965" s="28" t="s">
        <v>3130</v>
      </c>
      <c r="F965" s="28" t="s">
        <v>85</v>
      </c>
      <c r="G965" s="28" t="s">
        <v>20</v>
      </c>
      <c r="H965" s="28" t="s">
        <v>21</v>
      </c>
      <c r="I965" s="28" t="s">
        <v>21</v>
      </c>
      <c r="J965" s="28" t="s">
        <v>3131</v>
      </c>
      <c r="K965" s="28" t="s">
        <v>3132</v>
      </c>
      <c r="L965" s="28" t="s">
        <v>30</v>
      </c>
      <c r="M965" s="28" t="s">
        <v>21</v>
      </c>
      <c r="N965" s="29">
        <v>34577</v>
      </c>
      <c r="O965" s="92">
        <v>34698</v>
      </c>
      <c r="P965" s="28" t="s">
        <v>31</v>
      </c>
      <c r="Q965" s="26" t="b">
        <v>0</v>
      </c>
      <c r="R965" s="22">
        <f t="shared" si="15"/>
        <v>151</v>
      </c>
    </row>
    <row r="966" spans="1:18">
      <c r="A966" s="26">
        <v>2738</v>
      </c>
      <c r="B966" s="27">
        <v>34550</v>
      </c>
      <c r="C966" s="28" t="s">
        <v>3133</v>
      </c>
      <c r="D966" s="27">
        <v>34547</v>
      </c>
      <c r="E966" s="28" t="s">
        <v>38</v>
      </c>
      <c r="F966" s="28" t="s">
        <v>43</v>
      </c>
      <c r="G966" s="28" t="s">
        <v>20</v>
      </c>
      <c r="H966" s="28" t="s">
        <v>21</v>
      </c>
      <c r="I966" s="28" t="s">
        <v>21</v>
      </c>
      <c r="J966" s="28" t="s">
        <v>3134</v>
      </c>
      <c r="K966" s="28" t="s">
        <v>3012</v>
      </c>
      <c r="L966" s="28" t="s">
        <v>82</v>
      </c>
      <c r="M966" s="28" t="s">
        <v>21</v>
      </c>
      <c r="N966" s="27">
        <v>34558</v>
      </c>
      <c r="O966" s="92">
        <v>34781</v>
      </c>
      <c r="P966" s="28" t="s">
        <v>31</v>
      </c>
      <c r="Q966" s="26" t="b">
        <v>0</v>
      </c>
      <c r="R966" s="22">
        <f t="shared" si="15"/>
        <v>232</v>
      </c>
    </row>
    <row r="967" spans="1:18">
      <c r="A967" s="26">
        <v>2749</v>
      </c>
      <c r="B967" s="27">
        <v>34554</v>
      </c>
      <c r="C967" s="28" t="s">
        <v>3135</v>
      </c>
      <c r="D967" s="27">
        <v>34549</v>
      </c>
      <c r="E967" s="28" t="s">
        <v>3136</v>
      </c>
      <c r="F967" s="28" t="s">
        <v>27</v>
      </c>
      <c r="G967" s="28" t="s">
        <v>20</v>
      </c>
      <c r="H967" s="28" t="s">
        <v>21</v>
      </c>
      <c r="I967" s="28" t="s">
        <v>21</v>
      </c>
      <c r="J967" s="28" t="s">
        <v>3137</v>
      </c>
      <c r="K967" s="28" t="s">
        <v>3138</v>
      </c>
      <c r="L967" s="28" t="s">
        <v>24</v>
      </c>
      <c r="M967" s="28" t="s">
        <v>21</v>
      </c>
      <c r="N967" s="18"/>
      <c r="O967" s="92">
        <v>34589</v>
      </c>
      <c r="P967" s="28" t="s">
        <v>31</v>
      </c>
      <c r="Q967" s="26" t="b">
        <v>0</v>
      </c>
      <c r="R967" s="22">
        <f t="shared" si="15"/>
        <v>34</v>
      </c>
    </row>
    <row r="968" spans="1:18">
      <c r="A968" s="26">
        <v>2755</v>
      </c>
      <c r="B968" s="27">
        <v>34556</v>
      </c>
      <c r="C968" s="28" t="s">
        <v>3139</v>
      </c>
      <c r="D968" s="27">
        <v>34554</v>
      </c>
      <c r="E968" s="28" t="s">
        <v>38</v>
      </c>
      <c r="F968" s="28" t="s">
        <v>408</v>
      </c>
      <c r="G968" s="28" t="s">
        <v>21</v>
      </c>
      <c r="H968" s="28" t="s">
        <v>566</v>
      </c>
      <c r="I968" s="28" t="s">
        <v>566</v>
      </c>
      <c r="J968" s="28" t="s">
        <v>3140</v>
      </c>
      <c r="K968" s="28" t="s">
        <v>3141</v>
      </c>
      <c r="L968" s="28" t="s">
        <v>82</v>
      </c>
      <c r="M968" s="28" t="s">
        <v>21</v>
      </c>
      <c r="N968" s="27">
        <v>34564</v>
      </c>
      <c r="O968" s="92">
        <v>34827</v>
      </c>
      <c r="P968" s="28" t="s">
        <v>21</v>
      </c>
      <c r="Q968" s="26" t="b">
        <v>0</v>
      </c>
      <c r="R968" s="22">
        <f t="shared" si="15"/>
        <v>271</v>
      </c>
    </row>
    <row r="969" spans="1:18">
      <c r="A969" s="26">
        <v>2756</v>
      </c>
      <c r="B969" s="27">
        <v>34557</v>
      </c>
      <c r="C969" s="28" t="s">
        <v>3142</v>
      </c>
      <c r="D969" s="27">
        <v>34556</v>
      </c>
      <c r="E969" s="28" t="s">
        <v>3143</v>
      </c>
      <c r="F969" s="28" t="s">
        <v>124</v>
      </c>
      <c r="G969" s="28" t="s">
        <v>20</v>
      </c>
      <c r="H969" s="28" t="s">
        <v>21</v>
      </c>
      <c r="I969" s="28" t="s">
        <v>21</v>
      </c>
      <c r="J969" s="28" t="s">
        <v>3144</v>
      </c>
      <c r="K969" s="28" t="s">
        <v>3145</v>
      </c>
      <c r="L969" s="28" t="s">
        <v>30</v>
      </c>
      <c r="M969" s="28" t="s">
        <v>21</v>
      </c>
      <c r="N969" s="18"/>
      <c r="O969" s="92">
        <v>34652</v>
      </c>
      <c r="P969" s="28" t="s">
        <v>21</v>
      </c>
      <c r="Q969" s="26" t="b">
        <v>0</v>
      </c>
      <c r="R969" s="22">
        <f t="shared" si="15"/>
        <v>94</v>
      </c>
    </row>
    <row r="970" spans="1:18">
      <c r="A970" s="26">
        <v>2758</v>
      </c>
      <c r="B970" s="27">
        <v>34558</v>
      </c>
      <c r="C970" s="28" t="s">
        <v>3146</v>
      </c>
      <c r="D970" s="27">
        <v>34556</v>
      </c>
      <c r="E970" s="28" t="s">
        <v>38</v>
      </c>
      <c r="F970" s="28" t="s">
        <v>104</v>
      </c>
      <c r="G970" s="28" t="s">
        <v>20</v>
      </c>
      <c r="H970" s="28" t="s">
        <v>21</v>
      </c>
      <c r="I970" s="28" t="s">
        <v>21</v>
      </c>
      <c r="J970" s="28" t="s">
        <v>3147</v>
      </c>
      <c r="K970" s="28" t="s">
        <v>3148</v>
      </c>
      <c r="L970" s="28" t="s">
        <v>30</v>
      </c>
      <c r="M970" s="28" t="s">
        <v>21</v>
      </c>
      <c r="O970" s="92">
        <v>36430</v>
      </c>
      <c r="P970" s="28" t="s">
        <v>31</v>
      </c>
      <c r="Q970" s="26" t="b">
        <v>0</v>
      </c>
      <c r="R970" s="22">
        <f t="shared" si="15"/>
        <v>1870</v>
      </c>
    </row>
    <row r="971" spans="1:18">
      <c r="A971" s="26">
        <v>2722</v>
      </c>
      <c r="B971" s="27">
        <v>34561</v>
      </c>
      <c r="C971" s="28" t="s">
        <v>3122</v>
      </c>
      <c r="D971" s="27">
        <v>34558</v>
      </c>
      <c r="E971" s="28" t="s">
        <v>38</v>
      </c>
      <c r="F971" s="28" t="s">
        <v>56</v>
      </c>
      <c r="G971" s="28" t="s">
        <v>20</v>
      </c>
      <c r="H971" s="28" t="s">
        <v>21</v>
      </c>
      <c r="I971" s="28" t="s">
        <v>21</v>
      </c>
      <c r="J971" s="28" t="s">
        <v>3123</v>
      </c>
      <c r="K971" s="28" t="s">
        <v>3124</v>
      </c>
      <c r="L971" s="28" t="s">
        <v>24</v>
      </c>
      <c r="M971" s="28" t="s">
        <v>21</v>
      </c>
      <c r="N971" s="29">
        <v>34568</v>
      </c>
      <c r="O971" s="92">
        <v>34571</v>
      </c>
      <c r="P971" s="28" t="s">
        <v>21</v>
      </c>
      <c r="Q971" s="26" t="b">
        <v>0</v>
      </c>
      <c r="R971" s="22">
        <f t="shared" si="15"/>
        <v>10</v>
      </c>
    </row>
    <row r="972" spans="1:18">
      <c r="A972" s="26">
        <v>2762</v>
      </c>
      <c r="B972" s="27">
        <v>34561</v>
      </c>
      <c r="C972" s="28" t="s">
        <v>3149</v>
      </c>
      <c r="D972" s="27">
        <v>34557</v>
      </c>
      <c r="E972" s="28" t="s">
        <v>3150</v>
      </c>
      <c r="F972" s="28" t="s">
        <v>533</v>
      </c>
      <c r="G972" s="28" t="s">
        <v>20</v>
      </c>
      <c r="H972" s="28" t="s">
        <v>21</v>
      </c>
      <c r="I972" s="28" t="s">
        <v>21</v>
      </c>
      <c r="J972" s="28" t="s">
        <v>3151</v>
      </c>
      <c r="K972" s="28" t="s">
        <v>3152</v>
      </c>
      <c r="L972" s="28" t="s">
        <v>66</v>
      </c>
      <c r="M972" s="28" t="s">
        <v>21</v>
      </c>
      <c r="N972" s="18"/>
      <c r="O972" s="92">
        <v>36444</v>
      </c>
      <c r="P972" s="28" t="s">
        <v>21</v>
      </c>
      <c r="Q972" s="26" t="b">
        <v>0</v>
      </c>
      <c r="R972" s="22">
        <f t="shared" si="15"/>
        <v>1881</v>
      </c>
    </row>
    <row r="973" spans="1:18" ht="24">
      <c r="A973" s="26">
        <v>2766</v>
      </c>
      <c r="B973" s="27">
        <v>34564</v>
      </c>
      <c r="C973" s="28" t="s">
        <v>3164</v>
      </c>
      <c r="D973" s="27">
        <v>34556</v>
      </c>
      <c r="E973" s="28" t="s">
        <v>3165</v>
      </c>
      <c r="F973" s="28" t="s">
        <v>3166</v>
      </c>
      <c r="G973" s="28" t="s">
        <v>21</v>
      </c>
      <c r="H973" s="28" t="s">
        <v>21</v>
      </c>
      <c r="I973" s="28" t="s">
        <v>21</v>
      </c>
      <c r="J973" s="28" t="s">
        <v>3167</v>
      </c>
      <c r="K973" s="28" t="s">
        <v>3168</v>
      </c>
      <c r="L973" s="28" t="s">
        <v>82</v>
      </c>
      <c r="M973" s="28" t="s">
        <v>21</v>
      </c>
      <c r="N973" s="27">
        <v>34579</v>
      </c>
      <c r="O973" s="92">
        <v>34591</v>
      </c>
      <c r="P973" s="28" t="s">
        <v>31</v>
      </c>
      <c r="Q973" s="26" t="b">
        <v>0</v>
      </c>
      <c r="R973" s="22">
        <f t="shared" si="15"/>
        <v>26</v>
      </c>
    </row>
    <row r="974" spans="1:18">
      <c r="A974" s="26">
        <v>2767</v>
      </c>
      <c r="B974" s="27">
        <v>34564</v>
      </c>
      <c r="C974" s="28" t="s">
        <v>3169</v>
      </c>
      <c r="D974" s="27">
        <v>34562</v>
      </c>
      <c r="E974" s="28" t="s">
        <v>3170</v>
      </c>
      <c r="F974" s="28" t="s">
        <v>3171</v>
      </c>
      <c r="G974" s="28" t="s">
        <v>20</v>
      </c>
      <c r="H974" s="28" t="s">
        <v>566</v>
      </c>
      <c r="I974" s="28" t="s">
        <v>566</v>
      </c>
      <c r="J974" s="28" t="s">
        <v>3172</v>
      </c>
      <c r="K974" s="28" t="s">
        <v>3173</v>
      </c>
      <c r="L974" s="28" t="s">
        <v>24</v>
      </c>
      <c r="M974" s="28" t="s">
        <v>21</v>
      </c>
      <c r="N974" s="29">
        <v>34596</v>
      </c>
      <c r="O974" s="92">
        <v>34579</v>
      </c>
      <c r="P974" s="28" t="s">
        <v>21</v>
      </c>
      <c r="Q974" s="26" t="b">
        <v>0</v>
      </c>
      <c r="R974" s="22">
        <f t="shared" si="15"/>
        <v>14</v>
      </c>
    </row>
    <row r="975" spans="1:18">
      <c r="A975" s="26">
        <v>2763</v>
      </c>
      <c r="B975" s="27">
        <v>34568</v>
      </c>
      <c r="C975" s="28" t="s">
        <v>3153</v>
      </c>
      <c r="D975" s="27">
        <v>34568</v>
      </c>
      <c r="E975" s="28" t="s">
        <v>3154</v>
      </c>
      <c r="F975" s="28" t="s">
        <v>19</v>
      </c>
      <c r="G975" s="28" t="s">
        <v>20</v>
      </c>
      <c r="H975" s="28" t="s">
        <v>21</v>
      </c>
      <c r="I975" s="28" t="s">
        <v>21</v>
      </c>
      <c r="J975" s="28" t="s">
        <v>3155</v>
      </c>
      <c r="K975" s="28" t="s">
        <v>3156</v>
      </c>
      <c r="L975" s="28" t="s">
        <v>24</v>
      </c>
      <c r="M975" s="28" t="s">
        <v>21</v>
      </c>
      <c r="N975" s="18"/>
      <c r="O975" s="92">
        <v>34645</v>
      </c>
      <c r="P975" s="28" t="s">
        <v>31</v>
      </c>
      <c r="Q975" s="26" t="b">
        <v>0</v>
      </c>
      <c r="R975" s="22">
        <f t="shared" si="15"/>
        <v>76</v>
      </c>
    </row>
    <row r="976" spans="1:18">
      <c r="A976" s="26">
        <v>2764</v>
      </c>
      <c r="B976" s="27">
        <v>34568</v>
      </c>
      <c r="C976" s="28" t="s">
        <v>3157</v>
      </c>
      <c r="D976" s="27">
        <v>34568</v>
      </c>
      <c r="E976" s="28" t="s">
        <v>3158</v>
      </c>
      <c r="F976" s="28" t="s">
        <v>19</v>
      </c>
      <c r="G976" s="28" t="s">
        <v>20</v>
      </c>
      <c r="H976" s="28" t="s">
        <v>21</v>
      </c>
      <c r="I976" s="28" t="s">
        <v>21</v>
      </c>
      <c r="J976" s="28" t="s">
        <v>3159</v>
      </c>
      <c r="K976" s="28" t="s">
        <v>3156</v>
      </c>
      <c r="L976" s="28" t="s">
        <v>24</v>
      </c>
      <c r="M976" s="28" t="s">
        <v>21</v>
      </c>
      <c r="O976" s="92">
        <v>34645</v>
      </c>
      <c r="P976" s="28" t="s">
        <v>31</v>
      </c>
      <c r="Q976" s="26" t="b">
        <v>0</v>
      </c>
      <c r="R976" s="22">
        <f t="shared" si="15"/>
        <v>76</v>
      </c>
    </row>
    <row r="977" spans="1:18" ht="24">
      <c r="A977" s="26">
        <v>2765</v>
      </c>
      <c r="B977" s="27">
        <v>34568</v>
      </c>
      <c r="C977" s="28" t="s">
        <v>3160</v>
      </c>
      <c r="D977" s="27">
        <v>34564</v>
      </c>
      <c r="E977" s="28" t="s">
        <v>3161</v>
      </c>
      <c r="F977" s="28" t="s">
        <v>367</v>
      </c>
      <c r="G977" s="28" t="s">
        <v>20</v>
      </c>
      <c r="H977" s="28" t="s">
        <v>71</v>
      </c>
      <c r="I977" s="28" t="s">
        <v>72</v>
      </c>
      <c r="J977" s="28" t="s">
        <v>3162</v>
      </c>
      <c r="K977" s="28" t="s">
        <v>95</v>
      </c>
      <c r="L977" s="28" t="s">
        <v>314</v>
      </c>
      <c r="M977" s="28" t="s">
        <v>3163</v>
      </c>
      <c r="N977" s="29">
        <v>34607</v>
      </c>
      <c r="O977" s="92">
        <v>37572</v>
      </c>
      <c r="P977" s="28" t="s">
        <v>31</v>
      </c>
      <c r="Q977" s="26" t="b">
        <v>0</v>
      </c>
      <c r="R977" s="22">
        <f t="shared" si="15"/>
        <v>3001</v>
      </c>
    </row>
    <row r="978" spans="1:18">
      <c r="A978" s="26">
        <v>2780</v>
      </c>
      <c r="B978" s="27">
        <v>34568</v>
      </c>
      <c r="C978" s="28" t="s">
        <v>3177</v>
      </c>
      <c r="D978" s="27">
        <v>34568</v>
      </c>
      <c r="E978" s="28" t="s">
        <v>38</v>
      </c>
      <c r="F978" s="28" t="s">
        <v>3178</v>
      </c>
      <c r="G978" s="28" t="s">
        <v>20</v>
      </c>
      <c r="H978" s="28" t="s">
        <v>189</v>
      </c>
      <c r="I978" s="28" t="s">
        <v>72</v>
      </c>
      <c r="J978" s="28" t="s">
        <v>3179</v>
      </c>
      <c r="K978" s="28" t="s">
        <v>3180</v>
      </c>
      <c r="L978" s="28" t="s">
        <v>59</v>
      </c>
      <c r="M978" s="28" t="s">
        <v>21</v>
      </c>
      <c r="N978" s="27">
        <v>34572</v>
      </c>
      <c r="O978" s="92">
        <v>34569</v>
      </c>
      <c r="P978" s="28" t="s">
        <v>21</v>
      </c>
      <c r="Q978" s="26" t="b">
        <v>0</v>
      </c>
      <c r="R978" s="22">
        <f t="shared" si="15"/>
        <v>1</v>
      </c>
    </row>
    <row r="979" spans="1:18">
      <c r="A979" s="26">
        <v>2773</v>
      </c>
      <c r="B979" s="27">
        <v>34569</v>
      </c>
      <c r="C979" s="28" t="s">
        <v>3174</v>
      </c>
      <c r="D979" s="27">
        <v>34569</v>
      </c>
      <c r="E979" s="28" t="s">
        <v>38</v>
      </c>
      <c r="F979" s="28" t="s">
        <v>359</v>
      </c>
      <c r="G979" s="28" t="s">
        <v>20</v>
      </c>
      <c r="H979" s="28" t="s">
        <v>21</v>
      </c>
      <c r="I979" s="28" t="s">
        <v>21</v>
      </c>
      <c r="J979" s="28" t="s">
        <v>3175</v>
      </c>
      <c r="K979" s="28" t="s">
        <v>3176</v>
      </c>
      <c r="L979" s="28" t="s">
        <v>24</v>
      </c>
      <c r="M979" s="28" t="s">
        <v>21</v>
      </c>
      <c r="N979" s="27">
        <v>34575</v>
      </c>
      <c r="O979" s="92">
        <v>34569</v>
      </c>
      <c r="P979" s="28" t="s">
        <v>31</v>
      </c>
      <c r="Q979" s="26" t="b">
        <v>0</v>
      </c>
      <c r="R979" s="22">
        <f t="shared" si="15"/>
        <v>0</v>
      </c>
    </row>
    <row r="980" spans="1:18">
      <c r="A980" s="26">
        <v>2781</v>
      </c>
      <c r="B980" s="27">
        <v>34571</v>
      </c>
      <c r="C980" s="28" t="s">
        <v>3181</v>
      </c>
      <c r="D980" s="27">
        <v>34570</v>
      </c>
      <c r="E980" s="28" t="s">
        <v>3182</v>
      </c>
      <c r="F980" s="28" t="s">
        <v>39</v>
      </c>
      <c r="G980" s="28" t="s">
        <v>20</v>
      </c>
      <c r="H980" s="28" t="s">
        <v>21</v>
      </c>
      <c r="I980" s="28" t="s">
        <v>21</v>
      </c>
      <c r="J980" s="28" t="s">
        <v>2905</v>
      </c>
      <c r="K980" s="28" t="s">
        <v>3183</v>
      </c>
      <c r="L980" s="28" t="s">
        <v>30</v>
      </c>
      <c r="M980" s="28" t="s">
        <v>21</v>
      </c>
      <c r="N980" s="18"/>
      <c r="O980" s="92">
        <v>34659</v>
      </c>
      <c r="P980" s="28" t="s">
        <v>21</v>
      </c>
      <c r="Q980" s="26" t="b">
        <v>0</v>
      </c>
      <c r="R980" s="22">
        <f t="shared" si="15"/>
        <v>87</v>
      </c>
    </row>
    <row r="981" spans="1:18">
      <c r="A981" s="26">
        <v>2785</v>
      </c>
      <c r="B981" s="27">
        <v>34575</v>
      </c>
      <c r="C981" s="28" t="s">
        <v>3184</v>
      </c>
      <c r="D981" s="27">
        <v>34575</v>
      </c>
      <c r="E981" s="28" t="s">
        <v>1204</v>
      </c>
      <c r="F981" s="28" t="s">
        <v>56</v>
      </c>
      <c r="G981" s="28" t="s">
        <v>21</v>
      </c>
      <c r="H981" s="28" t="s">
        <v>21</v>
      </c>
      <c r="I981" s="28" t="s">
        <v>21</v>
      </c>
      <c r="J981" s="28" t="s">
        <v>3185</v>
      </c>
      <c r="K981" s="28" t="s">
        <v>3186</v>
      </c>
      <c r="L981" s="28" t="s">
        <v>59</v>
      </c>
      <c r="M981" s="28" t="s">
        <v>21</v>
      </c>
      <c r="N981" s="27">
        <v>34635</v>
      </c>
      <c r="O981" s="92">
        <v>34576</v>
      </c>
      <c r="P981" s="28" t="s">
        <v>21</v>
      </c>
      <c r="Q981" s="26" t="b">
        <v>0</v>
      </c>
      <c r="R981" s="22">
        <f t="shared" si="15"/>
        <v>1</v>
      </c>
    </row>
    <row r="982" spans="1:18">
      <c r="A982" s="26">
        <v>2797</v>
      </c>
      <c r="B982" s="27">
        <v>34584</v>
      </c>
      <c r="C982" s="28" t="s">
        <v>3187</v>
      </c>
      <c r="D982" s="27">
        <v>34583</v>
      </c>
      <c r="E982" s="28" t="s">
        <v>3188</v>
      </c>
      <c r="F982" s="28" t="s">
        <v>39</v>
      </c>
      <c r="G982" s="28" t="s">
        <v>20</v>
      </c>
      <c r="H982" s="28" t="s">
        <v>21</v>
      </c>
      <c r="I982" s="28" t="s">
        <v>21</v>
      </c>
      <c r="J982" s="28" t="s">
        <v>1735</v>
      </c>
      <c r="K982" s="28" t="s">
        <v>3189</v>
      </c>
      <c r="L982" s="28" t="s">
        <v>24</v>
      </c>
      <c r="M982" s="28" t="s">
        <v>21</v>
      </c>
      <c r="N982" s="18"/>
      <c r="O982" s="92">
        <v>34597</v>
      </c>
      <c r="P982" s="28" t="s">
        <v>21</v>
      </c>
      <c r="Q982" s="26" t="b">
        <v>0</v>
      </c>
      <c r="R982" s="22">
        <f t="shared" si="15"/>
        <v>13</v>
      </c>
    </row>
    <row r="983" spans="1:18">
      <c r="A983" s="26">
        <v>2799</v>
      </c>
      <c r="B983" s="27">
        <v>34584</v>
      </c>
      <c r="C983" s="28" t="s">
        <v>3190</v>
      </c>
      <c r="D983" s="27">
        <v>34583</v>
      </c>
      <c r="E983" s="28" t="s">
        <v>3191</v>
      </c>
      <c r="F983" s="28" t="s">
        <v>1830</v>
      </c>
      <c r="G983" s="28" t="s">
        <v>20</v>
      </c>
      <c r="H983" s="28" t="s">
        <v>21</v>
      </c>
      <c r="I983" s="28" t="s">
        <v>21</v>
      </c>
      <c r="J983" s="28" t="s">
        <v>3192</v>
      </c>
      <c r="K983" s="28" t="s">
        <v>3193</v>
      </c>
      <c r="L983" s="28" t="s">
        <v>30</v>
      </c>
      <c r="M983" s="28" t="s">
        <v>21</v>
      </c>
      <c r="N983" s="29">
        <v>34607</v>
      </c>
      <c r="O983" s="92">
        <v>34849</v>
      </c>
      <c r="P983" s="28" t="s">
        <v>21</v>
      </c>
      <c r="Q983" s="26" t="b">
        <v>0</v>
      </c>
      <c r="R983" s="22">
        <f t="shared" si="15"/>
        <v>266</v>
      </c>
    </row>
    <row r="984" spans="1:18">
      <c r="A984" s="26">
        <v>2800</v>
      </c>
      <c r="B984" s="27">
        <v>34584</v>
      </c>
      <c r="C984" s="28" t="s">
        <v>3194</v>
      </c>
      <c r="D984" s="27">
        <v>34583</v>
      </c>
      <c r="E984" s="28" t="s">
        <v>3195</v>
      </c>
      <c r="F984" s="28" t="s">
        <v>145</v>
      </c>
      <c r="G984" s="28" t="s">
        <v>20</v>
      </c>
      <c r="H984" s="28" t="s">
        <v>21</v>
      </c>
      <c r="I984" s="28" t="s">
        <v>21</v>
      </c>
      <c r="J984" s="28" t="s">
        <v>3196</v>
      </c>
      <c r="K984" s="28" t="s">
        <v>3197</v>
      </c>
      <c r="L984" s="28" t="s">
        <v>30</v>
      </c>
      <c r="M984" s="28" t="s">
        <v>21</v>
      </c>
      <c r="N984" s="27">
        <v>34607</v>
      </c>
      <c r="O984" s="92">
        <v>34625</v>
      </c>
      <c r="P984" s="28" t="s">
        <v>31</v>
      </c>
      <c r="Q984" s="26" t="b">
        <v>0</v>
      </c>
      <c r="R984" s="22">
        <f t="shared" si="15"/>
        <v>41</v>
      </c>
    </row>
    <row r="985" spans="1:18">
      <c r="A985" s="26">
        <v>2801</v>
      </c>
      <c r="B985" s="27">
        <v>34584</v>
      </c>
      <c r="C985" s="28" t="s">
        <v>3198</v>
      </c>
      <c r="D985" s="27">
        <v>34578</v>
      </c>
      <c r="E985" s="28" t="s">
        <v>3199</v>
      </c>
      <c r="F985" s="28" t="s">
        <v>39</v>
      </c>
      <c r="G985" s="28" t="s">
        <v>20</v>
      </c>
      <c r="H985" s="28" t="s">
        <v>21</v>
      </c>
      <c r="I985" s="28" t="s">
        <v>21</v>
      </c>
      <c r="J985" s="28" t="s">
        <v>1735</v>
      </c>
      <c r="K985" s="28" t="s">
        <v>3200</v>
      </c>
      <c r="L985" s="28" t="s">
        <v>24</v>
      </c>
      <c r="M985" s="28" t="s">
        <v>21</v>
      </c>
      <c r="O985" s="92">
        <v>34597</v>
      </c>
      <c r="P985" s="28" t="s">
        <v>31</v>
      </c>
      <c r="Q985" s="26" t="b">
        <v>0</v>
      </c>
      <c r="R985" s="22">
        <f t="shared" si="15"/>
        <v>13</v>
      </c>
    </row>
    <row r="986" spans="1:18">
      <c r="A986" s="26">
        <v>2802</v>
      </c>
      <c r="B986" s="27">
        <v>34584</v>
      </c>
      <c r="C986" s="28" t="s">
        <v>3201</v>
      </c>
      <c r="D986" s="27">
        <v>34579</v>
      </c>
      <c r="E986" s="28" t="s">
        <v>38</v>
      </c>
      <c r="F986" s="28" t="s">
        <v>43</v>
      </c>
      <c r="G986" s="28" t="s">
        <v>20</v>
      </c>
      <c r="H986" s="28" t="s">
        <v>21</v>
      </c>
      <c r="I986" s="28" t="s">
        <v>21</v>
      </c>
      <c r="J986" s="28" t="s">
        <v>3202</v>
      </c>
      <c r="K986" s="28" t="s">
        <v>3203</v>
      </c>
      <c r="L986" s="28" t="s">
        <v>82</v>
      </c>
      <c r="M986" s="28" t="s">
        <v>21</v>
      </c>
      <c r="N986" s="27">
        <v>34607</v>
      </c>
      <c r="O986" s="92">
        <v>34781</v>
      </c>
      <c r="P986" s="28" t="s">
        <v>31</v>
      </c>
      <c r="Q986" s="26" t="b">
        <v>0</v>
      </c>
      <c r="R986" s="22">
        <f t="shared" si="15"/>
        <v>198</v>
      </c>
    </row>
    <row r="987" spans="1:18">
      <c r="A987" s="26">
        <v>2803</v>
      </c>
      <c r="B987" s="27">
        <v>34584</v>
      </c>
      <c r="C987" s="28" t="s">
        <v>3204</v>
      </c>
      <c r="D987" s="27">
        <v>34579</v>
      </c>
      <c r="E987" s="28" t="s">
        <v>38</v>
      </c>
      <c r="F987" s="28" t="s">
        <v>43</v>
      </c>
      <c r="G987" s="28" t="s">
        <v>20</v>
      </c>
      <c r="H987" s="28" t="s">
        <v>21</v>
      </c>
      <c r="I987" s="28" t="s">
        <v>21</v>
      </c>
      <c r="J987" s="28" t="s">
        <v>3202</v>
      </c>
      <c r="K987" s="28" t="s">
        <v>3205</v>
      </c>
      <c r="L987" s="28" t="s">
        <v>82</v>
      </c>
      <c r="M987" s="28" t="s">
        <v>21</v>
      </c>
      <c r="N987" s="29">
        <v>34607</v>
      </c>
      <c r="O987" s="92">
        <v>34598</v>
      </c>
      <c r="P987" s="28" t="s">
        <v>31</v>
      </c>
      <c r="Q987" s="26" t="b">
        <v>0</v>
      </c>
      <c r="R987" s="22">
        <f t="shared" si="15"/>
        <v>14</v>
      </c>
    </row>
    <row r="988" spans="1:18">
      <c r="A988" s="26">
        <v>2804</v>
      </c>
      <c r="B988" s="27">
        <v>34585</v>
      </c>
      <c r="C988" s="28" t="s">
        <v>3206</v>
      </c>
      <c r="D988" s="27">
        <v>34585</v>
      </c>
      <c r="E988" s="28" t="s">
        <v>1204</v>
      </c>
      <c r="F988" s="28" t="s">
        <v>3046</v>
      </c>
      <c r="G988" s="28" t="s">
        <v>21</v>
      </c>
      <c r="H988" s="28" t="s">
        <v>21</v>
      </c>
      <c r="I988" s="28" t="s">
        <v>21</v>
      </c>
      <c r="J988" s="28" t="s">
        <v>3207</v>
      </c>
      <c r="K988" s="28" t="s">
        <v>3208</v>
      </c>
      <c r="L988" s="28" t="s">
        <v>30</v>
      </c>
      <c r="M988" s="28" t="s">
        <v>21</v>
      </c>
      <c r="N988" s="27">
        <v>34593</v>
      </c>
      <c r="O988" s="92">
        <v>34603</v>
      </c>
      <c r="P988" s="28" t="s">
        <v>31</v>
      </c>
      <c r="Q988" s="26" t="b">
        <v>0</v>
      </c>
      <c r="R988" s="22">
        <f t="shared" si="15"/>
        <v>18</v>
      </c>
    </row>
    <row r="989" spans="1:18">
      <c r="A989" s="26">
        <v>2812</v>
      </c>
      <c r="B989" s="27">
        <v>34590</v>
      </c>
      <c r="C989" s="28" t="s">
        <v>3209</v>
      </c>
      <c r="D989" s="27">
        <v>34590</v>
      </c>
      <c r="E989" s="28" t="s">
        <v>1697</v>
      </c>
      <c r="F989" s="28" t="s">
        <v>3210</v>
      </c>
      <c r="G989" s="28" t="s">
        <v>20</v>
      </c>
      <c r="H989" s="28" t="s">
        <v>71</v>
      </c>
      <c r="I989" s="28" t="s">
        <v>72</v>
      </c>
      <c r="J989" s="28" t="s">
        <v>3211</v>
      </c>
      <c r="K989" s="28" t="s">
        <v>3212</v>
      </c>
      <c r="L989" s="28" t="s">
        <v>30</v>
      </c>
      <c r="M989" s="28" t="s">
        <v>21</v>
      </c>
      <c r="N989" s="27">
        <v>34591</v>
      </c>
      <c r="O989" s="92">
        <v>34591</v>
      </c>
      <c r="P989" s="28" t="s">
        <v>21</v>
      </c>
      <c r="Q989" s="26" t="b">
        <v>0</v>
      </c>
      <c r="R989" s="22">
        <f t="shared" si="15"/>
        <v>1</v>
      </c>
    </row>
    <row r="990" spans="1:18">
      <c r="A990" s="26">
        <v>2826</v>
      </c>
      <c r="B990" s="27">
        <v>34593</v>
      </c>
      <c r="C990" s="28" t="s">
        <v>3213</v>
      </c>
      <c r="D990" s="27">
        <v>34593</v>
      </c>
      <c r="E990" s="28" t="s">
        <v>38</v>
      </c>
      <c r="F990" s="28" t="s">
        <v>3037</v>
      </c>
      <c r="G990" s="28" t="s">
        <v>21</v>
      </c>
      <c r="H990" s="28" t="s">
        <v>21</v>
      </c>
      <c r="I990" s="28" t="s">
        <v>21</v>
      </c>
      <c r="J990" s="28" t="s">
        <v>3214</v>
      </c>
      <c r="K990" s="28" t="s">
        <v>3215</v>
      </c>
      <c r="L990" s="28" t="s">
        <v>24</v>
      </c>
      <c r="M990" s="28" t="s">
        <v>21</v>
      </c>
      <c r="N990" s="18"/>
      <c r="O990" s="92">
        <v>34593</v>
      </c>
      <c r="P990" s="28" t="s">
        <v>31</v>
      </c>
      <c r="Q990" s="26" t="b">
        <v>0</v>
      </c>
      <c r="R990" s="22">
        <f t="shared" si="15"/>
        <v>0</v>
      </c>
    </row>
    <row r="991" spans="1:18">
      <c r="A991" s="26">
        <v>2827</v>
      </c>
      <c r="B991" s="27">
        <v>34593</v>
      </c>
      <c r="C991" s="28" t="s">
        <v>3216</v>
      </c>
      <c r="D991" s="27">
        <v>34593</v>
      </c>
      <c r="E991" s="28" t="s">
        <v>38</v>
      </c>
      <c r="F991" s="28" t="s">
        <v>27</v>
      </c>
      <c r="G991" s="28" t="s">
        <v>20</v>
      </c>
      <c r="H991" s="28" t="s">
        <v>21</v>
      </c>
      <c r="I991" s="28" t="s">
        <v>21</v>
      </c>
      <c r="J991" s="28" t="s">
        <v>3217</v>
      </c>
      <c r="K991" s="28" t="s">
        <v>3218</v>
      </c>
      <c r="L991" s="28" t="s">
        <v>24</v>
      </c>
      <c r="M991" s="28" t="s">
        <v>21</v>
      </c>
      <c r="O991" s="92">
        <v>34607</v>
      </c>
      <c r="P991" s="28" t="s">
        <v>31</v>
      </c>
      <c r="Q991" s="26" t="b">
        <v>0</v>
      </c>
      <c r="R991" s="22">
        <f t="shared" si="15"/>
        <v>14</v>
      </c>
    </row>
    <row r="992" spans="1:18">
      <c r="A992" s="26">
        <v>2828</v>
      </c>
      <c r="B992" s="27">
        <v>34593</v>
      </c>
      <c r="C992" s="28" t="s">
        <v>3219</v>
      </c>
      <c r="D992" s="27">
        <v>34592</v>
      </c>
      <c r="E992" s="28" t="s">
        <v>3220</v>
      </c>
      <c r="F992" s="28" t="s">
        <v>124</v>
      </c>
      <c r="G992" s="28" t="s">
        <v>20</v>
      </c>
      <c r="H992" s="28" t="s">
        <v>21</v>
      </c>
      <c r="I992" s="28" t="s">
        <v>21</v>
      </c>
      <c r="J992" s="28" t="s">
        <v>3221</v>
      </c>
      <c r="K992" s="28" t="s">
        <v>3222</v>
      </c>
      <c r="L992" s="28" t="s">
        <v>30</v>
      </c>
      <c r="M992" s="28" t="s">
        <v>21</v>
      </c>
      <c r="N992" s="29">
        <v>34638</v>
      </c>
      <c r="O992" s="92">
        <v>34652</v>
      </c>
      <c r="P992" s="28" t="s">
        <v>31</v>
      </c>
      <c r="Q992" s="26" t="b">
        <v>0</v>
      </c>
      <c r="R992" s="22">
        <f t="shared" si="15"/>
        <v>58</v>
      </c>
    </row>
    <row r="993" spans="1:18" ht="24">
      <c r="A993" s="26">
        <v>2829</v>
      </c>
      <c r="B993" s="27">
        <v>34593</v>
      </c>
      <c r="C993" s="28" t="s">
        <v>3223</v>
      </c>
      <c r="D993" s="27">
        <v>34590</v>
      </c>
      <c r="E993" s="28" t="s">
        <v>3224</v>
      </c>
      <c r="F993" s="28" t="s">
        <v>149</v>
      </c>
      <c r="G993" s="28" t="s">
        <v>20</v>
      </c>
      <c r="H993" s="28" t="s">
        <v>21</v>
      </c>
      <c r="I993" s="28" t="s">
        <v>21</v>
      </c>
      <c r="J993" s="28" t="s">
        <v>3225</v>
      </c>
      <c r="K993" s="28" t="s">
        <v>3226</v>
      </c>
      <c r="L993" s="28" t="s">
        <v>314</v>
      </c>
      <c r="M993" s="28" t="s">
        <v>3163</v>
      </c>
      <c r="N993" s="29">
        <v>34638</v>
      </c>
      <c r="O993" s="92">
        <v>37890</v>
      </c>
      <c r="P993" s="28" t="s">
        <v>21</v>
      </c>
      <c r="Q993" s="26" t="b">
        <v>0</v>
      </c>
      <c r="R993" s="22">
        <f t="shared" si="15"/>
        <v>3295</v>
      </c>
    </row>
    <row r="994" spans="1:18">
      <c r="A994" s="26">
        <v>2830</v>
      </c>
      <c r="B994" s="27">
        <v>34596</v>
      </c>
      <c r="C994" s="28" t="s">
        <v>3227</v>
      </c>
      <c r="D994" s="27">
        <v>34591</v>
      </c>
      <c r="E994" s="28" t="s">
        <v>3228</v>
      </c>
      <c r="F994" s="28" t="s">
        <v>741</v>
      </c>
      <c r="G994" s="28" t="s">
        <v>20</v>
      </c>
      <c r="H994" s="28" t="s">
        <v>21</v>
      </c>
      <c r="I994" s="28" t="s">
        <v>21</v>
      </c>
      <c r="J994" s="28" t="s">
        <v>3229</v>
      </c>
      <c r="K994" s="28" t="s">
        <v>3230</v>
      </c>
      <c r="L994" s="28" t="s">
        <v>24</v>
      </c>
      <c r="M994" s="28" t="s">
        <v>21</v>
      </c>
      <c r="O994" s="92">
        <v>34683</v>
      </c>
      <c r="P994" s="28" t="s">
        <v>21</v>
      </c>
      <c r="Q994" s="26" t="b">
        <v>0</v>
      </c>
      <c r="R994" s="22">
        <f t="shared" si="15"/>
        <v>87</v>
      </c>
    </row>
    <row r="995" spans="1:18">
      <c r="A995" s="26">
        <v>2831</v>
      </c>
      <c r="B995" s="27">
        <v>34597</v>
      </c>
      <c r="C995" s="28" t="s">
        <v>3231</v>
      </c>
      <c r="D995" s="27">
        <v>34597</v>
      </c>
      <c r="E995" s="28" t="s">
        <v>1204</v>
      </c>
      <c r="F995" s="28" t="s">
        <v>56</v>
      </c>
      <c r="G995" s="28" t="s">
        <v>20</v>
      </c>
      <c r="H995" s="28" t="s">
        <v>21</v>
      </c>
      <c r="I995" s="28" t="s">
        <v>21</v>
      </c>
      <c r="J995" s="28" t="s">
        <v>3232</v>
      </c>
      <c r="K995" s="28" t="s">
        <v>3233</v>
      </c>
      <c r="L995" s="28" t="s">
        <v>59</v>
      </c>
      <c r="M995" s="28" t="s">
        <v>21</v>
      </c>
      <c r="N995" s="29">
        <v>34607</v>
      </c>
      <c r="O995" s="92">
        <v>34599</v>
      </c>
      <c r="P995" s="28" t="s">
        <v>21</v>
      </c>
      <c r="Q995" s="26" t="b">
        <v>0</v>
      </c>
      <c r="R995" s="22">
        <f t="shared" si="15"/>
        <v>2</v>
      </c>
    </row>
    <row r="996" spans="1:18">
      <c r="A996" s="26">
        <v>2835</v>
      </c>
      <c r="B996" s="27">
        <v>34598</v>
      </c>
      <c r="C996" s="28" t="s">
        <v>3234</v>
      </c>
      <c r="D996" s="27">
        <v>34593</v>
      </c>
      <c r="E996" s="28" t="s">
        <v>3235</v>
      </c>
      <c r="F996" s="28" t="s">
        <v>3236</v>
      </c>
      <c r="G996" s="28" t="s">
        <v>20</v>
      </c>
      <c r="H996" s="28" t="s">
        <v>21</v>
      </c>
      <c r="I996" s="28" t="s">
        <v>21</v>
      </c>
      <c r="J996" s="28" t="s">
        <v>3237</v>
      </c>
      <c r="K996" s="28" t="s">
        <v>3238</v>
      </c>
      <c r="L996" s="28" t="s">
        <v>82</v>
      </c>
      <c r="M996" s="28" t="s">
        <v>21</v>
      </c>
      <c r="O996" s="92">
        <v>34681</v>
      </c>
      <c r="P996" s="28" t="s">
        <v>31</v>
      </c>
      <c r="Q996" s="26" t="b">
        <v>0</v>
      </c>
      <c r="R996" s="22">
        <f t="shared" si="15"/>
        <v>83</v>
      </c>
    </row>
    <row r="997" spans="1:18">
      <c r="A997" s="26">
        <v>2849</v>
      </c>
      <c r="B997" s="27">
        <v>34603</v>
      </c>
      <c r="C997" s="28" t="s">
        <v>3242</v>
      </c>
      <c r="D997" s="27">
        <v>34599</v>
      </c>
      <c r="E997" s="28" t="s">
        <v>3243</v>
      </c>
      <c r="F997" s="28" t="s">
        <v>513</v>
      </c>
      <c r="G997" s="28" t="s">
        <v>20</v>
      </c>
      <c r="H997" s="28" t="s">
        <v>21</v>
      </c>
      <c r="I997" s="28" t="s">
        <v>21</v>
      </c>
      <c r="J997" s="28" t="s">
        <v>3244</v>
      </c>
      <c r="K997" s="28" t="s">
        <v>3245</v>
      </c>
      <c r="L997" s="28" t="s">
        <v>24</v>
      </c>
      <c r="M997" s="28" t="s">
        <v>21</v>
      </c>
      <c r="N997" s="27">
        <v>34633</v>
      </c>
      <c r="O997" s="92">
        <v>34774</v>
      </c>
      <c r="P997" s="28" t="s">
        <v>31</v>
      </c>
      <c r="Q997" s="26" t="b">
        <v>0</v>
      </c>
      <c r="R997" s="22">
        <f t="shared" si="15"/>
        <v>172</v>
      </c>
    </row>
    <row r="998" spans="1:18">
      <c r="A998" s="26">
        <v>2850</v>
      </c>
      <c r="B998" s="27">
        <v>34603</v>
      </c>
      <c r="C998" s="28" t="s">
        <v>3246</v>
      </c>
      <c r="D998" s="27">
        <v>34600</v>
      </c>
      <c r="E998" s="28" t="s">
        <v>1204</v>
      </c>
      <c r="F998" s="28" t="s">
        <v>56</v>
      </c>
      <c r="G998" s="28" t="s">
        <v>21</v>
      </c>
      <c r="H998" s="28" t="s">
        <v>21</v>
      </c>
      <c r="I998" s="28" t="s">
        <v>21</v>
      </c>
      <c r="J998" s="28" t="s">
        <v>3247</v>
      </c>
      <c r="K998" s="28" t="s">
        <v>3248</v>
      </c>
      <c r="L998" s="28" t="s">
        <v>59</v>
      </c>
      <c r="M998" s="28" t="s">
        <v>21</v>
      </c>
      <c r="N998" s="29">
        <v>34619</v>
      </c>
      <c r="O998" s="92">
        <v>34621</v>
      </c>
      <c r="P998" s="28" t="s">
        <v>31</v>
      </c>
      <c r="Q998" s="26" t="b">
        <v>0</v>
      </c>
      <c r="R998" s="22">
        <f t="shared" si="15"/>
        <v>18</v>
      </c>
    </row>
    <row r="999" spans="1:18">
      <c r="A999" s="26">
        <v>2848</v>
      </c>
      <c r="B999" s="27">
        <v>34604</v>
      </c>
      <c r="C999" s="28" t="s">
        <v>3239</v>
      </c>
      <c r="D999" s="27">
        <v>34591</v>
      </c>
      <c r="E999" s="28" t="s">
        <v>38</v>
      </c>
      <c r="F999" s="28" t="s">
        <v>124</v>
      </c>
      <c r="G999" s="28" t="s">
        <v>20</v>
      </c>
      <c r="H999" s="28" t="s">
        <v>21</v>
      </c>
      <c r="I999" s="28" t="s">
        <v>21</v>
      </c>
      <c r="J999" s="28" t="s">
        <v>3240</v>
      </c>
      <c r="K999" s="28" t="s">
        <v>3241</v>
      </c>
      <c r="L999" s="28" t="s">
        <v>82</v>
      </c>
      <c r="M999" s="28" t="s">
        <v>21</v>
      </c>
      <c r="N999" s="29">
        <v>34614</v>
      </c>
      <c r="O999" s="92">
        <v>34639</v>
      </c>
      <c r="P999" s="28" t="s">
        <v>31</v>
      </c>
      <c r="Q999" s="26" t="b">
        <v>0</v>
      </c>
      <c r="R999" s="22">
        <f t="shared" si="15"/>
        <v>34</v>
      </c>
    </row>
    <row r="1000" spans="1:18">
      <c r="A1000" s="26">
        <v>2856</v>
      </c>
      <c r="B1000" s="27">
        <v>34604</v>
      </c>
      <c r="C1000" s="28" t="s">
        <v>3249</v>
      </c>
      <c r="D1000" s="27">
        <v>34603</v>
      </c>
      <c r="E1000" s="28" t="s">
        <v>283</v>
      </c>
      <c r="F1000" s="28" t="s">
        <v>3250</v>
      </c>
      <c r="G1000" s="28" t="s">
        <v>21</v>
      </c>
      <c r="H1000" s="28" t="s">
        <v>21</v>
      </c>
      <c r="I1000" s="28" t="s">
        <v>21</v>
      </c>
      <c r="J1000" s="28" t="s">
        <v>3251</v>
      </c>
      <c r="K1000" s="28" t="s">
        <v>3252</v>
      </c>
      <c r="L1000" s="28" t="s">
        <v>30</v>
      </c>
      <c r="M1000" s="28" t="s">
        <v>21</v>
      </c>
      <c r="N1000" s="29">
        <v>34621</v>
      </c>
      <c r="O1000" s="92">
        <v>34621</v>
      </c>
      <c r="P1000" s="28" t="s">
        <v>21</v>
      </c>
      <c r="Q1000" s="26" t="b">
        <v>0</v>
      </c>
      <c r="R1000" s="22">
        <f t="shared" si="15"/>
        <v>17</v>
      </c>
    </row>
    <row r="1001" spans="1:18">
      <c r="A1001" s="26">
        <v>2864</v>
      </c>
      <c r="B1001" s="27">
        <v>34606</v>
      </c>
      <c r="C1001" s="28" t="s">
        <v>3253</v>
      </c>
      <c r="D1001" s="27">
        <v>34605</v>
      </c>
      <c r="E1001" s="28" t="s">
        <v>3254</v>
      </c>
      <c r="F1001" s="28" t="s">
        <v>1804</v>
      </c>
      <c r="G1001" s="28" t="s">
        <v>20</v>
      </c>
      <c r="H1001" s="28" t="s">
        <v>566</v>
      </c>
      <c r="I1001" s="28" t="s">
        <v>566</v>
      </c>
      <c r="J1001" s="28" t="s">
        <v>3255</v>
      </c>
      <c r="K1001" s="28" t="s">
        <v>3256</v>
      </c>
      <c r="L1001" s="28" t="s">
        <v>82</v>
      </c>
      <c r="M1001" s="28" t="s">
        <v>21</v>
      </c>
      <c r="N1001" s="29">
        <v>34622</v>
      </c>
      <c r="O1001" s="92">
        <v>34614</v>
      </c>
      <c r="P1001" s="28" t="s">
        <v>31</v>
      </c>
      <c r="Q1001" s="26" t="b">
        <v>0</v>
      </c>
      <c r="R1001" s="22">
        <f t="shared" si="15"/>
        <v>8</v>
      </c>
    </row>
    <row r="1002" spans="1:18">
      <c r="A1002" s="26">
        <v>2866</v>
      </c>
      <c r="B1002" s="27">
        <v>34606</v>
      </c>
      <c r="C1002" s="28" t="s">
        <v>3257</v>
      </c>
      <c r="D1002" s="27">
        <v>34603</v>
      </c>
      <c r="E1002" s="28" t="s">
        <v>3258</v>
      </c>
      <c r="F1002" s="28" t="s">
        <v>39</v>
      </c>
      <c r="G1002" s="28" t="s">
        <v>20</v>
      </c>
      <c r="H1002" s="28" t="s">
        <v>21</v>
      </c>
      <c r="I1002" s="28" t="s">
        <v>21</v>
      </c>
      <c r="J1002" s="28" t="s">
        <v>3259</v>
      </c>
      <c r="K1002" s="28" t="s">
        <v>3260</v>
      </c>
      <c r="L1002" s="28" t="s">
        <v>24</v>
      </c>
      <c r="M1002" s="28" t="s">
        <v>21</v>
      </c>
      <c r="O1002" s="92">
        <v>34620</v>
      </c>
      <c r="P1002" s="28" t="s">
        <v>21</v>
      </c>
      <c r="Q1002" s="26" t="b">
        <v>0</v>
      </c>
      <c r="R1002" s="22">
        <f t="shared" si="15"/>
        <v>14</v>
      </c>
    </row>
    <row r="1003" spans="1:18">
      <c r="A1003" s="26">
        <v>2868</v>
      </c>
      <c r="B1003" s="27">
        <v>34607</v>
      </c>
      <c r="C1003" s="28" t="s">
        <v>3261</v>
      </c>
      <c r="D1003" s="27">
        <v>34606</v>
      </c>
      <c r="E1003" s="28" t="s">
        <v>38</v>
      </c>
      <c r="F1003" s="28" t="s">
        <v>39</v>
      </c>
      <c r="G1003" s="28" t="s">
        <v>20</v>
      </c>
      <c r="H1003" s="28" t="s">
        <v>21</v>
      </c>
      <c r="I1003" s="28" t="s">
        <v>21</v>
      </c>
      <c r="J1003" s="28" t="s">
        <v>3262</v>
      </c>
      <c r="K1003" s="28" t="s">
        <v>3263</v>
      </c>
      <c r="L1003" s="28" t="s">
        <v>82</v>
      </c>
      <c r="M1003" s="28" t="s">
        <v>21</v>
      </c>
      <c r="N1003" s="29">
        <v>34622</v>
      </c>
      <c r="O1003" s="92">
        <v>34682</v>
      </c>
      <c r="P1003" s="28" t="s">
        <v>31</v>
      </c>
      <c r="Q1003" s="26" t="b">
        <v>0</v>
      </c>
      <c r="R1003" s="22">
        <f t="shared" si="15"/>
        <v>75</v>
      </c>
    </row>
    <row r="1004" spans="1:18">
      <c r="A1004" s="26">
        <v>2869</v>
      </c>
      <c r="B1004" s="27">
        <v>34610</v>
      </c>
      <c r="C1004" s="28" t="s">
        <v>3264</v>
      </c>
      <c r="D1004" s="27">
        <v>34607</v>
      </c>
      <c r="E1004" s="28" t="s">
        <v>38</v>
      </c>
      <c r="F1004" s="28" t="s">
        <v>85</v>
      </c>
      <c r="G1004" s="28" t="s">
        <v>20</v>
      </c>
      <c r="H1004" s="28" t="s">
        <v>21</v>
      </c>
      <c r="I1004" s="28" t="s">
        <v>21</v>
      </c>
      <c r="J1004" s="28" t="s">
        <v>3265</v>
      </c>
      <c r="K1004" s="28" t="s">
        <v>3266</v>
      </c>
      <c r="L1004" s="28" t="s">
        <v>24</v>
      </c>
      <c r="M1004" s="28" t="s">
        <v>21</v>
      </c>
      <c r="N1004" s="29">
        <v>34638</v>
      </c>
      <c r="O1004" s="92">
        <v>34621</v>
      </c>
      <c r="P1004" s="28" t="s">
        <v>31</v>
      </c>
      <c r="Q1004" s="26" t="b">
        <v>0</v>
      </c>
      <c r="R1004" s="22">
        <f t="shared" si="15"/>
        <v>11</v>
      </c>
    </row>
    <row r="1005" spans="1:18">
      <c r="A1005" s="26">
        <v>2883</v>
      </c>
      <c r="B1005" s="27">
        <v>34617</v>
      </c>
      <c r="C1005" s="28" t="s">
        <v>3267</v>
      </c>
      <c r="D1005" s="27">
        <v>34603</v>
      </c>
      <c r="E1005" s="28" t="s">
        <v>3268</v>
      </c>
      <c r="F1005" s="28" t="s">
        <v>104</v>
      </c>
      <c r="G1005" s="28" t="s">
        <v>20</v>
      </c>
      <c r="H1005" s="28" t="s">
        <v>21</v>
      </c>
      <c r="I1005" s="28" t="s">
        <v>21</v>
      </c>
      <c r="J1005" s="28" t="s">
        <v>3269</v>
      </c>
      <c r="K1005" s="28" t="s">
        <v>3270</v>
      </c>
      <c r="L1005" s="28" t="s">
        <v>3271</v>
      </c>
      <c r="M1005" s="28" t="s">
        <v>21</v>
      </c>
      <c r="N1005" s="29">
        <v>34648</v>
      </c>
      <c r="O1005" s="92">
        <v>34648</v>
      </c>
      <c r="P1005" s="28" t="s">
        <v>21</v>
      </c>
      <c r="Q1005" s="26" t="b">
        <v>0</v>
      </c>
      <c r="R1005" s="22">
        <f t="shared" si="15"/>
        <v>30</v>
      </c>
    </row>
    <row r="1006" spans="1:18" ht="24">
      <c r="A1006" s="26">
        <v>2886</v>
      </c>
      <c r="B1006" s="27">
        <v>34618</v>
      </c>
      <c r="C1006" s="28" t="s">
        <v>3272</v>
      </c>
      <c r="D1006" s="27">
        <v>34610</v>
      </c>
      <c r="E1006" s="28" t="s">
        <v>3273</v>
      </c>
      <c r="F1006" s="28" t="s">
        <v>2521</v>
      </c>
      <c r="G1006" s="28" t="s">
        <v>20</v>
      </c>
      <c r="H1006" s="28" t="s">
        <v>3274</v>
      </c>
      <c r="I1006" s="28" t="s">
        <v>566</v>
      </c>
      <c r="J1006" s="28" t="s">
        <v>3275</v>
      </c>
      <c r="K1006" s="28" t="s">
        <v>3276</v>
      </c>
      <c r="L1006" s="28" t="s">
        <v>82</v>
      </c>
      <c r="M1006" s="28" t="s">
        <v>21</v>
      </c>
      <c r="O1006" s="92">
        <v>34827</v>
      </c>
      <c r="P1006" s="28" t="s">
        <v>21</v>
      </c>
      <c r="Q1006" s="26" t="b">
        <v>0</v>
      </c>
      <c r="R1006" s="22">
        <f t="shared" si="15"/>
        <v>209</v>
      </c>
    </row>
    <row r="1007" spans="1:18">
      <c r="A1007" s="26">
        <v>2887</v>
      </c>
      <c r="B1007" s="27">
        <v>34618</v>
      </c>
      <c r="C1007" s="28" t="s">
        <v>3277</v>
      </c>
      <c r="D1007" s="27">
        <v>34614</v>
      </c>
      <c r="E1007" s="28" t="s">
        <v>3278</v>
      </c>
      <c r="F1007" s="28" t="s">
        <v>1414</v>
      </c>
      <c r="G1007" s="28" t="s">
        <v>20</v>
      </c>
      <c r="H1007" s="28" t="s">
        <v>71</v>
      </c>
      <c r="I1007" s="28" t="s">
        <v>72</v>
      </c>
      <c r="J1007" s="28" t="s">
        <v>3279</v>
      </c>
      <c r="K1007" s="28" t="s">
        <v>3280</v>
      </c>
      <c r="L1007" s="28" t="s">
        <v>24</v>
      </c>
      <c r="M1007" s="28" t="s">
        <v>21</v>
      </c>
      <c r="O1007" s="92">
        <v>34681</v>
      </c>
      <c r="P1007" s="28" t="s">
        <v>21</v>
      </c>
      <c r="Q1007" s="26" t="b">
        <v>0</v>
      </c>
      <c r="R1007" s="22">
        <f t="shared" si="15"/>
        <v>62</v>
      </c>
    </row>
    <row r="1008" spans="1:18">
      <c r="A1008" s="26">
        <v>2890</v>
      </c>
      <c r="B1008" s="27">
        <v>34619</v>
      </c>
      <c r="C1008" s="28" t="s">
        <v>3281</v>
      </c>
      <c r="D1008" s="27">
        <v>34618</v>
      </c>
      <c r="E1008" s="28" t="s">
        <v>3282</v>
      </c>
      <c r="F1008" s="28" t="s">
        <v>3283</v>
      </c>
      <c r="G1008" s="28" t="s">
        <v>20</v>
      </c>
      <c r="H1008" s="28" t="s">
        <v>21</v>
      </c>
      <c r="I1008" s="28" t="s">
        <v>21</v>
      </c>
      <c r="J1008" s="28" t="s">
        <v>3284</v>
      </c>
      <c r="K1008" s="28" t="s">
        <v>3285</v>
      </c>
      <c r="L1008" s="28" t="s">
        <v>24</v>
      </c>
      <c r="M1008" s="28" t="s">
        <v>21</v>
      </c>
      <c r="O1008" s="92">
        <v>34716</v>
      </c>
      <c r="P1008" s="28" t="s">
        <v>21</v>
      </c>
      <c r="Q1008" s="26" t="b">
        <v>0</v>
      </c>
      <c r="R1008" s="22">
        <f t="shared" si="15"/>
        <v>96</v>
      </c>
    </row>
    <row r="1009" spans="1:18" ht="24">
      <c r="A1009" s="26">
        <v>2891</v>
      </c>
      <c r="B1009" s="27">
        <v>34619</v>
      </c>
      <c r="C1009" s="28" t="s">
        <v>3286</v>
      </c>
      <c r="D1009" s="27">
        <v>34608</v>
      </c>
      <c r="E1009" s="28" t="s">
        <v>3287</v>
      </c>
      <c r="F1009" s="28" t="s">
        <v>1251</v>
      </c>
      <c r="G1009" s="28" t="s">
        <v>21</v>
      </c>
      <c r="H1009" s="28" t="s">
        <v>21</v>
      </c>
      <c r="I1009" s="28" t="s">
        <v>21</v>
      </c>
      <c r="J1009" s="28" t="s">
        <v>3288</v>
      </c>
      <c r="K1009" s="28" t="s">
        <v>3289</v>
      </c>
      <c r="L1009" s="28" t="s">
        <v>24</v>
      </c>
      <c r="M1009" s="28" t="s">
        <v>21</v>
      </c>
      <c r="O1009" s="92">
        <v>34716</v>
      </c>
      <c r="P1009" s="28" t="s">
        <v>31</v>
      </c>
      <c r="Q1009" s="26" t="b">
        <v>0</v>
      </c>
      <c r="R1009" s="22">
        <f t="shared" si="15"/>
        <v>96</v>
      </c>
    </row>
    <row r="1010" spans="1:18">
      <c r="A1010" s="26">
        <v>2898</v>
      </c>
      <c r="B1010" s="27">
        <v>34621</v>
      </c>
      <c r="C1010" s="28" t="s">
        <v>3290</v>
      </c>
      <c r="D1010" s="27">
        <v>34620</v>
      </c>
      <c r="E1010" s="28" t="s">
        <v>3291</v>
      </c>
      <c r="F1010" s="28" t="s">
        <v>3292</v>
      </c>
      <c r="G1010" s="28" t="s">
        <v>20</v>
      </c>
      <c r="H1010" s="28" t="s">
        <v>189</v>
      </c>
      <c r="I1010" s="28" t="s">
        <v>189</v>
      </c>
      <c r="J1010" s="28" t="s">
        <v>3293</v>
      </c>
      <c r="K1010" s="28" t="s">
        <v>3294</v>
      </c>
      <c r="L1010" s="28" t="s">
        <v>24</v>
      </c>
      <c r="M1010" s="28" t="s">
        <v>21</v>
      </c>
      <c r="O1010" s="92">
        <v>34683</v>
      </c>
      <c r="P1010" s="28" t="s">
        <v>21</v>
      </c>
      <c r="Q1010" s="26" t="b">
        <v>0</v>
      </c>
      <c r="R1010" s="22">
        <f t="shared" si="15"/>
        <v>61</v>
      </c>
    </row>
    <row r="1011" spans="1:18">
      <c r="A1011" s="26">
        <v>2899</v>
      </c>
      <c r="B1011" s="27">
        <v>34624</v>
      </c>
      <c r="C1011" s="28" t="s">
        <v>3295</v>
      </c>
      <c r="D1011" s="27">
        <v>34624</v>
      </c>
      <c r="E1011" s="28" t="s">
        <v>3296</v>
      </c>
      <c r="F1011" s="28" t="s">
        <v>124</v>
      </c>
      <c r="G1011" s="28" t="s">
        <v>20</v>
      </c>
      <c r="H1011" s="28" t="s">
        <v>21</v>
      </c>
      <c r="I1011" s="28" t="s">
        <v>21</v>
      </c>
      <c r="J1011" s="28" t="s">
        <v>3297</v>
      </c>
      <c r="K1011" s="28" t="s">
        <v>3298</v>
      </c>
      <c r="L1011" s="28" t="s">
        <v>82</v>
      </c>
      <c r="M1011" s="28" t="s">
        <v>21</v>
      </c>
      <c r="N1011" s="29">
        <v>34627</v>
      </c>
      <c r="O1011" s="92">
        <v>34627</v>
      </c>
      <c r="P1011" s="28" t="s">
        <v>31</v>
      </c>
      <c r="Q1011" s="26" t="b">
        <v>0</v>
      </c>
      <c r="R1011" s="22">
        <f t="shared" si="15"/>
        <v>3</v>
      </c>
    </row>
    <row r="1012" spans="1:18">
      <c r="A1012" s="26">
        <v>2912</v>
      </c>
      <c r="B1012" s="27">
        <v>34627</v>
      </c>
      <c r="C1012" s="28" t="s">
        <v>3299</v>
      </c>
      <c r="D1012" s="27">
        <v>34627</v>
      </c>
      <c r="E1012" s="28" t="s">
        <v>38</v>
      </c>
      <c r="F1012" s="28" t="s">
        <v>1149</v>
      </c>
      <c r="G1012" s="28" t="s">
        <v>21</v>
      </c>
      <c r="H1012" s="28" t="s">
        <v>21</v>
      </c>
      <c r="I1012" s="28" t="s">
        <v>21</v>
      </c>
      <c r="J1012" s="28" t="s">
        <v>3300</v>
      </c>
      <c r="K1012" s="28" t="s">
        <v>3301</v>
      </c>
      <c r="L1012" s="28" t="s">
        <v>24</v>
      </c>
      <c r="M1012" s="28" t="s">
        <v>21</v>
      </c>
      <c r="O1012" s="92">
        <v>34628</v>
      </c>
      <c r="P1012" s="28" t="s">
        <v>21</v>
      </c>
      <c r="Q1012" s="26" t="b">
        <v>0</v>
      </c>
      <c r="R1012" s="22">
        <f t="shared" si="15"/>
        <v>1</v>
      </c>
    </row>
    <row r="1013" spans="1:18">
      <c r="A1013" s="26">
        <v>2913</v>
      </c>
      <c r="B1013" s="27">
        <v>34627</v>
      </c>
      <c r="C1013" s="28" t="s">
        <v>3302</v>
      </c>
      <c r="D1013" s="27">
        <v>34627</v>
      </c>
      <c r="E1013" s="28" t="s">
        <v>3303</v>
      </c>
      <c r="F1013" s="28" t="s">
        <v>149</v>
      </c>
      <c r="G1013" s="28" t="s">
        <v>20</v>
      </c>
      <c r="H1013" s="28" t="s">
        <v>21</v>
      </c>
      <c r="I1013" s="28" t="s">
        <v>21</v>
      </c>
      <c r="J1013" s="28" t="s">
        <v>3304</v>
      </c>
      <c r="K1013" s="28" t="s">
        <v>3305</v>
      </c>
      <c r="L1013" s="28" t="s">
        <v>82</v>
      </c>
      <c r="M1013" s="28" t="s">
        <v>21</v>
      </c>
      <c r="O1013" s="92">
        <v>34716</v>
      </c>
      <c r="P1013" s="28" t="s">
        <v>31</v>
      </c>
      <c r="Q1013" s="26" t="b">
        <v>0</v>
      </c>
      <c r="R1013" s="22">
        <f t="shared" si="15"/>
        <v>88</v>
      </c>
    </row>
    <row r="1014" spans="1:18">
      <c r="A1014" s="26">
        <v>2920</v>
      </c>
      <c r="B1014" s="27">
        <v>34632</v>
      </c>
      <c r="C1014" s="28" t="s">
        <v>3306</v>
      </c>
      <c r="D1014" s="27">
        <v>34632</v>
      </c>
      <c r="E1014" s="28" t="s">
        <v>38</v>
      </c>
      <c r="F1014" s="28" t="s">
        <v>533</v>
      </c>
      <c r="G1014" s="28" t="s">
        <v>20</v>
      </c>
      <c r="H1014" s="28" t="s">
        <v>21</v>
      </c>
      <c r="I1014" s="28" t="s">
        <v>21</v>
      </c>
      <c r="J1014" s="28" t="s">
        <v>3307</v>
      </c>
      <c r="K1014" s="28" t="s">
        <v>3308</v>
      </c>
      <c r="L1014" s="28" t="s">
        <v>24</v>
      </c>
      <c r="M1014" s="28" t="s">
        <v>21</v>
      </c>
      <c r="N1014" s="27">
        <v>34637</v>
      </c>
      <c r="O1014" s="92">
        <v>34632</v>
      </c>
      <c r="P1014" s="28" t="s">
        <v>31</v>
      </c>
      <c r="Q1014" s="26" t="b">
        <v>0</v>
      </c>
      <c r="R1014" s="22">
        <f t="shared" si="15"/>
        <v>0</v>
      </c>
    </row>
    <row r="1015" spans="1:18">
      <c r="A1015" s="26">
        <v>2965</v>
      </c>
      <c r="B1015" s="27">
        <v>34641</v>
      </c>
      <c r="C1015" s="28" t="s">
        <v>3315</v>
      </c>
      <c r="D1015" s="27">
        <v>34641</v>
      </c>
      <c r="E1015" s="28" t="s">
        <v>3316</v>
      </c>
      <c r="F1015" s="28" t="s">
        <v>116</v>
      </c>
      <c r="G1015" s="28" t="s">
        <v>20</v>
      </c>
      <c r="H1015" s="28" t="s">
        <v>21</v>
      </c>
      <c r="I1015" s="28" t="s">
        <v>21</v>
      </c>
      <c r="J1015" s="28" t="s">
        <v>3317</v>
      </c>
      <c r="K1015" s="28" t="s">
        <v>3318</v>
      </c>
      <c r="L1015" s="28" t="s">
        <v>30</v>
      </c>
      <c r="M1015" s="28" t="s">
        <v>21</v>
      </c>
      <c r="O1015" s="92">
        <v>34653</v>
      </c>
      <c r="P1015" s="28" t="s">
        <v>21</v>
      </c>
      <c r="Q1015" s="26" t="b">
        <v>0</v>
      </c>
      <c r="R1015" s="22">
        <f t="shared" si="15"/>
        <v>12</v>
      </c>
    </row>
    <row r="1016" spans="1:18">
      <c r="A1016" s="26">
        <v>2930</v>
      </c>
      <c r="B1016" s="27">
        <v>34642</v>
      </c>
      <c r="C1016" s="28" t="s">
        <v>3309</v>
      </c>
      <c r="D1016" s="27">
        <v>34635</v>
      </c>
      <c r="E1016" s="28" t="s">
        <v>1443</v>
      </c>
      <c r="F1016" s="28" t="s">
        <v>1771</v>
      </c>
      <c r="G1016" s="28" t="s">
        <v>20</v>
      </c>
      <c r="H1016" s="28" t="s">
        <v>189</v>
      </c>
      <c r="I1016" s="28" t="s">
        <v>189</v>
      </c>
      <c r="J1016" s="28" t="s">
        <v>3310</v>
      </c>
      <c r="K1016" s="28" t="s">
        <v>3311</v>
      </c>
      <c r="L1016" s="28" t="s">
        <v>24</v>
      </c>
      <c r="M1016" s="28" t="s">
        <v>21</v>
      </c>
      <c r="O1016" s="92">
        <v>34883</v>
      </c>
      <c r="P1016" s="28" t="s">
        <v>21</v>
      </c>
      <c r="Q1016" s="26" t="b">
        <v>0</v>
      </c>
      <c r="R1016" s="22">
        <f t="shared" si="15"/>
        <v>242</v>
      </c>
    </row>
    <row r="1017" spans="1:18">
      <c r="A1017" s="26">
        <v>2931</v>
      </c>
      <c r="B1017" s="27">
        <v>34642</v>
      </c>
      <c r="C1017" s="28" t="s">
        <v>3312</v>
      </c>
      <c r="D1017" s="27">
        <v>34642</v>
      </c>
      <c r="E1017" s="28" t="s">
        <v>1432</v>
      </c>
      <c r="F1017" s="28" t="s">
        <v>19</v>
      </c>
      <c r="G1017" s="28" t="s">
        <v>20</v>
      </c>
      <c r="H1017" s="28" t="s">
        <v>21</v>
      </c>
      <c r="I1017" s="28" t="s">
        <v>21</v>
      </c>
      <c r="J1017" s="28" t="s">
        <v>3313</v>
      </c>
      <c r="K1017" s="28" t="s">
        <v>3314</v>
      </c>
      <c r="L1017" s="28" t="s">
        <v>24</v>
      </c>
      <c r="M1017" s="28" t="s">
        <v>21</v>
      </c>
      <c r="N1017" s="29">
        <v>34642</v>
      </c>
      <c r="O1017" s="92">
        <v>34642</v>
      </c>
      <c r="P1017" s="28" t="s">
        <v>21</v>
      </c>
      <c r="Q1017" s="26" t="b">
        <v>0</v>
      </c>
      <c r="R1017" s="22">
        <f t="shared" si="15"/>
        <v>0</v>
      </c>
    </row>
    <row r="1018" spans="1:18">
      <c r="A1018" s="26">
        <v>2966</v>
      </c>
      <c r="B1018" s="27">
        <v>34648</v>
      </c>
      <c r="C1018" s="28" t="s">
        <v>3319</v>
      </c>
      <c r="D1018" s="27">
        <v>34648</v>
      </c>
      <c r="E1018" s="28" t="s">
        <v>1204</v>
      </c>
      <c r="F1018" s="28" t="s">
        <v>56</v>
      </c>
      <c r="G1018" s="28" t="s">
        <v>20</v>
      </c>
      <c r="H1018" s="28" t="s">
        <v>21</v>
      </c>
      <c r="I1018" s="28" t="s">
        <v>21</v>
      </c>
      <c r="J1018" s="28" t="s">
        <v>3320</v>
      </c>
      <c r="K1018" s="28" t="s">
        <v>3321</v>
      </c>
      <c r="L1018" s="28" t="s">
        <v>82</v>
      </c>
      <c r="M1018" s="28" t="s">
        <v>21</v>
      </c>
      <c r="N1018" s="29">
        <v>34655</v>
      </c>
      <c r="O1018" s="92">
        <v>34655</v>
      </c>
      <c r="P1018" s="28" t="s">
        <v>21</v>
      </c>
      <c r="Q1018" s="26" t="b">
        <v>0</v>
      </c>
      <c r="R1018" s="22">
        <f t="shared" si="15"/>
        <v>7</v>
      </c>
    </row>
    <row r="1019" spans="1:18">
      <c r="A1019" s="26">
        <v>2996</v>
      </c>
      <c r="B1019" s="27">
        <v>34656</v>
      </c>
      <c r="C1019" s="28" t="s">
        <v>3322</v>
      </c>
      <c r="D1019" s="27">
        <v>34653</v>
      </c>
      <c r="E1019" s="28" t="s">
        <v>3323</v>
      </c>
      <c r="F1019" s="28" t="s">
        <v>27</v>
      </c>
      <c r="G1019" s="28" t="s">
        <v>20</v>
      </c>
      <c r="H1019" s="28" t="s">
        <v>212</v>
      </c>
      <c r="I1019" s="28" t="s">
        <v>212</v>
      </c>
      <c r="J1019" s="28" t="s">
        <v>3324</v>
      </c>
      <c r="K1019" s="28" t="s">
        <v>3325</v>
      </c>
      <c r="L1019" s="28" t="s">
        <v>88</v>
      </c>
      <c r="M1019" s="28" t="s">
        <v>21</v>
      </c>
      <c r="O1019" s="92">
        <v>35860</v>
      </c>
      <c r="P1019" s="28" t="s">
        <v>21</v>
      </c>
      <c r="Q1019" s="26" t="b">
        <v>0</v>
      </c>
      <c r="R1019" s="22">
        <f t="shared" si="15"/>
        <v>1204</v>
      </c>
    </row>
    <row r="1020" spans="1:18">
      <c r="A1020" s="26">
        <v>2997</v>
      </c>
      <c r="B1020" s="27">
        <v>34660</v>
      </c>
      <c r="C1020" s="28" t="s">
        <v>3326</v>
      </c>
      <c r="D1020" s="27">
        <v>34660</v>
      </c>
      <c r="E1020" s="28" t="s">
        <v>283</v>
      </c>
      <c r="F1020" s="28" t="s">
        <v>39</v>
      </c>
      <c r="G1020" s="28" t="s">
        <v>20</v>
      </c>
      <c r="H1020" s="28" t="s">
        <v>21</v>
      </c>
      <c r="I1020" s="28" t="s">
        <v>21</v>
      </c>
      <c r="J1020" s="28" t="s">
        <v>3327</v>
      </c>
      <c r="K1020" s="28" t="s">
        <v>3328</v>
      </c>
      <c r="L1020" s="28" t="s">
        <v>30</v>
      </c>
      <c r="M1020" s="28" t="s">
        <v>21</v>
      </c>
      <c r="N1020" s="29">
        <v>34667</v>
      </c>
      <c r="O1020" s="92">
        <v>34668</v>
      </c>
      <c r="P1020" s="28" t="s">
        <v>182</v>
      </c>
      <c r="Q1020" s="26" t="b">
        <v>0</v>
      </c>
      <c r="R1020" s="22">
        <f t="shared" si="15"/>
        <v>8</v>
      </c>
    </row>
    <row r="1021" spans="1:18">
      <c r="A1021" s="26">
        <v>2999</v>
      </c>
      <c r="B1021" s="27">
        <v>34661</v>
      </c>
      <c r="C1021" s="28" t="s">
        <v>3329</v>
      </c>
      <c r="D1021" s="27">
        <v>34661</v>
      </c>
      <c r="E1021" s="28" t="s">
        <v>283</v>
      </c>
      <c r="F1021" s="28" t="s">
        <v>56</v>
      </c>
      <c r="G1021" s="28" t="s">
        <v>20</v>
      </c>
      <c r="H1021" s="28" t="s">
        <v>21</v>
      </c>
      <c r="I1021" s="28" t="s">
        <v>21</v>
      </c>
      <c r="J1021" s="28" t="s">
        <v>3327</v>
      </c>
      <c r="K1021" s="28" t="s">
        <v>3330</v>
      </c>
      <c r="L1021" s="28" t="s">
        <v>24</v>
      </c>
      <c r="M1021" s="28" t="s">
        <v>21</v>
      </c>
      <c r="N1021" s="29">
        <v>34669</v>
      </c>
      <c r="O1021" s="92">
        <v>34668</v>
      </c>
      <c r="P1021" s="28" t="s">
        <v>21</v>
      </c>
      <c r="Q1021" s="26" t="b">
        <v>0</v>
      </c>
      <c r="R1021" s="22">
        <f t="shared" si="15"/>
        <v>7</v>
      </c>
    </row>
    <row r="1022" spans="1:18">
      <c r="A1022" s="26">
        <v>3003</v>
      </c>
      <c r="B1022" s="27">
        <v>34661</v>
      </c>
      <c r="C1022" s="28" t="s">
        <v>3331</v>
      </c>
      <c r="D1022" s="27">
        <v>34661</v>
      </c>
      <c r="E1022" s="28" t="s">
        <v>3332</v>
      </c>
      <c r="F1022" s="28" t="s">
        <v>3333</v>
      </c>
      <c r="G1022" s="28" t="s">
        <v>20</v>
      </c>
      <c r="H1022" s="28" t="s">
        <v>21</v>
      </c>
      <c r="I1022" s="28" t="s">
        <v>21</v>
      </c>
      <c r="J1022" s="28" t="s">
        <v>3334</v>
      </c>
      <c r="K1022" s="28" t="s">
        <v>3335</v>
      </c>
      <c r="L1022" s="28" t="s">
        <v>82</v>
      </c>
      <c r="M1022" s="28" t="s">
        <v>21</v>
      </c>
      <c r="O1022" s="92">
        <v>34681</v>
      </c>
      <c r="P1022" s="28" t="s">
        <v>31</v>
      </c>
      <c r="Q1022" s="26" t="b">
        <v>0</v>
      </c>
      <c r="R1022" s="22">
        <f t="shared" si="15"/>
        <v>20</v>
      </c>
    </row>
    <row r="1023" spans="1:18">
      <c r="A1023" s="26">
        <v>3004</v>
      </c>
      <c r="B1023" s="27">
        <v>34661</v>
      </c>
      <c r="C1023" s="28" t="s">
        <v>3336</v>
      </c>
      <c r="D1023" s="27">
        <v>34661</v>
      </c>
      <c r="E1023" s="28" t="s">
        <v>3337</v>
      </c>
      <c r="F1023" s="28" t="s">
        <v>149</v>
      </c>
      <c r="G1023" s="28" t="s">
        <v>20</v>
      </c>
      <c r="H1023" s="28" t="s">
        <v>21</v>
      </c>
      <c r="I1023" s="28" t="s">
        <v>21</v>
      </c>
      <c r="J1023" s="28" t="s">
        <v>3338</v>
      </c>
      <c r="K1023" s="28" t="s">
        <v>3339</v>
      </c>
      <c r="L1023" s="28" t="s">
        <v>24</v>
      </c>
      <c r="M1023" s="28" t="s">
        <v>21</v>
      </c>
      <c r="O1023" s="92">
        <v>34851</v>
      </c>
      <c r="P1023" s="28" t="s">
        <v>21</v>
      </c>
      <c r="Q1023" s="26" t="b">
        <v>0</v>
      </c>
      <c r="R1023" s="22">
        <f t="shared" si="15"/>
        <v>190</v>
      </c>
    </row>
    <row r="1024" spans="1:18">
      <c r="A1024" s="26">
        <v>3008</v>
      </c>
      <c r="B1024" s="27">
        <v>34669</v>
      </c>
      <c r="C1024" s="28" t="s">
        <v>3340</v>
      </c>
      <c r="D1024" s="27">
        <v>34666</v>
      </c>
      <c r="E1024" s="28" t="s">
        <v>3341</v>
      </c>
      <c r="F1024" s="28" t="s">
        <v>665</v>
      </c>
      <c r="G1024" s="28" t="s">
        <v>20</v>
      </c>
      <c r="H1024" s="28" t="s">
        <v>21</v>
      </c>
      <c r="I1024" s="28" t="s">
        <v>21</v>
      </c>
      <c r="J1024" s="28" t="s">
        <v>3342</v>
      </c>
      <c r="K1024" s="28" t="s">
        <v>3343</v>
      </c>
      <c r="L1024" s="28" t="s">
        <v>24</v>
      </c>
      <c r="M1024" s="28" t="s">
        <v>21</v>
      </c>
      <c r="O1024" s="92">
        <v>34823</v>
      </c>
      <c r="P1024" s="28" t="s">
        <v>21</v>
      </c>
      <c r="Q1024" s="26" t="b">
        <v>0</v>
      </c>
      <c r="R1024" s="22">
        <f t="shared" si="15"/>
        <v>155</v>
      </c>
    </row>
    <row r="1025" spans="1:18">
      <c r="A1025" s="26">
        <v>3010</v>
      </c>
      <c r="B1025" s="27">
        <v>34676</v>
      </c>
      <c r="C1025" s="28" t="s">
        <v>3344</v>
      </c>
      <c r="D1025" s="27">
        <v>34675</v>
      </c>
      <c r="E1025" s="28" t="s">
        <v>283</v>
      </c>
      <c r="F1025" s="28" t="s">
        <v>98</v>
      </c>
      <c r="G1025" s="28" t="s">
        <v>20</v>
      </c>
      <c r="H1025" s="28" t="s">
        <v>21</v>
      </c>
      <c r="I1025" s="28" t="s">
        <v>21</v>
      </c>
      <c r="J1025" s="28" t="s">
        <v>3345</v>
      </c>
      <c r="K1025" s="28" t="s">
        <v>3346</v>
      </c>
      <c r="L1025" s="28" t="s">
        <v>30</v>
      </c>
      <c r="M1025" s="28" t="s">
        <v>21</v>
      </c>
      <c r="N1025" s="29">
        <v>34683</v>
      </c>
      <c r="O1025" s="92">
        <v>34680</v>
      </c>
      <c r="P1025" s="28" t="s">
        <v>21</v>
      </c>
      <c r="Q1025" s="26" t="b">
        <v>0</v>
      </c>
      <c r="R1025" s="22">
        <f t="shared" si="15"/>
        <v>4</v>
      </c>
    </row>
    <row r="1026" spans="1:18">
      <c r="A1026" s="26">
        <v>3024</v>
      </c>
      <c r="B1026" s="27">
        <v>34682</v>
      </c>
      <c r="C1026" s="28" t="s">
        <v>3347</v>
      </c>
      <c r="D1026" s="27">
        <v>34681</v>
      </c>
      <c r="E1026" s="28" t="s">
        <v>3348</v>
      </c>
      <c r="F1026" s="28" t="s">
        <v>359</v>
      </c>
      <c r="G1026" s="28" t="s">
        <v>20</v>
      </c>
      <c r="H1026" s="28" t="s">
        <v>21</v>
      </c>
      <c r="I1026" s="28" t="s">
        <v>21</v>
      </c>
      <c r="J1026" s="28" t="s">
        <v>3349</v>
      </c>
      <c r="K1026" s="28" t="s">
        <v>3350</v>
      </c>
      <c r="L1026" s="28" t="s">
        <v>66</v>
      </c>
      <c r="M1026" s="28" t="s">
        <v>21</v>
      </c>
      <c r="N1026" s="29">
        <v>34349</v>
      </c>
      <c r="O1026" s="92">
        <v>35774</v>
      </c>
      <c r="P1026" s="28" t="s">
        <v>31</v>
      </c>
      <c r="Q1026" s="26" t="b">
        <v>0</v>
      </c>
      <c r="R1026" s="22">
        <f t="shared" ref="R1026:R1089" si="16">IF(O1026=" ", " ", INT(YEARFRAC(O1026, B1026)*365))</f>
        <v>1090</v>
      </c>
    </row>
    <row r="1027" spans="1:18">
      <c r="A1027" s="26">
        <v>3027</v>
      </c>
      <c r="B1027" s="27">
        <v>34683</v>
      </c>
      <c r="C1027" s="28" t="s">
        <v>3351</v>
      </c>
      <c r="D1027" s="27">
        <v>34683</v>
      </c>
      <c r="E1027" s="28" t="s">
        <v>3352</v>
      </c>
      <c r="F1027" s="28" t="s">
        <v>70</v>
      </c>
      <c r="G1027" s="28" t="s">
        <v>20</v>
      </c>
      <c r="H1027" s="28" t="s">
        <v>71</v>
      </c>
      <c r="I1027" s="28" t="s">
        <v>72</v>
      </c>
      <c r="J1027" s="28" t="s">
        <v>3353</v>
      </c>
      <c r="K1027" s="28" t="s">
        <v>3354</v>
      </c>
      <c r="L1027" s="28" t="s">
        <v>82</v>
      </c>
      <c r="M1027" s="28" t="s">
        <v>21</v>
      </c>
      <c r="N1027" s="29">
        <v>34730</v>
      </c>
      <c r="O1027" s="92">
        <v>34823</v>
      </c>
      <c r="P1027" s="28" t="s">
        <v>31</v>
      </c>
      <c r="Q1027" s="26" t="b">
        <v>0</v>
      </c>
      <c r="R1027" s="22">
        <f t="shared" si="16"/>
        <v>140</v>
      </c>
    </row>
    <row r="1028" spans="1:18">
      <c r="A1028" s="26">
        <v>3040</v>
      </c>
      <c r="B1028" s="27">
        <v>34683</v>
      </c>
      <c r="C1028" s="28" t="s">
        <v>3369</v>
      </c>
      <c r="D1028" s="27">
        <v>34683</v>
      </c>
      <c r="E1028" s="28" t="s">
        <v>38</v>
      </c>
      <c r="F1028" s="28" t="s">
        <v>513</v>
      </c>
      <c r="G1028" s="28" t="s">
        <v>20</v>
      </c>
      <c r="H1028" s="28" t="s">
        <v>21</v>
      </c>
      <c r="I1028" s="28" t="s">
        <v>21</v>
      </c>
      <c r="J1028" s="28" t="s">
        <v>3370</v>
      </c>
      <c r="K1028" s="28" t="s">
        <v>21</v>
      </c>
      <c r="L1028" s="28" t="s">
        <v>30</v>
      </c>
      <c r="M1028" s="28" t="s">
        <v>21</v>
      </c>
      <c r="O1028" s="92">
        <v>34691</v>
      </c>
      <c r="P1028" s="28" t="s">
        <v>21</v>
      </c>
      <c r="Q1028" s="26" t="b">
        <v>0</v>
      </c>
      <c r="R1028" s="22">
        <f t="shared" si="16"/>
        <v>8</v>
      </c>
    </row>
    <row r="1029" spans="1:18">
      <c r="A1029" s="26">
        <v>3028</v>
      </c>
      <c r="B1029" s="27">
        <v>34684</v>
      </c>
      <c r="C1029" s="28" t="s">
        <v>3355</v>
      </c>
      <c r="D1029" s="27">
        <v>34684</v>
      </c>
      <c r="E1029" s="28" t="s">
        <v>3356</v>
      </c>
      <c r="F1029" s="28" t="s">
        <v>359</v>
      </c>
      <c r="G1029" s="28" t="s">
        <v>20</v>
      </c>
      <c r="H1029" s="28" t="s">
        <v>21</v>
      </c>
      <c r="I1029" s="28" t="s">
        <v>21</v>
      </c>
      <c r="J1029" s="28" t="s">
        <v>3357</v>
      </c>
      <c r="K1029" s="28" t="s">
        <v>3358</v>
      </c>
      <c r="L1029" s="28" t="s">
        <v>30</v>
      </c>
      <c r="M1029" s="28" t="s">
        <v>21</v>
      </c>
      <c r="N1029" s="29">
        <v>34714</v>
      </c>
      <c r="O1029" s="92">
        <v>35641</v>
      </c>
      <c r="P1029" s="28" t="s">
        <v>31</v>
      </c>
      <c r="Q1029" s="26" t="b">
        <v>0</v>
      </c>
      <c r="R1029" s="22">
        <f t="shared" si="16"/>
        <v>957</v>
      </c>
    </row>
    <row r="1030" spans="1:18">
      <c r="A1030" s="26">
        <v>3029</v>
      </c>
      <c r="B1030" s="27">
        <v>34684</v>
      </c>
      <c r="C1030" s="28" t="s">
        <v>3359</v>
      </c>
      <c r="D1030" s="27">
        <v>34684</v>
      </c>
      <c r="E1030" s="28" t="s">
        <v>283</v>
      </c>
      <c r="F1030" s="28" t="s">
        <v>149</v>
      </c>
      <c r="G1030" s="28" t="s">
        <v>20</v>
      </c>
      <c r="H1030" s="28" t="s">
        <v>21</v>
      </c>
      <c r="I1030" s="28" t="s">
        <v>21</v>
      </c>
      <c r="J1030" s="28" t="s">
        <v>3360</v>
      </c>
      <c r="K1030" s="28" t="s">
        <v>3361</v>
      </c>
      <c r="L1030" s="28" t="s">
        <v>30</v>
      </c>
      <c r="M1030" s="28" t="s">
        <v>21</v>
      </c>
      <c r="N1030" s="29">
        <v>34689</v>
      </c>
      <c r="O1030" s="92">
        <v>34690</v>
      </c>
      <c r="P1030" s="28" t="s">
        <v>21</v>
      </c>
      <c r="Q1030" s="26" t="b">
        <v>0</v>
      </c>
      <c r="R1030" s="22">
        <f t="shared" si="16"/>
        <v>6</v>
      </c>
    </row>
    <row r="1031" spans="1:18">
      <c r="A1031" s="26">
        <v>3030</v>
      </c>
      <c r="B1031" s="27">
        <v>34684</v>
      </c>
      <c r="C1031" s="28" t="s">
        <v>3362</v>
      </c>
      <c r="D1031" s="27">
        <v>34684</v>
      </c>
      <c r="E1031" s="28" t="s">
        <v>283</v>
      </c>
      <c r="F1031" s="28" t="s">
        <v>39</v>
      </c>
      <c r="G1031" s="28" t="s">
        <v>20</v>
      </c>
      <c r="H1031" s="28" t="s">
        <v>21</v>
      </c>
      <c r="I1031" s="28" t="s">
        <v>21</v>
      </c>
      <c r="J1031" s="28" t="s">
        <v>3363</v>
      </c>
      <c r="K1031" s="28" t="s">
        <v>3364</v>
      </c>
      <c r="L1031" s="28" t="s">
        <v>82</v>
      </c>
      <c r="M1031" s="28" t="s">
        <v>21</v>
      </c>
      <c r="N1031" s="29">
        <v>34689</v>
      </c>
      <c r="O1031" s="92">
        <v>34689</v>
      </c>
      <c r="P1031" s="28" t="s">
        <v>21</v>
      </c>
      <c r="Q1031" s="26" t="b">
        <v>0</v>
      </c>
      <c r="R1031" s="22">
        <f t="shared" si="16"/>
        <v>5</v>
      </c>
    </row>
    <row r="1032" spans="1:18">
      <c r="A1032" s="26">
        <v>3047</v>
      </c>
      <c r="B1032" s="27">
        <v>34687</v>
      </c>
      <c r="C1032" s="28" t="s">
        <v>3382</v>
      </c>
      <c r="D1032" s="27">
        <v>34687</v>
      </c>
      <c r="E1032" s="28" t="s">
        <v>3383</v>
      </c>
      <c r="F1032" s="28" t="s">
        <v>3384</v>
      </c>
      <c r="G1032" s="28" t="s">
        <v>21</v>
      </c>
      <c r="H1032" s="28" t="s">
        <v>21</v>
      </c>
      <c r="I1032" s="28" t="s">
        <v>21</v>
      </c>
      <c r="J1032" s="28" t="s">
        <v>3385</v>
      </c>
      <c r="K1032" s="28" t="s">
        <v>3386</v>
      </c>
      <c r="L1032" s="28" t="s">
        <v>24</v>
      </c>
      <c r="M1032" s="28" t="s">
        <v>21</v>
      </c>
      <c r="N1032" s="29">
        <v>34719</v>
      </c>
      <c r="O1032" s="92">
        <v>34717</v>
      </c>
      <c r="P1032" s="28" t="s">
        <v>21</v>
      </c>
      <c r="Q1032" s="26" t="b">
        <v>0</v>
      </c>
      <c r="R1032" s="22">
        <f t="shared" si="16"/>
        <v>29</v>
      </c>
    </row>
    <row r="1033" spans="1:18" ht="24">
      <c r="A1033" s="26">
        <v>3031</v>
      </c>
      <c r="B1033" s="27">
        <v>34688</v>
      </c>
      <c r="C1033" s="28" t="s">
        <v>3365</v>
      </c>
      <c r="D1033" s="27">
        <v>34688</v>
      </c>
      <c r="E1033" s="28" t="s">
        <v>3366</v>
      </c>
      <c r="F1033" s="28" t="s">
        <v>2597</v>
      </c>
      <c r="G1033" s="28" t="s">
        <v>20</v>
      </c>
      <c r="H1033" s="28" t="s">
        <v>21</v>
      </c>
      <c r="I1033" s="28" t="s">
        <v>21</v>
      </c>
      <c r="J1033" s="28" t="s">
        <v>3367</v>
      </c>
      <c r="K1033" s="28" t="s">
        <v>3368</v>
      </c>
      <c r="L1033" s="28" t="s">
        <v>82</v>
      </c>
      <c r="M1033" s="28" t="s">
        <v>21</v>
      </c>
      <c r="N1033" s="29">
        <v>34714</v>
      </c>
      <c r="O1033" s="92">
        <v>34708</v>
      </c>
      <c r="P1033" s="28" t="s">
        <v>21</v>
      </c>
      <c r="Q1033" s="26" t="b">
        <v>0</v>
      </c>
      <c r="R1033" s="22">
        <f t="shared" si="16"/>
        <v>19</v>
      </c>
    </row>
    <row r="1034" spans="1:18">
      <c r="A1034" s="26">
        <v>3044</v>
      </c>
      <c r="B1034" s="27">
        <v>34702</v>
      </c>
      <c r="C1034" s="28" t="s">
        <v>3371</v>
      </c>
      <c r="D1034" s="27">
        <v>34702</v>
      </c>
      <c r="E1034" s="28" t="s">
        <v>38</v>
      </c>
      <c r="F1034" s="28" t="s">
        <v>1149</v>
      </c>
      <c r="G1034" s="28" t="s">
        <v>21</v>
      </c>
      <c r="H1034" s="28" t="s">
        <v>566</v>
      </c>
      <c r="I1034" s="28" t="s">
        <v>566</v>
      </c>
      <c r="J1034" s="28" t="s">
        <v>3372</v>
      </c>
      <c r="K1034" s="28" t="s">
        <v>3373</v>
      </c>
      <c r="L1034" s="28" t="s">
        <v>82</v>
      </c>
      <c r="M1034" s="28" t="s">
        <v>21</v>
      </c>
      <c r="O1034" s="92">
        <v>34702</v>
      </c>
      <c r="P1034" s="28" t="s">
        <v>21</v>
      </c>
      <c r="Q1034" s="26" t="b">
        <v>0</v>
      </c>
      <c r="R1034" s="22">
        <f t="shared" si="16"/>
        <v>0</v>
      </c>
    </row>
    <row r="1035" spans="1:18">
      <c r="A1035" s="26">
        <v>3045</v>
      </c>
      <c r="B1035" s="27">
        <v>34702</v>
      </c>
      <c r="C1035" s="28" t="s">
        <v>3374</v>
      </c>
      <c r="D1035" s="27">
        <v>34697</v>
      </c>
      <c r="E1035" s="28" t="s">
        <v>3375</v>
      </c>
      <c r="F1035" s="28" t="s">
        <v>3376</v>
      </c>
      <c r="G1035" s="28" t="s">
        <v>20</v>
      </c>
      <c r="H1035" s="28" t="s">
        <v>566</v>
      </c>
      <c r="I1035" s="28" t="s">
        <v>566</v>
      </c>
      <c r="J1035" s="28" t="s">
        <v>3377</v>
      </c>
      <c r="K1035" s="28" t="s">
        <v>3378</v>
      </c>
      <c r="L1035" s="28" t="s">
        <v>66</v>
      </c>
      <c r="M1035" s="28" t="s">
        <v>30</v>
      </c>
      <c r="N1035" s="27">
        <v>34730</v>
      </c>
      <c r="O1035" s="92">
        <v>36452</v>
      </c>
      <c r="P1035" s="28" t="s">
        <v>21</v>
      </c>
      <c r="Q1035" s="26" t="b">
        <v>0</v>
      </c>
      <c r="R1035" s="22">
        <f t="shared" si="16"/>
        <v>1749</v>
      </c>
    </row>
    <row r="1036" spans="1:18">
      <c r="A1036" s="26">
        <v>3046</v>
      </c>
      <c r="B1036" s="27">
        <v>34703</v>
      </c>
      <c r="C1036" s="28" t="s">
        <v>3379</v>
      </c>
      <c r="D1036" s="27">
        <v>34703</v>
      </c>
      <c r="E1036" s="28" t="s">
        <v>61</v>
      </c>
      <c r="F1036" s="28" t="s">
        <v>513</v>
      </c>
      <c r="G1036" s="28" t="s">
        <v>20</v>
      </c>
      <c r="H1036" s="28" t="s">
        <v>21</v>
      </c>
      <c r="I1036" s="28" t="s">
        <v>21</v>
      </c>
      <c r="J1036" s="28" t="s">
        <v>3380</v>
      </c>
      <c r="K1036" s="28" t="s">
        <v>3381</v>
      </c>
      <c r="L1036" s="28" t="s">
        <v>30</v>
      </c>
      <c r="M1036" s="28" t="s">
        <v>21</v>
      </c>
      <c r="N1036" s="29">
        <v>34704</v>
      </c>
      <c r="O1036" s="92">
        <v>34704</v>
      </c>
      <c r="P1036" s="28" t="s">
        <v>21</v>
      </c>
      <c r="Q1036" s="26" t="b">
        <v>0</v>
      </c>
      <c r="R1036" s="22">
        <f t="shared" si="16"/>
        <v>1</v>
      </c>
    </row>
    <row r="1037" spans="1:18">
      <c r="A1037" s="26">
        <v>3052</v>
      </c>
      <c r="B1037" s="27">
        <v>34704</v>
      </c>
      <c r="C1037" s="28" t="s">
        <v>3387</v>
      </c>
      <c r="D1037" s="27">
        <v>34702</v>
      </c>
      <c r="E1037" s="28" t="s">
        <v>3388</v>
      </c>
      <c r="F1037" s="28" t="s">
        <v>861</v>
      </c>
      <c r="G1037" s="28" t="s">
        <v>20</v>
      </c>
      <c r="H1037" s="28" t="s">
        <v>566</v>
      </c>
      <c r="I1037" s="28" t="s">
        <v>566</v>
      </c>
      <c r="J1037" s="28" t="s">
        <v>3372</v>
      </c>
      <c r="K1037" s="28" t="s">
        <v>3389</v>
      </c>
      <c r="L1037" s="28" t="s">
        <v>67</v>
      </c>
      <c r="M1037" s="28" t="s">
        <v>21</v>
      </c>
      <c r="O1037" s="92">
        <v>35440</v>
      </c>
      <c r="P1037" s="28" t="s">
        <v>21</v>
      </c>
      <c r="Q1037" s="26" t="b">
        <v>0</v>
      </c>
      <c r="R1037" s="22">
        <f t="shared" si="16"/>
        <v>735</v>
      </c>
    </row>
    <row r="1038" spans="1:18">
      <c r="A1038" s="26">
        <v>3061</v>
      </c>
      <c r="B1038" s="27">
        <v>34708</v>
      </c>
      <c r="C1038" s="28" t="s">
        <v>3390</v>
      </c>
      <c r="D1038" s="27">
        <v>34708</v>
      </c>
      <c r="E1038" s="28" t="s">
        <v>3391</v>
      </c>
      <c r="F1038" s="28" t="s">
        <v>70</v>
      </c>
      <c r="G1038" s="28" t="s">
        <v>20</v>
      </c>
      <c r="H1038" s="28" t="s">
        <v>71</v>
      </c>
      <c r="I1038" s="28" t="s">
        <v>72</v>
      </c>
      <c r="J1038" s="28" t="s">
        <v>3392</v>
      </c>
      <c r="K1038" s="28" t="s">
        <v>3393</v>
      </c>
      <c r="L1038" s="28" t="s">
        <v>30</v>
      </c>
      <c r="M1038" s="28" t="s">
        <v>21</v>
      </c>
      <c r="O1038" s="92">
        <v>34974</v>
      </c>
      <c r="P1038" s="28" t="s">
        <v>21</v>
      </c>
      <c r="Q1038" s="26" t="b">
        <v>0</v>
      </c>
      <c r="R1038" s="22">
        <f t="shared" si="16"/>
        <v>266</v>
      </c>
    </row>
    <row r="1039" spans="1:18">
      <c r="A1039" s="26">
        <v>3070</v>
      </c>
      <c r="B1039" s="27">
        <v>34712</v>
      </c>
      <c r="C1039" s="28" t="s">
        <v>3394</v>
      </c>
      <c r="D1039" s="27">
        <v>34712</v>
      </c>
      <c r="E1039" s="28" t="s">
        <v>38</v>
      </c>
      <c r="F1039" s="28" t="s">
        <v>741</v>
      </c>
      <c r="G1039" s="28" t="s">
        <v>20</v>
      </c>
      <c r="H1039" s="28" t="s">
        <v>21</v>
      </c>
      <c r="I1039" s="28" t="s">
        <v>21</v>
      </c>
      <c r="J1039" s="28" t="s">
        <v>741</v>
      </c>
      <c r="K1039" s="28" t="s">
        <v>3395</v>
      </c>
      <c r="L1039" s="28" t="s">
        <v>24</v>
      </c>
      <c r="M1039" s="28" t="s">
        <v>21</v>
      </c>
      <c r="O1039" s="92">
        <v>34736</v>
      </c>
      <c r="P1039" s="28" t="s">
        <v>31</v>
      </c>
      <c r="Q1039" s="26" t="b">
        <v>0</v>
      </c>
      <c r="R1039" s="22">
        <f t="shared" si="16"/>
        <v>23</v>
      </c>
    </row>
    <row r="1040" spans="1:18">
      <c r="A1040" s="26">
        <v>3076</v>
      </c>
      <c r="B1040" s="27">
        <v>34712</v>
      </c>
      <c r="C1040" s="28" t="s">
        <v>3396</v>
      </c>
      <c r="D1040" s="27">
        <v>34712</v>
      </c>
      <c r="E1040" s="28" t="s">
        <v>3397</v>
      </c>
      <c r="F1040" s="28" t="s">
        <v>359</v>
      </c>
      <c r="G1040" s="28" t="s">
        <v>20</v>
      </c>
      <c r="H1040" s="28" t="s">
        <v>21</v>
      </c>
      <c r="I1040" s="28" t="s">
        <v>21</v>
      </c>
      <c r="J1040" s="28" t="s">
        <v>3398</v>
      </c>
      <c r="K1040" s="28" t="s">
        <v>3399</v>
      </c>
      <c r="L1040" s="28" t="s">
        <v>30</v>
      </c>
      <c r="M1040" s="28" t="s">
        <v>21</v>
      </c>
      <c r="N1040" s="29">
        <v>34733</v>
      </c>
      <c r="O1040" s="92">
        <v>34796</v>
      </c>
      <c r="P1040" s="28" t="s">
        <v>21</v>
      </c>
      <c r="Q1040" s="26" t="b">
        <v>0</v>
      </c>
      <c r="R1040" s="22">
        <f t="shared" si="16"/>
        <v>85</v>
      </c>
    </row>
    <row r="1041" spans="1:18">
      <c r="A1041" s="26">
        <v>3077</v>
      </c>
      <c r="B1041" s="27">
        <v>34716</v>
      </c>
      <c r="C1041" s="28" t="s">
        <v>3400</v>
      </c>
      <c r="D1041" s="27">
        <v>34716</v>
      </c>
      <c r="E1041" s="28" t="s">
        <v>38</v>
      </c>
      <c r="F1041" s="28" t="s">
        <v>98</v>
      </c>
      <c r="G1041" s="28" t="s">
        <v>20</v>
      </c>
      <c r="H1041" s="28" t="s">
        <v>21</v>
      </c>
      <c r="I1041" s="28" t="s">
        <v>21</v>
      </c>
      <c r="J1041" s="28" t="s">
        <v>3401</v>
      </c>
      <c r="K1041" s="28" t="s">
        <v>3402</v>
      </c>
      <c r="L1041" s="28" t="s">
        <v>82</v>
      </c>
      <c r="M1041" s="28" t="s">
        <v>21</v>
      </c>
      <c r="O1041" s="92">
        <v>34716</v>
      </c>
      <c r="P1041" s="28" t="s">
        <v>31</v>
      </c>
      <c r="Q1041" s="26" t="b">
        <v>0</v>
      </c>
      <c r="R1041" s="22">
        <f t="shared" si="16"/>
        <v>0</v>
      </c>
    </row>
    <row r="1042" spans="1:18">
      <c r="A1042" s="26">
        <v>3084</v>
      </c>
      <c r="B1042" s="27">
        <v>34717</v>
      </c>
      <c r="C1042" s="28" t="s">
        <v>3403</v>
      </c>
      <c r="D1042" s="27">
        <v>34717</v>
      </c>
      <c r="E1042" s="28" t="s">
        <v>3404</v>
      </c>
      <c r="F1042" s="28" t="s">
        <v>861</v>
      </c>
      <c r="G1042" s="28" t="s">
        <v>20</v>
      </c>
      <c r="H1042" s="28" t="s">
        <v>566</v>
      </c>
      <c r="I1042" s="28" t="s">
        <v>566</v>
      </c>
      <c r="J1042" s="28" t="s">
        <v>3405</v>
      </c>
      <c r="K1042" s="28" t="s">
        <v>3406</v>
      </c>
      <c r="L1042" s="28" t="s">
        <v>66</v>
      </c>
      <c r="M1042" s="28" t="s">
        <v>21</v>
      </c>
      <c r="O1042" s="92">
        <v>35634</v>
      </c>
      <c r="P1042" s="28" t="s">
        <v>21</v>
      </c>
      <c r="Q1042" s="26" t="b">
        <v>0</v>
      </c>
      <c r="R1042" s="22">
        <f t="shared" si="16"/>
        <v>917</v>
      </c>
    </row>
    <row r="1043" spans="1:18">
      <c r="A1043" s="26">
        <v>3087</v>
      </c>
      <c r="B1043" s="27">
        <v>34718</v>
      </c>
      <c r="C1043" s="28" t="s">
        <v>3407</v>
      </c>
      <c r="D1043" s="27">
        <v>34718</v>
      </c>
      <c r="E1043" s="28" t="s">
        <v>3408</v>
      </c>
      <c r="F1043" s="28" t="s">
        <v>824</v>
      </c>
      <c r="G1043" s="28" t="s">
        <v>20</v>
      </c>
      <c r="H1043" s="28" t="s">
        <v>71</v>
      </c>
      <c r="I1043" s="28" t="s">
        <v>72</v>
      </c>
      <c r="J1043" s="28" t="s">
        <v>3409</v>
      </c>
      <c r="K1043" s="28" t="s">
        <v>3410</v>
      </c>
      <c r="L1043" s="28" t="s">
        <v>24</v>
      </c>
      <c r="M1043" s="28" t="s">
        <v>21</v>
      </c>
      <c r="N1043" s="29">
        <v>34731</v>
      </c>
      <c r="O1043" s="92">
        <v>34719</v>
      </c>
      <c r="P1043" s="28" t="s">
        <v>21</v>
      </c>
      <c r="Q1043" s="26" t="b">
        <v>0</v>
      </c>
      <c r="R1043" s="22">
        <f t="shared" si="16"/>
        <v>1</v>
      </c>
    </row>
    <row r="1044" spans="1:18">
      <c r="A1044" s="26">
        <v>3088</v>
      </c>
      <c r="B1044" s="27">
        <v>34718</v>
      </c>
      <c r="C1044" s="28" t="s">
        <v>3411</v>
      </c>
      <c r="D1044" s="27">
        <v>34718</v>
      </c>
      <c r="E1044" s="28" t="s">
        <v>283</v>
      </c>
      <c r="F1044" s="28" t="s">
        <v>149</v>
      </c>
      <c r="G1044" s="28" t="s">
        <v>20</v>
      </c>
      <c r="H1044" s="28" t="s">
        <v>21</v>
      </c>
      <c r="I1044" s="28" t="s">
        <v>21</v>
      </c>
      <c r="J1044" s="28" t="s">
        <v>3412</v>
      </c>
      <c r="K1044" s="28" t="s">
        <v>3413</v>
      </c>
      <c r="L1044" s="28" t="s">
        <v>24</v>
      </c>
      <c r="M1044" s="28" t="s">
        <v>21</v>
      </c>
      <c r="N1044" s="29">
        <v>34719</v>
      </c>
      <c r="O1044" s="92">
        <v>34718</v>
      </c>
      <c r="P1044" s="28" t="s">
        <v>21</v>
      </c>
      <c r="Q1044" s="26" t="b">
        <v>0</v>
      </c>
      <c r="R1044" s="22">
        <f t="shared" si="16"/>
        <v>0</v>
      </c>
    </row>
    <row r="1045" spans="1:18">
      <c r="A1045" s="26">
        <v>3097</v>
      </c>
      <c r="B1045" s="27">
        <v>34718</v>
      </c>
      <c r="C1045" s="28" t="s">
        <v>3414</v>
      </c>
      <c r="D1045" s="27">
        <v>34719</v>
      </c>
      <c r="E1045" s="28" t="s">
        <v>3415</v>
      </c>
      <c r="F1045" s="28" t="s">
        <v>52</v>
      </c>
      <c r="G1045" s="28" t="s">
        <v>20</v>
      </c>
      <c r="H1045" s="28" t="s">
        <v>21</v>
      </c>
      <c r="I1045" s="28" t="s">
        <v>21</v>
      </c>
      <c r="J1045" s="28" t="s">
        <v>3416</v>
      </c>
      <c r="K1045" s="28" t="s">
        <v>3417</v>
      </c>
      <c r="L1045" s="28" t="s">
        <v>82</v>
      </c>
      <c r="M1045" s="28" t="s">
        <v>21</v>
      </c>
      <c r="N1045" s="29">
        <v>34730</v>
      </c>
      <c r="O1045" s="92">
        <v>34746</v>
      </c>
      <c r="P1045" s="28" t="s">
        <v>31</v>
      </c>
      <c r="Q1045" s="26" t="b">
        <v>0</v>
      </c>
      <c r="R1045" s="22">
        <f t="shared" si="16"/>
        <v>27</v>
      </c>
    </row>
    <row r="1046" spans="1:18">
      <c r="A1046" s="26">
        <v>3098</v>
      </c>
      <c r="B1046" s="27">
        <v>34719</v>
      </c>
      <c r="C1046" s="28" t="s">
        <v>3418</v>
      </c>
      <c r="D1046" s="27">
        <v>34719</v>
      </c>
      <c r="E1046" s="28" t="s">
        <v>61</v>
      </c>
      <c r="F1046" s="28" t="s">
        <v>145</v>
      </c>
      <c r="G1046" s="28" t="s">
        <v>20</v>
      </c>
      <c r="H1046" s="28" t="s">
        <v>21</v>
      </c>
      <c r="I1046" s="28" t="s">
        <v>21</v>
      </c>
      <c r="J1046" s="28" t="s">
        <v>3419</v>
      </c>
      <c r="K1046" s="28" t="s">
        <v>3420</v>
      </c>
      <c r="L1046" s="28" t="s">
        <v>30</v>
      </c>
      <c r="M1046" s="28" t="s">
        <v>21</v>
      </c>
      <c r="N1046" s="29">
        <v>34723</v>
      </c>
      <c r="O1046" s="92">
        <v>34795</v>
      </c>
      <c r="P1046" s="28" t="s">
        <v>21</v>
      </c>
      <c r="Q1046" s="26" t="b">
        <v>0</v>
      </c>
      <c r="R1046" s="22">
        <f t="shared" si="16"/>
        <v>77</v>
      </c>
    </row>
    <row r="1047" spans="1:18">
      <c r="A1047" s="26">
        <v>3102</v>
      </c>
      <c r="B1047" s="27">
        <v>34722</v>
      </c>
      <c r="C1047" s="28" t="s">
        <v>3421</v>
      </c>
      <c r="D1047" s="27">
        <v>34722</v>
      </c>
      <c r="E1047" s="28" t="s">
        <v>3422</v>
      </c>
      <c r="F1047" s="28" t="s">
        <v>741</v>
      </c>
      <c r="G1047" s="28" t="s">
        <v>20</v>
      </c>
      <c r="H1047" s="28" t="s">
        <v>21</v>
      </c>
      <c r="I1047" s="28" t="s">
        <v>21</v>
      </c>
      <c r="J1047" s="28" t="s">
        <v>3423</v>
      </c>
      <c r="K1047" s="28" t="s">
        <v>3424</v>
      </c>
      <c r="L1047" s="28" t="s">
        <v>82</v>
      </c>
      <c r="M1047" s="28" t="s">
        <v>21</v>
      </c>
      <c r="N1047" s="29">
        <v>34758</v>
      </c>
      <c r="O1047" s="92">
        <v>34774</v>
      </c>
      <c r="P1047" s="28" t="s">
        <v>21</v>
      </c>
      <c r="Q1047" s="26" t="b">
        <v>0</v>
      </c>
      <c r="R1047" s="22">
        <f t="shared" si="16"/>
        <v>53</v>
      </c>
    </row>
    <row r="1048" spans="1:18">
      <c r="A1048" s="26">
        <v>3103</v>
      </c>
      <c r="B1048" s="27">
        <v>34722</v>
      </c>
      <c r="C1048" s="28" t="s">
        <v>3425</v>
      </c>
      <c r="D1048" s="27">
        <v>34722</v>
      </c>
      <c r="E1048" s="28" t="s">
        <v>38</v>
      </c>
      <c r="F1048" s="28" t="s">
        <v>145</v>
      </c>
      <c r="G1048" s="28" t="s">
        <v>20</v>
      </c>
      <c r="H1048" s="28" t="s">
        <v>21</v>
      </c>
      <c r="I1048" s="28" t="s">
        <v>21</v>
      </c>
      <c r="J1048" s="28" t="s">
        <v>3426</v>
      </c>
      <c r="K1048" s="28" t="s">
        <v>3427</v>
      </c>
      <c r="L1048" s="28" t="s">
        <v>24</v>
      </c>
      <c r="M1048" s="28" t="s">
        <v>21</v>
      </c>
      <c r="O1048" s="92">
        <v>34737</v>
      </c>
      <c r="P1048" s="28" t="s">
        <v>31</v>
      </c>
      <c r="Q1048" s="26" t="b">
        <v>0</v>
      </c>
      <c r="R1048" s="22">
        <f t="shared" si="16"/>
        <v>14</v>
      </c>
    </row>
    <row r="1049" spans="1:18">
      <c r="A1049" s="26">
        <v>3108</v>
      </c>
      <c r="B1049" s="27">
        <v>34724</v>
      </c>
      <c r="C1049" s="28" t="s">
        <v>3428</v>
      </c>
      <c r="D1049" s="27">
        <v>34724</v>
      </c>
      <c r="E1049" s="28" t="s">
        <v>3429</v>
      </c>
      <c r="F1049" s="28" t="s">
        <v>3430</v>
      </c>
      <c r="G1049" s="28" t="s">
        <v>20</v>
      </c>
      <c r="H1049" s="28" t="s">
        <v>71</v>
      </c>
      <c r="I1049" s="28" t="s">
        <v>72</v>
      </c>
      <c r="J1049" s="28" t="s">
        <v>3427</v>
      </c>
      <c r="K1049" s="28" t="s">
        <v>3431</v>
      </c>
      <c r="L1049" s="28" t="s">
        <v>686</v>
      </c>
      <c r="M1049" s="28" t="s">
        <v>21</v>
      </c>
      <c r="N1049" s="27">
        <v>34758</v>
      </c>
      <c r="O1049" s="92">
        <v>36510</v>
      </c>
      <c r="P1049" s="28" t="s">
        <v>21</v>
      </c>
      <c r="Q1049" s="26" t="b">
        <v>0</v>
      </c>
      <c r="R1049" s="22">
        <f t="shared" si="16"/>
        <v>1785</v>
      </c>
    </row>
    <row r="1050" spans="1:18">
      <c r="A1050" s="26">
        <v>3112</v>
      </c>
      <c r="B1050" s="27">
        <v>34725</v>
      </c>
      <c r="C1050" s="28" t="s">
        <v>3432</v>
      </c>
      <c r="D1050" s="27">
        <v>34725</v>
      </c>
      <c r="E1050" s="28" t="s">
        <v>3433</v>
      </c>
      <c r="F1050" s="28" t="s">
        <v>3434</v>
      </c>
      <c r="G1050" s="28" t="s">
        <v>20</v>
      </c>
      <c r="H1050" s="28" t="s">
        <v>21</v>
      </c>
      <c r="I1050" s="28" t="s">
        <v>21</v>
      </c>
      <c r="J1050" s="28" t="s">
        <v>3435</v>
      </c>
      <c r="K1050" s="28" t="s">
        <v>3436</v>
      </c>
      <c r="L1050" s="28" t="s">
        <v>24</v>
      </c>
      <c r="M1050" s="28" t="s">
        <v>21</v>
      </c>
      <c r="O1050" s="92">
        <v>34744</v>
      </c>
      <c r="P1050" s="28" t="s">
        <v>31</v>
      </c>
      <c r="Q1050" s="26" t="b">
        <v>0</v>
      </c>
      <c r="R1050" s="22">
        <f t="shared" si="16"/>
        <v>18</v>
      </c>
    </row>
    <row r="1051" spans="1:18">
      <c r="A1051" s="26">
        <v>3123</v>
      </c>
      <c r="B1051" s="27">
        <v>34730</v>
      </c>
      <c r="C1051" s="28" t="s">
        <v>3437</v>
      </c>
      <c r="D1051" s="27">
        <v>34730</v>
      </c>
      <c r="E1051" s="28" t="s">
        <v>38</v>
      </c>
      <c r="F1051" s="28" t="s">
        <v>70</v>
      </c>
      <c r="G1051" s="28" t="s">
        <v>20</v>
      </c>
      <c r="H1051" s="28" t="s">
        <v>71</v>
      </c>
      <c r="I1051" s="28" t="s">
        <v>72</v>
      </c>
      <c r="J1051" s="28" t="s">
        <v>3438</v>
      </c>
      <c r="K1051" s="28" t="s">
        <v>3439</v>
      </c>
      <c r="L1051" s="28" t="s">
        <v>24</v>
      </c>
      <c r="M1051" s="28" t="s">
        <v>21</v>
      </c>
      <c r="N1051" s="29">
        <v>34736</v>
      </c>
      <c r="O1051" s="92">
        <v>34736</v>
      </c>
      <c r="P1051" s="28" t="s">
        <v>21</v>
      </c>
      <c r="Q1051" s="26" t="b">
        <v>0</v>
      </c>
      <c r="R1051" s="22">
        <f t="shared" si="16"/>
        <v>6</v>
      </c>
    </row>
    <row r="1052" spans="1:18">
      <c r="A1052" s="26">
        <v>3124</v>
      </c>
      <c r="B1052" s="27">
        <v>34730</v>
      </c>
      <c r="C1052" s="28" t="s">
        <v>3440</v>
      </c>
      <c r="D1052" s="27">
        <v>34730</v>
      </c>
      <c r="E1052" s="28" t="s">
        <v>3441</v>
      </c>
      <c r="F1052" s="28" t="s">
        <v>124</v>
      </c>
      <c r="G1052" s="28" t="s">
        <v>20</v>
      </c>
      <c r="H1052" s="28" t="s">
        <v>21</v>
      </c>
      <c r="I1052" s="28" t="s">
        <v>21</v>
      </c>
      <c r="J1052" s="28" t="s">
        <v>3442</v>
      </c>
      <c r="K1052" s="28" t="s">
        <v>3443</v>
      </c>
      <c r="L1052" s="28" t="s">
        <v>82</v>
      </c>
      <c r="M1052" s="28" t="s">
        <v>21</v>
      </c>
      <c r="N1052" s="29">
        <v>34758</v>
      </c>
      <c r="O1052" s="92">
        <v>34773</v>
      </c>
      <c r="P1052" s="28" t="s">
        <v>31</v>
      </c>
      <c r="Q1052" s="26" t="b">
        <v>0</v>
      </c>
      <c r="R1052" s="22">
        <f t="shared" si="16"/>
        <v>45</v>
      </c>
    </row>
    <row r="1053" spans="1:18">
      <c r="A1053" s="26">
        <v>3125</v>
      </c>
      <c r="B1053" s="27">
        <v>34731</v>
      </c>
      <c r="C1053" s="28" t="s">
        <v>3444</v>
      </c>
      <c r="D1053" s="27">
        <v>34731</v>
      </c>
      <c r="E1053" s="28" t="s">
        <v>3445</v>
      </c>
      <c r="F1053" s="28" t="s">
        <v>19</v>
      </c>
      <c r="G1053" s="28" t="s">
        <v>20</v>
      </c>
      <c r="H1053" s="28" t="s">
        <v>21</v>
      </c>
      <c r="I1053" s="28" t="s">
        <v>21</v>
      </c>
      <c r="J1053" s="28" t="s">
        <v>3446</v>
      </c>
      <c r="K1053" s="28" t="s">
        <v>3447</v>
      </c>
      <c r="L1053" s="28" t="s">
        <v>24</v>
      </c>
      <c r="M1053" s="28" t="s">
        <v>21</v>
      </c>
      <c r="O1053" s="92">
        <v>34823</v>
      </c>
      <c r="P1053" s="28" t="s">
        <v>31</v>
      </c>
      <c r="Q1053" s="26" t="b">
        <v>0</v>
      </c>
      <c r="R1053" s="22">
        <f t="shared" si="16"/>
        <v>94</v>
      </c>
    </row>
    <row r="1054" spans="1:18">
      <c r="A1054" s="26">
        <v>3133</v>
      </c>
      <c r="B1054" s="27">
        <v>34732</v>
      </c>
      <c r="C1054" s="28" t="s">
        <v>3448</v>
      </c>
      <c r="D1054" s="27">
        <v>34732</v>
      </c>
      <c r="E1054" s="28" t="s">
        <v>38</v>
      </c>
      <c r="F1054" s="28" t="s">
        <v>52</v>
      </c>
      <c r="G1054" s="28" t="s">
        <v>21</v>
      </c>
      <c r="H1054" s="28" t="s">
        <v>189</v>
      </c>
      <c r="I1054" s="28" t="s">
        <v>189</v>
      </c>
      <c r="J1054" s="28" t="s">
        <v>3449</v>
      </c>
      <c r="K1054" s="28" t="s">
        <v>3450</v>
      </c>
      <c r="L1054" s="28" t="s">
        <v>82</v>
      </c>
      <c r="M1054" s="28" t="s">
        <v>21</v>
      </c>
      <c r="N1054" s="29">
        <v>34744</v>
      </c>
      <c r="O1054" s="92">
        <v>34732</v>
      </c>
      <c r="P1054" s="28" t="s">
        <v>21</v>
      </c>
      <c r="Q1054" s="26" t="b">
        <v>0</v>
      </c>
      <c r="R1054" s="22">
        <f t="shared" si="16"/>
        <v>0</v>
      </c>
    </row>
    <row r="1055" spans="1:18">
      <c r="A1055" s="26">
        <v>3144</v>
      </c>
      <c r="B1055" s="27">
        <v>34736</v>
      </c>
      <c r="C1055" s="28" t="s">
        <v>3451</v>
      </c>
      <c r="D1055" s="27">
        <v>34736</v>
      </c>
      <c r="E1055" s="28" t="s">
        <v>3452</v>
      </c>
      <c r="F1055" s="28" t="s">
        <v>56</v>
      </c>
      <c r="G1055" s="28" t="s">
        <v>20</v>
      </c>
      <c r="H1055" s="28" t="s">
        <v>21</v>
      </c>
      <c r="I1055" s="28" t="s">
        <v>21</v>
      </c>
      <c r="J1055" s="28" t="s">
        <v>3453</v>
      </c>
      <c r="K1055" s="28" t="s">
        <v>3454</v>
      </c>
      <c r="L1055" s="28" t="s">
        <v>24</v>
      </c>
      <c r="M1055" s="28" t="s">
        <v>21</v>
      </c>
      <c r="O1055" s="92">
        <v>34737</v>
      </c>
      <c r="P1055" s="28" t="s">
        <v>31</v>
      </c>
      <c r="Q1055" s="26" t="b">
        <v>0</v>
      </c>
      <c r="R1055" s="22">
        <f t="shared" si="16"/>
        <v>1</v>
      </c>
    </row>
    <row r="1056" spans="1:18">
      <c r="A1056" s="26">
        <v>3147</v>
      </c>
      <c r="B1056" s="27">
        <v>34736</v>
      </c>
      <c r="C1056" s="28" t="s">
        <v>3455</v>
      </c>
      <c r="D1056" s="27">
        <v>34736</v>
      </c>
      <c r="E1056" s="28" t="s">
        <v>3456</v>
      </c>
      <c r="F1056" s="28" t="s">
        <v>3457</v>
      </c>
      <c r="G1056" s="28" t="s">
        <v>20</v>
      </c>
      <c r="H1056" s="28" t="s">
        <v>212</v>
      </c>
      <c r="I1056" s="28" t="s">
        <v>212</v>
      </c>
      <c r="J1056" s="28" t="s">
        <v>3458</v>
      </c>
      <c r="K1056" s="28" t="s">
        <v>3459</v>
      </c>
      <c r="L1056" s="28" t="s">
        <v>82</v>
      </c>
      <c r="M1056" s="28" t="s">
        <v>21</v>
      </c>
      <c r="O1056" s="92">
        <v>34800</v>
      </c>
      <c r="P1056" s="28" t="s">
        <v>21</v>
      </c>
      <c r="Q1056" s="26" t="b">
        <v>0</v>
      </c>
      <c r="R1056" s="22">
        <f t="shared" si="16"/>
        <v>65</v>
      </c>
    </row>
    <row r="1057" spans="1:18">
      <c r="A1057" s="26">
        <v>3148</v>
      </c>
      <c r="B1057" s="27">
        <v>34736</v>
      </c>
      <c r="C1057" s="28" t="s">
        <v>3460</v>
      </c>
      <c r="D1057" s="27">
        <v>34736</v>
      </c>
      <c r="E1057" s="28" t="s">
        <v>299</v>
      </c>
      <c r="F1057" s="28" t="s">
        <v>3461</v>
      </c>
      <c r="G1057" s="28" t="s">
        <v>21</v>
      </c>
      <c r="H1057" s="28" t="s">
        <v>212</v>
      </c>
      <c r="I1057" s="28" t="s">
        <v>212</v>
      </c>
      <c r="J1057" s="28" t="s">
        <v>3459</v>
      </c>
      <c r="K1057" s="28" t="s">
        <v>3462</v>
      </c>
      <c r="L1057" s="28" t="s">
        <v>3271</v>
      </c>
      <c r="M1057" s="28" t="s">
        <v>21</v>
      </c>
      <c r="N1057" s="29">
        <v>34744</v>
      </c>
      <c r="O1057" s="92">
        <v>34743</v>
      </c>
      <c r="P1057" s="28" t="s">
        <v>21</v>
      </c>
      <c r="Q1057" s="26" t="b">
        <v>0</v>
      </c>
      <c r="R1057" s="22">
        <f t="shared" si="16"/>
        <v>7</v>
      </c>
    </row>
    <row r="1058" spans="1:18">
      <c r="A1058" s="26">
        <v>3150</v>
      </c>
      <c r="B1058" s="27">
        <v>34738</v>
      </c>
      <c r="C1058" s="28" t="s">
        <v>3463</v>
      </c>
      <c r="D1058" s="27">
        <v>34738</v>
      </c>
      <c r="E1058" s="28" t="s">
        <v>38</v>
      </c>
      <c r="F1058" s="28" t="s">
        <v>124</v>
      </c>
      <c r="G1058" s="28" t="s">
        <v>20</v>
      </c>
      <c r="H1058" s="28" t="s">
        <v>21</v>
      </c>
      <c r="I1058" s="28" t="s">
        <v>21</v>
      </c>
      <c r="J1058" s="28" t="s">
        <v>3464</v>
      </c>
      <c r="K1058" s="28" t="s">
        <v>3465</v>
      </c>
      <c r="L1058" s="28" t="s">
        <v>1152</v>
      </c>
      <c r="M1058" s="28" t="s">
        <v>21</v>
      </c>
      <c r="N1058" s="29">
        <v>34745</v>
      </c>
      <c r="O1058" s="92">
        <v>34745</v>
      </c>
      <c r="P1058" s="28" t="s">
        <v>31</v>
      </c>
      <c r="Q1058" s="26" t="b">
        <v>0</v>
      </c>
      <c r="R1058" s="22">
        <f t="shared" si="16"/>
        <v>7</v>
      </c>
    </row>
    <row r="1059" spans="1:18">
      <c r="A1059" s="26">
        <v>3155</v>
      </c>
      <c r="B1059" s="27">
        <v>34740</v>
      </c>
      <c r="C1059" s="28" t="s">
        <v>3466</v>
      </c>
      <c r="D1059" s="27">
        <v>34740</v>
      </c>
      <c r="E1059" s="28" t="s">
        <v>3467</v>
      </c>
      <c r="F1059" s="28" t="s">
        <v>861</v>
      </c>
      <c r="G1059" s="28" t="s">
        <v>20</v>
      </c>
      <c r="H1059" s="28" t="s">
        <v>566</v>
      </c>
      <c r="I1059" s="28" t="s">
        <v>566</v>
      </c>
      <c r="J1059" s="28" t="s">
        <v>3468</v>
      </c>
      <c r="K1059" s="28" t="s">
        <v>3469</v>
      </c>
      <c r="L1059" s="28" t="s">
        <v>82</v>
      </c>
      <c r="M1059" s="28" t="s">
        <v>21</v>
      </c>
      <c r="N1059" s="29">
        <v>34758</v>
      </c>
      <c r="O1059" s="92">
        <v>34814</v>
      </c>
      <c r="P1059" s="28" t="s">
        <v>21</v>
      </c>
      <c r="Q1059" s="26" t="b">
        <v>0</v>
      </c>
      <c r="R1059" s="22">
        <f t="shared" si="16"/>
        <v>76</v>
      </c>
    </row>
    <row r="1060" spans="1:18">
      <c r="A1060" s="26">
        <v>3158</v>
      </c>
      <c r="B1060" s="27">
        <v>34743</v>
      </c>
      <c r="C1060" s="28" t="s">
        <v>3470</v>
      </c>
      <c r="D1060" s="27">
        <v>34743</v>
      </c>
      <c r="E1060" s="28" t="s">
        <v>3471</v>
      </c>
      <c r="F1060" s="28" t="s">
        <v>145</v>
      </c>
      <c r="G1060" s="28" t="s">
        <v>20</v>
      </c>
      <c r="H1060" s="28" t="s">
        <v>21</v>
      </c>
      <c r="I1060" s="28" t="s">
        <v>21</v>
      </c>
      <c r="J1060" s="28" t="s">
        <v>3472</v>
      </c>
      <c r="K1060" s="28" t="s">
        <v>3473</v>
      </c>
      <c r="L1060" s="28" t="s">
        <v>82</v>
      </c>
      <c r="M1060" s="28" t="s">
        <v>21</v>
      </c>
      <c r="N1060" s="29">
        <v>34773</v>
      </c>
      <c r="O1060" s="92">
        <v>34773</v>
      </c>
      <c r="P1060" s="28" t="s">
        <v>31</v>
      </c>
      <c r="Q1060" s="26" t="b">
        <v>0</v>
      </c>
      <c r="R1060" s="22">
        <f t="shared" si="16"/>
        <v>32</v>
      </c>
    </row>
    <row r="1061" spans="1:18">
      <c r="A1061" s="26">
        <v>3182</v>
      </c>
      <c r="B1061" s="27">
        <v>34754</v>
      </c>
      <c r="C1061" s="28" t="s">
        <v>3474</v>
      </c>
      <c r="D1061" s="27">
        <v>34754</v>
      </c>
      <c r="E1061" s="28" t="s">
        <v>3475</v>
      </c>
      <c r="F1061" s="28" t="s">
        <v>124</v>
      </c>
      <c r="G1061" s="28" t="s">
        <v>20</v>
      </c>
      <c r="H1061" s="28" t="s">
        <v>21</v>
      </c>
      <c r="I1061" s="28" t="s">
        <v>21</v>
      </c>
      <c r="J1061" s="28" t="s">
        <v>2266</v>
      </c>
      <c r="K1061" s="28" t="s">
        <v>3476</v>
      </c>
      <c r="L1061" s="28" t="s">
        <v>1152</v>
      </c>
      <c r="M1061" s="28" t="s">
        <v>21</v>
      </c>
      <c r="O1061" s="92">
        <v>34969</v>
      </c>
      <c r="P1061" s="28" t="s">
        <v>31</v>
      </c>
      <c r="Q1061" s="26" t="b">
        <v>0</v>
      </c>
      <c r="R1061" s="22">
        <f t="shared" si="16"/>
        <v>215</v>
      </c>
    </row>
    <row r="1062" spans="1:18">
      <c r="A1062" s="26">
        <v>3189</v>
      </c>
      <c r="B1062" s="27">
        <v>34759</v>
      </c>
      <c r="C1062" s="28" t="s">
        <v>3477</v>
      </c>
      <c r="D1062" s="27">
        <v>34759</v>
      </c>
      <c r="E1062" s="28" t="s">
        <v>3478</v>
      </c>
      <c r="F1062" s="28" t="s">
        <v>124</v>
      </c>
      <c r="G1062" s="28" t="s">
        <v>20</v>
      </c>
      <c r="H1062" s="28" t="s">
        <v>21</v>
      </c>
      <c r="I1062" s="28" t="s">
        <v>21</v>
      </c>
      <c r="J1062" s="28" t="s">
        <v>3479</v>
      </c>
      <c r="K1062" s="28" t="s">
        <v>1067</v>
      </c>
      <c r="L1062" s="28" t="s">
        <v>88</v>
      </c>
      <c r="M1062" s="28" t="s">
        <v>1152</v>
      </c>
      <c r="O1062" s="92">
        <v>36047</v>
      </c>
      <c r="P1062" s="28" t="s">
        <v>31</v>
      </c>
      <c r="Q1062" s="26" t="b">
        <v>0</v>
      </c>
      <c r="R1062" s="22">
        <f t="shared" si="16"/>
        <v>1285</v>
      </c>
    </row>
    <row r="1063" spans="1:18">
      <c r="A1063" s="26">
        <v>3193</v>
      </c>
      <c r="B1063" s="27">
        <v>34759</v>
      </c>
      <c r="C1063" s="28" t="s">
        <v>3480</v>
      </c>
      <c r="D1063" s="27">
        <v>34759</v>
      </c>
      <c r="E1063" s="28" t="s">
        <v>38</v>
      </c>
      <c r="F1063" s="28" t="s">
        <v>104</v>
      </c>
      <c r="G1063" s="28" t="s">
        <v>20</v>
      </c>
      <c r="H1063" s="28" t="s">
        <v>21</v>
      </c>
      <c r="I1063" s="28" t="s">
        <v>21</v>
      </c>
      <c r="J1063" s="28" t="s">
        <v>3481</v>
      </c>
      <c r="K1063" s="28" t="s">
        <v>3482</v>
      </c>
      <c r="L1063" s="28" t="s">
        <v>24</v>
      </c>
      <c r="M1063" s="28" t="s">
        <v>21</v>
      </c>
      <c r="N1063" s="29">
        <v>34764</v>
      </c>
      <c r="O1063" s="92">
        <v>34761</v>
      </c>
      <c r="P1063" s="28" t="s">
        <v>21</v>
      </c>
      <c r="Q1063" s="26" t="b">
        <v>0</v>
      </c>
      <c r="R1063" s="22">
        <f t="shared" si="16"/>
        <v>2</v>
      </c>
    </row>
    <row r="1064" spans="1:18">
      <c r="A1064" s="26">
        <v>3207</v>
      </c>
      <c r="B1064" s="27">
        <v>34767</v>
      </c>
      <c r="C1064" s="28" t="s">
        <v>3483</v>
      </c>
      <c r="D1064" s="27">
        <v>34767</v>
      </c>
      <c r="E1064" s="28" t="s">
        <v>3484</v>
      </c>
      <c r="F1064" s="28" t="s">
        <v>216</v>
      </c>
      <c r="G1064" s="28" t="s">
        <v>20</v>
      </c>
      <c r="H1064" s="28" t="s">
        <v>21</v>
      </c>
      <c r="I1064" s="28" t="s">
        <v>21</v>
      </c>
      <c r="J1064" s="28" t="s">
        <v>3485</v>
      </c>
      <c r="K1064" s="28" t="s">
        <v>3486</v>
      </c>
      <c r="L1064" s="28" t="s">
        <v>82</v>
      </c>
      <c r="M1064" s="28" t="s">
        <v>21</v>
      </c>
      <c r="N1064" s="29">
        <v>34789</v>
      </c>
      <c r="O1064" s="92">
        <v>34773</v>
      </c>
      <c r="P1064" s="28" t="s">
        <v>31</v>
      </c>
      <c r="Q1064" s="26" t="b">
        <v>0</v>
      </c>
      <c r="R1064" s="22">
        <f t="shared" si="16"/>
        <v>6</v>
      </c>
    </row>
    <row r="1065" spans="1:18">
      <c r="A1065" s="26">
        <v>3223</v>
      </c>
      <c r="B1065" s="27">
        <v>34768</v>
      </c>
      <c r="C1065" s="28" t="s">
        <v>3495</v>
      </c>
      <c r="D1065" s="27">
        <v>34768</v>
      </c>
      <c r="E1065" s="28" t="s">
        <v>38</v>
      </c>
      <c r="F1065" s="28" t="s">
        <v>359</v>
      </c>
      <c r="G1065" s="28" t="s">
        <v>20</v>
      </c>
      <c r="H1065" s="28" t="s">
        <v>21</v>
      </c>
      <c r="I1065" s="28" t="s">
        <v>21</v>
      </c>
      <c r="J1065" s="28" t="s">
        <v>3496</v>
      </c>
      <c r="K1065" s="28" t="s">
        <v>3497</v>
      </c>
      <c r="L1065" s="28" t="s">
        <v>24</v>
      </c>
      <c r="M1065" s="28" t="s">
        <v>21</v>
      </c>
      <c r="O1065" s="92">
        <v>34773</v>
      </c>
      <c r="P1065" s="28" t="s">
        <v>21</v>
      </c>
      <c r="Q1065" s="26" t="b">
        <v>0</v>
      </c>
      <c r="R1065" s="22">
        <f t="shared" si="16"/>
        <v>5</v>
      </c>
    </row>
    <row r="1066" spans="1:18">
      <c r="A1066" s="26">
        <v>3211</v>
      </c>
      <c r="B1066" s="27">
        <v>34772</v>
      </c>
      <c r="C1066" s="28" t="s">
        <v>3487</v>
      </c>
      <c r="D1066" s="27">
        <v>34772</v>
      </c>
      <c r="E1066" s="28" t="s">
        <v>3488</v>
      </c>
      <c r="F1066" s="28" t="s">
        <v>545</v>
      </c>
      <c r="G1066" s="28" t="s">
        <v>20</v>
      </c>
      <c r="H1066" s="28" t="s">
        <v>21</v>
      </c>
      <c r="I1066" s="28" t="s">
        <v>21</v>
      </c>
      <c r="J1066" s="28" t="s">
        <v>3489</v>
      </c>
      <c r="K1066" s="28" t="s">
        <v>3490</v>
      </c>
      <c r="L1066" s="28" t="s">
        <v>24</v>
      </c>
      <c r="M1066" s="28" t="s">
        <v>21</v>
      </c>
      <c r="O1066" s="92">
        <v>34792</v>
      </c>
      <c r="P1066" s="28" t="s">
        <v>31</v>
      </c>
      <c r="Q1066" s="26" t="b">
        <v>0</v>
      </c>
      <c r="R1066" s="22">
        <f t="shared" si="16"/>
        <v>19</v>
      </c>
    </row>
    <row r="1067" spans="1:18">
      <c r="A1067" s="26">
        <v>3221</v>
      </c>
      <c r="B1067" s="27">
        <v>34773</v>
      </c>
      <c r="C1067" s="28" t="s">
        <v>3491</v>
      </c>
      <c r="D1067" s="27">
        <v>34773</v>
      </c>
      <c r="E1067" s="28" t="s">
        <v>3492</v>
      </c>
      <c r="F1067" s="28" t="s">
        <v>689</v>
      </c>
      <c r="G1067" s="28" t="s">
        <v>20</v>
      </c>
      <c r="H1067" s="28" t="s">
        <v>212</v>
      </c>
      <c r="I1067" s="28" t="s">
        <v>212</v>
      </c>
      <c r="J1067" s="28" t="s">
        <v>3493</v>
      </c>
      <c r="K1067" s="28" t="s">
        <v>3494</v>
      </c>
      <c r="L1067" s="28" t="s">
        <v>24</v>
      </c>
      <c r="M1067" s="28" t="s">
        <v>21</v>
      </c>
      <c r="N1067" s="29">
        <v>34789</v>
      </c>
      <c r="O1067" s="92">
        <v>34858</v>
      </c>
      <c r="P1067" s="28" t="s">
        <v>21</v>
      </c>
      <c r="Q1067" s="26" t="b">
        <v>0</v>
      </c>
      <c r="R1067" s="22">
        <f t="shared" si="16"/>
        <v>84</v>
      </c>
    </row>
    <row r="1068" spans="1:18">
      <c r="A1068" s="26">
        <v>3224</v>
      </c>
      <c r="B1068" s="27">
        <v>34773</v>
      </c>
      <c r="C1068" s="28" t="s">
        <v>3498</v>
      </c>
      <c r="D1068" s="27">
        <v>34773</v>
      </c>
      <c r="E1068" s="28" t="s">
        <v>38</v>
      </c>
      <c r="F1068" s="28" t="s">
        <v>306</v>
      </c>
      <c r="G1068" s="28" t="s">
        <v>20</v>
      </c>
      <c r="H1068" s="28" t="s">
        <v>21</v>
      </c>
      <c r="I1068" s="28" t="s">
        <v>21</v>
      </c>
      <c r="J1068" s="28" t="s">
        <v>3499</v>
      </c>
      <c r="K1068" s="28" t="s">
        <v>3500</v>
      </c>
      <c r="L1068" s="28" t="s">
        <v>24</v>
      </c>
      <c r="M1068" s="28" t="s">
        <v>21</v>
      </c>
      <c r="O1068" s="92">
        <v>34774</v>
      </c>
      <c r="P1068" s="28" t="s">
        <v>21</v>
      </c>
      <c r="Q1068" s="26" t="b">
        <v>0</v>
      </c>
      <c r="R1068" s="22">
        <f t="shared" si="16"/>
        <v>1</v>
      </c>
    </row>
    <row r="1069" spans="1:18">
      <c r="A1069" s="26">
        <v>3228</v>
      </c>
      <c r="B1069" s="27">
        <v>34774</v>
      </c>
      <c r="C1069" s="28" t="s">
        <v>3501</v>
      </c>
      <c r="D1069" s="27">
        <v>34774</v>
      </c>
      <c r="E1069" s="28" t="s">
        <v>3502</v>
      </c>
      <c r="F1069" s="28" t="s">
        <v>3503</v>
      </c>
      <c r="G1069" s="28" t="s">
        <v>20</v>
      </c>
      <c r="H1069" s="28" t="s">
        <v>21</v>
      </c>
      <c r="I1069" s="28" t="s">
        <v>21</v>
      </c>
      <c r="J1069" s="28" t="s">
        <v>3504</v>
      </c>
      <c r="K1069" s="28" t="s">
        <v>3505</v>
      </c>
      <c r="L1069" s="28" t="s">
        <v>66</v>
      </c>
      <c r="M1069" s="28" t="s">
        <v>1946</v>
      </c>
      <c r="N1069" s="29">
        <v>34794</v>
      </c>
      <c r="O1069" s="92">
        <v>37761</v>
      </c>
      <c r="P1069" s="28" t="s">
        <v>21</v>
      </c>
      <c r="Q1069" s="26" t="b">
        <v>0</v>
      </c>
      <c r="R1069" s="22">
        <f t="shared" si="16"/>
        <v>2984</v>
      </c>
    </row>
    <row r="1070" spans="1:18">
      <c r="A1070" s="26">
        <v>3233</v>
      </c>
      <c r="B1070" s="27">
        <v>34779</v>
      </c>
      <c r="C1070" s="28" t="s">
        <v>3506</v>
      </c>
      <c r="D1070" s="27">
        <v>34779</v>
      </c>
      <c r="E1070" s="28" t="s">
        <v>3507</v>
      </c>
      <c r="F1070" s="28" t="s">
        <v>1939</v>
      </c>
      <c r="G1070" s="28" t="s">
        <v>20</v>
      </c>
      <c r="H1070" s="28" t="s">
        <v>21</v>
      </c>
      <c r="I1070" s="28" t="s">
        <v>21</v>
      </c>
      <c r="J1070" s="28" t="s">
        <v>3508</v>
      </c>
      <c r="K1070" s="28" t="s">
        <v>3509</v>
      </c>
      <c r="L1070" s="28" t="s">
        <v>82</v>
      </c>
      <c r="M1070" s="28" t="s">
        <v>21</v>
      </c>
      <c r="N1070" s="29">
        <v>34786</v>
      </c>
      <c r="O1070" s="92">
        <v>34781</v>
      </c>
      <c r="P1070" s="28" t="s">
        <v>31</v>
      </c>
      <c r="Q1070" s="26" t="b">
        <v>0</v>
      </c>
      <c r="R1070" s="22">
        <f t="shared" si="16"/>
        <v>2</v>
      </c>
    </row>
    <row r="1071" spans="1:18">
      <c r="A1071" s="26">
        <v>3239</v>
      </c>
      <c r="B1071" s="27">
        <v>34780</v>
      </c>
      <c r="C1071" s="28" t="s">
        <v>3510</v>
      </c>
      <c r="D1071" s="27">
        <v>34780</v>
      </c>
      <c r="E1071" s="28" t="s">
        <v>3511</v>
      </c>
      <c r="F1071" s="28" t="s">
        <v>149</v>
      </c>
      <c r="G1071" s="28" t="s">
        <v>20</v>
      </c>
      <c r="H1071" s="28" t="s">
        <v>21</v>
      </c>
      <c r="I1071" s="28" t="s">
        <v>21</v>
      </c>
      <c r="J1071" s="28" t="s">
        <v>3512</v>
      </c>
      <c r="K1071" s="28" t="s">
        <v>3513</v>
      </c>
      <c r="L1071" s="28" t="s">
        <v>24</v>
      </c>
      <c r="M1071" s="28" t="s">
        <v>21</v>
      </c>
      <c r="N1071" s="29">
        <v>34809</v>
      </c>
      <c r="O1071" s="92">
        <v>34898</v>
      </c>
      <c r="P1071" s="28" t="s">
        <v>21</v>
      </c>
      <c r="Q1071" s="26" t="b">
        <v>0</v>
      </c>
      <c r="R1071" s="22">
        <f t="shared" si="16"/>
        <v>117</v>
      </c>
    </row>
    <row r="1072" spans="1:18">
      <c r="A1072" s="26">
        <v>3248</v>
      </c>
      <c r="B1072" s="27">
        <v>34787</v>
      </c>
      <c r="C1072" s="28" t="s">
        <v>3514</v>
      </c>
      <c r="D1072" s="27">
        <v>34787</v>
      </c>
      <c r="E1072" s="28" t="s">
        <v>3515</v>
      </c>
      <c r="F1072" s="28" t="s">
        <v>43</v>
      </c>
      <c r="G1072" s="28" t="s">
        <v>20</v>
      </c>
      <c r="H1072" s="28" t="s">
        <v>21</v>
      </c>
      <c r="I1072" s="28" t="s">
        <v>21</v>
      </c>
      <c r="J1072" s="28" t="s">
        <v>3013</v>
      </c>
      <c r="K1072" s="28" t="s">
        <v>3516</v>
      </c>
      <c r="L1072" s="28" t="s">
        <v>66</v>
      </c>
      <c r="M1072" s="28" t="s">
        <v>21</v>
      </c>
      <c r="N1072" s="29">
        <v>34804</v>
      </c>
      <c r="O1072" s="92">
        <v>36347</v>
      </c>
      <c r="P1072" s="28" t="s">
        <v>31</v>
      </c>
      <c r="Q1072" s="26" t="b">
        <v>0</v>
      </c>
      <c r="R1072" s="22">
        <f t="shared" si="16"/>
        <v>1558</v>
      </c>
    </row>
    <row r="1073" spans="1:18">
      <c r="A1073" s="26">
        <v>3249</v>
      </c>
      <c r="B1073" s="27">
        <v>34787</v>
      </c>
      <c r="C1073" s="28" t="s">
        <v>3517</v>
      </c>
      <c r="D1073" s="27">
        <v>34787</v>
      </c>
      <c r="E1073" s="28" t="s">
        <v>3518</v>
      </c>
      <c r="F1073" s="28" t="s">
        <v>3519</v>
      </c>
      <c r="G1073" s="28" t="s">
        <v>20</v>
      </c>
      <c r="H1073" s="28" t="s">
        <v>566</v>
      </c>
      <c r="I1073" s="28" t="s">
        <v>566</v>
      </c>
      <c r="J1073" s="28" t="s">
        <v>3520</v>
      </c>
      <c r="K1073" s="28" t="s">
        <v>3521</v>
      </c>
      <c r="L1073" s="28" t="s">
        <v>82</v>
      </c>
      <c r="M1073" s="28" t="s">
        <v>21</v>
      </c>
      <c r="N1073" s="29">
        <v>34819</v>
      </c>
      <c r="O1073" s="92">
        <v>34793</v>
      </c>
      <c r="P1073" s="28" t="s">
        <v>31</v>
      </c>
      <c r="Q1073" s="26" t="b">
        <v>0</v>
      </c>
      <c r="R1073" s="22">
        <f t="shared" si="16"/>
        <v>5</v>
      </c>
    </row>
    <row r="1074" spans="1:18">
      <c r="A1074" s="26">
        <v>3251</v>
      </c>
      <c r="B1074" s="27">
        <v>34789</v>
      </c>
      <c r="C1074" s="28" t="s">
        <v>3522</v>
      </c>
      <c r="D1074" s="27">
        <v>34789</v>
      </c>
      <c r="E1074" s="28" t="s">
        <v>3523</v>
      </c>
      <c r="F1074" s="28" t="s">
        <v>990</v>
      </c>
      <c r="G1074" s="28" t="s">
        <v>20</v>
      </c>
      <c r="H1074" s="28" t="s">
        <v>21</v>
      </c>
      <c r="I1074" s="28" t="s">
        <v>21</v>
      </c>
      <c r="J1074" s="28" t="s">
        <v>3524</v>
      </c>
      <c r="K1074" s="28" t="s">
        <v>3525</v>
      </c>
      <c r="L1074" s="28" t="s">
        <v>3526</v>
      </c>
      <c r="M1074" s="28" t="s">
        <v>3527</v>
      </c>
      <c r="O1074" s="92">
        <v>36132</v>
      </c>
      <c r="P1074" s="28" t="s">
        <v>31</v>
      </c>
      <c r="Q1074" s="26" t="b">
        <v>0</v>
      </c>
      <c r="R1074" s="22">
        <f t="shared" si="16"/>
        <v>1341</v>
      </c>
    </row>
    <row r="1075" spans="1:18" ht="24">
      <c r="A1075" s="26">
        <v>3254</v>
      </c>
      <c r="B1075" s="27">
        <v>34792</v>
      </c>
      <c r="C1075" s="28" t="s">
        <v>3528</v>
      </c>
      <c r="D1075" s="27">
        <v>34792</v>
      </c>
      <c r="E1075" s="28" t="s">
        <v>3529</v>
      </c>
      <c r="F1075" s="28" t="s">
        <v>85</v>
      </c>
      <c r="G1075" s="28" t="s">
        <v>20</v>
      </c>
      <c r="H1075" s="28" t="s">
        <v>21</v>
      </c>
      <c r="I1075" s="28" t="s">
        <v>21</v>
      </c>
      <c r="J1075" s="28" t="s">
        <v>3530</v>
      </c>
      <c r="K1075" s="28" t="s">
        <v>3531</v>
      </c>
      <c r="L1075" s="28" t="s">
        <v>24</v>
      </c>
      <c r="M1075" s="28" t="s">
        <v>21</v>
      </c>
      <c r="N1075" s="27">
        <v>34802</v>
      </c>
      <c r="O1075" s="92">
        <v>34906</v>
      </c>
      <c r="P1075" s="28" t="s">
        <v>21</v>
      </c>
      <c r="Q1075" s="26" t="b">
        <v>0</v>
      </c>
      <c r="R1075" s="22">
        <f t="shared" si="16"/>
        <v>114</v>
      </c>
    </row>
    <row r="1076" spans="1:18">
      <c r="A1076" s="26">
        <v>3255</v>
      </c>
      <c r="B1076" s="27">
        <v>34792</v>
      </c>
      <c r="C1076" s="28" t="s">
        <v>3532</v>
      </c>
      <c r="D1076" s="27">
        <v>34792</v>
      </c>
      <c r="E1076" s="28" t="s">
        <v>3533</v>
      </c>
      <c r="F1076" s="28" t="s">
        <v>345</v>
      </c>
      <c r="G1076" s="28" t="s">
        <v>20</v>
      </c>
      <c r="H1076" s="28" t="s">
        <v>71</v>
      </c>
      <c r="I1076" s="28" t="s">
        <v>72</v>
      </c>
      <c r="J1076" s="28" t="s">
        <v>3534</v>
      </c>
      <c r="K1076" s="28" t="s">
        <v>3535</v>
      </c>
      <c r="L1076" s="28" t="s">
        <v>30</v>
      </c>
      <c r="M1076" s="28" t="s">
        <v>21</v>
      </c>
      <c r="O1076" s="92">
        <v>35089</v>
      </c>
      <c r="P1076" s="28" t="s">
        <v>21</v>
      </c>
      <c r="Q1076" s="26" t="b">
        <v>0</v>
      </c>
      <c r="R1076" s="22">
        <f t="shared" si="16"/>
        <v>296</v>
      </c>
    </row>
    <row r="1077" spans="1:18">
      <c r="A1077" s="26">
        <v>3268</v>
      </c>
      <c r="B1077" s="27">
        <v>34801</v>
      </c>
      <c r="C1077" s="28" t="s">
        <v>3536</v>
      </c>
      <c r="D1077" s="29">
        <v>34801</v>
      </c>
      <c r="E1077" s="28" t="s">
        <v>38</v>
      </c>
      <c r="F1077" s="28" t="s">
        <v>70</v>
      </c>
      <c r="G1077" s="28" t="s">
        <v>20</v>
      </c>
      <c r="H1077" s="28" t="s">
        <v>71</v>
      </c>
      <c r="I1077" s="28" t="s">
        <v>72</v>
      </c>
      <c r="J1077" s="28" t="s">
        <v>3537</v>
      </c>
      <c r="K1077" s="28" t="s">
        <v>3538</v>
      </c>
      <c r="L1077" s="28" t="s">
        <v>24</v>
      </c>
      <c r="M1077" s="28" t="s">
        <v>21</v>
      </c>
      <c r="N1077" s="29">
        <v>34809</v>
      </c>
      <c r="O1077" s="92">
        <v>34810</v>
      </c>
      <c r="P1077" s="28" t="s">
        <v>21</v>
      </c>
      <c r="Q1077" s="26" t="b">
        <v>0</v>
      </c>
      <c r="R1077" s="22">
        <f t="shared" si="16"/>
        <v>9</v>
      </c>
    </row>
    <row r="1078" spans="1:18">
      <c r="A1078" s="26">
        <v>3270</v>
      </c>
      <c r="B1078" s="27">
        <v>34802</v>
      </c>
      <c r="C1078" s="28" t="s">
        <v>3539</v>
      </c>
      <c r="D1078" s="27">
        <v>34802</v>
      </c>
      <c r="E1078" s="28" t="s">
        <v>38</v>
      </c>
      <c r="F1078" s="28" t="s">
        <v>27</v>
      </c>
      <c r="G1078" s="28" t="s">
        <v>20</v>
      </c>
      <c r="H1078" s="28" t="s">
        <v>21</v>
      </c>
      <c r="I1078" s="28" t="s">
        <v>21</v>
      </c>
      <c r="J1078" s="28" t="s">
        <v>3540</v>
      </c>
      <c r="K1078" s="28" t="s">
        <v>3541</v>
      </c>
      <c r="L1078" s="28" t="s">
        <v>24</v>
      </c>
      <c r="M1078" s="28" t="s">
        <v>21</v>
      </c>
      <c r="O1078" s="92">
        <v>34813</v>
      </c>
      <c r="P1078" s="28" t="s">
        <v>31</v>
      </c>
      <c r="Q1078" s="26" t="b">
        <v>0</v>
      </c>
      <c r="R1078" s="22">
        <f t="shared" si="16"/>
        <v>11</v>
      </c>
    </row>
    <row r="1079" spans="1:18">
      <c r="A1079" s="26">
        <v>3275</v>
      </c>
      <c r="B1079" s="27">
        <v>34806</v>
      </c>
      <c r="C1079" s="28" t="s">
        <v>3542</v>
      </c>
      <c r="D1079" s="27">
        <v>34806</v>
      </c>
      <c r="E1079" s="28" t="s">
        <v>3543</v>
      </c>
      <c r="F1079" s="28" t="s">
        <v>70</v>
      </c>
      <c r="G1079" s="28" t="s">
        <v>20</v>
      </c>
      <c r="H1079" s="28" t="s">
        <v>71</v>
      </c>
      <c r="I1079" s="28" t="s">
        <v>72</v>
      </c>
      <c r="J1079" s="28" t="s">
        <v>3544</v>
      </c>
      <c r="K1079" s="28" t="s">
        <v>3545</v>
      </c>
      <c r="L1079" s="28" t="s">
        <v>30</v>
      </c>
      <c r="M1079" s="28" t="s">
        <v>21</v>
      </c>
      <c r="N1079" s="29">
        <v>34817</v>
      </c>
      <c r="O1079" s="92">
        <v>34908</v>
      </c>
      <c r="P1079" s="28" t="s">
        <v>21</v>
      </c>
      <c r="Q1079" s="26" t="b">
        <v>0</v>
      </c>
      <c r="R1079" s="22">
        <f t="shared" si="16"/>
        <v>102</v>
      </c>
    </row>
    <row r="1080" spans="1:18">
      <c r="A1080" s="26">
        <v>3278</v>
      </c>
      <c r="B1080" s="27">
        <v>34806</v>
      </c>
      <c r="C1080" s="28" t="s">
        <v>3546</v>
      </c>
      <c r="D1080" s="27">
        <v>34806</v>
      </c>
      <c r="E1080" s="28" t="s">
        <v>3547</v>
      </c>
      <c r="F1080" s="28" t="s">
        <v>359</v>
      </c>
      <c r="G1080" s="28" t="s">
        <v>20</v>
      </c>
      <c r="H1080" s="28" t="s">
        <v>21</v>
      </c>
      <c r="I1080" s="28" t="s">
        <v>21</v>
      </c>
      <c r="J1080" s="28" t="s">
        <v>3398</v>
      </c>
      <c r="K1080" s="28" t="s">
        <v>3548</v>
      </c>
      <c r="L1080" s="28" t="s">
        <v>66</v>
      </c>
      <c r="M1080" s="28" t="s">
        <v>21</v>
      </c>
      <c r="N1080" s="29">
        <v>34836</v>
      </c>
      <c r="O1080" s="92">
        <v>35492</v>
      </c>
      <c r="P1080" s="28" t="s">
        <v>21</v>
      </c>
      <c r="Q1080" s="26" t="b">
        <v>0</v>
      </c>
      <c r="R1080" s="22">
        <f t="shared" si="16"/>
        <v>685</v>
      </c>
    </row>
    <row r="1081" spans="1:18">
      <c r="A1081" s="26">
        <v>3285</v>
      </c>
      <c r="B1081" s="27">
        <v>34813</v>
      </c>
      <c r="C1081" s="28" t="s">
        <v>3549</v>
      </c>
      <c r="D1081" s="27">
        <v>34813</v>
      </c>
      <c r="E1081" s="28" t="s">
        <v>3550</v>
      </c>
      <c r="F1081" s="28" t="s">
        <v>124</v>
      </c>
      <c r="G1081" s="28" t="s">
        <v>20</v>
      </c>
      <c r="H1081" s="28" t="s">
        <v>189</v>
      </c>
      <c r="I1081" s="28" t="s">
        <v>189</v>
      </c>
      <c r="J1081" s="28" t="s">
        <v>3551</v>
      </c>
      <c r="K1081" s="28" t="s">
        <v>3552</v>
      </c>
      <c r="L1081" s="28" t="s">
        <v>1152</v>
      </c>
      <c r="M1081" s="28" t="s">
        <v>21</v>
      </c>
      <c r="N1081" s="29">
        <v>34834</v>
      </c>
      <c r="O1081" s="92">
        <v>34821</v>
      </c>
      <c r="P1081" s="28" t="s">
        <v>31</v>
      </c>
      <c r="Q1081" s="26" t="b">
        <v>0</v>
      </c>
      <c r="R1081" s="22">
        <f t="shared" si="16"/>
        <v>8</v>
      </c>
    </row>
    <row r="1082" spans="1:18">
      <c r="A1082" s="26">
        <v>3286</v>
      </c>
      <c r="B1082" s="27">
        <v>34813</v>
      </c>
      <c r="C1082" s="28" t="s">
        <v>3553</v>
      </c>
      <c r="D1082" s="27">
        <v>34813</v>
      </c>
      <c r="E1082" s="28" t="s">
        <v>3554</v>
      </c>
      <c r="F1082" s="28" t="s">
        <v>984</v>
      </c>
      <c r="G1082" s="28" t="s">
        <v>20</v>
      </c>
      <c r="H1082" s="28" t="s">
        <v>21</v>
      </c>
      <c r="I1082" s="28" t="s">
        <v>21</v>
      </c>
      <c r="J1082" s="28" t="s">
        <v>3555</v>
      </c>
      <c r="K1082" s="28" t="s">
        <v>3556</v>
      </c>
      <c r="L1082" s="28" t="s">
        <v>82</v>
      </c>
      <c r="M1082" s="28" t="s">
        <v>21</v>
      </c>
      <c r="O1082" s="92">
        <v>34995</v>
      </c>
      <c r="P1082" s="28" t="s">
        <v>21</v>
      </c>
      <c r="Q1082" s="26" t="b">
        <v>0</v>
      </c>
      <c r="R1082" s="22">
        <f t="shared" si="16"/>
        <v>181</v>
      </c>
    </row>
    <row r="1083" spans="1:18">
      <c r="A1083" s="26">
        <v>3287</v>
      </c>
      <c r="B1083" s="27">
        <v>34813</v>
      </c>
      <c r="C1083" s="28" t="s">
        <v>3557</v>
      </c>
      <c r="D1083" s="27">
        <v>34813</v>
      </c>
      <c r="E1083" s="28" t="s">
        <v>3558</v>
      </c>
      <c r="F1083" s="28" t="s">
        <v>984</v>
      </c>
      <c r="G1083" s="28" t="s">
        <v>20</v>
      </c>
      <c r="H1083" s="28" t="s">
        <v>21</v>
      </c>
      <c r="I1083" s="28" t="s">
        <v>21</v>
      </c>
      <c r="J1083" s="28" t="s">
        <v>3559</v>
      </c>
      <c r="K1083" s="28" t="s">
        <v>3560</v>
      </c>
      <c r="L1083" s="28" t="s">
        <v>82</v>
      </c>
      <c r="M1083" s="28" t="s">
        <v>21</v>
      </c>
      <c r="N1083" s="18"/>
      <c r="O1083" s="92">
        <v>34995</v>
      </c>
      <c r="P1083" s="28" t="s">
        <v>21</v>
      </c>
      <c r="Q1083" s="26" t="b">
        <v>0</v>
      </c>
      <c r="R1083" s="22">
        <f t="shared" si="16"/>
        <v>181</v>
      </c>
    </row>
    <row r="1084" spans="1:18">
      <c r="A1084" s="26">
        <v>3292</v>
      </c>
      <c r="B1084" s="27">
        <v>34814</v>
      </c>
      <c r="C1084" s="28" t="s">
        <v>3561</v>
      </c>
      <c r="D1084" s="27">
        <v>34814</v>
      </c>
      <c r="E1084" s="28" t="s">
        <v>3562</v>
      </c>
      <c r="F1084" s="28" t="s">
        <v>85</v>
      </c>
      <c r="G1084" s="28" t="s">
        <v>20</v>
      </c>
      <c r="H1084" s="28" t="s">
        <v>21</v>
      </c>
      <c r="I1084" s="28" t="s">
        <v>21</v>
      </c>
      <c r="J1084" s="28" t="s">
        <v>3563</v>
      </c>
      <c r="K1084" s="28" t="s">
        <v>3564</v>
      </c>
      <c r="L1084" s="28" t="s">
        <v>30</v>
      </c>
      <c r="M1084" s="28" t="s">
        <v>21</v>
      </c>
      <c r="O1084" s="92">
        <v>34852</v>
      </c>
      <c r="P1084" s="28" t="s">
        <v>31</v>
      </c>
      <c r="Q1084" s="26" t="b">
        <v>0</v>
      </c>
      <c r="R1084" s="22">
        <f t="shared" si="16"/>
        <v>37</v>
      </c>
    </row>
    <row r="1085" spans="1:18">
      <c r="A1085" s="26">
        <v>3293</v>
      </c>
      <c r="B1085" s="27">
        <v>34814</v>
      </c>
      <c r="C1085" s="28" t="s">
        <v>3565</v>
      </c>
      <c r="D1085" s="27">
        <v>34814</v>
      </c>
      <c r="E1085" s="28" t="s">
        <v>3566</v>
      </c>
      <c r="F1085" s="28" t="s">
        <v>228</v>
      </c>
      <c r="G1085" s="28" t="s">
        <v>20</v>
      </c>
      <c r="H1085" s="28" t="s">
        <v>21</v>
      </c>
      <c r="I1085" s="28" t="s">
        <v>21</v>
      </c>
      <c r="J1085" s="28" t="s">
        <v>3567</v>
      </c>
      <c r="K1085" s="28" t="s">
        <v>3568</v>
      </c>
      <c r="L1085" s="28" t="s">
        <v>3526</v>
      </c>
      <c r="M1085" s="28" t="s">
        <v>3569</v>
      </c>
      <c r="O1085" s="92">
        <v>37043</v>
      </c>
      <c r="P1085" s="28" t="s">
        <v>21</v>
      </c>
      <c r="Q1085" s="26" t="b">
        <v>0</v>
      </c>
      <c r="R1085" s="22">
        <f t="shared" si="16"/>
        <v>2226</v>
      </c>
    </row>
    <row r="1086" spans="1:18">
      <c r="A1086" s="26">
        <v>3298</v>
      </c>
      <c r="B1086" s="27">
        <v>34816</v>
      </c>
      <c r="C1086" s="28" t="s">
        <v>3570</v>
      </c>
      <c r="D1086" s="27">
        <v>34816</v>
      </c>
      <c r="E1086" s="28" t="s">
        <v>38</v>
      </c>
      <c r="F1086" s="28" t="s">
        <v>149</v>
      </c>
      <c r="G1086" s="28" t="s">
        <v>20</v>
      </c>
      <c r="H1086" s="28" t="s">
        <v>21</v>
      </c>
      <c r="I1086" s="28" t="s">
        <v>21</v>
      </c>
      <c r="J1086" s="28" t="s">
        <v>3571</v>
      </c>
      <c r="K1086" s="28" t="s">
        <v>3572</v>
      </c>
      <c r="L1086" s="28" t="s">
        <v>1152</v>
      </c>
      <c r="M1086" s="28" t="s">
        <v>21</v>
      </c>
      <c r="O1086" s="92">
        <v>34856</v>
      </c>
      <c r="P1086" s="28" t="s">
        <v>31</v>
      </c>
      <c r="Q1086" s="26" t="b">
        <v>0</v>
      </c>
      <c r="R1086" s="22">
        <f t="shared" si="16"/>
        <v>39</v>
      </c>
    </row>
    <row r="1087" spans="1:18">
      <c r="A1087" s="26">
        <v>3308</v>
      </c>
      <c r="B1087" s="27">
        <v>34822</v>
      </c>
      <c r="C1087" s="28" t="s">
        <v>3573</v>
      </c>
      <c r="D1087" s="27">
        <v>34822</v>
      </c>
      <c r="E1087" s="28" t="s">
        <v>3574</v>
      </c>
      <c r="F1087" s="28" t="s">
        <v>39</v>
      </c>
      <c r="G1087" s="28" t="s">
        <v>20</v>
      </c>
      <c r="H1087" s="28" t="s">
        <v>21</v>
      </c>
      <c r="I1087" s="28" t="s">
        <v>21</v>
      </c>
      <c r="J1087" s="28" t="s">
        <v>3575</v>
      </c>
      <c r="K1087" s="28" t="s">
        <v>3576</v>
      </c>
      <c r="L1087" s="28" t="s">
        <v>82</v>
      </c>
      <c r="M1087" s="28" t="s">
        <v>21</v>
      </c>
      <c r="O1087" s="92">
        <v>34967</v>
      </c>
      <c r="P1087" s="28" t="s">
        <v>21</v>
      </c>
      <c r="Q1087" s="26" t="b">
        <v>0</v>
      </c>
      <c r="R1087" s="22">
        <f t="shared" si="16"/>
        <v>143</v>
      </c>
    </row>
    <row r="1088" spans="1:18">
      <c r="A1088" s="26">
        <v>3310</v>
      </c>
      <c r="B1088" s="27">
        <v>34824</v>
      </c>
      <c r="C1088" s="28" t="s">
        <v>3577</v>
      </c>
      <c r="D1088" s="27">
        <v>34824</v>
      </c>
      <c r="E1088" s="28" t="s">
        <v>3578</v>
      </c>
      <c r="F1088" s="28" t="s">
        <v>3579</v>
      </c>
      <c r="G1088" s="28" t="s">
        <v>20</v>
      </c>
      <c r="H1088" s="28" t="s">
        <v>21</v>
      </c>
      <c r="I1088" s="28" t="s">
        <v>21</v>
      </c>
      <c r="J1088" s="28" t="s">
        <v>3580</v>
      </c>
      <c r="K1088" s="28" t="s">
        <v>3581</v>
      </c>
      <c r="L1088" s="28" t="s">
        <v>24</v>
      </c>
      <c r="M1088" s="28" t="s">
        <v>21</v>
      </c>
      <c r="N1088" s="29">
        <v>34834</v>
      </c>
      <c r="O1088" s="92">
        <v>36158</v>
      </c>
      <c r="P1088" s="28" t="s">
        <v>31</v>
      </c>
      <c r="Q1088" s="26" t="b">
        <v>0</v>
      </c>
      <c r="R1088" s="22">
        <f t="shared" si="16"/>
        <v>1332</v>
      </c>
    </row>
    <row r="1089" spans="1:18">
      <c r="A1089" s="26">
        <v>3323</v>
      </c>
      <c r="B1089" s="27">
        <v>34827</v>
      </c>
      <c r="C1089" s="28" t="s">
        <v>3582</v>
      </c>
      <c r="D1089" s="27">
        <v>34827</v>
      </c>
      <c r="E1089" s="28" t="s">
        <v>38</v>
      </c>
      <c r="F1089" s="28" t="s">
        <v>19</v>
      </c>
      <c r="G1089" s="28" t="s">
        <v>20</v>
      </c>
      <c r="H1089" s="28" t="s">
        <v>21</v>
      </c>
      <c r="I1089" s="28" t="s">
        <v>21</v>
      </c>
      <c r="J1089" s="28" t="s">
        <v>3583</v>
      </c>
      <c r="K1089" s="28" t="s">
        <v>1549</v>
      </c>
      <c r="L1089" s="28" t="s">
        <v>1152</v>
      </c>
      <c r="M1089" s="28" t="s">
        <v>21</v>
      </c>
      <c r="O1089" s="92">
        <v>34864</v>
      </c>
      <c r="P1089" s="28" t="s">
        <v>31</v>
      </c>
      <c r="Q1089" s="26" t="b">
        <v>0</v>
      </c>
      <c r="R1089" s="22">
        <f t="shared" si="16"/>
        <v>36</v>
      </c>
    </row>
    <row r="1090" spans="1:18" ht="48">
      <c r="A1090" s="26">
        <v>3324</v>
      </c>
      <c r="B1090" s="27">
        <v>34828</v>
      </c>
      <c r="C1090" s="28" t="s">
        <v>3584</v>
      </c>
      <c r="D1090" s="27">
        <v>34828</v>
      </c>
      <c r="E1090" s="28" t="s">
        <v>3585</v>
      </c>
      <c r="F1090" s="28" t="s">
        <v>98</v>
      </c>
      <c r="G1090" s="28" t="s">
        <v>20</v>
      </c>
      <c r="H1090" s="28" t="s">
        <v>21</v>
      </c>
      <c r="I1090" s="28" t="s">
        <v>21</v>
      </c>
      <c r="J1090" s="28" t="s">
        <v>3586</v>
      </c>
      <c r="K1090" s="28" t="s">
        <v>3587</v>
      </c>
      <c r="L1090" s="28" t="s">
        <v>3588</v>
      </c>
      <c r="M1090" s="28" t="s">
        <v>3589</v>
      </c>
      <c r="O1090" s="92">
        <v>39500</v>
      </c>
      <c r="P1090" s="28" t="s">
        <v>21</v>
      </c>
      <c r="Q1090" s="26" t="b">
        <v>0</v>
      </c>
      <c r="R1090" s="22">
        <f t="shared" ref="R1090:R1153" si="17">IF(O1090=" ", " ", INT(YEARFRAC(O1090, B1090)*365))</f>
        <v>4666</v>
      </c>
    </row>
    <row r="1091" spans="1:18">
      <c r="A1091" s="26">
        <v>3341</v>
      </c>
      <c r="B1091" s="27">
        <v>34828</v>
      </c>
      <c r="C1091" s="28" t="s">
        <v>3600</v>
      </c>
      <c r="D1091" s="27">
        <v>34828</v>
      </c>
      <c r="E1091" s="28" t="s">
        <v>3601</v>
      </c>
      <c r="F1091" s="28" t="s">
        <v>1019</v>
      </c>
      <c r="G1091" s="28" t="s">
        <v>20</v>
      </c>
      <c r="H1091" s="28" t="s">
        <v>21</v>
      </c>
      <c r="I1091" s="28" t="s">
        <v>21</v>
      </c>
      <c r="J1091" s="28" t="s">
        <v>3602</v>
      </c>
      <c r="K1091" s="28" t="s">
        <v>3603</v>
      </c>
      <c r="L1091" s="28" t="s">
        <v>24</v>
      </c>
      <c r="M1091" s="28" t="s">
        <v>21</v>
      </c>
      <c r="O1091" s="92">
        <v>34858</v>
      </c>
      <c r="P1091" s="28" t="s">
        <v>21</v>
      </c>
      <c r="Q1091" s="26" t="b">
        <v>0</v>
      </c>
      <c r="R1091" s="22">
        <f t="shared" si="17"/>
        <v>29</v>
      </c>
    </row>
    <row r="1092" spans="1:18">
      <c r="A1092" s="26">
        <v>3329</v>
      </c>
      <c r="B1092" s="27">
        <v>34830</v>
      </c>
      <c r="C1092" s="28" t="s">
        <v>3590</v>
      </c>
      <c r="D1092" s="27">
        <v>34829</v>
      </c>
      <c r="E1092" s="28" t="s">
        <v>3591</v>
      </c>
      <c r="F1092" s="28" t="s">
        <v>242</v>
      </c>
      <c r="G1092" s="28" t="s">
        <v>20</v>
      </c>
      <c r="H1092" s="28" t="s">
        <v>21</v>
      </c>
      <c r="I1092" s="28" t="s">
        <v>21</v>
      </c>
      <c r="J1092" s="28" t="s">
        <v>3592</v>
      </c>
      <c r="K1092" s="28" t="s">
        <v>242</v>
      </c>
      <c r="L1092" s="28" t="s">
        <v>30</v>
      </c>
      <c r="M1092" s="28" t="s">
        <v>21</v>
      </c>
      <c r="N1092" s="18"/>
      <c r="O1092" s="92">
        <v>36455</v>
      </c>
      <c r="P1092" s="28" t="s">
        <v>31</v>
      </c>
      <c r="Q1092" s="26" t="b">
        <v>0</v>
      </c>
      <c r="R1092" s="22">
        <f t="shared" si="17"/>
        <v>1623</v>
      </c>
    </row>
    <row r="1093" spans="1:18">
      <c r="A1093" s="26">
        <v>3336</v>
      </c>
      <c r="B1093" s="27">
        <v>34837</v>
      </c>
      <c r="C1093" s="28" t="s">
        <v>3593</v>
      </c>
      <c r="D1093" s="27">
        <v>34837</v>
      </c>
      <c r="E1093" s="28" t="s">
        <v>3594</v>
      </c>
      <c r="F1093" s="28" t="s">
        <v>2838</v>
      </c>
      <c r="G1093" s="28" t="s">
        <v>20</v>
      </c>
      <c r="H1093" s="28" t="s">
        <v>21</v>
      </c>
      <c r="I1093" s="28" t="s">
        <v>21</v>
      </c>
      <c r="J1093" s="28" t="s">
        <v>3595</v>
      </c>
      <c r="K1093" s="28" t="s">
        <v>3596</v>
      </c>
      <c r="L1093" s="28" t="s">
        <v>66</v>
      </c>
      <c r="M1093" s="28" t="s">
        <v>67</v>
      </c>
      <c r="O1093" s="92">
        <v>37011</v>
      </c>
      <c r="P1093" s="28" t="s">
        <v>21</v>
      </c>
      <c r="Q1093" s="26" t="b">
        <v>0</v>
      </c>
      <c r="R1093" s="22">
        <f t="shared" si="17"/>
        <v>2171</v>
      </c>
    </row>
    <row r="1094" spans="1:18">
      <c r="A1094" s="26">
        <v>3342</v>
      </c>
      <c r="B1094" s="27">
        <v>34842</v>
      </c>
      <c r="C1094" s="28" t="s">
        <v>3604</v>
      </c>
      <c r="D1094" s="27">
        <v>34842</v>
      </c>
      <c r="E1094" s="28" t="s">
        <v>3605</v>
      </c>
      <c r="F1094" s="28" t="s">
        <v>27</v>
      </c>
      <c r="G1094" s="28" t="s">
        <v>20</v>
      </c>
      <c r="H1094" s="28" t="s">
        <v>21</v>
      </c>
      <c r="I1094" s="28" t="s">
        <v>21</v>
      </c>
      <c r="J1094" s="28" t="s">
        <v>3606</v>
      </c>
      <c r="K1094" s="28" t="s">
        <v>3607</v>
      </c>
      <c r="L1094" s="28" t="s">
        <v>24</v>
      </c>
      <c r="M1094" s="28" t="s">
        <v>21</v>
      </c>
      <c r="O1094" s="92">
        <v>34940</v>
      </c>
      <c r="P1094" s="28" t="s">
        <v>21</v>
      </c>
      <c r="Q1094" s="26" t="b">
        <v>0</v>
      </c>
      <c r="R1094" s="22">
        <f t="shared" si="17"/>
        <v>97</v>
      </c>
    </row>
    <row r="1095" spans="1:18">
      <c r="A1095" s="26">
        <v>3340</v>
      </c>
      <c r="B1095" s="27">
        <v>34844</v>
      </c>
      <c r="C1095" s="28" t="s">
        <v>3597</v>
      </c>
      <c r="D1095" s="27">
        <v>34844</v>
      </c>
      <c r="E1095" s="28" t="s">
        <v>3598</v>
      </c>
      <c r="F1095" s="28" t="s">
        <v>124</v>
      </c>
      <c r="G1095" s="28" t="s">
        <v>20</v>
      </c>
      <c r="H1095" s="28" t="s">
        <v>21</v>
      </c>
      <c r="I1095" s="28" t="s">
        <v>21</v>
      </c>
      <c r="J1095" s="28" t="s">
        <v>675</v>
      </c>
      <c r="K1095" s="28" t="s">
        <v>3599</v>
      </c>
      <c r="L1095" s="28" t="s">
        <v>1152</v>
      </c>
      <c r="M1095" s="28" t="s">
        <v>21</v>
      </c>
      <c r="O1095" s="92">
        <v>34922</v>
      </c>
      <c r="P1095" s="28" t="s">
        <v>31</v>
      </c>
      <c r="Q1095" s="26" t="b">
        <v>0</v>
      </c>
      <c r="R1095" s="22">
        <f t="shared" si="17"/>
        <v>77</v>
      </c>
    </row>
    <row r="1096" spans="1:18">
      <c r="A1096" s="26">
        <v>3460</v>
      </c>
      <c r="B1096" s="27">
        <v>34844</v>
      </c>
      <c r="C1096" s="28" t="s">
        <v>3783</v>
      </c>
      <c r="D1096" s="27">
        <v>34844</v>
      </c>
      <c r="E1096" s="28" t="s">
        <v>3784</v>
      </c>
      <c r="F1096" s="28" t="s">
        <v>104</v>
      </c>
      <c r="G1096" s="28" t="s">
        <v>20</v>
      </c>
      <c r="H1096" s="28" t="s">
        <v>21</v>
      </c>
      <c r="I1096" s="28" t="s">
        <v>21</v>
      </c>
      <c r="J1096" s="28" t="s">
        <v>3785</v>
      </c>
      <c r="K1096" s="28" t="s">
        <v>1241</v>
      </c>
      <c r="L1096" s="28" t="s">
        <v>30</v>
      </c>
      <c r="M1096" s="28" t="s">
        <v>21</v>
      </c>
      <c r="N1096" s="18"/>
      <c r="O1096" s="92">
        <v>34963</v>
      </c>
      <c r="P1096" s="28" t="s">
        <v>31</v>
      </c>
      <c r="Q1096" s="26" t="b">
        <v>0</v>
      </c>
      <c r="R1096" s="22">
        <f t="shared" si="17"/>
        <v>117</v>
      </c>
    </row>
    <row r="1097" spans="1:18" ht="24">
      <c r="A1097" s="26">
        <v>3347</v>
      </c>
      <c r="B1097" s="27">
        <v>34850</v>
      </c>
      <c r="C1097" s="28" t="s">
        <v>3608</v>
      </c>
      <c r="D1097" s="27">
        <v>34850</v>
      </c>
      <c r="E1097" s="28" t="s">
        <v>3609</v>
      </c>
      <c r="F1097" s="28" t="s">
        <v>439</v>
      </c>
      <c r="G1097" s="28" t="s">
        <v>20</v>
      </c>
      <c r="H1097" s="28" t="s">
        <v>71</v>
      </c>
      <c r="I1097" s="28" t="s">
        <v>72</v>
      </c>
      <c r="J1097" s="28" t="s">
        <v>3610</v>
      </c>
      <c r="K1097" s="28" t="s">
        <v>3611</v>
      </c>
      <c r="L1097" s="28" t="s">
        <v>2205</v>
      </c>
      <c r="M1097" s="28" t="s">
        <v>3612</v>
      </c>
      <c r="O1097" s="92">
        <v>38489</v>
      </c>
      <c r="P1097" s="28" t="s">
        <v>21</v>
      </c>
      <c r="Q1097" s="26" t="b">
        <v>0</v>
      </c>
      <c r="R1097" s="22">
        <f t="shared" si="17"/>
        <v>3636</v>
      </c>
    </row>
    <row r="1098" spans="1:18">
      <c r="A1098" s="26">
        <v>3360</v>
      </c>
      <c r="B1098" s="27">
        <v>34855</v>
      </c>
      <c r="C1098" s="28" t="s">
        <v>3613</v>
      </c>
      <c r="D1098" s="27">
        <v>34855</v>
      </c>
      <c r="E1098" s="28" t="s">
        <v>3614</v>
      </c>
      <c r="F1098" s="28" t="s">
        <v>3615</v>
      </c>
      <c r="G1098" s="28" t="s">
        <v>20</v>
      </c>
      <c r="H1098" s="28" t="s">
        <v>189</v>
      </c>
      <c r="I1098" s="28" t="s">
        <v>189</v>
      </c>
      <c r="J1098" s="28" t="s">
        <v>3616</v>
      </c>
      <c r="K1098" s="28" t="s">
        <v>332</v>
      </c>
      <c r="L1098" s="28" t="s">
        <v>82</v>
      </c>
      <c r="M1098" s="28" t="s">
        <v>21</v>
      </c>
      <c r="O1098" s="92">
        <v>35093</v>
      </c>
      <c r="P1098" s="28" t="s">
        <v>21</v>
      </c>
      <c r="Q1098" s="26" t="b">
        <v>0</v>
      </c>
      <c r="R1098" s="22">
        <f t="shared" si="17"/>
        <v>237</v>
      </c>
    </row>
    <row r="1099" spans="1:18">
      <c r="A1099" s="26">
        <v>3361</v>
      </c>
      <c r="B1099" s="27">
        <v>34856</v>
      </c>
      <c r="C1099" s="28" t="s">
        <v>3617</v>
      </c>
      <c r="D1099" s="27">
        <v>34856</v>
      </c>
      <c r="E1099" s="28" t="s">
        <v>3618</v>
      </c>
      <c r="F1099" s="28" t="s">
        <v>124</v>
      </c>
      <c r="G1099" s="28" t="s">
        <v>20</v>
      </c>
      <c r="H1099" s="28" t="s">
        <v>21</v>
      </c>
      <c r="I1099" s="28" t="s">
        <v>21</v>
      </c>
      <c r="J1099" s="28" t="s">
        <v>124</v>
      </c>
      <c r="K1099" s="28" t="s">
        <v>3619</v>
      </c>
      <c r="L1099" s="28" t="s">
        <v>24</v>
      </c>
      <c r="M1099" s="28" t="s">
        <v>21</v>
      </c>
      <c r="O1099" s="92">
        <v>34912</v>
      </c>
      <c r="P1099" s="28" t="s">
        <v>31</v>
      </c>
      <c r="Q1099" s="26" t="b">
        <v>0</v>
      </c>
      <c r="R1099" s="22">
        <f t="shared" si="17"/>
        <v>55</v>
      </c>
    </row>
    <row r="1100" spans="1:18">
      <c r="A1100" s="26">
        <v>3374</v>
      </c>
      <c r="B1100" s="27">
        <v>34857</v>
      </c>
      <c r="C1100" s="28" t="s">
        <v>3620</v>
      </c>
      <c r="D1100" s="27">
        <v>34857</v>
      </c>
      <c r="E1100" s="28" t="s">
        <v>38</v>
      </c>
      <c r="F1100" s="28" t="s">
        <v>1804</v>
      </c>
      <c r="G1100" s="28" t="s">
        <v>20</v>
      </c>
      <c r="H1100" s="28" t="s">
        <v>566</v>
      </c>
      <c r="I1100" s="28" t="s">
        <v>566</v>
      </c>
      <c r="J1100" s="28" t="s">
        <v>3621</v>
      </c>
      <c r="K1100" s="28" t="s">
        <v>3596</v>
      </c>
      <c r="L1100" s="28" t="s">
        <v>66</v>
      </c>
      <c r="M1100" s="28" t="s">
        <v>67</v>
      </c>
      <c r="O1100" s="92">
        <v>36117</v>
      </c>
      <c r="P1100" s="28" t="s">
        <v>31</v>
      </c>
      <c r="Q1100" s="26" t="b">
        <v>0</v>
      </c>
      <c r="R1100" s="22">
        <f t="shared" si="17"/>
        <v>1258</v>
      </c>
    </row>
    <row r="1101" spans="1:18">
      <c r="A1101" s="26">
        <v>3377</v>
      </c>
      <c r="B1101" s="27">
        <v>34859</v>
      </c>
      <c r="C1101" s="28" t="s">
        <v>3626</v>
      </c>
      <c r="D1101" s="27">
        <v>34859</v>
      </c>
      <c r="E1101" s="28" t="s">
        <v>3627</v>
      </c>
      <c r="F1101" s="28" t="s">
        <v>3628</v>
      </c>
      <c r="G1101" s="28" t="s">
        <v>20</v>
      </c>
      <c r="H1101" s="28" t="s">
        <v>21</v>
      </c>
      <c r="I1101" s="28" t="s">
        <v>21</v>
      </c>
      <c r="J1101" s="28" t="s">
        <v>3629</v>
      </c>
      <c r="K1101" s="28" t="s">
        <v>3630</v>
      </c>
      <c r="L1101" s="28" t="s">
        <v>30</v>
      </c>
      <c r="M1101" s="28" t="s">
        <v>21</v>
      </c>
      <c r="O1101" s="92">
        <v>36495</v>
      </c>
      <c r="P1101" s="28" t="s">
        <v>21</v>
      </c>
      <c r="Q1101" s="26" t="b">
        <v>0</v>
      </c>
      <c r="R1101" s="22">
        <f t="shared" si="17"/>
        <v>1634</v>
      </c>
    </row>
    <row r="1102" spans="1:18">
      <c r="A1102" s="26">
        <v>3381</v>
      </c>
      <c r="B1102" s="27">
        <v>34864</v>
      </c>
      <c r="C1102" s="28" t="s">
        <v>3631</v>
      </c>
      <c r="D1102" s="27">
        <v>34864</v>
      </c>
      <c r="E1102" s="28" t="s">
        <v>38</v>
      </c>
      <c r="F1102" s="28" t="s">
        <v>3171</v>
      </c>
      <c r="G1102" s="28" t="s">
        <v>20</v>
      </c>
      <c r="H1102" s="28" t="s">
        <v>566</v>
      </c>
      <c r="I1102" s="28" t="s">
        <v>566</v>
      </c>
      <c r="J1102" s="28" t="s">
        <v>3632</v>
      </c>
      <c r="K1102" s="28" t="s">
        <v>3633</v>
      </c>
      <c r="L1102" s="28" t="s">
        <v>82</v>
      </c>
      <c r="M1102" s="28" t="s">
        <v>21</v>
      </c>
      <c r="O1102" s="92">
        <v>34865</v>
      </c>
      <c r="P1102" s="28" t="s">
        <v>31</v>
      </c>
      <c r="Q1102" s="26" t="b">
        <v>0</v>
      </c>
      <c r="R1102" s="22">
        <f t="shared" si="17"/>
        <v>1</v>
      </c>
    </row>
    <row r="1103" spans="1:18">
      <c r="A1103" s="26">
        <v>3385</v>
      </c>
      <c r="B1103" s="27">
        <v>34870</v>
      </c>
      <c r="C1103" s="28" t="s">
        <v>3640</v>
      </c>
      <c r="D1103" s="27">
        <v>34870</v>
      </c>
      <c r="E1103" s="28" t="s">
        <v>38</v>
      </c>
      <c r="F1103" s="28" t="s">
        <v>98</v>
      </c>
      <c r="G1103" s="28" t="s">
        <v>20</v>
      </c>
      <c r="H1103" s="28" t="s">
        <v>21</v>
      </c>
      <c r="I1103" s="28" t="s">
        <v>21</v>
      </c>
      <c r="J1103" s="28" t="s">
        <v>3641</v>
      </c>
      <c r="K1103" s="28" t="s">
        <v>3642</v>
      </c>
      <c r="L1103" s="28" t="s">
        <v>24</v>
      </c>
      <c r="M1103" s="28" t="s">
        <v>21</v>
      </c>
      <c r="N1103" s="29">
        <v>34873</v>
      </c>
      <c r="O1103" s="92">
        <v>34871</v>
      </c>
      <c r="P1103" s="28" t="s">
        <v>21</v>
      </c>
      <c r="Q1103" s="26" t="b">
        <v>0</v>
      </c>
      <c r="R1103" s="22">
        <f t="shared" si="17"/>
        <v>1</v>
      </c>
    </row>
    <row r="1104" spans="1:18">
      <c r="A1104" s="26">
        <v>3383</v>
      </c>
      <c r="B1104" s="27">
        <v>34871</v>
      </c>
      <c r="C1104" s="28" t="s">
        <v>3634</v>
      </c>
      <c r="D1104" s="27">
        <v>34871</v>
      </c>
      <c r="E1104" s="28" t="s">
        <v>3635</v>
      </c>
      <c r="F1104" s="28" t="s">
        <v>104</v>
      </c>
      <c r="G1104" s="28" t="s">
        <v>20</v>
      </c>
      <c r="H1104" s="28" t="s">
        <v>21</v>
      </c>
      <c r="I1104" s="28" t="s">
        <v>21</v>
      </c>
      <c r="J1104" s="28" t="s">
        <v>2472</v>
      </c>
      <c r="K1104" s="28" t="s">
        <v>1887</v>
      </c>
      <c r="L1104" s="28" t="s">
        <v>24</v>
      </c>
      <c r="M1104" s="28" t="s">
        <v>21</v>
      </c>
      <c r="O1104" s="92">
        <v>35053</v>
      </c>
      <c r="P1104" s="28" t="s">
        <v>31</v>
      </c>
      <c r="Q1104" s="26" t="b">
        <v>0</v>
      </c>
      <c r="R1104" s="22">
        <f t="shared" si="17"/>
        <v>181</v>
      </c>
    </row>
    <row r="1105" spans="1:18">
      <c r="A1105" s="26">
        <v>3384</v>
      </c>
      <c r="B1105" s="27">
        <v>34871</v>
      </c>
      <c r="C1105" s="28" t="s">
        <v>3636</v>
      </c>
      <c r="D1105" s="27">
        <v>34871</v>
      </c>
      <c r="E1105" s="28" t="s">
        <v>3637</v>
      </c>
      <c r="F1105" s="28" t="s">
        <v>70</v>
      </c>
      <c r="G1105" s="28" t="s">
        <v>20</v>
      </c>
      <c r="H1105" s="28" t="s">
        <v>71</v>
      </c>
      <c r="I1105" s="28" t="s">
        <v>72</v>
      </c>
      <c r="J1105" s="28" t="s">
        <v>3638</v>
      </c>
      <c r="K1105" s="28" t="s">
        <v>3639</v>
      </c>
      <c r="L1105" s="28" t="s">
        <v>24</v>
      </c>
      <c r="M1105" s="28" t="s">
        <v>21</v>
      </c>
      <c r="O1105" s="92">
        <v>34940</v>
      </c>
      <c r="P1105" s="28" t="s">
        <v>21</v>
      </c>
      <c r="Q1105" s="26" t="b">
        <v>0</v>
      </c>
      <c r="R1105" s="22">
        <f t="shared" si="17"/>
        <v>68</v>
      </c>
    </row>
    <row r="1106" spans="1:18">
      <c r="A1106" s="26">
        <v>3386</v>
      </c>
      <c r="B1106" s="27">
        <v>34872</v>
      </c>
      <c r="C1106" s="28" t="s">
        <v>3643</v>
      </c>
      <c r="D1106" s="27">
        <v>34872</v>
      </c>
      <c r="E1106" s="28" t="s">
        <v>3644</v>
      </c>
      <c r="F1106" s="28" t="s">
        <v>861</v>
      </c>
      <c r="G1106" s="28" t="s">
        <v>20</v>
      </c>
      <c r="H1106" s="28" t="s">
        <v>566</v>
      </c>
      <c r="I1106" s="28" t="s">
        <v>566</v>
      </c>
      <c r="J1106" s="28" t="s">
        <v>3645</v>
      </c>
      <c r="K1106" s="28" t="s">
        <v>3646</v>
      </c>
      <c r="L1106" s="28" t="s">
        <v>24</v>
      </c>
      <c r="M1106" s="28" t="s">
        <v>21</v>
      </c>
      <c r="O1106" s="92">
        <v>34912</v>
      </c>
      <c r="P1106" s="28" t="s">
        <v>21</v>
      </c>
      <c r="Q1106" s="26" t="b">
        <v>0</v>
      </c>
      <c r="R1106" s="22">
        <f t="shared" si="17"/>
        <v>39</v>
      </c>
    </row>
    <row r="1107" spans="1:18">
      <c r="A1107" s="26">
        <v>3390</v>
      </c>
      <c r="B1107" s="27">
        <v>34876</v>
      </c>
      <c r="C1107" s="28" t="s">
        <v>3647</v>
      </c>
      <c r="D1107" s="27">
        <v>34876</v>
      </c>
      <c r="E1107" s="28" t="s">
        <v>3648</v>
      </c>
      <c r="F1107" s="28" t="s">
        <v>327</v>
      </c>
      <c r="G1107" s="28" t="s">
        <v>20</v>
      </c>
      <c r="H1107" s="28" t="s">
        <v>21</v>
      </c>
      <c r="I1107" s="28" t="s">
        <v>21</v>
      </c>
      <c r="J1107" s="28" t="s">
        <v>3649</v>
      </c>
      <c r="K1107" s="28" t="s">
        <v>375</v>
      </c>
      <c r="L1107" s="28" t="s">
        <v>24</v>
      </c>
      <c r="M1107" s="28" t="s">
        <v>21</v>
      </c>
      <c r="O1107" s="92">
        <v>34877</v>
      </c>
      <c r="P1107" s="28" t="s">
        <v>21</v>
      </c>
      <c r="Q1107" s="26" t="b">
        <v>0</v>
      </c>
      <c r="R1107" s="22">
        <f t="shared" si="17"/>
        <v>1</v>
      </c>
    </row>
    <row r="1108" spans="1:18">
      <c r="A1108" s="26">
        <v>3401</v>
      </c>
      <c r="B1108" s="27">
        <v>34885</v>
      </c>
      <c r="C1108" s="28" t="s">
        <v>3650</v>
      </c>
      <c r="D1108" s="27">
        <v>34885</v>
      </c>
      <c r="E1108" s="28" t="s">
        <v>38</v>
      </c>
      <c r="F1108" s="28" t="s">
        <v>228</v>
      </c>
      <c r="G1108" s="28" t="s">
        <v>20</v>
      </c>
      <c r="H1108" s="28" t="s">
        <v>21</v>
      </c>
      <c r="I1108" s="28" t="s">
        <v>21</v>
      </c>
      <c r="J1108" s="28" t="s">
        <v>3651</v>
      </c>
      <c r="K1108" s="28" t="s">
        <v>3652</v>
      </c>
      <c r="L1108" s="28" t="s">
        <v>82</v>
      </c>
      <c r="M1108" s="28" t="s">
        <v>21</v>
      </c>
      <c r="O1108" s="92">
        <v>34893</v>
      </c>
      <c r="P1108" s="28" t="s">
        <v>21</v>
      </c>
      <c r="Q1108" s="26" t="b">
        <v>0</v>
      </c>
      <c r="R1108" s="22">
        <f t="shared" si="17"/>
        <v>8</v>
      </c>
    </row>
    <row r="1109" spans="1:18">
      <c r="A1109" s="26">
        <v>3402</v>
      </c>
      <c r="B1109" s="27">
        <v>34890</v>
      </c>
      <c r="C1109" s="28" t="s">
        <v>3653</v>
      </c>
      <c r="D1109" s="27">
        <v>34887</v>
      </c>
      <c r="E1109" s="28" t="s">
        <v>3654</v>
      </c>
      <c r="F1109" s="28" t="s">
        <v>27</v>
      </c>
      <c r="G1109" s="28" t="s">
        <v>20</v>
      </c>
      <c r="H1109" s="28" t="s">
        <v>21</v>
      </c>
      <c r="I1109" s="28" t="s">
        <v>21</v>
      </c>
      <c r="J1109" s="28" t="s">
        <v>3655</v>
      </c>
      <c r="K1109" s="28" t="s">
        <v>27</v>
      </c>
      <c r="L1109" s="28" t="s">
        <v>314</v>
      </c>
      <c r="M1109" s="28" t="s">
        <v>66</v>
      </c>
      <c r="N1109" s="18"/>
      <c r="O1109" s="92">
        <v>37558</v>
      </c>
      <c r="P1109" s="28" t="s">
        <v>31</v>
      </c>
      <c r="Q1109" s="26" t="b">
        <v>0</v>
      </c>
      <c r="R1109" s="22">
        <f t="shared" si="17"/>
        <v>2665</v>
      </c>
    </row>
    <row r="1110" spans="1:18">
      <c r="A1110" s="26">
        <v>3403</v>
      </c>
      <c r="B1110" s="27">
        <v>34891</v>
      </c>
      <c r="C1110" s="28" t="s">
        <v>3656</v>
      </c>
      <c r="D1110" s="27">
        <v>34891</v>
      </c>
      <c r="E1110" s="28" t="s">
        <v>3657</v>
      </c>
      <c r="F1110" s="28" t="s">
        <v>19</v>
      </c>
      <c r="G1110" s="28" t="s">
        <v>20</v>
      </c>
      <c r="H1110" s="28" t="s">
        <v>21</v>
      </c>
      <c r="I1110" s="28" t="s">
        <v>21</v>
      </c>
      <c r="J1110" s="28" t="s">
        <v>3658</v>
      </c>
      <c r="K1110" s="28" t="s">
        <v>3659</v>
      </c>
      <c r="L1110" s="28" t="s">
        <v>82</v>
      </c>
      <c r="M1110" s="28" t="s">
        <v>21</v>
      </c>
      <c r="N1110" s="18"/>
      <c r="O1110" s="92">
        <v>34892</v>
      </c>
      <c r="P1110" s="28" t="s">
        <v>21</v>
      </c>
      <c r="Q1110" s="26" t="b">
        <v>0</v>
      </c>
      <c r="R1110" s="22">
        <f t="shared" si="17"/>
        <v>1</v>
      </c>
    </row>
    <row r="1111" spans="1:18">
      <c r="A1111" s="26">
        <v>3407</v>
      </c>
      <c r="B1111" s="27">
        <v>34894</v>
      </c>
      <c r="C1111" s="28" t="s">
        <v>3660</v>
      </c>
      <c r="D1111" s="27">
        <v>34894</v>
      </c>
      <c r="E1111" s="28" t="s">
        <v>3661</v>
      </c>
      <c r="F1111" s="28" t="s">
        <v>741</v>
      </c>
      <c r="G1111" s="28" t="s">
        <v>20</v>
      </c>
      <c r="H1111" s="28" t="s">
        <v>21</v>
      </c>
      <c r="I1111" s="28" t="s">
        <v>21</v>
      </c>
      <c r="J1111" s="28" t="s">
        <v>3662</v>
      </c>
      <c r="K1111" s="28" t="s">
        <v>306</v>
      </c>
      <c r="L1111" s="28" t="s">
        <v>66</v>
      </c>
      <c r="M1111" s="28" t="s">
        <v>1297</v>
      </c>
      <c r="O1111" s="92">
        <v>37582</v>
      </c>
      <c r="P1111" s="28" t="s">
        <v>182</v>
      </c>
      <c r="Q1111" s="26" t="b">
        <v>0</v>
      </c>
      <c r="R1111" s="22">
        <f t="shared" si="17"/>
        <v>2684</v>
      </c>
    </row>
    <row r="1112" spans="1:18">
      <c r="A1112" s="26">
        <v>3408</v>
      </c>
      <c r="B1112" s="27">
        <v>34897</v>
      </c>
      <c r="C1112" s="28" t="s">
        <v>3663</v>
      </c>
      <c r="D1112" s="27">
        <v>34897</v>
      </c>
      <c r="E1112" s="28" t="s">
        <v>38</v>
      </c>
      <c r="F1112" s="28" t="s">
        <v>104</v>
      </c>
      <c r="G1112" s="28" t="s">
        <v>20</v>
      </c>
      <c r="H1112" s="28" t="s">
        <v>21</v>
      </c>
      <c r="I1112" s="28" t="s">
        <v>21</v>
      </c>
      <c r="J1112" s="28" t="s">
        <v>3664</v>
      </c>
      <c r="K1112" s="28" t="s">
        <v>3665</v>
      </c>
      <c r="L1112" s="28" t="s">
        <v>24</v>
      </c>
      <c r="M1112" s="28" t="s">
        <v>21</v>
      </c>
      <c r="O1112" s="92">
        <v>34898</v>
      </c>
      <c r="P1112" s="28" t="s">
        <v>21</v>
      </c>
      <c r="Q1112" s="26" t="b">
        <v>0</v>
      </c>
      <c r="R1112" s="22">
        <f t="shared" si="17"/>
        <v>1</v>
      </c>
    </row>
    <row r="1113" spans="1:18">
      <c r="A1113" s="26">
        <v>3410</v>
      </c>
      <c r="B1113" s="27">
        <v>34899</v>
      </c>
      <c r="C1113" s="28" t="s">
        <v>3666</v>
      </c>
      <c r="D1113" s="27">
        <v>34899</v>
      </c>
      <c r="E1113" s="28" t="s">
        <v>38</v>
      </c>
      <c r="F1113" s="28" t="s">
        <v>27</v>
      </c>
      <c r="G1113" s="28" t="s">
        <v>20</v>
      </c>
      <c r="H1113" s="28" t="s">
        <v>21</v>
      </c>
      <c r="I1113" s="28" t="s">
        <v>21</v>
      </c>
      <c r="J1113" s="28" t="s">
        <v>3667</v>
      </c>
      <c r="K1113" s="28" t="s">
        <v>3668</v>
      </c>
      <c r="L1113" s="28" t="s">
        <v>24</v>
      </c>
      <c r="M1113" s="28" t="s">
        <v>21</v>
      </c>
      <c r="O1113" s="92">
        <v>34900</v>
      </c>
      <c r="P1113" s="28" t="s">
        <v>31</v>
      </c>
      <c r="Q1113" s="26" t="b">
        <v>0</v>
      </c>
      <c r="R1113" s="22">
        <f t="shared" si="17"/>
        <v>1</v>
      </c>
    </row>
    <row r="1114" spans="1:18">
      <c r="A1114" s="26">
        <v>3413</v>
      </c>
      <c r="B1114" s="27">
        <v>34901</v>
      </c>
      <c r="C1114" s="28" t="s">
        <v>3669</v>
      </c>
      <c r="D1114" s="27">
        <v>34901</v>
      </c>
      <c r="E1114" s="28" t="s">
        <v>3670</v>
      </c>
      <c r="F1114" s="28" t="s">
        <v>1159</v>
      </c>
      <c r="G1114" s="28" t="s">
        <v>20</v>
      </c>
      <c r="H1114" s="28" t="s">
        <v>71</v>
      </c>
      <c r="I1114" s="28" t="s">
        <v>72</v>
      </c>
      <c r="J1114" s="28" t="s">
        <v>3671</v>
      </c>
      <c r="K1114" s="28" t="s">
        <v>3672</v>
      </c>
      <c r="L1114" s="28" t="s">
        <v>82</v>
      </c>
      <c r="M1114" s="28" t="s">
        <v>21</v>
      </c>
      <c r="O1114" s="92">
        <v>34914</v>
      </c>
      <c r="P1114" s="28" t="s">
        <v>31</v>
      </c>
      <c r="Q1114" s="26" t="b">
        <v>0</v>
      </c>
      <c r="R1114" s="22">
        <f t="shared" si="17"/>
        <v>12</v>
      </c>
    </row>
    <row r="1115" spans="1:18">
      <c r="A1115" s="26">
        <v>3415</v>
      </c>
      <c r="B1115" s="27">
        <v>34904</v>
      </c>
      <c r="C1115" s="28" t="s">
        <v>3673</v>
      </c>
      <c r="D1115" s="27">
        <v>34901</v>
      </c>
      <c r="E1115" s="28" t="s">
        <v>3674</v>
      </c>
      <c r="F1115" s="28" t="s">
        <v>98</v>
      </c>
      <c r="G1115" s="28" t="s">
        <v>20</v>
      </c>
      <c r="H1115" s="28" t="s">
        <v>21</v>
      </c>
      <c r="I1115" s="28" t="s">
        <v>21</v>
      </c>
      <c r="J1115" s="28" t="s">
        <v>2763</v>
      </c>
      <c r="K1115" s="28" t="s">
        <v>3675</v>
      </c>
      <c r="L1115" s="28" t="s">
        <v>686</v>
      </c>
      <c r="M1115" s="28" t="s">
        <v>67</v>
      </c>
      <c r="O1115" s="92">
        <v>36347</v>
      </c>
      <c r="P1115" s="28" t="s">
        <v>31</v>
      </c>
      <c r="Q1115" s="26" t="b">
        <v>0</v>
      </c>
      <c r="R1115" s="22">
        <f t="shared" si="17"/>
        <v>1441</v>
      </c>
    </row>
    <row r="1116" spans="1:18">
      <c r="A1116" s="26">
        <v>3417</v>
      </c>
      <c r="B1116" s="27">
        <v>34905</v>
      </c>
      <c r="C1116" s="28" t="s">
        <v>3676</v>
      </c>
      <c r="D1116" s="27">
        <v>34905</v>
      </c>
      <c r="E1116" s="28" t="s">
        <v>3677</v>
      </c>
      <c r="F1116" s="28" t="s">
        <v>56</v>
      </c>
      <c r="G1116" s="28" t="s">
        <v>20</v>
      </c>
      <c r="H1116" s="28" t="s">
        <v>21</v>
      </c>
      <c r="I1116" s="28" t="s">
        <v>21</v>
      </c>
      <c r="J1116" s="28" t="s">
        <v>3678</v>
      </c>
      <c r="K1116" s="28" t="s">
        <v>3679</v>
      </c>
      <c r="L1116" s="28" t="s">
        <v>82</v>
      </c>
      <c r="M1116" s="28" t="s">
        <v>21</v>
      </c>
      <c r="O1116" s="92">
        <v>34908</v>
      </c>
      <c r="P1116" s="28" t="s">
        <v>21</v>
      </c>
      <c r="Q1116" s="26" t="b">
        <v>0</v>
      </c>
      <c r="R1116" s="22">
        <f t="shared" si="17"/>
        <v>3</v>
      </c>
    </row>
    <row r="1117" spans="1:18">
      <c r="A1117" s="26">
        <v>3418</v>
      </c>
      <c r="B1117" s="27">
        <v>34906</v>
      </c>
      <c r="C1117" s="28" t="s">
        <v>3680</v>
      </c>
      <c r="D1117" s="27">
        <v>34906</v>
      </c>
      <c r="E1117" s="28" t="s">
        <v>3677</v>
      </c>
      <c r="F1117" s="28" t="s">
        <v>999</v>
      </c>
      <c r="G1117" s="28" t="s">
        <v>20</v>
      </c>
      <c r="H1117" s="28" t="s">
        <v>71</v>
      </c>
      <c r="I1117" s="28" t="s">
        <v>72</v>
      </c>
      <c r="J1117" s="28" t="s">
        <v>3681</v>
      </c>
      <c r="K1117" s="28" t="s">
        <v>3682</v>
      </c>
      <c r="L1117" s="28" t="s">
        <v>24</v>
      </c>
      <c r="M1117" s="28" t="s">
        <v>21</v>
      </c>
      <c r="N1117" s="18"/>
      <c r="O1117" s="92">
        <v>34940</v>
      </c>
      <c r="P1117" s="28" t="s">
        <v>21</v>
      </c>
      <c r="Q1117" s="26" t="b">
        <v>0</v>
      </c>
      <c r="R1117" s="22">
        <f t="shared" si="17"/>
        <v>33</v>
      </c>
    </row>
    <row r="1118" spans="1:18">
      <c r="A1118" s="26">
        <v>3419</v>
      </c>
      <c r="B1118" s="27">
        <v>34907</v>
      </c>
      <c r="C1118" s="28" t="s">
        <v>3683</v>
      </c>
      <c r="D1118" s="27">
        <v>34907</v>
      </c>
      <c r="E1118" s="28" t="s">
        <v>3684</v>
      </c>
      <c r="F1118" s="28" t="s">
        <v>306</v>
      </c>
      <c r="G1118" s="28" t="s">
        <v>20</v>
      </c>
      <c r="H1118" s="28" t="s">
        <v>21</v>
      </c>
      <c r="I1118" s="28" t="s">
        <v>21</v>
      </c>
      <c r="J1118" s="28" t="s">
        <v>3685</v>
      </c>
      <c r="K1118" s="28" t="s">
        <v>21</v>
      </c>
      <c r="L1118" s="28" t="s">
        <v>67</v>
      </c>
      <c r="M1118" s="28" t="s">
        <v>21</v>
      </c>
      <c r="O1118" s="92">
        <v>35828</v>
      </c>
      <c r="P1118" s="28" t="s">
        <v>21</v>
      </c>
      <c r="Q1118" s="26" t="b">
        <v>0</v>
      </c>
      <c r="R1118" s="22">
        <f t="shared" si="17"/>
        <v>917</v>
      </c>
    </row>
    <row r="1119" spans="1:18">
      <c r="A1119" s="26">
        <v>3420</v>
      </c>
      <c r="B1119" s="27">
        <v>34912</v>
      </c>
      <c r="C1119" s="28" t="s">
        <v>3686</v>
      </c>
      <c r="D1119" s="27">
        <v>34912</v>
      </c>
      <c r="E1119" s="28" t="s">
        <v>3687</v>
      </c>
      <c r="F1119" s="28" t="s">
        <v>98</v>
      </c>
      <c r="G1119" s="28" t="s">
        <v>20</v>
      </c>
      <c r="H1119" s="28" t="s">
        <v>21</v>
      </c>
      <c r="I1119" s="28" t="s">
        <v>21</v>
      </c>
      <c r="J1119" s="28" t="s">
        <v>3688</v>
      </c>
      <c r="K1119" s="28" t="s">
        <v>3689</v>
      </c>
      <c r="L1119" s="28" t="s">
        <v>82</v>
      </c>
      <c r="M1119" s="28" t="s">
        <v>21</v>
      </c>
      <c r="O1119" s="92">
        <v>34948</v>
      </c>
      <c r="P1119" s="28" t="s">
        <v>31</v>
      </c>
      <c r="Q1119" s="26" t="b">
        <v>0</v>
      </c>
      <c r="R1119" s="22">
        <f t="shared" si="17"/>
        <v>35</v>
      </c>
    </row>
    <row r="1120" spans="1:18">
      <c r="A1120" s="26">
        <v>3421</v>
      </c>
      <c r="B1120" s="27">
        <v>34912</v>
      </c>
      <c r="C1120" s="28" t="s">
        <v>3690</v>
      </c>
      <c r="D1120" s="27">
        <v>34912</v>
      </c>
      <c r="E1120" s="28" t="s">
        <v>3691</v>
      </c>
      <c r="F1120" s="28" t="s">
        <v>194</v>
      </c>
      <c r="G1120" s="28" t="s">
        <v>20</v>
      </c>
      <c r="H1120" s="28" t="s">
        <v>71</v>
      </c>
      <c r="I1120" s="28" t="s">
        <v>72</v>
      </c>
      <c r="J1120" s="28" t="s">
        <v>3692</v>
      </c>
      <c r="K1120" s="28" t="s">
        <v>1705</v>
      </c>
      <c r="L1120" s="28" t="s">
        <v>686</v>
      </c>
      <c r="M1120" s="28" t="s">
        <v>21</v>
      </c>
      <c r="O1120" s="92">
        <v>36347</v>
      </c>
      <c r="P1120" s="28" t="s">
        <v>31</v>
      </c>
      <c r="Q1120" s="26" t="b">
        <v>0</v>
      </c>
      <c r="R1120" s="22">
        <f t="shared" si="17"/>
        <v>1434</v>
      </c>
    </row>
    <row r="1121" spans="1:18">
      <c r="A1121" s="26">
        <v>3424</v>
      </c>
      <c r="B1121" s="27">
        <v>34922</v>
      </c>
      <c r="C1121" s="28" t="s">
        <v>3693</v>
      </c>
      <c r="D1121" s="27">
        <v>34922</v>
      </c>
      <c r="E1121" s="28" t="s">
        <v>38</v>
      </c>
      <c r="F1121" s="28" t="s">
        <v>733</v>
      </c>
      <c r="G1121" s="28" t="s">
        <v>20</v>
      </c>
      <c r="H1121" s="28" t="s">
        <v>21</v>
      </c>
      <c r="I1121" s="28" t="s">
        <v>21</v>
      </c>
      <c r="J1121" s="28" t="s">
        <v>3694</v>
      </c>
      <c r="K1121" s="28" t="s">
        <v>3695</v>
      </c>
      <c r="L1121" s="28" t="s">
        <v>24</v>
      </c>
      <c r="M1121" s="28" t="s">
        <v>21</v>
      </c>
      <c r="N1121" s="18"/>
      <c r="O1121" s="92">
        <v>34922</v>
      </c>
      <c r="P1121" s="28" t="s">
        <v>21</v>
      </c>
      <c r="Q1121" s="26" t="b">
        <v>0</v>
      </c>
      <c r="R1121" s="22">
        <f t="shared" si="17"/>
        <v>0</v>
      </c>
    </row>
    <row r="1122" spans="1:18">
      <c r="A1122" s="26">
        <v>3426</v>
      </c>
      <c r="B1122" s="27">
        <v>34925</v>
      </c>
      <c r="C1122" s="28" t="s">
        <v>3696</v>
      </c>
      <c r="D1122" s="27">
        <v>34925</v>
      </c>
      <c r="E1122" s="28" t="s">
        <v>3697</v>
      </c>
      <c r="F1122" s="28" t="s">
        <v>327</v>
      </c>
      <c r="G1122" s="28" t="s">
        <v>20</v>
      </c>
      <c r="H1122" s="28" t="s">
        <v>21</v>
      </c>
      <c r="I1122" s="28" t="s">
        <v>21</v>
      </c>
      <c r="J1122" s="28" t="s">
        <v>3698</v>
      </c>
      <c r="K1122" s="28" t="s">
        <v>3699</v>
      </c>
      <c r="L1122" s="28" t="s">
        <v>66</v>
      </c>
      <c r="M1122" s="28" t="s">
        <v>21</v>
      </c>
      <c r="O1122" s="92">
        <v>35432</v>
      </c>
      <c r="P1122" s="28" t="s">
        <v>31</v>
      </c>
      <c r="Q1122" s="26" t="b">
        <v>0</v>
      </c>
      <c r="R1122" s="22">
        <f t="shared" si="17"/>
        <v>504</v>
      </c>
    </row>
    <row r="1123" spans="1:18">
      <c r="A1123" s="26">
        <v>3427</v>
      </c>
      <c r="B1123" s="27">
        <v>34927</v>
      </c>
      <c r="C1123" s="28" t="s">
        <v>3700</v>
      </c>
      <c r="D1123" s="27">
        <v>34927</v>
      </c>
      <c r="E1123" s="28" t="s">
        <v>3701</v>
      </c>
      <c r="F1123" s="28" t="s">
        <v>70</v>
      </c>
      <c r="G1123" s="28" t="s">
        <v>20</v>
      </c>
      <c r="H1123" s="28" t="s">
        <v>71</v>
      </c>
      <c r="I1123" s="28" t="s">
        <v>72</v>
      </c>
      <c r="J1123" s="28" t="s">
        <v>3702</v>
      </c>
      <c r="K1123" s="28" t="s">
        <v>21</v>
      </c>
      <c r="L1123" s="28" t="s">
        <v>21</v>
      </c>
      <c r="M1123" s="28" t="s">
        <v>21</v>
      </c>
      <c r="O1123" s="92">
        <v>34971</v>
      </c>
      <c r="P1123" s="28" t="s">
        <v>21</v>
      </c>
      <c r="Q1123" s="26" t="b">
        <v>0</v>
      </c>
      <c r="R1123" s="22">
        <f t="shared" si="17"/>
        <v>43</v>
      </c>
    </row>
    <row r="1124" spans="1:18">
      <c r="A1124" s="26">
        <v>3430</v>
      </c>
      <c r="B1124" s="27">
        <v>34933</v>
      </c>
      <c r="C1124" s="28" t="s">
        <v>3703</v>
      </c>
      <c r="D1124" s="27">
        <v>34933</v>
      </c>
      <c r="E1124" s="28" t="s">
        <v>3704</v>
      </c>
      <c r="F1124" s="28" t="s">
        <v>85</v>
      </c>
      <c r="G1124" s="28" t="s">
        <v>20</v>
      </c>
      <c r="H1124" s="28" t="s">
        <v>21</v>
      </c>
      <c r="I1124" s="28" t="s">
        <v>21</v>
      </c>
      <c r="J1124" s="28" t="s">
        <v>3705</v>
      </c>
      <c r="K1124" s="28" t="s">
        <v>3706</v>
      </c>
      <c r="L1124" s="28" t="s">
        <v>66</v>
      </c>
      <c r="M1124" s="28" t="s">
        <v>1297</v>
      </c>
      <c r="O1124" s="92">
        <v>37495</v>
      </c>
      <c r="P1124" s="28" t="s">
        <v>21</v>
      </c>
      <c r="Q1124" s="26" t="b">
        <v>0</v>
      </c>
      <c r="R1124" s="22">
        <f t="shared" si="17"/>
        <v>2560</v>
      </c>
    </row>
    <row r="1125" spans="1:18" ht="24">
      <c r="A1125" s="26">
        <v>3431</v>
      </c>
      <c r="B1125" s="27">
        <v>34934</v>
      </c>
      <c r="C1125" s="28" t="s">
        <v>3707</v>
      </c>
      <c r="D1125" s="27">
        <v>34934</v>
      </c>
      <c r="E1125" s="28" t="s">
        <v>3708</v>
      </c>
      <c r="F1125" s="28" t="s">
        <v>124</v>
      </c>
      <c r="G1125" s="28" t="s">
        <v>20</v>
      </c>
      <c r="H1125" s="28" t="s">
        <v>21</v>
      </c>
      <c r="I1125" s="28" t="s">
        <v>21</v>
      </c>
      <c r="J1125" s="28" t="s">
        <v>3709</v>
      </c>
      <c r="K1125" s="28" t="s">
        <v>3710</v>
      </c>
      <c r="L1125" s="28" t="s">
        <v>314</v>
      </c>
      <c r="M1125" s="28" t="s">
        <v>3163</v>
      </c>
      <c r="O1125" s="92">
        <v>37909</v>
      </c>
      <c r="P1125" s="28" t="s">
        <v>31</v>
      </c>
      <c r="Q1125" s="26" t="b">
        <v>0</v>
      </c>
      <c r="R1125" s="22">
        <f t="shared" si="17"/>
        <v>2972</v>
      </c>
    </row>
    <row r="1126" spans="1:18">
      <c r="A1126" s="26">
        <v>3432</v>
      </c>
      <c r="B1126" s="27">
        <v>34935</v>
      </c>
      <c r="C1126" s="28" t="s">
        <v>3711</v>
      </c>
      <c r="D1126" s="27">
        <v>34935</v>
      </c>
      <c r="E1126" s="28" t="s">
        <v>3712</v>
      </c>
      <c r="F1126" s="28" t="s">
        <v>94</v>
      </c>
      <c r="G1126" s="28" t="s">
        <v>20</v>
      </c>
      <c r="H1126" s="28" t="s">
        <v>21</v>
      </c>
      <c r="I1126" s="28" t="s">
        <v>21</v>
      </c>
      <c r="J1126" s="28" t="s">
        <v>3713</v>
      </c>
      <c r="K1126" s="28" t="s">
        <v>3714</v>
      </c>
      <c r="L1126" s="28" t="s">
        <v>30</v>
      </c>
      <c r="M1126" s="28" t="s">
        <v>21</v>
      </c>
      <c r="N1126" s="27">
        <v>34948</v>
      </c>
      <c r="O1126" s="92">
        <v>35384</v>
      </c>
      <c r="P1126" s="28" t="s">
        <v>21</v>
      </c>
      <c r="Q1126" s="26" t="b">
        <v>0</v>
      </c>
      <c r="R1126" s="22">
        <f t="shared" si="17"/>
        <v>447</v>
      </c>
    </row>
    <row r="1127" spans="1:18">
      <c r="A1127" s="26">
        <v>3433</v>
      </c>
      <c r="B1127" s="27">
        <v>34935</v>
      </c>
      <c r="C1127" s="28" t="s">
        <v>3715</v>
      </c>
      <c r="D1127" s="27">
        <v>34935</v>
      </c>
      <c r="E1127" s="28" t="s">
        <v>3716</v>
      </c>
      <c r="F1127" s="28" t="s">
        <v>2838</v>
      </c>
      <c r="G1127" s="28" t="s">
        <v>20</v>
      </c>
      <c r="H1127" s="28" t="s">
        <v>21</v>
      </c>
      <c r="I1127" s="28" t="s">
        <v>21</v>
      </c>
      <c r="J1127" s="28" t="s">
        <v>3717</v>
      </c>
      <c r="K1127" s="28" t="s">
        <v>3718</v>
      </c>
      <c r="L1127" s="28" t="s">
        <v>1152</v>
      </c>
      <c r="M1127" s="28" t="s">
        <v>21</v>
      </c>
      <c r="O1127" s="92">
        <v>35002</v>
      </c>
      <c r="P1127" s="28" t="s">
        <v>31</v>
      </c>
      <c r="Q1127" s="26" t="b">
        <v>0</v>
      </c>
      <c r="R1127" s="22">
        <f t="shared" si="17"/>
        <v>66</v>
      </c>
    </row>
    <row r="1128" spans="1:18">
      <c r="A1128" s="26">
        <v>3435</v>
      </c>
      <c r="B1128" s="27">
        <v>34939</v>
      </c>
      <c r="C1128" s="28" t="s">
        <v>3719</v>
      </c>
      <c r="D1128" s="27">
        <v>34939</v>
      </c>
      <c r="E1128" s="28" t="s">
        <v>3720</v>
      </c>
      <c r="F1128" s="28" t="s">
        <v>1771</v>
      </c>
      <c r="G1128" s="28" t="s">
        <v>20</v>
      </c>
      <c r="H1128" s="28" t="s">
        <v>189</v>
      </c>
      <c r="I1128" s="28" t="s">
        <v>189</v>
      </c>
      <c r="J1128" s="28" t="s">
        <v>3721</v>
      </c>
      <c r="K1128" s="28" t="s">
        <v>3722</v>
      </c>
      <c r="L1128" s="28" t="s">
        <v>24</v>
      </c>
      <c r="M1128" s="28" t="s">
        <v>21</v>
      </c>
      <c r="O1128" s="92">
        <v>35346</v>
      </c>
      <c r="P1128" s="28" t="s">
        <v>21</v>
      </c>
      <c r="Q1128" s="26" t="b">
        <v>0</v>
      </c>
      <c r="R1128" s="22">
        <f t="shared" si="17"/>
        <v>405</v>
      </c>
    </row>
    <row r="1129" spans="1:18">
      <c r="A1129" s="26">
        <v>3436</v>
      </c>
      <c r="B1129" s="27">
        <v>34940</v>
      </c>
      <c r="C1129" s="28" t="s">
        <v>3723</v>
      </c>
      <c r="D1129" s="27">
        <v>34940</v>
      </c>
      <c r="E1129" s="28" t="s">
        <v>3724</v>
      </c>
      <c r="F1129" s="28" t="s">
        <v>98</v>
      </c>
      <c r="G1129" s="28" t="s">
        <v>20</v>
      </c>
      <c r="H1129" s="28" t="s">
        <v>21</v>
      </c>
      <c r="I1129" s="28" t="s">
        <v>21</v>
      </c>
      <c r="J1129" s="28" t="s">
        <v>3725</v>
      </c>
      <c r="K1129" s="28" t="s">
        <v>3726</v>
      </c>
      <c r="L1129" s="28" t="s">
        <v>1152</v>
      </c>
      <c r="M1129" s="28" t="s">
        <v>21</v>
      </c>
      <c r="O1129" s="92">
        <v>34950</v>
      </c>
      <c r="P1129" s="28" t="s">
        <v>31</v>
      </c>
      <c r="Q1129" s="26" t="b">
        <v>0</v>
      </c>
      <c r="R1129" s="22">
        <f t="shared" si="17"/>
        <v>9</v>
      </c>
    </row>
    <row r="1130" spans="1:18">
      <c r="A1130" s="26">
        <v>3437</v>
      </c>
      <c r="B1130" s="27">
        <v>34942</v>
      </c>
      <c r="C1130" s="28" t="s">
        <v>3727</v>
      </c>
      <c r="D1130" s="27">
        <v>34942</v>
      </c>
      <c r="E1130" s="28" t="s">
        <v>3728</v>
      </c>
      <c r="F1130" s="28" t="s">
        <v>124</v>
      </c>
      <c r="G1130" s="28" t="s">
        <v>20</v>
      </c>
      <c r="H1130" s="28" t="s">
        <v>21</v>
      </c>
      <c r="I1130" s="28" t="s">
        <v>21</v>
      </c>
      <c r="J1130" s="28" t="s">
        <v>3729</v>
      </c>
      <c r="K1130" s="28" t="s">
        <v>3730</v>
      </c>
      <c r="L1130" s="28" t="s">
        <v>24</v>
      </c>
      <c r="M1130" s="28" t="s">
        <v>21</v>
      </c>
      <c r="O1130" s="92">
        <v>34949</v>
      </c>
      <c r="P1130" s="28" t="s">
        <v>21</v>
      </c>
      <c r="Q1130" s="26" t="b">
        <v>0</v>
      </c>
      <c r="R1130" s="22">
        <f t="shared" si="17"/>
        <v>7</v>
      </c>
    </row>
    <row r="1131" spans="1:18">
      <c r="A1131" s="26">
        <v>3438</v>
      </c>
      <c r="B1131" s="27">
        <v>34943</v>
      </c>
      <c r="C1131" s="28" t="s">
        <v>3731</v>
      </c>
      <c r="D1131" s="27">
        <v>34943</v>
      </c>
      <c r="E1131" s="28" t="s">
        <v>3732</v>
      </c>
      <c r="F1131" s="28" t="s">
        <v>27</v>
      </c>
      <c r="G1131" s="28" t="s">
        <v>20</v>
      </c>
      <c r="H1131" s="28" t="s">
        <v>21</v>
      </c>
      <c r="I1131" s="28" t="s">
        <v>21</v>
      </c>
      <c r="J1131" s="28" t="s">
        <v>3733</v>
      </c>
      <c r="K1131" s="28" t="s">
        <v>3734</v>
      </c>
      <c r="L1131" s="28" t="s">
        <v>66</v>
      </c>
      <c r="M1131" s="28" t="s">
        <v>21</v>
      </c>
      <c r="O1131" s="92">
        <v>36347</v>
      </c>
      <c r="P1131" s="28" t="s">
        <v>21</v>
      </c>
      <c r="Q1131" s="26" t="b">
        <v>0</v>
      </c>
      <c r="R1131" s="22">
        <f t="shared" si="17"/>
        <v>1404</v>
      </c>
    </row>
    <row r="1132" spans="1:18">
      <c r="A1132" s="26">
        <v>3439</v>
      </c>
      <c r="B1132" s="27">
        <v>34943</v>
      </c>
      <c r="C1132" s="28" t="s">
        <v>3735</v>
      </c>
      <c r="D1132" s="27">
        <v>34943</v>
      </c>
      <c r="E1132" s="28" t="s">
        <v>3736</v>
      </c>
      <c r="F1132" s="28" t="s">
        <v>2838</v>
      </c>
      <c r="G1132" s="28" t="s">
        <v>20</v>
      </c>
      <c r="H1132" s="28" t="s">
        <v>21</v>
      </c>
      <c r="I1132" s="28" t="s">
        <v>21</v>
      </c>
      <c r="J1132" s="28" t="s">
        <v>3737</v>
      </c>
      <c r="K1132" s="28" t="s">
        <v>3738</v>
      </c>
      <c r="L1132" s="28" t="s">
        <v>30</v>
      </c>
      <c r="M1132" s="28" t="s">
        <v>21</v>
      </c>
      <c r="O1132" s="92">
        <v>34949</v>
      </c>
      <c r="P1132" s="28" t="s">
        <v>21</v>
      </c>
      <c r="Q1132" s="26" t="b">
        <v>0</v>
      </c>
      <c r="R1132" s="22">
        <f t="shared" si="17"/>
        <v>6</v>
      </c>
    </row>
    <row r="1133" spans="1:18" ht="24">
      <c r="A1133" s="26">
        <v>3440</v>
      </c>
      <c r="B1133" s="27">
        <v>34947</v>
      </c>
      <c r="C1133" s="28" t="s">
        <v>3739</v>
      </c>
      <c r="D1133" s="27">
        <v>34947</v>
      </c>
      <c r="E1133" s="28" t="s">
        <v>3740</v>
      </c>
      <c r="F1133" s="28" t="s">
        <v>27</v>
      </c>
      <c r="G1133" s="28" t="s">
        <v>20</v>
      </c>
      <c r="H1133" s="28" t="s">
        <v>21</v>
      </c>
      <c r="I1133" s="28" t="s">
        <v>21</v>
      </c>
      <c r="J1133" s="28" t="s">
        <v>3741</v>
      </c>
      <c r="K1133" s="28" t="s">
        <v>3742</v>
      </c>
      <c r="L1133" s="28" t="s">
        <v>314</v>
      </c>
      <c r="M1133" s="28" t="s">
        <v>3163</v>
      </c>
      <c r="O1133" s="92">
        <v>37889</v>
      </c>
      <c r="P1133" s="28" t="s">
        <v>21</v>
      </c>
      <c r="Q1133" s="26" t="b">
        <v>0</v>
      </c>
      <c r="R1133" s="22">
        <f t="shared" si="17"/>
        <v>2940</v>
      </c>
    </row>
    <row r="1134" spans="1:18">
      <c r="A1134" s="26">
        <v>3444</v>
      </c>
      <c r="B1134" s="27">
        <v>34954</v>
      </c>
      <c r="C1134" s="28" t="s">
        <v>3743</v>
      </c>
      <c r="D1134" s="27">
        <v>34954</v>
      </c>
      <c r="E1134" s="28" t="s">
        <v>3744</v>
      </c>
      <c r="F1134" s="28" t="s">
        <v>3579</v>
      </c>
      <c r="G1134" s="28" t="s">
        <v>20</v>
      </c>
      <c r="H1134" s="28" t="s">
        <v>21</v>
      </c>
      <c r="I1134" s="28" t="s">
        <v>21</v>
      </c>
      <c r="J1134" s="28" t="s">
        <v>3745</v>
      </c>
      <c r="K1134" s="28" t="s">
        <v>3580</v>
      </c>
      <c r="L1134" s="28" t="s">
        <v>821</v>
      </c>
      <c r="M1134" s="28" t="s">
        <v>3746</v>
      </c>
      <c r="O1134" s="92">
        <v>36347</v>
      </c>
      <c r="P1134" s="28" t="s">
        <v>31</v>
      </c>
      <c r="Q1134" s="26" t="b">
        <v>0</v>
      </c>
      <c r="R1134" s="22">
        <f t="shared" si="17"/>
        <v>1393</v>
      </c>
    </row>
    <row r="1135" spans="1:18" ht="24">
      <c r="A1135" s="26">
        <v>3445</v>
      </c>
      <c r="B1135" s="27">
        <v>34954</v>
      </c>
      <c r="C1135" s="28" t="s">
        <v>3747</v>
      </c>
      <c r="D1135" s="27">
        <v>34954</v>
      </c>
      <c r="E1135" s="28" t="s">
        <v>3748</v>
      </c>
      <c r="F1135" s="28" t="s">
        <v>984</v>
      </c>
      <c r="G1135" s="28" t="s">
        <v>20</v>
      </c>
      <c r="H1135" s="28" t="s">
        <v>21</v>
      </c>
      <c r="I1135" s="28" t="s">
        <v>21</v>
      </c>
      <c r="J1135" s="28" t="s">
        <v>3749</v>
      </c>
      <c r="K1135" s="28" t="s">
        <v>3750</v>
      </c>
      <c r="L1135" s="28" t="s">
        <v>82</v>
      </c>
      <c r="M1135" s="28" t="s">
        <v>21</v>
      </c>
      <c r="O1135" s="92">
        <v>34957</v>
      </c>
      <c r="P1135" s="28" t="s">
        <v>21</v>
      </c>
      <c r="Q1135" s="26" t="b">
        <v>0</v>
      </c>
      <c r="R1135" s="22">
        <f t="shared" si="17"/>
        <v>3</v>
      </c>
    </row>
    <row r="1136" spans="1:18">
      <c r="A1136" s="26">
        <v>3446</v>
      </c>
      <c r="B1136" s="27">
        <v>34956</v>
      </c>
      <c r="C1136" s="28" t="s">
        <v>3751</v>
      </c>
      <c r="D1136" s="27">
        <v>34956</v>
      </c>
      <c r="E1136" s="28" t="s">
        <v>38</v>
      </c>
      <c r="F1136" s="28" t="s">
        <v>104</v>
      </c>
      <c r="G1136" s="28" t="s">
        <v>20</v>
      </c>
      <c r="H1136" s="28" t="s">
        <v>189</v>
      </c>
      <c r="I1136" s="28" t="s">
        <v>189</v>
      </c>
      <c r="J1136" s="28" t="s">
        <v>3752</v>
      </c>
      <c r="K1136" s="28" t="s">
        <v>3753</v>
      </c>
      <c r="L1136" s="28" t="s">
        <v>24</v>
      </c>
      <c r="M1136" s="28" t="s">
        <v>21</v>
      </c>
      <c r="O1136" s="92">
        <v>34956</v>
      </c>
      <c r="P1136" s="28" t="s">
        <v>31</v>
      </c>
      <c r="Q1136" s="26" t="b">
        <v>0</v>
      </c>
      <c r="R1136" s="22">
        <f t="shared" si="17"/>
        <v>0</v>
      </c>
    </row>
    <row r="1137" spans="1:18">
      <c r="A1137" s="26">
        <v>3447</v>
      </c>
      <c r="B1137" s="27">
        <v>34956</v>
      </c>
      <c r="C1137" s="28" t="s">
        <v>3754</v>
      </c>
      <c r="D1137" s="27">
        <v>34956</v>
      </c>
      <c r="E1137" s="28" t="s">
        <v>38</v>
      </c>
      <c r="F1137" s="28" t="s">
        <v>242</v>
      </c>
      <c r="G1137" s="28" t="s">
        <v>20</v>
      </c>
      <c r="H1137" s="28" t="s">
        <v>21</v>
      </c>
      <c r="I1137" s="28" t="s">
        <v>21</v>
      </c>
      <c r="J1137" s="28" t="s">
        <v>242</v>
      </c>
      <c r="K1137" s="28" t="s">
        <v>2905</v>
      </c>
      <c r="L1137" s="28" t="s">
        <v>24</v>
      </c>
      <c r="M1137" s="28" t="s">
        <v>21</v>
      </c>
      <c r="O1137" s="92">
        <v>34957</v>
      </c>
      <c r="P1137" s="28" t="s">
        <v>31</v>
      </c>
      <c r="Q1137" s="26" t="b">
        <v>0</v>
      </c>
      <c r="R1137" s="22">
        <f t="shared" si="17"/>
        <v>1</v>
      </c>
    </row>
    <row r="1138" spans="1:18" ht="24">
      <c r="A1138" s="26">
        <v>3448</v>
      </c>
      <c r="B1138" s="27">
        <v>34956</v>
      </c>
      <c r="C1138" s="28" t="s">
        <v>3755</v>
      </c>
      <c r="D1138" s="27">
        <v>34956</v>
      </c>
      <c r="E1138" s="28" t="s">
        <v>3756</v>
      </c>
      <c r="F1138" s="28" t="s">
        <v>129</v>
      </c>
      <c r="G1138" s="28" t="s">
        <v>20</v>
      </c>
      <c r="H1138" s="28" t="s">
        <v>21</v>
      </c>
      <c r="I1138" s="28" t="s">
        <v>21</v>
      </c>
      <c r="J1138" s="28" t="s">
        <v>3757</v>
      </c>
      <c r="K1138" s="28" t="s">
        <v>21</v>
      </c>
      <c r="L1138" s="28" t="s">
        <v>66</v>
      </c>
      <c r="M1138" s="28" t="s">
        <v>21</v>
      </c>
      <c r="O1138" s="92">
        <v>35926</v>
      </c>
      <c r="P1138" s="28" t="s">
        <v>31</v>
      </c>
      <c r="Q1138" s="26" t="b">
        <v>0</v>
      </c>
      <c r="R1138" s="22">
        <f t="shared" si="17"/>
        <v>970</v>
      </c>
    </row>
    <row r="1139" spans="1:18">
      <c r="A1139" s="26">
        <v>3449</v>
      </c>
      <c r="B1139" s="27">
        <v>34956</v>
      </c>
      <c r="C1139" s="28" t="s">
        <v>3758</v>
      </c>
      <c r="D1139" s="27">
        <v>34956</v>
      </c>
      <c r="E1139" s="28" t="s">
        <v>38</v>
      </c>
      <c r="F1139" s="28" t="s">
        <v>52</v>
      </c>
      <c r="G1139" s="28" t="s">
        <v>20</v>
      </c>
      <c r="H1139" s="28" t="s">
        <v>21</v>
      </c>
      <c r="I1139" s="28" t="s">
        <v>21</v>
      </c>
      <c r="J1139" s="28" t="s">
        <v>52</v>
      </c>
      <c r="K1139" s="28" t="s">
        <v>3759</v>
      </c>
      <c r="L1139" s="28" t="s">
        <v>66</v>
      </c>
      <c r="M1139" s="28" t="s">
        <v>21</v>
      </c>
      <c r="O1139" s="92">
        <v>35688</v>
      </c>
      <c r="P1139" s="28" t="s">
        <v>31</v>
      </c>
      <c r="Q1139" s="26" t="b">
        <v>0</v>
      </c>
      <c r="R1139" s="22">
        <f t="shared" si="17"/>
        <v>731</v>
      </c>
    </row>
    <row r="1140" spans="1:18">
      <c r="A1140" s="26">
        <v>3450</v>
      </c>
      <c r="B1140" s="27">
        <v>34957</v>
      </c>
      <c r="C1140" s="28" t="s">
        <v>3760</v>
      </c>
      <c r="D1140" s="27">
        <v>34957</v>
      </c>
      <c r="E1140" s="28" t="s">
        <v>3761</v>
      </c>
      <c r="F1140" s="28" t="s">
        <v>27</v>
      </c>
      <c r="G1140" s="28" t="s">
        <v>20</v>
      </c>
      <c r="H1140" s="28" t="s">
        <v>21</v>
      </c>
      <c r="I1140" s="28" t="s">
        <v>21</v>
      </c>
      <c r="J1140" s="28" t="s">
        <v>3762</v>
      </c>
      <c r="K1140" s="28" t="s">
        <v>3763</v>
      </c>
      <c r="L1140" s="28" t="s">
        <v>30</v>
      </c>
      <c r="M1140" s="28" t="s">
        <v>21</v>
      </c>
      <c r="N1140" s="29">
        <v>34963</v>
      </c>
      <c r="O1140" s="92">
        <v>35774</v>
      </c>
      <c r="P1140" s="28" t="s">
        <v>21</v>
      </c>
      <c r="Q1140" s="26" t="b">
        <v>0</v>
      </c>
      <c r="R1140" s="22">
        <f t="shared" si="17"/>
        <v>816</v>
      </c>
    </row>
    <row r="1141" spans="1:18">
      <c r="A1141" s="26">
        <v>3451</v>
      </c>
      <c r="B1141" s="27">
        <v>34961</v>
      </c>
      <c r="C1141" s="28" t="s">
        <v>3764</v>
      </c>
      <c r="D1141" s="27">
        <v>34960</v>
      </c>
      <c r="E1141" s="28" t="s">
        <v>3765</v>
      </c>
      <c r="F1141" s="28" t="s">
        <v>455</v>
      </c>
      <c r="G1141" s="28" t="s">
        <v>20</v>
      </c>
      <c r="H1141" s="28" t="s">
        <v>71</v>
      </c>
      <c r="I1141" s="28" t="s">
        <v>72</v>
      </c>
      <c r="J1141" s="28" t="s">
        <v>2469</v>
      </c>
      <c r="K1141" s="28" t="s">
        <v>3766</v>
      </c>
      <c r="L1141" s="28" t="s">
        <v>24</v>
      </c>
      <c r="M1141" s="28" t="s">
        <v>21</v>
      </c>
      <c r="O1141" s="92">
        <v>35052</v>
      </c>
      <c r="P1141" s="28" t="s">
        <v>21</v>
      </c>
      <c r="Q1141" s="26" t="b">
        <v>0</v>
      </c>
      <c r="R1141" s="22">
        <f t="shared" si="17"/>
        <v>91</v>
      </c>
    </row>
    <row r="1142" spans="1:18" ht="24">
      <c r="A1142" s="26">
        <v>3452</v>
      </c>
      <c r="B1142" s="27">
        <v>34962</v>
      </c>
      <c r="C1142" s="28" t="s">
        <v>3767</v>
      </c>
      <c r="D1142" s="27">
        <v>34962</v>
      </c>
      <c r="E1142" s="28" t="s">
        <v>3768</v>
      </c>
      <c r="F1142" s="28" t="s">
        <v>1771</v>
      </c>
      <c r="G1142" s="28" t="s">
        <v>20</v>
      </c>
      <c r="H1142" s="28" t="s">
        <v>189</v>
      </c>
      <c r="I1142" s="28" t="s">
        <v>189</v>
      </c>
      <c r="J1142" s="28" t="s">
        <v>3769</v>
      </c>
      <c r="K1142" s="28" t="s">
        <v>3770</v>
      </c>
      <c r="L1142" s="28" t="s">
        <v>30</v>
      </c>
      <c r="M1142" s="28" t="s">
        <v>21</v>
      </c>
      <c r="O1142" s="92">
        <v>35016</v>
      </c>
      <c r="P1142" s="28" t="s">
        <v>31</v>
      </c>
      <c r="Q1142" s="26" t="b">
        <v>0</v>
      </c>
      <c r="R1142" s="22">
        <f t="shared" si="17"/>
        <v>53</v>
      </c>
    </row>
    <row r="1143" spans="1:18">
      <c r="A1143" s="26">
        <v>3454</v>
      </c>
      <c r="B1143" s="27">
        <v>34964</v>
      </c>
      <c r="C1143" s="28" t="s">
        <v>3771</v>
      </c>
      <c r="D1143" s="27">
        <v>34964</v>
      </c>
      <c r="E1143" s="28" t="s">
        <v>38</v>
      </c>
      <c r="F1143" s="28" t="s">
        <v>129</v>
      </c>
      <c r="G1143" s="28" t="s">
        <v>20</v>
      </c>
      <c r="H1143" s="28" t="s">
        <v>21</v>
      </c>
      <c r="I1143" s="28" t="s">
        <v>21</v>
      </c>
      <c r="J1143" s="28" t="s">
        <v>3759</v>
      </c>
      <c r="K1143" s="28" t="s">
        <v>129</v>
      </c>
      <c r="L1143" s="28" t="s">
        <v>24</v>
      </c>
      <c r="M1143" s="28" t="s">
        <v>21</v>
      </c>
      <c r="O1143" s="92">
        <v>34985</v>
      </c>
      <c r="P1143" s="28" t="s">
        <v>31</v>
      </c>
      <c r="Q1143" s="26" t="b">
        <v>0</v>
      </c>
      <c r="R1143" s="22">
        <f t="shared" si="17"/>
        <v>21</v>
      </c>
    </row>
    <row r="1144" spans="1:18">
      <c r="A1144" s="26">
        <v>3458</v>
      </c>
      <c r="B1144" s="27">
        <v>34968</v>
      </c>
      <c r="C1144" s="28" t="s">
        <v>3776</v>
      </c>
      <c r="D1144" s="27">
        <v>34968</v>
      </c>
      <c r="E1144" s="28" t="s">
        <v>38</v>
      </c>
      <c r="F1144" s="28" t="s">
        <v>124</v>
      </c>
      <c r="G1144" s="28" t="s">
        <v>20</v>
      </c>
      <c r="H1144" s="28" t="s">
        <v>21</v>
      </c>
      <c r="I1144" s="28" t="s">
        <v>21</v>
      </c>
      <c r="J1144" s="28" t="s">
        <v>3777</v>
      </c>
      <c r="K1144" s="28" t="s">
        <v>3778</v>
      </c>
      <c r="L1144" s="28" t="s">
        <v>1152</v>
      </c>
      <c r="M1144" s="28" t="s">
        <v>21</v>
      </c>
      <c r="O1144" s="92">
        <v>34969</v>
      </c>
      <c r="P1144" s="28" t="s">
        <v>31</v>
      </c>
      <c r="Q1144" s="26" t="b">
        <v>0</v>
      </c>
      <c r="R1144" s="22">
        <f t="shared" si="17"/>
        <v>1</v>
      </c>
    </row>
    <row r="1145" spans="1:18">
      <c r="A1145" s="26">
        <v>3457</v>
      </c>
      <c r="B1145" s="27">
        <v>34970</v>
      </c>
      <c r="C1145" s="28" t="s">
        <v>3772</v>
      </c>
      <c r="D1145" s="27">
        <v>34970</v>
      </c>
      <c r="E1145" s="28" t="s">
        <v>3773</v>
      </c>
      <c r="F1145" s="28" t="s">
        <v>2838</v>
      </c>
      <c r="G1145" s="28" t="s">
        <v>20</v>
      </c>
      <c r="H1145" s="28" t="s">
        <v>21</v>
      </c>
      <c r="I1145" s="28" t="s">
        <v>21</v>
      </c>
      <c r="J1145" s="28" t="s">
        <v>3774</v>
      </c>
      <c r="K1145" s="28" t="s">
        <v>3775</v>
      </c>
      <c r="L1145" s="28" t="s">
        <v>66</v>
      </c>
      <c r="M1145" s="28" t="s">
        <v>21</v>
      </c>
      <c r="O1145" s="92">
        <v>37018</v>
      </c>
      <c r="P1145" s="28" t="s">
        <v>21</v>
      </c>
      <c r="Q1145" s="26" t="b">
        <v>0</v>
      </c>
      <c r="R1145" s="22">
        <f t="shared" si="17"/>
        <v>2047</v>
      </c>
    </row>
    <row r="1146" spans="1:18">
      <c r="A1146" s="26">
        <v>3459</v>
      </c>
      <c r="B1146" s="27">
        <v>34970</v>
      </c>
      <c r="C1146" s="28" t="s">
        <v>3779</v>
      </c>
      <c r="D1146" s="27">
        <v>34970</v>
      </c>
      <c r="E1146" s="28" t="s">
        <v>3780</v>
      </c>
      <c r="F1146" s="28" t="s">
        <v>242</v>
      </c>
      <c r="G1146" s="28" t="s">
        <v>20</v>
      </c>
      <c r="H1146" s="28" t="s">
        <v>21</v>
      </c>
      <c r="I1146" s="28" t="s">
        <v>21</v>
      </c>
      <c r="J1146" s="28" t="s">
        <v>3781</v>
      </c>
      <c r="K1146" s="28" t="s">
        <v>3782</v>
      </c>
      <c r="L1146" s="28" t="s">
        <v>30</v>
      </c>
      <c r="M1146" s="28" t="s">
        <v>21</v>
      </c>
      <c r="O1146" s="92">
        <v>36496</v>
      </c>
      <c r="P1146" s="28" t="s">
        <v>21</v>
      </c>
      <c r="Q1146" s="26" t="b">
        <v>0</v>
      </c>
      <c r="R1146" s="22">
        <f t="shared" si="17"/>
        <v>1524</v>
      </c>
    </row>
    <row r="1147" spans="1:18">
      <c r="A1147" s="26">
        <v>3465</v>
      </c>
      <c r="B1147" s="27">
        <v>34982</v>
      </c>
      <c r="C1147" s="28" t="s">
        <v>3792</v>
      </c>
      <c r="D1147" s="27">
        <v>34982</v>
      </c>
      <c r="E1147" s="28" t="s">
        <v>3793</v>
      </c>
      <c r="F1147" s="28" t="s">
        <v>98</v>
      </c>
      <c r="G1147" s="28" t="s">
        <v>20</v>
      </c>
      <c r="H1147" s="28" t="s">
        <v>21</v>
      </c>
      <c r="I1147" s="28" t="s">
        <v>21</v>
      </c>
      <c r="J1147" s="28" t="s">
        <v>3794</v>
      </c>
      <c r="K1147" s="28" t="s">
        <v>3795</v>
      </c>
      <c r="L1147" s="28" t="s">
        <v>82</v>
      </c>
      <c r="M1147" s="28" t="s">
        <v>21</v>
      </c>
      <c r="O1147" s="92">
        <v>35019</v>
      </c>
      <c r="P1147" s="28" t="s">
        <v>21</v>
      </c>
      <c r="Q1147" s="26" t="b">
        <v>0</v>
      </c>
      <c r="R1147" s="22">
        <f t="shared" si="17"/>
        <v>36</v>
      </c>
    </row>
    <row r="1148" spans="1:18">
      <c r="A1148" s="26">
        <v>3464</v>
      </c>
      <c r="B1148" s="27">
        <v>34983</v>
      </c>
      <c r="C1148" s="28" t="s">
        <v>3790</v>
      </c>
      <c r="D1148" s="27">
        <v>34983</v>
      </c>
      <c r="E1148" s="28" t="s">
        <v>38</v>
      </c>
      <c r="F1148" s="28" t="s">
        <v>2838</v>
      </c>
      <c r="G1148" s="28" t="s">
        <v>20</v>
      </c>
      <c r="H1148" s="28" t="s">
        <v>21</v>
      </c>
      <c r="I1148" s="28" t="s">
        <v>21</v>
      </c>
      <c r="J1148" s="28" t="s">
        <v>3791</v>
      </c>
      <c r="K1148" s="28" t="s">
        <v>3759</v>
      </c>
      <c r="L1148" s="28" t="s">
        <v>24</v>
      </c>
      <c r="M1148" s="28" t="s">
        <v>21</v>
      </c>
      <c r="O1148" s="92">
        <v>34990</v>
      </c>
      <c r="P1148" s="28" t="s">
        <v>31</v>
      </c>
      <c r="Q1148" s="26" t="b">
        <v>0</v>
      </c>
      <c r="R1148" s="22">
        <f t="shared" si="17"/>
        <v>7</v>
      </c>
    </row>
    <row r="1149" spans="1:18">
      <c r="A1149" s="26">
        <v>3468</v>
      </c>
      <c r="B1149" s="27">
        <v>34985</v>
      </c>
      <c r="C1149" s="28" t="s">
        <v>3798</v>
      </c>
      <c r="D1149" s="27">
        <v>34985</v>
      </c>
      <c r="E1149" s="28" t="s">
        <v>38</v>
      </c>
      <c r="F1149" s="28" t="s">
        <v>56</v>
      </c>
      <c r="G1149" s="28" t="s">
        <v>20</v>
      </c>
      <c r="H1149" s="28" t="s">
        <v>21</v>
      </c>
      <c r="I1149" s="28" t="s">
        <v>21</v>
      </c>
      <c r="J1149" s="28" t="s">
        <v>272</v>
      </c>
      <c r="K1149" s="28" t="s">
        <v>3799</v>
      </c>
      <c r="L1149" s="28" t="s">
        <v>24</v>
      </c>
      <c r="M1149" s="28" t="s">
        <v>21</v>
      </c>
      <c r="O1149" s="92">
        <v>35006</v>
      </c>
      <c r="P1149" s="28" t="s">
        <v>21</v>
      </c>
      <c r="Q1149" s="26" t="b">
        <v>0</v>
      </c>
      <c r="R1149" s="22">
        <f t="shared" si="17"/>
        <v>20</v>
      </c>
    </row>
    <row r="1150" spans="1:18">
      <c r="A1150" s="26">
        <v>3463</v>
      </c>
      <c r="B1150" s="27">
        <v>34990</v>
      </c>
      <c r="C1150" s="28" t="s">
        <v>3786</v>
      </c>
      <c r="D1150" s="27">
        <v>34990</v>
      </c>
      <c r="E1150" s="28" t="s">
        <v>3787</v>
      </c>
      <c r="F1150" s="28" t="s">
        <v>124</v>
      </c>
      <c r="G1150" s="28" t="s">
        <v>20</v>
      </c>
      <c r="H1150" s="28" t="s">
        <v>189</v>
      </c>
      <c r="I1150" s="28" t="s">
        <v>189</v>
      </c>
      <c r="J1150" s="28" t="s">
        <v>3788</v>
      </c>
      <c r="K1150" s="28" t="s">
        <v>3789</v>
      </c>
      <c r="L1150" s="28" t="s">
        <v>66</v>
      </c>
      <c r="M1150" s="28" t="s">
        <v>21</v>
      </c>
      <c r="O1150" s="92">
        <v>35856</v>
      </c>
      <c r="P1150" s="28" t="s">
        <v>31</v>
      </c>
      <c r="Q1150" s="26" t="b">
        <v>0</v>
      </c>
      <c r="R1150" s="22">
        <f t="shared" si="17"/>
        <v>865</v>
      </c>
    </row>
    <row r="1151" spans="1:18">
      <c r="A1151" s="26">
        <v>3466</v>
      </c>
      <c r="B1151" s="27">
        <v>34990</v>
      </c>
      <c r="C1151" s="28" t="s">
        <v>3796</v>
      </c>
      <c r="D1151" s="27">
        <v>34990</v>
      </c>
      <c r="E1151" s="28" t="s">
        <v>38</v>
      </c>
      <c r="F1151" s="28" t="s">
        <v>124</v>
      </c>
      <c r="G1151" s="28" t="s">
        <v>20</v>
      </c>
      <c r="H1151" s="28" t="s">
        <v>21</v>
      </c>
      <c r="I1151" s="28" t="s">
        <v>21</v>
      </c>
      <c r="J1151" s="28" t="s">
        <v>126</v>
      </c>
      <c r="K1151" s="28" t="s">
        <v>3797</v>
      </c>
      <c r="L1151" s="28" t="s">
        <v>24</v>
      </c>
      <c r="M1151" s="28" t="s">
        <v>21</v>
      </c>
      <c r="O1151" s="92">
        <v>34990</v>
      </c>
      <c r="P1151" s="28" t="s">
        <v>21</v>
      </c>
      <c r="Q1151" s="26" t="b">
        <v>0</v>
      </c>
      <c r="R1151" s="22">
        <f t="shared" si="17"/>
        <v>0</v>
      </c>
    </row>
    <row r="1152" spans="1:18">
      <c r="A1152" s="26">
        <v>3471</v>
      </c>
      <c r="B1152" s="27">
        <v>35002</v>
      </c>
      <c r="C1152" s="28" t="s">
        <v>3800</v>
      </c>
      <c r="D1152" s="27">
        <v>35002</v>
      </c>
      <c r="E1152" s="28" t="s">
        <v>3801</v>
      </c>
      <c r="F1152" s="28" t="s">
        <v>2580</v>
      </c>
      <c r="G1152" s="28" t="s">
        <v>20</v>
      </c>
      <c r="H1152" s="28" t="s">
        <v>71</v>
      </c>
      <c r="I1152" s="28" t="s">
        <v>72</v>
      </c>
      <c r="J1152" s="28" t="s">
        <v>3802</v>
      </c>
      <c r="K1152" s="28" t="s">
        <v>21</v>
      </c>
      <c r="L1152" s="28" t="s">
        <v>24</v>
      </c>
      <c r="M1152" s="28" t="s">
        <v>21</v>
      </c>
      <c r="O1152" s="92">
        <v>35011</v>
      </c>
      <c r="P1152" s="28" t="s">
        <v>31</v>
      </c>
      <c r="Q1152" s="26" t="b">
        <v>0</v>
      </c>
      <c r="R1152" s="22">
        <f t="shared" si="17"/>
        <v>8</v>
      </c>
    </row>
    <row r="1153" spans="1:18">
      <c r="A1153" s="26">
        <v>3472</v>
      </c>
      <c r="B1153" s="27">
        <v>35002</v>
      </c>
      <c r="C1153" s="28" t="s">
        <v>3803</v>
      </c>
      <c r="D1153" s="27">
        <v>35002</v>
      </c>
      <c r="E1153" s="28" t="s">
        <v>3804</v>
      </c>
      <c r="F1153" s="28" t="s">
        <v>124</v>
      </c>
      <c r="G1153" s="28" t="s">
        <v>20</v>
      </c>
      <c r="H1153" s="28" t="s">
        <v>189</v>
      </c>
      <c r="I1153" s="28" t="s">
        <v>189</v>
      </c>
      <c r="J1153" s="28" t="s">
        <v>3805</v>
      </c>
      <c r="K1153" s="28" t="s">
        <v>3806</v>
      </c>
      <c r="L1153" s="28" t="s">
        <v>66</v>
      </c>
      <c r="M1153" s="28" t="s">
        <v>21</v>
      </c>
      <c r="O1153" s="92">
        <v>35688</v>
      </c>
      <c r="P1153" s="28" t="s">
        <v>31</v>
      </c>
      <c r="Q1153" s="26" t="b">
        <v>0</v>
      </c>
      <c r="R1153" s="22">
        <f t="shared" si="17"/>
        <v>684</v>
      </c>
    </row>
    <row r="1154" spans="1:18">
      <c r="A1154" s="26">
        <v>3473</v>
      </c>
      <c r="B1154" s="27">
        <v>35003</v>
      </c>
      <c r="C1154" s="28" t="s">
        <v>3807</v>
      </c>
      <c r="D1154" s="27">
        <v>35003</v>
      </c>
      <c r="E1154" s="28" t="s">
        <v>3808</v>
      </c>
      <c r="F1154" s="28" t="s">
        <v>211</v>
      </c>
      <c r="G1154" s="28" t="s">
        <v>20</v>
      </c>
      <c r="H1154" s="28" t="s">
        <v>212</v>
      </c>
      <c r="I1154" s="28" t="s">
        <v>212</v>
      </c>
      <c r="J1154" s="28" t="s">
        <v>3809</v>
      </c>
      <c r="K1154" s="28" t="s">
        <v>3810</v>
      </c>
      <c r="L1154" s="28" t="s">
        <v>88</v>
      </c>
      <c r="M1154" s="28" t="s">
        <v>21</v>
      </c>
      <c r="O1154" s="92">
        <v>35468</v>
      </c>
      <c r="P1154" s="28" t="s">
        <v>21</v>
      </c>
      <c r="Q1154" s="26" t="b">
        <v>0</v>
      </c>
      <c r="R1154" s="22">
        <f t="shared" ref="R1154:R1217" si="18">IF(O1154=" ", " ", INT(YEARFRAC(O1154, B1154)*365))</f>
        <v>463</v>
      </c>
    </row>
    <row r="1155" spans="1:18">
      <c r="A1155" s="26">
        <v>3476</v>
      </c>
      <c r="B1155" s="27">
        <v>35005</v>
      </c>
      <c r="C1155" s="28" t="s">
        <v>3811</v>
      </c>
      <c r="D1155" s="27">
        <v>35005</v>
      </c>
      <c r="E1155" s="28" t="s">
        <v>3812</v>
      </c>
      <c r="F1155" s="28" t="s">
        <v>124</v>
      </c>
      <c r="G1155" s="28" t="s">
        <v>20</v>
      </c>
      <c r="H1155" s="28" t="s">
        <v>21</v>
      </c>
      <c r="I1155" s="28" t="s">
        <v>21</v>
      </c>
      <c r="J1155" s="28" t="s">
        <v>3813</v>
      </c>
      <c r="K1155" s="28" t="s">
        <v>1712</v>
      </c>
      <c r="L1155" s="28" t="s">
        <v>1152</v>
      </c>
      <c r="M1155" s="28" t="s">
        <v>21</v>
      </c>
      <c r="O1155" s="92">
        <v>35083</v>
      </c>
      <c r="P1155" s="28" t="s">
        <v>31</v>
      </c>
      <c r="Q1155" s="26" t="b">
        <v>0</v>
      </c>
      <c r="R1155" s="22">
        <f t="shared" si="18"/>
        <v>78</v>
      </c>
    </row>
    <row r="1156" spans="1:18">
      <c r="A1156" s="26">
        <v>3477</v>
      </c>
      <c r="B1156" s="27">
        <v>35005</v>
      </c>
      <c r="C1156" s="28" t="s">
        <v>3811</v>
      </c>
      <c r="D1156" s="27">
        <v>35005</v>
      </c>
      <c r="E1156" s="28" t="s">
        <v>3812</v>
      </c>
      <c r="F1156" s="28" t="s">
        <v>124</v>
      </c>
      <c r="G1156" s="28" t="s">
        <v>20</v>
      </c>
      <c r="H1156" s="28" t="s">
        <v>21</v>
      </c>
      <c r="I1156" s="28" t="s">
        <v>21</v>
      </c>
      <c r="J1156" s="28" t="s">
        <v>3813</v>
      </c>
      <c r="K1156" s="28" t="s">
        <v>272</v>
      </c>
      <c r="L1156" s="28" t="s">
        <v>3271</v>
      </c>
      <c r="M1156" s="28" t="s">
        <v>21</v>
      </c>
      <c r="N1156" s="18"/>
      <c r="O1156" s="92">
        <v>35081</v>
      </c>
      <c r="P1156" s="28" t="s">
        <v>31</v>
      </c>
      <c r="Q1156" s="26" t="b">
        <v>0</v>
      </c>
      <c r="R1156" s="22">
        <f t="shared" si="18"/>
        <v>76</v>
      </c>
    </row>
    <row r="1157" spans="1:18" ht="24">
      <c r="A1157" s="26">
        <v>3478</v>
      </c>
      <c r="B1157" s="27">
        <v>35005</v>
      </c>
      <c r="C1157" s="28" t="s">
        <v>3814</v>
      </c>
      <c r="D1157" s="27">
        <v>35005</v>
      </c>
      <c r="E1157" s="28" t="s">
        <v>3815</v>
      </c>
      <c r="F1157" s="28" t="s">
        <v>98</v>
      </c>
      <c r="G1157" s="28" t="s">
        <v>20</v>
      </c>
      <c r="H1157" s="28" t="s">
        <v>21</v>
      </c>
      <c r="I1157" s="28" t="s">
        <v>21</v>
      </c>
      <c r="J1157" s="28" t="s">
        <v>3595</v>
      </c>
      <c r="K1157" s="28" t="s">
        <v>3816</v>
      </c>
      <c r="L1157" s="28" t="s">
        <v>314</v>
      </c>
      <c r="M1157" s="28" t="s">
        <v>3817</v>
      </c>
      <c r="O1157" s="92">
        <v>38208</v>
      </c>
      <c r="P1157" s="28" t="s">
        <v>31</v>
      </c>
      <c r="Q1157" s="26" t="b">
        <v>0</v>
      </c>
      <c r="R1157" s="22">
        <f t="shared" si="18"/>
        <v>3200</v>
      </c>
    </row>
    <row r="1158" spans="1:18" ht="24">
      <c r="A1158" s="26">
        <v>3484</v>
      </c>
      <c r="B1158" s="27">
        <v>35010</v>
      </c>
      <c r="C1158" s="28" t="s">
        <v>3818</v>
      </c>
      <c r="D1158" s="27">
        <v>35010</v>
      </c>
      <c r="E1158" s="28" t="s">
        <v>3819</v>
      </c>
      <c r="F1158" s="28" t="s">
        <v>242</v>
      </c>
      <c r="G1158" s="28" t="s">
        <v>20</v>
      </c>
      <c r="H1158" s="28" t="s">
        <v>21</v>
      </c>
      <c r="I1158" s="28" t="s">
        <v>21</v>
      </c>
      <c r="J1158" s="28" t="s">
        <v>3820</v>
      </c>
      <c r="K1158" s="28" t="s">
        <v>3821</v>
      </c>
      <c r="L1158" s="28" t="s">
        <v>82</v>
      </c>
      <c r="M1158" s="28" t="s">
        <v>21</v>
      </c>
      <c r="O1158" s="92">
        <v>35093</v>
      </c>
      <c r="P1158" s="28" t="s">
        <v>31</v>
      </c>
      <c r="Q1158" s="26" t="b">
        <v>0</v>
      </c>
      <c r="R1158" s="22">
        <f t="shared" si="18"/>
        <v>83</v>
      </c>
    </row>
    <row r="1159" spans="1:18">
      <c r="A1159" s="26">
        <v>3485</v>
      </c>
      <c r="B1159" s="27">
        <v>35010</v>
      </c>
      <c r="C1159" s="28" t="s">
        <v>3822</v>
      </c>
      <c r="D1159" s="27">
        <v>35010</v>
      </c>
      <c r="E1159" s="28" t="s">
        <v>3823</v>
      </c>
      <c r="F1159" s="28" t="s">
        <v>741</v>
      </c>
      <c r="G1159" s="28" t="s">
        <v>20</v>
      </c>
      <c r="H1159" s="28" t="s">
        <v>21</v>
      </c>
      <c r="I1159" s="28" t="s">
        <v>21</v>
      </c>
      <c r="J1159" s="28" t="s">
        <v>3824</v>
      </c>
      <c r="K1159" s="28" t="s">
        <v>741</v>
      </c>
      <c r="L1159" s="28" t="s">
        <v>30</v>
      </c>
      <c r="M1159" s="28" t="s">
        <v>21</v>
      </c>
      <c r="O1159" s="92">
        <v>35090</v>
      </c>
      <c r="P1159" s="28" t="s">
        <v>21</v>
      </c>
      <c r="Q1159" s="26" t="b">
        <v>0</v>
      </c>
      <c r="R1159" s="22">
        <f t="shared" si="18"/>
        <v>80</v>
      </c>
    </row>
    <row r="1160" spans="1:18" ht="24">
      <c r="A1160" s="26">
        <v>3487</v>
      </c>
      <c r="B1160" s="27">
        <v>35011</v>
      </c>
      <c r="C1160" s="28" t="s">
        <v>3825</v>
      </c>
      <c r="D1160" s="27">
        <v>35011</v>
      </c>
      <c r="E1160" s="28" t="s">
        <v>3826</v>
      </c>
      <c r="F1160" s="28" t="s">
        <v>19</v>
      </c>
      <c r="G1160" s="28" t="s">
        <v>20</v>
      </c>
      <c r="H1160" s="28" t="s">
        <v>21</v>
      </c>
      <c r="I1160" s="28" t="s">
        <v>21</v>
      </c>
      <c r="J1160" s="28" t="s">
        <v>3827</v>
      </c>
      <c r="K1160" s="28" t="s">
        <v>21</v>
      </c>
      <c r="L1160" s="28" t="s">
        <v>24</v>
      </c>
      <c r="M1160" s="28" t="s">
        <v>21</v>
      </c>
      <c r="O1160" s="92">
        <v>35016</v>
      </c>
      <c r="P1160" s="28" t="s">
        <v>31</v>
      </c>
      <c r="Q1160" s="26" t="b">
        <v>0</v>
      </c>
      <c r="R1160" s="22">
        <f t="shared" si="18"/>
        <v>5</v>
      </c>
    </row>
    <row r="1161" spans="1:18" ht="24">
      <c r="A1161" s="26">
        <v>3488</v>
      </c>
      <c r="B1161" s="27">
        <v>35020</v>
      </c>
      <c r="C1161" s="28" t="s">
        <v>3828</v>
      </c>
      <c r="D1161" s="27">
        <v>35017</v>
      </c>
      <c r="E1161" s="28" t="s">
        <v>3829</v>
      </c>
      <c r="F1161" s="28" t="s">
        <v>124</v>
      </c>
      <c r="G1161" s="28" t="s">
        <v>20</v>
      </c>
      <c r="H1161" s="28" t="s">
        <v>21</v>
      </c>
      <c r="I1161" s="28" t="s">
        <v>21</v>
      </c>
      <c r="J1161" s="28" t="s">
        <v>3830</v>
      </c>
      <c r="K1161" s="28" t="s">
        <v>3831</v>
      </c>
      <c r="L1161" s="28" t="s">
        <v>24</v>
      </c>
      <c r="M1161" s="28" t="s">
        <v>21</v>
      </c>
      <c r="O1161" s="92">
        <v>35081</v>
      </c>
      <c r="P1161" s="28" t="s">
        <v>31</v>
      </c>
      <c r="Q1161" s="26" t="b">
        <v>0</v>
      </c>
      <c r="R1161" s="22">
        <f t="shared" si="18"/>
        <v>60</v>
      </c>
    </row>
    <row r="1162" spans="1:18">
      <c r="A1162" s="26">
        <v>3489</v>
      </c>
      <c r="B1162" s="27">
        <v>35024</v>
      </c>
      <c r="C1162" s="28" t="s">
        <v>3832</v>
      </c>
      <c r="D1162" s="27">
        <v>35019</v>
      </c>
      <c r="E1162" s="28" t="s">
        <v>3833</v>
      </c>
      <c r="F1162" s="28" t="s">
        <v>1159</v>
      </c>
      <c r="G1162" s="28" t="s">
        <v>20</v>
      </c>
      <c r="H1162" s="28" t="s">
        <v>71</v>
      </c>
      <c r="I1162" s="28" t="s">
        <v>72</v>
      </c>
      <c r="J1162" s="28" t="s">
        <v>3834</v>
      </c>
      <c r="K1162" s="28" t="s">
        <v>3835</v>
      </c>
      <c r="L1162" s="28" t="s">
        <v>3526</v>
      </c>
      <c r="M1162" s="28" t="s">
        <v>3569</v>
      </c>
      <c r="O1162" s="92">
        <v>37048</v>
      </c>
      <c r="P1162" s="28" t="s">
        <v>21</v>
      </c>
      <c r="Q1162" s="26" t="b">
        <v>0</v>
      </c>
      <c r="R1162" s="22">
        <f t="shared" si="18"/>
        <v>2022</v>
      </c>
    </row>
    <row r="1163" spans="1:18" ht="24">
      <c r="A1163" s="26">
        <v>3490</v>
      </c>
      <c r="B1163" s="27">
        <v>35024</v>
      </c>
      <c r="C1163" s="28" t="s">
        <v>3836</v>
      </c>
      <c r="D1163" s="27">
        <v>35020</v>
      </c>
      <c r="E1163" s="28" t="s">
        <v>3837</v>
      </c>
      <c r="F1163" s="28" t="s">
        <v>2838</v>
      </c>
      <c r="G1163" s="28" t="s">
        <v>20</v>
      </c>
      <c r="H1163" s="28" t="s">
        <v>21</v>
      </c>
      <c r="I1163" s="28" t="s">
        <v>21</v>
      </c>
      <c r="J1163" s="28" t="s">
        <v>3838</v>
      </c>
      <c r="K1163" s="28" t="s">
        <v>3839</v>
      </c>
      <c r="L1163" s="28" t="s">
        <v>66</v>
      </c>
      <c r="M1163" s="28" t="s">
        <v>30</v>
      </c>
      <c r="N1163" s="18"/>
      <c r="O1163" s="92">
        <v>37011</v>
      </c>
      <c r="P1163" s="28" t="s">
        <v>21</v>
      </c>
      <c r="Q1163" s="26" t="b">
        <v>0</v>
      </c>
      <c r="R1163" s="22">
        <f t="shared" si="18"/>
        <v>1986</v>
      </c>
    </row>
    <row r="1164" spans="1:18">
      <c r="A1164" s="26">
        <v>3491</v>
      </c>
      <c r="B1164" s="27">
        <v>35030</v>
      </c>
      <c r="C1164" s="28" t="s">
        <v>3840</v>
      </c>
      <c r="D1164" s="27">
        <v>35030</v>
      </c>
      <c r="E1164" s="28" t="s">
        <v>3841</v>
      </c>
      <c r="F1164" s="28" t="s">
        <v>3430</v>
      </c>
      <c r="G1164" s="28" t="s">
        <v>20</v>
      </c>
      <c r="H1164" s="28" t="s">
        <v>71</v>
      </c>
      <c r="I1164" s="28" t="s">
        <v>72</v>
      </c>
      <c r="J1164" s="28" t="s">
        <v>3842</v>
      </c>
      <c r="K1164" s="28" t="s">
        <v>3843</v>
      </c>
      <c r="L1164" s="28" t="s">
        <v>24</v>
      </c>
      <c r="M1164" s="28" t="s">
        <v>21</v>
      </c>
      <c r="O1164" s="92">
        <v>35234</v>
      </c>
      <c r="P1164" s="28" t="s">
        <v>21</v>
      </c>
      <c r="Q1164" s="26" t="b">
        <v>0</v>
      </c>
      <c r="R1164" s="22">
        <f t="shared" si="18"/>
        <v>203</v>
      </c>
    </row>
    <row r="1165" spans="1:18">
      <c r="A1165" s="26">
        <v>3505</v>
      </c>
      <c r="B1165" s="27">
        <v>35033</v>
      </c>
      <c r="C1165" s="28" t="s">
        <v>3874</v>
      </c>
      <c r="D1165" s="27">
        <v>35023</v>
      </c>
      <c r="E1165" s="28" t="s">
        <v>3875</v>
      </c>
      <c r="F1165" s="28" t="s">
        <v>3579</v>
      </c>
      <c r="G1165" s="28" t="s">
        <v>20</v>
      </c>
      <c r="H1165" s="28" t="s">
        <v>21</v>
      </c>
      <c r="I1165" s="28" t="s">
        <v>21</v>
      </c>
      <c r="J1165" s="28" t="s">
        <v>3580</v>
      </c>
      <c r="K1165" s="28" t="s">
        <v>3876</v>
      </c>
      <c r="L1165" s="28" t="s">
        <v>88</v>
      </c>
      <c r="M1165" s="28" t="s">
        <v>67</v>
      </c>
      <c r="O1165" s="92">
        <v>36209</v>
      </c>
      <c r="P1165" s="28" t="s">
        <v>21</v>
      </c>
      <c r="Q1165" s="26" t="b">
        <v>0</v>
      </c>
      <c r="R1165" s="22">
        <f t="shared" si="18"/>
        <v>1174</v>
      </c>
    </row>
    <row r="1166" spans="1:18">
      <c r="A1166" s="26">
        <v>3506</v>
      </c>
      <c r="B1166" s="27">
        <v>35033</v>
      </c>
      <c r="C1166" s="28" t="s">
        <v>3877</v>
      </c>
      <c r="D1166" s="27">
        <v>35033</v>
      </c>
      <c r="E1166" s="28" t="s">
        <v>3878</v>
      </c>
      <c r="F1166" s="28" t="s">
        <v>1019</v>
      </c>
      <c r="G1166" s="28" t="s">
        <v>20</v>
      </c>
      <c r="H1166" s="28" t="s">
        <v>21</v>
      </c>
      <c r="I1166" s="28" t="s">
        <v>21</v>
      </c>
      <c r="J1166" s="28" t="s">
        <v>3879</v>
      </c>
      <c r="K1166" s="28" t="s">
        <v>21</v>
      </c>
      <c r="L1166" s="28" t="s">
        <v>24</v>
      </c>
      <c r="M1166" s="28" t="s">
        <v>21</v>
      </c>
      <c r="O1166" s="92">
        <v>35198</v>
      </c>
      <c r="P1166" s="28" t="s">
        <v>21</v>
      </c>
      <c r="Q1166" s="26" t="b">
        <v>0</v>
      </c>
      <c r="R1166" s="22">
        <f t="shared" si="18"/>
        <v>165</v>
      </c>
    </row>
    <row r="1167" spans="1:18">
      <c r="A1167" s="26">
        <v>3507</v>
      </c>
      <c r="B1167" s="27">
        <v>35033</v>
      </c>
      <c r="C1167" s="28" t="s">
        <v>3880</v>
      </c>
      <c r="D1167" s="27">
        <v>35033</v>
      </c>
      <c r="E1167" s="28" t="s">
        <v>3881</v>
      </c>
      <c r="F1167" s="28" t="s">
        <v>124</v>
      </c>
      <c r="G1167" s="28" t="s">
        <v>20</v>
      </c>
      <c r="H1167" s="28" t="s">
        <v>189</v>
      </c>
      <c r="I1167" s="28" t="s">
        <v>189</v>
      </c>
      <c r="J1167" s="28" t="s">
        <v>3882</v>
      </c>
      <c r="K1167" s="28" t="s">
        <v>3883</v>
      </c>
      <c r="L1167" s="28" t="s">
        <v>66</v>
      </c>
      <c r="M1167" s="28" t="s">
        <v>21</v>
      </c>
      <c r="O1167" s="92">
        <v>35482</v>
      </c>
      <c r="P1167" s="28" t="s">
        <v>31</v>
      </c>
      <c r="Q1167" s="26" t="b">
        <v>0</v>
      </c>
      <c r="R1167" s="22">
        <f t="shared" si="18"/>
        <v>447</v>
      </c>
    </row>
    <row r="1168" spans="1:18" ht="24">
      <c r="A1168" s="26">
        <v>3492</v>
      </c>
      <c r="B1168" s="27">
        <v>35040</v>
      </c>
      <c r="C1168" s="28" t="s">
        <v>3844</v>
      </c>
      <c r="D1168" s="27">
        <v>35034</v>
      </c>
      <c r="E1168" s="28" t="s">
        <v>3045</v>
      </c>
      <c r="F1168" s="28" t="s">
        <v>56</v>
      </c>
      <c r="G1168" s="28" t="s">
        <v>20</v>
      </c>
      <c r="H1168" s="28" t="s">
        <v>21</v>
      </c>
      <c r="I1168" s="28" t="s">
        <v>21</v>
      </c>
      <c r="J1168" s="28" t="s">
        <v>3845</v>
      </c>
      <c r="K1168" s="28" t="s">
        <v>21</v>
      </c>
      <c r="L1168" s="28" t="s">
        <v>30</v>
      </c>
      <c r="M1168" s="28" t="s">
        <v>21</v>
      </c>
      <c r="N1168" s="29">
        <v>35034</v>
      </c>
      <c r="O1168" s="92">
        <v>35034</v>
      </c>
      <c r="P1168" s="28" t="s">
        <v>21</v>
      </c>
      <c r="Q1168" s="26" t="b">
        <v>0</v>
      </c>
      <c r="R1168" s="22">
        <f t="shared" si="18"/>
        <v>6</v>
      </c>
    </row>
    <row r="1169" spans="1:18">
      <c r="A1169" s="26">
        <v>3493</v>
      </c>
      <c r="B1169" s="27">
        <v>35040</v>
      </c>
      <c r="C1169" s="28" t="s">
        <v>3846</v>
      </c>
      <c r="D1169" s="27">
        <v>35040</v>
      </c>
      <c r="E1169" s="28" t="s">
        <v>255</v>
      </c>
      <c r="F1169" s="28" t="s">
        <v>3847</v>
      </c>
      <c r="G1169" s="28" t="s">
        <v>20</v>
      </c>
      <c r="H1169" s="28" t="s">
        <v>21</v>
      </c>
      <c r="I1169" s="28" t="s">
        <v>21</v>
      </c>
      <c r="J1169" s="28" t="s">
        <v>3848</v>
      </c>
      <c r="K1169" s="28" t="s">
        <v>3849</v>
      </c>
      <c r="L1169" s="28" t="s">
        <v>30</v>
      </c>
      <c r="M1169" s="28" t="s">
        <v>21</v>
      </c>
      <c r="O1169" s="92">
        <v>35066</v>
      </c>
      <c r="P1169" s="28" t="s">
        <v>21</v>
      </c>
      <c r="Q1169" s="26" t="b">
        <v>0</v>
      </c>
      <c r="R1169" s="22">
        <f t="shared" si="18"/>
        <v>25</v>
      </c>
    </row>
    <row r="1170" spans="1:18">
      <c r="A1170" s="26">
        <v>3495</v>
      </c>
      <c r="B1170" s="27">
        <v>35040</v>
      </c>
      <c r="C1170" s="28" t="s">
        <v>3850</v>
      </c>
      <c r="D1170" s="18"/>
      <c r="E1170" s="28" t="s">
        <v>1204</v>
      </c>
      <c r="F1170" s="28" t="s">
        <v>3046</v>
      </c>
      <c r="G1170" s="28" t="s">
        <v>20</v>
      </c>
      <c r="H1170" s="28" t="s">
        <v>21</v>
      </c>
      <c r="I1170" s="28" t="s">
        <v>21</v>
      </c>
      <c r="J1170" s="28" t="s">
        <v>3851</v>
      </c>
      <c r="K1170" s="28" t="s">
        <v>3852</v>
      </c>
      <c r="L1170" s="28" t="s">
        <v>24</v>
      </c>
      <c r="M1170" s="28" t="s">
        <v>21</v>
      </c>
      <c r="O1170" s="92">
        <v>35045</v>
      </c>
      <c r="P1170" s="28" t="s">
        <v>21</v>
      </c>
      <c r="Q1170" s="26" t="b">
        <v>0</v>
      </c>
      <c r="R1170" s="22">
        <f t="shared" si="18"/>
        <v>5</v>
      </c>
    </row>
    <row r="1171" spans="1:18">
      <c r="A1171" s="26">
        <v>3496</v>
      </c>
      <c r="B1171" s="27">
        <v>35040</v>
      </c>
      <c r="C1171" s="28" t="s">
        <v>3853</v>
      </c>
      <c r="D1171" s="27">
        <v>35031</v>
      </c>
      <c r="E1171" s="28" t="s">
        <v>3854</v>
      </c>
      <c r="F1171" s="28" t="s">
        <v>3855</v>
      </c>
      <c r="G1171" s="28" t="s">
        <v>20</v>
      </c>
      <c r="H1171" s="28" t="s">
        <v>21</v>
      </c>
      <c r="I1171" s="28" t="s">
        <v>21</v>
      </c>
      <c r="J1171" s="28" t="s">
        <v>3856</v>
      </c>
      <c r="K1171" s="28" t="s">
        <v>3857</v>
      </c>
      <c r="L1171" s="28" t="s">
        <v>3526</v>
      </c>
      <c r="M1171" s="28" t="s">
        <v>3569</v>
      </c>
      <c r="O1171" s="92">
        <v>37245</v>
      </c>
      <c r="P1171" s="28" t="s">
        <v>21</v>
      </c>
      <c r="Q1171" s="26" t="b">
        <v>0</v>
      </c>
      <c r="R1171" s="22">
        <f t="shared" si="18"/>
        <v>2203</v>
      </c>
    </row>
    <row r="1172" spans="1:18">
      <c r="A1172" s="26">
        <v>3497</v>
      </c>
      <c r="B1172" s="27">
        <v>35041</v>
      </c>
      <c r="C1172" s="28" t="s">
        <v>3858</v>
      </c>
      <c r="D1172" s="27">
        <v>35031</v>
      </c>
      <c r="E1172" s="28" t="s">
        <v>38</v>
      </c>
      <c r="F1172" s="28" t="s">
        <v>2838</v>
      </c>
      <c r="G1172" s="28" t="s">
        <v>20</v>
      </c>
      <c r="H1172" s="28" t="s">
        <v>21</v>
      </c>
      <c r="I1172" s="28" t="s">
        <v>21</v>
      </c>
      <c r="J1172" s="28" t="s">
        <v>3859</v>
      </c>
      <c r="K1172" s="28" t="s">
        <v>3860</v>
      </c>
      <c r="L1172" s="28" t="s">
        <v>1152</v>
      </c>
      <c r="M1172" s="28" t="s">
        <v>21</v>
      </c>
      <c r="O1172" s="92">
        <v>35041</v>
      </c>
      <c r="P1172" s="28" t="s">
        <v>31</v>
      </c>
      <c r="Q1172" s="26" t="b">
        <v>0</v>
      </c>
      <c r="R1172" s="22">
        <f t="shared" si="18"/>
        <v>0</v>
      </c>
    </row>
    <row r="1173" spans="1:18">
      <c r="A1173" s="26">
        <v>3499</v>
      </c>
      <c r="B1173" s="27">
        <v>35041</v>
      </c>
      <c r="C1173" s="28" t="s">
        <v>3861</v>
      </c>
      <c r="D1173" s="27">
        <v>35031</v>
      </c>
      <c r="E1173" s="28" t="s">
        <v>3862</v>
      </c>
      <c r="F1173" s="28" t="s">
        <v>350</v>
      </c>
      <c r="G1173" s="28" t="s">
        <v>20</v>
      </c>
      <c r="H1173" s="28" t="s">
        <v>21</v>
      </c>
      <c r="I1173" s="28" t="s">
        <v>21</v>
      </c>
      <c r="J1173" s="28" t="s">
        <v>3863</v>
      </c>
      <c r="K1173" s="28" t="s">
        <v>21</v>
      </c>
      <c r="L1173" s="28" t="s">
        <v>24</v>
      </c>
      <c r="M1173" s="28" t="s">
        <v>21</v>
      </c>
      <c r="O1173" s="92">
        <v>35072</v>
      </c>
      <c r="P1173" s="28" t="s">
        <v>31</v>
      </c>
      <c r="Q1173" s="26" t="b">
        <v>0</v>
      </c>
      <c r="R1173" s="22">
        <f t="shared" si="18"/>
        <v>30</v>
      </c>
    </row>
    <row r="1174" spans="1:18">
      <c r="A1174" s="26">
        <v>3500</v>
      </c>
      <c r="B1174" s="27">
        <v>35045</v>
      </c>
      <c r="C1174" s="28" t="s">
        <v>3864</v>
      </c>
      <c r="D1174" s="27">
        <v>35042</v>
      </c>
      <c r="E1174" s="28" t="s">
        <v>3865</v>
      </c>
      <c r="F1174" s="28" t="s">
        <v>124</v>
      </c>
      <c r="G1174" s="28" t="s">
        <v>20</v>
      </c>
      <c r="H1174" s="28" t="s">
        <v>21</v>
      </c>
      <c r="I1174" s="28" t="s">
        <v>21</v>
      </c>
      <c r="J1174" s="28" t="s">
        <v>3866</v>
      </c>
      <c r="K1174" s="28" t="s">
        <v>21</v>
      </c>
      <c r="L1174" s="28" t="s">
        <v>24</v>
      </c>
      <c r="M1174" s="28" t="s">
        <v>21</v>
      </c>
      <c r="O1174" s="92">
        <v>35047</v>
      </c>
      <c r="P1174" s="28" t="s">
        <v>31</v>
      </c>
      <c r="Q1174" s="26" t="b">
        <v>0</v>
      </c>
      <c r="R1174" s="22">
        <f t="shared" si="18"/>
        <v>2</v>
      </c>
    </row>
    <row r="1175" spans="1:18">
      <c r="A1175" s="26">
        <v>3502</v>
      </c>
      <c r="B1175" s="27">
        <v>35051</v>
      </c>
      <c r="C1175" s="28" t="s">
        <v>3870</v>
      </c>
      <c r="D1175" s="27">
        <v>35051</v>
      </c>
      <c r="E1175" s="28" t="s">
        <v>3871</v>
      </c>
      <c r="F1175" s="28" t="s">
        <v>98</v>
      </c>
      <c r="G1175" s="28" t="s">
        <v>20</v>
      </c>
      <c r="H1175" s="28" t="s">
        <v>21</v>
      </c>
      <c r="I1175" s="28" t="s">
        <v>21</v>
      </c>
      <c r="J1175" s="28" t="s">
        <v>3872</v>
      </c>
      <c r="K1175" s="28" t="s">
        <v>3873</v>
      </c>
      <c r="L1175" s="28" t="s">
        <v>3271</v>
      </c>
      <c r="M1175" s="28" t="s">
        <v>21</v>
      </c>
      <c r="N1175" s="29">
        <v>35417</v>
      </c>
      <c r="O1175" s="92">
        <v>35054</v>
      </c>
      <c r="P1175" s="28" t="s">
        <v>21</v>
      </c>
      <c r="Q1175" s="26" t="b">
        <v>0</v>
      </c>
      <c r="R1175" s="22">
        <f t="shared" si="18"/>
        <v>3</v>
      </c>
    </row>
    <row r="1176" spans="1:18">
      <c r="A1176" s="26">
        <v>3501</v>
      </c>
      <c r="B1176" s="27">
        <v>35064</v>
      </c>
      <c r="C1176" s="28" t="s">
        <v>3867</v>
      </c>
      <c r="D1176" s="27">
        <v>35033</v>
      </c>
      <c r="E1176" s="28" t="s">
        <v>38</v>
      </c>
      <c r="F1176" s="28" t="s">
        <v>149</v>
      </c>
      <c r="G1176" s="28" t="s">
        <v>20</v>
      </c>
      <c r="H1176" s="28" t="s">
        <v>21</v>
      </c>
      <c r="I1176" s="28" t="s">
        <v>21</v>
      </c>
      <c r="J1176" s="28" t="s">
        <v>3868</v>
      </c>
      <c r="K1176" s="28" t="s">
        <v>3869</v>
      </c>
      <c r="L1176" s="28" t="s">
        <v>82</v>
      </c>
      <c r="M1176" s="28" t="s">
        <v>21</v>
      </c>
      <c r="O1176" s="92">
        <v>35158</v>
      </c>
      <c r="P1176" s="28" t="s">
        <v>21</v>
      </c>
      <c r="Q1176" s="26" t="b">
        <v>0</v>
      </c>
      <c r="R1176" s="22">
        <f t="shared" si="18"/>
        <v>94</v>
      </c>
    </row>
    <row r="1177" spans="1:18">
      <c r="A1177" s="26">
        <v>3509</v>
      </c>
      <c r="B1177" s="27">
        <v>35068</v>
      </c>
      <c r="C1177" s="28" t="s">
        <v>3884</v>
      </c>
      <c r="D1177" s="27">
        <v>35061</v>
      </c>
      <c r="E1177" s="28" t="s">
        <v>3885</v>
      </c>
      <c r="F1177" s="28" t="s">
        <v>149</v>
      </c>
      <c r="G1177" s="28" t="s">
        <v>20</v>
      </c>
      <c r="H1177" s="28" t="s">
        <v>21</v>
      </c>
      <c r="I1177" s="28" t="s">
        <v>21</v>
      </c>
      <c r="J1177" s="28" t="s">
        <v>3886</v>
      </c>
      <c r="K1177" s="28" t="s">
        <v>2905</v>
      </c>
      <c r="L1177" s="28" t="s">
        <v>24</v>
      </c>
      <c r="M1177" s="28" t="s">
        <v>21</v>
      </c>
      <c r="O1177" s="92">
        <v>35108</v>
      </c>
      <c r="P1177" s="28" t="s">
        <v>31</v>
      </c>
      <c r="Q1177" s="26" t="b">
        <v>0</v>
      </c>
      <c r="R1177" s="22">
        <f t="shared" si="18"/>
        <v>39</v>
      </c>
    </row>
    <row r="1178" spans="1:18">
      <c r="A1178" s="26">
        <v>3512</v>
      </c>
      <c r="B1178" s="27">
        <v>35068</v>
      </c>
      <c r="C1178" s="28" t="s">
        <v>3887</v>
      </c>
      <c r="D1178" s="27">
        <v>35066</v>
      </c>
      <c r="E1178" s="28" t="s">
        <v>61</v>
      </c>
      <c r="F1178" s="28" t="s">
        <v>3888</v>
      </c>
      <c r="G1178" s="28" t="s">
        <v>20</v>
      </c>
      <c r="H1178" s="28" t="s">
        <v>212</v>
      </c>
      <c r="I1178" s="28" t="s">
        <v>212</v>
      </c>
      <c r="J1178" s="28" t="s">
        <v>3889</v>
      </c>
      <c r="K1178" s="28" t="s">
        <v>3890</v>
      </c>
      <c r="L1178" s="28" t="s">
        <v>24</v>
      </c>
      <c r="M1178" s="28" t="s">
        <v>21</v>
      </c>
      <c r="O1178" s="92">
        <v>35100</v>
      </c>
      <c r="P1178" s="28" t="s">
        <v>21</v>
      </c>
      <c r="Q1178" s="26" t="b">
        <v>0</v>
      </c>
      <c r="R1178" s="22">
        <f t="shared" si="18"/>
        <v>31</v>
      </c>
    </row>
    <row r="1179" spans="1:18">
      <c r="A1179" s="26">
        <v>3517</v>
      </c>
      <c r="B1179" s="27">
        <v>35073</v>
      </c>
      <c r="C1179" s="28" t="s">
        <v>3891</v>
      </c>
      <c r="D1179" s="27">
        <v>35072</v>
      </c>
      <c r="E1179" s="28" t="s">
        <v>38</v>
      </c>
      <c r="F1179" s="28" t="s">
        <v>545</v>
      </c>
      <c r="G1179" s="28" t="s">
        <v>20</v>
      </c>
      <c r="H1179" s="28" t="s">
        <v>21</v>
      </c>
      <c r="I1179" s="28" t="s">
        <v>21</v>
      </c>
      <c r="J1179" s="28" t="s">
        <v>3892</v>
      </c>
      <c r="K1179" s="28" t="s">
        <v>545</v>
      </c>
      <c r="L1179" s="28" t="s">
        <v>24</v>
      </c>
      <c r="M1179" s="28" t="s">
        <v>21</v>
      </c>
      <c r="O1179" s="92">
        <v>35108</v>
      </c>
      <c r="P1179" s="28" t="s">
        <v>31</v>
      </c>
      <c r="Q1179" s="26" t="b">
        <v>0</v>
      </c>
      <c r="R1179" s="22">
        <f t="shared" si="18"/>
        <v>34</v>
      </c>
    </row>
    <row r="1180" spans="1:18">
      <c r="A1180" s="26">
        <v>3523</v>
      </c>
      <c r="B1180" s="27">
        <v>35082</v>
      </c>
      <c r="C1180" s="28" t="s">
        <v>3893</v>
      </c>
      <c r="D1180" s="27">
        <v>35074</v>
      </c>
      <c r="E1180" s="28" t="s">
        <v>38</v>
      </c>
      <c r="F1180" s="28" t="s">
        <v>306</v>
      </c>
      <c r="G1180" s="28" t="s">
        <v>20</v>
      </c>
      <c r="H1180" s="28" t="s">
        <v>21</v>
      </c>
      <c r="I1180" s="28" t="s">
        <v>21</v>
      </c>
      <c r="J1180" s="28" t="s">
        <v>3894</v>
      </c>
      <c r="K1180" s="28" t="s">
        <v>21</v>
      </c>
      <c r="L1180" s="28" t="s">
        <v>24</v>
      </c>
      <c r="M1180" s="28" t="s">
        <v>21</v>
      </c>
      <c r="O1180" s="92">
        <v>35100</v>
      </c>
      <c r="P1180" s="28" t="s">
        <v>31</v>
      </c>
      <c r="Q1180" s="26" t="b">
        <v>0</v>
      </c>
      <c r="R1180" s="22">
        <f t="shared" si="18"/>
        <v>17</v>
      </c>
    </row>
    <row r="1181" spans="1:18">
      <c r="A1181" s="26">
        <v>3550</v>
      </c>
      <c r="B1181" s="27">
        <v>35090</v>
      </c>
      <c r="C1181" s="28" t="s">
        <v>3895</v>
      </c>
      <c r="D1181" s="27">
        <v>35090</v>
      </c>
      <c r="E1181" s="28" t="s">
        <v>38</v>
      </c>
      <c r="F1181" s="28" t="s">
        <v>283</v>
      </c>
      <c r="G1181" s="28" t="s">
        <v>20</v>
      </c>
      <c r="H1181" s="28" t="s">
        <v>21</v>
      </c>
      <c r="I1181" s="28" t="s">
        <v>21</v>
      </c>
      <c r="J1181" s="28" t="s">
        <v>3896</v>
      </c>
      <c r="K1181" s="28" t="s">
        <v>3897</v>
      </c>
      <c r="L1181" s="28" t="s">
        <v>24</v>
      </c>
      <c r="M1181" s="28" t="s">
        <v>21</v>
      </c>
      <c r="O1181" s="92">
        <v>35107</v>
      </c>
      <c r="P1181" s="28" t="s">
        <v>21</v>
      </c>
      <c r="Q1181" s="26" t="b">
        <v>0</v>
      </c>
      <c r="R1181" s="22">
        <f t="shared" si="18"/>
        <v>16</v>
      </c>
    </row>
    <row r="1182" spans="1:18">
      <c r="A1182" s="26">
        <v>3558</v>
      </c>
      <c r="B1182" s="27">
        <v>35093</v>
      </c>
      <c r="C1182" s="28" t="s">
        <v>3898</v>
      </c>
      <c r="D1182" s="27">
        <v>35093</v>
      </c>
      <c r="E1182" s="28" t="s">
        <v>38</v>
      </c>
      <c r="F1182" s="28" t="s">
        <v>124</v>
      </c>
      <c r="G1182" s="28" t="s">
        <v>20</v>
      </c>
      <c r="H1182" s="28" t="s">
        <v>21</v>
      </c>
      <c r="I1182" s="28" t="s">
        <v>21</v>
      </c>
      <c r="J1182" s="28" t="s">
        <v>3899</v>
      </c>
      <c r="K1182" s="28" t="s">
        <v>3900</v>
      </c>
      <c r="L1182" s="28" t="s">
        <v>1152</v>
      </c>
      <c r="M1182" s="28" t="s">
        <v>21</v>
      </c>
      <c r="N1182" s="29">
        <v>35123</v>
      </c>
      <c r="O1182" s="92">
        <v>35102</v>
      </c>
      <c r="P1182" s="28" t="s">
        <v>31</v>
      </c>
      <c r="Q1182" s="26" t="b">
        <v>0</v>
      </c>
      <c r="R1182" s="22">
        <f t="shared" si="18"/>
        <v>8</v>
      </c>
    </row>
    <row r="1183" spans="1:18">
      <c r="A1183" s="26">
        <v>3955</v>
      </c>
      <c r="B1183" s="27">
        <v>35094</v>
      </c>
      <c r="C1183" s="28" t="s">
        <v>4617</v>
      </c>
      <c r="D1183" s="27">
        <v>35094</v>
      </c>
      <c r="E1183" s="28" t="s">
        <v>61</v>
      </c>
      <c r="F1183" s="28" t="s">
        <v>1111</v>
      </c>
      <c r="G1183" s="28" t="s">
        <v>20</v>
      </c>
      <c r="H1183" s="28" t="s">
        <v>21</v>
      </c>
      <c r="I1183" s="28" t="s">
        <v>21</v>
      </c>
      <c r="J1183" s="28" t="s">
        <v>4618</v>
      </c>
      <c r="K1183" s="28" t="s">
        <v>21</v>
      </c>
      <c r="L1183" s="28" t="s">
        <v>30</v>
      </c>
      <c r="M1183" s="28" t="s">
        <v>21</v>
      </c>
      <c r="O1183" s="92">
        <v>35734</v>
      </c>
      <c r="P1183" s="28" t="s">
        <v>31</v>
      </c>
      <c r="Q1183" s="26" t="b">
        <v>0</v>
      </c>
      <c r="R1183" s="22">
        <f t="shared" si="18"/>
        <v>638</v>
      </c>
    </row>
    <row r="1184" spans="1:18">
      <c r="A1184" s="26">
        <v>3576</v>
      </c>
      <c r="B1184" s="27">
        <v>35100</v>
      </c>
      <c r="C1184" s="28" t="s">
        <v>3914</v>
      </c>
      <c r="D1184" s="27">
        <v>35100</v>
      </c>
      <c r="E1184" s="28" t="s">
        <v>38</v>
      </c>
      <c r="F1184" s="28" t="s">
        <v>371</v>
      </c>
      <c r="G1184" s="28" t="s">
        <v>20</v>
      </c>
      <c r="H1184" s="28" t="s">
        <v>21</v>
      </c>
      <c r="I1184" s="28" t="s">
        <v>21</v>
      </c>
      <c r="J1184" s="28" t="s">
        <v>3915</v>
      </c>
      <c r="K1184" s="28" t="s">
        <v>272</v>
      </c>
      <c r="L1184" s="28" t="s">
        <v>88</v>
      </c>
      <c r="M1184" s="28" t="s">
        <v>1152</v>
      </c>
      <c r="O1184" s="92">
        <v>35734</v>
      </c>
      <c r="P1184" s="28" t="s">
        <v>31</v>
      </c>
      <c r="Q1184" s="26" t="b">
        <v>0</v>
      </c>
      <c r="R1184" s="22">
        <f t="shared" si="18"/>
        <v>634</v>
      </c>
    </row>
    <row r="1185" spans="1:18">
      <c r="A1185" s="26">
        <v>3571</v>
      </c>
      <c r="B1185" s="27">
        <v>35108</v>
      </c>
      <c r="C1185" s="28" t="s">
        <v>3901</v>
      </c>
      <c r="D1185" s="27">
        <v>35108</v>
      </c>
      <c r="E1185" s="28" t="s">
        <v>3902</v>
      </c>
      <c r="F1185" s="28" t="s">
        <v>371</v>
      </c>
      <c r="G1185" s="28" t="s">
        <v>20</v>
      </c>
      <c r="H1185" s="28" t="s">
        <v>21</v>
      </c>
      <c r="I1185" s="28" t="s">
        <v>21</v>
      </c>
      <c r="J1185" s="28" t="s">
        <v>3903</v>
      </c>
      <c r="K1185" s="28" t="s">
        <v>21</v>
      </c>
      <c r="L1185" s="28" t="s">
        <v>24</v>
      </c>
      <c r="M1185" s="28" t="s">
        <v>21</v>
      </c>
      <c r="O1185" s="92">
        <v>35130</v>
      </c>
      <c r="P1185" s="28" t="s">
        <v>31</v>
      </c>
      <c r="Q1185" s="26" t="b">
        <v>0</v>
      </c>
      <c r="R1185" s="22">
        <f t="shared" si="18"/>
        <v>23</v>
      </c>
    </row>
    <row r="1186" spans="1:18">
      <c r="A1186" s="26">
        <v>3572</v>
      </c>
      <c r="B1186" s="27">
        <v>35111</v>
      </c>
      <c r="C1186" s="28" t="s">
        <v>3904</v>
      </c>
      <c r="D1186" s="27">
        <v>35107</v>
      </c>
      <c r="E1186" s="28" t="s">
        <v>3905</v>
      </c>
      <c r="F1186" s="28" t="s">
        <v>371</v>
      </c>
      <c r="G1186" s="28" t="s">
        <v>20</v>
      </c>
      <c r="H1186" s="28" t="s">
        <v>21</v>
      </c>
      <c r="I1186" s="28" t="s">
        <v>21</v>
      </c>
      <c r="J1186" s="28" t="s">
        <v>3906</v>
      </c>
      <c r="K1186" s="28" t="s">
        <v>21</v>
      </c>
      <c r="L1186" s="28" t="s">
        <v>1152</v>
      </c>
      <c r="M1186" s="28" t="s">
        <v>21</v>
      </c>
      <c r="O1186" s="92">
        <v>35136</v>
      </c>
      <c r="P1186" s="28" t="s">
        <v>31</v>
      </c>
      <c r="Q1186" s="26" t="b">
        <v>0</v>
      </c>
      <c r="R1186" s="22">
        <f t="shared" si="18"/>
        <v>26</v>
      </c>
    </row>
    <row r="1187" spans="1:18">
      <c r="A1187" s="26">
        <v>3573</v>
      </c>
      <c r="B1187" s="27">
        <v>35111</v>
      </c>
      <c r="C1187" s="28" t="s">
        <v>3907</v>
      </c>
      <c r="D1187" s="27">
        <v>35108</v>
      </c>
      <c r="E1187" s="28" t="s">
        <v>3908</v>
      </c>
      <c r="F1187" s="28" t="s">
        <v>124</v>
      </c>
      <c r="G1187" s="28" t="s">
        <v>20</v>
      </c>
      <c r="H1187" s="28" t="s">
        <v>21</v>
      </c>
      <c r="I1187" s="28" t="s">
        <v>21</v>
      </c>
      <c r="J1187" s="28" t="s">
        <v>3909</v>
      </c>
      <c r="K1187" s="28" t="s">
        <v>3910</v>
      </c>
      <c r="L1187" s="28" t="s">
        <v>24</v>
      </c>
      <c r="M1187" s="28" t="s">
        <v>21</v>
      </c>
      <c r="O1187" s="92">
        <v>35115</v>
      </c>
      <c r="P1187" s="28" t="s">
        <v>31</v>
      </c>
      <c r="Q1187" s="26" t="b">
        <v>0</v>
      </c>
      <c r="R1187" s="22">
        <f t="shared" si="18"/>
        <v>4</v>
      </c>
    </row>
    <row r="1188" spans="1:18">
      <c r="A1188" s="26">
        <v>3574</v>
      </c>
      <c r="B1188" s="27">
        <v>35115</v>
      </c>
      <c r="C1188" s="28" t="s">
        <v>3911</v>
      </c>
      <c r="D1188" s="27">
        <v>35115</v>
      </c>
      <c r="E1188" s="28" t="s">
        <v>38</v>
      </c>
      <c r="F1188" s="28" t="s">
        <v>27</v>
      </c>
      <c r="G1188" s="28" t="s">
        <v>20</v>
      </c>
      <c r="H1188" s="28" t="s">
        <v>21</v>
      </c>
      <c r="I1188" s="28" t="s">
        <v>21</v>
      </c>
      <c r="J1188" s="28" t="s">
        <v>3912</v>
      </c>
      <c r="K1188" s="28" t="s">
        <v>3913</v>
      </c>
      <c r="L1188" s="28" t="s">
        <v>24</v>
      </c>
      <c r="M1188" s="28" t="s">
        <v>21</v>
      </c>
      <c r="N1188" s="29">
        <v>35122</v>
      </c>
      <c r="O1188" s="92">
        <v>35125</v>
      </c>
      <c r="P1188" s="28" t="s">
        <v>21</v>
      </c>
      <c r="Q1188" s="26" t="b">
        <v>0</v>
      </c>
      <c r="R1188" s="22">
        <f t="shared" si="18"/>
        <v>11</v>
      </c>
    </row>
    <row r="1189" spans="1:18">
      <c r="A1189" s="26">
        <v>3577</v>
      </c>
      <c r="B1189" s="27">
        <v>35132</v>
      </c>
      <c r="C1189" s="28" t="s">
        <v>3916</v>
      </c>
      <c r="D1189" s="27">
        <v>35132</v>
      </c>
      <c r="E1189" s="28" t="s">
        <v>3917</v>
      </c>
      <c r="F1189" s="28" t="s">
        <v>149</v>
      </c>
      <c r="G1189" s="28" t="s">
        <v>20</v>
      </c>
      <c r="H1189" s="28" t="s">
        <v>21</v>
      </c>
      <c r="I1189" s="28" t="s">
        <v>21</v>
      </c>
      <c r="J1189" s="28" t="s">
        <v>677</v>
      </c>
      <c r="K1189" s="28" t="s">
        <v>3918</v>
      </c>
      <c r="L1189" s="28" t="s">
        <v>66</v>
      </c>
      <c r="M1189" s="28" t="s">
        <v>21</v>
      </c>
      <c r="O1189" s="92">
        <v>37851</v>
      </c>
      <c r="P1189" s="28" t="s">
        <v>31</v>
      </c>
      <c r="Q1189" s="26" t="b">
        <v>0</v>
      </c>
      <c r="R1189" s="22">
        <f t="shared" si="18"/>
        <v>2717</v>
      </c>
    </row>
    <row r="1190" spans="1:18">
      <c r="A1190" s="26">
        <v>3578</v>
      </c>
      <c r="B1190" s="27">
        <v>35132</v>
      </c>
      <c r="C1190" s="28" t="s">
        <v>3919</v>
      </c>
      <c r="D1190" s="27">
        <v>35132</v>
      </c>
      <c r="E1190" s="28" t="s">
        <v>3920</v>
      </c>
      <c r="F1190" s="28" t="s">
        <v>2597</v>
      </c>
      <c r="G1190" s="28" t="s">
        <v>20</v>
      </c>
      <c r="H1190" s="28" t="s">
        <v>21</v>
      </c>
      <c r="I1190" s="28" t="s">
        <v>21</v>
      </c>
      <c r="J1190" s="28" t="s">
        <v>3921</v>
      </c>
      <c r="K1190" s="28" t="s">
        <v>3922</v>
      </c>
      <c r="L1190" s="28" t="s">
        <v>67</v>
      </c>
      <c r="M1190" s="28" t="s">
        <v>21</v>
      </c>
      <c r="O1190" s="92">
        <v>35642</v>
      </c>
      <c r="P1190" s="28" t="s">
        <v>31</v>
      </c>
      <c r="Q1190" s="26" t="b">
        <v>0</v>
      </c>
      <c r="R1190" s="22">
        <f t="shared" si="18"/>
        <v>509</v>
      </c>
    </row>
    <row r="1191" spans="1:18">
      <c r="A1191" s="26">
        <v>3659</v>
      </c>
      <c r="B1191" s="27">
        <v>35142</v>
      </c>
      <c r="C1191" s="28" t="s">
        <v>4134</v>
      </c>
      <c r="D1191" s="27">
        <v>35142</v>
      </c>
      <c r="E1191" s="28" t="s">
        <v>4135</v>
      </c>
      <c r="F1191" s="28" t="s">
        <v>2838</v>
      </c>
      <c r="G1191" s="28" t="s">
        <v>21</v>
      </c>
      <c r="H1191" s="28" t="s">
        <v>21</v>
      </c>
      <c r="I1191" s="28" t="s">
        <v>21</v>
      </c>
      <c r="J1191" s="28" t="s">
        <v>4136</v>
      </c>
      <c r="K1191" s="28" t="s">
        <v>4137</v>
      </c>
      <c r="L1191" s="28" t="s">
        <v>24</v>
      </c>
      <c r="M1191" s="28" t="s">
        <v>21</v>
      </c>
      <c r="O1191" s="92">
        <v>35345</v>
      </c>
      <c r="P1191" s="28" t="s">
        <v>31</v>
      </c>
      <c r="Q1191" s="26" t="b">
        <v>0</v>
      </c>
      <c r="R1191" s="22">
        <f t="shared" si="18"/>
        <v>201</v>
      </c>
    </row>
    <row r="1192" spans="1:18">
      <c r="A1192" s="26">
        <v>3583</v>
      </c>
      <c r="B1192" s="27">
        <v>35158</v>
      </c>
      <c r="C1192" s="28" t="s">
        <v>3932</v>
      </c>
      <c r="D1192" s="27">
        <v>35163</v>
      </c>
      <c r="E1192" s="28" t="s">
        <v>3933</v>
      </c>
      <c r="F1192" s="28" t="s">
        <v>104</v>
      </c>
      <c r="G1192" s="28" t="s">
        <v>20</v>
      </c>
      <c r="H1192" s="28" t="s">
        <v>21</v>
      </c>
      <c r="I1192" s="28" t="s">
        <v>21</v>
      </c>
      <c r="J1192" s="28" t="s">
        <v>3934</v>
      </c>
      <c r="K1192" s="28" t="s">
        <v>3935</v>
      </c>
      <c r="L1192" s="28" t="s">
        <v>24</v>
      </c>
      <c r="M1192" s="28" t="s">
        <v>21</v>
      </c>
      <c r="N1192" s="18"/>
      <c r="O1192" s="92">
        <v>35191</v>
      </c>
      <c r="P1192" s="28" t="s">
        <v>21</v>
      </c>
      <c r="Q1192" s="26" t="b">
        <v>0</v>
      </c>
      <c r="R1192" s="22">
        <f t="shared" si="18"/>
        <v>33</v>
      </c>
    </row>
    <row r="1193" spans="1:18">
      <c r="A1193" s="26">
        <v>3589</v>
      </c>
      <c r="B1193" s="27">
        <v>35163</v>
      </c>
      <c r="C1193" s="28" t="s">
        <v>3946</v>
      </c>
      <c r="D1193" s="27">
        <v>35163</v>
      </c>
      <c r="E1193" s="28" t="s">
        <v>3947</v>
      </c>
      <c r="F1193" s="28" t="s">
        <v>104</v>
      </c>
      <c r="G1193" s="28" t="s">
        <v>20</v>
      </c>
      <c r="H1193" s="28" t="s">
        <v>21</v>
      </c>
      <c r="I1193" s="28" t="s">
        <v>21</v>
      </c>
      <c r="J1193" s="28" t="s">
        <v>3948</v>
      </c>
      <c r="K1193" s="28" t="s">
        <v>21</v>
      </c>
      <c r="L1193" s="28" t="s">
        <v>24</v>
      </c>
      <c r="M1193" s="28" t="s">
        <v>21</v>
      </c>
      <c r="N1193" s="29">
        <v>35170</v>
      </c>
      <c r="O1193" s="92">
        <v>35246</v>
      </c>
      <c r="P1193" s="28" t="s">
        <v>21</v>
      </c>
      <c r="Q1193" s="26" t="b">
        <v>0</v>
      </c>
      <c r="R1193" s="22">
        <f t="shared" si="18"/>
        <v>83</v>
      </c>
    </row>
    <row r="1194" spans="1:18">
      <c r="A1194" s="26">
        <v>3579</v>
      </c>
      <c r="B1194" s="27">
        <v>35178</v>
      </c>
      <c r="C1194" s="28" t="s">
        <v>3923</v>
      </c>
      <c r="D1194" s="27">
        <v>35171</v>
      </c>
      <c r="E1194" s="28" t="s">
        <v>3924</v>
      </c>
      <c r="F1194" s="28" t="s">
        <v>371</v>
      </c>
      <c r="G1194" s="28" t="s">
        <v>20</v>
      </c>
      <c r="H1194" s="28" t="s">
        <v>21</v>
      </c>
      <c r="I1194" s="28" t="s">
        <v>21</v>
      </c>
      <c r="J1194" s="28" t="s">
        <v>3925</v>
      </c>
      <c r="K1194" s="28" t="s">
        <v>3926</v>
      </c>
      <c r="L1194" s="28" t="s">
        <v>3927</v>
      </c>
      <c r="M1194" s="28" t="s">
        <v>21</v>
      </c>
      <c r="O1194" s="92">
        <v>35246</v>
      </c>
      <c r="P1194" s="28" t="s">
        <v>31</v>
      </c>
      <c r="Q1194" s="26" t="b">
        <v>0</v>
      </c>
      <c r="R1194" s="22">
        <f t="shared" si="18"/>
        <v>67</v>
      </c>
    </row>
    <row r="1195" spans="1:18">
      <c r="A1195" s="26">
        <v>3585</v>
      </c>
      <c r="B1195" s="27">
        <v>35178</v>
      </c>
      <c r="C1195" s="28" t="s">
        <v>3936</v>
      </c>
      <c r="D1195" s="27">
        <v>35179</v>
      </c>
      <c r="E1195" s="28" t="s">
        <v>283</v>
      </c>
      <c r="F1195" s="28" t="s">
        <v>283</v>
      </c>
      <c r="G1195" s="28" t="s">
        <v>20</v>
      </c>
      <c r="H1195" s="28" t="s">
        <v>21</v>
      </c>
      <c r="I1195" s="28" t="s">
        <v>21</v>
      </c>
      <c r="J1195" s="28" t="s">
        <v>3937</v>
      </c>
      <c r="K1195" s="28" t="s">
        <v>3938</v>
      </c>
      <c r="L1195" s="28" t="s">
        <v>24</v>
      </c>
      <c r="M1195" s="28" t="s">
        <v>21</v>
      </c>
      <c r="O1195" s="92">
        <v>35384</v>
      </c>
      <c r="P1195" s="28" t="s">
        <v>21</v>
      </c>
      <c r="Q1195" s="26" t="b">
        <v>0</v>
      </c>
      <c r="R1195" s="22">
        <f t="shared" si="18"/>
        <v>204</v>
      </c>
    </row>
    <row r="1196" spans="1:18">
      <c r="A1196" s="26">
        <v>3586</v>
      </c>
      <c r="B1196" s="27">
        <v>35178</v>
      </c>
      <c r="C1196" s="28" t="s">
        <v>3936</v>
      </c>
      <c r="D1196" s="27">
        <v>35179</v>
      </c>
      <c r="E1196" s="28" t="s">
        <v>283</v>
      </c>
      <c r="F1196" s="28" t="s">
        <v>283</v>
      </c>
      <c r="G1196" s="28" t="s">
        <v>20</v>
      </c>
      <c r="H1196" s="28" t="s">
        <v>21</v>
      </c>
      <c r="I1196" s="28" t="s">
        <v>21</v>
      </c>
      <c r="J1196" s="28" t="s">
        <v>3937</v>
      </c>
      <c r="K1196" s="28" t="s">
        <v>3938</v>
      </c>
      <c r="L1196" s="28" t="s">
        <v>3930</v>
      </c>
      <c r="M1196" s="28" t="s">
        <v>21</v>
      </c>
      <c r="O1196" s="92">
        <v>35493</v>
      </c>
      <c r="P1196" s="28" t="s">
        <v>21</v>
      </c>
      <c r="Q1196" s="26" t="b">
        <v>0</v>
      </c>
      <c r="R1196" s="22">
        <f t="shared" si="18"/>
        <v>315</v>
      </c>
    </row>
    <row r="1197" spans="1:18">
      <c r="A1197" s="26">
        <v>3580</v>
      </c>
      <c r="B1197" s="27">
        <v>35181</v>
      </c>
      <c r="C1197" s="28" t="s">
        <v>3928</v>
      </c>
      <c r="D1197" s="27">
        <v>35174</v>
      </c>
      <c r="E1197" s="28" t="s">
        <v>283</v>
      </c>
      <c r="F1197" s="28" t="s">
        <v>149</v>
      </c>
      <c r="G1197" s="28" t="s">
        <v>20</v>
      </c>
      <c r="H1197" s="28" t="s">
        <v>21</v>
      </c>
      <c r="I1197" s="28" t="s">
        <v>21</v>
      </c>
      <c r="J1197" s="28" t="s">
        <v>3929</v>
      </c>
      <c r="K1197" s="28" t="s">
        <v>3412</v>
      </c>
      <c r="L1197" s="28" t="s">
        <v>3930</v>
      </c>
      <c r="M1197" s="28" t="s">
        <v>21</v>
      </c>
      <c r="O1197" s="92">
        <v>35493</v>
      </c>
      <c r="P1197" s="28" t="s">
        <v>21</v>
      </c>
      <c r="Q1197" s="26" t="b">
        <v>0</v>
      </c>
      <c r="R1197" s="22">
        <f t="shared" si="18"/>
        <v>312</v>
      </c>
    </row>
    <row r="1198" spans="1:18">
      <c r="A1198" s="26">
        <v>3581</v>
      </c>
      <c r="B1198" s="27">
        <v>35181</v>
      </c>
      <c r="C1198" s="28" t="s">
        <v>3931</v>
      </c>
      <c r="D1198" s="27">
        <v>35174</v>
      </c>
      <c r="E1198" s="28" t="s">
        <v>283</v>
      </c>
      <c r="F1198" s="28" t="s">
        <v>149</v>
      </c>
      <c r="G1198" s="28" t="s">
        <v>20</v>
      </c>
      <c r="H1198" s="28" t="s">
        <v>21</v>
      </c>
      <c r="I1198" s="28" t="s">
        <v>21</v>
      </c>
      <c r="J1198" s="28" t="s">
        <v>3929</v>
      </c>
      <c r="K1198" s="28" t="s">
        <v>3412</v>
      </c>
      <c r="L1198" s="28" t="s">
        <v>82</v>
      </c>
      <c r="M1198" s="28" t="s">
        <v>21</v>
      </c>
      <c r="O1198" s="92">
        <v>35493</v>
      </c>
      <c r="P1198" s="28" t="s">
        <v>21</v>
      </c>
      <c r="Q1198" s="26" t="b">
        <v>0</v>
      </c>
      <c r="R1198" s="22">
        <f t="shared" si="18"/>
        <v>312</v>
      </c>
    </row>
    <row r="1199" spans="1:18">
      <c r="A1199" s="26">
        <v>3582</v>
      </c>
      <c r="B1199" s="27">
        <v>35181</v>
      </c>
      <c r="C1199" s="28" t="s">
        <v>3928</v>
      </c>
      <c r="D1199" s="27">
        <v>35174</v>
      </c>
      <c r="E1199" s="28" t="s">
        <v>283</v>
      </c>
      <c r="F1199" s="28" t="s">
        <v>149</v>
      </c>
      <c r="G1199" s="28" t="s">
        <v>20</v>
      </c>
      <c r="H1199" s="28" t="s">
        <v>21</v>
      </c>
      <c r="I1199" s="28" t="s">
        <v>21</v>
      </c>
      <c r="J1199" s="28" t="s">
        <v>3929</v>
      </c>
      <c r="K1199" s="28" t="s">
        <v>3412</v>
      </c>
      <c r="L1199" s="28" t="s">
        <v>1152</v>
      </c>
      <c r="M1199" s="28" t="s">
        <v>21</v>
      </c>
      <c r="O1199" s="92">
        <v>35242</v>
      </c>
      <c r="P1199" s="28" t="s">
        <v>21</v>
      </c>
      <c r="Q1199" s="26" t="b">
        <v>0</v>
      </c>
      <c r="R1199" s="22">
        <f t="shared" si="18"/>
        <v>60</v>
      </c>
    </row>
    <row r="1200" spans="1:18">
      <c r="A1200" s="26">
        <v>3587</v>
      </c>
      <c r="B1200" s="27">
        <v>35187</v>
      </c>
      <c r="C1200" s="28" t="s">
        <v>3939</v>
      </c>
      <c r="D1200" s="27">
        <v>35186</v>
      </c>
      <c r="E1200" s="28" t="s">
        <v>38</v>
      </c>
      <c r="F1200" s="28" t="s">
        <v>104</v>
      </c>
      <c r="G1200" s="28" t="s">
        <v>20</v>
      </c>
      <c r="H1200" s="28" t="s">
        <v>21</v>
      </c>
      <c r="I1200" s="28" t="s">
        <v>21</v>
      </c>
      <c r="J1200" s="28" t="s">
        <v>3940</v>
      </c>
      <c r="K1200" s="28" t="s">
        <v>3941</v>
      </c>
      <c r="L1200" s="28" t="s">
        <v>66</v>
      </c>
      <c r="M1200" s="28" t="s">
        <v>21</v>
      </c>
      <c r="O1200" s="92">
        <v>35605</v>
      </c>
      <c r="P1200" s="28" t="s">
        <v>21</v>
      </c>
      <c r="Q1200" s="26" t="b">
        <v>0</v>
      </c>
      <c r="R1200" s="22">
        <f t="shared" si="18"/>
        <v>417</v>
      </c>
    </row>
    <row r="1201" spans="1:18">
      <c r="A1201" s="26">
        <v>3588</v>
      </c>
      <c r="B1201" s="27">
        <v>35191</v>
      </c>
      <c r="C1201" s="28" t="s">
        <v>3942</v>
      </c>
      <c r="D1201" s="27">
        <v>35184</v>
      </c>
      <c r="E1201" s="28" t="s">
        <v>3943</v>
      </c>
      <c r="F1201" s="28" t="s">
        <v>27</v>
      </c>
      <c r="G1201" s="28" t="s">
        <v>20</v>
      </c>
      <c r="H1201" s="28" t="s">
        <v>21</v>
      </c>
      <c r="I1201" s="28" t="s">
        <v>21</v>
      </c>
      <c r="J1201" s="28" t="s">
        <v>3944</v>
      </c>
      <c r="K1201" s="28" t="s">
        <v>3945</v>
      </c>
      <c r="L1201" s="28" t="s">
        <v>24</v>
      </c>
      <c r="M1201" s="28" t="s">
        <v>21</v>
      </c>
      <c r="O1201" s="92">
        <v>35202</v>
      </c>
      <c r="P1201" s="28" t="s">
        <v>21</v>
      </c>
      <c r="Q1201" s="26" t="b">
        <v>0</v>
      </c>
      <c r="R1201" s="22">
        <f t="shared" si="18"/>
        <v>11</v>
      </c>
    </row>
    <row r="1202" spans="1:18">
      <c r="A1202" s="26">
        <v>3590</v>
      </c>
      <c r="B1202" s="27">
        <v>35193</v>
      </c>
      <c r="C1202" s="28" t="s">
        <v>3949</v>
      </c>
      <c r="D1202" s="27">
        <v>35188</v>
      </c>
      <c r="E1202" s="28" t="s">
        <v>3950</v>
      </c>
      <c r="F1202" s="28" t="s">
        <v>52</v>
      </c>
      <c r="G1202" s="28" t="s">
        <v>20</v>
      </c>
      <c r="H1202" s="28" t="s">
        <v>21</v>
      </c>
      <c r="I1202" s="28" t="s">
        <v>21</v>
      </c>
      <c r="J1202" s="28" t="s">
        <v>52</v>
      </c>
      <c r="K1202" s="28" t="s">
        <v>3951</v>
      </c>
      <c r="L1202" s="28" t="s">
        <v>24</v>
      </c>
      <c r="M1202" s="28" t="s">
        <v>21</v>
      </c>
      <c r="N1202" s="29">
        <v>35193</v>
      </c>
      <c r="O1202" s="92">
        <v>35193</v>
      </c>
      <c r="P1202" s="28" t="s">
        <v>21</v>
      </c>
      <c r="Q1202" s="26" t="b">
        <v>0</v>
      </c>
      <c r="R1202" s="22">
        <f t="shared" si="18"/>
        <v>0</v>
      </c>
    </row>
    <row r="1203" spans="1:18">
      <c r="A1203" s="26">
        <v>3593</v>
      </c>
      <c r="B1203" s="27">
        <v>35201</v>
      </c>
      <c r="C1203" s="28" t="s">
        <v>3952</v>
      </c>
      <c r="D1203" s="27">
        <v>35195</v>
      </c>
      <c r="E1203" s="28" t="s">
        <v>3953</v>
      </c>
      <c r="F1203" s="28" t="s">
        <v>56</v>
      </c>
      <c r="G1203" s="28" t="s">
        <v>20</v>
      </c>
      <c r="H1203" s="28" t="s">
        <v>21</v>
      </c>
      <c r="I1203" s="28" t="s">
        <v>21</v>
      </c>
      <c r="J1203" s="28" t="s">
        <v>3954</v>
      </c>
      <c r="K1203" s="28" t="s">
        <v>21</v>
      </c>
      <c r="L1203" s="28" t="s">
        <v>3927</v>
      </c>
      <c r="M1203" s="28" t="s">
        <v>21</v>
      </c>
      <c r="O1203" s="92">
        <v>35284</v>
      </c>
      <c r="P1203" s="28" t="s">
        <v>31</v>
      </c>
      <c r="Q1203" s="26" t="b">
        <v>0</v>
      </c>
      <c r="R1203" s="22">
        <f t="shared" si="18"/>
        <v>82</v>
      </c>
    </row>
    <row r="1204" spans="1:18">
      <c r="A1204" s="26">
        <v>3594</v>
      </c>
      <c r="B1204" s="27">
        <v>35202</v>
      </c>
      <c r="C1204" s="28" t="s">
        <v>3955</v>
      </c>
      <c r="D1204" s="27">
        <v>35201</v>
      </c>
      <c r="E1204" s="28" t="s">
        <v>283</v>
      </c>
      <c r="F1204" s="28" t="s">
        <v>283</v>
      </c>
      <c r="G1204" s="28" t="s">
        <v>20</v>
      </c>
      <c r="H1204" s="28" t="s">
        <v>21</v>
      </c>
      <c r="I1204" s="28" t="s">
        <v>21</v>
      </c>
      <c r="J1204" s="28" t="s">
        <v>3956</v>
      </c>
      <c r="K1204" s="28" t="s">
        <v>3957</v>
      </c>
      <c r="L1204" s="28" t="s">
        <v>3927</v>
      </c>
      <c r="M1204" s="28" t="s">
        <v>21</v>
      </c>
      <c r="O1204" s="92">
        <v>35205</v>
      </c>
      <c r="P1204" s="28" t="s">
        <v>21</v>
      </c>
      <c r="Q1204" s="26" t="b">
        <v>0</v>
      </c>
      <c r="R1204" s="22">
        <f t="shared" si="18"/>
        <v>3</v>
      </c>
    </row>
    <row r="1205" spans="1:18" ht="24">
      <c r="A1205" s="26">
        <v>3595</v>
      </c>
      <c r="B1205" s="27">
        <v>35202</v>
      </c>
      <c r="C1205" s="28" t="s">
        <v>3958</v>
      </c>
      <c r="D1205" s="27">
        <v>35199</v>
      </c>
      <c r="E1205" s="28" t="s">
        <v>3959</v>
      </c>
      <c r="F1205" s="28" t="s">
        <v>70</v>
      </c>
      <c r="G1205" s="28" t="s">
        <v>20</v>
      </c>
      <c r="H1205" s="28" t="s">
        <v>71</v>
      </c>
      <c r="I1205" s="28" t="s">
        <v>72</v>
      </c>
      <c r="J1205" s="28" t="s">
        <v>3960</v>
      </c>
      <c r="K1205" s="28" t="s">
        <v>3961</v>
      </c>
      <c r="L1205" s="28" t="s">
        <v>3927</v>
      </c>
      <c r="M1205" s="28" t="s">
        <v>21</v>
      </c>
      <c r="O1205" s="92">
        <v>35244</v>
      </c>
      <c r="P1205" s="28" t="s">
        <v>21</v>
      </c>
      <c r="Q1205" s="26" t="b">
        <v>0</v>
      </c>
      <c r="R1205" s="22">
        <f t="shared" si="18"/>
        <v>41</v>
      </c>
    </row>
    <row r="1206" spans="1:18">
      <c r="A1206" s="26">
        <v>3597</v>
      </c>
      <c r="B1206" s="27">
        <v>35207</v>
      </c>
      <c r="C1206" s="28" t="s">
        <v>3962</v>
      </c>
      <c r="D1206" s="27">
        <v>35207</v>
      </c>
      <c r="E1206" s="28" t="s">
        <v>3963</v>
      </c>
      <c r="F1206" s="28" t="s">
        <v>741</v>
      </c>
      <c r="G1206" s="28" t="s">
        <v>20</v>
      </c>
      <c r="H1206" s="28" t="s">
        <v>21</v>
      </c>
      <c r="I1206" s="28" t="s">
        <v>21</v>
      </c>
      <c r="J1206" s="28" t="s">
        <v>3964</v>
      </c>
      <c r="K1206" s="28" t="s">
        <v>3965</v>
      </c>
      <c r="L1206" s="28" t="s">
        <v>686</v>
      </c>
      <c r="M1206" s="28" t="s">
        <v>67</v>
      </c>
      <c r="O1206" s="92">
        <v>36443</v>
      </c>
      <c r="P1206" s="28" t="s">
        <v>21</v>
      </c>
      <c r="Q1206" s="26" t="b">
        <v>0</v>
      </c>
      <c r="R1206" s="22">
        <f t="shared" si="18"/>
        <v>1234</v>
      </c>
    </row>
    <row r="1207" spans="1:18">
      <c r="A1207" s="26">
        <v>3598</v>
      </c>
      <c r="B1207" s="27">
        <v>35207</v>
      </c>
      <c r="C1207" s="28" t="s">
        <v>3966</v>
      </c>
      <c r="D1207" s="27">
        <v>35203</v>
      </c>
      <c r="E1207" s="28" t="s">
        <v>3967</v>
      </c>
      <c r="F1207" s="28" t="s">
        <v>124</v>
      </c>
      <c r="G1207" s="28" t="s">
        <v>20</v>
      </c>
      <c r="H1207" s="28" t="s">
        <v>21</v>
      </c>
      <c r="I1207" s="28" t="s">
        <v>21</v>
      </c>
      <c r="J1207" s="28" t="s">
        <v>3968</v>
      </c>
      <c r="K1207" s="28" t="s">
        <v>21</v>
      </c>
      <c r="L1207" s="28" t="s">
        <v>3969</v>
      </c>
      <c r="M1207" s="28" t="s">
        <v>21</v>
      </c>
      <c r="O1207" s="92">
        <v>35612</v>
      </c>
      <c r="P1207" s="28" t="s">
        <v>21</v>
      </c>
      <c r="Q1207" s="26" t="b">
        <v>0</v>
      </c>
      <c r="R1207" s="22">
        <f t="shared" si="18"/>
        <v>404</v>
      </c>
    </row>
    <row r="1208" spans="1:18" ht="24">
      <c r="A1208" s="26">
        <v>3601</v>
      </c>
      <c r="B1208" s="27">
        <v>35208</v>
      </c>
      <c r="C1208" s="28" t="s">
        <v>3970</v>
      </c>
      <c r="D1208" s="27">
        <v>35208</v>
      </c>
      <c r="E1208" s="28" t="s">
        <v>1928</v>
      </c>
      <c r="F1208" s="28" t="s">
        <v>3971</v>
      </c>
      <c r="G1208" s="28" t="s">
        <v>20</v>
      </c>
      <c r="H1208" s="28" t="s">
        <v>189</v>
      </c>
      <c r="I1208" s="28" t="s">
        <v>189</v>
      </c>
      <c r="J1208" s="28" t="s">
        <v>3972</v>
      </c>
      <c r="K1208" s="28" t="s">
        <v>21</v>
      </c>
      <c r="L1208" s="28" t="s">
        <v>821</v>
      </c>
      <c r="M1208" s="28" t="s">
        <v>88</v>
      </c>
      <c r="O1208" s="92">
        <v>36377</v>
      </c>
      <c r="P1208" s="28" t="s">
        <v>31</v>
      </c>
      <c r="Q1208" s="26" t="b">
        <v>0</v>
      </c>
      <c r="R1208" s="22">
        <f t="shared" si="18"/>
        <v>1168</v>
      </c>
    </row>
    <row r="1209" spans="1:18" ht="24">
      <c r="A1209" s="26">
        <v>3602</v>
      </c>
      <c r="B1209" s="27">
        <v>35208</v>
      </c>
      <c r="C1209" s="28" t="s">
        <v>3973</v>
      </c>
      <c r="D1209" s="27">
        <v>35207</v>
      </c>
      <c r="E1209" s="28" t="s">
        <v>38</v>
      </c>
      <c r="F1209" s="28" t="s">
        <v>56</v>
      </c>
      <c r="G1209" s="28" t="s">
        <v>20</v>
      </c>
      <c r="H1209" s="28" t="s">
        <v>21</v>
      </c>
      <c r="I1209" s="28" t="s">
        <v>21</v>
      </c>
      <c r="J1209" s="28" t="s">
        <v>3974</v>
      </c>
      <c r="K1209" s="28" t="s">
        <v>21</v>
      </c>
      <c r="L1209" s="28" t="s">
        <v>30</v>
      </c>
      <c r="M1209" s="28" t="s">
        <v>21</v>
      </c>
      <c r="N1209" s="29">
        <v>35226</v>
      </c>
      <c r="O1209" s="92">
        <v>35222</v>
      </c>
      <c r="P1209" s="28" t="s">
        <v>21</v>
      </c>
      <c r="Q1209" s="26" t="b">
        <v>0</v>
      </c>
      <c r="R1209" s="22">
        <f t="shared" si="18"/>
        <v>13</v>
      </c>
    </row>
    <row r="1210" spans="1:18" ht="24">
      <c r="A1210" s="26">
        <v>3603</v>
      </c>
      <c r="B1210" s="27">
        <v>35213</v>
      </c>
      <c r="C1210" s="28" t="s">
        <v>3975</v>
      </c>
      <c r="D1210" s="27">
        <v>35208</v>
      </c>
      <c r="E1210" s="28" t="s">
        <v>3976</v>
      </c>
      <c r="F1210" s="28" t="s">
        <v>533</v>
      </c>
      <c r="G1210" s="28" t="s">
        <v>20</v>
      </c>
      <c r="H1210" s="28" t="s">
        <v>21</v>
      </c>
      <c r="I1210" s="28" t="s">
        <v>21</v>
      </c>
      <c r="J1210" s="28" t="s">
        <v>3977</v>
      </c>
      <c r="K1210" s="28" t="s">
        <v>21</v>
      </c>
      <c r="L1210" s="28" t="s">
        <v>67</v>
      </c>
      <c r="M1210" s="28" t="s">
        <v>21</v>
      </c>
      <c r="O1210" s="92">
        <v>35521</v>
      </c>
      <c r="P1210" s="28" t="s">
        <v>31</v>
      </c>
      <c r="Q1210" s="26" t="b">
        <v>0</v>
      </c>
      <c r="R1210" s="22">
        <f t="shared" si="18"/>
        <v>307</v>
      </c>
    </row>
    <row r="1211" spans="1:18">
      <c r="A1211" s="26">
        <v>3375</v>
      </c>
      <c r="B1211" s="27">
        <v>35223</v>
      </c>
      <c r="C1211" s="28" t="s">
        <v>3622</v>
      </c>
      <c r="D1211" s="27">
        <v>34857</v>
      </c>
      <c r="E1211" s="28" t="s">
        <v>3623</v>
      </c>
      <c r="F1211" s="28" t="s">
        <v>565</v>
      </c>
      <c r="G1211" s="28" t="s">
        <v>20</v>
      </c>
      <c r="H1211" s="28" t="s">
        <v>566</v>
      </c>
      <c r="I1211" s="28" t="s">
        <v>566</v>
      </c>
      <c r="J1211" s="28" t="s">
        <v>3624</v>
      </c>
      <c r="K1211" s="28" t="s">
        <v>3625</v>
      </c>
      <c r="L1211" s="28" t="s">
        <v>88</v>
      </c>
      <c r="M1211" s="28" t="s">
        <v>21</v>
      </c>
      <c r="O1211" s="92">
        <v>35733</v>
      </c>
      <c r="P1211" s="28" t="s">
        <v>31</v>
      </c>
      <c r="Q1211" s="26" t="b">
        <v>0</v>
      </c>
      <c r="R1211" s="22">
        <f t="shared" si="18"/>
        <v>509</v>
      </c>
    </row>
    <row r="1212" spans="1:18">
      <c r="A1212" s="26">
        <v>3608</v>
      </c>
      <c r="B1212" s="27">
        <v>35236</v>
      </c>
      <c r="C1212" s="28" t="s">
        <v>3978</v>
      </c>
      <c r="D1212" s="27">
        <v>35236</v>
      </c>
      <c r="E1212" s="28" t="s">
        <v>1928</v>
      </c>
      <c r="F1212" s="28" t="s">
        <v>39</v>
      </c>
      <c r="G1212" s="28" t="s">
        <v>20</v>
      </c>
      <c r="H1212" s="28" t="s">
        <v>21</v>
      </c>
      <c r="I1212" s="28" t="s">
        <v>21</v>
      </c>
      <c r="J1212" s="28" t="s">
        <v>39</v>
      </c>
      <c r="K1212" s="28" t="s">
        <v>3979</v>
      </c>
      <c r="L1212" s="28" t="s">
        <v>24</v>
      </c>
      <c r="M1212" s="28" t="s">
        <v>21</v>
      </c>
      <c r="O1212" s="92">
        <v>35331</v>
      </c>
      <c r="P1212" s="28" t="s">
        <v>21</v>
      </c>
      <c r="Q1212" s="26" t="b">
        <v>0</v>
      </c>
      <c r="R1212" s="22">
        <f t="shared" si="18"/>
        <v>94</v>
      </c>
    </row>
    <row r="1213" spans="1:18" ht="24">
      <c r="A1213" s="26">
        <v>3609</v>
      </c>
      <c r="B1213" s="27">
        <v>35244</v>
      </c>
      <c r="C1213" s="28" t="s">
        <v>3980</v>
      </c>
      <c r="D1213" s="27">
        <v>35137</v>
      </c>
      <c r="E1213" s="28" t="s">
        <v>38</v>
      </c>
      <c r="F1213" s="28" t="s">
        <v>1111</v>
      </c>
      <c r="G1213" s="28" t="s">
        <v>20</v>
      </c>
      <c r="H1213" s="28" t="s">
        <v>21</v>
      </c>
      <c r="I1213" s="28" t="s">
        <v>21</v>
      </c>
      <c r="J1213" s="28" t="s">
        <v>3981</v>
      </c>
      <c r="K1213" s="28" t="s">
        <v>3982</v>
      </c>
      <c r="L1213" s="28" t="s">
        <v>24</v>
      </c>
      <c r="M1213" s="28" t="s">
        <v>21</v>
      </c>
      <c r="O1213" s="92">
        <v>35242</v>
      </c>
      <c r="P1213" s="28" t="s">
        <v>21</v>
      </c>
      <c r="Q1213" s="26" t="b">
        <v>0</v>
      </c>
      <c r="R1213" s="22">
        <f t="shared" si="18"/>
        <v>2</v>
      </c>
    </row>
    <row r="1214" spans="1:18">
      <c r="A1214" s="26">
        <v>3611</v>
      </c>
      <c r="B1214" s="27">
        <v>35247</v>
      </c>
      <c r="C1214" s="28" t="s">
        <v>3983</v>
      </c>
      <c r="D1214" s="27">
        <v>35125</v>
      </c>
      <c r="E1214" s="28" t="s">
        <v>3984</v>
      </c>
      <c r="F1214" s="28" t="s">
        <v>1047</v>
      </c>
      <c r="G1214" s="28" t="s">
        <v>20</v>
      </c>
      <c r="H1214" s="28" t="s">
        <v>71</v>
      </c>
      <c r="I1214" s="28" t="s">
        <v>72</v>
      </c>
      <c r="J1214" s="28" t="s">
        <v>3985</v>
      </c>
      <c r="K1214" s="28" t="s">
        <v>3986</v>
      </c>
      <c r="L1214" s="28" t="s">
        <v>1152</v>
      </c>
      <c r="M1214" s="28" t="s">
        <v>21</v>
      </c>
      <c r="N1214" s="29">
        <v>35174</v>
      </c>
      <c r="O1214" s="92">
        <v>35248</v>
      </c>
      <c r="P1214" s="28" t="s">
        <v>21</v>
      </c>
      <c r="Q1214" s="26" t="b">
        <v>0</v>
      </c>
      <c r="R1214" s="22">
        <f t="shared" si="18"/>
        <v>1</v>
      </c>
    </row>
    <row r="1215" spans="1:18" ht="24">
      <c r="A1215" s="26">
        <v>3612</v>
      </c>
      <c r="B1215" s="27">
        <v>35247</v>
      </c>
      <c r="C1215" s="28" t="s">
        <v>3987</v>
      </c>
      <c r="D1215" s="27">
        <v>35025</v>
      </c>
      <c r="E1215" s="28" t="s">
        <v>3988</v>
      </c>
      <c r="F1215" s="28" t="s">
        <v>149</v>
      </c>
      <c r="G1215" s="28" t="s">
        <v>20</v>
      </c>
      <c r="H1215" s="28" t="s">
        <v>21</v>
      </c>
      <c r="I1215" s="28" t="s">
        <v>21</v>
      </c>
      <c r="J1215" s="28" t="s">
        <v>3989</v>
      </c>
      <c r="K1215" s="28" t="s">
        <v>21</v>
      </c>
      <c r="L1215" s="28" t="s">
        <v>821</v>
      </c>
      <c r="M1215" s="28" t="s">
        <v>88</v>
      </c>
      <c r="O1215" s="92">
        <v>36494</v>
      </c>
      <c r="P1215" s="28" t="s">
        <v>21</v>
      </c>
      <c r="Q1215" s="26" t="b">
        <v>0</v>
      </c>
      <c r="R1215" s="22">
        <f t="shared" si="18"/>
        <v>1246</v>
      </c>
    </row>
    <row r="1216" spans="1:18">
      <c r="A1216" s="26">
        <v>3613</v>
      </c>
      <c r="B1216" s="27">
        <v>35251</v>
      </c>
      <c r="C1216" s="28" t="s">
        <v>3990</v>
      </c>
      <c r="D1216" s="27">
        <v>35244</v>
      </c>
      <c r="E1216" s="28" t="s">
        <v>3991</v>
      </c>
      <c r="F1216" s="28" t="s">
        <v>124</v>
      </c>
      <c r="G1216" s="28" t="s">
        <v>20</v>
      </c>
      <c r="H1216" s="28" t="s">
        <v>21</v>
      </c>
      <c r="I1216" s="28" t="s">
        <v>21</v>
      </c>
      <c r="J1216" s="28" t="s">
        <v>3992</v>
      </c>
      <c r="K1216" s="28" t="s">
        <v>21</v>
      </c>
      <c r="L1216" s="28" t="s">
        <v>3930</v>
      </c>
      <c r="M1216" s="28" t="s">
        <v>21</v>
      </c>
      <c r="O1216" s="92">
        <v>35314</v>
      </c>
      <c r="P1216" s="28" t="s">
        <v>31</v>
      </c>
      <c r="Q1216" s="26" t="b">
        <v>0</v>
      </c>
      <c r="R1216" s="22">
        <f t="shared" si="18"/>
        <v>61</v>
      </c>
    </row>
    <row r="1217" spans="1:18">
      <c r="A1217" s="26">
        <v>3634</v>
      </c>
      <c r="B1217" s="27">
        <v>35251</v>
      </c>
      <c r="C1217" s="28" t="s">
        <v>4062</v>
      </c>
      <c r="D1217" s="27">
        <v>35251</v>
      </c>
      <c r="E1217" s="28" t="s">
        <v>4063</v>
      </c>
      <c r="F1217" s="28" t="s">
        <v>3430</v>
      </c>
      <c r="G1217" s="28" t="s">
        <v>20</v>
      </c>
      <c r="H1217" s="28" t="s">
        <v>71</v>
      </c>
      <c r="I1217" s="28" t="s">
        <v>21</v>
      </c>
      <c r="J1217" s="28" t="s">
        <v>4064</v>
      </c>
      <c r="K1217" s="28" t="s">
        <v>4065</v>
      </c>
      <c r="L1217" s="28" t="s">
        <v>30</v>
      </c>
      <c r="M1217" s="28" t="s">
        <v>21</v>
      </c>
      <c r="O1217" s="92">
        <v>35262</v>
      </c>
      <c r="P1217" s="28" t="s">
        <v>21</v>
      </c>
      <c r="Q1217" s="26" t="b">
        <v>0</v>
      </c>
      <c r="R1217" s="22">
        <f t="shared" si="18"/>
        <v>11</v>
      </c>
    </row>
    <row r="1218" spans="1:18">
      <c r="A1218" s="26">
        <v>3614</v>
      </c>
      <c r="B1218" s="27">
        <v>35255</v>
      </c>
      <c r="C1218" s="28" t="s">
        <v>3993</v>
      </c>
      <c r="D1218" s="27">
        <v>35236</v>
      </c>
      <c r="E1218" s="28" t="s">
        <v>38</v>
      </c>
      <c r="F1218" s="28" t="s">
        <v>124</v>
      </c>
      <c r="G1218" s="28" t="s">
        <v>20</v>
      </c>
      <c r="H1218" s="28" t="s">
        <v>21</v>
      </c>
      <c r="I1218" s="28" t="s">
        <v>21</v>
      </c>
      <c r="J1218" s="28" t="s">
        <v>3994</v>
      </c>
      <c r="K1218" s="28" t="s">
        <v>3995</v>
      </c>
      <c r="L1218" s="28" t="s">
        <v>3930</v>
      </c>
      <c r="M1218" s="28" t="s">
        <v>21</v>
      </c>
      <c r="O1218" s="92">
        <v>35352</v>
      </c>
      <c r="P1218" s="28" t="s">
        <v>31</v>
      </c>
      <c r="Q1218" s="26" t="b">
        <v>0</v>
      </c>
      <c r="R1218" s="22">
        <f t="shared" ref="R1218:R1281" si="19">IF(O1218=" ", " ", INT(YEARFRAC(O1218, B1218)*365))</f>
        <v>96</v>
      </c>
    </row>
    <row r="1219" spans="1:18">
      <c r="A1219" s="26">
        <v>3615</v>
      </c>
      <c r="B1219" s="27">
        <v>35255</v>
      </c>
      <c r="C1219" s="28" t="s">
        <v>3996</v>
      </c>
      <c r="D1219" s="27">
        <v>35143</v>
      </c>
      <c r="E1219" s="28" t="s">
        <v>3997</v>
      </c>
      <c r="F1219" s="28" t="s">
        <v>56</v>
      </c>
      <c r="G1219" s="28" t="s">
        <v>20</v>
      </c>
      <c r="H1219" s="28" t="s">
        <v>21</v>
      </c>
      <c r="I1219" s="28" t="s">
        <v>21</v>
      </c>
      <c r="J1219" s="28" t="s">
        <v>3998</v>
      </c>
      <c r="K1219" s="28" t="s">
        <v>21</v>
      </c>
      <c r="L1219" s="28" t="s">
        <v>3930</v>
      </c>
      <c r="M1219" s="28" t="s">
        <v>21</v>
      </c>
      <c r="O1219" s="92">
        <v>35466</v>
      </c>
      <c r="P1219" s="28" t="s">
        <v>31</v>
      </c>
      <c r="Q1219" s="26" t="b">
        <v>0</v>
      </c>
      <c r="R1219" s="22">
        <f t="shared" si="19"/>
        <v>208</v>
      </c>
    </row>
    <row r="1220" spans="1:18">
      <c r="A1220" s="26">
        <v>3616</v>
      </c>
      <c r="B1220" s="27">
        <v>35257</v>
      </c>
      <c r="C1220" s="28" t="s">
        <v>3999</v>
      </c>
      <c r="D1220" s="27">
        <v>35251</v>
      </c>
      <c r="E1220" s="28" t="s">
        <v>38</v>
      </c>
      <c r="F1220" s="28" t="s">
        <v>194</v>
      </c>
      <c r="G1220" s="28" t="s">
        <v>20</v>
      </c>
      <c r="H1220" s="28" t="s">
        <v>71</v>
      </c>
      <c r="I1220" s="28" t="s">
        <v>72</v>
      </c>
      <c r="J1220" s="28" t="s">
        <v>4000</v>
      </c>
      <c r="K1220" s="28" t="s">
        <v>4001</v>
      </c>
      <c r="L1220" s="28" t="s">
        <v>1946</v>
      </c>
      <c r="M1220" s="28" t="s">
        <v>21</v>
      </c>
      <c r="N1220" s="29">
        <v>35262</v>
      </c>
      <c r="O1220" s="92">
        <v>35262</v>
      </c>
      <c r="P1220" s="28" t="s">
        <v>21</v>
      </c>
      <c r="Q1220" s="26" t="b">
        <v>0</v>
      </c>
      <c r="R1220" s="22">
        <f t="shared" si="19"/>
        <v>5</v>
      </c>
    </row>
    <row r="1221" spans="1:18" ht="36">
      <c r="A1221" s="26">
        <v>3617</v>
      </c>
      <c r="B1221" s="27">
        <v>35270</v>
      </c>
      <c r="C1221" s="28" t="s">
        <v>4002</v>
      </c>
      <c r="D1221" s="27">
        <v>35184</v>
      </c>
      <c r="E1221" s="28" t="s">
        <v>4003</v>
      </c>
      <c r="F1221" s="28" t="s">
        <v>4004</v>
      </c>
      <c r="G1221" s="28" t="s">
        <v>20</v>
      </c>
      <c r="H1221" s="28" t="s">
        <v>189</v>
      </c>
      <c r="I1221" s="28" t="s">
        <v>189</v>
      </c>
      <c r="J1221" s="28" t="s">
        <v>4005</v>
      </c>
      <c r="K1221" s="28" t="s">
        <v>4006</v>
      </c>
      <c r="L1221" s="28" t="s">
        <v>3588</v>
      </c>
      <c r="M1221" s="28" t="s">
        <v>4007</v>
      </c>
      <c r="O1221" s="92">
        <v>39573</v>
      </c>
      <c r="P1221" s="28" t="s">
        <v>31</v>
      </c>
      <c r="Q1221" s="26" t="b">
        <v>0</v>
      </c>
      <c r="R1221" s="22">
        <f t="shared" si="19"/>
        <v>4299</v>
      </c>
    </row>
    <row r="1222" spans="1:18" ht="24">
      <c r="A1222" s="26">
        <v>3618</v>
      </c>
      <c r="B1222" s="27">
        <v>35270</v>
      </c>
      <c r="C1222" s="28" t="s">
        <v>4008</v>
      </c>
      <c r="D1222" s="27">
        <v>35261</v>
      </c>
      <c r="E1222" s="28" t="s">
        <v>299</v>
      </c>
      <c r="F1222" s="28" t="s">
        <v>1338</v>
      </c>
      <c r="G1222" s="28" t="s">
        <v>20</v>
      </c>
      <c r="H1222" s="28" t="s">
        <v>21</v>
      </c>
      <c r="I1222" s="28" t="s">
        <v>21</v>
      </c>
      <c r="J1222" s="28" t="s">
        <v>4009</v>
      </c>
      <c r="K1222" s="28" t="s">
        <v>21</v>
      </c>
      <c r="L1222" s="28" t="s">
        <v>66</v>
      </c>
      <c r="M1222" s="28" t="s">
        <v>1947</v>
      </c>
      <c r="O1222" s="92">
        <v>37859</v>
      </c>
      <c r="P1222" s="28" t="s">
        <v>21</v>
      </c>
      <c r="Q1222" s="26" t="b">
        <v>0</v>
      </c>
      <c r="R1222" s="22">
        <f t="shared" si="19"/>
        <v>2587</v>
      </c>
    </row>
    <row r="1223" spans="1:18" ht="24">
      <c r="A1223" s="26">
        <v>3619</v>
      </c>
      <c r="B1223" s="27">
        <v>35270</v>
      </c>
      <c r="C1223" s="28" t="s">
        <v>4010</v>
      </c>
      <c r="D1223" s="27">
        <v>35039</v>
      </c>
      <c r="E1223" s="28" t="s">
        <v>299</v>
      </c>
      <c r="F1223" s="28" t="s">
        <v>350</v>
      </c>
      <c r="G1223" s="28" t="s">
        <v>20</v>
      </c>
      <c r="H1223" s="28" t="s">
        <v>21</v>
      </c>
      <c r="I1223" s="28" t="s">
        <v>21</v>
      </c>
      <c r="J1223" s="28" t="s">
        <v>4011</v>
      </c>
      <c r="K1223" s="28" t="s">
        <v>4012</v>
      </c>
      <c r="L1223" s="28" t="s">
        <v>66</v>
      </c>
      <c r="M1223" s="28" t="s">
        <v>4013</v>
      </c>
      <c r="O1223" s="92">
        <v>37839</v>
      </c>
      <c r="P1223" s="28" t="s">
        <v>21</v>
      </c>
      <c r="Q1223" s="26" t="b">
        <v>0</v>
      </c>
      <c r="R1223" s="22">
        <f t="shared" si="19"/>
        <v>2567</v>
      </c>
    </row>
    <row r="1224" spans="1:18">
      <c r="A1224" s="26">
        <v>3620</v>
      </c>
      <c r="B1224" s="27">
        <v>35271</v>
      </c>
      <c r="C1224" s="28" t="s">
        <v>4014</v>
      </c>
      <c r="D1224" s="27">
        <v>35272</v>
      </c>
      <c r="E1224" s="28" t="s">
        <v>4015</v>
      </c>
      <c r="F1224" s="28" t="s">
        <v>2943</v>
      </c>
      <c r="G1224" s="28" t="s">
        <v>20</v>
      </c>
      <c r="H1224" s="28" t="s">
        <v>21</v>
      </c>
      <c r="I1224" s="28" t="s">
        <v>21</v>
      </c>
      <c r="J1224" s="28" t="s">
        <v>4016</v>
      </c>
      <c r="K1224" s="28" t="s">
        <v>4017</v>
      </c>
      <c r="L1224" s="28" t="s">
        <v>66</v>
      </c>
      <c r="M1224" s="28" t="s">
        <v>67</v>
      </c>
      <c r="O1224" s="92">
        <v>37699</v>
      </c>
      <c r="P1224" s="28" t="s">
        <v>31</v>
      </c>
      <c r="Q1224" s="26" t="b">
        <v>0</v>
      </c>
      <c r="R1224" s="22">
        <f t="shared" si="19"/>
        <v>2427</v>
      </c>
    </row>
    <row r="1225" spans="1:18" ht="24">
      <c r="A1225" s="26">
        <v>3621</v>
      </c>
      <c r="B1225" s="27">
        <v>35272</v>
      </c>
      <c r="C1225" s="28" t="s">
        <v>4018</v>
      </c>
      <c r="D1225" s="27">
        <v>35271</v>
      </c>
      <c r="E1225" s="28" t="s">
        <v>299</v>
      </c>
      <c r="F1225" s="28" t="s">
        <v>145</v>
      </c>
      <c r="G1225" s="28" t="s">
        <v>21</v>
      </c>
      <c r="H1225" s="28" t="s">
        <v>21</v>
      </c>
      <c r="I1225" s="28" t="s">
        <v>21</v>
      </c>
      <c r="J1225" s="28" t="s">
        <v>4019</v>
      </c>
      <c r="K1225" s="28" t="s">
        <v>4020</v>
      </c>
      <c r="L1225" s="28" t="s">
        <v>3271</v>
      </c>
      <c r="M1225" s="28" t="s">
        <v>21</v>
      </c>
      <c r="O1225" s="92">
        <v>35611</v>
      </c>
      <c r="P1225" s="28" t="s">
        <v>21</v>
      </c>
      <c r="Q1225" s="26" t="b">
        <v>0</v>
      </c>
      <c r="R1225" s="22">
        <f t="shared" si="19"/>
        <v>338</v>
      </c>
    </row>
    <row r="1226" spans="1:18">
      <c r="A1226" s="26">
        <v>3642</v>
      </c>
      <c r="B1226" s="27">
        <v>35276</v>
      </c>
      <c r="C1226" s="28" t="s">
        <v>4084</v>
      </c>
      <c r="D1226" s="27">
        <v>35276</v>
      </c>
      <c r="E1226" s="28" t="s">
        <v>4085</v>
      </c>
      <c r="F1226" s="28" t="s">
        <v>4086</v>
      </c>
      <c r="G1226" s="28" t="s">
        <v>20</v>
      </c>
      <c r="H1226" s="28" t="s">
        <v>21</v>
      </c>
      <c r="I1226" s="28" t="s">
        <v>21</v>
      </c>
      <c r="J1226" s="28" t="s">
        <v>4087</v>
      </c>
      <c r="K1226" s="28" t="s">
        <v>4088</v>
      </c>
      <c r="L1226" s="28" t="s">
        <v>66</v>
      </c>
      <c r="M1226" s="28" t="s">
        <v>67</v>
      </c>
      <c r="O1226" s="92">
        <v>37711</v>
      </c>
      <c r="P1226" s="28" t="s">
        <v>31</v>
      </c>
      <c r="Q1226" s="26" t="b">
        <v>0</v>
      </c>
      <c r="R1226" s="22">
        <f t="shared" si="19"/>
        <v>2433</v>
      </c>
    </row>
    <row r="1227" spans="1:18" ht="24">
      <c r="A1227" s="26">
        <v>3637</v>
      </c>
      <c r="B1227" s="27">
        <v>35277</v>
      </c>
      <c r="C1227" s="28" t="s">
        <v>4070</v>
      </c>
      <c r="D1227" s="27">
        <v>35272</v>
      </c>
      <c r="E1227" s="28" t="s">
        <v>38</v>
      </c>
      <c r="F1227" s="28" t="s">
        <v>149</v>
      </c>
      <c r="G1227" s="28" t="s">
        <v>20</v>
      </c>
      <c r="H1227" s="28" t="s">
        <v>21</v>
      </c>
      <c r="I1227" s="28" t="s">
        <v>21</v>
      </c>
      <c r="J1227" s="28" t="s">
        <v>4071</v>
      </c>
      <c r="K1227" s="28" t="s">
        <v>4072</v>
      </c>
      <c r="L1227" s="28" t="s">
        <v>3930</v>
      </c>
      <c r="M1227" s="28" t="s">
        <v>21</v>
      </c>
      <c r="O1227" s="92">
        <v>35520</v>
      </c>
      <c r="P1227" s="28" t="s">
        <v>21</v>
      </c>
      <c r="Q1227" s="26" t="b">
        <v>0</v>
      </c>
      <c r="R1227" s="22">
        <f t="shared" si="19"/>
        <v>243</v>
      </c>
    </row>
    <row r="1228" spans="1:18">
      <c r="A1228" s="26">
        <v>3622</v>
      </c>
      <c r="B1228" s="27">
        <v>35279</v>
      </c>
      <c r="C1228" s="28" t="s">
        <v>4021</v>
      </c>
      <c r="D1228" s="27">
        <v>35174</v>
      </c>
      <c r="E1228" s="28" t="s">
        <v>4022</v>
      </c>
      <c r="F1228" s="28" t="s">
        <v>85</v>
      </c>
      <c r="G1228" s="28" t="s">
        <v>20</v>
      </c>
      <c r="H1228" s="28" t="s">
        <v>21</v>
      </c>
      <c r="I1228" s="28" t="s">
        <v>21</v>
      </c>
      <c r="J1228" s="28" t="s">
        <v>4023</v>
      </c>
      <c r="K1228" s="28" t="s">
        <v>21</v>
      </c>
      <c r="L1228" s="28" t="s">
        <v>3930</v>
      </c>
      <c r="M1228" s="28" t="s">
        <v>21</v>
      </c>
      <c r="O1228" s="92">
        <v>35298</v>
      </c>
      <c r="P1228" s="28" t="s">
        <v>31</v>
      </c>
      <c r="Q1228" s="26" t="b">
        <v>0</v>
      </c>
      <c r="R1228" s="22">
        <f t="shared" si="19"/>
        <v>19</v>
      </c>
    </row>
    <row r="1229" spans="1:18">
      <c r="A1229" s="26">
        <v>3623</v>
      </c>
      <c r="B1229" s="27">
        <v>35279</v>
      </c>
      <c r="C1229" s="28" t="s">
        <v>4024</v>
      </c>
      <c r="D1229" s="27">
        <v>35271</v>
      </c>
      <c r="E1229" s="28" t="s">
        <v>4025</v>
      </c>
      <c r="F1229" s="28" t="s">
        <v>3430</v>
      </c>
      <c r="G1229" s="28" t="s">
        <v>20</v>
      </c>
      <c r="H1229" s="28" t="s">
        <v>71</v>
      </c>
      <c r="I1229" s="28" t="s">
        <v>72</v>
      </c>
      <c r="J1229" s="28" t="s">
        <v>4026</v>
      </c>
      <c r="K1229" s="28" t="s">
        <v>4027</v>
      </c>
      <c r="L1229" s="28" t="s">
        <v>821</v>
      </c>
      <c r="M1229" s="28" t="s">
        <v>88</v>
      </c>
      <c r="O1229" s="92">
        <v>36349</v>
      </c>
      <c r="P1229" s="28" t="s">
        <v>21</v>
      </c>
      <c r="Q1229" s="26" t="b">
        <v>0</v>
      </c>
      <c r="R1229" s="22">
        <f t="shared" si="19"/>
        <v>1070</v>
      </c>
    </row>
    <row r="1230" spans="1:18" ht="24">
      <c r="A1230" s="26">
        <v>3624</v>
      </c>
      <c r="B1230" s="27">
        <v>35279</v>
      </c>
      <c r="C1230" s="28" t="s">
        <v>4028</v>
      </c>
      <c r="D1230" s="27">
        <v>35269</v>
      </c>
      <c r="E1230" s="28" t="s">
        <v>4029</v>
      </c>
      <c r="F1230" s="28" t="s">
        <v>1771</v>
      </c>
      <c r="G1230" s="28" t="s">
        <v>20</v>
      </c>
      <c r="H1230" s="28" t="s">
        <v>189</v>
      </c>
      <c r="I1230" s="28" t="s">
        <v>189</v>
      </c>
      <c r="J1230" s="28" t="s">
        <v>4030</v>
      </c>
      <c r="K1230" s="28" t="s">
        <v>21</v>
      </c>
      <c r="L1230" s="28" t="s">
        <v>67</v>
      </c>
      <c r="M1230" s="28" t="s">
        <v>21</v>
      </c>
      <c r="N1230" s="18"/>
      <c r="O1230" s="92">
        <v>35808</v>
      </c>
      <c r="P1230" s="28" t="s">
        <v>21</v>
      </c>
      <c r="Q1230" s="26" t="b">
        <v>0</v>
      </c>
      <c r="R1230" s="22">
        <f t="shared" si="19"/>
        <v>528</v>
      </c>
    </row>
    <row r="1231" spans="1:18">
      <c r="A1231" s="26">
        <v>3626</v>
      </c>
      <c r="B1231" s="27">
        <v>35283</v>
      </c>
      <c r="C1231" s="28" t="s">
        <v>4031</v>
      </c>
      <c r="D1231" s="27">
        <v>35271</v>
      </c>
      <c r="E1231" s="28" t="s">
        <v>38</v>
      </c>
      <c r="F1231" s="28" t="s">
        <v>4032</v>
      </c>
      <c r="G1231" s="28" t="s">
        <v>20</v>
      </c>
      <c r="H1231" s="28" t="s">
        <v>71</v>
      </c>
      <c r="I1231" s="28" t="s">
        <v>21</v>
      </c>
      <c r="J1231" s="28" t="s">
        <v>4033</v>
      </c>
      <c r="K1231" s="28" t="s">
        <v>4034</v>
      </c>
      <c r="L1231" s="28" t="s">
        <v>67</v>
      </c>
      <c r="M1231" s="28" t="s">
        <v>21</v>
      </c>
      <c r="O1231" s="92">
        <v>35566</v>
      </c>
      <c r="P1231" s="28" t="s">
        <v>31</v>
      </c>
      <c r="Q1231" s="26" t="b">
        <v>0</v>
      </c>
      <c r="R1231" s="22">
        <f t="shared" si="19"/>
        <v>283</v>
      </c>
    </row>
    <row r="1232" spans="1:18">
      <c r="A1232" s="26">
        <v>3627</v>
      </c>
      <c r="B1232" s="27">
        <v>35284</v>
      </c>
      <c r="C1232" s="28" t="s">
        <v>4035</v>
      </c>
      <c r="D1232" s="27">
        <v>35283</v>
      </c>
      <c r="E1232" s="28" t="s">
        <v>4036</v>
      </c>
      <c r="F1232" s="28" t="s">
        <v>545</v>
      </c>
      <c r="G1232" s="28" t="s">
        <v>20</v>
      </c>
      <c r="H1232" s="28" t="s">
        <v>21</v>
      </c>
      <c r="I1232" s="28" t="s">
        <v>21</v>
      </c>
      <c r="J1232" s="28" t="s">
        <v>4037</v>
      </c>
      <c r="K1232" s="28" t="s">
        <v>4038</v>
      </c>
      <c r="L1232" s="28" t="s">
        <v>67</v>
      </c>
      <c r="M1232" s="28" t="s">
        <v>21</v>
      </c>
      <c r="O1232" s="92">
        <v>35664</v>
      </c>
      <c r="P1232" s="28" t="s">
        <v>21</v>
      </c>
      <c r="Q1232" s="26" t="b">
        <v>0</v>
      </c>
      <c r="R1232" s="22">
        <f t="shared" si="19"/>
        <v>380</v>
      </c>
    </row>
    <row r="1233" spans="1:18" ht="24">
      <c r="A1233" s="26">
        <v>3629</v>
      </c>
      <c r="B1233" s="27">
        <v>35284</v>
      </c>
      <c r="C1233" s="28" t="s">
        <v>4042</v>
      </c>
      <c r="D1233" s="27">
        <v>35264</v>
      </c>
      <c r="E1233" s="28" t="s">
        <v>4043</v>
      </c>
      <c r="F1233" s="28" t="s">
        <v>793</v>
      </c>
      <c r="G1233" s="28" t="s">
        <v>20</v>
      </c>
      <c r="H1233" s="28" t="s">
        <v>21</v>
      </c>
      <c r="I1233" s="28" t="s">
        <v>21</v>
      </c>
      <c r="J1233" s="28" t="s">
        <v>4044</v>
      </c>
      <c r="K1233" s="28" t="s">
        <v>4045</v>
      </c>
      <c r="L1233" s="28" t="s">
        <v>66</v>
      </c>
      <c r="M1233" s="28" t="s">
        <v>21</v>
      </c>
      <c r="O1233" s="92">
        <v>35409</v>
      </c>
      <c r="P1233" s="28" t="s">
        <v>31</v>
      </c>
      <c r="Q1233" s="26" t="b">
        <v>0</v>
      </c>
      <c r="R1233" s="22">
        <f t="shared" si="19"/>
        <v>124</v>
      </c>
    </row>
    <row r="1234" spans="1:18">
      <c r="A1234" s="26">
        <v>3630</v>
      </c>
      <c r="B1234" s="27">
        <v>35285</v>
      </c>
      <c r="C1234" s="28" t="s">
        <v>4046</v>
      </c>
      <c r="D1234" s="27">
        <v>35263</v>
      </c>
      <c r="E1234" s="28" t="s">
        <v>38</v>
      </c>
      <c r="F1234" s="28" t="s">
        <v>124</v>
      </c>
      <c r="G1234" s="28" t="s">
        <v>20</v>
      </c>
      <c r="H1234" s="28" t="s">
        <v>21</v>
      </c>
      <c r="I1234" s="28" t="s">
        <v>21</v>
      </c>
      <c r="J1234" s="28" t="s">
        <v>4047</v>
      </c>
      <c r="K1234" s="28" t="s">
        <v>4048</v>
      </c>
      <c r="L1234" s="28" t="s">
        <v>3526</v>
      </c>
      <c r="M1234" s="28" t="s">
        <v>4049</v>
      </c>
      <c r="O1234" s="92">
        <v>37151</v>
      </c>
      <c r="P1234" s="28" t="s">
        <v>31</v>
      </c>
      <c r="Q1234" s="26" t="b">
        <v>0</v>
      </c>
      <c r="R1234" s="22">
        <f t="shared" si="19"/>
        <v>1864</v>
      </c>
    </row>
    <row r="1235" spans="1:18" ht="24">
      <c r="A1235" s="26">
        <v>3628</v>
      </c>
      <c r="B1235" s="27">
        <v>35290</v>
      </c>
      <c r="C1235" s="28" t="s">
        <v>4039</v>
      </c>
      <c r="D1235" s="27">
        <v>35283</v>
      </c>
      <c r="E1235" s="28" t="s">
        <v>4040</v>
      </c>
      <c r="F1235" s="28" t="s">
        <v>56</v>
      </c>
      <c r="G1235" s="28" t="s">
        <v>20</v>
      </c>
      <c r="H1235" s="28" t="s">
        <v>21</v>
      </c>
      <c r="I1235" s="28" t="s">
        <v>21</v>
      </c>
      <c r="J1235" s="28" t="s">
        <v>4041</v>
      </c>
      <c r="K1235" s="28" t="s">
        <v>21</v>
      </c>
      <c r="L1235" s="28" t="s">
        <v>314</v>
      </c>
      <c r="M1235" s="28" t="s">
        <v>1800</v>
      </c>
      <c r="O1235" s="92">
        <v>37437</v>
      </c>
      <c r="P1235" s="28" t="s">
        <v>31</v>
      </c>
      <c r="Q1235" s="26" t="b">
        <v>0</v>
      </c>
      <c r="R1235" s="22">
        <f t="shared" si="19"/>
        <v>2146</v>
      </c>
    </row>
    <row r="1236" spans="1:18" ht="24">
      <c r="A1236" s="26">
        <v>3631</v>
      </c>
      <c r="B1236" s="27">
        <v>35296</v>
      </c>
      <c r="C1236" s="28" t="s">
        <v>4050</v>
      </c>
      <c r="D1236" s="27">
        <v>35290</v>
      </c>
      <c r="E1236" s="28" t="s">
        <v>4051</v>
      </c>
      <c r="F1236" s="28" t="s">
        <v>34</v>
      </c>
      <c r="G1236" s="28" t="s">
        <v>20</v>
      </c>
      <c r="H1236" s="28" t="s">
        <v>21</v>
      </c>
      <c r="I1236" s="28" t="s">
        <v>21</v>
      </c>
      <c r="J1236" s="28" t="s">
        <v>4052</v>
      </c>
      <c r="K1236" s="28" t="s">
        <v>4053</v>
      </c>
      <c r="L1236" s="28" t="s">
        <v>821</v>
      </c>
      <c r="M1236" s="28" t="s">
        <v>88</v>
      </c>
      <c r="O1236" s="92">
        <v>36503</v>
      </c>
      <c r="P1236" s="28" t="s">
        <v>21</v>
      </c>
      <c r="Q1236" s="26" t="b">
        <v>0</v>
      </c>
      <c r="R1236" s="22">
        <f t="shared" si="19"/>
        <v>1206</v>
      </c>
    </row>
    <row r="1237" spans="1:18" ht="24">
      <c r="A1237" s="26">
        <v>4708</v>
      </c>
      <c r="B1237" s="27">
        <v>35296</v>
      </c>
      <c r="C1237" s="28" t="s">
        <v>4050</v>
      </c>
      <c r="D1237" s="27">
        <v>35290</v>
      </c>
      <c r="E1237" s="28" t="s">
        <v>4051</v>
      </c>
      <c r="F1237" s="28" t="s">
        <v>104</v>
      </c>
      <c r="G1237" s="28" t="s">
        <v>20</v>
      </c>
      <c r="H1237" s="28" t="s">
        <v>21</v>
      </c>
      <c r="I1237" s="28" t="s">
        <v>21</v>
      </c>
      <c r="J1237" s="28" t="s">
        <v>5796</v>
      </c>
      <c r="K1237" s="28" t="s">
        <v>5797</v>
      </c>
      <c r="L1237" s="28" t="s">
        <v>314</v>
      </c>
      <c r="M1237" s="28" t="s">
        <v>3817</v>
      </c>
      <c r="O1237" s="92">
        <v>37957</v>
      </c>
      <c r="P1237" s="28" t="s">
        <v>21</v>
      </c>
      <c r="Q1237" s="26" t="b">
        <v>0</v>
      </c>
      <c r="R1237" s="22">
        <f t="shared" si="19"/>
        <v>2659</v>
      </c>
    </row>
    <row r="1238" spans="1:18">
      <c r="A1238" s="26">
        <v>3632</v>
      </c>
      <c r="B1238" s="27">
        <v>35307</v>
      </c>
      <c r="C1238" s="28" t="s">
        <v>4054</v>
      </c>
      <c r="D1238" s="27">
        <v>35300</v>
      </c>
      <c r="E1238" s="28" t="s">
        <v>4055</v>
      </c>
      <c r="F1238" s="28" t="s">
        <v>327</v>
      </c>
      <c r="G1238" s="28" t="s">
        <v>20</v>
      </c>
      <c r="H1238" s="28" t="s">
        <v>21</v>
      </c>
      <c r="I1238" s="28" t="s">
        <v>21</v>
      </c>
      <c r="J1238" s="28" t="s">
        <v>4056</v>
      </c>
      <c r="K1238" s="28" t="s">
        <v>4057</v>
      </c>
      <c r="L1238" s="28" t="s">
        <v>821</v>
      </c>
      <c r="M1238" s="28" t="s">
        <v>88</v>
      </c>
      <c r="O1238" s="92">
        <v>36369</v>
      </c>
      <c r="P1238" s="28" t="s">
        <v>31</v>
      </c>
      <c r="Q1238" s="26" t="b">
        <v>0</v>
      </c>
      <c r="R1238" s="22">
        <f t="shared" si="19"/>
        <v>1062</v>
      </c>
    </row>
    <row r="1239" spans="1:18">
      <c r="A1239" s="26">
        <v>3633</v>
      </c>
      <c r="B1239" s="27">
        <v>35312</v>
      </c>
      <c r="C1239" s="28" t="s">
        <v>4058</v>
      </c>
      <c r="D1239" s="27">
        <v>35297</v>
      </c>
      <c r="E1239" s="28" t="s">
        <v>4059</v>
      </c>
      <c r="F1239" s="28" t="s">
        <v>1686</v>
      </c>
      <c r="G1239" s="28" t="s">
        <v>20</v>
      </c>
      <c r="H1239" s="28" t="s">
        <v>21</v>
      </c>
      <c r="I1239" s="28" t="s">
        <v>21</v>
      </c>
      <c r="J1239" s="28" t="s">
        <v>4060</v>
      </c>
      <c r="K1239" s="28" t="s">
        <v>4061</v>
      </c>
      <c r="L1239" s="28" t="s">
        <v>88</v>
      </c>
      <c r="M1239" s="28" t="s">
        <v>21</v>
      </c>
      <c r="O1239" s="92">
        <v>35587</v>
      </c>
      <c r="P1239" s="28" t="s">
        <v>182</v>
      </c>
      <c r="Q1239" s="26" t="b">
        <v>0</v>
      </c>
      <c r="R1239" s="22">
        <f t="shared" si="19"/>
        <v>275</v>
      </c>
    </row>
    <row r="1240" spans="1:18">
      <c r="A1240" s="26">
        <v>3651</v>
      </c>
      <c r="B1240" s="27">
        <v>35312</v>
      </c>
      <c r="C1240" s="28" t="s">
        <v>4109</v>
      </c>
      <c r="D1240" s="27">
        <v>35312</v>
      </c>
      <c r="E1240" s="28" t="s">
        <v>38</v>
      </c>
      <c r="F1240" s="28" t="s">
        <v>4110</v>
      </c>
      <c r="G1240" s="28" t="s">
        <v>21</v>
      </c>
      <c r="H1240" s="28" t="s">
        <v>21</v>
      </c>
      <c r="I1240" s="28" t="s">
        <v>21</v>
      </c>
      <c r="J1240" s="28" t="s">
        <v>4111</v>
      </c>
      <c r="K1240" s="28" t="s">
        <v>4112</v>
      </c>
      <c r="L1240" s="28" t="s">
        <v>3930</v>
      </c>
      <c r="M1240" s="28" t="s">
        <v>21</v>
      </c>
      <c r="N1240" s="18"/>
      <c r="O1240" s="92">
        <v>35348</v>
      </c>
      <c r="P1240" s="28" t="s">
        <v>21</v>
      </c>
      <c r="Q1240" s="26" t="b">
        <v>0</v>
      </c>
      <c r="R1240" s="22">
        <f t="shared" si="19"/>
        <v>36</v>
      </c>
    </row>
    <row r="1241" spans="1:18">
      <c r="A1241" s="26">
        <v>3635</v>
      </c>
      <c r="B1241" s="27">
        <v>35313</v>
      </c>
      <c r="C1241" s="28" t="s">
        <v>4066</v>
      </c>
      <c r="D1241" s="27">
        <v>35298</v>
      </c>
      <c r="E1241" s="28" t="s">
        <v>38</v>
      </c>
      <c r="F1241" s="28" t="s">
        <v>242</v>
      </c>
      <c r="G1241" s="28" t="s">
        <v>20</v>
      </c>
      <c r="H1241" s="28" t="s">
        <v>21</v>
      </c>
      <c r="I1241" s="28" t="s">
        <v>21</v>
      </c>
      <c r="J1241" s="28" t="s">
        <v>2547</v>
      </c>
      <c r="K1241" s="28" t="s">
        <v>21</v>
      </c>
      <c r="L1241" s="28" t="s">
        <v>3930</v>
      </c>
      <c r="M1241" s="28" t="s">
        <v>21</v>
      </c>
      <c r="O1241" s="92">
        <v>35317</v>
      </c>
      <c r="P1241" s="28" t="s">
        <v>31</v>
      </c>
      <c r="Q1241" s="26" t="b">
        <v>0</v>
      </c>
      <c r="R1241" s="22">
        <f t="shared" si="19"/>
        <v>4</v>
      </c>
    </row>
    <row r="1242" spans="1:18" ht="36">
      <c r="A1242" s="26">
        <v>3636</v>
      </c>
      <c r="B1242" s="27">
        <v>35313</v>
      </c>
      <c r="C1242" s="28" t="s">
        <v>4067</v>
      </c>
      <c r="D1242" s="27">
        <v>35307</v>
      </c>
      <c r="E1242" s="28" t="s">
        <v>38</v>
      </c>
      <c r="F1242" s="28" t="s">
        <v>4068</v>
      </c>
      <c r="G1242" s="28" t="s">
        <v>20</v>
      </c>
      <c r="H1242" s="28" t="s">
        <v>71</v>
      </c>
      <c r="I1242" s="28" t="s">
        <v>21</v>
      </c>
      <c r="J1242" s="28" t="s">
        <v>4069</v>
      </c>
      <c r="K1242" s="28" t="s">
        <v>21</v>
      </c>
      <c r="L1242" s="28" t="s">
        <v>3930</v>
      </c>
      <c r="M1242" s="28" t="s">
        <v>21</v>
      </c>
      <c r="O1242" s="92">
        <v>35432</v>
      </c>
      <c r="P1242" s="28" t="s">
        <v>21</v>
      </c>
      <c r="Q1242" s="26" t="b">
        <v>0</v>
      </c>
      <c r="R1242" s="22">
        <f t="shared" si="19"/>
        <v>118</v>
      </c>
    </row>
    <row r="1243" spans="1:18">
      <c r="A1243" s="26">
        <v>3640</v>
      </c>
      <c r="B1243" s="27">
        <v>35320</v>
      </c>
      <c r="C1243" s="28" t="s">
        <v>4077</v>
      </c>
      <c r="D1243" s="27">
        <v>35324</v>
      </c>
      <c r="E1243" s="28" t="s">
        <v>4078</v>
      </c>
      <c r="F1243" s="28" t="s">
        <v>984</v>
      </c>
      <c r="G1243" s="28" t="s">
        <v>20</v>
      </c>
      <c r="H1243" s="28" t="s">
        <v>21</v>
      </c>
      <c r="I1243" s="28" t="s">
        <v>21</v>
      </c>
      <c r="J1243" s="28" t="s">
        <v>4079</v>
      </c>
      <c r="K1243" s="28" t="s">
        <v>21</v>
      </c>
      <c r="L1243" s="28" t="s">
        <v>67</v>
      </c>
      <c r="M1243" s="28" t="s">
        <v>21</v>
      </c>
      <c r="N1243" s="18"/>
      <c r="O1243" s="92">
        <v>35348</v>
      </c>
      <c r="P1243" s="28" t="s">
        <v>21</v>
      </c>
      <c r="Q1243" s="26" t="b">
        <v>0</v>
      </c>
      <c r="R1243" s="22">
        <f t="shared" si="19"/>
        <v>28</v>
      </c>
    </row>
    <row r="1244" spans="1:18">
      <c r="A1244" s="26">
        <v>3638</v>
      </c>
      <c r="B1244" s="27">
        <v>35326</v>
      </c>
      <c r="C1244" s="28" t="s">
        <v>4073</v>
      </c>
      <c r="D1244" s="27">
        <v>35321</v>
      </c>
      <c r="E1244" s="28" t="s">
        <v>4074</v>
      </c>
      <c r="F1244" s="28" t="s">
        <v>3062</v>
      </c>
      <c r="G1244" s="28" t="s">
        <v>20</v>
      </c>
      <c r="H1244" s="28" t="s">
        <v>21</v>
      </c>
      <c r="I1244" s="28" t="s">
        <v>21</v>
      </c>
      <c r="J1244" s="28" t="s">
        <v>4075</v>
      </c>
      <c r="K1244" s="28" t="s">
        <v>4076</v>
      </c>
      <c r="L1244" s="28" t="s">
        <v>66</v>
      </c>
      <c r="M1244" s="28" t="s">
        <v>21</v>
      </c>
      <c r="O1244" s="92">
        <v>36503</v>
      </c>
      <c r="P1244" s="28" t="s">
        <v>182</v>
      </c>
      <c r="Q1244" s="26" t="b">
        <v>0</v>
      </c>
      <c r="R1244" s="22">
        <f t="shared" si="19"/>
        <v>1177</v>
      </c>
    </row>
    <row r="1245" spans="1:18">
      <c r="A1245" s="26">
        <v>3641</v>
      </c>
      <c r="B1245" s="27">
        <v>35327</v>
      </c>
      <c r="C1245" s="28" t="s">
        <v>4080</v>
      </c>
      <c r="D1245" s="27">
        <v>35326</v>
      </c>
      <c r="E1245" s="28" t="s">
        <v>4081</v>
      </c>
      <c r="F1245" s="28" t="s">
        <v>211</v>
      </c>
      <c r="G1245" s="28" t="s">
        <v>20</v>
      </c>
      <c r="H1245" s="28" t="s">
        <v>212</v>
      </c>
      <c r="I1245" s="28" t="s">
        <v>212</v>
      </c>
      <c r="J1245" s="28" t="s">
        <v>4082</v>
      </c>
      <c r="K1245" s="28" t="s">
        <v>4083</v>
      </c>
      <c r="L1245" s="28" t="s">
        <v>67</v>
      </c>
      <c r="M1245" s="28" t="s">
        <v>21</v>
      </c>
      <c r="O1245" s="92">
        <v>35705</v>
      </c>
      <c r="P1245" s="28" t="s">
        <v>21</v>
      </c>
      <c r="Q1245" s="26" t="b">
        <v>0</v>
      </c>
      <c r="R1245" s="22">
        <f t="shared" si="19"/>
        <v>378</v>
      </c>
    </row>
    <row r="1246" spans="1:18">
      <c r="A1246" s="26">
        <v>3643</v>
      </c>
      <c r="B1246" s="27">
        <v>35331</v>
      </c>
      <c r="C1246" s="28" t="s">
        <v>4089</v>
      </c>
      <c r="D1246" s="27">
        <v>35306</v>
      </c>
      <c r="E1246" s="28" t="s">
        <v>38</v>
      </c>
      <c r="F1246" s="28" t="s">
        <v>513</v>
      </c>
      <c r="G1246" s="28" t="s">
        <v>20</v>
      </c>
      <c r="H1246" s="28" t="s">
        <v>21</v>
      </c>
      <c r="I1246" s="28" t="s">
        <v>21</v>
      </c>
      <c r="J1246" s="28" t="s">
        <v>4090</v>
      </c>
      <c r="K1246" s="28" t="s">
        <v>21</v>
      </c>
      <c r="L1246" s="28" t="s">
        <v>67</v>
      </c>
      <c r="M1246" s="28" t="s">
        <v>21</v>
      </c>
      <c r="O1246" s="92">
        <v>35524</v>
      </c>
      <c r="P1246" s="28" t="s">
        <v>21</v>
      </c>
      <c r="Q1246" s="26" t="b">
        <v>0</v>
      </c>
      <c r="R1246" s="22">
        <f t="shared" si="19"/>
        <v>193</v>
      </c>
    </row>
    <row r="1247" spans="1:18">
      <c r="A1247" s="26">
        <v>3644</v>
      </c>
      <c r="B1247" s="27">
        <v>35332</v>
      </c>
      <c r="C1247" s="28" t="s">
        <v>4091</v>
      </c>
      <c r="D1247" s="27">
        <v>35325</v>
      </c>
      <c r="E1247" s="28" t="s">
        <v>3045</v>
      </c>
      <c r="F1247" s="28" t="s">
        <v>149</v>
      </c>
      <c r="G1247" s="28" t="s">
        <v>20</v>
      </c>
      <c r="H1247" s="28" t="s">
        <v>21</v>
      </c>
      <c r="I1247" s="28" t="s">
        <v>21</v>
      </c>
      <c r="J1247" s="28" t="s">
        <v>4092</v>
      </c>
      <c r="K1247" s="28" t="s">
        <v>4093</v>
      </c>
      <c r="L1247" s="28" t="s">
        <v>30</v>
      </c>
      <c r="M1247" s="28" t="s">
        <v>21</v>
      </c>
      <c r="O1247" s="92">
        <v>36430</v>
      </c>
      <c r="P1247" s="28" t="s">
        <v>21</v>
      </c>
      <c r="Q1247" s="26" t="b">
        <v>0</v>
      </c>
      <c r="R1247" s="22">
        <f t="shared" si="19"/>
        <v>1098</v>
      </c>
    </row>
    <row r="1248" spans="1:18">
      <c r="A1248" s="26">
        <v>3645</v>
      </c>
      <c r="B1248" s="27">
        <v>35335</v>
      </c>
      <c r="C1248" s="28" t="s">
        <v>4094</v>
      </c>
      <c r="D1248" s="27">
        <v>35305</v>
      </c>
      <c r="E1248" s="28" t="s">
        <v>38</v>
      </c>
      <c r="F1248" s="28" t="s">
        <v>129</v>
      </c>
      <c r="G1248" s="28" t="s">
        <v>20</v>
      </c>
      <c r="H1248" s="28" t="s">
        <v>21</v>
      </c>
      <c r="I1248" s="28" t="s">
        <v>21</v>
      </c>
      <c r="J1248" s="28" t="s">
        <v>4095</v>
      </c>
      <c r="K1248" s="28" t="s">
        <v>129</v>
      </c>
      <c r="L1248" s="28" t="s">
        <v>686</v>
      </c>
      <c r="M1248" s="28" t="s">
        <v>21</v>
      </c>
      <c r="O1248" s="92">
        <v>35835</v>
      </c>
      <c r="P1248" s="28" t="s">
        <v>21</v>
      </c>
      <c r="Q1248" s="26" t="b">
        <v>0</v>
      </c>
      <c r="R1248" s="22">
        <f t="shared" si="19"/>
        <v>498</v>
      </c>
    </row>
    <row r="1249" spans="1:18" ht="24">
      <c r="A1249" s="26">
        <v>3646</v>
      </c>
      <c r="B1249" s="27">
        <v>35335</v>
      </c>
      <c r="C1249" s="28" t="s">
        <v>4096</v>
      </c>
      <c r="D1249" s="27">
        <v>35319</v>
      </c>
      <c r="E1249" s="28" t="s">
        <v>38</v>
      </c>
      <c r="F1249" s="28" t="s">
        <v>3457</v>
      </c>
      <c r="G1249" s="28" t="s">
        <v>20</v>
      </c>
      <c r="H1249" s="28" t="s">
        <v>212</v>
      </c>
      <c r="I1249" s="28" t="s">
        <v>212</v>
      </c>
      <c r="J1249" s="28" t="s">
        <v>4097</v>
      </c>
      <c r="K1249" s="28" t="s">
        <v>4098</v>
      </c>
      <c r="L1249" s="28" t="s">
        <v>66</v>
      </c>
      <c r="M1249" s="28" t="s">
        <v>21</v>
      </c>
      <c r="O1249" s="92">
        <v>35373</v>
      </c>
      <c r="P1249" s="28" t="s">
        <v>31</v>
      </c>
      <c r="Q1249" s="26" t="b">
        <v>0</v>
      </c>
      <c r="R1249" s="22">
        <f t="shared" si="19"/>
        <v>37</v>
      </c>
    </row>
    <row r="1250" spans="1:18">
      <c r="A1250" s="26">
        <v>3647</v>
      </c>
      <c r="B1250" s="27">
        <v>35340</v>
      </c>
      <c r="C1250" s="28" t="s">
        <v>4099</v>
      </c>
      <c r="D1250" s="27">
        <v>35339</v>
      </c>
      <c r="E1250" s="28" t="s">
        <v>2925</v>
      </c>
      <c r="F1250" s="28" t="s">
        <v>19</v>
      </c>
      <c r="G1250" s="28" t="s">
        <v>20</v>
      </c>
      <c r="H1250" s="28" t="s">
        <v>21</v>
      </c>
      <c r="I1250" s="28" t="s">
        <v>21</v>
      </c>
      <c r="J1250" s="28" t="s">
        <v>4100</v>
      </c>
      <c r="K1250" s="28" t="s">
        <v>4101</v>
      </c>
      <c r="L1250" s="28" t="s">
        <v>30</v>
      </c>
      <c r="M1250" s="28" t="s">
        <v>21</v>
      </c>
      <c r="O1250" s="92">
        <v>36445</v>
      </c>
      <c r="P1250" s="28" t="s">
        <v>21</v>
      </c>
      <c r="Q1250" s="26" t="b">
        <v>0</v>
      </c>
      <c r="R1250" s="22">
        <f t="shared" si="19"/>
        <v>1105</v>
      </c>
    </row>
    <row r="1251" spans="1:18">
      <c r="A1251" s="26">
        <v>3648</v>
      </c>
      <c r="B1251" s="27">
        <v>35345</v>
      </c>
      <c r="C1251" s="28" t="s">
        <v>4102</v>
      </c>
      <c r="D1251" s="27">
        <v>35345</v>
      </c>
      <c r="E1251" s="28" t="s">
        <v>2308</v>
      </c>
      <c r="F1251" s="28" t="s">
        <v>408</v>
      </c>
      <c r="G1251" s="28" t="s">
        <v>21</v>
      </c>
      <c r="H1251" s="28" t="s">
        <v>21</v>
      </c>
      <c r="I1251" s="28" t="s">
        <v>72</v>
      </c>
      <c r="J1251" s="28" t="s">
        <v>4103</v>
      </c>
      <c r="K1251" s="28" t="s">
        <v>4104</v>
      </c>
      <c r="L1251" s="28" t="s">
        <v>66</v>
      </c>
      <c r="M1251" s="28" t="s">
        <v>21</v>
      </c>
      <c r="N1251" s="29">
        <v>35349</v>
      </c>
      <c r="O1251" s="92">
        <v>35348</v>
      </c>
      <c r="P1251" s="28" t="s">
        <v>21</v>
      </c>
      <c r="Q1251" s="26" t="b">
        <v>0</v>
      </c>
      <c r="R1251" s="22">
        <f t="shared" si="19"/>
        <v>3</v>
      </c>
    </row>
    <row r="1252" spans="1:18">
      <c r="A1252" s="26">
        <v>3650</v>
      </c>
      <c r="B1252" s="27">
        <v>35348</v>
      </c>
      <c r="C1252" s="28" t="s">
        <v>4105</v>
      </c>
      <c r="D1252" s="27">
        <v>35332</v>
      </c>
      <c r="E1252" s="28" t="s">
        <v>4106</v>
      </c>
      <c r="F1252" s="28" t="s">
        <v>34</v>
      </c>
      <c r="G1252" s="28" t="s">
        <v>20</v>
      </c>
      <c r="H1252" s="28" t="s">
        <v>21</v>
      </c>
      <c r="I1252" s="28" t="s">
        <v>21</v>
      </c>
      <c r="J1252" s="28" t="s">
        <v>4107</v>
      </c>
      <c r="K1252" s="28" t="s">
        <v>4108</v>
      </c>
      <c r="L1252" s="28" t="s">
        <v>67</v>
      </c>
      <c r="M1252" s="28" t="s">
        <v>21</v>
      </c>
      <c r="O1252" s="92">
        <v>35349</v>
      </c>
      <c r="P1252" s="28" t="s">
        <v>182</v>
      </c>
      <c r="Q1252" s="26" t="b">
        <v>0</v>
      </c>
      <c r="R1252" s="22">
        <f t="shared" si="19"/>
        <v>1</v>
      </c>
    </row>
    <row r="1253" spans="1:18">
      <c r="A1253" s="26">
        <v>3652</v>
      </c>
      <c r="B1253" s="27">
        <v>35354</v>
      </c>
      <c r="C1253" s="28" t="s">
        <v>4113</v>
      </c>
      <c r="D1253" s="27">
        <v>35348</v>
      </c>
      <c r="E1253" s="28" t="s">
        <v>4114</v>
      </c>
      <c r="F1253" s="28" t="s">
        <v>124</v>
      </c>
      <c r="G1253" s="28" t="s">
        <v>20</v>
      </c>
      <c r="H1253" s="28" t="s">
        <v>21</v>
      </c>
      <c r="I1253" s="28" t="s">
        <v>21</v>
      </c>
      <c r="J1253" s="28" t="s">
        <v>4115</v>
      </c>
      <c r="K1253" s="28" t="s">
        <v>21</v>
      </c>
      <c r="L1253" s="28" t="s">
        <v>821</v>
      </c>
      <c r="M1253" s="28" t="s">
        <v>88</v>
      </c>
      <c r="O1253" s="92">
        <v>36375</v>
      </c>
      <c r="P1253" s="28" t="s">
        <v>31</v>
      </c>
      <c r="Q1253" s="26" t="b">
        <v>0</v>
      </c>
      <c r="R1253" s="22">
        <f t="shared" si="19"/>
        <v>1020</v>
      </c>
    </row>
    <row r="1254" spans="1:18" ht="24">
      <c r="A1254" s="26">
        <v>3653</v>
      </c>
      <c r="B1254" s="27">
        <v>35361</v>
      </c>
      <c r="C1254" s="28" t="s">
        <v>4116</v>
      </c>
      <c r="D1254" s="27">
        <v>35335</v>
      </c>
      <c r="E1254" s="28" t="s">
        <v>4117</v>
      </c>
      <c r="F1254" s="28" t="s">
        <v>1537</v>
      </c>
      <c r="G1254" s="28" t="s">
        <v>20</v>
      </c>
      <c r="H1254" s="28" t="s">
        <v>21</v>
      </c>
      <c r="I1254" s="28" t="s">
        <v>21</v>
      </c>
      <c r="J1254" s="28" t="s">
        <v>4118</v>
      </c>
      <c r="K1254" s="28" t="s">
        <v>4119</v>
      </c>
      <c r="L1254" s="28" t="s">
        <v>2205</v>
      </c>
      <c r="M1254" s="28" t="s">
        <v>4120</v>
      </c>
      <c r="O1254" s="92">
        <v>38386</v>
      </c>
      <c r="P1254" s="28" t="s">
        <v>21</v>
      </c>
      <c r="Q1254" s="26" t="b">
        <v>0</v>
      </c>
      <c r="R1254" s="22">
        <f t="shared" si="19"/>
        <v>3021</v>
      </c>
    </row>
    <row r="1255" spans="1:18">
      <c r="A1255" s="26">
        <v>3654</v>
      </c>
      <c r="B1255" s="27">
        <v>35361</v>
      </c>
      <c r="C1255" s="28" t="s">
        <v>4121</v>
      </c>
      <c r="D1255" s="29">
        <v>35348</v>
      </c>
      <c r="E1255" s="28" t="s">
        <v>4122</v>
      </c>
      <c r="F1255" s="28" t="s">
        <v>793</v>
      </c>
      <c r="G1255" s="28" t="s">
        <v>20</v>
      </c>
      <c r="H1255" s="28" t="s">
        <v>21</v>
      </c>
      <c r="I1255" s="28" t="s">
        <v>21</v>
      </c>
      <c r="J1255" s="28" t="s">
        <v>4123</v>
      </c>
      <c r="K1255" s="28" t="s">
        <v>4124</v>
      </c>
      <c r="L1255" s="28" t="s">
        <v>67</v>
      </c>
      <c r="M1255" s="28" t="s">
        <v>21</v>
      </c>
      <c r="O1255" s="92">
        <v>35621</v>
      </c>
      <c r="P1255" s="28" t="s">
        <v>31</v>
      </c>
      <c r="Q1255" s="26" t="b">
        <v>0</v>
      </c>
      <c r="R1255" s="22">
        <f t="shared" si="19"/>
        <v>260</v>
      </c>
    </row>
    <row r="1256" spans="1:18">
      <c r="A1256" s="26">
        <v>3655</v>
      </c>
      <c r="B1256" s="27">
        <v>35361</v>
      </c>
      <c r="C1256" s="28" t="s">
        <v>4125</v>
      </c>
      <c r="D1256" s="27">
        <v>35353</v>
      </c>
      <c r="E1256" s="28" t="s">
        <v>4126</v>
      </c>
      <c r="F1256" s="28" t="s">
        <v>741</v>
      </c>
      <c r="G1256" s="28" t="s">
        <v>20</v>
      </c>
      <c r="H1256" s="28" t="s">
        <v>21</v>
      </c>
      <c r="I1256" s="28" t="s">
        <v>21</v>
      </c>
      <c r="J1256" s="28" t="s">
        <v>4127</v>
      </c>
      <c r="K1256" s="28" t="s">
        <v>4128</v>
      </c>
      <c r="L1256" s="28" t="s">
        <v>67</v>
      </c>
      <c r="M1256" s="28" t="s">
        <v>21</v>
      </c>
      <c r="O1256" s="92">
        <v>35647</v>
      </c>
      <c r="P1256" s="28" t="s">
        <v>31</v>
      </c>
      <c r="Q1256" s="26" t="b">
        <v>0</v>
      </c>
      <c r="R1256" s="22">
        <f t="shared" si="19"/>
        <v>285</v>
      </c>
    </row>
    <row r="1257" spans="1:18" ht="24">
      <c r="A1257" s="26">
        <v>3656</v>
      </c>
      <c r="B1257" s="27">
        <v>35361</v>
      </c>
      <c r="C1257" s="28" t="s">
        <v>4129</v>
      </c>
      <c r="D1257" s="27">
        <v>35356</v>
      </c>
      <c r="E1257" s="28" t="s">
        <v>38</v>
      </c>
      <c r="F1257" s="28" t="s">
        <v>371</v>
      </c>
      <c r="G1257" s="28" t="s">
        <v>20</v>
      </c>
      <c r="H1257" s="28" t="s">
        <v>21</v>
      </c>
      <c r="I1257" s="28" t="s">
        <v>21</v>
      </c>
      <c r="J1257" s="28" t="s">
        <v>4130</v>
      </c>
      <c r="K1257" s="28" t="s">
        <v>21</v>
      </c>
      <c r="L1257" s="28" t="s">
        <v>88</v>
      </c>
      <c r="M1257" s="28" t="s">
        <v>21</v>
      </c>
      <c r="N1257" s="29">
        <v>35363</v>
      </c>
      <c r="O1257" s="92">
        <v>36231</v>
      </c>
      <c r="P1257" s="28" t="s">
        <v>31</v>
      </c>
      <c r="Q1257" s="26" t="b">
        <v>0</v>
      </c>
      <c r="R1257" s="22">
        <f t="shared" si="19"/>
        <v>870</v>
      </c>
    </row>
    <row r="1258" spans="1:18" ht="24">
      <c r="A1258" s="26">
        <v>3658</v>
      </c>
      <c r="B1258" s="27">
        <v>35361</v>
      </c>
      <c r="C1258" s="28" t="s">
        <v>4131</v>
      </c>
      <c r="D1258" s="27">
        <v>35359</v>
      </c>
      <c r="E1258" s="28" t="s">
        <v>4132</v>
      </c>
      <c r="F1258" s="28" t="s">
        <v>98</v>
      </c>
      <c r="G1258" s="28" t="s">
        <v>20</v>
      </c>
      <c r="H1258" s="28" t="s">
        <v>21</v>
      </c>
      <c r="I1258" s="28" t="s">
        <v>21</v>
      </c>
      <c r="J1258" s="28" t="s">
        <v>4133</v>
      </c>
      <c r="K1258" s="28" t="s">
        <v>21</v>
      </c>
      <c r="L1258" s="28" t="s">
        <v>67</v>
      </c>
      <c r="M1258" s="28" t="s">
        <v>21</v>
      </c>
      <c r="O1258" s="92">
        <v>35782</v>
      </c>
      <c r="P1258" s="28" t="s">
        <v>21</v>
      </c>
      <c r="Q1258" s="26" t="b">
        <v>0</v>
      </c>
      <c r="R1258" s="22">
        <f t="shared" si="19"/>
        <v>420</v>
      </c>
    </row>
    <row r="1259" spans="1:18" ht="24">
      <c r="A1259" s="26">
        <v>3660</v>
      </c>
      <c r="B1259" s="27">
        <v>35362</v>
      </c>
      <c r="C1259" s="28" t="s">
        <v>4138</v>
      </c>
      <c r="D1259" s="27">
        <v>35362</v>
      </c>
      <c r="E1259" s="28" t="s">
        <v>4139</v>
      </c>
      <c r="F1259" s="28" t="s">
        <v>350</v>
      </c>
      <c r="G1259" s="28" t="s">
        <v>20</v>
      </c>
      <c r="H1259" s="28" t="s">
        <v>21</v>
      </c>
      <c r="I1259" s="28" t="s">
        <v>21</v>
      </c>
      <c r="J1259" s="28" t="s">
        <v>4140</v>
      </c>
      <c r="K1259" s="28" t="s">
        <v>4141</v>
      </c>
      <c r="L1259" s="28" t="s">
        <v>686</v>
      </c>
      <c r="M1259" s="28" t="s">
        <v>67</v>
      </c>
      <c r="O1259" s="92">
        <v>36467</v>
      </c>
      <c r="P1259" s="28" t="s">
        <v>21</v>
      </c>
      <c r="Q1259" s="26" t="b">
        <v>0</v>
      </c>
      <c r="R1259" s="22">
        <f t="shared" si="19"/>
        <v>1104</v>
      </c>
    </row>
    <row r="1260" spans="1:18">
      <c r="A1260" s="26">
        <v>3667</v>
      </c>
      <c r="B1260" s="27">
        <v>35373</v>
      </c>
      <c r="C1260" s="28" t="s">
        <v>4154</v>
      </c>
      <c r="D1260" s="27">
        <v>35373</v>
      </c>
      <c r="E1260" s="28" t="s">
        <v>4155</v>
      </c>
      <c r="F1260" s="28" t="s">
        <v>984</v>
      </c>
      <c r="G1260" s="28" t="s">
        <v>20</v>
      </c>
      <c r="H1260" s="28" t="s">
        <v>21</v>
      </c>
      <c r="I1260" s="28" t="s">
        <v>21</v>
      </c>
      <c r="J1260" s="28" t="s">
        <v>4156</v>
      </c>
      <c r="K1260" s="28" t="s">
        <v>4157</v>
      </c>
      <c r="L1260" s="28" t="s">
        <v>67</v>
      </c>
      <c r="M1260" s="28" t="s">
        <v>21</v>
      </c>
      <c r="O1260" s="92">
        <v>35881</v>
      </c>
      <c r="P1260" s="28" t="s">
        <v>21</v>
      </c>
      <c r="Q1260" s="26" t="b">
        <v>0</v>
      </c>
      <c r="R1260" s="22">
        <f t="shared" si="19"/>
        <v>509</v>
      </c>
    </row>
    <row r="1261" spans="1:18">
      <c r="A1261" s="26">
        <v>3661</v>
      </c>
      <c r="B1261" s="27">
        <v>35375</v>
      </c>
      <c r="C1261" s="28" t="s">
        <v>4142</v>
      </c>
      <c r="D1261" s="27">
        <v>35375</v>
      </c>
      <c r="E1261" s="28" t="s">
        <v>1140</v>
      </c>
      <c r="F1261" s="28" t="s">
        <v>124</v>
      </c>
      <c r="G1261" s="28" t="s">
        <v>21</v>
      </c>
      <c r="H1261" s="28" t="s">
        <v>21</v>
      </c>
      <c r="I1261" s="28" t="s">
        <v>21</v>
      </c>
      <c r="J1261" s="28" t="s">
        <v>4143</v>
      </c>
      <c r="K1261" s="28" t="s">
        <v>21</v>
      </c>
      <c r="L1261" s="28" t="s">
        <v>3271</v>
      </c>
      <c r="M1261" s="28" t="s">
        <v>21</v>
      </c>
      <c r="O1261" s="92">
        <v>35642</v>
      </c>
      <c r="P1261" s="28" t="s">
        <v>31</v>
      </c>
      <c r="Q1261" s="26" t="b">
        <v>0</v>
      </c>
      <c r="R1261" s="22">
        <f t="shared" si="19"/>
        <v>268</v>
      </c>
    </row>
    <row r="1262" spans="1:18" ht="36">
      <c r="A1262" s="26">
        <v>3662</v>
      </c>
      <c r="B1262" s="27">
        <v>35376</v>
      </c>
      <c r="C1262" s="28" t="s">
        <v>4144</v>
      </c>
      <c r="D1262" s="27">
        <v>35376</v>
      </c>
      <c r="E1262" s="28" t="s">
        <v>4145</v>
      </c>
      <c r="F1262" s="28" t="s">
        <v>242</v>
      </c>
      <c r="G1262" s="28" t="s">
        <v>20</v>
      </c>
      <c r="H1262" s="28" t="s">
        <v>21</v>
      </c>
      <c r="I1262" s="28" t="s">
        <v>21</v>
      </c>
      <c r="J1262" s="28" t="s">
        <v>4146</v>
      </c>
      <c r="K1262" s="28" t="s">
        <v>4147</v>
      </c>
      <c r="L1262" s="28" t="s">
        <v>2205</v>
      </c>
      <c r="M1262" s="28" t="s">
        <v>4148</v>
      </c>
      <c r="O1262" s="92">
        <v>38413</v>
      </c>
      <c r="P1262" s="28" t="s">
        <v>31</v>
      </c>
      <c r="Q1262" s="26" t="b">
        <v>0</v>
      </c>
      <c r="R1262" s="22">
        <f t="shared" si="19"/>
        <v>3036</v>
      </c>
    </row>
    <row r="1263" spans="1:18">
      <c r="A1263" s="26">
        <v>3664</v>
      </c>
      <c r="B1263" s="27">
        <v>35381</v>
      </c>
      <c r="C1263" s="28" t="s">
        <v>4149</v>
      </c>
      <c r="D1263" s="27">
        <v>35369</v>
      </c>
      <c r="E1263" s="28" t="s">
        <v>38</v>
      </c>
      <c r="F1263" s="28" t="s">
        <v>350</v>
      </c>
      <c r="G1263" s="28" t="s">
        <v>21</v>
      </c>
      <c r="H1263" s="28" t="s">
        <v>21</v>
      </c>
      <c r="I1263" s="28" t="s">
        <v>21</v>
      </c>
      <c r="J1263" s="28" t="s">
        <v>4150</v>
      </c>
      <c r="K1263" s="28" t="s">
        <v>21</v>
      </c>
      <c r="L1263" s="28" t="s">
        <v>67</v>
      </c>
      <c r="M1263" s="28" t="s">
        <v>21</v>
      </c>
      <c r="O1263" s="92">
        <v>35438</v>
      </c>
      <c r="P1263" s="28" t="s">
        <v>21</v>
      </c>
      <c r="Q1263" s="26" t="b">
        <v>0</v>
      </c>
      <c r="R1263" s="22">
        <f t="shared" si="19"/>
        <v>56</v>
      </c>
    </row>
    <row r="1264" spans="1:18">
      <c r="A1264" s="26">
        <v>3666</v>
      </c>
      <c r="B1264" s="27">
        <v>35382</v>
      </c>
      <c r="C1264" s="28" t="s">
        <v>4151</v>
      </c>
      <c r="D1264" s="27">
        <v>35382</v>
      </c>
      <c r="E1264" s="28" t="s">
        <v>4152</v>
      </c>
      <c r="F1264" s="28" t="s">
        <v>741</v>
      </c>
      <c r="G1264" s="28" t="s">
        <v>20</v>
      </c>
      <c r="H1264" s="28" t="s">
        <v>21</v>
      </c>
      <c r="I1264" s="28" t="s">
        <v>21</v>
      </c>
      <c r="J1264" s="28" t="s">
        <v>4037</v>
      </c>
      <c r="K1264" s="28" t="s">
        <v>4153</v>
      </c>
      <c r="L1264" s="28" t="s">
        <v>30</v>
      </c>
      <c r="M1264" s="28" t="s">
        <v>21</v>
      </c>
      <c r="O1264" s="92">
        <v>36434</v>
      </c>
      <c r="P1264" s="28" t="s">
        <v>21</v>
      </c>
      <c r="Q1264" s="26" t="b">
        <v>0</v>
      </c>
      <c r="R1264" s="22">
        <f t="shared" si="19"/>
        <v>1052</v>
      </c>
    </row>
    <row r="1265" spans="1:18">
      <c r="A1265" s="26">
        <v>3670</v>
      </c>
      <c r="B1265" s="27">
        <v>35384</v>
      </c>
      <c r="C1265" s="28" t="s">
        <v>4161</v>
      </c>
      <c r="D1265" s="27">
        <v>35384</v>
      </c>
      <c r="E1265" s="28" t="s">
        <v>4162</v>
      </c>
      <c r="F1265" s="28" t="s">
        <v>733</v>
      </c>
      <c r="G1265" s="28" t="s">
        <v>20</v>
      </c>
      <c r="H1265" s="28" t="s">
        <v>21</v>
      </c>
      <c r="I1265" s="28" t="s">
        <v>21</v>
      </c>
      <c r="J1265" s="28" t="s">
        <v>4163</v>
      </c>
      <c r="K1265" s="28" t="s">
        <v>21</v>
      </c>
      <c r="L1265" s="28" t="s">
        <v>66</v>
      </c>
      <c r="M1265" s="28" t="s">
        <v>21</v>
      </c>
      <c r="O1265" s="92">
        <v>36481</v>
      </c>
      <c r="P1265" s="28" t="s">
        <v>31</v>
      </c>
      <c r="Q1265" s="26" t="b">
        <v>0</v>
      </c>
      <c r="R1265" s="22">
        <f t="shared" si="19"/>
        <v>1097</v>
      </c>
    </row>
    <row r="1266" spans="1:18">
      <c r="A1266" s="26">
        <v>3671</v>
      </c>
      <c r="B1266" s="27">
        <v>35384</v>
      </c>
      <c r="C1266" s="28" t="s">
        <v>4164</v>
      </c>
      <c r="D1266" s="27">
        <v>35384</v>
      </c>
      <c r="E1266" s="28" t="s">
        <v>4165</v>
      </c>
      <c r="F1266" s="28" t="s">
        <v>149</v>
      </c>
      <c r="G1266" s="28" t="s">
        <v>20</v>
      </c>
      <c r="H1266" s="28" t="s">
        <v>21</v>
      </c>
      <c r="I1266" s="28" t="s">
        <v>21</v>
      </c>
      <c r="J1266" s="28" t="s">
        <v>4166</v>
      </c>
      <c r="K1266" s="28" t="s">
        <v>4167</v>
      </c>
      <c r="L1266" s="28" t="s">
        <v>67</v>
      </c>
      <c r="M1266" s="28" t="s">
        <v>21</v>
      </c>
      <c r="O1266" s="92">
        <v>35440</v>
      </c>
      <c r="P1266" s="28" t="s">
        <v>21</v>
      </c>
      <c r="Q1266" s="26" t="b">
        <v>0</v>
      </c>
      <c r="R1266" s="22">
        <f t="shared" si="19"/>
        <v>55</v>
      </c>
    </row>
    <row r="1267" spans="1:18" ht="24">
      <c r="A1267" s="26">
        <v>3668</v>
      </c>
      <c r="B1267" s="27">
        <v>35387</v>
      </c>
      <c r="C1267" s="28" t="s">
        <v>4158</v>
      </c>
      <c r="D1267" s="27">
        <v>35332</v>
      </c>
      <c r="E1267" s="28" t="s">
        <v>4159</v>
      </c>
      <c r="F1267" s="28" t="s">
        <v>104</v>
      </c>
      <c r="G1267" s="28" t="s">
        <v>20</v>
      </c>
      <c r="H1267" s="28" t="s">
        <v>21</v>
      </c>
      <c r="I1267" s="28" t="s">
        <v>21</v>
      </c>
      <c r="J1267" s="28" t="s">
        <v>4160</v>
      </c>
      <c r="K1267" s="28" t="s">
        <v>21</v>
      </c>
      <c r="L1267" s="28" t="s">
        <v>66</v>
      </c>
      <c r="M1267" s="28" t="s">
        <v>67</v>
      </c>
      <c r="O1267" s="92">
        <v>36500</v>
      </c>
      <c r="P1267" s="28" t="s">
        <v>21</v>
      </c>
      <c r="Q1267" s="26" t="b">
        <v>0</v>
      </c>
      <c r="R1267" s="22">
        <f t="shared" si="19"/>
        <v>1113</v>
      </c>
    </row>
    <row r="1268" spans="1:18">
      <c r="A1268" s="26">
        <v>3674</v>
      </c>
      <c r="B1268" s="27">
        <v>35390</v>
      </c>
      <c r="C1268" s="28" t="s">
        <v>4168</v>
      </c>
      <c r="D1268" s="27">
        <v>35389</v>
      </c>
      <c r="E1268" s="28" t="s">
        <v>38</v>
      </c>
      <c r="F1268" s="28" t="s">
        <v>4169</v>
      </c>
      <c r="G1268" s="28" t="s">
        <v>21</v>
      </c>
      <c r="H1268" s="28" t="s">
        <v>21</v>
      </c>
      <c r="I1268" s="28" t="s">
        <v>21</v>
      </c>
      <c r="J1268" s="28" t="s">
        <v>4170</v>
      </c>
      <c r="K1268" s="28" t="s">
        <v>21</v>
      </c>
      <c r="L1268" s="28" t="s">
        <v>66</v>
      </c>
      <c r="M1268" s="28" t="s">
        <v>21</v>
      </c>
      <c r="O1268" s="92">
        <v>35404</v>
      </c>
      <c r="P1268" s="28" t="s">
        <v>31</v>
      </c>
      <c r="Q1268" s="26" t="b">
        <v>0</v>
      </c>
      <c r="R1268" s="22">
        <f t="shared" si="19"/>
        <v>14</v>
      </c>
    </row>
    <row r="1269" spans="1:18">
      <c r="A1269" s="26">
        <v>3676</v>
      </c>
      <c r="B1269" s="27">
        <v>35395</v>
      </c>
      <c r="C1269" s="28" t="s">
        <v>4171</v>
      </c>
      <c r="D1269" s="27">
        <v>35394</v>
      </c>
      <c r="E1269" s="28" t="s">
        <v>4172</v>
      </c>
      <c r="F1269" s="28" t="s">
        <v>371</v>
      </c>
      <c r="G1269" s="28" t="s">
        <v>20</v>
      </c>
      <c r="H1269" s="28" t="s">
        <v>21</v>
      </c>
      <c r="I1269" s="28" t="s">
        <v>21</v>
      </c>
      <c r="J1269" s="28" t="s">
        <v>4173</v>
      </c>
      <c r="K1269" s="28" t="s">
        <v>4174</v>
      </c>
      <c r="L1269" s="28" t="s">
        <v>1946</v>
      </c>
      <c r="M1269" s="28" t="s">
        <v>4175</v>
      </c>
      <c r="O1269" s="92">
        <v>35611</v>
      </c>
      <c r="P1269" s="28" t="s">
        <v>31</v>
      </c>
      <c r="Q1269" s="26" t="b">
        <v>0</v>
      </c>
      <c r="R1269" s="22">
        <f t="shared" si="19"/>
        <v>216</v>
      </c>
    </row>
    <row r="1270" spans="1:18" ht="24">
      <c r="A1270" s="26">
        <v>3677</v>
      </c>
      <c r="B1270" s="27">
        <v>35395</v>
      </c>
      <c r="C1270" s="28" t="s">
        <v>4176</v>
      </c>
      <c r="D1270" s="27">
        <v>35395</v>
      </c>
      <c r="E1270" s="28" t="s">
        <v>4177</v>
      </c>
      <c r="F1270" s="28" t="s">
        <v>149</v>
      </c>
      <c r="G1270" s="28" t="s">
        <v>20</v>
      </c>
      <c r="H1270" s="28" t="s">
        <v>21</v>
      </c>
      <c r="I1270" s="28" t="s">
        <v>21</v>
      </c>
      <c r="J1270" s="28" t="s">
        <v>4178</v>
      </c>
      <c r="K1270" s="28" t="s">
        <v>4179</v>
      </c>
      <c r="L1270" s="28" t="s">
        <v>686</v>
      </c>
      <c r="M1270" s="28" t="s">
        <v>67</v>
      </c>
      <c r="O1270" s="92">
        <v>36495</v>
      </c>
      <c r="P1270" s="28" t="s">
        <v>21</v>
      </c>
      <c r="Q1270" s="26" t="b">
        <v>0</v>
      </c>
      <c r="R1270" s="22">
        <f t="shared" si="19"/>
        <v>1100</v>
      </c>
    </row>
    <row r="1271" spans="1:18">
      <c r="A1271" s="26">
        <v>3678</v>
      </c>
      <c r="B1271" s="27">
        <v>35401</v>
      </c>
      <c r="C1271" s="28" t="s">
        <v>4180</v>
      </c>
      <c r="D1271" s="27">
        <v>35349</v>
      </c>
      <c r="E1271" s="28" t="s">
        <v>4181</v>
      </c>
      <c r="F1271" s="28" t="s">
        <v>19</v>
      </c>
      <c r="G1271" s="28" t="s">
        <v>20</v>
      </c>
      <c r="H1271" s="28" t="s">
        <v>21</v>
      </c>
      <c r="I1271" s="28" t="s">
        <v>21</v>
      </c>
      <c r="J1271" s="28" t="s">
        <v>4182</v>
      </c>
      <c r="K1271" s="28" t="s">
        <v>4183</v>
      </c>
      <c r="L1271" s="28" t="s">
        <v>66</v>
      </c>
      <c r="M1271" s="28" t="s">
        <v>21</v>
      </c>
      <c r="O1271" s="92">
        <v>35542</v>
      </c>
      <c r="P1271" s="28" t="s">
        <v>31</v>
      </c>
      <c r="Q1271" s="26" t="b">
        <v>0</v>
      </c>
      <c r="R1271" s="22">
        <f t="shared" si="19"/>
        <v>141</v>
      </c>
    </row>
    <row r="1272" spans="1:18">
      <c r="A1272" s="26">
        <v>3680</v>
      </c>
      <c r="B1272" s="27">
        <v>35403</v>
      </c>
      <c r="C1272" s="28" t="s">
        <v>4184</v>
      </c>
      <c r="D1272" s="27">
        <v>35356</v>
      </c>
      <c r="E1272" s="28" t="s">
        <v>4185</v>
      </c>
      <c r="F1272" s="28" t="s">
        <v>242</v>
      </c>
      <c r="G1272" s="28" t="s">
        <v>20</v>
      </c>
      <c r="H1272" s="28" t="s">
        <v>21</v>
      </c>
      <c r="I1272" s="28" t="s">
        <v>21</v>
      </c>
      <c r="J1272" s="28" t="s">
        <v>4186</v>
      </c>
      <c r="K1272" s="28" t="s">
        <v>21</v>
      </c>
      <c r="L1272" s="28" t="s">
        <v>66</v>
      </c>
      <c r="M1272" s="28" t="s">
        <v>21</v>
      </c>
      <c r="O1272" s="92">
        <v>36899</v>
      </c>
      <c r="P1272" s="28" t="s">
        <v>31</v>
      </c>
      <c r="Q1272" s="26" t="b">
        <v>0</v>
      </c>
      <c r="R1272" s="22">
        <f t="shared" si="19"/>
        <v>1494</v>
      </c>
    </row>
    <row r="1273" spans="1:18">
      <c r="A1273" s="26">
        <v>3684</v>
      </c>
      <c r="B1273" s="27">
        <v>35409</v>
      </c>
      <c r="C1273" s="28" t="s">
        <v>4190</v>
      </c>
      <c r="D1273" s="27">
        <v>35409</v>
      </c>
      <c r="E1273" s="28" t="s">
        <v>4191</v>
      </c>
      <c r="F1273" s="28" t="s">
        <v>216</v>
      </c>
      <c r="G1273" s="28" t="s">
        <v>20</v>
      </c>
      <c r="H1273" s="28" t="s">
        <v>21</v>
      </c>
      <c r="I1273" s="28" t="s">
        <v>21</v>
      </c>
      <c r="J1273" s="28" t="s">
        <v>4192</v>
      </c>
      <c r="K1273" s="28" t="s">
        <v>4193</v>
      </c>
      <c r="L1273" s="28" t="s">
        <v>686</v>
      </c>
      <c r="M1273" s="28" t="s">
        <v>67</v>
      </c>
      <c r="O1273" s="92">
        <v>36458</v>
      </c>
      <c r="P1273" s="28" t="s">
        <v>21</v>
      </c>
      <c r="Q1273" s="26" t="b">
        <v>0</v>
      </c>
      <c r="R1273" s="22">
        <f t="shared" si="19"/>
        <v>1049</v>
      </c>
    </row>
    <row r="1274" spans="1:18">
      <c r="A1274" s="26">
        <v>3687</v>
      </c>
      <c r="B1274" s="27">
        <v>35414</v>
      </c>
      <c r="C1274" s="28" t="s">
        <v>4200</v>
      </c>
      <c r="D1274" s="27">
        <v>35414</v>
      </c>
      <c r="E1274" s="28" t="s">
        <v>38</v>
      </c>
      <c r="F1274" s="28" t="s">
        <v>2943</v>
      </c>
      <c r="G1274" s="28" t="s">
        <v>20</v>
      </c>
      <c r="H1274" s="28" t="s">
        <v>21</v>
      </c>
      <c r="I1274" s="28" t="s">
        <v>21</v>
      </c>
      <c r="J1274" s="28" t="s">
        <v>4201</v>
      </c>
      <c r="K1274" s="28" t="s">
        <v>4202</v>
      </c>
      <c r="L1274" s="28" t="s">
        <v>821</v>
      </c>
      <c r="M1274" s="28" t="s">
        <v>88</v>
      </c>
      <c r="O1274" s="92">
        <v>36502</v>
      </c>
      <c r="P1274" s="28" t="s">
        <v>21</v>
      </c>
      <c r="Q1274" s="26" t="b">
        <v>0</v>
      </c>
      <c r="R1274" s="22">
        <f t="shared" si="19"/>
        <v>1087</v>
      </c>
    </row>
    <row r="1275" spans="1:18">
      <c r="A1275" s="26">
        <v>3681</v>
      </c>
      <c r="B1275" s="27">
        <v>35415</v>
      </c>
      <c r="C1275" s="28" t="s">
        <v>4187</v>
      </c>
      <c r="D1275" s="27">
        <v>35415</v>
      </c>
      <c r="E1275" s="28" t="s">
        <v>4188</v>
      </c>
      <c r="F1275" s="28" t="s">
        <v>98</v>
      </c>
      <c r="G1275" s="28" t="s">
        <v>20</v>
      </c>
      <c r="H1275" s="28" t="s">
        <v>21</v>
      </c>
      <c r="I1275" s="28" t="s">
        <v>21</v>
      </c>
      <c r="J1275" s="28" t="s">
        <v>4189</v>
      </c>
      <c r="K1275" s="28" t="s">
        <v>21</v>
      </c>
      <c r="L1275" s="28" t="s">
        <v>66</v>
      </c>
      <c r="M1275" s="28" t="s">
        <v>21</v>
      </c>
      <c r="O1275" s="92">
        <v>35502</v>
      </c>
      <c r="P1275" s="28" t="s">
        <v>21</v>
      </c>
      <c r="Q1275" s="26" t="b">
        <v>0</v>
      </c>
      <c r="R1275" s="22">
        <f t="shared" si="19"/>
        <v>88</v>
      </c>
    </row>
    <row r="1276" spans="1:18">
      <c r="A1276" s="26">
        <v>3686</v>
      </c>
      <c r="B1276" s="27">
        <v>35418</v>
      </c>
      <c r="C1276" s="28" t="s">
        <v>4197</v>
      </c>
      <c r="D1276" s="27">
        <v>35312</v>
      </c>
      <c r="E1276" s="28" t="s">
        <v>4198</v>
      </c>
      <c r="F1276" s="28" t="s">
        <v>211</v>
      </c>
      <c r="G1276" s="28" t="s">
        <v>20</v>
      </c>
      <c r="H1276" s="28" t="s">
        <v>212</v>
      </c>
      <c r="I1276" s="28" t="s">
        <v>212</v>
      </c>
      <c r="J1276" s="28" t="s">
        <v>4199</v>
      </c>
      <c r="K1276" s="28" t="s">
        <v>21</v>
      </c>
      <c r="L1276" s="28" t="s">
        <v>88</v>
      </c>
      <c r="M1276" s="28" t="s">
        <v>21</v>
      </c>
      <c r="N1276" s="18"/>
      <c r="O1276" s="92">
        <v>35828</v>
      </c>
      <c r="P1276" s="28" t="s">
        <v>21</v>
      </c>
      <c r="Q1276" s="26" t="b">
        <v>0</v>
      </c>
      <c r="R1276" s="22">
        <f t="shared" si="19"/>
        <v>408</v>
      </c>
    </row>
    <row r="1277" spans="1:18">
      <c r="A1277" s="26">
        <v>3685</v>
      </c>
      <c r="B1277" s="27">
        <v>35419</v>
      </c>
      <c r="C1277" s="28" t="s">
        <v>4194</v>
      </c>
      <c r="D1277" s="27">
        <v>35419</v>
      </c>
      <c r="E1277" s="28" t="s">
        <v>4195</v>
      </c>
      <c r="F1277" s="28" t="s">
        <v>70</v>
      </c>
      <c r="G1277" s="28" t="s">
        <v>20</v>
      </c>
      <c r="H1277" s="28" t="s">
        <v>71</v>
      </c>
      <c r="I1277" s="28" t="s">
        <v>71</v>
      </c>
      <c r="J1277" s="28" t="s">
        <v>4196</v>
      </c>
      <c r="K1277" s="28" t="s">
        <v>21</v>
      </c>
      <c r="L1277" s="28" t="s">
        <v>30</v>
      </c>
      <c r="M1277" s="28" t="s">
        <v>21</v>
      </c>
      <c r="O1277" s="92">
        <v>35482</v>
      </c>
      <c r="P1277" s="28" t="s">
        <v>21</v>
      </c>
      <c r="Q1277" s="26" t="b">
        <v>0</v>
      </c>
      <c r="R1277" s="22">
        <f t="shared" si="19"/>
        <v>61</v>
      </c>
    </row>
    <row r="1278" spans="1:18">
      <c r="A1278" s="26">
        <v>3688</v>
      </c>
      <c r="B1278" s="27">
        <v>35419</v>
      </c>
      <c r="C1278" s="28" t="s">
        <v>4203</v>
      </c>
      <c r="D1278" s="27">
        <v>35291</v>
      </c>
      <c r="E1278" s="28" t="s">
        <v>4204</v>
      </c>
      <c r="F1278" s="28" t="s">
        <v>228</v>
      </c>
      <c r="G1278" s="28" t="s">
        <v>20</v>
      </c>
      <c r="H1278" s="28" t="s">
        <v>21</v>
      </c>
      <c r="I1278" s="28" t="s">
        <v>21</v>
      </c>
      <c r="J1278" s="28" t="s">
        <v>4205</v>
      </c>
      <c r="K1278" s="28" t="s">
        <v>4206</v>
      </c>
      <c r="L1278" s="28" t="s">
        <v>88</v>
      </c>
      <c r="M1278" s="28" t="s">
        <v>21</v>
      </c>
      <c r="O1278" s="92">
        <v>35572</v>
      </c>
      <c r="P1278" s="28" t="s">
        <v>21</v>
      </c>
      <c r="Q1278" s="26" t="b">
        <v>0</v>
      </c>
      <c r="R1278" s="22">
        <f t="shared" si="19"/>
        <v>154</v>
      </c>
    </row>
    <row r="1279" spans="1:18" ht="24">
      <c r="A1279" s="26">
        <v>3689</v>
      </c>
      <c r="B1279" s="27">
        <v>35429</v>
      </c>
      <c r="C1279" s="28" t="s">
        <v>4207</v>
      </c>
      <c r="D1279" s="27">
        <v>35425</v>
      </c>
      <c r="E1279" s="28" t="s">
        <v>4208</v>
      </c>
      <c r="F1279" s="28" t="s">
        <v>4209</v>
      </c>
      <c r="G1279" s="28" t="s">
        <v>20</v>
      </c>
      <c r="H1279" s="28" t="s">
        <v>71</v>
      </c>
      <c r="I1279" s="28" t="s">
        <v>72</v>
      </c>
      <c r="J1279" s="28" t="s">
        <v>4210</v>
      </c>
      <c r="K1279" s="28" t="s">
        <v>4211</v>
      </c>
      <c r="L1279" s="28" t="s">
        <v>314</v>
      </c>
      <c r="M1279" s="28" t="s">
        <v>3163</v>
      </c>
      <c r="O1279" s="92">
        <v>37902</v>
      </c>
      <c r="P1279" s="28" t="s">
        <v>31</v>
      </c>
      <c r="Q1279" s="26" t="b">
        <v>0</v>
      </c>
      <c r="R1279" s="22">
        <f t="shared" si="19"/>
        <v>2471</v>
      </c>
    </row>
    <row r="1280" spans="1:18">
      <c r="A1280" s="26">
        <v>3691</v>
      </c>
      <c r="B1280" s="27">
        <v>35432</v>
      </c>
      <c r="C1280" s="28" t="s">
        <v>4212</v>
      </c>
      <c r="D1280" s="27">
        <v>35373</v>
      </c>
      <c r="E1280" s="28" t="s">
        <v>4213</v>
      </c>
      <c r="F1280" s="28" t="s">
        <v>545</v>
      </c>
      <c r="G1280" s="28" t="s">
        <v>20</v>
      </c>
      <c r="H1280" s="28" t="s">
        <v>566</v>
      </c>
      <c r="I1280" s="28" t="s">
        <v>566</v>
      </c>
      <c r="J1280" s="28" t="s">
        <v>4214</v>
      </c>
      <c r="K1280" s="28" t="s">
        <v>21</v>
      </c>
      <c r="L1280" s="28" t="s">
        <v>88</v>
      </c>
      <c r="M1280" s="28" t="s">
        <v>21</v>
      </c>
      <c r="O1280" s="92">
        <v>35885</v>
      </c>
      <c r="P1280" s="28" t="s">
        <v>31</v>
      </c>
      <c r="Q1280" s="26" t="b">
        <v>0</v>
      </c>
      <c r="R1280" s="22">
        <f t="shared" si="19"/>
        <v>455</v>
      </c>
    </row>
    <row r="1281" spans="1:18">
      <c r="A1281" s="26">
        <v>3693</v>
      </c>
      <c r="B1281" s="27">
        <v>35438</v>
      </c>
      <c r="C1281" s="28" t="s">
        <v>4218</v>
      </c>
      <c r="D1281" s="27">
        <v>35438</v>
      </c>
      <c r="E1281" s="28" t="s">
        <v>4219</v>
      </c>
      <c r="F1281" s="28" t="s">
        <v>149</v>
      </c>
      <c r="G1281" s="28" t="s">
        <v>20</v>
      </c>
      <c r="H1281" s="28" t="s">
        <v>21</v>
      </c>
      <c r="I1281" s="28" t="s">
        <v>21</v>
      </c>
      <c r="J1281" s="28" t="s">
        <v>4220</v>
      </c>
      <c r="K1281" s="28" t="s">
        <v>4221</v>
      </c>
      <c r="L1281" s="28" t="s">
        <v>67</v>
      </c>
      <c r="M1281" s="28" t="s">
        <v>21</v>
      </c>
      <c r="O1281" s="92">
        <v>35863</v>
      </c>
      <c r="P1281" s="28" t="s">
        <v>21</v>
      </c>
      <c r="Q1281" s="26" t="b">
        <v>0</v>
      </c>
      <c r="R1281" s="22">
        <f t="shared" si="19"/>
        <v>426</v>
      </c>
    </row>
    <row r="1282" spans="1:18" ht="24">
      <c r="A1282" s="26">
        <v>3694</v>
      </c>
      <c r="B1282" s="27">
        <v>35438</v>
      </c>
      <c r="C1282" s="28" t="s">
        <v>4222</v>
      </c>
      <c r="D1282" s="27">
        <v>35438</v>
      </c>
      <c r="E1282" s="28" t="s">
        <v>4223</v>
      </c>
      <c r="F1282" s="28" t="s">
        <v>124</v>
      </c>
      <c r="G1282" s="28" t="s">
        <v>20</v>
      </c>
      <c r="H1282" s="28" t="s">
        <v>21</v>
      </c>
      <c r="I1282" s="28" t="s">
        <v>21</v>
      </c>
      <c r="J1282" s="28" t="s">
        <v>272</v>
      </c>
      <c r="K1282" s="28" t="s">
        <v>4224</v>
      </c>
      <c r="L1282" s="28" t="s">
        <v>88</v>
      </c>
      <c r="M1282" s="28" t="s">
        <v>21</v>
      </c>
      <c r="O1282" s="92">
        <v>35572</v>
      </c>
      <c r="P1282" s="28" t="s">
        <v>31</v>
      </c>
      <c r="Q1282" s="26" t="b">
        <v>0</v>
      </c>
      <c r="R1282" s="22">
        <f t="shared" ref="R1282:R1345" si="20">IF(O1282=" ", " ", INT(YEARFRAC(O1282, B1282)*365))</f>
        <v>135</v>
      </c>
    </row>
    <row r="1283" spans="1:18">
      <c r="A1283" s="26">
        <v>3692</v>
      </c>
      <c r="B1283" s="27">
        <v>35439</v>
      </c>
      <c r="C1283" s="28" t="s">
        <v>4215</v>
      </c>
      <c r="D1283" s="27">
        <v>35438</v>
      </c>
      <c r="E1283" s="28" t="s">
        <v>4216</v>
      </c>
      <c r="F1283" s="28" t="s">
        <v>228</v>
      </c>
      <c r="G1283" s="28" t="s">
        <v>20</v>
      </c>
      <c r="H1283" s="28" t="s">
        <v>21</v>
      </c>
      <c r="I1283" s="28" t="s">
        <v>21</v>
      </c>
      <c r="J1283" s="28" t="s">
        <v>3596</v>
      </c>
      <c r="K1283" s="28" t="s">
        <v>4217</v>
      </c>
      <c r="L1283" s="28" t="s">
        <v>67</v>
      </c>
      <c r="M1283" s="28" t="s">
        <v>21</v>
      </c>
      <c r="O1283" s="92">
        <v>35537</v>
      </c>
      <c r="P1283" s="28" t="s">
        <v>31</v>
      </c>
      <c r="Q1283" s="26" t="b">
        <v>0</v>
      </c>
      <c r="R1283" s="22">
        <f t="shared" si="20"/>
        <v>99</v>
      </c>
    </row>
    <row r="1284" spans="1:18">
      <c r="A1284" s="26">
        <v>3695</v>
      </c>
      <c r="B1284" s="27">
        <v>35445</v>
      </c>
      <c r="C1284" s="28" t="s">
        <v>4225</v>
      </c>
      <c r="D1284" s="27">
        <v>35437</v>
      </c>
      <c r="E1284" s="28" t="s">
        <v>38</v>
      </c>
      <c r="F1284" s="28" t="s">
        <v>984</v>
      </c>
      <c r="G1284" s="28" t="s">
        <v>20</v>
      </c>
      <c r="H1284" s="28" t="s">
        <v>21</v>
      </c>
      <c r="I1284" s="28" t="s">
        <v>21</v>
      </c>
      <c r="J1284" s="28" t="s">
        <v>4226</v>
      </c>
      <c r="K1284" s="28" t="s">
        <v>4227</v>
      </c>
      <c r="L1284" s="28" t="s">
        <v>67</v>
      </c>
      <c r="M1284" s="28" t="s">
        <v>21</v>
      </c>
      <c r="O1284" s="92">
        <v>35494</v>
      </c>
      <c r="P1284" s="28" t="s">
        <v>21</v>
      </c>
      <c r="Q1284" s="26" t="b">
        <v>0</v>
      </c>
      <c r="R1284" s="22">
        <f t="shared" si="20"/>
        <v>50</v>
      </c>
    </row>
    <row r="1285" spans="1:18" ht="24">
      <c r="A1285" s="26">
        <v>3847</v>
      </c>
      <c r="B1285" s="27">
        <v>35445</v>
      </c>
      <c r="C1285" s="28" t="s">
        <v>4395</v>
      </c>
      <c r="D1285" s="27">
        <v>35445</v>
      </c>
      <c r="E1285" s="28" t="s">
        <v>38</v>
      </c>
      <c r="F1285" s="28" t="s">
        <v>124</v>
      </c>
      <c r="G1285" s="28" t="s">
        <v>20</v>
      </c>
      <c r="H1285" s="28" t="s">
        <v>21</v>
      </c>
      <c r="I1285" s="28" t="s">
        <v>21</v>
      </c>
      <c r="J1285" s="28" t="s">
        <v>4396</v>
      </c>
      <c r="K1285" s="28" t="s">
        <v>21</v>
      </c>
      <c r="L1285" s="28" t="s">
        <v>67</v>
      </c>
      <c r="M1285" s="28" t="s">
        <v>21</v>
      </c>
      <c r="O1285" s="92">
        <v>35541</v>
      </c>
      <c r="P1285" s="28" t="s">
        <v>31</v>
      </c>
      <c r="Q1285" s="26" t="b">
        <v>0</v>
      </c>
      <c r="R1285" s="22">
        <f t="shared" si="20"/>
        <v>97</v>
      </c>
    </row>
    <row r="1286" spans="1:18">
      <c r="A1286" s="26">
        <v>3908</v>
      </c>
      <c r="B1286" s="27">
        <v>35446</v>
      </c>
      <c r="C1286" s="28" t="s">
        <v>4491</v>
      </c>
      <c r="D1286" s="27">
        <v>35446</v>
      </c>
      <c r="E1286" s="28" t="s">
        <v>283</v>
      </c>
      <c r="F1286" s="28" t="s">
        <v>149</v>
      </c>
      <c r="G1286" s="28" t="s">
        <v>20</v>
      </c>
      <c r="H1286" s="28" t="s">
        <v>21</v>
      </c>
      <c r="I1286" s="28" t="s">
        <v>21</v>
      </c>
      <c r="J1286" s="28" t="s">
        <v>4492</v>
      </c>
      <c r="K1286" s="28" t="s">
        <v>4493</v>
      </c>
      <c r="L1286" s="28" t="s">
        <v>30</v>
      </c>
      <c r="M1286" s="28" t="s">
        <v>21</v>
      </c>
      <c r="O1286" s="92">
        <v>35550</v>
      </c>
      <c r="P1286" s="28" t="s">
        <v>21</v>
      </c>
      <c r="Q1286" s="26" t="b">
        <v>0</v>
      </c>
      <c r="R1286" s="22">
        <f t="shared" si="20"/>
        <v>105</v>
      </c>
    </row>
    <row r="1287" spans="1:18">
      <c r="A1287" s="26">
        <v>3696</v>
      </c>
      <c r="B1287" s="27">
        <v>35451</v>
      </c>
      <c r="C1287" s="28" t="s">
        <v>4228</v>
      </c>
      <c r="D1287" s="27">
        <v>35451</v>
      </c>
      <c r="E1287" s="28" t="s">
        <v>283</v>
      </c>
      <c r="F1287" s="28" t="s">
        <v>85</v>
      </c>
      <c r="G1287" s="28" t="s">
        <v>20</v>
      </c>
      <c r="H1287" s="28" t="s">
        <v>21</v>
      </c>
      <c r="I1287" s="28" t="s">
        <v>21</v>
      </c>
      <c r="J1287" s="28" t="s">
        <v>4229</v>
      </c>
      <c r="K1287" s="28" t="s">
        <v>4230</v>
      </c>
      <c r="L1287" s="28" t="s">
        <v>67</v>
      </c>
      <c r="M1287" s="28" t="s">
        <v>21</v>
      </c>
      <c r="N1287" s="29">
        <v>35453</v>
      </c>
      <c r="O1287" s="92">
        <v>35468</v>
      </c>
      <c r="P1287" s="28" t="s">
        <v>21</v>
      </c>
      <c r="Q1287" s="26" t="b">
        <v>0</v>
      </c>
      <c r="R1287" s="22">
        <f t="shared" si="20"/>
        <v>16</v>
      </c>
    </row>
    <row r="1288" spans="1:18">
      <c r="A1288" s="26">
        <v>3700</v>
      </c>
      <c r="B1288" s="27">
        <v>35452</v>
      </c>
      <c r="C1288" s="28" t="s">
        <v>4231</v>
      </c>
      <c r="D1288" s="27">
        <v>35446</v>
      </c>
      <c r="E1288" s="28" t="s">
        <v>4232</v>
      </c>
      <c r="F1288" s="28" t="s">
        <v>4233</v>
      </c>
      <c r="G1288" s="28" t="s">
        <v>20</v>
      </c>
      <c r="H1288" s="28" t="s">
        <v>21</v>
      </c>
      <c r="I1288" s="28" t="s">
        <v>21</v>
      </c>
      <c r="J1288" s="28" t="s">
        <v>4234</v>
      </c>
      <c r="K1288" s="28" t="s">
        <v>4235</v>
      </c>
      <c r="L1288" s="28" t="s">
        <v>67</v>
      </c>
      <c r="M1288" s="28" t="s">
        <v>21</v>
      </c>
      <c r="O1288" s="92">
        <v>35716</v>
      </c>
      <c r="P1288" s="28" t="s">
        <v>31</v>
      </c>
      <c r="Q1288" s="26" t="b">
        <v>0</v>
      </c>
      <c r="R1288" s="22">
        <f t="shared" si="20"/>
        <v>264</v>
      </c>
    </row>
    <row r="1289" spans="1:18">
      <c r="A1289" s="26">
        <v>3712</v>
      </c>
      <c r="B1289" s="27">
        <v>35454</v>
      </c>
      <c r="C1289" s="28" t="s">
        <v>4236</v>
      </c>
      <c r="D1289" s="27">
        <v>35453</v>
      </c>
      <c r="E1289" s="28" t="s">
        <v>4237</v>
      </c>
      <c r="F1289" s="28" t="s">
        <v>242</v>
      </c>
      <c r="G1289" s="28" t="s">
        <v>20</v>
      </c>
      <c r="H1289" s="28" t="s">
        <v>21</v>
      </c>
      <c r="I1289" s="28" t="s">
        <v>21</v>
      </c>
      <c r="J1289" s="28" t="s">
        <v>272</v>
      </c>
      <c r="K1289" s="28" t="s">
        <v>2547</v>
      </c>
      <c r="L1289" s="28" t="s">
        <v>66</v>
      </c>
      <c r="M1289" s="28" t="s">
        <v>21</v>
      </c>
      <c r="O1289" s="92">
        <v>35495</v>
      </c>
      <c r="P1289" s="28" t="s">
        <v>31</v>
      </c>
      <c r="Q1289" s="26" t="b">
        <v>0</v>
      </c>
      <c r="R1289" s="22">
        <f t="shared" si="20"/>
        <v>42</v>
      </c>
    </row>
    <row r="1290" spans="1:18">
      <c r="A1290" s="26">
        <v>3723</v>
      </c>
      <c r="B1290" s="27">
        <v>35454</v>
      </c>
      <c r="C1290" s="28" t="s">
        <v>4238</v>
      </c>
      <c r="D1290" s="27">
        <v>35453</v>
      </c>
      <c r="E1290" s="28" t="s">
        <v>4239</v>
      </c>
      <c r="F1290" s="28" t="s">
        <v>27</v>
      </c>
      <c r="G1290" s="28" t="s">
        <v>20</v>
      </c>
      <c r="H1290" s="28" t="s">
        <v>21</v>
      </c>
      <c r="I1290" s="28" t="s">
        <v>21</v>
      </c>
      <c r="J1290" s="28" t="s">
        <v>272</v>
      </c>
      <c r="K1290" s="28" t="s">
        <v>21</v>
      </c>
      <c r="L1290" s="28" t="s">
        <v>66</v>
      </c>
      <c r="M1290" s="28" t="s">
        <v>21</v>
      </c>
      <c r="O1290" s="92">
        <v>35493</v>
      </c>
      <c r="P1290" s="28" t="s">
        <v>31</v>
      </c>
      <c r="Q1290" s="26" t="b">
        <v>0</v>
      </c>
      <c r="R1290" s="22">
        <f t="shared" si="20"/>
        <v>40</v>
      </c>
    </row>
    <row r="1291" spans="1:18" ht="24">
      <c r="A1291" s="26">
        <v>3740</v>
      </c>
      <c r="B1291" s="27">
        <v>35454</v>
      </c>
      <c r="C1291" s="28" t="s">
        <v>4240</v>
      </c>
      <c r="D1291" s="27">
        <v>35453</v>
      </c>
      <c r="E1291" s="28" t="s">
        <v>4241</v>
      </c>
      <c r="F1291" s="28" t="s">
        <v>4242</v>
      </c>
      <c r="G1291" s="28" t="s">
        <v>20</v>
      </c>
      <c r="H1291" s="28" t="s">
        <v>189</v>
      </c>
      <c r="I1291" s="28" t="s">
        <v>189</v>
      </c>
      <c r="J1291" s="28" t="s">
        <v>4243</v>
      </c>
      <c r="K1291" s="28" t="s">
        <v>4244</v>
      </c>
      <c r="L1291" s="28" t="s">
        <v>66</v>
      </c>
      <c r="M1291" s="28" t="s">
        <v>21</v>
      </c>
      <c r="O1291" s="92">
        <v>36452</v>
      </c>
      <c r="P1291" s="28" t="s">
        <v>21</v>
      </c>
      <c r="Q1291" s="26" t="b">
        <v>0</v>
      </c>
      <c r="R1291" s="22">
        <f t="shared" si="20"/>
        <v>998</v>
      </c>
    </row>
    <row r="1292" spans="1:18">
      <c r="A1292" s="26">
        <v>3784</v>
      </c>
      <c r="B1292" s="27">
        <v>35459</v>
      </c>
      <c r="C1292" s="28" t="s">
        <v>4245</v>
      </c>
      <c r="D1292" s="27">
        <v>35459</v>
      </c>
      <c r="E1292" s="28" t="s">
        <v>4246</v>
      </c>
      <c r="F1292" s="28" t="s">
        <v>149</v>
      </c>
      <c r="G1292" s="28" t="s">
        <v>20</v>
      </c>
      <c r="H1292" s="28" t="s">
        <v>21</v>
      </c>
      <c r="I1292" s="28" t="s">
        <v>21</v>
      </c>
      <c r="J1292" s="28" t="s">
        <v>4247</v>
      </c>
      <c r="K1292" s="28" t="s">
        <v>4248</v>
      </c>
      <c r="L1292" s="28" t="s">
        <v>686</v>
      </c>
      <c r="M1292" s="28" t="s">
        <v>67</v>
      </c>
      <c r="O1292" s="92">
        <v>36487</v>
      </c>
      <c r="P1292" s="28" t="s">
        <v>21</v>
      </c>
      <c r="Q1292" s="26" t="b">
        <v>0</v>
      </c>
      <c r="R1292" s="22">
        <f t="shared" si="20"/>
        <v>1028</v>
      </c>
    </row>
    <row r="1293" spans="1:18">
      <c r="A1293" s="26">
        <v>3786</v>
      </c>
      <c r="B1293" s="27">
        <v>35460</v>
      </c>
      <c r="C1293" s="28" t="s">
        <v>4249</v>
      </c>
      <c r="D1293" s="27">
        <v>35460</v>
      </c>
      <c r="E1293" s="28" t="s">
        <v>4250</v>
      </c>
      <c r="F1293" s="28" t="s">
        <v>56</v>
      </c>
      <c r="G1293" s="28" t="s">
        <v>20</v>
      </c>
      <c r="H1293" s="28" t="s">
        <v>21</v>
      </c>
      <c r="I1293" s="28" t="s">
        <v>21</v>
      </c>
      <c r="J1293" s="28" t="s">
        <v>4251</v>
      </c>
      <c r="K1293" s="28" t="s">
        <v>21</v>
      </c>
      <c r="L1293" s="28" t="s">
        <v>88</v>
      </c>
      <c r="M1293" s="28" t="s">
        <v>21</v>
      </c>
      <c r="O1293" s="92">
        <v>35549</v>
      </c>
      <c r="P1293" s="28" t="s">
        <v>21</v>
      </c>
      <c r="Q1293" s="26" t="b">
        <v>0</v>
      </c>
      <c r="R1293" s="22">
        <f t="shared" si="20"/>
        <v>90</v>
      </c>
    </row>
    <row r="1294" spans="1:18" ht="24">
      <c r="A1294" s="26">
        <v>3790</v>
      </c>
      <c r="B1294" s="27">
        <v>35464</v>
      </c>
      <c r="C1294" s="28" t="s">
        <v>4252</v>
      </c>
      <c r="D1294" s="27">
        <v>35457</v>
      </c>
      <c r="E1294" s="28" t="s">
        <v>4253</v>
      </c>
      <c r="F1294" s="28" t="s">
        <v>104</v>
      </c>
      <c r="G1294" s="28" t="s">
        <v>20</v>
      </c>
      <c r="H1294" s="28" t="s">
        <v>21</v>
      </c>
      <c r="I1294" s="28" t="s">
        <v>21</v>
      </c>
      <c r="J1294" s="28" t="s">
        <v>4254</v>
      </c>
      <c r="K1294" s="28" t="s">
        <v>4255</v>
      </c>
      <c r="L1294" s="28" t="s">
        <v>314</v>
      </c>
      <c r="M1294" s="28" t="s">
        <v>3817</v>
      </c>
      <c r="O1294" s="92">
        <v>37957</v>
      </c>
      <c r="P1294" s="28" t="s">
        <v>21</v>
      </c>
      <c r="Q1294" s="26" t="b">
        <v>0</v>
      </c>
      <c r="R1294" s="22">
        <f t="shared" si="20"/>
        <v>2493</v>
      </c>
    </row>
    <row r="1295" spans="1:18" ht="24">
      <c r="A1295" s="26">
        <v>3792</v>
      </c>
      <c r="B1295" s="27">
        <v>35464</v>
      </c>
      <c r="C1295" s="28" t="s">
        <v>4259</v>
      </c>
      <c r="D1295" s="27">
        <v>35465</v>
      </c>
      <c r="E1295" s="28" t="s">
        <v>4260</v>
      </c>
      <c r="F1295" s="28" t="s">
        <v>85</v>
      </c>
      <c r="G1295" s="28" t="s">
        <v>20</v>
      </c>
      <c r="H1295" s="28" t="s">
        <v>21</v>
      </c>
      <c r="I1295" s="28" t="s">
        <v>21</v>
      </c>
      <c r="J1295" s="28" t="s">
        <v>4261</v>
      </c>
      <c r="K1295" s="28" t="s">
        <v>4262</v>
      </c>
      <c r="L1295" s="28" t="s">
        <v>88</v>
      </c>
      <c r="M1295" s="28" t="s">
        <v>21</v>
      </c>
      <c r="O1295" s="92">
        <v>35774</v>
      </c>
      <c r="P1295" s="28" t="s">
        <v>31</v>
      </c>
      <c r="Q1295" s="26" t="b">
        <v>0</v>
      </c>
      <c r="R1295" s="22">
        <f t="shared" si="20"/>
        <v>311</v>
      </c>
    </row>
    <row r="1296" spans="1:18">
      <c r="A1296" s="26">
        <v>3791</v>
      </c>
      <c r="B1296" s="27">
        <v>35465</v>
      </c>
      <c r="C1296" s="28" t="s">
        <v>4256</v>
      </c>
      <c r="D1296" s="27">
        <v>35460</v>
      </c>
      <c r="E1296" s="28" t="s">
        <v>4257</v>
      </c>
      <c r="F1296" s="28" t="s">
        <v>149</v>
      </c>
      <c r="G1296" s="28" t="s">
        <v>20</v>
      </c>
      <c r="H1296" s="28" t="s">
        <v>21</v>
      </c>
      <c r="I1296" s="28" t="s">
        <v>21</v>
      </c>
      <c r="J1296" s="28" t="s">
        <v>4258</v>
      </c>
      <c r="K1296" s="28" t="s">
        <v>21</v>
      </c>
      <c r="L1296" s="28" t="s">
        <v>67</v>
      </c>
      <c r="M1296" s="28" t="s">
        <v>21</v>
      </c>
      <c r="O1296" s="92">
        <v>35976</v>
      </c>
      <c r="P1296" s="28" t="s">
        <v>31</v>
      </c>
      <c r="Q1296" s="26" t="b">
        <v>0</v>
      </c>
      <c r="R1296" s="22">
        <f t="shared" si="20"/>
        <v>513</v>
      </c>
    </row>
    <row r="1297" spans="1:18">
      <c r="A1297" s="26">
        <v>3794</v>
      </c>
      <c r="B1297" s="27">
        <v>35465</v>
      </c>
      <c r="C1297" s="28" t="s">
        <v>4263</v>
      </c>
      <c r="D1297" s="27">
        <v>35457</v>
      </c>
      <c r="E1297" s="28" t="s">
        <v>4264</v>
      </c>
      <c r="F1297" s="28" t="s">
        <v>70</v>
      </c>
      <c r="G1297" s="28" t="s">
        <v>20</v>
      </c>
      <c r="H1297" s="28" t="s">
        <v>71</v>
      </c>
      <c r="I1297" s="28" t="s">
        <v>72</v>
      </c>
      <c r="J1297" s="28" t="s">
        <v>4265</v>
      </c>
      <c r="K1297" s="28" t="s">
        <v>4266</v>
      </c>
      <c r="L1297" s="28" t="s">
        <v>88</v>
      </c>
      <c r="M1297" s="28" t="s">
        <v>21</v>
      </c>
      <c r="O1297" s="92">
        <v>35670</v>
      </c>
      <c r="P1297" s="28" t="s">
        <v>21</v>
      </c>
      <c r="Q1297" s="26" t="b">
        <v>0</v>
      </c>
      <c r="R1297" s="22">
        <f t="shared" si="20"/>
        <v>206</v>
      </c>
    </row>
    <row r="1298" spans="1:18" ht="24">
      <c r="A1298" s="26">
        <v>3795</v>
      </c>
      <c r="B1298" s="27">
        <v>35465</v>
      </c>
      <c r="C1298" s="28" t="s">
        <v>4267</v>
      </c>
      <c r="D1298" s="27">
        <v>35388</v>
      </c>
      <c r="E1298" s="28" t="s">
        <v>4268</v>
      </c>
      <c r="F1298" s="28" t="s">
        <v>124</v>
      </c>
      <c r="G1298" s="28" t="s">
        <v>20</v>
      </c>
      <c r="H1298" s="28" t="s">
        <v>21</v>
      </c>
      <c r="I1298" s="28" t="s">
        <v>21</v>
      </c>
      <c r="J1298" s="28" t="s">
        <v>4269</v>
      </c>
      <c r="K1298" s="28" t="s">
        <v>21</v>
      </c>
      <c r="L1298" s="28" t="s">
        <v>821</v>
      </c>
      <c r="M1298" s="28" t="s">
        <v>88</v>
      </c>
      <c r="O1298" s="92">
        <v>36355</v>
      </c>
      <c r="P1298" s="28" t="s">
        <v>21</v>
      </c>
      <c r="Q1298" s="26" t="b">
        <v>0</v>
      </c>
      <c r="R1298" s="22">
        <f t="shared" si="20"/>
        <v>892</v>
      </c>
    </row>
    <row r="1299" spans="1:18">
      <c r="A1299" s="26">
        <v>3798</v>
      </c>
      <c r="B1299" s="27">
        <v>35466</v>
      </c>
      <c r="C1299" s="28" t="s">
        <v>4270</v>
      </c>
      <c r="D1299" s="27">
        <v>35465</v>
      </c>
      <c r="E1299" s="28" t="s">
        <v>4271</v>
      </c>
      <c r="F1299" s="28" t="s">
        <v>124</v>
      </c>
      <c r="G1299" s="28" t="s">
        <v>20</v>
      </c>
      <c r="H1299" s="28" t="s">
        <v>21</v>
      </c>
      <c r="I1299" s="28" t="s">
        <v>21</v>
      </c>
      <c r="J1299" s="28" t="s">
        <v>4272</v>
      </c>
      <c r="K1299" s="28" t="s">
        <v>572</v>
      </c>
      <c r="L1299" s="28" t="s">
        <v>88</v>
      </c>
      <c r="M1299" s="28" t="s">
        <v>21</v>
      </c>
      <c r="O1299" s="92">
        <v>35697</v>
      </c>
      <c r="P1299" s="28" t="s">
        <v>31</v>
      </c>
      <c r="Q1299" s="26" t="b">
        <v>0</v>
      </c>
      <c r="R1299" s="22">
        <f t="shared" si="20"/>
        <v>232</v>
      </c>
    </row>
    <row r="1300" spans="1:18">
      <c r="A1300" s="26">
        <v>3807</v>
      </c>
      <c r="B1300" s="27">
        <v>35468</v>
      </c>
      <c r="C1300" s="28" t="s">
        <v>4273</v>
      </c>
      <c r="D1300" s="27">
        <v>35452</v>
      </c>
      <c r="E1300" s="28" t="s">
        <v>4274</v>
      </c>
      <c r="F1300" s="28" t="s">
        <v>149</v>
      </c>
      <c r="G1300" s="28" t="s">
        <v>20</v>
      </c>
      <c r="H1300" s="28" t="s">
        <v>21</v>
      </c>
      <c r="I1300" s="28" t="s">
        <v>21</v>
      </c>
      <c r="J1300" s="28" t="s">
        <v>4275</v>
      </c>
      <c r="K1300" s="28" t="s">
        <v>4276</v>
      </c>
      <c r="L1300" s="28" t="s">
        <v>88</v>
      </c>
      <c r="M1300" s="28" t="s">
        <v>21</v>
      </c>
      <c r="O1300" s="92">
        <v>35601</v>
      </c>
      <c r="P1300" s="28" t="s">
        <v>21</v>
      </c>
      <c r="Q1300" s="26" t="b">
        <v>0</v>
      </c>
      <c r="R1300" s="22">
        <f t="shared" si="20"/>
        <v>134</v>
      </c>
    </row>
    <row r="1301" spans="1:18" ht="24">
      <c r="A1301" s="26">
        <v>3811</v>
      </c>
      <c r="B1301" s="27">
        <v>35471</v>
      </c>
      <c r="C1301" s="28" t="s">
        <v>4277</v>
      </c>
      <c r="D1301" s="27">
        <v>35471</v>
      </c>
      <c r="E1301" s="28" t="s">
        <v>4278</v>
      </c>
      <c r="F1301" s="28" t="s">
        <v>4279</v>
      </c>
      <c r="G1301" s="28" t="s">
        <v>20</v>
      </c>
      <c r="H1301" s="28" t="s">
        <v>189</v>
      </c>
      <c r="I1301" s="28" t="s">
        <v>189</v>
      </c>
      <c r="J1301" s="28" t="s">
        <v>4280</v>
      </c>
      <c r="K1301" s="28" t="s">
        <v>4281</v>
      </c>
      <c r="L1301" s="28" t="s">
        <v>4282</v>
      </c>
      <c r="M1301" s="28" t="s">
        <v>4283</v>
      </c>
      <c r="O1301" s="92">
        <v>36179</v>
      </c>
      <c r="P1301" s="28" t="s">
        <v>31</v>
      </c>
      <c r="Q1301" s="26" t="b">
        <v>0</v>
      </c>
      <c r="R1301" s="22">
        <f t="shared" si="20"/>
        <v>708</v>
      </c>
    </row>
    <row r="1302" spans="1:18">
      <c r="A1302" s="26">
        <v>3812</v>
      </c>
      <c r="B1302" s="27">
        <v>35472</v>
      </c>
      <c r="C1302" s="28" t="s">
        <v>4284</v>
      </c>
      <c r="D1302" s="27">
        <v>35467</v>
      </c>
      <c r="E1302" s="28" t="s">
        <v>4285</v>
      </c>
      <c r="F1302" s="28" t="s">
        <v>1771</v>
      </c>
      <c r="G1302" s="28" t="s">
        <v>20</v>
      </c>
      <c r="H1302" s="28" t="s">
        <v>189</v>
      </c>
      <c r="I1302" s="28" t="s">
        <v>189</v>
      </c>
      <c r="J1302" s="28" t="s">
        <v>4286</v>
      </c>
      <c r="K1302" s="28" t="s">
        <v>4287</v>
      </c>
      <c r="L1302" s="28" t="s">
        <v>66</v>
      </c>
      <c r="M1302" s="28" t="s">
        <v>21</v>
      </c>
      <c r="O1302" s="92">
        <v>35717</v>
      </c>
      <c r="P1302" s="28" t="s">
        <v>21</v>
      </c>
      <c r="Q1302" s="26" t="b">
        <v>0</v>
      </c>
      <c r="R1302" s="22">
        <f t="shared" si="20"/>
        <v>246</v>
      </c>
    </row>
    <row r="1303" spans="1:18" ht="24">
      <c r="A1303" s="26">
        <v>3816</v>
      </c>
      <c r="B1303" s="27">
        <v>35474</v>
      </c>
      <c r="C1303" s="28" t="s">
        <v>4288</v>
      </c>
      <c r="D1303" s="27">
        <v>35474</v>
      </c>
      <c r="E1303" s="28" t="s">
        <v>4289</v>
      </c>
      <c r="F1303" s="28" t="s">
        <v>145</v>
      </c>
      <c r="G1303" s="28" t="s">
        <v>20</v>
      </c>
      <c r="H1303" s="28" t="s">
        <v>21</v>
      </c>
      <c r="I1303" s="28" t="s">
        <v>21</v>
      </c>
      <c r="J1303" s="28" t="s">
        <v>4290</v>
      </c>
      <c r="K1303" s="28" t="s">
        <v>4291</v>
      </c>
      <c r="L1303" s="28" t="s">
        <v>314</v>
      </c>
      <c r="M1303" s="28" t="s">
        <v>4292</v>
      </c>
      <c r="O1303" s="92">
        <v>37917</v>
      </c>
      <c r="P1303" s="28" t="s">
        <v>31</v>
      </c>
      <c r="Q1303" s="26" t="b">
        <v>0</v>
      </c>
      <c r="R1303" s="22">
        <f t="shared" si="20"/>
        <v>2443</v>
      </c>
    </row>
    <row r="1304" spans="1:18" ht="24">
      <c r="A1304" s="26">
        <v>3817</v>
      </c>
      <c r="B1304" s="27">
        <v>35475</v>
      </c>
      <c r="C1304" s="28" t="s">
        <v>4293</v>
      </c>
      <c r="D1304" s="27">
        <v>35474</v>
      </c>
      <c r="E1304" s="28" t="s">
        <v>4294</v>
      </c>
      <c r="F1304" s="28" t="s">
        <v>1771</v>
      </c>
      <c r="G1304" s="28" t="s">
        <v>20</v>
      </c>
      <c r="H1304" s="28" t="s">
        <v>189</v>
      </c>
      <c r="I1304" s="28" t="s">
        <v>189</v>
      </c>
      <c r="J1304" s="28" t="s">
        <v>4295</v>
      </c>
      <c r="K1304" s="28" t="s">
        <v>4296</v>
      </c>
      <c r="L1304" s="28" t="s">
        <v>2205</v>
      </c>
      <c r="M1304" s="28" t="s">
        <v>4297</v>
      </c>
      <c r="O1304" s="92">
        <v>38412</v>
      </c>
      <c r="P1304" s="28" t="s">
        <v>21</v>
      </c>
      <c r="Q1304" s="26" t="b">
        <v>0</v>
      </c>
      <c r="R1304" s="22">
        <f t="shared" si="20"/>
        <v>2937</v>
      </c>
    </row>
    <row r="1305" spans="1:18">
      <c r="A1305" s="26">
        <v>3818</v>
      </c>
      <c r="B1305" s="27">
        <v>35479</v>
      </c>
      <c r="C1305" s="28" t="s">
        <v>4298</v>
      </c>
      <c r="D1305" s="27">
        <v>35443</v>
      </c>
      <c r="E1305" s="28" t="s">
        <v>4299</v>
      </c>
      <c r="F1305" s="28" t="s">
        <v>3519</v>
      </c>
      <c r="G1305" s="28" t="s">
        <v>20</v>
      </c>
      <c r="H1305" s="28" t="s">
        <v>566</v>
      </c>
      <c r="I1305" s="28" t="s">
        <v>566</v>
      </c>
      <c r="J1305" s="28" t="s">
        <v>4300</v>
      </c>
      <c r="K1305" s="28" t="s">
        <v>4301</v>
      </c>
      <c r="L1305" s="28" t="s">
        <v>66</v>
      </c>
      <c r="M1305" s="28" t="s">
        <v>1297</v>
      </c>
      <c r="O1305" s="92">
        <v>37732</v>
      </c>
      <c r="P1305" s="28" t="s">
        <v>21</v>
      </c>
      <c r="Q1305" s="26" t="b">
        <v>0</v>
      </c>
      <c r="R1305" s="22">
        <f t="shared" si="20"/>
        <v>2253</v>
      </c>
    </row>
    <row r="1306" spans="1:18">
      <c r="A1306" s="26">
        <v>3819</v>
      </c>
      <c r="B1306" s="27">
        <v>35487</v>
      </c>
      <c r="C1306" s="28" t="s">
        <v>4302</v>
      </c>
      <c r="D1306" s="27">
        <v>35468</v>
      </c>
      <c r="E1306" s="28" t="s">
        <v>4303</v>
      </c>
      <c r="F1306" s="28" t="s">
        <v>359</v>
      </c>
      <c r="G1306" s="28" t="s">
        <v>20</v>
      </c>
      <c r="H1306" s="28" t="s">
        <v>21</v>
      </c>
      <c r="I1306" s="28" t="s">
        <v>21</v>
      </c>
      <c r="J1306" s="28" t="s">
        <v>4304</v>
      </c>
      <c r="K1306" s="28" t="s">
        <v>4305</v>
      </c>
      <c r="L1306" s="28" t="s">
        <v>66</v>
      </c>
      <c r="M1306" s="28" t="s">
        <v>21</v>
      </c>
      <c r="O1306" s="92">
        <v>35639</v>
      </c>
      <c r="P1306" s="28" t="s">
        <v>31</v>
      </c>
      <c r="Q1306" s="26" t="b">
        <v>0</v>
      </c>
      <c r="R1306" s="22">
        <f t="shared" si="20"/>
        <v>154</v>
      </c>
    </row>
    <row r="1307" spans="1:18">
      <c r="A1307" s="26">
        <v>3820</v>
      </c>
      <c r="B1307" s="27">
        <v>35487</v>
      </c>
      <c r="C1307" s="28" t="s">
        <v>4306</v>
      </c>
      <c r="D1307" s="27">
        <v>35486</v>
      </c>
      <c r="E1307" s="28" t="s">
        <v>4307</v>
      </c>
      <c r="F1307" s="28" t="s">
        <v>149</v>
      </c>
      <c r="G1307" s="28" t="s">
        <v>20</v>
      </c>
      <c r="H1307" s="28" t="s">
        <v>21</v>
      </c>
      <c r="I1307" s="28" t="s">
        <v>21</v>
      </c>
      <c r="J1307" s="28" t="s">
        <v>2547</v>
      </c>
      <c r="K1307" s="28" t="s">
        <v>4308</v>
      </c>
      <c r="L1307" s="28" t="s">
        <v>88</v>
      </c>
      <c r="M1307" s="28" t="s">
        <v>21</v>
      </c>
      <c r="O1307" s="92">
        <v>35946</v>
      </c>
      <c r="P1307" s="28" t="s">
        <v>31</v>
      </c>
      <c r="Q1307" s="26" t="b">
        <v>0</v>
      </c>
      <c r="R1307" s="22">
        <f t="shared" si="20"/>
        <v>461</v>
      </c>
    </row>
    <row r="1308" spans="1:18">
      <c r="A1308" s="26">
        <v>3821</v>
      </c>
      <c r="B1308" s="27">
        <v>35487</v>
      </c>
      <c r="C1308" s="28" t="s">
        <v>4309</v>
      </c>
      <c r="D1308" s="27">
        <v>35486</v>
      </c>
      <c r="E1308" s="28" t="s">
        <v>4310</v>
      </c>
      <c r="F1308" s="28" t="s">
        <v>2296</v>
      </c>
      <c r="G1308" s="28" t="s">
        <v>20</v>
      </c>
      <c r="H1308" s="28" t="s">
        <v>566</v>
      </c>
      <c r="I1308" s="28" t="s">
        <v>566</v>
      </c>
      <c r="J1308" s="28" t="s">
        <v>4311</v>
      </c>
      <c r="K1308" s="28" t="s">
        <v>4312</v>
      </c>
      <c r="L1308" s="28" t="s">
        <v>66</v>
      </c>
      <c r="M1308" s="28" t="s">
        <v>21</v>
      </c>
      <c r="O1308" s="92">
        <v>35682</v>
      </c>
      <c r="P1308" s="28" t="s">
        <v>31</v>
      </c>
      <c r="Q1308" s="26" t="b">
        <v>0</v>
      </c>
      <c r="R1308" s="22">
        <f t="shared" si="20"/>
        <v>195</v>
      </c>
    </row>
    <row r="1309" spans="1:18">
      <c r="A1309" s="26">
        <v>3822</v>
      </c>
      <c r="B1309" s="27">
        <v>35489</v>
      </c>
      <c r="C1309" s="28" t="s">
        <v>4313</v>
      </c>
      <c r="D1309" s="27">
        <v>35494</v>
      </c>
      <c r="E1309" s="28" t="s">
        <v>4314</v>
      </c>
      <c r="F1309" s="28" t="s">
        <v>39</v>
      </c>
      <c r="G1309" s="28" t="s">
        <v>20</v>
      </c>
      <c r="H1309" s="28" t="s">
        <v>21</v>
      </c>
      <c r="I1309" s="28" t="s">
        <v>21</v>
      </c>
      <c r="J1309" s="28" t="s">
        <v>4315</v>
      </c>
      <c r="K1309" s="28" t="s">
        <v>4316</v>
      </c>
      <c r="L1309" s="28" t="s">
        <v>30</v>
      </c>
      <c r="M1309" s="28" t="s">
        <v>21</v>
      </c>
      <c r="O1309" s="92">
        <v>35542</v>
      </c>
      <c r="P1309" s="28" t="s">
        <v>21</v>
      </c>
      <c r="Q1309" s="26" t="b">
        <v>0</v>
      </c>
      <c r="R1309" s="22">
        <f t="shared" si="20"/>
        <v>52</v>
      </c>
    </row>
    <row r="1310" spans="1:18">
      <c r="A1310" s="26">
        <v>3824</v>
      </c>
      <c r="B1310" s="27">
        <v>35489</v>
      </c>
      <c r="C1310" s="28" t="s">
        <v>4320</v>
      </c>
      <c r="D1310" s="27">
        <v>35489</v>
      </c>
      <c r="E1310" s="28" t="s">
        <v>4321</v>
      </c>
      <c r="F1310" s="28" t="s">
        <v>124</v>
      </c>
      <c r="G1310" s="28" t="s">
        <v>20</v>
      </c>
      <c r="H1310" s="28" t="s">
        <v>21</v>
      </c>
      <c r="I1310" s="28" t="s">
        <v>21</v>
      </c>
      <c r="J1310" s="28" t="s">
        <v>572</v>
      </c>
      <c r="K1310" s="28" t="s">
        <v>4322</v>
      </c>
      <c r="L1310" s="28" t="s">
        <v>88</v>
      </c>
      <c r="M1310" s="28" t="s">
        <v>21</v>
      </c>
      <c r="O1310" s="92">
        <v>35496</v>
      </c>
      <c r="P1310" s="28" t="s">
        <v>31</v>
      </c>
      <c r="Q1310" s="26" t="b">
        <v>0</v>
      </c>
      <c r="R1310" s="22">
        <f t="shared" si="20"/>
        <v>7</v>
      </c>
    </row>
    <row r="1311" spans="1:18">
      <c r="A1311" s="26">
        <v>3823</v>
      </c>
      <c r="B1311" s="27">
        <v>35496</v>
      </c>
      <c r="C1311" s="28" t="s">
        <v>4317</v>
      </c>
      <c r="D1311" s="27">
        <v>35496</v>
      </c>
      <c r="E1311" s="28" t="s">
        <v>3045</v>
      </c>
      <c r="F1311" s="28" t="s">
        <v>1061</v>
      </c>
      <c r="G1311" s="28" t="s">
        <v>20</v>
      </c>
      <c r="H1311" s="28" t="s">
        <v>21</v>
      </c>
      <c r="I1311" s="28" t="s">
        <v>21</v>
      </c>
      <c r="J1311" s="28" t="s">
        <v>4318</v>
      </c>
      <c r="K1311" s="28" t="s">
        <v>4319</v>
      </c>
      <c r="L1311" s="28" t="s">
        <v>66</v>
      </c>
      <c r="M1311" s="28" t="s">
        <v>67</v>
      </c>
      <c r="O1311" s="92">
        <v>36535</v>
      </c>
      <c r="P1311" s="28" t="s">
        <v>21</v>
      </c>
      <c r="Q1311" s="26" t="b">
        <v>0</v>
      </c>
      <c r="R1311" s="22">
        <f t="shared" si="20"/>
        <v>1037</v>
      </c>
    </row>
    <row r="1312" spans="1:18">
      <c r="A1312" s="26">
        <v>3825</v>
      </c>
      <c r="B1312" s="27">
        <v>35496</v>
      </c>
      <c r="C1312" s="28" t="s">
        <v>4323</v>
      </c>
      <c r="D1312" s="27">
        <v>35496</v>
      </c>
      <c r="E1312" s="28" t="s">
        <v>4324</v>
      </c>
      <c r="F1312" s="28" t="s">
        <v>242</v>
      </c>
      <c r="G1312" s="28" t="s">
        <v>20</v>
      </c>
      <c r="H1312" s="28" t="s">
        <v>21</v>
      </c>
      <c r="I1312" s="28" t="s">
        <v>21</v>
      </c>
      <c r="J1312" s="28" t="s">
        <v>4325</v>
      </c>
      <c r="K1312" s="28" t="s">
        <v>21</v>
      </c>
      <c r="L1312" s="28" t="s">
        <v>66</v>
      </c>
      <c r="M1312" s="28" t="s">
        <v>21</v>
      </c>
      <c r="O1312" s="92">
        <v>35522</v>
      </c>
      <c r="P1312" s="28" t="s">
        <v>31</v>
      </c>
      <c r="Q1312" s="26" t="b">
        <v>0</v>
      </c>
      <c r="R1312" s="22">
        <f t="shared" si="20"/>
        <v>25</v>
      </c>
    </row>
    <row r="1313" spans="1:18">
      <c r="A1313" s="26">
        <v>3826</v>
      </c>
      <c r="B1313" s="27">
        <v>35499</v>
      </c>
      <c r="C1313" s="28" t="s">
        <v>4326</v>
      </c>
      <c r="D1313" s="27">
        <v>35725</v>
      </c>
      <c r="E1313" s="28" t="s">
        <v>4327</v>
      </c>
      <c r="F1313" s="28" t="s">
        <v>98</v>
      </c>
      <c r="G1313" s="28" t="s">
        <v>20</v>
      </c>
      <c r="H1313" s="28" t="s">
        <v>21</v>
      </c>
      <c r="I1313" s="28" t="s">
        <v>21</v>
      </c>
      <c r="J1313" s="28" t="s">
        <v>4328</v>
      </c>
      <c r="K1313" s="28" t="s">
        <v>4329</v>
      </c>
      <c r="L1313" s="28" t="s">
        <v>66</v>
      </c>
      <c r="M1313" s="28" t="s">
        <v>67</v>
      </c>
      <c r="O1313" s="92">
        <v>36482</v>
      </c>
      <c r="P1313" s="28" t="s">
        <v>21</v>
      </c>
      <c r="Q1313" s="26" t="b">
        <v>0</v>
      </c>
      <c r="R1313" s="22">
        <f t="shared" si="20"/>
        <v>981</v>
      </c>
    </row>
    <row r="1314" spans="1:18">
      <c r="A1314" s="26">
        <v>3827</v>
      </c>
      <c r="B1314" s="27">
        <v>35499</v>
      </c>
      <c r="C1314" s="28" t="s">
        <v>4330</v>
      </c>
      <c r="D1314" s="27">
        <v>35362</v>
      </c>
      <c r="E1314" s="28" t="s">
        <v>4331</v>
      </c>
      <c r="F1314" s="28" t="s">
        <v>216</v>
      </c>
      <c r="G1314" s="28" t="s">
        <v>20</v>
      </c>
      <c r="H1314" s="28" t="s">
        <v>21</v>
      </c>
      <c r="I1314" s="28" t="s">
        <v>21</v>
      </c>
      <c r="J1314" s="28" t="s">
        <v>4332</v>
      </c>
      <c r="K1314" s="28" t="s">
        <v>4333</v>
      </c>
      <c r="L1314" s="28" t="s">
        <v>686</v>
      </c>
      <c r="M1314" s="28" t="s">
        <v>67</v>
      </c>
      <c r="O1314" s="92">
        <v>36318</v>
      </c>
      <c r="P1314" s="28" t="s">
        <v>31</v>
      </c>
      <c r="Q1314" s="26" t="b">
        <v>0</v>
      </c>
      <c r="R1314" s="22">
        <f t="shared" si="20"/>
        <v>818</v>
      </c>
    </row>
    <row r="1315" spans="1:18">
      <c r="A1315" s="26">
        <v>4646</v>
      </c>
      <c r="B1315" s="27">
        <v>35499</v>
      </c>
      <c r="C1315" s="28" t="s">
        <v>5661</v>
      </c>
      <c r="D1315" s="27">
        <v>35499</v>
      </c>
      <c r="E1315" s="28" t="s">
        <v>4331</v>
      </c>
      <c r="F1315" s="28" t="s">
        <v>216</v>
      </c>
      <c r="G1315" s="28" t="s">
        <v>20</v>
      </c>
      <c r="H1315" s="28" t="s">
        <v>21</v>
      </c>
      <c r="I1315" s="28" t="s">
        <v>21</v>
      </c>
      <c r="J1315" s="28" t="s">
        <v>4332</v>
      </c>
      <c r="K1315" s="28" t="s">
        <v>5662</v>
      </c>
      <c r="L1315" s="28" t="s">
        <v>686</v>
      </c>
      <c r="M1315" s="28" t="s">
        <v>21</v>
      </c>
      <c r="O1315" s="92">
        <v>36220</v>
      </c>
      <c r="P1315" s="28" t="s">
        <v>21</v>
      </c>
      <c r="Q1315" s="26" t="b">
        <v>0</v>
      </c>
      <c r="R1315" s="22">
        <f t="shared" si="20"/>
        <v>720</v>
      </c>
    </row>
    <row r="1316" spans="1:18" ht="24">
      <c r="A1316" s="26">
        <v>3828</v>
      </c>
      <c r="B1316" s="27">
        <v>35501</v>
      </c>
      <c r="C1316" s="28" t="s">
        <v>4334</v>
      </c>
      <c r="D1316" s="27">
        <v>35500</v>
      </c>
      <c r="E1316" s="28" t="s">
        <v>4335</v>
      </c>
      <c r="F1316" s="28" t="s">
        <v>124</v>
      </c>
      <c r="G1316" s="28" t="s">
        <v>20</v>
      </c>
      <c r="H1316" s="28" t="s">
        <v>21</v>
      </c>
      <c r="I1316" s="28" t="s">
        <v>21</v>
      </c>
      <c r="J1316" s="28" t="s">
        <v>4336</v>
      </c>
      <c r="K1316" s="28" t="s">
        <v>4337</v>
      </c>
      <c r="L1316" s="28" t="s">
        <v>314</v>
      </c>
      <c r="M1316" s="28" t="s">
        <v>1800</v>
      </c>
      <c r="O1316" s="92">
        <v>37914</v>
      </c>
      <c r="P1316" s="28" t="s">
        <v>31</v>
      </c>
      <c r="Q1316" s="26" t="b">
        <v>0</v>
      </c>
      <c r="R1316" s="22">
        <f t="shared" si="20"/>
        <v>2411</v>
      </c>
    </row>
    <row r="1317" spans="1:18">
      <c r="A1317" s="26">
        <v>3829</v>
      </c>
      <c r="B1317" s="27">
        <v>35506</v>
      </c>
      <c r="C1317" s="28" t="s">
        <v>4338</v>
      </c>
      <c r="D1317" s="27">
        <v>35506</v>
      </c>
      <c r="E1317" s="28" t="s">
        <v>4339</v>
      </c>
      <c r="F1317" s="28" t="s">
        <v>56</v>
      </c>
      <c r="G1317" s="28" t="s">
        <v>20</v>
      </c>
      <c r="H1317" s="28" t="s">
        <v>21</v>
      </c>
      <c r="I1317" s="28" t="s">
        <v>21</v>
      </c>
      <c r="J1317" s="28" t="s">
        <v>4340</v>
      </c>
      <c r="K1317" s="28" t="s">
        <v>4341</v>
      </c>
      <c r="L1317" s="28" t="s">
        <v>3930</v>
      </c>
      <c r="M1317" s="28" t="s">
        <v>21</v>
      </c>
      <c r="O1317" s="92">
        <v>35544</v>
      </c>
      <c r="P1317" s="28" t="s">
        <v>21</v>
      </c>
      <c r="Q1317" s="26" t="b">
        <v>0</v>
      </c>
      <c r="R1317" s="22">
        <f t="shared" si="20"/>
        <v>37</v>
      </c>
    </row>
    <row r="1318" spans="1:18">
      <c r="A1318" s="26">
        <v>3830</v>
      </c>
      <c r="B1318" s="27">
        <v>35509</v>
      </c>
      <c r="C1318" s="28" t="s">
        <v>4342</v>
      </c>
      <c r="D1318" s="27">
        <v>35500</v>
      </c>
      <c r="E1318" s="28" t="s">
        <v>4343</v>
      </c>
      <c r="F1318" s="28" t="s">
        <v>4344</v>
      </c>
      <c r="G1318" s="28" t="s">
        <v>20</v>
      </c>
      <c r="H1318" s="28" t="s">
        <v>212</v>
      </c>
      <c r="I1318" s="28" t="s">
        <v>212</v>
      </c>
      <c r="J1318" s="28" t="s">
        <v>4345</v>
      </c>
      <c r="K1318" s="28" t="s">
        <v>4346</v>
      </c>
      <c r="L1318" s="28" t="s">
        <v>67</v>
      </c>
      <c r="M1318" s="28" t="s">
        <v>21</v>
      </c>
      <c r="O1318" s="92">
        <v>35865</v>
      </c>
      <c r="P1318" s="28" t="s">
        <v>21</v>
      </c>
      <c r="Q1318" s="26" t="b">
        <v>0</v>
      </c>
      <c r="R1318" s="22">
        <f t="shared" si="20"/>
        <v>355</v>
      </c>
    </row>
    <row r="1319" spans="1:18">
      <c r="A1319" s="26">
        <v>3832</v>
      </c>
      <c r="B1319" s="27">
        <v>35520</v>
      </c>
      <c r="C1319" s="28" t="s">
        <v>4347</v>
      </c>
      <c r="D1319" s="27">
        <v>35516</v>
      </c>
      <c r="E1319" s="28" t="s">
        <v>38</v>
      </c>
      <c r="F1319" s="28" t="s">
        <v>104</v>
      </c>
      <c r="G1319" s="28" t="s">
        <v>20</v>
      </c>
      <c r="H1319" s="28" t="s">
        <v>21</v>
      </c>
      <c r="I1319" s="28" t="s">
        <v>21</v>
      </c>
      <c r="J1319" s="28" t="s">
        <v>4348</v>
      </c>
      <c r="K1319" s="28" t="s">
        <v>21</v>
      </c>
      <c r="L1319" s="28" t="s">
        <v>66</v>
      </c>
      <c r="M1319" s="28" t="s">
        <v>21</v>
      </c>
      <c r="O1319" s="92">
        <v>35557</v>
      </c>
      <c r="P1319" s="28" t="s">
        <v>31</v>
      </c>
      <c r="Q1319" s="26" t="b">
        <v>0</v>
      </c>
      <c r="R1319" s="22">
        <f t="shared" si="20"/>
        <v>37</v>
      </c>
    </row>
    <row r="1320" spans="1:18" ht="24">
      <c r="A1320" s="26">
        <v>3833</v>
      </c>
      <c r="B1320" s="27">
        <v>35520</v>
      </c>
      <c r="C1320" s="28" t="s">
        <v>4349</v>
      </c>
      <c r="D1320" s="27">
        <v>35516</v>
      </c>
      <c r="E1320" s="28" t="s">
        <v>4350</v>
      </c>
      <c r="F1320" s="28" t="s">
        <v>129</v>
      </c>
      <c r="G1320" s="28" t="s">
        <v>20</v>
      </c>
      <c r="H1320" s="28" t="s">
        <v>21</v>
      </c>
      <c r="I1320" s="28" t="s">
        <v>21</v>
      </c>
      <c r="J1320" s="28" t="s">
        <v>4351</v>
      </c>
      <c r="K1320" s="28" t="s">
        <v>4352</v>
      </c>
      <c r="L1320" s="28" t="s">
        <v>30</v>
      </c>
      <c r="M1320" s="28" t="s">
        <v>21</v>
      </c>
      <c r="O1320" s="92">
        <v>36461</v>
      </c>
      <c r="P1320" s="28" t="s">
        <v>21</v>
      </c>
      <c r="Q1320" s="26" t="b">
        <v>0</v>
      </c>
      <c r="R1320" s="22">
        <f t="shared" si="20"/>
        <v>940</v>
      </c>
    </row>
    <row r="1321" spans="1:18">
      <c r="A1321" s="26">
        <v>3834</v>
      </c>
      <c r="B1321" s="27">
        <v>35523</v>
      </c>
      <c r="C1321" s="28" t="s">
        <v>4353</v>
      </c>
      <c r="D1321" s="27">
        <v>35501</v>
      </c>
      <c r="E1321" s="28" t="s">
        <v>4354</v>
      </c>
      <c r="F1321" s="28" t="s">
        <v>124</v>
      </c>
      <c r="G1321" s="28" t="s">
        <v>20</v>
      </c>
      <c r="H1321" s="28" t="s">
        <v>21</v>
      </c>
      <c r="I1321" s="28" t="s">
        <v>21</v>
      </c>
      <c r="J1321" s="28" t="s">
        <v>4355</v>
      </c>
      <c r="K1321" s="28" t="s">
        <v>21</v>
      </c>
      <c r="L1321" s="28" t="s">
        <v>88</v>
      </c>
      <c r="M1321" s="28" t="s">
        <v>21</v>
      </c>
      <c r="O1321" s="92">
        <v>35970</v>
      </c>
      <c r="P1321" s="28" t="s">
        <v>31</v>
      </c>
      <c r="Q1321" s="26" t="b">
        <v>0</v>
      </c>
      <c r="R1321" s="22">
        <f t="shared" si="20"/>
        <v>447</v>
      </c>
    </row>
    <row r="1322" spans="1:18">
      <c r="A1322" s="26">
        <v>3835</v>
      </c>
      <c r="B1322" s="27">
        <v>35523</v>
      </c>
      <c r="C1322" s="28" t="s">
        <v>4356</v>
      </c>
      <c r="D1322" s="29">
        <v>35501</v>
      </c>
      <c r="E1322" s="28" t="s">
        <v>4357</v>
      </c>
      <c r="F1322" s="28" t="s">
        <v>129</v>
      </c>
      <c r="G1322" s="28" t="s">
        <v>20</v>
      </c>
      <c r="H1322" s="28" t="s">
        <v>21</v>
      </c>
      <c r="I1322" s="28" t="s">
        <v>21</v>
      </c>
      <c r="J1322" s="28" t="s">
        <v>4358</v>
      </c>
      <c r="K1322" s="28" t="s">
        <v>272</v>
      </c>
      <c r="L1322" s="28" t="s">
        <v>4282</v>
      </c>
      <c r="M1322" s="28" t="s">
        <v>3569</v>
      </c>
      <c r="O1322" s="92">
        <v>38405</v>
      </c>
      <c r="P1322" s="28" t="s">
        <v>31</v>
      </c>
      <c r="Q1322" s="26" t="b">
        <v>0</v>
      </c>
      <c r="R1322" s="22">
        <f t="shared" si="20"/>
        <v>2878</v>
      </c>
    </row>
    <row r="1323" spans="1:18">
      <c r="A1323" s="26">
        <v>3836</v>
      </c>
      <c r="B1323" s="27">
        <v>35524</v>
      </c>
      <c r="C1323" s="28" t="s">
        <v>4359</v>
      </c>
      <c r="D1323" s="29">
        <v>35516</v>
      </c>
      <c r="E1323" s="28" t="s">
        <v>3045</v>
      </c>
      <c r="F1323" s="28" t="s">
        <v>242</v>
      </c>
      <c r="G1323" s="28" t="s">
        <v>20</v>
      </c>
      <c r="H1323" s="28" t="s">
        <v>21</v>
      </c>
      <c r="I1323" s="28" t="s">
        <v>21</v>
      </c>
      <c r="J1323" s="28" t="s">
        <v>4360</v>
      </c>
      <c r="K1323" s="28" t="s">
        <v>21</v>
      </c>
      <c r="L1323" s="28" t="s">
        <v>67</v>
      </c>
      <c r="M1323" s="28" t="s">
        <v>21</v>
      </c>
      <c r="O1323" s="92">
        <v>36068</v>
      </c>
      <c r="P1323" s="28" t="s">
        <v>21</v>
      </c>
      <c r="Q1323" s="26" t="b">
        <v>0</v>
      </c>
      <c r="R1323" s="22">
        <f t="shared" si="20"/>
        <v>543</v>
      </c>
    </row>
    <row r="1324" spans="1:18">
      <c r="A1324" s="26">
        <v>3837</v>
      </c>
      <c r="B1324" s="27">
        <v>35524</v>
      </c>
      <c r="C1324" s="28" t="s">
        <v>4361</v>
      </c>
      <c r="D1324" s="27">
        <v>35522</v>
      </c>
      <c r="E1324" s="28" t="s">
        <v>4362</v>
      </c>
      <c r="F1324" s="28" t="s">
        <v>124</v>
      </c>
      <c r="G1324" s="28" t="s">
        <v>20</v>
      </c>
      <c r="H1324" s="28" t="s">
        <v>21</v>
      </c>
      <c r="I1324" s="28" t="s">
        <v>21</v>
      </c>
      <c r="J1324" s="28" t="s">
        <v>4363</v>
      </c>
      <c r="K1324" s="28" t="s">
        <v>21</v>
      </c>
      <c r="L1324" s="28" t="s">
        <v>66</v>
      </c>
      <c r="M1324" s="28" t="s">
        <v>21</v>
      </c>
      <c r="O1324" s="92">
        <v>35810</v>
      </c>
      <c r="P1324" s="28" t="s">
        <v>31</v>
      </c>
      <c r="Q1324" s="26" t="b">
        <v>0</v>
      </c>
      <c r="R1324" s="22">
        <f t="shared" si="20"/>
        <v>284</v>
      </c>
    </row>
    <row r="1325" spans="1:18" ht="24">
      <c r="A1325" s="26">
        <v>3838</v>
      </c>
      <c r="B1325" s="27">
        <v>35524</v>
      </c>
      <c r="C1325" s="28" t="s">
        <v>4364</v>
      </c>
      <c r="D1325" s="27">
        <v>35524</v>
      </c>
      <c r="E1325" s="28" t="s">
        <v>3045</v>
      </c>
      <c r="F1325" s="28" t="s">
        <v>124</v>
      </c>
      <c r="G1325" s="28" t="s">
        <v>20</v>
      </c>
      <c r="H1325" s="28" t="s">
        <v>21</v>
      </c>
      <c r="I1325" s="28" t="s">
        <v>21</v>
      </c>
      <c r="J1325" s="28" t="s">
        <v>4365</v>
      </c>
      <c r="K1325" s="28" t="s">
        <v>21</v>
      </c>
      <c r="L1325" s="28" t="s">
        <v>66</v>
      </c>
      <c r="M1325" s="28" t="s">
        <v>21</v>
      </c>
      <c r="O1325" s="92">
        <v>36406</v>
      </c>
      <c r="P1325" s="28" t="s">
        <v>21</v>
      </c>
      <c r="Q1325" s="26" t="b">
        <v>0</v>
      </c>
      <c r="R1325" s="22">
        <f t="shared" si="20"/>
        <v>881</v>
      </c>
    </row>
    <row r="1326" spans="1:18">
      <c r="A1326" s="26">
        <v>3839</v>
      </c>
      <c r="B1326" s="27">
        <v>35528</v>
      </c>
      <c r="C1326" s="28" t="s">
        <v>4366</v>
      </c>
      <c r="D1326" s="27">
        <v>35528</v>
      </c>
      <c r="E1326" s="28" t="s">
        <v>4367</v>
      </c>
      <c r="F1326" s="28" t="s">
        <v>1662</v>
      </c>
      <c r="G1326" s="28" t="s">
        <v>20</v>
      </c>
      <c r="H1326" s="28" t="s">
        <v>21</v>
      </c>
      <c r="I1326" s="28" t="s">
        <v>21</v>
      </c>
      <c r="J1326" s="28" t="s">
        <v>4368</v>
      </c>
      <c r="K1326" s="28" t="s">
        <v>4369</v>
      </c>
      <c r="L1326" s="28" t="s">
        <v>66</v>
      </c>
      <c r="M1326" s="28" t="s">
        <v>21</v>
      </c>
      <c r="N1326" s="29">
        <v>35537</v>
      </c>
      <c r="O1326" s="92">
        <v>35537</v>
      </c>
      <c r="P1326" s="28" t="s">
        <v>21</v>
      </c>
      <c r="Q1326" s="26" t="b">
        <v>0</v>
      </c>
      <c r="R1326" s="22">
        <f t="shared" si="20"/>
        <v>9</v>
      </c>
    </row>
    <row r="1327" spans="1:18">
      <c r="A1327" s="26">
        <v>3840</v>
      </c>
      <c r="B1327" s="27">
        <v>35529</v>
      </c>
      <c r="C1327" s="28" t="s">
        <v>4370</v>
      </c>
      <c r="D1327" s="29">
        <v>35528</v>
      </c>
      <c r="E1327" s="28" t="s">
        <v>4371</v>
      </c>
      <c r="F1327" s="28" t="s">
        <v>70</v>
      </c>
      <c r="G1327" s="28" t="s">
        <v>20</v>
      </c>
      <c r="H1327" s="28" t="s">
        <v>71</v>
      </c>
      <c r="I1327" s="28" t="s">
        <v>72</v>
      </c>
      <c r="J1327" s="28" t="s">
        <v>4372</v>
      </c>
      <c r="K1327" s="28" t="s">
        <v>4373</v>
      </c>
      <c r="L1327" s="28" t="s">
        <v>686</v>
      </c>
      <c r="M1327" s="28" t="s">
        <v>21</v>
      </c>
      <c r="O1327" s="92">
        <v>36332</v>
      </c>
      <c r="P1327" s="28" t="s">
        <v>21</v>
      </c>
      <c r="Q1327" s="26" t="b">
        <v>0</v>
      </c>
      <c r="R1327" s="22">
        <f t="shared" si="20"/>
        <v>803</v>
      </c>
    </row>
    <row r="1328" spans="1:18">
      <c r="A1328" s="26">
        <v>3841</v>
      </c>
      <c r="B1328" s="27">
        <v>35530</v>
      </c>
      <c r="C1328" s="28" t="s">
        <v>4374</v>
      </c>
      <c r="D1328" s="27">
        <v>35529</v>
      </c>
      <c r="E1328" s="28" t="s">
        <v>4375</v>
      </c>
      <c r="F1328" s="28" t="s">
        <v>27</v>
      </c>
      <c r="G1328" s="28" t="s">
        <v>20</v>
      </c>
      <c r="H1328" s="28" t="s">
        <v>21</v>
      </c>
      <c r="I1328" s="28" t="s">
        <v>21</v>
      </c>
      <c r="J1328" s="28" t="s">
        <v>4376</v>
      </c>
      <c r="K1328" s="28" t="s">
        <v>21</v>
      </c>
      <c r="L1328" s="28" t="s">
        <v>88</v>
      </c>
      <c r="M1328" s="28" t="s">
        <v>21</v>
      </c>
      <c r="N1328" s="18"/>
      <c r="O1328" s="92">
        <v>35737</v>
      </c>
      <c r="P1328" s="28" t="s">
        <v>21</v>
      </c>
      <c r="Q1328" s="26" t="b">
        <v>0</v>
      </c>
      <c r="R1328" s="22">
        <f t="shared" si="20"/>
        <v>205</v>
      </c>
    </row>
    <row r="1329" spans="1:18">
      <c r="A1329" s="26">
        <v>3842</v>
      </c>
      <c r="B1329" s="27">
        <v>35530</v>
      </c>
      <c r="C1329" s="28" t="s">
        <v>4377</v>
      </c>
      <c r="D1329" s="27">
        <v>35530</v>
      </c>
      <c r="E1329" s="28" t="s">
        <v>4378</v>
      </c>
      <c r="F1329" s="28" t="s">
        <v>371</v>
      </c>
      <c r="G1329" s="28" t="s">
        <v>20</v>
      </c>
      <c r="H1329" s="28" t="s">
        <v>21</v>
      </c>
      <c r="I1329" s="28" t="s">
        <v>21</v>
      </c>
      <c r="J1329" s="28" t="s">
        <v>4379</v>
      </c>
      <c r="K1329" s="28" t="s">
        <v>21</v>
      </c>
      <c r="L1329" s="28" t="s">
        <v>88</v>
      </c>
      <c r="M1329" s="28" t="s">
        <v>21</v>
      </c>
      <c r="O1329" s="92">
        <v>35669</v>
      </c>
      <c r="P1329" s="28" t="s">
        <v>31</v>
      </c>
      <c r="Q1329" s="26" t="b">
        <v>0</v>
      </c>
      <c r="R1329" s="22">
        <f t="shared" si="20"/>
        <v>138</v>
      </c>
    </row>
    <row r="1330" spans="1:18">
      <c r="A1330" s="26">
        <v>3843</v>
      </c>
      <c r="B1330" s="27">
        <v>35534</v>
      </c>
      <c r="C1330" s="28" t="s">
        <v>4380</v>
      </c>
      <c r="D1330" s="27">
        <v>35534</v>
      </c>
      <c r="E1330" s="28" t="s">
        <v>4381</v>
      </c>
      <c r="F1330" s="28" t="s">
        <v>4382</v>
      </c>
      <c r="G1330" s="28" t="s">
        <v>20</v>
      </c>
      <c r="H1330" s="28" t="s">
        <v>212</v>
      </c>
      <c r="I1330" s="28" t="s">
        <v>212</v>
      </c>
      <c r="J1330" s="28" t="s">
        <v>4383</v>
      </c>
      <c r="K1330" s="28" t="s">
        <v>4384</v>
      </c>
      <c r="L1330" s="28" t="s">
        <v>66</v>
      </c>
      <c r="M1330" s="28" t="s">
        <v>686</v>
      </c>
      <c r="O1330" s="92">
        <v>37666</v>
      </c>
      <c r="P1330" s="28" t="s">
        <v>21</v>
      </c>
      <c r="Q1330" s="26" t="b">
        <v>0</v>
      </c>
      <c r="R1330" s="22">
        <f t="shared" si="20"/>
        <v>2129</v>
      </c>
    </row>
    <row r="1331" spans="1:18">
      <c r="A1331" s="26">
        <v>3844</v>
      </c>
      <c r="B1331" s="27">
        <v>35535</v>
      </c>
      <c r="C1331" s="28" t="s">
        <v>4385</v>
      </c>
      <c r="D1331" s="27">
        <v>35535</v>
      </c>
      <c r="E1331" s="28" t="s">
        <v>4386</v>
      </c>
      <c r="F1331" s="28" t="s">
        <v>124</v>
      </c>
      <c r="G1331" s="28" t="s">
        <v>20</v>
      </c>
      <c r="H1331" s="28" t="s">
        <v>21</v>
      </c>
      <c r="I1331" s="28" t="s">
        <v>21</v>
      </c>
      <c r="J1331" s="28" t="s">
        <v>4387</v>
      </c>
      <c r="K1331" s="28" t="s">
        <v>21</v>
      </c>
      <c r="L1331" s="28" t="s">
        <v>66</v>
      </c>
      <c r="M1331" s="28" t="s">
        <v>21</v>
      </c>
      <c r="O1331" s="92">
        <v>35740</v>
      </c>
      <c r="P1331" s="28" t="s">
        <v>31</v>
      </c>
      <c r="Q1331" s="26" t="b">
        <v>0</v>
      </c>
      <c r="R1331" s="22">
        <f t="shared" si="20"/>
        <v>203</v>
      </c>
    </row>
    <row r="1332" spans="1:18">
      <c r="A1332" s="26">
        <v>3845</v>
      </c>
      <c r="B1332" s="27">
        <v>35537</v>
      </c>
      <c r="C1332" s="28" t="s">
        <v>4388</v>
      </c>
      <c r="D1332" s="27">
        <v>35536</v>
      </c>
      <c r="E1332" s="28" t="s">
        <v>4389</v>
      </c>
      <c r="F1332" s="28" t="s">
        <v>545</v>
      </c>
      <c r="G1332" s="28" t="s">
        <v>20</v>
      </c>
      <c r="H1332" s="28" t="s">
        <v>21</v>
      </c>
      <c r="I1332" s="28" t="s">
        <v>21</v>
      </c>
      <c r="J1332" s="28" t="s">
        <v>4390</v>
      </c>
      <c r="K1332" s="28" t="s">
        <v>21</v>
      </c>
      <c r="L1332" s="28" t="s">
        <v>88</v>
      </c>
      <c r="M1332" s="28" t="s">
        <v>21</v>
      </c>
      <c r="O1332" s="92">
        <v>36007</v>
      </c>
      <c r="P1332" s="28" t="s">
        <v>21</v>
      </c>
      <c r="Q1332" s="26" t="b">
        <v>0</v>
      </c>
      <c r="R1332" s="22">
        <f t="shared" si="20"/>
        <v>470</v>
      </c>
    </row>
    <row r="1333" spans="1:18">
      <c r="A1333" s="26">
        <v>3846</v>
      </c>
      <c r="B1333" s="27">
        <v>35537</v>
      </c>
      <c r="C1333" s="28" t="s">
        <v>4391</v>
      </c>
      <c r="D1333" s="27">
        <v>35537</v>
      </c>
      <c r="E1333" s="28" t="s">
        <v>4392</v>
      </c>
      <c r="F1333" s="28" t="s">
        <v>4233</v>
      </c>
      <c r="G1333" s="28" t="s">
        <v>20</v>
      </c>
      <c r="H1333" s="28" t="s">
        <v>21</v>
      </c>
      <c r="I1333" s="28" t="s">
        <v>21</v>
      </c>
      <c r="J1333" s="28" t="s">
        <v>4393</v>
      </c>
      <c r="K1333" s="28" t="s">
        <v>4394</v>
      </c>
      <c r="L1333" s="28" t="s">
        <v>66</v>
      </c>
      <c r="M1333" s="28" t="s">
        <v>67</v>
      </c>
      <c r="O1333" s="92">
        <v>38020</v>
      </c>
      <c r="P1333" s="28" t="s">
        <v>31</v>
      </c>
      <c r="Q1333" s="26" t="b">
        <v>0</v>
      </c>
      <c r="R1333" s="22">
        <f t="shared" si="20"/>
        <v>2479</v>
      </c>
    </row>
    <row r="1334" spans="1:18" ht="24">
      <c r="A1334" s="26">
        <v>3848</v>
      </c>
      <c r="B1334" s="27">
        <v>35541</v>
      </c>
      <c r="C1334" s="28" t="s">
        <v>4397</v>
      </c>
      <c r="D1334" s="27">
        <v>35538</v>
      </c>
      <c r="E1334" s="28" t="s">
        <v>4398</v>
      </c>
      <c r="F1334" s="28" t="s">
        <v>27</v>
      </c>
      <c r="G1334" s="28" t="s">
        <v>20</v>
      </c>
      <c r="H1334" s="28" t="s">
        <v>21</v>
      </c>
      <c r="I1334" s="28" t="s">
        <v>21</v>
      </c>
      <c r="J1334" s="28" t="s">
        <v>4399</v>
      </c>
      <c r="K1334" s="28" t="s">
        <v>4400</v>
      </c>
      <c r="L1334" s="28" t="s">
        <v>4282</v>
      </c>
      <c r="M1334" s="28" t="s">
        <v>3527</v>
      </c>
      <c r="O1334" s="92">
        <v>38330</v>
      </c>
      <c r="P1334" s="28" t="s">
        <v>21</v>
      </c>
      <c r="Q1334" s="26" t="b">
        <v>0</v>
      </c>
      <c r="R1334" s="22">
        <f t="shared" si="20"/>
        <v>2786</v>
      </c>
    </row>
    <row r="1335" spans="1:18">
      <c r="A1335" s="26">
        <v>3851</v>
      </c>
      <c r="B1335" s="27">
        <v>35550</v>
      </c>
      <c r="C1335" s="28" t="s">
        <v>4401</v>
      </c>
      <c r="D1335" s="27">
        <v>35549</v>
      </c>
      <c r="E1335" s="28" t="s">
        <v>38</v>
      </c>
      <c r="F1335" s="28" t="s">
        <v>124</v>
      </c>
      <c r="G1335" s="28" t="s">
        <v>20</v>
      </c>
      <c r="H1335" s="28" t="s">
        <v>21</v>
      </c>
      <c r="I1335" s="28" t="s">
        <v>21</v>
      </c>
      <c r="J1335" s="28" t="s">
        <v>4402</v>
      </c>
      <c r="K1335" s="28" t="s">
        <v>4403</v>
      </c>
      <c r="L1335" s="28" t="s">
        <v>3271</v>
      </c>
      <c r="M1335" s="28" t="s">
        <v>21</v>
      </c>
      <c r="N1335" s="29">
        <v>35552</v>
      </c>
      <c r="O1335" s="92">
        <v>35555</v>
      </c>
      <c r="P1335" s="28" t="s">
        <v>31</v>
      </c>
      <c r="Q1335" s="26" t="b">
        <v>0</v>
      </c>
      <c r="R1335" s="22">
        <f t="shared" si="20"/>
        <v>5</v>
      </c>
    </row>
    <row r="1336" spans="1:18">
      <c r="A1336" s="26">
        <v>3853</v>
      </c>
      <c r="B1336" s="27">
        <v>35552</v>
      </c>
      <c r="C1336" s="28" t="s">
        <v>4408</v>
      </c>
      <c r="D1336" s="27">
        <v>35552</v>
      </c>
      <c r="E1336" s="28" t="s">
        <v>4409</v>
      </c>
      <c r="F1336" s="28" t="s">
        <v>350</v>
      </c>
      <c r="G1336" s="28" t="s">
        <v>20</v>
      </c>
      <c r="H1336" s="28" t="s">
        <v>21</v>
      </c>
      <c r="I1336" s="28" t="s">
        <v>21</v>
      </c>
      <c r="J1336" s="28" t="s">
        <v>4410</v>
      </c>
      <c r="K1336" s="28" t="s">
        <v>4411</v>
      </c>
      <c r="L1336" s="28" t="s">
        <v>66</v>
      </c>
      <c r="M1336" s="28" t="s">
        <v>21</v>
      </c>
      <c r="O1336" s="92">
        <v>36487</v>
      </c>
      <c r="P1336" s="28" t="s">
        <v>21</v>
      </c>
      <c r="Q1336" s="26" t="b">
        <v>0</v>
      </c>
      <c r="R1336" s="22">
        <f t="shared" si="20"/>
        <v>933</v>
      </c>
    </row>
    <row r="1337" spans="1:18" ht="24">
      <c r="A1337" s="26">
        <v>3852</v>
      </c>
      <c r="B1337" s="27">
        <v>35555</v>
      </c>
      <c r="C1337" s="28" t="s">
        <v>4404</v>
      </c>
      <c r="D1337" s="27">
        <v>35552</v>
      </c>
      <c r="E1337" s="28" t="s">
        <v>4405</v>
      </c>
      <c r="F1337" s="28" t="s">
        <v>85</v>
      </c>
      <c r="G1337" s="28" t="s">
        <v>20</v>
      </c>
      <c r="H1337" s="28" t="s">
        <v>21</v>
      </c>
      <c r="I1337" s="28" t="s">
        <v>21</v>
      </c>
      <c r="J1337" s="28" t="s">
        <v>4406</v>
      </c>
      <c r="K1337" s="28" t="s">
        <v>21</v>
      </c>
      <c r="L1337" s="28" t="s">
        <v>4282</v>
      </c>
      <c r="M1337" s="28" t="s">
        <v>4407</v>
      </c>
      <c r="O1337" s="92">
        <v>38377</v>
      </c>
      <c r="P1337" s="28" t="s">
        <v>31</v>
      </c>
      <c r="Q1337" s="26" t="b">
        <v>0</v>
      </c>
      <c r="R1337" s="22">
        <f t="shared" si="20"/>
        <v>2818</v>
      </c>
    </row>
    <row r="1338" spans="1:18" ht="24">
      <c r="A1338" s="26">
        <v>3854</v>
      </c>
      <c r="B1338" s="27">
        <v>35560</v>
      </c>
      <c r="C1338" s="28" t="s">
        <v>4412</v>
      </c>
      <c r="D1338" s="27">
        <v>35556</v>
      </c>
      <c r="E1338" s="28" t="s">
        <v>2925</v>
      </c>
      <c r="F1338" s="28" t="s">
        <v>19</v>
      </c>
      <c r="G1338" s="28" t="s">
        <v>20</v>
      </c>
      <c r="H1338" s="28" t="s">
        <v>21</v>
      </c>
      <c r="I1338" s="28" t="s">
        <v>21</v>
      </c>
      <c r="J1338" s="28" t="s">
        <v>4413</v>
      </c>
      <c r="K1338" s="28" t="s">
        <v>21</v>
      </c>
      <c r="L1338" s="28" t="s">
        <v>3969</v>
      </c>
      <c r="M1338" s="28" t="s">
        <v>21</v>
      </c>
      <c r="N1338" s="29">
        <v>35564</v>
      </c>
      <c r="O1338" s="92">
        <v>35605</v>
      </c>
      <c r="P1338" s="28" t="s">
        <v>21</v>
      </c>
      <c r="Q1338" s="26" t="b">
        <v>0</v>
      </c>
      <c r="R1338" s="22">
        <f t="shared" si="20"/>
        <v>44</v>
      </c>
    </row>
    <row r="1339" spans="1:18">
      <c r="A1339" s="26">
        <v>3855</v>
      </c>
      <c r="B1339" s="27">
        <v>35560</v>
      </c>
      <c r="C1339" s="28" t="s">
        <v>4414</v>
      </c>
      <c r="D1339" s="29">
        <v>35545</v>
      </c>
      <c r="E1339" s="28" t="s">
        <v>4415</v>
      </c>
      <c r="F1339" s="28" t="s">
        <v>327</v>
      </c>
      <c r="G1339" s="28" t="s">
        <v>20</v>
      </c>
      <c r="H1339" s="28" t="s">
        <v>21</v>
      </c>
      <c r="I1339" s="28" t="s">
        <v>21</v>
      </c>
      <c r="J1339" s="28" t="s">
        <v>4416</v>
      </c>
      <c r="K1339" s="28" t="s">
        <v>21</v>
      </c>
      <c r="L1339" s="28" t="s">
        <v>66</v>
      </c>
      <c r="M1339" s="28" t="s">
        <v>21</v>
      </c>
      <c r="O1339" s="92">
        <v>35821</v>
      </c>
      <c r="P1339" s="28" t="s">
        <v>31</v>
      </c>
      <c r="Q1339" s="26" t="b">
        <v>0</v>
      </c>
      <c r="R1339" s="22">
        <f t="shared" si="20"/>
        <v>259</v>
      </c>
    </row>
    <row r="1340" spans="1:18" ht="24">
      <c r="A1340" s="26">
        <v>3856</v>
      </c>
      <c r="B1340" s="27">
        <v>35560</v>
      </c>
      <c r="C1340" s="28" t="s">
        <v>4417</v>
      </c>
      <c r="D1340" s="27">
        <v>35544</v>
      </c>
      <c r="E1340" s="28" t="s">
        <v>4418</v>
      </c>
      <c r="F1340" s="28" t="s">
        <v>124</v>
      </c>
      <c r="G1340" s="28" t="s">
        <v>20</v>
      </c>
      <c r="H1340" s="28" t="s">
        <v>21</v>
      </c>
      <c r="I1340" s="28" t="s">
        <v>21</v>
      </c>
      <c r="J1340" s="28" t="s">
        <v>4419</v>
      </c>
      <c r="K1340" s="28" t="s">
        <v>4420</v>
      </c>
      <c r="L1340" s="28" t="s">
        <v>4282</v>
      </c>
      <c r="M1340" s="28" t="s">
        <v>4421</v>
      </c>
      <c r="O1340" s="92">
        <v>37496</v>
      </c>
      <c r="P1340" s="28" t="s">
        <v>31</v>
      </c>
      <c r="Q1340" s="26" t="b">
        <v>0</v>
      </c>
      <c r="R1340" s="22">
        <f t="shared" si="20"/>
        <v>1934</v>
      </c>
    </row>
    <row r="1341" spans="1:18">
      <c r="A1341" s="26">
        <v>3880</v>
      </c>
      <c r="B1341" s="27">
        <v>35563</v>
      </c>
      <c r="C1341" s="28" t="s">
        <v>4453</v>
      </c>
      <c r="D1341" s="29">
        <v>35531</v>
      </c>
      <c r="E1341" s="28" t="s">
        <v>4454</v>
      </c>
      <c r="F1341" s="28" t="s">
        <v>124</v>
      </c>
      <c r="G1341" s="28" t="s">
        <v>20</v>
      </c>
      <c r="H1341" s="28" t="s">
        <v>21</v>
      </c>
      <c r="I1341" s="28" t="s">
        <v>21</v>
      </c>
      <c r="J1341" s="28" t="s">
        <v>4455</v>
      </c>
      <c r="K1341" s="28" t="s">
        <v>4456</v>
      </c>
      <c r="L1341" s="28" t="s">
        <v>67</v>
      </c>
      <c r="M1341" s="28" t="s">
        <v>21</v>
      </c>
      <c r="O1341" s="92">
        <v>35857</v>
      </c>
      <c r="P1341" s="28" t="s">
        <v>31</v>
      </c>
      <c r="Q1341" s="26" t="b">
        <v>0</v>
      </c>
      <c r="R1341" s="22">
        <f t="shared" si="20"/>
        <v>294</v>
      </c>
    </row>
    <row r="1342" spans="1:18">
      <c r="A1342" s="26">
        <v>3907</v>
      </c>
      <c r="B1342" s="27">
        <v>35563</v>
      </c>
      <c r="C1342" s="28" t="s">
        <v>4489</v>
      </c>
      <c r="D1342" s="27">
        <v>35563</v>
      </c>
      <c r="E1342" s="28" t="s">
        <v>4490</v>
      </c>
      <c r="F1342" s="28" t="s">
        <v>350</v>
      </c>
      <c r="G1342" s="28" t="s">
        <v>20</v>
      </c>
      <c r="H1342" s="28" t="s">
        <v>21</v>
      </c>
      <c r="I1342" s="28" t="s">
        <v>21</v>
      </c>
      <c r="J1342" s="28" t="s">
        <v>4041</v>
      </c>
      <c r="K1342" s="28" t="s">
        <v>21</v>
      </c>
      <c r="L1342" s="28" t="s">
        <v>67</v>
      </c>
      <c r="M1342" s="28" t="s">
        <v>21</v>
      </c>
      <c r="O1342" s="92">
        <v>35634</v>
      </c>
      <c r="P1342" s="28" t="s">
        <v>182</v>
      </c>
      <c r="Q1342" s="26" t="b">
        <v>0</v>
      </c>
      <c r="R1342" s="22">
        <f t="shared" si="20"/>
        <v>70</v>
      </c>
    </row>
    <row r="1343" spans="1:18">
      <c r="A1343" s="26">
        <v>3879</v>
      </c>
      <c r="B1343" s="27">
        <v>35566</v>
      </c>
      <c r="C1343" s="28" t="s">
        <v>4450</v>
      </c>
      <c r="E1343" s="28" t="s">
        <v>38</v>
      </c>
      <c r="F1343" s="28" t="s">
        <v>124</v>
      </c>
      <c r="G1343" s="28" t="s">
        <v>20</v>
      </c>
      <c r="H1343" s="28" t="s">
        <v>21</v>
      </c>
      <c r="I1343" s="28" t="s">
        <v>21</v>
      </c>
      <c r="J1343" s="28" t="s">
        <v>4451</v>
      </c>
      <c r="K1343" s="28" t="s">
        <v>4452</v>
      </c>
      <c r="L1343" s="28" t="s">
        <v>67</v>
      </c>
      <c r="M1343" s="28" t="s">
        <v>21</v>
      </c>
      <c r="O1343" s="92">
        <v>35857</v>
      </c>
      <c r="P1343" s="28" t="s">
        <v>21</v>
      </c>
      <c r="Q1343" s="26" t="b">
        <v>0</v>
      </c>
      <c r="R1343" s="22">
        <f t="shared" si="20"/>
        <v>290</v>
      </c>
    </row>
    <row r="1344" spans="1:18">
      <c r="A1344" s="26">
        <v>3862</v>
      </c>
      <c r="B1344" s="27">
        <v>35577</v>
      </c>
      <c r="C1344" s="28" t="s">
        <v>4422</v>
      </c>
      <c r="D1344" s="29">
        <v>35570</v>
      </c>
      <c r="E1344" s="28" t="s">
        <v>4423</v>
      </c>
      <c r="F1344" s="28" t="s">
        <v>85</v>
      </c>
      <c r="G1344" s="28" t="s">
        <v>20</v>
      </c>
      <c r="H1344" s="28" t="s">
        <v>21</v>
      </c>
      <c r="I1344" s="28" t="s">
        <v>21</v>
      </c>
      <c r="J1344" s="28" t="s">
        <v>4424</v>
      </c>
      <c r="K1344" s="28" t="s">
        <v>272</v>
      </c>
      <c r="L1344" s="28" t="s">
        <v>66</v>
      </c>
      <c r="M1344" s="28" t="s">
        <v>21</v>
      </c>
      <c r="N1344" s="18"/>
      <c r="O1344" s="92">
        <v>37657</v>
      </c>
      <c r="P1344" s="28" t="s">
        <v>31</v>
      </c>
      <c r="Q1344" s="26" t="b">
        <v>0</v>
      </c>
      <c r="R1344" s="22">
        <f t="shared" si="20"/>
        <v>2076</v>
      </c>
    </row>
    <row r="1345" spans="1:18" ht="24">
      <c r="A1345" s="26">
        <v>3867</v>
      </c>
      <c r="B1345" s="27">
        <v>35585</v>
      </c>
      <c r="C1345" s="28" t="s">
        <v>4425</v>
      </c>
      <c r="D1345" s="29">
        <v>35585</v>
      </c>
      <c r="E1345" s="28" t="s">
        <v>4426</v>
      </c>
      <c r="F1345" s="28" t="s">
        <v>124</v>
      </c>
      <c r="G1345" s="28" t="s">
        <v>20</v>
      </c>
      <c r="H1345" s="28" t="s">
        <v>21</v>
      </c>
      <c r="I1345" s="28" t="s">
        <v>21</v>
      </c>
      <c r="J1345" s="28" t="s">
        <v>4427</v>
      </c>
      <c r="K1345" s="28" t="s">
        <v>4428</v>
      </c>
      <c r="L1345" s="28" t="s">
        <v>66</v>
      </c>
      <c r="M1345" s="28" t="s">
        <v>21</v>
      </c>
      <c r="O1345" s="92">
        <v>35853</v>
      </c>
      <c r="P1345" s="28" t="s">
        <v>31</v>
      </c>
      <c r="Q1345" s="26" t="b">
        <v>0</v>
      </c>
      <c r="R1345" s="22">
        <f t="shared" si="20"/>
        <v>266</v>
      </c>
    </row>
    <row r="1346" spans="1:18" ht="24">
      <c r="A1346" s="26">
        <v>3868</v>
      </c>
      <c r="B1346" s="27">
        <v>35586</v>
      </c>
      <c r="C1346" s="28" t="s">
        <v>4429</v>
      </c>
      <c r="D1346" s="27">
        <v>35545</v>
      </c>
      <c r="E1346" s="28" t="s">
        <v>4430</v>
      </c>
      <c r="F1346" s="28" t="s">
        <v>52</v>
      </c>
      <c r="G1346" s="28" t="s">
        <v>20</v>
      </c>
      <c r="H1346" s="28" t="s">
        <v>21</v>
      </c>
      <c r="I1346" s="28" t="s">
        <v>21</v>
      </c>
      <c r="J1346" s="28" t="s">
        <v>4431</v>
      </c>
      <c r="K1346" s="28" t="s">
        <v>4432</v>
      </c>
      <c r="L1346" s="28" t="s">
        <v>821</v>
      </c>
      <c r="M1346" s="28" t="s">
        <v>2222</v>
      </c>
      <c r="O1346" s="92">
        <v>36349</v>
      </c>
      <c r="P1346" s="28" t="s">
        <v>21</v>
      </c>
      <c r="Q1346" s="26" t="b">
        <v>0</v>
      </c>
      <c r="R1346" s="22">
        <f t="shared" ref="R1346:R1409" si="21">IF(O1346=" ", " ", INT(YEARFRAC(O1346, B1346)*365))</f>
        <v>763</v>
      </c>
    </row>
    <row r="1347" spans="1:18">
      <c r="A1347" s="26">
        <v>3870</v>
      </c>
      <c r="B1347" s="27">
        <v>35600</v>
      </c>
      <c r="C1347" s="28" t="s">
        <v>4433</v>
      </c>
      <c r="D1347" s="29">
        <v>35600</v>
      </c>
      <c r="E1347" s="28" t="s">
        <v>4434</v>
      </c>
      <c r="F1347" s="28" t="s">
        <v>70</v>
      </c>
      <c r="G1347" s="28" t="s">
        <v>20</v>
      </c>
      <c r="H1347" s="28" t="s">
        <v>71</v>
      </c>
      <c r="I1347" s="28" t="s">
        <v>72</v>
      </c>
      <c r="J1347" s="28" t="s">
        <v>4435</v>
      </c>
      <c r="K1347" s="28" t="s">
        <v>21</v>
      </c>
      <c r="L1347" s="28" t="s">
        <v>66</v>
      </c>
      <c r="M1347" s="28" t="s">
        <v>21</v>
      </c>
      <c r="O1347" s="92">
        <v>35993</v>
      </c>
      <c r="P1347" s="28" t="s">
        <v>31</v>
      </c>
      <c r="Q1347" s="26" t="b">
        <v>0</v>
      </c>
      <c r="R1347" s="22">
        <f t="shared" si="21"/>
        <v>393</v>
      </c>
    </row>
    <row r="1348" spans="1:18">
      <c r="A1348" s="26">
        <v>3871</v>
      </c>
      <c r="B1348" s="27">
        <v>35600</v>
      </c>
      <c r="C1348" s="28" t="s">
        <v>4436</v>
      </c>
      <c r="D1348" s="29">
        <v>35600</v>
      </c>
      <c r="E1348" s="28" t="s">
        <v>4437</v>
      </c>
      <c r="F1348" s="28" t="s">
        <v>1047</v>
      </c>
      <c r="G1348" s="28" t="s">
        <v>20</v>
      </c>
      <c r="H1348" s="28" t="s">
        <v>71</v>
      </c>
      <c r="I1348" s="28" t="s">
        <v>72</v>
      </c>
      <c r="J1348" s="28" t="s">
        <v>4438</v>
      </c>
      <c r="K1348" s="28" t="s">
        <v>21</v>
      </c>
      <c r="L1348" s="28" t="s">
        <v>4282</v>
      </c>
      <c r="M1348" s="28" t="s">
        <v>3569</v>
      </c>
      <c r="O1348" s="92">
        <v>37021</v>
      </c>
      <c r="P1348" s="28" t="s">
        <v>21</v>
      </c>
      <c r="Q1348" s="26" t="b">
        <v>0</v>
      </c>
      <c r="R1348" s="22">
        <f t="shared" si="21"/>
        <v>1420</v>
      </c>
    </row>
    <row r="1349" spans="1:18">
      <c r="A1349" s="26">
        <v>3872</v>
      </c>
      <c r="B1349" s="27">
        <v>35604</v>
      </c>
      <c r="C1349" s="28" t="s">
        <v>4439</v>
      </c>
      <c r="D1349" s="29">
        <v>35601</v>
      </c>
      <c r="E1349" s="28" t="s">
        <v>4440</v>
      </c>
      <c r="F1349" s="28" t="s">
        <v>665</v>
      </c>
      <c r="G1349" s="28" t="s">
        <v>20</v>
      </c>
      <c r="H1349" s="28" t="s">
        <v>21</v>
      </c>
      <c r="I1349" s="28" t="s">
        <v>21</v>
      </c>
      <c r="J1349" s="28" t="s">
        <v>4441</v>
      </c>
      <c r="K1349" s="28" t="s">
        <v>4442</v>
      </c>
      <c r="L1349" s="28" t="s">
        <v>66</v>
      </c>
      <c r="M1349" s="28" t="s">
        <v>21</v>
      </c>
      <c r="O1349" s="92">
        <v>35968</v>
      </c>
      <c r="P1349" s="28" t="s">
        <v>21</v>
      </c>
      <c r="Q1349" s="26" t="b">
        <v>0</v>
      </c>
      <c r="R1349" s="22">
        <f t="shared" si="21"/>
        <v>363</v>
      </c>
    </row>
    <row r="1350" spans="1:18">
      <c r="A1350" s="26">
        <v>3873</v>
      </c>
      <c r="B1350" s="27">
        <v>35605</v>
      </c>
      <c r="C1350" s="28" t="s">
        <v>4443</v>
      </c>
      <c r="D1350" s="29">
        <v>35604</v>
      </c>
      <c r="E1350" s="28" t="s">
        <v>38</v>
      </c>
      <c r="F1350" s="28" t="s">
        <v>211</v>
      </c>
      <c r="G1350" s="28" t="s">
        <v>20</v>
      </c>
      <c r="H1350" s="28" t="s">
        <v>212</v>
      </c>
      <c r="I1350" s="28" t="s">
        <v>212</v>
      </c>
      <c r="J1350" s="28" t="s">
        <v>4444</v>
      </c>
      <c r="K1350" s="28" t="s">
        <v>21</v>
      </c>
      <c r="L1350" s="28" t="s">
        <v>66</v>
      </c>
      <c r="M1350" s="28" t="s">
        <v>21</v>
      </c>
      <c r="O1350" s="92">
        <v>35641</v>
      </c>
      <c r="P1350" s="28" t="s">
        <v>31</v>
      </c>
      <c r="Q1350" s="26" t="b">
        <v>0</v>
      </c>
      <c r="R1350" s="22">
        <f t="shared" si="21"/>
        <v>36</v>
      </c>
    </row>
    <row r="1351" spans="1:18">
      <c r="A1351" s="26">
        <v>3878</v>
      </c>
      <c r="B1351" s="27">
        <v>35606</v>
      </c>
      <c r="C1351" s="28" t="s">
        <v>4448</v>
      </c>
      <c r="D1351" s="27">
        <v>35606</v>
      </c>
      <c r="E1351" s="28" t="s">
        <v>38</v>
      </c>
      <c r="F1351" s="28" t="s">
        <v>228</v>
      </c>
      <c r="G1351" s="28" t="s">
        <v>20</v>
      </c>
      <c r="H1351" s="28" t="s">
        <v>21</v>
      </c>
      <c r="I1351" s="28" t="s">
        <v>21</v>
      </c>
      <c r="J1351" s="28" t="s">
        <v>4449</v>
      </c>
      <c r="K1351" s="28" t="s">
        <v>21</v>
      </c>
      <c r="L1351" s="28" t="s">
        <v>66</v>
      </c>
      <c r="M1351" s="28" t="s">
        <v>21</v>
      </c>
      <c r="O1351" s="92">
        <v>35737</v>
      </c>
      <c r="P1351" s="28" t="s">
        <v>21</v>
      </c>
      <c r="Q1351" s="26" t="b">
        <v>0</v>
      </c>
      <c r="R1351" s="22">
        <f t="shared" si="21"/>
        <v>129</v>
      </c>
    </row>
    <row r="1352" spans="1:18">
      <c r="A1352" s="26">
        <v>3877</v>
      </c>
      <c r="B1352" s="27">
        <v>35608</v>
      </c>
      <c r="C1352" s="28" t="s">
        <v>4445</v>
      </c>
      <c r="D1352" s="29">
        <v>35606</v>
      </c>
      <c r="E1352" s="28" t="s">
        <v>4446</v>
      </c>
      <c r="F1352" s="28" t="s">
        <v>242</v>
      </c>
      <c r="G1352" s="28" t="s">
        <v>20</v>
      </c>
      <c r="H1352" s="28" t="s">
        <v>21</v>
      </c>
      <c r="I1352" s="28" t="s">
        <v>21</v>
      </c>
      <c r="J1352" s="28" t="s">
        <v>4447</v>
      </c>
      <c r="K1352" s="28" t="s">
        <v>21</v>
      </c>
      <c r="L1352" s="28" t="s">
        <v>30</v>
      </c>
      <c r="M1352" s="28" t="s">
        <v>21</v>
      </c>
      <c r="O1352" s="92">
        <v>36468</v>
      </c>
      <c r="P1352" s="28" t="s">
        <v>21</v>
      </c>
      <c r="Q1352" s="26" t="b">
        <v>0</v>
      </c>
      <c r="R1352" s="22">
        <f t="shared" si="21"/>
        <v>858</v>
      </c>
    </row>
    <row r="1353" spans="1:18">
      <c r="A1353" s="26">
        <v>3888</v>
      </c>
      <c r="B1353" s="27">
        <v>35608</v>
      </c>
      <c r="C1353" s="28" t="s">
        <v>4457</v>
      </c>
      <c r="D1353" s="29">
        <v>35608</v>
      </c>
      <c r="E1353" s="28" t="s">
        <v>4458</v>
      </c>
      <c r="F1353" s="28" t="s">
        <v>70</v>
      </c>
      <c r="G1353" s="28" t="s">
        <v>20</v>
      </c>
      <c r="H1353" s="28" t="s">
        <v>71</v>
      </c>
      <c r="I1353" s="28" t="s">
        <v>72</v>
      </c>
      <c r="J1353" s="28" t="s">
        <v>4459</v>
      </c>
      <c r="K1353" s="28" t="s">
        <v>21</v>
      </c>
      <c r="L1353" s="28" t="s">
        <v>88</v>
      </c>
      <c r="M1353" s="28" t="s">
        <v>21</v>
      </c>
      <c r="O1353" s="92">
        <v>35731</v>
      </c>
      <c r="P1353" s="28" t="s">
        <v>31</v>
      </c>
      <c r="Q1353" s="26" t="b">
        <v>0</v>
      </c>
      <c r="R1353" s="22">
        <f t="shared" si="21"/>
        <v>122</v>
      </c>
    </row>
    <row r="1354" spans="1:18">
      <c r="A1354" s="26">
        <v>3894</v>
      </c>
      <c r="B1354" s="27">
        <v>35618</v>
      </c>
      <c r="C1354" s="28" t="s">
        <v>4465</v>
      </c>
      <c r="D1354" s="29">
        <v>35618</v>
      </c>
      <c r="E1354" s="28" t="s">
        <v>38</v>
      </c>
      <c r="F1354" s="28" t="s">
        <v>124</v>
      </c>
      <c r="G1354" s="28" t="s">
        <v>20</v>
      </c>
      <c r="H1354" s="28" t="s">
        <v>21</v>
      </c>
      <c r="I1354" s="28" t="s">
        <v>21</v>
      </c>
      <c r="J1354" s="28" t="s">
        <v>4466</v>
      </c>
      <c r="K1354" s="28" t="s">
        <v>21</v>
      </c>
      <c r="L1354" s="28" t="s">
        <v>3969</v>
      </c>
      <c r="M1354" s="28" t="s">
        <v>21</v>
      </c>
      <c r="O1354" s="92">
        <v>35627</v>
      </c>
      <c r="P1354" s="28" t="s">
        <v>31</v>
      </c>
      <c r="Q1354" s="26" t="b">
        <v>0</v>
      </c>
      <c r="R1354" s="22">
        <f t="shared" si="21"/>
        <v>9</v>
      </c>
    </row>
    <row r="1355" spans="1:18">
      <c r="A1355" s="26">
        <v>3889</v>
      </c>
      <c r="B1355" s="27">
        <v>35621</v>
      </c>
      <c r="C1355" s="28" t="s">
        <v>4460</v>
      </c>
      <c r="D1355" s="29">
        <v>35620</v>
      </c>
      <c r="E1355" s="28" t="s">
        <v>61</v>
      </c>
      <c r="F1355" s="28" t="s">
        <v>104</v>
      </c>
      <c r="G1355" s="28" t="s">
        <v>20</v>
      </c>
      <c r="H1355" s="28" t="s">
        <v>21</v>
      </c>
      <c r="I1355" s="28" t="s">
        <v>21</v>
      </c>
      <c r="J1355" s="28" t="s">
        <v>4461</v>
      </c>
      <c r="K1355" s="28" t="s">
        <v>4462</v>
      </c>
      <c r="L1355" s="28" t="s">
        <v>66</v>
      </c>
      <c r="M1355" s="28" t="s">
        <v>21</v>
      </c>
      <c r="O1355" s="92">
        <v>35683</v>
      </c>
      <c r="P1355" s="28" t="s">
        <v>21</v>
      </c>
      <c r="Q1355" s="26" t="b">
        <v>0</v>
      </c>
      <c r="R1355" s="22">
        <f t="shared" si="21"/>
        <v>60</v>
      </c>
    </row>
    <row r="1356" spans="1:18">
      <c r="A1356" s="26">
        <v>3891</v>
      </c>
      <c r="B1356" s="27">
        <v>35621</v>
      </c>
      <c r="C1356" s="28" t="s">
        <v>4463</v>
      </c>
      <c r="D1356" s="29">
        <v>35620</v>
      </c>
      <c r="E1356" s="28" t="s">
        <v>38</v>
      </c>
      <c r="F1356" s="28" t="s">
        <v>3434</v>
      </c>
      <c r="G1356" s="28" t="s">
        <v>20</v>
      </c>
      <c r="H1356" s="28" t="s">
        <v>21</v>
      </c>
      <c r="I1356" s="28" t="s">
        <v>21</v>
      </c>
      <c r="J1356" s="28" t="s">
        <v>4464</v>
      </c>
      <c r="K1356" s="28" t="s">
        <v>21</v>
      </c>
      <c r="L1356" s="28" t="s">
        <v>3271</v>
      </c>
      <c r="M1356" s="28" t="s">
        <v>21</v>
      </c>
      <c r="O1356" s="92">
        <v>35628</v>
      </c>
      <c r="P1356" s="28" t="s">
        <v>21</v>
      </c>
      <c r="Q1356" s="26" t="b">
        <v>0</v>
      </c>
      <c r="R1356" s="22">
        <f t="shared" si="21"/>
        <v>7</v>
      </c>
    </row>
    <row r="1357" spans="1:18">
      <c r="A1357" s="26">
        <v>3897</v>
      </c>
      <c r="B1357" s="27">
        <v>35626</v>
      </c>
      <c r="C1357" s="28" t="s">
        <v>4467</v>
      </c>
      <c r="D1357" s="29">
        <v>35626</v>
      </c>
      <c r="E1357" s="28" t="s">
        <v>38</v>
      </c>
      <c r="F1357" s="28" t="s">
        <v>793</v>
      </c>
      <c r="G1357" s="28" t="s">
        <v>20</v>
      </c>
      <c r="H1357" s="28" t="s">
        <v>21</v>
      </c>
      <c r="I1357" s="28" t="s">
        <v>21</v>
      </c>
      <c r="J1357" s="28" t="s">
        <v>4468</v>
      </c>
      <c r="K1357" s="28" t="s">
        <v>4469</v>
      </c>
      <c r="L1357" s="28" t="s">
        <v>3969</v>
      </c>
      <c r="M1357" s="28" t="s">
        <v>21</v>
      </c>
      <c r="O1357" s="92">
        <v>35628</v>
      </c>
      <c r="P1357" s="28" t="s">
        <v>31</v>
      </c>
      <c r="Q1357" s="26" t="b">
        <v>0</v>
      </c>
      <c r="R1357" s="22">
        <f t="shared" si="21"/>
        <v>2</v>
      </c>
    </row>
    <row r="1358" spans="1:18">
      <c r="A1358" s="26">
        <v>3899</v>
      </c>
      <c r="B1358" s="27">
        <v>35629</v>
      </c>
      <c r="C1358" s="28" t="s">
        <v>4470</v>
      </c>
      <c r="D1358" s="29">
        <v>35612</v>
      </c>
      <c r="E1358" s="28" t="s">
        <v>4471</v>
      </c>
      <c r="F1358" s="28" t="s">
        <v>56</v>
      </c>
      <c r="G1358" s="28" t="s">
        <v>20</v>
      </c>
      <c r="H1358" s="28" t="s">
        <v>21</v>
      </c>
      <c r="I1358" s="28" t="s">
        <v>21</v>
      </c>
      <c r="J1358" s="28" t="s">
        <v>272</v>
      </c>
      <c r="K1358" s="28" t="s">
        <v>21</v>
      </c>
      <c r="L1358" s="28" t="s">
        <v>88</v>
      </c>
      <c r="M1358" s="28" t="s">
        <v>21</v>
      </c>
      <c r="O1358" s="92">
        <v>35765</v>
      </c>
      <c r="P1358" s="28" t="s">
        <v>31</v>
      </c>
      <c r="Q1358" s="26" t="b">
        <v>0</v>
      </c>
      <c r="R1358" s="22">
        <f t="shared" si="21"/>
        <v>134</v>
      </c>
    </row>
    <row r="1359" spans="1:18">
      <c r="A1359" s="26">
        <v>3901</v>
      </c>
      <c r="B1359" s="27">
        <v>35632</v>
      </c>
      <c r="C1359" s="28" t="s">
        <v>4472</v>
      </c>
      <c r="D1359" s="29">
        <v>35621</v>
      </c>
      <c r="E1359" s="28" t="s">
        <v>38</v>
      </c>
      <c r="F1359" s="28" t="s">
        <v>39</v>
      </c>
      <c r="G1359" s="28" t="s">
        <v>20</v>
      </c>
      <c r="H1359" s="28" t="s">
        <v>21</v>
      </c>
      <c r="I1359" s="28" t="s">
        <v>21</v>
      </c>
      <c r="J1359" s="28" t="s">
        <v>4473</v>
      </c>
      <c r="K1359" s="28" t="s">
        <v>21</v>
      </c>
      <c r="L1359" s="28" t="s">
        <v>3969</v>
      </c>
      <c r="M1359" s="28" t="s">
        <v>21</v>
      </c>
      <c r="O1359" s="92">
        <v>35634</v>
      </c>
      <c r="P1359" s="28" t="s">
        <v>21</v>
      </c>
      <c r="Q1359" s="26" t="b">
        <v>0</v>
      </c>
      <c r="R1359" s="22">
        <f t="shared" si="21"/>
        <v>2</v>
      </c>
    </row>
    <row r="1360" spans="1:18">
      <c r="A1360" s="26">
        <v>3903</v>
      </c>
      <c r="B1360" s="27">
        <v>35633</v>
      </c>
      <c r="C1360" s="28" t="s">
        <v>4474</v>
      </c>
      <c r="D1360" s="29">
        <v>35633</v>
      </c>
      <c r="E1360" s="28" t="s">
        <v>4475</v>
      </c>
      <c r="F1360" s="28" t="s">
        <v>1047</v>
      </c>
      <c r="G1360" s="28" t="s">
        <v>20</v>
      </c>
      <c r="H1360" s="28" t="s">
        <v>71</v>
      </c>
      <c r="I1360" s="28" t="s">
        <v>72</v>
      </c>
      <c r="J1360" s="28" t="s">
        <v>4476</v>
      </c>
      <c r="K1360" s="28" t="s">
        <v>4477</v>
      </c>
      <c r="L1360" s="28" t="s">
        <v>66</v>
      </c>
      <c r="M1360" s="28" t="s">
        <v>21</v>
      </c>
      <c r="O1360" s="92">
        <v>37656</v>
      </c>
      <c r="P1360" s="28" t="s">
        <v>21</v>
      </c>
      <c r="Q1360" s="26" t="b">
        <v>0</v>
      </c>
      <c r="R1360" s="22">
        <f t="shared" si="21"/>
        <v>2019</v>
      </c>
    </row>
    <row r="1361" spans="1:18">
      <c r="A1361" s="26">
        <v>3904</v>
      </c>
      <c r="B1361" s="27">
        <v>35636</v>
      </c>
      <c r="C1361" s="28" t="s">
        <v>4478</v>
      </c>
      <c r="D1361" s="29">
        <v>35635</v>
      </c>
      <c r="E1361" s="28" t="s">
        <v>4479</v>
      </c>
      <c r="F1361" s="28" t="s">
        <v>741</v>
      </c>
      <c r="G1361" s="28" t="s">
        <v>20</v>
      </c>
      <c r="H1361" s="28" t="s">
        <v>21</v>
      </c>
      <c r="I1361" s="28" t="s">
        <v>21</v>
      </c>
      <c r="J1361" s="28" t="s">
        <v>4480</v>
      </c>
      <c r="K1361" s="28" t="s">
        <v>4481</v>
      </c>
      <c r="L1361" s="28" t="s">
        <v>686</v>
      </c>
      <c r="M1361" s="28" t="s">
        <v>21</v>
      </c>
      <c r="O1361" s="92">
        <v>35885</v>
      </c>
      <c r="P1361" s="28" t="s">
        <v>31</v>
      </c>
      <c r="Q1361" s="26" t="b">
        <v>0</v>
      </c>
      <c r="R1361" s="22">
        <f t="shared" si="21"/>
        <v>249</v>
      </c>
    </row>
    <row r="1362" spans="1:18">
      <c r="A1362" s="26">
        <v>3905</v>
      </c>
      <c r="B1362" s="27">
        <v>35639</v>
      </c>
      <c r="C1362" s="28" t="s">
        <v>4482</v>
      </c>
      <c r="D1362" s="29">
        <v>35636</v>
      </c>
      <c r="E1362" s="28" t="s">
        <v>4483</v>
      </c>
      <c r="F1362" s="28" t="s">
        <v>275</v>
      </c>
      <c r="G1362" s="28" t="s">
        <v>20</v>
      </c>
      <c r="H1362" s="28" t="s">
        <v>21</v>
      </c>
      <c r="I1362" s="28" t="s">
        <v>21</v>
      </c>
      <c r="J1362" s="28" t="s">
        <v>4484</v>
      </c>
      <c r="K1362" s="28" t="s">
        <v>4485</v>
      </c>
      <c r="L1362" s="28" t="s">
        <v>66</v>
      </c>
      <c r="M1362" s="28" t="s">
        <v>21</v>
      </c>
      <c r="O1362" s="92">
        <v>35716</v>
      </c>
      <c r="P1362" s="28" t="s">
        <v>31</v>
      </c>
      <c r="Q1362" s="26" t="b">
        <v>0</v>
      </c>
      <c r="R1362" s="22">
        <f t="shared" si="21"/>
        <v>76</v>
      </c>
    </row>
    <row r="1363" spans="1:18">
      <c r="A1363" s="26">
        <v>3906</v>
      </c>
      <c r="B1363" s="27">
        <v>35641</v>
      </c>
      <c r="C1363" s="28" t="s">
        <v>4486</v>
      </c>
      <c r="D1363" s="29">
        <v>35639</v>
      </c>
      <c r="E1363" s="28" t="s">
        <v>4487</v>
      </c>
      <c r="F1363" s="28" t="s">
        <v>2782</v>
      </c>
      <c r="G1363" s="28" t="s">
        <v>20</v>
      </c>
      <c r="H1363" s="28" t="s">
        <v>71</v>
      </c>
      <c r="I1363" s="28" t="s">
        <v>72</v>
      </c>
      <c r="J1363" s="28" t="s">
        <v>4488</v>
      </c>
      <c r="K1363" s="28" t="s">
        <v>1712</v>
      </c>
      <c r="L1363" s="28" t="s">
        <v>66</v>
      </c>
      <c r="M1363" s="28" t="s">
        <v>21</v>
      </c>
      <c r="O1363" s="92">
        <v>36343</v>
      </c>
      <c r="P1363" s="28" t="s">
        <v>31</v>
      </c>
      <c r="Q1363" s="26" t="b">
        <v>0</v>
      </c>
      <c r="R1363" s="22">
        <f t="shared" si="21"/>
        <v>701</v>
      </c>
    </row>
    <row r="1364" spans="1:18">
      <c r="A1364" s="26">
        <v>3909</v>
      </c>
      <c r="B1364" s="27">
        <v>35643</v>
      </c>
      <c r="C1364" s="28" t="s">
        <v>4494</v>
      </c>
      <c r="D1364" s="29">
        <v>35601</v>
      </c>
      <c r="E1364" s="28" t="s">
        <v>4495</v>
      </c>
      <c r="F1364" s="28" t="s">
        <v>52</v>
      </c>
      <c r="G1364" s="28" t="s">
        <v>20</v>
      </c>
      <c r="H1364" s="28" t="s">
        <v>21</v>
      </c>
      <c r="I1364" s="28" t="s">
        <v>21</v>
      </c>
      <c r="J1364" s="28" t="s">
        <v>4496</v>
      </c>
      <c r="K1364" s="28" t="s">
        <v>272</v>
      </c>
      <c r="L1364" s="28" t="s">
        <v>1946</v>
      </c>
      <c r="M1364" s="28" t="s">
        <v>21</v>
      </c>
      <c r="O1364" s="92">
        <v>36452</v>
      </c>
      <c r="P1364" s="28" t="s">
        <v>31</v>
      </c>
      <c r="Q1364" s="26" t="b">
        <v>0</v>
      </c>
      <c r="R1364" s="22">
        <f t="shared" si="21"/>
        <v>809</v>
      </c>
    </row>
    <row r="1365" spans="1:18">
      <c r="A1365" s="26">
        <v>3910</v>
      </c>
      <c r="B1365" s="27">
        <v>35655</v>
      </c>
      <c r="C1365" s="28" t="s">
        <v>4497</v>
      </c>
      <c r="D1365" s="29">
        <v>35642</v>
      </c>
      <c r="E1365" s="28" t="s">
        <v>4498</v>
      </c>
      <c r="F1365" s="28" t="s">
        <v>395</v>
      </c>
      <c r="G1365" s="28" t="s">
        <v>20</v>
      </c>
      <c r="H1365" s="28" t="s">
        <v>21</v>
      </c>
      <c r="I1365" s="28" t="s">
        <v>21</v>
      </c>
      <c r="J1365" s="28" t="s">
        <v>1112</v>
      </c>
      <c r="K1365" s="28" t="s">
        <v>4499</v>
      </c>
      <c r="L1365" s="28" t="s">
        <v>1946</v>
      </c>
      <c r="M1365" s="28" t="s">
        <v>21</v>
      </c>
      <c r="O1365" s="92">
        <v>36451</v>
      </c>
      <c r="P1365" s="28" t="s">
        <v>21</v>
      </c>
      <c r="Q1365" s="26" t="b">
        <v>0</v>
      </c>
      <c r="R1365" s="22">
        <f t="shared" si="21"/>
        <v>795</v>
      </c>
    </row>
    <row r="1366" spans="1:18">
      <c r="A1366" s="26">
        <v>3911</v>
      </c>
      <c r="B1366" s="27">
        <v>35655</v>
      </c>
      <c r="C1366" s="28" t="s">
        <v>4500</v>
      </c>
      <c r="D1366" s="29">
        <v>35642</v>
      </c>
      <c r="E1366" s="28" t="s">
        <v>4501</v>
      </c>
      <c r="F1366" s="28" t="s">
        <v>371</v>
      </c>
      <c r="G1366" s="28" t="s">
        <v>20</v>
      </c>
      <c r="H1366" s="28" t="s">
        <v>21</v>
      </c>
      <c r="I1366" s="28" t="s">
        <v>21</v>
      </c>
      <c r="J1366" s="28" t="s">
        <v>4502</v>
      </c>
      <c r="K1366" s="28" t="s">
        <v>21</v>
      </c>
      <c r="L1366" s="28" t="s">
        <v>66</v>
      </c>
      <c r="M1366" s="28" t="s">
        <v>4503</v>
      </c>
      <c r="O1366" s="92">
        <v>36628</v>
      </c>
      <c r="P1366" s="28" t="s">
        <v>31</v>
      </c>
      <c r="Q1366" s="26" t="b">
        <v>0</v>
      </c>
      <c r="R1366" s="22">
        <f t="shared" si="21"/>
        <v>972</v>
      </c>
    </row>
    <row r="1367" spans="1:18">
      <c r="A1367" s="26">
        <v>3913</v>
      </c>
      <c r="B1367" s="27">
        <v>35655</v>
      </c>
      <c r="C1367" s="28" t="s">
        <v>4504</v>
      </c>
      <c r="D1367" s="29">
        <v>35646</v>
      </c>
      <c r="E1367" s="28" t="s">
        <v>4505</v>
      </c>
      <c r="F1367" s="28" t="s">
        <v>85</v>
      </c>
      <c r="G1367" s="28" t="s">
        <v>20</v>
      </c>
      <c r="H1367" s="28" t="s">
        <v>21</v>
      </c>
      <c r="I1367" s="28" t="s">
        <v>21</v>
      </c>
      <c r="J1367" s="28" t="s">
        <v>4506</v>
      </c>
      <c r="K1367" s="28" t="s">
        <v>4507</v>
      </c>
      <c r="L1367" s="28" t="s">
        <v>686</v>
      </c>
      <c r="M1367" s="28" t="s">
        <v>21</v>
      </c>
      <c r="O1367" s="92">
        <v>35720</v>
      </c>
      <c r="P1367" s="28" t="s">
        <v>21</v>
      </c>
      <c r="Q1367" s="26" t="b">
        <v>0</v>
      </c>
      <c r="R1367" s="22">
        <f t="shared" si="21"/>
        <v>64</v>
      </c>
    </row>
    <row r="1368" spans="1:18">
      <c r="A1368" s="26">
        <v>3914</v>
      </c>
      <c r="B1368" s="27">
        <v>35655</v>
      </c>
      <c r="C1368" s="28" t="s">
        <v>4508</v>
      </c>
      <c r="D1368" s="27">
        <v>35649</v>
      </c>
      <c r="E1368" s="28" t="s">
        <v>4509</v>
      </c>
      <c r="F1368" s="28" t="s">
        <v>98</v>
      </c>
      <c r="G1368" s="28" t="s">
        <v>20</v>
      </c>
      <c r="H1368" s="28" t="s">
        <v>21</v>
      </c>
      <c r="I1368" s="28" t="s">
        <v>21</v>
      </c>
      <c r="J1368" s="28" t="s">
        <v>4510</v>
      </c>
      <c r="K1368" s="28" t="s">
        <v>4511</v>
      </c>
      <c r="L1368" s="28" t="s">
        <v>821</v>
      </c>
      <c r="M1368" s="28" t="s">
        <v>88</v>
      </c>
      <c r="O1368" s="92">
        <v>36321</v>
      </c>
      <c r="P1368" s="28" t="s">
        <v>21</v>
      </c>
      <c r="Q1368" s="26" t="b">
        <v>0</v>
      </c>
      <c r="R1368" s="22">
        <f t="shared" si="21"/>
        <v>666</v>
      </c>
    </row>
    <row r="1369" spans="1:18">
      <c r="A1369" s="26">
        <v>3915</v>
      </c>
      <c r="B1369" s="27">
        <v>35655</v>
      </c>
      <c r="C1369" s="28" t="s">
        <v>4512</v>
      </c>
      <c r="D1369" s="29">
        <v>35646</v>
      </c>
      <c r="E1369" s="28" t="s">
        <v>4513</v>
      </c>
      <c r="F1369" s="28" t="s">
        <v>124</v>
      </c>
      <c r="G1369" s="28" t="s">
        <v>20</v>
      </c>
      <c r="H1369" s="28" t="s">
        <v>21</v>
      </c>
      <c r="I1369" s="28" t="s">
        <v>21</v>
      </c>
      <c r="J1369" s="28" t="s">
        <v>4514</v>
      </c>
      <c r="K1369" s="28" t="s">
        <v>21</v>
      </c>
      <c r="L1369" s="28" t="s">
        <v>3526</v>
      </c>
      <c r="M1369" s="28" t="s">
        <v>3527</v>
      </c>
      <c r="O1369" s="92">
        <v>37001</v>
      </c>
      <c r="P1369" s="28" t="s">
        <v>31</v>
      </c>
      <c r="Q1369" s="26" t="b">
        <v>0</v>
      </c>
      <c r="R1369" s="22">
        <f t="shared" si="21"/>
        <v>1345</v>
      </c>
    </row>
    <row r="1370" spans="1:18">
      <c r="A1370" s="26">
        <v>4305</v>
      </c>
      <c r="B1370" s="27">
        <v>35660</v>
      </c>
      <c r="C1370" s="28" t="s">
        <v>5205</v>
      </c>
      <c r="D1370" s="29">
        <v>35650</v>
      </c>
      <c r="E1370" s="28" t="s">
        <v>38</v>
      </c>
      <c r="F1370" s="28" t="s">
        <v>27</v>
      </c>
      <c r="G1370" s="28" t="s">
        <v>20</v>
      </c>
      <c r="H1370" s="28" t="s">
        <v>21</v>
      </c>
      <c r="I1370" s="28" t="s">
        <v>21</v>
      </c>
      <c r="J1370" s="28" t="s">
        <v>5206</v>
      </c>
      <c r="K1370" s="28" t="s">
        <v>21</v>
      </c>
      <c r="L1370" s="28" t="s">
        <v>3969</v>
      </c>
      <c r="M1370" s="28" t="s">
        <v>21</v>
      </c>
      <c r="O1370" s="92">
        <v>35664</v>
      </c>
      <c r="P1370" s="28" t="s">
        <v>31</v>
      </c>
      <c r="Q1370" s="26" t="b">
        <v>0</v>
      </c>
      <c r="R1370" s="22">
        <f t="shared" si="21"/>
        <v>4</v>
      </c>
    </row>
    <row r="1371" spans="1:18">
      <c r="A1371" s="26">
        <v>3916</v>
      </c>
      <c r="B1371" s="27">
        <v>35663</v>
      </c>
      <c r="C1371" s="28" t="s">
        <v>4515</v>
      </c>
      <c r="D1371" s="29">
        <v>35653</v>
      </c>
      <c r="E1371" s="28" t="s">
        <v>4516</v>
      </c>
      <c r="F1371" s="28" t="s">
        <v>70</v>
      </c>
      <c r="G1371" s="28" t="s">
        <v>20</v>
      </c>
      <c r="H1371" s="28" t="s">
        <v>71</v>
      </c>
      <c r="I1371" s="28" t="s">
        <v>72</v>
      </c>
      <c r="J1371" s="28" t="s">
        <v>4517</v>
      </c>
      <c r="K1371" s="28" t="s">
        <v>4123</v>
      </c>
      <c r="L1371" s="28" t="s">
        <v>686</v>
      </c>
      <c r="M1371" s="28" t="s">
        <v>21</v>
      </c>
      <c r="N1371" s="29">
        <v>35691</v>
      </c>
      <c r="O1371" s="92">
        <v>35772</v>
      </c>
      <c r="P1371" s="28" t="s">
        <v>31</v>
      </c>
      <c r="Q1371" s="26" t="b">
        <v>0</v>
      </c>
      <c r="R1371" s="22">
        <f t="shared" si="21"/>
        <v>108</v>
      </c>
    </row>
    <row r="1372" spans="1:18">
      <c r="A1372" s="26">
        <v>3917</v>
      </c>
      <c r="B1372" s="27">
        <v>35663</v>
      </c>
      <c r="C1372" s="28" t="s">
        <v>4518</v>
      </c>
      <c r="D1372" s="29">
        <v>35444</v>
      </c>
      <c r="E1372" s="28" t="s">
        <v>4519</v>
      </c>
      <c r="F1372" s="28" t="s">
        <v>27</v>
      </c>
      <c r="G1372" s="28" t="s">
        <v>20</v>
      </c>
      <c r="H1372" s="28" t="s">
        <v>21</v>
      </c>
      <c r="I1372" s="28" t="s">
        <v>21</v>
      </c>
      <c r="J1372" s="28" t="s">
        <v>3606</v>
      </c>
      <c r="K1372" s="28" t="s">
        <v>4520</v>
      </c>
      <c r="L1372" s="28" t="s">
        <v>88</v>
      </c>
      <c r="M1372" s="28" t="s">
        <v>21</v>
      </c>
      <c r="O1372" s="92">
        <v>35709</v>
      </c>
      <c r="P1372" s="28" t="s">
        <v>31</v>
      </c>
      <c r="Q1372" s="26" t="b">
        <v>0</v>
      </c>
      <c r="R1372" s="22">
        <f t="shared" si="21"/>
        <v>45</v>
      </c>
    </row>
    <row r="1373" spans="1:18">
      <c r="A1373" s="26">
        <v>3937</v>
      </c>
      <c r="B1373" s="27">
        <v>35675</v>
      </c>
      <c r="C1373" s="28" t="s">
        <v>4568</v>
      </c>
      <c r="D1373" s="29">
        <v>35676</v>
      </c>
      <c r="E1373" s="28" t="s">
        <v>4569</v>
      </c>
      <c r="F1373" s="28" t="s">
        <v>2359</v>
      </c>
      <c r="G1373" s="28" t="s">
        <v>20</v>
      </c>
      <c r="H1373" s="28" t="s">
        <v>71</v>
      </c>
      <c r="I1373" s="28" t="s">
        <v>72</v>
      </c>
      <c r="J1373" s="28" t="s">
        <v>4570</v>
      </c>
      <c r="K1373" s="28" t="s">
        <v>1510</v>
      </c>
      <c r="L1373" s="28" t="s">
        <v>3930</v>
      </c>
      <c r="M1373" s="28" t="s">
        <v>21</v>
      </c>
      <c r="O1373" s="92">
        <v>35680</v>
      </c>
      <c r="P1373" s="28" t="s">
        <v>31</v>
      </c>
      <c r="Q1373" s="26" t="b">
        <v>0</v>
      </c>
      <c r="R1373" s="22">
        <f t="shared" si="21"/>
        <v>5</v>
      </c>
    </row>
    <row r="1374" spans="1:18">
      <c r="A1374" s="26">
        <v>3918</v>
      </c>
      <c r="B1374" s="27">
        <v>35676</v>
      </c>
      <c r="C1374" s="28" t="s">
        <v>4521</v>
      </c>
      <c r="D1374" s="29">
        <v>35669</v>
      </c>
      <c r="E1374" s="28" t="s">
        <v>4522</v>
      </c>
      <c r="F1374" s="28" t="s">
        <v>85</v>
      </c>
      <c r="G1374" s="28" t="s">
        <v>20</v>
      </c>
      <c r="H1374" s="28" t="s">
        <v>21</v>
      </c>
      <c r="I1374" s="28" t="s">
        <v>21</v>
      </c>
      <c r="J1374" s="28" t="s">
        <v>4523</v>
      </c>
      <c r="K1374" s="28" t="s">
        <v>1712</v>
      </c>
      <c r="L1374" s="28" t="s">
        <v>3969</v>
      </c>
      <c r="M1374" s="28" t="s">
        <v>21</v>
      </c>
      <c r="O1374" s="92">
        <v>35699</v>
      </c>
      <c r="P1374" s="28" t="s">
        <v>31</v>
      </c>
      <c r="Q1374" s="26" t="b">
        <v>0</v>
      </c>
      <c r="R1374" s="22">
        <f t="shared" si="21"/>
        <v>23</v>
      </c>
    </row>
    <row r="1375" spans="1:18">
      <c r="A1375" s="26">
        <v>3919</v>
      </c>
      <c r="B1375" s="27">
        <v>35676</v>
      </c>
      <c r="C1375" s="28" t="s">
        <v>4443</v>
      </c>
      <c r="D1375" s="29">
        <v>35601</v>
      </c>
      <c r="E1375" s="28" t="s">
        <v>4524</v>
      </c>
      <c r="F1375" s="28" t="s">
        <v>211</v>
      </c>
      <c r="G1375" s="28" t="s">
        <v>20</v>
      </c>
      <c r="H1375" s="28" t="s">
        <v>212</v>
      </c>
      <c r="I1375" s="28" t="s">
        <v>212</v>
      </c>
      <c r="J1375" s="28" t="s">
        <v>4525</v>
      </c>
      <c r="K1375" s="28" t="s">
        <v>21</v>
      </c>
      <c r="L1375" s="28" t="s">
        <v>66</v>
      </c>
      <c r="M1375" s="28" t="s">
        <v>21</v>
      </c>
      <c r="O1375" s="92">
        <v>35641</v>
      </c>
      <c r="P1375" s="28" t="s">
        <v>31</v>
      </c>
      <c r="Q1375" s="26" t="b">
        <v>0</v>
      </c>
      <c r="R1375" s="22">
        <f t="shared" si="21"/>
        <v>33</v>
      </c>
    </row>
    <row r="1376" spans="1:18">
      <c r="A1376" s="26">
        <v>3927</v>
      </c>
      <c r="B1376" s="27">
        <v>35681</v>
      </c>
      <c r="C1376" s="28" t="s">
        <v>4544</v>
      </c>
      <c r="D1376" s="29">
        <v>35681</v>
      </c>
      <c r="E1376" s="28" t="s">
        <v>4545</v>
      </c>
      <c r="F1376" s="28" t="s">
        <v>19</v>
      </c>
      <c r="G1376" s="28" t="s">
        <v>20</v>
      </c>
      <c r="H1376" s="28" t="s">
        <v>21</v>
      </c>
      <c r="I1376" s="28" t="s">
        <v>21</v>
      </c>
      <c r="J1376" s="28" t="s">
        <v>4546</v>
      </c>
      <c r="K1376" s="28" t="s">
        <v>4547</v>
      </c>
      <c r="L1376" s="28" t="s">
        <v>686</v>
      </c>
      <c r="M1376" s="28" t="s">
        <v>21</v>
      </c>
      <c r="O1376" s="92">
        <v>35857</v>
      </c>
      <c r="P1376" s="28" t="s">
        <v>21</v>
      </c>
      <c r="Q1376" s="26" t="b">
        <v>0</v>
      </c>
      <c r="R1376" s="22">
        <f t="shared" si="21"/>
        <v>177</v>
      </c>
    </row>
    <row r="1377" spans="1:18">
      <c r="A1377" s="26">
        <v>3923</v>
      </c>
      <c r="B1377" s="27">
        <v>35685</v>
      </c>
      <c r="C1377" s="28" t="s">
        <v>4537</v>
      </c>
      <c r="D1377" s="29">
        <v>35685</v>
      </c>
      <c r="E1377" s="28" t="s">
        <v>4538</v>
      </c>
      <c r="F1377" s="28" t="s">
        <v>124</v>
      </c>
      <c r="G1377" s="28" t="s">
        <v>20</v>
      </c>
      <c r="H1377" s="28" t="s">
        <v>21</v>
      </c>
      <c r="I1377" s="28" t="s">
        <v>21</v>
      </c>
      <c r="J1377" s="28" t="s">
        <v>4539</v>
      </c>
      <c r="K1377" s="28" t="s">
        <v>4540</v>
      </c>
      <c r="L1377" s="28" t="s">
        <v>88</v>
      </c>
      <c r="M1377" s="28" t="s">
        <v>21</v>
      </c>
      <c r="O1377" s="92">
        <v>35717</v>
      </c>
      <c r="P1377" s="28" t="s">
        <v>21</v>
      </c>
      <c r="Q1377" s="26" t="b">
        <v>0</v>
      </c>
      <c r="R1377" s="22">
        <f t="shared" si="21"/>
        <v>32</v>
      </c>
    </row>
    <row r="1378" spans="1:18">
      <c r="A1378" s="26">
        <v>3920</v>
      </c>
      <c r="B1378" s="27">
        <v>35689</v>
      </c>
      <c r="C1378" s="28" t="s">
        <v>4526</v>
      </c>
      <c r="D1378" s="29">
        <v>35688</v>
      </c>
      <c r="E1378" s="28" t="s">
        <v>4527</v>
      </c>
      <c r="F1378" s="28" t="s">
        <v>4233</v>
      </c>
      <c r="G1378" s="28" t="s">
        <v>20</v>
      </c>
      <c r="H1378" s="28" t="s">
        <v>21</v>
      </c>
      <c r="I1378" s="28" t="s">
        <v>21</v>
      </c>
      <c r="J1378" s="28" t="s">
        <v>4528</v>
      </c>
      <c r="K1378" s="28" t="s">
        <v>4394</v>
      </c>
      <c r="L1378" s="28" t="s">
        <v>66</v>
      </c>
      <c r="M1378" s="28" t="s">
        <v>67</v>
      </c>
      <c r="O1378" s="92">
        <v>38020</v>
      </c>
      <c r="P1378" s="28" t="s">
        <v>31</v>
      </c>
      <c r="Q1378" s="26" t="b">
        <v>0</v>
      </c>
      <c r="R1378" s="22">
        <f t="shared" si="21"/>
        <v>2328</v>
      </c>
    </row>
    <row r="1379" spans="1:18">
      <c r="A1379" s="26">
        <v>3921</v>
      </c>
      <c r="B1379" s="27">
        <v>35689</v>
      </c>
      <c r="C1379" s="28" t="s">
        <v>4529</v>
      </c>
      <c r="D1379" s="29">
        <v>35688</v>
      </c>
      <c r="E1379" s="28" t="s">
        <v>4530</v>
      </c>
      <c r="F1379" s="28" t="s">
        <v>2782</v>
      </c>
      <c r="G1379" s="28" t="s">
        <v>20</v>
      </c>
      <c r="H1379" s="28" t="s">
        <v>71</v>
      </c>
      <c r="I1379" s="28" t="s">
        <v>72</v>
      </c>
      <c r="J1379" s="28" t="s">
        <v>2783</v>
      </c>
      <c r="K1379" s="28" t="s">
        <v>4531</v>
      </c>
      <c r="L1379" s="28" t="s">
        <v>66</v>
      </c>
      <c r="M1379" s="28" t="s">
        <v>21</v>
      </c>
      <c r="O1379" s="92">
        <v>38040</v>
      </c>
      <c r="P1379" s="28" t="s">
        <v>31</v>
      </c>
      <c r="Q1379" s="26" t="b">
        <v>0</v>
      </c>
      <c r="R1379" s="22">
        <f t="shared" si="21"/>
        <v>2349</v>
      </c>
    </row>
    <row r="1380" spans="1:18" ht="24">
      <c r="A1380" s="26">
        <v>3922</v>
      </c>
      <c r="B1380" s="27">
        <v>35691</v>
      </c>
      <c r="C1380" s="28" t="s">
        <v>4532</v>
      </c>
      <c r="D1380" s="29">
        <v>35691</v>
      </c>
      <c r="E1380" s="28" t="s">
        <v>4533</v>
      </c>
      <c r="F1380" s="28" t="s">
        <v>4534</v>
      </c>
      <c r="G1380" s="28" t="s">
        <v>20</v>
      </c>
      <c r="H1380" s="28" t="s">
        <v>71</v>
      </c>
      <c r="I1380" s="28" t="s">
        <v>72</v>
      </c>
      <c r="J1380" s="28" t="s">
        <v>4535</v>
      </c>
      <c r="K1380" s="28" t="s">
        <v>4536</v>
      </c>
      <c r="L1380" s="28" t="s">
        <v>88</v>
      </c>
      <c r="M1380" s="28" t="s">
        <v>21</v>
      </c>
      <c r="O1380" s="92">
        <v>36157</v>
      </c>
      <c r="P1380" s="28" t="s">
        <v>21</v>
      </c>
      <c r="Q1380" s="26" t="b">
        <v>0</v>
      </c>
      <c r="R1380" s="22">
        <f t="shared" si="21"/>
        <v>466</v>
      </c>
    </row>
    <row r="1381" spans="1:18">
      <c r="A1381" s="26">
        <v>3926</v>
      </c>
      <c r="B1381" s="27">
        <v>35695</v>
      </c>
      <c r="C1381" s="28" t="s">
        <v>4541</v>
      </c>
      <c r="D1381" s="29">
        <v>35695</v>
      </c>
      <c r="E1381" s="28" t="s">
        <v>4542</v>
      </c>
      <c r="F1381" s="28" t="s">
        <v>149</v>
      </c>
      <c r="G1381" s="28" t="s">
        <v>20</v>
      </c>
      <c r="H1381" s="28" t="s">
        <v>21</v>
      </c>
      <c r="I1381" s="28" t="s">
        <v>21</v>
      </c>
      <c r="J1381" s="28" t="s">
        <v>4543</v>
      </c>
      <c r="K1381" s="28" t="s">
        <v>21</v>
      </c>
      <c r="L1381" s="28" t="s">
        <v>88</v>
      </c>
      <c r="M1381" s="28" t="s">
        <v>21</v>
      </c>
      <c r="O1381" s="92">
        <v>35991</v>
      </c>
      <c r="P1381" s="28" t="s">
        <v>31</v>
      </c>
      <c r="Q1381" s="26" t="b">
        <v>0</v>
      </c>
      <c r="R1381" s="22">
        <f t="shared" si="21"/>
        <v>297</v>
      </c>
    </row>
    <row r="1382" spans="1:18">
      <c r="A1382" s="26">
        <v>3928</v>
      </c>
      <c r="B1382" s="27">
        <v>35697</v>
      </c>
      <c r="C1382" s="28" t="s">
        <v>4548</v>
      </c>
      <c r="D1382" s="29">
        <v>35681</v>
      </c>
      <c r="E1382" s="28" t="s">
        <v>38</v>
      </c>
      <c r="F1382" s="28" t="s">
        <v>371</v>
      </c>
      <c r="G1382" s="28" t="s">
        <v>20</v>
      </c>
      <c r="H1382" s="28" t="s">
        <v>21</v>
      </c>
      <c r="I1382" s="28" t="s">
        <v>21</v>
      </c>
      <c r="J1382" s="28" t="s">
        <v>4549</v>
      </c>
      <c r="K1382" s="28" t="s">
        <v>1712</v>
      </c>
      <c r="L1382" s="28" t="s">
        <v>88</v>
      </c>
      <c r="M1382" s="28" t="s">
        <v>21</v>
      </c>
      <c r="O1382" s="92">
        <v>36038</v>
      </c>
      <c r="P1382" s="28" t="s">
        <v>31</v>
      </c>
      <c r="Q1382" s="26" t="b">
        <v>0</v>
      </c>
      <c r="R1382" s="22">
        <f t="shared" si="21"/>
        <v>341</v>
      </c>
    </row>
    <row r="1383" spans="1:18" ht="24">
      <c r="A1383" s="26">
        <v>3929</v>
      </c>
      <c r="B1383" s="27">
        <v>35697</v>
      </c>
      <c r="C1383" s="28" t="s">
        <v>4550</v>
      </c>
      <c r="D1383" s="29">
        <v>35697</v>
      </c>
      <c r="E1383" s="28" t="s">
        <v>3045</v>
      </c>
      <c r="F1383" s="28" t="s">
        <v>3847</v>
      </c>
      <c r="G1383" s="28" t="s">
        <v>20</v>
      </c>
      <c r="H1383" s="28" t="s">
        <v>21</v>
      </c>
      <c r="I1383" s="28" t="s">
        <v>21</v>
      </c>
      <c r="J1383" s="28" t="s">
        <v>4551</v>
      </c>
      <c r="K1383" s="28" t="s">
        <v>21</v>
      </c>
      <c r="L1383" s="28" t="s">
        <v>4552</v>
      </c>
      <c r="M1383" s="28" t="s">
        <v>21</v>
      </c>
      <c r="O1383" s="92">
        <v>35720</v>
      </c>
      <c r="P1383" s="28" t="s">
        <v>21</v>
      </c>
      <c r="Q1383" s="26" t="b">
        <v>0</v>
      </c>
      <c r="R1383" s="22">
        <f t="shared" si="21"/>
        <v>23</v>
      </c>
    </row>
    <row r="1384" spans="1:18">
      <c r="A1384" s="26">
        <v>3932</v>
      </c>
      <c r="B1384" s="27">
        <v>35698</v>
      </c>
      <c r="C1384" s="28" t="s">
        <v>4553</v>
      </c>
      <c r="D1384" s="29">
        <v>35698</v>
      </c>
      <c r="E1384" s="28" t="s">
        <v>4554</v>
      </c>
      <c r="F1384" s="28" t="s">
        <v>149</v>
      </c>
      <c r="G1384" s="28" t="s">
        <v>20</v>
      </c>
      <c r="H1384" s="28" t="s">
        <v>21</v>
      </c>
      <c r="I1384" s="28" t="s">
        <v>21</v>
      </c>
      <c r="J1384" s="28" t="s">
        <v>4555</v>
      </c>
      <c r="K1384" s="28" t="s">
        <v>21</v>
      </c>
      <c r="L1384" s="28" t="s">
        <v>686</v>
      </c>
      <c r="M1384" s="28" t="s">
        <v>21</v>
      </c>
      <c r="O1384" s="92">
        <v>36297</v>
      </c>
      <c r="P1384" s="28" t="s">
        <v>31</v>
      </c>
      <c r="Q1384" s="26" t="b">
        <v>0</v>
      </c>
      <c r="R1384" s="22">
        <f t="shared" si="21"/>
        <v>600</v>
      </c>
    </row>
    <row r="1385" spans="1:18" ht="24">
      <c r="A1385" s="26">
        <v>3941</v>
      </c>
      <c r="B1385" s="27">
        <v>35698</v>
      </c>
      <c r="C1385" s="28" t="s">
        <v>4580</v>
      </c>
      <c r="D1385" s="29">
        <v>35697</v>
      </c>
      <c r="E1385" s="28" t="s">
        <v>1204</v>
      </c>
      <c r="F1385" s="28" t="s">
        <v>56</v>
      </c>
      <c r="G1385" s="28" t="s">
        <v>20</v>
      </c>
      <c r="H1385" s="28" t="s">
        <v>21</v>
      </c>
      <c r="I1385" s="28" t="s">
        <v>21</v>
      </c>
      <c r="J1385" s="28" t="s">
        <v>4581</v>
      </c>
      <c r="K1385" s="28" t="s">
        <v>21</v>
      </c>
      <c r="L1385" s="28" t="s">
        <v>3930</v>
      </c>
      <c r="M1385" s="28" t="s">
        <v>21</v>
      </c>
      <c r="O1385" s="92">
        <v>35703</v>
      </c>
      <c r="P1385" s="28" t="s">
        <v>21</v>
      </c>
      <c r="Q1385" s="26" t="b">
        <v>0</v>
      </c>
      <c r="R1385" s="22">
        <f t="shared" si="21"/>
        <v>5</v>
      </c>
    </row>
    <row r="1386" spans="1:18">
      <c r="A1386" s="26">
        <v>3933</v>
      </c>
      <c r="B1386" s="27">
        <v>35702</v>
      </c>
      <c r="C1386" s="28" t="s">
        <v>4556</v>
      </c>
      <c r="D1386" s="29">
        <v>35702</v>
      </c>
      <c r="E1386" s="28" t="s">
        <v>1204</v>
      </c>
      <c r="F1386" s="28" t="s">
        <v>56</v>
      </c>
      <c r="G1386" s="28" t="s">
        <v>20</v>
      </c>
      <c r="H1386" s="28" t="s">
        <v>21</v>
      </c>
      <c r="I1386" s="28" t="s">
        <v>21</v>
      </c>
      <c r="J1386" s="28" t="s">
        <v>4557</v>
      </c>
      <c r="K1386" s="28" t="s">
        <v>21</v>
      </c>
      <c r="L1386" s="28" t="s">
        <v>1946</v>
      </c>
      <c r="M1386" s="28" t="s">
        <v>3969</v>
      </c>
      <c r="O1386" s="92">
        <v>36350</v>
      </c>
      <c r="P1386" s="28" t="s">
        <v>21</v>
      </c>
      <c r="Q1386" s="26" t="b">
        <v>0</v>
      </c>
      <c r="R1386" s="22">
        <f t="shared" si="21"/>
        <v>648</v>
      </c>
    </row>
    <row r="1387" spans="1:18">
      <c r="A1387" s="26">
        <v>3934</v>
      </c>
      <c r="B1387" s="27">
        <v>35702</v>
      </c>
      <c r="C1387" s="28" t="s">
        <v>4558</v>
      </c>
      <c r="D1387" s="29">
        <v>35702</v>
      </c>
      <c r="E1387" s="28" t="s">
        <v>4559</v>
      </c>
      <c r="F1387" s="28" t="s">
        <v>104</v>
      </c>
      <c r="G1387" s="28" t="s">
        <v>20</v>
      </c>
      <c r="H1387" s="28" t="s">
        <v>21</v>
      </c>
      <c r="I1387" s="28" t="s">
        <v>21</v>
      </c>
      <c r="J1387" s="28" t="s">
        <v>4560</v>
      </c>
      <c r="K1387" s="28" t="s">
        <v>21</v>
      </c>
      <c r="L1387" s="28" t="s">
        <v>66</v>
      </c>
      <c r="M1387" s="28" t="s">
        <v>21</v>
      </c>
      <c r="O1387" s="92">
        <v>35909</v>
      </c>
      <c r="P1387" s="28" t="s">
        <v>182</v>
      </c>
      <c r="Q1387" s="26" t="b">
        <v>0</v>
      </c>
      <c r="R1387" s="22">
        <f t="shared" si="21"/>
        <v>207</v>
      </c>
    </row>
    <row r="1388" spans="1:18">
      <c r="A1388" s="26">
        <v>3935</v>
      </c>
      <c r="B1388" s="27">
        <v>35702</v>
      </c>
      <c r="C1388" s="28" t="s">
        <v>4561</v>
      </c>
      <c r="D1388" s="29">
        <v>35702</v>
      </c>
      <c r="E1388" s="28" t="s">
        <v>4562</v>
      </c>
      <c r="F1388" s="28" t="s">
        <v>137</v>
      </c>
      <c r="G1388" s="28" t="s">
        <v>20</v>
      </c>
      <c r="H1388" s="28" t="s">
        <v>71</v>
      </c>
      <c r="I1388" s="28" t="s">
        <v>72</v>
      </c>
      <c r="J1388" s="28" t="s">
        <v>4563</v>
      </c>
      <c r="K1388" s="28" t="s">
        <v>4564</v>
      </c>
      <c r="L1388" s="28" t="s">
        <v>3969</v>
      </c>
      <c r="M1388" s="28" t="s">
        <v>21</v>
      </c>
      <c r="O1388" s="92">
        <v>35804</v>
      </c>
      <c r="P1388" s="28" t="s">
        <v>21</v>
      </c>
      <c r="Q1388" s="26" t="b">
        <v>0</v>
      </c>
      <c r="R1388" s="22">
        <f t="shared" si="21"/>
        <v>101</v>
      </c>
    </row>
    <row r="1389" spans="1:18">
      <c r="A1389" s="26">
        <v>3945</v>
      </c>
      <c r="B1389" s="27">
        <v>35703</v>
      </c>
      <c r="C1389" s="28" t="s">
        <v>4588</v>
      </c>
      <c r="D1389" s="27">
        <v>35703</v>
      </c>
      <c r="E1389" s="28" t="s">
        <v>4589</v>
      </c>
      <c r="F1389" s="28" t="s">
        <v>27</v>
      </c>
      <c r="G1389" s="28" t="s">
        <v>20</v>
      </c>
      <c r="H1389" s="28" t="s">
        <v>21</v>
      </c>
      <c r="I1389" s="28" t="s">
        <v>21</v>
      </c>
      <c r="J1389" s="28" t="s">
        <v>4590</v>
      </c>
      <c r="K1389" s="28" t="s">
        <v>21</v>
      </c>
      <c r="L1389" s="28" t="s">
        <v>3930</v>
      </c>
      <c r="M1389" s="28" t="s">
        <v>21</v>
      </c>
      <c r="O1389" s="92">
        <v>35705</v>
      </c>
      <c r="P1389" s="28" t="s">
        <v>31</v>
      </c>
      <c r="Q1389" s="26" t="b">
        <v>0</v>
      </c>
      <c r="R1389" s="22">
        <f t="shared" si="21"/>
        <v>2</v>
      </c>
    </row>
    <row r="1390" spans="1:18" ht="24">
      <c r="A1390" s="26">
        <v>3936</v>
      </c>
      <c r="B1390" s="27">
        <v>35705</v>
      </c>
      <c r="C1390" s="28" t="s">
        <v>4565</v>
      </c>
      <c r="D1390" s="29">
        <v>35703</v>
      </c>
      <c r="E1390" s="28" t="s">
        <v>38</v>
      </c>
      <c r="F1390" s="28" t="s">
        <v>124</v>
      </c>
      <c r="G1390" s="28" t="s">
        <v>20</v>
      </c>
      <c r="H1390" s="28" t="s">
        <v>21</v>
      </c>
      <c r="I1390" s="28" t="s">
        <v>21</v>
      </c>
      <c r="J1390" s="28" t="s">
        <v>4566</v>
      </c>
      <c r="K1390" s="28" t="s">
        <v>4567</v>
      </c>
      <c r="L1390" s="28" t="s">
        <v>66</v>
      </c>
      <c r="M1390" s="28" t="s">
        <v>21</v>
      </c>
      <c r="O1390" s="92">
        <v>35828</v>
      </c>
      <c r="P1390" s="28" t="s">
        <v>31</v>
      </c>
      <c r="Q1390" s="26" t="b">
        <v>0</v>
      </c>
      <c r="R1390" s="22">
        <f t="shared" si="21"/>
        <v>121</v>
      </c>
    </row>
    <row r="1391" spans="1:18">
      <c r="A1391" s="26">
        <v>3942</v>
      </c>
      <c r="B1391" s="27">
        <v>35705</v>
      </c>
      <c r="C1391" s="28" t="s">
        <v>4582</v>
      </c>
      <c r="D1391" s="27">
        <v>35705</v>
      </c>
      <c r="E1391" s="28" t="s">
        <v>38</v>
      </c>
      <c r="F1391" s="28" t="s">
        <v>104</v>
      </c>
      <c r="G1391" s="28" t="s">
        <v>20</v>
      </c>
      <c r="H1391" s="28" t="s">
        <v>21</v>
      </c>
      <c r="I1391" s="28" t="s">
        <v>21</v>
      </c>
      <c r="J1391" s="28" t="s">
        <v>4583</v>
      </c>
      <c r="K1391" s="28" t="s">
        <v>21</v>
      </c>
      <c r="L1391" s="28" t="s">
        <v>4584</v>
      </c>
      <c r="M1391" s="28" t="s">
        <v>21</v>
      </c>
      <c r="O1391" s="92">
        <v>35705</v>
      </c>
      <c r="P1391" s="28" t="s">
        <v>31</v>
      </c>
      <c r="Q1391" s="26" t="b">
        <v>0</v>
      </c>
      <c r="R1391" s="22">
        <f t="shared" si="21"/>
        <v>0</v>
      </c>
    </row>
    <row r="1392" spans="1:18">
      <c r="A1392" s="26">
        <v>3939</v>
      </c>
      <c r="B1392" s="27">
        <v>35711</v>
      </c>
      <c r="C1392" s="28" t="s">
        <v>4571</v>
      </c>
      <c r="D1392" s="29">
        <v>35709</v>
      </c>
      <c r="E1392" s="28" t="s">
        <v>4572</v>
      </c>
      <c r="F1392" s="28" t="s">
        <v>124</v>
      </c>
      <c r="G1392" s="28" t="s">
        <v>20</v>
      </c>
      <c r="H1392" s="28" t="s">
        <v>21</v>
      </c>
      <c r="I1392" s="28" t="s">
        <v>21</v>
      </c>
      <c r="J1392" s="28" t="s">
        <v>4573</v>
      </c>
      <c r="K1392" s="28" t="s">
        <v>4574</v>
      </c>
      <c r="L1392" s="28" t="s">
        <v>66</v>
      </c>
      <c r="M1392" s="28" t="s">
        <v>21</v>
      </c>
      <c r="O1392" s="92">
        <v>35713</v>
      </c>
      <c r="P1392" s="28" t="s">
        <v>31</v>
      </c>
      <c r="Q1392" s="26" t="b">
        <v>0</v>
      </c>
      <c r="R1392" s="22">
        <f t="shared" si="21"/>
        <v>2</v>
      </c>
    </row>
    <row r="1393" spans="1:18">
      <c r="A1393" s="26">
        <v>3944</v>
      </c>
      <c r="B1393" s="27">
        <v>35713</v>
      </c>
      <c r="C1393" s="28" t="s">
        <v>4585</v>
      </c>
      <c r="D1393" s="29">
        <v>35706</v>
      </c>
      <c r="E1393" s="28" t="s">
        <v>4586</v>
      </c>
      <c r="F1393" s="28" t="s">
        <v>371</v>
      </c>
      <c r="G1393" s="28" t="s">
        <v>20</v>
      </c>
      <c r="H1393" s="28" t="s">
        <v>21</v>
      </c>
      <c r="I1393" s="28" t="s">
        <v>21</v>
      </c>
      <c r="J1393" s="28" t="s">
        <v>272</v>
      </c>
      <c r="K1393" s="28" t="s">
        <v>4587</v>
      </c>
      <c r="L1393" s="28" t="s">
        <v>66</v>
      </c>
      <c r="M1393" s="28" t="s">
        <v>21</v>
      </c>
      <c r="O1393" s="92">
        <v>36628</v>
      </c>
      <c r="P1393" s="28" t="s">
        <v>31</v>
      </c>
      <c r="Q1393" s="26" t="b">
        <v>0</v>
      </c>
      <c r="R1393" s="22">
        <f t="shared" si="21"/>
        <v>914</v>
      </c>
    </row>
    <row r="1394" spans="1:18">
      <c r="A1394" s="26">
        <v>3946</v>
      </c>
      <c r="B1394" s="27">
        <v>35718</v>
      </c>
      <c r="C1394" s="28" t="s">
        <v>4591</v>
      </c>
      <c r="D1394" s="29">
        <v>35718</v>
      </c>
      <c r="E1394" s="28" t="s">
        <v>38</v>
      </c>
      <c r="F1394" s="28" t="s">
        <v>27</v>
      </c>
      <c r="G1394" s="28" t="s">
        <v>20</v>
      </c>
      <c r="H1394" s="28" t="s">
        <v>21</v>
      </c>
      <c r="I1394" s="28" t="s">
        <v>21</v>
      </c>
      <c r="J1394" s="28" t="s">
        <v>4592</v>
      </c>
      <c r="K1394" s="28" t="s">
        <v>4593</v>
      </c>
      <c r="L1394" s="28" t="s">
        <v>66</v>
      </c>
      <c r="M1394" s="28" t="s">
        <v>21</v>
      </c>
      <c r="O1394" s="92">
        <v>35739</v>
      </c>
      <c r="P1394" s="28" t="s">
        <v>21</v>
      </c>
      <c r="Q1394" s="26" t="b">
        <v>0</v>
      </c>
      <c r="R1394" s="22">
        <f t="shared" si="21"/>
        <v>20</v>
      </c>
    </row>
    <row r="1395" spans="1:18">
      <c r="A1395" s="26">
        <v>3940</v>
      </c>
      <c r="B1395" s="27">
        <v>35720</v>
      </c>
      <c r="C1395" s="28" t="s">
        <v>4575</v>
      </c>
      <c r="D1395" s="29">
        <v>35668</v>
      </c>
      <c r="E1395" s="28" t="s">
        <v>4576</v>
      </c>
      <c r="F1395" s="28" t="s">
        <v>741</v>
      </c>
      <c r="G1395" s="28" t="s">
        <v>20</v>
      </c>
      <c r="H1395" s="28" t="s">
        <v>21</v>
      </c>
      <c r="I1395" s="28" t="s">
        <v>21</v>
      </c>
      <c r="J1395" s="28" t="s">
        <v>4577</v>
      </c>
      <c r="K1395" s="28" t="s">
        <v>4578</v>
      </c>
      <c r="L1395" s="28" t="s">
        <v>4579</v>
      </c>
      <c r="M1395" s="28" t="s">
        <v>66</v>
      </c>
      <c r="O1395" s="92">
        <v>38222</v>
      </c>
      <c r="P1395" s="28" t="s">
        <v>21</v>
      </c>
      <c r="Q1395" s="26" t="b">
        <v>0</v>
      </c>
      <c r="R1395" s="22">
        <f t="shared" si="21"/>
        <v>2500</v>
      </c>
    </row>
    <row r="1396" spans="1:18">
      <c r="A1396" s="26">
        <v>3947</v>
      </c>
      <c r="B1396" s="27">
        <v>35720</v>
      </c>
      <c r="C1396" s="28" t="s">
        <v>4594</v>
      </c>
      <c r="D1396" s="29">
        <v>35717</v>
      </c>
      <c r="E1396" s="28" t="s">
        <v>4595</v>
      </c>
      <c r="F1396" s="28" t="s">
        <v>4596</v>
      </c>
      <c r="G1396" s="28" t="s">
        <v>20</v>
      </c>
      <c r="H1396" s="28" t="s">
        <v>21</v>
      </c>
      <c r="I1396" s="28" t="s">
        <v>21</v>
      </c>
      <c r="J1396" s="28" t="s">
        <v>4597</v>
      </c>
      <c r="K1396" s="28" t="s">
        <v>1258</v>
      </c>
      <c r="L1396" s="28" t="s">
        <v>686</v>
      </c>
      <c r="M1396" s="28" t="s">
        <v>21</v>
      </c>
      <c r="O1396" s="92">
        <v>36501</v>
      </c>
      <c r="P1396" s="28" t="s">
        <v>21</v>
      </c>
      <c r="Q1396" s="26" t="b">
        <v>0</v>
      </c>
      <c r="R1396" s="22">
        <f t="shared" si="21"/>
        <v>780</v>
      </c>
    </row>
    <row r="1397" spans="1:18">
      <c r="A1397" s="26">
        <v>3948</v>
      </c>
      <c r="B1397" s="27">
        <v>35724</v>
      </c>
      <c r="C1397" s="28" t="s">
        <v>4598</v>
      </c>
      <c r="D1397" s="29">
        <v>35723</v>
      </c>
      <c r="E1397" s="28" t="s">
        <v>4599</v>
      </c>
      <c r="F1397" s="28" t="s">
        <v>104</v>
      </c>
      <c r="G1397" s="28" t="s">
        <v>20</v>
      </c>
      <c r="H1397" s="28" t="s">
        <v>21</v>
      </c>
      <c r="I1397" s="28" t="s">
        <v>21</v>
      </c>
      <c r="J1397" s="28" t="s">
        <v>4600</v>
      </c>
      <c r="K1397" s="28" t="s">
        <v>4601</v>
      </c>
      <c r="L1397" s="28" t="s">
        <v>66</v>
      </c>
      <c r="M1397" s="28" t="s">
        <v>21</v>
      </c>
      <c r="O1397" s="92">
        <v>35930</v>
      </c>
      <c r="P1397" s="28" t="s">
        <v>21</v>
      </c>
      <c r="Q1397" s="26" t="b">
        <v>0</v>
      </c>
      <c r="R1397" s="22">
        <f t="shared" si="21"/>
        <v>206</v>
      </c>
    </row>
    <row r="1398" spans="1:18">
      <c r="A1398" s="26">
        <v>3949</v>
      </c>
      <c r="B1398" s="27">
        <v>35724</v>
      </c>
      <c r="C1398" s="28" t="s">
        <v>4602</v>
      </c>
      <c r="D1398" s="27">
        <v>35722</v>
      </c>
      <c r="E1398" s="28" t="s">
        <v>38</v>
      </c>
      <c r="F1398" s="28" t="s">
        <v>124</v>
      </c>
      <c r="G1398" s="28" t="s">
        <v>20</v>
      </c>
      <c r="H1398" s="28" t="s">
        <v>21</v>
      </c>
      <c r="I1398" s="28" t="s">
        <v>21</v>
      </c>
      <c r="J1398" s="28" t="s">
        <v>4603</v>
      </c>
      <c r="K1398" s="28" t="s">
        <v>21</v>
      </c>
      <c r="L1398" s="28" t="s">
        <v>3930</v>
      </c>
      <c r="M1398" s="28" t="s">
        <v>21</v>
      </c>
      <c r="O1398" s="92">
        <v>35768</v>
      </c>
      <c r="P1398" s="28" t="s">
        <v>31</v>
      </c>
      <c r="Q1398" s="26" t="b">
        <v>0</v>
      </c>
      <c r="R1398" s="22">
        <f t="shared" si="21"/>
        <v>43</v>
      </c>
    </row>
    <row r="1399" spans="1:18">
      <c r="A1399" s="26">
        <v>3950</v>
      </c>
      <c r="B1399" s="27">
        <v>35724</v>
      </c>
      <c r="C1399" s="28" t="s">
        <v>4604</v>
      </c>
      <c r="D1399" s="29">
        <v>35723</v>
      </c>
      <c r="E1399" s="28" t="s">
        <v>4605</v>
      </c>
      <c r="F1399" s="28" t="s">
        <v>455</v>
      </c>
      <c r="G1399" s="28" t="s">
        <v>20</v>
      </c>
      <c r="H1399" s="28" t="s">
        <v>71</v>
      </c>
      <c r="I1399" s="28" t="s">
        <v>72</v>
      </c>
      <c r="J1399" s="28" t="s">
        <v>4606</v>
      </c>
      <c r="K1399" s="28" t="s">
        <v>4607</v>
      </c>
      <c r="L1399" s="28" t="s">
        <v>88</v>
      </c>
      <c r="M1399" s="28" t="s">
        <v>4608</v>
      </c>
      <c r="O1399" s="92">
        <v>36020</v>
      </c>
      <c r="P1399" s="28" t="s">
        <v>31</v>
      </c>
      <c r="Q1399" s="26" t="b">
        <v>0</v>
      </c>
      <c r="R1399" s="22">
        <f t="shared" si="21"/>
        <v>296</v>
      </c>
    </row>
    <row r="1400" spans="1:18">
      <c r="A1400" s="26">
        <v>3951</v>
      </c>
      <c r="B1400" s="27">
        <v>35734</v>
      </c>
      <c r="C1400" s="28" t="s">
        <v>4609</v>
      </c>
      <c r="D1400" s="27">
        <v>35733</v>
      </c>
      <c r="E1400" s="28" t="s">
        <v>4610</v>
      </c>
      <c r="F1400" s="28" t="s">
        <v>104</v>
      </c>
      <c r="G1400" s="28" t="s">
        <v>20</v>
      </c>
      <c r="H1400" s="28" t="s">
        <v>21</v>
      </c>
      <c r="I1400" s="28" t="s">
        <v>21</v>
      </c>
      <c r="J1400" s="28" t="s">
        <v>272</v>
      </c>
      <c r="K1400" s="28" t="s">
        <v>4601</v>
      </c>
      <c r="L1400" s="28" t="s">
        <v>66</v>
      </c>
      <c r="M1400" s="28" t="s">
        <v>21</v>
      </c>
      <c r="O1400" s="92">
        <v>35863</v>
      </c>
      <c r="P1400" s="28" t="s">
        <v>21</v>
      </c>
      <c r="Q1400" s="26" t="b">
        <v>0</v>
      </c>
      <c r="R1400" s="22">
        <f t="shared" si="21"/>
        <v>130</v>
      </c>
    </row>
    <row r="1401" spans="1:18">
      <c r="A1401" s="26">
        <v>3952</v>
      </c>
      <c r="B1401" s="27">
        <v>35734</v>
      </c>
      <c r="C1401" s="28" t="s">
        <v>4611</v>
      </c>
      <c r="D1401" s="29">
        <v>35730</v>
      </c>
      <c r="E1401" s="28" t="s">
        <v>4612</v>
      </c>
      <c r="F1401" s="28" t="s">
        <v>984</v>
      </c>
      <c r="G1401" s="28" t="s">
        <v>20</v>
      </c>
      <c r="H1401" s="28" t="s">
        <v>21</v>
      </c>
      <c r="I1401" s="28" t="s">
        <v>21</v>
      </c>
      <c r="J1401" s="28" t="s">
        <v>4613</v>
      </c>
      <c r="K1401" s="28" t="s">
        <v>21</v>
      </c>
      <c r="L1401" s="28" t="s">
        <v>66</v>
      </c>
      <c r="M1401" s="28" t="s">
        <v>3969</v>
      </c>
      <c r="O1401" s="92">
        <v>36209</v>
      </c>
      <c r="P1401" s="28" t="s">
        <v>21</v>
      </c>
      <c r="Q1401" s="26" t="b">
        <v>0</v>
      </c>
      <c r="R1401" s="22">
        <f t="shared" si="21"/>
        <v>474</v>
      </c>
    </row>
    <row r="1402" spans="1:18">
      <c r="A1402" s="26">
        <v>3953</v>
      </c>
      <c r="B1402" s="27">
        <v>35734</v>
      </c>
      <c r="C1402" s="28" t="s">
        <v>4614</v>
      </c>
      <c r="D1402" s="29">
        <v>35706</v>
      </c>
      <c r="E1402" s="28" t="s">
        <v>283</v>
      </c>
      <c r="F1402" s="28" t="s">
        <v>98</v>
      </c>
      <c r="G1402" s="28" t="s">
        <v>20</v>
      </c>
      <c r="H1402" s="28" t="s">
        <v>21</v>
      </c>
      <c r="I1402" s="28" t="s">
        <v>21</v>
      </c>
      <c r="J1402" s="28" t="s">
        <v>4615</v>
      </c>
      <c r="K1402" s="28" t="s">
        <v>4616</v>
      </c>
      <c r="L1402" s="28" t="s">
        <v>686</v>
      </c>
      <c r="M1402" s="28" t="s">
        <v>21</v>
      </c>
      <c r="O1402" s="92">
        <v>35837</v>
      </c>
      <c r="P1402" s="28" t="s">
        <v>21</v>
      </c>
      <c r="Q1402" s="26" t="b">
        <v>0</v>
      </c>
      <c r="R1402" s="22">
        <f t="shared" si="21"/>
        <v>102</v>
      </c>
    </row>
    <row r="1403" spans="1:18">
      <c r="A1403" s="26">
        <v>3956</v>
      </c>
      <c r="B1403" s="27">
        <v>35741</v>
      </c>
      <c r="C1403" s="28" t="s">
        <v>4619</v>
      </c>
      <c r="D1403" s="29">
        <v>35706</v>
      </c>
      <c r="E1403" s="28" t="s">
        <v>283</v>
      </c>
      <c r="F1403" s="28" t="s">
        <v>98</v>
      </c>
      <c r="G1403" s="28" t="s">
        <v>20</v>
      </c>
      <c r="H1403" s="28" t="s">
        <v>21</v>
      </c>
      <c r="I1403" s="28" t="s">
        <v>21</v>
      </c>
      <c r="J1403" s="28" t="s">
        <v>4620</v>
      </c>
      <c r="K1403" s="28" t="s">
        <v>4621</v>
      </c>
      <c r="L1403" s="28" t="s">
        <v>66</v>
      </c>
      <c r="M1403" s="28" t="s">
        <v>21</v>
      </c>
      <c r="O1403" s="92">
        <v>35824</v>
      </c>
      <c r="P1403" s="28" t="s">
        <v>182</v>
      </c>
      <c r="Q1403" s="26" t="b">
        <v>0</v>
      </c>
      <c r="R1403" s="22">
        <f t="shared" si="21"/>
        <v>83</v>
      </c>
    </row>
    <row r="1404" spans="1:18">
      <c r="A1404" s="26">
        <v>3957</v>
      </c>
      <c r="B1404" s="27">
        <v>35742</v>
      </c>
      <c r="C1404" s="28" t="s">
        <v>4622</v>
      </c>
      <c r="D1404" s="29">
        <v>35711</v>
      </c>
      <c r="E1404" s="28" t="s">
        <v>4623</v>
      </c>
      <c r="F1404" s="28" t="s">
        <v>149</v>
      </c>
      <c r="G1404" s="28" t="s">
        <v>20</v>
      </c>
      <c r="H1404" s="28" t="s">
        <v>21</v>
      </c>
      <c r="I1404" s="28" t="s">
        <v>21</v>
      </c>
      <c r="J1404" s="28" t="s">
        <v>4624</v>
      </c>
      <c r="K1404" s="28" t="s">
        <v>21</v>
      </c>
      <c r="L1404" s="28" t="s">
        <v>3930</v>
      </c>
      <c r="M1404" s="28" t="s">
        <v>21</v>
      </c>
      <c r="O1404" s="92">
        <v>36335</v>
      </c>
      <c r="P1404" s="28" t="s">
        <v>21</v>
      </c>
      <c r="Q1404" s="26" t="b">
        <v>0</v>
      </c>
      <c r="R1404" s="22">
        <f t="shared" si="21"/>
        <v>594</v>
      </c>
    </row>
    <row r="1405" spans="1:18">
      <c r="A1405" s="26">
        <v>3958</v>
      </c>
      <c r="B1405" s="27">
        <v>35746</v>
      </c>
      <c r="C1405" s="28" t="s">
        <v>4625</v>
      </c>
      <c r="D1405" s="29">
        <v>35737</v>
      </c>
      <c r="E1405" s="28" t="s">
        <v>4626</v>
      </c>
      <c r="F1405" s="28" t="s">
        <v>19</v>
      </c>
      <c r="G1405" s="28" t="s">
        <v>20</v>
      </c>
      <c r="H1405" s="28" t="s">
        <v>21</v>
      </c>
      <c r="I1405" s="28" t="s">
        <v>21</v>
      </c>
      <c r="J1405" s="28" t="s">
        <v>4627</v>
      </c>
      <c r="K1405" s="28" t="s">
        <v>21</v>
      </c>
      <c r="L1405" s="28" t="s">
        <v>3930</v>
      </c>
      <c r="M1405" s="28" t="s">
        <v>21</v>
      </c>
      <c r="O1405" s="92">
        <v>36335</v>
      </c>
      <c r="P1405" s="28" t="s">
        <v>21</v>
      </c>
      <c r="Q1405" s="26" t="b">
        <v>0</v>
      </c>
      <c r="R1405" s="22">
        <f t="shared" si="21"/>
        <v>590</v>
      </c>
    </row>
    <row r="1406" spans="1:18" ht="24">
      <c r="A1406" s="26">
        <v>3959</v>
      </c>
      <c r="B1406" s="27">
        <v>35746</v>
      </c>
      <c r="C1406" s="28" t="s">
        <v>4628</v>
      </c>
      <c r="D1406" s="29">
        <v>35738</v>
      </c>
      <c r="E1406" s="28" t="s">
        <v>4629</v>
      </c>
      <c r="F1406" s="28" t="s">
        <v>4534</v>
      </c>
      <c r="G1406" s="28" t="s">
        <v>20</v>
      </c>
      <c r="H1406" s="28" t="s">
        <v>71</v>
      </c>
      <c r="I1406" s="28" t="s">
        <v>72</v>
      </c>
      <c r="J1406" s="28" t="s">
        <v>4630</v>
      </c>
      <c r="K1406" s="28" t="s">
        <v>21</v>
      </c>
      <c r="L1406" s="28" t="s">
        <v>3930</v>
      </c>
      <c r="M1406" s="28" t="s">
        <v>21</v>
      </c>
      <c r="O1406" s="92">
        <v>36335</v>
      </c>
      <c r="P1406" s="28" t="s">
        <v>21</v>
      </c>
      <c r="Q1406" s="26" t="b">
        <v>0</v>
      </c>
      <c r="R1406" s="22">
        <f t="shared" si="21"/>
        <v>590</v>
      </c>
    </row>
    <row r="1407" spans="1:18">
      <c r="A1407" s="26">
        <v>3960</v>
      </c>
      <c r="B1407" s="27">
        <v>35746</v>
      </c>
      <c r="C1407" s="28" t="s">
        <v>4631</v>
      </c>
      <c r="D1407" s="29">
        <v>35740</v>
      </c>
      <c r="E1407" s="28" t="s">
        <v>4632</v>
      </c>
      <c r="F1407" s="28" t="s">
        <v>149</v>
      </c>
      <c r="G1407" s="28" t="s">
        <v>20</v>
      </c>
      <c r="H1407" s="28" t="s">
        <v>21</v>
      </c>
      <c r="I1407" s="28" t="s">
        <v>21</v>
      </c>
      <c r="J1407" s="28" t="s">
        <v>4633</v>
      </c>
      <c r="K1407" s="28" t="s">
        <v>4634</v>
      </c>
      <c r="L1407" s="28" t="s">
        <v>821</v>
      </c>
      <c r="M1407" s="28" t="s">
        <v>1946</v>
      </c>
      <c r="O1407" s="92">
        <v>36494</v>
      </c>
      <c r="P1407" s="28" t="s">
        <v>21</v>
      </c>
      <c r="Q1407" s="26" t="b">
        <v>0</v>
      </c>
      <c r="R1407" s="22">
        <f t="shared" si="21"/>
        <v>748</v>
      </c>
    </row>
    <row r="1408" spans="1:18">
      <c r="A1408" s="26">
        <v>3962</v>
      </c>
      <c r="B1408" s="27">
        <v>35747</v>
      </c>
      <c r="C1408" s="28" t="s">
        <v>4635</v>
      </c>
      <c r="D1408" s="29">
        <v>35744</v>
      </c>
      <c r="E1408" s="28" t="s">
        <v>4636</v>
      </c>
      <c r="F1408" s="28" t="s">
        <v>211</v>
      </c>
      <c r="G1408" s="28" t="s">
        <v>20</v>
      </c>
      <c r="H1408" s="28" t="s">
        <v>212</v>
      </c>
      <c r="I1408" s="28" t="s">
        <v>212</v>
      </c>
      <c r="J1408" s="28" t="s">
        <v>2867</v>
      </c>
      <c r="K1408" s="28" t="s">
        <v>1149</v>
      </c>
      <c r="L1408" s="28" t="s">
        <v>66</v>
      </c>
      <c r="M1408" s="28" t="s">
        <v>686</v>
      </c>
      <c r="O1408" s="92">
        <v>37679</v>
      </c>
      <c r="P1408" s="28" t="s">
        <v>21</v>
      </c>
      <c r="Q1408" s="26" t="b">
        <v>0</v>
      </c>
      <c r="R1408" s="22">
        <f t="shared" si="21"/>
        <v>1930</v>
      </c>
    </row>
    <row r="1409" spans="1:18">
      <c r="A1409" s="26">
        <v>3963</v>
      </c>
      <c r="B1409" s="27">
        <v>35751</v>
      </c>
      <c r="C1409" s="28" t="s">
        <v>4637</v>
      </c>
      <c r="D1409" s="29">
        <v>35737</v>
      </c>
      <c r="E1409" s="28" t="s">
        <v>4638</v>
      </c>
      <c r="F1409" s="28" t="s">
        <v>43</v>
      </c>
      <c r="G1409" s="28" t="s">
        <v>20</v>
      </c>
      <c r="H1409" s="28" t="s">
        <v>21</v>
      </c>
      <c r="I1409" s="28" t="s">
        <v>21</v>
      </c>
      <c r="J1409" s="28" t="s">
        <v>272</v>
      </c>
      <c r="K1409" s="28" t="s">
        <v>4639</v>
      </c>
      <c r="L1409" s="28" t="s">
        <v>66</v>
      </c>
      <c r="M1409" s="28" t="s">
        <v>21</v>
      </c>
      <c r="O1409" s="92">
        <v>35772</v>
      </c>
      <c r="P1409" s="28" t="s">
        <v>31</v>
      </c>
      <c r="Q1409" s="26" t="b">
        <v>0</v>
      </c>
      <c r="R1409" s="22">
        <f t="shared" si="21"/>
        <v>21</v>
      </c>
    </row>
    <row r="1410" spans="1:18">
      <c r="A1410" s="26">
        <v>3964</v>
      </c>
      <c r="B1410" s="27">
        <v>35751</v>
      </c>
      <c r="C1410" s="28" t="s">
        <v>4640</v>
      </c>
      <c r="D1410" s="29">
        <v>35749</v>
      </c>
      <c r="E1410" s="28" t="s">
        <v>38</v>
      </c>
      <c r="F1410" s="28" t="s">
        <v>371</v>
      </c>
      <c r="G1410" s="28" t="s">
        <v>20</v>
      </c>
      <c r="H1410" s="28" t="s">
        <v>21</v>
      </c>
      <c r="I1410" s="28" t="s">
        <v>21</v>
      </c>
      <c r="J1410" s="28" t="s">
        <v>4641</v>
      </c>
      <c r="K1410" s="28" t="s">
        <v>4642</v>
      </c>
      <c r="L1410" s="28" t="s">
        <v>66</v>
      </c>
      <c r="M1410" s="28" t="s">
        <v>21</v>
      </c>
      <c r="O1410" s="92">
        <v>35810</v>
      </c>
      <c r="P1410" s="28" t="s">
        <v>31</v>
      </c>
      <c r="Q1410" s="26" t="b">
        <v>0</v>
      </c>
      <c r="R1410" s="22">
        <f t="shared" ref="R1410:R1473" si="22">IF(O1410=" ", " ", INT(YEARFRAC(O1410, B1410)*365))</f>
        <v>58</v>
      </c>
    </row>
    <row r="1411" spans="1:18">
      <c r="A1411" s="26">
        <v>3965</v>
      </c>
      <c r="B1411" s="27">
        <v>35755</v>
      </c>
      <c r="C1411" s="28" t="s">
        <v>4643</v>
      </c>
      <c r="D1411" s="27">
        <v>35263</v>
      </c>
      <c r="E1411" s="28" t="s">
        <v>4644</v>
      </c>
      <c r="F1411" s="28" t="s">
        <v>70</v>
      </c>
      <c r="G1411" s="28" t="s">
        <v>20</v>
      </c>
      <c r="H1411" s="28" t="s">
        <v>71</v>
      </c>
      <c r="I1411" s="28" t="s">
        <v>72</v>
      </c>
      <c r="J1411" s="28" t="s">
        <v>2271</v>
      </c>
      <c r="K1411" s="28" t="s">
        <v>4645</v>
      </c>
      <c r="L1411" s="28" t="s">
        <v>66</v>
      </c>
      <c r="M1411" s="28" t="s">
        <v>21</v>
      </c>
      <c r="O1411" s="92">
        <v>35755</v>
      </c>
      <c r="P1411" s="28" t="s">
        <v>31</v>
      </c>
      <c r="Q1411" s="26" t="b">
        <v>0</v>
      </c>
      <c r="R1411" s="22">
        <f t="shared" si="22"/>
        <v>0</v>
      </c>
    </row>
    <row r="1412" spans="1:18">
      <c r="A1412" s="26">
        <v>3966</v>
      </c>
      <c r="B1412" s="27">
        <v>35758</v>
      </c>
      <c r="C1412" s="28" t="s">
        <v>4646</v>
      </c>
      <c r="D1412" s="27">
        <v>35758</v>
      </c>
      <c r="E1412" s="28" t="s">
        <v>4647</v>
      </c>
      <c r="F1412" s="28" t="s">
        <v>149</v>
      </c>
      <c r="G1412" s="28" t="s">
        <v>20</v>
      </c>
      <c r="H1412" s="28" t="s">
        <v>21</v>
      </c>
      <c r="I1412" s="28" t="s">
        <v>21</v>
      </c>
      <c r="J1412" s="28" t="s">
        <v>4633</v>
      </c>
      <c r="K1412" s="28" t="s">
        <v>4648</v>
      </c>
      <c r="L1412" s="28" t="s">
        <v>821</v>
      </c>
      <c r="M1412" s="28" t="s">
        <v>1946</v>
      </c>
      <c r="O1412" s="92">
        <v>36494</v>
      </c>
      <c r="P1412" s="28" t="s">
        <v>21</v>
      </c>
      <c r="Q1412" s="26" t="b">
        <v>0</v>
      </c>
      <c r="R1412" s="22">
        <f t="shared" si="22"/>
        <v>736</v>
      </c>
    </row>
    <row r="1413" spans="1:18">
      <c r="A1413" s="26">
        <v>3967</v>
      </c>
      <c r="B1413" s="27">
        <v>35767</v>
      </c>
      <c r="C1413" s="28" t="s">
        <v>4649</v>
      </c>
      <c r="D1413" s="27">
        <v>35759</v>
      </c>
      <c r="E1413" s="28" t="s">
        <v>4650</v>
      </c>
      <c r="F1413" s="28" t="s">
        <v>70</v>
      </c>
      <c r="G1413" s="28" t="s">
        <v>20</v>
      </c>
      <c r="H1413" s="28" t="s">
        <v>71</v>
      </c>
      <c r="I1413" s="28" t="s">
        <v>72</v>
      </c>
      <c r="J1413" s="28" t="s">
        <v>4651</v>
      </c>
      <c r="K1413" s="28" t="s">
        <v>21</v>
      </c>
      <c r="L1413" s="28" t="s">
        <v>4579</v>
      </c>
      <c r="M1413" s="28" t="s">
        <v>4652</v>
      </c>
      <c r="O1413" s="92">
        <v>38469</v>
      </c>
      <c r="P1413" s="28" t="s">
        <v>31</v>
      </c>
      <c r="Q1413" s="26" t="b">
        <v>0</v>
      </c>
      <c r="R1413" s="22">
        <f t="shared" si="22"/>
        <v>2701</v>
      </c>
    </row>
    <row r="1414" spans="1:18">
      <c r="A1414" s="26">
        <v>3968</v>
      </c>
      <c r="B1414" s="27">
        <v>35769</v>
      </c>
      <c r="C1414" s="28" t="s">
        <v>4653</v>
      </c>
      <c r="D1414" s="27">
        <v>35754</v>
      </c>
      <c r="E1414" s="28" t="s">
        <v>4654</v>
      </c>
      <c r="F1414" s="28" t="s">
        <v>741</v>
      </c>
      <c r="G1414" s="28" t="s">
        <v>20</v>
      </c>
      <c r="H1414" s="28" t="s">
        <v>21</v>
      </c>
      <c r="I1414" s="28" t="s">
        <v>21</v>
      </c>
      <c r="J1414" s="28" t="s">
        <v>4655</v>
      </c>
      <c r="K1414" s="28" t="s">
        <v>4656</v>
      </c>
      <c r="L1414" s="28" t="s">
        <v>686</v>
      </c>
      <c r="M1414" s="28" t="s">
        <v>21</v>
      </c>
      <c r="O1414" s="92">
        <v>35965</v>
      </c>
      <c r="P1414" s="28" t="s">
        <v>21</v>
      </c>
      <c r="Q1414" s="26" t="b">
        <v>0</v>
      </c>
      <c r="R1414" s="22">
        <f t="shared" si="22"/>
        <v>196</v>
      </c>
    </row>
    <row r="1415" spans="1:18">
      <c r="A1415" s="26">
        <v>3969</v>
      </c>
      <c r="B1415" s="27">
        <v>35769</v>
      </c>
      <c r="C1415" s="28" t="s">
        <v>4657</v>
      </c>
      <c r="D1415" s="27">
        <v>35758</v>
      </c>
      <c r="E1415" s="28" t="s">
        <v>4658</v>
      </c>
      <c r="F1415" s="28" t="s">
        <v>4659</v>
      </c>
      <c r="G1415" s="28" t="s">
        <v>20</v>
      </c>
      <c r="H1415" s="28" t="s">
        <v>566</v>
      </c>
      <c r="I1415" s="28" t="s">
        <v>566</v>
      </c>
      <c r="J1415" s="28" t="s">
        <v>4660</v>
      </c>
      <c r="K1415" s="28" t="s">
        <v>21</v>
      </c>
      <c r="L1415" s="28" t="s">
        <v>66</v>
      </c>
      <c r="M1415" s="28" t="s">
        <v>686</v>
      </c>
      <c r="O1415" s="92">
        <v>37256</v>
      </c>
      <c r="P1415" s="28" t="s">
        <v>182</v>
      </c>
      <c r="Q1415" s="26" t="b">
        <v>0</v>
      </c>
      <c r="R1415" s="22">
        <f t="shared" si="22"/>
        <v>1486</v>
      </c>
    </row>
    <row r="1416" spans="1:18">
      <c r="A1416" s="26">
        <v>3971</v>
      </c>
      <c r="B1416" s="27">
        <v>35769</v>
      </c>
      <c r="C1416" s="28" t="s">
        <v>4661</v>
      </c>
      <c r="D1416" s="18"/>
      <c r="E1416" s="28" t="s">
        <v>283</v>
      </c>
      <c r="F1416" s="28" t="s">
        <v>149</v>
      </c>
      <c r="G1416" s="28" t="s">
        <v>20</v>
      </c>
      <c r="H1416" s="28" t="s">
        <v>21</v>
      </c>
      <c r="I1416" s="28" t="s">
        <v>21</v>
      </c>
      <c r="J1416" s="28" t="s">
        <v>4662</v>
      </c>
      <c r="K1416" s="28" t="s">
        <v>21</v>
      </c>
      <c r="L1416" s="28" t="s">
        <v>3930</v>
      </c>
      <c r="M1416" s="28" t="s">
        <v>21</v>
      </c>
      <c r="O1416" s="92">
        <v>35888</v>
      </c>
      <c r="P1416" s="28" t="s">
        <v>21</v>
      </c>
      <c r="Q1416" s="26" t="b">
        <v>0</v>
      </c>
      <c r="R1416" s="22">
        <f t="shared" si="22"/>
        <v>119</v>
      </c>
    </row>
    <row r="1417" spans="1:18">
      <c r="A1417" s="26">
        <v>3972</v>
      </c>
      <c r="B1417" s="27">
        <v>35769</v>
      </c>
      <c r="C1417" s="28" t="s">
        <v>4663</v>
      </c>
      <c r="E1417" s="28" t="s">
        <v>283</v>
      </c>
      <c r="F1417" s="28" t="s">
        <v>149</v>
      </c>
      <c r="G1417" s="28" t="s">
        <v>20</v>
      </c>
      <c r="H1417" s="28" t="s">
        <v>21</v>
      </c>
      <c r="I1417" s="28" t="s">
        <v>21</v>
      </c>
      <c r="J1417" s="28" t="s">
        <v>4664</v>
      </c>
      <c r="K1417" s="28" t="s">
        <v>21</v>
      </c>
      <c r="L1417" s="28" t="s">
        <v>3930</v>
      </c>
      <c r="M1417" s="28" t="s">
        <v>21</v>
      </c>
      <c r="O1417" s="92">
        <v>35888</v>
      </c>
      <c r="P1417" s="28" t="s">
        <v>21</v>
      </c>
      <c r="Q1417" s="26" t="b">
        <v>0</v>
      </c>
      <c r="R1417" s="22">
        <f t="shared" si="22"/>
        <v>119</v>
      </c>
    </row>
    <row r="1418" spans="1:18">
      <c r="A1418" s="26">
        <v>3974</v>
      </c>
      <c r="B1418" s="27">
        <v>35769</v>
      </c>
      <c r="C1418" s="28" t="s">
        <v>4668</v>
      </c>
      <c r="D1418" s="29">
        <v>35748</v>
      </c>
      <c r="E1418" s="28" t="s">
        <v>283</v>
      </c>
      <c r="F1418" s="28" t="s">
        <v>98</v>
      </c>
      <c r="G1418" s="28" t="s">
        <v>20</v>
      </c>
      <c r="H1418" s="28" t="s">
        <v>21</v>
      </c>
      <c r="I1418" s="28" t="s">
        <v>21</v>
      </c>
      <c r="J1418" s="28" t="s">
        <v>4669</v>
      </c>
      <c r="K1418" s="28" t="s">
        <v>4670</v>
      </c>
      <c r="L1418" s="28" t="s">
        <v>66</v>
      </c>
      <c r="M1418" s="28" t="s">
        <v>21</v>
      </c>
      <c r="O1418" s="92">
        <v>35837</v>
      </c>
      <c r="P1418" s="28" t="s">
        <v>21</v>
      </c>
      <c r="Q1418" s="26" t="b">
        <v>0</v>
      </c>
      <c r="R1418" s="22">
        <f t="shared" si="22"/>
        <v>66</v>
      </c>
    </row>
    <row r="1419" spans="1:18" ht="24">
      <c r="A1419" s="26">
        <v>3973</v>
      </c>
      <c r="B1419" s="27">
        <v>35772</v>
      </c>
      <c r="C1419" s="28" t="s">
        <v>4665</v>
      </c>
      <c r="D1419" s="29">
        <v>35738</v>
      </c>
      <c r="E1419" s="28" t="s">
        <v>283</v>
      </c>
      <c r="F1419" s="28" t="s">
        <v>149</v>
      </c>
      <c r="G1419" s="28" t="s">
        <v>20</v>
      </c>
      <c r="H1419" s="28" t="s">
        <v>21</v>
      </c>
      <c r="I1419" s="28" t="s">
        <v>21</v>
      </c>
      <c r="J1419" s="28" t="s">
        <v>4666</v>
      </c>
      <c r="K1419" s="28" t="s">
        <v>4667</v>
      </c>
      <c r="L1419" s="28" t="s">
        <v>1946</v>
      </c>
      <c r="M1419" s="28" t="s">
        <v>21</v>
      </c>
      <c r="O1419" s="92">
        <v>35976</v>
      </c>
      <c r="P1419" s="28" t="s">
        <v>21</v>
      </c>
      <c r="Q1419" s="26" t="b">
        <v>0</v>
      </c>
      <c r="R1419" s="22">
        <f t="shared" si="22"/>
        <v>204</v>
      </c>
    </row>
    <row r="1420" spans="1:18">
      <c r="A1420" s="26">
        <v>3976</v>
      </c>
      <c r="B1420" s="27">
        <v>35772</v>
      </c>
      <c r="C1420" s="28" t="s">
        <v>4671</v>
      </c>
      <c r="D1420" s="27">
        <v>35768</v>
      </c>
      <c r="E1420" s="28" t="s">
        <v>4672</v>
      </c>
      <c r="F1420" s="28" t="s">
        <v>2359</v>
      </c>
      <c r="G1420" s="28" t="s">
        <v>20</v>
      </c>
      <c r="H1420" s="28" t="s">
        <v>71</v>
      </c>
      <c r="I1420" s="28" t="s">
        <v>72</v>
      </c>
      <c r="J1420" s="28" t="s">
        <v>4673</v>
      </c>
      <c r="K1420" s="28" t="s">
        <v>21</v>
      </c>
      <c r="L1420" s="28" t="s">
        <v>686</v>
      </c>
      <c r="M1420" s="28" t="s">
        <v>21</v>
      </c>
      <c r="O1420" s="92">
        <v>35857</v>
      </c>
      <c r="P1420" s="28" t="s">
        <v>21</v>
      </c>
      <c r="Q1420" s="26" t="b">
        <v>0</v>
      </c>
      <c r="R1420" s="22">
        <f t="shared" si="22"/>
        <v>86</v>
      </c>
    </row>
    <row r="1421" spans="1:18">
      <c r="A1421" s="26">
        <v>3977</v>
      </c>
      <c r="B1421" s="27">
        <v>35772</v>
      </c>
      <c r="C1421" s="28" t="s">
        <v>4674</v>
      </c>
      <c r="D1421" s="18"/>
      <c r="E1421" s="28" t="s">
        <v>283</v>
      </c>
      <c r="F1421" s="28" t="s">
        <v>129</v>
      </c>
      <c r="G1421" s="28" t="s">
        <v>20</v>
      </c>
      <c r="H1421" s="28" t="s">
        <v>21</v>
      </c>
      <c r="I1421" s="28" t="s">
        <v>21</v>
      </c>
      <c r="J1421" s="28" t="s">
        <v>4675</v>
      </c>
      <c r="K1421" s="28" t="s">
        <v>21</v>
      </c>
      <c r="L1421" s="28" t="s">
        <v>66</v>
      </c>
      <c r="M1421" s="28" t="s">
        <v>21</v>
      </c>
      <c r="O1421" s="92">
        <v>35843</v>
      </c>
      <c r="P1421" s="28" t="s">
        <v>21</v>
      </c>
      <c r="Q1421" s="26" t="b">
        <v>0</v>
      </c>
      <c r="R1421" s="22">
        <f t="shared" si="22"/>
        <v>69</v>
      </c>
    </row>
    <row r="1422" spans="1:18">
      <c r="A1422" s="26">
        <v>3978</v>
      </c>
      <c r="B1422" s="27">
        <v>35774</v>
      </c>
      <c r="C1422" s="28" t="s">
        <v>4676</v>
      </c>
      <c r="D1422" s="27">
        <v>35769</v>
      </c>
      <c r="E1422" s="28" t="s">
        <v>283</v>
      </c>
      <c r="F1422" s="28" t="s">
        <v>4677</v>
      </c>
      <c r="G1422" s="28" t="s">
        <v>20</v>
      </c>
      <c r="H1422" s="28" t="s">
        <v>21</v>
      </c>
      <c r="I1422" s="28" t="s">
        <v>21</v>
      </c>
      <c r="J1422" s="28" t="s">
        <v>4678</v>
      </c>
      <c r="K1422" s="28" t="s">
        <v>21</v>
      </c>
      <c r="L1422" s="28" t="s">
        <v>66</v>
      </c>
      <c r="M1422" s="28" t="s">
        <v>67</v>
      </c>
      <c r="N1422" s="29">
        <v>35774</v>
      </c>
      <c r="O1422" s="92">
        <v>35976</v>
      </c>
      <c r="P1422" s="28" t="s">
        <v>21</v>
      </c>
      <c r="Q1422" s="26" t="b">
        <v>0</v>
      </c>
      <c r="R1422" s="22">
        <f t="shared" si="22"/>
        <v>202</v>
      </c>
    </row>
    <row r="1423" spans="1:18">
      <c r="A1423" s="26">
        <v>3981</v>
      </c>
      <c r="B1423" s="27">
        <v>35776</v>
      </c>
      <c r="C1423" s="28" t="s">
        <v>4679</v>
      </c>
      <c r="D1423" s="27">
        <v>35653</v>
      </c>
      <c r="E1423" s="28" t="s">
        <v>4680</v>
      </c>
      <c r="F1423" s="28" t="s">
        <v>4596</v>
      </c>
      <c r="G1423" s="28" t="s">
        <v>20</v>
      </c>
      <c r="H1423" s="28" t="s">
        <v>21</v>
      </c>
      <c r="I1423" s="28" t="s">
        <v>21</v>
      </c>
      <c r="J1423" s="28" t="s">
        <v>4681</v>
      </c>
      <c r="K1423" s="28" t="s">
        <v>3869</v>
      </c>
      <c r="L1423" s="28" t="s">
        <v>66</v>
      </c>
      <c r="M1423" s="28" t="s">
        <v>67</v>
      </c>
      <c r="O1423" s="92">
        <v>36444</v>
      </c>
      <c r="P1423" s="28" t="s">
        <v>31</v>
      </c>
      <c r="Q1423" s="26" t="b">
        <v>0</v>
      </c>
      <c r="R1423" s="22">
        <f t="shared" si="22"/>
        <v>668</v>
      </c>
    </row>
    <row r="1424" spans="1:18">
      <c r="A1424" s="26">
        <v>3982</v>
      </c>
      <c r="B1424" s="27">
        <v>35780</v>
      </c>
      <c r="C1424" s="28" t="s">
        <v>4682</v>
      </c>
      <c r="D1424" s="27">
        <v>35769</v>
      </c>
      <c r="E1424" s="28" t="s">
        <v>4683</v>
      </c>
      <c r="F1424" s="28" t="s">
        <v>124</v>
      </c>
      <c r="G1424" s="28" t="s">
        <v>20</v>
      </c>
      <c r="H1424" s="28" t="s">
        <v>21</v>
      </c>
      <c r="I1424" s="28" t="s">
        <v>21</v>
      </c>
      <c r="J1424" s="28" t="s">
        <v>4684</v>
      </c>
      <c r="K1424" s="28" t="s">
        <v>272</v>
      </c>
      <c r="L1424" s="28" t="s">
        <v>66</v>
      </c>
      <c r="M1424" s="28" t="s">
        <v>21</v>
      </c>
      <c r="O1424" s="92">
        <v>36158</v>
      </c>
      <c r="P1424" s="28" t="s">
        <v>31</v>
      </c>
      <c r="Q1424" s="26" t="b">
        <v>0</v>
      </c>
      <c r="R1424" s="22">
        <f t="shared" si="22"/>
        <v>378</v>
      </c>
    </row>
    <row r="1425" spans="1:18">
      <c r="A1425" s="26">
        <v>3984</v>
      </c>
      <c r="B1425" s="27">
        <v>35787</v>
      </c>
      <c r="C1425" s="28" t="s">
        <v>4685</v>
      </c>
      <c r="D1425" s="29">
        <v>35787</v>
      </c>
      <c r="E1425" s="28" t="s">
        <v>4686</v>
      </c>
      <c r="F1425" s="28" t="s">
        <v>228</v>
      </c>
      <c r="G1425" s="28" t="s">
        <v>20</v>
      </c>
      <c r="H1425" s="28" t="s">
        <v>21</v>
      </c>
      <c r="I1425" s="28" t="s">
        <v>21</v>
      </c>
      <c r="J1425" s="28" t="s">
        <v>4687</v>
      </c>
      <c r="K1425" s="28" t="s">
        <v>21</v>
      </c>
      <c r="L1425" s="28" t="s">
        <v>67</v>
      </c>
      <c r="M1425" s="28" t="s">
        <v>21</v>
      </c>
      <c r="O1425" s="92">
        <v>35790</v>
      </c>
      <c r="P1425" s="28" t="s">
        <v>31</v>
      </c>
      <c r="Q1425" s="26" t="b">
        <v>0</v>
      </c>
      <c r="R1425" s="22">
        <f t="shared" si="22"/>
        <v>3</v>
      </c>
    </row>
    <row r="1426" spans="1:18">
      <c r="A1426" s="26">
        <v>3986</v>
      </c>
      <c r="B1426" s="27">
        <v>35795</v>
      </c>
      <c r="C1426" s="28" t="s">
        <v>4688</v>
      </c>
      <c r="D1426" s="27">
        <v>35739</v>
      </c>
      <c r="E1426" s="28" t="s">
        <v>4689</v>
      </c>
      <c r="F1426" s="28" t="s">
        <v>984</v>
      </c>
      <c r="G1426" s="28" t="s">
        <v>20</v>
      </c>
      <c r="H1426" s="28" t="s">
        <v>21</v>
      </c>
      <c r="I1426" s="28" t="s">
        <v>21</v>
      </c>
      <c r="J1426" s="28" t="s">
        <v>4690</v>
      </c>
      <c r="K1426" s="28" t="s">
        <v>21</v>
      </c>
      <c r="L1426" s="28" t="s">
        <v>88</v>
      </c>
      <c r="M1426" s="28" t="s">
        <v>67</v>
      </c>
      <c r="O1426" s="92">
        <v>36157</v>
      </c>
      <c r="P1426" s="28" t="s">
        <v>21</v>
      </c>
      <c r="Q1426" s="26" t="b">
        <v>0</v>
      </c>
      <c r="R1426" s="22">
        <f t="shared" si="22"/>
        <v>362</v>
      </c>
    </row>
    <row r="1427" spans="1:18">
      <c r="A1427" s="26">
        <v>3987</v>
      </c>
      <c r="B1427" s="27">
        <v>35801</v>
      </c>
      <c r="C1427" s="28" t="s">
        <v>4691</v>
      </c>
      <c r="D1427" s="27">
        <v>35671</v>
      </c>
      <c r="E1427" s="28" t="s">
        <v>4692</v>
      </c>
      <c r="F1427" s="28" t="s">
        <v>27</v>
      </c>
      <c r="G1427" s="28" t="s">
        <v>20</v>
      </c>
      <c r="H1427" s="28" t="s">
        <v>21</v>
      </c>
      <c r="I1427" s="28" t="s">
        <v>21</v>
      </c>
      <c r="J1427" s="28" t="s">
        <v>4693</v>
      </c>
      <c r="K1427" s="28" t="s">
        <v>21</v>
      </c>
      <c r="L1427" s="28" t="s">
        <v>686</v>
      </c>
      <c r="M1427" s="28" t="s">
        <v>88</v>
      </c>
      <c r="O1427" s="92">
        <v>36162</v>
      </c>
      <c r="P1427" s="28" t="s">
        <v>31</v>
      </c>
      <c r="Q1427" s="26" t="b">
        <v>0</v>
      </c>
      <c r="R1427" s="22">
        <f t="shared" si="22"/>
        <v>360</v>
      </c>
    </row>
    <row r="1428" spans="1:18">
      <c r="A1428" s="26">
        <v>3989</v>
      </c>
      <c r="B1428" s="27">
        <v>35801</v>
      </c>
      <c r="C1428" s="28" t="s">
        <v>4694</v>
      </c>
      <c r="D1428" s="27">
        <v>35783</v>
      </c>
      <c r="E1428" s="28" t="s">
        <v>4695</v>
      </c>
      <c r="F1428" s="28" t="s">
        <v>27</v>
      </c>
      <c r="G1428" s="28" t="s">
        <v>20</v>
      </c>
      <c r="H1428" s="28" t="s">
        <v>21</v>
      </c>
      <c r="I1428" s="28" t="s">
        <v>21</v>
      </c>
      <c r="J1428" s="28" t="s">
        <v>4693</v>
      </c>
      <c r="K1428" s="28" t="s">
        <v>21</v>
      </c>
      <c r="L1428" s="28" t="s">
        <v>66</v>
      </c>
      <c r="M1428" s="28" t="s">
        <v>4696</v>
      </c>
      <c r="O1428" s="92">
        <v>36459</v>
      </c>
      <c r="P1428" s="28" t="s">
        <v>31</v>
      </c>
      <c r="Q1428" s="26" t="b">
        <v>0</v>
      </c>
      <c r="R1428" s="22">
        <f t="shared" si="22"/>
        <v>659</v>
      </c>
    </row>
    <row r="1429" spans="1:18">
      <c r="A1429" s="26">
        <v>3990</v>
      </c>
      <c r="B1429" s="27">
        <v>35801</v>
      </c>
      <c r="C1429" s="28" t="s">
        <v>4697</v>
      </c>
      <c r="D1429" s="27">
        <v>35784</v>
      </c>
      <c r="E1429" s="28" t="s">
        <v>38</v>
      </c>
      <c r="F1429" s="28" t="s">
        <v>350</v>
      </c>
      <c r="G1429" s="28" t="s">
        <v>20</v>
      </c>
      <c r="H1429" s="28" t="s">
        <v>21</v>
      </c>
      <c r="I1429" s="28" t="s">
        <v>21</v>
      </c>
      <c r="J1429" s="28" t="s">
        <v>4698</v>
      </c>
      <c r="K1429" s="28" t="s">
        <v>21</v>
      </c>
      <c r="L1429" s="28" t="s">
        <v>686</v>
      </c>
      <c r="M1429" s="28" t="s">
        <v>21</v>
      </c>
      <c r="O1429" s="92">
        <v>36185</v>
      </c>
      <c r="P1429" s="28" t="s">
        <v>31</v>
      </c>
      <c r="Q1429" s="26" t="b">
        <v>0</v>
      </c>
      <c r="R1429" s="22">
        <f t="shared" si="22"/>
        <v>384</v>
      </c>
    </row>
    <row r="1430" spans="1:18">
      <c r="A1430" s="26">
        <v>3993</v>
      </c>
      <c r="B1430" s="27">
        <v>35808</v>
      </c>
      <c r="C1430" s="28" t="s">
        <v>4699</v>
      </c>
      <c r="D1430" s="27">
        <v>35803</v>
      </c>
      <c r="E1430" s="28" t="s">
        <v>1140</v>
      </c>
      <c r="F1430" s="28" t="s">
        <v>104</v>
      </c>
      <c r="G1430" s="28" t="s">
        <v>20</v>
      </c>
      <c r="H1430" s="28" t="s">
        <v>21</v>
      </c>
      <c r="I1430" s="28" t="s">
        <v>21</v>
      </c>
      <c r="J1430" s="28" t="s">
        <v>4700</v>
      </c>
      <c r="K1430" s="28" t="s">
        <v>21</v>
      </c>
      <c r="L1430" s="28" t="s">
        <v>3271</v>
      </c>
      <c r="M1430" s="28" t="s">
        <v>21</v>
      </c>
      <c r="O1430" s="92">
        <v>35808</v>
      </c>
      <c r="P1430" s="28" t="s">
        <v>31</v>
      </c>
      <c r="Q1430" s="26" t="b">
        <v>0</v>
      </c>
      <c r="R1430" s="22">
        <f t="shared" si="22"/>
        <v>0</v>
      </c>
    </row>
    <row r="1431" spans="1:18">
      <c r="A1431" s="26">
        <v>3994</v>
      </c>
      <c r="B1431" s="27">
        <v>35808</v>
      </c>
      <c r="C1431" s="28" t="s">
        <v>4701</v>
      </c>
      <c r="D1431" s="27">
        <v>35775</v>
      </c>
      <c r="E1431" s="28" t="s">
        <v>61</v>
      </c>
      <c r="F1431" s="28" t="s">
        <v>85</v>
      </c>
      <c r="G1431" s="28" t="s">
        <v>20</v>
      </c>
      <c r="H1431" s="28" t="s">
        <v>21</v>
      </c>
      <c r="I1431" s="28" t="s">
        <v>21</v>
      </c>
      <c r="J1431" s="28" t="s">
        <v>4702</v>
      </c>
      <c r="K1431" s="28" t="s">
        <v>4703</v>
      </c>
      <c r="L1431" s="28" t="s">
        <v>686</v>
      </c>
      <c r="M1431" s="28" t="s">
        <v>21</v>
      </c>
      <c r="O1431" s="92">
        <v>35857</v>
      </c>
      <c r="P1431" s="28" t="s">
        <v>21</v>
      </c>
      <c r="Q1431" s="26" t="b">
        <v>0</v>
      </c>
      <c r="R1431" s="22">
        <f t="shared" si="22"/>
        <v>50</v>
      </c>
    </row>
    <row r="1432" spans="1:18" ht="24">
      <c r="A1432" s="26">
        <v>3995</v>
      </c>
      <c r="B1432" s="27">
        <v>35808</v>
      </c>
      <c r="C1432" s="28" t="s">
        <v>4704</v>
      </c>
      <c r="D1432" s="27">
        <v>35795</v>
      </c>
      <c r="E1432" s="28" t="s">
        <v>38</v>
      </c>
      <c r="F1432" s="28" t="s">
        <v>19</v>
      </c>
      <c r="G1432" s="28" t="s">
        <v>20</v>
      </c>
      <c r="H1432" s="28" t="s">
        <v>21</v>
      </c>
      <c r="I1432" s="28" t="s">
        <v>21</v>
      </c>
      <c r="J1432" s="28" t="s">
        <v>4705</v>
      </c>
      <c r="K1432" s="28" t="s">
        <v>21</v>
      </c>
      <c r="L1432" s="28" t="s">
        <v>686</v>
      </c>
      <c r="M1432" s="28" t="s">
        <v>21</v>
      </c>
      <c r="O1432" s="92">
        <v>35857</v>
      </c>
      <c r="P1432" s="28" t="s">
        <v>31</v>
      </c>
      <c r="Q1432" s="26" t="b">
        <v>0</v>
      </c>
      <c r="R1432" s="22">
        <f t="shared" si="22"/>
        <v>50</v>
      </c>
    </row>
    <row r="1433" spans="1:18" ht="24">
      <c r="A1433" s="26">
        <v>3996</v>
      </c>
      <c r="B1433" s="27">
        <v>35808</v>
      </c>
      <c r="C1433" s="28" t="s">
        <v>4706</v>
      </c>
      <c r="D1433" s="18"/>
      <c r="E1433" s="28" t="s">
        <v>2925</v>
      </c>
      <c r="F1433" s="28" t="s">
        <v>149</v>
      </c>
      <c r="G1433" s="28" t="s">
        <v>20</v>
      </c>
      <c r="H1433" s="28" t="s">
        <v>21</v>
      </c>
      <c r="I1433" s="28" t="s">
        <v>21</v>
      </c>
      <c r="J1433" s="28" t="s">
        <v>4707</v>
      </c>
      <c r="K1433" s="28" t="s">
        <v>4708</v>
      </c>
      <c r="L1433" s="28" t="s">
        <v>66</v>
      </c>
      <c r="M1433" s="28" t="s">
        <v>21</v>
      </c>
      <c r="O1433" s="92">
        <v>35886</v>
      </c>
      <c r="P1433" s="28" t="s">
        <v>21</v>
      </c>
      <c r="Q1433" s="26" t="b">
        <v>0</v>
      </c>
      <c r="R1433" s="22">
        <f t="shared" si="22"/>
        <v>79</v>
      </c>
    </row>
    <row r="1434" spans="1:18">
      <c r="A1434" s="26">
        <v>3997</v>
      </c>
      <c r="B1434" s="27">
        <v>35808</v>
      </c>
      <c r="C1434" s="28" t="s">
        <v>4709</v>
      </c>
      <c r="D1434" s="29">
        <v>35615</v>
      </c>
      <c r="E1434" s="28" t="s">
        <v>4710</v>
      </c>
      <c r="F1434" s="28" t="s">
        <v>137</v>
      </c>
      <c r="G1434" s="28" t="s">
        <v>20</v>
      </c>
      <c r="H1434" s="28" t="s">
        <v>71</v>
      </c>
      <c r="I1434" s="28" t="s">
        <v>72</v>
      </c>
      <c r="J1434" s="28" t="s">
        <v>4711</v>
      </c>
      <c r="K1434" s="28" t="s">
        <v>4712</v>
      </c>
      <c r="L1434" s="28" t="s">
        <v>4713</v>
      </c>
      <c r="M1434" s="28" t="s">
        <v>21</v>
      </c>
      <c r="O1434" s="92">
        <v>35859</v>
      </c>
      <c r="P1434" s="28" t="s">
        <v>31</v>
      </c>
      <c r="Q1434" s="26" t="b">
        <v>0</v>
      </c>
      <c r="R1434" s="22">
        <f t="shared" si="22"/>
        <v>52</v>
      </c>
    </row>
    <row r="1435" spans="1:18">
      <c r="A1435" s="26">
        <v>3998</v>
      </c>
      <c r="B1435" s="27">
        <v>35810</v>
      </c>
      <c r="C1435" s="28" t="s">
        <v>4714</v>
      </c>
      <c r="D1435" s="18"/>
      <c r="E1435" s="28" t="s">
        <v>1204</v>
      </c>
      <c r="F1435" s="28" t="s">
        <v>27</v>
      </c>
      <c r="G1435" s="28" t="s">
        <v>20</v>
      </c>
      <c r="H1435" s="28" t="s">
        <v>21</v>
      </c>
      <c r="I1435" s="28" t="s">
        <v>21</v>
      </c>
      <c r="J1435" s="28" t="s">
        <v>4715</v>
      </c>
      <c r="K1435" s="28" t="s">
        <v>21</v>
      </c>
      <c r="L1435" s="28" t="s">
        <v>66</v>
      </c>
      <c r="M1435" s="28" t="s">
        <v>21</v>
      </c>
      <c r="O1435" s="92">
        <v>35884</v>
      </c>
      <c r="P1435" s="28" t="s">
        <v>21</v>
      </c>
      <c r="Q1435" s="26" t="b">
        <v>0</v>
      </c>
      <c r="R1435" s="22">
        <f t="shared" si="22"/>
        <v>76</v>
      </c>
    </row>
    <row r="1436" spans="1:18">
      <c r="A1436" s="26">
        <v>3999</v>
      </c>
      <c r="B1436" s="27">
        <v>35810</v>
      </c>
      <c r="C1436" s="28" t="s">
        <v>4716</v>
      </c>
      <c r="D1436" s="27">
        <v>35807</v>
      </c>
      <c r="E1436" s="28" t="s">
        <v>38</v>
      </c>
      <c r="F1436" s="28" t="s">
        <v>98</v>
      </c>
      <c r="G1436" s="28" t="s">
        <v>20</v>
      </c>
      <c r="H1436" s="28" t="s">
        <v>21</v>
      </c>
      <c r="I1436" s="28" t="s">
        <v>21</v>
      </c>
      <c r="J1436" s="28" t="s">
        <v>4717</v>
      </c>
      <c r="K1436" s="28" t="s">
        <v>4718</v>
      </c>
      <c r="L1436" s="28" t="s">
        <v>66</v>
      </c>
      <c r="M1436" s="28" t="s">
        <v>21</v>
      </c>
      <c r="O1436" s="92">
        <v>35821</v>
      </c>
      <c r="P1436" s="28" t="s">
        <v>31</v>
      </c>
      <c r="Q1436" s="26" t="b">
        <v>0</v>
      </c>
      <c r="R1436" s="22">
        <f t="shared" si="22"/>
        <v>11</v>
      </c>
    </row>
    <row r="1437" spans="1:18">
      <c r="A1437" s="26">
        <v>4000</v>
      </c>
      <c r="B1437" s="27">
        <v>35815</v>
      </c>
      <c r="C1437" s="28" t="s">
        <v>4719</v>
      </c>
      <c r="D1437" s="18"/>
      <c r="E1437" s="28" t="s">
        <v>283</v>
      </c>
      <c r="F1437" s="28" t="s">
        <v>19</v>
      </c>
      <c r="G1437" s="28" t="s">
        <v>20</v>
      </c>
      <c r="H1437" s="28" t="s">
        <v>21</v>
      </c>
      <c r="I1437" s="28" t="s">
        <v>21</v>
      </c>
      <c r="J1437" s="28" t="s">
        <v>4720</v>
      </c>
      <c r="K1437" s="28" t="s">
        <v>4721</v>
      </c>
      <c r="L1437" s="28" t="s">
        <v>1946</v>
      </c>
      <c r="M1437" s="28" t="s">
        <v>21</v>
      </c>
      <c r="O1437" s="92">
        <v>35976</v>
      </c>
      <c r="P1437" s="28" t="s">
        <v>21</v>
      </c>
      <c r="Q1437" s="26" t="b">
        <v>0</v>
      </c>
      <c r="R1437" s="22">
        <f t="shared" si="22"/>
        <v>162</v>
      </c>
    </row>
    <row r="1438" spans="1:18">
      <c r="A1438" s="26">
        <v>4001</v>
      </c>
      <c r="B1438" s="27">
        <v>35816</v>
      </c>
      <c r="C1438" s="28" t="s">
        <v>4722</v>
      </c>
      <c r="D1438" s="18"/>
      <c r="E1438" s="28" t="s">
        <v>283</v>
      </c>
      <c r="F1438" s="28" t="s">
        <v>19</v>
      </c>
      <c r="G1438" s="28" t="s">
        <v>20</v>
      </c>
      <c r="H1438" s="28" t="s">
        <v>21</v>
      </c>
      <c r="I1438" s="28" t="s">
        <v>21</v>
      </c>
      <c r="J1438" s="28" t="s">
        <v>4723</v>
      </c>
      <c r="K1438" s="28" t="s">
        <v>4724</v>
      </c>
      <c r="L1438" s="28" t="s">
        <v>88</v>
      </c>
      <c r="M1438" s="28" t="s">
        <v>21</v>
      </c>
      <c r="N1438" s="29">
        <v>35818</v>
      </c>
      <c r="O1438" s="92">
        <v>35976</v>
      </c>
      <c r="P1438" s="28" t="s">
        <v>21</v>
      </c>
      <c r="Q1438" s="26" t="b">
        <v>0</v>
      </c>
      <c r="R1438" s="22">
        <f t="shared" si="22"/>
        <v>161</v>
      </c>
    </row>
    <row r="1439" spans="1:18">
      <c r="A1439" s="26">
        <v>4004</v>
      </c>
      <c r="B1439" s="27">
        <v>35821</v>
      </c>
      <c r="C1439" s="28" t="s">
        <v>4725</v>
      </c>
      <c r="D1439" s="18"/>
      <c r="E1439" s="28" t="s">
        <v>283</v>
      </c>
      <c r="F1439" s="28" t="s">
        <v>19</v>
      </c>
      <c r="G1439" s="28" t="s">
        <v>20</v>
      </c>
      <c r="H1439" s="28" t="s">
        <v>21</v>
      </c>
      <c r="I1439" s="28" t="s">
        <v>21</v>
      </c>
      <c r="J1439" s="28" t="s">
        <v>4726</v>
      </c>
      <c r="K1439" s="28" t="s">
        <v>4727</v>
      </c>
      <c r="L1439" s="28" t="s">
        <v>88</v>
      </c>
      <c r="M1439" s="28" t="s">
        <v>21</v>
      </c>
      <c r="O1439" s="92">
        <v>35976</v>
      </c>
      <c r="P1439" s="28" t="s">
        <v>21</v>
      </c>
      <c r="Q1439" s="26" t="b">
        <v>0</v>
      </c>
      <c r="R1439" s="22">
        <f t="shared" si="22"/>
        <v>156</v>
      </c>
    </row>
    <row r="1440" spans="1:18">
      <c r="A1440" s="26">
        <v>4005</v>
      </c>
      <c r="B1440" s="27">
        <v>35821</v>
      </c>
      <c r="C1440" s="28" t="s">
        <v>4728</v>
      </c>
      <c r="D1440" s="27">
        <v>35794</v>
      </c>
      <c r="E1440" s="28" t="s">
        <v>4729</v>
      </c>
      <c r="F1440" s="28" t="s">
        <v>19</v>
      </c>
      <c r="G1440" s="28" t="s">
        <v>20</v>
      </c>
      <c r="H1440" s="28" t="s">
        <v>21</v>
      </c>
      <c r="I1440" s="28" t="s">
        <v>21</v>
      </c>
      <c r="J1440" s="28" t="s">
        <v>4730</v>
      </c>
      <c r="K1440" s="28" t="s">
        <v>21</v>
      </c>
      <c r="L1440" s="28" t="s">
        <v>1946</v>
      </c>
      <c r="M1440" s="28" t="s">
        <v>21</v>
      </c>
      <c r="O1440" s="92">
        <v>36496</v>
      </c>
      <c r="P1440" s="28" t="s">
        <v>21</v>
      </c>
      <c r="Q1440" s="26" t="b">
        <v>0</v>
      </c>
      <c r="R1440" s="22">
        <f t="shared" si="22"/>
        <v>675</v>
      </c>
    </row>
    <row r="1441" spans="1:18">
      <c r="A1441" s="26">
        <v>4007</v>
      </c>
      <c r="B1441" s="27">
        <v>35822</v>
      </c>
      <c r="C1441" s="28" t="s">
        <v>4731</v>
      </c>
      <c r="D1441" s="18"/>
      <c r="E1441" s="28" t="s">
        <v>283</v>
      </c>
      <c r="F1441" s="28" t="s">
        <v>228</v>
      </c>
      <c r="G1441" s="28" t="s">
        <v>20</v>
      </c>
      <c r="H1441" s="28" t="s">
        <v>21</v>
      </c>
      <c r="I1441" s="28" t="s">
        <v>21</v>
      </c>
      <c r="J1441" s="28" t="s">
        <v>4732</v>
      </c>
      <c r="K1441" s="28" t="s">
        <v>4733</v>
      </c>
      <c r="L1441" s="28" t="s">
        <v>4734</v>
      </c>
      <c r="M1441" s="28" t="s">
        <v>21</v>
      </c>
      <c r="O1441" s="92">
        <v>35976</v>
      </c>
      <c r="P1441" s="28" t="s">
        <v>21</v>
      </c>
      <c r="Q1441" s="26" t="b">
        <v>0</v>
      </c>
      <c r="R1441" s="22">
        <f t="shared" si="22"/>
        <v>155</v>
      </c>
    </row>
    <row r="1442" spans="1:18">
      <c r="A1442" s="26">
        <v>4009</v>
      </c>
      <c r="B1442" s="27">
        <v>35823</v>
      </c>
      <c r="C1442" s="28" t="s">
        <v>4735</v>
      </c>
      <c r="E1442" s="28" t="s">
        <v>283</v>
      </c>
      <c r="F1442" s="28" t="s">
        <v>19</v>
      </c>
      <c r="G1442" s="28" t="s">
        <v>20</v>
      </c>
      <c r="H1442" s="28" t="s">
        <v>21</v>
      </c>
      <c r="I1442" s="28" t="s">
        <v>21</v>
      </c>
      <c r="J1442" s="28" t="s">
        <v>4736</v>
      </c>
      <c r="K1442" s="28" t="s">
        <v>4737</v>
      </c>
      <c r="L1442" s="28" t="s">
        <v>88</v>
      </c>
      <c r="M1442" s="28" t="s">
        <v>21</v>
      </c>
      <c r="O1442" s="92">
        <v>35976</v>
      </c>
      <c r="P1442" s="28" t="s">
        <v>21</v>
      </c>
      <c r="Q1442" s="26" t="b">
        <v>0</v>
      </c>
      <c r="R1442" s="22">
        <f t="shared" si="22"/>
        <v>154</v>
      </c>
    </row>
    <row r="1443" spans="1:18">
      <c r="A1443" s="26">
        <v>4010</v>
      </c>
      <c r="B1443" s="27">
        <v>35823</v>
      </c>
      <c r="C1443" s="28" t="s">
        <v>4738</v>
      </c>
      <c r="D1443" s="18"/>
      <c r="E1443" s="28" t="s">
        <v>283</v>
      </c>
      <c r="F1443" s="28" t="s">
        <v>19</v>
      </c>
      <c r="G1443" s="28" t="s">
        <v>20</v>
      </c>
      <c r="H1443" s="28" t="s">
        <v>21</v>
      </c>
      <c r="I1443" s="28" t="s">
        <v>21</v>
      </c>
      <c r="J1443" s="28" t="s">
        <v>4739</v>
      </c>
      <c r="K1443" s="28" t="s">
        <v>4727</v>
      </c>
      <c r="L1443" s="28" t="s">
        <v>88</v>
      </c>
      <c r="M1443" s="28" t="s">
        <v>21</v>
      </c>
      <c r="O1443" s="92">
        <v>35976</v>
      </c>
      <c r="P1443" s="28" t="s">
        <v>21</v>
      </c>
      <c r="Q1443" s="26" t="b">
        <v>0</v>
      </c>
      <c r="R1443" s="22">
        <f t="shared" si="22"/>
        <v>154</v>
      </c>
    </row>
    <row r="1444" spans="1:18">
      <c r="A1444" s="26">
        <v>4017</v>
      </c>
      <c r="B1444" s="27">
        <v>35823</v>
      </c>
      <c r="C1444" s="28" t="s">
        <v>4740</v>
      </c>
      <c r="D1444" s="18"/>
      <c r="E1444" s="28" t="s">
        <v>283</v>
      </c>
      <c r="F1444" s="28" t="s">
        <v>56</v>
      </c>
      <c r="G1444" s="28" t="s">
        <v>20</v>
      </c>
      <c r="H1444" s="28" t="s">
        <v>21</v>
      </c>
      <c r="I1444" s="28" t="s">
        <v>21</v>
      </c>
      <c r="J1444" s="28" t="s">
        <v>4741</v>
      </c>
      <c r="K1444" s="28" t="s">
        <v>4742</v>
      </c>
      <c r="L1444" s="28" t="s">
        <v>4503</v>
      </c>
      <c r="M1444" s="28" t="s">
        <v>21</v>
      </c>
      <c r="O1444" s="92">
        <v>35984</v>
      </c>
      <c r="P1444" s="28" t="s">
        <v>21</v>
      </c>
      <c r="Q1444" s="26" t="b">
        <v>0</v>
      </c>
      <c r="R1444" s="22">
        <f t="shared" si="22"/>
        <v>162</v>
      </c>
    </row>
    <row r="1445" spans="1:18">
      <c r="A1445" s="26">
        <v>4018</v>
      </c>
      <c r="B1445" s="27">
        <v>35823</v>
      </c>
      <c r="C1445" s="28" t="s">
        <v>4743</v>
      </c>
      <c r="D1445" s="27">
        <v>35818</v>
      </c>
      <c r="E1445" s="28" t="s">
        <v>1432</v>
      </c>
      <c r="F1445" s="28" t="s">
        <v>124</v>
      </c>
      <c r="G1445" s="28" t="s">
        <v>20</v>
      </c>
      <c r="H1445" s="28" t="s">
        <v>21</v>
      </c>
      <c r="I1445" s="28" t="s">
        <v>21</v>
      </c>
      <c r="J1445" s="28" t="s">
        <v>4744</v>
      </c>
      <c r="K1445" s="28" t="s">
        <v>4379</v>
      </c>
      <c r="L1445" s="28" t="s">
        <v>686</v>
      </c>
      <c r="M1445" s="28" t="s">
        <v>3969</v>
      </c>
      <c r="O1445" s="92">
        <v>36321</v>
      </c>
      <c r="P1445" s="28" t="s">
        <v>31</v>
      </c>
      <c r="Q1445" s="26" t="b">
        <v>0</v>
      </c>
      <c r="R1445" s="22">
        <f t="shared" si="22"/>
        <v>498</v>
      </c>
    </row>
    <row r="1446" spans="1:18" ht="24">
      <c r="A1446" s="26">
        <v>4024</v>
      </c>
      <c r="B1446" s="27">
        <v>35824</v>
      </c>
      <c r="C1446" s="28" t="s">
        <v>4745</v>
      </c>
      <c r="D1446" s="18"/>
      <c r="E1446" s="28" t="s">
        <v>283</v>
      </c>
      <c r="F1446" s="28" t="s">
        <v>395</v>
      </c>
      <c r="G1446" s="28" t="s">
        <v>20</v>
      </c>
      <c r="H1446" s="28" t="s">
        <v>21</v>
      </c>
      <c r="I1446" s="28" t="s">
        <v>21</v>
      </c>
      <c r="J1446" s="28" t="s">
        <v>4746</v>
      </c>
      <c r="K1446" s="28" t="s">
        <v>4747</v>
      </c>
      <c r="L1446" s="28" t="s">
        <v>4748</v>
      </c>
      <c r="M1446" s="28" t="s">
        <v>21</v>
      </c>
      <c r="O1446" s="92">
        <v>35976</v>
      </c>
      <c r="P1446" s="28" t="s">
        <v>21</v>
      </c>
      <c r="Q1446" s="26" t="b">
        <v>0</v>
      </c>
      <c r="R1446" s="22">
        <f t="shared" si="22"/>
        <v>153</v>
      </c>
    </row>
    <row r="1447" spans="1:18" ht="24">
      <c r="A1447" s="26">
        <v>4025</v>
      </c>
      <c r="B1447" s="27">
        <v>35824</v>
      </c>
      <c r="C1447" s="28" t="s">
        <v>4749</v>
      </c>
      <c r="D1447" s="18"/>
      <c r="E1447" s="28" t="s">
        <v>283</v>
      </c>
      <c r="F1447" s="28" t="s">
        <v>395</v>
      </c>
      <c r="G1447" s="28" t="s">
        <v>20</v>
      </c>
      <c r="H1447" s="28" t="s">
        <v>21</v>
      </c>
      <c r="I1447" s="28" t="s">
        <v>21</v>
      </c>
      <c r="J1447" s="28" t="s">
        <v>4750</v>
      </c>
      <c r="K1447" s="28" t="s">
        <v>4747</v>
      </c>
      <c r="L1447" s="28" t="s">
        <v>4748</v>
      </c>
      <c r="M1447" s="28" t="s">
        <v>21</v>
      </c>
      <c r="O1447" s="92">
        <v>35976</v>
      </c>
      <c r="P1447" s="28" t="s">
        <v>21</v>
      </c>
      <c r="Q1447" s="26" t="b">
        <v>0</v>
      </c>
      <c r="R1447" s="22">
        <f t="shared" si="22"/>
        <v>153</v>
      </c>
    </row>
    <row r="1448" spans="1:18">
      <c r="A1448" s="26">
        <v>4026</v>
      </c>
      <c r="B1448" s="27">
        <v>35824</v>
      </c>
      <c r="C1448" s="28" t="s">
        <v>4751</v>
      </c>
      <c r="D1448" s="18"/>
      <c r="E1448" s="28" t="s">
        <v>283</v>
      </c>
      <c r="F1448" s="28" t="s">
        <v>4752</v>
      </c>
      <c r="G1448" s="28" t="s">
        <v>20</v>
      </c>
      <c r="H1448" s="28" t="s">
        <v>21</v>
      </c>
      <c r="I1448" s="28" t="s">
        <v>1061</v>
      </c>
      <c r="J1448" s="28" t="s">
        <v>4753</v>
      </c>
      <c r="K1448" s="28" t="s">
        <v>4754</v>
      </c>
      <c r="L1448" s="28" t="s">
        <v>4748</v>
      </c>
      <c r="M1448" s="28" t="s">
        <v>21</v>
      </c>
      <c r="O1448" s="92">
        <v>35976</v>
      </c>
      <c r="P1448" s="28" t="s">
        <v>21</v>
      </c>
      <c r="Q1448" s="26" t="b">
        <v>0</v>
      </c>
      <c r="R1448" s="22">
        <f t="shared" si="22"/>
        <v>153</v>
      </c>
    </row>
    <row r="1449" spans="1:18">
      <c r="A1449" s="26">
        <v>4027</v>
      </c>
      <c r="B1449" s="27">
        <v>35824</v>
      </c>
      <c r="C1449" s="28" t="s">
        <v>4755</v>
      </c>
      <c r="D1449" s="18"/>
      <c r="E1449" s="28" t="s">
        <v>283</v>
      </c>
      <c r="F1449" s="28" t="s">
        <v>4752</v>
      </c>
      <c r="G1449" s="28" t="s">
        <v>20</v>
      </c>
      <c r="H1449" s="28" t="s">
        <v>21</v>
      </c>
      <c r="I1449" s="28" t="s">
        <v>1061</v>
      </c>
      <c r="J1449" s="28" t="s">
        <v>4756</v>
      </c>
      <c r="K1449" s="28" t="s">
        <v>4754</v>
      </c>
      <c r="L1449" s="28" t="s">
        <v>4748</v>
      </c>
      <c r="M1449" s="28" t="s">
        <v>21</v>
      </c>
      <c r="O1449" s="92">
        <v>35976</v>
      </c>
      <c r="P1449" s="28" t="s">
        <v>21</v>
      </c>
      <c r="Q1449" s="26" t="b">
        <v>0</v>
      </c>
      <c r="R1449" s="22">
        <f t="shared" si="22"/>
        <v>153</v>
      </c>
    </row>
    <row r="1450" spans="1:18" ht="24">
      <c r="A1450" s="26">
        <v>4029</v>
      </c>
      <c r="B1450" s="27">
        <v>35824</v>
      </c>
      <c r="C1450" s="28" t="s">
        <v>4757</v>
      </c>
      <c r="D1450" s="18"/>
      <c r="E1450" s="28" t="s">
        <v>283</v>
      </c>
      <c r="F1450" s="28" t="s">
        <v>1686</v>
      </c>
      <c r="G1450" s="28" t="s">
        <v>20</v>
      </c>
      <c r="H1450" s="28" t="s">
        <v>21</v>
      </c>
      <c r="I1450" s="28" t="s">
        <v>21</v>
      </c>
      <c r="J1450" s="28" t="s">
        <v>4758</v>
      </c>
      <c r="K1450" s="28" t="s">
        <v>4759</v>
      </c>
      <c r="L1450" s="28" t="s">
        <v>66</v>
      </c>
      <c r="M1450" s="28" t="s">
        <v>21</v>
      </c>
      <c r="O1450" s="92">
        <v>35984</v>
      </c>
      <c r="P1450" s="28" t="s">
        <v>21</v>
      </c>
      <c r="Q1450" s="26" t="b">
        <v>0</v>
      </c>
      <c r="R1450" s="22">
        <f t="shared" si="22"/>
        <v>161</v>
      </c>
    </row>
    <row r="1451" spans="1:18" ht="24">
      <c r="A1451" s="26">
        <v>4030</v>
      </c>
      <c r="B1451" s="27">
        <v>35824</v>
      </c>
      <c r="C1451" s="28" t="s">
        <v>4760</v>
      </c>
      <c r="D1451" s="18"/>
      <c r="E1451" s="28" t="s">
        <v>283</v>
      </c>
      <c r="F1451" s="28" t="s">
        <v>98</v>
      </c>
      <c r="G1451" s="28" t="s">
        <v>20</v>
      </c>
      <c r="H1451" s="28" t="s">
        <v>21</v>
      </c>
      <c r="I1451" s="28" t="s">
        <v>21</v>
      </c>
      <c r="J1451" s="28" t="s">
        <v>4761</v>
      </c>
      <c r="K1451" s="28" t="s">
        <v>4762</v>
      </c>
      <c r="L1451" s="28" t="s">
        <v>66</v>
      </c>
      <c r="M1451" s="28" t="s">
        <v>21</v>
      </c>
      <c r="O1451" s="92">
        <v>35984</v>
      </c>
      <c r="P1451" s="28" t="s">
        <v>21</v>
      </c>
      <c r="Q1451" s="26" t="b">
        <v>0</v>
      </c>
      <c r="R1451" s="22">
        <f t="shared" si="22"/>
        <v>161</v>
      </c>
    </row>
    <row r="1452" spans="1:18">
      <c r="A1452" s="26">
        <v>4031</v>
      </c>
      <c r="B1452" s="27">
        <v>35824</v>
      </c>
      <c r="C1452" s="28" t="s">
        <v>4763</v>
      </c>
      <c r="D1452" s="18"/>
      <c r="E1452" s="28" t="s">
        <v>283</v>
      </c>
      <c r="F1452" s="28" t="s">
        <v>98</v>
      </c>
      <c r="G1452" s="28" t="s">
        <v>20</v>
      </c>
      <c r="H1452" s="28" t="s">
        <v>21</v>
      </c>
      <c r="I1452" s="28" t="s">
        <v>21</v>
      </c>
      <c r="J1452" s="28" t="s">
        <v>4764</v>
      </c>
      <c r="K1452" s="28" t="s">
        <v>4765</v>
      </c>
      <c r="L1452" s="28" t="s">
        <v>4503</v>
      </c>
      <c r="M1452" s="28" t="s">
        <v>21</v>
      </c>
      <c r="O1452" s="92">
        <v>35977</v>
      </c>
      <c r="P1452" s="28" t="s">
        <v>21</v>
      </c>
      <c r="Q1452" s="26" t="b">
        <v>0</v>
      </c>
      <c r="R1452" s="22">
        <f t="shared" si="22"/>
        <v>154</v>
      </c>
    </row>
    <row r="1453" spans="1:18">
      <c r="A1453" s="26">
        <v>4032</v>
      </c>
      <c r="B1453" s="27">
        <v>35824</v>
      </c>
      <c r="C1453" s="28" t="s">
        <v>4766</v>
      </c>
      <c r="E1453" s="28" t="s">
        <v>283</v>
      </c>
      <c r="F1453" s="28" t="s">
        <v>306</v>
      </c>
      <c r="G1453" s="28" t="s">
        <v>20</v>
      </c>
      <c r="H1453" s="28" t="s">
        <v>21</v>
      </c>
      <c r="I1453" s="28" t="s">
        <v>21</v>
      </c>
      <c r="J1453" s="28" t="s">
        <v>4767</v>
      </c>
      <c r="K1453" s="28" t="s">
        <v>4768</v>
      </c>
      <c r="L1453" s="28" t="s">
        <v>66</v>
      </c>
      <c r="M1453" s="28" t="s">
        <v>21</v>
      </c>
      <c r="O1453" s="92">
        <v>35976</v>
      </c>
      <c r="P1453" s="28" t="s">
        <v>21</v>
      </c>
      <c r="Q1453" s="26" t="b">
        <v>0</v>
      </c>
      <c r="R1453" s="22">
        <f t="shared" si="22"/>
        <v>153</v>
      </c>
    </row>
    <row r="1454" spans="1:18">
      <c r="A1454" s="26">
        <v>4034</v>
      </c>
      <c r="B1454" s="27">
        <v>35824</v>
      </c>
      <c r="C1454" s="28" t="s">
        <v>4769</v>
      </c>
      <c r="D1454" s="18"/>
      <c r="E1454" s="28" t="s">
        <v>283</v>
      </c>
      <c r="F1454" s="28" t="s">
        <v>98</v>
      </c>
      <c r="G1454" s="28" t="s">
        <v>20</v>
      </c>
      <c r="H1454" s="28" t="s">
        <v>21</v>
      </c>
      <c r="I1454" s="28" t="s">
        <v>21</v>
      </c>
      <c r="J1454" s="28" t="s">
        <v>4770</v>
      </c>
      <c r="K1454" s="28" t="s">
        <v>4771</v>
      </c>
      <c r="L1454" s="28" t="s">
        <v>66</v>
      </c>
      <c r="M1454" s="28" t="s">
        <v>21</v>
      </c>
      <c r="O1454" s="92">
        <v>36014</v>
      </c>
      <c r="P1454" s="28" t="s">
        <v>21</v>
      </c>
      <c r="Q1454" s="26" t="b">
        <v>0</v>
      </c>
      <c r="R1454" s="22">
        <f t="shared" si="22"/>
        <v>190</v>
      </c>
    </row>
    <row r="1455" spans="1:18">
      <c r="A1455" s="26">
        <v>4035</v>
      </c>
      <c r="B1455" s="27">
        <v>35824</v>
      </c>
      <c r="C1455" s="28" t="s">
        <v>4772</v>
      </c>
      <c r="D1455" s="18"/>
      <c r="E1455" s="28" t="s">
        <v>283</v>
      </c>
      <c r="F1455" s="28" t="s">
        <v>98</v>
      </c>
      <c r="G1455" s="28" t="s">
        <v>20</v>
      </c>
      <c r="H1455" s="28" t="s">
        <v>21</v>
      </c>
      <c r="I1455" s="28" t="s">
        <v>21</v>
      </c>
      <c r="J1455" s="28" t="s">
        <v>4773</v>
      </c>
      <c r="K1455" s="28" t="s">
        <v>4771</v>
      </c>
      <c r="L1455" s="28" t="s">
        <v>66</v>
      </c>
      <c r="M1455" s="28" t="s">
        <v>21</v>
      </c>
      <c r="O1455" s="92">
        <v>36014</v>
      </c>
      <c r="P1455" s="28" t="s">
        <v>21</v>
      </c>
      <c r="Q1455" s="26" t="b">
        <v>0</v>
      </c>
      <c r="R1455" s="22">
        <f t="shared" si="22"/>
        <v>190</v>
      </c>
    </row>
    <row r="1456" spans="1:18">
      <c r="A1456" s="26">
        <v>4038</v>
      </c>
      <c r="B1456" s="27">
        <v>35824</v>
      </c>
      <c r="C1456" s="28" t="s">
        <v>4774</v>
      </c>
      <c r="D1456" s="18"/>
      <c r="E1456" s="28" t="s">
        <v>283</v>
      </c>
      <c r="F1456" s="28" t="s">
        <v>149</v>
      </c>
      <c r="G1456" s="28" t="s">
        <v>20</v>
      </c>
      <c r="H1456" s="28" t="s">
        <v>21</v>
      </c>
      <c r="I1456" s="28" t="s">
        <v>21</v>
      </c>
      <c r="J1456" s="28" t="s">
        <v>4775</v>
      </c>
      <c r="K1456" s="28" t="s">
        <v>4776</v>
      </c>
      <c r="L1456" s="28" t="s">
        <v>67</v>
      </c>
      <c r="M1456" s="28" t="s">
        <v>21</v>
      </c>
      <c r="O1456" s="92">
        <v>35968</v>
      </c>
      <c r="P1456" s="28" t="s">
        <v>21</v>
      </c>
      <c r="Q1456" s="26" t="b">
        <v>0</v>
      </c>
      <c r="R1456" s="22">
        <f t="shared" si="22"/>
        <v>144</v>
      </c>
    </row>
    <row r="1457" spans="1:18">
      <c r="A1457" s="26">
        <v>4039</v>
      </c>
      <c r="B1457" s="27">
        <v>35824</v>
      </c>
      <c r="C1457" s="28" t="s">
        <v>4777</v>
      </c>
      <c r="D1457" s="18"/>
      <c r="E1457" s="28" t="s">
        <v>283</v>
      </c>
      <c r="F1457" s="28" t="s">
        <v>56</v>
      </c>
      <c r="G1457" s="28" t="s">
        <v>20</v>
      </c>
      <c r="H1457" s="28" t="s">
        <v>21</v>
      </c>
      <c r="I1457" s="28" t="s">
        <v>21</v>
      </c>
      <c r="J1457" s="28" t="s">
        <v>4778</v>
      </c>
      <c r="K1457" s="28" t="s">
        <v>4779</v>
      </c>
      <c r="L1457" s="28" t="s">
        <v>67</v>
      </c>
      <c r="M1457" s="28" t="s">
        <v>21</v>
      </c>
      <c r="O1457" s="92">
        <v>35969</v>
      </c>
      <c r="P1457" s="28" t="s">
        <v>21</v>
      </c>
      <c r="Q1457" s="26" t="b">
        <v>0</v>
      </c>
      <c r="R1457" s="22">
        <f t="shared" si="22"/>
        <v>146</v>
      </c>
    </row>
    <row r="1458" spans="1:18" ht="24">
      <c r="A1458" s="26">
        <v>4040</v>
      </c>
      <c r="B1458" s="27">
        <v>35824</v>
      </c>
      <c r="C1458" s="28" t="s">
        <v>4780</v>
      </c>
      <c r="D1458" s="18"/>
      <c r="E1458" s="28" t="s">
        <v>283</v>
      </c>
      <c r="F1458" s="28" t="s">
        <v>149</v>
      </c>
      <c r="G1458" s="28" t="s">
        <v>20</v>
      </c>
      <c r="H1458" s="28" t="s">
        <v>21</v>
      </c>
      <c r="I1458" s="28" t="s">
        <v>21</v>
      </c>
      <c r="J1458" s="28" t="s">
        <v>4781</v>
      </c>
      <c r="K1458" s="28" t="s">
        <v>4782</v>
      </c>
      <c r="L1458" s="28" t="s">
        <v>67</v>
      </c>
      <c r="M1458" s="28" t="s">
        <v>21</v>
      </c>
      <c r="O1458" s="92">
        <v>35968</v>
      </c>
      <c r="P1458" s="28" t="s">
        <v>21</v>
      </c>
      <c r="Q1458" s="26" t="b">
        <v>0</v>
      </c>
      <c r="R1458" s="22">
        <f t="shared" si="22"/>
        <v>144</v>
      </c>
    </row>
    <row r="1459" spans="1:18" ht="24">
      <c r="A1459" s="26">
        <v>4041</v>
      </c>
      <c r="B1459" s="27">
        <v>35824</v>
      </c>
      <c r="C1459" s="28" t="s">
        <v>4783</v>
      </c>
      <c r="D1459" s="18"/>
      <c r="E1459" s="28" t="s">
        <v>283</v>
      </c>
      <c r="F1459" s="28" t="s">
        <v>149</v>
      </c>
      <c r="G1459" s="28" t="s">
        <v>20</v>
      </c>
      <c r="H1459" s="28" t="s">
        <v>21</v>
      </c>
      <c r="I1459" s="28" t="s">
        <v>21</v>
      </c>
      <c r="J1459" s="28" t="s">
        <v>4784</v>
      </c>
      <c r="K1459" s="28" t="s">
        <v>4782</v>
      </c>
      <c r="L1459" s="28" t="s">
        <v>67</v>
      </c>
      <c r="M1459" s="28" t="s">
        <v>21</v>
      </c>
      <c r="O1459" s="92">
        <v>35969</v>
      </c>
      <c r="P1459" s="28" t="s">
        <v>21</v>
      </c>
      <c r="Q1459" s="26" t="b">
        <v>0</v>
      </c>
      <c r="R1459" s="22">
        <f t="shared" si="22"/>
        <v>146</v>
      </c>
    </row>
    <row r="1460" spans="1:18">
      <c r="A1460" s="26">
        <v>4042</v>
      </c>
      <c r="B1460" s="27">
        <v>35824</v>
      </c>
      <c r="C1460" s="28" t="s">
        <v>4785</v>
      </c>
      <c r="D1460" s="18"/>
      <c r="E1460" s="28" t="s">
        <v>283</v>
      </c>
      <c r="F1460" s="28" t="s">
        <v>1149</v>
      </c>
      <c r="G1460" s="28" t="s">
        <v>20</v>
      </c>
      <c r="H1460" s="28" t="s">
        <v>21</v>
      </c>
      <c r="I1460" s="28" t="s">
        <v>1061</v>
      </c>
      <c r="J1460" s="28" t="s">
        <v>4786</v>
      </c>
      <c r="K1460" s="28" t="s">
        <v>4787</v>
      </c>
      <c r="L1460" s="28" t="s">
        <v>67</v>
      </c>
      <c r="M1460" s="28" t="s">
        <v>21</v>
      </c>
      <c r="O1460" s="92">
        <v>35969</v>
      </c>
      <c r="P1460" s="28" t="s">
        <v>21</v>
      </c>
      <c r="Q1460" s="26" t="b">
        <v>0</v>
      </c>
      <c r="R1460" s="22">
        <f t="shared" si="22"/>
        <v>146</v>
      </c>
    </row>
    <row r="1461" spans="1:18">
      <c r="A1461" s="26">
        <v>4043</v>
      </c>
      <c r="B1461" s="27">
        <v>35824</v>
      </c>
      <c r="C1461" s="28" t="s">
        <v>4788</v>
      </c>
      <c r="D1461" s="18"/>
      <c r="E1461" s="28" t="s">
        <v>283</v>
      </c>
      <c r="F1461" s="28" t="s">
        <v>98</v>
      </c>
      <c r="G1461" s="28" t="s">
        <v>20</v>
      </c>
      <c r="H1461" s="28" t="s">
        <v>21</v>
      </c>
      <c r="I1461" s="28" t="s">
        <v>21</v>
      </c>
      <c r="J1461" s="28" t="s">
        <v>4789</v>
      </c>
      <c r="K1461" s="28" t="s">
        <v>4790</v>
      </c>
      <c r="L1461" s="28" t="s">
        <v>67</v>
      </c>
      <c r="M1461" s="28" t="s">
        <v>21</v>
      </c>
      <c r="O1461" s="92">
        <v>35969</v>
      </c>
      <c r="P1461" s="28" t="s">
        <v>21</v>
      </c>
      <c r="Q1461" s="26" t="b">
        <v>0</v>
      </c>
      <c r="R1461" s="22">
        <f t="shared" si="22"/>
        <v>146</v>
      </c>
    </row>
    <row r="1462" spans="1:18">
      <c r="A1462" s="26">
        <v>4044</v>
      </c>
      <c r="B1462" s="27">
        <v>35824</v>
      </c>
      <c r="C1462" s="28" t="s">
        <v>4791</v>
      </c>
      <c r="D1462" s="27">
        <v>35824</v>
      </c>
      <c r="E1462" s="28" t="s">
        <v>283</v>
      </c>
      <c r="F1462" s="28" t="s">
        <v>149</v>
      </c>
      <c r="G1462" s="28" t="s">
        <v>20</v>
      </c>
      <c r="H1462" s="28" t="s">
        <v>21</v>
      </c>
      <c r="I1462" s="28" t="s">
        <v>21</v>
      </c>
      <c r="J1462" s="28" t="s">
        <v>4792</v>
      </c>
      <c r="K1462" s="28" t="s">
        <v>4793</v>
      </c>
      <c r="L1462" s="28" t="s">
        <v>67</v>
      </c>
      <c r="M1462" s="28" t="s">
        <v>21</v>
      </c>
      <c r="O1462" s="92">
        <v>36048</v>
      </c>
      <c r="P1462" s="28" t="s">
        <v>21</v>
      </c>
      <c r="Q1462" s="26" t="b">
        <v>0</v>
      </c>
      <c r="R1462" s="22">
        <f t="shared" si="22"/>
        <v>224</v>
      </c>
    </row>
    <row r="1463" spans="1:18">
      <c r="A1463" s="26">
        <v>4045</v>
      </c>
      <c r="B1463" s="27">
        <v>35824</v>
      </c>
      <c r="C1463" s="28" t="s">
        <v>4794</v>
      </c>
      <c r="D1463" s="18"/>
      <c r="E1463" s="28" t="s">
        <v>283</v>
      </c>
      <c r="F1463" s="28" t="s">
        <v>149</v>
      </c>
      <c r="G1463" s="28" t="s">
        <v>20</v>
      </c>
      <c r="H1463" s="28" t="s">
        <v>21</v>
      </c>
      <c r="I1463" s="28" t="s">
        <v>21</v>
      </c>
      <c r="J1463" s="28" t="s">
        <v>4795</v>
      </c>
      <c r="K1463" s="28" t="s">
        <v>4796</v>
      </c>
      <c r="L1463" s="28" t="s">
        <v>67</v>
      </c>
      <c r="M1463" s="28" t="s">
        <v>21</v>
      </c>
      <c r="N1463" s="18"/>
      <c r="O1463" s="92">
        <v>35968</v>
      </c>
      <c r="P1463" s="28" t="s">
        <v>21</v>
      </c>
      <c r="Q1463" s="26" t="b">
        <v>0</v>
      </c>
      <c r="R1463" s="22">
        <f t="shared" si="22"/>
        <v>144</v>
      </c>
    </row>
    <row r="1464" spans="1:18" ht="24">
      <c r="A1464" s="26">
        <v>4047</v>
      </c>
      <c r="B1464" s="27">
        <v>35824</v>
      </c>
      <c r="C1464" s="28" t="s">
        <v>4797</v>
      </c>
      <c r="D1464" s="18"/>
      <c r="E1464" s="28" t="s">
        <v>283</v>
      </c>
      <c r="F1464" s="28" t="s">
        <v>149</v>
      </c>
      <c r="G1464" s="28" t="s">
        <v>20</v>
      </c>
      <c r="H1464" s="28" t="s">
        <v>21</v>
      </c>
      <c r="I1464" s="28" t="s">
        <v>21</v>
      </c>
      <c r="J1464" s="28" t="s">
        <v>4798</v>
      </c>
      <c r="K1464" s="28" t="s">
        <v>4799</v>
      </c>
      <c r="L1464" s="28" t="s">
        <v>88</v>
      </c>
      <c r="M1464" s="28" t="s">
        <v>21</v>
      </c>
      <c r="O1464" s="92">
        <v>35976</v>
      </c>
      <c r="P1464" s="28" t="s">
        <v>21</v>
      </c>
      <c r="Q1464" s="26" t="b">
        <v>0</v>
      </c>
      <c r="R1464" s="22">
        <f t="shared" si="22"/>
        <v>153</v>
      </c>
    </row>
    <row r="1465" spans="1:18">
      <c r="A1465" s="26">
        <v>4049</v>
      </c>
      <c r="B1465" s="27">
        <v>35824</v>
      </c>
      <c r="C1465" s="28" t="s">
        <v>4800</v>
      </c>
      <c r="D1465" s="18"/>
      <c r="E1465" s="28" t="s">
        <v>283</v>
      </c>
      <c r="F1465" s="28" t="s">
        <v>4801</v>
      </c>
      <c r="G1465" s="28" t="s">
        <v>20</v>
      </c>
      <c r="H1465" s="28" t="s">
        <v>21</v>
      </c>
      <c r="I1465" s="28" t="s">
        <v>21</v>
      </c>
      <c r="J1465" s="28" t="s">
        <v>4802</v>
      </c>
      <c r="K1465" s="28" t="s">
        <v>4803</v>
      </c>
      <c r="L1465" s="28" t="s">
        <v>66</v>
      </c>
      <c r="M1465" s="28" t="s">
        <v>21</v>
      </c>
      <c r="O1465" s="92">
        <v>35977</v>
      </c>
      <c r="P1465" s="28" t="s">
        <v>21</v>
      </c>
      <c r="Q1465" s="26" t="b">
        <v>0</v>
      </c>
      <c r="R1465" s="22">
        <f t="shared" si="22"/>
        <v>154</v>
      </c>
    </row>
    <row r="1466" spans="1:18">
      <c r="A1466" s="26">
        <v>4050</v>
      </c>
      <c r="B1466" s="27">
        <v>35824</v>
      </c>
      <c r="C1466" s="28" t="s">
        <v>4804</v>
      </c>
      <c r="D1466" s="18"/>
      <c r="E1466" s="28" t="s">
        <v>283</v>
      </c>
      <c r="F1466" s="28" t="s">
        <v>85</v>
      </c>
      <c r="G1466" s="28" t="s">
        <v>20</v>
      </c>
      <c r="H1466" s="28" t="s">
        <v>21</v>
      </c>
      <c r="I1466" s="28" t="s">
        <v>21</v>
      </c>
      <c r="J1466" s="28" t="s">
        <v>4805</v>
      </c>
      <c r="K1466" s="28" t="s">
        <v>4806</v>
      </c>
      <c r="L1466" s="28" t="s">
        <v>67</v>
      </c>
      <c r="M1466" s="28" t="s">
        <v>21</v>
      </c>
      <c r="O1466" s="92">
        <v>36049</v>
      </c>
      <c r="P1466" s="28" t="s">
        <v>21</v>
      </c>
      <c r="Q1466" s="26" t="b">
        <v>0</v>
      </c>
      <c r="R1466" s="22">
        <f t="shared" si="22"/>
        <v>225</v>
      </c>
    </row>
    <row r="1467" spans="1:18">
      <c r="A1467" s="26">
        <v>4052</v>
      </c>
      <c r="B1467" s="27">
        <v>35824</v>
      </c>
      <c r="C1467" s="28" t="s">
        <v>4807</v>
      </c>
      <c r="D1467" s="18"/>
      <c r="E1467" s="28" t="s">
        <v>283</v>
      </c>
      <c r="F1467" s="28" t="s">
        <v>350</v>
      </c>
      <c r="G1467" s="28" t="s">
        <v>20</v>
      </c>
      <c r="H1467" s="28" t="s">
        <v>21</v>
      </c>
      <c r="I1467" s="28" t="s">
        <v>21</v>
      </c>
      <c r="J1467" s="28" t="s">
        <v>4808</v>
      </c>
      <c r="K1467" s="28" t="s">
        <v>4809</v>
      </c>
      <c r="L1467" s="28" t="s">
        <v>66</v>
      </c>
      <c r="M1467" s="28" t="s">
        <v>21</v>
      </c>
      <c r="O1467" s="92">
        <v>35984</v>
      </c>
      <c r="P1467" s="28" t="s">
        <v>21</v>
      </c>
      <c r="Q1467" s="26" t="b">
        <v>0</v>
      </c>
      <c r="R1467" s="22">
        <f t="shared" si="22"/>
        <v>161</v>
      </c>
    </row>
    <row r="1468" spans="1:18">
      <c r="A1468" s="26">
        <v>4054</v>
      </c>
      <c r="B1468" s="27">
        <v>35824</v>
      </c>
      <c r="C1468" s="28" t="s">
        <v>4810</v>
      </c>
      <c r="D1468" s="18"/>
      <c r="E1468" s="28" t="s">
        <v>283</v>
      </c>
      <c r="F1468" s="28" t="s">
        <v>56</v>
      </c>
      <c r="G1468" s="28" t="s">
        <v>20</v>
      </c>
      <c r="H1468" s="28" t="s">
        <v>21</v>
      </c>
      <c r="I1468" s="28" t="s">
        <v>21</v>
      </c>
      <c r="J1468" s="28" t="s">
        <v>4811</v>
      </c>
      <c r="K1468" s="28" t="s">
        <v>1604</v>
      </c>
      <c r="L1468" s="28" t="s">
        <v>4748</v>
      </c>
      <c r="M1468" s="28" t="s">
        <v>21</v>
      </c>
      <c r="O1468" s="92">
        <v>35976</v>
      </c>
      <c r="P1468" s="28" t="s">
        <v>21</v>
      </c>
      <c r="Q1468" s="26" t="b">
        <v>0</v>
      </c>
      <c r="R1468" s="22">
        <f t="shared" si="22"/>
        <v>153</v>
      </c>
    </row>
    <row r="1469" spans="1:18">
      <c r="A1469" s="26">
        <v>4055</v>
      </c>
      <c r="B1469" s="27">
        <v>35824</v>
      </c>
      <c r="C1469" s="28" t="s">
        <v>4812</v>
      </c>
      <c r="D1469" s="18"/>
      <c r="E1469" s="28" t="s">
        <v>283</v>
      </c>
      <c r="F1469" s="28" t="s">
        <v>149</v>
      </c>
      <c r="G1469" s="28" t="s">
        <v>20</v>
      </c>
      <c r="H1469" s="28" t="s">
        <v>21</v>
      </c>
      <c r="I1469" s="28" t="s">
        <v>21</v>
      </c>
      <c r="J1469" s="28" t="s">
        <v>4813</v>
      </c>
      <c r="K1469" s="28" t="s">
        <v>4796</v>
      </c>
      <c r="L1469" s="28" t="s">
        <v>67</v>
      </c>
      <c r="M1469" s="28" t="s">
        <v>21</v>
      </c>
      <c r="O1469" s="92">
        <v>35969</v>
      </c>
      <c r="P1469" s="28" t="s">
        <v>21</v>
      </c>
      <c r="Q1469" s="26" t="b">
        <v>0</v>
      </c>
      <c r="R1469" s="22">
        <f t="shared" si="22"/>
        <v>146</v>
      </c>
    </row>
    <row r="1470" spans="1:18">
      <c r="A1470" s="26">
        <v>4057</v>
      </c>
      <c r="B1470" s="27">
        <v>35824</v>
      </c>
      <c r="C1470" s="28" t="s">
        <v>4814</v>
      </c>
      <c r="D1470" s="18"/>
      <c r="E1470" s="28" t="s">
        <v>283</v>
      </c>
      <c r="F1470" s="28" t="s">
        <v>228</v>
      </c>
      <c r="G1470" s="28" t="s">
        <v>20</v>
      </c>
      <c r="H1470" s="28" t="s">
        <v>21</v>
      </c>
      <c r="I1470" s="28" t="s">
        <v>21</v>
      </c>
      <c r="J1470" s="28" t="s">
        <v>4815</v>
      </c>
      <c r="K1470" s="28" t="s">
        <v>4816</v>
      </c>
      <c r="L1470" s="28" t="s">
        <v>88</v>
      </c>
      <c r="M1470" s="28" t="s">
        <v>21</v>
      </c>
      <c r="O1470" s="92">
        <v>35843</v>
      </c>
      <c r="P1470" s="28" t="s">
        <v>21</v>
      </c>
      <c r="Q1470" s="26" t="b">
        <v>0</v>
      </c>
      <c r="R1470" s="22">
        <f t="shared" si="22"/>
        <v>18</v>
      </c>
    </row>
    <row r="1471" spans="1:18">
      <c r="A1471" s="26">
        <v>4058</v>
      </c>
      <c r="B1471" s="27">
        <v>35824</v>
      </c>
      <c r="C1471" s="28" t="s">
        <v>4817</v>
      </c>
      <c r="D1471" s="18"/>
      <c r="E1471" s="28" t="s">
        <v>283</v>
      </c>
      <c r="F1471" s="28" t="s">
        <v>56</v>
      </c>
      <c r="G1471" s="28" t="s">
        <v>20</v>
      </c>
      <c r="H1471" s="28" t="s">
        <v>21</v>
      </c>
      <c r="I1471" s="28" t="s">
        <v>21</v>
      </c>
      <c r="J1471" s="28" t="s">
        <v>4818</v>
      </c>
      <c r="K1471" s="28" t="s">
        <v>4819</v>
      </c>
      <c r="L1471" s="28" t="s">
        <v>88</v>
      </c>
      <c r="M1471" s="28" t="s">
        <v>21</v>
      </c>
      <c r="O1471" s="92">
        <v>35976</v>
      </c>
      <c r="P1471" s="28" t="s">
        <v>21</v>
      </c>
      <c r="Q1471" s="26" t="b">
        <v>0</v>
      </c>
      <c r="R1471" s="22">
        <f t="shared" si="22"/>
        <v>153</v>
      </c>
    </row>
    <row r="1472" spans="1:18">
      <c r="A1472" s="26">
        <v>4061</v>
      </c>
      <c r="B1472" s="27">
        <v>35824</v>
      </c>
      <c r="C1472" s="28" t="s">
        <v>4820</v>
      </c>
      <c r="D1472" s="18"/>
      <c r="E1472" s="28" t="s">
        <v>283</v>
      </c>
      <c r="F1472" s="28" t="s">
        <v>4821</v>
      </c>
      <c r="G1472" s="28" t="s">
        <v>20</v>
      </c>
      <c r="H1472" s="28" t="s">
        <v>21</v>
      </c>
      <c r="I1472" s="28" t="s">
        <v>1061</v>
      </c>
      <c r="J1472" s="28" t="s">
        <v>4822</v>
      </c>
      <c r="K1472" s="28" t="s">
        <v>4823</v>
      </c>
      <c r="L1472" s="28" t="s">
        <v>88</v>
      </c>
      <c r="M1472" s="28" t="s">
        <v>21</v>
      </c>
      <c r="O1472" s="92">
        <v>35976</v>
      </c>
      <c r="P1472" s="28" t="s">
        <v>21</v>
      </c>
      <c r="Q1472" s="26" t="b">
        <v>0</v>
      </c>
      <c r="R1472" s="22">
        <f t="shared" si="22"/>
        <v>153</v>
      </c>
    </row>
    <row r="1473" spans="1:18">
      <c r="A1473" s="26">
        <v>4062</v>
      </c>
      <c r="B1473" s="27">
        <v>35824</v>
      </c>
      <c r="C1473" s="28" t="s">
        <v>4824</v>
      </c>
      <c r="D1473" s="18"/>
      <c r="E1473" s="28" t="s">
        <v>283</v>
      </c>
      <c r="F1473" s="28" t="s">
        <v>1149</v>
      </c>
      <c r="G1473" s="28" t="s">
        <v>20</v>
      </c>
      <c r="H1473" s="28" t="s">
        <v>21</v>
      </c>
      <c r="I1473" s="28" t="s">
        <v>1061</v>
      </c>
      <c r="J1473" s="28" t="s">
        <v>4825</v>
      </c>
      <c r="K1473" s="28" t="s">
        <v>4826</v>
      </c>
      <c r="L1473" s="28" t="s">
        <v>88</v>
      </c>
      <c r="M1473" s="28" t="s">
        <v>21</v>
      </c>
      <c r="O1473" s="92">
        <v>35976</v>
      </c>
      <c r="P1473" s="28" t="s">
        <v>21</v>
      </c>
      <c r="Q1473" s="26" t="b">
        <v>0</v>
      </c>
      <c r="R1473" s="22">
        <f t="shared" si="22"/>
        <v>153</v>
      </c>
    </row>
    <row r="1474" spans="1:18" ht="24">
      <c r="A1474" s="26">
        <v>4064</v>
      </c>
      <c r="B1474" s="27">
        <v>35824</v>
      </c>
      <c r="C1474" s="28" t="s">
        <v>4827</v>
      </c>
      <c r="D1474" s="18"/>
      <c r="E1474" s="28" t="s">
        <v>283</v>
      </c>
      <c r="F1474" s="28" t="s">
        <v>98</v>
      </c>
      <c r="G1474" s="28" t="s">
        <v>20</v>
      </c>
      <c r="H1474" s="28" t="s">
        <v>21</v>
      </c>
      <c r="I1474" s="28" t="s">
        <v>21</v>
      </c>
      <c r="J1474" s="28" t="s">
        <v>4828</v>
      </c>
      <c r="K1474" s="28" t="s">
        <v>4829</v>
      </c>
      <c r="L1474" s="28" t="s">
        <v>686</v>
      </c>
      <c r="M1474" s="28" t="s">
        <v>21</v>
      </c>
      <c r="O1474" s="92">
        <v>35976</v>
      </c>
      <c r="P1474" s="28" t="s">
        <v>21</v>
      </c>
      <c r="Q1474" s="26" t="b">
        <v>0</v>
      </c>
      <c r="R1474" s="22">
        <f t="shared" ref="R1474:R1537" si="23">IF(O1474=" ", " ", INT(YEARFRAC(O1474, B1474)*365))</f>
        <v>153</v>
      </c>
    </row>
    <row r="1475" spans="1:18">
      <c r="A1475" s="26">
        <v>4066</v>
      </c>
      <c r="B1475" s="27">
        <v>35824</v>
      </c>
      <c r="C1475" s="28" t="s">
        <v>4830</v>
      </c>
      <c r="D1475" s="18"/>
      <c r="E1475" s="28" t="s">
        <v>283</v>
      </c>
      <c r="F1475" s="28" t="s">
        <v>56</v>
      </c>
      <c r="G1475" s="28" t="s">
        <v>20</v>
      </c>
      <c r="H1475" s="28" t="s">
        <v>21</v>
      </c>
      <c r="I1475" s="28" t="s">
        <v>21</v>
      </c>
      <c r="J1475" s="28" t="s">
        <v>4831</v>
      </c>
      <c r="K1475" s="28" t="s">
        <v>4832</v>
      </c>
      <c r="L1475" s="28" t="s">
        <v>4748</v>
      </c>
      <c r="M1475" s="28" t="s">
        <v>21</v>
      </c>
      <c r="N1475" s="18"/>
      <c r="O1475" s="92">
        <v>35976</v>
      </c>
      <c r="P1475" s="28" t="s">
        <v>21</v>
      </c>
      <c r="Q1475" s="26" t="b">
        <v>0</v>
      </c>
      <c r="R1475" s="22">
        <f t="shared" si="23"/>
        <v>153</v>
      </c>
    </row>
    <row r="1476" spans="1:18" ht="24">
      <c r="A1476" s="26">
        <v>4071</v>
      </c>
      <c r="B1476" s="27">
        <v>35824</v>
      </c>
      <c r="C1476" s="28" t="s">
        <v>4833</v>
      </c>
      <c r="D1476" s="18"/>
      <c r="E1476" s="28" t="s">
        <v>283</v>
      </c>
      <c r="F1476" s="28" t="s">
        <v>395</v>
      </c>
      <c r="G1476" s="28" t="s">
        <v>20</v>
      </c>
      <c r="H1476" s="28" t="s">
        <v>21</v>
      </c>
      <c r="I1476" s="28" t="s">
        <v>21</v>
      </c>
      <c r="J1476" s="28" t="s">
        <v>4834</v>
      </c>
      <c r="K1476" s="28" t="s">
        <v>4835</v>
      </c>
      <c r="L1476" s="28" t="s">
        <v>4748</v>
      </c>
      <c r="M1476" s="28" t="s">
        <v>21</v>
      </c>
      <c r="N1476" s="18"/>
      <c r="O1476" s="92">
        <v>35976</v>
      </c>
      <c r="P1476" s="28" t="s">
        <v>21</v>
      </c>
      <c r="Q1476" s="26" t="b">
        <v>0</v>
      </c>
      <c r="R1476" s="22">
        <f t="shared" si="23"/>
        <v>153</v>
      </c>
    </row>
    <row r="1477" spans="1:18">
      <c r="A1477" s="26">
        <v>4073</v>
      </c>
      <c r="B1477" s="27">
        <v>35824</v>
      </c>
      <c r="C1477" s="28" t="s">
        <v>4836</v>
      </c>
      <c r="D1477" s="18"/>
      <c r="E1477" s="28" t="s">
        <v>283</v>
      </c>
      <c r="F1477" s="28" t="s">
        <v>4837</v>
      </c>
      <c r="G1477" s="28" t="s">
        <v>20</v>
      </c>
      <c r="H1477" s="28" t="s">
        <v>21</v>
      </c>
      <c r="I1477" s="28" t="s">
        <v>21</v>
      </c>
      <c r="J1477" s="28" t="s">
        <v>4838</v>
      </c>
      <c r="K1477" s="28" t="s">
        <v>4839</v>
      </c>
      <c r="L1477" s="28" t="s">
        <v>686</v>
      </c>
      <c r="M1477" s="28" t="s">
        <v>21</v>
      </c>
      <c r="O1477" s="92">
        <v>35976</v>
      </c>
      <c r="P1477" s="28" t="s">
        <v>21</v>
      </c>
      <c r="Q1477" s="26" t="b">
        <v>0</v>
      </c>
      <c r="R1477" s="22">
        <f t="shared" si="23"/>
        <v>153</v>
      </c>
    </row>
    <row r="1478" spans="1:18">
      <c r="A1478" s="26">
        <v>4096</v>
      </c>
      <c r="B1478" s="27">
        <v>35829</v>
      </c>
      <c r="C1478" s="28" t="s">
        <v>4840</v>
      </c>
      <c r="D1478" s="18"/>
      <c r="E1478" s="28" t="s">
        <v>283</v>
      </c>
      <c r="F1478" s="28" t="s">
        <v>149</v>
      </c>
      <c r="G1478" s="28" t="s">
        <v>20</v>
      </c>
      <c r="H1478" s="28" t="s">
        <v>21</v>
      </c>
      <c r="I1478" s="28" t="s">
        <v>21</v>
      </c>
      <c r="J1478" s="28" t="s">
        <v>4841</v>
      </c>
      <c r="K1478" s="28" t="s">
        <v>4842</v>
      </c>
      <c r="L1478" s="28" t="s">
        <v>67</v>
      </c>
      <c r="M1478" s="28" t="s">
        <v>21</v>
      </c>
      <c r="O1478" s="92">
        <v>35968</v>
      </c>
      <c r="P1478" s="28" t="s">
        <v>21</v>
      </c>
      <c r="Q1478" s="26" t="b">
        <v>0</v>
      </c>
      <c r="R1478" s="22">
        <f t="shared" si="23"/>
        <v>140</v>
      </c>
    </row>
    <row r="1479" spans="1:18" ht="24">
      <c r="A1479" s="26">
        <v>4097</v>
      </c>
      <c r="B1479" s="27">
        <v>35829</v>
      </c>
      <c r="C1479" s="28" t="s">
        <v>4843</v>
      </c>
      <c r="D1479" s="18"/>
      <c r="E1479" s="28" t="s">
        <v>283</v>
      </c>
      <c r="F1479" s="28" t="s">
        <v>52</v>
      </c>
      <c r="G1479" s="28" t="s">
        <v>20</v>
      </c>
      <c r="H1479" s="28" t="s">
        <v>21</v>
      </c>
      <c r="I1479" s="28" t="s">
        <v>21</v>
      </c>
      <c r="J1479" s="28" t="s">
        <v>4844</v>
      </c>
      <c r="K1479" s="28" t="s">
        <v>4845</v>
      </c>
      <c r="L1479" s="28" t="s">
        <v>4748</v>
      </c>
      <c r="M1479" s="28" t="s">
        <v>21</v>
      </c>
      <c r="O1479" s="92">
        <v>35976</v>
      </c>
      <c r="P1479" s="28" t="s">
        <v>21</v>
      </c>
      <c r="Q1479" s="26" t="b">
        <v>0</v>
      </c>
      <c r="R1479" s="22">
        <f t="shared" si="23"/>
        <v>149</v>
      </c>
    </row>
    <row r="1480" spans="1:18" ht="24">
      <c r="A1480" s="26">
        <v>4098</v>
      </c>
      <c r="B1480" s="27">
        <v>35829</v>
      </c>
      <c r="C1480" s="28" t="s">
        <v>4846</v>
      </c>
      <c r="D1480" s="18"/>
      <c r="E1480" s="28" t="s">
        <v>283</v>
      </c>
      <c r="F1480" s="28" t="s">
        <v>1149</v>
      </c>
      <c r="G1480" s="28" t="s">
        <v>20</v>
      </c>
      <c r="H1480" s="28" t="s">
        <v>21</v>
      </c>
      <c r="I1480" s="28" t="s">
        <v>1061</v>
      </c>
      <c r="J1480" s="28" t="s">
        <v>4847</v>
      </c>
      <c r="K1480" s="28" t="s">
        <v>4848</v>
      </c>
      <c r="L1480" s="28" t="s">
        <v>88</v>
      </c>
      <c r="M1480" s="28" t="s">
        <v>21</v>
      </c>
      <c r="O1480" s="92">
        <v>35976</v>
      </c>
      <c r="P1480" s="28" t="s">
        <v>21</v>
      </c>
      <c r="Q1480" s="26" t="b">
        <v>0</v>
      </c>
      <c r="R1480" s="22">
        <f t="shared" si="23"/>
        <v>149</v>
      </c>
    </row>
    <row r="1481" spans="1:18">
      <c r="A1481" s="26">
        <v>4099</v>
      </c>
      <c r="B1481" s="27">
        <v>35829</v>
      </c>
      <c r="C1481" s="28" t="s">
        <v>4849</v>
      </c>
      <c r="D1481" s="18"/>
      <c r="E1481" s="28" t="s">
        <v>283</v>
      </c>
      <c r="F1481" s="28" t="s">
        <v>56</v>
      </c>
      <c r="G1481" s="28" t="s">
        <v>20</v>
      </c>
      <c r="H1481" s="28" t="s">
        <v>21</v>
      </c>
      <c r="I1481" s="28" t="s">
        <v>21</v>
      </c>
      <c r="J1481" s="28" t="s">
        <v>4850</v>
      </c>
      <c r="K1481" s="28" t="s">
        <v>4851</v>
      </c>
      <c r="L1481" s="28" t="s">
        <v>88</v>
      </c>
      <c r="M1481" s="28" t="s">
        <v>21</v>
      </c>
      <c r="O1481" s="92">
        <v>35976</v>
      </c>
      <c r="P1481" s="28" t="s">
        <v>21</v>
      </c>
      <c r="Q1481" s="26" t="b">
        <v>0</v>
      </c>
      <c r="R1481" s="22">
        <f t="shared" si="23"/>
        <v>149</v>
      </c>
    </row>
    <row r="1482" spans="1:18" ht="24">
      <c r="A1482" s="26">
        <v>4100</v>
      </c>
      <c r="B1482" s="27">
        <v>35829</v>
      </c>
      <c r="C1482" s="28" t="s">
        <v>4852</v>
      </c>
      <c r="D1482" s="18"/>
      <c r="E1482" s="28" t="s">
        <v>283</v>
      </c>
      <c r="F1482" s="28" t="s">
        <v>56</v>
      </c>
      <c r="G1482" s="28" t="s">
        <v>20</v>
      </c>
      <c r="H1482" s="28" t="s">
        <v>21</v>
      </c>
      <c r="I1482" s="28" t="s">
        <v>21</v>
      </c>
      <c r="J1482" s="28" t="s">
        <v>4853</v>
      </c>
      <c r="K1482" s="28" t="s">
        <v>4854</v>
      </c>
      <c r="L1482" s="28" t="s">
        <v>4748</v>
      </c>
      <c r="M1482" s="28" t="s">
        <v>21</v>
      </c>
      <c r="O1482" s="92">
        <v>35976</v>
      </c>
      <c r="P1482" s="28" t="s">
        <v>21</v>
      </c>
      <c r="Q1482" s="26" t="b">
        <v>0</v>
      </c>
      <c r="R1482" s="22">
        <f t="shared" si="23"/>
        <v>149</v>
      </c>
    </row>
    <row r="1483" spans="1:18">
      <c r="A1483" s="26">
        <v>4102</v>
      </c>
      <c r="B1483" s="27">
        <v>35829</v>
      </c>
      <c r="C1483" s="28" t="s">
        <v>4855</v>
      </c>
      <c r="D1483" s="27">
        <v>35828</v>
      </c>
      <c r="E1483" s="28" t="s">
        <v>4856</v>
      </c>
      <c r="F1483" s="28" t="s">
        <v>52</v>
      </c>
      <c r="G1483" s="28" t="s">
        <v>20</v>
      </c>
      <c r="H1483" s="28" t="s">
        <v>21</v>
      </c>
      <c r="I1483" s="28" t="s">
        <v>21</v>
      </c>
      <c r="J1483" s="28" t="s">
        <v>4857</v>
      </c>
      <c r="K1483" s="28" t="s">
        <v>4858</v>
      </c>
      <c r="L1483" s="28" t="s">
        <v>66</v>
      </c>
      <c r="M1483" s="28" t="s">
        <v>21</v>
      </c>
      <c r="O1483" s="92">
        <v>36231</v>
      </c>
      <c r="P1483" s="28" t="s">
        <v>31</v>
      </c>
      <c r="Q1483" s="26" t="b">
        <v>0</v>
      </c>
      <c r="R1483" s="22">
        <f t="shared" si="23"/>
        <v>404</v>
      </c>
    </row>
    <row r="1484" spans="1:18" ht="24">
      <c r="A1484" s="26">
        <v>4103</v>
      </c>
      <c r="B1484" s="27">
        <v>35829</v>
      </c>
      <c r="C1484" s="28" t="s">
        <v>4859</v>
      </c>
      <c r="D1484" s="18"/>
      <c r="E1484" s="28" t="s">
        <v>283</v>
      </c>
      <c r="F1484" s="28" t="s">
        <v>149</v>
      </c>
      <c r="G1484" s="28" t="s">
        <v>20</v>
      </c>
      <c r="H1484" s="28" t="s">
        <v>21</v>
      </c>
      <c r="I1484" s="28" t="s">
        <v>21</v>
      </c>
      <c r="J1484" s="28" t="s">
        <v>4860</v>
      </c>
      <c r="K1484" s="28" t="s">
        <v>4861</v>
      </c>
      <c r="L1484" s="28" t="s">
        <v>67</v>
      </c>
      <c r="M1484" s="28" t="s">
        <v>21</v>
      </c>
      <c r="O1484" s="92">
        <v>35968</v>
      </c>
      <c r="P1484" s="28" t="s">
        <v>21</v>
      </c>
      <c r="Q1484" s="26" t="b">
        <v>0</v>
      </c>
      <c r="R1484" s="22">
        <f t="shared" si="23"/>
        <v>140</v>
      </c>
    </row>
    <row r="1485" spans="1:18">
      <c r="A1485" s="26">
        <v>4110</v>
      </c>
      <c r="B1485" s="27">
        <v>35830</v>
      </c>
      <c r="C1485" s="28" t="s">
        <v>4865</v>
      </c>
      <c r="D1485" s="18"/>
      <c r="E1485" s="28" t="s">
        <v>283</v>
      </c>
      <c r="F1485" s="28" t="s">
        <v>56</v>
      </c>
      <c r="G1485" s="28" t="s">
        <v>20</v>
      </c>
      <c r="H1485" s="28" t="s">
        <v>21</v>
      </c>
      <c r="I1485" s="28" t="s">
        <v>21</v>
      </c>
      <c r="J1485" s="28" t="s">
        <v>4866</v>
      </c>
      <c r="K1485" s="28" t="s">
        <v>4867</v>
      </c>
      <c r="L1485" s="28" t="s">
        <v>4748</v>
      </c>
      <c r="M1485" s="28" t="s">
        <v>21</v>
      </c>
      <c r="O1485" s="92">
        <v>35976</v>
      </c>
      <c r="P1485" s="28" t="s">
        <v>21</v>
      </c>
      <c r="Q1485" s="26" t="b">
        <v>0</v>
      </c>
      <c r="R1485" s="22">
        <f t="shared" si="23"/>
        <v>148</v>
      </c>
    </row>
    <row r="1486" spans="1:18" ht="24">
      <c r="A1486" s="26">
        <v>4112</v>
      </c>
      <c r="B1486" s="27">
        <v>35830</v>
      </c>
      <c r="C1486" s="28" t="s">
        <v>4868</v>
      </c>
      <c r="D1486" s="18"/>
      <c r="E1486" s="28" t="s">
        <v>283</v>
      </c>
      <c r="F1486" s="28" t="s">
        <v>124</v>
      </c>
      <c r="G1486" s="28" t="s">
        <v>20</v>
      </c>
      <c r="H1486" s="28" t="s">
        <v>21</v>
      </c>
      <c r="I1486" s="28" t="s">
        <v>21</v>
      </c>
      <c r="J1486" s="28" t="s">
        <v>4869</v>
      </c>
      <c r="K1486" s="28" t="s">
        <v>4870</v>
      </c>
      <c r="L1486" s="28" t="s">
        <v>66</v>
      </c>
      <c r="M1486" s="28" t="s">
        <v>21</v>
      </c>
      <c r="O1486" s="92">
        <v>35838</v>
      </c>
      <c r="P1486" s="28" t="s">
        <v>21</v>
      </c>
      <c r="Q1486" s="26" t="b">
        <v>0</v>
      </c>
      <c r="R1486" s="22">
        <f t="shared" si="23"/>
        <v>8</v>
      </c>
    </row>
    <row r="1487" spans="1:18">
      <c r="A1487" s="26">
        <v>4113</v>
      </c>
      <c r="B1487" s="27">
        <v>35830</v>
      </c>
      <c r="C1487" s="28" t="s">
        <v>4871</v>
      </c>
      <c r="D1487" s="18"/>
      <c r="E1487" s="28" t="s">
        <v>283</v>
      </c>
      <c r="F1487" s="28" t="s">
        <v>104</v>
      </c>
      <c r="G1487" s="28" t="s">
        <v>20</v>
      </c>
      <c r="H1487" s="28" t="s">
        <v>21</v>
      </c>
      <c r="I1487" s="28" t="s">
        <v>21</v>
      </c>
      <c r="J1487" s="28" t="s">
        <v>4872</v>
      </c>
      <c r="K1487" s="28" t="s">
        <v>4873</v>
      </c>
      <c r="L1487" s="28" t="s">
        <v>4748</v>
      </c>
      <c r="M1487" s="28" t="s">
        <v>21</v>
      </c>
      <c r="O1487" s="92">
        <v>35976</v>
      </c>
      <c r="P1487" s="28" t="s">
        <v>21</v>
      </c>
      <c r="Q1487" s="26" t="b">
        <v>0</v>
      </c>
      <c r="R1487" s="22">
        <f t="shared" si="23"/>
        <v>148</v>
      </c>
    </row>
    <row r="1488" spans="1:18" ht="24">
      <c r="A1488" s="26">
        <v>4116</v>
      </c>
      <c r="B1488" s="27">
        <v>35830</v>
      </c>
      <c r="C1488" s="28" t="s">
        <v>4874</v>
      </c>
      <c r="D1488" s="18"/>
      <c r="E1488" s="28" t="s">
        <v>283</v>
      </c>
      <c r="F1488" s="28" t="s">
        <v>149</v>
      </c>
      <c r="G1488" s="28" t="s">
        <v>20</v>
      </c>
      <c r="H1488" s="28" t="s">
        <v>21</v>
      </c>
      <c r="I1488" s="28" t="s">
        <v>21</v>
      </c>
      <c r="J1488" s="28" t="s">
        <v>4875</v>
      </c>
      <c r="K1488" s="28" t="s">
        <v>4876</v>
      </c>
      <c r="L1488" s="28" t="s">
        <v>67</v>
      </c>
      <c r="M1488" s="28" t="s">
        <v>21</v>
      </c>
      <c r="O1488" s="92">
        <v>35968</v>
      </c>
      <c r="P1488" s="28" t="s">
        <v>21</v>
      </c>
      <c r="Q1488" s="26" t="b">
        <v>0</v>
      </c>
      <c r="R1488" s="22">
        <f t="shared" si="23"/>
        <v>139</v>
      </c>
    </row>
    <row r="1489" spans="1:18">
      <c r="A1489" s="26">
        <v>4130</v>
      </c>
      <c r="B1489" s="27">
        <v>35830</v>
      </c>
      <c r="C1489" s="28" t="s">
        <v>4877</v>
      </c>
      <c r="D1489" s="18"/>
      <c r="E1489" s="28" t="s">
        <v>283</v>
      </c>
      <c r="F1489" s="28" t="s">
        <v>4878</v>
      </c>
      <c r="G1489" s="28" t="s">
        <v>20</v>
      </c>
      <c r="H1489" s="28" t="s">
        <v>21</v>
      </c>
      <c r="I1489" s="28" t="s">
        <v>21</v>
      </c>
      <c r="J1489" s="28" t="s">
        <v>4879</v>
      </c>
      <c r="K1489" s="28" t="s">
        <v>4880</v>
      </c>
      <c r="L1489" s="28" t="s">
        <v>88</v>
      </c>
      <c r="M1489" s="28" t="s">
        <v>21</v>
      </c>
      <c r="O1489" s="92">
        <v>35976</v>
      </c>
      <c r="P1489" s="28" t="s">
        <v>21</v>
      </c>
      <c r="Q1489" s="26" t="b">
        <v>0</v>
      </c>
      <c r="R1489" s="22">
        <f t="shared" si="23"/>
        <v>148</v>
      </c>
    </row>
    <row r="1490" spans="1:18">
      <c r="A1490" s="26">
        <v>4107</v>
      </c>
      <c r="B1490" s="27">
        <v>35831</v>
      </c>
      <c r="C1490" s="28" t="s">
        <v>4862</v>
      </c>
      <c r="D1490" s="27">
        <v>35825</v>
      </c>
      <c r="E1490" s="28" t="s">
        <v>4863</v>
      </c>
      <c r="F1490" s="28" t="s">
        <v>98</v>
      </c>
      <c r="G1490" s="28" t="s">
        <v>20</v>
      </c>
      <c r="H1490" s="28" t="s">
        <v>21</v>
      </c>
      <c r="I1490" s="28" t="s">
        <v>21</v>
      </c>
      <c r="J1490" s="28" t="s">
        <v>4864</v>
      </c>
      <c r="K1490" s="28" t="s">
        <v>21</v>
      </c>
      <c r="L1490" s="28" t="s">
        <v>4282</v>
      </c>
      <c r="M1490" s="28" t="s">
        <v>4652</v>
      </c>
      <c r="O1490" s="92">
        <v>37505</v>
      </c>
      <c r="P1490" s="28" t="s">
        <v>31</v>
      </c>
      <c r="Q1490" s="26" t="b">
        <v>0</v>
      </c>
      <c r="R1490" s="22">
        <f t="shared" si="23"/>
        <v>1673</v>
      </c>
    </row>
    <row r="1491" spans="1:18">
      <c r="A1491" s="26">
        <v>4147</v>
      </c>
      <c r="B1491" s="27">
        <v>35837</v>
      </c>
      <c r="C1491" s="28" t="s">
        <v>4888</v>
      </c>
      <c r="D1491" s="27">
        <v>35831</v>
      </c>
      <c r="E1491" s="28" t="s">
        <v>4889</v>
      </c>
      <c r="F1491" s="28" t="s">
        <v>19</v>
      </c>
      <c r="G1491" s="28" t="s">
        <v>20</v>
      </c>
      <c r="H1491" s="28" t="s">
        <v>21</v>
      </c>
      <c r="I1491" s="28" t="s">
        <v>21</v>
      </c>
      <c r="J1491" s="28" t="s">
        <v>4890</v>
      </c>
      <c r="K1491" s="28" t="s">
        <v>4891</v>
      </c>
      <c r="L1491" s="28" t="s">
        <v>66</v>
      </c>
      <c r="M1491" s="28" t="s">
        <v>21</v>
      </c>
      <c r="O1491" s="92">
        <v>35974</v>
      </c>
      <c r="P1491" s="28" t="s">
        <v>21</v>
      </c>
      <c r="Q1491" s="26" t="b">
        <v>0</v>
      </c>
      <c r="R1491" s="22">
        <f t="shared" si="23"/>
        <v>138</v>
      </c>
    </row>
    <row r="1492" spans="1:18">
      <c r="A1492" s="26">
        <v>4137</v>
      </c>
      <c r="B1492" s="27">
        <v>35838</v>
      </c>
      <c r="C1492" s="28" t="s">
        <v>4881</v>
      </c>
      <c r="D1492" s="18"/>
      <c r="E1492" s="28" t="s">
        <v>283</v>
      </c>
      <c r="F1492" s="28" t="s">
        <v>4801</v>
      </c>
      <c r="G1492" s="28" t="s">
        <v>20</v>
      </c>
      <c r="H1492" s="28" t="s">
        <v>21</v>
      </c>
      <c r="I1492" s="28" t="s">
        <v>21</v>
      </c>
      <c r="J1492" s="28" t="s">
        <v>4882</v>
      </c>
      <c r="K1492" s="28" t="s">
        <v>4883</v>
      </c>
      <c r="L1492" s="28" t="s">
        <v>66</v>
      </c>
      <c r="M1492" s="28" t="s">
        <v>21</v>
      </c>
      <c r="O1492" s="92">
        <v>36014</v>
      </c>
      <c r="P1492" s="28" t="s">
        <v>21</v>
      </c>
      <c r="Q1492" s="26" t="b">
        <v>0</v>
      </c>
      <c r="R1492" s="22">
        <f t="shared" si="23"/>
        <v>177</v>
      </c>
    </row>
    <row r="1493" spans="1:18">
      <c r="A1493" s="26">
        <v>4138</v>
      </c>
      <c r="B1493" s="27">
        <v>35838</v>
      </c>
      <c r="C1493" s="28" t="s">
        <v>4884</v>
      </c>
      <c r="D1493" s="27">
        <v>35831</v>
      </c>
      <c r="E1493" s="28" t="s">
        <v>38</v>
      </c>
      <c r="F1493" s="28" t="s">
        <v>275</v>
      </c>
      <c r="G1493" s="28" t="s">
        <v>20</v>
      </c>
      <c r="H1493" s="28" t="s">
        <v>21</v>
      </c>
      <c r="I1493" s="28" t="s">
        <v>21</v>
      </c>
      <c r="J1493" s="28" t="s">
        <v>328</v>
      </c>
      <c r="K1493" s="28" t="s">
        <v>21</v>
      </c>
      <c r="L1493" s="28" t="s">
        <v>3969</v>
      </c>
      <c r="M1493" s="28" t="s">
        <v>21</v>
      </c>
      <c r="O1493" s="92">
        <v>35857</v>
      </c>
      <c r="P1493" s="28" t="s">
        <v>31</v>
      </c>
      <c r="Q1493" s="26" t="b">
        <v>0</v>
      </c>
      <c r="R1493" s="22">
        <f t="shared" si="23"/>
        <v>21</v>
      </c>
    </row>
    <row r="1494" spans="1:18" ht="24">
      <c r="A1494" s="26">
        <v>4146</v>
      </c>
      <c r="B1494" s="27">
        <v>35838</v>
      </c>
      <c r="C1494" s="28" t="s">
        <v>4885</v>
      </c>
      <c r="D1494" s="18"/>
      <c r="E1494" s="28" t="s">
        <v>283</v>
      </c>
      <c r="F1494" s="28" t="s">
        <v>85</v>
      </c>
      <c r="G1494" s="28" t="s">
        <v>20</v>
      </c>
      <c r="H1494" s="28" t="s">
        <v>21</v>
      </c>
      <c r="I1494" s="28" t="s">
        <v>21</v>
      </c>
      <c r="J1494" s="28" t="s">
        <v>4886</v>
      </c>
      <c r="K1494" s="28" t="s">
        <v>4887</v>
      </c>
      <c r="L1494" s="28" t="s">
        <v>88</v>
      </c>
      <c r="M1494" s="28" t="s">
        <v>21</v>
      </c>
      <c r="O1494" s="92">
        <v>35843</v>
      </c>
      <c r="P1494" s="28" t="s">
        <v>21</v>
      </c>
      <c r="Q1494" s="26" t="b">
        <v>0</v>
      </c>
      <c r="R1494" s="22">
        <f t="shared" si="23"/>
        <v>5</v>
      </c>
    </row>
    <row r="1495" spans="1:18" ht="24">
      <c r="A1495" s="26">
        <v>4151</v>
      </c>
      <c r="B1495" s="27">
        <v>35838</v>
      </c>
      <c r="C1495" s="28" t="s">
        <v>4894</v>
      </c>
      <c r="D1495" s="18"/>
      <c r="E1495" s="28" t="s">
        <v>283</v>
      </c>
      <c r="F1495" s="28" t="s">
        <v>98</v>
      </c>
      <c r="G1495" s="28" t="s">
        <v>20</v>
      </c>
      <c r="H1495" s="28" t="s">
        <v>71</v>
      </c>
      <c r="I1495" s="28" t="s">
        <v>21</v>
      </c>
      <c r="J1495" s="28" t="s">
        <v>4895</v>
      </c>
      <c r="K1495" s="28" t="s">
        <v>4896</v>
      </c>
      <c r="L1495" s="28" t="s">
        <v>88</v>
      </c>
      <c r="M1495" s="28" t="s">
        <v>21</v>
      </c>
      <c r="O1495" s="92">
        <v>35976</v>
      </c>
      <c r="P1495" s="28" t="s">
        <v>21</v>
      </c>
      <c r="Q1495" s="26" t="b">
        <v>0</v>
      </c>
      <c r="R1495" s="22">
        <f t="shared" si="23"/>
        <v>139</v>
      </c>
    </row>
    <row r="1496" spans="1:18" ht="24">
      <c r="A1496" s="26">
        <v>4158</v>
      </c>
      <c r="B1496" s="27">
        <v>35838</v>
      </c>
      <c r="C1496" s="28" t="s">
        <v>4908</v>
      </c>
      <c r="D1496" s="18"/>
      <c r="E1496" s="28" t="s">
        <v>283</v>
      </c>
      <c r="F1496" s="28" t="s">
        <v>149</v>
      </c>
      <c r="G1496" s="28" t="s">
        <v>20</v>
      </c>
      <c r="H1496" s="28" t="s">
        <v>21</v>
      </c>
      <c r="I1496" s="28" t="s">
        <v>21</v>
      </c>
      <c r="J1496" s="28" t="s">
        <v>4909</v>
      </c>
      <c r="K1496" s="28" t="s">
        <v>4896</v>
      </c>
      <c r="L1496" s="28" t="s">
        <v>1946</v>
      </c>
      <c r="M1496" s="28" t="s">
        <v>21</v>
      </c>
      <c r="O1496" s="92">
        <v>35838</v>
      </c>
      <c r="P1496" s="28" t="s">
        <v>21</v>
      </c>
      <c r="Q1496" s="26" t="b">
        <v>0</v>
      </c>
      <c r="R1496" s="22">
        <f t="shared" si="23"/>
        <v>0</v>
      </c>
    </row>
    <row r="1497" spans="1:18">
      <c r="A1497" s="26">
        <v>4150</v>
      </c>
      <c r="B1497" s="27">
        <v>35839</v>
      </c>
      <c r="C1497" s="28" t="s">
        <v>4892</v>
      </c>
      <c r="D1497" s="18"/>
      <c r="E1497" s="28" t="s">
        <v>2925</v>
      </c>
      <c r="F1497" s="28" t="s">
        <v>1061</v>
      </c>
      <c r="G1497" s="28" t="s">
        <v>20</v>
      </c>
      <c r="H1497" s="28" t="s">
        <v>21</v>
      </c>
      <c r="I1497" s="28" t="s">
        <v>21</v>
      </c>
      <c r="J1497" s="28" t="s">
        <v>4893</v>
      </c>
      <c r="K1497" s="28" t="s">
        <v>21</v>
      </c>
      <c r="L1497" s="28" t="s">
        <v>686</v>
      </c>
      <c r="M1497" s="28" t="s">
        <v>21</v>
      </c>
      <c r="O1497" s="92">
        <v>36494</v>
      </c>
      <c r="P1497" s="28" t="s">
        <v>21</v>
      </c>
      <c r="Q1497" s="26" t="b">
        <v>0</v>
      </c>
      <c r="R1497" s="22">
        <f t="shared" si="23"/>
        <v>655</v>
      </c>
    </row>
    <row r="1498" spans="1:18" ht="24">
      <c r="A1498" s="26">
        <v>4154</v>
      </c>
      <c r="B1498" s="27">
        <v>35839</v>
      </c>
      <c r="C1498" s="28" t="s">
        <v>4897</v>
      </c>
      <c r="D1498" s="18"/>
      <c r="E1498" s="28" t="s">
        <v>283</v>
      </c>
      <c r="F1498" s="28" t="s">
        <v>149</v>
      </c>
      <c r="G1498" s="28" t="s">
        <v>20</v>
      </c>
      <c r="H1498" s="28" t="s">
        <v>21</v>
      </c>
      <c r="I1498" s="28" t="s">
        <v>21</v>
      </c>
      <c r="J1498" s="28" t="s">
        <v>4898</v>
      </c>
      <c r="K1498" s="28" t="s">
        <v>4899</v>
      </c>
      <c r="L1498" s="28" t="s">
        <v>66</v>
      </c>
      <c r="M1498" s="28" t="s">
        <v>21</v>
      </c>
      <c r="O1498" s="92">
        <v>35978</v>
      </c>
      <c r="P1498" s="28" t="s">
        <v>21</v>
      </c>
      <c r="Q1498" s="26" t="b">
        <v>0</v>
      </c>
      <c r="R1498" s="22">
        <f t="shared" si="23"/>
        <v>140</v>
      </c>
    </row>
    <row r="1499" spans="1:18">
      <c r="A1499" s="26">
        <v>4155</v>
      </c>
      <c r="B1499" s="27">
        <v>35839</v>
      </c>
      <c r="C1499" s="28" t="s">
        <v>4900</v>
      </c>
      <c r="D1499" s="18"/>
      <c r="E1499" s="28" t="s">
        <v>283</v>
      </c>
      <c r="F1499" s="28" t="s">
        <v>149</v>
      </c>
      <c r="G1499" s="28" t="s">
        <v>20</v>
      </c>
      <c r="H1499" s="28" t="s">
        <v>21</v>
      </c>
      <c r="I1499" s="28" t="s">
        <v>21</v>
      </c>
      <c r="J1499" s="28" t="s">
        <v>4901</v>
      </c>
      <c r="K1499" s="28" t="s">
        <v>4902</v>
      </c>
      <c r="L1499" s="28" t="s">
        <v>66</v>
      </c>
      <c r="M1499" s="28" t="s">
        <v>21</v>
      </c>
      <c r="O1499" s="92">
        <v>35850</v>
      </c>
      <c r="P1499" s="28" t="s">
        <v>21</v>
      </c>
      <c r="Q1499" s="26" t="b">
        <v>0</v>
      </c>
      <c r="R1499" s="22">
        <f t="shared" si="23"/>
        <v>11</v>
      </c>
    </row>
    <row r="1500" spans="1:18">
      <c r="A1500" s="26">
        <v>4156</v>
      </c>
      <c r="B1500" s="27">
        <v>35839</v>
      </c>
      <c r="C1500" s="28" t="s">
        <v>4903</v>
      </c>
      <c r="D1500" s="18"/>
      <c r="E1500" s="28" t="s">
        <v>283</v>
      </c>
      <c r="F1500" s="28" t="s">
        <v>149</v>
      </c>
      <c r="G1500" s="28" t="s">
        <v>20</v>
      </c>
      <c r="H1500" s="28" t="s">
        <v>21</v>
      </c>
      <c r="I1500" s="28" t="s">
        <v>21</v>
      </c>
      <c r="J1500" s="28" t="s">
        <v>4904</v>
      </c>
      <c r="K1500" s="28" t="s">
        <v>4905</v>
      </c>
      <c r="L1500" s="28" t="s">
        <v>66</v>
      </c>
      <c r="M1500" s="28" t="s">
        <v>21</v>
      </c>
      <c r="O1500" s="92">
        <v>35977</v>
      </c>
      <c r="P1500" s="28" t="s">
        <v>21</v>
      </c>
      <c r="Q1500" s="26" t="b">
        <v>0</v>
      </c>
      <c r="R1500" s="22">
        <f t="shared" si="23"/>
        <v>139</v>
      </c>
    </row>
    <row r="1501" spans="1:18">
      <c r="A1501" s="26">
        <v>4157</v>
      </c>
      <c r="B1501" s="27">
        <v>35839</v>
      </c>
      <c r="C1501" s="28" t="s">
        <v>4906</v>
      </c>
      <c r="D1501" s="18"/>
      <c r="E1501" s="28" t="s">
        <v>283</v>
      </c>
      <c r="F1501" s="28" t="s">
        <v>149</v>
      </c>
      <c r="G1501" s="28" t="s">
        <v>20</v>
      </c>
      <c r="H1501" s="28" t="s">
        <v>21</v>
      </c>
      <c r="I1501" s="28" t="s">
        <v>21</v>
      </c>
      <c r="J1501" s="28" t="s">
        <v>4907</v>
      </c>
      <c r="K1501" s="28" t="s">
        <v>4902</v>
      </c>
      <c r="L1501" s="28" t="s">
        <v>66</v>
      </c>
      <c r="M1501" s="28" t="s">
        <v>21</v>
      </c>
      <c r="O1501" s="92">
        <v>35850</v>
      </c>
      <c r="P1501" s="28" t="s">
        <v>21</v>
      </c>
      <c r="Q1501" s="26" t="b">
        <v>0</v>
      </c>
      <c r="R1501" s="22">
        <f t="shared" si="23"/>
        <v>11</v>
      </c>
    </row>
    <row r="1502" spans="1:18">
      <c r="A1502" s="26">
        <v>4162</v>
      </c>
      <c r="B1502" s="27">
        <v>35844</v>
      </c>
      <c r="C1502" s="28" t="s">
        <v>4910</v>
      </c>
      <c r="D1502" s="18"/>
      <c r="E1502" s="28" t="s">
        <v>283</v>
      </c>
      <c r="F1502" s="28" t="s">
        <v>129</v>
      </c>
      <c r="G1502" s="28" t="s">
        <v>20</v>
      </c>
      <c r="H1502" s="28" t="s">
        <v>21</v>
      </c>
      <c r="I1502" s="28" t="s">
        <v>21</v>
      </c>
      <c r="J1502" s="28" t="s">
        <v>4911</v>
      </c>
      <c r="K1502" s="28" t="s">
        <v>4912</v>
      </c>
      <c r="L1502" s="28" t="s">
        <v>66</v>
      </c>
      <c r="M1502" s="28" t="s">
        <v>21</v>
      </c>
      <c r="O1502" s="92">
        <v>35850</v>
      </c>
      <c r="P1502" s="28" t="s">
        <v>21</v>
      </c>
      <c r="Q1502" s="26" t="b">
        <v>0</v>
      </c>
      <c r="R1502" s="22">
        <f t="shared" si="23"/>
        <v>6</v>
      </c>
    </row>
    <row r="1503" spans="1:18">
      <c r="A1503" s="26">
        <v>4164</v>
      </c>
      <c r="B1503" s="27">
        <v>35849</v>
      </c>
      <c r="C1503" s="28" t="s">
        <v>4913</v>
      </c>
      <c r="D1503" s="18"/>
      <c r="E1503" s="28" t="s">
        <v>283</v>
      </c>
      <c r="F1503" s="28" t="s">
        <v>149</v>
      </c>
      <c r="G1503" s="28" t="s">
        <v>20</v>
      </c>
      <c r="H1503" s="28" t="s">
        <v>21</v>
      </c>
      <c r="I1503" s="28" t="s">
        <v>21</v>
      </c>
      <c r="J1503" s="28" t="s">
        <v>4914</v>
      </c>
      <c r="K1503" s="28" t="s">
        <v>4915</v>
      </c>
      <c r="L1503" s="28" t="s">
        <v>66</v>
      </c>
      <c r="M1503" s="28" t="s">
        <v>21</v>
      </c>
      <c r="O1503" s="92">
        <v>35978</v>
      </c>
      <c r="P1503" s="28" t="s">
        <v>21</v>
      </c>
      <c r="Q1503" s="26" t="b">
        <v>0</v>
      </c>
      <c r="R1503" s="22">
        <f t="shared" si="23"/>
        <v>130</v>
      </c>
    </row>
    <row r="1504" spans="1:18">
      <c r="A1504" s="26">
        <v>4165</v>
      </c>
      <c r="B1504" s="27">
        <v>35851</v>
      </c>
      <c r="C1504" s="28" t="s">
        <v>4916</v>
      </c>
      <c r="D1504" s="18"/>
      <c r="E1504" s="28" t="s">
        <v>283</v>
      </c>
      <c r="F1504" s="28" t="s">
        <v>242</v>
      </c>
      <c r="G1504" s="28" t="s">
        <v>20</v>
      </c>
      <c r="H1504" s="28" t="s">
        <v>21</v>
      </c>
      <c r="I1504" s="28" t="s">
        <v>21</v>
      </c>
      <c r="J1504" s="28" t="s">
        <v>4917</v>
      </c>
      <c r="K1504" s="28" t="s">
        <v>4918</v>
      </c>
      <c r="L1504" s="28" t="s">
        <v>686</v>
      </c>
      <c r="M1504" s="28" t="s">
        <v>21</v>
      </c>
      <c r="O1504" s="92">
        <v>35976</v>
      </c>
      <c r="P1504" s="28" t="s">
        <v>21</v>
      </c>
      <c r="Q1504" s="26" t="b">
        <v>0</v>
      </c>
      <c r="R1504" s="22">
        <f t="shared" si="23"/>
        <v>126</v>
      </c>
    </row>
    <row r="1505" spans="1:18">
      <c r="A1505" s="26">
        <v>4166</v>
      </c>
      <c r="B1505" s="27">
        <v>35852</v>
      </c>
      <c r="C1505" s="28" t="s">
        <v>4919</v>
      </c>
      <c r="D1505" s="27">
        <v>35830</v>
      </c>
      <c r="E1505" s="28" t="s">
        <v>4920</v>
      </c>
      <c r="F1505" s="28" t="s">
        <v>19</v>
      </c>
      <c r="G1505" s="28" t="s">
        <v>20</v>
      </c>
      <c r="H1505" s="28" t="s">
        <v>21</v>
      </c>
      <c r="I1505" s="28" t="s">
        <v>21</v>
      </c>
      <c r="J1505" s="28" t="s">
        <v>4921</v>
      </c>
      <c r="K1505" s="28" t="s">
        <v>4922</v>
      </c>
      <c r="L1505" s="28" t="s">
        <v>66</v>
      </c>
      <c r="M1505" s="28" t="s">
        <v>21</v>
      </c>
      <c r="O1505" s="92">
        <v>35976</v>
      </c>
      <c r="P1505" s="28" t="s">
        <v>182</v>
      </c>
      <c r="Q1505" s="26" t="b">
        <v>0</v>
      </c>
      <c r="R1505" s="22">
        <f t="shared" si="23"/>
        <v>125</v>
      </c>
    </row>
    <row r="1506" spans="1:18">
      <c r="A1506" s="26">
        <v>4167</v>
      </c>
      <c r="B1506" s="27">
        <v>35852</v>
      </c>
      <c r="C1506" s="28" t="s">
        <v>4923</v>
      </c>
      <c r="D1506" s="27">
        <v>35828</v>
      </c>
      <c r="E1506" s="28" t="s">
        <v>4924</v>
      </c>
      <c r="F1506" s="28" t="s">
        <v>19</v>
      </c>
      <c r="G1506" s="28" t="s">
        <v>20</v>
      </c>
      <c r="H1506" s="28" t="s">
        <v>21</v>
      </c>
      <c r="I1506" s="28" t="s">
        <v>21</v>
      </c>
      <c r="J1506" s="28" t="s">
        <v>4925</v>
      </c>
      <c r="K1506" s="28" t="s">
        <v>4926</v>
      </c>
      <c r="L1506" s="28" t="s">
        <v>66</v>
      </c>
      <c r="M1506" s="28" t="s">
        <v>21</v>
      </c>
      <c r="O1506" s="92">
        <v>35970</v>
      </c>
      <c r="P1506" s="28" t="s">
        <v>21</v>
      </c>
      <c r="Q1506" s="26" t="b">
        <v>0</v>
      </c>
      <c r="R1506" s="22">
        <f t="shared" si="23"/>
        <v>119</v>
      </c>
    </row>
    <row r="1507" spans="1:18">
      <c r="A1507" s="26">
        <v>4168</v>
      </c>
      <c r="B1507" s="27">
        <v>35852</v>
      </c>
      <c r="C1507" s="28" t="s">
        <v>4927</v>
      </c>
      <c r="D1507" s="27">
        <v>35832</v>
      </c>
      <c r="E1507" s="28" t="s">
        <v>4928</v>
      </c>
      <c r="F1507" s="28" t="s">
        <v>19</v>
      </c>
      <c r="G1507" s="28" t="s">
        <v>20</v>
      </c>
      <c r="H1507" s="28" t="s">
        <v>21</v>
      </c>
      <c r="I1507" s="28" t="s">
        <v>21</v>
      </c>
      <c r="J1507" s="28" t="s">
        <v>4929</v>
      </c>
      <c r="K1507" s="28" t="s">
        <v>4926</v>
      </c>
      <c r="L1507" s="28" t="s">
        <v>66</v>
      </c>
      <c r="M1507" s="28" t="s">
        <v>21</v>
      </c>
      <c r="O1507" s="92">
        <v>36277</v>
      </c>
      <c r="P1507" s="28" t="s">
        <v>21</v>
      </c>
      <c r="Q1507" s="26" t="b">
        <v>0</v>
      </c>
      <c r="R1507" s="22">
        <f t="shared" si="23"/>
        <v>426</v>
      </c>
    </row>
    <row r="1508" spans="1:18">
      <c r="A1508" s="26">
        <v>4169</v>
      </c>
      <c r="B1508" s="27">
        <v>35852</v>
      </c>
      <c r="C1508" s="28" t="s">
        <v>4930</v>
      </c>
      <c r="D1508" s="27">
        <v>35837</v>
      </c>
      <c r="E1508" s="28" t="s">
        <v>4931</v>
      </c>
      <c r="F1508" s="28" t="s">
        <v>149</v>
      </c>
      <c r="G1508" s="28" t="s">
        <v>20</v>
      </c>
      <c r="H1508" s="28" t="s">
        <v>21</v>
      </c>
      <c r="I1508" s="28" t="s">
        <v>21</v>
      </c>
      <c r="J1508" s="28" t="s">
        <v>4932</v>
      </c>
      <c r="K1508" s="28" t="s">
        <v>21</v>
      </c>
      <c r="L1508" s="28" t="s">
        <v>66</v>
      </c>
      <c r="M1508" s="28" t="s">
        <v>686</v>
      </c>
      <c r="O1508" s="92">
        <v>36782</v>
      </c>
      <c r="P1508" s="28" t="s">
        <v>182</v>
      </c>
      <c r="Q1508" s="26" t="b">
        <v>0</v>
      </c>
      <c r="R1508" s="22">
        <f t="shared" si="23"/>
        <v>929</v>
      </c>
    </row>
    <row r="1509" spans="1:18">
      <c r="A1509" s="26">
        <v>4170</v>
      </c>
      <c r="B1509" s="27">
        <v>35852</v>
      </c>
      <c r="C1509" s="28" t="s">
        <v>4933</v>
      </c>
      <c r="D1509" s="27">
        <v>35839</v>
      </c>
      <c r="E1509" s="28" t="s">
        <v>4934</v>
      </c>
      <c r="F1509" s="28" t="s">
        <v>70</v>
      </c>
      <c r="G1509" s="28" t="s">
        <v>20</v>
      </c>
      <c r="H1509" s="28" t="s">
        <v>71</v>
      </c>
      <c r="I1509" s="28" t="s">
        <v>72</v>
      </c>
      <c r="J1509" s="28" t="s">
        <v>4935</v>
      </c>
      <c r="K1509" s="28" t="s">
        <v>4936</v>
      </c>
      <c r="L1509" s="28" t="s">
        <v>686</v>
      </c>
      <c r="M1509" s="28" t="s">
        <v>21</v>
      </c>
      <c r="O1509" s="92">
        <v>36320</v>
      </c>
      <c r="P1509" s="28" t="s">
        <v>21</v>
      </c>
      <c r="Q1509" s="26" t="b">
        <v>0</v>
      </c>
      <c r="R1509" s="22">
        <f t="shared" si="23"/>
        <v>469</v>
      </c>
    </row>
    <row r="1510" spans="1:18" ht="24">
      <c r="A1510" s="26">
        <v>4171</v>
      </c>
      <c r="B1510" s="27">
        <v>35852</v>
      </c>
      <c r="C1510" s="28" t="s">
        <v>4937</v>
      </c>
      <c r="D1510" s="27">
        <v>35853</v>
      </c>
      <c r="E1510" s="28" t="s">
        <v>4938</v>
      </c>
      <c r="F1510" s="28" t="s">
        <v>70</v>
      </c>
      <c r="G1510" s="28" t="s">
        <v>20</v>
      </c>
      <c r="H1510" s="28" t="s">
        <v>71</v>
      </c>
      <c r="I1510" s="28" t="s">
        <v>72</v>
      </c>
      <c r="J1510" s="28" t="s">
        <v>4939</v>
      </c>
      <c r="K1510" s="28" t="s">
        <v>4940</v>
      </c>
      <c r="L1510" s="28" t="s">
        <v>66</v>
      </c>
      <c r="M1510" s="28" t="s">
        <v>1946</v>
      </c>
      <c r="O1510" s="92">
        <v>37678</v>
      </c>
      <c r="P1510" s="28" t="s">
        <v>31</v>
      </c>
      <c r="Q1510" s="26" t="b">
        <v>0</v>
      </c>
      <c r="R1510" s="22">
        <f t="shared" si="23"/>
        <v>1825</v>
      </c>
    </row>
    <row r="1511" spans="1:18">
      <c r="A1511" s="26">
        <v>4175</v>
      </c>
      <c r="B1511" s="27">
        <v>35856</v>
      </c>
      <c r="C1511" s="28" t="s">
        <v>4947</v>
      </c>
      <c r="D1511" s="18"/>
      <c r="E1511" s="28" t="s">
        <v>283</v>
      </c>
      <c r="F1511" s="28" t="s">
        <v>149</v>
      </c>
      <c r="G1511" s="28" t="s">
        <v>20</v>
      </c>
      <c r="H1511" s="28" t="s">
        <v>71</v>
      </c>
      <c r="I1511" s="28" t="s">
        <v>21</v>
      </c>
      <c r="J1511" s="28" t="s">
        <v>4948</v>
      </c>
      <c r="K1511" s="28" t="s">
        <v>4949</v>
      </c>
      <c r="L1511" s="28" t="s">
        <v>66</v>
      </c>
      <c r="M1511" s="28" t="s">
        <v>21</v>
      </c>
      <c r="O1511" s="92">
        <v>35984</v>
      </c>
      <c r="P1511" s="28" t="s">
        <v>21</v>
      </c>
      <c r="Q1511" s="26" t="b">
        <v>0</v>
      </c>
      <c r="R1511" s="22">
        <f t="shared" si="23"/>
        <v>127</v>
      </c>
    </row>
    <row r="1512" spans="1:18" ht="24">
      <c r="A1512" s="26">
        <v>4173</v>
      </c>
      <c r="B1512" s="27">
        <v>35857</v>
      </c>
      <c r="C1512" s="28" t="s">
        <v>4941</v>
      </c>
      <c r="D1512" s="18"/>
      <c r="E1512" s="28" t="s">
        <v>283</v>
      </c>
      <c r="F1512" s="28" t="s">
        <v>149</v>
      </c>
      <c r="G1512" s="28" t="s">
        <v>20</v>
      </c>
      <c r="H1512" s="28" t="s">
        <v>71</v>
      </c>
      <c r="I1512" s="28" t="s">
        <v>21</v>
      </c>
      <c r="J1512" s="28" t="s">
        <v>4942</v>
      </c>
      <c r="K1512" s="28" t="s">
        <v>4943</v>
      </c>
      <c r="L1512" s="28" t="s">
        <v>67</v>
      </c>
      <c r="M1512" s="28" t="s">
        <v>21</v>
      </c>
      <c r="O1512" s="92">
        <v>35968</v>
      </c>
      <c r="P1512" s="28" t="s">
        <v>21</v>
      </c>
      <c r="Q1512" s="26" t="b">
        <v>0</v>
      </c>
      <c r="R1512" s="22">
        <f t="shared" si="23"/>
        <v>110</v>
      </c>
    </row>
    <row r="1513" spans="1:18">
      <c r="A1513" s="26">
        <v>4174</v>
      </c>
      <c r="B1513" s="27">
        <v>35857</v>
      </c>
      <c r="C1513" s="28" t="s">
        <v>4944</v>
      </c>
      <c r="D1513" s="18"/>
      <c r="E1513" s="28" t="s">
        <v>283</v>
      </c>
      <c r="F1513" s="28" t="s">
        <v>149</v>
      </c>
      <c r="G1513" s="28" t="s">
        <v>20</v>
      </c>
      <c r="H1513" s="28" t="s">
        <v>71</v>
      </c>
      <c r="I1513" s="28" t="s">
        <v>21</v>
      </c>
      <c r="J1513" s="28" t="s">
        <v>4945</v>
      </c>
      <c r="K1513" s="28" t="s">
        <v>4946</v>
      </c>
      <c r="L1513" s="28" t="s">
        <v>66</v>
      </c>
      <c r="M1513" s="28" t="s">
        <v>21</v>
      </c>
      <c r="O1513" s="92">
        <v>36014</v>
      </c>
      <c r="P1513" s="28" t="s">
        <v>21</v>
      </c>
      <c r="Q1513" s="26" t="b">
        <v>0</v>
      </c>
      <c r="R1513" s="22">
        <f t="shared" si="23"/>
        <v>156</v>
      </c>
    </row>
    <row r="1514" spans="1:18" ht="24">
      <c r="A1514" s="26">
        <v>4178</v>
      </c>
      <c r="B1514" s="27">
        <v>35874</v>
      </c>
      <c r="C1514" s="28" t="s">
        <v>4950</v>
      </c>
      <c r="D1514" s="27">
        <v>35873</v>
      </c>
      <c r="E1514" s="28" t="s">
        <v>38</v>
      </c>
      <c r="F1514" s="28" t="s">
        <v>19</v>
      </c>
      <c r="G1514" s="28" t="s">
        <v>20</v>
      </c>
      <c r="H1514" s="28" t="s">
        <v>212</v>
      </c>
      <c r="I1514" s="28" t="s">
        <v>212</v>
      </c>
      <c r="J1514" s="28" t="s">
        <v>4951</v>
      </c>
      <c r="K1514" s="28" t="s">
        <v>21</v>
      </c>
      <c r="L1514" s="28" t="s">
        <v>66</v>
      </c>
      <c r="M1514" s="28" t="s">
        <v>21</v>
      </c>
      <c r="O1514" s="92">
        <v>35898</v>
      </c>
      <c r="P1514" s="28" t="s">
        <v>21</v>
      </c>
      <c r="Q1514" s="26" t="b">
        <v>0</v>
      </c>
      <c r="R1514" s="22">
        <f t="shared" si="23"/>
        <v>23</v>
      </c>
    </row>
    <row r="1515" spans="1:18">
      <c r="A1515" s="26">
        <v>4179</v>
      </c>
      <c r="B1515" s="27">
        <v>35877</v>
      </c>
      <c r="C1515" s="28" t="s">
        <v>4952</v>
      </c>
      <c r="D1515" s="27">
        <v>35878</v>
      </c>
      <c r="E1515" s="28" t="s">
        <v>283</v>
      </c>
      <c r="F1515" s="28" t="s">
        <v>4953</v>
      </c>
      <c r="G1515" s="28" t="s">
        <v>20</v>
      </c>
      <c r="H1515" s="28" t="s">
        <v>21</v>
      </c>
      <c r="I1515" s="28" t="s">
        <v>21</v>
      </c>
      <c r="J1515" s="28" t="s">
        <v>4954</v>
      </c>
      <c r="K1515" s="28" t="s">
        <v>4955</v>
      </c>
      <c r="L1515" s="28" t="s">
        <v>88</v>
      </c>
      <c r="M1515" s="28" t="s">
        <v>21</v>
      </c>
      <c r="O1515" s="92">
        <v>35976</v>
      </c>
      <c r="P1515" s="28" t="s">
        <v>21</v>
      </c>
      <c r="Q1515" s="26" t="b">
        <v>0</v>
      </c>
      <c r="R1515" s="22">
        <f t="shared" si="23"/>
        <v>98</v>
      </c>
    </row>
    <row r="1516" spans="1:18">
      <c r="A1516" s="26">
        <v>4180</v>
      </c>
      <c r="B1516" s="27">
        <v>35879</v>
      </c>
      <c r="C1516" s="28" t="s">
        <v>4956</v>
      </c>
      <c r="D1516" s="27">
        <v>35879</v>
      </c>
      <c r="E1516" s="28" t="s">
        <v>3116</v>
      </c>
      <c r="F1516" s="28" t="s">
        <v>1061</v>
      </c>
      <c r="G1516" s="28" t="s">
        <v>20</v>
      </c>
      <c r="H1516" s="28" t="s">
        <v>71</v>
      </c>
      <c r="I1516" s="28" t="s">
        <v>72</v>
      </c>
      <c r="J1516" s="28" t="s">
        <v>4957</v>
      </c>
      <c r="K1516" s="28" t="s">
        <v>4958</v>
      </c>
      <c r="L1516" s="28" t="s">
        <v>686</v>
      </c>
      <c r="M1516" s="28" t="s">
        <v>21</v>
      </c>
      <c r="O1516" s="92">
        <v>36474</v>
      </c>
      <c r="P1516" s="28" t="s">
        <v>21</v>
      </c>
      <c r="Q1516" s="26" t="b">
        <v>0</v>
      </c>
      <c r="R1516" s="22">
        <f t="shared" si="23"/>
        <v>593</v>
      </c>
    </row>
    <row r="1517" spans="1:18">
      <c r="A1517" s="26">
        <v>4181</v>
      </c>
      <c r="B1517" s="27">
        <v>35879</v>
      </c>
      <c r="C1517" s="28" t="s">
        <v>4959</v>
      </c>
      <c r="D1517" s="27">
        <v>35878</v>
      </c>
      <c r="E1517" s="28" t="s">
        <v>38</v>
      </c>
      <c r="F1517" s="28" t="s">
        <v>52</v>
      </c>
      <c r="G1517" s="28" t="s">
        <v>20</v>
      </c>
      <c r="H1517" s="28" t="s">
        <v>71</v>
      </c>
      <c r="I1517" s="28" t="s">
        <v>72</v>
      </c>
      <c r="J1517" s="28" t="s">
        <v>4960</v>
      </c>
      <c r="K1517" s="28" t="s">
        <v>21</v>
      </c>
      <c r="L1517" s="28" t="s">
        <v>66</v>
      </c>
      <c r="M1517" s="28" t="s">
        <v>21</v>
      </c>
      <c r="O1517" s="92">
        <v>35887</v>
      </c>
      <c r="P1517" s="28" t="s">
        <v>21</v>
      </c>
      <c r="Q1517" s="26" t="b">
        <v>0</v>
      </c>
      <c r="R1517" s="22">
        <f t="shared" si="23"/>
        <v>7</v>
      </c>
    </row>
    <row r="1518" spans="1:18">
      <c r="A1518" s="26">
        <v>4183</v>
      </c>
      <c r="B1518" s="27">
        <v>35879</v>
      </c>
      <c r="C1518" s="28" t="s">
        <v>4961</v>
      </c>
      <c r="D1518" s="27">
        <v>35879</v>
      </c>
      <c r="E1518" s="28" t="s">
        <v>2925</v>
      </c>
      <c r="F1518" s="28" t="s">
        <v>3847</v>
      </c>
      <c r="G1518" s="28" t="s">
        <v>20</v>
      </c>
      <c r="H1518" s="28" t="s">
        <v>21</v>
      </c>
      <c r="I1518" s="28" t="s">
        <v>21</v>
      </c>
      <c r="J1518" s="28" t="s">
        <v>4962</v>
      </c>
      <c r="K1518" s="28" t="s">
        <v>21</v>
      </c>
      <c r="L1518" s="28" t="s">
        <v>3969</v>
      </c>
      <c r="M1518" s="28" t="s">
        <v>21</v>
      </c>
      <c r="O1518" s="92">
        <v>36068</v>
      </c>
      <c r="P1518" s="28" t="s">
        <v>31</v>
      </c>
      <c r="Q1518" s="26" t="b">
        <v>0</v>
      </c>
      <c r="R1518" s="22">
        <f t="shared" si="23"/>
        <v>187</v>
      </c>
    </row>
    <row r="1519" spans="1:18" ht="24">
      <c r="A1519" s="26">
        <v>4184</v>
      </c>
      <c r="B1519" s="27">
        <v>35884</v>
      </c>
      <c r="C1519" s="28" t="s">
        <v>4963</v>
      </c>
      <c r="D1519" s="18"/>
      <c r="E1519" s="28" t="s">
        <v>283</v>
      </c>
      <c r="F1519" s="28" t="s">
        <v>1149</v>
      </c>
      <c r="G1519" s="28" t="s">
        <v>20</v>
      </c>
      <c r="H1519" s="28" t="s">
        <v>21</v>
      </c>
      <c r="I1519" s="28" t="s">
        <v>21</v>
      </c>
      <c r="J1519" s="28" t="s">
        <v>4964</v>
      </c>
      <c r="K1519" s="28" t="s">
        <v>4965</v>
      </c>
      <c r="L1519" s="28" t="s">
        <v>66</v>
      </c>
      <c r="M1519" s="28" t="s">
        <v>21</v>
      </c>
      <c r="O1519" s="92">
        <v>35978</v>
      </c>
      <c r="P1519" s="28" t="s">
        <v>21</v>
      </c>
      <c r="Q1519" s="26" t="b">
        <v>0</v>
      </c>
      <c r="R1519" s="22">
        <f t="shared" si="23"/>
        <v>93</v>
      </c>
    </row>
    <row r="1520" spans="1:18" ht="24">
      <c r="A1520" s="26">
        <v>4185</v>
      </c>
      <c r="B1520" s="27">
        <v>35884</v>
      </c>
      <c r="C1520" s="28" t="s">
        <v>4966</v>
      </c>
      <c r="D1520" s="27">
        <v>35874</v>
      </c>
      <c r="E1520" s="28" t="s">
        <v>4967</v>
      </c>
      <c r="F1520" s="28" t="s">
        <v>39</v>
      </c>
      <c r="G1520" s="28" t="s">
        <v>20</v>
      </c>
      <c r="H1520" s="28" t="s">
        <v>21</v>
      </c>
      <c r="I1520" s="28" t="s">
        <v>21</v>
      </c>
      <c r="J1520" s="28" t="s">
        <v>4968</v>
      </c>
      <c r="K1520" s="28" t="s">
        <v>3938</v>
      </c>
      <c r="L1520" s="28" t="s">
        <v>686</v>
      </c>
      <c r="M1520" s="28" t="s">
        <v>21</v>
      </c>
      <c r="O1520" s="92">
        <v>36095</v>
      </c>
      <c r="P1520" s="28" t="s">
        <v>21</v>
      </c>
      <c r="Q1520" s="26" t="b">
        <v>0</v>
      </c>
      <c r="R1520" s="22">
        <f t="shared" si="23"/>
        <v>209</v>
      </c>
    </row>
    <row r="1521" spans="1:18">
      <c r="A1521" s="26">
        <v>4186</v>
      </c>
      <c r="B1521" s="27">
        <v>35885</v>
      </c>
      <c r="C1521" s="28" t="s">
        <v>4969</v>
      </c>
      <c r="D1521" s="27">
        <v>35865</v>
      </c>
      <c r="E1521" s="28" t="s">
        <v>38</v>
      </c>
      <c r="F1521" s="28" t="s">
        <v>52</v>
      </c>
      <c r="G1521" s="28" t="s">
        <v>20</v>
      </c>
      <c r="H1521" s="28" t="s">
        <v>21</v>
      </c>
      <c r="I1521" s="28" t="s">
        <v>21</v>
      </c>
      <c r="J1521" s="28" t="s">
        <v>4970</v>
      </c>
      <c r="K1521" s="28" t="s">
        <v>21</v>
      </c>
      <c r="L1521" s="28" t="s">
        <v>66</v>
      </c>
      <c r="M1521" s="28" t="s">
        <v>21</v>
      </c>
      <c r="O1521" s="92">
        <v>35887</v>
      </c>
      <c r="P1521" s="28" t="s">
        <v>21</v>
      </c>
      <c r="Q1521" s="26" t="b">
        <v>0</v>
      </c>
      <c r="R1521" s="22">
        <f t="shared" si="23"/>
        <v>2</v>
      </c>
    </row>
    <row r="1522" spans="1:18" ht="24">
      <c r="A1522" s="26">
        <v>4188</v>
      </c>
      <c r="B1522" s="27">
        <v>35885</v>
      </c>
      <c r="C1522" s="28" t="s">
        <v>4971</v>
      </c>
      <c r="D1522" s="27">
        <v>35860</v>
      </c>
      <c r="E1522" s="28" t="s">
        <v>38</v>
      </c>
      <c r="F1522" s="28" t="s">
        <v>104</v>
      </c>
      <c r="G1522" s="28" t="s">
        <v>20</v>
      </c>
      <c r="H1522" s="28" t="s">
        <v>21</v>
      </c>
      <c r="I1522" s="28" t="s">
        <v>21</v>
      </c>
      <c r="J1522" s="28" t="s">
        <v>4972</v>
      </c>
      <c r="K1522" s="28" t="s">
        <v>4973</v>
      </c>
      <c r="L1522" s="28" t="s">
        <v>66</v>
      </c>
      <c r="M1522" s="28" t="s">
        <v>21</v>
      </c>
      <c r="O1522" s="92">
        <v>36627</v>
      </c>
      <c r="P1522" s="28" t="s">
        <v>31</v>
      </c>
      <c r="Q1522" s="26" t="b">
        <v>0</v>
      </c>
      <c r="R1522" s="22">
        <f t="shared" si="23"/>
        <v>741</v>
      </c>
    </row>
    <row r="1523" spans="1:18">
      <c r="A1523" s="26">
        <v>4189</v>
      </c>
      <c r="B1523" s="27">
        <v>35885</v>
      </c>
      <c r="C1523" s="28" t="s">
        <v>4974</v>
      </c>
      <c r="D1523" s="27">
        <v>35885</v>
      </c>
      <c r="E1523" s="28" t="s">
        <v>4975</v>
      </c>
      <c r="F1523" s="28" t="s">
        <v>27</v>
      </c>
      <c r="G1523" s="28" t="s">
        <v>20</v>
      </c>
      <c r="H1523" s="28" t="s">
        <v>21</v>
      </c>
      <c r="I1523" s="28" t="s">
        <v>21</v>
      </c>
      <c r="J1523" s="28" t="s">
        <v>4976</v>
      </c>
      <c r="K1523" s="28" t="s">
        <v>21</v>
      </c>
      <c r="L1523" s="28" t="s">
        <v>88</v>
      </c>
      <c r="M1523" s="28" t="s">
        <v>21</v>
      </c>
      <c r="O1523" s="92">
        <v>35951</v>
      </c>
      <c r="P1523" s="28" t="s">
        <v>31</v>
      </c>
      <c r="Q1523" s="26" t="b">
        <v>0</v>
      </c>
      <c r="R1523" s="22">
        <f t="shared" si="23"/>
        <v>65</v>
      </c>
    </row>
    <row r="1524" spans="1:18">
      <c r="A1524" s="26">
        <v>4200</v>
      </c>
      <c r="B1524" s="27">
        <v>35888</v>
      </c>
      <c r="C1524" s="28" t="s">
        <v>4977</v>
      </c>
      <c r="D1524" s="27">
        <v>35888</v>
      </c>
      <c r="E1524" s="28" t="s">
        <v>4978</v>
      </c>
      <c r="F1524" s="28" t="s">
        <v>39</v>
      </c>
      <c r="G1524" s="28" t="s">
        <v>20</v>
      </c>
      <c r="H1524" s="28" t="s">
        <v>21</v>
      </c>
      <c r="I1524" s="28" t="s">
        <v>21</v>
      </c>
      <c r="J1524" s="28" t="s">
        <v>4979</v>
      </c>
      <c r="K1524" s="28" t="s">
        <v>21</v>
      </c>
      <c r="L1524" s="28" t="s">
        <v>4748</v>
      </c>
      <c r="M1524" s="28" t="s">
        <v>21</v>
      </c>
      <c r="N1524" s="18"/>
      <c r="O1524" s="92">
        <v>36320</v>
      </c>
      <c r="P1524" s="28" t="s">
        <v>21</v>
      </c>
      <c r="Q1524" s="26" t="b">
        <v>0</v>
      </c>
      <c r="R1524" s="22">
        <f t="shared" si="23"/>
        <v>431</v>
      </c>
    </row>
    <row r="1525" spans="1:18">
      <c r="A1525" s="26">
        <v>4668</v>
      </c>
      <c r="B1525" s="27">
        <v>35890</v>
      </c>
      <c r="C1525" s="28" t="s">
        <v>5697</v>
      </c>
      <c r="D1525" s="27">
        <v>36255</v>
      </c>
      <c r="E1525" s="28" t="s">
        <v>5698</v>
      </c>
      <c r="F1525" s="28" t="s">
        <v>283</v>
      </c>
      <c r="G1525" s="28" t="s">
        <v>20</v>
      </c>
      <c r="H1525" s="28" t="s">
        <v>21</v>
      </c>
      <c r="I1525" s="28" t="s">
        <v>21</v>
      </c>
      <c r="J1525" s="28" t="s">
        <v>5699</v>
      </c>
      <c r="K1525" s="28" t="s">
        <v>21</v>
      </c>
      <c r="L1525" s="28" t="s">
        <v>66</v>
      </c>
      <c r="M1525" s="28" t="s">
        <v>21</v>
      </c>
      <c r="O1525" s="92">
        <v>36448</v>
      </c>
      <c r="P1525" s="28" t="s">
        <v>31</v>
      </c>
      <c r="Q1525" s="26" t="b">
        <v>0</v>
      </c>
      <c r="R1525" s="22">
        <f t="shared" si="23"/>
        <v>557</v>
      </c>
    </row>
    <row r="1526" spans="1:18">
      <c r="A1526" s="26">
        <v>4201</v>
      </c>
      <c r="B1526" s="27">
        <v>35891</v>
      </c>
      <c r="C1526" s="28" t="s">
        <v>4980</v>
      </c>
      <c r="D1526" s="27">
        <v>35867</v>
      </c>
      <c r="E1526" s="28" t="s">
        <v>1204</v>
      </c>
      <c r="F1526" s="28" t="s">
        <v>149</v>
      </c>
      <c r="G1526" s="28" t="s">
        <v>20</v>
      </c>
      <c r="H1526" s="28" t="s">
        <v>21</v>
      </c>
      <c r="I1526" s="28" t="s">
        <v>21</v>
      </c>
      <c r="J1526" s="28" t="s">
        <v>4981</v>
      </c>
      <c r="K1526" s="28" t="s">
        <v>4982</v>
      </c>
      <c r="L1526" s="28" t="s">
        <v>66</v>
      </c>
      <c r="M1526" s="28" t="s">
        <v>21</v>
      </c>
      <c r="O1526" s="92">
        <v>35873</v>
      </c>
      <c r="P1526" s="28" t="s">
        <v>21</v>
      </c>
      <c r="Q1526" s="26" t="b">
        <v>0</v>
      </c>
      <c r="R1526" s="22">
        <f t="shared" si="23"/>
        <v>17</v>
      </c>
    </row>
    <row r="1527" spans="1:18">
      <c r="A1527" s="26">
        <v>4204</v>
      </c>
      <c r="B1527" s="27">
        <v>35893</v>
      </c>
      <c r="C1527" s="28" t="s">
        <v>4983</v>
      </c>
      <c r="D1527" s="27">
        <v>35886</v>
      </c>
      <c r="E1527" s="28" t="s">
        <v>38</v>
      </c>
      <c r="F1527" s="28" t="s">
        <v>98</v>
      </c>
      <c r="G1527" s="28" t="s">
        <v>20</v>
      </c>
      <c r="H1527" s="28" t="s">
        <v>21</v>
      </c>
      <c r="I1527" s="28" t="s">
        <v>21</v>
      </c>
      <c r="J1527" s="28" t="s">
        <v>457</v>
      </c>
      <c r="K1527" s="28" t="s">
        <v>21</v>
      </c>
      <c r="L1527" s="28" t="s">
        <v>3969</v>
      </c>
      <c r="M1527" s="28" t="s">
        <v>21</v>
      </c>
      <c r="O1527" s="92">
        <v>35955</v>
      </c>
      <c r="P1527" s="28" t="s">
        <v>31</v>
      </c>
      <c r="Q1527" s="26" t="b">
        <v>0</v>
      </c>
      <c r="R1527" s="22">
        <f t="shared" si="23"/>
        <v>61</v>
      </c>
    </row>
    <row r="1528" spans="1:18">
      <c r="A1528" s="26">
        <v>4205</v>
      </c>
      <c r="B1528" s="27">
        <v>35893</v>
      </c>
      <c r="C1528" s="28" t="s">
        <v>4984</v>
      </c>
      <c r="D1528" s="27">
        <v>35886</v>
      </c>
      <c r="E1528" s="28" t="s">
        <v>4985</v>
      </c>
      <c r="F1528" s="28" t="s">
        <v>124</v>
      </c>
      <c r="G1528" s="28" t="s">
        <v>20</v>
      </c>
      <c r="H1528" s="28" t="s">
        <v>189</v>
      </c>
      <c r="I1528" s="28" t="s">
        <v>189</v>
      </c>
      <c r="J1528" s="28" t="s">
        <v>4041</v>
      </c>
      <c r="K1528" s="28" t="s">
        <v>21</v>
      </c>
      <c r="L1528" s="28" t="s">
        <v>66</v>
      </c>
      <c r="M1528" s="28" t="s">
        <v>3969</v>
      </c>
      <c r="O1528" s="92">
        <v>36119</v>
      </c>
      <c r="P1528" s="28" t="s">
        <v>31</v>
      </c>
      <c r="Q1528" s="26" t="b">
        <v>0</v>
      </c>
      <c r="R1528" s="22">
        <f t="shared" si="23"/>
        <v>225</v>
      </c>
    </row>
    <row r="1529" spans="1:18">
      <c r="A1529" s="26">
        <v>4206</v>
      </c>
      <c r="B1529" s="27">
        <v>35893</v>
      </c>
      <c r="C1529" s="28" t="s">
        <v>4986</v>
      </c>
      <c r="D1529" s="18"/>
      <c r="E1529" s="28" t="s">
        <v>283</v>
      </c>
      <c r="F1529" s="28" t="s">
        <v>1686</v>
      </c>
      <c r="G1529" s="28" t="s">
        <v>20</v>
      </c>
      <c r="H1529" s="28" t="s">
        <v>21</v>
      </c>
      <c r="I1529" s="28" t="s">
        <v>21</v>
      </c>
      <c r="J1529" s="28" t="s">
        <v>4987</v>
      </c>
      <c r="K1529" s="28" t="s">
        <v>4988</v>
      </c>
      <c r="L1529" s="28" t="s">
        <v>67</v>
      </c>
      <c r="M1529" s="28" t="s">
        <v>21</v>
      </c>
      <c r="O1529" s="92">
        <v>35968</v>
      </c>
      <c r="P1529" s="28" t="s">
        <v>21</v>
      </c>
      <c r="Q1529" s="26" t="b">
        <v>0</v>
      </c>
      <c r="R1529" s="22">
        <f t="shared" si="23"/>
        <v>75</v>
      </c>
    </row>
    <row r="1530" spans="1:18">
      <c r="A1530" s="26">
        <v>4207</v>
      </c>
      <c r="B1530" s="27">
        <v>35893</v>
      </c>
      <c r="C1530" s="28" t="s">
        <v>4989</v>
      </c>
      <c r="D1530" s="27">
        <v>35889</v>
      </c>
      <c r="E1530" s="28" t="s">
        <v>4990</v>
      </c>
      <c r="F1530" s="28" t="s">
        <v>70</v>
      </c>
      <c r="G1530" s="28" t="s">
        <v>20</v>
      </c>
      <c r="H1530" s="28" t="s">
        <v>71</v>
      </c>
      <c r="I1530" s="28" t="s">
        <v>72</v>
      </c>
      <c r="J1530" s="28" t="s">
        <v>4991</v>
      </c>
      <c r="K1530" s="28" t="s">
        <v>272</v>
      </c>
      <c r="L1530" s="28" t="s">
        <v>66</v>
      </c>
      <c r="M1530" s="28" t="s">
        <v>21</v>
      </c>
      <c r="O1530" s="92">
        <v>36224</v>
      </c>
      <c r="P1530" s="28" t="s">
        <v>21</v>
      </c>
      <c r="Q1530" s="26" t="b">
        <v>0</v>
      </c>
      <c r="R1530" s="22">
        <f t="shared" si="23"/>
        <v>331</v>
      </c>
    </row>
    <row r="1531" spans="1:18">
      <c r="A1531" s="26">
        <v>4208</v>
      </c>
      <c r="B1531" s="27">
        <v>35893</v>
      </c>
      <c r="C1531" s="28" t="s">
        <v>4992</v>
      </c>
      <c r="D1531" s="27">
        <v>35890</v>
      </c>
      <c r="E1531" s="28" t="s">
        <v>4993</v>
      </c>
      <c r="F1531" s="28" t="s">
        <v>2580</v>
      </c>
      <c r="G1531" s="28" t="s">
        <v>20</v>
      </c>
      <c r="H1531" s="28" t="s">
        <v>71</v>
      </c>
      <c r="I1531" s="28" t="s">
        <v>72</v>
      </c>
      <c r="J1531" s="28" t="s">
        <v>4994</v>
      </c>
      <c r="K1531" s="28" t="s">
        <v>4995</v>
      </c>
      <c r="L1531" s="28" t="s">
        <v>66</v>
      </c>
      <c r="M1531" s="28" t="s">
        <v>21</v>
      </c>
      <c r="O1531" s="92">
        <v>35968</v>
      </c>
      <c r="P1531" s="28" t="s">
        <v>31</v>
      </c>
      <c r="Q1531" s="26" t="b">
        <v>0</v>
      </c>
      <c r="R1531" s="22">
        <f t="shared" si="23"/>
        <v>75</v>
      </c>
    </row>
    <row r="1532" spans="1:18">
      <c r="A1532" s="26">
        <v>4209</v>
      </c>
      <c r="B1532" s="27">
        <v>35893</v>
      </c>
      <c r="C1532" s="28" t="s">
        <v>4996</v>
      </c>
      <c r="D1532" s="27">
        <v>35890</v>
      </c>
      <c r="E1532" s="28" t="s">
        <v>4997</v>
      </c>
      <c r="F1532" s="28" t="s">
        <v>70</v>
      </c>
      <c r="G1532" s="28" t="s">
        <v>20</v>
      </c>
      <c r="H1532" s="28" t="s">
        <v>71</v>
      </c>
      <c r="I1532" s="28" t="s">
        <v>72</v>
      </c>
      <c r="J1532" s="28" t="s">
        <v>4998</v>
      </c>
      <c r="K1532" s="28" t="s">
        <v>21</v>
      </c>
      <c r="L1532" s="28" t="s">
        <v>66</v>
      </c>
      <c r="M1532" s="28" t="s">
        <v>21</v>
      </c>
      <c r="O1532" s="92">
        <v>35984</v>
      </c>
      <c r="P1532" s="28" t="s">
        <v>21</v>
      </c>
      <c r="Q1532" s="26" t="b">
        <v>0</v>
      </c>
      <c r="R1532" s="22">
        <f t="shared" si="23"/>
        <v>91</v>
      </c>
    </row>
    <row r="1533" spans="1:18">
      <c r="A1533" s="26">
        <v>4211</v>
      </c>
      <c r="B1533" s="27">
        <v>35900</v>
      </c>
      <c r="C1533" s="28" t="s">
        <v>4999</v>
      </c>
      <c r="D1533" s="27">
        <v>35899</v>
      </c>
      <c r="E1533" s="28" t="s">
        <v>5000</v>
      </c>
      <c r="F1533" s="28" t="s">
        <v>149</v>
      </c>
      <c r="G1533" s="28" t="s">
        <v>20</v>
      </c>
      <c r="H1533" s="28" t="s">
        <v>21</v>
      </c>
      <c r="I1533" s="28" t="s">
        <v>21</v>
      </c>
      <c r="J1533" s="28" t="s">
        <v>5001</v>
      </c>
      <c r="K1533" s="28" t="s">
        <v>5002</v>
      </c>
      <c r="L1533" s="28" t="s">
        <v>5003</v>
      </c>
      <c r="M1533" s="28" t="s">
        <v>21</v>
      </c>
      <c r="O1533" s="92">
        <v>37747</v>
      </c>
      <c r="P1533" s="28" t="s">
        <v>31</v>
      </c>
      <c r="Q1533" s="26" t="b">
        <v>0</v>
      </c>
      <c r="R1533" s="22">
        <f t="shared" si="23"/>
        <v>1846</v>
      </c>
    </row>
    <row r="1534" spans="1:18">
      <c r="A1534" s="26">
        <v>4212</v>
      </c>
      <c r="B1534" s="27">
        <v>35906</v>
      </c>
      <c r="C1534" s="28" t="s">
        <v>5004</v>
      </c>
      <c r="D1534" s="27">
        <v>35899</v>
      </c>
      <c r="E1534" s="28" t="s">
        <v>38</v>
      </c>
      <c r="F1534" s="28" t="s">
        <v>56</v>
      </c>
      <c r="G1534" s="28" t="s">
        <v>20</v>
      </c>
      <c r="H1534" s="28" t="s">
        <v>21</v>
      </c>
      <c r="I1534" s="28" t="s">
        <v>21</v>
      </c>
      <c r="J1534" s="28" t="s">
        <v>5005</v>
      </c>
      <c r="K1534" s="28" t="s">
        <v>21</v>
      </c>
      <c r="L1534" s="28" t="s">
        <v>67</v>
      </c>
      <c r="M1534" s="28" t="s">
        <v>21</v>
      </c>
      <c r="O1534" s="92">
        <v>35944</v>
      </c>
      <c r="P1534" s="28" t="s">
        <v>21</v>
      </c>
      <c r="Q1534" s="26" t="b">
        <v>0</v>
      </c>
      <c r="R1534" s="22">
        <f t="shared" si="23"/>
        <v>38</v>
      </c>
    </row>
    <row r="1535" spans="1:18">
      <c r="A1535" s="26">
        <v>4214</v>
      </c>
      <c r="B1535" s="27">
        <v>35906</v>
      </c>
      <c r="C1535" s="28" t="s">
        <v>5006</v>
      </c>
      <c r="D1535" s="29">
        <v>35892</v>
      </c>
      <c r="E1535" s="28" t="s">
        <v>5007</v>
      </c>
      <c r="F1535" s="28" t="s">
        <v>1047</v>
      </c>
      <c r="G1535" s="28" t="s">
        <v>20</v>
      </c>
      <c r="H1535" s="28" t="s">
        <v>71</v>
      </c>
      <c r="I1535" s="28" t="s">
        <v>72</v>
      </c>
      <c r="J1535" s="28" t="s">
        <v>5008</v>
      </c>
      <c r="K1535" s="28" t="s">
        <v>5009</v>
      </c>
      <c r="L1535" s="28" t="s">
        <v>821</v>
      </c>
      <c r="M1535" s="28" t="s">
        <v>1946</v>
      </c>
      <c r="O1535" s="92">
        <v>36803</v>
      </c>
      <c r="P1535" s="28" t="s">
        <v>31</v>
      </c>
      <c r="Q1535" s="26" t="b">
        <v>0</v>
      </c>
      <c r="R1535" s="22">
        <f t="shared" si="23"/>
        <v>895</v>
      </c>
    </row>
    <row r="1536" spans="1:18" ht="24">
      <c r="A1536" s="26">
        <v>4215</v>
      </c>
      <c r="B1536" s="27">
        <v>35906</v>
      </c>
      <c r="C1536" s="28" t="s">
        <v>5010</v>
      </c>
      <c r="D1536" s="29">
        <v>35895</v>
      </c>
      <c r="E1536" s="28" t="s">
        <v>5011</v>
      </c>
      <c r="F1536" s="28" t="s">
        <v>5012</v>
      </c>
      <c r="G1536" s="28" t="s">
        <v>20</v>
      </c>
      <c r="H1536" s="28" t="s">
        <v>71</v>
      </c>
      <c r="I1536" s="28" t="s">
        <v>72</v>
      </c>
      <c r="J1536" s="28" t="s">
        <v>5013</v>
      </c>
      <c r="K1536" s="28" t="s">
        <v>5014</v>
      </c>
      <c r="L1536" s="28" t="s">
        <v>821</v>
      </c>
      <c r="M1536" s="28" t="s">
        <v>1946</v>
      </c>
      <c r="O1536" s="92">
        <v>36803</v>
      </c>
      <c r="P1536" s="28" t="s">
        <v>21</v>
      </c>
      <c r="Q1536" s="26" t="b">
        <v>0</v>
      </c>
      <c r="R1536" s="22">
        <f t="shared" si="23"/>
        <v>895</v>
      </c>
    </row>
    <row r="1537" spans="1:18">
      <c r="A1537" s="26">
        <v>4216</v>
      </c>
      <c r="B1537" s="27">
        <v>35906</v>
      </c>
      <c r="C1537" s="28" t="s">
        <v>5015</v>
      </c>
      <c r="E1537" s="28" t="s">
        <v>2925</v>
      </c>
      <c r="F1537" s="28" t="s">
        <v>56</v>
      </c>
      <c r="G1537" s="28" t="s">
        <v>20</v>
      </c>
      <c r="H1537" s="28" t="s">
        <v>21</v>
      </c>
      <c r="I1537" s="28" t="s">
        <v>21</v>
      </c>
      <c r="J1537" s="28" t="s">
        <v>5016</v>
      </c>
      <c r="K1537" s="28" t="s">
        <v>21</v>
      </c>
      <c r="L1537" s="28" t="s">
        <v>686</v>
      </c>
      <c r="M1537" s="28" t="s">
        <v>21</v>
      </c>
      <c r="O1537" s="92">
        <v>36297</v>
      </c>
      <c r="P1537" s="28" t="s">
        <v>21</v>
      </c>
      <c r="Q1537" s="26" t="b">
        <v>0</v>
      </c>
      <c r="R1537" s="22">
        <f t="shared" si="23"/>
        <v>391</v>
      </c>
    </row>
    <row r="1538" spans="1:18" ht="24">
      <c r="A1538" s="26">
        <v>4217</v>
      </c>
      <c r="B1538" s="27">
        <v>35907</v>
      </c>
      <c r="C1538" s="28" t="s">
        <v>5017</v>
      </c>
      <c r="D1538" s="29">
        <v>35902</v>
      </c>
      <c r="E1538" s="28" t="s">
        <v>5018</v>
      </c>
      <c r="F1538" s="28" t="s">
        <v>228</v>
      </c>
      <c r="G1538" s="28" t="s">
        <v>20</v>
      </c>
      <c r="H1538" s="28" t="s">
        <v>21</v>
      </c>
      <c r="I1538" s="28" t="s">
        <v>21</v>
      </c>
      <c r="J1538" s="28" t="s">
        <v>5019</v>
      </c>
      <c r="K1538" s="28" t="s">
        <v>21</v>
      </c>
      <c r="L1538" s="28" t="s">
        <v>66</v>
      </c>
      <c r="M1538" s="28" t="s">
        <v>21</v>
      </c>
      <c r="O1538" s="92">
        <v>37659</v>
      </c>
      <c r="P1538" s="28" t="s">
        <v>21</v>
      </c>
      <c r="Q1538" s="26" t="b">
        <v>0</v>
      </c>
      <c r="R1538" s="22">
        <f t="shared" ref="R1538:R1601" si="24">IF(O1538=" ", " ", INT(YEARFRAC(O1538, B1538)*365))</f>
        <v>1748</v>
      </c>
    </row>
    <row r="1539" spans="1:18">
      <c r="A1539" s="26">
        <v>4218</v>
      </c>
      <c r="B1539" s="27">
        <v>35907</v>
      </c>
      <c r="C1539" s="28" t="s">
        <v>5020</v>
      </c>
      <c r="D1539" s="29">
        <v>35900</v>
      </c>
      <c r="E1539" s="28" t="s">
        <v>5021</v>
      </c>
      <c r="F1539" s="28" t="s">
        <v>149</v>
      </c>
      <c r="G1539" s="28" t="s">
        <v>20</v>
      </c>
      <c r="H1539" s="28" t="s">
        <v>21</v>
      </c>
      <c r="I1539" s="28" t="s">
        <v>21</v>
      </c>
      <c r="J1539" s="28" t="s">
        <v>2469</v>
      </c>
      <c r="K1539" s="28" t="s">
        <v>5022</v>
      </c>
      <c r="L1539" s="28" t="s">
        <v>66</v>
      </c>
      <c r="M1539" s="28" t="s">
        <v>21</v>
      </c>
      <c r="O1539" s="92">
        <v>37383</v>
      </c>
      <c r="P1539" s="28" t="s">
        <v>21</v>
      </c>
      <c r="Q1539" s="26" t="b">
        <v>0</v>
      </c>
      <c r="R1539" s="22">
        <f t="shared" si="24"/>
        <v>1475</v>
      </c>
    </row>
    <row r="1540" spans="1:18" ht="24">
      <c r="A1540" s="26">
        <v>4219</v>
      </c>
      <c r="B1540" s="27">
        <v>35912</v>
      </c>
      <c r="C1540" s="28" t="s">
        <v>5023</v>
      </c>
      <c r="D1540" s="29">
        <v>35893</v>
      </c>
      <c r="E1540" s="28" t="s">
        <v>5024</v>
      </c>
      <c r="F1540" s="28" t="s">
        <v>211</v>
      </c>
      <c r="G1540" s="28" t="s">
        <v>20</v>
      </c>
      <c r="H1540" s="28" t="s">
        <v>212</v>
      </c>
      <c r="I1540" s="28" t="s">
        <v>212</v>
      </c>
      <c r="J1540" s="28" t="s">
        <v>5025</v>
      </c>
      <c r="K1540" s="28" t="s">
        <v>21</v>
      </c>
      <c r="L1540" s="28" t="s">
        <v>686</v>
      </c>
      <c r="M1540" s="28" t="s">
        <v>21</v>
      </c>
      <c r="O1540" s="92">
        <v>36276</v>
      </c>
      <c r="P1540" s="28" t="s">
        <v>21</v>
      </c>
      <c r="Q1540" s="26" t="b">
        <v>0</v>
      </c>
      <c r="R1540" s="22">
        <f t="shared" si="24"/>
        <v>363</v>
      </c>
    </row>
    <row r="1541" spans="1:18">
      <c r="A1541" s="26">
        <v>4220</v>
      </c>
      <c r="B1541" s="27">
        <v>35912</v>
      </c>
      <c r="C1541" s="28" t="s">
        <v>5026</v>
      </c>
      <c r="D1541" s="29">
        <v>35898</v>
      </c>
      <c r="E1541" s="28" t="s">
        <v>5027</v>
      </c>
      <c r="F1541" s="28" t="s">
        <v>1771</v>
      </c>
      <c r="G1541" s="28" t="s">
        <v>20</v>
      </c>
      <c r="H1541" s="28" t="s">
        <v>189</v>
      </c>
      <c r="I1541" s="28" t="s">
        <v>189</v>
      </c>
      <c r="J1541" s="28" t="s">
        <v>5028</v>
      </c>
      <c r="K1541" s="28" t="s">
        <v>21</v>
      </c>
      <c r="L1541" s="28" t="s">
        <v>66</v>
      </c>
      <c r="M1541" s="28" t="s">
        <v>21</v>
      </c>
      <c r="O1541" s="92">
        <v>36025</v>
      </c>
      <c r="P1541" s="28" t="s">
        <v>21</v>
      </c>
      <c r="Q1541" s="26" t="b">
        <v>0</v>
      </c>
      <c r="R1541" s="22">
        <f t="shared" si="24"/>
        <v>112</v>
      </c>
    </row>
    <row r="1542" spans="1:18">
      <c r="A1542" s="26">
        <v>4221</v>
      </c>
      <c r="B1542" s="27">
        <v>35912</v>
      </c>
      <c r="C1542" s="28" t="s">
        <v>5029</v>
      </c>
      <c r="D1542" s="29">
        <v>35908</v>
      </c>
      <c r="E1542" s="28" t="s">
        <v>38</v>
      </c>
      <c r="F1542" s="28" t="s">
        <v>228</v>
      </c>
      <c r="G1542" s="28" t="s">
        <v>20</v>
      </c>
      <c r="H1542" s="28" t="s">
        <v>21</v>
      </c>
      <c r="I1542" s="28" t="s">
        <v>21</v>
      </c>
      <c r="J1542" s="28" t="s">
        <v>5030</v>
      </c>
      <c r="K1542" s="28" t="s">
        <v>21</v>
      </c>
      <c r="L1542" s="28" t="s">
        <v>3969</v>
      </c>
      <c r="M1542" s="28" t="s">
        <v>21</v>
      </c>
      <c r="O1542" s="92">
        <v>35954</v>
      </c>
      <c r="P1542" s="28" t="s">
        <v>31</v>
      </c>
      <c r="Q1542" s="26" t="b">
        <v>0</v>
      </c>
      <c r="R1542" s="22">
        <f t="shared" si="24"/>
        <v>41</v>
      </c>
    </row>
    <row r="1543" spans="1:18">
      <c r="A1543" s="26">
        <v>4223</v>
      </c>
      <c r="B1543" s="27">
        <v>35915</v>
      </c>
      <c r="C1543" s="28" t="s">
        <v>5031</v>
      </c>
      <c r="D1543" s="29">
        <v>35906</v>
      </c>
      <c r="E1543" s="28" t="s">
        <v>38</v>
      </c>
      <c r="F1543" s="28" t="s">
        <v>2727</v>
      </c>
      <c r="G1543" s="28" t="s">
        <v>20</v>
      </c>
      <c r="H1543" s="28" t="s">
        <v>71</v>
      </c>
      <c r="I1543" s="28" t="s">
        <v>72</v>
      </c>
      <c r="J1543" s="28" t="s">
        <v>5032</v>
      </c>
      <c r="K1543" s="28" t="s">
        <v>21</v>
      </c>
      <c r="L1543" s="28" t="s">
        <v>66</v>
      </c>
      <c r="M1543" s="28" t="s">
        <v>21</v>
      </c>
      <c r="O1543" s="92">
        <v>35964</v>
      </c>
      <c r="P1543" s="28" t="s">
        <v>21</v>
      </c>
      <c r="Q1543" s="26" t="b">
        <v>0</v>
      </c>
      <c r="R1543" s="22">
        <f t="shared" si="24"/>
        <v>48</v>
      </c>
    </row>
    <row r="1544" spans="1:18" ht="24">
      <c r="A1544" s="26">
        <v>4225</v>
      </c>
      <c r="B1544" s="27">
        <v>35916</v>
      </c>
      <c r="C1544" s="28" t="s">
        <v>5033</v>
      </c>
      <c r="D1544" s="29">
        <v>35914</v>
      </c>
      <c r="E1544" s="28" t="s">
        <v>5034</v>
      </c>
      <c r="F1544" s="28" t="s">
        <v>85</v>
      </c>
      <c r="G1544" s="28" t="s">
        <v>20</v>
      </c>
      <c r="H1544" s="28" t="s">
        <v>21</v>
      </c>
      <c r="I1544" s="28" t="s">
        <v>21</v>
      </c>
      <c r="J1544" s="28" t="s">
        <v>5035</v>
      </c>
      <c r="K1544" s="28" t="s">
        <v>2763</v>
      </c>
      <c r="L1544" s="28" t="s">
        <v>686</v>
      </c>
      <c r="M1544" s="28" t="s">
        <v>21</v>
      </c>
      <c r="O1544" s="92">
        <v>36472</v>
      </c>
      <c r="P1544" s="28" t="s">
        <v>21</v>
      </c>
      <c r="Q1544" s="26" t="b">
        <v>0</v>
      </c>
      <c r="R1544" s="22">
        <f t="shared" si="24"/>
        <v>554</v>
      </c>
    </row>
    <row r="1545" spans="1:18">
      <c r="A1545" s="26">
        <v>4226</v>
      </c>
      <c r="B1545" s="27">
        <v>35916</v>
      </c>
      <c r="C1545" s="28" t="s">
        <v>5036</v>
      </c>
      <c r="D1545" s="29">
        <v>35913</v>
      </c>
      <c r="E1545" s="28" t="s">
        <v>5037</v>
      </c>
      <c r="F1545" s="28" t="s">
        <v>70</v>
      </c>
      <c r="G1545" s="28" t="s">
        <v>20</v>
      </c>
      <c r="H1545" s="28" t="s">
        <v>71</v>
      </c>
      <c r="I1545" s="28" t="s">
        <v>72</v>
      </c>
      <c r="J1545" s="28" t="s">
        <v>74</v>
      </c>
      <c r="K1545" s="28" t="s">
        <v>5038</v>
      </c>
      <c r="L1545" s="28" t="s">
        <v>66</v>
      </c>
      <c r="M1545" s="28" t="s">
        <v>21</v>
      </c>
      <c r="O1545" s="92">
        <v>36236</v>
      </c>
      <c r="P1545" s="28" t="s">
        <v>21</v>
      </c>
      <c r="Q1545" s="26" t="b">
        <v>0</v>
      </c>
      <c r="R1545" s="22">
        <f t="shared" si="24"/>
        <v>320</v>
      </c>
    </row>
    <row r="1546" spans="1:18" ht="24">
      <c r="A1546" s="26">
        <v>4228</v>
      </c>
      <c r="B1546" s="27">
        <v>35916</v>
      </c>
      <c r="C1546" s="28" t="s">
        <v>5039</v>
      </c>
      <c r="D1546" s="29">
        <v>35902</v>
      </c>
      <c r="E1546" s="28" t="s">
        <v>5040</v>
      </c>
      <c r="F1546" s="28" t="s">
        <v>741</v>
      </c>
      <c r="G1546" s="28" t="s">
        <v>20</v>
      </c>
      <c r="H1546" s="28" t="s">
        <v>21</v>
      </c>
      <c r="I1546" s="28" t="s">
        <v>21</v>
      </c>
      <c r="J1546" s="28" t="s">
        <v>5041</v>
      </c>
      <c r="K1546" s="28" t="s">
        <v>21</v>
      </c>
      <c r="L1546" s="28" t="s">
        <v>686</v>
      </c>
      <c r="M1546" s="28" t="s">
        <v>21</v>
      </c>
      <c r="O1546" s="92">
        <v>35919</v>
      </c>
      <c r="P1546" s="28" t="s">
        <v>21</v>
      </c>
      <c r="Q1546" s="26" t="b">
        <v>0</v>
      </c>
      <c r="R1546" s="22">
        <f t="shared" si="24"/>
        <v>3</v>
      </c>
    </row>
    <row r="1547" spans="1:18">
      <c r="A1547" s="26">
        <v>4229</v>
      </c>
      <c r="B1547" s="27">
        <v>35922</v>
      </c>
      <c r="C1547" s="28" t="s">
        <v>5042</v>
      </c>
      <c r="D1547" s="29">
        <v>35916</v>
      </c>
      <c r="E1547" s="28" t="s">
        <v>5043</v>
      </c>
      <c r="F1547" s="28" t="s">
        <v>211</v>
      </c>
      <c r="G1547" s="28" t="s">
        <v>20</v>
      </c>
      <c r="H1547" s="28" t="s">
        <v>212</v>
      </c>
      <c r="I1547" s="28" t="s">
        <v>212</v>
      </c>
      <c r="J1547" s="28" t="s">
        <v>2694</v>
      </c>
      <c r="K1547" s="28" t="s">
        <v>5044</v>
      </c>
      <c r="L1547" s="28" t="s">
        <v>686</v>
      </c>
      <c r="M1547" s="28" t="s">
        <v>21</v>
      </c>
      <c r="O1547" s="92">
        <v>36276</v>
      </c>
      <c r="P1547" s="28" t="s">
        <v>31</v>
      </c>
      <c r="Q1547" s="26" t="b">
        <v>0</v>
      </c>
      <c r="R1547" s="22">
        <f t="shared" si="24"/>
        <v>353</v>
      </c>
    </row>
    <row r="1548" spans="1:18">
      <c r="A1548" s="26">
        <v>4231</v>
      </c>
      <c r="B1548" s="27">
        <v>35922</v>
      </c>
      <c r="C1548" s="28" t="s">
        <v>5045</v>
      </c>
      <c r="E1548" s="28" t="s">
        <v>38</v>
      </c>
      <c r="F1548" s="28" t="s">
        <v>1061</v>
      </c>
      <c r="G1548" s="28" t="s">
        <v>21</v>
      </c>
      <c r="H1548" s="28" t="s">
        <v>21</v>
      </c>
      <c r="I1548" s="28" t="s">
        <v>21</v>
      </c>
      <c r="J1548" s="28" t="s">
        <v>5046</v>
      </c>
      <c r="K1548" s="28" t="s">
        <v>5047</v>
      </c>
      <c r="L1548" s="28" t="s">
        <v>4282</v>
      </c>
      <c r="M1548" s="28" t="s">
        <v>4584</v>
      </c>
      <c r="O1548" s="92">
        <v>35958</v>
      </c>
      <c r="P1548" s="28" t="s">
        <v>21</v>
      </c>
      <c r="Q1548" s="26" t="b">
        <v>0</v>
      </c>
      <c r="R1548" s="22">
        <f t="shared" si="24"/>
        <v>35</v>
      </c>
    </row>
    <row r="1549" spans="1:18">
      <c r="A1549" s="26">
        <v>4232</v>
      </c>
      <c r="B1549" s="27">
        <v>35923</v>
      </c>
      <c r="C1549" s="28" t="s">
        <v>5048</v>
      </c>
      <c r="D1549" s="29">
        <v>35922</v>
      </c>
      <c r="E1549" s="28" t="s">
        <v>5049</v>
      </c>
      <c r="F1549" s="28" t="s">
        <v>533</v>
      </c>
      <c r="G1549" s="28" t="s">
        <v>20</v>
      </c>
      <c r="H1549" s="28" t="s">
        <v>21</v>
      </c>
      <c r="I1549" s="28" t="s">
        <v>21</v>
      </c>
      <c r="J1549" s="28" t="s">
        <v>272</v>
      </c>
      <c r="K1549" s="28" t="s">
        <v>5050</v>
      </c>
      <c r="L1549" s="28" t="s">
        <v>686</v>
      </c>
      <c r="M1549" s="28" t="s">
        <v>21</v>
      </c>
      <c r="O1549" s="92">
        <v>36347</v>
      </c>
      <c r="P1549" s="28" t="s">
        <v>21</v>
      </c>
      <c r="Q1549" s="26" t="b">
        <v>0</v>
      </c>
      <c r="R1549" s="22">
        <f t="shared" si="24"/>
        <v>423</v>
      </c>
    </row>
    <row r="1550" spans="1:18">
      <c r="A1550" s="26">
        <v>4233</v>
      </c>
      <c r="B1550" s="27">
        <v>35926</v>
      </c>
      <c r="C1550" s="28" t="s">
        <v>5051</v>
      </c>
      <c r="D1550" s="29">
        <v>35921</v>
      </c>
      <c r="E1550" s="28" t="s">
        <v>5052</v>
      </c>
      <c r="F1550" s="28" t="s">
        <v>129</v>
      </c>
      <c r="G1550" s="28" t="s">
        <v>20</v>
      </c>
      <c r="H1550" s="28" t="s">
        <v>21</v>
      </c>
      <c r="I1550" s="28" t="s">
        <v>21</v>
      </c>
      <c r="J1550" s="28" t="s">
        <v>5053</v>
      </c>
      <c r="K1550" s="28" t="s">
        <v>21</v>
      </c>
      <c r="L1550" s="28" t="s">
        <v>67</v>
      </c>
      <c r="M1550" s="28" t="s">
        <v>21</v>
      </c>
      <c r="O1550" s="92">
        <v>35972</v>
      </c>
      <c r="P1550" s="28" t="s">
        <v>31</v>
      </c>
      <c r="Q1550" s="26" t="b">
        <v>0</v>
      </c>
      <c r="R1550" s="22">
        <f t="shared" si="24"/>
        <v>45</v>
      </c>
    </row>
    <row r="1551" spans="1:18">
      <c r="A1551" s="26">
        <v>4234</v>
      </c>
      <c r="B1551" s="27">
        <v>35927</v>
      </c>
      <c r="C1551" s="28" t="s">
        <v>5054</v>
      </c>
      <c r="D1551" s="29">
        <v>35926</v>
      </c>
      <c r="E1551" s="28" t="s">
        <v>5055</v>
      </c>
      <c r="F1551" s="28" t="s">
        <v>27</v>
      </c>
      <c r="G1551" s="28" t="s">
        <v>20</v>
      </c>
      <c r="H1551" s="28" t="s">
        <v>21</v>
      </c>
      <c r="I1551" s="28" t="s">
        <v>21</v>
      </c>
      <c r="J1551" s="28" t="s">
        <v>5056</v>
      </c>
      <c r="K1551" s="28" t="s">
        <v>5057</v>
      </c>
      <c r="L1551" s="28" t="s">
        <v>66</v>
      </c>
      <c r="M1551" s="28" t="s">
        <v>686</v>
      </c>
      <c r="O1551" s="92">
        <v>37621</v>
      </c>
      <c r="P1551" s="28" t="s">
        <v>21</v>
      </c>
      <c r="Q1551" s="26" t="b">
        <v>0</v>
      </c>
      <c r="R1551" s="22">
        <f t="shared" si="24"/>
        <v>1692</v>
      </c>
    </row>
    <row r="1552" spans="1:18">
      <c r="A1552" s="26">
        <v>4235</v>
      </c>
      <c r="B1552" s="27">
        <v>35927</v>
      </c>
      <c r="C1552" s="28" t="s">
        <v>5058</v>
      </c>
      <c r="D1552" s="29">
        <v>35926</v>
      </c>
      <c r="E1552" s="28" t="s">
        <v>38</v>
      </c>
      <c r="F1552" s="28" t="s">
        <v>3847</v>
      </c>
      <c r="G1552" s="28" t="s">
        <v>20</v>
      </c>
      <c r="H1552" s="28" t="s">
        <v>21</v>
      </c>
      <c r="I1552" s="28" t="s">
        <v>21</v>
      </c>
      <c r="J1552" s="28" t="s">
        <v>5059</v>
      </c>
      <c r="K1552" s="28" t="s">
        <v>5060</v>
      </c>
      <c r="L1552" s="28" t="s">
        <v>3969</v>
      </c>
      <c r="M1552" s="28" t="s">
        <v>21</v>
      </c>
      <c r="O1552" s="92">
        <v>36068</v>
      </c>
      <c r="P1552" s="28" t="s">
        <v>21</v>
      </c>
      <c r="Q1552" s="26" t="b">
        <v>0</v>
      </c>
      <c r="R1552" s="22">
        <f t="shared" si="24"/>
        <v>139</v>
      </c>
    </row>
    <row r="1553" spans="1:18" ht="24">
      <c r="A1553" s="26">
        <v>4236</v>
      </c>
      <c r="B1553" s="27">
        <v>35954</v>
      </c>
      <c r="C1553" s="28" t="s">
        <v>5061</v>
      </c>
      <c r="D1553" s="29">
        <v>35949</v>
      </c>
      <c r="E1553" s="28" t="s">
        <v>5062</v>
      </c>
      <c r="F1553" s="28" t="s">
        <v>2580</v>
      </c>
      <c r="G1553" s="28" t="s">
        <v>20</v>
      </c>
      <c r="H1553" s="28" t="s">
        <v>71</v>
      </c>
      <c r="I1553" s="28" t="s">
        <v>72</v>
      </c>
      <c r="J1553" s="28" t="s">
        <v>5063</v>
      </c>
      <c r="K1553" s="28" t="s">
        <v>5064</v>
      </c>
      <c r="L1553" s="28" t="s">
        <v>314</v>
      </c>
      <c r="M1553" s="28" t="s">
        <v>1800</v>
      </c>
      <c r="O1553" s="92">
        <v>37540</v>
      </c>
      <c r="P1553" s="28" t="s">
        <v>31</v>
      </c>
      <c r="Q1553" s="26" t="b">
        <v>0</v>
      </c>
      <c r="R1553" s="22">
        <f t="shared" si="24"/>
        <v>1584</v>
      </c>
    </row>
    <row r="1554" spans="1:18">
      <c r="A1554" s="26">
        <v>4237</v>
      </c>
      <c r="B1554" s="27">
        <v>35954</v>
      </c>
      <c r="C1554" s="28" t="s">
        <v>5065</v>
      </c>
      <c r="D1554" s="29">
        <v>35912</v>
      </c>
      <c r="E1554" s="28" t="s">
        <v>38</v>
      </c>
      <c r="F1554" s="28" t="s">
        <v>4169</v>
      </c>
      <c r="G1554" s="28" t="s">
        <v>20</v>
      </c>
      <c r="H1554" s="28" t="s">
        <v>21</v>
      </c>
      <c r="I1554" s="28" t="s">
        <v>21</v>
      </c>
      <c r="J1554" s="28" t="s">
        <v>5066</v>
      </c>
      <c r="K1554" s="28" t="s">
        <v>5067</v>
      </c>
      <c r="L1554" s="28" t="s">
        <v>67</v>
      </c>
      <c r="M1554" s="28" t="s">
        <v>21</v>
      </c>
      <c r="O1554" s="92">
        <v>35965</v>
      </c>
      <c r="P1554" s="28" t="s">
        <v>21</v>
      </c>
      <c r="Q1554" s="26" t="b">
        <v>0</v>
      </c>
      <c r="R1554" s="22">
        <f t="shared" si="24"/>
        <v>11</v>
      </c>
    </row>
    <row r="1555" spans="1:18">
      <c r="A1555" s="26">
        <v>4240</v>
      </c>
      <c r="B1555" s="27">
        <v>35955</v>
      </c>
      <c r="C1555" s="28" t="s">
        <v>5068</v>
      </c>
      <c r="D1555" s="29">
        <v>35954</v>
      </c>
      <c r="E1555" s="28" t="s">
        <v>5069</v>
      </c>
      <c r="F1555" s="28" t="s">
        <v>1771</v>
      </c>
      <c r="G1555" s="28" t="s">
        <v>20</v>
      </c>
      <c r="H1555" s="28" t="s">
        <v>189</v>
      </c>
      <c r="I1555" s="28" t="s">
        <v>189</v>
      </c>
      <c r="J1555" s="28" t="s">
        <v>58</v>
      </c>
      <c r="K1555" s="28" t="s">
        <v>1712</v>
      </c>
      <c r="L1555" s="28" t="s">
        <v>66</v>
      </c>
      <c r="M1555" s="28" t="s">
        <v>21</v>
      </c>
      <c r="O1555" s="92">
        <v>36231</v>
      </c>
      <c r="P1555" s="28" t="s">
        <v>31</v>
      </c>
      <c r="Q1555" s="26" t="b">
        <v>0</v>
      </c>
      <c r="R1555" s="22">
        <f t="shared" si="24"/>
        <v>276</v>
      </c>
    </row>
    <row r="1556" spans="1:18" ht="24">
      <c r="A1556" s="26">
        <v>4243</v>
      </c>
      <c r="B1556" s="27">
        <v>35958</v>
      </c>
      <c r="C1556" s="28" t="s">
        <v>5070</v>
      </c>
      <c r="D1556" s="27">
        <v>35957</v>
      </c>
      <c r="E1556" s="28" t="s">
        <v>5071</v>
      </c>
      <c r="F1556" s="28" t="s">
        <v>104</v>
      </c>
      <c r="G1556" s="28" t="s">
        <v>20</v>
      </c>
      <c r="H1556" s="28" t="s">
        <v>21</v>
      </c>
      <c r="I1556" s="28" t="s">
        <v>21</v>
      </c>
      <c r="J1556" s="28" t="s">
        <v>5072</v>
      </c>
      <c r="K1556" s="28" t="s">
        <v>5073</v>
      </c>
      <c r="L1556" s="28" t="s">
        <v>686</v>
      </c>
      <c r="M1556" s="28" t="s">
        <v>88</v>
      </c>
      <c r="O1556" s="92">
        <v>36320</v>
      </c>
      <c r="P1556" s="28" t="s">
        <v>31</v>
      </c>
      <c r="Q1556" s="26" t="b">
        <v>0</v>
      </c>
      <c r="R1556" s="22">
        <f t="shared" si="24"/>
        <v>361</v>
      </c>
    </row>
    <row r="1557" spans="1:18">
      <c r="A1557" s="26">
        <v>4244</v>
      </c>
      <c r="B1557" s="27">
        <v>35962</v>
      </c>
      <c r="C1557" s="28" t="s">
        <v>5074</v>
      </c>
      <c r="D1557" s="29">
        <v>35958</v>
      </c>
      <c r="E1557" s="28" t="s">
        <v>5075</v>
      </c>
      <c r="F1557" s="28" t="s">
        <v>4004</v>
      </c>
      <c r="G1557" s="28" t="s">
        <v>20</v>
      </c>
      <c r="H1557" s="28" t="s">
        <v>189</v>
      </c>
      <c r="I1557" s="28" t="s">
        <v>189</v>
      </c>
      <c r="J1557" s="28" t="s">
        <v>5076</v>
      </c>
      <c r="K1557" s="28" t="s">
        <v>5077</v>
      </c>
      <c r="L1557" s="28" t="s">
        <v>66</v>
      </c>
      <c r="M1557" s="28" t="s">
        <v>5078</v>
      </c>
      <c r="O1557" s="92">
        <v>37662</v>
      </c>
      <c r="P1557" s="28" t="s">
        <v>21</v>
      </c>
      <c r="Q1557" s="26" t="b">
        <v>0</v>
      </c>
      <c r="R1557" s="22">
        <f t="shared" si="24"/>
        <v>1697</v>
      </c>
    </row>
    <row r="1558" spans="1:18" ht="24">
      <c r="A1558" s="26">
        <v>4246</v>
      </c>
      <c r="B1558" s="27">
        <v>35963</v>
      </c>
      <c r="C1558" s="28" t="s">
        <v>5079</v>
      </c>
      <c r="D1558" s="29">
        <v>35958</v>
      </c>
      <c r="E1558" s="28" t="s">
        <v>5080</v>
      </c>
      <c r="F1558" s="28" t="s">
        <v>104</v>
      </c>
      <c r="G1558" s="28" t="s">
        <v>20</v>
      </c>
      <c r="H1558" s="28" t="s">
        <v>21</v>
      </c>
      <c r="I1558" s="28" t="s">
        <v>21</v>
      </c>
      <c r="J1558" s="28" t="s">
        <v>5081</v>
      </c>
      <c r="K1558" s="28" t="s">
        <v>5082</v>
      </c>
      <c r="L1558" s="28" t="s">
        <v>686</v>
      </c>
      <c r="M1558" s="28" t="s">
        <v>88</v>
      </c>
      <c r="N1558" s="29">
        <v>36008</v>
      </c>
      <c r="O1558" s="92">
        <v>36320</v>
      </c>
      <c r="P1558" s="28" t="s">
        <v>31</v>
      </c>
      <c r="Q1558" s="26" t="b">
        <v>0</v>
      </c>
      <c r="R1558" s="22">
        <f t="shared" si="24"/>
        <v>356</v>
      </c>
    </row>
    <row r="1559" spans="1:18" ht="24">
      <c r="A1559" s="26">
        <v>4247</v>
      </c>
      <c r="B1559" s="27">
        <v>35963</v>
      </c>
      <c r="C1559" s="28" t="s">
        <v>5083</v>
      </c>
      <c r="D1559" s="29">
        <v>35958</v>
      </c>
      <c r="E1559" s="28" t="s">
        <v>255</v>
      </c>
      <c r="F1559" s="28" t="s">
        <v>3847</v>
      </c>
      <c r="G1559" s="28" t="s">
        <v>20</v>
      </c>
      <c r="H1559" s="28" t="s">
        <v>21</v>
      </c>
      <c r="I1559" s="28" t="s">
        <v>21</v>
      </c>
      <c r="J1559" s="28" t="s">
        <v>5084</v>
      </c>
      <c r="K1559" s="28" t="s">
        <v>21</v>
      </c>
      <c r="L1559" s="28" t="s">
        <v>3930</v>
      </c>
      <c r="M1559" s="28" t="s">
        <v>21</v>
      </c>
      <c r="O1559" s="92">
        <v>36039</v>
      </c>
      <c r="P1559" s="28" t="s">
        <v>182</v>
      </c>
      <c r="Q1559" s="26" t="b">
        <v>0</v>
      </c>
      <c r="R1559" s="22">
        <f t="shared" si="24"/>
        <v>75</v>
      </c>
    </row>
    <row r="1560" spans="1:18">
      <c r="A1560" s="26">
        <v>4248</v>
      </c>
      <c r="B1560" s="27">
        <v>35963</v>
      </c>
      <c r="C1560" s="28" t="s">
        <v>5085</v>
      </c>
      <c r="D1560" s="29">
        <v>35961</v>
      </c>
      <c r="E1560" s="28" t="s">
        <v>5086</v>
      </c>
      <c r="F1560" s="28" t="s">
        <v>104</v>
      </c>
      <c r="G1560" s="28" t="s">
        <v>20</v>
      </c>
      <c r="H1560" s="28" t="s">
        <v>21</v>
      </c>
      <c r="I1560" s="28" t="s">
        <v>21</v>
      </c>
      <c r="J1560" s="28" t="s">
        <v>5087</v>
      </c>
      <c r="K1560" s="28" t="s">
        <v>5088</v>
      </c>
      <c r="L1560" s="28" t="s">
        <v>821</v>
      </c>
      <c r="M1560" s="28" t="s">
        <v>66</v>
      </c>
      <c r="O1560" s="92">
        <v>36502</v>
      </c>
      <c r="P1560" s="28" t="s">
        <v>31</v>
      </c>
      <c r="Q1560" s="26" t="b">
        <v>0</v>
      </c>
      <c r="R1560" s="22">
        <f t="shared" si="24"/>
        <v>538</v>
      </c>
    </row>
    <row r="1561" spans="1:18">
      <c r="A1561" s="26">
        <v>4249</v>
      </c>
      <c r="B1561" s="27">
        <v>35965</v>
      </c>
      <c r="C1561" s="28" t="s">
        <v>5089</v>
      </c>
      <c r="D1561" s="29">
        <v>35937</v>
      </c>
      <c r="E1561" s="28" t="s">
        <v>5090</v>
      </c>
      <c r="F1561" s="28" t="s">
        <v>5091</v>
      </c>
      <c r="G1561" s="28" t="s">
        <v>20</v>
      </c>
      <c r="H1561" s="28" t="s">
        <v>189</v>
      </c>
      <c r="I1561" s="28" t="s">
        <v>189</v>
      </c>
      <c r="J1561" s="28" t="s">
        <v>5092</v>
      </c>
      <c r="K1561" s="28" t="s">
        <v>5046</v>
      </c>
      <c r="L1561" s="28" t="s">
        <v>4282</v>
      </c>
      <c r="M1561" s="28" t="s">
        <v>3527</v>
      </c>
      <c r="O1561" s="92">
        <v>38168</v>
      </c>
      <c r="P1561" s="28" t="s">
        <v>21</v>
      </c>
      <c r="Q1561" s="26" t="b">
        <v>0</v>
      </c>
      <c r="R1561" s="22">
        <f t="shared" si="24"/>
        <v>2201</v>
      </c>
    </row>
    <row r="1562" spans="1:18">
      <c r="A1562" s="26">
        <v>4250</v>
      </c>
      <c r="B1562" s="27">
        <v>35968</v>
      </c>
      <c r="C1562" s="28" t="s">
        <v>5093</v>
      </c>
      <c r="D1562" s="29">
        <v>35909</v>
      </c>
      <c r="E1562" s="28" t="s">
        <v>5094</v>
      </c>
      <c r="F1562" s="28" t="s">
        <v>2580</v>
      </c>
      <c r="G1562" s="28" t="s">
        <v>20</v>
      </c>
      <c r="H1562" s="28" t="s">
        <v>71</v>
      </c>
      <c r="I1562" s="28" t="s">
        <v>72</v>
      </c>
      <c r="J1562" s="28" t="s">
        <v>5095</v>
      </c>
      <c r="K1562" s="28" t="s">
        <v>21</v>
      </c>
      <c r="L1562" s="28" t="s">
        <v>66</v>
      </c>
      <c r="M1562" s="28" t="s">
        <v>21</v>
      </c>
      <c r="O1562" s="92">
        <v>36119</v>
      </c>
      <c r="P1562" s="28" t="s">
        <v>31</v>
      </c>
      <c r="Q1562" s="26" t="b">
        <v>0</v>
      </c>
      <c r="R1562" s="22">
        <f t="shared" si="24"/>
        <v>150</v>
      </c>
    </row>
    <row r="1563" spans="1:18">
      <c r="A1563" s="26">
        <v>4251</v>
      </c>
      <c r="B1563" s="27">
        <v>35976</v>
      </c>
      <c r="C1563" s="28" t="s">
        <v>5096</v>
      </c>
      <c r="D1563" s="27">
        <v>35961</v>
      </c>
      <c r="E1563" s="28" t="s">
        <v>5097</v>
      </c>
      <c r="F1563" s="28" t="s">
        <v>124</v>
      </c>
      <c r="G1563" s="28" t="s">
        <v>20</v>
      </c>
      <c r="H1563" s="28" t="s">
        <v>21</v>
      </c>
      <c r="I1563" s="28" t="s">
        <v>21</v>
      </c>
      <c r="J1563" s="28" t="s">
        <v>5098</v>
      </c>
      <c r="K1563" s="28" t="s">
        <v>21</v>
      </c>
      <c r="L1563" s="28" t="s">
        <v>821</v>
      </c>
      <c r="M1563" s="28" t="s">
        <v>88</v>
      </c>
      <c r="O1563" s="92">
        <v>36496</v>
      </c>
      <c r="P1563" s="28" t="s">
        <v>31</v>
      </c>
      <c r="Q1563" s="26" t="b">
        <v>0</v>
      </c>
      <c r="R1563" s="22">
        <f t="shared" si="24"/>
        <v>519</v>
      </c>
    </row>
    <row r="1564" spans="1:18">
      <c r="A1564" s="26">
        <v>6536</v>
      </c>
      <c r="B1564" s="27">
        <v>35977</v>
      </c>
      <c r="C1564" s="28" t="s">
        <v>7540</v>
      </c>
      <c r="D1564" s="29">
        <v>35972</v>
      </c>
      <c r="E1564" s="28" t="s">
        <v>4172</v>
      </c>
      <c r="F1564" s="28" t="s">
        <v>19</v>
      </c>
      <c r="G1564" s="28" t="s">
        <v>20</v>
      </c>
      <c r="H1564" s="28" t="s">
        <v>21</v>
      </c>
      <c r="I1564" s="28" t="s">
        <v>21</v>
      </c>
      <c r="J1564" s="28" t="s">
        <v>7541</v>
      </c>
      <c r="K1564" s="28" t="s">
        <v>21</v>
      </c>
      <c r="L1564" s="28" t="s">
        <v>88</v>
      </c>
      <c r="M1564" s="28" t="s">
        <v>21</v>
      </c>
      <c r="O1564" s="92">
        <v>36004</v>
      </c>
      <c r="P1564" s="28" t="s">
        <v>21</v>
      </c>
      <c r="Q1564" s="26" t="b">
        <v>0</v>
      </c>
      <c r="R1564" s="22">
        <f t="shared" si="24"/>
        <v>27</v>
      </c>
    </row>
    <row r="1565" spans="1:18">
      <c r="A1565" s="26">
        <v>4255</v>
      </c>
      <c r="B1565" s="27">
        <v>35984</v>
      </c>
      <c r="C1565" s="28" t="s">
        <v>5099</v>
      </c>
      <c r="D1565" s="29">
        <v>35984</v>
      </c>
      <c r="E1565" s="28" t="s">
        <v>5100</v>
      </c>
      <c r="F1565" s="28" t="s">
        <v>1047</v>
      </c>
      <c r="G1565" s="28" t="s">
        <v>20</v>
      </c>
      <c r="H1565" s="28" t="s">
        <v>71</v>
      </c>
      <c r="I1565" s="28" t="s">
        <v>72</v>
      </c>
      <c r="J1565" s="28" t="s">
        <v>5101</v>
      </c>
      <c r="K1565" s="28" t="s">
        <v>405</v>
      </c>
      <c r="L1565" s="28" t="s">
        <v>66</v>
      </c>
      <c r="M1565" s="28" t="s">
        <v>21</v>
      </c>
      <c r="O1565" s="92">
        <v>35996</v>
      </c>
      <c r="P1565" s="28" t="s">
        <v>31</v>
      </c>
      <c r="Q1565" s="26" t="b">
        <v>0</v>
      </c>
      <c r="R1565" s="22">
        <f t="shared" si="24"/>
        <v>12</v>
      </c>
    </row>
    <row r="1566" spans="1:18">
      <c r="A1566" s="26">
        <v>4256</v>
      </c>
      <c r="B1566" s="27">
        <v>35986</v>
      </c>
      <c r="C1566" s="28" t="s">
        <v>5102</v>
      </c>
      <c r="D1566" s="29">
        <v>35985</v>
      </c>
      <c r="E1566" s="28" t="s">
        <v>2925</v>
      </c>
      <c r="F1566" s="28" t="s">
        <v>188</v>
      </c>
      <c r="G1566" s="28" t="s">
        <v>20</v>
      </c>
      <c r="H1566" s="28" t="s">
        <v>189</v>
      </c>
      <c r="I1566" s="28" t="s">
        <v>189</v>
      </c>
      <c r="J1566" s="28" t="s">
        <v>5103</v>
      </c>
      <c r="K1566" s="28" t="s">
        <v>5104</v>
      </c>
      <c r="L1566" s="28" t="s">
        <v>88</v>
      </c>
      <c r="M1566" s="28" t="s">
        <v>21</v>
      </c>
      <c r="O1566" s="92">
        <v>36090</v>
      </c>
      <c r="P1566" s="28" t="s">
        <v>21</v>
      </c>
      <c r="Q1566" s="26" t="b">
        <v>0</v>
      </c>
      <c r="R1566" s="22">
        <f t="shared" si="24"/>
        <v>103</v>
      </c>
    </row>
    <row r="1567" spans="1:18" ht="24">
      <c r="A1567" s="26">
        <v>4258</v>
      </c>
      <c r="B1567" s="27">
        <v>35993</v>
      </c>
      <c r="C1567" s="28" t="s">
        <v>5105</v>
      </c>
      <c r="D1567" s="29">
        <v>35990</v>
      </c>
      <c r="E1567" s="28" t="s">
        <v>5106</v>
      </c>
      <c r="F1567" s="28" t="s">
        <v>1771</v>
      </c>
      <c r="G1567" s="28" t="s">
        <v>20</v>
      </c>
      <c r="H1567" s="28" t="s">
        <v>189</v>
      </c>
      <c r="I1567" s="28" t="s">
        <v>189</v>
      </c>
      <c r="J1567" s="28" t="s">
        <v>5107</v>
      </c>
      <c r="K1567" s="28" t="s">
        <v>5108</v>
      </c>
      <c r="L1567" s="28" t="s">
        <v>66</v>
      </c>
      <c r="M1567" s="28" t="s">
        <v>21</v>
      </c>
      <c r="O1567" s="92">
        <v>37852</v>
      </c>
      <c r="P1567" s="28" t="s">
        <v>31</v>
      </c>
      <c r="Q1567" s="26" t="b">
        <v>0</v>
      </c>
      <c r="R1567" s="22">
        <f t="shared" si="24"/>
        <v>1857</v>
      </c>
    </row>
    <row r="1568" spans="1:18">
      <c r="A1568" s="26">
        <v>4262</v>
      </c>
      <c r="B1568" s="27">
        <v>35996</v>
      </c>
      <c r="C1568" s="28" t="s">
        <v>5115</v>
      </c>
      <c r="D1568" s="29">
        <v>35993</v>
      </c>
      <c r="E1568" s="28" t="s">
        <v>38</v>
      </c>
      <c r="F1568" s="28" t="s">
        <v>513</v>
      </c>
      <c r="G1568" s="28" t="s">
        <v>20</v>
      </c>
      <c r="H1568" s="28" t="s">
        <v>21</v>
      </c>
      <c r="I1568" s="28" t="s">
        <v>21</v>
      </c>
      <c r="J1568" s="28" t="s">
        <v>5116</v>
      </c>
      <c r="K1568" s="28" t="s">
        <v>5117</v>
      </c>
      <c r="L1568" s="28" t="s">
        <v>5118</v>
      </c>
      <c r="M1568" s="28" t="s">
        <v>21</v>
      </c>
      <c r="O1568" s="92">
        <v>35996</v>
      </c>
      <c r="P1568" s="28" t="s">
        <v>31</v>
      </c>
      <c r="Q1568" s="26" t="b">
        <v>0</v>
      </c>
      <c r="R1568" s="22">
        <f t="shared" si="24"/>
        <v>0</v>
      </c>
    </row>
    <row r="1569" spans="1:18">
      <c r="A1569" s="26">
        <v>4259</v>
      </c>
      <c r="B1569" s="27">
        <v>35997</v>
      </c>
      <c r="C1569" s="28" t="s">
        <v>5109</v>
      </c>
      <c r="D1569" s="29">
        <v>35982</v>
      </c>
      <c r="E1569" s="28" t="s">
        <v>1432</v>
      </c>
      <c r="F1569" s="28" t="s">
        <v>4242</v>
      </c>
      <c r="G1569" s="28" t="s">
        <v>20</v>
      </c>
      <c r="H1569" s="28" t="s">
        <v>189</v>
      </c>
      <c r="I1569" s="28" t="s">
        <v>189</v>
      </c>
      <c r="J1569" s="28" t="s">
        <v>5110</v>
      </c>
      <c r="K1569" s="28" t="s">
        <v>5111</v>
      </c>
      <c r="L1569" s="28" t="s">
        <v>686</v>
      </c>
      <c r="M1569" s="28" t="s">
        <v>21</v>
      </c>
      <c r="O1569" s="92">
        <v>36321</v>
      </c>
      <c r="P1569" s="28" t="s">
        <v>31</v>
      </c>
      <c r="Q1569" s="26" t="b">
        <v>0</v>
      </c>
      <c r="R1569" s="22">
        <f t="shared" si="24"/>
        <v>323</v>
      </c>
    </row>
    <row r="1570" spans="1:18">
      <c r="A1570" s="26">
        <v>4260</v>
      </c>
      <c r="B1570" s="27">
        <v>35997</v>
      </c>
      <c r="C1570" s="28" t="s">
        <v>5112</v>
      </c>
      <c r="D1570" s="29">
        <v>35993</v>
      </c>
      <c r="E1570" s="28" t="s">
        <v>38</v>
      </c>
      <c r="F1570" s="28" t="s">
        <v>124</v>
      </c>
      <c r="G1570" s="28" t="s">
        <v>20</v>
      </c>
      <c r="H1570" s="28" t="s">
        <v>21</v>
      </c>
      <c r="I1570" s="28" t="s">
        <v>21</v>
      </c>
      <c r="J1570" s="28" t="s">
        <v>5113</v>
      </c>
      <c r="K1570" s="28" t="s">
        <v>5114</v>
      </c>
      <c r="L1570" s="28" t="s">
        <v>66</v>
      </c>
      <c r="M1570" s="28" t="s">
        <v>21</v>
      </c>
      <c r="O1570" s="92">
        <v>36248</v>
      </c>
      <c r="P1570" s="28" t="s">
        <v>31</v>
      </c>
      <c r="Q1570" s="26" t="b">
        <v>0</v>
      </c>
      <c r="R1570" s="22">
        <f t="shared" si="24"/>
        <v>251</v>
      </c>
    </row>
    <row r="1571" spans="1:18">
      <c r="A1571" s="26">
        <v>4264</v>
      </c>
      <c r="B1571" s="27">
        <v>36003</v>
      </c>
      <c r="C1571" s="28" t="s">
        <v>5119</v>
      </c>
      <c r="D1571" s="29">
        <v>36003</v>
      </c>
      <c r="E1571" s="28" t="s">
        <v>5120</v>
      </c>
      <c r="F1571" s="28" t="s">
        <v>350</v>
      </c>
      <c r="G1571" s="28" t="s">
        <v>20</v>
      </c>
      <c r="H1571" s="28" t="s">
        <v>21</v>
      </c>
      <c r="I1571" s="28" t="s">
        <v>21</v>
      </c>
      <c r="J1571" s="28" t="s">
        <v>5121</v>
      </c>
      <c r="K1571" s="28" t="s">
        <v>21</v>
      </c>
      <c r="L1571" s="28" t="s">
        <v>821</v>
      </c>
      <c r="M1571" s="28" t="s">
        <v>88</v>
      </c>
      <c r="N1571" s="29">
        <v>36034</v>
      </c>
      <c r="O1571" s="92">
        <v>36326</v>
      </c>
      <c r="P1571" s="28" t="s">
        <v>31</v>
      </c>
      <c r="Q1571" s="26" t="b">
        <v>0</v>
      </c>
      <c r="R1571" s="22">
        <f t="shared" si="24"/>
        <v>322</v>
      </c>
    </row>
    <row r="1572" spans="1:18">
      <c r="A1572" s="26">
        <v>4265</v>
      </c>
      <c r="B1572" s="27">
        <v>36003</v>
      </c>
      <c r="C1572" s="28" t="s">
        <v>5122</v>
      </c>
      <c r="D1572" s="29">
        <v>35998</v>
      </c>
      <c r="E1572" s="28" t="s">
        <v>1204</v>
      </c>
      <c r="F1572" s="28" t="s">
        <v>1111</v>
      </c>
      <c r="G1572" s="28" t="s">
        <v>20</v>
      </c>
      <c r="H1572" s="28" t="s">
        <v>21</v>
      </c>
      <c r="I1572" s="28" t="s">
        <v>21</v>
      </c>
      <c r="J1572" s="28" t="s">
        <v>5123</v>
      </c>
      <c r="K1572" s="28" t="s">
        <v>21</v>
      </c>
      <c r="L1572" s="28" t="s">
        <v>3271</v>
      </c>
      <c r="M1572" s="28" t="s">
        <v>21</v>
      </c>
      <c r="N1572" s="29">
        <v>36008</v>
      </c>
      <c r="O1572" s="92">
        <v>36039</v>
      </c>
      <c r="P1572" s="28" t="s">
        <v>21</v>
      </c>
      <c r="Q1572" s="26" t="b">
        <v>0</v>
      </c>
      <c r="R1572" s="22">
        <f t="shared" si="24"/>
        <v>34</v>
      </c>
    </row>
    <row r="1573" spans="1:18">
      <c r="A1573" s="26">
        <v>4268</v>
      </c>
      <c r="B1573" s="27">
        <v>36021</v>
      </c>
      <c r="C1573" s="28" t="s">
        <v>5124</v>
      </c>
      <c r="D1573" s="27">
        <v>36012</v>
      </c>
      <c r="E1573" s="28" t="s">
        <v>5125</v>
      </c>
      <c r="F1573" s="28" t="s">
        <v>1232</v>
      </c>
      <c r="G1573" s="28" t="s">
        <v>20</v>
      </c>
      <c r="H1573" s="28" t="s">
        <v>189</v>
      </c>
      <c r="I1573" s="28" t="s">
        <v>189</v>
      </c>
      <c r="J1573" s="28" t="s">
        <v>5126</v>
      </c>
      <c r="K1573" s="28" t="s">
        <v>5127</v>
      </c>
      <c r="L1573" s="28" t="s">
        <v>66</v>
      </c>
      <c r="M1573" s="28" t="s">
        <v>21</v>
      </c>
      <c r="O1573" s="92">
        <v>36231</v>
      </c>
      <c r="P1573" s="28" t="s">
        <v>31</v>
      </c>
      <c r="Q1573" s="26" t="b">
        <v>0</v>
      </c>
      <c r="R1573" s="22">
        <f t="shared" si="24"/>
        <v>210</v>
      </c>
    </row>
    <row r="1574" spans="1:18">
      <c r="A1574" s="26">
        <v>4269</v>
      </c>
      <c r="B1574" s="27">
        <v>36021</v>
      </c>
      <c r="C1574" s="28" t="s">
        <v>5128</v>
      </c>
      <c r="D1574" s="29">
        <v>36013</v>
      </c>
      <c r="E1574" s="28" t="s">
        <v>38</v>
      </c>
      <c r="F1574" s="28" t="s">
        <v>371</v>
      </c>
      <c r="G1574" s="28" t="s">
        <v>20</v>
      </c>
      <c r="H1574" s="28" t="s">
        <v>21</v>
      </c>
      <c r="I1574" s="28" t="s">
        <v>21</v>
      </c>
      <c r="J1574" s="28" t="s">
        <v>5129</v>
      </c>
      <c r="K1574" s="28" t="s">
        <v>5130</v>
      </c>
      <c r="L1574" s="28" t="s">
        <v>88</v>
      </c>
      <c r="M1574" s="28" t="s">
        <v>21</v>
      </c>
      <c r="O1574" s="92">
        <v>36033</v>
      </c>
      <c r="P1574" s="28" t="s">
        <v>31</v>
      </c>
      <c r="Q1574" s="26" t="b">
        <v>0</v>
      </c>
      <c r="R1574" s="22">
        <f t="shared" si="24"/>
        <v>12</v>
      </c>
    </row>
    <row r="1575" spans="1:18">
      <c r="A1575" s="26">
        <v>4270</v>
      </c>
      <c r="B1575" s="27">
        <v>36024</v>
      </c>
      <c r="C1575" s="28" t="s">
        <v>5131</v>
      </c>
      <c r="D1575" s="27">
        <v>36018</v>
      </c>
      <c r="E1575" s="28" t="s">
        <v>5132</v>
      </c>
      <c r="F1575" s="28" t="s">
        <v>70</v>
      </c>
      <c r="G1575" s="28" t="s">
        <v>20</v>
      </c>
      <c r="H1575" s="28" t="s">
        <v>71</v>
      </c>
      <c r="I1575" s="28" t="s">
        <v>72</v>
      </c>
      <c r="J1575" s="28" t="s">
        <v>5133</v>
      </c>
      <c r="K1575" s="28" t="s">
        <v>21</v>
      </c>
      <c r="L1575" s="28" t="s">
        <v>821</v>
      </c>
      <c r="M1575" s="28" t="s">
        <v>1946</v>
      </c>
      <c r="O1575" s="92">
        <v>36469</v>
      </c>
      <c r="P1575" s="28" t="s">
        <v>21</v>
      </c>
      <c r="Q1575" s="26" t="b">
        <v>0</v>
      </c>
      <c r="R1575" s="22">
        <f t="shared" si="24"/>
        <v>444</v>
      </c>
    </row>
    <row r="1576" spans="1:18">
      <c r="A1576" s="26">
        <v>4271</v>
      </c>
      <c r="B1576" s="27">
        <v>36025</v>
      </c>
      <c r="C1576" s="28" t="s">
        <v>5128</v>
      </c>
      <c r="D1576" s="29">
        <v>36014</v>
      </c>
      <c r="E1576" s="28" t="s">
        <v>5134</v>
      </c>
      <c r="F1576" s="28" t="s">
        <v>70</v>
      </c>
      <c r="G1576" s="28" t="s">
        <v>20</v>
      </c>
      <c r="H1576" s="28" t="s">
        <v>71</v>
      </c>
      <c r="I1576" s="28" t="s">
        <v>72</v>
      </c>
      <c r="J1576" s="28" t="s">
        <v>5135</v>
      </c>
      <c r="K1576" s="28" t="s">
        <v>2694</v>
      </c>
      <c r="L1576" s="28" t="s">
        <v>821</v>
      </c>
      <c r="M1576" s="28" t="s">
        <v>1946</v>
      </c>
      <c r="O1576" s="92">
        <v>36539</v>
      </c>
      <c r="P1576" s="28" t="s">
        <v>21</v>
      </c>
      <c r="Q1576" s="26" t="b">
        <v>0</v>
      </c>
      <c r="R1576" s="22">
        <f t="shared" si="24"/>
        <v>513</v>
      </c>
    </row>
    <row r="1577" spans="1:18">
      <c r="A1577" s="26">
        <v>4272</v>
      </c>
      <c r="B1577" s="27">
        <v>36026</v>
      </c>
      <c r="C1577" s="28" t="s">
        <v>5136</v>
      </c>
      <c r="D1577" s="29">
        <v>36005</v>
      </c>
      <c r="E1577" s="28" t="s">
        <v>5137</v>
      </c>
      <c r="F1577" s="28" t="s">
        <v>39</v>
      </c>
      <c r="G1577" s="28" t="s">
        <v>20</v>
      </c>
      <c r="H1577" s="28" t="s">
        <v>21</v>
      </c>
      <c r="I1577" s="28" t="s">
        <v>21</v>
      </c>
      <c r="J1577" s="28" t="s">
        <v>5138</v>
      </c>
      <c r="K1577" s="28" t="s">
        <v>21</v>
      </c>
      <c r="L1577" s="28" t="s">
        <v>686</v>
      </c>
      <c r="M1577" s="28" t="s">
        <v>21</v>
      </c>
      <c r="O1577" s="92">
        <v>36095</v>
      </c>
      <c r="P1577" s="28" t="s">
        <v>31</v>
      </c>
      <c r="Q1577" s="26" t="b">
        <v>0</v>
      </c>
      <c r="R1577" s="22">
        <f t="shared" si="24"/>
        <v>68</v>
      </c>
    </row>
    <row r="1578" spans="1:18">
      <c r="A1578" s="26">
        <v>4273</v>
      </c>
      <c r="B1578" s="27">
        <v>36026</v>
      </c>
      <c r="C1578" s="28" t="s">
        <v>5139</v>
      </c>
      <c r="D1578" s="29">
        <v>36025</v>
      </c>
      <c r="E1578" s="28" t="s">
        <v>5140</v>
      </c>
      <c r="F1578" s="28" t="s">
        <v>39</v>
      </c>
      <c r="G1578" s="28" t="s">
        <v>20</v>
      </c>
      <c r="H1578" s="28" t="s">
        <v>21</v>
      </c>
      <c r="I1578" s="28" t="s">
        <v>21</v>
      </c>
      <c r="J1578" s="28" t="s">
        <v>272</v>
      </c>
      <c r="K1578" s="28" t="s">
        <v>5141</v>
      </c>
      <c r="L1578" s="28" t="s">
        <v>314</v>
      </c>
      <c r="M1578" s="28" t="s">
        <v>5142</v>
      </c>
      <c r="O1578" s="92">
        <v>37340</v>
      </c>
      <c r="P1578" s="28" t="s">
        <v>21</v>
      </c>
      <c r="Q1578" s="26" t="b">
        <v>0</v>
      </c>
      <c r="R1578" s="22">
        <f t="shared" si="24"/>
        <v>1314</v>
      </c>
    </row>
    <row r="1579" spans="1:18">
      <c r="A1579" s="26">
        <v>4276</v>
      </c>
      <c r="B1579" s="27">
        <v>36039</v>
      </c>
      <c r="C1579" s="28" t="s">
        <v>5143</v>
      </c>
      <c r="D1579" s="29">
        <v>36034</v>
      </c>
      <c r="E1579" s="28" t="s">
        <v>5144</v>
      </c>
      <c r="F1579" s="28" t="s">
        <v>1047</v>
      </c>
      <c r="G1579" s="28" t="s">
        <v>20</v>
      </c>
      <c r="H1579" s="28" t="s">
        <v>71</v>
      </c>
      <c r="I1579" s="28" t="s">
        <v>72</v>
      </c>
      <c r="J1579" s="28" t="s">
        <v>5145</v>
      </c>
      <c r="K1579" s="28" t="s">
        <v>5146</v>
      </c>
      <c r="L1579" s="28" t="s">
        <v>66</v>
      </c>
      <c r="M1579" s="28" t="s">
        <v>21</v>
      </c>
      <c r="O1579" s="92">
        <v>36371</v>
      </c>
      <c r="P1579" s="28" t="s">
        <v>21</v>
      </c>
      <c r="Q1579" s="26" t="b">
        <v>0</v>
      </c>
      <c r="R1579" s="22">
        <f t="shared" si="24"/>
        <v>333</v>
      </c>
    </row>
    <row r="1580" spans="1:18">
      <c r="A1580" s="26">
        <v>4277</v>
      </c>
      <c r="B1580" s="27">
        <v>36039</v>
      </c>
      <c r="C1580" s="28" t="s">
        <v>5147</v>
      </c>
      <c r="D1580" s="29">
        <v>36032</v>
      </c>
      <c r="E1580" s="28" t="s">
        <v>5148</v>
      </c>
      <c r="F1580" s="28" t="s">
        <v>85</v>
      </c>
      <c r="G1580" s="28" t="s">
        <v>20</v>
      </c>
      <c r="H1580" s="28" t="s">
        <v>21</v>
      </c>
      <c r="I1580" s="28" t="s">
        <v>21</v>
      </c>
      <c r="J1580" s="28" t="s">
        <v>5149</v>
      </c>
      <c r="K1580" s="28" t="s">
        <v>5150</v>
      </c>
      <c r="L1580" s="28" t="s">
        <v>66</v>
      </c>
      <c r="M1580" s="28" t="s">
        <v>686</v>
      </c>
      <c r="O1580" s="92">
        <v>37539</v>
      </c>
      <c r="P1580" s="28" t="s">
        <v>31</v>
      </c>
      <c r="Q1580" s="26" t="b">
        <v>0</v>
      </c>
      <c r="R1580" s="22">
        <f t="shared" si="24"/>
        <v>1499</v>
      </c>
    </row>
    <row r="1581" spans="1:18">
      <c r="A1581" s="26">
        <v>4278</v>
      </c>
      <c r="B1581" s="27">
        <v>36039</v>
      </c>
      <c r="C1581" s="28" t="s">
        <v>5151</v>
      </c>
      <c r="D1581" s="29">
        <v>36034</v>
      </c>
      <c r="E1581" s="28" t="s">
        <v>5152</v>
      </c>
      <c r="F1581" s="28" t="s">
        <v>85</v>
      </c>
      <c r="G1581" s="28" t="s">
        <v>20</v>
      </c>
      <c r="H1581" s="28" t="s">
        <v>21</v>
      </c>
      <c r="I1581" s="28" t="s">
        <v>21</v>
      </c>
      <c r="J1581" s="28" t="s">
        <v>5153</v>
      </c>
      <c r="K1581" s="28" t="s">
        <v>5154</v>
      </c>
      <c r="L1581" s="28" t="s">
        <v>1946</v>
      </c>
      <c r="M1581" s="28" t="s">
        <v>21</v>
      </c>
      <c r="O1581" s="92">
        <v>36469</v>
      </c>
      <c r="P1581" s="28" t="s">
        <v>21</v>
      </c>
      <c r="Q1581" s="26" t="b">
        <v>0</v>
      </c>
      <c r="R1581" s="22">
        <f t="shared" si="24"/>
        <v>429</v>
      </c>
    </row>
    <row r="1582" spans="1:18">
      <c r="A1582" s="26">
        <v>4280</v>
      </c>
      <c r="B1582" s="27">
        <v>36041</v>
      </c>
      <c r="C1582" s="28" t="s">
        <v>5155</v>
      </c>
      <c r="D1582" s="29">
        <v>36040</v>
      </c>
      <c r="E1582" s="28" t="s">
        <v>5156</v>
      </c>
      <c r="F1582" s="28" t="s">
        <v>5157</v>
      </c>
      <c r="G1582" s="28" t="s">
        <v>20</v>
      </c>
      <c r="H1582" s="28" t="s">
        <v>566</v>
      </c>
      <c r="I1582" s="28" t="s">
        <v>566</v>
      </c>
      <c r="J1582" s="28" t="s">
        <v>5158</v>
      </c>
      <c r="K1582" s="28" t="s">
        <v>5159</v>
      </c>
      <c r="L1582" s="28" t="s">
        <v>66</v>
      </c>
      <c r="M1582" s="28" t="s">
        <v>686</v>
      </c>
      <c r="O1582" s="92">
        <v>37664</v>
      </c>
      <c r="P1582" s="28" t="s">
        <v>21</v>
      </c>
      <c r="Q1582" s="26" t="b">
        <v>0</v>
      </c>
      <c r="R1582" s="22">
        <f t="shared" si="24"/>
        <v>1621</v>
      </c>
    </row>
    <row r="1583" spans="1:18" ht="24">
      <c r="A1583" s="26">
        <v>4281</v>
      </c>
      <c r="B1583" s="27">
        <v>36042</v>
      </c>
      <c r="C1583" s="28" t="s">
        <v>5160</v>
      </c>
      <c r="D1583" s="29">
        <v>36011</v>
      </c>
      <c r="E1583" s="28" t="s">
        <v>5161</v>
      </c>
      <c r="F1583" s="28" t="s">
        <v>124</v>
      </c>
      <c r="G1583" s="28" t="s">
        <v>20</v>
      </c>
      <c r="H1583" s="28" t="s">
        <v>21</v>
      </c>
      <c r="I1583" s="28" t="s">
        <v>21</v>
      </c>
      <c r="J1583" s="28" t="s">
        <v>5162</v>
      </c>
      <c r="K1583" s="28" t="s">
        <v>5163</v>
      </c>
      <c r="L1583" s="28" t="s">
        <v>3526</v>
      </c>
      <c r="M1583" s="28" t="s">
        <v>5164</v>
      </c>
      <c r="O1583" s="92">
        <v>37151</v>
      </c>
      <c r="P1583" s="28" t="s">
        <v>31</v>
      </c>
      <c r="Q1583" s="26" t="b">
        <v>0</v>
      </c>
      <c r="R1583" s="22">
        <f t="shared" si="24"/>
        <v>1108</v>
      </c>
    </row>
    <row r="1584" spans="1:18" ht="24">
      <c r="A1584" s="26">
        <v>4282</v>
      </c>
      <c r="B1584" s="27">
        <v>36047</v>
      </c>
      <c r="C1584" s="28" t="s">
        <v>5165</v>
      </c>
      <c r="D1584" s="29">
        <v>36011</v>
      </c>
      <c r="E1584" s="28" t="s">
        <v>5166</v>
      </c>
      <c r="F1584" s="28" t="s">
        <v>70</v>
      </c>
      <c r="G1584" s="28" t="s">
        <v>20</v>
      </c>
      <c r="H1584" s="28" t="s">
        <v>71</v>
      </c>
      <c r="I1584" s="28" t="s">
        <v>72</v>
      </c>
      <c r="J1584" s="28" t="s">
        <v>5167</v>
      </c>
      <c r="K1584" s="28" t="s">
        <v>5168</v>
      </c>
      <c r="L1584" s="28" t="s">
        <v>686</v>
      </c>
      <c r="M1584" s="28" t="s">
        <v>21</v>
      </c>
      <c r="O1584" s="92">
        <v>36332</v>
      </c>
      <c r="P1584" s="28" t="s">
        <v>21</v>
      </c>
      <c r="Q1584" s="26" t="b">
        <v>0</v>
      </c>
      <c r="R1584" s="22">
        <f t="shared" si="24"/>
        <v>285</v>
      </c>
    </row>
    <row r="1585" spans="1:18">
      <c r="A1585" s="26">
        <v>4283</v>
      </c>
      <c r="B1585" s="27">
        <v>36056</v>
      </c>
      <c r="C1585" s="28" t="s">
        <v>5169</v>
      </c>
      <c r="D1585" s="29">
        <v>36048</v>
      </c>
      <c r="E1585" s="28" t="s">
        <v>5170</v>
      </c>
      <c r="F1585" s="28" t="s">
        <v>228</v>
      </c>
      <c r="G1585" s="28" t="s">
        <v>20</v>
      </c>
      <c r="H1585" s="28" t="s">
        <v>21</v>
      </c>
      <c r="I1585" s="28" t="s">
        <v>21</v>
      </c>
      <c r="J1585" s="28" t="s">
        <v>5171</v>
      </c>
      <c r="K1585" s="28" t="s">
        <v>739</v>
      </c>
      <c r="L1585" s="28" t="s">
        <v>66</v>
      </c>
      <c r="M1585" s="28" t="s">
        <v>21</v>
      </c>
      <c r="O1585" s="92">
        <v>36481</v>
      </c>
      <c r="P1585" s="28" t="s">
        <v>21</v>
      </c>
      <c r="Q1585" s="26" t="b">
        <v>0</v>
      </c>
      <c r="R1585" s="22">
        <f t="shared" si="24"/>
        <v>424</v>
      </c>
    </row>
    <row r="1586" spans="1:18">
      <c r="A1586" s="26">
        <v>6530</v>
      </c>
      <c r="B1586" s="27">
        <v>36059</v>
      </c>
      <c r="C1586" s="28" t="s">
        <v>7525</v>
      </c>
      <c r="D1586" s="29">
        <v>36059</v>
      </c>
      <c r="E1586" s="28" t="s">
        <v>4172</v>
      </c>
      <c r="F1586" s="28" t="s">
        <v>27</v>
      </c>
      <c r="G1586" s="28" t="s">
        <v>20</v>
      </c>
      <c r="H1586" s="28" t="s">
        <v>21</v>
      </c>
      <c r="I1586" s="28" t="s">
        <v>21</v>
      </c>
      <c r="J1586" s="28" t="s">
        <v>7216</v>
      </c>
      <c r="K1586" s="28" t="s">
        <v>7526</v>
      </c>
      <c r="L1586" s="28" t="s">
        <v>66</v>
      </c>
      <c r="M1586" s="28" t="s">
        <v>686</v>
      </c>
      <c r="O1586" s="92">
        <v>36749</v>
      </c>
      <c r="P1586" s="28" t="s">
        <v>31</v>
      </c>
      <c r="Q1586" s="26" t="b">
        <v>0</v>
      </c>
      <c r="R1586" s="22">
        <f t="shared" si="24"/>
        <v>689</v>
      </c>
    </row>
    <row r="1587" spans="1:18" ht="24">
      <c r="A1587" s="26">
        <v>4285</v>
      </c>
      <c r="B1587" s="27">
        <v>36060</v>
      </c>
      <c r="C1587" s="28" t="s">
        <v>5172</v>
      </c>
      <c r="D1587" s="29">
        <v>36060</v>
      </c>
      <c r="E1587" s="28" t="s">
        <v>5173</v>
      </c>
      <c r="F1587" s="28" t="s">
        <v>27</v>
      </c>
      <c r="G1587" s="28" t="s">
        <v>20</v>
      </c>
      <c r="H1587" s="28" t="s">
        <v>21</v>
      </c>
      <c r="I1587" s="28" t="s">
        <v>21</v>
      </c>
      <c r="J1587" s="28" t="s">
        <v>5174</v>
      </c>
      <c r="K1587" s="28" t="s">
        <v>5175</v>
      </c>
      <c r="L1587" s="28" t="s">
        <v>66</v>
      </c>
      <c r="M1587" s="28" t="s">
        <v>21</v>
      </c>
      <c r="O1587" s="92">
        <v>36830</v>
      </c>
      <c r="P1587" s="28" t="s">
        <v>31</v>
      </c>
      <c r="Q1587" s="26" t="b">
        <v>0</v>
      </c>
      <c r="R1587" s="22">
        <f t="shared" si="24"/>
        <v>769</v>
      </c>
    </row>
    <row r="1588" spans="1:18">
      <c r="A1588" s="26">
        <v>6504</v>
      </c>
      <c r="B1588" s="27">
        <v>36063</v>
      </c>
      <c r="C1588" s="28" t="s">
        <v>7449</v>
      </c>
      <c r="D1588" s="29">
        <v>36032</v>
      </c>
      <c r="E1588" s="28" t="s">
        <v>4172</v>
      </c>
      <c r="F1588" s="28" t="s">
        <v>52</v>
      </c>
      <c r="G1588" s="28" t="s">
        <v>20</v>
      </c>
      <c r="H1588" s="28" t="s">
        <v>21</v>
      </c>
      <c r="I1588" s="28" t="s">
        <v>21</v>
      </c>
      <c r="J1588" s="28" t="s">
        <v>7450</v>
      </c>
      <c r="K1588" s="28" t="s">
        <v>21</v>
      </c>
      <c r="L1588" s="28" t="s">
        <v>686</v>
      </c>
      <c r="M1588" s="28" t="s">
        <v>21</v>
      </c>
      <c r="O1588" s="92">
        <v>36315</v>
      </c>
      <c r="P1588" s="28" t="s">
        <v>31</v>
      </c>
      <c r="Q1588" s="26" t="b">
        <v>0</v>
      </c>
      <c r="R1588" s="22">
        <f t="shared" si="24"/>
        <v>252</v>
      </c>
    </row>
    <row r="1589" spans="1:18" ht="24">
      <c r="A1589" s="26">
        <v>4287</v>
      </c>
      <c r="B1589" s="27">
        <v>36066</v>
      </c>
      <c r="C1589" s="28" t="s">
        <v>5176</v>
      </c>
      <c r="D1589" s="29">
        <v>36059</v>
      </c>
      <c r="E1589" s="28" t="s">
        <v>5177</v>
      </c>
      <c r="F1589" s="28" t="s">
        <v>19</v>
      </c>
      <c r="G1589" s="28" t="s">
        <v>20</v>
      </c>
      <c r="H1589" s="28" t="s">
        <v>21</v>
      </c>
      <c r="I1589" s="28" t="s">
        <v>21</v>
      </c>
      <c r="J1589" s="28" t="s">
        <v>5178</v>
      </c>
      <c r="K1589" s="28" t="s">
        <v>21</v>
      </c>
      <c r="L1589" s="28" t="s">
        <v>314</v>
      </c>
      <c r="M1589" s="28" t="s">
        <v>1800</v>
      </c>
      <c r="O1589" s="92">
        <v>37281</v>
      </c>
      <c r="P1589" s="28" t="s">
        <v>31</v>
      </c>
      <c r="Q1589" s="26" t="b">
        <v>0</v>
      </c>
      <c r="R1589" s="22">
        <f t="shared" si="24"/>
        <v>1213</v>
      </c>
    </row>
    <row r="1590" spans="1:18" ht="24">
      <c r="A1590" s="26">
        <v>4288</v>
      </c>
      <c r="B1590" s="27">
        <v>36067</v>
      </c>
      <c r="C1590" s="28" t="s">
        <v>5179</v>
      </c>
      <c r="D1590" s="29">
        <v>36062</v>
      </c>
      <c r="E1590" s="28" t="s">
        <v>283</v>
      </c>
      <c r="F1590" s="28" t="s">
        <v>149</v>
      </c>
      <c r="G1590" s="28" t="s">
        <v>20</v>
      </c>
      <c r="H1590" s="28" t="s">
        <v>21</v>
      </c>
      <c r="I1590" s="28" t="s">
        <v>21</v>
      </c>
      <c r="J1590" s="28" t="s">
        <v>21</v>
      </c>
      <c r="K1590" s="28" t="s">
        <v>5180</v>
      </c>
      <c r="L1590" s="28" t="s">
        <v>1946</v>
      </c>
      <c r="M1590" s="28" t="s">
        <v>21</v>
      </c>
      <c r="O1590" s="92">
        <v>35976</v>
      </c>
      <c r="P1590" s="28" t="s">
        <v>21</v>
      </c>
      <c r="Q1590" s="26" t="b">
        <v>0</v>
      </c>
      <c r="R1590" s="22">
        <f t="shared" si="24"/>
        <v>90</v>
      </c>
    </row>
    <row r="1591" spans="1:18">
      <c r="A1591" s="26">
        <v>4289</v>
      </c>
      <c r="B1591" s="27">
        <v>36069</v>
      </c>
      <c r="C1591" s="28" t="s">
        <v>5181</v>
      </c>
      <c r="D1591" s="29">
        <v>36056</v>
      </c>
      <c r="E1591" s="28" t="s">
        <v>1432</v>
      </c>
      <c r="F1591" s="28" t="s">
        <v>371</v>
      </c>
      <c r="G1591" s="28" t="s">
        <v>20</v>
      </c>
      <c r="H1591" s="28" t="s">
        <v>21</v>
      </c>
      <c r="I1591" s="28" t="s">
        <v>21</v>
      </c>
      <c r="J1591" s="28" t="s">
        <v>5182</v>
      </c>
      <c r="K1591" s="28" t="s">
        <v>21</v>
      </c>
      <c r="L1591" s="28" t="s">
        <v>821</v>
      </c>
      <c r="M1591" s="28" t="s">
        <v>88</v>
      </c>
      <c r="O1591" s="92">
        <v>36405</v>
      </c>
      <c r="P1591" s="28" t="s">
        <v>21</v>
      </c>
      <c r="Q1591" s="26" t="b">
        <v>0</v>
      </c>
      <c r="R1591" s="22">
        <f t="shared" si="24"/>
        <v>335</v>
      </c>
    </row>
    <row r="1592" spans="1:18">
      <c r="A1592" s="26">
        <v>4291</v>
      </c>
      <c r="B1592" s="27">
        <v>36069</v>
      </c>
      <c r="C1592" s="28" t="s">
        <v>5183</v>
      </c>
      <c r="D1592" s="29">
        <v>36064</v>
      </c>
      <c r="E1592" s="28" t="s">
        <v>38</v>
      </c>
      <c r="F1592" s="28" t="s">
        <v>371</v>
      </c>
      <c r="G1592" s="28" t="s">
        <v>20</v>
      </c>
      <c r="H1592" s="28" t="s">
        <v>21</v>
      </c>
      <c r="I1592" s="28" t="s">
        <v>21</v>
      </c>
      <c r="J1592" s="28" t="s">
        <v>744</v>
      </c>
      <c r="K1592" s="28" t="s">
        <v>5184</v>
      </c>
      <c r="L1592" s="28" t="s">
        <v>66</v>
      </c>
      <c r="M1592" s="28" t="s">
        <v>21</v>
      </c>
      <c r="O1592" s="92">
        <v>36119</v>
      </c>
      <c r="P1592" s="28" t="s">
        <v>31</v>
      </c>
      <c r="Q1592" s="26" t="b">
        <v>0</v>
      </c>
      <c r="R1592" s="22">
        <f t="shared" si="24"/>
        <v>49</v>
      </c>
    </row>
    <row r="1593" spans="1:18">
      <c r="A1593" s="26">
        <v>4296</v>
      </c>
      <c r="B1593" s="27">
        <v>36075</v>
      </c>
      <c r="C1593" s="28" t="s">
        <v>5185</v>
      </c>
      <c r="D1593" s="29">
        <v>36073</v>
      </c>
      <c r="E1593" s="28" t="s">
        <v>5186</v>
      </c>
      <c r="F1593" s="28" t="s">
        <v>149</v>
      </c>
      <c r="G1593" s="28" t="s">
        <v>20</v>
      </c>
      <c r="H1593" s="28" t="s">
        <v>21</v>
      </c>
      <c r="I1593" s="28" t="s">
        <v>21</v>
      </c>
      <c r="J1593" s="28" t="s">
        <v>5187</v>
      </c>
      <c r="K1593" s="28" t="s">
        <v>21</v>
      </c>
      <c r="L1593" s="28" t="s">
        <v>66</v>
      </c>
      <c r="M1593" s="28" t="s">
        <v>4283</v>
      </c>
      <c r="O1593" s="92">
        <v>36908</v>
      </c>
      <c r="P1593" s="28" t="s">
        <v>31</v>
      </c>
      <c r="Q1593" s="26" t="b">
        <v>0</v>
      </c>
      <c r="R1593" s="22">
        <f t="shared" si="24"/>
        <v>831</v>
      </c>
    </row>
    <row r="1594" spans="1:18" ht="36">
      <c r="A1594" s="26">
        <v>4299</v>
      </c>
      <c r="B1594" s="27">
        <v>36083</v>
      </c>
      <c r="C1594" s="28" t="s">
        <v>5188</v>
      </c>
      <c r="D1594" s="29">
        <v>36080</v>
      </c>
      <c r="E1594" s="28" t="s">
        <v>5189</v>
      </c>
      <c r="F1594" s="28" t="s">
        <v>98</v>
      </c>
      <c r="G1594" s="28" t="s">
        <v>20</v>
      </c>
      <c r="H1594" s="28" t="s">
        <v>21</v>
      </c>
      <c r="I1594" s="28" t="s">
        <v>21</v>
      </c>
      <c r="J1594" s="28" t="s">
        <v>602</v>
      </c>
      <c r="K1594" s="28" t="s">
        <v>5190</v>
      </c>
      <c r="L1594" s="28" t="s">
        <v>3588</v>
      </c>
      <c r="M1594" s="28" t="s">
        <v>5191</v>
      </c>
      <c r="O1594" s="92">
        <v>39506</v>
      </c>
      <c r="P1594" s="28" t="s">
        <v>21</v>
      </c>
      <c r="Q1594" s="26" t="b">
        <v>0</v>
      </c>
      <c r="R1594" s="22">
        <f t="shared" si="24"/>
        <v>3419</v>
      </c>
    </row>
    <row r="1595" spans="1:18" ht="24">
      <c r="A1595" s="26">
        <v>4301</v>
      </c>
      <c r="B1595" s="27">
        <v>36095</v>
      </c>
      <c r="C1595" s="28" t="s">
        <v>5192</v>
      </c>
      <c r="D1595" s="29">
        <v>36088</v>
      </c>
      <c r="E1595" s="28" t="s">
        <v>5193</v>
      </c>
      <c r="F1595" s="28" t="s">
        <v>19</v>
      </c>
      <c r="G1595" s="28" t="s">
        <v>20</v>
      </c>
      <c r="H1595" s="28" t="s">
        <v>21</v>
      </c>
      <c r="I1595" s="28" t="s">
        <v>21</v>
      </c>
      <c r="J1595" s="28" t="s">
        <v>5194</v>
      </c>
      <c r="K1595" s="28" t="s">
        <v>21</v>
      </c>
      <c r="L1595" s="28" t="s">
        <v>66</v>
      </c>
      <c r="M1595" s="28" t="s">
        <v>21</v>
      </c>
      <c r="O1595" s="92">
        <v>36371</v>
      </c>
      <c r="P1595" s="28" t="s">
        <v>31</v>
      </c>
      <c r="Q1595" s="26" t="b">
        <v>0</v>
      </c>
      <c r="R1595" s="22">
        <f t="shared" si="24"/>
        <v>276</v>
      </c>
    </row>
    <row r="1596" spans="1:18">
      <c r="A1596" s="26">
        <v>4302</v>
      </c>
      <c r="B1596" s="27">
        <v>36095</v>
      </c>
      <c r="C1596" s="28" t="s">
        <v>5195</v>
      </c>
      <c r="D1596" s="29">
        <v>36087</v>
      </c>
      <c r="E1596" s="28" t="s">
        <v>5196</v>
      </c>
      <c r="F1596" s="28" t="s">
        <v>70</v>
      </c>
      <c r="G1596" s="28" t="s">
        <v>20</v>
      </c>
      <c r="H1596" s="28" t="s">
        <v>71</v>
      </c>
      <c r="I1596" s="28" t="s">
        <v>72</v>
      </c>
      <c r="J1596" s="28" t="s">
        <v>5197</v>
      </c>
      <c r="K1596" s="28" t="s">
        <v>5198</v>
      </c>
      <c r="L1596" s="28" t="s">
        <v>66</v>
      </c>
      <c r="M1596" s="28" t="s">
        <v>21</v>
      </c>
      <c r="O1596" s="92">
        <v>36277</v>
      </c>
      <c r="P1596" s="28" t="s">
        <v>31</v>
      </c>
      <c r="Q1596" s="26" t="b">
        <v>0</v>
      </c>
      <c r="R1596" s="22">
        <f t="shared" si="24"/>
        <v>182</v>
      </c>
    </row>
    <row r="1597" spans="1:18">
      <c r="A1597" s="26">
        <v>4303</v>
      </c>
      <c r="B1597" s="27">
        <v>36095</v>
      </c>
      <c r="C1597" s="28" t="s">
        <v>5199</v>
      </c>
      <c r="D1597" s="29">
        <v>36090</v>
      </c>
      <c r="E1597" s="28" t="s">
        <v>5200</v>
      </c>
      <c r="F1597" s="28" t="s">
        <v>371</v>
      </c>
      <c r="G1597" s="28" t="s">
        <v>20</v>
      </c>
      <c r="H1597" s="28" t="s">
        <v>21</v>
      </c>
      <c r="I1597" s="28" t="s">
        <v>21</v>
      </c>
      <c r="J1597" s="28" t="s">
        <v>5201</v>
      </c>
      <c r="K1597" s="28" t="s">
        <v>21</v>
      </c>
      <c r="L1597" s="28" t="s">
        <v>88</v>
      </c>
      <c r="M1597" s="28" t="s">
        <v>21</v>
      </c>
      <c r="O1597" s="92">
        <v>36157</v>
      </c>
      <c r="P1597" s="28" t="s">
        <v>31</v>
      </c>
      <c r="Q1597" s="26" t="b">
        <v>0</v>
      </c>
      <c r="R1597" s="22">
        <f t="shared" si="24"/>
        <v>61</v>
      </c>
    </row>
    <row r="1598" spans="1:18">
      <c r="A1598" s="26">
        <v>4304</v>
      </c>
      <c r="B1598" s="27">
        <v>36096</v>
      </c>
      <c r="C1598" s="28" t="s">
        <v>5202</v>
      </c>
      <c r="D1598" s="29">
        <v>36091</v>
      </c>
      <c r="E1598" s="28" t="s">
        <v>1432</v>
      </c>
      <c r="F1598" s="28" t="s">
        <v>52</v>
      </c>
      <c r="G1598" s="28" t="s">
        <v>20</v>
      </c>
      <c r="H1598" s="28" t="s">
        <v>21</v>
      </c>
      <c r="I1598" s="28" t="s">
        <v>21</v>
      </c>
      <c r="J1598" s="28" t="s">
        <v>5203</v>
      </c>
      <c r="K1598" s="28" t="s">
        <v>5204</v>
      </c>
      <c r="L1598" s="28" t="s">
        <v>686</v>
      </c>
      <c r="M1598" s="28" t="s">
        <v>21</v>
      </c>
      <c r="O1598" s="92">
        <v>36227</v>
      </c>
      <c r="P1598" s="28" t="s">
        <v>21</v>
      </c>
      <c r="Q1598" s="26" t="b">
        <v>0</v>
      </c>
      <c r="R1598" s="22">
        <f t="shared" si="24"/>
        <v>131</v>
      </c>
    </row>
    <row r="1599" spans="1:18">
      <c r="A1599" s="26">
        <v>4307</v>
      </c>
      <c r="B1599" s="27">
        <v>36109</v>
      </c>
      <c r="C1599" s="28" t="s">
        <v>5207</v>
      </c>
      <c r="D1599" s="29">
        <v>36109</v>
      </c>
      <c r="E1599" s="28" t="s">
        <v>5208</v>
      </c>
      <c r="F1599" s="28" t="s">
        <v>1061</v>
      </c>
      <c r="G1599" s="28" t="s">
        <v>20</v>
      </c>
      <c r="H1599" s="28" t="s">
        <v>21</v>
      </c>
      <c r="I1599" s="28" t="s">
        <v>21</v>
      </c>
      <c r="J1599" s="28" t="s">
        <v>5209</v>
      </c>
      <c r="K1599" s="28" t="s">
        <v>5210</v>
      </c>
      <c r="L1599" s="28" t="s">
        <v>686</v>
      </c>
      <c r="M1599" s="28" t="s">
        <v>21</v>
      </c>
      <c r="O1599" s="92">
        <v>36454</v>
      </c>
      <c r="P1599" s="28" t="s">
        <v>21</v>
      </c>
      <c r="Q1599" s="26" t="b">
        <v>0</v>
      </c>
      <c r="R1599" s="22">
        <f t="shared" si="24"/>
        <v>345</v>
      </c>
    </row>
    <row r="1600" spans="1:18" ht="24">
      <c r="A1600" s="26">
        <v>4308</v>
      </c>
      <c r="B1600" s="27">
        <v>36111</v>
      </c>
      <c r="C1600" s="28" t="s">
        <v>5211</v>
      </c>
      <c r="D1600" s="29">
        <v>36108</v>
      </c>
      <c r="E1600" s="28" t="s">
        <v>5212</v>
      </c>
      <c r="F1600" s="28" t="s">
        <v>345</v>
      </c>
      <c r="G1600" s="28" t="s">
        <v>20</v>
      </c>
      <c r="H1600" s="28" t="s">
        <v>71</v>
      </c>
      <c r="I1600" s="28" t="s">
        <v>71</v>
      </c>
      <c r="J1600" s="28" t="s">
        <v>5213</v>
      </c>
      <c r="K1600" s="28" t="s">
        <v>5214</v>
      </c>
      <c r="L1600" s="28" t="s">
        <v>2205</v>
      </c>
      <c r="M1600" s="28" t="s">
        <v>5215</v>
      </c>
      <c r="O1600" s="92">
        <v>38489</v>
      </c>
      <c r="P1600" s="28" t="s">
        <v>21</v>
      </c>
      <c r="Q1600" s="26" t="b">
        <v>0</v>
      </c>
      <c r="R1600" s="22">
        <f t="shared" si="24"/>
        <v>2377</v>
      </c>
    </row>
    <row r="1601" spans="1:18">
      <c r="A1601" s="26">
        <v>4310</v>
      </c>
      <c r="B1601" s="27">
        <v>36116</v>
      </c>
      <c r="C1601" s="28" t="s">
        <v>5216</v>
      </c>
      <c r="D1601" s="29">
        <v>36115</v>
      </c>
      <c r="E1601" s="28" t="s">
        <v>5217</v>
      </c>
      <c r="F1601" s="28" t="s">
        <v>124</v>
      </c>
      <c r="G1601" s="28" t="s">
        <v>20</v>
      </c>
      <c r="H1601" s="28" t="s">
        <v>21</v>
      </c>
      <c r="I1601" s="28" t="s">
        <v>21</v>
      </c>
      <c r="J1601" s="28" t="s">
        <v>5162</v>
      </c>
      <c r="K1601" s="28" t="s">
        <v>5218</v>
      </c>
      <c r="L1601" s="28" t="s">
        <v>88</v>
      </c>
      <c r="M1601" s="28" t="s">
        <v>21</v>
      </c>
      <c r="O1601" s="92">
        <v>36145</v>
      </c>
      <c r="P1601" s="28" t="s">
        <v>31</v>
      </c>
      <c r="Q1601" s="26" t="b">
        <v>0</v>
      </c>
      <c r="R1601" s="22">
        <f t="shared" si="24"/>
        <v>29</v>
      </c>
    </row>
    <row r="1602" spans="1:18" ht="24">
      <c r="A1602" s="26">
        <v>4311</v>
      </c>
      <c r="B1602" s="27">
        <v>36120</v>
      </c>
      <c r="C1602" s="28" t="s">
        <v>5219</v>
      </c>
      <c r="D1602" s="29">
        <v>36115</v>
      </c>
      <c r="E1602" s="28" t="s">
        <v>5220</v>
      </c>
      <c r="F1602" s="28" t="s">
        <v>39</v>
      </c>
      <c r="G1602" s="28" t="s">
        <v>20</v>
      </c>
      <c r="H1602" s="28" t="s">
        <v>21</v>
      </c>
      <c r="I1602" s="28" t="s">
        <v>21</v>
      </c>
      <c r="J1602" s="28" t="s">
        <v>5221</v>
      </c>
      <c r="K1602" s="28" t="s">
        <v>5222</v>
      </c>
      <c r="L1602" s="28" t="s">
        <v>1946</v>
      </c>
      <c r="M1602" s="28" t="s">
        <v>21</v>
      </c>
      <c r="O1602" s="92">
        <v>36486</v>
      </c>
      <c r="P1602" s="28" t="s">
        <v>21</v>
      </c>
      <c r="Q1602" s="26" t="b">
        <v>0</v>
      </c>
      <c r="R1602" s="22">
        <f t="shared" ref="R1602:R1665" si="25">IF(O1602=" ", " ", INT(YEARFRAC(O1602, B1602)*365))</f>
        <v>366</v>
      </c>
    </row>
    <row r="1603" spans="1:18">
      <c r="A1603" s="26">
        <v>4312</v>
      </c>
      <c r="B1603" s="27">
        <v>36122</v>
      </c>
      <c r="C1603" s="28" t="s">
        <v>5223</v>
      </c>
      <c r="D1603" s="29">
        <v>36112</v>
      </c>
      <c r="E1603" s="28" t="s">
        <v>5224</v>
      </c>
      <c r="F1603" s="28" t="s">
        <v>4596</v>
      </c>
      <c r="G1603" s="28" t="s">
        <v>20</v>
      </c>
      <c r="H1603" s="28" t="s">
        <v>21</v>
      </c>
      <c r="I1603" s="28" t="s">
        <v>21</v>
      </c>
      <c r="J1603" s="28" t="s">
        <v>5225</v>
      </c>
      <c r="K1603" s="28" t="s">
        <v>5226</v>
      </c>
      <c r="L1603" s="28" t="s">
        <v>686</v>
      </c>
      <c r="M1603" s="28" t="s">
        <v>21</v>
      </c>
      <c r="O1603" s="92">
        <v>36495</v>
      </c>
      <c r="P1603" s="28" t="s">
        <v>21</v>
      </c>
      <c r="Q1603" s="26" t="b">
        <v>0</v>
      </c>
      <c r="R1603" s="22">
        <f t="shared" si="25"/>
        <v>373</v>
      </c>
    </row>
    <row r="1604" spans="1:18">
      <c r="A1604" s="26">
        <v>4313</v>
      </c>
      <c r="B1604" s="27">
        <v>36122</v>
      </c>
      <c r="C1604" s="28" t="s">
        <v>5227</v>
      </c>
      <c r="D1604" s="29">
        <v>36119</v>
      </c>
      <c r="E1604" s="28" t="s">
        <v>5228</v>
      </c>
      <c r="F1604" s="28" t="s">
        <v>27</v>
      </c>
      <c r="G1604" s="28" t="s">
        <v>20</v>
      </c>
      <c r="H1604" s="28" t="s">
        <v>21</v>
      </c>
      <c r="I1604" s="28" t="s">
        <v>21</v>
      </c>
      <c r="J1604" s="28" t="s">
        <v>5229</v>
      </c>
      <c r="K1604" s="28" t="s">
        <v>5230</v>
      </c>
      <c r="L1604" s="28" t="s">
        <v>88</v>
      </c>
      <c r="M1604" s="28" t="s">
        <v>21</v>
      </c>
      <c r="O1604" s="92">
        <v>36276</v>
      </c>
      <c r="P1604" s="28" t="s">
        <v>31</v>
      </c>
      <c r="Q1604" s="26" t="b">
        <v>0</v>
      </c>
      <c r="R1604" s="22">
        <f t="shared" si="25"/>
        <v>155</v>
      </c>
    </row>
    <row r="1605" spans="1:18">
      <c r="A1605" s="26">
        <v>4316</v>
      </c>
      <c r="B1605" s="27">
        <v>36122</v>
      </c>
      <c r="C1605" s="28" t="s">
        <v>5231</v>
      </c>
      <c r="D1605" s="29">
        <v>36119</v>
      </c>
      <c r="E1605" s="28" t="s">
        <v>5232</v>
      </c>
      <c r="F1605" s="28" t="s">
        <v>228</v>
      </c>
      <c r="G1605" s="28" t="s">
        <v>20</v>
      </c>
      <c r="H1605" s="28" t="s">
        <v>21</v>
      </c>
      <c r="I1605" s="28" t="s">
        <v>21</v>
      </c>
      <c r="J1605" s="28" t="s">
        <v>5229</v>
      </c>
      <c r="K1605" s="28" t="s">
        <v>5233</v>
      </c>
      <c r="L1605" s="28" t="s">
        <v>88</v>
      </c>
      <c r="M1605" s="28" t="s">
        <v>21</v>
      </c>
      <c r="O1605" s="92">
        <v>36278</v>
      </c>
      <c r="P1605" s="28" t="s">
        <v>31</v>
      </c>
      <c r="Q1605" s="26" t="b">
        <v>0</v>
      </c>
      <c r="R1605" s="22">
        <f t="shared" si="25"/>
        <v>157</v>
      </c>
    </row>
    <row r="1606" spans="1:18">
      <c r="A1606" s="26">
        <v>4317</v>
      </c>
      <c r="B1606" s="27">
        <v>36122</v>
      </c>
      <c r="C1606" s="28" t="s">
        <v>5234</v>
      </c>
      <c r="D1606" s="29">
        <v>36119</v>
      </c>
      <c r="E1606" s="28" t="s">
        <v>5235</v>
      </c>
      <c r="F1606" s="28" t="s">
        <v>275</v>
      </c>
      <c r="G1606" s="28" t="s">
        <v>20</v>
      </c>
      <c r="H1606" s="28" t="s">
        <v>21</v>
      </c>
      <c r="I1606" s="28" t="s">
        <v>21</v>
      </c>
      <c r="J1606" s="28" t="s">
        <v>5229</v>
      </c>
      <c r="K1606" s="28" t="s">
        <v>5236</v>
      </c>
      <c r="L1606" s="28" t="s">
        <v>88</v>
      </c>
      <c r="M1606" s="28" t="s">
        <v>21</v>
      </c>
      <c r="O1606" s="92">
        <v>36278</v>
      </c>
      <c r="P1606" s="28" t="s">
        <v>31</v>
      </c>
      <c r="Q1606" s="26" t="b">
        <v>0</v>
      </c>
      <c r="R1606" s="22">
        <f t="shared" si="25"/>
        <v>157</v>
      </c>
    </row>
    <row r="1607" spans="1:18" ht="24">
      <c r="A1607" s="26">
        <v>4320</v>
      </c>
      <c r="B1607" s="27">
        <v>36122</v>
      </c>
      <c r="C1607" s="28" t="s">
        <v>5237</v>
      </c>
      <c r="D1607" s="29">
        <v>36109</v>
      </c>
      <c r="E1607" s="28" t="s">
        <v>38</v>
      </c>
      <c r="F1607" s="28" t="s">
        <v>19</v>
      </c>
      <c r="G1607" s="28" t="s">
        <v>20</v>
      </c>
      <c r="H1607" s="28" t="s">
        <v>21</v>
      </c>
      <c r="I1607" s="28" t="s">
        <v>21</v>
      </c>
      <c r="J1607" s="28" t="s">
        <v>5238</v>
      </c>
      <c r="K1607" s="28" t="s">
        <v>21</v>
      </c>
      <c r="L1607" s="28" t="s">
        <v>66</v>
      </c>
      <c r="M1607" s="28" t="s">
        <v>4283</v>
      </c>
      <c r="O1607" s="92">
        <v>36943</v>
      </c>
      <c r="P1607" s="28" t="s">
        <v>21</v>
      </c>
      <c r="Q1607" s="26" t="b">
        <v>0</v>
      </c>
      <c r="R1607" s="22">
        <f t="shared" si="25"/>
        <v>819</v>
      </c>
    </row>
    <row r="1608" spans="1:18">
      <c r="A1608" s="26">
        <v>4321</v>
      </c>
      <c r="B1608" s="27">
        <v>36122</v>
      </c>
      <c r="C1608" s="28" t="s">
        <v>5239</v>
      </c>
      <c r="D1608" s="29">
        <v>36117</v>
      </c>
      <c r="E1608" s="28" t="s">
        <v>5224</v>
      </c>
      <c r="F1608" s="28" t="s">
        <v>974</v>
      </c>
      <c r="G1608" s="28" t="s">
        <v>20</v>
      </c>
      <c r="H1608" s="28" t="s">
        <v>212</v>
      </c>
      <c r="I1608" s="28" t="s">
        <v>212</v>
      </c>
      <c r="J1608" s="28" t="s">
        <v>5240</v>
      </c>
      <c r="K1608" s="28" t="s">
        <v>21</v>
      </c>
      <c r="L1608" s="28" t="s">
        <v>66</v>
      </c>
      <c r="M1608" s="28" t="s">
        <v>1946</v>
      </c>
      <c r="O1608" s="92">
        <v>37578</v>
      </c>
      <c r="P1608" s="28" t="s">
        <v>31</v>
      </c>
      <c r="Q1608" s="26" t="b">
        <v>0</v>
      </c>
      <c r="R1608" s="22">
        <f t="shared" si="25"/>
        <v>1454</v>
      </c>
    </row>
    <row r="1609" spans="1:18">
      <c r="A1609" s="26">
        <v>4322</v>
      </c>
      <c r="B1609" s="27">
        <v>36122</v>
      </c>
      <c r="C1609" s="28" t="s">
        <v>5241</v>
      </c>
      <c r="D1609" s="29">
        <v>36117</v>
      </c>
      <c r="E1609" s="28" t="s">
        <v>5242</v>
      </c>
      <c r="F1609" s="28" t="s">
        <v>70</v>
      </c>
      <c r="G1609" s="28" t="s">
        <v>20</v>
      </c>
      <c r="H1609" s="28" t="s">
        <v>71</v>
      </c>
      <c r="I1609" s="28" t="s">
        <v>72</v>
      </c>
      <c r="J1609" s="28" t="s">
        <v>5243</v>
      </c>
      <c r="K1609" s="28" t="s">
        <v>5244</v>
      </c>
      <c r="L1609" s="28" t="s">
        <v>686</v>
      </c>
      <c r="M1609" s="28" t="s">
        <v>21</v>
      </c>
      <c r="O1609" s="92">
        <v>36234</v>
      </c>
      <c r="P1609" s="28" t="s">
        <v>21</v>
      </c>
      <c r="Q1609" s="26" t="b">
        <v>0</v>
      </c>
      <c r="R1609" s="22">
        <f t="shared" si="25"/>
        <v>113</v>
      </c>
    </row>
    <row r="1610" spans="1:18" ht="24">
      <c r="A1610" s="26">
        <v>4323</v>
      </c>
      <c r="B1610" s="27">
        <v>36123</v>
      </c>
      <c r="C1610" s="28" t="s">
        <v>5245</v>
      </c>
      <c r="D1610" s="29">
        <v>36118</v>
      </c>
      <c r="E1610" s="28" t="s">
        <v>3116</v>
      </c>
      <c r="F1610" s="28" t="s">
        <v>149</v>
      </c>
      <c r="G1610" s="28" t="s">
        <v>20</v>
      </c>
      <c r="H1610" s="28" t="s">
        <v>21</v>
      </c>
      <c r="I1610" s="28" t="s">
        <v>21</v>
      </c>
      <c r="J1610" s="28" t="s">
        <v>5246</v>
      </c>
      <c r="K1610" s="28" t="s">
        <v>4949</v>
      </c>
      <c r="L1610" s="28" t="s">
        <v>66</v>
      </c>
      <c r="M1610" s="28" t="s">
        <v>21</v>
      </c>
      <c r="O1610" s="92">
        <v>36193</v>
      </c>
      <c r="P1610" s="28" t="s">
        <v>21</v>
      </c>
      <c r="Q1610" s="26" t="b">
        <v>0</v>
      </c>
      <c r="R1610" s="22">
        <f t="shared" si="25"/>
        <v>68</v>
      </c>
    </row>
    <row r="1611" spans="1:18">
      <c r="A1611" s="26">
        <v>4325</v>
      </c>
      <c r="B1611" s="27">
        <v>36129</v>
      </c>
      <c r="C1611" s="28" t="s">
        <v>5247</v>
      </c>
      <c r="D1611" s="29">
        <v>36123</v>
      </c>
      <c r="E1611" s="28" t="s">
        <v>5193</v>
      </c>
      <c r="F1611" s="28" t="s">
        <v>124</v>
      </c>
      <c r="G1611" s="28" t="s">
        <v>20</v>
      </c>
      <c r="H1611" s="28" t="s">
        <v>21</v>
      </c>
      <c r="I1611" s="28" t="s">
        <v>21</v>
      </c>
      <c r="J1611" s="28" t="s">
        <v>5248</v>
      </c>
      <c r="K1611" s="28" t="s">
        <v>5249</v>
      </c>
      <c r="L1611" s="28" t="s">
        <v>1946</v>
      </c>
      <c r="M1611" s="28" t="s">
        <v>21</v>
      </c>
      <c r="O1611" s="92">
        <v>36452</v>
      </c>
      <c r="P1611" s="28" t="s">
        <v>31</v>
      </c>
      <c r="Q1611" s="26" t="b">
        <v>0</v>
      </c>
      <c r="R1611" s="22">
        <f t="shared" si="25"/>
        <v>323</v>
      </c>
    </row>
    <row r="1612" spans="1:18" ht="36">
      <c r="A1612" s="26">
        <v>4326</v>
      </c>
      <c r="B1612" s="27">
        <v>36129</v>
      </c>
      <c r="C1612" s="28" t="s">
        <v>5250</v>
      </c>
      <c r="D1612" s="29">
        <v>36126</v>
      </c>
      <c r="E1612" s="28" t="s">
        <v>5251</v>
      </c>
      <c r="F1612" s="28" t="s">
        <v>4534</v>
      </c>
      <c r="G1612" s="28" t="s">
        <v>20</v>
      </c>
      <c r="H1612" s="28" t="s">
        <v>71</v>
      </c>
      <c r="I1612" s="28" t="s">
        <v>71</v>
      </c>
      <c r="J1612" s="28" t="s">
        <v>5252</v>
      </c>
      <c r="K1612" s="28" t="s">
        <v>5253</v>
      </c>
      <c r="L1612" s="28" t="s">
        <v>2205</v>
      </c>
      <c r="M1612" s="28" t="s">
        <v>5254</v>
      </c>
      <c r="O1612" s="92">
        <v>38489</v>
      </c>
      <c r="P1612" s="28" t="s">
        <v>21</v>
      </c>
      <c r="Q1612" s="26" t="b">
        <v>0</v>
      </c>
      <c r="R1612" s="22">
        <f t="shared" si="25"/>
        <v>2359</v>
      </c>
    </row>
    <row r="1613" spans="1:18">
      <c r="A1613" s="26">
        <v>4327</v>
      </c>
      <c r="B1613" s="27">
        <v>36129</v>
      </c>
      <c r="C1613" s="28" t="s">
        <v>5255</v>
      </c>
      <c r="D1613" s="29">
        <v>36126</v>
      </c>
      <c r="E1613" s="28" t="s">
        <v>5256</v>
      </c>
      <c r="F1613" s="28" t="s">
        <v>1047</v>
      </c>
      <c r="G1613" s="28" t="s">
        <v>20</v>
      </c>
      <c r="H1613" s="28" t="s">
        <v>71</v>
      </c>
      <c r="I1613" s="28" t="s">
        <v>72</v>
      </c>
      <c r="J1613" s="28" t="s">
        <v>5257</v>
      </c>
      <c r="K1613" s="28" t="s">
        <v>21</v>
      </c>
      <c r="L1613" s="28" t="s">
        <v>88</v>
      </c>
      <c r="M1613" s="28" t="s">
        <v>21</v>
      </c>
      <c r="O1613" s="92">
        <v>36209</v>
      </c>
      <c r="P1613" s="28" t="s">
        <v>31</v>
      </c>
      <c r="Q1613" s="26" t="b">
        <v>0</v>
      </c>
      <c r="R1613" s="22">
        <f t="shared" si="25"/>
        <v>79</v>
      </c>
    </row>
    <row r="1614" spans="1:18">
      <c r="A1614" s="26">
        <v>4328</v>
      </c>
      <c r="B1614" s="27">
        <v>36131</v>
      </c>
      <c r="C1614" s="28" t="s">
        <v>5258</v>
      </c>
      <c r="D1614" s="29">
        <v>36129</v>
      </c>
      <c r="E1614" s="28" t="s">
        <v>38</v>
      </c>
      <c r="F1614" s="28" t="s">
        <v>5259</v>
      </c>
      <c r="G1614" s="28" t="s">
        <v>20</v>
      </c>
      <c r="H1614" s="28" t="s">
        <v>71</v>
      </c>
      <c r="I1614" s="28" t="s">
        <v>72</v>
      </c>
      <c r="J1614" s="28" t="s">
        <v>5260</v>
      </c>
      <c r="K1614" s="28" t="s">
        <v>21</v>
      </c>
      <c r="L1614" s="28" t="s">
        <v>66</v>
      </c>
      <c r="M1614" s="28" t="s">
        <v>21</v>
      </c>
      <c r="O1614" s="92">
        <v>36200</v>
      </c>
      <c r="P1614" s="28" t="s">
        <v>21</v>
      </c>
      <c r="Q1614" s="26" t="b">
        <v>0</v>
      </c>
      <c r="R1614" s="22">
        <f t="shared" si="25"/>
        <v>67</v>
      </c>
    </row>
    <row r="1615" spans="1:18">
      <c r="A1615" s="26">
        <v>4330</v>
      </c>
      <c r="B1615" s="27">
        <v>36145</v>
      </c>
      <c r="C1615" s="28" t="s">
        <v>5263</v>
      </c>
      <c r="D1615" s="29">
        <v>36140</v>
      </c>
      <c r="E1615" s="28" t="s">
        <v>5264</v>
      </c>
      <c r="F1615" s="28" t="s">
        <v>5265</v>
      </c>
      <c r="G1615" s="28" t="s">
        <v>20</v>
      </c>
      <c r="H1615" s="28" t="s">
        <v>21</v>
      </c>
      <c r="I1615" s="28" t="s">
        <v>21</v>
      </c>
      <c r="J1615" s="28" t="s">
        <v>5266</v>
      </c>
      <c r="K1615" s="28" t="s">
        <v>5267</v>
      </c>
      <c r="L1615" s="28" t="s">
        <v>66</v>
      </c>
      <c r="M1615" s="28" t="s">
        <v>1946</v>
      </c>
      <c r="O1615" s="92">
        <v>36713</v>
      </c>
      <c r="P1615" s="28" t="s">
        <v>31</v>
      </c>
      <c r="Q1615" s="26" t="b">
        <v>0</v>
      </c>
      <c r="R1615" s="22">
        <f t="shared" si="25"/>
        <v>567</v>
      </c>
    </row>
    <row r="1616" spans="1:18">
      <c r="A1616" s="26">
        <v>4329</v>
      </c>
      <c r="B1616" s="27">
        <v>36150</v>
      </c>
      <c r="C1616" s="28" t="s">
        <v>5261</v>
      </c>
      <c r="D1616" s="29">
        <v>36140</v>
      </c>
      <c r="E1616" s="28" t="s">
        <v>5262</v>
      </c>
      <c r="F1616" s="28" t="s">
        <v>104</v>
      </c>
      <c r="G1616" s="28" t="s">
        <v>20</v>
      </c>
      <c r="H1616" s="28" t="s">
        <v>21</v>
      </c>
      <c r="I1616" s="28" t="s">
        <v>21</v>
      </c>
      <c r="J1616" s="28" t="s">
        <v>269</v>
      </c>
      <c r="K1616" s="28" t="s">
        <v>4358</v>
      </c>
      <c r="L1616" s="28" t="s">
        <v>4579</v>
      </c>
      <c r="M1616" s="28" t="s">
        <v>4652</v>
      </c>
      <c r="O1616" s="92">
        <v>38644</v>
      </c>
      <c r="P1616" s="28" t="s">
        <v>21</v>
      </c>
      <c r="Q1616" s="26" t="b">
        <v>0</v>
      </c>
      <c r="R1616" s="22">
        <f t="shared" si="25"/>
        <v>2492</v>
      </c>
    </row>
    <row r="1617" spans="1:18">
      <c r="A1617" s="26">
        <v>4332</v>
      </c>
      <c r="B1617" s="27">
        <v>36157</v>
      </c>
      <c r="C1617" s="28" t="s">
        <v>5268</v>
      </c>
      <c r="D1617" s="29">
        <v>36151</v>
      </c>
      <c r="E1617" s="28" t="s">
        <v>5269</v>
      </c>
      <c r="F1617" s="28" t="s">
        <v>5270</v>
      </c>
      <c r="G1617" s="28" t="s">
        <v>20</v>
      </c>
      <c r="H1617" s="28" t="s">
        <v>21</v>
      </c>
      <c r="I1617" s="28" t="s">
        <v>21</v>
      </c>
      <c r="J1617" s="28" t="s">
        <v>448</v>
      </c>
      <c r="K1617" s="28" t="s">
        <v>5271</v>
      </c>
      <c r="L1617" s="28" t="s">
        <v>66</v>
      </c>
      <c r="M1617" s="28" t="s">
        <v>1946</v>
      </c>
      <c r="O1617" s="92">
        <v>37851</v>
      </c>
      <c r="P1617" s="28" t="s">
        <v>31</v>
      </c>
      <c r="Q1617" s="26" t="b">
        <v>0</v>
      </c>
      <c r="R1617" s="22">
        <f t="shared" si="25"/>
        <v>1693</v>
      </c>
    </row>
    <row r="1618" spans="1:18">
      <c r="A1618" s="26">
        <v>4333</v>
      </c>
      <c r="B1618" s="27">
        <v>36158</v>
      </c>
      <c r="C1618" s="28" t="s">
        <v>5272</v>
      </c>
      <c r="D1618" s="29">
        <v>36151</v>
      </c>
      <c r="E1618" s="28" t="s">
        <v>3116</v>
      </c>
      <c r="F1618" s="28" t="s">
        <v>242</v>
      </c>
      <c r="G1618" s="28" t="s">
        <v>20</v>
      </c>
      <c r="H1618" s="28" t="s">
        <v>21</v>
      </c>
      <c r="I1618" s="28" t="s">
        <v>21</v>
      </c>
      <c r="J1618" s="28" t="s">
        <v>5273</v>
      </c>
      <c r="K1618" s="28" t="s">
        <v>5274</v>
      </c>
      <c r="L1618" s="28" t="s">
        <v>1946</v>
      </c>
      <c r="M1618" s="28" t="s">
        <v>21</v>
      </c>
      <c r="O1618" s="92">
        <v>36493</v>
      </c>
      <c r="P1618" s="28" t="s">
        <v>21</v>
      </c>
      <c r="Q1618" s="26" t="b">
        <v>0</v>
      </c>
      <c r="R1618" s="22">
        <f t="shared" si="25"/>
        <v>334</v>
      </c>
    </row>
    <row r="1619" spans="1:18">
      <c r="A1619" s="26">
        <v>4335</v>
      </c>
      <c r="B1619" s="27">
        <v>36160</v>
      </c>
      <c r="C1619" s="28" t="s">
        <v>5275</v>
      </c>
      <c r="D1619" s="29">
        <v>36159</v>
      </c>
      <c r="E1619" s="28" t="s">
        <v>5276</v>
      </c>
      <c r="F1619" s="28" t="s">
        <v>149</v>
      </c>
      <c r="G1619" s="28" t="s">
        <v>20</v>
      </c>
      <c r="H1619" s="28" t="s">
        <v>21</v>
      </c>
      <c r="I1619" s="28" t="s">
        <v>21</v>
      </c>
      <c r="J1619" s="28" t="s">
        <v>5277</v>
      </c>
      <c r="K1619" s="28" t="s">
        <v>5278</v>
      </c>
      <c r="L1619" s="28" t="s">
        <v>686</v>
      </c>
      <c r="M1619" s="28" t="s">
        <v>21</v>
      </c>
      <c r="O1619" s="92">
        <v>36276</v>
      </c>
      <c r="P1619" s="28" t="s">
        <v>21</v>
      </c>
      <c r="Q1619" s="26" t="b">
        <v>0</v>
      </c>
      <c r="R1619" s="22">
        <f t="shared" si="25"/>
        <v>117</v>
      </c>
    </row>
    <row r="1620" spans="1:18">
      <c r="A1620" s="26">
        <v>4340</v>
      </c>
      <c r="B1620" s="27">
        <v>36164</v>
      </c>
      <c r="C1620" s="28" t="s">
        <v>5291</v>
      </c>
      <c r="D1620" s="29">
        <v>36164</v>
      </c>
      <c r="E1620" s="28" t="s">
        <v>5292</v>
      </c>
      <c r="F1620" s="28" t="s">
        <v>4004</v>
      </c>
      <c r="G1620" s="28" t="s">
        <v>20</v>
      </c>
      <c r="H1620" s="28" t="s">
        <v>189</v>
      </c>
      <c r="I1620" s="28" t="s">
        <v>189</v>
      </c>
      <c r="J1620" s="28" t="s">
        <v>3639</v>
      </c>
      <c r="K1620" s="28" t="s">
        <v>5293</v>
      </c>
      <c r="L1620" s="28" t="s">
        <v>66</v>
      </c>
      <c r="M1620" s="28" t="s">
        <v>21</v>
      </c>
      <c r="O1620" s="92">
        <v>37733</v>
      </c>
      <c r="P1620" s="28" t="s">
        <v>31</v>
      </c>
      <c r="Q1620" s="26" t="b">
        <v>0</v>
      </c>
      <c r="R1620" s="22">
        <f t="shared" si="25"/>
        <v>1569</v>
      </c>
    </row>
    <row r="1621" spans="1:18">
      <c r="A1621" s="26">
        <v>5197</v>
      </c>
      <c r="B1621" s="27">
        <v>36165</v>
      </c>
      <c r="C1621" s="28" t="s">
        <v>6039</v>
      </c>
      <c r="D1621" s="29">
        <v>36530</v>
      </c>
      <c r="E1621" s="28" t="s">
        <v>6040</v>
      </c>
      <c r="F1621" s="28" t="s">
        <v>124</v>
      </c>
      <c r="G1621" s="28" t="s">
        <v>20</v>
      </c>
      <c r="H1621" s="28" t="s">
        <v>21</v>
      </c>
      <c r="I1621" s="28" t="s">
        <v>21</v>
      </c>
      <c r="J1621" s="28" t="s">
        <v>6041</v>
      </c>
      <c r="K1621" s="28" t="s">
        <v>21</v>
      </c>
      <c r="L1621" s="28" t="s">
        <v>66</v>
      </c>
      <c r="M1621" s="28" t="s">
        <v>21</v>
      </c>
      <c r="O1621" s="92">
        <v>36545</v>
      </c>
      <c r="P1621" s="28" t="s">
        <v>31</v>
      </c>
      <c r="Q1621" s="26" t="b">
        <v>0</v>
      </c>
      <c r="R1621" s="22">
        <f t="shared" si="25"/>
        <v>380</v>
      </c>
    </row>
    <row r="1622" spans="1:18" ht="24">
      <c r="A1622" s="26">
        <v>4336</v>
      </c>
      <c r="B1622" s="27">
        <v>36168</v>
      </c>
      <c r="C1622" s="28" t="s">
        <v>5279</v>
      </c>
      <c r="D1622" s="29">
        <v>36166</v>
      </c>
      <c r="E1622" s="28" t="s">
        <v>5280</v>
      </c>
      <c r="F1622" s="28" t="s">
        <v>228</v>
      </c>
      <c r="G1622" s="28" t="s">
        <v>20</v>
      </c>
      <c r="H1622" s="28" t="s">
        <v>21</v>
      </c>
      <c r="I1622" s="28" t="s">
        <v>21</v>
      </c>
      <c r="J1622" s="28" t="s">
        <v>5281</v>
      </c>
      <c r="K1622" s="28" t="s">
        <v>5282</v>
      </c>
      <c r="L1622" s="28" t="s">
        <v>686</v>
      </c>
      <c r="M1622" s="28" t="s">
        <v>21</v>
      </c>
      <c r="O1622" s="92">
        <v>36213</v>
      </c>
      <c r="P1622" s="28" t="s">
        <v>31</v>
      </c>
      <c r="Q1622" s="26" t="b">
        <v>0</v>
      </c>
      <c r="R1622" s="22">
        <f t="shared" si="25"/>
        <v>44</v>
      </c>
    </row>
    <row r="1623" spans="1:18">
      <c r="A1623" s="26">
        <v>4337</v>
      </c>
      <c r="B1623" s="27">
        <v>36168</v>
      </c>
      <c r="C1623" s="28" t="s">
        <v>5283</v>
      </c>
      <c r="D1623" s="29">
        <v>36166</v>
      </c>
      <c r="E1623" s="28" t="s">
        <v>3116</v>
      </c>
      <c r="F1623" s="28" t="s">
        <v>228</v>
      </c>
      <c r="G1623" s="28" t="s">
        <v>20</v>
      </c>
      <c r="H1623" s="28" t="s">
        <v>21</v>
      </c>
      <c r="I1623" s="28" t="s">
        <v>21</v>
      </c>
      <c r="J1623" s="28" t="s">
        <v>5284</v>
      </c>
      <c r="K1623" s="28" t="s">
        <v>21</v>
      </c>
      <c r="L1623" s="28" t="s">
        <v>66</v>
      </c>
      <c r="M1623" s="28" t="s">
        <v>1946</v>
      </c>
      <c r="N1623" s="29">
        <v>36199</v>
      </c>
      <c r="O1623" s="92">
        <v>36965</v>
      </c>
      <c r="P1623" s="28" t="s">
        <v>21</v>
      </c>
      <c r="Q1623" s="26" t="b">
        <v>0</v>
      </c>
      <c r="R1623" s="22">
        <f t="shared" si="25"/>
        <v>797</v>
      </c>
    </row>
    <row r="1624" spans="1:18">
      <c r="A1624" s="26">
        <v>4338</v>
      </c>
      <c r="B1624" s="27">
        <v>36168</v>
      </c>
      <c r="C1624" s="28" t="s">
        <v>5285</v>
      </c>
      <c r="D1624" s="29">
        <v>36143</v>
      </c>
      <c r="E1624" s="28" t="s">
        <v>283</v>
      </c>
      <c r="F1624" s="28" t="s">
        <v>741</v>
      </c>
      <c r="G1624" s="28" t="s">
        <v>20</v>
      </c>
      <c r="H1624" s="28" t="s">
        <v>21</v>
      </c>
      <c r="I1624" s="28" t="s">
        <v>21</v>
      </c>
      <c r="J1624" s="28" t="s">
        <v>5286</v>
      </c>
      <c r="K1624" s="28" t="s">
        <v>5287</v>
      </c>
      <c r="L1624" s="28" t="s">
        <v>66</v>
      </c>
      <c r="M1624" s="28" t="s">
        <v>21</v>
      </c>
      <c r="O1624" s="92">
        <v>36186</v>
      </c>
      <c r="P1624" s="28" t="s">
        <v>31</v>
      </c>
      <c r="Q1624" s="26" t="b">
        <v>0</v>
      </c>
      <c r="R1624" s="22">
        <f t="shared" si="25"/>
        <v>18</v>
      </c>
    </row>
    <row r="1625" spans="1:18">
      <c r="A1625" s="26">
        <v>4339</v>
      </c>
      <c r="B1625" s="27">
        <v>36171</v>
      </c>
      <c r="C1625" s="28" t="s">
        <v>5288</v>
      </c>
      <c r="D1625" s="29">
        <v>36168</v>
      </c>
      <c r="E1625" s="28" t="s">
        <v>283</v>
      </c>
      <c r="F1625" s="28" t="s">
        <v>741</v>
      </c>
      <c r="G1625" s="28" t="s">
        <v>20</v>
      </c>
      <c r="H1625" s="28" t="s">
        <v>21</v>
      </c>
      <c r="I1625" s="28" t="s">
        <v>21</v>
      </c>
      <c r="J1625" s="28" t="s">
        <v>5289</v>
      </c>
      <c r="K1625" s="28" t="s">
        <v>5290</v>
      </c>
      <c r="L1625" s="28" t="s">
        <v>66</v>
      </c>
      <c r="M1625" s="28" t="s">
        <v>21</v>
      </c>
      <c r="O1625" s="92">
        <v>36186</v>
      </c>
      <c r="P1625" s="28" t="s">
        <v>21</v>
      </c>
      <c r="Q1625" s="26" t="b">
        <v>0</v>
      </c>
      <c r="R1625" s="22">
        <f t="shared" si="25"/>
        <v>15</v>
      </c>
    </row>
    <row r="1626" spans="1:18">
      <c r="A1626" s="26">
        <v>4341</v>
      </c>
      <c r="B1626" s="27">
        <v>36175</v>
      </c>
      <c r="C1626" s="28" t="s">
        <v>5294</v>
      </c>
      <c r="D1626" s="29">
        <v>36172</v>
      </c>
      <c r="E1626" s="28" t="s">
        <v>5295</v>
      </c>
      <c r="F1626" s="28" t="s">
        <v>19</v>
      </c>
      <c r="G1626" s="28" t="s">
        <v>20</v>
      </c>
      <c r="H1626" s="28" t="s">
        <v>21</v>
      </c>
      <c r="I1626" s="28" t="s">
        <v>21</v>
      </c>
      <c r="J1626" s="28" t="s">
        <v>5296</v>
      </c>
      <c r="K1626" s="28" t="s">
        <v>5297</v>
      </c>
      <c r="L1626" s="28" t="s">
        <v>66</v>
      </c>
      <c r="M1626" s="28" t="s">
        <v>686</v>
      </c>
      <c r="O1626" s="92">
        <v>36452</v>
      </c>
      <c r="P1626" s="28" t="s">
        <v>31</v>
      </c>
      <c r="Q1626" s="26" t="b">
        <v>0</v>
      </c>
      <c r="R1626" s="22">
        <f t="shared" si="25"/>
        <v>277</v>
      </c>
    </row>
    <row r="1627" spans="1:18">
      <c r="A1627" s="26">
        <v>4342</v>
      </c>
      <c r="B1627" s="27">
        <v>36182</v>
      </c>
      <c r="C1627" s="28" t="s">
        <v>5298</v>
      </c>
      <c r="D1627" s="27">
        <v>36163</v>
      </c>
      <c r="E1627" s="28" t="s">
        <v>5299</v>
      </c>
      <c r="F1627" s="28" t="s">
        <v>27</v>
      </c>
      <c r="G1627" s="28" t="s">
        <v>20</v>
      </c>
      <c r="H1627" s="28" t="s">
        <v>21</v>
      </c>
      <c r="I1627" s="28" t="s">
        <v>21</v>
      </c>
      <c r="J1627" s="28" t="s">
        <v>5300</v>
      </c>
      <c r="K1627" s="28" t="s">
        <v>21</v>
      </c>
      <c r="L1627" s="28" t="s">
        <v>66</v>
      </c>
      <c r="M1627" s="28" t="s">
        <v>686</v>
      </c>
      <c r="O1627" s="92">
        <v>36497</v>
      </c>
      <c r="P1627" s="28" t="s">
        <v>31</v>
      </c>
      <c r="Q1627" s="26" t="b">
        <v>0</v>
      </c>
      <c r="R1627" s="22">
        <f t="shared" si="25"/>
        <v>315</v>
      </c>
    </row>
    <row r="1628" spans="1:18">
      <c r="A1628" s="26">
        <v>4343</v>
      </c>
      <c r="B1628" s="27">
        <v>36185</v>
      </c>
      <c r="C1628" s="28" t="s">
        <v>5301</v>
      </c>
      <c r="D1628" s="29">
        <v>36180</v>
      </c>
      <c r="E1628" s="28" t="s">
        <v>5302</v>
      </c>
      <c r="F1628" s="28" t="s">
        <v>228</v>
      </c>
      <c r="G1628" s="28" t="s">
        <v>20</v>
      </c>
      <c r="H1628" s="28" t="s">
        <v>21</v>
      </c>
      <c r="I1628" s="28" t="s">
        <v>21</v>
      </c>
      <c r="J1628" s="28" t="s">
        <v>5303</v>
      </c>
      <c r="K1628" s="28" t="s">
        <v>5304</v>
      </c>
      <c r="L1628" s="28" t="s">
        <v>4282</v>
      </c>
      <c r="M1628" s="28" t="s">
        <v>4283</v>
      </c>
      <c r="O1628" s="92">
        <v>38069</v>
      </c>
      <c r="P1628" s="28" t="s">
        <v>21</v>
      </c>
      <c r="Q1628" s="26" t="b">
        <v>0</v>
      </c>
      <c r="R1628" s="22">
        <f t="shared" si="25"/>
        <v>1883</v>
      </c>
    </row>
    <row r="1629" spans="1:18">
      <c r="A1629" s="26">
        <v>4344</v>
      </c>
      <c r="B1629" s="27">
        <v>36185</v>
      </c>
      <c r="C1629" s="28" t="s">
        <v>5305</v>
      </c>
      <c r="D1629" s="29">
        <v>36185</v>
      </c>
      <c r="E1629" s="28" t="s">
        <v>283</v>
      </c>
      <c r="F1629" s="28" t="s">
        <v>19</v>
      </c>
      <c r="G1629" s="28" t="s">
        <v>20</v>
      </c>
      <c r="H1629" s="28" t="s">
        <v>21</v>
      </c>
      <c r="I1629" s="28" t="s">
        <v>21</v>
      </c>
      <c r="J1629" s="28" t="s">
        <v>5306</v>
      </c>
      <c r="K1629" s="28" t="s">
        <v>5307</v>
      </c>
      <c r="L1629" s="28" t="s">
        <v>66</v>
      </c>
      <c r="M1629" s="28" t="s">
        <v>21</v>
      </c>
      <c r="O1629" s="92">
        <v>36360</v>
      </c>
      <c r="P1629" s="28" t="s">
        <v>31</v>
      </c>
      <c r="Q1629" s="26" t="b">
        <v>0</v>
      </c>
      <c r="R1629" s="22">
        <f t="shared" si="25"/>
        <v>176</v>
      </c>
    </row>
    <row r="1630" spans="1:18">
      <c r="A1630" s="26">
        <v>4345</v>
      </c>
      <c r="B1630" s="27">
        <v>36185</v>
      </c>
      <c r="C1630" s="28" t="s">
        <v>5308</v>
      </c>
      <c r="D1630" s="29">
        <v>36185</v>
      </c>
      <c r="E1630" s="28" t="s">
        <v>283</v>
      </c>
      <c r="F1630" s="28" t="s">
        <v>19</v>
      </c>
      <c r="G1630" s="28" t="s">
        <v>20</v>
      </c>
      <c r="H1630" s="28" t="s">
        <v>21</v>
      </c>
      <c r="I1630" s="28" t="s">
        <v>21</v>
      </c>
      <c r="J1630" s="28" t="s">
        <v>5309</v>
      </c>
      <c r="K1630" s="28" t="s">
        <v>5307</v>
      </c>
      <c r="L1630" s="28" t="s">
        <v>66</v>
      </c>
      <c r="M1630" s="28" t="s">
        <v>21</v>
      </c>
      <c r="O1630" s="92">
        <v>36271</v>
      </c>
      <c r="P1630" s="28" t="s">
        <v>21</v>
      </c>
      <c r="Q1630" s="26" t="b">
        <v>0</v>
      </c>
      <c r="R1630" s="22">
        <f t="shared" si="25"/>
        <v>87</v>
      </c>
    </row>
    <row r="1631" spans="1:18">
      <c r="A1631" s="26">
        <v>4346</v>
      </c>
      <c r="B1631" s="27">
        <v>36185</v>
      </c>
      <c r="C1631" s="28" t="s">
        <v>5310</v>
      </c>
      <c r="D1631" s="29">
        <v>36185</v>
      </c>
      <c r="E1631" s="28" t="s">
        <v>283</v>
      </c>
      <c r="F1631" s="28" t="s">
        <v>19</v>
      </c>
      <c r="G1631" s="28" t="s">
        <v>20</v>
      </c>
      <c r="H1631" s="28" t="s">
        <v>21</v>
      </c>
      <c r="I1631" s="28" t="s">
        <v>21</v>
      </c>
      <c r="J1631" s="28" t="s">
        <v>5311</v>
      </c>
      <c r="K1631" s="28" t="s">
        <v>5307</v>
      </c>
      <c r="L1631" s="28" t="s">
        <v>66</v>
      </c>
      <c r="M1631" s="28" t="s">
        <v>21</v>
      </c>
      <c r="O1631" s="92">
        <v>36271</v>
      </c>
      <c r="P1631" s="28" t="s">
        <v>21</v>
      </c>
      <c r="Q1631" s="26" t="b">
        <v>0</v>
      </c>
      <c r="R1631" s="22">
        <f t="shared" si="25"/>
        <v>87</v>
      </c>
    </row>
    <row r="1632" spans="1:18">
      <c r="A1632" s="26">
        <v>4348</v>
      </c>
      <c r="B1632" s="27">
        <v>36186</v>
      </c>
      <c r="C1632" s="28" t="s">
        <v>5312</v>
      </c>
      <c r="D1632" s="29">
        <v>36186</v>
      </c>
      <c r="E1632" s="28" t="s">
        <v>283</v>
      </c>
      <c r="F1632" s="28" t="s">
        <v>1061</v>
      </c>
      <c r="G1632" s="28" t="s">
        <v>20</v>
      </c>
      <c r="H1632" s="28" t="s">
        <v>21</v>
      </c>
      <c r="I1632" s="28" t="s">
        <v>21</v>
      </c>
      <c r="J1632" s="28" t="s">
        <v>5313</v>
      </c>
      <c r="K1632" s="28" t="s">
        <v>5314</v>
      </c>
      <c r="L1632" s="28" t="s">
        <v>66</v>
      </c>
      <c r="M1632" s="28" t="s">
        <v>21</v>
      </c>
      <c r="O1632" s="92">
        <v>36277</v>
      </c>
      <c r="P1632" s="28" t="s">
        <v>21</v>
      </c>
      <c r="Q1632" s="26" t="b">
        <v>0</v>
      </c>
      <c r="R1632" s="22">
        <f t="shared" si="25"/>
        <v>92</v>
      </c>
    </row>
    <row r="1633" spans="1:18">
      <c r="A1633" s="26">
        <v>4349</v>
      </c>
      <c r="B1633" s="27">
        <v>36186</v>
      </c>
      <c r="C1633" s="28" t="s">
        <v>5315</v>
      </c>
      <c r="E1633" s="28" t="s">
        <v>283</v>
      </c>
      <c r="F1633" s="28" t="s">
        <v>1061</v>
      </c>
      <c r="G1633" s="28" t="s">
        <v>20</v>
      </c>
      <c r="H1633" s="28" t="s">
        <v>21</v>
      </c>
      <c r="I1633" s="28" t="s">
        <v>21</v>
      </c>
      <c r="J1633" s="28" t="s">
        <v>5316</v>
      </c>
      <c r="K1633" s="28" t="s">
        <v>5314</v>
      </c>
      <c r="L1633" s="28" t="s">
        <v>66</v>
      </c>
      <c r="M1633" s="28" t="s">
        <v>21</v>
      </c>
      <c r="O1633" s="92">
        <v>36277</v>
      </c>
      <c r="P1633" s="28" t="s">
        <v>21</v>
      </c>
      <c r="Q1633" s="26" t="b">
        <v>0</v>
      </c>
      <c r="R1633" s="22">
        <f t="shared" si="25"/>
        <v>92</v>
      </c>
    </row>
    <row r="1634" spans="1:18">
      <c r="A1634" s="26">
        <v>4350</v>
      </c>
      <c r="B1634" s="27">
        <v>36186</v>
      </c>
      <c r="C1634" s="28" t="s">
        <v>5317</v>
      </c>
      <c r="E1634" s="28" t="s">
        <v>283</v>
      </c>
      <c r="F1634" s="28" t="s">
        <v>19</v>
      </c>
      <c r="G1634" s="28" t="s">
        <v>20</v>
      </c>
      <c r="H1634" s="28" t="s">
        <v>21</v>
      </c>
      <c r="I1634" s="28" t="s">
        <v>21</v>
      </c>
      <c r="J1634" s="28" t="s">
        <v>5318</v>
      </c>
      <c r="K1634" s="28" t="s">
        <v>5319</v>
      </c>
      <c r="L1634" s="28" t="s">
        <v>66</v>
      </c>
      <c r="M1634" s="28" t="s">
        <v>21</v>
      </c>
      <c r="O1634" s="92">
        <v>36269</v>
      </c>
      <c r="P1634" s="28" t="s">
        <v>21</v>
      </c>
      <c r="Q1634" s="26" t="b">
        <v>0</v>
      </c>
      <c r="R1634" s="22">
        <f t="shared" si="25"/>
        <v>84</v>
      </c>
    </row>
    <row r="1635" spans="1:18">
      <c r="A1635" s="26">
        <v>4351</v>
      </c>
      <c r="B1635" s="27">
        <v>36186</v>
      </c>
      <c r="C1635" s="28" t="s">
        <v>5320</v>
      </c>
      <c r="E1635" s="28" t="s">
        <v>283</v>
      </c>
      <c r="F1635" s="28" t="s">
        <v>1061</v>
      </c>
      <c r="G1635" s="28" t="s">
        <v>20</v>
      </c>
      <c r="H1635" s="28" t="s">
        <v>21</v>
      </c>
      <c r="I1635" s="28" t="s">
        <v>21</v>
      </c>
      <c r="J1635" s="28" t="s">
        <v>5321</v>
      </c>
      <c r="K1635" s="28" t="s">
        <v>5314</v>
      </c>
      <c r="L1635" s="28" t="s">
        <v>66</v>
      </c>
      <c r="M1635" s="28" t="s">
        <v>21</v>
      </c>
      <c r="O1635" s="92">
        <v>36277</v>
      </c>
      <c r="P1635" s="28" t="s">
        <v>21</v>
      </c>
      <c r="Q1635" s="26" t="b">
        <v>0</v>
      </c>
      <c r="R1635" s="22">
        <f t="shared" si="25"/>
        <v>92</v>
      </c>
    </row>
    <row r="1636" spans="1:18">
      <c r="A1636" s="26">
        <v>4355</v>
      </c>
      <c r="B1636" s="27">
        <v>36186</v>
      </c>
      <c r="C1636" s="28" t="s">
        <v>5322</v>
      </c>
      <c r="E1636" s="28" t="s">
        <v>283</v>
      </c>
      <c r="F1636" s="28" t="s">
        <v>1061</v>
      </c>
      <c r="G1636" s="28" t="s">
        <v>20</v>
      </c>
      <c r="H1636" s="28" t="s">
        <v>21</v>
      </c>
      <c r="I1636" s="28" t="s">
        <v>21</v>
      </c>
      <c r="J1636" s="28" t="s">
        <v>5323</v>
      </c>
      <c r="K1636" s="28" t="s">
        <v>5314</v>
      </c>
      <c r="L1636" s="28" t="s">
        <v>66</v>
      </c>
      <c r="M1636" s="28" t="s">
        <v>21</v>
      </c>
      <c r="O1636" s="92">
        <v>36271</v>
      </c>
      <c r="P1636" s="28" t="s">
        <v>21</v>
      </c>
      <c r="Q1636" s="26" t="b">
        <v>0</v>
      </c>
      <c r="R1636" s="22">
        <f t="shared" si="25"/>
        <v>86</v>
      </c>
    </row>
    <row r="1637" spans="1:18">
      <c r="A1637" s="26">
        <v>4356</v>
      </c>
      <c r="B1637" s="27">
        <v>36186</v>
      </c>
      <c r="C1637" s="28" t="s">
        <v>5324</v>
      </c>
      <c r="D1637" s="18"/>
      <c r="E1637" s="28" t="s">
        <v>283</v>
      </c>
      <c r="F1637" s="28" t="s">
        <v>149</v>
      </c>
      <c r="G1637" s="28" t="s">
        <v>20</v>
      </c>
      <c r="H1637" s="28" t="s">
        <v>21</v>
      </c>
      <c r="I1637" s="28" t="s">
        <v>21</v>
      </c>
      <c r="J1637" s="28" t="s">
        <v>5325</v>
      </c>
      <c r="K1637" s="28" t="s">
        <v>5326</v>
      </c>
      <c r="L1637" s="28" t="s">
        <v>66</v>
      </c>
      <c r="M1637" s="28" t="s">
        <v>21</v>
      </c>
      <c r="O1637" s="92">
        <v>36187</v>
      </c>
      <c r="P1637" s="28" t="s">
        <v>21</v>
      </c>
      <c r="Q1637" s="26" t="b">
        <v>0</v>
      </c>
      <c r="R1637" s="22">
        <f t="shared" si="25"/>
        <v>1</v>
      </c>
    </row>
    <row r="1638" spans="1:18">
      <c r="A1638" s="26">
        <v>4357</v>
      </c>
      <c r="B1638" s="27">
        <v>36186</v>
      </c>
      <c r="C1638" s="28" t="s">
        <v>5327</v>
      </c>
      <c r="E1638" s="28" t="s">
        <v>283</v>
      </c>
      <c r="F1638" s="28" t="s">
        <v>1061</v>
      </c>
      <c r="G1638" s="28" t="s">
        <v>20</v>
      </c>
      <c r="H1638" s="28" t="s">
        <v>21</v>
      </c>
      <c r="I1638" s="28" t="s">
        <v>21</v>
      </c>
      <c r="J1638" s="28" t="s">
        <v>5328</v>
      </c>
      <c r="K1638" s="28" t="s">
        <v>5314</v>
      </c>
      <c r="L1638" s="28" t="s">
        <v>66</v>
      </c>
      <c r="M1638" s="28" t="s">
        <v>21</v>
      </c>
      <c r="O1638" s="92">
        <v>36272</v>
      </c>
      <c r="P1638" s="28" t="s">
        <v>21</v>
      </c>
      <c r="Q1638" s="26" t="b">
        <v>0</v>
      </c>
      <c r="R1638" s="22">
        <f t="shared" si="25"/>
        <v>87</v>
      </c>
    </row>
    <row r="1639" spans="1:18">
      <c r="A1639" s="26">
        <v>4358</v>
      </c>
      <c r="B1639" s="27">
        <v>36186</v>
      </c>
      <c r="C1639" s="28" t="s">
        <v>5329</v>
      </c>
      <c r="E1639" s="28" t="s">
        <v>283</v>
      </c>
      <c r="F1639" s="28" t="s">
        <v>1061</v>
      </c>
      <c r="G1639" s="28" t="s">
        <v>20</v>
      </c>
      <c r="H1639" s="28" t="s">
        <v>21</v>
      </c>
      <c r="I1639" s="28" t="s">
        <v>21</v>
      </c>
      <c r="J1639" s="28" t="s">
        <v>5330</v>
      </c>
      <c r="K1639" s="28" t="s">
        <v>5314</v>
      </c>
      <c r="L1639" s="28" t="s">
        <v>66</v>
      </c>
      <c r="M1639" s="28" t="s">
        <v>21</v>
      </c>
      <c r="O1639" s="92">
        <v>36272</v>
      </c>
      <c r="P1639" s="28" t="s">
        <v>21</v>
      </c>
      <c r="Q1639" s="26" t="b">
        <v>0</v>
      </c>
      <c r="R1639" s="22">
        <f t="shared" si="25"/>
        <v>87</v>
      </c>
    </row>
    <row r="1640" spans="1:18">
      <c r="A1640" s="26">
        <v>4359</v>
      </c>
      <c r="B1640" s="27">
        <v>36186</v>
      </c>
      <c r="C1640" s="28" t="s">
        <v>5331</v>
      </c>
      <c r="E1640" s="28" t="s">
        <v>283</v>
      </c>
      <c r="F1640" s="28" t="s">
        <v>1061</v>
      </c>
      <c r="G1640" s="28" t="s">
        <v>20</v>
      </c>
      <c r="H1640" s="28" t="s">
        <v>21</v>
      </c>
      <c r="I1640" s="28" t="s">
        <v>21</v>
      </c>
      <c r="J1640" s="28" t="s">
        <v>5332</v>
      </c>
      <c r="K1640" s="28" t="s">
        <v>5314</v>
      </c>
      <c r="L1640" s="28" t="s">
        <v>66</v>
      </c>
      <c r="M1640" s="28" t="s">
        <v>21</v>
      </c>
      <c r="O1640" s="92">
        <v>36277</v>
      </c>
      <c r="P1640" s="28" t="s">
        <v>182</v>
      </c>
      <c r="Q1640" s="26" t="b">
        <v>0</v>
      </c>
      <c r="R1640" s="22">
        <f t="shared" si="25"/>
        <v>92</v>
      </c>
    </row>
    <row r="1641" spans="1:18">
      <c r="A1641" s="26">
        <v>4367</v>
      </c>
      <c r="B1641" s="27">
        <v>36186</v>
      </c>
      <c r="C1641" s="28" t="s">
        <v>5333</v>
      </c>
      <c r="E1641" s="28" t="s">
        <v>283</v>
      </c>
      <c r="F1641" s="28" t="s">
        <v>228</v>
      </c>
      <c r="G1641" s="28" t="s">
        <v>20</v>
      </c>
      <c r="H1641" s="28" t="s">
        <v>21</v>
      </c>
      <c r="I1641" s="28" t="s">
        <v>21</v>
      </c>
      <c r="J1641" s="28" t="s">
        <v>5334</v>
      </c>
      <c r="K1641" s="28" t="s">
        <v>5335</v>
      </c>
      <c r="L1641" s="28" t="s">
        <v>4748</v>
      </c>
      <c r="M1641" s="28" t="s">
        <v>21</v>
      </c>
      <c r="O1641" s="92">
        <v>36283</v>
      </c>
      <c r="P1641" s="28" t="s">
        <v>21</v>
      </c>
      <c r="Q1641" s="26" t="b">
        <v>0</v>
      </c>
      <c r="R1641" s="22">
        <f t="shared" si="25"/>
        <v>98</v>
      </c>
    </row>
    <row r="1642" spans="1:18">
      <c r="A1642" s="26">
        <v>4370</v>
      </c>
      <c r="B1642" s="27">
        <v>36186</v>
      </c>
      <c r="C1642" s="28" t="s">
        <v>5336</v>
      </c>
      <c r="E1642" s="28" t="s">
        <v>283</v>
      </c>
      <c r="F1642" s="28" t="s">
        <v>1149</v>
      </c>
      <c r="G1642" s="28" t="s">
        <v>21</v>
      </c>
      <c r="H1642" s="28" t="s">
        <v>21</v>
      </c>
      <c r="I1642" s="28" t="s">
        <v>71</v>
      </c>
      <c r="J1642" s="28" t="s">
        <v>5337</v>
      </c>
      <c r="K1642" s="28" t="s">
        <v>5338</v>
      </c>
      <c r="L1642" s="28" t="s">
        <v>4748</v>
      </c>
      <c r="M1642" s="28" t="s">
        <v>21</v>
      </c>
      <c r="O1642" s="92">
        <v>36283</v>
      </c>
      <c r="P1642" s="28" t="s">
        <v>21</v>
      </c>
      <c r="Q1642" s="26" t="b">
        <v>0</v>
      </c>
      <c r="R1642" s="22">
        <f t="shared" si="25"/>
        <v>98</v>
      </c>
    </row>
    <row r="1643" spans="1:18">
      <c r="A1643" s="26">
        <v>4371</v>
      </c>
      <c r="B1643" s="27">
        <v>36186</v>
      </c>
      <c r="C1643" s="28" t="s">
        <v>5339</v>
      </c>
      <c r="E1643" s="28" t="s">
        <v>283</v>
      </c>
      <c r="F1643" s="28" t="s">
        <v>149</v>
      </c>
      <c r="G1643" s="28" t="s">
        <v>20</v>
      </c>
      <c r="H1643" s="28" t="s">
        <v>21</v>
      </c>
      <c r="I1643" s="28" t="s">
        <v>21</v>
      </c>
      <c r="J1643" s="28" t="s">
        <v>5340</v>
      </c>
      <c r="K1643" s="28" t="s">
        <v>5326</v>
      </c>
      <c r="L1643" s="28" t="s">
        <v>4748</v>
      </c>
      <c r="M1643" s="28" t="s">
        <v>21</v>
      </c>
      <c r="O1643" s="92">
        <v>36269</v>
      </c>
      <c r="P1643" s="28" t="s">
        <v>21</v>
      </c>
      <c r="Q1643" s="26" t="b">
        <v>0</v>
      </c>
      <c r="R1643" s="22">
        <f t="shared" si="25"/>
        <v>84</v>
      </c>
    </row>
    <row r="1644" spans="1:18">
      <c r="A1644" s="26">
        <v>4373</v>
      </c>
      <c r="B1644" s="27">
        <v>36186</v>
      </c>
      <c r="C1644" s="28" t="s">
        <v>5341</v>
      </c>
      <c r="D1644" s="18"/>
      <c r="E1644" s="28" t="s">
        <v>283</v>
      </c>
      <c r="F1644" s="28" t="s">
        <v>5342</v>
      </c>
      <c r="G1644" s="28" t="s">
        <v>20</v>
      </c>
      <c r="H1644" s="28" t="s">
        <v>21</v>
      </c>
      <c r="I1644" s="28" t="s">
        <v>21</v>
      </c>
      <c r="J1644" s="28" t="s">
        <v>5343</v>
      </c>
      <c r="K1644" s="28" t="s">
        <v>2857</v>
      </c>
      <c r="L1644" s="28" t="s">
        <v>4748</v>
      </c>
      <c r="M1644" s="28" t="s">
        <v>21</v>
      </c>
      <c r="O1644" s="92">
        <v>36283</v>
      </c>
      <c r="P1644" s="28" t="s">
        <v>21</v>
      </c>
      <c r="Q1644" s="26" t="b">
        <v>0</v>
      </c>
      <c r="R1644" s="22">
        <f t="shared" si="25"/>
        <v>98</v>
      </c>
    </row>
    <row r="1645" spans="1:18">
      <c r="A1645" s="26">
        <v>4374</v>
      </c>
      <c r="B1645" s="27">
        <v>36186</v>
      </c>
      <c r="C1645" s="28" t="s">
        <v>5344</v>
      </c>
      <c r="E1645" s="28" t="s">
        <v>283</v>
      </c>
      <c r="F1645" s="28" t="s">
        <v>5342</v>
      </c>
      <c r="G1645" s="28" t="s">
        <v>20</v>
      </c>
      <c r="H1645" s="28" t="s">
        <v>21</v>
      </c>
      <c r="I1645" s="28" t="s">
        <v>21</v>
      </c>
      <c r="J1645" s="28" t="s">
        <v>5345</v>
      </c>
      <c r="K1645" s="28" t="s">
        <v>5346</v>
      </c>
      <c r="L1645" s="28" t="s">
        <v>4748</v>
      </c>
      <c r="M1645" s="28" t="s">
        <v>21</v>
      </c>
      <c r="O1645" s="92">
        <v>36280</v>
      </c>
      <c r="P1645" s="28" t="s">
        <v>21</v>
      </c>
      <c r="Q1645" s="26" t="b">
        <v>0</v>
      </c>
      <c r="R1645" s="22">
        <f t="shared" si="25"/>
        <v>95</v>
      </c>
    </row>
    <row r="1646" spans="1:18">
      <c r="A1646" s="26">
        <v>4375</v>
      </c>
      <c r="B1646" s="27">
        <v>36186</v>
      </c>
      <c r="C1646" s="28" t="s">
        <v>5347</v>
      </c>
      <c r="E1646" s="28" t="s">
        <v>283</v>
      </c>
      <c r="F1646" s="28" t="s">
        <v>1149</v>
      </c>
      <c r="G1646" s="28" t="s">
        <v>21</v>
      </c>
      <c r="H1646" s="28" t="s">
        <v>21</v>
      </c>
      <c r="I1646" s="28" t="s">
        <v>1061</v>
      </c>
      <c r="J1646" s="28" t="s">
        <v>5348</v>
      </c>
      <c r="K1646" s="28" t="s">
        <v>1821</v>
      </c>
      <c r="L1646" s="28" t="s">
        <v>4748</v>
      </c>
      <c r="M1646" s="28" t="s">
        <v>21</v>
      </c>
      <c r="O1646" s="92">
        <v>36277</v>
      </c>
      <c r="P1646" s="28" t="s">
        <v>21</v>
      </c>
      <c r="Q1646" s="26" t="b">
        <v>0</v>
      </c>
      <c r="R1646" s="22">
        <f t="shared" si="25"/>
        <v>92</v>
      </c>
    </row>
    <row r="1647" spans="1:18">
      <c r="A1647" s="26">
        <v>4376</v>
      </c>
      <c r="B1647" s="27">
        <v>36186</v>
      </c>
      <c r="C1647" s="28" t="s">
        <v>5349</v>
      </c>
      <c r="D1647" s="18"/>
      <c r="E1647" s="28" t="s">
        <v>283</v>
      </c>
      <c r="F1647" s="28" t="s">
        <v>242</v>
      </c>
      <c r="G1647" s="28" t="s">
        <v>20</v>
      </c>
      <c r="H1647" s="28" t="s">
        <v>21</v>
      </c>
      <c r="I1647" s="28" t="s">
        <v>21</v>
      </c>
      <c r="J1647" s="28" t="s">
        <v>5350</v>
      </c>
      <c r="K1647" s="28" t="s">
        <v>5351</v>
      </c>
      <c r="L1647" s="28" t="s">
        <v>4748</v>
      </c>
      <c r="M1647" s="28" t="s">
        <v>21</v>
      </c>
      <c r="O1647" s="92">
        <v>36280</v>
      </c>
      <c r="P1647" s="28" t="s">
        <v>21</v>
      </c>
      <c r="Q1647" s="26" t="b">
        <v>0</v>
      </c>
      <c r="R1647" s="22">
        <f t="shared" si="25"/>
        <v>95</v>
      </c>
    </row>
    <row r="1648" spans="1:18">
      <c r="A1648" s="26">
        <v>4377</v>
      </c>
      <c r="B1648" s="27">
        <v>36186</v>
      </c>
      <c r="C1648" s="28" t="s">
        <v>5352</v>
      </c>
      <c r="E1648" s="28" t="s">
        <v>283</v>
      </c>
      <c r="F1648" s="28" t="s">
        <v>242</v>
      </c>
      <c r="G1648" s="28" t="s">
        <v>20</v>
      </c>
      <c r="H1648" s="28" t="s">
        <v>21</v>
      </c>
      <c r="I1648" s="28" t="s">
        <v>21</v>
      </c>
      <c r="J1648" s="28" t="s">
        <v>5353</v>
      </c>
      <c r="K1648" s="28" t="s">
        <v>5354</v>
      </c>
      <c r="L1648" s="28" t="s">
        <v>4748</v>
      </c>
      <c r="M1648" s="28" t="s">
        <v>21</v>
      </c>
      <c r="O1648" s="92">
        <v>36283</v>
      </c>
      <c r="P1648" s="28" t="s">
        <v>21</v>
      </c>
      <c r="Q1648" s="26" t="b">
        <v>0</v>
      </c>
      <c r="R1648" s="22">
        <f t="shared" si="25"/>
        <v>98</v>
      </c>
    </row>
    <row r="1649" spans="1:18">
      <c r="A1649" s="26">
        <v>4379</v>
      </c>
      <c r="B1649" s="27">
        <v>36186</v>
      </c>
      <c r="C1649" s="28" t="s">
        <v>5355</v>
      </c>
      <c r="E1649" s="28" t="s">
        <v>283</v>
      </c>
      <c r="F1649" s="28" t="s">
        <v>1149</v>
      </c>
      <c r="G1649" s="28" t="s">
        <v>21</v>
      </c>
      <c r="H1649" s="28" t="s">
        <v>21</v>
      </c>
      <c r="I1649" s="28" t="s">
        <v>1061</v>
      </c>
      <c r="J1649" s="28" t="s">
        <v>5356</v>
      </c>
      <c r="K1649" s="28" t="s">
        <v>2857</v>
      </c>
      <c r="L1649" s="28" t="s">
        <v>4748</v>
      </c>
      <c r="M1649" s="28" t="s">
        <v>21</v>
      </c>
      <c r="O1649" s="92">
        <v>36283</v>
      </c>
      <c r="P1649" s="28" t="s">
        <v>21</v>
      </c>
      <c r="Q1649" s="26" t="b">
        <v>0</v>
      </c>
      <c r="R1649" s="22">
        <f t="shared" si="25"/>
        <v>98</v>
      </c>
    </row>
    <row r="1650" spans="1:18">
      <c r="A1650" s="26">
        <v>4409</v>
      </c>
      <c r="B1650" s="27">
        <v>36186</v>
      </c>
      <c r="C1650" s="28" t="s">
        <v>5368</v>
      </c>
      <c r="D1650" s="27">
        <v>36186</v>
      </c>
      <c r="E1650" s="28" t="s">
        <v>38</v>
      </c>
      <c r="F1650" s="28" t="s">
        <v>2296</v>
      </c>
      <c r="G1650" s="28" t="s">
        <v>20</v>
      </c>
      <c r="H1650" s="28" t="s">
        <v>566</v>
      </c>
      <c r="I1650" s="28" t="s">
        <v>566</v>
      </c>
      <c r="J1650" s="28" t="s">
        <v>4183</v>
      </c>
      <c r="K1650" s="28" t="s">
        <v>5369</v>
      </c>
      <c r="L1650" s="28" t="s">
        <v>686</v>
      </c>
      <c r="M1650" s="28" t="s">
        <v>21</v>
      </c>
      <c r="O1650" s="92">
        <v>36234</v>
      </c>
      <c r="P1650" s="28" t="s">
        <v>31</v>
      </c>
      <c r="Q1650" s="26" t="b">
        <v>0</v>
      </c>
      <c r="R1650" s="22">
        <f t="shared" si="25"/>
        <v>49</v>
      </c>
    </row>
    <row r="1651" spans="1:18">
      <c r="A1651" s="26">
        <v>4395</v>
      </c>
      <c r="B1651" s="27">
        <v>36187</v>
      </c>
      <c r="C1651" s="28" t="s">
        <v>5357</v>
      </c>
      <c r="D1651" s="18"/>
      <c r="E1651" s="28" t="s">
        <v>283</v>
      </c>
      <c r="F1651" s="28" t="s">
        <v>1149</v>
      </c>
      <c r="G1651" s="28" t="s">
        <v>21</v>
      </c>
      <c r="H1651" s="28" t="s">
        <v>21</v>
      </c>
      <c r="I1651" s="28" t="s">
        <v>1061</v>
      </c>
      <c r="J1651" s="28" t="s">
        <v>5358</v>
      </c>
      <c r="K1651" s="28" t="s">
        <v>5359</v>
      </c>
      <c r="L1651" s="28" t="s">
        <v>4748</v>
      </c>
      <c r="M1651" s="28" t="s">
        <v>21</v>
      </c>
      <c r="O1651" s="92">
        <v>36283</v>
      </c>
      <c r="P1651" s="28" t="s">
        <v>21</v>
      </c>
      <c r="Q1651" s="26" t="b">
        <v>0</v>
      </c>
      <c r="R1651" s="22">
        <f t="shared" si="25"/>
        <v>97</v>
      </c>
    </row>
    <row r="1652" spans="1:18">
      <c r="A1652" s="26">
        <v>4396</v>
      </c>
      <c r="B1652" s="27">
        <v>36187</v>
      </c>
      <c r="C1652" s="28" t="s">
        <v>5360</v>
      </c>
      <c r="D1652" s="18"/>
      <c r="E1652" s="28" t="s">
        <v>283</v>
      </c>
      <c r="F1652" s="28" t="s">
        <v>52</v>
      </c>
      <c r="G1652" s="28" t="s">
        <v>20</v>
      </c>
      <c r="H1652" s="28" t="s">
        <v>21</v>
      </c>
      <c r="I1652" s="28" t="s">
        <v>21</v>
      </c>
      <c r="J1652" s="28" t="s">
        <v>5361</v>
      </c>
      <c r="K1652" s="28" t="s">
        <v>5362</v>
      </c>
      <c r="L1652" s="28" t="s">
        <v>4748</v>
      </c>
      <c r="M1652" s="28" t="s">
        <v>21</v>
      </c>
      <c r="O1652" s="92">
        <v>36283</v>
      </c>
      <c r="P1652" s="28" t="s">
        <v>21</v>
      </c>
      <c r="Q1652" s="26" t="b">
        <v>0</v>
      </c>
      <c r="R1652" s="22">
        <f t="shared" si="25"/>
        <v>97</v>
      </c>
    </row>
    <row r="1653" spans="1:18">
      <c r="A1653" s="26">
        <v>4397</v>
      </c>
      <c r="B1653" s="27">
        <v>36187</v>
      </c>
      <c r="C1653" s="28" t="s">
        <v>5363</v>
      </c>
      <c r="D1653" s="18"/>
      <c r="E1653" s="28" t="s">
        <v>283</v>
      </c>
      <c r="F1653" s="28" t="s">
        <v>1149</v>
      </c>
      <c r="G1653" s="28" t="s">
        <v>21</v>
      </c>
      <c r="H1653" s="28" t="s">
        <v>21</v>
      </c>
      <c r="I1653" s="28" t="s">
        <v>21</v>
      </c>
      <c r="J1653" s="28" t="s">
        <v>5364</v>
      </c>
      <c r="K1653" s="28" t="s">
        <v>5365</v>
      </c>
      <c r="L1653" s="28" t="s">
        <v>4748</v>
      </c>
      <c r="M1653" s="28" t="s">
        <v>21</v>
      </c>
      <c r="O1653" s="92">
        <v>36277</v>
      </c>
      <c r="P1653" s="28" t="s">
        <v>21</v>
      </c>
      <c r="Q1653" s="26" t="b">
        <v>0</v>
      </c>
      <c r="R1653" s="22">
        <f t="shared" si="25"/>
        <v>91</v>
      </c>
    </row>
    <row r="1654" spans="1:18">
      <c r="A1654" s="26">
        <v>4402</v>
      </c>
      <c r="B1654" s="27">
        <v>36187</v>
      </c>
      <c r="C1654" s="28" t="s">
        <v>5366</v>
      </c>
      <c r="D1654" s="18"/>
      <c r="E1654" s="28" t="s">
        <v>283</v>
      </c>
      <c r="F1654" s="28" t="s">
        <v>52</v>
      </c>
      <c r="G1654" s="28" t="s">
        <v>20</v>
      </c>
      <c r="H1654" s="28" t="s">
        <v>21</v>
      </c>
      <c r="I1654" s="28" t="s">
        <v>21</v>
      </c>
      <c r="J1654" s="28" t="s">
        <v>5367</v>
      </c>
      <c r="K1654" s="28" t="s">
        <v>5362</v>
      </c>
      <c r="L1654" s="28" t="s">
        <v>4748</v>
      </c>
      <c r="M1654" s="28" t="s">
        <v>21</v>
      </c>
      <c r="O1654" s="92">
        <v>36283</v>
      </c>
      <c r="P1654" s="28" t="s">
        <v>21</v>
      </c>
      <c r="Q1654" s="26" t="b">
        <v>0</v>
      </c>
      <c r="R1654" s="22">
        <f t="shared" si="25"/>
        <v>97</v>
      </c>
    </row>
    <row r="1655" spans="1:18">
      <c r="A1655" s="26">
        <v>4414</v>
      </c>
      <c r="B1655" s="27">
        <v>36189</v>
      </c>
      <c r="C1655" s="28" t="s">
        <v>5370</v>
      </c>
      <c r="D1655" s="18"/>
      <c r="E1655" s="28" t="s">
        <v>283</v>
      </c>
      <c r="F1655" s="28" t="s">
        <v>149</v>
      </c>
      <c r="G1655" s="28" t="s">
        <v>20</v>
      </c>
      <c r="H1655" s="28" t="s">
        <v>21</v>
      </c>
      <c r="I1655" s="28" t="s">
        <v>21</v>
      </c>
      <c r="J1655" s="28" t="s">
        <v>5371</v>
      </c>
      <c r="K1655" s="28" t="s">
        <v>5372</v>
      </c>
      <c r="L1655" s="28" t="s">
        <v>5373</v>
      </c>
      <c r="M1655" s="28" t="s">
        <v>21</v>
      </c>
      <c r="O1655" s="92">
        <v>36277</v>
      </c>
      <c r="P1655" s="28" t="s">
        <v>21</v>
      </c>
      <c r="Q1655" s="26" t="b">
        <v>0</v>
      </c>
      <c r="R1655" s="22">
        <f t="shared" si="25"/>
        <v>89</v>
      </c>
    </row>
    <row r="1656" spans="1:18">
      <c r="A1656" s="26">
        <v>4420</v>
      </c>
      <c r="B1656" s="27">
        <v>36189</v>
      </c>
      <c r="C1656" s="28" t="s">
        <v>5374</v>
      </c>
      <c r="D1656" s="18"/>
      <c r="E1656" s="28" t="s">
        <v>283</v>
      </c>
      <c r="F1656" s="28" t="s">
        <v>1061</v>
      </c>
      <c r="G1656" s="28" t="s">
        <v>20</v>
      </c>
      <c r="H1656" s="28" t="s">
        <v>21</v>
      </c>
      <c r="I1656" s="28" t="s">
        <v>21</v>
      </c>
      <c r="J1656" s="28" t="s">
        <v>5375</v>
      </c>
      <c r="K1656" s="28" t="s">
        <v>5376</v>
      </c>
      <c r="L1656" s="28" t="s">
        <v>66</v>
      </c>
      <c r="M1656" s="28" t="s">
        <v>21</v>
      </c>
      <c r="O1656" s="92">
        <v>36277</v>
      </c>
      <c r="P1656" s="28" t="s">
        <v>21</v>
      </c>
      <c r="Q1656" s="26" t="b">
        <v>0</v>
      </c>
      <c r="R1656" s="22">
        <f t="shared" si="25"/>
        <v>89</v>
      </c>
    </row>
    <row r="1657" spans="1:18">
      <c r="A1657" s="26">
        <v>4423</v>
      </c>
      <c r="B1657" s="27">
        <v>36189</v>
      </c>
      <c r="C1657" s="28" t="s">
        <v>5377</v>
      </c>
      <c r="D1657" s="18"/>
      <c r="E1657" s="28" t="s">
        <v>283</v>
      </c>
      <c r="F1657" s="28" t="s">
        <v>1061</v>
      </c>
      <c r="G1657" s="28" t="s">
        <v>20</v>
      </c>
      <c r="H1657" s="28" t="s">
        <v>21</v>
      </c>
      <c r="I1657" s="28" t="s">
        <v>21</v>
      </c>
      <c r="J1657" s="28" t="s">
        <v>5378</v>
      </c>
      <c r="K1657" s="28" t="s">
        <v>5379</v>
      </c>
      <c r="L1657" s="28" t="s">
        <v>66</v>
      </c>
      <c r="M1657" s="28" t="s">
        <v>21</v>
      </c>
      <c r="O1657" s="92">
        <v>36277</v>
      </c>
      <c r="P1657" s="28" t="s">
        <v>21</v>
      </c>
      <c r="Q1657" s="26" t="b">
        <v>0</v>
      </c>
      <c r="R1657" s="22">
        <f t="shared" si="25"/>
        <v>89</v>
      </c>
    </row>
    <row r="1658" spans="1:18">
      <c r="A1658" s="26">
        <v>4427</v>
      </c>
      <c r="B1658" s="27">
        <v>36189</v>
      </c>
      <c r="C1658" s="28" t="s">
        <v>5380</v>
      </c>
      <c r="D1658" s="18"/>
      <c r="E1658" s="28" t="s">
        <v>283</v>
      </c>
      <c r="F1658" s="28" t="s">
        <v>85</v>
      </c>
      <c r="G1658" s="28" t="s">
        <v>20</v>
      </c>
      <c r="H1658" s="28" t="s">
        <v>21</v>
      </c>
      <c r="I1658" s="28" t="s">
        <v>21</v>
      </c>
      <c r="J1658" s="28" t="s">
        <v>5381</v>
      </c>
      <c r="K1658" s="28" t="s">
        <v>5382</v>
      </c>
      <c r="L1658" s="28" t="s">
        <v>66</v>
      </c>
      <c r="M1658" s="28" t="s">
        <v>21</v>
      </c>
      <c r="O1658" s="92">
        <v>36272</v>
      </c>
      <c r="P1658" s="28" t="s">
        <v>21</v>
      </c>
      <c r="Q1658" s="26" t="b">
        <v>0</v>
      </c>
      <c r="R1658" s="22">
        <f t="shared" si="25"/>
        <v>84</v>
      </c>
    </row>
    <row r="1659" spans="1:18">
      <c r="A1659" s="26">
        <v>4428</v>
      </c>
      <c r="B1659" s="27">
        <v>36189</v>
      </c>
      <c r="C1659" s="28" t="s">
        <v>5383</v>
      </c>
      <c r="D1659" s="18"/>
      <c r="E1659" s="28" t="s">
        <v>283</v>
      </c>
      <c r="F1659" s="28" t="s">
        <v>242</v>
      </c>
      <c r="G1659" s="28" t="s">
        <v>20</v>
      </c>
      <c r="H1659" s="28" t="s">
        <v>21</v>
      </c>
      <c r="I1659" s="28" t="s">
        <v>21</v>
      </c>
      <c r="J1659" s="28" t="s">
        <v>5384</v>
      </c>
      <c r="K1659" s="28" t="s">
        <v>5385</v>
      </c>
      <c r="L1659" s="28" t="s">
        <v>66</v>
      </c>
      <c r="M1659" s="28" t="s">
        <v>21</v>
      </c>
      <c r="O1659" s="92">
        <v>36277</v>
      </c>
      <c r="P1659" s="28" t="s">
        <v>21</v>
      </c>
      <c r="Q1659" s="26" t="b">
        <v>0</v>
      </c>
      <c r="R1659" s="22">
        <f t="shared" si="25"/>
        <v>89</v>
      </c>
    </row>
    <row r="1660" spans="1:18">
      <c r="A1660" s="26">
        <v>4429</v>
      </c>
      <c r="B1660" s="27">
        <v>36189</v>
      </c>
      <c r="C1660" s="28" t="s">
        <v>5386</v>
      </c>
      <c r="D1660" s="18"/>
      <c r="E1660" s="28" t="s">
        <v>283</v>
      </c>
      <c r="F1660" s="28" t="s">
        <v>242</v>
      </c>
      <c r="G1660" s="28" t="s">
        <v>20</v>
      </c>
      <c r="H1660" s="28" t="s">
        <v>21</v>
      </c>
      <c r="I1660" s="28" t="s">
        <v>21</v>
      </c>
      <c r="J1660" s="28" t="s">
        <v>5387</v>
      </c>
      <c r="K1660" s="28" t="s">
        <v>5385</v>
      </c>
      <c r="L1660" s="28" t="s">
        <v>66</v>
      </c>
      <c r="M1660" s="28" t="s">
        <v>21</v>
      </c>
      <c r="O1660" s="92">
        <v>36277</v>
      </c>
      <c r="P1660" s="28" t="s">
        <v>21</v>
      </c>
      <c r="Q1660" s="26" t="b">
        <v>0</v>
      </c>
      <c r="R1660" s="22">
        <f t="shared" si="25"/>
        <v>89</v>
      </c>
    </row>
    <row r="1661" spans="1:18">
      <c r="A1661" s="26">
        <v>4431</v>
      </c>
      <c r="B1661" s="27">
        <v>36189</v>
      </c>
      <c r="C1661" s="28" t="s">
        <v>5388</v>
      </c>
      <c r="D1661" s="27">
        <v>36185</v>
      </c>
      <c r="E1661" s="28" t="s">
        <v>1432</v>
      </c>
      <c r="F1661" s="28" t="s">
        <v>19</v>
      </c>
      <c r="G1661" s="28" t="s">
        <v>20</v>
      </c>
      <c r="H1661" s="28" t="s">
        <v>21</v>
      </c>
      <c r="I1661" s="28" t="s">
        <v>21</v>
      </c>
      <c r="J1661" s="28" t="s">
        <v>5389</v>
      </c>
      <c r="K1661" s="28" t="s">
        <v>5390</v>
      </c>
      <c r="L1661" s="28" t="s">
        <v>4282</v>
      </c>
      <c r="M1661" s="28" t="s">
        <v>4652</v>
      </c>
      <c r="N1661" s="18"/>
      <c r="O1661" s="92">
        <v>37244</v>
      </c>
      <c r="P1661" s="28" t="s">
        <v>31</v>
      </c>
      <c r="Q1661" s="26" t="b">
        <v>0</v>
      </c>
      <c r="R1661" s="22">
        <f t="shared" si="25"/>
        <v>1054</v>
      </c>
    </row>
    <row r="1662" spans="1:18">
      <c r="A1662" s="26">
        <v>4435</v>
      </c>
      <c r="B1662" s="27">
        <v>36189</v>
      </c>
      <c r="C1662" s="28" t="s">
        <v>5391</v>
      </c>
      <c r="D1662" s="18"/>
      <c r="E1662" s="28" t="s">
        <v>283</v>
      </c>
      <c r="F1662" s="28" t="s">
        <v>149</v>
      </c>
      <c r="G1662" s="28" t="s">
        <v>20</v>
      </c>
      <c r="H1662" s="28" t="s">
        <v>21</v>
      </c>
      <c r="I1662" s="28" t="s">
        <v>21</v>
      </c>
      <c r="J1662" s="28" t="s">
        <v>5392</v>
      </c>
      <c r="K1662" s="28" t="s">
        <v>5393</v>
      </c>
      <c r="L1662" s="28" t="s">
        <v>66</v>
      </c>
      <c r="M1662" s="28" t="s">
        <v>21</v>
      </c>
      <c r="O1662" s="92">
        <v>36269</v>
      </c>
      <c r="P1662" s="28" t="s">
        <v>21</v>
      </c>
      <c r="Q1662" s="26" t="b">
        <v>0</v>
      </c>
      <c r="R1662" s="22">
        <f t="shared" si="25"/>
        <v>81</v>
      </c>
    </row>
    <row r="1663" spans="1:18">
      <c r="A1663" s="26">
        <v>4436</v>
      </c>
      <c r="B1663" s="27">
        <v>36189</v>
      </c>
      <c r="C1663" s="28" t="s">
        <v>5394</v>
      </c>
      <c r="D1663" s="18"/>
      <c r="E1663" s="28" t="s">
        <v>283</v>
      </c>
      <c r="F1663" s="28" t="s">
        <v>4953</v>
      </c>
      <c r="G1663" s="28" t="s">
        <v>20</v>
      </c>
      <c r="H1663" s="28" t="s">
        <v>21</v>
      </c>
      <c r="I1663" s="28" t="s">
        <v>21</v>
      </c>
      <c r="J1663" s="28" t="s">
        <v>5395</v>
      </c>
      <c r="K1663" s="28" t="s">
        <v>5396</v>
      </c>
      <c r="L1663" s="28" t="s">
        <v>66</v>
      </c>
      <c r="M1663" s="28" t="s">
        <v>21</v>
      </c>
      <c r="O1663" s="92">
        <v>36269</v>
      </c>
      <c r="P1663" s="28" t="s">
        <v>21</v>
      </c>
      <c r="Q1663" s="26" t="b">
        <v>0</v>
      </c>
      <c r="R1663" s="22">
        <f t="shared" si="25"/>
        <v>81</v>
      </c>
    </row>
    <row r="1664" spans="1:18">
      <c r="A1664" s="26">
        <v>4437</v>
      </c>
      <c r="B1664" s="27">
        <v>36189</v>
      </c>
      <c r="C1664" s="28" t="s">
        <v>5397</v>
      </c>
      <c r="D1664" s="18"/>
      <c r="E1664" s="28" t="s">
        <v>283</v>
      </c>
      <c r="F1664" s="28" t="s">
        <v>52</v>
      </c>
      <c r="G1664" s="28" t="s">
        <v>20</v>
      </c>
      <c r="H1664" s="28" t="s">
        <v>21</v>
      </c>
      <c r="I1664" s="28" t="s">
        <v>21</v>
      </c>
      <c r="J1664" s="28" t="s">
        <v>5398</v>
      </c>
      <c r="K1664" s="28" t="s">
        <v>5399</v>
      </c>
      <c r="L1664" s="28" t="s">
        <v>66</v>
      </c>
      <c r="M1664" s="28" t="s">
        <v>21</v>
      </c>
      <c r="O1664" s="92">
        <v>36269</v>
      </c>
      <c r="P1664" s="28" t="s">
        <v>182</v>
      </c>
      <c r="Q1664" s="26" t="b">
        <v>0</v>
      </c>
      <c r="R1664" s="22">
        <f t="shared" si="25"/>
        <v>81</v>
      </c>
    </row>
    <row r="1665" spans="1:18">
      <c r="A1665" s="26">
        <v>4438</v>
      </c>
      <c r="B1665" s="27">
        <v>36189</v>
      </c>
      <c r="C1665" s="28" t="s">
        <v>5400</v>
      </c>
      <c r="D1665" s="18"/>
      <c r="E1665" s="28" t="s">
        <v>283</v>
      </c>
      <c r="F1665" s="28" t="s">
        <v>98</v>
      </c>
      <c r="G1665" s="28" t="s">
        <v>20</v>
      </c>
      <c r="H1665" s="28" t="s">
        <v>21</v>
      </c>
      <c r="I1665" s="28" t="s">
        <v>21</v>
      </c>
      <c r="J1665" s="28" t="s">
        <v>5401</v>
      </c>
      <c r="K1665" s="28" t="s">
        <v>5402</v>
      </c>
      <c r="L1665" s="28" t="s">
        <v>66</v>
      </c>
      <c r="M1665" s="28" t="s">
        <v>21</v>
      </c>
      <c r="O1665" s="92">
        <v>36269</v>
      </c>
      <c r="P1665" s="28" t="s">
        <v>21</v>
      </c>
      <c r="Q1665" s="26" t="b">
        <v>0</v>
      </c>
      <c r="R1665" s="22">
        <f t="shared" si="25"/>
        <v>81</v>
      </c>
    </row>
    <row r="1666" spans="1:18">
      <c r="A1666" s="26">
        <v>4439</v>
      </c>
      <c r="B1666" s="27">
        <v>36189</v>
      </c>
      <c r="C1666" s="28" t="s">
        <v>5403</v>
      </c>
      <c r="D1666" s="18"/>
      <c r="E1666" s="28" t="s">
        <v>283</v>
      </c>
      <c r="F1666" s="28" t="s">
        <v>1061</v>
      </c>
      <c r="G1666" s="28" t="s">
        <v>21</v>
      </c>
      <c r="H1666" s="28" t="s">
        <v>21</v>
      </c>
      <c r="I1666" s="28" t="s">
        <v>21</v>
      </c>
      <c r="J1666" s="28" t="s">
        <v>5404</v>
      </c>
      <c r="K1666" s="28" t="s">
        <v>5405</v>
      </c>
      <c r="L1666" s="28" t="s">
        <v>66</v>
      </c>
      <c r="M1666" s="28" t="s">
        <v>21</v>
      </c>
      <c r="O1666" s="92">
        <v>36277</v>
      </c>
      <c r="P1666" s="28" t="s">
        <v>21</v>
      </c>
      <c r="Q1666" s="26" t="b">
        <v>0</v>
      </c>
      <c r="R1666" s="22">
        <f t="shared" ref="R1666:R1701" si="26">IF(O1666=" ", " ", INT(YEARFRAC(O1666, B1666)*365))</f>
        <v>89</v>
      </c>
    </row>
    <row r="1667" spans="1:18">
      <c r="A1667" s="26">
        <v>4440</v>
      </c>
      <c r="B1667" s="27">
        <v>36189</v>
      </c>
      <c r="C1667" s="28" t="s">
        <v>5406</v>
      </c>
      <c r="D1667" s="18"/>
      <c r="E1667" s="28" t="s">
        <v>283</v>
      </c>
      <c r="F1667" s="28" t="s">
        <v>1061</v>
      </c>
      <c r="G1667" s="28" t="s">
        <v>20</v>
      </c>
      <c r="H1667" s="28" t="s">
        <v>21</v>
      </c>
      <c r="I1667" s="28" t="s">
        <v>21</v>
      </c>
      <c r="J1667" s="28" t="s">
        <v>5407</v>
      </c>
      <c r="K1667" s="28" t="s">
        <v>5408</v>
      </c>
      <c r="L1667" s="28" t="s">
        <v>1946</v>
      </c>
      <c r="M1667" s="28" t="s">
        <v>66</v>
      </c>
      <c r="O1667" s="92">
        <v>36356</v>
      </c>
      <c r="P1667" s="28" t="s">
        <v>21</v>
      </c>
      <c r="Q1667" s="26" t="b">
        <v>0</v>
      </c>
      <c r="R1667" s="22">
        <f t="shared" si="26"/>
        <v>168</v>
      </c>
    </row>
    <row r="1668" spans="1:18">
      <c r="A1668" s="26">
        <v>4446</v>
      </c>
      <c r="B1668" s="27">
        <v>36189</v>
      </c>
      <c r="C1668" s="28" t="s">
        <v>5409</v>
      </c>
      <c r="D1668" s="18"/>
      <c r="E1668" s="28" t="s">
        <v>283</v>
      </c>
      <c r="F1668" s="28" t="s">
        <v>5410</v>
      </c>
      <c r="G1668" s="28" t="s">
        <v>20</v>
      </c>
      <c r="H1668" s="28" t="s">
        <v>21</v>
      </c>
      <c r="I1668" s="28" t="s">
        <v>21</v>
      </c>
      <c r="J1668" s="28" t="s">
        <v>5411</v>
      </c>
      <c r="K1668" s="28" t="s">
        <v>5412</v>
      </c>
      <c r="L1668" s="28" t="s">
        <v>4748</v>
      </c>
      <c r="M1668" s="28" t="s">
        <v>21</v>
      </c>
      <c r="O1668" s="92">
        <v>36277</v>
      </c>
      <c r="P1668" s="28" t="s">
        <v>21</v>
      </c>
      <c r="Q1668" s="26" t="b">
        <v>0</v>
      </c>
      <c r="R1668" s="22">
        <f t="shared" si="26"/>
        <v>89</v>
      </c>
    </row>
    <row r="1669" spans="1:18">
      <c r="A1669" s="26">
        <v>4448</v>
      </c>
      <c r="B1669" s="27">
        <v>36189</v>
      </c>
      <c r="C1669" s="28" t="s">
        <v>5413</v>
      </c>
      <c r="D1669" s="18"/>
      <c r="E1669" s="28" t="s">
        <v>283</v>
      </c>
      <c r="F1669" s="28" t="s">
        <v>98</v>
      </c>
      <c r="G1669" s="28" t="s">
        <v>20</v>
      </c>
      <c r="H1669" s="28" t="s">
        <v>21</v>
      </c>
      <c r="I1669" s="28" t="s">
        <v>21</v>
      </c>
      <c r="J1669" s="28" t="s">
        <v>5414</v>
      </c>
      <c r="K1669" s="28" t="s">
        <v>5415</v>
      </c>
      <c r="L1669" s="28" t="s">
        <v>4748</v>
      </c>
      <c r="M1669" s="28" t="s">
        <v>21</v>
      </c>
      <c r="O1669" s="92">
        <v>36283</v>
      </c>
      <c r="P1669" s="28" t="s">
        <v>21</v>
      </c>
      <c r="Q1669" s="26" t="b">
        <v>0</v>
      </c>
      <c r="R1669" s="22">
        <f t="shared" si="26"/>
        <v>95</v>
      </c>
    </row>
    <row r="1670" spans="1:18">
      <c r="A1670" s="26">
        <v>4455</v>
      </c>
      <c r="B1670" s="27">
        <v>36189</v>
      </c>
      <c r="C1670" s="28" t="s">
        <v>5416</v>
      </c>
      <c r="D1670" s="18"/>
      <c r="E1670" s="28" t="s">
        <v>283</v>
      </c>
      <c r="F1670" s="28" t="s">
        <v>20</v>
      </c>
      <c r="G1670" s="28" t="s">
        <v>21</v>
      </c>
      <c r="H1670" s="28" t="s">
        <v>21</v>
      </c>
      <c r="I1670" s="28" t="s">
        <v>21</v>
      </c>
      <c r="J1670" s="28" t="s">
        <v>5417</v>
      </c>
      <c r="K1670" s="28" t="s">
        <v>5418</v>
      </c>
      <c r="L1670" s="28" t="s">
        <v>4748</v>
      </c>
      <c r="M1670" s="28" t="s">
        <v>21</v>
      </c>
      <c r="O1670" s="92">
        <v>36283</v>
      </c>
      <c r="P1670" s="28" t="s">
        <v>21</v>
      </c>
      <c r="Q1670" s="26" t="b">
        <v>0</v>
      </c>
      <c r="R1670" s="22">
        <f t="shared" si="26"/>
        <v>95</v>
      </c>
    </row>
    <row r="1671" spans="1:18" ht="24">
      <c r="A1671" s="26">
        <v>4461</v>
      </c>
      <c r="B1671" s="27">
        <v>36189</v>
      </c>
      <c r="C1671" s="28" t="s">
        <v>5419</v>
      </c>
      <c r="D1671" s="27">
        <v>36192</v>
      </c>
      <c r="E1671" s="28" t="s">
        <v>5420</v>
      </c>
      <c r="F1671" s="28" t="s">
        <v>56</v>
      </c>
      <c r="G1671" s="28" t="s">
        <v>20</v>
      </c>
      <c r="H1671" s="28" t="s">
        <v>21</v>
      </c>
      <c r="I1671" s="28" t="s">
        <v>21</v>
      </c>
      <c r="J1671" s="28" t="s">
        <v>5421</v>
      </c>
      <c r="K1671" s="28" t="s">
        <v>21</v>
      </c>
      <c r="L1671" s="28" t="s">
        <v>686</v>
      </c>
      <c r="M1671" s="28" t="s">
        <v>21</v>
      </c>
      <c r="O1671" s="92">
        <v>36265</v>
      </c>
      <c r="P1671" s="28" t="s">
        <v>21</v>
      </c>
      <c r="Q1671" s="26" t="b">
        <v>0</v>
      </c>
      <c r="R1671" s="22">
        <f t="shared" si="26"/>
        <v>77</v>
      </c>
    </row>
    <row r="1672" spans="1:18">
      <c r="A1672" s="26">
        <v>4475</v>
      </c>
      <c r="B1672" s="27">
        <v>36192</v>
      </c>
      <c r="C1672" s="28" t="s">
        <v>5422</v>
      </c>
      <c r="D1672" s="18"/>
      <c r="E1672" s="28" t="s">
        <v>283</v>
      </c>
      <c r="F1672" s="28" t="s">
        <v>408</v>
      </c>
      <c r="G1672" s="28" t="s">
        <v>21</v>
      </c>
      <c r="H1672" s="28" t="s">
        <v>21</v>
      </c>
      <c r="I1672" s="28" t="s">
        <v>21</v>
      </c>
      <c r="J1672" s="28" t="s">
        <v>5423</v>
      </c>
      <c r="K1672" s="28" t="s">
        <v>5424</v>
      </c>
      <c r="L1672" s="28" t="s">
        <v>4748</v>
      </c>
      <c r="M1672" s="28" t="s">
        <v>21</v>
      </c>
      <c r="O1672" s="92">
        <v>36283</v>
      </c>
      <c r="P1672" s="28" t="s">
        <v>21</v>
      </c>
      <c r="Q1672" s="26" t="b">
        <v>0</v>
      </c>
      <c r="R1672" s="22">
        <f t="shared" si="26"/>
        <v>93</v>
      </c>
    </row>
    <row r="1673" spans="1:18">
      <c r="A1673" s="26">
        <v>4491</v>
      </c>
      <c r="B1673" s="27">
        <v>36192</v>
      </c>
      <c r="C1673" s="28" t="s">
        <v>5430</v>
      </c>
      <c r="D1673" s="18"/>
      <c r="E1673" s="28" t="s">
        <v>283</v>
      </c>
      <c r="F1673" s="28" t="s">
        <v>27</v>
      </c>
      <c r="G1673" s="28" t="s">
        <v>21</v>
      </c>
      <c r="H1673" s="28" t="s">
        <v>21</v>
      </c>
      <c r="I1673" s="28" t="s">
        <v>21</v>
      </c>
      <c r="J1673" s="28" t="s">
        <v>5431</v>
      </c>
      <c r="K1673" s="28" t="s">
        <v>5432</v>
      </c>
      <c r="L1673" s="28" t="s">
        <v>66</v>
      </c>
      <c r="M1673" s="28" t="s">
        <v>21</v>
      </c>
      <c r="O1673" s="92">
        <v>36277</v>
      </c>
      <c r="P1673" s="28" t="s">
        <v>21</v>
      </c>
      <c r="Q1673" s="26" t="b">
        <v>0</v>
      </c>
      <c r="R1673" s="22">
        <f t="shared" si="26"/>
        <v>87</v>
      </c>
    </row>
    <row r="1674" spans="1:18">
      <c r="A1674" s="26">
        <v>4492</v>
      </c>
      <c r="B1674" s="27">
        <v>36192</v>
      </c>
      <c r="C1674" s="28" t="s">
        <v>5433</v>
      </c>
      <c r="D1674" s="18"/>
      <c r="E1674" s="28" t="s">
        <v>283</v>
      </c>
      <c r="F1674" s="28" t="s">
        <v>104</v>
      </c>
      <c r="G1674" s="28" t="s">
        <v>20</v>
      </c>
      <c r="H1674" s="28" t="s">
        <v>21</v>
      </c>
      <c r="I1674" s="28" t="s">
        <v>21</v>
      </c>
      <c r="J1674" s="28" t="s">
        <v>5434</v>
      </c>
      <c r="K1674" s="28" t="s">
        <v>104</v>
      </c>
      <c r="L1674" s="28" t="s">
        <v>66</v>
      </c>
      <c r="M1674" s="28" t="s">
        <v>21</v>
      </c>
      <c r="O1674" s="92">
        <v>36277</v>
      </c>
      <c r="P1674" s="28" t="s">
        <v>21</v>
      </c>
      <c r="Q1674" s="26" t="b">
        <v>0</v>
      </c>
      <c r="R1674" s="22">
        <f t="shared" si="26"/>
        <v>87</v>
      </c>
    </row>
    <row r="1675" spans="1:18" ht="24">
      <c r="A1675" s="26">
        <v>4494</v>
      </c>
      <c r="B1675" s="27">
        <v>36193</v>
      </c>
      <c r="C1675" s="28" t="s">
        <v>5435</v>
      </c>
      <c r="D1675" s="18"/>
      <c r="E1675" s="28" t="s">
        <v>283</v>
      </c>
      <c r="F1675" s="28" t="s">
        <v>1061</v>
      </c>
      <c r="G1675" s="28" t="s">
        <v>21</v>
      </c>
      <c r="H1675" s="28" t="s">
        <v>21</v>
      </c>
      <c r="I1675" s="28" t="s">
        <v>21</v>
      </c>
      <c r="J1675" s="28" t="s">
        <v>5436</v>
      </c>
      <c r="K1675" s="28" t="s">
        <v>5437</v>
      </c>
      <c r="L1675" s="28" t="s">
        <v>66</v>
      </c>
      <c r="M1675" s="28" t="s">
        <v>21</v>
      </c>
      <c r="O1675" s="92">
        <v>36277</v>
      </c>
      <c r="P1675" s="28" t="s">
        <v>21</v>
      </c>
      <c r="Q1675" s="26" t="b">
        <v>0</v>
      </c>
      <c r="R1675" s="22">
        <f t="shared" si="26"/>
        <v>86</v>
      </c>
    </row>
    <row r="1676" spans="1:18">
      <c r="A1676" s="26">
        <v>4495</v>
      </c>
      <c r="B1676" s="27">
        <v>36193</v>
      </c>
      <c r="C1676" s="28" t="s">
        <v>5438</v>
      </c>
      <c r="D1676" s="18"/>
      <c r="E1676" s="28" t="s">
        <v>283</v>
      </c>
      <c r="F1676" s="28" t="s">
        <v>1061</v>
      </c>
      <c r="G1676" s="28" t="s">
        <v>21</v>
      </c>
      <c r="H1676" s="28" t="s">
        <v>21</v>
      </c>
      <c r="I1676" s="28" t="s">
        <v>21</v>
      </c>
      <c r="J1676" s="28" t="s">
        <v>5439</v>
      </c>
      <c r="K1676" s="28" t="s">
        <v>5405</v>
      </c>
      <c r="L1676" s="28" t="s">
        <v>66</v>
      </c>
      <c r="M1676" s="28" t="s">
        <v>21</v>
      </c>
      <c r="O1676" s="92">
        <v>36270</v>
      </c>
      <c r="P1676" s="28" t="s">
        <v>21</v>
      </c>
      <c r="Q1676" s="26" t="b">
        <v>0</v>
      </c>
      <c r="R1676" s="22">
        <f t="shared" si="26"/>
        <v>79</v>
      </c>
    </row>
    <row r="1677" spans="1:18" ht="24">
      <c r="A1677" s="26">
        <v>4496</v>
      </c>
      <c r="B1677" s="27">
        <v>36193</v>
      </c>
      <c r="C1677" s="28" t="s">
        <v>5440</v>
      </c>
      <c r="D1677" s="18"/>
      <c r="E1677" s="28" t="s">
        <v>283</v>
      </c>
      <c r="F1677" s="28" t="s">
        <v>1061</v>
      </c>
      <c r="G1677" s="28" t="s">
        <v>21</v>
      </c>
      <c r="H1677" s="28" t="s">
        <v>21</v>
      </c>
      <c r="I1677" s="28" t="s">
        <v>21</v>
      </c>
      <c r="J1677" s="28" t="s">
        <v>5441</v>
      </c>
      <c r="K1677" s="28" t="s">
        <v>5442</v>
      </c>
      <c r="L1677" s="28" t="s">
        <v>66</v>
      </c>
      <c r="M1677" s="28" t="s">
        <v>21</v>
      </c>
      <c r="O1677" s="92">
        <v>36277</v>
      </c>
      <c r="P1677" s="28" t="s">
        <v>21</v>
      </c>
      <c r="Q1677" s="26" t="b">
        <v>0</v>
      </c>
      <c r="R1677" s="22">
        <f t="shared" si="26"/>
        <v>86</v>
      </c>
    </row>
    <row r="1678" spans="1:18">
      <c r="A1678" s="26">
        <v>4497</v>
      </c>
      <c r="B1678" s="27">
        <v>36193</v>
      </c>
      <c r="C1678" s="28" t="s">
        <v>5443</v>
      </c>
      <c r="D1678" s="18"/>
      <c r="E1678" s="28" t="s">
        <v>283</v>
      </c>
      <c r="F1678" s="28" t="s">
        <v>98</v>
      </c>
      <c r="G1678" s="28" t="s">
        <v>21</v>
      </c>
      <c r="H1678" s="28" t="s">
        <v>21</v>
      </c>
      <c r="I1678" s="28" t="s">
        <v>21</v>
      </c>
      <c r="J1678" s="28" t="s">
        <v>5444</v>
      </c>
      <c r="K1678" s="28" t="s">
        <v>5402</v>
      </c>
      <c r="L1678" s="28" t="s">
        <v>66</v>
      </c>
      <c r="M1678" s="28" t="s">
        <v>21</v>
      </c>
      <c r="O1678" s="92">
        <v>36272</v>
      </c>
      <c r="P1678" s="28" t="s">
        <v>21</v>
      </c>
      <c r="Q1678" s="26" t="b">
        <v>0</v>
      </c>
      <c r="R1678" s="22">
        <f t="shared" si="26"/>
        <v>81</v>
      </c>
    </row>
    <row r="1679" spans="1:18">
      <c r="A1679" s="26">
        <v>4499</v>
      </c>
      <c r="B1679" s="27">
        <v>36193</v>
      </c>
      <c r="C1679" s="28" t="s">
        <v>5445</v>
      </c>
      <c r="D1679" s="18"/>
      <c r="E1679" s="28" t="s">
        <v>283</v>
      </c>
      <c r="F1679" s="28" t="s">
        <v>1061</v>
      </c>
      <c r="G1679" s="28" t="s">
        <v>21</v>
      </c>
      <c r="H1679" s="28" t="s">
        <v>21</v>
      </c>
      <c r="I1679" s="28" t="s">
        <v>21</v>
      </c>
      <c r="J1679" s="28" t="s">
        <v>5446</v>
      </c>
      <c r="K1679" s="28" t="s">
        <v>5447</v>
      </c>
      <c r="L1679" s="28" t="s">
        <v>66</v>
      </c>
      <c r="M1679" s="28" t="s">
        <v>21</v>
      </c>
      <c r="O1679" s="92">
        <v>36277</v>
      </c>
      <c r="P1679" s="28" t="s">
        <v>21</v>
      </c>
      <c r="Q1679" s="26" t="b">
        <v>0</v>
      </c>
      <c r="R1679" s="22">
        <f t="shared" si="26"/>
        <v>86</v>
      </c>
    </row>
    <row r="1680" spans="1:18">
      <c r="A1680" s="26">
        <v>4500</v>
      </c>
      <c r="B1680" s="27">
        <v>36193</v>
      </c>
      <c r="C1680" s="28" t="s">
        <v>5448</v>
      </c>
      <c r="D1680" s="18"/>
      <c r="E1680" s="28" t="s">
        <v>283</v>
      </c>
      <c r="F1680" s="28" t="s">
        <v>1061</v>
      </c>
      <c r="G1680" s="28" t="s">
        <v>21</v>
      </c>
      <c r="H1680" s="28" t="s">
        <v>21</v>
      </c>
      <c r="I1680" s="28" t="s">
        <v>21</v>
      </c>
      <c r="J1680" s="28" t="s">
        <v>5449</v>
      </c>
      <c r="K1680" s="28" t="s">
        <v>5447</v>
      </c>
      <c r="L1680" s="28" t="s">
        <v>66</v>
      </c>
      <c r="M1680" s="28" t="s">
        <v>21</v>
      </c>
      <c r="O1680" s="92">
        <v>36277</v>
      </c>
      <c r="P1680" s="28" t="s">
        <v>21</v>
      </c>
      <c r="Q1680" s="26" t="b">
        <v>0</v>
      </c>
      <c r="R1680" s="22">
        <f t="shared" si="26"/>
        <v>86</v>
      </c>
    </row>
    <row r="1681" spans="1:18">
      <c r="A1681" s="26">
        <v>4531</v>
      </c>
      <c r="B1681" s="27">
        <v>36193</v>
      </c>
      <c r="C1681" s="28" t="s">
        <v>5487</v>
      </c>
      <c r="D1681" s="18"/>
      <c r="E1681" s="28" t="s">
        <v>283</v>
      </c>
      <c r="F1681" s="28" t="s">
        <v>5488</v>
      </c>
      <c r="G1681" s="28" t="s">
        <v>20</v>
      </c>
      <c r="H1681" s="28" t="s">
        <v>21</v>
      </c>
      <c r="I1681" s="28" t="s">
        <v>1061</v>
      </c>
      <c r="J1681" s="28" t="s">
        <v>5489</v>
      </c>
      <c r="K1681" s="28" t="s">
        <v>5490</v>
      </c>
      <c r="L1681" s="28" t="s">
        <v>66</v>
      </c>
      <c r="M1681" s="28" t="s">
        <v>21</v>
      </c>
      <c r="O1681" s="92">
        <v>36269</v>
      </c>
      <c r="P1681" s="28" t="s">
        <v>21</v>
      </c>
      <c r="Q1681" s="26" t="b">
        <v>0</v>
      </c>
      <c r="R1681" s="22">
        <f t="shared" si="26"/>
        <v>78</v>
      </c>
    </row>
    <row r="1682" spans="1:18">
      <c r="A1682" s="26">
        <v>4502</v>
      </c>
      <c r="B1682" s="27">
        <v>36194</v>
      </c>
      <c r="C1682" s="28" t="s">
        <v>5450</v>
      </c>
      <c r="D1682" s="18"/>
      <c r="E1682" s="28" t="s">
        <v>283</v>
      </c>
      <c r="F1682" s="28" t="s">
        <v>98</v>
      </c>
      <c r="G1682" s="28" t="s">
        <v>21</v>
      </c>
      <c r="H1682" s="28" t="s">
        <v>21</v>
      </c>
      <c r="I1682" s="28" t="s">
        <v>21</v>
      </c>
      <c r="J1682" s="28" t="s">
        <v>5451</v>
      </c>
      <c r="K1682" s="28" t="s">
        <v>5452</v>
      </c>
      <c r="L1682" s="28" t="s">
        <v>4748</v>
      </c>
      <c r="M1682" s="28" t="s">
        <v>21</v>
      </c>
      <c r="O1682" s="92">
        <v>36283</v>
      </c>
      <c r="P1682" s="28" t="s">
        <v>21</v>
      </c>
      <c r="Q1682" s="26" t="b">
        <v>0</v>
      </c>
      <c r="R1682" s="22">
        <f t="shared" si="26"/>
        <v>91</v>
      </c>
    </row>
    <row r="1683" spans="1:18">
      <c r="A1683" s="26">
        <v>4508</v>
      </c>
      <c r="B1683" s="27">
        <v>36195</v>
      </c>
      <c r="C1683" s="28" t="s">
        <v>5453</v>
      </c>
      <c r="D1683" s="18"/>
      <c r="E1683" s="28" t="s">
        <v>283</v>
      </c>
      <c r="F1683" s="28" t="s">
        <v>1061</v>
      </c>
      <c r="G1683" s="28" t="s">
        <v>20</v>
      </c>
      <c r="H1683" s="28" t="s">
        <v>21</v>
      </c>
      <c r="I1683" s="28" t="s">
        <v>21</v>
      </c>
      <c r="J1683" s="28" t="s">
        <v>5454</v>
      </c>
      <c r="K1683" s="28" t="s">
        <v>5455</v>
      </c>
      <c r="L1683" s="28" t="s">
        <v>5456</v>
      </c>
      <c r="M1683" s="28" t="s">
        <v>21</v>
      </c>
      <c r="O1683" s="92">
        <v>36280</v>
      </c>
      <c r="P1683" s="28" t="s">
        <v>21</v>
      </c>
      <c r="Q1683" s="26" t="b">
        <v>0</v>
      </c>
      <c r="R1683" s="22">
        <f t="shared" si="26"/>
        <v>87</v>
      </c>
    </row>
    <row r="1684" spans="1:18">
      <c r="A1684" s="26">
        <v>4509</v>
      </c>
      <c r="B1684" s="27">
        <v>36195</v>
      </c>
      <c r="C1684" s="28" t="s">
        <v>5457</v>
      </c>
      <c r="D1684" s="18"/>
      <c r="E1684" s="28" t="s">
        <v>283</v>
      </c>
      <c r="F1684" s="28" t="s">
        <v>1061</v>
      </c>
      <c r="G1684" s="28" t="s">
        <v>21</v>
      </c>
      <c r="H1684" s="28" t="s">
        <v>21</v>
      </c>
      <c r="I1684" s="28" t="s">
        <v>21</v>
      </c>
      <c r="J1684" s="28" t="s">
        <v>5458</v>
      </c>
      <c r="K1684" s="28" t="s">
        <v>5459</v>
      </c>
      <c r="L1684" s="28" t="s">
        <v>66</v>
      </c>
      <c r="M1684" s="28" t="s">
        <v>21</v>
      </c>
      <c r="O1684" s="92">
        <v>36271</v>
      </c>
      <c r="P1684" s="28" t="s">
        <v>21</v>
      </c>
      <c r="Q1684" s="26" t="b">
        <v>0</v>
      </c>
      <c r="R1684" s="22">
        <f t="shared" si="26"/>
        <v>78</v>
      </c>
    </row>
    <row r="1685" spans="1:18">
      <c r="A1685" s="26">
        <v>4521</v>
      </c>
      <c r="B1685" s="27">
        <v>36195</v>
      </c>
      <c r="C1685" s="28" t="s">
        <v>5460</v>
      </c>
      <c r="D1685" s="18"/>
      <c r="E1685" s="28" t="s">
        <v>283</v>
      </c>
      <c r="F1685" s="28" t="s">
        <v>27</v>
      </c>
      <c r="G1685" s="28" t="s">
        <v>21</v>
      </c>
      <c r="H1685" s="28" t="s">
        <v>21</v>
      </c>
      <c r="I1685" s="28" t="s">
        <v>21</v>
      </c>
      <c r="J1685" s="28" t="s">
        <v>5461</v>
      </c>
      <c r="K1685" s="28" t="s">
        <v>5462</v>
      </c>
      <c r="L1685" s="28" t="s">
        <v>66</v>
      </c>
      <c r="M1685" s="28" t="s">
        <v>21</v>
      </c>
      <c r="O1685" s="92">
        <v>36277</v>
      </c>
      <c r="P1685" s="28" t="s">
        <v>21</v>
      </c>
      <c r="Q1685" s="26" t="b">
        <v>0</v>
      </c>
      <c r="R1685" s="22">
        <f t="shared" si="26"/>
        <v>84</v>
      </c>
    </row>
    <row r="1686" spans="1:18">
      <c r="A1686" s="26">
        <v>4523</v>
      </c>
      <c r="B1686" s="27">
        <v>36195</v>
      </c>
      <c r="C1686" s="28" t="s">
        <v>5463</v>
      </c>
      <c r="D1686" s="18"/>
      <c r="E1686" s="28" t="s">
        <v>283</v>
      </c>
      <c r="F1686" s="28" t="s">
        <v>228</v>
      </c>
      <c r="G1686" s="28" t="s">
        <v>21</v>
      </c>
      <c r="H1686" s="28" t="s">
        <v>21</v>
      </c>
      <c r="I1686" s="28" t="s">
        <v>21</v>
      </c>
      <c r="J1686" s="28" t="s">
        <v>5464</v>
      </c>
      <c r="K1686" s="28" t="s">
        <v>5465</v>
      </c>
      <c r="L1686" s="28" t="s">
        <v>66</v>
      </c>
      <c r="M1686" s="28" t="s">
        <v>21</v>
      </c>
      <c r="O1686" s="92">
        <v>36269</v>
      </c>
      <c r="P1686" s="28" t="s">
        <v>21</v>
      </c>
      <c r="Q1686" s="26" t="b">
        <v>0</v>
      </c>
      <c r="R1686" s="22">
        <f t="shared" si="26"/>
        <v>76</v>
      </c>
    </row>
    <row r="1687" spans="1:18">
      <c r="A1687" s="26">
        <v>4524</v>
      </c>
      <c r="B1687" s="27">
        <v>36195</v>
      </c>
      <c r="C1687" s="28" t="s">
        <v>5466</v>
      </c>
      <c r="D1687" s="18"/>
      <c r="E1687" s="28" t="s">
        <v>283</v>
      </c>
      <c r="F1687" s="28" t="s">
        <v>283</v>
      </c>
      <c r="G1687" s="28" t="s">
        <v>21</v>
      </c>
      <c r="H1687" s="28" t="s">
        <v>21</v>
      </c>
      <c r="I1687" s="28" t="s">
        <v>21</v>
      </c>
      <c r="J1687" s="28" t="s">
        <v>5467</v>
      </c>
      <c r="K1687" s="28" t="s">
        <v>5468</v>
      </c>
      <c r="L1687" s="28" t="s">
        <v>66</v>
      </c>
      <c r="M1687" s="28" t="s">
        <v>21</v>
      </c>
      <c r="O1687" s="92">
        <v>36269</v>
      </c>
      <c r="P1687" s="28" t="s">
        <v>21</v>
      </c>
      <c r="Q1687" s="26" t="b">
        <v>0</v>
      </c>
      <c r="R1687" s="22">
        <f t="shared" si="26"/>
        <v>76</v>
      </c>
    </row>
    <row r="1688" spans="1:18">
      <c r="A1688" s="26">
        <v>4525</v>
      </c>
      <c r="B1688" s="27">
        <v>36195</v>
      </c>
      <c r="C1688" s="28" t="s">
        <v>5469</v>
      </c>
      <c r="D1688" s="18"/>
      <c r="E1688" s="28" t="s">
        <v>283</v>
      </c>
      <c r="F1688" s="28" t="s">
        <v>98</v>
      </c>
      <c r="G1688" s="28" t="s">
        <v>21</v>
      </c>
      <c r="H1688" s="28" t="s">
        <v>21</v>
      </c>
      <c r="I1688" s="28" t="s">
        <v>21</v>
      </c>
      <c r="J1688" s="28" t="s">
        <v>5470</v>
      </c>
      <c r="K1688" s="28" t="s">
        <v>5471</v>
      </c>
      <c r="L1688" s="28" t="s">
        <v>66</v>
      </c>
      <c r="M1688" s="28" t="s">
        <v>21</v>
      </c>
      <c r="O1688" s="92">
        <v>36269</v>
      </c>
      <c r="P1688" s="28" t="s">
        <v>21</v>
      </c>
      <c r="Q1688" s="26" t="b">
        <v>0</v>
      </c>
      <c r="R1688" s="22">
        <f t="shared" si="26"/>
        <v>76</v>
      </c>
    </row>
    <row r="1689" spans="1:18">
      <c r="A1689" s="26">
        <v>4526</v>
      </c>
      <c r="B1689" s="27">
        <v>36195</v>
      </c>
      <c r="C1689" s="28" t="s">
        <v>5472</v>
      </c>
      <c r="D1689" s="18"/>
      <c r="E1689" s="28" t="s">
        <v>283</v>
      </c>
      <c r="F1689" s="28" t="s">
        <v>149</v>
      </c>
      <c r="G1689" s="28" t="s">
        <v>21</v>
      </c>
      <c r="H1689" s="28" t="s">
        <v>21</v>
      </c>
      <c r="I1689" s="28" t="s">
        <v>21</v>
      </c>
      <c r="J1689" s="28" t="s">
        <v>5473</v>
      </c>
      <c r="K1689" s="28" t="s">
        <v>5474</v>
      </c>
      <c r="L1689" s="28" t="s">
        <v>66</v>
      </c>
      <c r="M1689" s="28" t="s">
        <v>21</v>
      </c>
      <c r="O1689" s="92">
        <v>36269</v>
      </c>
      <c r="P1689" s="28" t="s">
        <v>21</v>
      </c>
      <c r="Q1689" s="26" t="b">
        <v>0</v>
      </c>
      <c r="R1689" s="22">
        <f t="shared" si="26"/>
        <v>76</v>
      </c>
    </row>
    <row r="1690" spans="1:18">
      <c r="A1690" s="26">
        <v>4527</v>
      </c>
      <c r="B1690" s="27">
        <v>36195</v>
      </c>
      <c r="C1690" s="28" t="s">
        <v>5475</v>
      </c>
      <c r="D1690" s="18"/>
      <c r="E1690" s="28" t="s">
        <v>283</v>
      </c>
      <c r="F1690" s="28" t="s">
        <v>228</v>
      </c>
      <c r="G1690" s="28" t="s">
        <v>21</v>
      </c>
      <c r="H1690" s="28" t="s">
        <v>21</v>
      </c>
      <c r="I1690" s="28" t="s">
        <v>21</v>
      </c>
      <c r="J1690" s="28" t="s">
        <v>5476</v>
      </c>
      <c r="K1690" s="28" t="s">
        <v>21</v>
      </c>
      <c r="L1690" s="28" t="s">
        <v>66</v>
      </c>
      <c r="M1690" s="28" t="s">
        <v>21</v>
      </c>
      <c r="O1690" s="92">
        <v>36269</v>
      </c>
      <c r="P1690" s="28" t="s">
        <v>21</v>
      </c>
      <c r="Q1690" s="26" t="b">
        <v>0</v>
      </c>
      <c r="R1690" s="22">
        <f t="shared" si="26"/>
        <v>76</v>
      </c>
    </row>
    <row r="1691" spans="1:18">
      <c r="A1691" s="26">
        <v>4528</v>
      </c>
      <c r="B1691" s="27">
        <v>36195</v>
      </c>
      <c r="C1691" s="28" t="s">
        <v>5477</v>
      </c>
      <c r="D1691" s="18"/>
      <c r="E1691" s="28" t="s">
        <v>283</v>
      </c>
      <c r="F1691" s="28" t="s">
        <v>5478</v>
      </c>
      <c r="G1691" s="28" t="s">
        <v>21</v>
      </c>
      <c r="H1691" s="28" t="s">
        <v>21</v>
      </c>
      <c r="I1691" s="28" t="s">
        <v>21</v>
      </c>
      <c r="J1691" s="28" t="s">
        <v>5479</v>
      </c>
      <c r="K1691" s="28" t="s">
        <v>5480</v>
      </c>
      <c r="L1691" s="28" t="s">
        <v>66</v>
      </c>
      <c r="M1691" s="28" t="s">
        <v>21</v>
      </c>
      <c r="O1691" s="92">
        <v>36269</v>
      </c>
      <c r="P1691" s="28" t="s">
        <v>21</v>
      </c>
      <c r="Q1691" s="26" t="b">
        <v>0</v>
      </c>
      <c r="R1691" s="22">
        <f t="shared" si="26"/>
        <v>76</v>
      </c>
    </row>
    <row r="1692" spans="1:18">
      <c r="A1692" s="26">
        <v>4529</v>
      </c>
      <c r="B1692" s="27">
        <v>36195</v>
      </c>
      <c r="C1692" s="28" t="s">
        <v>5481</v>
      </c>
      <c r="D1692" s="18"/>
      <c r="E1692" s="28" t="s">
        <v>283</v>
      </c>
      <c r="F1692" s="28" t="s">
        <v>52</v>
      </c>
      <c r="G1692" s="28" t="s">
        <v>21</v>
      </c>
      <c r="H1692" s="28" t="s">
        <v>21</v>
      </c>
      <c r="I1692" s="28" t="s">
        <v>21</v>
      </c>
      <c r="J1692" s="28" t="s">
        <v>5482</v>
      </c>
      <c r="K1692" s="28" t="s">
        <v>5483</v>
      </c>
      <c r="L1692" s="28" t="s">
        <v>66</v>
      </c>
      <c r="M1692" s="28" t="s">
        <v>21</v>
      </c>
      <c r="O1692" s="92">
        <v>36269</v>
      </c>
      <c r="P1692" s="28" t="s">
        <v>21</v>
      </c>
      <c r="Q1692" s="26" t="b">
        <v>0</v>
      </c>
      <c r="R1692" s="22">
        <f t="shared" si="26"/>
        <v>76</v>
      </c>
    </row>
    <row r="1693" spans="1:18">
      <c r="A1693" s="26">
        <v>4530</v>
      </c>
      <c r="B1693" s="27">
        <v>36195</v>
      </c>
      <c r="C1693" s="28" t="s">
        <v>5484</v>
      </c>
      <c r="D1693" s="18"/>
      <c r="E1693" s="28" t="s">
        <v>283</v>
      </c>
      <c r="F1693" s="28" t="s">
        <v>4953</v>
      </c>
      <c r="G1693" s="28" t="s">
        <v>21</v>
      </c>
      <c r="H1693" s="28" t="s">
        <v>21</v>
      </c>
      <c r="I1693" s="28" t="s">
        <v>21</v>
      </c>
      <c r="J1693" s="28" t="s">
        <v>5485</v>
      </c>
      <c r="K1693" s="28" t="s">
        <v>5486</v>
      </c>
      <c r="L1693" s="28" t="s">
        <v>66</v>
      </c>
      <c r="M1693" s="28" t="s">
        <v>21</v>
      </c>
      <c r="O1693" s="92">
        <v>36271</v>
      </c>
      <c r="P1693" s="28" t="s">
        <v>21</v>
      </c>
      <c r="Q1693" s="26" t="b">
        <v>0</v>
      </c>
      <c r="R1693" s="22">
        <f t="shared" si="26"/>
        <v>78</v>
      </c>
    </row>
    <row r="1694" spans="1:18">
      <c r="A1694" s="26">
        <v>4532</v>
      </c>
      <c r="B1694" s="27">
        <v>36195</v>
      </c>
      <c r="C1694" s="28" t="s">
        <v>5491</v>
      </c>
      <c r="D1694" s="18"/>
      <c r="E1694" s="28" t="s">
        <v>283</v>
      </c>
      <c r="F1694" s="28" t="s">
        <v>1061</v>
      </c>
      <c r="G1694" s="28" t="s">
        <v>21</v>
      </c>
      <c r="H1694" s="28" t="s">
        <v>21</v>
      </c>
      <c r="I1694" s="28" t="s">
        <v>21</v>
      </c>
      <c r="J1694" s="28" t="s">
        <v>5492</v>
      </c>
      <c r="K1694" s="28" t="s">
        <v>5493</v>
      </c>
      <c r="L1694" s="28" t="s">
        <v>66</v>
      </c>
      <c r="M1694" s="28" t="s">
        <v>21</v>
      </c>
      <c r="O1694" s="92">
        <v>36271</v>
      </c>
      <c r="P1694" s="28" t="s">
        <v>21</v>
      </c>
      <c r="Q1694" s="26" t="b">
        <v>0</v>
      </c>
      <c r="R1694" s="22">
        <f t="shared" si="26"/>
        <v>78</v>
      </c>
    </row>
    <row r="1695" spans="1:18">
      <c r="A1695" s="26">
        <v>4534</v>
      </c>
      <c r="B1695" s="27">
        <v>36195</v>
      </c>
      <c r="C1695" s="28" t="s">
        <v>5494</v>
      </c>
      <c r="D1695" s="18"/>
      <c r="E1695" s="28" t="s">
        <v>283</v>
      </c>
      <c r="F1695" s="28" t="s">
        <v>283</v>
      </c>
      <c r="G1695" s="28" t="s">
        <v>21</v>
      </c>
      <c r="H1695" s="28" t="s">
        <v>21</v>
      </c>
      <c r="I1695" s="28" t="s">
        <v>21</v>
      </c>
      <c r="J1695" s="28" t="s">
        <v>5495</v>
      </c>
      <c r="K1695" s="28" t="s">
        <v>5496</v>
      </c>
      <c r="L1695" s="28" t="s">
        <v>66</v>
      </c>
      <c r="M1695" s="28" t="s">
        <v>21</v>
      </c>
      <c r="O1695" s="92">
        <v>36272</v>
      </c>
      <c r="P1695" s="28" t="s">
        <v>21</v>
      </c>
      <c r="Q1695" s="26" t="b">
        <v>0</v>
      </c>
      <c r="R1695" s="22">
        <f t="shared" si="26"/>
        <v>79</v>
      </c>
    </row>
    <row r="1696" spans="1:18">
      <c r="A1696" s="26">
        <v>4535</v>
      </c>
      <c r="B1696" s="27">
        <v>36195</v>
      </c>
      <c r="C1696" s="28" t="s">
        <v>5497</v>
      </c>
      <c r="D1696" s="18"/>
      <c r="E1696" s="28" t="s">
        <v>283</v>
      </c>
      <c r="F1696" s="28" t="s">
        <v>228</v>
      </c>
      <c r="G1696" s="28" t="s">
        <v>21</v>
      </c>
      <c r="H1696" s="28" t="s">
        <v>21</v>
      </c>
      <c r="I1696" s="28" t="s">
        <v>21</v>
      </c>
      <c r="J1696" s="28" t="s">
        <v>5498</v>
      </c>
      <c r="K1696" s="28" t="s">
        <v>5499</v>
      </c>
      <c r="L1696" s="28" t="s">
        <v>66</v>
      </c>
      <c r="M1696" s="28" t="s">
        <v>21</v>
      </c>
      <c r="O1696" s="92">
        <v>36265</v>
      </c>
      <c r="P1696" s="28" t="s">
        <v>21</v>
      </c>
      <c r="Q1696" s="26" t="b">
        <v>0</v>
      </c>
      <c r="R1696" s="22">
        <f t="shared" si="26"/>
        <v>71</v>
      </c>
    </row>
    <row r="1697" spans="1:18">
      <c r="A1697" s="26">
        <v>4536</v>
      </c>
      <c r="B1697" s="27">
        <v>36195</v>
      </c>
      <c r="C1697" s="28" t="s">
        <v>5500</v>
      </c>
      <c r="D1697" s="18"/>
      <c r="E1697" s="28" t="s">
        <v>283</v>
      </c>
      <c r="F1697" s="28" t="s">
        <v>228</v>
      </c>
      <c r="G1697" s="28" t="s">
        <v>21</v>
      </c>
      <c r="H1697" s="28" t="s">
        <v>21</v>
      </c>
      <c r="I1697" s="28" t="s">
        <v>21</v>
      </c>
      <c r="J1697" s="28" t="s">
        <v>5501</v>
      </c>
      <c r="K1697" s="28" t="s">
        <v>5499</v>
      </c>
      <c r="L1697" s="28" t="s">
        <v>66</v>
      </c>
      <c r="M1697" s="28" t="s">
        <v>21</v>
      </c>
      <c r="O1697" s="92">
        <v>36269</v>
      </c>
      <c r="P1697" s="28" t="s">
        <v>21</v>
      </c>
      <c r="Q1697" s="26" t="b">
        <v>0</v>
      </c>
      <c r="R1697" s="22">
        <f t="shared" si="26"/>
        <v>76</v>
      </c>
    </row>
    <row r="1698" spans="1:18">
      <c r="A1698" s="26">
        <v>4537</v>
      </c>
      <c r="B1698" s="27">
        <v>36195</v>
      </c>
      <c r="C1698" s="28" t="s">
        <v>5502</v>
      </c>
      <c r="D1698" s="18"/>
      <c r="E1698" s="28" t="s">
        <v>283</v>
      </c>
      <c r="F1698" s="28" t="s">
        <v>1149</v>
      </c>
      <c r="G1698" s="28" t="s">
        <v>21</v>
      </c>
      <c r="H1698" s="28" t="s">
        <v>21</v>
      </c>
      <c r="I1698" s="28" t="s">
        <v>21</v>
      </c>
      <c r="J1698" s="28" t="s">
        <v>5503</v>
      </c>
      <c r="K1698" s="28" t="s">
        <v>5504</v>
      </c>
      <c r="L1698" s="28" t="s">
        <v>66</v>
      </c>
      <c r="M1698" s="28" t="s">
        <v>21</v>
      </c>
      <c r="O1698" s="92">
        <v>36307</v>
      </c>
      <c r="P1698" s="28" t="s">
        <v>21</v>
      </c>
      <c r="Q1698" s="26" t="b">
        <v>0</v>
      </c>
      <c r="R1698" s="22">
        <f t="shared" si="26"/>
        <v>114</v>
      </c>
    </row>
    <row r="1699" spans="1:18">
      <c r="A1699" s="26">
        <v>4538</v>
      </c>
      <c r="B1699" s="27">
        <v>36195</v>
      </c>
      <c r="C1699" s="28" t="s">
        <v>5505</v>
      </c>
      <c r="D1699" s="18"/>
      <c r="E1699" s="28" t="s">
        <v>283</v>
      </c>
      <c r="F1699" s="28" t="s">
        <v>52</v>
      </c>
      <c r="G1699" s="28" t="s">
        <v>21</v>
      </c>
      <c r="H1699" s="28" t="s">
        <v>21</v>
      </c>
      <c r="I1699" s="28" t="s">
        <v>21</v>
      </c>
      <c r="J1699" s="28" t="s">
        <v>5506</v>
      </c>
      <c r="K1699" s="28" t="s">
        <v>5507</v>
      </c>
      <c r="L1699" s="28" t="s">
        <v>66</v>
      </c>
      <c r="M1699" s="28" t="s">
        <v>21</v>
      </c>
      <c r="O1699" s="92">
        <v>36277</v>
      </c>
      <c r="P1699" s="28" t="s">
        <v>21</v>
      </c>
      <c r="Q1699" s="26" t="b">
        <v>0</v>
      </c>
      <c r="R1699" s="22">
        <f t="shared" si="26"/>
        <v>84</v>
      </c>
    </row>
    <row r="1700" spans="1:18">
      <c r="A1700" s="26">
        <v>4540</v>
      </c>
      <c r="B1700" s="27">
        <v>36195</v>
      </c>
      <c r="C1700" s="28" t="s">
        <v>5508</v>
      </c>
      <c r="D1700" s="18"/>
      <c r="E1700" s="28" t="s">
        <v>283</v>
      </c>
      <c r="F1700" s="28" t="s">
        <v>1061</v>
      </c>
      <c r="G1700" s="28" t="s">
        <v>21</v>
      </c>
      <c r="H1700" s="28" t="s">
        <v>21</v>
      </c>
      <c r="I1700" s="28" t="s">
        <v>21</v>
      </c>
      <c r="J1700" s="28" t="s">
        <v>5509</v>
      </c>
      <c r="K1700" s="28" t="s">
        <v>5510</v>
      </c>
      <c r="L1700" s="28" t="s">
        <v>66</v>
      </c>
      <c r="M1700" s="28" t="s">
        <v>21</v>
      </c>
      <c r="O1700" s="92">
        <v>36269</v>
      </c>
      <c r="P1700" s="28" t="s">
        <v>21</v>
      </c>
      <c r="Q1700" s="26" t="b">
        <v>0</v>
      </c>
      <c r="R1700" s="22">
        <f t="shared" si="26"/>
        <v>76</v>
      </c>
    </row>
    <row r="1701" spans="1:18">
      <c r="A1701" s="26">
        <v>4541</v>
      </c>
      <c r="B1701" s="27">
        <v>36195</v>
      </c>
      <c r="C1701" s="28" t="s">
        <v>5511</v>
      </c>
      <c r="D1701" s="18"/>
      <c r="E1701" s="28" t="s">
        <v>283</v>
      </c>
      <c r="F1701" s="28" t="s">
        <v>27</v>
      </c>
      <c r="G1701" s="28" t="s">
        <v>21</v>
      </c>
      <c r="H1701" s="28" t="s">
        <v>21</v>
      </c>
      <c r="I1701" s="28" t="s">
        <v>21</v>
      </c>
      <c r="J1701" s="28" t="s">
        <v>5512</v>
      </c>
      <c r="K1701" s="28" t="s">
        <v>5513</v>
      </c>
      <c r="L1701" s="28" t="s">
        <v>66</v>
      </c>
      <c r="M1701" s="28" t="s">
        <v>21</v>
      </c>
      <c r="O1701" s="92">
        <v>36269</v>
      </c>
      <c r="P1701" s="28" t="s">
        <v>21</v>
      </c>
      <c r="Q1701" s="26" t="b">
        <v>0</v>
      </c>
      <c r="R1701" s="22">
        <f t="shared" si="26"/>
        <v>76</v>
      </c>
    </row>
    <row r="1702" spans="1:18">
      <c r="A1702" s="26">
        <v>4542</v>
      </c>
      <c r="B1702" s="27">
        <v>36195</v>
      </c>
      <c r="C1702" s="28" t="s">
        <v>5514</v>
      </c>
      <c r="D1702" s="18"/>
      <c r="E1702" s="28" t="s">
        <v>283</v>
      </c>
      <c r="F1702" s="28" t="s">
        <v>1061</v>
      </c>
      <c r="G1702" s="28" t="s">
        <v>20</v>
      </c>
      <c r="H1702" s="28" t="s">
        <v>21</v>
      </c>
      <c r="I1702" s="28" t="s">
        <v>1061</v>
      </c>
      <c r="J1702" s="28" t="s">
        <v>5515</v>
      </c>
      <c r="K1702" s="28" t="s">
        <v>5516</v>
      </c>
      <c r="L1702" s="28" t="s">
        <v>66</v>
      </c>
      <c r="M1702" s="28" t="s">
        <v>21</v>
      </c>
      <c r="O1702" s="92"/>
      <c r="P1702" s="28" t="s">
        <v>21</v>
      </c>
      <c r="Q1702" s="26" t="b">
        <v>0</v>
      </c>
      <c r="R1702" s="59"/>
    </row>
    <row r="1703" spans="1:18">
      <c r="A1703" s="26">
        <v>4543</v>
      </c>
      <c r="B1703" s="27">
        <v>36195</v>
      </c>
      <c r="C1703" s="28" t="s">
        <v>5517</v>
      </c>
      <c r="D1703" s="18"/>
      <c r="E1703" s="28" t="s">
        <v>283</v>
      </c>
      <c r="F1703" s="28" t="s">
        <v>94</v>
      </c>
      <c r="G1703" s="28" t="s">
        <v>20</v>
      </c>
      <c r="H1703" s="28" t="s">
        <v>21</v>
      </c>
      <c r="I1703" s="28" t="s">
        <v>21</v>
      </c>
      <c r="J1703" s="28" t="s">
        <v>5518</v>
      </c>
      <c r="K1703" s="28" t="s">
        <v>5519</v>
      </c>
      <c r="L1703" s="28" t="s">
        <v>66</v>
      </c>
      <c r="M1703" s="28" t="s">
        <v>21</v>
      </c>
      <c r="O1703" s="92">
        <v>36277</v>
      </c>
      <c r="P1703" s="28" t="s">
        <v>21</v>
      </c>
      <c r="Q1703" s="26" t="b">
        <v>0</v>
      </c>
      <c r="R1703" s="22">
        <f t="shared" ref="R1703:R1766" si="27">IF(O1703=" ", " ", INT(YEARFRAC(O1703, B1703)*365))</f>
        <v>84</v>
      </c>
    </row>
    <row r="1704" spans="1:18">
      <c r="A1704" s="26">
        <v>4544</v>
      </c>
      <c r="B1704" s="27">
        <v>36195</v>
      </c>
      <c r="C1704" s="28" t="s">
        <v>5520</v>
      </c>
      <c r="D1704" s="18"/>
      <c r="E1704" s="28" t="s">
        <v>283</v>
      </c>
      <c r="F1704" s="28" t="s">
        <v>98</v>
      </c>
      <c r="G1704" s="28" t="s">
        <v>21</v>
      </c>
      <c r="H1704" s="28" t="s">
        <v>21</v>
      </c>
      <c r="I1704" s="28" t="s">
        <v>21</v>
      </c>
      <c r="J1704" s="28" t="s">
        <v>5521</v>
      </c>
      <c r="K1704" s="28" t="s">
        <v>5522</v>
      </c>
      <c r="L1704" s="28" t="s">
        <v>66</v>
      </c>
      <c r="M1704" s="28" t="s">
        <v>21</v>
      </c>
      <c r="O1704" s="92">
        <v>36269</v>
      </c>
      <c r="P1704" s="28" t="s">
        <v>21</v>
      </c>
      <c r="Q1704" s="26" t="b">
        <v>0</v>
      </c>
      <c r="R1704" s="22">
        <f t="shared" si="27"/>
        <v>76</v>
      </c>
    </row>
    <row r="1705" spans="1:18">
      <c r="A1705" s="26">
        <v>4548</v>
      </c>
      <c r="B1705" s="27">
        <v>36195</v>
      </c>
      <c r="C1705" s="28" t="s">
        <v>5523</v>
      </c>
      <c r="D1705" s="18"/>
      <c r="E1705" s="28" t="s">
        <v>283</v>
      </c>
      <c r="F1705" s="28" t="s">
        <v>1061</v>
      </c>
      <c r="G1705" s="28" t="s">
        <v>21</v>
      </c>
      <c r="H1705" s="28" t="s">
        <v>21</v>
      </c>
      <c r="I1705" s="28" t="s">
        <v>21</v>
      </c>
      <c r="J1705" s="28" t="s">
        <v>5524</v>
      </c>
      <c r="K1705" s="28" t="s">
        <v>5525</v>
      </c>
      <c r="L1705" s="28" t="s">
        <v>4748</v>
      </c>
      <c r="M1705" s="28" t="s">
        <v>21</v>
      </c>
      <c r="O1705" s="92">
        <v>36283</v>
      </c>
      <c r="P1705" s="28" t="s">
        <v>21</v>
      </c>
      <c r="Q1705" s="26" t="b">
        <v>0</v>
      </c>
      <c r="R1705" s="22">
        <f t="shared" si="27"/>
        <v>90</v>
      </c>
    </row>
    <row r="1706" spans="1:18">
      <c r="A1706" s="26">
        <v>4549</v>
      </c>
      <c r="B1706" s="27">
        <v>36195</v>
      </c>
      <c r="C1706" s="28" t="s">
        <v>5526</v>
      </c>
      <c r="D1706" s="18"/>
      <c r="E1706" s="28" t="s">
        <v>283</v>
      </c>
      <c r="F1706" s="28" t="s">
        <v>98</v>
      </c>
      <c r="G1706" s="28" t="s">
        <v>21</v>
      </c>
      <c r="H1706" s="28" t="s">
        <v>21</v>
      </c>
      <c r="I1706" s="28" t="s">
        <v>21</v>
      </c>
      <c r="J1706" s="28" t="s">
        <v>5527</v>
      </c>
      <c r="K1706" s="28" t="s">
        <v>5528</v>
      </c>
      <c r="L1706" s="28" t="s">
        <v>4748</v>
      </c>
      <c r="M1706" s="28" t="s">
        <v>21</v>
      </c>
      <c r="O1706" s="92">
        <v>36283</v>
      </c>
      <c r="P1706" s="28" t="s">
        <v>21</v>
      </c>
      <c r="Q1706" s="26" t="b">
        <v>0</v>
      </c>
      <c r="R1706" s="22">
        <f t="shared" si="27"/>
        <v>90</v>
      </c>
    </row>
    <row r="1707" spans="1:18">
      <c r="A1707" s="26">
        <v>4562</v>
      </c>
      <c r="B1707" s="27">
        <v>36195</v>
      </c>
      <c r="C1707" s="28" t="s">
        <v>5529</v>
      </c>
      <c r="D1707" s="18"/>
      <c r="E1707" s="28" t="s">
        <v>283</v>
      </c>
      <c r="F1707" s="28" t="s">
        <v>5530</v>
      </c>
      <c r="G1707" s="28" t="s">
        <v>20</v>
      </c>
      <c r="H1707" s="28" t="s">
        <v>21</v>
      </c>
      <c r="I1707" s="28" t="s">
        <v>1061</v>
      </c>
      <c r="J1707" s="28" t="s">
        <v>5531</v>
      </c>
      <c r="K1707" s="28" t="s">
        <v>2857</v>
      </c>
      <c r="L1707" s="28" t="s">
        <v>4748</v>
      </c>
      <c r="M1707" s="28" t="s">
        <v>21</v>
      </c>
      <c r="O1707" s="92">
        <v>36307</v>
      </c>
      <c r="P1707" s="28" t="s">
        <v>21</v>
      </c>
      <c r="Q1707" s="26" t="b">
        <v>0</v>
      </c>
      <c r="R1707" s="22">
        <f t="shared" si="27"/>
        <v>114</v>
      </c>
    </row>
    <row r="1708" spans="1:18">
      <c r="A1708" s="26">
        <v>4563</v>
      </c>
      <c r="B1708" s="27">
        <v>36195</v>
      </c>
      <c r="C1708" s="28" t="s">
        <v>5532</v>
      </c>
      <c r="D1708" s="18"/>
      <c r="E1708" s="28" t="s">
        <v>283</v>
      </c>
      <c r="F1708" s="28" t="s">
        <v>5530</v>
      </c>
      <c r="G1708" s="28" t="s">
        <v>20</v>
      </c>
      <c r="H1708" s="28" t="s">
        <v>21</v>
      </c>
      <c r="I1708" s="28" t="s">
        <v>1061</v>
      </c>
      <c r="J1708" s="28" t="s">
        <v>5533</v>
      </c>
      <c r="K1708" s="28" t="s">
        <v>2857</v>
      </c>
      <c r="L1708" s="28" t="s">
        <v>4748</v>
      </c>
      <c r="M1708" s="28" t="s">
        <v>21</v>
      </c>
      <c r="O1708" s="92">
        <v>36283</v>
      </c>
      <c r="P1708" s="28" t="s">
        <v>21</v>
      </c>
      <c r="Q1708" s="26" t="b">
        <v>0</v>
      </c>
      <c r="R1708" s="22">
        <f t="shared" si="27"/>
        <v>90</v>
      </c>
    </row>
    <row r="1709" spans="1:18">
      <c r="A1709" s="26">
        <v>4564</v>
      </c>
      <c r="B1709" s="27">
        <v>36195</v>
      </c>
      <c r="C1709" s="28" t="s">
        <v>5534</v>
      </c>
      <c r="D1709" s="18"/>
      <c r="E1709" s="28" t="s">
        <v>283</v>
      </c>
      <c r="F1709" s="28" t="s">
        <v>5530</v>
      </c>
      <c r="G1709" s="28" t="s">
        <v>20</v>
      </c>
      <c r="H1709" s="28" t="s">
        <v>21</v>
      </c>
      <c r="I1709" s="28" t="s">
        <v>1061</v>
      </c>
      <c r="J1709" s="28" t="s">
        <v>5535</v>
      </c>
      <c r="K1709" s="28" t="s">
        <v>2857</v>
      </c>
      <c r="L1709" s="28" t="s">
        <v>4748</v>
      </c>
      <c r="M1709" s="28" t="s">
        <v>21</v>
      </c>
      <c r="O1709" s="92">
        <v>36277</v>
      </c>
      <c r="P1709" s="28" t="s">
        <v>21</v>
      </c>
      <c r="Q1709" s="26" t="b">
        <v>0</v>
      </c>
      <c r="R1709" s="22">
        <f t="shared" si="27"/>
        <v>84</v>
      </c>
    </row>
    <row r="1710" spans="1:18">
      <c r="A1710" s="26">
        <v>4565</v>
      </c>
      <c r="B1710" s="27">
        <v>36195</v>
      </c>
      <c r="C1710" s="28" t="s">
        <v>5536</v>
      </c>
      <c r="D1710" s="18"/>
      <c r="E1710" s="28" t="s">
        <v>283</v>
      </c>
      <c r="F1710" s="28" t="s">
        <v>1061</v>
      </c>
      <c r="G1710" s="28" t="s">
        <v>20</v>
      </c>
      <c r="H1710" s="28" t="s">
        <v>21</v>
      </c>
      <c r="I1710" s="28" t="s">
        <v>1061</v>
      </c>
      <c r="J1710" s="28" t="s">
        <v>5537</v>
      </c>
      <c r="K1710" s="28" t="s">
        <v>5538</v>
      </c>
      <c r="L1710" s="28" t="s">
        <v>4748</v>
      </c>
      <c r="M1710" s="28" t="s">
        <v>21</v>
      </c>
      <c r="O1710" s="92">
        <v>36375</v>
      </c>
      <c r="P1710" s="28" t="s">
        <v>21</v>
      </c>
      <c r="Q1710" s="26" t="b">
        <v>0</v>
      </c>
      <c r="R1710" s="22">
        <f t="shared" si="27"/>
        <v>181</v>
      </c>
    </row>
    <row r="1711" spans="1:18">
      <c r="A1711" s="26">
        <v>4566</v>
      </c>
      <c r="B1711" s="27">
        <v>36195</v>
      </c>
      <c r="C1711" s="28" t="s">
        <v>5539</v>
      </c>
      <c r="D1711" s="18"/>
      <c r="E1711" s="28" t="s">
        <v>283</v>
      </c>
      <c r="F1711" s="28" t="s">
        <v>5530</v>
      </c>
      <c r="G1711" s="28" t="s">
        <v>20</v>
      </c>
      <c r="H1711" s="28" t="s">
        <v>21</v>
      </c>
      <c r="I1711" s="28" t="s">
        <v>1061</v>
      </c>
      <c r="J1711" s="28" t="s">
        <v>5540</v>
      </c>
      <c r="K1711" s="28" t="s">
        <v>2857</v>
      </c>
      <c r="L1711" s="28" t="s">
        <v>4748</v>
      </c>
      <c r="M1711" s="28" t="s">
        <v>21</v>
      </c>
      <c r="O1711" s="92">
        <v>36283</v>
      </c>
      <c r="P1711" s="28" t="s">
        <v>21</v>
      </c>
      <c r="Q1711" s="26" t="b">
        <v>0</v>
      </c>
      <c r="R1711" s="22">
        <f t="shared" si="27"/>
        <v>90</v>
      </c>
    </row>
    <row r="1712" spans="1:18">
      <c r="A1712" s="26">
        <v>4567</v>
      </c>
      <c r="B1712" s="27">
        <v>36195</v>
      </c>
      <c r="C1712" s="28" t="s">
        <v>5541</v>
      </c>
      <c r="D1712" s="18"/>
      <c r="E1712" s="28" t="s">
        <v>283</v>
      </c>
      <c r="F1712" s="28" t="s">
        <v>5530</v>
      </c>
      <c r="G1712" s="28" t="s">
        <v>20</v>
      </c>
      <c r="H1712" s="28" t="s">
        <v>21</v>
      </c>
      <c r="I1712" s="28" t="s">
        <v>1061</v>
      </c>
      <c r="J1712" s="28" t="s">
        <v>5542</v>
      </c>
      <c r="K1712" s="28" t="s">
        <v>2857</v>
      </c>
      <c r="L1712" s="28" t="s">
        <v>4748</v>
      </c>
      <c r="M1712" s="28" t="s">
        <v>21</v>
      </c>
      <c r="O1712" s="92">
        <v>36283</v>
      </c>
      <c r="P1712" s="28" t="s">
        <v>21</v>
      </c>
      <c r="Q1712" s="26" t="b">
        <v>0</v>
      </c>
      <c r="R1712" s="22">
        <f t="shared" si="27"/>
        <v>90</v>
      </c>
    </row>
    <row r="1713" spans="1:18">
      <c r="A1713" s="26">
        <v>4572</v>
      </c>
      <c r="B1713" s="27">
        <v>36195</v>
      </c>
      <c r="C1713" s="28" t="s">
        <v>5543</v>
      </c>
      <c r="D1713" s="18"/>
      <c r="E1713" s="28" t="s">
        <v>283</v>
      </c>
      <c r="F1713" s="28" t="s">
        <v>242</v>
      </c>
      <c r="G1713" s="28" t="s">
        <v>21</v>
      </c>
      <c r="H1713" s="28" t="s">
        <v>21</v>
      </c>
      <c r="I1713" s="28" t="s">
        <v>21</v>
      </c>
      <c r="J1713" s="28" t="s">
        <v>5544</v>
      </c>
      <c r="K1713" s="28" t="s">
        <v>5545</v>
      </c>
      <c r="L1713" s="28" t="s">
        <v>4748</v>
      </c>
      <c r="M1713" s="28" t="s">
        <v>21</v>
      </c>
      <c r="O1713" s="92">
        <v>36277</v>
      </c>
      <c r="P1713" s="28" t="s">
        <v>21</v>
      </c>
      <c r="Q1713" s="26" t="b">
        <v>0</v>
      </c>
      <c r="R1713" s="22">
        <f t="shared" si="27"/>
        <v>84</v>
      </c>
    </row>
    <row r="1714" spans="1:18" ht="24">
      <c r="A1714" s="26">
        <v>4574</v>
      </c>
      <c r="B1714" s="27">
        <v>36195</v>
      </c>
      <c r="C1714" s="28" t="s">
        <v>5546</v>
      </c>
      <c r="D1714" s="18"/>
      <c r="E1714" s="28" t="s">
        <v>283</v>
      </c>
      <c r="F1714" s="28" t="s">
        <v>5547</v>
      </c>
      <c r="G1714" s="28" t="s">
        <v>21</v>
      </c>
      <c r="H1714" s="28" t="s">
        <v>21</v>
      </c>
      <c r="I1714" s="28" t="s">
        <v>21</v>
      </c>
      <c r="J1714" s="28" t="s">
        <v>5548</v>
      </c>
      <c r="K1714" s="28" t="s">
        <v>1112</v>
      </c>
      <c r="L1714" s="28" t="s">
        <v>4748</v>
      </c>
      <c r="M1714" s="28" t="s">
        <v>21</v>
      </c>
      <c r="O1714" s="92">
        <v>36283</v>
      </c>
      <c r="P1714" s="28" t="s">
        <v>21</v>
      </c>
      <c r="Q1714" s="26" t="b">
        <v>0</v>
      </c>
      <c r="R1714" s="22">
        <f t="shared" si="27"/>
        <v>90</v>
      </c>
    </row>
    <row r="1715" spans="1:18" ht="24">
      <c r="A1715" s="26">
        <v>4575</v>
      </c>
      <c r="B1715" s="27">
        <v>36195</v>
      </c>
      <c r="C1715" s="28" t="s">
        <v>5549</v>
      </c>
      <c r="D1715" s="18"/>
      <c r="E1715" s="28" t="s">
        <v>283</v>
      </c>
      <c r="F1715" s="28" t="s">
        <v>5012</v>
      </c>
      <c r="G1715" s="28" t="s">
        <v>21</v>
      </c>
      <c r="H1715" s="28" t="s">
        <v>21</v>
      </c>
      <c r="I1715" s="28" t="s">
        <v>71</v>
      </c>
      <c r="J1715" s="28" t="s">
        <v>5550</v>
      </c>
      <c r="K1715" s="28" t="s">
        <v>5551</v>
      </c>
      <c r="L1715" s="28" t="s">
        <v>5552</v>
      </c>
      <c r="M1715" s="28" t="s">
        <v>21</v>
      </c>
      <c r="O1715" s="92">
        <v>36307</v>
      </c>
      <c r="P1715" s="28" t="s">
        <v>21</v>
      </c>
      <c r="Q1715" s="26" t="b">
        <v>0</v>
      </c>
      <c r="R1715" s="22">
        <f t="shared" si="27"/>
        <v>114</v>
      </c>
    </row>
    <row r="1716" spans="1:18">
      <c r="A1716" s="26">
        <v>4576</v>
      </c>
      <c r="B1716" s="27">
        <v>36195</v>
      </c>
      <c r="C1716" s="28" t="s">
        <v>5553</v>
      </c>
      <c r="D1716" s="18"/>
      <c r="E1716" s="28" t="s">
        <v>283</v>
      </c>
      <c r="F1716" s="28" t="s">
        <v>98</v>
      </c>
      <c r="G1716" s="28" t="s">
        <v>21</v>
      </c>
      <c r="H1716" s="28" t="s">
        <v>21</v>
      </c>
      <c r="I1716" s="28" t="s">
        <v>21</v>
      </c>
      <c r="J1716" s="28" t="s">
        <v>5554</v>
      </c>
      <c r="K1716" s="28" t="s">
        <v>21</v>
      </c>
      <c r="L1716" s="28" t="s">
        <v>5456</v>
      </c>
      <c r="M1716" s="28" t="s">
        <v>21</v>
      </c>
      <c r="O1716" s="92">
        <v>36280</v>
      </c>
      <c r="P1716" s="28" t="s">
        <v>21</v>
      </c>
      <c r="Q1716" s="26" t="b">
        <v>0</v>
      </c>
      <c r="R1716" s="22">
        <f t="shared" si="27"/>
        <v>87</v>
      </c>
    </row>
    <row r="1717" spans="1:18">
      <c r="A1717" s="26">
        <v>4577</v>
      </c>
      <c r="B1717" s="27">
        <v>36195</v>
      </c>
      <c r="C1717" s="28" t="s">
        <v>5555</v>
      </c>
      <c r="D1717" s="18"/>
      <c r="E1717" s="28" t="s">
        <v>283</v>
      </c>
      <c r="F1717" s="28" t="s">
        <v>39</v>
      </c>
      <c r="G1717" s="28" t="s">
        <v>21</v>
      </c>
      <c r="H1717" s="28" t="s">
        <v>21</v>
      </c>
      <c r="I1717" s="28" t="s">
        <v>21</v>
      </c>
      <c r="J1717" s="28" t="s">
        <v>5556</v>
      </c>
      <c r="K1717" s="28" t="s">
        <v>5557</v>
      </c>
      <c r="L1717" s="28" t="s">
        <v>5456</v>
      </c>
      <c r="M1717" s="28" t="s">
        <v>21</v>
      </c>
      <c r="O1717" s="92">
        <v>36280</v>
      </c>
      <c r="P1717" s="28" t="s">
        <v>21</v>
      </c>
      <c r="Q1717" s="26" t="b">
        <v>0</v>
      </c>
      <c r="R1717" s="22">
        <f t="shared" si="27"/>
        <v>87</v>
      </c>
    </row>
    <row r="1718" spans="1:18">
      <c r="A1718" s="26">
        <v>4582</v>
      </c>
      <c r="B1718" s="27">
        <v>36196</v>
      </c>
      <c r="C1718" s="28" t="s">
        <v>5558</v>
      </c>
      <c r="D1718" s="18"/>
      <c r="E1718" s="28" t="s">
        <v>283</v>
      </c>
      <c r="F1718" s="28" t="s">
        <v>52</v>
      </c>
      <c r="G1718" s="28" t="s">
        <v>20</v>
      </c>
      <c r="H1718" s="28" t="s">
        <v>21</v>
      </c>
      <c r="I1718" s="28" t="s">
        <v>21</v>
      </c>
      <c r="J1718" s="28" t="s">
        <v>5559</v>
      </c>
      <c r="K1718" s="28" t="s">
        <v>21</v>
      </c>
      <c r="L1718" s="28" t="s">
        <v>66</v>
      </c>
      <c r="M1718" s="28" t="s">
        <v>21</v>
      </c>
      <c r="O1718" s="92">
        <v>36277</v>
      </c>
      <c r="P1718" s="28" t="s">
        <v>21</v>
      </c>
      <c r="Q1718" s="26" t="b">
        <v>0</v>
      </c>
      <c r="R1718" s="22">
        <f t="shared" si="27"/>
        <v>83</v>
      </c>
    </row>
    <row r="1719" spans="1:18">
      <c r="A1719" s="26">
        <v>4602</v>
      </c>
      <c r="B1719" s="27">
        <v>36196</v>
      </c>
      <c r="C1719" s="28" t="s">
        <v>5599</v>
      </c>
      <c r="D1719" s="27">
        <v>36192</v>
      </c>
      <c r="E1719" s="28" t="s">
        <v>5600</v>
      </c>
      <c r="F1719" s="28" t="s">
        <v>5270</v>
      </c>
      <c r="G1719" s="28" t="s">
        <v>20</v>
      </c>
      <c r="H1719" s="28" t="s">
        <v>21</v>
      </c>
      <c r="I1719" s="28" t="s">
        <v>21</v>
      </c>
      <c r="J1719" s="28" t="s">
        <v>5601</v>
      </c>
      <c r="K1719" s="28" t="s">
        <v>5602</v>
      </c>
      <c r="L1719" s="28" t="s">
        <v>66</v>
      </c>
      <c r="M1719" s="28" t="s">
        <v>686</v>
      </c>
      <c r="O1719" s="92">
        <v>37908</v>
      </c>
      <c r="P1719" s="28" t="s">
        <v>21</v>
      </c>
      <c r="Q1719" s="26" t="b">
        <v>0</v>
      </c>
      <c r="R1719" s="22">
        <f t="shared" si="27"/>
        <v>1712</v>
      </c>
    </row>
    <row r="1720" spans="1:18">
      <c r="A1720" s="26">
        <v>5844</v>
      </c>
      <c r="B1720" s="27">
        <v>36196</v>
      </c>
      <c r="C1720" s="28" t="s">
        <v>6517</v>
      </c>
      <c r="D1720" s="27">
        <v>36196</v>
      </c>
      <c r="E1720" s="28" t="s">
        <v>6493</v>
      </c>
      <c r="F1720" s="28" t="s">
        <v>4242</v>
      </c>
      <c r="G1720" s="28" t="s">
        <v>20</v>
      </c>
      <c r="H1720" s="28" t="s">
        <v>189</v>
      </c>
      <c r="I1720" s="28" t="s">
        <v>189</v>
      </c>
      <c r="J1720" s="28" t="s">
        <v>6518</v>
      </c>
      <c r="K1720" s="28" t="s">
        <v>21</v>
      </c>
      <c r="L1720" s="28" t="s">
        <v>4282</v>
      </c>
      <c r="M1720" s="28" t="s">
        <v>21</v>
      </c>
      <c r="O1720" s="92">
        <v>37060</v>
      </c>
      <c r="P1720" s="28" t="s">
        <v>31</v>
      </c>
      <c r="Q1720" s="26" t="b">
        <v>0</v>
      </c>
      <c r="R1720" s="22">
        <f t="shared" si="27"/>
        <v>864</v>
      </c>
    </row>
    <row r="1721" spans="1:18">
      <c r="A1721" s="26">
        <v>4583</v>
      </c>
      <c r="B1721" s="27">
        <v>36199</v>
      </c>
      <c r="C1721" s="28" t="s">
        <v>5560</v>
      </c>
      <c r="D1721" s="18"/>
      <c r="E1721" s="28" t="s">
        <v>283</v>
      </c>
      <c r="F1721" s="28" t="s">
        <v>149</v>
      </c>
      <c r="G1721" s="28" t="s">
        <v>21</v>
      </c>
      <c r="H1721" s="28" t="s">
        <v>21</v>
      </c>
      <c r="I1721" s="28" t="s">
        <v>21</v>
      </c>
      <c r="J1721" s="28" t="s">
        <v>5561</v>
      </c>
      <c r="K1721" s="28" t="s">
        <v>4949</v>
      </c>
      <c r="L1721" s="28" t="s">
        <v>66</v>
      </c>
      <c r="M1721" s="28" t="s">
        <v>21</v>
      </c>
      <c r="O1721" s="92">
        <v>36360</v>
      </c>
      <c r="P1721" s="28" t="s">
        <v>21</v>
      </c>
      <c r="Q1721" s="26" t="b">
        <v>0</v>
      </c>
      <c r="R1721" s="22">
        <f t="shared" si="27"/>
        <v>163</v>
      </c>
    </row>
    <row r="1722" spans="1:18">
      <c r="A1722" s="26">
        <v>4584</v>
      </c>
      <c r="B1722" s="27">
        <v>36199</v>
      </c>
      <c r="C1722" s="28" t="s">
        <v>5562</v>
      </c>
      <c r="D1722" s="18"/>
      <c r="E1722" s="28" t="s">
        <v>283</v>
      </c>
      <c r="F1722" s="28" t="s">
        <v>124</v>
      </c>
      <c r="G1722" s="28" t="s">
        <v>21</v>
      </c>
      <c r="H1722" s="28" t="s">
        <v>21</v>
      </c>
      <c r="I1722" s="28" t="s">
        <v>21</v>
      </c>
      <c r="J1722" s="28" t="s">
        <v>5563</v>
      </c>
      <c r="K1722" s="28" t="s">
        <v>5564</v>
      </c>
      <c r="L1722" s="28" t="s">
        <v>66</v>
      </c>
      <c r="M1722" s="28" t="s">
        <v>21</v>
      </c>
      <c r="O1722" s="92">
        <v>36307</v>
      </c>
      <c r="P1722" s="28" t="s">
        <v>21</v>
      </c>
      <c r="Q1722" s="26" t="b">
        <v>0</v>
      </c>
      <c r="R1722" s="22">
        <f t="shared" si="27"/>
        <v>110</v>
      </c>
    </row>
    <row r="1723" spans="1:18">
      <c r="A1723" s="26">
        <v>4585</v>
      </c>
      <c r="B1723" s="27">
        <v>36199</v>
      </c>
      <c r="C1723" s="28" t="s">
        <v>5565</v>
      </c>
      <c r="D1723" s="18"/>
      <c r="E1723" s="28" t="s">
        <v>283</v>
      </c>
      <c r="F1723" s="28" t="s">
        <v>98</v>
      </c>
      <c r="G1723" s="28" t="s">
        <v>21</v>
      </c>
      <c r="H1723" s="28" t="s">
        <v>21</v>
      </c>
      <c r="I1723" s="28" t="s">
        <v>21</v>
      </c>
      <c r="J1723" s="28" t="s">
        <v>5566</v>
      </c>
      <c r="K1723" s="28" t="s">
        <v>5567</v>
      </c>
      <c r="L1723" s="28" t="s">
        <v>66</v>
      </c>
      <c r="M1723" s="28" t="s">
        <v>21</v>
      </c>
      <c r="O1723" s="92">
        <v>36307</v>
      </c>
      <c r="P1723" s="28" t="s">
        <v>21</v>
      </c>
      <c r="Q1723" s="26" t="b">
        <v>0</v>
      </c>
      <c r="R1723" s="22">
        <f t="shared" si="27"/>
        <v>110</v>
      </c>
    </row>
    <row r="1724" spans="1:18">
      <c r="A1724" s="26">
        <v>4586</v>
      </c>
      <c r="B1724" s="27">
        <v>36199</v>
      </c>
      <c r="C1724" s="28" t="s">
        <v>5568</v>
      </c>
      <c r="D1724" s="18"/>
      <c r="E1724" s="28" t="s">
        <v>283</v>
      </c>
      <c r="F1724" s="28" t="s">
        <v>94</v>
      </c>
      <c r="G1724" s="28" t="s">
        <v>20</v>
      </c>
      <c r="H1724" s="28" t="s">
        <v>21</v>
      </c>
      <c r="I1724" s="28" t="s">
        <v>21</v>
      </c>
      <c r="J1724" s="28" t="s">
        <v>5569</v>
      </c>
      <c r="K1724" s="28" t="s">
        <v>5570</v>
      </c>
      <c r="L1724" s="28" t="s">
        <v>66</v>
      </c>
      <c r="M1724" s="28" t="s">
        <v>21</v>
      </c>
      <c r="O1724" s="92">
        <v>36271</v>
      </c>
      <c r="P1724" s="28" t="s">
        <v>21</v>
      </c>
      <c r="Q1724" s="26" t="b">
        <v>0</v>
      </c>
      <c r="R1724" s="22">
        <f t="shared" si="27"/>
        <v>74</v>
      </c>
    </row>
    <row r="1725" spans="1:18">
      <c r="A1725" s="26">
        <v>4588</v>
      </c>
      <c r="B1725" s="27">
        <v>36199</v>
      </c>
      <c r="C1725" s="28" t="s">
        <v>5571</v>
      </c>
      <c r="D1725" s="18"/>
      <c r="E1725" s="28" t="s">
        <v>283</v>
      </c>
      <c r="F1725" s="28" t="s">
        <v>149</v>
      </c>
      <c r="G1725" s="28" t="s">
        <v>21</v>
      </c>
      <c r="H1725" s="28" t="s">
        <v>21</v>
      </c>
      <c r="I1725" s="28" t="s">
        <v>21</v>
      </c>
      <c r="J1725" s="28" t="s">
        <v>5572</v>
      </c>
      <c r="K1725" s="28" t="s">
        <v>21</v>
      </c>
      <c r="L1725" s="28" t="s">
        <v>4748</v>
      </c>
      <c r="M1725" s="28" t="s">
        <v>21</v>
      </c>
      <c r="O1725" s="92">
        <v>36390</v>
      </c>
      <c r="P1725" s="28" t="s">
        <v>21</v>
      </c>
      <c r="Q1725" s="26" t="b">
        <v>0</v>
      </c>
      <c r="R1725" s="22">
        <f t="shared" si="27"/>
        <v>192</v>
      </c>
    </row>
    <row r="1726" spans="1:18">
      <c r="A1726" s="26">
        <v>4589</v>
      </c>
      <c r="B1726" s="27">
        <v>36199</v>
      </c>
      <c r="C1726" s="28" t="s">
        <v>5573</v>
      </c>
      <c r="D1726" s="27">
        <v>36167</v>
      </c>
      <c r="E1726" s="28" t="s">
        <v>283</v>
      </c>
      <c r="F1726" s="28" t="s">
        <v>149</v>
      </c>
      <c r="G1726" s="28" t="s">
        <v>21</v>
      </c>
      <c r="H1726" s="28" t="s">
        <v>21</v>
      </c>
      <c r="I1726" s="28" t="s">
        <v>21</v>
      </c>
      <c r="J1726" s="28" t="s">
        <v>5574</v>
      </c>
      <c r="K1726" s="28" t="s">
        <v>21</v>
      </c>
      <c r="L1726" s="28" t="s">
        <v>4748</v>
      </c>
      <c r="M1726" s="28" t="s">
        <v>21</v>
      </c>
      <c r="O1726" s="92">
        <v>36277</v>
      </c>
      <c r="P1726" s="28" t="s">
        <v>21</v>
      </c>
      <c r="Q1726" s="26" t="b">
        <v>0</v>
      </c>
      <c r="R1726" s="22">
        <f t="shared" si="27"/>
        <v>80</v>
      </c>
    </row>
    <row r="1727" spans="1:18">
      <c r="A1727" s="26">
        <v>4590</v>
      </c>
      <c r="B1727" s="27">
        <v>36199</v>
      </c>
      <c r="C1727" s="28" t="s">
        <v>5575</v>
      </c>
      <c r="D1727" s="18"/>
      <c r="E1727" s="28" t="s">
        <v>283</v>
      </c>
      <c r="F1727" s="28" t="s">
        <v>56</v>
      </c>
      <c r="G1727" s="28" t="s">
        <v>21</v>
      </c>
      <c r="H1727" s="28" t="s">
        <v>21</v>
      </c>
      <c r="I1727" s="28" t="s">
        <v>21</v>
      </c>
      <c r="J1727" s="28" t="s">
        <v>5576</v>
      </c>
      <c r="K1727" s="28" t="s">
        <v>5577</v>
      </c>
      <c r="L1727" s="28" t="s">
        <v>4748</v>
      </c>
      <c r="M1727" s="28" t="s">
        <v>21</v>
      </c>
      <c r="O1727" s="92">
        <v>36277</v>
      </c>
      <c r="P1727" s="28" t="s">
        <v>21</v>
      </c>
      <c r="Q1727" s="26" t="b">
        <v>0</v>
      </c>
      <c r="R1727" s="22">
        <f t="shared" si="27"/>
        <v>80</v>
      </c>
    </row>
    <row r="1728" spans="1:18">
      <c r="A1728" s="26">
        <v>4591</v>
      </c>
      <c r="B1728" s="27">
        <v>36199</v>
      </c>
      <c r="C1728" s="28" t="s">
        <v>5578</v>
      </c>
      <c r="D1728" s="18"/>
      <c r="E1728" s="28" t="s">
        <v>283</v>
      </c>
      <c r="F1728" s="28" t="s">
        <v>56</v>
      </c>
      <c r="G1728" s="28" t="s">
        <v>21</v>
      </c>
      <c r="H1728" s="28" t="s">
        <v>21</v>
      </c>
      <c r="I1728" s="28" t="s">
        <v>21</v>
      </c>
      <c r="J1728" s="28" t="s">
        <v>5579</v>
      </c>
      <c r="K1728" s="28" t="s">
        <v>5577</v>
      </c>
      <c r="L1728" s="28" t="s">
        <v>4748</v>
      </c>
      <c r="M1728" s="28" t="s">
        <v>21</v>
      </c>
      <c r="O1728" s="92">
        <v>36277</v>
      </c>
      <c r="P1728" s="28" t="s">
        <v>21</v>
      </c>
      <c r="Q1728" s="26" t="b">
        <v>0</v>
      </c>
      <c r="R1728" s="22">
        <f t="shared" si="27"/>
        <v>80</v>
      </c>
    </row>
    <row r="1729" spans="1:18">
      <c r="A1729" s="26">
        <v>4593</v>
      </c>
      <c r="B1729" s="27">
        <v>36199</v>
      </c>
      <c r="C1729" s="28" t="s">
        <v>5580</v>
      </c>
      <c r="D1729" s="18"/>
      <c r="E1729" s="28" t="s">
        <v>283</v>
      </c>
      <c r="F1729" s="28" t="s">
        <v>149</v>
      </c>
      <c r="G1729" s="28" t="s">
        <v>21</v>
      </c>
      <c r="H1729" s="28" t="s">
        <v>21</v>
      </c>
      <c r="I1729" s="28" t="s">
        <v>21</v>
      </c>
      <c r="J1729" s="28" t="s">
        <v>5581</v>
      </c>
      <c r="K1729" s="28" t="s">
        <v>5582</v>
      </c>
      <c r="L1729" s="28" t="s">
        <v>66</v>
      </c>
      <c r="M1729" s="28" t="s">
        <v>21</v>
      </c>
      <c r="O1729" s="92">
        <v>36277</v>
      </c>
      <c r="P1729" s="28" t="s">
        <v>21</v>
      </c>
      <c r="Q1729" s="26" t="b">
        <v>0</v>
      </c>
      <c r="R1729" s="22">
        <f t="shared" si="27"/>
        <v>80</v>
      </c>
    </row>
    <row r="1730" spans="1:18">
      <c r="A1730" s="26">
        <v>4594</v>
      </c>
      <c r="B1730" s="27">
        <v>36199</v>
      </c>
      <c r="C1730" s="28" t="s">
        <v>5583</v>
      </c>
      <c r="D1730" s="18"/>
      <c r="E1730" s="28" t="s">
        <v>283</v>
      </c>
      <c r="F1730" s="28" t="s">
        <v>149</v>
      </c>
      <c r="G1730" s="28" t="s">
        <v>21</v>
      </c>
      <c r="H1730" s="28" t="s">
        <v>21</v>
      </c>
      <c r="I1730" s="28" t="s">
        <v>21</v>
      </c>
      <c r="J1730" s="28" t="s">
        <v>5584</v>
      </c>
      <c r="K1730" s="28" t="s">
        <v>5582</v>
      </c>
      <c r="L1730" s="28" t="s">
        <v>66</v>
      </c>
      <c r="M1730" s="28" t="s">
        <v>21</v>
      </c>
      <c r="O1730" s="92">
        <v>36277</v>
      </c>
      <c r="P1730" s="28" t="s">
        <v>21</v>
      </c>
      <c r="Q1730" s="26" t="b">
        <v>0</v>
      </c>
      <c r="R1730" s="22">
        <f t="shared" si="27"/>
        <v>80</v>
      </c>
    </row>
    <row r="1731" spans="1:18">
      <c r="A1731" s="26">
        <v>4597</v>
      </c>
      <c r="B1731" s="27">
        <v>36199</v>
      </c>
      <c r="C1731" s="28" t="s">
        <v>5585</v>
      </c>
      <c r="D1731" s="18"/>
      <c r="E1731" s="28" t="s">
        <v>283</v>
      </c>
      <c r="F1731" s="28" t="s">
        <v>27</v>
      </c>
      <c r="G1731" s="28" t="s">
        <v>21</v>
      </c>
      <c r="H1731" s="28" t="s">
        <v>21</v>
      </c>
      <c r="I1731" s="28" t="s">
        <v>21</v>
      </c>
      <c r="J1731" s="28" t="s">
        <v>5586</v>
      </c>
      <c r="K1731" s="28" t="s">
        <v>5587</v>
      </c>
      <c r="L1731" s="28" t="s">
        <v>66</v>
      </c>
      <c r="M1731" s="28" t="s">
        <v>21</v>
      </c>
      <c r="O1731" s="92">
        <v>36286</v>
      </c>
      <c r="P1731" s="28" t="s">
        <v>21</v>
      </c>
      <c r="Q1731" s="26" t="b">
        <v>0</v>
      </c>
      <c r="R1731" s="22">
        <f t="shared" si="27"/>
        <v>89</v>
      </c>
    </row>
    <row r="1732" spans="1:18">
      <c r="A1732" s="26">
        <v>4598</v>
      </c>
      <c r="B1732" s="27">
        <v>36199</v>
      </c>
      <c r="C1732" s="28" t="s">
        <v>5588</v>
      </c>
      <c r="D1732" s="18"/>
      <c r="E1732" s="28" t="s">
        <v>283</v>
      </c>
      <c r="F1732" s="28" t="s">
        <v>27</v>
      </c>
      <c r="G1732" s="28" t="s">
        <v>21</v>
      </c>
      <c r="H1732" s="28" t="s">
        <v>21</v>
      </c>
      <c r="I1732" s="28" t="s">
        <v>21</v>
      </c>
      <c r="J1732" s="28" t="s">
        <v>5589</v>
      </c>
      <c r="K1732" s="28" t="s">
        <v>5587</v>
      </c>
      <c r="L1732" s="28" t="s">
        <v>66</v>
      </c>
      <c r="M1732" s="28" t="s">
        <v>21</v>
      </c>
      <c r="O1732" s="92">
        <v>36270</v>
      </c>
      <c r="P1732" s="28" t="s">
        <v>21</v>
      </c>
      <c r="Q1732" s="26" t="b">
        <v>0</v>
      </c>
      <c r="R1732" s="22">
        <f t="shared" si="27"/>
        <v>73</v>
      </c>
    </row>
    <row r="1733" spans="1:18">
      <c r="A1733" s="26">
        <v>4599</v>
      </c>
      <c r="B1733" s="27">
        <v>36199</v>
      </c>
      <c r="C1733" s="28" t="s">
        <v>5590</v>
      </c>
      <c r="D1733" s="18"/>
      <c r="E1733" s="28" t="s">
        <v>283</v>
      </c>
      <c r="F1733" s="28" t="s">
        <v>242</v>
      </c>
      <c r="G1733" s="28" t="s">
        <v>21</v>
      </c>
      <c r="H1733" s="28" t="s">
        <v>21</v>
      </c>
      <c r="I1733" s="28" t="s">
        <v>21</v>
      </c>
      <c r="J1733" s="28" t="s">
        <v>5591</v>
      </c>
      <c r="K1733" s="28" t="s">
        <v>5592</v>
      </c>
      <c r="L1733" s="28" t="s">
        <v>66</v>
      </c>
      <c r="M1733" s="28" t="s">
        <v>21</v>
      </c>
      <c r="O1733" s="92">
        <v>36307</v>
      </c>
      <c r="P1733" s="28" t="s">
        <v>21</v>
      </c>
      <c r="Q1733" s="26" t="b">
        <v>0</v>
      </c>
      <c r="R1733" s="22">
        <f t="shared" si="27"/>
        <v>110</v>
      </c>
    </row>
    <row r="1734" spans="1:18">
      <c r="A1734" s="26">
        <v>4600</v>
      </c>
      <c r="B1734" s="27">
        <v>36199</v>
      </c>
      <c r="C1734" s="28" t="s">
        <v>5593</v>
      </c>
      <c r="D1734" s="18"/>
      <c r="E1734" s="28" t="s">
        <v>283</v>
      </c>
      <c r="F1734" s="28" t="s">
        <v>124</v>
      </c>
      <c r="G1734" s="28" t="s">
        <v>21</v>
      </c>
      <c r="H1734" s="28" t="s">
        <v>21</v>
      </c>
      <c r="I1734" s="28" t="s">
        <v>21</v>
      </c>
      <c r="J1734" s="28" t="s">
        <v>5594</v>
      </c>
      <c r="K1734" s="28" t="s">
        <v>5564</v>
      </c>
      <c r="L1734" s="28" t="s">
        <v>66</v>
      </c>
      <c r="M1734" s="28" t="s">
        <v>21</v>
      </c>
      <c r="O1734" s="92">
        <v>36277</v>
      </c>
      <c r="P1734" s="28" t="s">
        <v>21</v>
      </c>
      <c r="Q1734" s="26" t="b">
        <v>0</v>
      </c>
      <c r="R1734" s="22">
        <f t="shared" si="27"/>
        <v>80</v>
      </c>
    </row>
    <row r="1735" spans="1:18">
      <c r="A1735" s="26">
        <v>4601</v>
      </c>
      <c r="B1735" s="27">
        <v>36199</v>
      </c>
      <c r="C1735" s="28" t="s">
        <v>5595</v>
      </c>
      <c r="D1735" s="18"/>
      <c r="E1735" s="28" t="s">
        <v>283</v>
      </c>
      <c r="F1735" s="28" t="s">
        <v>5596</v>
      </c>
      <c r="G1735" s="28" t="s">
        <v>20</v>
      </c>
      <c r="H1735" s="28" t="s">
        <v>21</v>
      </c>
      <c r="I1735" s="28" t="s">
        <v>1061</v>
      </c>
      <c r="J1735" s="28" t="s">
        <v>5597</v>
      </c>
      <c r="K1735" s="28" t="s">
        <v>5598</v>
      </c>
      <c r="L1735" s="28" t="s">
        <v>66</v>
      </c>
      <c r="M1735" s="28" t="s">
        <v>21</v>
      </c>
      <c r="O1735" s="92">
        <v>36277</v>
      </c>
      <c r="P1735" s="28" t="s">
        <v>21</v>
      </c>
      <c r="Q1735" s="26" t="b">
        <v>0</v>
      </c>
      <c r="R1735" s="22">
        <f t="shared" si="27"/>
        <v>80</v>
      </c>
    </row>
    <row r="1736" spans="1:18">
      <c r="A1736" s="26">
        <v>4603</v>
      </c>
      <c r="B1736" s="27">
        <v>36199</v>
      </c>
      <c r="C1736" s="28" t="s">
        <v>5603</v>
      </c>
      <c r="D1736" s="18"/>
      <c r="E1736" s="28" t="s">
        <v>283</v>
      </c>
      <c r="F1736" s="28" t="s">
        <v>1061</v>
      </c>
      <c r="G1736" s="28" t="s">
        <v>20</v>
      </c>
      <c r="H1736" s="28" t="s">
        <v>21</v>
      </c>
      <c r="I1736" s="28" t="s">
        <v>21</v>
      </c>
      <c r="J1736" s="28" t="s">
        <v>5604</v>
      </c>
      <c r="K1736" s="28" t="s">
        <v>5605</v>
      </c>
      <c r="L1736" s="28" t="s">
        <v>66</v>
      </c>
      <c r="M1736" s="28" t="s">
        <v>21</v>
      </c>
      <c r="O1736" s="92">
        <v>36285</v>
      </c>
      <c r="P1736" s="28" t="s">
        <v>21</v>
      </c>
      <c r="Q1736" s="26" t="b">
        <v>0</v>
      </c>
      <c r="R1736" s="22">
        <f t="shared" si="27"/>
        <v>88</v>
      </c>
    </row>
    <row r="1737" spans="1:18">
      <c r="A1737" s="26">
        <v>4605</v>
      </c>
      <c r="B1737" s="27">
        <v>36199</v>
      </c>
      <c r="C1737" s="28" t="s">
        <v>5606</v>
      </c>
      <c r="D1737" s="18"/>
      <c r="E1737" s="28" t="s">
        <v>283</v>
      </c>
      <c r="F1737" s="28" t="s">
        <v>149</v>
      </c>
      <c r="G1737" s="28" t="s">
        <v>21</v>
      </c>
      <c r="H1737" s="28" t="s">
        <v>21</v>
      </c>
      <c r="I1737" s="28" t="s">
        <v>21</v>
      </c>
      <c r="J1737" s="28" t="s">
        <v>5607</v>
      </c>
      <c r="K1737" s="28" t="s">
        <v>4949</v>
      </c>
      <c r="L1737" s="28" t="s">
        <v>66</v>
      </c>
      <c r="M1737" s="28" t="s">
        <v>21</v>
      </c>
      <c r="O1737" s="92">
        <v>36277</v>
      </c>
      <c r="P1737" s="28" t="s">
        <v>21</v>
      </c>
      <c r="Q1737" s="26" t="b">
        <v>0</v>
      </c>
      <c r="R1737" s="22">
        <f t="shared" si="27"/>
        <v>80</v>
      </c>
    </row>
    <row r="1738" spans="1:18">
      <c r="A1738" s="26">
        <v>4606</v>
      </c>
      <c r="B1738" s="27">
        <v>36199</v>
      </c>
      <c r="C1738" s="28" t="s">
        <v>5608</v>
      </c>
      <c r="D1738" s="18"/>
      <c r="E1738" s="28" t="s">
        <v>283</v>
      </c>
      <c r="F1738" s="28" t="s">
        <v>1061</v>
      </c>
      <c r="G1738" s="28" t="s">
        <v>21</v>
      </c>
      <c r="H1738" s="28" t="s">
        <v>21</v>
      </c>
      <c r="I1738" s="28" t="s">
        <v>21</v>
      </c>
      <c r="J1738" s="28" t="s">
        <v>5609</v>
      </c>
      <c r="K1738" s="28" t="s">
        <v>5610</v>
      </c>
      <c r="L1738" s="28" t="s">
        <v>5552</v>
      </c>
      <c r="M1738" s="28" t="s">
        <v>21</v>
      </c>
      <c r="O1738" s="92">
        <v>36318</v>
      </c>
      <c r="P1738" s="28" t="s">
        <v>21</v>
      </c>
      <c r="Q1738" s="26" t="b">
        <v>0</v>
      </c>
      <c r="R1738" s="22">
        <f t="shared" si="27"/>
        <v>120</v>
      </c>
    </row>
    <row r="1739" spans="1:18">
      <c r="A1739" s="26">
        <v>4607</v>
      </c>
      <c r="B1739" s="27">
        <v>36199</v>
      </c>
      <c r="C1739" s="28" t="s">
        <v>5611</v>
      </c>
      <c r="D1739" s="18"/>
      <c r="E1739" s="28" t="s">
        <v>283</v>
      </c>
      <c r="F1739" s="28" t="s">
        <v>242</v>
      </c>
      <c r="G1739" s="28" t="s">
        <v>21</v>
      </c>
      <c r="H1739" s="28" t="s">
        <v>21</v>
      </c>
      <c r="I1739" s="28" t="s">
        <v>21</v>
      </c>
      <c r="J1739" s="28" t="s">
        <v>5612</v>
      </c>
      <c r="K1739" s="28" t="s">
        <v>5613</v>
      </c>
      <c r="L1739" s="28" t="s">
        <v>66</v>
      </c>
      <c r="M1739" s="28" t="s">
        <v>21</v>
      </c>
      <c r="O1739" s="92">
        <v>36277</v>
      </c>
      <c r="P1739" s="28" t="s">
        <v>21</v>
      </c>
      <c r="Q1739" s="26" t="b">
        <v>0</v>
      </c>
      <c r="R1739" s="22">
        <f t="shared" si="27"/>
        <v>80</v>
      </c>
    </row>
    <row r="1740" spans="1:18">
      <c r="A1740" s="26">
        <v>4608</v>
      </c>
      <c r="B1740" s="27">
        <v>36199</v>
      </c>
      <c r="C1740" s="28" t="s">
        <v>5614</v>
      </c>
      <c r="D1740" s="18"/>
      <c r="E1740" s="28" t="s">
        <v>283</v>
      </c>
      <c r="F1740" s="28" t="s">
        <v>98</v>
      </c>
      <c r="G1740" s="28" t="s">
        <v>21</v>
      </c>
      <c r="H1740" s="28" t="s">
        <v>21</v>
      </c>
      <c r="I1740" s="28" t="s">
        <v>21</v>
      </c>
      <c r="J1740" s="28" t="s">
        <v>5615</v>
      </c>
      <c r="K1740" s="28" t="s">
        <v>5567</v>
      </c>
      <c r="L1740" s="28" t="s">
        <v>66</v>
      </c>
      <c r="M1740" s="28" t="s">
        <v>21</v>
      </c>
      <c r="O1740" s="92">
        <v>36277</v>
      </c>
      <c r="P1740" s="28" t="s">
        <v>21</v>
      </c>
      <c r="Q1740" s="26" t="b">
        <v>0</v>
      </c>
      <c r="R1740" s="22">
        <f t="shared" si="27"/>
        <v>80</v>
      </c>
    </row>
    <row r="1741" spans="1:18">
      <c r="A1741" s="26">
        <v>4609</v>
      </c>
      <c r="B1741" s="27">
        <v>36200</v>
      </c>
      <c r="C1741" s="28" t="s">
        <v>5616</v>
      </c>
      <c r="D1741" s="18"/>
      <c r="E1741" s="28" t="s">
        <v>283</v>
      </c>
      <c r="F1741" s="28" t="s">
        <v>27</v>
      </c>
      <c r="G1741" s="28" t="s">
        <v>21</v>
      </c>
      <c r="H1741" s="28" t="s">
        <v>21</v>
      </c>
      <c r="I1741" s="28" t="s">
        <v>21</v>
      </c>
      <c r="J1741" s="28" t="s">
        <v>5617</v>
      </c>
      <c r="K1741" s="28" t="s">
        <v>5462</v>
      </c>
      <c r="L1741" s="28" t="s">
        <v>66</v>
      </c>
      <c r="M1741" s="28" t="s">
        <v>21</v>
      </c>
      <c r="O1741" s="92">
        <v>36327</v>
      </c>
      <c r="P1741" s="28" t="s">
        <v>21</v>
      </c>
      <c r="Q1741" s="26" t="b">
        <v>0</v>
      </c>
      <c r="R1741" s="22">
        <f t="shared" si="27"/>
        <v>128</v>
      </c>
    </row>
    <row r="1742" spans="1:18">
      <c r="A1742" s="26">
        <v>4621</v>
      </c>
      <c r="B1742" s="27">
        <v>36200</v>
      </c>
      <c r="C1742" s="28" t="s">
        <v>5622</v>
      </c>
      <c r="D1742" s="18"/>
      <c r="E1742" s="28" t="s">
        <v>283</v>
      </c>
      <c r="F1742" s="28" t="s">
        <v>395</v>
      </c>
      <c r="G1742" s="28" t="s">
        <v>21</v>
      </c>
      <c r="H1742" s="28" t="s">
        <v>21</v>
      </c>
      <c r="I1742" s="28" t="s">
        <v>21</v>
      </c>
      <c r="J1742" s="28" t="s">
        <v>5623</v>
      </c>
      <c r="K1742" s="28" t="s">
        <v>21</v>
      </c>
      <c r="L1742" s="28" t="s">
        <v>4748</v>
      </c>
      <c r="M1742" s="28" t="s">
        <v>21</v>
      </c>
      <c r="O1742" s="92">
        <v>36390</v>
      </c>
      <c r="P1742" s="28" t="s">
        <v>21</v>
      </c>
      <c r="Q1742" s="26" t="b">
        <v>0</v>
      </c>
      <c r="R1742" s="22">
        <f t="shared" si="27"/>
        <v>191</v>
      </c>
    </row>
    <row r="1743" spans="1:18">
      <c r="A1743" s="26">
        <v>4623</v>
      </c>
      <c r="B1743" s="27">
        <v>36200</v>
      </c>
      <c r="C1743" s="28" t="s">
        <v>5624</v>
      </c>
      <c r="D1743" s="18"/>
      <c r="E1743" s="28" t="s">
        <v>283</v>
      </c>
      <c r="F1743" s="28" t="s">
        <v>1149</v>
      </c>
      <c r="G1743" s="28" t="s">
        <v>21</v>
      </c>
      <c r="H1743" s="28" t="s">
        <v>21</v>
      </c>
      <c r="I1743" s="28" t="s">
        <v>21</v>
      </c>
      <c r="J1743" s="28" t="s">
        <v>5625</v>
      </c>
      <c r="K1743" s="28" t="s">
        <v>1821</v>
      </c>
      <c r="L1743" s="28" t="s">
        <v>5626</v>
      </c>
      <c r="M1743" s="28" t="s">
        <v>21</v>
      </c>
      <c r="O1743" s="92">
        <v>36283</v>
      </c>
      <c r="P1743" s="28" t="s">
        <v>21</v>
      </c>
      <c r="Q1743" s="26" t="b">
        <v>0</v>
      </c>
      <c r="R1743" s="22">
        <f t="shared" si="27"/>
        <v>85</v>
      </c>
    </row>
    <row r="1744" spans="1:18">
      <c r="A1744" s="26">
        <v>4629</v>
      </c>
      <c r="B1744" s="27">
        <v>36201</v>
      </c>
      <c r="C1744" s="28" t="s">
        <v>5627</v>
      </c>
      <c r="D1744" s="27">
        <v>36201</v>
      </c>
      <c r="E1744" s="28" t="s">
        <v>5628</v>
      </c>
      <c r="F1744" s="28" t="s">
        <v>56</v>
      </c>
      <c r="G1744" s="28" t="s">
        <v>20</v>
      </c>
      <c r="H1744" s="28" t="s">
        <v>21</v>
      </c>
      <c r="I1744" s="28" t="s">
        <v>21</v>
      </c>
      <c r="J1744" s="28" t="s">
        <v>5629</v>
      </c>
      <c r="K1744" s="28" t="s">
        <v>5630</v>
      </c>
      <c r="L1744" s="28" t="s">
        <v>686</v>
      </c>
      <c r="M1744" s="28" t="s">
        <v>21</v>
      </c>
      <c r="O1744" s="92">
        <v>36276</v>
      </c>
      <c r="P1744" s="28" t="s">
        <v>31</v>
      </c>
      <c r="Q1744" s="26" t="b">
        <v>0</v>
      </c>
      <c r="R1744" s="22">
        <f t="shared" si="27"/>
        <v>77</v>
      </c>
    </row>
    <row r="1745" spans="1:18">
      <c r="A1745" s="26">
        <v>4634</v>
      </c>
      <c r="B1745" s="27">
        <v>36203</v>
      </c>
      <c r="C1745" s="28" t="s">
        <v>5637</v>
      </c>
      <c r="D1745" s="27">
        <v>36203</v>
      </c>
      <c r="E1745" s="28" t="s">
        <v>5638</v>
      </c>
      <c r="F1745" s="28" t="s">
        <v>2838</v>
      </c>
      <c r="G1745" s="28" t="s">
        <v>20</v>
      </c>
      <c r="H1745" s="28" t="s">
        <v>21</v>
      </c>
      <c r="I1745" s="28" t="s">
        <v>21</v>
      </c>
      <c r="J1745" s="28" t="s">
        <v>5639</v>
      </c>
      <c r="K1745" s="28" t="s">
        <v>21</v>
      </c>
      <c r="L1745" s="28" t="s">
        <v>686</v>
      </c>
      <c r="M1745" s="28" t="s">
        <v>21</v>
      </c>
      <c r="O1745" s="92">
        <v>36276</v>
      </c>
      <c r="P1745" s="28" t="s">
        <v>31</v>
      </c>
      <c r="Q1745" s="26" t="b">
        <v>0</v>
      </c>
      <c r="R1745" s="22">
        <f t="shared" si="27"/>
        <v>75</v>
      </c>
    </row>
    <row r="1746" spans="1:18">
      <c r="A1746" s="26">
        <v>4630</v>
      </c>
      <c r="B1746" s="27">
        <v>36207</v>
      </c>
      <c r="C1746" s="28" t="s">
        <v>5631</v>
      </c>
      <c r="D1746" s="18"/>
      <c r="E1746" s="28" t="s">
        <v>283</v>
      </c>
      <c r="F1746" s="28" t="s">
        <v>149</v>
      </c>
      <c r="G1746" s="28" t="s">
        <v>20</v>
      </c>
      <c r="H1746" s="28" t="s">
        <v>21</v>
      </c>
      <c r="I1746" s="28" t="s">
        <v>21</v>
      </c>
      <c r="J1746" s="28" t="s">
        <v>5632</v>
      </c>
      <c r="K1746" s="28" t="s">
        <v>5633</v>
      </c>
      <c r="L1746" s="28" t="s">
        <v>66</v>
      </c>
      <c r="M1746" s="28" t="s">
        <v>21</v>
      </c>
      <c r="O1746" s="92">
        <v>36327</v>
      </c>
      <c r="P1746" s="28" t="s">
        <v>21</v>
      </c>
      <c r="Q1746" s="26" t="b">
        <v>0</v>
      </c>
      <c r="R1746" s="22">
        <f t="shared" si="27"/>
        <v>121</v>
      </c>
    </row>
    <row r="1747" spans="1:18">
      <c r="A1747" s="26">
        <v>4631</v>
      </c>
      <c r="B1747" s="27">
        <v>36207</v>
      </c>
      <c r="C1747" s="28" t="s">
        <v>5634</v>
      </c>
      <c r="D1747" s="18"/>
      <c r="E1747" s="28" t="s">
        <v>283</v>
      </c>
      <c r="F1747" s="28" t="s">
        <v>27</v>
      </c>
      <c r="G1747" s="28" t="s">
        <v>20</v>
      </c>
      <c r="H1747" s="28" t="s">
        <v>21</v>
      </c>
      <c r="I1747" s="28" t="s">
        <v>21</v>
      </c>
      <c r="J1747" s="28" t="s">
        <v>5635</v>
      </c>
      <c r="K1747" s="28" t="s">
        <v>5636</v>
      </c>
      <c r="L1747" s="28" t="s">
        <v>66</v>
      </c>
      <c r="M1747" s="28" t="s">
        <v>21</v>
      </c>
      <c r="O1747" s="92">
        <v>36277</v>
      </c>
      <c r="P1747" s="28" t="s">
        <v>21</v>
      </c>
      <c r="Q1747" s="26" t="b">
        <v>0</v>
      </c>
      <c r="R1747" s="22">
        <f t="shared" si="27"/>
        <v>71</v>
      </c>
    </row>
    <row r="1748" spans="1:18" ht="36">
      <c r="A1748" s="26">
        <v>4636</v>
      </c>
      <c r="B1748" s="27">
        <v>36208</v>
      </c>
      <c r="C1748" s="28" t="s">
        <v>5640</v>
      </c>
      <c r="D1748" s="27">
        <v>36203</v>
      </c>
      <c r="E1748" s="28" t="s">
        <v>5641</v>
      </c>
      <c r="F1748" s="28" t="s">
        <v>327</v>
      </c>
      <c r="G1748" s="28" t="s">
        <v>20</v>
      </c>
      <c r="H1748" s="28" t="s">
        <v>21</v>
      </c>
      <c r="I1748" s="28" t="s">
        <v>21</v>
      </c>
      <c r="J1748" s="28" t="s">
        <v>5642</v>
      </c>
      <c r="K1748" s="28" t="s">
        <v>1513</v>
      </c>
      <c r="L1748" s="28" t="s">
        <v>3588</v>
      </c>
      <c r="M1748" s="28" t="s">
        <v>5643</v>
      </c>
      <c r="O1748" s="92">
        <v>39513</v>
      </c>
      <c r="P1748" s="28" t="s">
        <v>21</v>
      </c>
      <c r="Q1748" s="26" t="b">
        <v>0</v>
      </c>
      <c r="R1748" s="22">
        <f t="shared" si="27"/>
        <v>3304</v>
      </c>
    </row>
    <row r="1749" spans="1:18" ht="24">
      <c r="A1749" s="26">
        <v>4643</v>
      </c>
      <c r="B1749" s="27">
        <v>36213</v>
      </c>
      <c r="C1749" s="28" t="s">
        <v>5658</v>
      </c>
      <c r="D1749" s="27">
        <v>36209</v>
      </c>
      <c r="E1749" s="28" t="s">
        <v>38</v>
      </c>
      <c r="F1749" s="28" t="s">
        <v>5659</v>
      </c>
      <c r="G1749" s="28" t="s">
        <v>20</v>
      </c>
      <c r="H1749" s="28" t="s">
        <v>566</v>
      </c>
      <c r="I1749" s="28" t="s">
        <v>566</v>
      </c>
      <c r="J1749" s="28" t="s">
        <v>5240</v>
      </c>
      <c r="K1749" s="28" t="s">
        <v>5660</v>
      </c>
      <c r="L1749" s="28" t="s">
        <v>686</v>
      </c>
      <c r="M1749" s="28" t="s">
        <v>21</v>
      </c>
      <c r="O1749" s="92">
        <v>36234</v>
      </c>
      <c r="P1749" s="28" t="s">
        <v>31</v>
      </c>
      <c r="Q1749" s="26" t="b">
        <v>0</v>
      </c>
      <c r="R1749" s="22">
        <f t="shared" si="27"/>
        <v>23</v>
      </c>
    </row>
    <row r="1750" spans="1:18">
      <c r="A1750" s="26">
        <v>4637</v>
      </c>
      <c r="B1750" s="27">
        <v>36214</v>
      </c>
      <c r="C1750" s="28" t="s">
        <v>5644</v>
      </c>
      <c r="D1750" s="27">
        <v>36214</v>
      </c>
      <c r="E1750" s="28" t="s">
        <v>5645</v>
      </c>
      <c r="F1750" s="28" t="s">
        <v>104</v>
      </c>
      <c r="G1750" s="28" t="s">
        <v>20</v>
      </c>
      <c r="H1750" s="28" t="s">
        <v>21</v>
      </c>
      <c r="I1750" s="28" t="s">
        <v>21</v>
      </c>
      <c r="J1750" s="28" t="s">
        <v>104</v>
      </c>
      <c r="K1750" s="28" t="s">
        <v>21</v>
      </c>
      <c r="L1750" s="28" t="s">
        <v>5646</v>
      </c>
      <c r="M1750" s="28" t="s">
        <v>21</v>
      </c>
      <c r="O1750" s="92">
        <v>36217</v>
      </c>
      <c r="P1750" s="28" t="s">
        <v>21</v>
      </c>
      <c r="Q1750" s="26" t="b">
        <v>0</v>
      </c>
      <c r="R1750" s="22">
        <f t="shared" si="27"/>
        <v>3</v>
      </c>
    </row>
    <row r="1751" spans="1:18" ht="24">
      <c r="A1751" s="26">
        <v>4640</v>
      </c>
      <c r="B1751" s="27">
        <v>36216</v>
      </c>
      <c r="C1751" s="28" t="s">
        <v>5647</v>
      </c>
      <c r="D1751" s="27">
        <v>36189</v>
      </c>
      <c r="E1751" s="28" t="s">
        <v>5648</v>
      </c>
      <c r="F1751" s="28" t="s">
        <v>350</v>
      </c>
      <c r="G1751" s="28" t="s">
        <v>20</v>
      </c>
      <c r="H1751" s="28" t="s">
        <v>21</v>
      </c>
      <c r="I1751" s="28" t="s">
        <v>21</v>
      </c>
      <c r="J1751" s="28" t="s">
        <v>5649</v>
      </c>
      <c r="K1751" s="28" t="s">
        <v>21</v>
      </c>
      <c r="L1751" s="28" t="s">
        <v>686</v>
      </c>
      <c r="M1751" s="28" t="s">
        <v>21</v>
      </c>
      <c r="O1751" s="92">
        <v>36502</v>
      </c>
      <c r="P1751" s="28" t="s">
        <v>21</v>
      </c>
      <c r="Q1751" s="26" t="b">
        <v>0</v>
      </c>
      <c r="R1751" s="22">
        <f t="shared" si="27"/>
        <v>286</v>
      </c>
    </row>
    <row r="1752" spans="1:18" ht="24">
      <c r="A1752" s="26">
        <v>4641</v>
      </c>
      <c r="B1752" s="27">
        <v>36217</v>
      </c>
      <c r="C1752" s="28" t="s">
        <v>5650</v>
      </c>
      <c r="D1752" s="27">
        <v>36217</v>
      </c>
      <c r="E1752" s="28" t="s">
        <v>5651</v>
      </c>
      <c r="F1752" s="28" t="s">
        <v>4596</v>
      </c>
      <c r="G1752" s="28" t="s">
        <v>20</v>
      </c>
      <c r="H1752" s="28" t="s">
        <v>21</v>
      </c>
      <c r="I1752" s="28" t="s">
        <v>21</v>
      </c>
      <c r="J1752" s="28" t="s">
        <v>5652</v>
      </c>
      <c r="K1752" s="28" t="s">
        <v>5653</v>
      </c>
      <c r="L1752" s="28" t="s">
        <v>4579</v>
      </c>
      <c r="M1752" s="28" t="s">
        <v>4652</v>
      </c>
      <c r="O1752" s="92">
        <v>36483</v>
      </c>
      <c r="P1752" s="28" t="s">
        <v>21</v>
      </c>
      <c r="Q1752" s="26" t="b">
        <v>0</v>
      </c>
      <c r="R1752" s="22">
        <f t="shared" si="27"/>
        <v>266</v>
      </c>
    </row>
    <row r="1753" spans="1:18">
      <c r="A1753" s="26">
        <v>4642</v>
      </c>
      <c r="B1753" s="27">
        <v>36217</v>
      </c>
      <c r="C1753" s="28" t="s">
        <v>5654</v>
      </c>
      <c r="D1753" s="27">
        <v>36214</v>
      </c>
      <c r="E1753" s="28" t="s">
        <v>5655</v>
      </c>
      <c r="F1753" s="28" t="s">
        <v>27</v>
      </c>
      <c r="G1753" s="28" t="s">
        <v>20</v>
      </c>
      <c r="H1753" s="28" t="s">
        <v>21</v>
      </c>
      <c r="I1753" s="28" t="s">
        <v>21</v>
      </c>
      <c r="J1753" s="28" t="s">
        <v>5656</v>
      </c>
      <c r="K1753" s="28" t="s">
        <v>5657</v>
      </c>
      <c r="L1753" s="28" t="s">
        <v>686</v>
      </c>
      <c r="M1753" s="28" t="s">
        <v>21</v>
      </c>
      <c r="O1753" s="92">
        <v>36297</v>
      </c>
      <c r="P1753" s="28" t="s">
        <v>21</v>
      </c>
      <c r="Q1753" s="26" t="b">
        <v>0</v>
      </c>
      <c r="R1753" s="22">
        <f t="shared" si="27"/>
        <v>82</v>
      </c>
    </row>
    <row r="1754" spans="1:18">
      <c r="A1754" s="26">
        <v>4648</v>
      </c>
      <c r="B1754" s="27">
        <v>36231</v>
      </c>
      <c r="C1754" s="28" t="s">
        <v>5663</v>
      </c>
      <c r="D1754" s="27">
        <v>36231</v>
      </c>
      <c r="E1754" s="28" t="s">
        <v>5664</v>
      </c>
      <c r="F1754" s="28" t="s">
        <v>1771</v>
      </c>
      <c r="G1754" s="28" t="s">
        <v>20</v>
      </c>
      <c r="H1754" s="28" t="s">
        <v>189</v>
      </c>
      <c r="I1754" s="28" t="s">
        <v>189</v>
      </c>
      <c r="J1754" s="28" t="s">
        <v>5665</v>
      </c>
      <c r="K1754" s="28" t="s">
        <v>21</v>
      </c>
      <c r="L1754" s="28" t="s">
        <v>66</v>
      </c>
      <c r="M1754" s="28" t="s">
        <v>21</v>
      </c>
      <c r="O1754" s="92">
        <v>36294</v>
      </c>
      <c r="P1754" s="28" t="s">
        <v>21</v>
      </c>
      <c r="Q1754" s="26" t="b">
        <v>0</v>
      </c>
      <c r="R1754" s="22">
        <f t="shared" si="27"/>
        <v>62</v>
      </c>
    </row>
    <row r="1755" spans="1:18">
      <c r="A1755" s="26">
        <v>4650</v>
      </c>
      <c r="B1755" s="27">
        <v>36231</v>
      </c>
      <c r="C1755" s="28" t="s">
        <v>5669</v>
      </c>
      <c r="D1755" s="27">
        <v>36209</v>
      </c>
      <c r="E1755" s="28" t="s">
        <v>38</v>
      </c>
      <c r="F1755" s="28" t="s">
        <v>124</v>
      </c>
      <c r="G1755" s="28" t="s">
        <v>20</v>
      </c>
      <c r="H1755" s="28" t="s">
        <v>21</v>
      </c>
      <c r="I1755" s="28" t="s">
        <v>21</v>
      </c>
      <c r="J1755" s="28" t="s">
        <v>5670</v>
      </c>
      <c r="K1755" s="28" t="s">
        <v>21</v>
      </c>
      <c r="L1755" s="28" t="s">
        <v>3271</v>
      </c>
      <c r="M1755" s="28" t="s">
        <v>21</v>
      </c>
      <c r="O1755" s="92">
        <v>36262</v>
      </c>
      <c r="P1755" s="28" t="s">
        <v>31</v>
      </c>
      <c r="Q1755" s="26" t="b">
        <v>0</v>
      </c>
      <c r="R1755" s="22">
        <f t="shared" si="27"/>
        <v>30</v>
      </c>
    </row>
    <row r="1756" spans="1:18">
      <c r="A1756" s="26">
        <v>4649</v>
      </c>
      <c r="B1756" s="27">
        <v>36235</v>
      </c>
      <c r="C1756" s="28" t="s">
        <v>5666</v>
      </c>
      <c r="D1756" s="27">
        <v>36221</v>
      </c>
      <c r="E1756" s="28" t="s">
        <v>3116</v>
      </c>
      <c r="F1756" s="28" t="s">
        <v>3171</v>
      </c>
      <c r="G1756" s="28" t="s">
        <v>21</v>
      </c>
      <c r="H1756" s="28" t="s">
        <v>21</v>
      </c>
      <c r="I1756" s="28" t="s">
        <v>566</v>
      </c>
      <c r="J1756" s="28" t="s">
        <v>5667</v>
      </c>
      <c r="K1756" s="28" t="s">
        <v>5668</v>
      </c>
      <c r="L1756" s="28" t="s">
        <v>66</v>
      </c>
      <c r="M1756" s="28" t="s">
        <v>21</v>
      </c>
      <c r="O1756" s="92">
        <v>36221</v>
      </c>
      <c r="P1756" s="28" t="s">
        <v>21</v>
      </c>
      <c r="Q1756" s="26" t="b">
        <v>0</v>
      </c>
      <c r="R1756" s="22">
        <f t="shared" si="27"/>
        <v>14</v>
      </c>
    </row>
    <row r="1757" spans="1:18">
      <c r="A1757" s="26">
        <v>4653</v>
      </c>
      <c r="B1757" s="27">
        <v>36236</v>
      </c>
      <c r="C1757" s="28" t="s">
        <v>5671</v>
      </c>
      <c r="D1757" s="27">
        <v>36234</v>
      </c>
      <c r="E1757" s="28" t="s">
        <v>38</v>
      </c>
      <c r="F1757" s="28" t="s">
        <v>5672</v>
      </c>
      <c r="G1757" s="28" t="s">
        <v>20</v>
      </c>
      <c r="H1757" s="28" t="s">
        <v>21</v>
      </c>
      <c r="I1757" s="28" t="s">
        <v>21</v>
      </c>
      <c r="J1757" s="28" t="s">
        <v>5673</v>
      </c>
      <c r="K1757" s="28" t="s">
        <v>21</v>
      </c>
      <c r="L1757" s="28" t="s">
        <v>3930</v>
      </c>
      <c r="M1757" s="28" t="s">
        <v>21</v>
      </c>
      <c r="N1757" s="29">
        <v>36237</v>
      </c>
      <c r="O1757" s="92">
        <v>36238</v>
      </c>
      <c r="P1757" s="28" t="s">
        <v>31</v>
      </c>
      <c r="Q1757" s="26" t="b">
        <v>0</v>
      </c>
      <c r="R1757" s="22">
        <f t="shared" si="27"/>
        <v>2</v>
      </c>
    </row>
    <row r="1758" spans="1:18">
      <c r="A1758" s="26">
        <v>4654</v>
      </c>
      <c r="B1758" s="27">
        <v>36236</v>
      </c>
      <c r="C1758" s="28" t="s">
        <v>5674</v>
      </c>
      <c r="D1758" s="27">
        <v>36222</v>
      </c>
      <c r="E1758" s="28" t="s">
        <v>38</v>
      </c>
      <c r="F1758" s="28" t="s">
        <v>124</v>
      </c>
      <c r="G1758" s="28" t="s">
        <v>20</v>
      </c>
      <c r="H1758" s="28" t="s">
        <v>21</v>
      </c>
      <c r="I1758" s="28" t="s">
        <v>21</v>
      </c>
      <c r="J1758" s="28" t="s">
        <v>5675</v>
      </c>
      <c r="K1758" s="28" t="s">
        <v>5676</v>
      </c>
      <c r="L1758" s="28" t="s">
        <v>66</v>
      </c>
      <c r="M1758" s="28" t="s">
        <v>21</v>
      </c>
      <c r="O1758" s="92">
        <v>36255</v>
      </c>
      <c r="P1758" s="28" t="s">
        <v>31</v>
      </c>
      <c r="Q1758" s="26" t="b">
        <v>0</v>
      </c>
      <c r="R1758" s="22">
        <f t="shared" si="27"/>
        <v>18</v>
      </c>
    </row>
    <row r="1759" spans="1:18">
      <c r="A1759" s="26">
        <v>4666</v>
      </c>
      <c r="B1759" s="27">
        <v>36241</v>
      </c>
      <c r="C1759" s="28" t="s">
        <v>5688</v>
      </c>
      <c r="D1759" s="27">
        <v>36241</v>
      </c>
      <c r="E1759" s="28" t="s">
        <v>5689</v>
      </c>
      <c r="F1759" s="28" t="s">
        <v>5690</v>
      </c>
      <c r="G1759" s="28" t="s">
        <v>20</v>
      </c>
      <c r="H1759" s="28" t="s">
        <v>71</v>
      </c>
      <c r="I1759" s="28" t="s">
        <v>72</v>
      </c>
      <c r="J1759" s="28" t="s">
        <v>5691</v>
      </c>
      <c r="K1759" s="28" t="s">
        <v>5692</v>
      </c>
      <c r="L1759" s="28" t="s">
        <v>66</v>
      </c>
      <c r="M1759" s="28" t="s">
        <v>21</v>
      </c>
      <c r="O1759" s="92">
        <v>37033</v>
      </c>
      <c r="P1759" s="28" t="s">
        <v>21</v>
      </c>
      <c r="Q1759" s="26" t="b">
        <v>0</v>
      </c>
      <c r="R1759" s="22">
        <f t="shared" si="27"/>
        <v>790</v>
      </c>
    </row>
    <row r="1760" spans="1:18">
      <c r="A1760" s="26">
        <v>4656</v>
      </c>
      <c r="B1760" s="27">
        <v>36244</v>
      </c>
      <c r="C1760" s="28" t="s">
        <v>5677</v>
      </c>
      <c r="D1760" s="27">
        <v>36241</v>
      </c>
      <c r="E1760" s="28" t="s">
        <v>38</v>
      </c>
      <c r="F1760" s="28" t="s">
        <v>56</v>
      </c>
      <c r="G1760" s="28" t="s">
        <v>20</v>
      </c>
      <c r="H1760" s="28" t="s">
        <v>21</v>
      </c>
      <c r="I1760" s="28" t="s">
        <v>21</v>
      </c>
      <c r="J1760" s="28" t="s">
        <v>5678</v>
      </c>
      <c r="K1760" s="28" t="s">
        <v>5679</v>
      </c>
      <c r="L1760" s="28" t="s">
        <v>66</v>
      </c>
      <c r="M1760" s="28" t="s">
        <v>21</v>
      </c>
      <c r="O1760" s="92">
        <v>36278</v>
      </c>
      <c r="P1760" s="28" t="s">
        <v>21</v>
      </c>
      <c r="Q1760" s="26" t="b">
        <v>0</v>
      </c>
      <c r="R1760" s="22">
        <f t="shared" si="27"/>
        <v>33</v>
      </c>
    </row>
    <row r="1761" spans="1:18">
      <c r="A1761" s="26">
        <v>4657</v>
      </c>
      <c r="B1761" s="27">
        <v>36244</v>
      </c>
      <c r="C1761" s="28" t="s">
        <v>5680</v>
      </c>
      <c r="D1761" s="27">
        <v>36242</v>
      </c>
      <c r="E1761" s="28" t="s">
        <v>38</v>
      </c>
      <c r="F1761" s="28" t="s">
        <v>1771</v>
      </c>
      <c r="G1761" s="28" t="s">
        <v>20</v>
      </c>
      <c r="H1761" s="28" t="s">
        <v>189</v>
      </c>
      <c r="I1761" s="28" t="s">
        <v>189</v>
      </c>
      <c r="J1761" s="28" t="s">
        <v>5681</v>
      </c>
      <c r="K1761" s="28" t="s">
        <v>74</v>
      </c>
      <c r="L1761" s="28" t="s">
        <v>1946</v>
      </c>
      <c r="M1761" s="28" t="s">
        <v>21</v>
      </c>
      <c r="O1761" s="92">
        <v>36276</v>
      </c>
      <c r="P1761" s="28" t="s">
        <v>21</v>
      </c>
      <c r="Q1761" s="26" t="b">
        <v>0</v>
      </c>
      <c r="R1761" s="22">
        <f t="shared" si="27"/>
        <v>31</v>
      </c>
    </row>
    <row r="1762" spans="1:18">
      <c r="A1762" s="26">
        <v>4659</v>
      </c>
      <c r="B1762" s="27">
        <v>36251</v>
      </c>
      <c r="C1762" s="28" t="s">
        <v>5682</v>
      </c>
      <c r="D1762" s="27">
        <v>36251</v>
      </c>
      <c r="E1762" s="28" t="s">
        <v>5683</v>
      </c>
      <c r="F1762" s="28" t="s">
        <v>85</v>
      </c>
      <c r="G1762" s="28" t="s">
        <v>20</v>
      </c>
      <c r="H1762" s="28" t="s">
        <v>21</v>
      </c>
      <c r="I1762" s="28" t="s">
        <v>21</v>
      </c>
      <c r="J1762" s="28" t="s">
        <v>5684</v>
      </c>
      <c r="K1762" s="28" t="s">
        <v>1805</v>
      </c>
      <c r="L1762" s="28" t="s">
        <v>66</v>
      </c>
      <c r="M1762" s="28" t="s">
        <v>686</v>
      </c>
      <c r="O1762" s="92">
        <v>37704</v>
      </c>
      <c r="P1762" s="28" t="s">
        <v>31</v>
      </c>
      <c r="Q1762" s="26" t="b">
        <v>0</v>
      </c>
      <c r="R1762" s="22">
        <f t="shared" si="27"/>
        <v>1452</v>
      </c>
    </row>
    <row r="1763" spans="1:18">
      <c r="A1763" s="26">
        <v>4660</v>
      </c>
      <c r="B1763" s="27">
        <v>36256</v>
      </c>
      <c r="C1763" s="28" t="s">
        <v>5685</v>
      </c>
      <c r="D1763" s="27">
        <v>36256</v>
      </c>
      <c r="E1763" s="28" t="s">
        <v>38</v>
      </c>
      <c r="F1763" s="28" t="s">
        <v>2521</v>
      </c>
      <c r="G1763" s="28" t="s">
        <v>20</v>
      </c>
      <c r="H1763" s="28" t="s">
        <v>566</v>
      </c>
      <c r="I1763" s="28" t="s">
        <v>566</v>
      </c>
      <c r="J1763" s="28" t="s">
        <v>5686</v>
      </c>
      <c r="K1763" s="28" t="s">
        <v>5687</v>
      </c>
      <c r="L1763" s="28" t="s">
        <v>686</v>
      </c>
      <c r="M1763" s="28" t="s">
        <v>21</v>
      </c>
      <c r="O1763" s="92">
        <v>36283</v>
      </c>
      <c r="P1763" s="28" t="s">
        <v>21</v>
      </c>
      <c r="Q1763" s="26" t="b">
        <v>0</v>
      </c>
      <c r="R1763" s="22">
        <f t="shared" si="27"/>
        <v>27</v>
      </c>
    </row>
    <row r="1764" spans="1:18">
      <c r="A1764" s="26">
        <v>4670</v>
      </c>
      <c r="B1764" s="27">
        <v>36257</v>
      </c>
      <c r="C1764" s="28" t="s">
        <v>5702</v>
      </c>
      <c r="D1764" s="27">
        <v>36255</v>
      </c>
      <c r="E1764" s="28" t="s">
        <v>5703</v>
      </c>
      <c r="F1764" s="28" t="s">
        <v>5704</v>
      </c>
      <c r="G1764" s="28" t="s">
        <v>20</v>
      </c>
      <c r="H1764" s="28" t="s">
        <v>21</v>
      </c>
      <c r="I1764" s="28" t="s">
        <v>21</v>
      </c>
      <c r="J1764" s="28" t="s">
        <v>5705</v>
      </c>
      <c r="K1764" s="28" t="s">
        <v>5706</v>
      </c>
      <c r="L1764" s="28" t="s">
        <v>66</v>
      </c>
      <c r="M1764" s="28" t="s">
        <v>686</v>
      </c>
      <c r="O1764" s="92">
        <v>37719</v>
      </c>
      <c r="P1764" s="28" t="s">
        <v>21</v>
      </c>
      <c r="Q1764" s="26" t="b">
        <v>0</v>
      </c>
      <c r="R1764" s="22">
        <f t="shared" si="27"/>
        <v>1461</v>
      </c>
    </row>
    <row r="1765" spans="1:18">
      <c r="A1765" s="26">
        <v>4667</v>
      </c>
      <c r="B1765" s="27">
        <v>36258</v>
      </c>
      <c r="C1765" s="28" t="s">
        <v>5693</v>
      </c>
      <c r="D1765" s="27">
        <v>36258</v>
      </c>
      <c r="E1765" s="28" t="s">
        <v>5694</v>
      </c>
      <c r="F1765" s="28" t="s">
        <v>455</v>
      </c>
      <c r="G1765" s="28" t="s">
        <v>20</v>
      </c>
      <c r="H1765" s="28" t="s">
        <v>71</v>
      </c>
      <c r="I1765" s="28" t="s">
        <v>72</v>
      </c>
      <c r="J1765" s="28" t="s">
        <v>5695</v>
      </c>
      <c r="K1765" s="28" t="s">
        <v>21</v>
      </c>
      <c r="L1765" s="28" t="s">
        <v>5696</v>
      </c>
      <c r="M1765" s="28" t="s">
        <v>21</v>
      </c>
      <c r="O1765" s="92">
        <v>36270</v>
      </c>
      <c r="P1765" s="28" t="s">
        <v>21</v>
      </c>
      <c r="Q1765" s="26" t="b">
        <v>0</v>
      </c>
      <c r="R1765" s="22">
        <f t="shared" si="27"/>
        <v>12</v>
      </c>
    </row>
    <row r="1766" spans="1:18">
      <c r="A1766" s="26">
        <v>4669</v>
      </c>
      <c r="B1766" s="27">
        <v>36259</v>
      </c>
      <c r="C1766" s="28" t="s">
        <v>5700</v>
      </c>
      <c r="D1766" s="27">
        <v>36258</v>
      </c>
      <c r="E1766" s="28" t="s">
        <v>38</v>
      </c>
      <c r="F1766" s="28" t="s">
        <v>4242</v>
      </c>
      <c r="G1766" s="28" t="s">
        <v>20</v>
      </c>
      <c r="H1766" s="28" t="s">
        <v>189</v>
      </c>
      <c r="I1766" s="28" t="s">
        <v>189</v>
      </c>
      <c r="J1766" s="28" t="s">
        <v>5701</v>
      </c>
      <c r="K1766" s="28" t="s">
        <v>21</v>
      </c>
      <c r="L1766" s="28" t="s">
        <v>3930</v>
      </c>
      <c r="M1766" s="28" t="s">
        <v>21</v>
      </c>
      <c r="O1766" s="92">
        <v>36349</v>
      </c>
      <c r="P1766" s="28" t="s">
        <v>21</v>
      </c>
      <c r="Q1766" s="26" t="b">
        <v>0</v>
      </c>
      <c r="R1766" s="22">
        <f t="shared" si="27"/>
        <v>90</v>
      </c>
    </row>
    <row r="1767" spans="1:18">
      <c r="A1767" s="26">
        <v>4675</v>
      </c>
      <c r="B1767" s="27">
        <v>36264</v>
      </c>
      <c r="C1767" s="28" t="s">
        <v>5709</v>
      </c>
      <c r="D1767" s="27">
        <v>36265</v>
      </c>
      <c r="E1767" s="28" t="s">
        <v>5710</v>
      </c>
      <c r="F1767" s="28" t="s">
        <v>98</v>
      </c>
      <c r="G1767" s="28" t="s">
        <v>20</v>
      </c>
      <c r="H1767" s="28" t="s">
        <v>21</v>
      </c>
      <c r="I1767" s="28" t="s">
        <v>21</v>
      </c>
      <c r="J1767" s="28" t="s">
        <v>5711</v>
      </c>
      <c r="K1767" s="28" t="s">
        <v>5712</v>
      </c>
      <c r="L1767" s="28" t="s">
        <v>686</v>
      </c>
      <c r="M1767" s="28" t="s">
        <v>21</v>
      </c>
      <c r="O1767" s="92">
        <v>36265</v>
      </c>
      <c r="P1767" s="28" t="s">
        <v>21</v>
      </c>
      <c r="Q1767" s="26" t="b">
        <v>0</v>
      </c>
      <c r="R1767" s="22">
        <f t="shared" ref="R1767:R1830" si="28">IF(O1767=" ", " ", INT(YEARFRAC(O1767, B1767)*365))</f>
        <v>1</v>
      </c>
    </row>
    <row r="1768" spans="1:18">
      <c r="A1768" s="26">
        <v>4676</v>
      </c>
      <c r="B1768" s="27">
        <v>36269</v>
      </c>
      <c r="C1768" s="28" t="s">
        <v>5713</v>
      </c>
      <c r="D1768" s="27">
        <v>36269</v>
      </c>
      <c r="E1768" s="28" t="s">
        <v>5714</v>
      </c>
      <c r="F1768" s="28" t="s">
        <v>4004</v>
      </c>
      <c r="G1768" s="28" t="s">
        <v>20</v>
      </c>
      <c r="H1768" s="28" t="s">
        <v>189</v>
      </c>
      <c r="I1768" s="28" t="s">
        <v>189</v>
      </c>
      <c r="J1768" s="28" t="s">
        <v>1248</v>
      </c>
      <c r="K1768" s="28" t="s">
        <v>5715</v>
      </c>
      <c r="L1768" s="28" t="s">
        <v>66</v>
      </c>
      <c r="M1768" s="28" t="s">
        <v>21</v>
      </c>
      <c r="O1768" s="92">
        <v>37824</v>
      </c>
      <c r="P1768" s="28" t="s">
        <v>31</v>
      </c>
      <c r="Q1768" s="26" t="b">
        <v>0</v>
      </c>
      <c r="R1768" s="22">
        <f t="shared" si="28"/>
        <v>1554</v>
      </c>
    </row>
    <row r="1769" spans="1:18">
      <c r="A1769" s="26">
        <v>4678</v>
      </c>
      <c r="B1769" s="27">
        <v>36274</v>
      </c>
      <c r="C1769" s="28" t="s">
        <v>5716</v>
      </c>
      <c r="D1769" s="27">
        <v>36274</v>
      </c>
      <c r="E1769" s="28" t="s">
        <v>38</v>
      </c>
      <c r="F1769" s="28" t="s">
        <v>371</v>
      </c>
      <c r="G1769" s="28" t="s">
        <v>20</v>
      </c>
      <c r="H1769" s="28" t="s">
        <v>21</v>
      </c>
      <c r="I1769" s="28" t="s">
        <v>21</v>
      </c>
      <c r="J1769" s="28" t="s">
        <v>5717</v>
      </c>
      <c r="K1769" s="28" t="s">
        <v>21</v>
      </c>
      <c r="L1769" s="28" t="s">
        <v>66</v>
      </c>
      <c r="M1769" s="28" t="s">
        <v>21</v>
      </c>
      <c r="O1769" s="92">
        <v>36347</v>
      </c>
      <c r="P1769" s="28" t="s">
        <v>31</v>
      </c>
      <c r="Q1769" s="26" t="b">
        <v>0</v>
      </c>
      <c r="R1769" s="22">
        <f t="shared" si="28"/>
        <v>73</v>
      </c>
    </row>
    <row r="1770" spans="1:18">
      <c r="A1770" s="26">
        <v>4610</v>
      </c>
      <c r="B1770" s="27">
        <v>36281</v>
      </c>
      <c r="C1770" s="28" t="s">
        <v>5618</v>
      </c>
      <c r="D1770" s="27">
        <v>36277</v>
      </c>
      <c r="E1770" s="28" t="s">
        <v>5619</v>
      </c>
      <c r="F1770" s="28" t="s">
        <v>5620</v>
      </c>
      <c r="G1770" s="28" t="s">
        <v>20</v>
      </c>
      <c r="H1770" s="28" t="s">
        <v>71</v>
      </c>
      <c r="I1770" s="28" t="s">
        <v>72</v>
      </c>
      <c r="J1770" s="28" t="s">
        <v>5621</v>
      </c>
      <c r="K1770" s="28" t="s">
        <v>529</v>
      </c>
      <c r="L1770" s="28" t="s">
        <v>66</v>
      </c>
      <c r="M1770" s="28" t="s">
        <v>686</v>
      </c>
      <c r="O1770" s="92">
        <v>36454</v>
      </c>
      <c r="P1770" s="28" t="s">
        <v>31</v>
      </c>
      <c r="Q1770" s="26" t="b">
        <v>0</v>
      </c>
      <c r="R1770" s="22">
        <f t="shared" si="28"/>
        <v>172</v>
      </c>
    </row>
    <row r="1771" spans="1:18" ht="24">
      <c r="A1771" s="26">
        <v>4681</v>
      </c>
      <c r="B1771" s="27">
        <v>36286</v>
      </c>
      <c r="C1771" s="28" t="s">
        <v>5718</v>
      </c>
      <c r="D1771" s="27">
        <v>36285</v>
      </c>
      <c r="E1771" s="28" t="s">
        <v>5719</v>
      </c>
      <c r="F1771" s="28" t="s">
        <v>34</v>
      </c>
      <c r="G1771" s="28" t="s">
        <v>20</v>
      </c>
      <c r="H1771" s="28" t="s">
        <v>21</v>
      </c>
      <c r="I1771" s="28" t="s">
        <v>21</v>
      </c>
      <c r="J1771" s="28" t="s">
        <v>5720</v>
      </c>
      <c r="K1771" s="28" t="s">
        <v>21</v>
      </c>
      <c r="L1771" s="28" t="s">
        <v>66</v>
      </c>
      <c r="M1771" s="28" t="s">
        <v>686</v>
      </c>
      <c r="O1771" s="92">
        <v>37193</v>
      </c>
      <c r="P1771" s="28" t="s">
        <v>21</v>
      </c>
      <c r="Q1771" s="26" t="b">
        <v>0</v>
      </c>
      <c r="R1771" s="22">
        <f t="shared" si="28"/>
        <v>905</v>
      </c>
    </row>
    <row r="1772" spans="1:18">
      <c r="A1772" s="26">
        <v>4688</v>
      </c>
      <c r="B1772" s="27">
        <v>36287</v>
      </c>
      <c r="C1772" s="28" t="s">
        <v>5738</v>
      </c>
      <c r="D1772" s="27">
        <v>36287</v>
      </c>
      <c r="E1772" s="28" t="s">
        <v>283</v>
      </c>
      <c r="F1772" s="28" t="s">
        <v>359</v>
      </c>
      <c r="G1772" s="28" t="s">
        <v>20</v>
      </c>
      <c r="H1772" s="28" t="s">
        <v>21</v>
      </c>
      <c r="I1772" s="28" t="s">
        <v>21</v>
      </c>
      <c r="J1772" s="28" t="s">
        <v>5739</v>
      </c>
      <c r="K1772" s="28" t="s">
        <v>5740</v>
      </c>
      <c r="L1772" s="28" t="s">
        <v>66</v>
      </c>
      <c r="M1772" s="28" t="s">
        <v>21</v>
      </c>
      <c r="O1772" s="92">
        <v>36360</v>
      </c>
      <c r="P1772" s="28" t="s">
        <v>21</v>
      </c>
      <c r="Q1772" s="26" t="b">
        <v>0</v>
      </c>
      <c r="R1772" s="22">
        <f t="shared" si="28"/>
        <v>73</v>
      </c>
    </row>
    <row r="1773" spans="1:18">
      <c r="A1773" s="26">
        <v>4683</v>
      </c>
      <c r="B1773" s="27">
        <v>36291</v>
      </c>
      <c r="C1773" s="28" t="s">
        <v>5721</v>
      </c>
      <c r="D1773" s="27">
        <v>36291</v>
      </c>
      <c r="E1773" s="28" t="s">
        <v>5722</v>
      </c>
      <c r="F1773" s="28" t="s">
        <v>39</v>
      </c>
      <c r="G1773" s="28" t="s">
        <v>20</v>
      </c>
      <c r="H1773" s="28" t="s">
        <v>21</v>
      </c>
      <c r="I1773" s="28" t="s">
        <v>21</v>
      </c>
      <c r="J1773" s="28" t="s">
        <v>5723</v>
      </c>
      <c r="K1773" s="28" t="s">
        <v>21</v>
      </c>
      <c r="L1773" s="28" t="s">
        <v>66</v>
      </c>
      <c r="M1773" s="28" t="s">
        <v>21</v>
      </c>
      <c r="O1773" s="92">
        <v>36356</v>
      </c>
      <c r="P1773" s="28" t="s">
        <v>21</v>
      </c>
      <c r="Q1773" s="26" t="b">
        <v>0</v>
      </c>
      <c r="R1773" s="22">
        <f t="shared" si="28"/>
        <v>64</v>
      </c>
    </row>
    <row r="1774" spans="1:18" ht="24">
      <c r="A1774" s="26">
        <v>4684</v>
      </c>
      <c r="B1774" s="27">
        <v>36292</v>
      </c>
      <c r="C1774" s="28" t="s">
        <v>5724</v>
      </c>
      <c r="D1774" s="27">
        <v>36283</v>
      </c>
      <c r="E1774" s="28" t="s">
        <v>5725</v>
      </c>
      <c r="F1774" s="28" t="s">
        <v>974</v>
      </c>
      <c r="G1774" s="28" t="s">
        <v>20</v>
      </c>
      <c r="H1774" s="28" t="s">
        <v>5726</v>
      </c>
      <c r="I1774" s="28" t="s">
        <v>212</v>
      </c>
      <c r="J1774" s="28" t="s">
        <v>5727</v>
      </c>
      <c r="K1774" s="28" t="s">
        <v>5728</v>
      </c>
      <c r="L1774" s="28" t="s">
        <v>66</v>
      </c>
      <c r="M1774" s="28" t="s">
        <v>21</v>
      </c>
      <c r="O1774" s="92">
        <v>36312</v>
      </c>
      <c r="P1774" s="28" t="s">
        <v>21</v>
      </c>
      <c r="Q1774" s="26" t="b">
        <v>0</v>
      </c>
      <c r="R1774" s="22">
        <f t="shared" si="28"/>
        <v>19</v>
      </c>
    </row>
    <row r="1775" spans="1:18" ht="24">
      <c r="A1775" s="26">
        <v>4685</v>
      </c>
      <c r="B1775" s="27">
        <v>36292</v>
      </c>
      <c r="C1775" s="28" t="s">
        <v>5729</v>
      </c>
      <c r="D1775" s="27">
        <v>36283</v>
      </c>
      <c r="E1775" s="28" t="s">
        <v>5730</v>
      </c>
      <c r="F1775" s="28" t="s">
        <v>974</v>
      </c>
      <c r="G1775" s="28" t="s">
        <v>20</v>
      </c>
      <c r="H1775" s="28" t="s">
        <v>212</v>
      </c>
      <c r="I1775" s="28" t="s">
        <v>212</v>
      </c>
      <c r="J1775" s="28" t="s">
        <v>5731</v>
      </c>
      <c r="K1775" s="28" t="s">
        <v>21</v>
      </c>
      <c r="L1775" s="28" t="s">
        <v>66</v>
      </c>
      <c r="M1775" s="28" t="s">
        <v>21</v>
      </c>
      <c r="O1775" s="92">
        <v>36312</v>
      </c>
      <c r="P1775" s="28" t="s">
        <v>21</v>
      </c>
      <c r="Q1775" s="26" t="b">
        <v>0</v>
      </c>
      <c r="R1775" s="22">
        <f t="shared" si="28"/>
        <v>19</v>
      </c>
    </row>
    <row r="1776" spans="1:18">
      <c r="A1776" s="26">
        <v>4686</v>
      </c>
      <c r="B1776" s="27">
        <v>36292</v>
      </c>
      <c r="C1776" s="28" t="s">
        <v>5732</v>
      </c>
      <c r="D1776" s="27">
        <v>36285</v>
      </c>
      <c r="E1776" s="28" t="s">
        <v>5733</v>
      </c>
      <c r="F1776" s="28" t="s">
        <v>70</v>
      </c>
      <c r="G1776" s="28" t="s">
        <v>20</v>
      </c>
      <c r="H1776" s="28" t="s">
        <v>71</v>
      </c>
      <c r="I1776" s="28" t="s">
        <v>72</v>
      </c>
      <c r="J1776" s="28" t="s">
        <v>3083</v>
      </c>
      <c r="K1776" s="28" t="s">
        <v>21</v>
      </c>
      <c r="L1776" s="28" t="s">
        <v>4282</v>
      </c>
      <c r="M1776" s="28" t="s">
        <v>5734</v>
      </c>
      <c r="O1776" s="92">
        <v>37127</v>
      </c>
      <c r="P1776" s="28" t="s">
        <v>21</v>
      </c>
      <c r="Q1776" s="26" t="b">
        <v>0</v>
      </c>
      <c r="R1776" s="22">
        <f t="shared" si="28"/>
        <v>833</v>
      </c>
    </row>
    <row r="1777" spans="1:18">
      <c r="A1777" s="26">
        <v>4687</v>
      </c>
      <c r="B1777" s="27">
        <v>36295</v>
      </c>
      <c r="C1777" s="28" t="s">
        <v>5735</v>
      </c>
      <c r="D1777" s="27">
        <v>36293</v>
      </c>
      <c r="E1777" s="28" t="s">
        <v>5736</v>
      </c>
      <c r="F1777" s="28" t="s">
        <v>149</v>
      </c>
      <c r="G1777" s="28" t="s">
        <v>20</v>
      </c>
      <c r="H1777" s="28" t="s">
        <v>21</v>
      </c>
      <c r="I1777" s="28" t="s">
        <v>21</v>
      </c>
      <c r="J1777" s="28" t="s">
        <v>5737</v>
      </c>
      <c r="K1777" s="28" t="s">
        <v>21</v>
      </c>
      <c r="L1777" s="28" t="s">
        <v>66</v>
      </c>
      <c r="M1777" s="28" t="s">
        <v>21</v>
      </c>
      <c r="O1777" s="92">
        <v>36416</v>
      </c>
      <c r="P1777" s="28" t="s">
        <v>31</v>
      </c>
      <c r="Q1777" s="26" t="b">
        <v>0</v>
      </c>
      <c r="R1777" s="22">
        <f t="shared" si="28"/>
        <v>119</v>
      </c>
    </row>
    <row r="1778" spans="1:18">
      <c r="A1778" s="26">
        <v>4690</v>
      </c>
      <c r="B1778" s="27">
        <v>36304</v>
      </c>
      <c r="C1778" s="28" t="s">
        <v>5741</v>
      </c>
      <c r="D1778" s="27">
        <v>36300</v>
      </c>
      <c r="E1778" s="28" t="s">
        <v>5742</v>
      </c>
      <c r="F1778" s="28" t="s">
        <v>104</v>
      </c>
      <c r="G1778" s="28" t="s">
        <v>20</v>
      </c>
      <c r="H1778" s="28" t="s">
        <v>21</v>
      </c>
      <c r="I1778" s="28" t="s">
        <v>21</v>
      </c>
      <c r="J1778" s="28" t="s">
        <v>5743</v>
      </c>
      <c r="K1778" s="28" t="s">
        <v>5744</v>
      </c>
      <c r="L1778" s="28" t="s">
        <v>3588</v>
      </c>
      <c r="M1778" s="28" t="s">
        <v>5745</v>
      </c>
      <c r="O1778" s="92">
        <v>40883</v>
      </c>
      <c r="P1778" s="28" t="s">
        <v>21</v>
      </c>
      <c r="Q1778" s="26" t="b">
        <v>0</v>
      </c>
      <c r="R1778" s="22">
        <f t="shared" si="28"/>
        <v>4574</v>
      </c>
    </row>
    <row r="1779" spans="1:18">
      <c r="A1779" s="26">
        <v>4693</v>
      </c>
      <c r="B1779" s="27">
        <v>36312</v>
      </c>
      <c r="C1779" s="28" t="s">
        <v>5750</v>
      </c>
      <c r="D1779" s="27">
        <v>36312</v>
      </c>
      <c r="E1779" s="28" t="s">
        <v>3268</v>
      </c>
      <c r="F1779" s="28" t="s">
        <v>4004</v>
      </c>
      <c r="G1779" s="28" t="s">
        <v>20</v>
      </c>
      <c r="H1779" s="28" t="s">
        <v>189</v>
      </c>
      <c r="I1779" s="28" t="s">
        <v>189</v>
      </c>
      <c r="J1779" s="28" t="s">
        <v>5751</v>
      </c>
      <c r="K1779" s="28" t="s">
        <v>21</v>
      </c>
      <c r="L1779" s="28" t="s">
        <v>821</v>
      </c>
      <c r="M1779" s="28" t="s">
        <v>1946</v>
      </c>
      <c r="O1779" s="92">
        <v>36808</v>
      </c>
      <c r="P1779" s="28" t="s">
        <v>21</v>
      </c>
      <c r="Q1779" s="26" t="b">
        <v>0</v>
      </c>
      <c r="R1779" s="22">
        <f t="shared" si="28"/>
        <v>494</v>
      </c>
    </row>
    <row r="1780" spans="1:18">
      <c r="A1780" s="26">
        <v>4696</v>
      </c>
      <c r="B1780" s="27">
        <v>36313</v>
      </c>
      <c r="C1780" s="28" t="s">
        <v>5759</v>
      </c>
      <c r="D1780" s="27">
        <v>36312</v>
      </c>
      <c r="E1780" s="28" t="s">
        <v>5760</v>
      </c>
      <c r="F1780" s="28" t="s">
        <v>19</v>
      </c>
      <c r="G1780" s="28" t="s">
        <v>20</v>
      </c>
      <c r="H1780" s="28" t="s">
        <v>21</v>
      </c>
      <c r="I1780" s="28" t="s">
        <v>21</v>
      </c>
      <c r="J1780" s="28" t="s">
        <v>5761</v>
      </c>
      <c r="K1780" s="28" t="s">
        <v>5762</v>
      </c>
      <c r="L1780" s="28" t="s">
        <v>5763</v>
      </c>
      <c r="M1780" s="28" t="s">
        <v>821</v>
      </c>
      <c r="O1780" s="92">
        <v>37392</v>
      </c>
      <c r="P1780" s="28" t="s">
        <v>21</v>
      </c>
      <c r="Q1780" s="26" t="b">
        <v>0</v>
      </c>
      <c r="R1780" s="22">
        <f t="shared" si="28"/>
        <v>1078</v>
      </c>
    </row>
    <row r="1781" spans="1:18">
      <c r="A1781" s="26">
        <v>4694</v>
      </c>
      <c r="B1781" s="27">
        <v>36314</v>
      </c>
      <c r="C1781" s="28" t="s">
        <v>5752</v>
      </c>
      <c r="D1781" s="27">
        <v>36313</v>
      </c>
      <c r="E1781" s="28" t="s">
        <v>5753</v>
      </c>
      <c r="F1781" s="28" t="s">
        <v>19</v>
      </c>
      <c r="G1781" s="28" t="s">
        <v>20</v>
      </c>
      <c r="H1781" s="28" t="s">
        <v>21</v>
      </c>
      <c r="I1781" s="28" t="s">
        <v>21</v>
      </c>
      <c r="J1781" s="28" t="s">
        <v>5754</v>
      </c>
      <c r="K1781" s="28" t="s">
        <v>5755</v>
      </c>
      <c r="L1781" s="28" t="s">
        <v>821</v>
      </c>
      <c r="M1781" s="28" t="s">
        <v>21</v>
      </c>
      <c r="O1781" s="92">
        <v>36920</v>
      </c>
      <c r="P1781" s="28" t="s">
        <v>21</v>
      </c>
      <c r="Q1781" s="26" t="b">
        <v>0</v>
      </c>
      <c r="R1781" s="22">
        <f t="shared" si="28"/>
        <v>604</v>
      </c>
    </row>
    <row r="1782" spans="1:18">
      <c r="A1782" s="26">
        <v>4695</v>
      </c>
      <c r="B1782" s="27">
        <v>36314</v>
      </c>
      <c r="C1782" s="28" t="s">
        <v>5756</v>
      </c>
      <c r="D1782" s="27">
        <v>36314</v>
      </c>
      <c r="E1782" s="28" t="s">
        <v>5757</v>
      </c>
      <c r="F1782" s="28" t="s">
        <v>1771</v>
      </c>
      <c r="G1782" s="28" t="s">
        <v>20</v>
      </c>
      <c r="H1782" s="28" t="s">
        <v>189</v>
      </c>
      <c r="I1782" s="28" t="s">
        <v>189</v>
      </c>
      <c r="J1782" s="28" t="s">
        <v>859</v>
      </c>
      <c r="K1782" s="28" t="s">
        <v>5758</v>
      </c>
      <c r="L1782" s="28" t="s">
        <v>821</v>
      </c>
      <c r="M1782" s="28" t="s">
        <v>21</v>
      </c>
      <c r="O1782" s="92">
        <v>36332</v>
      </c>
      <c r="P1782" s="28" t="s">
        <v>31</v>
      </c>
      <c r="Q1782" s="26" t="b">
        <v>0</v>
      </c>
      <c r="R1782" s="22">
        <f t="shared" si="28"/>
        <v>18</v>
      </c>
    </row>
    <row r="1783" spans="1:18">
      <c r="A1783" s="26">
        <v>4698</v>
      </c>
      <c r="B1783" s="27">
        <v>36315</v>
      </c>
      <c r="C1783" s="28" t="s">
        <v>5764</v>
      </c>
      <c r="D1783" s="27">
        <v>36306</v>
      </c>
      <c r="E1783" s="28" t="s">
        <v>5765</v>
      </c>
      <c r="F1783" s="28" t="s">
        <v>5766</v>
      </c>
      <c r="G1783" s="28" t="s">
        <v>20</v>
      </c>
      <c r="H1783" s="28" t="s">
        <v>212</v>
      </c>
      <c r="I1783" s="28" t="s">
        <v>212</v>
      </c>
      <c r="J1783" s="28" t="s">
        <v>5767</v>
      </c>
      <c r="K1783" s="28" t="s">
        <v>5768</v>
      </c>
      <c r="L1783" s="28" t="s">
        <v>66</v>
      </c>
      <c r="M1783" s="28" t="s">
        <v>21</v>
      </c>
      <c r="O1783" s="92">
        <v>36458</v>
      </c>
      <c r="P1783" s="28" t="s">
        <v>21</v>
      </c>
      <c r="Q1783" s="26" t="b">
        <v>0</v>
      </c>
      <c r="R1783" s="22">
        <f t="shared" si="28"/>
        <v>142</v>
      </c>
    </row>
    <row r="1784" spans="1:18">
      <c r="A1784" s="26">
        <v>4699</v>
      </c>
      <c r="B1784" s="27">
        <v>36318</v>
      </c>
      <c r="C1784" s="28" t="s">
        <v>5769</v>
      </c>
      <c r="D1784" s="27">
        <v>36313</v>
      </c>
      <c r="E1784" s="28" t="s">
        <v>5770</v>
      </c>
      <c r="F1784" s="28" t="s">
        <v>367</v>
      </c>
      <c r="G1784" s="28" t="s">
        <v>20</v>
      </c>
      <c r="H1784" s="28" t="s">
        <v>71</v>
      </c>
      <c r="I1784" s="28" t="s">
        <v>72</v>
      </c>
      <c r="J1784" s="28" t="s">
        <v>5771</v>
      </c>
      <c r="K1784" s="28" t="s">
        <v>5772</v>
      </c>
      <c r="L1784" s="28" t="s">
        <v>4282</v>
      </c>
      <c r="M1784" s="28" t="s">
        <v>4283</v>
      </c>
      <c r="O1784" s="92">
        <v>37256</v>
      </c>
      <c r="P1784" s="28" t="s">
        <v>21</v>
      </c>
      <c r="Q1784" s="26" t="b">
        <v>0</v>
      </c>
      <c r="R1784" s="22">
        <f t="shared" si="28"/>
        <v>936</v>
      </c>
    </row>
    <row r="1785" spans="1:18" ht="24">
      <c r="A1785" s="26">
        <v>4700</v>
      </c>
      <c r="B1785" s="27">
        <v>36320</v>
      </c>
      <c r="C1785" s="28" t="s">
        <v>5773</v>
      </c>
      <c r="D1785" s="27">
        <v>36315</v>
      </c>
      <c r="E1785" s="28" t="s">
        <v>5648</v>
      </c>
      <c r="F1785" s="28" t="s">
        <v>27</v>
      </c>
      <c r="G1785" s="28" t="s">
        <v>20</v>
      </c>
      <c r="H1785" s="28" t="s">
        <v>21</v>
      </c>
      <c r="I1785" s="28" t="s">
        <v>21</v>
      </c>
      <c r="J1785" s="28" t="s">
        <v>5774</v>
      </c>
      <c r="K1785" s="28" t="s">
        <v>5775</v>
      </c>
      <c r="L1785" s="28" t="s">
        <v>314</v>
      </c>
      <c r="M1785" s="28" t="s">
        <v>5776</v>
      </c>
      <c r="O1785" s="92">
        <v>38177</v>
      </c>
      <c r="P1785" s="28" t="s">
        <v>21</v>
      </c>
      <c r="Q1785" s="26" t="b">
        <v>0</v>
      </c>
      <c r="R1785" s="22">
        <f t="shared" si="28"/>
        <v>1855</v>
      </c>
    </row>
    <row r="1786" spans="1:18">
      <c r="A1786" s="26">
        <v>4486</v>
      </c>
      <c r="B1786" s="27">
        <v>36326</v>
      </c>
      <c r="C1786" s="28" t="s">
        <v>5425</v>
      </c>
      <c r="D1786" s="27">
        <v>36319</v>
      </c>
      <c r="E1786" s="28" t="s">
        <v>5426</v>
      </c>
      <c r="F1786" s="28" t="s">
        <v>5427</v>
      </c>
      <c r="G1786" s="28" t="s">
        <v>20</v>
      </c>
      <c r="H1786" s="28" t="s">
        <v>189</v>
      </c>
      <c r="I1786" s="28" t="s">
        <v>189</v>
      </c>
      <c r="J1786" s="28" t="s">
        <v>5428</v>
      </c>
      <c r="K1786" s="28" t="s">
        <v>5429</v>
      </c>
      <c r="L1786" s="28" t="s">
        <v>4282</v>
      </c>
      <c r="M1786" s="28" t="s">
        <v>4283</v>
      </c>
      <c r="O1786" s="92">
        <v>38504</v>
      </c>
      <c r="P1786" s="28" t="s">
        <v>31</v>
      </c>
      <c r="Q1786" s="26" t="b">
        <v>0</v>
      </c>
      <c r="R1786" s="22">
        <f t="shared" si="28"/>
        <v>2175</v>
      </c>
    </row>
    <row r="1787" spans="1:18">
      <c r="A1787" s="26">
        <v>4674</v>
      </c>
      <c r="B1787" s="27">
        <v>36326</v>
      </c>
      <c r="C1787" s="28" t="s">
        <v>5707</v>
      </c>
      <c r="D1787" s="27">
        <v>36325</v>
      </c>
      <c r="E1787" s="28" t="s">
        <v>5708</v>
      </c>
      <c r="F1787" s="28" t="s">
        <v>56</v>
      </c>
      <c r="G1787" s="28" t="s">
        <v>20</v>
      </c>
      <c r="H1787" s="28" t="s">
        <v>21</v>
      </c>
      <c r="I1787" s="28" t="s">
        <v>21</v>
      </c>
      <c r="J1787" s="28" t="s">
        <v>5679</v>
      </c>
      <c r="K1787" s="28" t="s">
        <v>4488</v>
      </c>
      <c r="L1787" s="28" t="s">
        <v>821</v>
      </c>
      <c r="M1787" s="28" t="s">
        <v>1946</v>
      </c>
      <c r="O1787" s="92">
        <v>36917</v>
      </c>
      <c r="P1787" s="28" t="s">
        <v>21</v>
      </c>
      <c r="Q1787" s="26" t="b">
        <v>0</v>
      </c>
      <c r="R1787" s="22">
        <f t="shared" si="28"/>
        <v>589</v>
      </c>
    </row>
    <row r="1788" spans="1:18">
      <c r="A1788" s="26">
        <v>4701</v>
      </c>
      <c r="B1788" s="27">
        <v>36326</v>
      </c>
      <c r="C1788" s="28" t="s">
        <v>5777</v>
      </c>
      <c r="D1788" s="27">
        <v>36319</v>
      </c>
      <c r="E1788" s="28" t="s">
        <v>5778</v>
      </c>
      <c r="F1788" s="28" t="s">
        <v>455</v>
      </c>
      <c r="G1788" s="28" t="s">
        <v>20</v>
      </c>
      <c r="H1788" s="28" t="s">
        <v>71</v>
      </c>
      <c r="I1788" s="28" t="s">
        <v>72</v>
      </c>
      <c r="J1788" s="28" t="s">
        <v>5779</v>
      </c>
      <c r="K1788" s="28" t="s">
        <v>5780</v>
      </c>
      <c r="L1788" s="28" t="s">
        <v>66</v>
      </c>
      <c r="M1788" s="28" t="s">
        <v>821</v>
      </c>
      <c r="O1788" s="92">
        <v>36927</v>
      </c>
      <c r="P1788" s="28" t="s">
        <v>21</v>
      </c>
      <c r="Q1788" s="26" t="b">
        <v>0</v>
      </c>
      <c r="R1788" s="22">
        <f t="shared" si="28"/>
        <v>598</v>
      </c>
    </row>
    <row r="1789" spans="1:18">
      <c r="A1789" s="26">
        <v>4702</v>
      </c>
      <c r="B1789" s="27">
        <v>36326</v>
      </c>
      <c r="C1789" s="28" t="s">
        <v>5781</v>
      </c>
      <c r="D1789" s="27">
        <v>36317</v>
      </c>
      <c r="E1789" s="28" t="s">
        <v>5782</v>
      </c>
      <c r="F1789" s="28" t="s">
        <v>124</v>
      </c>
      <c r="G1789" s="28" t="s">
        <v>20</v>
      </c>
      <c r="H1789" s="28" t="s">
        <v>21</v>
      </c>
      <c r="I1789" s="28" t="s">
        <v>21</v>
      </c>
      <c r="J1789" s="28" t="s">
        <v>5783</v>
      </c>
      <c r="K1789" s="28" t="s">
        <v>5784</v>
      </c>
      <c r="L1789" s="28" t="s">
        <v>66</v>
      </c>
      <c r="M1789" s="28" t="s">
        <v>21</v>
      </c>
      <c r="O1789" s="92">
        <v>36892</v>
      </c>
      <c r="P1789" s="28" t="s">
        <v>31</v>
      </c>
      <c r="Q1789" s="26" t="b">
        <v>0</v>
      </c>
      <c r="R1789" s="22">
        <f t="shared" si="28"/>
        <v>563</v>
      </c>
    </row>
    <row r="1790" spans="1:18" ht="24">
      <c r="A1790" s="26">
        <v>4703</v>
      </c>
      <c r="B1790" s="27">
        <v>36327</v>
      </c>
      <c r="C1790" s="28" t="s">
        <v>5785</v>
      </c>
      <c r="D1790" s="27">
        <v>36326</v>
      </c>
      <c r="E1790" s="28" t="s">
        <v>5786</v>
      </c>
      <c r="F1790" s="28" t="s">
        <v>149</v>
      </c>
      <c r="G1790" s="28" t="s">
        <v>20</v>
      </c>
      <c r="H1790" s="28" t="s">
        <v>21</v>
      </c>
      <c r="I1790" s="28" t="s">
        <v>21</v>
      </c>
      <c r="J1790" s="28" t="s">
        <v>5787</v>
      </c>
      <c r="K1790" s="28" t="s">
        <v>5788</v>
      </c>
      <c r="L1790" s="28" t="s">
        <v>821</v>
      </c>
      <c r="M1790" s="28" t="s">
        <v>21</v>
      </c>
      <c r="O1790" s="92">
        <v>36377</v>
      </c>
      <c r="P1790" s="28" t="s">
        <v>21</v>
      </c>
      <c r="Q1790" s="26" t="b">
        <v>0</v>
      </c>
      <c r="R1790" s="22">
        <f t="shared" si="28"/>
        <v>49</v>
      </c>
    </row>
    <row r="1791" spans="1:18">
      <c r="A1791" s="26">
        <v>4706</v>
      </c>
      <c r="B1791" s="27">
        <v>36329</v>
      </c>
      <c r="C1791" s="28" t="s">
        <v>5789</v>
      </c>
      <c r="D1791" s="27">
        <v>36329</v>
      </c>
      <c r="E1791" s="28" t="s">
        <v>5790</v>
      </c>
      <c r="F1791" s="28" t="s">
        <v>70</v>
      </c>
      <c r="G1791" s="28" t="s">
        <v>20</v>
      </c>
      <c r="H1791" s="28" t="s">
        <v>71</v>
      </c>
      <c r="I1791" s="28" t="s">
        <v>72</v>
      </c>
      <c r="J1791" s="28" t="s">
        <v>5791</v>
      </c>
      <c r="K1791" s="28" t="s">
        <v>3655</v>
      </c>
      <c r="L1791" s="28" t="s">
        <v>314</v>
      </c>
      <c r="M1791" s="28" t="s">
        <v>5749</v>
      </c>
      <c r="O1791" s="92">
        <v>37638</v>
      </c>
      <c r="P1791" s="28" t="s">
        <v>21</v>
      </c>
      <c r="Q1791" s="26" t="b">
        <v>0</v>
      </c>
      <c r="R1791" s="22">
        <f t="shared" si="28"/>
        <v>1306</v>
      </c>
    </row>
    <row r="1792" spans="1:18" ht="24">
      <c r="A1792" s="26">
        <v>4707</v>
      </c>
      <c r="B1792" s="27">
        <v>36332</v>
      </c>
      <c r="C1792" s="28" t="s">
        <v>5792</v>
      </c>
      <c r="D1792" s="27">
        <v>36330</v>
      </c>
      <c r="E1792" s="28" t="s">
        <v>5793</v>
      </c>
      <c r="F1792" s="28" t="s">
        <v>56</v>
      </c>
      <c r="G1792" s="28" t="s">
        <v>20</v>
      </c>
      <c r="H1792" s="28" t="s">
        <v>21</v>
      </c>
      <c r="I1792" s="28" t="s">
        <v>21</v>
      </c>
      <c r="J1792" s="28" t="s">
        <v>5794</v>
      </c>
      <c r="K1792" s="28" t="s">
        <v>5795</v>
      </c>
      <c r="L1792" s="28" t="s">
        <v>821</v>
      </c>
      <c r="M1792" s="28" t="s">
        <v>21</v>
      </c>
      <c r="O1792" s="92">
        <v>36354</v>
      </c>
      <c r="P1792" s="28" t="s">
        <v>31</v>
      </c>
      <c r="Q1792" s="26" t="b">
        <v>0</v>
      </c>
      <c r="R1792" s="22">
        <f t="shared" si="28"/>
        <v>22</v>
      </c>
    </row>
    <row r="1793" spans="1:18">
      <c r="A1793" s="26">
        <v>4709</v>
      </c>
      <c r="B1793" s="27">
        <v>36332</v>
      </c>
      <c r="C1793" s="28" t="s">
        <v>5798</v>
      </c>
      <c r="D1793" s="27">
        <v>36330</v>
      </c>
      <c r="E1793" s="28" t="s">
        <v>5799</v>
      </c>
      <c r="F1793" s="28" t="s">
        <v>1771</v>
      </c>
      <c r="G1793" s="28" t="s">
        <v>20</v>
      </c>
      <c r="H1793" s="28" t="s">
        <v>189</v>
      </c>
      <c r="I1793" s="28" t="s">
        <v>189</v>
      </c>
      <c r="J1793" s="28" t="s">
        <v>4693</v>
      </c>
      <c r="K1793" s="28" t="s">
        <v>21</v>
      </c>
      <c r="L1793" s="28" t="s">
        <v>821</v>
      </c>
      <c r="M1793" s="28" t="s">
        <v>21</v>
      </c>
      <c r="O1793" s="92">
        <v>36360</v>
      </c>
      <c r="P1793" s="28" t="s">
        <v>31</v>
      </c>
      <c r="Q1793" s="26" t="b">
        <v>0</v>
      </c>
      <c r="R1793" s="22">
        <f t="shared" si="28"/>
        <v>28</v>
      </c>
    </row>
    <row r="1794" spans="1:18">
      <c r="A1794" s="26">
        <v>4716</v>
      </c>
      <c r="B1794" s="27">
        <v>36334</v>
      </c>
      <c r="C1794" s="28" t="s">
        <v>5818</v>
      </c>
      <c r="D1794" s="27">
        <v>36334</v>
      </c>
      <c r="E1794" s="28" t="s">
        <v>517</v>
      </c>
      <c r="F1794" s="28" t="s">
        <v>56</v>
      </c>
      <c r="G1794" s="28" t="s">
        <v>20</v>
      </c>
      <c r="H1794" s="28" t="s">
        <v>21</v>
      </c>
      <c r="I1794" s="28" t="s">
        <v>21</v>
      </c>
      <c r="J1794" s="28" t="s">
        <v>5819</v>
      </c>
      <c r="K1794" s="28" t="s">
        <v>5820</v>
      </c>
      <c r="L1794" s="28" t="s">
        <v>821</v>
      </c>
      <c r="M1794" s="28" t="s">
        <v>21</v>
      </c>
      <c r="O1794" s="92">
        <v>36343</v>
      </c>
      <c r="P1794" s="28" t="s">
        <v>21</v>
      </c>
      <c r="Q1794" s="26" t="b">
        <v>0</v>
      </c>
      <c r="R1794" s="22">
        <f t="shared" si="28"/>
        <v>9</v>
      </c>
    </row>
    <row r="1795" spans="1:18">
      <c r="A1795" s="26">
        <v>4711</v>
      </c>
      <c r="B1795" s="27">
        <v>36336</v>
      </c>
      <c r="C1795" s="28" t="s">
        <v>5800</v>
      </c>
      <c r="D1795" s="27">
        <v>36326</v>
      </c>
      <c r="E1795" s="28" t="s">
        <v>5801</v>
      </c>
      <c r="F1795" s="28" t="s">
        <v>371</v>
      </c>
      <c r="G1795" s="28" t="s">
        <v>20</v>
      </c>
      <c r="H1795" s="28" t="s">
        <v>21</v>
      </c>
      <c r="I1795" s="28" t="s">
        <v>21</v>
      </c>
      <c r="J1795" s="28" t="s">
        <v>5802</v>
      </c>
      <c r="K1795" s="28" t="s">
        <v>5803</v>
      </c>
      <c r="L1795" s="28" t="s">
        <v>1946</v>
      </c>
      <c r="M1795" s="28" t="s">
        <v>21</v>
      </c>
      <c r="O1795" s="92">
        <v>36433</v>
      </c>
      <c r="P1795" s="28" t="s">
        <v>31</v>
      </c>
      <c r="Q1795" s="26" t="b">
        <v>0</v>
      </c>
      <c r="R1795" s="22">
        <f t="shared" si="28"/>
        <v>96</v>
      </c>
    </row>
    <row r="1796" spans="1:18">
      <c r="A1796" s="26">
        <v>4712</v>
      </c>
      <c r="B1796" s="27">
        <v>36336</v>
      </c>
      <c r="C1796" s="28" t="s">
        <v>5804</v>
      </c>
      <c r="D1796" s="27">
        <v>36336</v>
      </c>
      <c r="E1796" s="28" t="s">
        <v>5805</v>
      </c>
      <c r="F1796" s="28" t="s">
        <v>104</v>
      </c>
      <c r="G1796" s="28" t="s">
        <v>20</v>
      </c>
      <c r="H1796" s="28" t="s">
        <v>21</v>
      </c>
      <c r="I1796" s="28" t="s">
        <v>21</v>
      </c>
      <c r="J1796" s="28" t="s">
        <v>5806</v>
      </c>
      <c r="K1796" s="28" t="s">
        <v>5807</v>
      </c>
      <c r="L1796" s="28" t="s">
        <v>314</v>
      </c>
      <c r="M1796" s="28" t="s">
        <v>5749</v>
      </c>
      <c r="O1796" s="92">
        <v>38029</v>
      </c>
      <c r="P1796" s="28" t="s">
        <v>31</v>
      </c>
      <c r="Q1796" s="26" t="b">
        <v>0</v>
      </c>
      <c r="R1796" s="22">
        <f t="shared" si="28"/>
        <v>1690</v>
      </c>
    </row>
    <row r="1797" spans="1:18">
      <c r="A1797" s="26">
        <v>4713</v>
      </c>
      <c r="B1797" s="27">
        <v>36336</v>
      </c>
      <c r="C1797" s="28" t="s">
        <v>5808</v>
      </c>
      <c r="D1797" s="27">
        <v>36332</v>
      </c>
      <c r="E1797" s="28" t="s">
        <v>5809</v>
      </c>
      <c r="F1797" s="28" t="s">
        <v>188</v>
      </c>
      <c r="G1797" s="28" t="s">
        <v>20</v>
      </c>
      <c r="H1797" s="28" t="s">
        <v>189</v>
      </c>
      <c r="I1797" s="28" t="s">
        <v>189</v>
      </c>
      <c r="J1797" s="28" t="s">
        <v>5810</v>
      </c>
      <c r="K1797" s="28" t="s">
        <v>21</v>
      </c>
      <c r="L1797" s="28" t="s">
        <v>66</v>
      </c>
      <c r="M1797" s="28" t="s">
        <v>21</v>
      </c>
      <c r="O1797" s="92">
        <v>36356</v>
      </c>
      <c r="P1797" s="28" t="s">
        <v>21</v>
      </c>
      <c r="Q1797" s="26" t="b">
        <v>0</v>
      </c>
      <c r="R1797" s="22">
        <f t="shared" si="28"/>
        <v>20</v>
      </c>
    </row>
    <row r="1798" spans="1:18" ht="24">
      <c r="A1798" s="26">
        <v>4714</v>
      </c>
      <c r="B1798" s="27">
        <v>36336</v>
      </c>
      <c r="C1798" s="28" t="s">
        <v>5811</v>
      </c>
      <c r="D1798" s="27">
        <v>36327</v>
      </c>
      <c r="E1798" s="28" t="s">
        <v>38</v>
      </c>
      <c r="F1798" s="28" t="s">
        <v>124</v>
      </c>
      <c r="G1798" s="28" t="s">
        <v>20</v>
      </c>
      <c r="H1798" s="28" t="s">
        <v>21</v>
      </c>
      <c r="I1798" s="28" t="s">
        <v>21</v>
      </c>
      <c r="J1798" s="28" t="s">
        <v>5812</v>
      </c>
      <c r="K1798" s="28" t="s">
        <v>5813</v>
      </c>
      <c r="L1798" s="28" t="s">
        <v>5814</v>
      </c>
      <c r="M1798" s="28" t="s">
        <v>21</v>
      </c>
      <c r="O1798" s="92">
        <v>36349</v>
      </c>
      <c r="P1798" s="28" t="s">
        <v>31</v>
      </c>
      <c r="Q1798" s="26" t="b">
        <v>0</v>
      </c>
      <c r="R1798" s="22">
        <f t="shared" si="28"/>
        <v>13</v>
      </c>
    </row>
    <row r="1799" spans="1:18" ht="24">
      <c r="A1799" s="26">
        <v>4715</v>
      </c>
      <c r="B1799" s="27">
        <v>36336</v>
      </c>
      <c r="C1799" s="28" t="s">
        <v>5815</v>
      </c>
      <c r="D1799" s="27">
        <v>36336</v>
      </c>
      <c r="E1799" s="28" t="s">
        <v>5816</v>
      </c>
      <c r="F1799" s="28" t="s">
        <v>104</v>
      </c>
      <c r="G1799" s="28" t="s">
        <v>20</v>
      </c>
      <c r="H1799" s="28" t="s">
        <v>21</v>
      </c>
      <c r="I1799" s="28" t="s">
        <v>21</v>
      </c>
      <c r="J1799" s="28" t="s">
        <v>5817</v>
      </c>
      <c r="K1799" s="28" t="s">
        <v>21</v>
      </c>
      <c r="L1799" s="28" t="s">
        <v>66</v>
      </c>
      <c r="M1799" s="28" t="s">
        <v>21</v>
      </c>
      <c r="O1799" s="92">
        <v>37704</v>
      </c>
      <c r="P1799" s="28" t="s">
        <v>21</v>
      </c>
      <c r="Q1799" s="26" t="b">
        <v>0</v>
      </c>
      <c r="R1799" s="22">
        <f t="shared" si="28"/>
        <v>1367</v>
      </c>
    </row>
    <row r="1800" spans="1:18" ht="24">
      <c r="A1800" s="26">
        <v>4717</v>
      </c>
      <c r="B1800" s="27">
        <v>36336</v>
      </c>
      <c r="C1800" s="28" t="s">
        <v>5821</v>
      </c>
      <c r="D1800" s="27">
        <v>36333</v>
      </c>
      <c r="E1800" s="28" t="s">
        <v>5822</v>
      </c>
      <c r="F1800" s="28" t="s">
        <v>104</v>
      </c>
      <c r="G1800" s="28" t="s">
        <v>20</v>
      </c>
      <c r="H1800" s="28" t="s">
        <v>21</v>
      </c>
      <c r="I1800" s="28" t="s">
        <v>21</v>
      </c>
      <c r="J1800" s="28" t="s">
        <v>5823</v>
      </c>
      <c r="K1800" s="28" t="s">
        <v>21</v>
      </c>
      <c r="L1800" s="28" t="s">
        <v>66</v>
      </c>
      <c r="M1800" s="28" t="s">
        <v>21</v>
      </c>
      <c r="O1800" s="92">
        <v>36697</v>
      </c>
      <c r="P1800" s="28" t="s">
        <v>21</v>
      </c>
      <c r="Q1800" s="26" t="b">
        <v>0</v>
      </c>
      <c r="R1800" s="22">
        <f t="shared" si="28"/>
        <v>359</v>
      </c>
    </row>
    <row r="1801" spans="1:18">
      <c r="A1801" s="26">
        <v>4720</v>
      </c>
      <c r="B1801" s="27">
        <v>36336</v>
      </c>
      <c r="C1801" s="28" t="s">
        <v>5826</v>
      </c>
      <c r="D1801" s="27">
        <v>36335</v>
      </c>
      <c r="E1801" s="28" t="s">
        <v>5827</v>
      </c>
      <c r="F1801" s="28" t="s">
        <v>27</v>
      </c>
      <c r="G1801" s="28" t="s">
        <v>20</v>
      </c>
      <c r="H1801" s="28" t="s">
        <v>21</v>
      </c>
      <c r="I1801" s="28" t="s">
        <v>21</v>
      </c>
      <c r="J1801" s="28" t="s">
        <v>5828</v>
      </c>
      <c r="K1801" s="28" t="s">
        <v>5829</v>
      </c>
      <c r="L1801" s="28" t="s">
        <v>821</v>
      </c>
      <c r="M1801" s="28" t="s">
        <v>1946</v>
      </c>
      <c r="O1801" s="92">
        <v>36808</v>
      </c>
      <c r="P1801" s="28" t="s">
        <v>31</v>
      </c>
      <c r="Q1801" s="26" t="b">
        <v>0</v>
      </c>
      <c r="R1801" s="22">
        <f t="shared" si="28"/>
        <v>470</v>
      </c>
    </row>
    <row r="1802" spans="1:18">
      <c r="A1802" s="26">
        <v>4718</v>
      </c>
      <c r="B1802" s="27">
        <v>36339</v>
      </c>
      <c r="C1802" s="28" t="s">
        <v>5824</v>
      </c>
      <c r="D1802" s="27">
        <v>36336</v>
      </c>
      <c r="E1802" s="28" t="s">
        <v>5825</v>
      </c>
      <c r="F1802" s="28" t="s">
        <v>741</v>
      </c>
      <c r="G1802" s="28" t="s">
        <v>20</v>
      </c>
      <c r="H1802" s="28" t="s">
        <v>21</v>
      </c>
      <c r="I1802" s="28" t="s">
        <v>21</v>
      </c>
      <c r="J1802" s="28" t="s">
        <v>272</v>
      </c>
      <c r="K1802" s="28" t="s">
        <v>1316</v>
      </c>
      <c r="L1802" s="28" t="s">
        <v>821</v>
      </c>
      <c r="M1802" s="28" t="s">
        <v>21</v>
      </c>
      <c r="O1802" s="92">
        <v>36586</v>
      </c>
      <c r="P1802" s="28" t="s">
        <v>31</v>
      </c>
      <c r="Q1802" s="26" t="b">
        <v>0</v>
      </c>
      <c r="R1802" s="22">
        <f t="shared" si="28"/>
        <v>246</v>
      </c>
    </row>
    <row r="1803" spans="1:18">
      <c r="A1803" s="26">
        <v>4723</v>
      </c>
      <c r="B1803" s="27">
        <v>36341</v>
      </c>
      <c r="C1803" s="28" t="s">
        <v>5830</v>
      </c>
      <c r="D1803" s="27">
        <v>36340</v>
      </c>
      <c r="E1803" s="28" t="s">
        <v>1432</v>
      </c>
      <c r="F1803" s="28" t="s">
        <v>228</v>
      </c>
      <c r="G1803" s="28" t="s">
        <v>20</v>
      </c>
      <c r="H1803" s="28" t="s">
        <v>21</v>
      </c>
      <c r="I1803" s="28" t="s">
        <v>21</v>
      </c>
      <c r="J1803" s="28" t="s">
        <v>5831</v>
      </c>
      <c r="K1803" s="28" t="s">
        <v>5832</v>
      </c>
      <c r="L1803" s="28" t="s">
        <v>66</v>
      </c>
      <c r="M1803" s="28" t="s">
        <v>21</v>
      </c>
      <c r="O1803" s="92">
        <v>36355</v>
      </c>
      <c r="P1803" s="28" t="s">
        <v>21</v>
      </c>
      <c r="Q1803" s="26" t="b">
        <v>0</v>
      </c>
      <c r="R1803" s="22">
        <f t="shared" si="28"/>
        <v>14</v>
      </c>
    </row>
    <row r="1804" spans="1:18">
      <c r="A1804" s="26">
        <v>4725</v>
      </c>
      <c r="B1804" s="27">
        <v>36342</v>
      </c>
      <c r="C1804" s="28" t="s">
        <v>5833</v>
      </c>
      <c r="D1804" s="27">
        <v>36339</v>
      </c>
      <c r="E1804" s="28" t="s">
        <v>5834</v>
      </c>
      <c r="F1804" s="28" t="s">
        <v>124</v>
      </c>
      <c r="G1804" s="28" t="s">
        <v>20</v>
      </c>
      <c r="H1804" s="28" t="s">
        <v>21</v>
      </c>
      <c r="I1804" s="28" t="s">
        <v>21</v>
      </c>
      <c r="J1804" s="28" t="s">
        <v>5835</v>
      </c>
      <c r="K1804" s="28" t="s">
        <v>5836</v>
      </c>
      <c r="L1804" s="28" t="s">
        <v>821</v>
      </c>
      <c r="M1804" s="28" t="s">
        <v>21</v>
      </c>
      <c r="O1804" s="92">
        <v>36969</v>
      </c>
      <c r="P1804" s="28" t="s">
        <v>31</v>
      </c>
      <c r="Q1804" s="26" t="b">
        <v>0</v>
      </c>
      <c r="R1804" s="22">
        <f t="shared" si="28"/>
        <v>626</v>
      </c>
    </row>
    <row r="1805" spans="1:18">
      <c r="A1805" s="26">
        <v>4692</v>
      </c>
      <c r="B1805" s="27">
        <v>36347</v>
      </c>
      <c r="C1805" s="28" t="s">
        <v>5746</v>
      </c>
      <c r="D1805" s="27">
        <v>36285</v>
      </c>
      <c r="E1805" s="28" t="s">
        <v>5747</v>
      </c>
      <c r="F1805" s="28" t="s">
        <v>52</v>
      </c>
      <c r="G1805" s="28" t="s">
        <v>20</v>
      </c>
      <c r="H1805" s="28" t="s">
        <v>21</v>
      </c>
      <c r="I1805" s="28" t="s">
        <v>21</v>
      </c>
      <c r="J1805" s="28" t="s">
        <v>2469</v>
      </c>
      <c r="K1805" s="28" t="s">
        <v>5748</v>
      </c>
      <c r="L1805" s="28" t="s">
        <v>314</v>
      </c>
      <c r="M1805" s="28" t="s">
        <v>5749</v>
      </c>
      <c r="O1805" s="92">
        <v>37320</v>
      </c>
      <c r="P1805" s="28" t="s">
        <v>31</v>
      </c>
      <c r="Q1805" s="26" t="b">
        <v>0</v>
      </c>
      <c r="R1805" s="22">
        <f t="shared" si="28"/>
        <v>972</v>
      </c>
    </row>
    <row r="1806" spans="1:18">
      <c r="A1806" s="26">
        <v>4731</v>
      </c>
      <c r="B1806" s="27">
        <v>36350</v>
      </c>
      <c r="C1806" s="28" t="s">
        <v>5837</v>
      </c>
      <c r="D1806" s="27">
        <v>36339</v>
      </c>
      <c r="E1806" s="28" t="s">
        <v>5838</v>
      </c>
      <c r="F1806" s="28" t="s">
        <v>124</v>
      </c>
      <c r="G1806" s="28" t="s">
        <v>20</v>
      </c>
      <c r="H1806" s="28" t="s">
        <v>21</v>
      </c>
      <c r="I1806" s="28" t="s">
        <v>21</v>
      </c>
      <c r="J1806" s="28" t="s">
        <v>5839</v>
      </c>
      <c r="K1806" s="28" t="s">
        <v>21</v>
      </c>
      <c r="L1806" s="28" t="s">
        <v>821</v>
      </c>
      <c r="M1806" s="28" t="s">
        <v>21</v>
      </c>
      <c r="O1806" s="92">
        <v>36448</v>
      </c>
      <c r="P1806" s="28" t="s">
        <v>31</v>
      </c>
      <c r="Q1806" s="26" t="b">
        <v>0</v>
      </c>
      <c r="R1806" s="22">
        <f t="shared" si="28"/>
        <v>97</v>
      </c>
    </row>
    <row r="1807" spans="1:18">
      <c r="A1807" s="26">
        <v>4732</v>
      </c>
      <c r="B1807" s="27">
        <v>36353</v>
      </c>
      <c r="C1807" s="28" t="s">
        <v>5840</v>
      </c>
      <c r="D1807" s="27">
        <v>36347</v>
      </c>
      <c r="E1807" s="28" t="s">
        <v>5841</v>
      </c>
      <c r="F1807" s="28" t="s">
        <v>34</v>
      </c>
      <c r="G1807" s="28" t="s">
        <v>20</v>
      </c>
      <c r="H1807" s="28" t="s">
        <v>21</v>
      </c>
      <c r="I1807" s="28" t="s">
        <v>21</v>
      </c>
      <c r="J1807" s="28" t="s">
        <v>5842</v>
      </c>
      <c r="K1807" s="28" t="s">
        <v>21</v>
      </c>
      <c r="L1807" s="28" t="s">
        <v>66</v>
      </c>
      <c r="M1807" s="28" t="s">
        <v>21</v>
      </c>
      <c r="O1807" s="92">
        <v>37210</v>
      </c>
      <c r="P1807" s="28" t="s">
        <v>31</v>
      </c>
      <c r="Q1807" s="26" t="b">
        <v>0</v>
      </c>
      <c r="R1807" s="22">
        <f t="shared" si="28"/>
        <v>854</v>
      </c>
    </row>
    <row r="1808" spans="1:18" ht="24">
      <c r="A1808" s="26">
        <v>4733</v>
      </c>
      <c r="B1808" s="27">
        <v>36353</v>
      </c>
      <c r="C1808" s="28" t="s">
        <v>5843</v>
      </c>
      <c r="D1808" s="27">
        <v>36349</v>
      </c>
      <c r="E1808" s="28" t="s">
        <v>5844</v>
      </c>
      <c r="F1808" s="28" t="s">
        <v>242</v>
      </c>
      <c r="G1808" s="28" t="s">
        <v>20</v>
      </c>
      <c r="H1808" s="28" t="s">
        <v>21</v>
      </c>
      <c r="I1808" s="28" t="s">
        <v>21</v>
      </c>
      <c r="J1808" s="28" t="s">
        <v>5845</v>
      </c>
      <c r="K1808" s="28" t="s">
        <v>21</v>
      </c>
      <c r="L1808" s="28" t="s">
        <v>821</v>
      </c>
      <c r="M1808" s="28" t="s">
        <v>21</v>
      </c>
      <c r="O1808" s="92">
        <v>36474</v>
      </c>
      <c r="P1808" s="28" t="s">
        <v>31</v>
      </c>
      <c r="Q1808" s="26" t="b">
        <v>0</v>
      </c>
      <c r="R1808" s="22">
        <f t="shared" si="28"/>
        <v>119</v>
      </c>
    </row>
    <row r="1809" spans="1:18" ht="24">
      <c r="A1809" s="26">
        <v>4734</v>
      </c>
      <c r="B1809" s="27">
        <v>36353</v>
      </c>
      <c r="C1809" s="28" t="s">
        <v>5843</v>
      </c>
      <c r="D1809" s="27">
        <v>36349</v>
      </c>
      <c r="E1809" s="28" t="s">
        <v>5846</v>
      </c>
      <c r="F1809" s="28" t="s">
        <v>70</v>
      </c>
      <c r="G1809" s="28" t="s">
        <v>20</v>
      </c>
      <c r="H1809" s="28" t="s">
        <v>71</v>
      </c>
      <c r="I1809" s="28" t="s">
        <v>72</v>
      </c>
      <c r="J1809" s="28" t="s">
        <v>5847</v>
      </c>
      <c r="K1809" s="28" t="s">
        <v>21</v>
      </c>
      <c r="L1809" s="28" t="s">
        <v>821</v>
      </c>
      <c r="M1809" s="28" t="s">
        <v>21</v>
      </c>
      <c r="O1809" s="92">
        <v>36487</v>
      </c>
      <c r="P1809" s="28" t="s">
        <v>21</v>
      </c>
      <c r="Q1809" s="26" t="b">
        <v>0</v>
      </c>
      <c r="R1809" s="22">
        <f t="shared" si="28"/>
        <v>132</v>
      </c>
    </row>
    <row r="1810" spans="1:18">
      <c r="A1810" s="26">
        <v>4735</v>
      </c>
      <c r="B1810" s="27">
        <v>36353</v>
      </c>
      <c r="C1810" s="28" t="s">
        <v>5848</v>
      </c>
      <c r="D1810" s="27">
        <v>36350</v>
      </c>
      <c r="E1810" s="28" t="s">
        <v>5849</v>
      </c>
      <c r="F1810" s="28" t="s">
        <v>98</v>
      </c>
      <c r="G1810" s="28" t="s">
        <v>20</v>
      </c>
      <c r="H1810" s="28" t="s">
        <v>21</v>
      </c>
      <c r="I1810" s="28" t="s">
        <v>21</v>
      </c>
      <c r="J1810" s="28" t="s">
        <v>5850</v>
      </c>
      <c r="K1810" s="28" t="s">
        <v>375</v>
      </c>
      <c r="L1810" s="28" t="s">
        <v>2205</v>
      </c>
      <c r="M1810" s="28" t="s">
        <v>5851</v>
      </c>
      <c r="O1810" s="92">
        <v>38447</v>
      </c>
      <c r="P1810" s="28" t="s">
        <v>21</v>
      </c>
      <c r="Q1810" s="26" t="b">
        <v>0</v>
      </c>
      <c r="R1810" s="22">
        <f t="shared" si="28"/>
        <v>2091</v>
      </c>
    </row>
    <row r="1811" spans="1:18" ht="24">
      <c r="A1811" s="26">
        <v>5102</v>
      </c>
      <c r="B1811" s="27">
        <v>36355</v>
      </c>
      <c r="C1811" s="28" t="s">
        <v>5852</v>
      </c>
      <c r="D1811" s="27">
        <v>36355</v>
      </c>
      <c r="E1811" s="28" t="s">
        <v>5853</v>
      </c>
      <c r="F1811" s="28" t="s">
        <v>689</v>
      </c>
      <c r="G1811" s="28" t="s">
        <v>20</v>
      </c>
      <c r="H1811" s="28" t="s">
        <v>212</v>
      </c>
      <c r="I1811" s="28" t="s">
        <v>212</v>
      </c>
      <c r="J1811" s="28" t="s">
        <v>5854</v>
      </c>
      <c r="K1811" s="28" t="s">
        <v>21</v>
      </c>
      <c r="L1811" s="28" t="s">
        <v>314</v>
      </c>
      <c r="M1811" s="28" t="s">
        <v>5749</v>
      </c>
      <c r="O1811" s="92">
        <v>38371</v>
      </c>
      <c r="P1811" s="28" t="s">
        <v>21</v>
      </c>
      <c r="Q1811" s="26" t="b">
        <v>0</v>
      </c>
      <c r="R1811" s="22">
        <f t="shared" si="28"/>
        <v>2012</v>
      </c>
    </row>
    <row r="1812" spans="1:18">
      <c r="A1812" s="26">
        <v>5103</v>
      </c>
      <c r="B1812" s="27">
        <v>36360</v>
      </c>
      <c r="C1812" s="28" t="s">
        <v>5855</v>
      </c>
      <c r="D1812" s="27">
        <v>36360</v>
      </c>
      <c r="E1812" s="28" t="s">
        <v>3116</v>
      </c>
      <c r="F1812" s="28" t="s">
        <v>149</v>
      </c>
      <c r="G1812" s="28" t="s">
        <v>20</v>
      </c>
      <c r="H1812" s="28" t="s">
        <v>21</v>
      </c>
      <c r="I1812" s="28" t="s">
        <v>21</v>
      </c>
      <c r="J1812" s="28" t="s">
        <v>4796</v>
      </c>
      <c r="K1812" s="28" t="s">
        <v>21</v>
      </c>
      <c r="L1812" s="28" t="s">
        <v>3930</v>
      </c>
      <c r="M1812" s="28" t="s">
        <v>21</v>
      </c>
      <c r="O1812" s="92">
        <v>36469</v>
      </c>
      <c r="P1812" s="28" t="s">
        <v>21</v>
      </c>
      <c r="Q1812" s="26" t="b">
        <v>0</v>
      </c>
      <c r="R1812" s="22">
        <f t="shared" si="28"/>
        <v>107</v>
      </c>
    </row>
    <row r="1813" spans="1:18">
      <c r="A1813" s="26">
        <v>5104</v>
      </c>
      <c r="B1813" s="27">
        <v>36361</v>
      </c>
      <c r="C1813" s="28" t="s">
        <v>5856</v>
      </c>
      <c r="D1813" s="27">
        <v>36360</v>
      </c>
      <c r="E1813" s="28" t="s">
        <v>5857</v>
      </c>
      <c r="F1813" s="28" t="s">
        <v>98</v>
      </c>
      <c r="G1813" s="28" t="s">
        <v>20</v>
      </c>
      <c r="H1813" s="28" t="s">
        <v>21</v>
      </c>
      <c r="I1813" s="28" t="s">
        <v>21</v>
      </c>
      <c r="J1813" s="28" t="s">
        <v>5858</v>
      </c>
      <c r="K1813" s="28" t="s">
        <v>5859</v>
      </c>
      <c r="L1813" s="28" t="s">
        <v>821</v>
      </c>
      <c r="M1813" s="28" t="s">
        <v>21</v>
      </c>
      <c r="O1813" s="92">
        <v>36377</v>
      </c>
      <c r="P1813" s="28" t="s">
        <v>21</v>
      </c>
      <c r="Q1813" s="26" t="b">
        <v>0</v>
      </c>
      <c r="R1813" s="22">
        <f t="shared" si="28"/>
        <v>15</v>
      </c>
    </row>
    <row r="1814" spans="1:18">
      <c r="A1814" s="26">
        <v>5106</v>
      </c>
      <c r="B1814" s="27">
        <v>36367</v>
      </c>
      <c r="C1814" s="28" t="s">
        <v>5860</v>
      </c>
      <c r="D1814" s="27">
        <v>36090</v>
      </c>
      <c r="E1814" s="28" t="s">
        <v>3116</v>
      </c>
      <c r="F1814" s="28" t="s">
        <v>5342</v>
      </c>
      <c r="G1814" s="28" t="s">
        <v>20</v>
      </c>
      <c r="H1814" s="28" t="s">
        <v>21</v>
      </c>
      <c r="I1814" s="28" t="s">
        <v>1061</v>
      </c>
      <c r="J1814" s="28" t="s">
        <v>5861</v>
      </c>
      <c r="K1814" s="28" t="s">
        <v>5862</v>
      </c>
      <c r="L1814" s="28" t="s">
        <v>66</v>
      </c>
      <c r="M1814" s="28" t="s">
        <v>3930</v>
      </c>
      <c r="O1814" s="92">
        <v>37575</v>
      </c>
      <c r="P1814" s="28" t="s">
        <v>21</v>
      </c>
      <c r="Q1814" s="26" t="b">
        <v>0</v>
      </c>
      <c r="R1814" s="22">
        <f t="shared" si="28"/>
        <v>1205</v>
      </c>
    </row>
    <row r="1815" spans="1:18">
      <c r="A1815" s="26">
        <v>5107</v>
      </c>
      <c r="B1815" s="27">
        <v>36368</v>
      </c>
      <c r="C1815" s="28" t="s">
        <v>5863</v>
      </c>
      <c r="D1815" s="27">
        <v>36209</v>
      </c>
      <c r="E1815" s="28" t="s">
        <v>1432</v>
      </c>
      <c r="F1815" s="28" t="s">
        <v>1019</v>
      </c>
      <c r="G1815" s="28" t="s">
        <v>20</v>
      </c>
      <c r="H1815" s="28" t="s">
        <v>21</v>
      </c>
      <c r="I1815" s="28" t="s">
        <v>21</v>
      </c>
      <c r="J1815" s="28" t="s">
        <v>5864</v>
      </c>
      <c r="K1815" s="28" t="s">
        <v>5865</v>
      </c>
      <c r="L1815" s="28" t="s">
        <v>66</v>
      </c>
      <c r="M1815" s="28" t="s">
        <v>21</v>
      </c>
      <c r="O1815" s="92">
        <v>36829</v>
      </c>
      <c r="P1815" s="28" t="s">
        <v>31</v>
      </c>
      <c r="Q1815" s="26" t="b">
        <v>0</v>
      </c>
      <c r="R1815" s="22">
        <f t="shared" si="28"/>
        <v>459</v>
      </c>
    </row>
    <row r="1816" spans="1:18">
      <c r="A1816" s="26">
        <v>5155</v>
      </c>
      <c r="B1816" s="27">
        <v>36369</v>
      </c>
      <c r="C1816" s="28" t="s">
        <v>5941</v>
      </c>
      <c r="D1816" s="27">
        <v>36367</v>
      </c>
      <c r="E1816" s="28" t="s">
        <v>5942</v>
      </c>
      <c r="F1816" s="28" t="s">
        <v>27</v>
      </c>
      <c r="G1816" s="28" t="s">
        <v>20</v>
      </c>
      <c r="H1816" s="28" t="s">
        <v>21</v>
      </c>
      <c r="I1816" s="28" t="s">
        <v>21</v>
      </c>
      <c r="J1816" s="28" t="s">
        <v>1440</v>
      </c>
      <c r="K1816" s="28" t="s">
        <v>21</v>
      </c>
      <c r="L1816" s="28" t="s">
        <v>66</v>
      </c>
      <c r="M1816" s="28" t="s">
        <v>21</v>
      </c>
      <c r="O1816" s="92">
        <v>36517</v>
      </c>
      <c r="P1816" s="28" t="s">
        <v>31</v>
      </c>
      <c r="Q1816" s="26" t="b">
        <v>0</v>
      </c>
      <c r="R1816" s="22">
        <f t="shared" si="28"/>
        <v>147</v>
      </c>
    </row>
    <row r="1817" spans="1:18">
      <c r="A1817" s="26">
        <v>5112</v>
      </c>
      <c r="B1817" s="27">
        <v>36370</v>
      </c>
      <c r="C1817" s="28" t="s">
        <v>5866</v>
      </c>
      <c r="D1817" s="27">
        <v>36355</v>
      </c>
      <c r="E1817" s="28" t="s">
        <v>5867</v>
      </c>
      <c r="F1817" s="28" t="s">
        <v>371</v>
      </c>
      <c r="G1817" s="28" t="s">
        <v>20</v>
      </c>
      <c r="H1817" s="28" t="s">
        <v>21</v>
      </c>
      <c r="I1817" s="28" t="s">
        <v>21</v>
      </c>
      <c r="J1817" s="28" t="s">
        <v>805</v>
      </c>
      <c r="K1817" s="28" t="s">
        <v>5868</v>
      </c>
      <c r="L1817" s="28" t="s">
        <v>66</v>
      </c>
      <c r="M1817" s="28" t="s">
        <v>821</v>
      </c>
      <c r="O1817" s="92">
        <v>36927</v>
      </c>
      <c r="P1817" s="28" t="s">
        <v>31</v>
      </c>
      <c r="Q1817" s="26" t="b">
        <v>0</v>
      </c>
      <c r="R1817" s="22">
        <f t="shared" si="28"/>
        <v>553</v>
      </c>
    </row>
    <row r="1818" spans="1:18">
      <c r="A1818" s="26">
        <v>6437</v>
      </c>
      <c r="B1818" s="27">
        <v>36374</v>
      </c>
      <c r="C1818" s="28" t="s">
        <v>7308</v>
      </c>
      <c r="D1818" s="27">
        <v>36374</v>
      </c>
      <c r="E1818" s="28" t="s">
        <v>4172</v>
      </c>
      <c r="F1818" s="28" t="s">
        <v>2359</v>
      </c>
      <c r="G1818" s="28" t="s">
        <v>20</v>
      </c>
      <c r="H1818" s="28" t="s">
        <v>71</v>
      </c>
      <c r="I1818" s="28" t="s">
        <v>72</v>
      </c>
      <c r="J1818" s="28" t="s">
        <v>5369</v>
      </c>
      <c r="K1818" s="28" t="s">
        <v>21</v>
      </c>
      <c r="L1818" s="28" t="s">
        <v>4282</v>
      </c>
      <c r="M1818" s="28" t="s">
        <v>821</v>
      </c>
      <c r="O1818" s="92">
        <v>36990</v>
      </c>
      <c r="P1818" s="28" t="s">
        <v>21</v>
      </c>
      <c r="Q1818" s="26" t="b">
        <v>0</v>
      </c>
      <c r="R1818" s="22">
        <f t="shared" si="28"/>
        <v>615</v>
      </c>
    </row>
    <row r="1819" spans="1:18">
      <c r="A1819" s="26">
        <v>6438</v>
      </c>
      <c r="B1819" s="27">
        <v>36374</v>
      </c>
      <c r="C1819" s="28" t="s">
        <v>7309</v>
      </c>
      <c r="D1819" s="27">
        <v>36374</v>
      </c>
      <c r="E1819" s="28" t="s">
        <v>4172</v>
      </c>
      <c r="F1819" s="28" t="s">
        <v>2359</v>
      </c>
      <c r="G1819" s="28" t="s">
        <v>20</v>
      </c>
      <c r="H1819" s="28" t="s">
        <v>71</v>
      </c>
      <c r="I1819" s="28" t="s">
        <v>72</v>
      </c>
      <c r="J1819" s="28" t="s">
        <v>5240</v>
      </c>
      <c r="K1819" s="28" t="s">
        <v>21</v>
      </c>
      <c r="L1819" s="28" t="s">
        <v>4282</v>
      </c>
      <c r="M1819" s="28" t="s">
        <v>3526</v>
      </c>
      <c r="O1819" s="92">
        <v>37201</v>
      </c>
      <c r="P1819" s="28" t="s">
        <v>21</v>
      </c>
      <c r="Q1819" s="26" t="b">
        <v>0</v>
      </c>
      <c r="R1819" s="22">
        <f t="shared" si="28"/>
        <v>825</v>
      </c>
    </row>
    <row r="1820" spans="1:18">
      <c r="A1820" s="26">
        <v>5116</v>
      </c>
      <c r="B1820" s="27">
        <v>36378</v>
      </c>
      <c r="C1820" s="28" t="s">
        <v>5869</v>
      </c>
      <c r="D1820" s="27">
        <v>36378</v>
      </c>
      <c r="E1820" s="28" t="s">
        <v>1928</v>
      </c>
      <c r="F1820" s="28" t="s">
        <v>52</v>
      </c>
      <c r="G1820" s="28" t="s">
        <v>20</v>
      </c>
      <c r="H1820" s="28" t="s">
        <v>21</v>
      </c>
      <c r="I1820" s="28" t="s">
        <v>21</v>
      </c>
      <c r="J1820" s="28" t="s">
        <v>5870</v>
      </c>
      <c r="K1820" s="28" t="s">
        <v>21</v>
      </c>
      <c r="L1820" s="28" t="s">
        <v>3930</v>
      </c>
      <c r="M1820" s="28" t="s">
        <v>21</v>
      </c>
      <c r="O1820" s="92">
        <v>36405</v>
      </c>
      <c r="P1820" s="28" t="s">
        <v>31</v>
      </c>
      <c r="Q1820" s="26" t="b">
        <v>0</v>
      </c>
      <c r="R1820" s="22">
        <f t="shared" si="28"/>
        <v>26</v>
      </c>
    </row>
    <row r="1821" spans="1:18">
      <c r="A1821" s="26">
        <v>6318</v>
      </c>
      <c r="B1821" s="27">
        <v>36382</v>
      </c>
      <c r="C1821" s="28" t="s">
        <v>7048</v>
      </c>
      <c r="D1821" s="27">
        <v>36382</v>
      </c>
      <c r="E1821" s="28" t="s">
        <v>4172</v>
      </c>
      <c r="F1821" s="28" t="s">
        <v>149</v>
      </c>
      <c r="G1821" s="28" t="s">
        <v>20</v>
      </c>
      <c r="H1821" s="28" t="s">
        <v>21</v>
      </c>
      <c r="I1821" s="28" t="s">
        <v>21</v>
      </c>
      <c r="J1821" s="28" t="s">
        <v>7049</v>
      </c>
      <c r="K1821" s="28" t="s">
        <v>7050</v>
      </c>
      <c r="L1821" s="28" t="s">
        <v>4282</v>
      </c>
      <c r="M1821" s="28" t="s">
        <v>821</v>
      </c>
      <c r="O1821" s="92">
        <v>37845</v>
      </c>
      <c r="P1821" s="28" t="s">
        <v>31</v>
      </c>
      <c r="Q1821" s="26" t="b">
        <v>0</v>
      </c>
      <c r="R1821" s="22">
        <f t="shared" si="28"/>
        <v>1462</v>
      </c>
    </row>
    <row r="1822" spans="1:18">
      <c r="A1822" s="26">
        <v>5120</v>
      </c>
      <c r="B1822" s="27">
        <v>36385</v>
      </c>
      <c r="C1822" s="28" t="s">
        <v>5871</v>
      </c>
      <c r="D1822" s="27">
        <v>36368</v>
      </c>
      <c r="E1822" s="28" t="s">
        <v>5872</v>
      </c>
      <c r="F1822" s="28" t="s">
        <v>27</v>
      </c>
      <c r="G1822" s="28" t="s">
        <v>20</v>
      </c>
      <c r="H1822" s="28" t="s">
        <v>21</v>
      </c>
      <c r="I1822" s="28" t="s">
        <v>21</v>
      </c>
      <c r="J1822" s="28" t="s">
        <v>5873</v>
      </c>
      <c r="K1822" s="28" t="s">
        <v>5874</v>
      </c>
      <c r="L1822" s="28" t="s">
        <v>821</v>
      </c>
      <c r="M1822" s="28" t="s">
        <v>21</v>
      </c>
      <c r="O1822" s="92">
        <v>36483</v>
      </c>
      <c r="P1822" s="28" t="s">
        <v>21</v>
      </c>
      <c r="Q1822" s="26" t="b">
        <v>0</v>
      </c>
      <c r="R1822" s="22">
        <f t="shared" si="28"/>
        <v>97</v>
      </c>
    </row>
    <row r="1823" spans="1:18">
      <c r="A1823" s="26">
        <v>5122</v>
      </c>
      <c r="B1823" s="27">
        <v>36385</v>
      </c>
      <c r="C1823" s="28" t="s">
        <v>5875</v>
      </c>
      <c r="D1823" s="27">
        <v>36383</v>
      </c>
      <c r="E1823" s="28" t="s">
        <v>5876</v>
      </c>
      <c r="F1823" s="28" t="s">
        <v>27</v>
      </c>
      <c r="G1823" s="28" t="s">
        <v>20</v>
      </c>
      <c r="H1823" s="28" t="s">
        <v>21</v>
      </c>
      <c r="I1823" s="28" t="s">
        <v>21</v>
      </c>
      <c r="J1823" s="28" t="s">
        <v>5877</v>
      </c>
      <c r="K1823" s="28" t="s">
        <v>1513</v>
      </c>
      <c r="L1823" s="28" t="s">
        <v>66</v>
      </c>
      <c r="M1823" s="28" t="s">
        <v>21</v>
      </c>
      <c r="O1823" s="92">
        <v>36493</v>
      </c>
      <c r="P1823" s="28" t="s">
        <v>21</v>
      </c>
      <c r="Q1823" s="26" t="b">
        <v>0</v>
      </c>
      <c r="R1823" s="22">
        <f t="shared" si="28"/>
        <v>107</v>
      </c>
    </row>
    <row r="1824" spans="1:18">
      <c r="A1824" s="26">
        <v>6501</v>
      </c>
      <c r="B1824" s="27">
        <v>36385</v>
      </c>
      <c r="C1824" s="28" t="s">
        <v>7441</v>
      </c>
      <c r="D1824" s="27">
        <v>36385</v>
      </c>
      <c r="E1824" s="28" t="s">
        <v>4172</v>
      </c>
      <c r="F1824" s="28" t="s">
        <v>52</v>
      </c>
      <c r="G1824" s="28" t="s">
        <v>20</v>
      </c>
      <c r="H1824" s="28" t="s">
        <v>21</v>
      </c>
      <c r="I1824" s="28" t="s">
        <v>21</v>
      </c>
      <c r="J1824" s="28" t="s">
        <v>7442</v>
      </c>
      <c r="K1824" s="28" t="s">
        <v>21</v>
      </c>
      <c r="L1824" s="28" t="s">
        <v>66</v>
      </c>
      <c r="M1824" s="28" t="s">
        <v>21</v>
      </c>
      <c r="O1824" s="92">
        <v>36523</v>
      </c>
      <c r="P1824" s="28" t="s">
        <v>21</v>
      </c>
      <c r="Q1824" s="26" t="b">
        <v>0</v>
      </c>
      <c r="R1824" s="22">
        <f t="shared" si="28"/>
        <v>137</v>
      </c>
    </row>
    <row r="1825" spans="1:18">
      <c r="A1825" s="26">
        <v>5129</v>
      </c>
      <c r="B1825" s="27">
        <v>36395</v>
      </c>
      <c r="C1825" s="28" t="s">
        <v>5883</v>
      </c>
      <c r="D1825" s="27">
        <v>36390</v>
      </c>
      <c r="E1825" s="28" t="s">
        <v>5884</v>
      </c>
      <c r="F1825" s="28" t="s">
        <v>5885</v>
      </c>
      <c r="G1825" s="28" t="s">
        <v>20</v>
      </c>
      <c r="H1825" s="28" t="s">
        <v>71</v>
      </c>
      <c r="I1825" s="28" t="s">
        <v>72</v>
      </c>
      <c r="J1825" s="28" t="s">
        <v>5886</v>
      </c>
      <c r="K1825" s="28" t="s">
        <v>272</v>
      </c>
      <c r="L1825" s="28" t="s">
        <v>66</v>
      </c>
      <c r="M1825" s="28" t="s">
        <v>21</v>
      </c>
      <c r="O1825" s="92">
        <v>36734</v>
      </c>
      <c r="P1825" s="28" t="s">
        <v>21</v>
      </c>
      <c r="Q1825" s="26" t="b">
        <v>0</v>
      </c>
      <c r="R1825" s="22">
        <f t="shared" si="28"/>
        <v>338</v>
      </c>
    </row>
    <row r="1826" spans="1:18">
      <c r="A1826" s="26">
        <v>5127</v>
      </c>
      <c r="B1826" s="27">
        <v>36399</v>
      </c>
      <c r="C1826" s="28" t="s">
        <v>5878</v>
      </c>
      <c r="D1826" s="27">
        <v>36387</v>
      </c>
      <c r="E1826" s="28" t="s">
        <v>5879</v>
      </c>
      <c r="F1826" s="28" t="s">
        <v>124</v>
      </c>
      <c r="G1826" s="28" t="s">
        <v>20</v>
      </c>
      <c r="H1826" s="28" t="s">
        <v>21</v>
      </c>
      <c r="I1826" s="28" t="s">
        <v>21</v>
      </c>
      <c r="J1826" s="28" t="s">
        <v>5880</v>
      </c>
      <c r="K1826" s="28" t="s">
        <v>126</v>
      </c>
      <c r="L1826" s="28" t="s">
        <v>821</v>
      </c>
      <c r="M1826" s="28" t="s">
        <v>21</v>
      </c>
      <c r="O1826" s="92">
        <v>36482</v>
      </c>
      <c r="P1826" s="28" t="s">
        <v>31</v>
      </c>
      <c r="Q1826" s="26" t="b">
        <v>0</v>
      </c>
      <c r="R1826" s="22">
        <f t="shared" si="28"/>
        <v>82</v>
      </c>
    </row>
    <row r="1827" spans="1:18">
      <c r="A1827" s="26">
        <v>5128</v>
      </c>
      <c r="B1827" s="27">
        <v>36399</v>
      </c>
      <c r="C1827" s="28" t="s">
        <v>5881</v>
      </c>
      <c r="D1827" s="27">
        <v>36388</v>
      </c>
      <c r="E1827" s="28" t="s">
        <v>5882</v>
      </c>
      <c r="F1827" s="28" t="s">
        <v>124</v>
      </c>
      <c r="G1827" s="28" t="s">
        <v>20</v>
      </c>
      <c r="H1827" s="28" t="s">
        <v>21</v>
      </c>
      <c r="I1827" s="28" t="s">
        <v>21</v>
      </c>
      <c r="J1827" s="28" t="s">
        <v>2266</v>
      </c>
      <c r="K1827" s="28" t="s">
        <v>21</v>
      </c>
      <c r="L1827" s="28" t="s">
        <v>5814</v>
      </c>
      <c r="M1827" s="28" t="s">
        <v>21</v>
      </c>
      <c r="O1827" s="92">
        <v>36447</v>
      </c>
      <c r="P1827" s="28" t="s">
        <v>31</v>
      </c>
      <c r="Q1827" s="26" t="b">
        <v>0</v>
      </c>
      <c r="R1827" s="22">
        <f t="shared" si="28"/>
        <v>47</v>
      </c>
    </row>
    <row r="1828" spans="1:18" ht="24">
      <c r="A1828" s="26">
        <v>5130</v>
      </c>
      <c r="B1828" s="27">
        <v>36404</v>
      </c>
      <c r="C1828" s="28" t="s">
        <v>5887</v>
      </c>
      <c r="D1828" s="27">
        <v>36403</v>
      </c>
      <c r="E1828" s="28" t="s">
        <v>5888</v>
      </c>
      <c r="F1828" s="28" t="s">
        <v>3430</v>
      </c>
      <c r="G1828" s="28" t="s">
        <v>20</v>
      </c>
      <c r="H1828" s="28" t="s">
        <v>71</v>
      </c>
      <c r="I1828" s="28" t="s">
        <v>72</v>
      </c>
      <c r="J1828" s="28" t="s">
        <v>5889</v>
      </c>
      <c r="K1828" s="28" t="s">
        <v>5890</v>
      </c>
      <c r="L1828" s="28" t="s">
        <v>66</v>
      </c>
      <c r="M1828" s="28" t="s">
        <v>21</v>
      </c>
      <c r="O1828" s="92">
        <v>36511</v>
      </c>
      <c r="P1828" s="28" t="s">
        <v>21</v>
      </c>
      <c r="Q1828" s="26" t="b">
        <v>0</v>
      </c>
      <c r="R1828" s="22">
        <f t="shared" si="28"/>
        <v>107</v>
      </c>
    </row>
    <row r="1829" spans="1:18" ht="24">
      <c r="A1829" s="26">
        <v>6435</v>
      </c>
      <c r="B1829" s="27">
        <v>36410</v>
      </c>
      <c r="C1829" s="28" t="s">
        <v>7304</v>
      </c>
      <c r="D1829" s="27">
        <v>36410</v>
      </c>
      <c r="E1829" s="28" t="s">
        <v>4172</v>
      </c>
      <c r="F1829" s="28" t="s">
        <v>367</v>
      </c>
      <c r="G1829" s="28" t="s">
        <v>20</v>
      </c>
      <c r="H1829" s="28" t="s">
        <v>71</v>
      </c>
      <c r="I1829" s="28" t="s">
        <v>72</v>
      </c>
      <c r="J1829" s="28" t="s">
        <v>7305</v>
      </c>
      <c r="K1829" s="28" t="s">
        <v>21</v>
      </c>
      <c r="L1829" s="28" t="s">
        <v>821</v>
      </c>
      <c r="M1829" s="28" t="s">
        <v>21</v>
      </c>
      <c r="O1829" s="92">
        <v>36433</v>
      </c>
      <c r="P1829" s="28" t="s">
        <v>21</v>
      </c>
      <c r="Q1829" s="26" t="b">
        <v>0</v>
      </c>
      <c r="R1829" s="22">
        <f t="shared" si="28"/>
        <v>23</v>
      </c>
    </row>
    <row r="1830" spans="1:18">
      <c r="A1830" s="26">
        <v>5134</v>
      </c>
      <c r="B1830" s="27">
        <v>36411</v>
      </c>
      <c r="C1830" s="28" t="s">
        <v>5891</v>
      </c>
      <c r="D1830" s="27">
        <v>36406</v>
      </c>
      <c r="E1830" s="28" t="s">
        <v>5892</v>
      </c>
      <c r="F1830" s="28" t="s">
        <v>70</v>
      </c>
      <c r="G1830" s="28" t="s">
        <v>20</v>
      </c>
      <c r="H1830" s="28" t="s">
        <v>71</v>
      </c>
      <c r="I1830" s="28" t="s">
        <v>72</v>
      </c>
      <c r="J1830" s="28" t="s">
        <v>5893</v>
      </c>
      <c r="K1830" s="28" t="s">
        <v>5894</v>
      </c>
      <c r="L1830" s="28" t="s">
        <v>66</v>
      </c>
      <c r="M1830" s="28" t="s">
        <v>21</v>
      </c>
      <c r="O1830" s="92">
        <v>37678</v>
      </c>
      <c r="P1830" s="28" t="s">
        <v>21</v>
      </c>
      <c r="Q1830" s="26" t="b">
        <v>0</v>
      </c>
      <c r="R1830" s="22">
        <f t="shared" si="28"/>
        <v>1265</v>
      </c>
    </row>
    <row r="1831" spans="1:18">
      <c r="A1831" s="26">
        <v>5135</v>
      </c>
      <c r="B1831" s="27">
        <v>36413</v>
      </c>
      <c r="C1831" s="28" t="s">
        <v>5895</v>
      </c>
      <c r="D1831" s="27">
        <v>36409</v>
      </c>
      <c r="E1831" s="28" t="s">
        <v>5896</v>
      </c>
      <c r="F1831" s="28" t="s">
        <v>124</v>
      </c>
      <c r="G1831" s="28" t="s">
        <v>20</v>
      </c>
      <c r="H1831" s="28" t="s">
        <v>21</v>
      </c>
      <c r="I1831" s="28" t="s">
        <v>21</v>
      </c>
      <c r="J1831" s="28" t="s">
        <v>5897</v>
      </c>
      <c r="K1831" s="28" t="s">
        <v>5898</v>
      </c>
      <c r="L1831" s="28" t="s">
        <v>821</v>
      </c>
      <c r="M1831" s="28" t="s">
        <v>21</v>
      </c>
      <c r="O1831" s="92">
        <v>36482</v>
      </c>
      <c r="P1831" s="28" t="s">
        <v>31</v>
      </c>
      <c r="Q1831" s="26" t="b">
        <v>0</v>
      </c>
      <c r="R1831" s="22">
        <f t="shared" ref="R1831:R1894" si="29">IF(O1831=" ", " ", INT(YEARFRAC(O1831, B1831)*365))</f>
        <v>68</v>
      </c>
    </row>
    <row r="1832" spans="1:18">
      <c r="A1832" s="26">
        <v>5136</v>
      </c>
      <c r="B1832" s="27">
        <v>36413</v>
      </c>
      <c r="C1832" s="28" t="s">
        <v>5899</v>
      </c>
      <c r="D1832" s="27">
        <v>36403</v>
      </c>
      <c r="E1832" s="28" t="s">
        <v>5900</v>
      </c>
      <c r="F1832" s="28" t="s">
        <v>5901</v>
      </c>
      <c r="G1832" s="28" t="s">
        <v>20</v>
      </c>
      <c r="H1832" s="28" t="s">
        <v>212</v>
      </c>
      <c r="I1832" s="28" t="s">
        <v>212</v>
      </c>
      <c r="J1832" s="28" t="s">
        <v>5902</v>
      </c>
      <c r="K1832" s="28" t="s">
        <v>74</v>
      </c>
      <c r="L1832" s="28" t="s">
        <v>314</v>
      </c>
      <c r="M1832" s="28" t="s">
        <v>5749</v>
      </c>
      <c r="O1832" s="92">
        <v>37208</v>
      </c>
      <c r="P1832" s="28" t="s">
        <v>21</v>
      </c>
      <c r="Q1832" s="26" t="b">
        <v>0</v>
      </c>
      <c r="R1832" s="22">
        <f t="shared" si="29"/>
        <v>793</v>
      </c>
    </row>
    <row r="1833" spans="1:18">
      <c r="A1833" s="26">
        <v>5139</v>
      </c>
      <c r="B1833" s="27">
        <v>36413</v>
      </c>
      <c r="C1833" s="28" t="s">
        <v>5910</v>
      </c>
      <c r="D1833" s="27">
        <v>36412</v>
      </c>
      <c r="E1833" s="28" t="s">
        <v>38</v>
      </c>
      <c r="F1833" s="28" t="s">
        <v>242</v>
      </c>
      <c r="G1833" s="28" t="s">
        <v>20</v>
      </c>
      <c r="H1833" s="28" t="s">
        <v>21</v>
      </c>
      <c r="I1833" s="28" t="s">
        <v>21</v>
      </c>
      <c r="J1833" s="28" t="s">
        <v>5911</v>
      </c>
      <c r="K1833" s="28" t="s">
        <v>5912</v>
      </c>
      <c r="L1833" s="28" t="s">
        <v>66</v>
      </c>
      <c r="M1833" s="28" t="s">
        <v>21</v>
      </c>
      <c r="O1833" s="92">
        <v>36419</v>
      </c>
      <c r="P1833" s="28" t="s">
        <v>31</v>
      </c>
      <c r="Q1833" s="26" t="b">
        <v>0</v>
      </c>
      <c r="R1833" s="22">
        <f t="shared" si="29"/>
        <v>6</v>
      </c>
    </row>
    <row r="1834" spans="1:18">
      <c r="A1834" s="26">
        <v>5137</v>
      </c>
      <c r="B1834" s="27">
        <v>36416</v>
      </c>
      <c r="C1834" s="28" t="s">
        <v>5903</v>
      </c>
      <c r="D1834" s="27">
        <v>36403</v>
      </c>
      <c r="E1834" s="28" t="s">
        <v>5904</v>
      </c>
      <c r="F1834" s="28" t="s">
        <v>52</v>
      </c>
      <c r="G1834" s="28" t="s">
        <v>20</v>
      </c>
      <c r="H1834" s="28" t="s">
        <v>21</v>
      </c>
      <c r="I1834" s="28" t="s">
        <v>21</v>
      </c>
      <c r="J1834" s="28" t="s">
        <v>5905</v>
      </c>
      <c r="K1834" s="28" t="s">
        <v>5906</v>
      </c>
      <c r="L1834" s="28" t="s">
        <v>821</v>
      </c>
      <c r="M1834" s="28" t="s">
        <v>21</v>
      </c>
      <c r="O1834" s="92">
        <v>36445</v>
      </c>
      <c r="P1834" s="28" t="s">
        <v>31</v>
      </c>
      <c r="Q1834" s="26" t="b">
        <v>0</v>
      </c>
      <c r="R1834" s="22">
        <f t="shared" si="29"/>
        <v>29</v>
      </c>
    </row>
    <row r="1835" spans="1:18">
      <c r="A1835" s="26">
        <v>5138</v>
      </c>
      <c r="B1835" s="27">
        <v>36416</v>
      </c>
      <c r="C1835" s="28" t="s">
        <v>5907</v>
      </c>
      <c r="D1835" s="27">
        <v>36370</v>
      </c>
      <c r="E1835" s="28" t="s">
        <v>5908</v>
      </c>
      <c r="F1835" s="28" t="s">
        <v>1830</v>
      </c>
      <c r="G1835" s="28" t="s">
        <v>20</v>
      </c>
      <c r="H1835" s="28" t="s">
        <v>21</v>
      </c>
      <c r="I1835" s="28" t="s">
        <v>21</v>
      </c>
      <c r="J1835" s="28" t="s">
        <v>1213</v>
      </c>
      <c r="K1835" s="28" t="s">
        <v>5909</v>
      </c>
      <c r="L1835" s="28" t="s">
        <v>821</v>
      </c>
      <c r="M1835" s="28" t="s">
        <v>21</v>
      </c>
      <c r="O1835" s="92">
        <v>36476</v>
      </c>
      <c r="P1835" s="28" t="s">
        <v>31</v>
      </c>
      <c r="Q1835" s="26" t="b">
        <v>0</v>
      </c>
      <c r="R1835" s="22">
        <f t="shared" si="29"/>
        <v>59</v>
      </c>
    </row>
    <row r="1836" spans="1:18">
      <c r="A1836" s="26">
        <v>5141</v>
      </c>
      <c r="B1836" s="27">
        <v>36418</v>
      </c>
      <c r="C1836" s="28" t="s">
        <v>5913</v>
      </c>
      <c r="D1836" s="27">
        <v>36416</v>
      </c>
      <c r="E1836" s="28" t="s">
        <v>5914</v>
      </c>
      <c r="F1836" s="28" t="s">
        <v>5915</v>
      </c>
      <c r="G1836" s="28" t="s">
        <v>20</v>
      </c>
      <c r="H1836" s="28" t="s">
        <v>566</v>
      </c>
      <c r="I1836" s="28" t="s">
        <v>566</v>
      </c>
      <c r="J1836" s="28" t="s">
        <v>5916</v>
      </c>
      <c r="K1836" s="28" t="s">
        <v>5917</v>
      </c>
      <c r="L1836" s="28" t="s">
        <v>66</v>
      </c>
      <c r="M1836" s="28" t="s">
        <v>21</v>
      </c>
      <c r="O1836" s="92">
        <v>37697</v>
      </c>
      <c r="P1836" s="28" t="s">
        <v>21</v>
      </c>
      <c r="Q1836" s="26" t="b">
        <v>0</v>
      </c>
      <c r="R1836" s="22">
        <f t="shared" si="29"/>
        <v>1279</v>
      </c>
    </row>
    <row r="1837" spans="1:18">
      <c r="A1837" s="26">
        <v>5142</v>
      </c>
      <c r="B1837" s="27">
        <v>36419</v>
      </c>
      <c r="C1837" s="28" t="s">
        <v>5918</v>
      </c>
      <c r="D1837" s="27">
        <v>36416</v>
      </c>
      <c r="E1837" s="28" t="s">
        <v>5919</v>
      </c>
      <c r="F1837" s="28" t="s">
        <v>124</v>
      </c>
      <c r="G1837" s="28" t="s">
        <v>20</v>
      </c>
      <c r="H1837" s="28" t="s">
        <v>21</v>
      </c>
      <c r="I1837" s="28" t="s">
        <v>21</v>
      </c>
      <c r="J1837" s="28" t="s">
        <v>2547</v>
      </c>
      <c r="K1837" s="28" t="s">
        <v>5920</v>
      </c>
      <c r="L1837" s="28" t="s">
        <v>66</v>
      </c>
      <c r="M1837" s="28" t="s">
        <v>21</v>
      </c>
      <c r="O1837" s="92">
        <v>36448</v>
      </c>
      <c r="P1837" s="28" t="s">
        <v>31</v>
      </c>
      <c r="Q1837" s="26" t="b">
        <v>0</v>
      </c>
      <c r="R1837" s="22">
        <f t="shared" si="29"/>
        <v>29</v>
      </c>
    </row>
    <row r="1838" spans="1:18">
      <c r="A1838" s="26">
        <v>5143</v>
      </c>
      <c r="B1838" s="27">
        <v>36423</v>
      </c>
      <c r="C1838" s="28" t="s">
        <v>5921</v>
      </c>
      <c r="D1838" s="27">
        <v>36420</v>
      </c>
      <c r="E1838" s="28" t="s">
        <v>5922</v>
      </c>
      <c r="F1838" s="28" t="s">
        <v>3579</v>
      </c>
      <c r="G1838" s="28" t="s">
        <v>20</v>
      </c>
      <c r="H1838" s="28" t="s">
        <v>21</v>
      </c>
      <c r="I1838" s="28" t="s">
        <v>21</v>
      </c>
      <c r="J1838" s="28" t="s">
        <v>5923</v>
      </c>
      <c r="K1838" s="28" t="s">
        <v>5924</v>
      </c>
      <c r="L1838" s="28" t="s">
        <v>821</v>
      </c>
      <c r="M1838" s="28" t="s">
        <v>21</v>
      </c>
      <c r="O1838" s="92">
        <v>36448</v>
      </c>
      <c r="P1838" s="28" t="s">
        <v>31</v>
      </c>
      <c r="Q1838" s="26" t="b">
        <v>0</v>
      </c>
      <c r="R1838" s="22">
        <f t="shared" si="29"/>
        <v>25</v>
      </c>
    </row>
    <row r="1839" spans="1:18">
      <c r="A1839" s="26">
        <v>5144</v>
      </c>
      <c r="B1839" s="27">
        <v>36427</v>
      </c>
      <c r="C1839" s="28" t="s">
        <v>5925</v>
      </c>
      <c r="D1839" s="27">
        <v>36426</v>
      </c>
      <c r="E1839" s="28" t="s">
        <v>5926</v>
      </c>
      <c r="F1839" s="28" t="s">
        <v>39</v>
      </c>
      <c r="G1839" s="28" t="s">
        <v>20</v>
      </c>
      <c r="H1839" s="28" t="s">
        <v>21</v>
      </c>
      <c r="I1839" s="28" t="s">
        <v>21</v>
      </c>
      <c r="J1839" s="28" t="s">
        <v>5927</v>
      </c>
      <c r="K1839" s="28" t="s">
        <v>5928</v>
      </c>
      <c r="L1839" s="28" t="s">
        <v>66</v>
      </c>
      <c r="M1839" s="28" t="s">
        <v>21</v>
      </c>
      <c r="O1839" s="92">
        <v>36812</v>
      </c>
      <c r="P1839" s="28" t="s">
        <v>21</v>
      </c>
      <c r="Q1839" s="26" t="b">
        <v>0</v>
      </c>
      <c r="R1839" s="22">
        <f t="shared" si="29"/>
        <v>384</v>
      </c>
    </row>
    <row r="1840" spans="1:18">
      <c r="A1840" s="26">
        <v>5147</v>
      </c>
      <c r="B1840" s="27">
        <v>36433</v>
      </c>
      <c r="C1840" s="28" t="s">
        <v>5929</v>
      </c>
      <c r="D1840" s="27">
        <v>36433</v>
      </c>
      <c r="E1840" s="28" t="s">
        <v>3116</v>
      </c>
      <c r="F1840" s="28" t="s">
        <v>149</v>
      </c>
      <c r="G1840" s="28" t="s">
        <v>20</v>
      </c>
      <c r="H1840" s="28" t="s">
        <v>21</v>
      </c>
      <c r="I1840" s="28" t="s">
        <v>21</v>
      </c>
      <c r="J1840" s="28" t="s">
        <v>5930</v>
      </c>
      <c r="K1840" s="28" t="s">
        <v>21</v>
      </c>
      <c r="L1840" s="28" t="s">
        <v>66</v>
      </c>
      <c r="M1840" s="28" t="s">
        <v>21</v>
      </c>
      <c r="O1840" s="92">
        <v>36469</v>
      </c>
      <c r="P1840" s="28" t="s">
        <v>21</v>
      </c>
      <c r="Q1840" s="26" t="b">
        <v>0</v>
      </c>
      <c r="R1840" s="22">
        <f t="shared" si="29"/>
        <v>35</v>
      </c>
    </row>
    <row r="1841" spans="1:18">
      <c r="A1841" s="26">
        <v>5149</v>
      </c>
      <c r="B1841" s="27">
        <v>36437</v>
      </c>
      <c r="C1841" s="28" t="s">
        <v>5931</v>
      </c>
      <c r="D1841" s="27">
        <v>36250</v>
      </c>
      <c r="E1841" s="28" t="s">
        <v>3116</v>
      </c>
      <c r="F1841" s="28" t="s">
        <v>19</v>
      </c>
      <c r="G1841" s="28" t="s">
        <v>20</v>
      </c>
      <c r="H1841" s="28" t="s">
        <v>21</v>
      </c>
      <c r="I1841" s="28" t="s">
        <v>21</v>
      </c>
      <c r="J1841" s="28" t="s">
        <v>5932</v>
      </c>
      <c r="K1841" s="28" t="s">
        <v>5933</v>
      </c>
      <c r="L1841" s="28" t="s">
        <v>66</v>
      </c>
      <c r="M1841" s="28" t="s">
        <v>21</v>
      </c>
      <c r="O1841" s="92">
        <v>36487</v>
      </c>
      <c r="P1841" s="28" t="s">
        <v>21</v>
      </c>
      <c r="Q1841" s="26" t="b">
        <v>0</v>
      </c>
      <c r="R1841" s="22">
        <f t="shared" si="29"/>
        <v>49</v>
      </c>
    </row>
    <row r="1842" spans="1:18">
      <c r="A1842" s="26">
        <v>5150</v>
      </c>
      <c r="B1842" s="27">
        <v>36437</v>
      </c>
      <c r="C1842" s="28" t="s">
        <v>5934</v>
      </c>
      <c r="D1842" s="27">
        <v>35454</v>
      </c>
      <c r="E1842" s="28" t="s">
        <v>5935</v>
      </c>
      <c r="F1842" s="28" t="s">
        <v>494</v>
      </c>
      <c r="G1842" s="28" t="s">
        <v>20</v>
      </c>
      <c r="H1842" s="28" t="s">
        <v>212</v>
      </c>
      <c r="I1842" s="28" t="s">
        <v>212</v>
      </c>
      <c r="J1842" s="28" t="s">
        <v>5936</v>
      </c>
      <c r="K1842" s="28" t="s">
        <v>5937</v>
      </c>
      <c r="L1842" s="28" t="s">
        <v>821</v>
      </c>
      <c r="M1842" s="28" t="s">
        <v>21</v>
      </c>
      <c r="O1842" s="92">
        <v>36794</v>
      </c>
      <c r="P1842" s="28" t="s">
        <v>31</v>
      </c>
      <c r="Q1842" s="26" t="b">
        <v>0</v>
      </c>
      <c r="R1842" s="22">
        <f t="shared" si="29"/>
        <v>355</v>
      </c>
    </row>
    <row r="1843" spans="1:18">
      <c r="A1843" s="26">
        <v>5159</v>
      </c>
      <c r="B1843" s="27">
        <v>36443</v>
      </c>
      <c r="C1843" s="28" t="s">
        <v>5945</v>
      </c>
      <c r="D1843" s="27">
        <v>36438</v>
      </c>
      <c r="E1843" s="28" t="s">
        <v>5926</v>
      </c>
      <c r="F1843" s="28" t="s">
        <v>70</v>
      </c>
      <c r="G1843" s="28" t="s">
        <v>20</v>
      </c>
      <c r="H1843" s="28" t="s">
        <v>71</v>
      </c>
      <c r="I1843" s="28" t="s">
        <v>72</v>
      </c>
      <c r="J1843" s="28" t="s">
        <v>272</v>
      </c>
      <c r="K1843" s="28" t="s">
        <v>21</v>
      </c>
      <c r="L1843" s="28" t="s">
        <v>314</v>
      </c>
      <c r="M1843" s="28" t="s">
        <v>5749</v>
      </c>
      <c r="O1843" s="92">
        <v>37281</v>
      </c>
      <c r="P1843" s="28" t="s">
        <v>31</v>
      </c>
      <c r="Q1843" s="26" t="b">
        <v>0</v>
      </c>
      <c r="R1843" s="22">
        <f t="shared" si="29"/>
        <v>836</v>
      </c>
    </row>
    <row r="1844" spans="1:18">
      <c r="A1844" s="26">
        <v>5160</v>
      </c>
      <c r="B1844" s="27">
        <v>36443</v>
      </c>
      <c r="C1844" s="28" t="s">
        <v>5946</v>
      </c>
      <c r="D1844" s="27">
        <v>36439</v>
      </c>
      <c r="E1844" s="28" t="s">
        <v>283</v>
      </c>
      <c r="F1844" s="28" t="s">
        <v>85</v>
      </c>
      <c r="G1844" s="28" t="s">
        <v>20</v>
      </c>
      <c r="H1844" s="28" t="s">
        <v>21</v>
      </c>
      <c r="I1844" s="28" t="s">
        <v>21</v>
      </c>
      <c r="J1844" s="28" t="s">
        <v>5947</v>
      </c>
      <c r="K1844" s="28" t="s">
        <v>21</v>
      </c>
      <c r="L1844" s="28" t="s">
        <v>66</v>
      </c>
      <c r="M1844" s="28" t="s">
        <v>21</v>
      </c>
      <c r="O1844" s="92">
        <v>36497</v>
      </c>
      <c r="P1844" s="28" t="s">
        <v>21</v>
      </c>
      <c r="Q1844" s="26" t="b">
        <v>0</v>
      </c>
      <c r="R1844" s="22">
        <f t="shared" si="29"/>
        <v>53</v>
      </c>
    </row>
    <row r="1845" spans="1:18">
      <c r="A1845" s="26">
        <v>5154</v>
      </c>
      <c r="B1845" s="27">
        <v>36444</v>
      </c>
      <c r="C1845" s="28" t="s">
        <v>5938</v>
      </c>
      <c r="D1845" s="27">
        <v>36436</v>
      </c>
      <c r="E1845" s="28" t="s">
        <v>5914</v>
      </c>
      <c r="F1845" s="28" t="s">
        <v>149</v>
      </c>
      <c r="G1845" s="28" t="s">
        <v>20</v>
      </c>
      <c r="H1845" s="28" t="s">
        <v>21</v>
      </c>
      <c r="I1845" s="28" t="s">
        <v>21</v>
      </c>
      <c r="J1845" s="28" t="s">
        <v>5939</v>
      </c>
      <c r="K1845" s="28" t="s">
        <v>5940</v>
      </c>
      <c r="L1845" s="28" t="s">
        <v>3930</v>
      </c>
      <c r="M1845" s="28" t="s">
        <v>21</v>
      </c>
      <c r="O1845" s="92">
        <v>36445</v>
      </c>
      <c r="P1845" s="28" t="s">
        <v>21</v>
      </c>
      <c r="Q1845" s="26" t="b">
        <v>0</v>
      </c>
      <c r="R1845" s="22">
        <f t="shared" si="29"/>
        <v>1</v>
      </c>
    </row>
    <row r="1846" spans="1:18">
      <c r="A1846" s="26">
        <v>5157</v>
      </c>
      <c r="B1846" s="27">
        <v>36444</v>
      </c>
      <c r="C1846" s="28" t="s">
        <v>5943</v>
      </c>
      <c r="D1846" s="27">
        <v>36419</v>
      </c>
      <c r="E1846" s="28" t="s">
        <v>5944</v>
      </c>
      <c r="F1846" s="28" t="s">
        <v>242</v>
      </c>
      <c r="G1846" s="28" t="s">
        <v>20</v>
      </c>
      <c r="H1846" s="28" t="s">
        <v>21</v>
      </c>
      <c r="I1846" s="28" t="s">
        <v>21</v>
      </c>
      <c r="J1846" s="28" t="s">
        <v>272</v>
      </c>
      <c r="K1846" s="28" t="s">
        <v>2547</v>
      </c>
      <c r="L1846" s="28" t="s">
        <v>66</v>
      </c>
      <c r="M1846" s="28" t="s">
        <v>5749</v>
      </c>
      <c r="O1846" s="92">
        <v>37701</v>
      </c>
      <c r="P1846" s="28" t="s">
        <v>31</v>
      </c>
      <c r="Q1846" s="26" t="b">
        <v>0</v>
      </c>
      <c r="R1846" s="22">
        <f t="shared" si="29"/>
        <v>1257</v>
      </c>
    </row>
    <row r="1847" spans="1:18" ht="24">
      <c r="A1847" s="26">
        <v>5162</v>
      </c>
      <c r="B1847" s="27">
        <v>36447</v>
      </c>
      <c r="C1847" s="28" t="s">
        <v>5951</v>
      </c>
      <c r="D1847" s="27">
        <v>36445</v>
      </c>
      <c r="E1847" s="28" t="s">
        <v>5952</v>
      </c>
      <c r="F1847" s="28" t="s">
        <v>306</v>
      </c>
      <c r="G1847" s="28" t="s">
        <v>20</v>
      </c>
      <c r="H1847" s="28" t="s">
        <v>21</v>
      </c>
      <c r="I1847" s="28" t="s">
        <v>21</v>
      </c>
      <c r="J1847" s="28" t="s">
        <v>5953</v>
      </c>
      <c r="K1847" s="28" t="s">
        <v>21</v>
      </c>
      <c r="L1847" s="28" t="s">
        <v>66</v>
      </c>
      <c r="M1847" s="28" t="s">
        <v>21</v>
      </c>
      <c r="O1847" s="92">
        <v>36509</v>
      </c>
      <c r="P1847" s="28" t="s">
        <v>31</v>
      </c>
      <c r="Q1847" s="26" t="b">
        <v>0</v>
      </c>
      <c r="R1847" s="22">
        <f t="shared" si="29"/>
        <v>61</v>
      </c>
    </row>
    <row r="1848" spans="1:18">
      <c r="A1848" s="26">
        <v>5163</v>
      </c>
      <c r="B1848" s="27">
        <v>36447</v>
      </c>
      <c r="C1848" s="28" t="s">
        <v>5954</v>
      </c>
      <c r="D1848" s="27">
        <v>36447</v>
      </c>
      <c r="E1848" s="28" t="s">
        <v>283</v>
      </c>
      <c r="F1848" s="28" t="s">
        <v>741</v>
      </c>
      <c r="G1848" s="28" t="s">
        <v>20</v>
      </c>
      <c r="H1848" s="28" t="s">
        <v>21</v>
      </c>
      <c r="I1848" s="28" t="s">
        <v>21</v>
      </c>
      <c r="J1848" s="28" t="s">
        <v>5955</v>
      </c>
      <c r="K1848" s="28" t="s">
        <v>5956</v>
      </c>
      <c r="L1848" s="28" t="s">
        <v>66</v>
      </c>
      <c r="M1848" s="28" t="s">
        <v>21</v>
      </c>
      <c r="O1848" s="92">
        <v>36462</v>
      </c>
      <c r="P1848" s="28" t="s">
        <v>21</v>
      </c>
      <c r="Q1848" s="26" t="b">
        <v>0</v>
      </c>
      <c r="R1848" s="22">
        <f t="shared" si="29"/>
        <v>15</v>
      </c>
    </row>
    <row r="1849" spans="1:18">
      <c r="A1849" s="26">
        <v>5161</v>
      </c>
      <c r="B1849" s="27">
        <v>36448</v>
      </c>
      <c r="C1849" s="28" t="s">
        <v>5948</v>
      </c>
      <c r="D1849" s="27">
        <v>36089</v>
      </c>
      <c r="E1849" s="28" t="s">
        <v>5949</v>
      </c>
      <c r="F1849" s="28" t="s">
        <v>3171</v>
      </c>
      <c r="G1849" s="28" t="s">
        <v>20</v>
      </c>
      <c r="H1849" s="28" t="s">
        <v>566</v>
      </c>
      <c r="I1849" s="28" t="s">
        <v>566</v>
      </c>
      <c r="J1849" s="28" t="s">
        <v>5950</v>
      </c>
      <c r="K1849" s="28" t="s">
        <v>21</v>
      </c>
      <c r="L1849" s="28" t="s">
        <v>66</v>
      </c>
      <c r="M1849" s="28" t="s">
        <v>21</v>
      </c>
      <c r="O1849" s="92">
        <v>36453</v>
      </c>
      <c r="P1849" s="28" t="s">
        <v>21</v>
      </c>
      <c r="Q1849" s="26" t="b">
        <v>0</v>
      </c>
      <c r="R1849" s="22">
        <f t="shared" si="29"/>
        <v>5</v>
      </c>
    </row>
    <row r="1850" spans="1:18">
      <c r="A1850" s="26">
        <v>5164</v>
      </c>
      <c r="B1850" s="27">
        <v>36451</v>
      </c>
      <c r="C1850" s="28" t="s">
        <v>5957</v>
      </c>
      <c r="D1850" s="27">
        <v>36438</v>
      </c>
      <c r="E1850" s="28" t="s">
        <v>5958</v>
      </c>
      <c r="F1850" s="28" t="s">
        <v>39</v>
      </c>
      <c r="G1850" s="28" t="s">
        <v>20</v>
      </c>
      <c r="H1850" s="28" t="s">
        <v>21</v>
      </c>
      <c r="I1850" s="28" t="s">
        <v>21</v>
      </c>
      <c r="J1850" s="28" t="s">
        <v>5959</v>
      </c>
      <c r="K1850" s="28" t="s">
        <v>21</v>
      </c>
      <c r="L1850" s="28" t="s">
        <v>66</v>
      </c>
      <c r="M1850" s="28" t="s">
        <v>21</v>
      </c>
      <c r="O1850" s="92">
        <v>36468</v>
      </c>
      <c r="P1850" s="28" t="s">
        <v>21</v>
      </c>
      <c r="Q1850" s="26" t="b">
        <v>0</v>
      </c>
      <c r="R1850" s="22">
        <f t="shared" si="29"/>
        <v>16</v>
      </c>
    </row>
    <row r="1851" spans="1:18">
      <c r="A1851" s="26">
        <v>5165</v>
      </c>
      <c r="B1851" s="27">
        <v>36451</v>
      </c>
      <c r="C1851" s="28" t="s">
        <v>5960</v>
      </c>
      <c r="D1851" s="27">
        <v>36446</v>
      </c>
      <c r="E1851" s="28" t="s">
        <v>38</v>
      </c>
      <c r="F1851" s="28" t="s">
        <v>124</v>
      </c>
      <c r="G1851" s="28" t="s">
        <v>20</v>
      </c>
      <c r="H1851" s="28" t="s">
        <v>21</v>
      </c>
      <c r="I1851" s="28" t="s">
        <v>21</v>
      </c>
      <c r="J1851" s="28" t="s">
        <v>5961</v>
      </c>
      <c r="K1851" s="28" t="s">
        <v>3020</v>
      </c>
      <c r="L1851" s="28" t="s">
        <v>66</v>
      </c>
      <c r="M1851" s="28" t="s">
        <v>21</v>
      </c>
      <c r="O1851" s="92">
        <v>36549</v>
      </c>
      <c r="P1851" s="28" t="s">
        <v>31</v>
      </c>
      <c r="Q1851" s="26" t="b">
        <v>0</v>
      </c>
      <c r="R1851" s="22">
        <f t="shared" si="29"/>
        <v>97</v>
      </c>
    </row>
    <row r="1852" spans="1:18">
      <c r="A1852" s="26">
        <v>5167</v>
      </c>
      <c r="B1852" s="27">
        <v>36458</v>
      </c>
      <c r="C1852" s="28" t="s">
        <v>5962</v>
      </c>
      <c r="D1852" s="27">
        <v>36453</v>
      </c>
      <c r="E1852" s="28" t="s">
        <v>5963</v>
      </c>
      <c r="F1852" s="28" t="s">
        <v>70</v>
      </c>
      <c r="G1852" s="28" t="s">
        <v>20</v>
      </c>
      <c r="H1852" s="28" t="s">
        <v>71</v>
      </c>
      <c r="I1852" s="28" t="s">
        <v>72</v>
      </c>
      <c r="J1852" s="28" t="s">
        <v>1712</v>
      </c>
      <c r="K1852" s="28" t="s">
        <v>5964</v>
      </c>
      <c r="L1852" s="28" t="s">
        <v>821</v>
      </c>
      <c r="M1852" s="28" t="s">
        <v>21</v>
      </c>
      <c r="O1852" s="92">
        <v>36474</v>
      </c>
      <c r="P1852" s="28" t="s">
        <v>31</v>
      </c>
      <c r="Q1852" s="26" t="b">
        <v>0</v>
      </c>
      <c r="R1852" s="22">
        <f t="shared" si="29"/>
        <v>15</v>
      </c>
    </row>
    <row r="1853" spans="1:18">
      <c r="A1853" s="26">
        <v>5168</v>
      </c>
      <c r="B1853" s="27">
        <v>36459</v>
      </c>
      <c r="C1853" s="28" t="s">
        <v>5965</v>
      </c>
      <c r="D1853" s="27">
        <v>36447</v>
      </c>
      <c r="E1853" s="28" t="s">
        <v>1432</v>
      </c>
      <c r="F1853" s="28" t="s">
        <v>124</v>
      </c>
      <c r="G1853" s="28" t="s">
        <v>20</v>
      </c>
      <c r="H1853" s="28" t="s">
        <v>21</v>
      </c>
      <c r="I1853" s="28" t="s">
        <v>21</v>
      </c>
      <c r="J1853" s="28" t="s">
        <v>3655</v>
      </c>
      <c r="K1853" s="28" t="s">
        <v>5966</v>
      </c>
      <c r="L1853" s="28" t="s">
        <v>4282</v>
      </c>
      <c r="M1853" s="28" t="s">
        <v>5967</v>
      </c>
      <c r="O1853" s="92">
        <v>37208</v>
      </c>
      <c r="P1853" s="28" t="s">
        <v>31</v>
      </c>
      <c r="Q1853" s="26" t="b">
        <v>0</v>
      </c>
      <c r="R1853" s="22">
        <f t="shared" si="29"/>
        <v>747</v>
      </c>
    </row>
    <row r="1854" spans="1:18">
      <c r="A1854" s="26">
        <v>5169</v>
      </c>
      <c r="B1854" s="27">
        <v>36466</v>
      </c>
      <c r="C1854" s="28" t="s">
        <v>5968</v>
      </c>
      <c r="D1854" s="27">
        <v>36451</v>
      </c>
      <c r="E1854" s="28" t="s">
        <v>5969</v>
      </c>
      <c r="F1854" s="28" t="s">
        <v>3434</v>
      </c>
      <c r="G1854" s="28" t="s">
        <v>20</v>
      </c>
      <c r="H1854" s="28" t="s">
        <v>21</v>
      </c>
      <c r="I1854" s="28" t="s">
        <v>21</v>
      </c>
      <c r="J1854" s="28" t="s">
        <v>5970</v>
      </c>
      <c r="K1854" s="28" t="s">
        <v>21</v>
      </c>
      <c r="L1854" s="28" t="s">
        <v>821</v>
      </c>
      <c r="M1854" s="28" t="s">
        <v>21</v>
      </c>
      <c r="O1854" s="92">
        <v>36586</v>
      </c>
      <c r="P1854" s="28" t="s">
        <v>31</v>
      </c>
      <c r="Q1854" s="26" t="b">
        <v>0</v>
      </c>
      <c r="R1854" s="22">
        <f t="shared" si="29"/>
        <v>120</v>
      </c>
    </row>
    <row r="1855" spans="1:18">
      <c r="A1855" s="26">
        <v>5170</v>
      </c>
      <c r="B1855" s="27">
        <v>36466</v>
      </c>
      <c r="C1855" s="28" t="s">
        <v>5971</v>
      </c>
      <c r="D1855" s="27">
        <v>36445</v>
      </c>
      <c r="E1855" s="28" t="s">
        <v>5972</v>
      </c>
      <c r="F1855" s="28" t="s">
        <v>3434</v>
      </c>
      <c r="G1855" s="28" t="s">
        <v>20</v>
      </c>
      <c r="H1855" s="28" t="s">
        <v>21</v>
      </c>
      <c r="I1855" s="28" t="s">
        <v>21</v>
      </c>
      <c r="J1855" s="28" t="s">
        <v>5973</v>
      </c>
      <c r="K1855" s="28" t="s">
        <v>21</v>
      </c>
      <c r="L1855" s="28" t="s">
        <v>821</v>
      </c>
      <c r="M1855" s="28" t="s">
        <v>21</v>
      </c>
      <c r="O1855" s="92">
        <v>36586</v>
      </c>
      <c r="P1855" s="28" t="s">
        <v>31</v>
      </c>
      <c r="Q1855" s="26" t="b">
        <v>0</v>
      </c>
      <c r="R1855" s="22">
        <f t="shared" si="29"/>
        <v>120</v>
      </c>
    </row>
    <row r="1856" spans="1:18">
      <c r="A1856" s="26">
        <v>5171</v>
      </c>
      <c r="B1856" s="27">
        <v>36466</v>
      </c>
      <c r="C1856" s="28" t="s">
        <v>5974</v>
      </c>
      <c r="D1856" s="27">
        <v>36465</v>
      </c>
      <c r="E1856" s="28" t="s">
        <v>5975</v>
      </c>
      <c r="F1856" s="28" t="s">
        <v>990</v>
      </c>
      <c r="G1856" s="28" t="s">
        <v>20</v>
      </c>
      <c r="H1856" s="28" t="s">
        <v>21</v>
      </c>
      <c r="I1856" s="28" t="s">
        <v>21</v>
      </c>
      <c r="J1856" s="28" t="s">
        <v>5976</v>
      </c>
      <c r="K1856" s="28" t="s">
        <v>272</v>
      </c>
      <c r="L1856" s="28" t="s">
        <v>821</v>
      </c>
      <c r="M1856" s="28" t="s">
        <v>21</v>
      </c>
      <c r="O1856" s="92">
        <v>36586</v>
      </c>
      <c r="P1856" s="28" t="s">
        <v>31</v>
      </c>
      <c r="Q1856" s="26" t="b">
        <v>0</v>
      </c>
      <c r="R1856" s="22">
        <f t="shared" si="29"/>
        <v>120</v>
      </c>
    </row>
    <row r="1857" spans="1:18">
      <c r="A1857" s="26">
        <v>5172</v>
      </c>
      <c r="B1857" s="27">
        <v>36466</v>
      </c>
      <c r="C1857" s="28" t="s">
        <v>5977</v>
      </c>
      <c r="D1857" s="27">
        <v>36445</v>
      </c>
      <c r="E1857" s="28" t="s">
        <v>5978</v>
      </c>
      <c r="F1857" s="28" t="s">
        <v>3434</v>
      </c>
      <c r="G1857" s="28" t="s">
        <v>20</v>
      </c>
      <c r="H1857" s="28" t="s">
        <v>21</v>
      </c>
      <c r="I1857" s="28" t="s">
        <v>21</v>
      </c>
      <c r="J1857" s="28" t="s">
        <v>5973</v>
      </c>
      <c r="K1857" s="28" t="s">
        <v>21</v>
      </c>
      <c r="L1857" s="28" t="s">
        <v>821</v>
      </c>
      <c r="M1857" s="28" t="s">
        <v>21</v>
      </c>
      <c r="O1857" s="92">
        <v>36586</v>
      </c>
      <c r="P1857" s="28" t="s">
        <v>31</v>
      </c>
      <c r="Q1857" s="26" t="b">
        <v>0</v>
      </c>
      <c r="R1857" s="22">
        <f t="shared" si="29"/>
        <v>120</v>
      </c>
    </row>
    <row r="1858" spans="1:18">
      <c r="A1858" s="26">
        <v>5173</v>
      </c>
      <c r="B1858" s="27">
        <v>36476</v>
      </c>
      <c r="C1858" s="28" t="s">
        <v>5979</v>
      </c>
      <c r="D1858" s="27">
        <v>36473</v>
      </c>
      <c r="E1858" s="28" t="s">
        <v>5980</v>
      </c>
      <c r="F1858" s="28" t="s">
        <v>39</v>
      </c>
      <c r="G1858" s="28" t="s">
        <v>20</v>
      </c>
      <c r="H1858" s="28" t="s">
        <v>21</v>
      </c>
      <c r="I1858" s="28" t="s">
        <v>21</v>
      </c>
      <c r="J1858" s="28" t="s">
        <v>5981</v>
      </c>
      <c r="K1858" s="28" t="s">
        <v>5982</v>
      </c>
      <c r="L1858" s="28" t="s">
        <v>4282</v>
      </c>
      <c r="M1858" s="28" t="s">
        <v>3930</v>
      </c>
      <c r="O1858" s="92">
        <v>38026</v>
      </c>
      <c r="P1858" s="28" t="s">
        <v>21</v>
      </c>
      <c r="Q1858" s="26" t="b">
        <v>0</v>
      </c>
      <c r="R1858" s="22">
        <f t="shared" si="29"/>
        <v>1548</v>
      </c>
    </row>
    <row r="1859" spans="1:18">
      <c r="A1859" s="26">
        <v>5174</v>
      </c>
      <c r="B1859" s="27">
        <v>36478</v>
      </c>
      <c r="C1859" s="28" t="s">
        <v>5983</v>
      </c>
      <c r="D1859" s="27">
        <v>36462</v>
      </c>
      <c r="E1859" s="28" t="s">
        <v>5984</v>
      </c>
      <c r="F1859" s="28" t="s">
        <v>2296</v>
      </c>
      <c r="G1859" s="28" t="s">
        <v>20</v>
      </c>
      <c r="H1859" s="28" t="s">
        <v>566</v>
      </c>
      <c r="I1859" s="28" t="s">
        <v>566</v>
      </c>
      <c r="J1859" s="28" t="s">
        <v>5985</v>
      </c>
      <c r="K1859" s="28" t="s">
        <v>5986</v>
      </c>
      <c r="L1859" s="28" t="s">
        <v>4282</v>
      </c>
      <c r="M1859" s="28" t="s">
        <v>821</v>
      </c>
      <c r="O1859" s="92">
        <v>38538</v>
      </c>
      <c r="P1859" s="28" t="s">
        <v>21</v>
      </c>
      <c r="Q1859" s="26" t="b">
        <v>0</v>
      </c>
      <c r="R1859" s="22">
        <f t="shared" si="29"/>
        <v>2059</v>
      </c>
    </row>
    <row r="1860" spans="1:18">
      <c r="A1860" s="26">
        <v>6442</v>
      </c>
      <c r="B1860" s="27">
        <v>36479</v>
      </c>
      <c r="C1860" s="28" t="s">
        <v>7316</v>
      </c>
      <c r="D1860" s="27">
        <v>36479</v>
      </c>
      <c r="E1860" s="28" t="s">
        <v>4172</v>
      </c>
      <c r="F1860" s="28" t="s">
        <v>70</v>
      </c>
      <c r="G1860" s="28" t="s">
        <v>20</v>
      </c>
      <c r="H1860" s="28" t="s">
        <v>71</v>
      </c>
      <c r="I1860" s="28" t="s">
        <v>72</v>
      </c>
      <c r="J1860" s="28" t="s">
        <v>7317</v>
      </c>
      <c r="K1860" s="28" t="s">
        <v>7318</v>
      </c>
      <c r="L1860" s="28" t="s">
        <v>66</v>
      </c>
      <c r="M1860" s="28" t="s">
        <v>21</v>
      </c>
      <c r="O1860" s="92">
        <v>36486</v>
      </c>
      <c r="P1860" s="28" t="s">
        <v>21</v>
      </c>
      <c r="Q1860" s="26" t="b">
        <v>0</v>
      </c>
      <c r="R1860" s="22">
        <f t="shared" si="29"/>
        <v>7</v>
      </c>
    </row>
    <row r="1861" spans="1:18" ht="24">
      <c r="A1861" s="26">
        <v>5181</v>
      </c>
      <c r="B1861" s="27">
        <v>36482</v>
      </c>
      <c r="C1861" s="28" t="s">
        <v>6001</v>
      </c>
      <c r="D1861" s="27">
        <v>36479</v>
      </c>
      <c r="E1861" s="28" t="s">
        <v>6002</v>
      </c>
      <c r="F1861" s="28" t="s">
        <v>70</v>
      </c>
      <c r="G1861" s="28" t="s">
        <v>20</v>
      </c>
      <c r="H1861" s="28" t="s">
        <v>71</v>
      </c>
      <c r="I1861" s="28" t="s">
        <v>72</v>
      </c>
      <c r="J1861" s="28" t="s">
        <v>6003</v>
      </c>
      <c r="K1861" s="28" t="s">
        <v>21</v>
      </c>
      <c r="L1861" s="28" t="s">
        <v>4579</v>
      </c>
      <c r="M1861" s="28" t="s">
        <v>6004</v>
      </c>
      <c r="O1861" s="92">
        <v>39114</v>
      </c>
      <c r="P1861" s="28" t="s">
        <v>21</v>
      </c>
      <c r="Q1861" s="26" t="b">
        <v>0</v>
      </c>
      <c r="R1861" s="22">
        <f t="shared" si="29"/>
        <v>2629</v>
      </c>
    </row>
    <row r="1862" spans="1:18" ht="36">
      <c r="A1862" s="26">
        <v>5176</v>
      </c>
      <c r="B1862" s="27">
        <v>36483</v>
      </c>
      <c r="C1862" s="28" t="s">
        <v>5650</v>
      </c>
      <c r="D1862" s="27">
        <v>36217</v>
      </c>
      <c r="E1862" s="28" t="s">
        <v>5987</v>
      </c>
      <c r="F1862" s="28" t="s">
        <v>5988</v>
      </c>
      <c r="G1862" s="28" t="s">
        <v>20</v>
      </c>
      <c r="H1862" s="28" t="s">
        <v>21</v>
      </c>
      <c r="I1862" s="28" t="s">
        <v>21</v>
      </c>
      <c r="J1862" s="28" t="s">
        <v>5652</v>
      </c>
      <c r="K1862" s="28" t="s">
        <v>5989</v>
      </c>
      <c r="L1862" s="28" t="s">
        <v>3588</v>
      </c>
      <c r="M1862" s="28" t="s">
        <v>5990</v>
      </c>
      <c r="O1862" s="92">
        <v>39521</v>
      </c>
      <c r="P1862" s="28" t="s">
        <v>21</v>
      </c>
      <c r="Q1862" s="26" t="b">
        <v>0</v>
      </c>
      <c r="R1862" s="22">
        <f t="shared" si="29"/>
        <v>3036</v>
      </c>
    </row>
    <row r="1863" spans="1:18">
      <c r="A1863" s="26">
        <v>5177</v>
      </c>
      <c r="B1863" s="27">
        <v>36486</v>
      </c>
      <c r="C1863" s="28" t="s">
        <v>5991</v>
      </c>
      <c r="D1863" s="27">
        <v>36486</v>
      </c>
      <c r="E1863" s="28" t="s">
        <v>5992</v>
      </c>
      <c r="F1863" s="28" t="s">
        <v>52</v>
      </c>
      <c r="G1863" s="28" t="s">
        <v>20</v>
      </c>
      <c r="H1863" s="28" t="s">
        <v>21</v>
      </c>
      <c r="I1863" s="28" t="s">
        <v>21</v>
      </c>
      <c r="J1863" s="28" t="s">
        <v>5993</v>
      </c>
      <c r="K1863" s="28" t="s">
        <v>5994</v>
      </c>
      <c r="L1863" s="28" t="s">
        <v>3930</v>
      </c>
      <c r="M1863" s="28" t="s">
        <v>21</v>
      </c>
      <c r="O1863" s="92">
        <v>36539</v>
      </c>
      <c r="P1863" s="28" t="s">
        <v>21</v>
      </c>
      <c r="Q1863" s="26" t="b">
        <v>0</v>
      </c>
      <c r="R1863" s="22">
        <f t="shared" si="29"/>
        <v>52</v>
      </c>
    </row>
    <row r="1864" spans="1:18">
      <c r="A1864" s="26">
        <v>5178</v>
      </c>
      <c r="B1864" s="27">
        <v>36487</v>
      </c>
      <c r="C1864" s="28" t="s">
        <v>5995</v>
      </c>
      <c r="D1864" s="27">
        <v>36471</v>
      </c>
      <c r="E1864" s="28" t="s">
        <v>5996</v>
      </c>
      <c r="F1864" s="28" t="s">
        <v>124</v>
      </c>
      <c r="G1864" s="28" t="s">
        <v>20</v>
      </c>
      <c r="H1864" s="28" t="s">
        <v>21</v>
      </c>
      <c r="I1864" s="28" t="s">
        <v>21</v>
      </c>
      <c r="J1864" s="28" t="s">
        <v>5997</v>
      </c>
      <c r="K1864" s="28" t="s">
        <v>21</v>
      </c>
      <c r="L1864" s="28" t="s">
        <v>314</v>
      </c>
      <c r="M1864" s="28" t="s">
        <v>5749</v>
      </c>
      <c r="O1864" s="92">
        <v>37237</v>
      </c>
      <c r="P1864" s="28" t="s">
        <v>31</v>
      </c>
      <c r="Q1864" s="26" t="b">
        <v>0</v>
      </c>
      <c r="R1864" s="22">
        <f t="shared" si="29"/>
        <v>749</v>
      </c>
    </row>
    <row r="1865" spans="1:18" ht="24">
      <c r="A1865" s="26">
        <v>5179</v>
      </c>
      <c r="B1865" s="27">
        <v>36487</v>
      </c>
      <c r="C1865" s="28" t="s">
        <v>5998</v>
      </c>
      <c r="D1865" s="27">
        <v>36457</v>
      </c>
      <c r="E1865" s="28" t="s">
        <v>5999</v>
      </c>
      <c r="F1865" s="28" t="s">
        <v>124</v>
      </c>
      <c r="G1865" s="28" t="s">
        <v>20</v>
      </c>
      <c r="H1865" s="28" t="s">
        <v>21</v>
      </c>
      <c r="I1865" s="28" t="s">
        <v>21</v>
      </c>
      <c r="J1865" s="28" t="s">
        <v>6000</v>
      </c>
      <c r="K1865" s="28" t="s">
        <v>5997</v>
      </c>
      <c r="L1865" s="28" t="s">
        <v>3526</v>
      </c>
      <c r="M1865" s="28" t="s">
        <v>821</v>
      </c>
      <c r="O1865" s="92">
        <v>37221</v>
      </c>
      <c r="P1865" s="28" t="s">
        <v>31</v>
      </c>
      <c r="Q1865" s="26" t="b">
        <v>0</v>
      </c>
      <c r="R1865" s="22">
        <f t="shared" si="29"/>
        <v>733</v>
      </c>
    </row>
    <row r="1866" spans="1:18">
      <c r="A1866" s="26">
        <v>5182</v>
      </c>
      <c r="B1866" s="27">
        <v>36493</v>
      </c>
      <c r="C1866" s="28" t="s">
        <v>6005</v>
      </c>
      <c r="D1866" s="27">
        <v>36493</v>
      </c>
      <c r="E1866" s="28" t="s">
        <v>6006</v>
      </c>
      <c r="F1866" s="28" t="s">
        <v>283</v>
      </c>
      <c r="G1866" s="28" t="s">
        <v>20</v>
      </c>
      <c r="H1866" s="28" t="s">
        <v>21</v>
      </c>
      <c r="I1866" s="28" t="s">
        <v>21</v>
      </c>
      <c r="J1866" s="28" t="s">
        <v>6007</v>
      </c>
      <c r="K1866" s="28" t="s">
        <v>21</v>
      </c>
      <c r="L1866" s="28" t="s">
        <v>66</v>
      </c>
      <c r="M1866" s="28" t="s">
        <v>21</v>
      </c>
      <c r="O1866" s="92">
        <v>36553</v>
      </c>
      <c r="P1866" s="28" t="s">
        <v>31</v>
      </c>
      <c r="Q1866" s="26" t="b">
        <v>0</v>
      </c>
      <c r="R1866" s="22">
        <f t="shared" si="29"/>
        <v>59</v>
      </c>
    </row>
    <row r="1867" spans="1:18">
      <c r="A1867" s="26">
        <v>5183</v>
      </c>
      <c r="B1867" s="27">
        <v>36493</v>
      </c>
      <c r="C1867" s="28" t="s">
        <v>6008</v>
      </c>
      <c r="D1867" s="27">
        <v>36465</v>
      </c>
      <c r="E1867" s="28" t="s">
        <v>1432</v>
      </c>
      <c r="F1867" s="28" t="s">
        <v>124</v>
      </c>
      <c r="G1867" s="28" t="s">
        <v>20</v>
      </c>
      <c r="H1867" s="28" t="s">
        <v>21</v>
      </c>
      <c r="I1867" s="28" t="s">
        <v>21</v>
      </c>
      <c r="J1867" s="28" t="s">
        <v>6009</v>
      </c>
      <c r="K1867" s="28" t="s">
        <v>6010</v>
      </c>
      <c r="L1867" s="28" t="s">
        <v>66</v>
      </c>
      <c r="M1867" s="28" t="s">
        <v>21</v>
      </c>
      <c r="O1867" s="92">
        <v>36794</v>
      </c>
      <c r="P1867" s="28" t="s">
        <v>31</v>
      </c>
      <c r="Q1867" s="26" t="b">
        <v>0</v>
      </c>
      <c r="R1867" s="22">
        <f t="shared" si="29"/>
        <v>300</v>
      </c>
    </row>
    <row r="1868" spans="1:18" ht="24">
      <c r="A1868" s="26">
        <v>5184</v>
      </c>
      <c r="B1868" s="27">
        <v>36493</v>
      </c>
      <c r="C1868" s="28" t="s">
        <v>6011</v>
      </c>
      <c r="D1868" s="27">
        <v>36465</v>
      </c>
      <c r="E1868" s="28" t="s">
        <v>1432</v>
      </c>
      <c r="F1868" s="28" t="s">
        <v>124</v>
      </c>
      <c r="G1868" s="28" t="s">
        <v>20</v>
      </c>
      <c r="H1868" s="28" t="s">
        <v>21</v>
      </c>
      <c r="I1868" s="28" t="s">
        <v>21</v>
      </c>
      <c r="J1868" s="28" t="s">
        <v>6012</v>
      </c>
      <c r="K1868" s="28" t="s">
        <v>6013</v>
      </c>
      <c r="L1868" s="28" t="s">
        <v>4282</v>
      </c>
      <c r="M1868" s="28" t="s">
        <v>66</v>
      </c>
      <c r="O1868" s="92">
        <v>37208</v>
      </c>
      <c r="P1868" s="28" t="s">
        <v>31</v>
      </c>
      <c r="Q1868" s="26" t="b">
        <v>0</v>
      </c>
      <c r="R1868" s="22">
        <f t="shared" si="29"/>
        <v>713</v>
      </c>
    </row>
    <row r="1869" spans="1:18">
      <c r="A1869" s="26">
        <v>5186</v>
      </c>
      <c r="B1869" s="27">
        <v>36496</v>
      </c>
      <c r="C1869" s="28" t="s">
        <v>6014</v>
      </c>
      <c r="D1869" s="27">
        <v>36496</v>
      </c>
      <c r="E1869" s="28" t="s">
        <v>6015</v>
      </c>
      <c r="F1869" s="28" t="s">
        <v>5690</v>
      </c>
      <c r="G1869" s="28" t="s">
        <v>20</v>
      </c>
      <c r="H1869" s="28" t="s">
        <v>71</v>
      </c>
      <c r="I1869" s="28" t="s">
        <v>72</v>
      </c>
      <c r="J1869" s="28" t="s">
        <v>6016</v>
      </c>
      <c r="K1869" s="28" t="s">
        <v>21</v>
      </c>
      <c r="L1869" s="28" t="s">
        <v>4282</v>
      </c>
      <c r="M1869" s="28" t="s">
        <v>66</v>
      </c>
      <c r="O1869" s="92">
        <v>37035</v>
      </c>
      <c r="P1869" s="28" t="s">
        <v>31</v>
      </c>
      <c r="Q1869" s="26" t="b">
        <v>0</v>
      </c>
      <c r="R1869" s="22">
        <f t="shared" si="29"/>
        <v>539</v>
      </c>
    </row>
    <row r="1870" spans="1:18">
      <c r="A1870" s="26">
        <v>5187</v>
      </c>
      <c r="B1870" s="27">
        <v>36496</v>
      </c>
      <c r="C1870" s="28" t="s">
        <v>6017</v>
      </c>
      <c r="D1870" s="27">
        <v>36490</v>
      </c>
      <c r="E1870" s="28" t="s">
        <v>38</v>
      </c>
      <c r="F1870" s="28" t="s">
        <v>124</v>
      </c>
      <c r="G1870" s="28" t="s">
        <v>20</v>
      </c>
      <c r="H1870" s="28" t="s">
        <v>21</v>
      </c>
      <c r="I1870" s="28" t="s">
        <v>21</v>
      </c>
      <c r="J1870" s="28" t="s">
        <v>6018</v>
      </c>
      <c r="K1870" s="28" t="s">
        <v>21</v>
      </c>
      <c r="L1870" s="28" t="s">
        <v>3930</v>
      </c>
      <c r="M1870" s="28" t="s">
        <v>21</v>
      </c>
      <c r="O1870" s="92">
        <v>36497</v>
      </c>
      <c r="P1870" s="28" t="s">
        <v>31</v>
      </c>
      <c r="Q1870" s="26" t="b">
        <v>0</v>
      </c>
      <c r="R1870" s="22">
        <f t="shared" si="29"/>
        <v>1</v>
      </c>
    </row>
    <row r="1871" spans="1:18">
      <c r="A1871" s="26">
        <v>6434</v>
      </c>
      <c r="B1871" s="27">
        <v>36496</v>
      </c>
      <c r="C1871" s="28" t="s">
        <v>7301</v>
      </c>
      <c r="D1871" s="27">
        <v>36494</v>
      </c>
      <c r="E1871" s="28" t="s">
        <v>4172</v>
      </c>
      <c r="F1871" s="28" t="s">
        <v>5659</v>
      </c>
      <c r="G1871" s="28" t="s">
        <v>20</v>
      </c>
      <c r="H1871" s="28" t="s">
        <v>566</v>
      </c>
      <c r="I1871" s="28" t="s">
        <v>566</v>
      </c>
      <c r="J1871" s="28" t="s">
        <v>7302</v>
      </c>
      <c r="K1871" s="28" t="s">
        <v>7303</v>
      </c>
      <c r="L1871" s="28" t="s">
        <v>66</v>
      </c>
      <c r="M1871" s="28" t="s">
        <v>21</v>
      </c>
      <c r="O1871" s="92">
        <v>36560</v>
      </c>
      <c r="P1871" s="28" t="s">
        <v>21</v>
      </c>
      <c r="Q1871" s="26" t="b">
        <v>0</v>
      </c>
      <c r="R1871" s="22">
        <f t="shared" si="29"/>
        <v>62</v>
      </c>
    </row>
    <row r="1872" spans="1:18">
      <c r="A1872" s="26">
        <v>5189</v>
      </c>
      <c r="B1872" s="27">
        <v>36508</v>
      </c>
      <c r="C1872" s="28" t="s">
        <v>6019</v>
      </c>
      <c r="D1872" s="27">
        <v>36502</v>
      </c>
      <c r="E1872" s="28" t="s">
        <v>6020</v>
      </c>
      <c r="F1872" s="28" t="s">
        <v>70</v>
      </c>
      <c r="G1872" s="28" t="s">
        <v>20</v>
      </c>
      <c r="H1872" s="28" t="s">
        <v>71</v>
      </c>
      <c r="I1872" s="28" t="s">
        <v>72</v>
      </c>
      <c r="J1872" s="28" t="s">
        <v>6021</v>
      </c>
      <c r="K1872" s="28" t="s">
        <v>6022</v>
      </c>
      <c r="L1872" s="28" t="s">
        <v>821</v>
      </c>
      <c r="M1872" s="28" t="s">
        <v>21</v>
      </c>
      <c r="O1872" s="92">
        <v>36699</v>
      </c>
      <c r="P1872" s="28" t="s">
        <v>21</v>
      </c>
      <c r="Q1872" s="26" t="b">
        <v>0</v>
      </c>
      <c r="R1872" s="22">
        <f t="shared" si="29"/>
        <v>190</v>
      </c>
    </row>
    <row r="1873" spans="1:18">
      <c r="A1873" s="26">
        <v>5190</v>
      </c>
      <c r="B1873" s="27">
        <v>36508</v>
      </c>
      <c r="C1873" s="28" t="s">
        <v>6023</v>
      </c>
      <c r="D1873" s="27">
        <v>36502</v>
      </c>
      <c r="E1873" s="28" t="s">
        <v>6024</v>
      </c>
      <c r="F1873" s="28" t="s">
        <v>129</v>
      </c>
      <c r="G1873" s="28" t="s">
        <v>20</v>
      </c>
      <c r="H1873" s="28" t="s">
        <v>21</v>
      </c>
      <c r="I1873" s="28" t="s">
        <v>21</v>
      </c>
      <c r="J1873" s="28" t="s">
        <v>6025</v>
      </c>
      <c r="K1873" s="28" t="s">
        <v>21</v>
      </c>
      <c r="L1873" s="28" t="s">
        <v>66</v>
      </c>
      <c r="M1873" s="28" t="s">
        <v>21</v>
      </c>
      <c r="O1873" s="92">
        <v>36517</v>
      </c>
      <c r="P1873" s="28" t="s">
        <v>31</v>
      </c>
      <c r="Q1873" s="26" t="b">
        <v>0</v>
      </c>
      <c r="R1873" s="22">
        <f t="shared" si="29"/>
        <v>9</v>
      </c>
    </row>
    <row r="1874" spans="1:18">
      <c r="A1874" s="26">
        <v>5191</v>
      </c>
      <c r="B1874" s="27">
        <v>36508</v>
      </c>
      <c r="C1874" s="28" t="s">
        <v>6026</v>
      </c>
      <c r="D1874" s="27">
        <v>36507</v>
      </c>
      <c r="E1874" s="28" t="s">
        <v>6027</v>
      </c>
      <c r="F1874" s="28" t="s">
        <v>741</v>
      </c>
      <c r="G1874" s="28" t="s">
        <v>20</v>
      </c>
      <c r="H1874" s="28" t="s">
        <v>21</v>
      </c>
      <c r="I1874" s="28" t="s">
        <v>21</v>
      </c>
      <c r="J1874" s="28" t="s">
        <v>6028</v>
      </c>
      <c r="K1874" s="28" t="s">
        <v>6029</v>
      </c>
      <c r="L1874" s="28" t="s">
        <v>66</v>
      </c>
      <c r="M1874" s="28" t="s">
        <v>21</v>
      </c>
      <c r="O1874" s="92">
        <v>36592</v>
      </c>
      <c r="P1874" s="28" t="s">
        <v>31</v>
      </c>
      <c r="Q1874" s="26" t="b">
        <v>0</v>
      </c>
      <c r="R1874" s="22">
        <f t="shared" si="29"/>
        <v>84</v>
      </c>
    </row>
    <row r="1875" spans="1:18">
      <c r="A1875" s="26">
        <v>5192</v>
      </c>
      <c r="B1875" s="27">
        <v>36508</v>
      </c>
      <c r="C1875" s="28" t="s">
        <v>6030</v>
      </c>
      <c r="D1875" s="27">
        <v>36508</v>
      </c>
      <c r="E1875" s="28" t="s">
        <v>3045</v>
      </c>
      <c r="F1875" s="28" t="s">
        <v>3847</v>
      </c>
      <c r="G1875" s="28" t="s">
        <v>20</v>
      </c>
      <c r="H1875" s="28" t="s">
        <v>21</v>
      </c>
      <c r="I1875" s="28" t="s">
        <v>1061</v>
      </c>
      <c r="J1875" s="28" t="s">
        <v>6031</v>
      </c>
      <c r="K1875" s="28" t="s">
        <v>6032</v>
      </c>
      <c r="L1875" s="28" t="s">
        <v>66</v>
      </c>
      <c r="M1875" s="28" t="s">
        <v>21</v>
      </c>
      <c r="O1875" s="92">
        <v>37385</v>
      </c>
      <c r="P1875" s="28" t="s">
        <v>21</v>
      </c>
      <c r="Q1875" s="26" t="b">
        <v>0</v>
      </c>
      <c r="R1875" s="22">
        <f t="shared" si="29"/>
        <v>877</v>
      </c>
    </row>
    <row r="1876" spans="1:18">
      <c r="A1876" s="26">
        <v>5193</v>
      </c>
      <c r="B1876" s="27">
        <v>36514</v>
      </c>
      <c r="C1876" s="28" t="s">
        <v>6033</v>
      </c>
      <c r="D1876" s="27">
        <v>36514</v>
      </c>
      <c r="E1876" s="28" t="s">
        <v>1432</v>
      </c>
      <c r="F1876" s="28" t="s">
        <v>70</v>
      </c>
      <c r="G1876" s="28" t="s">
        <v>20</v>
      </c>
      <c r="H1876" s="28" t="s">
        <v>71</v>
      </c>
      <c r="I1876" s="28" t="s">
        <v>71</v>
      </c>
      <c r="J1876" s="28" t="s">
        <v>6034</v>
      </c>
      <c r="K1876" s="28" t="s">
        <v>21</v>
      </c>
      <c r="L1876" s="28" t="s">
        <v>821</v>
      </c>
      <c r="M1876" s="28" t="s">
        <v>21</v>
      </c>
      <c r="O1876" s="92">
        <v>36697</v>
      </c>
      <c r="P1876" s="28" t="s">
        <v>21</v>
      </c>
      <c r="Q1876" s="26" t="b">
        <v>0</v>
      </c>
      <c r="R1876" s="22">
        <f t="shared" si="29"/>
        <v>182</v>
      </c>
    </row>
    <row r="1877" spans="1:18">
      <c r="A1877" s="26">
        <v>5194</v>
      </c>
      <c r="B1877" s="27">
        <v>36515</v>
      </c>
      <c r="C1877" s="28" t="s">
        <v>6035</v>
      </c>
      <c r="D1877" s="27">
        <v>36515</v>
      </c>
      <c r="E1877" s="28" t="s">
        <v>6036</v>
      </c>
      <c r="F1877" s="28" t="s">
        <v>984</v>
      </c>
      <c r="G1877" s="28" t="s">
        <v>20</v>
      </c>
      <c r="H1877" s="28" t="s">
        <v>21</v>
      </c>
      <c r="I1877" s="28" t="s">
        <v>21</v>
      </c>
      <c r="J1877" s="28" t="s">
        <v>6037</v>
      </c>
      <c r="K1877" s="28" t="s">
        <v>6038</v>
      </c>
      <c r="L1877" s="28" t="s">
        <v>3526</v>
      </c>
      <c r="M1877" s="28" t="s">
        <v>821</v>
      </c>
      <c r="O1877" s="92">
        <v>37056</v>
      </c>
      <c r="P1877" s="28" t="s">
        <v>31</v>
      </c>
      <c r="Q1877" s="26" t="b">
        <v>0</v>
      </c>
      <c r="R1877" s="22">
        <f t="shared" si="29"/>
        <v>540</v>
      </c>
    </row>
    <row r="1878" spans="1:18">
      <c r="A1878" s="26">
        <v>5198</v>
      </c>
      <c r="B1878" s="27">
        <v>36536</v>
      </c>
      <c r="C1878" s="28" t="s">
        <v>6042</v>
      </c>
      <c r="D1878" s="27">
        <v>36536</v>
      </c>
      <c r="E1878" s="28" t="s">
        <v>1432</v>
      </c>
      <c r="F1878" s="28" t="s">
        <v>242</v>
      </c>
      <c r="G1878" s="28" t="s">
        <v>20</v>
      </c>
      <c r="H1878" s="28" t="s">
        <v>21</v>
      </c>
      <c r="I1878" s="28" t="s">
        <v>21</v>
      </c>
      <c r="J1878" s="28" t="s">
        <v>6043</v>
      </c>
      <c r="K1878" s="28" t="s">
        <v>6044</v>
      </c>
      <c r="L1878" s="28" t="s">
        <v>4282</v>
      </c>
      <c r="M1878" s="28" t="s">
        <v>66</v>
      </c>
      <c r="O1878" s="92">
        <v>37772</v>
      </c>
      <c r="P1878" s="28" t="s">
        <v>21</v>
      </c>
      <c r="Q1878" s="26" t="b">
        <v>0</v>
      </c>
      <c r="R1878" s="22">
        <f t="shared" si="29"/>
        <v>1236</v>
      </c>
    </row>
    <row r="1879" spans="1:18">
      <c r="A1879" s="26">
        <v>5265</v>
      </c>
      <c r="B1879" s="27">
        <v>36536</v>
      </c>
      <c r="C1879" s="28" t="s">
        <v>6058</v>
      </c>
      <c r="D1879" s="27">
        <v>36536</v>
      </c>
      <c r="E1879" s="28" t="s">
        <v>6059</v>
      </c>
      <c r="F1879" s="28" t="s">
        <v>367</v>
      </c>
      <c r="G1879" s="28" t="s">
        <v>20</v>
      </c>
      <c r="H1879" s="28" t="s">
        <v>71</v>
      </c>
      <c r="I1879" s="28" t="s">
        <v>72</v>
      </c>
      <c r="J1879" s="28" t="s">
        <v>6060</v>
      </c>
      <c r="K1879" s="28" t="s">
        <v>5369</v>
      </c>
      <c r="L1879" s="28" t="s">
        <v>66</v>
      </c>
      <c r="M1879" s="28" t="s">
        <v>21</v>
      </c>
      <c r="O1879" s="92">
        <v>37687</v>
      </c>
      <c r="P1879" s="28" t="s">
        <v>31</v>
      </c>
      <c r="Q1879" s="26" t="b">
        <v>0</v>
      </c>
      <c r="R1879" s="22">
        <f t="shared" si="29"/>
        <v>1151</v>
      </c>
    </row>
    <row r="1880" spans="1:18">
      <c r="A1880" s="26">
        <v>5199</v>
      </c>
      <c r="B1880" s="27">
        <v>36537</v>
      </c>
      <c r="C1880" s="28" t="s">
        <v>6045</v>
      </c>
      <c r="D1880" s="27">
        <v>36532</v>
      </c>
      <c r="E1880" s="28" t="s">
        <v>38</v>
      </c>
      <c r="F1880" s="28" t="s">
        <v>3847</v>
      </c>
      <c r="G1880" s="28" t="s">
        <v>20</v>
      </c>
      <c r="H1880" s="28" t="s">
        <v>21</v>
      </c>
      <c r="I1880" s="28" t="s">
        <v>1061</v>
      </c>
      <c r="J1880" s="28" t="s">
        <v>1841</v>
      </c>
      <c r="K1880" s="28" t="s">
        <v>6046</v>
      </c>
      <c r="L1880" s="28" t="s">
        <v>66</v>
      </c>
      <c r="M1880" s="28" t="s">
        <v>21</v>
      </c>
      <c r="O1880" s="92">
        <v>36566</v>
      </c>
      <c r="P1880" s="28" t="s">
        <v>31</v>
      </c>
      <c r="Q1880" s="26" t="b">
        <v>0</v>
      </c>
      <c r="R1880" s="22">
        <f t="shared" si="29"/>
        <v>28</v>
      </c>
    </row>
    <row r="1881" spans="1:18">
      <c r="A1881" s="26">
        <v>5267</v>
      </c>
      <c r="B1881" s="27">
        <v>36537</v>
      </c>
      <c r="C1881" s="28" t="s">
        <v>6061</v>
      </c>
      <c r="D1881" s="27">
        <v>36536</v>
      </c>
      <c r="E1881" s="28" t="s">
        <v>6062</v>
      </c>
      <c r="F1881" s="28" t="s">
        <v>98</v>
      </c>
      <c r="G1881" s="28" t="s">
        <v>20</v>
      </c>
      <c r="H1881" s="28" t="s">
        <v>21</v>
      </c>
      <c r="I1881" s="28" t="s">
        <v>21</v>
      </c>
      <c r="J1881" s="28" t="s">
        <v>6063</v>
      </c>
      <c r="K1881" s="28" t="s">
        <v>21</v>
      </c>
      <c r="L1881" s="28" t="s">
        <v>3526</v>
      </c>
      <c r="M1881" s="28" t="s">
        <v>821</v>
      </c>
      <c r="O1881" s="92">
        <v>37116</v>
      </c>
      <c r="P1881" s="28" t="s">
        <v>31</v>
      </c>
      <c r="Q1881" s="26" t="b">
        <v>0</v>
      </c>
      <c r="R1881" s="22">
        <f t="shared" si="29"/>
        <v>578</v>
      </c>
    </row>
    <row r="1882" spans="1:18">
      <c r="A1882" s="26">
        <v>6444</v>
      </c>
      <c r="B1882" s="27">
        <v>36539</v>
      </c>
      <c r="C1882" s="28" t="s">
        <v>7322</v>
      </c>
      <c r="D1882" s="27">
        <v>36539</v>
      </c>
      <c r="E1882" s="28" t="s">
        <v>4172</v>
      </c>
      <c r="F1882" s="28" t="s">
        <v>211</v>
      </c>
      <c r="G1882" s="28" t="s">
        <v>20</v>
      </c>
      <c r="H1882" s="28" t="s">
        <v>212</v>
      </c>
      <c r="I1882" s="28" t="s">
        <v>212</v>
      </c>
      <c r="J1882" s="28" t="s">
        <v>7323</v>
      </c>
      <c r="K1882" s="28" t="s">
        <v>7324</v>
      </c>
      <c r="L1882" s="28" t="s">
        <v>821</v>
      </c>
      <c r="M1882" s="28" t="s">
        <v>21</v>
      </c>
      <c r="O1882" s="92">
        <v>36899</v>
      </c>
      <c r="P1882" s="28" t="s">
        <v>31</v>
      </c>
      <c r="Q1882" s="26" t="b">
        <v>0</v>
      </c>
      <c r="R1882" s="22">
        <f t="shared" si="29"/>
        <v>358</v>
      </c>
    </row>
    <row r="1883" spans="1:18">
      <c r="A1883" s="26">
        <v>5203</v>
      </c>
      <c r="B1883" s="27">
        <v>36543</v>
      </c>
      <c r="C1883" s="28" t="s">
        <v>6052</v>
      </c>
      <c r="D1883" s="27">
        <v>36539</v>
      </c>
      <c r="E1883" s="28" t="s">
        <v>6053</v>
      </c>
      <c r="F1883" s="28" t="s">
        <v>19</v>
      </c>
      <c r="G1883" s="28" t="s">
        <v>20</v>
      </c>
      <c r="H1883" s="28" t="s">
        <v>21</v>
      </c>
      <c r="I1883" s="28" t="s">
        <v>21</v>
      </c>
      <c r="J1883" s="28" t="s">
        <v>6054</v>
      </c>
      <c r="K1883" s="28" t="s">
        <v>21</v>
      </c>
      <c r="L1883" s="28" t="s">
        <v>66</v>
      </c>
      <c r="M1883" s="28" t="s">
        <v>21</v>
      </c>
      <c r="O1883" s="92">
        <v>37032</v>
      </c>
      <c r="P1883" s="28" t="s">
        <v>31</v>
      </c>
      <c r="Q1883" s="26" t="b">
        <v>0</v>
      </c>
      <c r="R1883" s="22">
        <f t="shared" si="29"/>
        <v>489</v>
      </c>
    </row>
    <row r="1884" spans="1:18">
      <c r="A1884" s="26">
        <v>5404</v>
      </c>
      <c r="B1884" s="27">
        <v>36543</v>
      </c>
      <c r="C1884" s="28" t="s">
        <v>6106</v>
      </c>
      <c r="D1884" s="27">
        <v>36543</v>
      </c>
      <c r="E1884" s="28" t="s">
        <v>38</v>
      </c>
      <c r="F1884" s="28" t="s">
        <v>149</v>
      </c>
      <c r="G1884" s="28" t="s">
        <v>20</v>
      </c>
      <c r="H1884" s="28" t="s">
        <v>21</v>
      </c>
      <c r="I1884" s="28" t="s">
        <v>21</v>
      </c>
      <c r="J1884" s="28" t="s">
        <v>6107</v>
      </c>
      <c r="K1884" s="28" t="s">
        <v>21</v>
      </c>
      <c r="L1884" s="28" t="s">
        <v>3930</v>
      </c>
      <c r="M1884" s="28" t="s">
        <v>21</v>
      </c>
      <c r="O1884" s="92">
        <v>36579</v>
      </c>
      <c r="P1884" s="28" t="s">
        <v>31</v>
      </c>
      <c r="Q1884" s="26" t="b">
        <v>0</v>
      </c>
      <c r="R1884" s="22">
        <f t="shared" si="29"/>
        <v>35</v>
      </c>
    </row>
    <row r="1885" spans="1:18">
      <c r="A1885" s="26">
        <v>5421</v>
      </c>
      <c r="B1885" s="27">
        <v>36543</v>
      </c>
      <c r="C1885" s="28" t="s">
        <v>6121</v>
      </c>
      <c r="D1885" s="27">
        <v>36537</v>
      </c>
      <c r="E1885" s="28" t="s">
        <v>38</v>
      </c>
      <c r="F1885" s="28" t="s">
        <v>145</v>
      </c>
      <c r="G1885" s="28" t="s">
        <v>20</v>
      </c>
      <c r="H1885" s="28" t="s">
        <v>21</v>
      </c>
      <c r="I1885" s="28" t="s">
        <v>21</v>
      </c>
      <c r="J1885" s="28" t="s">
        <v>6122</v>
      </c>
      <c r="K1885" s="28" t="s">
        <v>21</v>
      </c>
      <c r="L1885" s="28" t="s">
        <v>3930</v>
      </c>
      <c r="M1885" s="28" t="s">
        <v>21</v>
      </c>
      <c r="O1885" s="92">
        <v>36579</v>
      </c>
      <c r="P1885" s="28" t="s">
        <v>21</v>
      </c>
      <c r="Q1885" s="26" t="b">
        <v>0</v>
      </c>
      <c r="R1885" s="22">
        <f t="shared" si="29"/>
        <v>35</v>
      </c>
    </row>
    <row r="1886" spans="1:18">
      <c r="A1886" s="26">
        <v>5200</v>
      </c>
      <c r="B1886" s="27">
        <v>36545</v>
      </c>
      <c r="C1886" s="28" t="s">
        <v>6047</v>
      </c>
      <c r="D1886" s="27">
        <v>36545</v>
      </c>
      <c r="E1886" s="28" t="s">
        <v>6048</v>
      </c>
      <c r="F1886" s="28" t="s">
        <v>6049</v>
      </c>
      <c r="G1886" s="28" t="s">
        <v>20</v>
      </c>
      <c r="H1886" s="28" t="s">
        <v>21</v>
      </c>
      <c r="I1886" s="28" t="s">
        <v>21</v>
      </c>
      <c r="J1886" s="28" t="s">
        <v>6050</v>
      </c>
      <c r="K1886" s="28" t="s">
        <v>6051</v>
      </c>
      <c r="L1886" s="28" t="s">
        <v>66</v>
      </c>
      <c r="M1886" s="28" t="s">
        <v>21</v>
      </c>
      <c r="O1886" s="92">
        <v>36732</v>
      </c>
      <c r="P1886" s="28" t="s">
        <v>21</v>
      </c>
      <c r="Q1886" s="26" t="b">
        <v>0</v>
      </c>
      <c r="R1886" s="22">
        <f t="shared" si="29"/>
        <v>187</v>
      </c>
    </row>
    <row r="1887" spans="1:18">
      <c r="A1887" s="26">
        <v>5214</v>
      </c>
      <c r="B1887" s="27">
        <v>36545</v>
      </c>
      <c r="C1887" s="28" t="s">
        <v>6055</v>
      </c>
      <c r="D1887" s="27">
        <v>36545</v>
      </c>
      <c r="E1887" s="28" t="s">
        <v>283</v>
      </c>
      <c r="F1887" s="28" t="s">
        <v>149</v>
      </c>
      <c r="G1887" s="28" t="s">
        <v>20</v>
      </c>
      <c r="H1887" s="28" t="s">
        <v>21</v>
      </c>
      <c r="I1887" s="28" t="s">
        <v>21</v>
      </c>
      <c r="J1887" s="28" t="s">
        <v>6056</v>
      </c>
      <c r="K1887" s="28" t="s">
        <v>6057</v>
      </c>
      <c r="L1887" s="28" t="s">
        <v>821</v>
      </c>
      <c r="M1887" s="28" t="s">
        <v>21</v>
      </c>
      <c r="O1887" s="92">
        <v>36593</v>
      </c>
      <c r="P1887" s="28" t="s">
        <v>21</v>
      </c>
      <c r="Q1887" s="26" t="b">
        <v>0</v>
      </c>
      <c r="R1887" s="22">
        <f t="shared" si="29"/>
        <v>48</v>
      </c>
    </row>
    <row r="1888" spans="1:18">
      <c r="A1888" s="26">
        <v>5405</v>
      </c>
      <c r="B1888" s="27">
        <v>36546</v>
      </c>
      <c r="C1888" s="28" t="s">
        <v>6108</v>
      </c>
      <c r="D1888" s="27">
        <v>36546</v>
      </c>
      <c r="E1888" s="28" t="s">
        <v>6109</v>
      </c>
      <c r="F1888" s="28" t="s">
        <v>39</v>
      </c>
      <c r="G1888" s="28" t="s">
        <v>20</v>
      </c>
      <c r="H1888" s="28" t="s">
        <v>21</v>
      </c>
      <c r="I1888" s="28" t="s">
        <v>21</v>
      </c>
      <c r="J1888" s="28" t="s">
        <v>6110</v>
      </c>
      <c r="K1888" s="28" t="s">
        <v>6111</v>
      </c>
      <c r="L1888" s="28" t="s">
        <v>66</v>
      </c>
      <c r="M1888" s="28" t="s">
        <v>21</v>
      </c>
      <c r="O1888" s="92">
        <v>36573</v>
      </c>
      <c r="P1888" s="28" t="s">
        <v>21</v>
      </c>
      <c r="Q1888" s="26" t="b">
        <v>0</v>
      </c>
      <c r="R1888" s="22">
        <f t="shared" si="29"/>
        <v>26</v>
      </c>
    </row>
    <row r="1889" spans="1:18">
      <c r="A1889" s="26">
        <v>5283</v>
      </c>
      <c r="B1889" s="27">
        <v>36550</v>
      </c>
      <c r="C1889" s="28" t="s">
        <v>6069</v>
      </c>
      <c r="D1889" s="27">
        <v>36447</v>
      </c>
      <c r="E1889" s="28" t="s">
        <v>1432</v>
      </c>
      <c r="F1889" s="28" t="s">
        <v>124</v>
      </c>
      <c r="G1889" s="28" t="s">
        <v>20</v>
      </c>
      <c r="H1889" s="28" t="s">
        <v>21</v>
      </c>
      <c r="I1889" s="28" t="s">
        <v>21</v>
      </c>
      <c r="J1889" s="28" t="s">
        <v>3655</v>
      </c>
      <c r="K1889" s="28" t="s">
        <v>6070</v>
      </c>
      <c r="L1889" s="28" t="s">
        <v>66</v>
      </c>
      <c r="M1889" s="28" t="s">
        <v>21</v>
      </c>
      <c r="O1889" s="92">
        <v>36794</v>
      </c>
      <c r="P1889" s="28" t="s">
        <v>31</v>
      </c>
      <c r="Q1889" s="26" t="b">
        <v>0</v>
      </c>
      <c r="R1889" s="22">
        <f t="shared" si="29"/>
        <v>243</v>
      </c>
    </row>
    <row r="1890" spans="1:18">
      <c r="A1890" s="26">
        <v>5385</v>
      </c>
      <c r="B1890" s="27">
        <v>36551</v>
      </c>
      <c r="C1890" s="28" t="s">
        <v>6082</v>
      </c>
      <c r="D1890" s="27">
        <v>36551</v>
      </c>
      <c r="E1890" s="28" t="s">
        <v>6083</v>
      </c>
      <c r="F1890" s="28" t="s">
        <v>6084</v>
      </c>
      <c r="G1890" s="28" t="s">
        <v>20</v>
      </c>
      <c r="H1890" s="28" t="s">
        <v>21</v>
      </c>
      <c r="I1890" s="28" t="s">
        <v>21</v>
      </c>
      <c r="J1890" s="28" t="s">
        <v>6085</v>
      </c>
      <c r="K1890" s="28" t="s">
        <v>21</v>
      </c>
      <c r="L1890" s="28" t="s">
        <v>66</v>
      </c>
      <c r="M1890" s="28" t="s">
        <v>21</v>
      </c>
      <c r="O1890" s="92">
        <v>36717</v>
      </c>
      <c r="P1890" s="28" t="s">
        <v>31</v>
      </c>
      <c r="Q1890" s="26" t="b">
        <v>0</v>
      </c>
      <c r="R1890" s="22">
        <f t="shared" si="29"/>
        <v>166</v>
      </c>
    </row>
    <row r="1891" spans="1:18">
      <c r="A1891" s="26">
        <v>5281</v>
      </c>
      <c r="B1891" s="27">
        <v>36552</v>
      </c>
      <c r="C1891" s="28" t="s">
        <v>6064</v>
      </c>
      <c r="D1891" s="27">
        <v>36447</v>
      </c>
      <c r="E1891" s="28" t="s">
        <v>1432</v>
      </c>
      <c r="F1891" s="28" t="s">
        <v>56</v>
      </c>
      <c r="G1891" s="28" t="s">
        <v>20</v>
      </c>
      <c r="H1891" s="28" t="s">
        <v>21</v>
      </c>
      <c r="I1891" s="28" t="s">
        <v>21</v>
      </c>
      <c r="J1891" s="28" t="s">
        <v>3655</v>
      </c>
      <c r="K1891" s="28" t="s">
        <v>6065</v>
      </c>
      <c r="L1891" s="28" t="s">
        <v>66</v>
      </c>
      <c r="M1891" s="28" t="s">
        <v>21</v>
      </c>
      <c r="O1891" s="92">
        <v>36794</v>
      </c>
      <c r="P1891" s="28" t="s">
        <v>31</v>
      </c>
      <c r="Q1891" s="26" t="b">
        <v>0</v>
      </c>
      <c r="R1891" s="22">
        <f t="shared" si="29"/>
        <v>241</v>
      </c>
    </row>
    <row r="1892" spans="1:18">
      <c r="A1892" s="26">
        <v>5282</v>
      </c>
      <c r="B1892" s="27">
        <v>36552</v>
      </c>
      <c r="C1892" s="28" t="s">
        <v>6066</v>
      </c>
      <c r="D1892" s="27">
        <v>36447</v>
      </c>
      <c r="E1892" s="28" t="s">
        <v>1432</v>
      </c>
      <c r="F1892" s="28" t="s">
        <v>124</v>
      </c>
      <c r="G1892" s="28" t="s">
        <v>20</v>
      </c>
      <c r="H1892" s="28" t="s">
        <v>21</v>
      </c>
      <c r="I1892" s="28" t="s">
        <v>21</v>
      </c>
      <c r="J1892" s="28" t="s">
        <v>6067</v>
      </c>
      <c r="K1892" s="28" t="s">
        <v>6068</v>
      </c>
      <c r="L1892" s="28" t="s">
        <v>4282</v>
      </c>
      <c r="M1892" s="28" t="s">
        <v>66</v>
      </c>
      <c r="O1892" s="92">
        <v>36794</v>
      </c>
      <c r="P1892" s="28" t="s">
        <v>31</v>
      </c>
      <c r="Q1892" s="26" t="b">
        <v>0</v>
      </c>
      <c r="R1892" s="22">
        <f t="shared" si="29"/>
        <v>241</v>
      </c>
    </row>
    <row r="1893" spans="1:18">
      <c r="A1893" s="26">
        <v>5284</v>
      </c>
      <c r="B1893" s="27">
        <v>36552</v>
      </c>
      <c r="C1893" s="28" t="s">
        <v>6071</v>
      </c>
      <c r="D1893" s="27">
        <v>36447</v>
      </c>
      <c r="E1893" s="28" t="s">
        <v>1432</v>
      </c>
      <c r="F1893" s="28" t="s">
        <v>4004</v>
      </c>
      <c r="G1893" s="28" t="s">
        <v>20</v>
      </c>
      <c r="H1893" s="28" t="s">
        <v>189</v>
      </c>
      <c r="I1893" s="28" t="s">
        <v>189</v>
      </c>
      <c r="J1893" s="28" t="s">
        <v>3655</v>
      </c>
      <c r="K1893" s="28" t="s">
        <v>6072</v>
      </c>
      <c r="L1893" s="28" t="s">
        <v>66</v>
      </c>
      <c r="M1893" s="28" t="s">
        <v>6073</v>
      </c>
      <c r="O1893" s="92">
        <v>37772</v>
      </c>
      <c r="P1893" s="28" t="s">
        <v>31</v>
      </c>
      <c r="Q1893" s="26" t="b">
        <v>0</v>
      </c>
      <c r="R1893" s="22">
        <f t="shared" si="29"/>
        <v>1220</v>
      </c>
    </row>
    <row r="1894" spans="1:18">
      <c r="A1894" s="26">
        <v>5285</v>
      </c>
      <c r="B1894" s="27">
        <v>36552</v>
      </c>
      <c r="C1894" s="28" t="s">
        <v>6074</v>
      </c>
      <c r="D1894" s="27">
        <v>36447</v>
      </c>
      <c r="E1894" s="28" t="s">
        <v>1432</v>
      </c>
      <c r="F1894" s="28" t="s">
        <v>242</v>
      </c>
      <c r="G1894" s="28" t="s">
        <v>20</v>
      </c>
      <c r="H1894" s="28" t="s">
        <v>21</v>
      </c>
      <c r="I1894" s="28" t="s">
        <v>21</v>
      </c>
      <c r="J1894" s="28" t="s">
        <v>3655</v>
      </c>
      <c r="K1894" s="28" t="s">
        <v>6075</v>
      </c>
      <c r="L1894" s="28" t="s">
        <v>4282</v>
      </c>
      <c r="M1894" s="28" t="s">
        <v>66</v>
      </c>
      <c r="O1894" s="92">
        <v>37473</v>
      </c>
      <c r="P1894" s="28" t="s">
        <v>31</v>
      </c>
      <c r="Q1894" s="26" t="b">
        <v>0</v>
      </c>
      <c r="R1894" s="22">
        <f t="shared" si="29"/>
        <v>920</v>
      </c>
    </row>
    <row r="1895" spans="1:18">
      <c r="A1895" s="26">
        <v>5286</v>
      </c>
      <c r="B1895" s="27">
        <v>36552</v>
      </c>
      <c r="C1895" s="28" t="s">
        <v>6076</v>
      </c>
      <c r="D1895" s="27">
        <v>36447</v>
      </c>
      <c r="E1895" s="28" t="s">
        <v>1432</v>
      </c>
      <c r="F1895" s="28" t="s">
        <v>94</v>
      </c>
      <c r="G1895" s="28" t="s">
        <v>20</v>
      </c>
      <c r="H1895" s="28" t="s">
        <v>21</v>
      </c>
      <c r="I1895" s="28" t="s">
        <v>21</v>
      </c>
      <c r="J1895" s="28" t="s">
        <v>3655</v>
      </c>
      <c r="K1895" s="28" t="s">
        <v>6077</v>
      </c>
      <c r="L1895" s="28" t="s">
        <v>4282</v>
      </c>
      <c r="M1895" s="28" t="s">
        <v>66</v>
      </c>
      <c r="O1895" s="92">
        <v>37208</v>
      </c>
      <c r="P1895" s="28" t="s">
        <v>31</v>
      </c>
      <c r="Q1895" s="26" t="b">
        <v>0</v>
      </c>
      <c r="R1895" s="22">
        <f t="shared" ref="R1895:R1958" si="30">IF(O1895=" ", " ", INT(YEARFRAC(O1895, B1895)*365))</f>
        <v>654</v>
      </c>
    </row>
    <row r="1896" spans="1:18">
      <c r="A1896" s="26">
        <v>5376</v>
      </c>
      <c r="B1896" s="27">
        <v>36557</v>
      </c>
      <c r="C1896" s="28" t="s">
        <v>6078</v>
      </c>
      <c r="D1896" s="27">
        <v>36557</v>
      </c>
      <c r="E1896" s="28" t="s">
        <v>6079</v>
      </c>
      <c r="F1896" s="28" t="s">
        <v>3434</v>
      </c>
      <c r="G1896" s="28" t="s">
        <v>20</v>
      </c>
      <c r="H1896" s="28" t="s">
        <v>21</v>
      </c>
      <c r="I1896" s="28" t="s">
        <v>21</v>
      </c>
      <c r="J1896" s="28" t="s">
        <v>6080</v>
      </c>
      <c r="K1896" s="28" t="s">
        <v>6081</v>
      </c>
      <c r="L1896" s="28" t="s">
        <v>66</v>
      </c>
      <c r="M1896" s="28" t="s">
        <v>21</v>
      </c>
      <c r="O1896" s="92">
        <v>36586</v>
      </c>
      <c r="P1896" s="28" t="s">
        <v>31</v>
      </c>
      <c r="Q1896" s="26" t="b">
        <v>0</v>
      </c>
      <c r="R1896" s="22">
        <f t="shared" si="30"/>
        <v>30</v>
      </c>
    </row>
    <row r="1897" spans="1:18">
      <c r="A1897" s="26">
        <v>5386</v>
      </c>
      <c r="B1897" s="27">
        <v>36558</v>
      </c>
      <c r="C1897" s="28" t="s">
        <v>6086</v>
      </c>
      <c r="D1897" s="27">
        <v>36554</v>
      </c>
      <c r="E1897" s="28" t="s">
        <v>6087</v>
      </c>
      <c r="F1897" s="28" t="s">
        <v>124</v>
      </c>
      <c r="G1897" s="28" t="s">
        <v>20</v>
      </c>
      <c r="H1897" s="28" t="s">
        <v>21</v>
      </c>
      <c r="I1897" s="28" t="s">
        <v>21</v>
      </c>
      <c r="J1897" s="28" t="s">
        <v>6088</v>
      </c>
      <c r="K1897" s="28" t="s">
        <v>126</v>
      </c>
      <c r="L1897" s="28" t="s">
        <v>821</v>
      </c>
      <c r="M1897" s="28" t="s">
        <v>21</v>
      </c>
      <c r="O1897" s="92">
        <v>36627</v>
      </c>
      <c r="P1897" s="28" t="s">
        <v>31</v>
      </c>
      <c r="Q1897" s="26" t="b">
        <v>0</v>
      </c>
      <c r="R1897" s="22">
        <f t="shared" si="30"/>
        <v>69</v>
      </c>
    </row>
    <row r="1898" spans="1:18">
      <c r="A1898" s="26">
        <v>5387</v>
      </c>
      <c r="B1898" s="27">
        <v>36560</v>
      </c>
      <c r="C1898" s="28" t="s">
        <v>6089</v>
      </c>
      <c r="D1898" s="27">
        <v>36560</v>
      </c>
      <c r="E1898" s="28" t="s">
        <v>6090</v>
      </c>
      <c r="F1898" s="28" t="s">
        <v>70</v>
      </c>
      <c r="G1898" s="28" t="s">
        <v>20</v>
      </c>
      <c r="H1898" s="28" t="s">
        <v>71</v>
      </c>
      <c r="I1898" s="28" t="s">
        <v>72</v>
      </c>
      <c r="J1898" s="28" t="s">
        <v>272</v>
      </c>
      <c r="K1898" s="28" t="s">
        <v>21</v>
      </c>
      <c r="L1898" s="28" t="s">
        <v>66</v>
      </c>
      <c r="M1898" s="28" t="s">
        <v>21</v>
      </c>
      <c r="O1898" s="92">
        <v>36724</v>
      </c>
      <c r="P1898" s="28" t="s">
        <v>31</v>
      </c>
      <c r="Q1898" s="26" t="b">
        <v>0</v>
      </c>
      <c r="R1898" s="22">
        <f t="shared" si="30"/>
        <v>165</v>
      </c>
    </row>
    <row r="1899" spans="1:18">
      <c r="A1899" s="26">
        <v>5397</v>
      </c>
      <c r="B1899" s="27">
        <v>36560</v>
      </c>
      <c r="C1899" s="28" t="s">
        <v>6101</v>
      </c>
      <c r="D1899" s="27">
        <v>36560</v>
      </c>
      <c r="E1899" s="28" t="s">
        <v>38</v>
      </c>
      <c r="F1899" s="28" t="s">
        <v>70</v>
      </c>
      <c r="G1899" s="28" t="s">
        <v>20</v>
      </c>
      <c r="H1899" s="28" t="s">
        <v>71</v>
      </c>
      <c r="I1899" s="28" t="s">
        <v>72</v>
      </c>
      <c r="J1899" s="28" t="s">
        <v>6102</v>
      </c>
      <c r="K1899" s="28" t="s">
        <v>21</v>
      </c>
      <c r="L1899" s="28" t="s">
        <v>66</v>
      </c>
      <c r="M1899" s="28" t="s">
        <v>21</v>
      </c>
      <c r="O1899" s="92">
        <v>36585</v>
      </c>
      <c r="P1899" s="28" t="s">
        <v>31</v>
      </c>
      <c r="Q1899" s="26" t="b">
        <v>0</v>
      </c>
      <c r="R1899" s="22">
        <f t="shared" si="30"/>
        <v>25</v>
      </c>
    </row>
    <row r="1900" spans="1:18" ht="24">
      <c r="A1900" s="26">
        <v>5392</v>
      </c>
      <c r="B1900" s="27">
        <v>36563</v>
      </c>
      <c r="C1900" s="28" t="s">
        <v>6098</v>
      </c>
      <c r="D1900" s="27">
        <v>36563</v>
      </c>
      <c r="E1900" s="28" t="s">
        <v>283</v>
      </c>
      <c r="F1900" s="28" t="s">
        <v>98</v>
      </c>
      <c r="G1900" s="28" t="s">
        <v>20</v>
      </c>
      <c r="H1900" s="28" t="s">
        <v>21</v>
      </c>
      <c r="I1900" s="28" t="s">
        <v>21</v>
      </c>
      <c r="J1900" s="28" t="s">
        <v>6099</v>
      </c>
      <c r="K1900" s="28" t="s">
        <v>6100</v>
      </c>
      <c r="L1900" s="28" t="s">
        <v>66</v>
      </c>
      <c r="M1900" s="28" t="s">
        <v>21</v>
      </c>
      <c r="O1900" s="92">
        <v>36593</v>
      </c>
      <c r="P1900" s="28" t="s">
        <v>21</v>
      </c>
      <c r="Q1900" s="26" t="b">
        <v>0</v>
      </c>
      <c r="R1900" s="22">
        <f t="shared" si="30"/>
        <v>31</v>
      </c>
    </row>
    <row r="1901" spans="1:18">
      <c r="A1901" s="26">
        <v>6543</v>
      </c>
      <c r="B1901" s="27">
        <v>36563</v>
      </c>
      <c r="C1901" s="28" t="s">
        <v>7558</v>
      </c>
      <c r="D1901" s="27">
        <v>36563</v>
      </c>
      <c r="E1901" s="28" t="s">
        <v>4172</v>
      </c>
      <c r="F1901" s="28" t="s">
        <v>3434</v>
      </c>
      <c r="G1901" s="28" t="s">
        <v>20</v>
      </c>
      <c r="H1901" s="28" t="s">
        <v>21</v>
      </c>
      <c r="I1901" s="28" t="s">
        <v>21</v>
      </c>
      <c r="J1901" s="28" t="s">
        <v>7559</v>
      </c>
      <c r="K1901" s="28" t="s">
        <v>21</v>
      </c>
      <c r="L1901" s="28" t="s">
        <v>66</v>
      </c>
      <c r="M1901" s="28" t="s">
        <v>21</v>
      </c>
      <c r="O1901" s="92">
        <v>36980</v>
      </c>
      <c r="P1901" s="28" t="s">
        <v>31</v>
      </c>
      <c r="Q1901" s="26" t="b">
        <v>0</v>
      </c>
      <c r="R1901" s="22">
        <f t="shared" si="30"/>
        <v>418</v>
      </c>
    </row>
    <row r="1902" spans="1:18">
      <c r="A1902" s="26">
        <v>6990</v>
      </c>
      <c r="B1902" s="27">
        <v>36563</v>
      </c>
      <c r="C1902" s="28" t="s">
        <v>8493</v>
      </c>
      <c r="D1902" s="27">
        <v>36563</v>
      </c>
      <c r="E1902" s="28" t="s">
        <v>4172</v>
      </c>
      <c r="F1902" s="28" t="s">
        <v>990</v>
      </c>
      <c r="G1902" s="28" t="s">
        <v>20</v>
      </c>
      <c r="H1902" s="28" t="s">
        <v>21</v>
      </c>
      <c r="I1902" s="28" t="s">
        <v>21</v>
      </c>
      <c r="J1902" s="28" t="s">
        <v>8494</v>
      </c>
      <c r="K1902" s="28" t="s">
        <v>6097</v>
      </c>
      <c r="L1902" s="28" t="s">
        <v>66</v>
      </c>
      <c r="M1902" s="28" t="s">
        <v>21</v>
      </c>
      <c r="O1902" s="92">
        <v>37014</v>
      </c>
      <c r="P1902" s="28" t="s">
        <v>31</v>
      </c>
      <c r="Q1902" s="26" t="b">
        <v>0</v>
      </c>
      <c r="R1902" s="22">
        <f t="shared" si="30"/>
        <v>452</v>
      </c>
    </row>
    <row r="1903" spans="1:18" ht="24">
      <c r="A1903" s="26">
        <v>7018</v>
      </c>
      <c r="B1903" s="27">
        <v>36563</v>
      </c>
      <c r="C1903" s="28" t="s">
        <v>8533</v>
      </c>
      <c r="D1903" s="27">
        <v>36563</v>
      </c>
      <c r="E1903" s="28" t="s">
        <v>4172</v>
      </c>
      <c r="F1903" s="28" t="s">
        <v>3434</v>
      </c>
      <c r="G1903" s="28" t="s">
        <v>20</v>
      </c>
      <c r="H1903" s="28" t="s">
        <v>21</v>
      </c>
      <c r="I1903" s="28" t="s">
        <v>21</v>
      </c>
      <c r="J1903" s="28" t="s">
        <v>8534</v>
      </c>
      <c r="K1903" s="28" t="s">
        <v>8535</v>
      </c>
      <c r="L1903" s="28" t="s">
        <v>66</v>
      </c>
      <c r="M1903" s="28" t="s">
        <v>21</v>
      </c>
      <c r="O1903" s="92">
        <v>36601</v>
      </c>
      <c r="P1903" s="28" t="s">
        <v>31</v>
      </c>
      <c r="Q1903" s="26" t="b">
        <v>0</v>
      </c>
      <c r="R1903" s="22">
        <f t="shared" si="30"/>
        <v>39</v>
      </c>
    </row>
    <row r="1904" spans="1:18">
      <c r="A1904" s="26">
        <v>5390</v>
      </c>
      <c r="B1904" s="27">
        <v>36564</v>
      </c>
      <c r="C1904" s="28" t="s">
        <v>6095</v>
      </c>
      <c r="D1904" s="27">
        <v>36564</v>
      </c>
      <c r="E1904" s="28" t="s">
        <v>6096</v>
      </c>
      <c r="F1904" s="28" t="s">
        <v>990</v>
      </c>
      <c r="G1904" s="28" t="s">
        <v>20</v>
      </c>
      <c r="H1904" s="28" t="s">
        <v>21</v>
      </c>
      <c r="I1904" s="28" t="s">
        <v>21</v>
      </c>
      <c r="J1904" s="28" t="s">
        <v>6097</v>
      </c>
      <c r="K1904" s="28" t="s">
        <v>6067</v>
      </c>
      <c r="L1904" s="28" t="s">
        <v>314</v>
      </c>
      <c r="M1904" s="28" t="s">
        <v>5749</v>
      </c>
      <c r="O1904" s="92">
        <v>37845</v>
      </c>
      <c r="P1904" s="28" t="s">
        <v>31</v>
      </c>
      <c r="Q1904" s="26" t="b">
        <v>0</v>
      </c>
      <c r="R1904" s="22">
        <f t="shared" si="30"/>
        <v>1281</v>
      </c>
    </row>
    <row r="1905" spans="1:18">
      <c r="A1905" s="26">
        <v>5399</v>
      </c>
      <c r="B1905" s="27">
        <v>36564</v>
      </c>
      <c r="C1905" s="28" t="s">
        <v>6103</v>
      </c>
      <c r="D1905" s="27">
        <v>36564</v>
      </c>
      <c r="E1905" s="28" t="s">
        <v>6104</v>
      </c>
      <c r="F1905" s="28" t="s">
        <v>6105</v>
      </c>
      <c r="G1905" s="28" t="s">
        <v>20</v>
      </c>
      <c r="H1905" s="28" t="s">
        <v>21</v>
      </c>
      <c r="I1905" s="28" t="s">
        <v>21</v>
      </c>
      <c r="J1905" s="28" t="s">
        <v>5772</v>
      </c>
      <c r="K1905" s="28" t="s">
        <v>4690</v>
      </c>
      <c r="L1905" s="28" t="s">
        <v>66</v>
      </c>
      <c r="M1905" s="28" t="s">
        <v>21</v>
      </c>
      <c r="O1905" s="92">
        <v>36600</v>
      </c>
      <c r="P1905" s="28" t="s">
        <v>21</v>
      </c>
      <c r="Q1905" s="26" t="b">
        <v>0</v>
      </c>
      <c r="R1905" s="22">
        <f t="shared" si="30"/>
        <v>37</v>
      </c>
    </row>
    <row r="1906" spans="1:18">
      <c r="A1906" s="26">
        <v>5388</v>
      </c>
      <c r="B1906" s="27">
        <v>36565</v>
      </c>
      <c r="C1906" s="28" t="s">
        <v>6091</v>
      </c>
      <c r="D1906" s="27">
        <v>36563</v>
      </c>
      <c r="E1906" s="28" t="s">
        <v>6092</v>
      </c>
      <c r="F1906" s="28" t="s">
        <v>259</v>
      </c>
      <c r="G1906" s="28" t="s">
        <v>20</v>
      </c>
      <c r="H1906" s="28" t="s">
        <v>21</v>
      </c>
      <c r="I1906" s="28" t="s">
        <v>21</v>
      </c>
      <c r="J1906" s="28" t="s">
        <v>6093</v>
      </c>
      <c r="K1906" s="28" t="s">
        <v>6094</v>
      </c>
      <c r="L1906" s="28" t="s">
        <v>3930</v>
      </c>
      <c r="M1906" s="28" t="s">
        <v>21</v>
      </c>
      <c r="O1906" s="92">
        <v>36641</v>
      </c>
      <c r="P1906" s="28" t="s">
        <v>31</v>
      </c>
      <c r="Q1906" s="26" t="b">
        <v>0</v>
      </c>
      <c r="R1906" s="22">
        <f t="shared" si="30"/>
        <v>77</v>
      </c>
    </row>
    <row r="1907" spans="1:18">
      <c r="A1907" s="26">
        <v>5406</v>
      </c>
      <c r="B1907" s="27">
        <v>36571</v>
      </c>
      <c r="C1907" s="28" t="s">
        <v>6112</v>
      </c>
      <c r="D1907" s="27">
        <v>36571</v>
      </c>
      <c r="E1907" s="28" t="s">
        <v>6113</v>
      </c>
      <c r="F1907" s="28" t="s">
        <v>70</v>
      </c>
      <c r="G1907" s="28" t="s">
        <v>20</v>
      </c>
      <c r="H1907" s="28" t="s">
        <v>71</v>
      </c>
      <c r="I1907" s="28" t="s">
        <v>72</v>
      </c>
      <c r="J1907" s="28" t="s">
        <v>6114</v>
      </c>
      <c r="K1907" s="28" t="s">
        <v>21</v>
      </c>
      <c r="L1907" s="28" t="s">
        <v>66</v>
      </c>
      <c r="M1907" s="28" t="s">
        <v>21</v>
      </c>
      <c r="O1907" s="92">
        <v>36592</v>
      </c>
      <c r="P1907" s="28" t="s">
        <v>21</v>
      </c>
      <c r="Q1907" s="26" t="b">
        <v>0</v>
      </c>
      <c r="R1907" s="22">
        <f t="shared" si="30"/>
        <v>22</v>
      </c>
    </row>
    <row r="1908" spans="1:18">
      <c r="A1908" s="26">
        <v>5407</v>
      </c>
      <c r="B1908" s="27">
        <v>36573</v>
      </c>
      <c r="C1908" s="28" t="s">
        <v>6115</v>
      </c>
      <c r="D1908" s="27">
        <v>36573</v>
      </c>
      <c r="E1908" s="28" t="s">
        <v>6116</v>
      </c>
      <c r="F1908" s="28" t="s">
        <v>741</v>
      </c>
      <c r="G1908" s="28" t="s">
        <v>20</v>
      </c>
      <c r="H1908" s="28" t="s">
        <v>21</v>
      </c>
      <c r="I1908" s="28" t="s">
        <v>21</v>
      </c>
      <c r="J1908" s="28" t="s">
        <v>6117</v>
      </c>
      <c r="K1908" s="28" t="s">
        <v>6118</v>
      </c>
      <c r="L1908" s="28" t="s">
        <v>66</v>
      </c>
      <c r="M1908" s="28" t="s">
        <v>21</v>
      </c>
      <c r="O1908" s="92">
        <v>36573</v>
      </c>
      <c r="P1908" s="28" t="s">
        <v>31</v>
      </c>
      <c r="Q1908" s="26" t="b">
        <v>0</v>
      </c>
      <c r="R1908" s="22">
        <f t="shared" si="30"/>
        <v>0</v>
      </c>
    </row>
    <row r="1909" spans="1:18">
      <c r="A1909" s="26">
        <v>5420</v>
      </c>
      <c r="B1909" s="27">
        <v>36578</v>
      </c>
      <c r="C1909" s="28" t="s">
        <v>6119</v>
      </c>
      <c r="D1909" s="27">
        <v>36578</v>
      </c>
      <c r="E1909" s="28" t="s">
        <v>5208</v>
      </c>
      <c r="F1909" s="28" t="s">
        <v>3847</v>
      </c>
      <c r="G1909" s="28" t="s">
        <v>20</v>
      </c>
      <c r="H1909" s="28" t="s">
        <v>21</v>
      </c>
      <c r="I1909" s="28" t="s">
        <v>1061</v>
      </c>
      <c r="J1909" s="28" t="s">
        <v>6120</v>
      </c>
      <c r="K1909" s="28" t="s">
        <v>21</v>
      </c>
      <c r="L1909" s="28" t="s">
        <v>3271</v>
      </c>
      <c r="M1909" s="28" t="s">
        <v>21</v>
      </c>
      <c r="O1909" s="92">
        <v>37437</v>
      </c>
      <c r="P1909" s="28" t="s">
        <v>21</v>
      </c>
      <c r="Q1909" s="26" t="b">
        <v>0</v>
      </c>
      <c r="R1909" s="22">
        <f t="shared" si="30"/>
        <v>859</v>
      </c>
    </row>
    <row r="1910" spans="1:18">
      <c r="A1910" s="26">
        <v>6316</v>
      </c>
      <c r="B1910" s="27">
        <v>36579</v>
      </c>
      <c r="C1910" s="28" t="s">
        <v>7045</v>
      </c>
      <c r="D1910" s="27">
        <v>36579</v>
      </c>
      <c r="E1910" s="28" t="s">
        <v>4172</v>
      </c>
      <c r="F1910" s="28" t="s">
        <v>228</v>
      </c>
      <c r="G1910" s="28" t="s">
        <v>20</v>
      </c>
      <c r="H1910" s="28" t="s">
        <v>21</v>
      </c>
      <c r="I1910" s="28" t="s">
        <v>21</v>
      </c>
      <c r="J1910" s="28" t="s">
        <v>5281</v>
      </c>
      <c r="K1910" s="28" t="s">
        <v>7046</v>
      </c>
      <c r="L1910" s="28" t="s">
        <v>4282</v>
      </c>
      <c r="M1910" s="28" t="s">
        <v>821</v>
      </c>
      <c r="O1910" s="92">
        <v>37845</v>
      </c>
      <c r="P1910" s="28" t="s">
        <v>31</v>
      </c>
      <c r="Q1910" s="26" t="b">
        <v>0</v>
      </c>
      <c r="R1910" s="22">
        <f t="shared" si="30"/>
        <v>1266</v>
      </c>
    </row>
    <row r="1911" spans="1:18">
      <c r="A1911" s="26">
        <v>6317</v>
      </c>
      <c r="B1911" s="27">
        <v>36579</v>
      </c>
      <c r="C1911" s="28" t="s">
        <v>7047</v>
      </c>
      <c r="D1911" s="27">
        <v>36579</v>
      </c>
      <c r="E1911" s="28" t="s">
        <v>4172</v>
      </c>
      <c r="F1911" s="28" t="s">
        <v>4242</v>
      </c>
      <c r="G1911" s="28" t="s">
        <v>20</v>
      </c>
      <c r="H1911" s="28" t="s">
        <v>189</v>
      </c>
      <c r="I1911" s="28" t="s">
        <v>21</v>
      </c>
      <c r="J1911" s="28" t="s">
        <v>7012</v>
      </c>
      <c r="K1911" s="28" t="s">
        <v>21</v>
      </c>
      <c r="L1911" s="28" t="s">
        <v>4282</v>
      </c>
      <c r="M1911" s="28" t="s">
        <v>821</v>
      </c>
      <c r="O1911" s="92">
        <v>37845</v>
      </c>
      <c r="P1911" s="28" t="s">
        <v>31</v>
      </c>
      <c r="Q1911" s="26" t="b">
        <v>0</v>
      </c>
      <c r="R1911" s="22">
        <f t="shared" si="30"/>
        <v>1266</v>
      </c>
    </row>
    <row r="1912" spans="1:18">
      <c r="A1912" s="26">
        <v>5422</v>
      </c>
      <c r="B1912" s="27">
        <v>36580</v>
      </c>
      <c r="C1912" s="28" t="s">
        <v>6123</v>
      </c>
      <c r="D1912" s="27">
        <v>36483</v>
      </c>
      <c r="E1912" s="28" t="s">
        <v>38</v>
      </c>
      <c r="F1912" s="28" t="s">
        <v>145</v>
      </c>
      <c r="G1912" s="28" t="s">
        <v>20</v>
      </c>
      <c r="H1912" s="28" t="s">
        <v>21</v>
      </c>
      <c r="I1912" s="28" t="s">
        <v>21</v>
      </c>
      <c r="J1912" s="28" t="s">
        <v>6124</v>
      </c>
      <c r="K1912" s="28" t="s">
        <v>21</v>
      </c>
      <c r="L1912" s="28" t="s">
        <v>66</v>
      </c>
      <c r="M1912" s="28" t="s">
        <v>21</v>
      </c>
      <c r="O1912" s="92">
        <v>36656</v>
      </c>
      <c r="P1912" s="28" t="s">
        <v>21</v>
      </c>
      <c r="Q1912" s="26" t="b">
        <v>0</v>
      </c>
      <c r="R1912" s="22">
        <f t="shared" si="30"/>
        <v>77</v>
      </c>
    </row>
    <row r="1913" spans="1:18">
      <c r="A1913" s="26">
        <v>5423</v>
      </c>
      <c r="B1913" s="27">
        <v>36581</v>
      </c>
      <c r="C1913" s="28" t="s">
        <v>6125</v>
      </c>
      <c r="D1913" s="27">
        <v>36564</v>
      </c>
      <c r="E1913" s="28" t="s">
        <v>6126</v>
      </c>
      <c r="F1913" s="28" t="s">
        <v>861</v>
      </c>
      <c r="G1913" s="28" t="s">
        <v>20</v>
      </c>
      <c r="H1913" s="28" t="s">
        <v>566</v>
      </c>
      <c r="I1913" s="28" t="s">
        <v>566</v>
      </c>
      <c r="J1913" s="28" t="s">
        <v>2694</v>
      </c>
      <c r="K1913" s="28" t="s">
        <v>1712</v>
      </c>
      <c r="L1913" s="28" t="s">
        <v>3526</v>
      </c>
      <c r="M1913" s="28" t="s">
        <v>821</v>
      </c>
      <c r="O1913" s="92">
        <v>37060</v>
      </c>
      <c r="P1913" s="28" t="s">
        <v>31</v>
      </c>
      <c r="Q1913" s="26" t="b">
        <v>0</v>
      </c>
      <c r="R1913" s="22">
        <f t="shared" si="30"/>
        <v>479</v>
      </c>
    </row>
    <row r="1914" spans="1:18">
      <c r="A1914" s="26">
        <v>5424</v>
      </c>
      <c r="B1914" s="27">
        <v>36584</v>
      </c>
      <c r="C1914" s="28" t="s">
        <v>6127</v>
      </c>
      <c r="D1914" s="27">
        <v>36581</v>
      </c>
      <c r="E1914" s="28" t="s">
        <v>6128</v>
      </c>
      <c r="F1914" s="28" t="s">
        <v>1232</v>
      </c>
      <c r="G1914" s="28" t="s">
        <v>20</v>
      </c>
      <c r="H1914" s="28" t="s">
        <v>189</v>
      </c>
      <c r="I1914" s="28" t="s">
        <v>189</v>
      </c>
      <c r="J1914" s="28" t="s">
        <v>6129</v>
      </c>
      <c r="K1914" s="28" t="s">
        <v>6130</v>
      </c>
      <c r="L1914" s="28" t="s">
        <v>4282</v>
      </c>
      <c r="M1914" s="28" t="s">
        <v>821</v>
      </c>
      <c r="O1914" s="92">
        <v>38371</v>
      </c>
      <c r="P1914" s="28" t="s">
        <v>21</v>
      </c>
      <c r="Q1914" s="26" t="b">
        <v>0</v>
      </c>
      <c r="R1914" s="22">
        <f t="shared" si="30"/>
        <v>1785</v>
      </c>
    </row>
    <row r="1915" spans="1:18">
      <c r="A1915" s="26">
        <v>5426</v>
      </c>
      <c r="B1915" s="27">
        <v>36592</v>
      </c>
      <c r="C1915" s="28" t="s">
        <v>6131</v>
      </c>
      <c r="D1915" s="27">
        <v>36571</v>
      </c>
      <c r="E1915" s="28" t="s">
        <v>1432</v>
      </c>
      <c r="F1915" s="28" t="s">
        <v>124</v>
      </c>
      <c r="G1915" s="28" t="s">
        <v>20</v>
      </c>
      <c r="H1915" s="28" t="s">
        <v>21</v>
      </c>
      <c r="I1915" s="28" t="s">
        <v>21</v>
      </c>
      <c r="J1915" s="28" t="s">
        <v>6132</v>
      </c>
      <c r="K1915" s="28" t="s">
        <v>6133</v>
      </c>
      <c r="L1915" s="28" t="s">
        <v>66</v>
      </c>
      <c r="M1915" s="28" t="s">
        <v>21</v>
      </c>
      <c r="O1915" s="92">
        <v>36794</v>
      </c>
      <c r="P1915" s="28" t="s">
        <v>31</v>
      </c>
      <c r="Q1915" s="26" t="b">
        <v>0</v>
      </c>
      <c r="R1915" s="22">
        <f t="shared" si="30"/>
        <v>200</v>
      </c>
    </row>
    <row r="1916" spans="1:18">
      <c r="A1916" s="26">
        <v>5427</v>
      </c>
      <c r="B1916" s="27">
        <v>36592</v>
      </c>
      <c r="C1916" s="28" t="s">
        <v>6134</v>
      </c>
      <c r="D1916" s="27">
        <v>36571</v>
      </c>
      <c r="E1916" s="28" t="s">
        <v>1432</v>
      </c>
      <c r="F1916" s="28" t="s">
        <v>124</v>
      </c>
      <c r="G1916" s="28" t="s">
        <v>20</v>
      </c>
      <c r="H1916" s="28" t="s">
        <v>21</v>
      </c>
      <c r="I1916" s="28" t="s">
        <v>21</v>
      </c>
      <c r="J1916" s="28" t="s">
        <v>6132</v>
      </c>
      <c r="K1916" s="28" t="s">
        <v>6135</v>
      </c>
      <c r="L1916" s="28" t="s">
        <v>4282</v>
      </c>
      <c r="M1916" s="28" t="s">
        <v>66</v>
      </c>
      <c r="O1916" s="92">
        <v>37208</v>
      </c>
      <c r="P1916" s="28" t="s">
        <v>31</v>
      </c>
      <c r="Q1916" s="26" t="b">
        <v>0</v>
      </c>
      <c r="R1916" s="22">
        <f t="shared" si="30"/>
        <v>614</v>
      </c>
    </row>
    <row r="1917" spans="1:18">
      <c r="A1917" s="26">
        <v>5429</v>
      </c>
      <c r="B1917" s="27">
        <v>36592</v>
      </c>
      <c r="C1917" s="28" t="s">
        <v>6138</v>
      </c>
      <c r="D1917" s="27">
        <v>36591</v>
      </c>
      <c r="E1917" s="28" t="s">
        <v>6139</v>
      </c>
      <c r="F1917" s="28" t="s">
        <v>6140</v>
      </c>
      <c r="G1917" s="28" t="s">
        <v>20</v>
      </c>
      <c r="H1917" s="28" t="s">
        <v>71</v>
      </c>
      <c r="I1917" s="28" t="s">
        <v>72</v>
      </c>
      <c r="J1917" s="28" t="s">
        <v>6141</v>
      </c>
      <c r="K1917" s="28" t="s">
        <v>21</v>
      </c>
      <c r="L1917" s="28" t="s">
        <v>821</v>
      </c>
      <c r="M1917" s="28" t="s">
        <v>21</v>
      </c>
      <c r="O1917" s="92">
        <v>36699</v>
      </c>
      <c r="P1917" s="28" t="s">
        <v>31</v>
      </c>
      <c r="Q1917" s="26" t="b">
        <v>0</v>
      </c>
      <c r="R1917" s="22">
        <f t="shared" si="30"/>
        <v>106</v>
      </c>
    </row>
    <row r="1918" spans="1:18">
      <c r="A1918" s="26">
        <v>5428</v>
      </c>
      <c r="B1918" s="27">
        <v>36593</v>
      </c>
      <c r="C1918" s="28" t="s">
        <v>6136</v>
      </c>
      <c r="D1918" s="27">
        <v>36587</v>
      </c>
      <c r="E1918" s="28" t="s">
        <v>6137</v>
      </c>
      <c r="F1918" s="28" t="s">
        <v>70</v>
      </c>
      <c r="G1918" s="28" t="s">
        <v>20</v>
      </c>
      <c r="H1918" s="28" t="s">
        <v>71</v>
      </c>
      <c r="I1918" s="28" t="s">
        <v>72</v>
      </c>
      <c r="J1918" s="28" t="s">
        <v>272</v>
      </c>
      <c r="K1918" s="28" t="s">
        <v>21</v>
      </c>
      <c r="L1918" s="28" t="s">
        <v>66</v>
      </c>
      <c r="M1918" s="28" t="s">
        <v>21</v>
      </c>
      <c r="O1918" s="92">
        <v>36635</v>
      </c>
      <c r="P1918" s="28" t="s">
        <v>21</v>
      </c>
      <c r="Q1918" s="26" t="b">
        <v>0</v>
      </c>
      <c r="R1918" s="22">
        <f t="shared" si="30"/>
        <v>41</v>
      </c>
    </row>
    <row r="1919" spans="1:18">
      <c r="A1919" s="26">
        <v>5430</v>
      </c>
      <c r="B1919" s="27">
        <v>36594</v>
      </c>
      <c r="C1919" s="28" t="s">
        <v>6142</v>
      </c>
      <c r="D1919" s="27">
        <v>36594</v>
      </c>
      <c r="E1919" s="28" t="s">
        <v>6143</v>
      </c>
      <c r="F1919" s="28" t="s">
        <v>371</v>
      </c>
      <c r="G1919" s="28" t="s">
        <v>20</v>
      </c>
      <c r="H1919" s="28" t="s">
        <v>21</v>
      </c>
      <c r="I1919" s="28" t="s">
        <v>21</v>
      </c>
      <c r="J1919" s="28" t="s">
        <v>6144</v>
      </c>
      <c r="K1919" s="28" t="s">
        <v>21</v>
      </c>
      <c r="L1919" s="28" t="s">
        <v>821</v>
      </c>
      <c r="M1919" s="28" t="s">
        <v>21</v>
      </c>
      <c r="O1919" s="92">
        <v>36649</v>
      </c>
      <c r="P1919" s="28" t="s">
        <v>31</v>
      </c>
      <c r="Q1919" s="26" t="b">
        <v>0</v>
      </c>
      <c r="R1919" s="22">
        <f t="shared" si="30"/>
        <v>54</v>
      </c>
    </row>
    <row r="1920" spans="1:18">
      <c r="A1920" s="26">
        <v>5431</v>
      </c>
      <c r="B1920" s="27">
        <v>36595</v>
      </c>
      <c r="C1920" s="28" t="s">
        <v>6145</v>
      </c>
      <c r="D1920" s="27">
        <v>36595</v>
      </c>
      <c r="E1920" s="28" t="s">
        <v>6146</v>
      </c>
      <c r="F1920" s="28" t="s">
        <v>129</v>
      </c>
      <c r="G1920" s="28" t="s">
        <v>20</v>
      </c>
      <c r="H1920" s="28" t="s">
        <v>21</v>
      </c>
      <c r="I1920" s="28" t="s">
        <v>21</v>
      </c>
      <c r="J1920" s="28" t="s">
        <v>6147</v>
      </c>
      <c r="K1920" s="28" t="s">
        <v>21</v>
      </c>
      <c r="L1920" s="28" t="s">
        <v>66</v>
      </c>
      <c r="M1920" s="28" t="s">
        <v>21</v>
      </c>
      <c r="O1920" s="92">
        <v>36724</v>
      </c>
      <c r="P1920" s="28" t="s">
        <v>21</v>
      </c>
      <c r="Q1920" s="26" t="b">
        <v>0</v>
      </c>
      <c r="R1920" s="22">
        <f t="shared" si="30"/>
        <v>128</v>
      </c>
    </row>
    <row r="1921" spans="1:18">
      <c r="A1921" s="26">
        <v>5432</v>
      </c>
      <c r="B1921" s="27">
        <v>36595</v>
      </c>
      <c r="C1921" s="28" t="s">
        <v>6148</v>
      </c>
      <c r="D1921" s="27">
        <v>36595</v>
      </c>
      <c r="E1921" s="28" t="s">
        <v>6149</v>
      </c>
      <c r="F1921" s="28" t="s">
        <v>5620</v>
      </c>
      <c r="G1921" s="28" t="s">
        <v>20</v>
      </c>
      <c r="H1921" s="28" t="s">
        <v>71</v>
      </c>
      <c r="I1921" s="28" t="s">
        <v>72</v>
      </c>
      <c r="J1921" s="28" t="s">
        <v>6150</v>
      </c>
      <c r="K1921" s="28" t="s">
        <v>21</v>
      </c>
      <c r="L1921" s="28" t="s">
        <v>314</v>
      </c>
      <c r="M1921" s="28" t="s">
        <v>6151</v>
      </c>
      <c r="O1921" s="92">
        <v>37323</v>
      </c>
      <c r="P1921" s="28" t="s">
        <v>31</v>
      </c>
      <c r="Q1921" s="26" t="b">
        <v>0</v>
      </c>
      <c r="R1921" s="22">
        <f t="shared" si="30"/>
        <v>727</v>
      </c>
    </row>
    <row r="1922" spans="1:18">
      <c r="A1922" s="26">
        <v>5433</v>
      </c>
      <c r="B1922" s="27">
        <v>36599</v>
      </c>
      <c r="C1922" s="28" t="s">
        <v>6152</v>
      </c>
      <c r="D1922" s="27">
        <v>36595</v>
      </c>
      <c r="E1922" s="28" t="s">
        <v>6153</v>
      </c>
      <c r="F1922" s="28" t="s">
        <v>124</v>
      </c>
      <c r="G1922" s="28" t="s">
        <v>20</v>
      </c>
      <c r="H1922" s="28" t="s">
        <v>21</v>
      </c>
      <c r="I1922" s="28" t="s">
        <v>21</v>
      </c>
      <c r="J1922" s="28" t="s">
        <v>6154</v>
      </c>
      <c r="K1922" s="28" t="s">
        <v>6155</v>
      </c>
      <c r="L1922" s="28" t="s">
        <v>821</v>
      </c>
      <c r="M1922" s="28" t="s">
        <v>21</v>
      </c>
      <c r="O1922" s="92">
        <v>36696</v>
      </c>
      <c r="P1922" s="28" t="s">
        <v>31</v>
      </c>
      <c r="Q1922" s="26" t="b">
        <v>0</v>
      </c>
      <c r="R1922" s="22">
        <f t="shared" si="30"/>
        <v>96</v>
      </c>
    </row>
    <row r="1923" spans="1:18">
      <c r="A1923" s="26">
        <v>5434</v>
      </c>
      <c r="B1923" s="27">
        <v>36600</v>
      </c>
      <c r="C1923" s="28" t="s">
        <v>6156</v>
      </c>
      <c r="D1923" s="27">
        <v>36598</v>
      </c>
      <c r="E1923" s="28" t="s">
        <v>6157</v>
      </c>
      <c r="F1923" s="28" t="s">
        <v>242</v>
      </c>
      <c r="G1923" s="28" t="s">
        <v>20</v>
      </c>
      <c r="H1923" s="28" t="s">
        <v>21</v>
      </c>
      <c r="I1923" s="28" t="s">
        <v>21</v>
      </c>
      <c r="J1923" s="28" t="s">
        <v>6158</v>
      </c>
      <c r="K1923" s="28" t="s">
        <v>6159</v>
      </c>
      <c r="L1923" s="28" t="s">
        <v>821</v>
      </c>
      <c r="M1923" s="28" t="s">
        <v>21</v>
      </c>
      <c r="O1923" s="92">
        <v>36787</v>
      </c>
      <c r="P1923" s="28" t="s">
        <v>31</v>
      </c>
      <c r="Q1923" s="26" t="b">
        <v>0</v>
      </c>
      <c r="R1923" s="22">
        <f t="shared" si="30"/>
        <v>185</v>
      </c>
    </row>
    <row r="1924" spans="1:18">
      <c r="A1924" s="26">
        <v>5447</v>
      </c>
      <c r="B1924" s="27">
        <v>36607</v>
      </c>
      <c r="C1924" s="28" t="s">
        <v>6160</v>
      </c>
      <c r="D1924" s="27">
        <v>36607</v>
      </c>
      <c r="E1924" s="28" t="s">
        <v>6161</v>
      </c>
      <c r="F1924" s="28" t="s">
        <v>34</v>
      </c>
      <c r="G1924" s="28" t="s">
        <v>20</v>
      </c>
      <c r="H1924" s="28" t="s">
        <v>21</v>
      </c>
      <c r="I1924" s="28" t="s">
        <v>21</v>
      </c>
      <c r="J1924" s="28" t="s">
        <v>1499</v>
      </c>
      <c r="K1924" s="28" t="s">
        <v>6162</v>
      </c>
      <c r="L1924" s="28" t="s">
        <v>66</v>
      </c>
      <c r="M1924" s="28" t="s">
        <v>21</v>
      </c>
      <c r="O1924" s="92">
        <v>36691</v>
      </c>
      <c r="P1924" s="28" t="s">
        <v>21</v>
      </c>
      <c r="Q1924" s="26" t="b">
        <v>0</v>
      </c>
      <c r="R1924" s="22">
        <f t="shared" si="30"/>
        <v>83</v>
      </c>
    </row>
    <row r="1925" spans="1:18">
      <c r="A1925" s="26">
        <v>5452</v>
      </c>
      <c r="B1925" s="27">
        <v>36613</v>
      </c>
      <c r="C1925" s="28" t="s">
        <v>6163</v>
      </c>
      <c r="D1925" s="27">
        <v>36612</v>
      </c>
      <c r="E1925" s="28" t="s">
        <v>6164</v>
      </c>
      <c r="F1925" s="28" t="s">
        <v>2359</v>
      </c>
      <c r="G1925" s="28" t="s">
        <v>20</v>
      </c>
      <c r="H1925" s="28" t="s">
        <v>71</v>
      </c>
      <c r="I1925" s="28" t="s">
        <v>72</v>
      </c>
      <c r="J1925" s="28" t="s">
        <v>6165</v>
      </c>
      <c r="K1925" s="28" t="s">
        <v>21</v>
      </c>
      <c r="L1925" s="28" t="s">
        <v>66</v>
      </c>
      <c r="M1925" s="28" t="s">
        <v>21</v>
      </c>
      <c r="O1925" s="92">
        <v>37036</v>
      </c>
      <c r="P1925" s="28" t="s">
        <v>21</v>
      </c>
      <c r="Q1925" s="26" t="b">
        <v>0</v>
      </c>
      <c r="R1925" s="22">
        <f t="shared" si="30"/>
        <v>422</v>
      </c>
    </row>
    <row r="1926" spans="1:18">
      <c r="A1926" s="26">
        <v>5456</v>
      </c>
      <c r="B1926" s="27">
        <v>36616</v>
      </c>
      <c r="C1926" s="28" t="s">
        <v>6168</v>
      </c>
      <c r="D1926" s="27">
        <v>36614</v>
      </c>
      <c r="E1926" s="28" t="s">
        <v>6169</v>
      </c>
      <c r="F1926" s="28" t="s">
        <v>327</v>
      </c>
      <c r="G1926" s="28" t="s">
        <v>20</v>
      </c>
      <c r="H1926" s="28" t="s">
        <v>21</v>
      </c>
      <c r="I1926" s="28" t="s">
        <v>21</v>
      </c>
      <c r="J1926" s="28" t="s">
        <v>6170</v>
      </c>
      <c r="K1926" s="28" t="s">
        <v>6171</v>
      </c>
      <c r="L1926" s="28" t="s">
        <v>314</v>
      </c>
      <c r="M1926" s="28" t="s">
        <v>5749</v>
      </c>
      <c r="O1926" s="92">
        <v>37890</v>
      </c>
      <c r="P1926" s="28" t="s">
        <v>31</v>
      </c>
      <c r="Q1926" s="26" t="b">
        <v>0</v>
      </c>
      <c r="R1926" s="22">
        <f t="shared" si="30"/>
        <v>1273</v>
      </c>
    </row>
    <row r="1927" spans="1:18">
      <c r="A1927" s="26">
        <v>5455</v>
      </c>
      <c r="B1927" s="27">
        <v>36619</v>
      </c>
      <c r="C1927" s="28" t="s">
        <v>6166</v>
      </c>
      <c r="D1927" s="27">
        <v>36616</v>
      </c>
      <c r="E1927" s="28" t="s">
        <v>38</v>
      </c>
      <c r="F1927" s="28" t="s">
        <v>3434</v>
      </c>
      <c r="G1927" s="28" t="s">
        <v>20</v>
      </c>
      <c r="H1927" s="28" t="s">
        <v>21</v>
      </c>
      <c r="I1927" s="28" t="s">
        <v>21</v>
      </c>
      <c r="J1927" s="28" t="s">
        <v>6167</v>
      </c>
      <c r="K1927" s="28" t="s">
        <v>21</v>
      </c>
      <c r="L1927" s="28" t="s">
        <v>3930</v>
      </c>
      <c r="M1927" s="28" t="s">
        <v>21</v>
      </c>
      <c r="O1927" s="92">
        <v>36630</v>
      </c>
      <c r="P1927" s="28" t="s">
        <v>21</v>
      </c>
      <c r="Q1927" s="26" t="b">
        <v>0</v>
      </c>
      <c r="R1927" s="22">
        <f t="shared" si="30"/>
        <v>11</v>
      </c>
    </row>
    <row r="1928" spans="1:18">
      <c r="A1928" s="26">
        <v>5457</v>
      </c>
      <c r="B1928" s="27">
        <v>36620</v>
      </c>
      <c r="C1928" s="28" t="s">
        <v>6172</v>
      </c>
      <c r="D1928" s="27">
        <v>36619</v>
      </c>
      <c r="E1928" s="28" t="s">
        <v>6173</v>
      </c>
      <c r="F1928" s="28" t="s">
        <v>19</v>
      </c>
      <c r="G1928" s="28" t="s">
        <v>20</v>
      </c>
      <c r="H1928" s="28" t="s">
        <v>21</v>
      </c>
      <c r="I1928" s="28" t="s">
        <v>21</v>
      </c>
      <c r="J1928" s="28" t="s">
        <v>6174</v>
      </c>
      <c r="K1928" s="28" t="s">
        <v>21</v>
      </c>
      <c r="L1928" s="28" t="s">
        <v>66</v>
      </c>
      <c r="M1928" s="28" t="s">
        <v>21</v>
      </c>
      <c r="O1928" s="92">
        <v>36638</v>
      </c>
      <c r="P1928" s="28" t="s">
        <v>31</v>
      </c>
      <c r="Q1928" s="26" t="b">
        <v>0</v>
      </c>
      <c r="R1928" s="22">
        <f t="shared" si="30"/>
        <v>18</v>
      </c>
    </row>
    <row r="1929" spans="1:18" ht="24">
      <c r="A1929" s="26">
        <v>5477</v>
      </c>
      <c r="B1929" s="27">
        <v>36623</v>
      </c>
      <c r="C1929" s="28" t="s">
        <v>6213</v>
      </c>
      <c r="D1929" s="27">
        <v>36622</v>
      </c>
      <c r="E1929" s="28" t="s">
        <v>6214</v>
      </c>
      <c r="F1929" s="28" t="s">
        <v>34</v>
      </c>
      <c r="G1929" s="28" t="s">
        <v>20</v>
      </c>
      <c r="H1929" s="28" t="s">
        <v>71</v>
      </c>
      <c r="I1929" s="28" t="s">
        <v>72</v>
      </c>
      <c r="J1929" s="28" t="s">
        <v>6215</v>
      </c>
      <c r="K1929" s="28" t="s">
        <v>6216</v>
      </c>
      <c r="L1929" s="28" t="s">
        <v>1946</v>
      </c>
      <c r="M1929" s="28" t="s">
        <v>6217</v>
      </c>
      <c r="O1929" s="92">
        <v>38386</v>
      </c>
      <c r="P1929" s="28" t="s">
        <v>21</v>
      </c>
      <c r="Q1929" s="26" t="b">
        <v>0</v>
      </c>
      <c r="R1929" s="22">
        <f t="shared" si="30"/>
        <v>1760</v>
      </c>
    </row>
    <row r="1930" spans="1:18">
      <c r="A1930" s="26">
        <v>5459</v>
      </c>
      <c r="B1930" s="27">
        <v>36626</v>
      </c>
      <c r="C1930" s="28" t="s">
        <v>6175</v>
      </c>
      <c r="D1930" s="27">
        <v>36609</v>
      </c>
      <c r="E1930" s="28" t="s">
        <v>6176</v>
      </c>
      <c r="F1930" s="28" t="s">
        <v>149</v>
      </c>
      <c r="G1930" s="28" t="s">
        <v>20</v>
      </c>
      <c r="H1930" s="28" t="s">
        <v>21</v>
      </c>
      <c r="I1930" s="28" t="s">
        <v>21</v>
      </c>
      <c r="J1930" s="28" t="s">
        <v>6177</v>
      </c>
      <c r="K1930" s="28" t="s">
        <v>21</v>
      </c>
      <c r="L1930" s="28" t="s">
        <v>821</v>
      </c>
      <c r="M1930" s="28" t="s">
        <v>21</v>
      </c>
      <c r="O1930" s="92">
        <v>36903</v>
      </c>
      <c r="P1930" s="28" t="s">
        <v>31</v>
      </c>
      <c r="Q1930" s="26" t="b">
        <v>0</v>
      </c>
      <c r="R1930" s="22">
        <f t="shared" si="30"/>
        <v>275</v>
      </c>
    </row>
    <row r="1931" spans="1:18">
      <c r="A1931" s="26">
        <v>5461</v>
      </c>
      <c r="B1931" s="27">
        <v>36627</v>
      </c>
      <c r="C1931" s="28" t="s">
        <v>6178</v>
      </c>
      <c r="D1931" s="27">
        <v>36622</v>
      </c>
      <c r="E1931" s="28" t="s">
        <v>6179</v>
      </c>
      <c r="F1931" s="28" t="s">
        <v>104</v>
      </c>
      <c r="G1931" s="28" t="s">
        <v>20</v>
      </c>
      <c r="H1931" s="28" t="s">
        <v>21</v>
      </c>
      <c r="I1931" s="28" t="s">
        <v>21</v>
      </c>
      <c r="J1931" s="28" t="s">
        <v>4041</v>
      </c>
      <c r="K1931" s="28" t="s">
        <v>21</v>
      </c>
      <c r="L1931" s="28" t="s">
        <v>66</v>
      </c>
      <c r="M1931" s="28" t="s">
        <v>21</v>
      </c>
      <c r="O1931" s="92">
        <v>37092</v>
      </c>
      <c r="P1931" s="28" t="s">
        <v>21</v>
      </c>
      <c r="Q1931" s="26" t="b">
        <v>0</v>
      </c>
      <c r="R1931" s="22">
        <f t="shared" si="30"/>
        <v>465</v>
      </c>
    </row>
    <row r="1932" spans="1:18">
      <c r="A1932" s="26">
        <v>5463</v>
      </c>
      <c r="B1932" s="27">
        <v>36630</v>
      </c>
      <c r="C1932" s="28" t="s">
        <v>6180</v>
      </c>
      <c r="D1932" s="27">
        <v>36626</v>
      </c>
      <c r="E1932" s="28" t="s">
        <v>6181</v>
      </c>
      <c r="F1932" s="28" t="s">
        <v>70</v>
      </c>
      <c r="G1932" s="28" t="s">
        <v>20</v>
      </c>
      <c r="H1932" s="28" t="s">
        <v>71</v>
      </c>
      <c r="I1932" s="28" t="s">
        <v>72</v>
      </c>
      <c r="J1932" s="28" t="s">
        <v>6182</v>
      </c>
      <c r="K1932" s="28" t="s">
        <v>21</v>
      </c>
      <c r="L1932" s="28" t="s">
        <v>821</v>
      </c>
      <c r="M1932" s="28" t="s">
        <v>21</v>
      </c>
      <c r="O1932" s="92">
        <v>36934</v>
      </c>
      <c r="P1932" s="28" t="s">
        <v>31</v>
      </c>
      <c r="Q1932" s="26" t="b">
        <v>0</v>
      </c>
      <c r="R1932" s="22">
        <f t="shared" si="30"/>
        <v>302</v>
      </c>
    </row>
    <row r="1933" spans="1:18">
      <c r="A1933" s="26">
        <v>5467</v>
      </c>
      <c r="B1933" s="27">
        <v>36630</v>
      </c>
      <c r="C1933" s="28" t="s">
        <v>6183</v>
      </c>
      <c r="D1933" s="27">
        <v>36630</v>
      </c>
      <c r="E1933" s="28" t="s">
        <v>6184</v>
      </c>
      <c r="F1933" s="28" t="s">
        <v>104</v>
      </c>
      <c r="G1933" s="28" t="s">
        <v>20</v>
      </c>
      <c r="H1933" s="28" t="s">
        <v>21</v>
      </c>
      <c r="I1933" s="28" t="s">
        <v>21</v>
      </c>
      <c r="J1933" s="28" t="s">
        <v>6185</v>
      </c>
      <c r="K1933" s="28" t="s">
        <v>21</v>
      </c>
      <c r="L1933" s="28" t="s">
        <v>66</v>
      </c>
      <c r="M1933" s="28" t="s">
        <v>21</v>
      </c>
      <c r="O1933" s="92">
        <v>37183</v>
      </c>
      <c r="P1933" s="28" t="s">
        <v>31</v>
      </c>
      <c r="Q1933" s="26" t="b">
        <v>0</v>
      </c>
      <c r="R1933" s="22">
        <f t="shared" si="30"/>
        <v>552</v>
      </c>
    </row>
    <row r="1934" spans="1:18">
      <c r="A1934" s="26">
        <v>5468</v>
      </c>
      <c r="B1934" s="27">
        <v>36635</v>
      </c>
      <c r="C1934" s="28" t="s">
        <v>6186</v>
      </c>
      <c r="D1934" s="27">
        <v>36635</v>
      </c>
      <c r="E1934" s="28" t="s">
        <v>6187</v>
      </c>
      <c r="F1934" s="28" t="s">
        <v>984</v>
      </c>
      <c r="G1934" s="28" t="s">
        <v>20</v>
      </c>
      <c r="H1934" s="28" t="s">
        <v>21</v>
      </c>
      <c r="I1934" s="28" t="s">
        <v>21</v>
      </c>
      <c r="J1934" s="28" t="s">
        <v>6188</v>
      </c>
      <c r="K1934" s="28" t="s">
        <v>21</v>
      </c>
      <c r="L1934" s="28" t="s">
        <v>66</v>
      </c>
      <c r="M1934" s="28" t="s">
        <v>21</v>
      </c>
      <c r="O1934" s="92">
        <v>37627</v>
      </c>
      <c r="P1934" s="28" t="s">
        <v>21</v>
      </c>
      <c r="Q1934" s="26" t="b">
        <v>0</v>
      </c>
      <c r="R1934" s="22">
        <f t="shared" si="30"/>
        <v>990</v>
      </c>
    </row>
    <row r="1935" spans="1:18">
      <c r="A1935" s="26">
        <v>5470</v>
      </c>
      <c r="B1935" s="27">
        <v>36640</v>
      </c>
      <c r="C1935" s="28" t="s">
        <v>6189</v>
      </c>
      <c r="D1935" s="27">
        <v>36634</v>
      </c>
      <c r="E1935" s="28" t="s">
        <v>6190</v>
      </c>
      <c r="F1935" s="28" t="s">
        <v>6191</v>
      </c>
      <c r="G1935" s="28" t="s">
        <v>20</v>
      </c>
      <c r="H1935" s="28" t="s">
        <v>189</v>
      </c>
      <c r="I1935" s="28" t="s">
        <v>189</v>
      </c>
      <c r="J1935" s="28" t="s">
        <v>6192</v>
      </c>
      <c r="K1935" s="28" t="s">
        <v>6193</v>
      </c>
      <c r="L1935" s="28" t="s">
        <v>66</v>
      </c>
      <c r="M1935" s="28" t="s">
        <v>21</v>
      </c>
      <c r="O1935" s="92">
        <v>36724</v>
      </c>
      <c r="P1935" s="28" t="s">
        <v>31</v>
      </c>
      <c r="Q1935" s="26" t="b">
        <v>0</v>
      </c>
      <c r="R1935" s="22">
        <f t="shared" si="30"/>
        <v>84</v>
      </c>
    </row>
    <row r="1936" spans="1:18">
      <c r="A1936" s="26">
        <v>5471</v>
      </c>
      <c r="B1936" s="27">
        <v>36640</v>
      </c>
      <c r="C1936" s="28" t="s">
        <v>6194</v>
      </c>
      <c r="D1936" s="27">
        <v>36638</v>
      </c>
      <c r="E1936" s="28" t="s">
        <v>6195</v>
      </c>
      <c r="F1936" s="28" t="s">
        <v>19</v>
      </c>
      <c r="G1936" s="28" t="s">
        <v>20</v>
      </c>
      <c r="H1936" s="28" t="s">
        <v>21</v>
      </c>
      <c r="I1936" s="28" t="s">
        <v>21</v>
      </c>
      <c r="J1936" s="28" t="s">
        <v>6196</v>
      </c>
      <c r="K1936" s="28" t="s">
        <v>6197</v>
      </c>
      <c r="L1936" s="28" t="s">
        <v>821</v>
      </c>
      <c r="M1936" s="28" t="s">
        <v>21</v>
      </c>
      <c r="O1936" s="92">
        <v>36740</v>
      </c>
      <c r="P1936" s="28" t="s">
        <v>31</v>
      </c>
      <c r="Q1936" s="26" t="b">
        <v>0</v>
      </c>
      <c r="R1936" s="22">
        <f t="shared" si="30"/>
        <v>99</v>
      </c>
    </row>
    <row r="1937" spans="1:18">
      <c r="A1937" s="26">
        <v>5472</v>
      </c>
      <c r="B1937" s="27">
        <v>36641</v>
      </c>
      <c r="C1937" s="28" t="s">
        <v>6198</v>
      </c>
      <c r="D1937" s="27">
        <v>36638</v>
      </c>
      <c r="E1937" s="28" t="s">
        <v>6199</v>
      </c>
      <c r="F1937" s="28" t="s">
        <v>228</v>
      </c>
      <c r="G1937" s="28" t="s">
        <v>20</v>
      </c>
      <c r="H1937" s="28" t="s">
        <v>21</v>
      </c>
      <c r="I1937" s="28" t="s">
        <v>21</v>
      </c>
      <c r="J1937" s="28" t="s">
        <v>6200</v>
      </c>
      <c r="K1937" s="28" t="s">
        <v>6201</v>
      </c>
      <c r="L1937" s="28" t="s">
        <v>821</v>
      </c>
      <c r="M1937" s="28" t="s">
        <v>21</v>
      </c>
      <c r="O1937" s="92">
        <v>36641</v>
      </c>
      <c r="P1937" s="28" t="s">
        <v>31</v>
      </c>
      <c r="Q1937" s="26" t="b">
        <v>0</v>
      </c>
      <c r="R1937" s="22">
        <f t="shared" si="30"/>
        <v>0</v>
      </c>
    </row>
    <row r="1938" spans="1:18">
      <c r="A1938" s="26">
        <v>5475</v>
      </c>
      <c r="B1938" s="27">
        <v>36642</v>
      </c>
      <c r="C1938" s="28" t="s">
        <v>6205</v>
      </c>
      <c r="D1938" s="27">
        <v>36639</v>
      </c>
      <c r="E1938" s="28" t="s">
        <v>6206</v>
      </c>
      <c r="F1938" s="28" t="s">
        <v>228</v>
      </c>
      <c r="G1938" s="28" t="s">
        <v>20</v>
      </c>
      <c r="H1938" s="28" t="s">
        <v>21</v>
      </c>
      <c r="I1938" s="28" t="s">
        <v>21</v>
      </c>
      <c r="J1938" s="28" t="s">
        <v>6207</v>
      </c>
      <c r="K1938" s="28" t="s">
        <v>6208</v>
      </c>
      <c r="L1938" s="28" t="s">
        <v>4282</v>
      </c>
      <c r="M1938" s="28" t="s">
        <v>821</v>
      </c>
      <c r="O1938" s="92">
        <v>38310</v>
      </c>
      <c r="P1938" s="28" t="s">
        <v>31</v>
      </c>
      <c r="Q1938" s="26" t="b">
        <v>0</v>
      </c>
      <c r="R1938" s="22">
        <f t="shared" si="30"/>
        <v>1665</v>
      </c>
    </row>
    <row r="1939" spans="1:18">
      <c r="A1939" s="26">
        <v>5473</v>
      </c>
      <c r="B1939" s="27">
        <v>36643</v>
      </c>
      <c r="C1939" s="28" t="s">
        <v>6202</v>
      </c>
      <c r="D1939" s="27">
        <v>36639</v>
      </c>
      <c r="E1939" s="28" t="s">
        <v>6203</v>
      </c>
      <c r="F1939" s="28" t="s">
        <v>124</v>
      </c>
      <c r="G1939" s="28" t="s">
        <v>20</v>
      </c>
      <c r="H1939" s="28" t="s">
        <v>21</v>
      </c>
      <c r="I1939" s="28" t="s">
        <v>21</v>
      </c>
      <c r="J1939" s="28" t="s">
        <v>6204</v>
      </c>
      <c r="K1939" s="28" t="s">
        <v>21</v>
      </c>
      <c r="L1939" s="28" t="s">
        <v>821</v>
      </c>
      <c r="M1939" s="28" t="s">
        <v>21</v>
      </c>
      <c r="O1939" s="92">
        <v>36704</v>
      </c>
      <c r="P1939" s="28" t="s">
        <v>31</v>
      </c>
      <c r="Q1939" s="26" t="b">
        <v>0</v>
      </c>
      <c r="R1939" s="22">
        <f t="shared" si="30"/>
        <v>60</v>
      </c>
    </row>
    <row r="1940" spans="1:18">
      <c r="A1940" s="26">
        <v>5476</v>
      </c>
      <c r="B1940" s="27">
        <v>36655</v>
      </c>
      <c r="C1940" s="28" t="s">
        <v>6209</v>
      </c>
      <c r="D1940" s="27">
        <v>36649</v>
      </c>
      <c r="E1940" s="28" t="s">
        <v>6210</v>
      </c>
      <c r="F1940" s="28" t="s">
        <v>2359</v>
      </c>
      <c r="G1940" s="28" t="s">
        <v>20</v>
      </c>
      <c r="H1940" s="28" t="s">
        <v>71</v>
      </c>
      <c r="I1940" s="28" t="s">
        <v>72</v>
      </c>
      <c r="J1940" s="28" t="s">
        <v>6211</v>
      </c>
      <c r="K1940" s="28" t="s">
        <v>6212</v>
      </c>
      <c r="L1940" s="28" t="s">
        <v>66</v>
      </c>
      <c r="M1940" s="28" t="s">
        <v>21</v>
      </c>
      <c r="O1940" s="92">
        <v>36690</v>
      </c>
      <c r="P1940" s="28" t="s">
        <v>21</v>
      </c>
      <c r="Q1940" s="26" t="b">
        <v>0</v>
      </c>
      <c r="R1940" s="22">
        <f t="shared" si="30"/>
        <v>34</v>
      </c>
    </row>
    <row r="1941" spans="1:18">
      <c r="A1941" s="26">
        <v>5479</v>
      </c>
      <c r="B1941" s="27">
        <v>36655</v>
      </c>
      <c r="C1941" s="28" t="s">
        <v>6218</v>
      </c>
      <c r="D1941" s="27">
        <v>36655</v>
      </c>
      <c r="E1941" s="28" t="s">
        <v>6219</v>
      </c>
      <c r="F1941" s="28" t="s">
        <v>3430</v>
      </c>
      <c r="G1941" s="28" t="s">
        <v>20</v>
      </c>
      <c r="H1941" s="28" t="s">
        <v>71</v>
      </c>
      <c r="I1941" s="28" t="s">
        <v>72</v>
      </c>
      <c r="J1941" s="28" t="s">
        <v>6220</v>
      </c>
      <c r="K1941" s="28" t="s">
        <v>6221</v>
      </c>
      <c r="L1941" s="28" t="s">
        <v>66</v>
      </c>
      <c r="M1941" s="28" t="s">
        <v>21</v>
      </c>
      <c r="O1941" s="92">
        <v>37404</v>
      </c>
      <c r="P1941" s="28" t="s">
        <v>31</v>
      </c>
      <c r="Q1941" s="26" t="b">
        <v>0</v>
      </c>
      <c r="R1941" s="22">
        <f t="shared" si="30"/>
        <v>749</v>
      </c>
    </row>
    <row r="1942" spans="1:18">
      <c r="A1942" s="26">
        <v>5480</v>
      </c>
      <c r="B1942" s="27">
        <v>36655</v>
      </c>
      <c r="C1942" s="28" t="s">
        <v>6222</v>
      </c>
      <c r="D1942" s="27">
        <v>36655</v>
      </c>
      <c r="E1942" s="28" t="s">
        <v>38</v>
      </c>
      <c r="F1942" s="28" t="s">
        <v>242</v>
      </c>
      <c r="G1942" s="28" t="s">
        <v>20</v>
      </c>
      <c r="H1942" s="28" t="s">
        <v>21</v>
      </c>
      <c r="I1942" s="28" t="s">
        <v>21</v>
      </c>
      <c r="J1942" s="28" t="s">
        <v>6223</v>
      </c>
      <c r="K1942" s="28" t="s">
        <v>21</v>
      </c>
      <c r="L1942" s="28" t="s">
        <v>3930</v>
      </c>
      <c r="M1942" s="28" t="s">
        <v>21</v>
      </c>
      <c r="O1942" s="92">
        <v>36656</v>
      </c>
      <c r="P1942" s="28" t="s">
        <v>21</v>
      </c>
      <c r="Q1942" s="26" t="b">
        <v>0</v>
      </c>
      <c r="R1942" s="22">
        <f t="shared" si="30"/>
        <v>1</v>
      </c>
    </row>
    <row r="1943" spans="1:18">
      <c r="A1943" s="26">
        <v>5482</v>
      </c>
      <c r="B1943" s="27">
        <v>36662</v>
      </c>
      <c r="C1943" s="28" t="s">
        <v>6224</v>
      </c>
      <c r="D1943" s="27">
        <v>36662</v>
      </c>
      <c r="E1943" s="28" t="s">
        <v>6225</v>
      </c>
      <c r="F1943" s="28" t="s">
        <v>974</v>
      </c>
      <c r="G1943" s="28" t="s">
        <v>20</v>
      </c>
      <c r="H1943" s="28" t="s">
        <v>212</v>
      </c>
      <c r="I1943" s="28" t="s">
        <v>212</v>
      </c>
      <c r="J1943" s="28" t="s">
        <v>6226</v>
      </c>
      <c r="K1943" s="28" t="s">
        <v>6227</v>
      </c>
      <c r="L1943" s="28" t="s">
        <v>314</v>
      </c>
      <c r="M1943" s="28" t="s">
        <v>5749</v>
      </c>
      <c r="O1943" s="92">
        <v>38309</v>
      </c>
      <c r="P1943" s="28" t="s">
        <v>31</v>
      </c>
      <c r="Q1943" s="26" t="b">
        <v>0</v>
      </c>
      <c r="R1943" s="22">
        <f t="shared" si="30"/>
        <v>1644</v>
      </c>
    </row>
    <row r="1944" spans="1:18">
      <c r="A1944" s="26">
        <v>5497</v>
      </c>
      <c r="B1944" s="27">
        <v>36663</v>
      </c>
      <c r="C1944" s="28" t="s">
        <v>6262</v>
      </c>
      <c r="D1944" s="27">
        <v>36662</v>
      </c>
      <c r="E1944" s="28" t="s">
        <v>38</v>
      </c>
      <c r="F1944" s="28" t="s">
        <v>228</v>
      </c>
      <c r="G1944" s="28" t="s">
        <v>20</v>
      </c>
      <c r="H1944" s="28" t="s">
        <v>21</v>
      </c>
      <c r="I1944" s="28" t="s">
        <v>21</v>
      </c>
      <c r="J1944" s="28" t="s">
        <v>6263</v>
      </c>
      <c r="K1944" s="28" t="s">
        <v>21</v>
      </c>
      <c r="L1944" s="28" t="s">
        <v>66</v>
      </c>
      <c r="M1944" s="28" t="s">
        <v>21</v>
      </c>
      <c r="O1944" s="92">
        <v>36713</v>
      </c>
      <c r="P1944" s="28" t="s">
        <v>21</v>
      </c>
      <c r="Q1944" s="26" t="b">
        <v>0</v>
      </c>
      <c r="R1944" s="22">
        <f t="shared" si="30"/>
        <v>49</v>
      </c>
    </row>
    <row r="1945" spans="1:18">
      <c r="A1945" s="26">
        <v>5484</v>
      </c>
      <c r="B1945" s="27">
        <v>36665</v>
      </c>
      <c r="C1945" s="28" t="s">
        <v>6228</v>
      </c>
      <c r="D1945" s="27">
        <v>36664</v>
      </c>
      <c r="E1945" s="28" t="s">
        <v>6229</v>
      </c>
      <c r="F1945" s="28" t="s">
        <v>984</v>
      </c>
      <c r="G1945" s="28" t="s">
        <v>20</v>
      </c>
      <c r="H1945" s="28" t="s">
        <v>21</v>
      </c>
      <c r="I1945" s="28" t="s">
        <v>21</v>
      </c>
      <c r="J1945" s="28" t="s">
        <v>6230</v>
      </c>
      <c r="K1945" s="28" t="s">
        <v>6231</v>
      </c>
      <c r="L1945" s="28" t="s">
        <v>3526</v>
      </c>
      <c r="M1945" s="28" t="s">
        <v>821</v>
      </c>
      <c r="O1945" s="92">
        <v>36592</v>
      </c>
      <c r="P1945" s="28" t="s">
        <v>31</v>
      </c>
      <c r="Q1945" s="26" t="b">
        <v>0</v>
      </c>
      <c r="R1945" s="22">
        <f t="shared" si="30"/>
        <v>73</v>
      </c>
    </row>
    <row r="1946" spans="1:18">
      <c r="A1946" s="26">
        <v>5485</v>
      </c>
      <c r="B1946" s="27">
        <v>36668</v>
      </c>
      <c r="C1946" s="28" t="s">
        <v>6232</v>
      </c>
      <c r="D1946" s="27">
        <v>36662</v>
      </c>
      <c r="E1946" s="28" t="s">
        <v>6233</v>
      </c>
      <c r="F1946" s="28" t="s">
        <v>124</v>
      </c>
      <c r="G1946" s="28" t="s">
        <v>20</v>
      </c>
      <c r="H1946" s="28" t="s">
        <v>21</v>
      </c>
      <c r="I1946" s="28" t="s">
        <v>21</v>
      </c>
      <c r="J1946" s="28" t="s">
        <v>6234</v>
      </c>
      <c r="K1946" s="28" t="s">
        <v>21</v>
      </c>
      <c r="L1946" s="28" t="s">
        <v>4282</v>
      </c>
      <c r="M1946" s="28" t="s">
        <v>66</v>
      </c>
      <c r="O1946" s="92">
        <v>37496</v>
      </c>
      <c r="P1946" s="28" t="s">
        <v>31</v>
      </c>
      <c r="Q1946" s="26" t="b">
        <v>0</v>
      </c>
      <c r="R1946" s="22">
        <f t="shared" si="30"/>
        <v>827</v>
      </c>
    </row>
    <row r="1947" spans="1:18">
      <c r="A1947" s="26">
        <v>5486</v>
      </c>
      <c r="B1947" s="27">
        <v>36683</v>
      </c>
      <c r="C1947" s="28" t="s">
        <v>6235</v>
      </c>
      <c r="D1947" s="27">
        <v>36680</v>
      </c>
      <c r="E1947" s="28" t="s">
        <v>6236</v>
      </c>
      <c r="F1947" s="28" t="s">
        <v>5270</v>
      </c>
      <c r="G1947" s="28" t="s">
        <v>20</v>
      </c>
      <c r="H1947" s="28" t="s">
        <v>21</v>
      </c>
      <c r="I1947" s="28" t="s">
        <v>21</v>
      </c>
      <c r="J1947" s="28" t="s">
        <v>6237</v>
      </c>
      <c r="K1947" s="28" t="s">
        <v>21</v>
      </c>
      <c r="L1947" s="28" t="s">
        <v>66</v>
      </c>
      <c r="M1947" s="28" t="s">
        <v>21</v>
      </c>
      <c r="O1947" s="92">
        <v>36761</v>
      </c>
      <c r="P1947" s="28" t="s">
        <v>21</v>
      </c>
      <c r="Q1947" s="26" t="b">
        <v>0</v>
      </c>
      <c r="R1947" s="22">
        <f t="shared" si="30"/>
        <v>78</v>
      </c>
    </row>
    <row r="1948" spans="1:18">
      <c r="A1948" s="26">
        <v>5489</v>
      </c>
      <c r="B1948" s="27">
        <v>36685</v>
      </c>
      <c r="C1948" s="28" t="s">
        <v>6240</v>
      </c>
      <c r="D1948" s="27">
        <v>36683</v>
      </c>
      <c r="E1948" s="28" t="s">
        <v>6241</v>
      </c>
      <c r="F1948" s="28" t="s">
        <v>5659</v>
      </c>
      <c r="G1948" s="28" t="s">
        <v>20</v>
      </c>
      <c r="H1948" s="28" t="s">
        <v>566</v>
      </c>
      <c r="I1948" s="28" t="s">
        <v>566</v>
      </c>
      <c r="J1948" s="28" t="s">
        <v>1639</v>
      </c>
      <c r="K1948" s="28" t="s">
        <v>6242</v>
      </c>
      <c r="L1948" s="28" t="s">
        <v>3526</v>
      </c>
      <c r="M1948" s="28" t="s">
        <v>821</v>
      </c>
      <c r="O1948" s="92">
        <v>37116</v>
      </c>
      <c r="P1948" s="28" t="s">
        <v>21</v>
      </c>
      <c r="Q1948" s="26" t="b">
        <v>0</v>
      </c>
      <c r="R1948" s="22">
        <f t="shared" si="30"/>
        <v>430</v>
      </c>
    </row>
    <row r="1949" spans="1:18">
      <c r="A1949" s="26">
        <v>5487</v>
      </c>
      <c r="B1949" s="27">
        <v>36686</v>
      </c>
      <c r="C1949" s="28" t="s">
        <v>6238</v>
      </c>
      <c r="D1949" s="27">
        <v>36683</v>
      </c>
      <c r="E1949" s="28" t="s">
        <v>38</v>
      </c>
      <c r="F1949" s="28" t="s">
        <v>85</v>
      </c>
      <c r="G1949" s="28" t="s">
        <v>20</v>
      </c>
      <c r="H1949" s="28" t="s">
        <v>21</v>
      </c>
      <c r="I1949" s="28" t="s">
        <v>21</v>
      </c>
      <c r="J1949" s="28" t="s">
        <v>6239</v>
      </c>
      <c r="K1949" s="28" t="s">
        <v>1572</v>
      </c>
      <c r="L1949" s="28" t="s">
        <v>821</v>
      </c>
      <c r="M1949" s="28" t="s">
        <v>21</v>
      </c>
      <c r="O1949" s="92">
        <v>36698</v>
      </c>
      <c r="P1949" s="28" t="s">
        <v>31</v>
      </c>
      <c r="Q1949" s="26" t="b">
        <v>0</v>
      </c>
      <c r="R1949" s="22">
        <f t="shared" si="30"/>
        <v>12</v>
      </c>
    </row>
    <row r="1950" spans="1:18">
      <c r="A1950" s="26">
        <v>5490</v>
      </c>
      <c r="B1950" s="27">
        <v>36690</v>
      </c>
      <c r="C1950" s="28" t="s">
        <v>6243</v>
      </c>
      <c r="D1950" s="27">
        <v>36664</v>
      </c>
      <c r="E1950" s="28" t="s">
        <v>38</v>
      </c>
      <c r="F1950" s="28" t="s">
        <v>124</v>
      </c>
      <c r="G1950" s="28" t="s">
        <v>20</v>
      </c>
      <c r="H1950" s="28" t="s">
        <v>21</v>
      </c>
      <c r="I1950" s="28" t="s">
        <v>21</v>
      </c>
      <c r="J1950" s="28" t="s">
        <v>6244</v>
      </c>
      <c r="K1950" s="28" t="s">
        <v>6245</v>
      </c>
      <c r="L1950" s="28" t="s">
        <v>5814</v>
      </c>
      <c r="M1950" s="28" t="s">
        <v>21</v>
      </c>
      <c r="O1950" s="92">
        <v>36819</v>
      </c>
      <c r="P1950" s="28" t="s">
        <v>31</v>
      </c>
      <c r="Q1950" s="26" t="b">
        <v>0</v>
      </c>
      <c r="R1950" s="22">
        <f t="shared" si="30"/>
        <v>128</v>
      </c>
    </row>
    <row r="1951" spans="1:18">
      <c r="A1951" s="26">
        <v>5492</v>
      </c>
      <c r="B1951" s="27">
        <v>36697</v>
      </c>
      <c r="C1951" s="28" t="s">
        <v>6249</v>
      </c>
      <c r="D1951" s="27">
        <v>36697</v>
      </c>
      <c r="E1951" s="28" t="s">
        <v>6250</v>
      </c>
      <c r="F1951" s="28" t="s">
        <v>98</v>
      </c>
      <c r="G1951" s="28" t="s">
        <v>20</v>
      </c>
      <c r="H1951" s="28" t="s">
        <v>21</v>
      </c>
      <c r="I1951" s="28" t="s">
        <v>21</v>
      </c>
      <c r="J1951" s="28" t="s">
        <v>6251</v>
      </c>
      <c r="K1951" s="28" t="s">
        <v>6252</v>
      </c>
      <c r="L1951" s="28" t="s">
        <v>821</v>
      </c>
      <c r="M1951" s="28" t="s">
        <v>21</v>
      </c>
      <c r="O1951" s="92">
        <v>36970</v>
      </c>
      <c r="P1951" s="28" t="s">
        <v>21</v>
      </c>
      <c r="Q1951" s="26" t="b">
        <v>0</v>
      </c>
      <c r="R1951" s="22">
        <f t="shared" si="30"/>
        <v>273</v>
      </c>
    </row>
    <row r="1952" spans="1:18">
      <c r="A1952" s="26">
        <v>5499</v>
      </c>
      <c r="B1952" s="27">
        <v>36697</v>
      </c>
      <c r="C1952" s="28" t="s">
        <v>6266</v>
      </c>
      <c r="D1952" s="27">
        <v>36697</v>
      </c>
      <c r="E1952" s="28" t="s">
        <v>38</v>
      </c>
      <c r="F1952" s="28" t="s">
        <v>3434</v>
      </c>
      <c r="G1952" s="28" t="s">
        <v>20</v>
      </c>
      <c r="H1952" s="28" t="s">
        <v>21</v>
      </c>
      <c r="I1952" s="28" t="s">
        <v>21</v>
      </c>
      <c r="J1952" s="28" t="s">
        <v>4041</v>
      </c>
      <c r="K1952" s="28" t="s">
        <v>6267</v>
      </c>
      <c r="L1952" s="28" t="s">
        <v>3271</v>
      </c>
      <c r="M1952" s="28" t="s">
        <v>21</v>
      </c>
      <c r="O1952" s="92">
        <v>36707</v>
      </c>
      <c r="P1952" s="28" t="s">
        <v>21</v>
      </c>
      <c r="Q1952" s="26" t="b">
        <v>0</v>
      </c>
      <c r="R1952" s="22">
        <f t="shared" si="30"/>
        <v>10</v>
      </c>
    </row>
    <row r="1953" spans="1:18">
      <c r="A1953" s="26">
        <v>5496</v>
      </c>
      <c r="B1953" s="27">
        <v>36699</v>
      </c>
      <c r="C1953" s="28" t="s">
        <v>6259</v>
      </c>
      <c r="D1953" s="27">
        <v>36699</v>
      </c>
      <c r="E1953" s="28" t="s">
        <v>3116</v>
      </c>
      <c r="F1953" s="28" t="s">
        <v>149</v>
      </c>
      <c r="G1953" s="28" t="s">
        <v>20</v>
      </c>
      <c r="H1953" s="28" t="s">
        <v>21</v>
      </c>
      <c r="I1953" s="28" t="s">
        <v>21</v>
      </c>
      <c r="J1953" s="28" t="s">
        <v>6260</v>
      </c>
      <c r="K1953" s="28" t="s">
        <v>6261</v>
      </c>
      <c r="L1953" s="28" t="s">
        <v>3930</v>
      </c>
      <c r="M1953" s="28" t="s">
        <v>21</v>
      </c>
      <c r="O1953" s="92">
        <v>36803</v>
      </c>
      <c r="P1953" s="28" t="s">
        <v>21</v>
      </c>
      <c r="Q1953" s="26" t="b">
        <v>0</v>
      </c>
      <c r="R1953" s="22">
        <f t="shared" si="30"/>
        <v>103</v>
      </c>
    </row>
    <row r="1954" spans="1:18">
      <c r="A1954" s="26">
        <v>5500</v>
      </c>
      <c r="B1954" s="27">
        <v>36699</v>
      </c>
      <c r="C1954" s="28" t="s">
        <v>6268</v>
      </c>
      <c r="D1954" s="27">
        <v>36699</v>
      </c>
      <c r="E1954" s="28" t="s">
        <v>6269</v>
      </c>
      <c r="F1954" s="28" t="s">
        <v>5620</v>
      </c>
      <c r="G1954" s="28" t="s">
        <v>20</v>
      </c>
      <c r="H1954" s="28" t="s">
        <v>71</v>
      </c>
      <c r="I1954" s="28" t="s">
        <v>72</v>
      </c>
      <c r="J1954" s="28" t="s">
        <v>6270</v>
      </c>
      <c r="K1954" s="28" t="s">
        <v>6271</v>
      </c>
      <c r="L1954" s="28" t="s">
        <v>314</v>
      </c>
      <c r="M1954" s="28" t="s">
        <v>5749</v>
      </c>
      <c r="O1954" s="92">
        <v>37655</v>
      </c>
      <c r="P1954" s="28" t="s">
        <v>21</v>
      </c>
      <c r="Q1954" s="26" t="b">
        <v>0</v>
      </c>
      <c r="R1954" s="22">
        <f t="shared" si="30"/>
        <v>954</v>
      </c>
    </row>
    <row r="1955" spans="1:18">
      <c r="A1955" s="26">
        <v>5507</v>
      </c>
      <c r="B1955" s="27">
        <v>36700</v>
      </c>
      <c r="C1955" s="28" t="s">
        <v>6283</v>
      </c>
      <c r="D1955" s="27">
        <v>36676</v>
      </c>
      <c r="E1955" s="28" t="s">
        <v>1204</v>
      </c>
      <c r="F1955" s="28" t="s">
        <v>3847</v>
      </c>
      <c r="G1955" s="28" t="s">
        <v>20</v>
      </c>
      <c r="H1955" s="28" t="s">
        <v>21</v>
      </c>
      <c r="I1955" s="28" t="s">
        <v>1061</v>
      </c>
      <c r="J1955" s="28" t="s">
        <v>6284</v>
      </c>
      <c r="K1955" s="28" t="s">
        <v>6285</v>
      </c>
      <c r="L1955" s="28" t="s">
        <v>3930</v>
      </c>
      <c r="M1955" s="28" t="s">
        <v>21</v>
      </c>
      <c r="O1955" s="92">
        <v>37437</v>
      </c>
      <c r="P1955" s="28" t="s">
        <v>21</v>
      </c>
      <c r="Q1955" s="26" t="b">
        <v>0</v>
      </c>
      <c r="R1955" s="22">
        <f t="shared" si="30"/>
        <v>737</v>
      </c>
    </row>
    <row r="1956" spans="1:18">
      <c r="A1956" s="26">
        <v>5512</v>
      </c>
      <c r="B1956" s="27">
        <v>36700</v>
      </c>
      <c r="C1956" s="28" t="s">
        <v>6289</v>
      </c>
      <c r="D1956" s="27">
        <v>36700</v>
      </c>
      <c r="E1956" s="28" t="s">
        <v>6290</v>
      </c>
      <c r="F1956" s="28" t="s">
        <v>2413</v>
      </c>
      <c r="G1956" s="28" t="s">
        <v>20</v>
      </c>
      <c r="H1956" s="28" t="s">
        <v>21</v>
      </c>
      <c r="I1956" s="28" t="s">
        <v>21</v>
      </c>
      <c r="J1956" s="28" t="s">
        <v>6291</v>
      </c>
      <c r="K1956" s="28" t="s">
        <v>5248</v>
      </c>
      <c r="L1956" s="28" t="s">
        <v>821</v>
      </c>
      <c r="M1956" s="28" t="s">
        <v>21</v>
      </c>
      <c r="O1956" s="92">
        <v>36745</v>
      </c>
      <c r="P1956" s="28" t="s">
        <v>31</v>
      </c>
      <c r="Q1956" s="26" t="b">
        <v>0</v>
      </c>
      <c r="R1956" s="22">
        <f t="shared" si="30"/>
        <v>44</v>
      </c>
    </row>
    <row r="1957" spans="1:18">
      <c r="A1957" s="26">
        <v>5494</v>
      </c>
      <c r="B1957" s="27">
        <v>36703</v>
      </c>
      <c r="C1957" s="28" t="s">
        <v>6253</v>
      </c>
      <c r="D1957" s="27">
        <v>36700</v>
      </c>
      <c r="E1957" s="28" t="s">
        <v>6254</v>
      </c>
      <c r="F1957" s="28" t="s">
        <v>741</v>
      </c>
      <c r="G1957" s="28" t="s">
        <v>20</v>
      </c>
      <c r="H1957" s="28" t="s">
        <v>21</v>
      </c>
      <c r="I1957" s="28" t="s">
        <v>21</v>
      </c>
      <c r="J1957" s="28" t="s">
        <v>6255</v>
      </c>
      <c r="K1957" s="28" t="s">
        <v>21</v>
      </c>
      <c r="L1957" s="28" t="s">
        <v>66</v>
      </c>
      <c r="M1957" s="28" t="s">
        <v>21</v>
      </c>
      <c r="O1957" s="92">
        <v>37627</v>
      </c>
      <c r="P1957" s="28" t="s">
        <v>21</v>
      </c>
      <c r="Q1957" s="26" t="b">
        <v>0</v>
      </c>
      <c r="R1957" s="22">
        <f t="shared" si="30"/>
        <v>922</v>
      </c>
    </row>
    <row r="1958" spans="1:18">
      <c r="A1958" s="26">
        <v>5495</v>
      </c>
      <c r="B1958" s="27">
        <v>36703</v>
      </c>
      <c r="C1958" s="28" t="s">
        <v>6256</v>
      </c>
      <c r="D1958" s="27">
        <v>36703</v>
      </c>
      <c r="E1958" s="28" t="s">
        <v>6257</v>
      </c>
      <c r="F1958" s="28" t="s">
        <v>2359</v>
      </c>
      <c r="G1958" s="28" t="s">
        <v>20</v>
      </c>
      <c r="H1958" s="28" t="s">
        <v>71</v>
      </c>
      <c r="I1958" s="28" t="s">
        <v>72</v>
      </c>
      <c r="J1958" s="28" t="s">
        <v>6258</v>
      </c>
      <c r="K1958" s="28" t="s">
        <v>5369</v>
      </c>
      <c r="L1958" s="28" t="s">
        <v>4282</v>
      </c>
      <c r="M1958" s="28" t="s">
        <v>66</v>
      </c>
      <c r="O1958" s="92">
        <v>37055</v>
      </c>
      <c r="P1958" s="28" t="s">
        <v>31</v>
      </c>
      <c r="Q1958" s="26" t="b">
        <v>0</v>
      </c>
      <c r="R1958" s="22">
        <f t="shared" si="30"/>
        <v>351</v>
      </c>
    </row>
    <row r="1959" spans="1:18">
      <c r="A1959" s="26">
        <v>5498</v>
      </c>
      <c r="B1959" s="27">
        <v>36704</v>
      </c>
      <c r="C1959" s="28" t="s">
        <v>6264</v>
      </c>
      <c r="D1959" s="27">
        <v>36704</v>
      </c>
      <c r="E1959" s="28" t="s">
        <v>38</v>
      </c>
      <c r="F1959" s="28" t="s">
        <v>94</v>
      </c>
      <c r="G1959" s="28" t="s">
        <v>20</v>
      </c>
      <c r="H1959" s="28" t="s">
        <v>21</v>
      </c>
      <c r="I1959" s="28" t="s">
        <v>21</v>
      </c>
      <c r="J1959" s="28" t="s">
        <v>6265</v>
      </c>
      <c r="K1959" s="28" t="s">
        <v>21</v>
      </c>
      <c r="L1959" s="28" t="s">
        <v>821</v>
      </c>
      <c r="M1959" s="28" t="s">
        <v>21</v>
      </c>
      <c r="O1959" s="92">
        <v>36766</v>
      </c>
      <c r="P1959" s="28" t="s">
        <v>21</v>
      </c>
      <c r="Q1959" s="26" t="b">
        <v>0</v>
      </c>
      <c r="R1959" s="22">
        <f t="shared" ref="R1959:R2022" si="31">IF(O1959=" ", " ", INT(YEARFRAC(O1959, B1959)*365))</f>
        <v>61</v>
      </c>
    </row>
    <row r="1960" spans="1:18">
      <c r="A1960" s="26">
        <v>5506</v>
      </c>
      <c r="B1960" s="27">
        <v>36705</v>
      </c>
      <c r="C1960" s="28" t="s">
        <v>6279</v>
      </c>
      <c r="D1960" s="27">
        <v>36704</v>
      </c>
      <c r="E1960" s="28" t="s">
        <v>6280</v>
      </c>
      <c r="F1960" s="28" t="s">
        <v>85</v>
      </c>
      <c r="G1960" s="28" t="s">
        <v>20</v>
      </c>
      <c r="H1960" s="28" t="s">
        <v>21</v>
      </c>
      <c r="I1960" s="28" t="s">
        <v>21</v>
      </c>
      <c r="J1960" s="28" t="s">
        <v>6281</v>
      </c>
      <c r="K1960" s="28" t="s">
        <v>6282</v>
      </c>
      <c r="L1960" s="28" t="s">
        <v>66</v>
      </c>
      <c r="M1960" s="28" t="s">
        <v>21</v>
      </c>
      <c r="O1960" s="92">
        <v>36777</v>
      </c>
      <c r="P1960" s="28" t="s">
        <v>21</v>
      </c>
      <c r="Q1960" s="26" t="b">
        <v>0</v>
      </c>
      <c r="R1960" s="22">
        <f t="shared" si="31"/>
        <v>70</v>
      </c>
    </row>
    <row r="1961" spans="1:18">
      <c r="A1961" s="26">
        <v>5503</v>
      </c>
      <c r="B1961" s="27">
        <v>36706</v>
      </c>
      <c r="C1961" s="28" t="s">
        <v>6275</v>
      </c>
      <c r="D1961" s="27">
        <v>36690</v>
      </c>
      <c r="E1961" s="28" t="s">
        <v>6276</v>
      </c>
      <c r="F1961" s="28" t="s">
        <v>6277</v>
      </c>
      <c r="G1961" s="28" t="s">
        <v>20</v>
      </c>
      <c r="H1961" s="28" t="s">
        <v>212</v>
      </c>
      <c r="I1961" s="28" t="s">
        <v>212</v>
      </c>
      <c r="J1961" s="28" t="s">
        <v>28</v>
      </c>
      <c r="K1961" s="28" t="s">
        <v>6278</v>
      </c>
      <c r="L1961" s="28" t="s">
        <v>3930</v>
      </c>
      <c r="M1961" s="28" t="s">
        <v>21</v>
      </c>
      <c r="O1961" s="92">
        <v>37072</v>
      </c>
      <c r="P1961" s="28" t="s">
        <v>21</v>
      </c>
      <c r="Q1961" s="26" t="b">
        <v>0</v>
      </c>
      <c r="R1961" s="22">
        <f t="shared" si="31"/>
        <v>366</v>
      </c>
    </row>
    <row r="1962" spans="1:18" ht="24">
      <c r="A1962" s="26">
        <v>6315</v>
      </c>
      <c r="B1962" s="27">
        <v>36707</v>
      </c>
      <c r="C1962" s="28" t="s">
        <v>7041</v>
      </c>
      <c r="D1962" s="27">
        <v>36707</v>
      </c>
      <c r="E1962" s="28" t="s">
        <v>4172</v>
      </c>
      <c r="F1962" s="28" t="s">
        <v>7042</v>
      </c>
      <c r="G1962" s="28" t="s">
        <v>20</v>
      </c>
      <c r="H1962" s="28" t="s">
        <v>189</v>
      </c>
      <c r="I1962" s="28" t="s">
        <v>189</v>
      </c>
      <c r="J1962" s="28" t="s">
        <v>7034</v>
      </c>
      <c r="K1962" s="28" t="s">
        <v>7043</v>
      </c>
      <c r="L1962" s="28" t="s">
        <v>4282</v>
      </c>
      <c r="M1962" s="28" t="s">
        <v>7044</v>
      </c>
      <c r="O1962" s="92">
        <v>38505</v>
      </c>
      <c r="P1962" s="28" t="s">
        <v>31</v>
      </c>
      <c r="Q1962" s="26" t="b">
        <v>0</v>
      </c>
      <c r="R1962" s="22">
        <f t="shared" si="31"/>
        <v>1796</v>
      </c>
    </row>
    <row r="1963" spans="1:18">
      <c r="A1963" s="26">
        <v>5502</v>
      </c>
      <c r="B1963" s="27">
        <v>36709</v>
      </c>
      <c r="C1963" s="28" t="s">
        <v>6272</v>
      </c>
      <c r="D1963" s="27">
        <v>36707</v>
      </c>
      <c r="E1963" s="28" t="s">
        <v>1432</v>
      </c>
      <c r="F1963" s="28" t="s">
        <v>242</v>
      </c>
      <c r="G1963" s="28" t="s">
        <v>20</v>
      </c>
      <c r="H1963" s="28" t="s">
        <v>21</v>
      </c>
      <c r="I1963" s="28" t="s">
        <v>21</v>
      </c>
      <c r="J1963" s="28" t="s">
        <v>6273</v>
      </c>
      <c r="K1963" s="28" t="s">
        <v>6274</v>
      </c>
      <c r="L1963" s="28" t="s">
        <v>4282</v>
      </c>
      <c r="M1963" s="28" t="s">
        <v>821</v>
      </c>
      <c r="O1963" s="92">
        <v>38421</v>
      </c>
      <c r="P1963" s="28" t="s">
        <v>31</v>
      </c>
      <c r="Q1963" s="26" t="b">
        <v>0</v>
      </c>
      <c r="R1963" s="22">
        <f t="shared" si="31"/>
        <v>1711</v>
      </c>
    </row>
    <row r="1964" spans="1:18">
      <c r="A1964" s="26">
        <v>5508</v>
      </c>
      <c r="B1964" s="27">
        <v>36713</v>
      </c>
      <c r="C1964" s="28" t="s">
        <v>6286</v>
      </c>
      <c r="D1964" s="27">
        <v>36713</v>
      </c>
      <c r="E1964" s="28" t="s">
        <v>4172</v>
      </c>
      <c r="F1964" s="28" t="s">
        <v>70</v>
      </c>
      <c r="G1964" s="28" t="s">
        <v>20</v>
      </c>
      <c r="H1964" s="28" t="s">
        <v>71</v>
      </c>
      <c r="I1964" s="28" t="s">
        <v>72</v>
      </c>
      <c r="J1964" s="28" t="s">
        <v>5369</v>
      </c>
      <c r="K1964" s="28" t="s">
        <v>328</v>
      </c>
      <c r="L1964" s="28" t="s">
        <v>821</v>
      </c>
      <c r="M1964" s="28" t="s">
        <v>21</v>
      </c>
      <c r="O1964" s="92">
        <v>36915</v>
      </c>
      <c r="P1964" s="28" t="s">
        <v>21</v>
      </c>
      <c r="Q1964" s="26" t="b">
        <v>0</v>
      </c>
      <c r="R1964" s="22">
        <f t="shared" si="31"/>
        <v>200</v>
      </c>
    </row>
    <row r="1965" spans="1:18">
      <c r="A1965" s="26">
        <v>5511</v>
      </c>
      <c r="B1965" s="27">
        <v>36714</v>
      </c>
      <c r="C1965" s="28" t="s">
        <v>6287</v>
      </c>
      <c r="D1965" s="27">
        <v>36688</v>
      </c>
      <c r="E1965" s="28" t="s">
        <v>38</v>
      </c>
      <c r="F1965" s="28" t="s">
        <v>145</v>
      </c>
      <c r="G1965" s="28" t="s">
        <v>20</v>
      </c>
      <c r="H1965" s="28" t="s">
        <v>21</v>
      </c>
      <c r="I1965" s="28" t="s">
        <v>21</v>
      </c>
      <c r="J1965" s="28" t="s">
        <v>6288</v>
      </c>
      <c r="K1965" s="28" t="s">
        <v>21</v>
      </c>
      <c r="L1965" s="28" t="s">
        <v>4282</v>
      </c>
      <c r="M1965" s="28" t="s">
        <v>21</v>
      </c>
      <c r="O1965" s="92">
        <v>36851</v>
      </c>
      <c r="P1965" s="28" t="s">
        <v>31</v>
      </c>
      <c r="Q1965" s="26" t="b">
        <v>0</v>
      </c>
      <c r="R1965" s="22">
        <f t="shared" si="31"/>
        <v>135</v>
      </c>
    </row>
    <row r="1966" spans="1:18">
      <c r="A1966" s="26">
        <v>6459</v>
      </c>
      <c r="B1966" s="27">
        <v>36724</v>
      </c>
      <c r="C1966" s="28" t="s">
        <v>7351</v>
      </c>
      <c r="D1966" s="27">
        <v>36724</v>
      </c>
      <c r="E1966" s="28" t="s">
        <v>38</v>
      </c>
      <c r="F1966" s="28" t="s">
        <v>228</v>
      </c>
      <c r="G1966" s="28" t="s">
        <v>20</v>
      </c>
      <c r="H1966" s="28" t="s">
        <v>21</v>
      </c>
      <c r="I1966" s="28" t="s">
        <v>21</v>
      </c>
      <c r="J1966" s="28" t="s">
        <v>7352</v>
      </c>
      <c r="K1966" s="28" t="s">
        <v>21</v>
      </c>
      <c r="L1966" s="28" t="s">
        <v>4282</v>
      </c>
      <c r="M1966" s="28" t="s">
        <v>21</v>
      </c>
      <c r="O1966" s="92">
        <v>36732</v>
      </c>
      <c r="P1966" s="28" t="s">
        <v>21</v>
      </c>
      <c r="Q1966" s="26" t="b">
        <v>0</v>
      </c>
      <c r="R1966" s="22">
        <f t="shared" si="31"/>
        <v>8</v>
      </c>
    </row>
    <row r="1967" spans="1:18">
      <c r="A1967" s="26">
        <v>5514</v>
      </c>
      <c r="B1967" s="27">
        <v>36725</v>
      </c>
      <c r="C1967" s="28" t="s">
        <v>6292</v>
      </c>
      <c r="D1967" s="27">
        <v>36719</v>
      </c>
      <c r="E1967" s="28" t="s">
        <v>3116</v>
      </c>
      <c r="F1967" s="28" t="s">
        <v>3430</v>
      </c>
      <c r="G1967" s="28" t="s">
        <v>20</v>
      </c>
      <c r="H1967" s="28" t="s">
        <v>71</v>
      </c>
      <c r="I1967" s="28" t="s">
        <v>72</v>
      </c>
      <c r="J1967" s="28" t="s">
        <v>6293</v>
      </c>
      <c r="K1967" s="28" t="s">
        <v>6294</v>
      </c>
      <c r="L1967" s="28" t="s">
        <v>4282</v>
      </c>
      <c r="M1967" s="28" t="s">
        <v>21</v>
      </c>
      <c r="O1967" s="92">
        <v>37027</v>
      </c>
      <c r="P1967" s="28" t="s">
        <v>21</v>
      </c>
      <c r="Q1967" s="26" t="b">
        <v>0</v>
      </c>
      <c r="R1967" s="22">
        <f t="shared" si="31"/>
        <v>302</v>
      </c>
    </row>
    <row r="1968" spans="1:18">
      <c r="A1968" s="26">
        <v>5515</v>
      </c>
      <c r="B1968" s="27">
        <v>36726</v>
      </c>
      <c r="C1968" s="28" t="s">
        <v>6295</v>
      </c>
      <c r="D1968" s="27">
        <v>36722</v>
      </c>
      <c r="E1968" s="28" t="s">
        <v>38</v>
      </c>
      <c r="F1968" s="28" t="s">
        <v>4233</v>
      </c>
      <c r="G1968" s="28" t="s">
        <v>20</v>
      </c>
      <c r="H1968" s="28" t="s">
        <v>21</v>
      </c>
      <c r="I1968" s="28" t="s">
        <v>21</v>
      </c>
      <c r="J1968" s="28" t="s">
        <v>3581</v>
      </c>
      <c r="K1968" s="28" t="s">
        <v>21</v>
      </c>
      <c r="L1968" s="28" t="s">
        <v>6296</v>
      </c>
      <c r="M1968" s="28" t="s">
        <v>21</v>
      </c>
      <c r="O1968" s="92">
        <v>36780</v>
      </c>
      <c r="P1968" s="28" t="s">
        <v>31</v>
      </c>
      <c r="Q1968" s="26" t="b">
        <v>0</v>
      </c>
      <c r="R1968" s="22">
        <f t="shared" si="31"/>
        <v>52</v>
      </c>
    </row>
    <row r="1969" spans="1:18">
      <c r="A1969" s="26">
        <v>5518</v>
      </c>
      <c r="B1969" s="27">
        <v>36734</v>
      </c>
      <c r="C1969" s="28" t="s">
        <v>6297</v>
      </c>
      <c r="D1969" s="27">
        <v>36690</v>
      </c>
      <c r="E1969" s="28" t="s">
        <v>6276</v>
      </c>
      <c r="F1969" s="28" t="s">
        <v>6298</v>
      </c>
      <c r="G1969" s="28" t="s">
        <v>20</v>
      </c>
      <c r="H1969" s="28" t="s">
        <v>71</v>
      </c>
      <c r="I1969" s="28" t="s">
        <v>72</v>
      </c>
      <c r="J1969" s="28" t="s">
        <v>6299</v>
      </c>
      <c r="K1969" s="28" t="s">
        <v>6300</v>
      </c>
      <c r="L1969" s="28" t="s">
        <v>314</v>
      </c>
      <c r="M1969" s="28" t="s">
        <v>5749</v>
      </c>
      <c r="O1969" s="92">
        <v>37708</v>
      </c>
      <c r="P1969" s="28" t="s">
        <v>21</v>
      </c>
      <c r="Q1969" s="26" t="b">
        <v>0</v>
      </c>
      <c r="R1969" s="22">
        <f t="shared" si="31"/>
        <v>974</v>
      </c>
    </row>
    <row r="1970" spans="1:18">
      <c r="A1970" s="26">
        <v>5521</v>
      </c>
      <c r="B1970" s="27">
        <v>36738</v>
      </c>
      <c r="C1970" s="28" t="s">
        <v>6305</v>
      </c>
      <c r="D1970" s="27">
        <v>36734</v>
      </c>
      <c r="E1970" s="28" t="s">
        <v>6306</v>
      </c>
      <c r="F1970" s="28" t="s">
        <v>85</v>
      </c>
      <c r="G1970" s="28" t="s">
        <v>20</v>
      </c>
      <c r="H1970" s="28" t="s">
        <v>21</v>
      </c>
      <c r="I1970" s="28" t="s">
        <v>21</v>
      </c>
      <c r="J1970" s="28" t="s">
        <v>6307</v>
      </c>
      <c r="K1970" s="28" t="s">
        <v>21</v>
      </c>
      <c r="L1970" s="28" t="s">
        <v>66</v>
      </c>
      <c r="M1970" s="28" t="s">
        <v>21</v>
      </c>
      <c r="O1970" s="92">
        <v>36777</v>
      </c>
      <c r="P1970" s="28" t="s">
        <v>21</v>
      </c>
      <c r="Q1970" s="26" t="b">
        <v>0</v>
      </c>
      <c r="R1970" s="22">
        <f t="shared" si="31"/>
        <v>38</v>
      </c>
    </row>
    <row r="1971" spans="1:18">
      <c r="A1971" s="26">
        <v>5563</v>
      </c>
      <c r="B1971" s="27">
        <v>36738</v>
      </c>
      <c r="C1971" s="28" t="s">
        <v>6380</v>
      </c>
      <c r="D1971" s="27">
        <v>36725</v>
      </c>
      <c r="E1971" s="28" t="s">
        <v>2925</v>
      </c>
      <c r="F1971" s="28" t="s">
        <v>1771</v>
      </c>
      <c r="G1971" s="28" t="s">
        <v>20</v>
      </c>
      <c r="H1971" s="28" t="s">
        <v>189</v>
      </c>
      <c r="I1971" s="28" t="s">
        <v>189</v>
      </c>
      <c r="J1971" s="28" t="s">
        <v>6379</v>
      </c>
      <c r="K1971" s="28" t="s">
        <v>21</v>
      </c>
      <c r="L1971" s="28" t="s">
        <v>3271</v>
      </c>
      <c r="M1971" s="28" t="s">
        <v>21</v>
      </c>
      <c r="O1971" s="92">
        <v>36970</v>
      </c>
      <c r="P1971" s="28" t="s">
        <v>21</v>
      </c>
      <c r="Q1971" s="26" t="b">
        <v>0</v>
      </c>
      <c r="R1971" s="22">
        <f t="shared" si="31"/>
        <v>233</v>
      </c>
    </row>
    <row r="1972" spans="1:18">
      <c r="A1972" s="26">
        <v>5519</v>
      </c>
      <c r="B1972" s="27">
        <v>36742</v>
      </c>
      <c r="C1972" s="28" t="s">
        <v>6301</v>
      </c>
      <c r="D1972" s="27">
        <v>36742</v>
      </c>
      <c r="E1972" s="28" t="s">
        <v>6302</v>
      </c>
      <c r="F1972" s="28" t="s">
        <v>39</v>
      </c>
      <c r="G1972" s="28" t="s">
        <v>20</v>
      </c>
      <c r="H1972" s="28" t="s">
        <v>21</v>
      </c>
      <c r="I1972" s="28" t="s">
        <v>21</v>
      </c>
      <c r="J1972" s="28" t="s">
        <v>6303</v>
      </c>
      <c r="K1972" s="28" t="s">
        <v>6304</v>
      </c>
      <c r="L1972" s="28" t="s">
        <v>66</v>
      </c>
      <c r="M1972" s="28" t="s">
        <v>21</v>
      </c>
      <c r="O1972" s="92">
        <v>37761</v>
      </c>
      <c r="P1972" s="28" t="s">
        <v>21</v>
      </c>
      <c r="Q1972" s="26" t="b">
        <v>0</v>
      </c>
      <c r="R1972" s="22">
        <f t="shared" si="31"/>
        <v>1019</v>
      </c>
    </row>
    <row r="1973" spans="1:18" ht="24">
      <c r="A1973" s="26">
        <v>5524</v>
      </c>
      <c r="B1973" s="27">
        <v>36746</v>
      </c>
      <c r="C1973" s="28" t="s">
        <v>6308</v>
      </c>
      <c r="D1973" s="27">
        <v>36740</v>
      </c>
      <c r="E1973" s="28" t="s">
        <v>6309</v>
      </c>
      <c r="F1973" s="28" t="s">
        <v>2296</v>
      </c>
      <c r="G1973" s="28" t="s">
        <v>20</v>
      </c>
      <c r="H1973" s="28" t="s">
        <v>566</v>
      </c>
      <c r="I1973" s="28" t="s">
        <v>566</v>
      </c>
      <c r="J1973" s="28" t="s">
        <v>6310</v>
      </c>
      <c r="K1973" s="28" t="s">
        <v>6311</v>
      </c>
      <c r="L1973" s="28" t="s">
        <v>2205</v>
      </c>
      <c r="M1973" s="28" t="s">
        <v>6217</v>
      </c>
      <c r="O1973" s="92">
        <v>38414</v>
      </c>
      <c r="P1973" s="28" t="s">
        <v>21</v>
      </c>
      <c r="Q1973" s="26" t="b">
        <v>0</v>
      </c>
      <c r="R1973" s="22">
        <f t="shared" si="31"/>
        <v>1667</v>
      </c>
    </row>
    <row r="1974" spans="1:18">
      <c r="A1974" s="26">
        <v>5525</v>
      </c>
      <c r="B1974" s="27">
        <v>36746</v>
      </c>
      <c r="C1974" s="28" t="s">
        <v>6312</v>
      </c>
      <c r="D1974" s="27">
        <v>36741</v>
      </c>
      <c r="E1974" s="28" t="s">
        <v>6313</v>
      </c>
      <c r="F1974" s="28" t="s">
        <v>6314</v>
      </c>
      <c r="G1974" s="28" t="s">
        <v>20</v>
      </c>
      <c r="H1974" s="28" t="s">
        <v>189</v>
      </c>
      <c r="I1974" s="28" t="s">
        <v>189</v>
      </c>
      <c r="J1974" s="28" t="s">
        <v>6315</v>
      </c>
      <c r="K1974" s="28" t="s">
        <v>6316</v>
      </c>
      <c r="L1974" s="28" t="s">
        <v>314</v>
      </c>
      <c r="M1974" s="28" t="s">
        <v>5749</v>
      </c>
      <c r="O1974" s="92">
        <v>38166</v>
      </c>
      <c r="P1974" s="28" t="s">
        <v>31</v>
      </c>
      <c r="Q1974" s="26" t="b">
        <v>0</v>
      </c>
      <c r="R1974" s="22">
        <f t="shared" si="31"/>
        <v>1419</v>
      </c>
    </row>
    <row r="1975" spans="1:18">
      <c r="A1975" s="26">
        <v>5527</v>
      </c>
      <c r="B1975" s="27">
        <v>36754</v>
      </c>
      <c r="C1975" s="28" t="s">
        <v>6317</v>
      </c>
      <c r="D1975" s="27">
        <v>36748</v>
      </c>
      <c r="E1975" s="28" t="s">
        <v>6318</v>
      </c>
      <c r="F1975" s="28" t="s">
        <v>124</v>
      </c>
      <c r="G1975" s="28" t="s">
        <v>20</v>
      </c>
      <c r="H1975" s="28" t="s">
        <v>21</v>
      </c>
      <c r="I1975" s="28" t="s">
        <v>21</v>
      </c>
      <c r="J1975" s="28" t="s">
        <v>272</v>
      </c>
      <c r="K1975" s="28" t="s">
        <v>2868</v>
      </c>
      <c r="L1975" s="28" t="s">
        <v>821</v>
      </c>
      <c r="M1975" s="28" t="s">
        <v>21</v>
      </c>
      <c r="O1975" s="92">
        <v>36910</v>
      </c>
      <c r="P1975" s="28" t="s">
        <v>31</v>
      </c>
      <c r="Q1975" s="26" t="b">
        <v>0</v>
      </c>
      <c r="R1975" s="22">
        <f t="shared" si="31"/>
        <v>155</v>
      </c>
    </row>
    <row r="1976" spans="1:18">
      <c r="A1976" s="26">
        <v>5534</v>
      </c>
      <c r="B1976" s="27">
        <v>36755</v>
      </c>
      <c r="C1976" s="28" t="s">
        <v>6326</v>
      </c>
      <c r="D1976" s="27">
        <v>36747</v>
      </c>
      <c r="E1976" s="28" t="s">
        <v>6327</v>
      </c>
      <c r="F1976" s="28" t="s">
        <v>124</v>
      </c>
      <c r="G1976" s="28" t="s">
        <v>20</v>
      </c>
      <c r="H1976" s="28" t="s">
        <v>21</v>
      </c>
      <c r="I1976" s="28" t="s">
        <v>21</v>
      </c>
      <c r="J1976" s="28" t="s">
        <v>272</v>
      </c>
      <c r="K1976" s="28" t="s">
        <v>21</v>
      </c>
      <c r="L1976" s="28" t="s">
        <v>821</v>
      </c>
      <c r="M1976" s="28" t="s">
        <v>21</v>
      </c>
      <c r="O1976" s="92">
        <v>36776</v>
      </c>
      <c r="P1976" s="28" t="s">
        <v>31</v>
      </c>
      <c r="Q1976" s="26" t="b">
        <v>0</v>
      </c>
      <c r="R1976" s="22">
        <f t="shared" si="31"/>
        <v>20</v>
      </c>
    </row>
    <row r="1977" spans="1:18">
      <c r="A1977" s="26">
        <v>5536</v>
      </c>
      <c r="B1977" s="27">
        <v>36755</v>
      </c>
      <c r="C1977" s="28" t="s">
        <v>6326</v>
      </c>
      <c r="D1977" s="27">
        <v>36755</v>
      </c>
      <c r="E1977" s="28" t="s">
        <v>4172</v>
      </c>
      <c r="F1977" s="28" t="s">
        <v>3062</v>
      </c>
      <c r="G1977" s="28" t="s">
        <v>20</v>
      </c>
      <c r="H1977" s="28" t="s">
        <v>21</v>
      </c>
      <c r="I1977" s="28" t="s">
        <v>21</v>
      </c>
      <c r="J1977" s="28" t="s">
        <v>6328</v>
      </c>
      <c r="K1977" s="28" t="s">
        <v>21</v>
      </c>
      <c r="L1977" s="28" t="s">
        <v>3526</v>
      </c>
      <c r="M1977" s="28" t="s">
        <v>821</v>
      </c>
      <c r="O1977" s="92">
        <v>37015</v>
      </c>
      <c r="P1977" s="28" t="s">
        <v>31</v>
      </c>
      <c r="Q1977" s="26" t="b">
        <v>0</v>
      </c>
      <c r="R1977" s="22">
        <f t="shared" si="31"/>
        <v>260</v>
      </c>
    </row>
    <row r="1978" spans="1:18">
      <c r="A1978" s="26">
        <v>5532</v>
      </c>
      <c r="B1978" s="27">
        <v>36759</v>
      </c>
      <c r="C1978" s="28" t="s">
        <v>6322</v>
      </c>
      <c r="D1978" s="27">
        <v>36754</v>
      </c>
      <c r="E1978" s="28" t="s">
        <v>6323</v>
      </c>
      <c r="F1978" s="28" t="s">
        <v>1771</v>
      </c>
      <c r="G1978" s="28" t="s">
        <v>20</v>
      </c>
      <c r="H1978" s="28" t="s">
        <v>189</v>
      </c>
      <c r="I1978" s="28" t="s">
        <v>189</v>
      </c>
      <c r="J1978" s="28" t="s">
        <v>272</v>
      </c>
      <c r="K1978" s="28" t="s">
        <v>21</v>
      </c>
      <c r="L1978" s="28" t="s">
        <v>66</v>
      </c>
      <c r="M1978" s="28" t="s">
        <v>21</v>
      </c>
      <c r="O1978" s="92">
        <v>37727</v>
      </c>
      <c r="P1978" s="28" t="s">
        <v>31</v>
      </c>
      <c r="Q1978" s="26" t="b">
        <v>0</v>
      </c>
      <c r="R1978" s="22">
        <f t="shared" si="31"/>
        <v>968</v>
      </c>
    </row>
    <row r="1979" spans="1:18">
      <c r="A1979" s="26">
        <v>5533</v>
      </c>
      <c r="B1979" s="27">
        <v>36759</v>
      </c>
      <c r="C1979" s="28" t="s">
        <v>6324</v>
      </c>
      <c r="D1979" s="27">
        <v>36759</v>
      </c>
      <c r="E1979" s="28" t="s">
        <v>6325</v>
      </c>
      <c r="F1979" s="28" t="s">
        <v>124</v>
      </c>
      <c r="G1979" s="28" t="s">
        <v>20</v>
      </c>
      <c r="H1979" s="28" t="s">
        <v>21</v>
      </c>
      <c r="I1979" s="28" t="s">
        <v>21</v>
      </c>
      <c r="J1979" s="28" t="s">
        <v>3020</v>
      </c>
      <c r="K1979" s="28" t="s">
        <v>21</v>
      </c>
      <c r="L1979" s="28" t="s">
        <v>821</v>
      </c>
      <c r="M1979" s="28" t="s">
        <v>21</v>
      </c>
      <c r="O1979" s="92">
        <v>36798</v>
      </c>
      <c r="P1979" s="28" t="s">
        <v>31</v>
      </c>
      <c r="Q1979" s="26" t="b">
        <v>0</v>
      </c>
      <c r="R1979" s="22">
        <f t="shared" si="31"/>
        <v>38</v>
      </c>
    </row>
    <row r="1980" spans="1:18">
      <c r="A1980" s="26">
        <v>5529</v>
      </c>
      <c r="B1980" s="27">
        <v>36761</v>
      </c>
      <c r="C1980" s="28" t="s">
        <v>6319</v>
      </c>
      <c r="D1980" s="27">
        <v>36750</v>
      </c>
      <c r="E1980" s="28" t="s">
        <v>38</v>
      </c>
      <c r="F1980" s="28" t="s">
        <v>145</v>
      </c>
      <c r="G1980" s="28" t="s">
        <v>20</v>
      </c>
      <c r="H1980" s="28" t="s">
        <v>21</v>
      </c>
      <c r="I1980" s="28" t="s">
        <v>21</v>
      </c>
      <c r="J1980" s="28" t="s">
        <v>6223</v>
      </c>
      <c r="K1980" s="28" t="s">
        <v>21</v>
      </c>
      <c r="L1980" s="28" t="s">
        <v>66</v>
      </c>
      <c r="M1980" s="28" t="s">
        <v>21</v>
      </c>
      <c r="O1980" s="92">
        <v>36776</v>
      </c>
      <c r="P1980" s="28" t="s">
        <v>31</v>
      </c>
      <c r="Q1980" s="26" t="b">
        <v>0</v>
      </c>
      <c r="R1980" s="22">
        <f t="shared" si="31"/>
        <v>14</v>
      </c>
    </row>
    <row r="1981" spans="1:18">
      <c r="A1981" s="26">
        <v>5530</v>
      </c>
      <c r="B1981" s="27">
        <v>36761</v>
      </c>
      <c r="C1981" s="28" t="s">
        <v>6320</v>
      </c>
      <c r="D1981" s="27">
        <v>36748</v>
      </c>
      <c r="E1981" s="28" t="s">
        <v>38</v>
      </c>
      <c r="F1981" s="28" t="s">
        <v>145</v>
      </c>
      <c r="G1981" s="28" t="s">
        <v>20</v>
      </c>
      <c r="H1981" s="28" t="s">
        <v>21</v>
      </c>
      <c r="I1981" s="28" t="s">
        <v>21</v>
      </c>
      <c r="J1981" s="28" t="s">
        <v>6223</v>
      </c>
      <c r="K1981" s="28" t="s">
        <v>21</v>
      </c>
      <c r="L1981" s="28" t="s">
        <v>66</v>
      </c>
      <c r="M1981" s="28" t="s">
        <v>21</v>
      </c>
      <c r="O1981" s="92">
        <v>36776</v>
      </c>
      <c r="P1981" s="28" t="s">
        <v>31</v>
      </c>
      <c r="Q1981" s="26" t="b">
        <v>0</v>
      </c>
      <c r="R1981" s="22">
        <f t="shared" si="31"/>
        <v>14</v>
      </c>
    </row>
    <row r="1982" spans="1:18">
      <c r="A1982" s="26">
        <v>5531</v>
      </c>
      <c r="B1982" s="27">
        <v>36761</v>
      </c>
      <c r="C1982" s="28" t="s">
        <v>6321</v>
      </c>
      <c r="D1982" s="27">
        <v>36741</v>
      </c>
      <c r="E1982" s="28" t="s">
        <v>38</v>
      </c>
      <c r="F1982" s="28" t="s">
        <v>145</v>
      </c>
      <c r="G1982" s="28" t="s">
        <v>20</v>
      </c>
      <c r="H1982" s="28" t="s">
        <v>21</v>
      </c>
      <c r="I1982" s="28" t="s">
        <v>21</v>
      </c>
      <c r="J1982" s="28" t="s">
        <v>6223</v>
      </c>
      <c r="K1982" s="28" t="s">
        <v>21</v>
      </c>
      <c r="L1982" s="28" t="s">
        <v>66</v>
      </c>
      <c r="M1982" s="28" t="s">
        <v>21</v>
      </c>
      <c r="O1982" s="92">
        <v>36776</v>
      </c>
      <c r="P1982" s="28" t="s">
        <v>31</v>
      </c>
      <c r="Q1982" s="26" t="b">
        <v>0</v>
      </c>
      <c r="R1982" s="22">
        <f t="shared" si="31"/>
        <v>14</v>
      </c>
    </row>
    <row r="1983" spans="1:18">
      <c r="A1983" s="26">
        <v>5538</v>
      </c>
      <c r="B1983" s="27">
        <v>36766</v>
      </c>
      <c r="C1983" s="28" t="s">
        <v>6329</v>
      </c>
      <c r="D1983" s="27">
        <v>36760</v>
      </c>
      <c r="E1983" s="28" t="s">
        <v>6330</v>
      </c>
      <c r="F1983" s="28" t="s">
        <v>984</v>
      </c>
      <c r="G1983" s="28" t="s">
        <v>20</v>
      </c>
      <c r="H1983" s="28" t="s">
        <v>21</v>
      </c>
      <c r="I1983" s="28" t="s">
        <v>21</v>
      </c>
      <c r="J1983" s="28" t="s">
        <v>6331</v>
      </c>
      <c r="K1983" s="28" t="s">
        <v>21</v>
      </c>
      <c r="L1983" s="28" t="s">
        <v>66</v>
      </c>
      <c r="M1983" s="28" t="s">
        <v>21</v>
      </c>
      <c r="O1983" s="92">
        <v>37200</v>
      </c>
      <c r="P1983" s="28" t="s">
        <v>31</v>
      </c>
      <c r="Q1983" s="26" t="b">
        <v>0</v>
      </c>
      <c r="R1983" s="22">
        <f t="shared" si="31"/>
        <v>432</v>
      </c>
    </row>
    <row r="1984" spans="1:18" ht="36">
      <c r="A1984" s="26">
        <v>5539</v>
      </c>
      <c r="B1984" s="27">
        <v>36767</v>
      </c>
      <c r="C1984" s="28" t="s">
        <v>6332</v>
      </c>
      <c r="D1984" s="27">
        <v>36767</v>
      </c>
      <c r="E1984" s="28" t="s">
        <v>6333</v>
      </c>
      <c r="F1984" s="28" t="s">
        <v>6334</v>
      </c>
      <c r="G1984" s="28" t="s">
        <v>20</v>
      </c>
      <c r="H1984" s="28" t="s">
        <v>21</v>
      </c>
      <c r="I1984" s="28" t="s">
        <v>21</v>
      </c>
      <c r="J1984" s="28" t="s">
        <v>4982</v>
      </c>
      <c r="K1984" s="28" t="s">
        <v>6335</v>
      </c>
      <c r="L1984" s="28" t="s">
        <v>66</v>
      </c>
      <c r="M1984" s="28" t="s">
        <v>21</v>
      </c>
      <c r="O1984" s="92">
        <v>36781</v>
      </c>
      <c r="P1984" s="28" t="s">
        <v>21</v>
      </c>
      <c r="Q1984" s="26" t="b">
        <v>0</v>
      </c>
      <c r="R1984" s="22">
        <f t="shared" si="31"/>
        <v>13</v>
      </c>
    </row>
    <row r="1985" spans="1:18">
      <c r="A1985" s="26">
        <v>5540</v>
      </c>
      <c r="B1985" s="27">
        <v>36770</v>
      </c>
      <c r="C1985" s="28" t="s">
        <v>6336</v>
      </c>
      <c r="D1985" s="27">
        <v>36765</v>
      </c>
      <c r="E1985" s="28" t="s">
        <v>6337</v>
      </c>
      <c r="F1985" s="28" t="s">
        <v>124</v>
      </c>
      <c r="G1985" s="28" t="s">
        <v>20</v>
      </c>
      <c r="H1985" s="28" t="s">
        <v>21</v>
      </c>
      <c r="I1985" s="28" t="s">
        <v>21</v>
      </c>
      <c r="J1985" s="28" t="s">
        <v>6338</v>
      </c>
      <c r="K1985" s="28" t="s">
        <v>6339</v>
      </c>
      <c r="L1985" s="28" t="s">
        <v>66</v>
      </c>
      <c r="M1985" s="28" t="s">
        <v>21</v>
      </c>
      <c r="O1985" s="92">
        <v>36979</v>
      </c>
      <c r="P1985" s="28" t="s">
        <v>31</v>
      </c>
      <c r="Q1985" s="26" t="b">
        <v>0</v>
      </c>
      <c r="R1985" s="22">
        <f t="shared" si="31"/>
        <v>210</v>
      </c>
    </row>
    <row r="1986" spans="1:18">
      <c r="A1986" s="26">
        <v>5491</v>
      </c>
      <c r="B1986" s="27">
        <v>36775</v>
      </c>
      <c r="C1986" s="28" t="s">
        <v>6246</v>
      </c>
      <c r="D1986" s="27">
        <v>36713</v>
      </c>
      <c r="E1986" s="28" t="s">
        <v>6247</v>
      </c>
      <c r="F1986" s="28" t="s">
        <v>3171</v>
      </c>
      <c r="G1986" s="28" t="s">
        <v>20</v>
      </c>
      <c r="H1986" s="28" t="s">
        <v>566</v>
      </c>
      <c r="I1986" s="28" t="s">
        <v>566</v>
      </c>
      <c r="J1986" s="28" t="s">
        <v>6248</v>
      </c>
      <c r="K1986" s="28" t="s">
        <v>405</v>
      </c>
      <c r="L1986" s="28" t="s">
        <v>66</v>
      </c>
      <c r="M1986" s="28" t="s">
        <v>21</v>
      </c>
      <c r="O1986" s="92">
        <v>37697</v>
      </c>
      <c r="P1986" s="28" t="s">
        <v>21</v>
      </c>
      <c r="Q1986" s="26" t="b">
        <v>0</v>
      </c>
      <c r="R1986" s="22">
        <f t="shared" si="31"/>
        <v>923</v>
      </c>
    </row>
    <row r="1987" spans="1:18">
      <c r="A1987" s="26">
        <v>5541</v>
      </c>
      <c r="B1987" s="27">
        <v>36775</v>
      </c>
      <c r="C1987" s="28" t="s">
        <v>6246</v>
      </c>
      <c r="D1987" s="27">
        <v>36775</v>
      </c>
      <c r="E1987" s="28" t="s">
        <v>6340</v>
      </c>
      <c r="F1987" s="28" t="s">
        <v>350</v>
      </c>
      <c r="G1987" s="28" t="s">
        <v>20</v>
      </c>
      <c r="H1987" s="28" t="s">
        <v>21</v>
      </c>
      <c r="I1987" s="28" t="s">
        <v>21</v>
      </c>
      <c r="J1987" s="28" t="s">
        <v>6341</v>
      </c>
      <c r="K1987" s="28" t="s">
        <v>6342</v>
      </c>
      <c r="L1987" s="28" t="s">
        <v>4282</v>
      </c>
      <c r="M1987" s="28" t="s">
        <v>21</v>
      </c>
      <c r="O1987" s="92">
        <v>36781</v>
      </c>
      <c r="P1987" s="28" t="s">
        <v>21</v>
      </c>
      <c r="Q1987" s="26" t="b">
        <v>0</v>
      </c>
      <c r="R1987" s="22">
        <f t="shared" si="31"/>
        <v>6</v>
      </c>
    </row>
    <row r="1988" spans="1:18">
      <c r="A1988" s="26">
        <v>5554</v>
      </c>
      <c r="B1988" s="27">
        <v>36784</v>
      </c>
      <c r="C1988" s="28" t="s">
        <v>6354</v>
      </c>
      <c r="D1988" s="27">
        <v>36765</v>
      </c>
      <c r="E1988" s="28" t="s">
        <v>38</v>
      </c>
      <c r="F1988" s="28" t="s">
        <v>145</v>
      </c>
      <c r="G1988" s="28" t="s">
        <v>20</v>
      </c>
      <c r="H1988" s="28" t="s">
        <v>21</v>
      </c>
      <c r="I1988" s="28" t="s">
        <v>21</v>
      </c>
      <c r="J1988" s="28" t="s">
        <v>6355</v>
      </c>
      <c r="K1988" s="28" t="s">
        <v>21</v>
      </c>
      <c r="L1988" s="28" t="s">
        <v>4282</v>
      </c>
      <c r="M1988" s="28" t="s">
        <v>21</v>
      </c>
      <c r="O1988" s="92">
        <v>36851</v>
      </c>
      <c r="P1988" s="28" t="s">
        <v>31</v>
      </c>
      <c r="Q1988" s="26" t="b">
        <v>0</v>
      </c>
      <c r="R1988" s="22">
        <f t="shared" si="31"/>
        <v>66</v>
      </c>
    </row>
    <row r="1989" spans="1:18">
      <c r="A1989" s="26">
        <v>5555</v>
      </c>
      <c r="B1989" s="27">
        <v>36784</v>
      </c>
      <c r="C1989" s="28" t="s">
        <v>6356</v>
      </c>
      <c r="D1989" s="27">
        <v>36778</v>
      </c>
      <c r="E1989" s="28" t="s">
        <v>38</v>
      </c>
      <c r="F1989" s="28" t="s">
        <v>145</v>
      </c>
      <c r="G1989" s="28" t="s">
        <v>20</v>
      </c>
      <c r="H1989" s="28" t="s">
        <v>21</v>
      </c>
      <c r="I1989" s="28" t="s">
        <v>21</v>
      </c>
      <c r="J1989" s="28" t="s">
        <v>6355</v>
      </c>
      <c r="K1989" s="28" t="s">
        <v>21</v>
      </c>
      <c r="L1989" s="28" t="s">
        <v>4282</v>
      </c>
      <c r="M1989" s="28" t="s">
        <v>21</v>
      </c>
      <c r="O1989" s="92">
        <v>36851</v>
      </c>
      <c r="P1989" s="28" t="s">
        <v>31</v>
      </c>
      <c r="Q1989" s="26" t="b">
        <v>0</v>
      </c>
      <c r="R1989" s="22">
        <f t="shared" si="31"/>
        <v>66</v>
      </c>
    </row>
    <row r="1990" spans="1:18">
      <c r="A1990" s="26">
        <v>5544</v>
      </c>
      <c r="B1990" s="27">
        <v>36787</v>
      </c>
      <c r="C1990" s="28" t="s">
        <v>6343</v>
      </c>
      <c r="D1990" s="27">
        <v>36782</v>
      </c>
      <c r="E1990" s="28" t="s">
        <v>6344</v>
      </c>
      <c r="F1990" s="28" t="s">
        <v>1804</v>
      </c>
      <c r="G1990" s="28" t="s">
        <v>20</v>
      </c>
      <c r="H1990" s="28" t="s">
        <v>566</v>
      </c>
      <c r="I1990" s="28" t="s">
        <v>566</v>
      </c>
      <c r="J1990" s="28" t="s">
        <v>6345</v>
      </c>
      <c r="K1990" s="28" t="s">
        <v>6346</v>
      </c>
      <c r="L1990" s="28" t="s">
        <v>821</v>
      </c>
      <c r="M1990" s="28" t="s">
        <v>21</v>
      </c>
      <c r="O1990" s="92">
        <v>36915</v>
      </c>
      <c r="P1990" s="28" t="s">
        <v>21</v>
      </c>
      <c r="Q1990" s="26" t="b">
        <v>0</v>
      </c>
      <c r="R1990" s="22">
        <f t="shared" si="31"/>
        <v>127</v>
      </c>
    </row>
    <row r="1991" spans="1:18">
      <c r="A1991" s="26">
        <v>5545</v>
      </c>
      <c r="B1991" s="27">
        <v>36787</v>
      </c>
      <c r="C1991" s="28" t="s">
        <v>6347</v>
      </c>
      <c r="D1991" s="27">
        <v>36784</v>
      </c>
      <c r="E1991" s="28" t="s">
        <v>38</v>
      </c>
      <c r="F1991" s="28" t="s">
        <v>242</v>
      </c>
      <c r="G1991" s="28" t="s">
        <v>20</v>
      </c>
      <c r="H1991" s="28" t="s">
        <v>21</v>
      </c>
      <c r="I1991" s="28" t="s">
        <v>21</v>
      </c>
      <c r="J1991" s="28" t="s">
        <v>6348</v>
      </c>
      <c r="K1991" s="28" t="s">
        <v>21</v>
      </c>
      <c r="L1991" s="28" t="s">
        <v>314</v>
      </c>
      <c r="M1991" s="28" t="s">
        <v>5749</v>
      </c>
      <c r="O1991" s="92">
        <v>37614</v>
      </c>
      <c r="P1991" s="28" t="s">
        <v>31</v>
      </c>
      <c r="Q1991" s="26" t="b">
        <v>0</v>
      </c>
      <c r="R1991" s="22">
        <f t="shared" si="31"/>
        <v>827</v>
      </c>
    </row>
    <row r="1992" spans="1:18">
      <c r="A1992" s="26">
        <v>5549</v>
      </c>
      <c r="B1992" s="27">
        <v>36788</v>
      </c>
      <c r="C1992" s="28" t="s">
        <v>6349</v>
      </c>
      <c r="D1992" s="27">
        <v>36783</v>
      </c>
      <c r="E1992" s="28" t="s">
        <v>6350</v>
      </c>
      <c r="F1992" s="28" t="s">
        <v>6351</v>
      </c>
      <c r="G1992" s="28" t="s">
        <v>20</v>
      </c>
      <c r="H1992" s="28" t="s">
        <v>21</v>
      </c>
      <c r="I1992" s="28" t="s">
        <v>21</v>
      </c>
      <c r="J1992" s="28" t="s">
        <v>6352</v>
      </c>
      <c r="K1992" s="28" t="s">
        <v>6353</v>
      </c>
      <c r="L1992" s="28" t="s">
        <v>4579</v>
      </c>
      <c r="M1992" s="28" t="s">
        <v>66</v>
      </c>
      <c r="O1992" s="92">
        <v>38471</v>
      </c>
      <c r="P1992" s="28" t="s">
        <v>21</v>
      </c>
      <c r="Q1992" s="26" t="b">
        <v>0</v>
      </c>
      <c r="R1992" s="22">
        <f t="shared" si="31"/>
        <v>1683</v>
      </c>
    </row>
    <row r="1993" spans="1:18">
      <c r="A1993" s="26">
        <v>5556</v>
      </c>
      <c r="B1993" s="27">
        <v>36804</v>
      </c>
      <c r="C1993" s="28" t="s">
        <v>6357</v>
      </c>
      <c r="D1993" s="27">
        <v>36804</v>
      </c>
      <c r="E1993" s="28" t="s">
        <v>6358</v>
      </c>
      <c r="F1993" s="28" t="s">
        <v>1771</v>
      </c>
      <c r="G1993" s="28" t="s">
        <v>20</v>
      </c>
      <c r="H1993" s="28" t="s">
        <v>189</v>
      </c>
      <c r="I1993" s="28" t="s">
        <v>189</v>
      </c>
      <c r="J1993" s="28" t="s">
        <v>6359</v>
      </c>
      <c r="K1993" s="28" t="s">
        <v>6360</v>
      </c>
      <c r="L1993" s="28" t="s">
        <v>314</v>
      </c>
      <c r="M1993" s="28" t="s">
        <v>5749</v>
      </c>
      <c r="O1993" s="92">
        <v>37218</v>
      </c>
      <c r="P1993" s="28" t="s">
        <v>31</v>
      </c>
      <c r="Q1993" s="26" t="b">
        <v>0</v>
      </c>
      <c r="R1993" s="22">
        <f t="shared" si="31"/>
        <v>413</v>
      </c>
    </row>
    <row r="1994" spans="1:18">
      <c r="A1994" s="26">
        <v>5557</v>
      </c>
      <c r="B1994" s="27">
        <v>36810</v>
      </c>
      <c r="C1994" s="28" t="s">
        <v>6361</v>
      </c>
      <c r="D1994" s="27">
        <v>36810</v>
      </c>
      <c r="E1994" s="28" t="s">
        <v>6362</v>
      </c>
      <c r="F1994" s="28" t="s">
        <v>104</v>
      </c>
      <c r="G1994" s="28" t="s">
        <v>20</v>
      </c>
      <c r="H1994" s="28" t="s">
        <v>21</v>
      </c>
      <c r="I1994" s="28" t="s">
        <v>21</v>
      </c>
      <c r="J1994" s="28" t="s">
        <v>6363</v>
      </c>
      <c r="K1994" s="28" t="s">
        <v>21</v>
      </c>
      <c r="L1994" s="28" t="s">
        <v>821</v>
      </c>
      <c r="M1994" s="28" t="s">
        <v>21</v>
      </c>
      <c r="O1994" s="92">
        <v>36830</v>
      </c>
      <c r="P1994" s="28" t="s">
        <v>21</v>
      </c>
      <c r="Q1994" s="26" t="b">
        <v>0</v>
      </c>
      <c r="R1994" s="22">
        <f t="shared" si="31"/>
        <v>20</v>
      </c>
    </row>
    <row r="1995" spans="1:18">
      <c r="A1995" s="26">
        <v>5558</v>
      </c>
      <c r="B1995" s="27">
        <v>36810</v>
      </c>
      <c r="C1995" s="28" t="s">
        <v>6364</v>
      </c>
      <c r="D1995" s="27">
        <v>36799</v>
      </c>
      <c r="E1995" s="28" t="s">
        <v>38</v>
      </c>
      <c r="F1995" s="28" t="s">
        <v>149</v>
      </c>
      <c r="G1995" s="28" t="s">
        <v>20</v>
      </c>
      <c r="H1995" s="28" t="s">
        <v>21</v>
      </c>
      <c r="I1995" s="28" t="s">
        <v>21</v>
      </c>
      <c r="J1995" s="28" t="s">
        <v>6365</v>
      </c>
      <c r="K1995" s="28" t="s">
        <v>6366</v>
      </c>
      <c r="L1995" s="28" t="s">
        <v>821</v>
      </c>
      <c r="M1995" s="28" t="s">
        <v>21</v>
      </c>
      <c r="O1995" s="92">
        <v>36833</v>
      </c>
      <c r="P1995" s="28" t="s">
        <v>31</v>
      </c>
      <c r="Q1995" s="26" t="b">
        <v>0</v>
      </c>
      <c r="R1995" s="22">
        <f t="shared" si="31"/>
        <v>22</v>
      </c>
    </row>
    <row r="1996" spans="1:18">
      <c r="A1996" s="26">
        <v>5559</v>
      </c>
      <c r="B1996" s="27">
        <v>36817</v>
      </c>
      <c r="C1996" s="28" t="s">
        <v>6367</v>
      </c>
      <c r="D1996" s="27">
        <v>36817</v>
      </c>
      <c r="E1996" s="28" t="s">
        <v>6368</v>
      </c>
      <c r="F1996" s="28" t="s">
        <v>861</v>
      </c>
      <c r="G1996" s="28" t="s">
        <v>20</v>
      </c>
      <c r="H1996" s="28" t="s">
        <v>566</v>
      </c>
      <c r="I1996" s="28" t="s">
        <v>566</v>
      </c>
      <c r="J1996" s="28" t="s">
        <v>3639</v>
      </c>
      <c r="K1996" s="28" t="s">
        <v>6369</v>
      </c>
      <c r="L1996" s="28" t="s">
        <v>4282</v>
      </c>
      <c r="M1996" s="28" t="s">
        <v>21</v>
      </c>
      <c r="O1996" s="92">
        <v>37586</v>
      </c>
      <c r="P1996" s="28" t="s">
        <v>31</v>
      </c>
      <c r="Q1996" s="26" t="b">
        <v>0</v>
      </c>
      <c r="R1996" s="22">
        <f t="shared" si="31"/>
        <v>768</v>
      </c>
    </row>
    <row r="1997" spans="1:18">
      <c r="A1997" s="26">
        <v>5560</v>
      </c>
      <c r="B1997" s="27">
        <v>36817</v>
      </c>
      <c r="C1997" s="28" t="s">
        <v>6370</v>
      </c>
      <c r="D1997" s="27">
        <v>36817</v>
      </c>
      <c r="E1997" s="28" t="s">
        <v>6371</v>
      </c>
      <c r="F1997" s="28" t="s">
        <v>56</v>
      </c>
      <c r="G1997" s="28" t="s">
        <v>20</v>
      </c>
      <c r="H1997" s="28" t="s">
        <v>21</v>
      </c>
      <c r="I1997" s="28" t="s">
        <v>21</v>
      </c>
      <c r="J1997" s="28" t="s">
        <v>6372</v>
      </c>
      <c r="K1997" s="28" t="s">
        <v>6373</v>
      </c>
      <c r="L1997" s="28" t="s">
        <v>821</v>
      </c>
      <c r="M1997" s="28" t="s">
        <v>21</v>
      </c>
      <c r="O1997" s="92">
        <v>36879</v>
      </c>
      <c r="P1997" s="28" t="s">
        <v>31</v>
      </c>
      <c r="Q1997" s="26" t="b">
        <v>0</v>
      </c>
      <c r="R1997" s="22">
        <f t="shared" si="31"/>
        <v>61</v>
      </c>
    </row>
    <row r="1998" spans="1:18" ht="24">
      <c r="A1998" s="26">
        <v>5561</v>
      </c>
      <c r="B1998" s="27">
        <v>36817</v>
      </c>
      <c r="C1998" s="28" t="s">
        <v>6374</v>
      </c>
      <c r="D1998" s="27">
        <v>36808</v>
      </c>
      <c r="E1998" s="28" t="s">
        <v>6375</v>
      </c>
      <c r="F1998" s="28" t="s">
        <v>345</v>
      </c>
      <c r="G1998" s="28" t="s">
        <v>20</v>
      </c>
      <c r="H1998" s="28" t="s">
        <v>71</v>
      </c>
      <c r="I1998" s="28" t="s">
        <v>72</v>
      </c>
      <c r="J1998" s="28" t="s">
        <v>6376</v>
      </c>
      <c r="K1998" s="28" t="s">
        <v>6377</v>
      </c>
      <c r="L1998" s="28" t="s">
        <v>1946</v>
      </c>
      <c r="M1998" s="28" t="s">
        <v>6217</v>
      </c>
      <c r="O1998" s="92">
        <v>41089</v>
      </c>
      <c r="P1998" s="28" t="s">
        <v>21</v>
      </c>
      <c r="Q1998" s="26" t="b">
        <v>0</v>
      </c>
      <c r="R1998" s="22">
        <f t="shared" si="31"/>
        <v>4269</v>
      </c>
    </row>
    <row r="1999" spans="1:18">
      <c r="A1999" s="26">
        <v>5562</v>
      </c>
      <c r="B1999" s="27">
        <v>36831</v>
      </c>
      <c r="C1999" s="28" t="s">
        <v>6378</v>
      </c>
      <c r="D1999" s="27">
        <v>36725</v>
      </c>
      <c r="E1999" s="28" t="s">
        <v>2925</v>
      </c>
      <c r="F1999" s="28" t="s">
        <v>1771</v>
      </c>
      <c r="G1999" s="28" t="s">
        <v>189</v>
      </c>
      <c r="H1999" s="28" t="s">
        <v>189</v>
      </c>
      <c r="I1999" s="28" t="s">
        <v>189</v>
      </c>
      <c r="J1999" s="28" t="s">
        <v>6379</v>
      </c>
      <c r="K1999" s="28" t="s">
        <v>21</v>
      </c>
      <c r="L1999" s="28" t="s">
        <v>3271</v>
      </c>
      <c r="M1999" s="28" t="s">
        <v>21</v>
      </c>
      <c r="O1999" s="92">
        <v>36986</v>
      </c>
      <c r="P1999" s="28" t="s">
        <v>21</v>
      </c>
      <c r="Q1999" s="26" t="b">
        <v>0</v>
      </c>
      <c r="R1999" s="22">
        <f t="shared" si="31"/>
        <v>156</v>
      </c>
    </row>
    <row r="2000" spans="1:18">
      <c r="A2000" s="26">
        <v>5568</v>
      </c>
      <c r="B2000" s="27">
        <v>36836</v>
      </c>
      <c r="C2000" s="28" t="s">
        <v>6389</v>
      </c>
      <c r="D2000" s="27">
        <v>36836</v>
      </c>
      <c r="E2000" s="28" t="s">
        <v>38</v>
      </c>
      <c r="F2000" s="28" t="s">
        <v>2146</v>
      </c>
      <c r="G2000" s="28" t="s">
        <v>20</v>
      </c>
      <c r="H2000" s="28" t="s">
        <v>189</v>
      </c>
      <c r="I2000" s="28" t="s">
        <v>189</v>
      </c>
      <c r="J2000" s="28" t="s">
        <v>6390</v>
      </c>
      <c r="K2000" s="28" t="s">
        <v>21</v>
      </c>
      <c r="L2000" s="28" t="s">
        <v>66</v>
      </c>
      <c r="M2000" s="28" t="s">
        <v>821</v>
      </c>
      <c r="O2000" s="92">
        <v>37061</v>
      </c>
      <c r="P2000" s="28" t="s">
        <v>21</v>
      </c>
      <c r="Q2000" s="26" t="b">
        <v>0</v>
      </c>
      <c r="R2000" s="22">
        <f t="shared" si="31"/>
        <v>226</v>
      </c>
    </row>
    <row r="2001" spans="1:18">
      <c r="A2001" s="26">
        <v>5566</v>
      </c>
      <c r="B2001" s="27">
        <v>36843</v>
      </c>
      <c r="C2001" s="28" t="s">
        <v>6381</v>
      </c>
      <c r="D2001" s="27">
        <v>36839</v>
      </c>
      <c r="E2001" s="28" t="s">
        <v>6382</v>
      </c>
      <c r="F2001" s="28" t="s">
        <v>6084</v>
      </c>
      <c r="G2001" s="28" t="s">
        <v>20</v>
      </c>
      <c r="H2001" s="28" t="s">
        <v>21</v>
      </c>
      <c r="I2001" s="28" t="s">
        <v>21</v>
      </c>
      <c r="J2001" s="28" t="s">
        <v>5240</v>
      </c>
      <c r="K2001" s="28" t="s">
        <v>6383</v>
      </c>
      <c r="L2001" s="28" t="s">
        <v>314</v>
      </c>
      <c r="M2001" s="28" t="s">
        <v>5749</v>
      </c>
      <c r="O2001" s="92">
        <v>37566</v>
      </c>
      <c r="P2001" s="28" t="s">
        <v>31</v>
      </c>
      <c r="Q2001" s="26" t="b">
        <v>0</v>
      </c>
      <c r="R2001" s="22">
        <f t="shared" si="31"/>
        <v>722</v>
      </c>
    </row>
    <row r="2002" spans="1:18" ht="24">
      <c r="A2002" s="26">
        <v>5567</v>
      </c>
      <c r="B2002" s="27">
        <v>36843</v>
      </c>
      <c r="C2002" s="28" t="s">
        <v>6384</v>
      </c>
      <c r="D2002" s="27">
        <v>36843</v>
      </c>
      <c r="E2002" s="28" t="s">
        <v>6385</v>
      </c>
      <c r="F2002" s="28" t="s">
        <v>70</v>
      </c>
      <c r="G2002" s="28" t="s">
        <v>20</v>
      </c>
      <c r="H2002" s="28" t="s">
        <v>71</v>
      </c>
      <c r="I2002" s="28" t="s">
        <v>72</v>
      </c>
      <c r="J2002" s="28" t="s">
        <v>6386</v>
      </c>
      <c r="K2002" s="28" t="s">
        <v>6387</v>
      </c>
      <c r="L2002" s="28" t="s">
        <v>314</v>
      </c>
      <c r="M2002" s="28" t="s">
        <v>6388</v>
      </c>
      <c r="O2002" s="92">
        <v>37405</v>
      </c>
      <c r="P2002" s="28" t="s">
        <v>31</v>
      </c>
      <c r="Q2002" s="26" t="b">
        <v>0</v>
      </c>
      <c r="R2002" s="22">
        <f t="shared" si="31"/>
        <v>563</v>
      </c>
    </row>
    <row r="2003" spans="1:18">
      <c r="A2003" s="26">
        <v>5573</v>
      </c>
      <c r="B2003" s="27">
        <v>36847</v>
      </c>
      <c r="C2003" s="28" t="s">
        <v>6396</v>
      </c>
      <c r="D2003" s="27">
        <v>36619</v>
      </c>
      <c r="E2003" s="28" t="s">
        <v>38</v>
      </c>
      <c r="F2003" s="28" t="s">
        <v>990</v>
      </c>
      <c r="G2003" s="28" t="s">
        <v>20</v>
      </c>
      <c r="H2003" s="28" t="s">
        <v>21</v>
      </c>
      <c r="I2003" s="28" t="s">
        <v>21</v>
      </c>
      <c r="J2003" s="28" t="s">
        <v>6097</v>
      </c>
      <c r="K2003" s="28" t="s">
        <v>5912</v>
      </c>
      <c r="L2003" s="28" t="s">
        <v>821</v>
      </c>
      <c r="M2003" s="28" t="s">
        <v>21</v>
      </c>
      <c r="O2003" s="92">
        <v>36847</v>
      </c>
      <c r="P2003" s="28" t="s">
        <v>21</v>
      </c>
      <c r="Q2003" s="26" t="b">
        <v>0</v>
      </c>
      <c r="R2003" s="22">
        <f t="shared" si="31"/>
        <v>0</v>
      </c>
    </row>
    <row r="2004" spans="1:18">
      <c r="A2004" s="26">
        <v>5569</v>
      </c>
      <c r="B2004" s="27">
        <v>36852</v>
      </c>
      <c r="C2004" s="28" t="s">
        <v>6391</v>
      </c>
      <c r="D2004" s="27">
        <v>36849</v>
      </c>
      <c r="E2004" s="28" t="s">
        <v>38</v>
      </c>
      <c r="F2004" s="28" t="s">
        <v>124</v>
      </c>
      <c r="G2004" s="28" t="s">
        <v>20</v>
      </c>
      <c r="H2004" s="28" t="s">
        <v>21</v>
      </c>
      <c r="I2004" s="28" t="s">
        <v>21</v>
      </c>
      <c r="J2004" s="28" t="s">
        <v>6392</v>
      </c>
      <c r="K2004" s="28" t="s">
        <v>21</v>
      </c>
      <c r="L2004" s="28" t="s">
        <v>3271</v>
      </c>
      <c r="M2004" s="28" t="s">
        <v>21</v>
      </c>
      <c r="O2004" s="92">
        <v>36860</v>
      </c>
      <c r="P2004" s="28" t="s">
        <v>31</v>
      </c>
      <c r="Q2004" s="26" t="b">
        <v>0</v>
      </c>
      <c r="R2004" s="22">
        <f t="shared" si="31"/>
        <v>8</v>
      </c>
    </row>
    <row r="2005" spans="1:18">
      <c r="A2005" s="26">
        <v>5571</v>
      </c>
      <c r="B2005" s="27">
        <v>36857</v>
      </c>
      <c r="C2005" s="28" t="s">
        <v>6393</v>
      </c>
      <c r="D2005" s="27">
        <v>36844</v>
      </c>
      <c r="E2005" s="28" t="s">
        <v>6394</v>
      </c>
      <c r="F2005" s="28" t="s">
        <v>124</v>
      </c>
      <c r="G2005" s="28" t="s">
        <v>20</v>
      </c>
      <c r="H2005" s="28" t="s">
        <v>21</v>
      </c>
      <c r="I2005" s="28" t="s">
        <v>21</v>
      </c>
      <c r="J2005" s="28" t="s">
        <v>6395</v>
      </c>
      <c r="K2005" s="28" t="s">
        <v>21</v>
      </c>
      <c r="L2005" s="28" t="s">
        <v>314</v>
      </c>
      <c r="M2005" s="28" t="s">
        <v>5749</v>
      </c>
      <c r="O2005" s="92">
        <v>37281</v>
      </c>
      <c r="P2005" s="28" t="s">
        <v>31</v>
      </c>
      <c r="Q2005" s="26" t="b">
        <v>0</v>
      </c>
      <c r="R2005" s="22">
        <f t="shared" si="31"/>
        <v>423</v>
      </c>
    </row>
    <row r="2006" spans="1:18">
      <c r="A2006" s="26">
        <v>5574</v>
      </c>
      <c r="B2006" s="27">
        <v>36871</v>
      </c>
      <c r="C2006" s="28" t="s">
        <v>6397</v>
      </c>
      <c r="D2006" s="27">
        <v>36865</v>
      </c>
      <c r="E2006" s="28" t="s">
        <v>6398</v>
      </c>
      <c r="F2006" s="28" t="s">
        <v>1771</v>
      </c>
      <c r="G2006" s="28" t="s">
        <v>20</v>
      </c>
      <c r="H2006" s="28" t="s">
        <v>189</v>
      </c>
      <c r="I2006" s="28" t="s">
        <v>189</v>
      </c>
      <c r="J2006" s="28" t="s">
        <v>6399</v>
      </c>
      <c r="K2006" s="28" t="s">
        <v>3616</v>
      </c>
      <c r="L2006" s="28" t="s">
        <v>66</v>
      </c>
      <c r="M2006" s="28" t="s">
        <v>21</v>
      </c>
      <c r="O2006" s="92">
        <v>37685</v>
      </c>
      <c r="P2006" s="28" t="s">
        <v>31</v>
      </c>
      <c r="Q2006" s="26" t="b">
        <v>0</v>
      </c>
      <c r="R2006" s="22">
        <f t="shared" si="31"/>
        <v>815</v>
      </c>
    </row>
    <row r="2007" spans="1:18">
      <c r="A2007" s="26">
        <v>5575</v>
      </c>
      <c r="B2007" s="27">
        <v>36886</v>
      </c>
      <c r="C2007" s="28" t="s">
        <v>6400</v>
      </c>
      <c r="D2007" s="27">
        <v>36881</v>
      </c>
      <c r="E2007" s="28" t="s">
        <v>38</v>
      </c>
      <c r="F2007" s="28" t="s">
        <v>793</v>
      </c>
      <c r="G2007" s="28" t="s">
        <v>20</v>
      </c>
      <c r="H2007" s="28" t="s">
        <v>21</v>
      </c>
      <c r="I2007" s="28" t="s">
        <v>21</v>
      </c>
      <c r="J2007" s="28" t="s">
        <v>6401</v>
      </c>
      <c r="K2007" s="28" t="s">
        <v>6402</v>
      </c>
      <c r="L2007" s="28" t="s">
        <v>66</v>
      </c>
      <c r="M2007" s="28" t="s">
        <v>21</v>
      </c>
      <c r="O2007" s="92">
        <v>36896</v>
      </c>
      <c r="P2007" s="28" t="s">
        <v>31</v>
      </c>
      <c r="Q2007" s="26" t="b">
        <v>0</v>
      </c>
      <c r="R2007" s="22">
        <f t="shared" si="31"/>
        <v>9</v>
      </c>
    </row>
    <row r="2008" spans="1:18">
      <c r="A2008" s="26">
        <v>5576</v>
      </c>
      <c r="B2008" s="27">
        <v>36889</v>
      </c>
      <c r="C2008" s="28" t="s">
        <v>6403</v>
      </c>
      <c r="D2008" s="27">
        <v>36884</v>
      </c>
      <c r="E2008" s="28" t="s">
        <v>6404</v>
      </c>
      <c r="F2008" s="28" t="s">
        <v>124</v>
      </c>
      <c r="G2008" s="28" t="s">
        <v>20</v>
      </c>
      <c r="H2008" s="28" t="s">
        <v>21</v>
      </c>
      <c r="I2008" s="28" t="s">
        <v>21</v>
      </c>
      <c r="J2008" s="28" t="s">
        <v>6405</v>
      </c>
      <c r="K2008" s="28" t="s">
        <v>6406</v>
      </c>
      <c r="L2008" s="28" t="s">
        <v>66</v>
      </c>
      <c r="M2008" s="28" t="s">
        <v>21</v>
      </c>
      <c r="O2008" s="92">
        <v>36952</v>
      </c>
      <c r="P2008" s="28" t="s">
        <v>31</v>
      </c>
      <c r="Q2008" s="26" t="b">
        <v>0</v>
      </c>
      <c r="R2008" s="22">
        <f t="shared" si="31"/>
        <v>63</v>
      </c>
    </row>
    <row r="2009" spans="1:18">
      <c r="A2009" s="26">
        <v>5579</v>
      </c>
      <c r="B2009" s="27">
        <v>36893</v>
      </c>
      <c r="C2009" s="28" t="s">
        <v>6407</v>
      </c>
      <c r="D2009" s="27">
        <v>36881</v>
      </c>
      <c r="E2009" s="28" t="s">
        <v>38</v>
      </c>
      <c r="F2009" s="28" t="s">
        <v>124</v>
      </c>
      <c r="G2009" s="28" t="s">
        <v>20</v>
      </c>
      <c r="H2009" s="28" t="s">
        <v>21</v>
      </c>
      <c r="I2009" s="28" t="s">
        <v>21</v>
      </c>
      <c r="J2009" s="28" t="s">
        <v>6408</v>
      </c>
      <c r="K2009" s="28" t="s">
        <v>6409</v>
      </c>
      <c r="L2009" s="28" t="s">
        <v>3271</v>
      </c>
      <c r="M2009" s="28" t="s">
        <v>21</v>
      </c>
      <c r="O2009" s="92">
        <v>36952</v>
      </c>
      <c r="P2009" s="28" t="s">
        <v>31</v>
      </c>
      <c r="Q2009" s="26" t="b">
        <v>0</v>
      </c>
      <c r="R2009" s="22">
        <f t="shared" si="31"/>
        <v>60</v>
      </c>
    </row>
    <row r="2010" spans="1:18">
      <c r="A2010" s="26">
        <v>5623</v>
      </c>
      <c r="B2010" s="27">
        <v>36908</v>
      </c>
      <c r="C2010" s="28" t="s">
        <v>6410</v>
      </c>
      <c r="D2010" s="27">
        <v>36907</v>
      </c>
      <c r="E2010" s="28" t="s">
        <v>6411</v>
      </c>
      <c r="F2010" s="28" t="s">
        <v>27</v>
      </c>
      <c r="G2010" s="28" t="s">
        <v>20</v>
      </c>
      <c r="H2010" s="28" t="s">
        <v>21</v>
      </c>
      <c r="I2010" s="28" t="s">
        <v>21</v>
      </c>
      <c r="J2010" s="28" t="s">
        <v>6412</v>
      </c>
      <c r="K2010" s="28" t="s">
        <v>6413</v>
      </c>
      <c r="L2010" s="28" t="s">
        <v>66</v>
      </c>
      <c r="M2010" s="28" t="s">
        <v>21</v>
      </c>
      <c r="O2010" s="92">
        <v>37183</v>
      </c>
      <c r="P2010" s="28" t="s">
        <v>31</v>
      </c>
      <c r="Q2010" s="26" t="b">
        <v>0</v>
      </c>
      <c r="R2010" s="22">
        <f t="shared" si="31"/>
        <v>275</v>
      </c>
    </row>
    <row r="2011" spans="1:18">
      <c r="A2011" s="26">
        <v>5624</v>
      </c>
      <c r="B2011" s="27">
        <v>36909</v>
      </c>
      <c r="C2011" s="28" t="s">
        <v>6414</v>
      </c>
      <c r="D2011" s="27">
        <v>36909</v>
      </c>
      <c r="E2011" s="28" t="s">
        <v>38</v>
      </c>
      <c r="F2011" s="28" t="s">
        <v>149</v>
      </c>
      <c r="G2011" s="28" t="s">
        <v>20</v>
      </c>
      <c r="H2011" s="28" t="s">
        <v>21</v>
      </c>
      <c r="I2011" s="28" t="s">
        <v>21</v>
      </c>
      <c r="J2011" s="28" t="s">
        <v>6415</v>
      </c>
      <c r="K2011" s="28" t="s">
        <v>21</v>
      </c>
      <c r="L2011" s="28" t="s">
        <v>3271</v>
      </c>
      <c r="M2011" s="28" t="s">
        <v>21</v>
      </c>
      <c r="O2011" s="92">
        <v>37034</v>
      </c>
      <c r="P2011" s="28" t="s">
        <v>31</v>
      </c>
      <c r="Q2011" s="26" t="b">
        <v>0</v>
      </c>
      <c r="R2011" s="22">
        <f t="shared" si="31"/>
        <v>126</v>
      </c>
    </row>
    <row r="2012" spans="1:18">
      <c r="A2012" s="26">
        <v>5703</v>
      </c>
      <c r="B2012" s="27">
        <v>36910</v>
      </c>
      <c r="C2012" s="28" t="s">
        <v>6437</v>
      </c>
      <c r="D2012" s="27">
        <v>36920</v>
      </c>
      <c r="E2012" s="28" t="s">
        <v>6438</v>
      </c>
      <c r="F2012" s="28" t="s">
        <v>741</v>
      </c>
      <c r="G2012" s="28" t="s">
        <v>20</v>
      </c>
      <c r="H2012" s="28" t="s">
        <v>21</v>
      </c>
      <c r="I2012" s="28" t="s">
        <v>21</v>
      </c>
      <c r="J2012" s="28" t="s">
        <v>6439</v>
      </c>
      <c r="K2012" s="28" t="s">
        <v>6440</v>
      </c>
      <c r="L2012" s="28" t="s">
        <v>3930</v>
      </c>
      <c r="M2012" s="28" t="s">
        <v>21</v>
      </c>
      <c r="O2012" s="92">
        <v>37022</v>
      </c>
      <c r="P2012" s="28" t="s">
        <v>21</v>
      </c>
      <c r="Q2012" s="26" t="b">
        <v>0</v>
      </c>
      <c r="R2012" s="22">
        <f t="shared" si="31"/>
        <v>113</v>
      </c>
    </row>
    <row r="2013" spans="1:18" ht="24">
      <c r="A2013" s="26">
        <v>5651</v>
      </c>
      <c r="B2013" s="27">
        <v>36913</v>
      </c>
      <c r="C2013" s="28" t="s">
        <v>6416</v>
      </c>
      <c r="D2013" s="27">
        <v>36912</v>
      </c>
      <c r="E2013" s="28" t="s">
        <v>6417</v>
      </c>
      <c r="F2013" s="28" t="s">
        <v>228</v>
      </c>
      <c r="G2013" s="28" t="s">
        <v>20</v>
      </c>
      <c r="H2013" s="28" t="s">
        <v>21</v>
      </c>
      <c r="I2013" s="28" t="s">
        <v>21</v>
      </c>
      <c r="J2013" s="28" t="s">
        <v>6418</v>
      </c>
      <c r="K2013" s="28" t="s">
        <v>6419</v>
      </c>
      <c r="L2013" s="28" t="s">
        <v>2205</v>
      </c>
      <c r="M2013" s="28" t="s">
        <v>6420</v>
      </c>
      <c r="O2013" s="92">
        <v>38408</v>
      </c>
      <c r="P2013" s="28" t="s">
        <v>31</v>
      </c>
      <c r="Q2013" s="26" t="b">
        <v>0</v>
      </c>
      <c r="R2013" s="22">
        <f t="shared" si="31"/>
        <v>1493</v>
      </c>
    </row>
    <row r="2014" spans="1:18">
      <c r="A2014" s="26">
        <v>5652</v>
      </c>
      <c r="B2014" s="27">
        <v>36915</v>
      </c>
      <c r="C2014" s="28" t="s">
        <v>6421</v>
      </c>
      <c r="D2014" s="27">
        <v>36912</v>
      </c>
      <c r="E2014" s="28" t="s">
        <v>38</v>
      </c>
      <c r="F2014" s="28" t="s">
        <v>124</v>
      </c>
      <c r="G2014" s="28" t="s">
        <v>20</v>
      </c>
      <c r="H2014" s="28" t="s">
        <v>21</v>
      </c>
      <c r="I2014" s="28" t="s">
        <v>21</v>
      </c>
      <c r="J2014" s="28" t="s">
        <v>6422</v>
      </c>
      <c r="K2014" s="28" t="s">
        <v>2284</v>
      </c>
      <c r="L2014" s="28" t="s">
        <v>3930</v>
      </c>
      <c r="M2014" s="28" t="s">
        <v>21</v>
      </c>
      <c r="O2014" s="92">
        <v>36984</v>
      </c>
      <c r="P2014" s="28" t="s">
        <v>31</v>
      </c>
      <c r="Q2014" s="26" t="b">
        <v>0</v>
      </c>
      <c r="R2014" s="22">
        <f t="shared" si="31"/>
        <v>69</v>
      </c>
    </row>
    <row r="2015" spans="1:18">
      <c r="A2015" s="26">
        <v>5653</v>
      </c>
      <c r="B2015" s="27">
        <v>36915</v>
      </c>
      <c r="C2015" s="28" t="s">
        <v>6423</v>
      </c>
      <c r="D2015" s="27">
        <v>36912</v>
      </c>
      <c r="E2015" s="28" t="s">
        <v>38</v>
      </c>
      <c r="F2015" s="28" t="s">
        <v>371</v>
      </c>
      <c r="G2015" s="28" t="s">
        <v>20</v>
      </c>
      <c r="H2015" s="28" t="s">
        <v>21</v>
      </c>
      <c r="I2015" s="28" t="s">
        <v>21</v>
      </c>
      <c r="J2015" s="28" t="s">
        <v>4641</v>
      </c>
      <c r="K2015" s="28" t="s">
        <v>6424</v>
      </c>
      <c r="L2015" s="28" t="s">
        <v>3271</v>
      </c>
      <c r="M2015" s="28" t="s">
        <v>21</v>
      </c>
      <c r="O2015" s="92">
        <v>36950</v>
      </c>
      <c r="P2015" s="28" t="s">
        <v>31</v>
      </c>
      <c r="Q2015" s="26" t="b">
        <v>0</v>
      </c>
      <c r="R2015" s="22">
        <f t="shared" si="31"/>
        <v>34</v>
      </c>
    </row>
    <row r="2016" spans="1:18" ht="36">
      <c r="A2016" s="26">
        <v>5654</v>
      </c>
      <c r="B2016" s="27">
        <v>36915</v>
      </c>
      <c r="C2016" s="28" t="s">
        <v>6425</v>
      </c>
      <c r="D2016" s="27">
        <v>36915</v>
      </c>
      <c r="E2016" s="28" t="s">
        <v>4172</v>
      </c>
      <c r="F2016" s="28" t="s">
        <v>3434</v>
      </c>
      <c r="G2016" s="28" t="s">
        <v>20</v>
      </c>
      <c r="H2016" s="28" t="s">
        <v>71</v>
      </c>
      <c r="I2016" s="28" t="s">
        <v>21</v>
      </c>
      <c r="J2016" s="28" t="s">
        <v>6426</v>
      </c>
      <c r="K2016" s="28" t="s">
        <v>6427</v>
      </c>
      <c r="L2016" s="28" t="s">
        <v>4282</v>
      </c>
      <c r="M2016" s="28" t="s">
        <v>21</v>
      </c>
      <c r="O2016" s="92">
        <v>38471</v>
      </c>
      <c r="P2016" s="28" t="s">
        <v>21</v>
      </c>
      <c r="Q2016" s="26" t="b">
        <v>0</v>
      </c>
      <c r="R2016" s="22">
        <f t="shared" si="31"/>
        <v>1556</v>
      </c>
    </row>
    <row r="2017" spans="1:18">
      <c r="A2017" s="26">
        <v>5704</v>
      </c>
      <c r="B2017" s="27">
        <v>36915</v>
      </c>
      <c r="C2017" s="28" t="s">
        <v>6441</v>
      </c>
      <c r="D2017" s="27">
        <v>36915</v>
      </c>
      <c r="E2017" s="28" t="s">
        <v>2925</v>
      </c>
      <c r="F2017" s="28" t="s">
        <v>283</v>
      </c>
      <c r="G2017" s="28" t="s">
        <v>20</v>
      </c>
      <c r="H2017" s="28" t="s">
        <v>71</v>
      </c>
      <c r="I2017" s="28" t="s">
        <v>21</v>
      </c>
      <c r="J2017" s="28" t="s">
        <v>6442</v>
      </c>
      <c r="K2017" s="28" t="s">
        <v>6443</v>
      </c>
      <c r="L2017" s="28" t="s">
        <v>3271</v>
      </c>
      <c r="M2017" s="28" t="s">
        <v>21</v>
      </c>
      <c r="O2017" s="92">
        <v>37035</v>
      </c>
      <c r="P2017" s="28" t="s">
        <v>21</v>
      </c>
      <c r="Q2017" s="26" t="b">
        <v>0</v>
      </c>
      <c r="R2017" s="22">
        <f t="shared" si="31"/>
        <v>121</v>
      </c>
    </row>
    <row r="2018" spans="1:18">
      <c r="A2018" s="26">
        <v>5701</v>
      </c>
      <c r="B2018" s="27">
        <v>36917</v>
      </c>
      <c r="C2018" s="28" t="s">
        <v>6432</v>
      </c>
      <c r="D2018" s="27">
        <v>36917</v>
      </c>
      <c r="E2018" s="28" t="s">
        <v>38</v>
      </c>
      <c r="F2018" s="28" t="s">
        <v>371</v>
      </c>
      <c r="G2018" s="28" t="s">
        <v>20</v>
      </c>
      <c r="H2018" s="28" t="s">
        <v>21</v>
      </c>
      <c r="I2018" s="28" t="s">
        <v>21</v>
      </c>
      <c r="J2018" s="28" t="s">
        <v>5184</v>
      </c>
      <c r="K2018" s="28" t="s">
        <v>6433</v>
      </c>
      <c r="L2018" s="28" t="s">
        <v>821</v>
      </c>
      <c r="M2018" s="28" t="s">
        <v>21</v>
      </c>
      <c r="O2018" s="92">
        <v>36927</v>
      </c>
      <c r="P2018" s="28" t="s">
        <v>31</v>
      </c>
      <c r="Q2018" s="26" t="b">
        <v>0</v>
      </c>
      <c r="R2018" s="22">
        <f t="shared" si="31"/>
        <v>9</v>
      </c>
    </row>
    <row r="2019" spans="1:18">
      <c r="A2019" s="26">
        <v>5702</v>
      </c>
      <c r="B2019" s="27">
        <v>36917</v>
      </c>
      <c r="C2019" s="28" t="s">
        <v>6434</v>
      </c>
      <c r="D2019" s="27">
        <v>36917</v>
      </c>
      <c r="E2019" s="28" t="s">
        <v>1432</v>
      </c>
      <c r="F2019" s="28" t="s">
        <v>306</v>
      </c>
      <c r="G2019" s="28" t="s">
        <v>20</v>
      </c>
      <c r="H2019" s="28" t="s">
        <v>71</v>
      </c>
      <c r="I2019" s="28" t="s">
        <v>21</v>
      </c>
      <c r="J2019" s="28" t="s">
        <v>6435</v>
      </c>
      <c r="K2019" s="28" t="s">
        <v>6436</v>
      </c>
      <c r="L2019" s="28" t="s">
        <v>4282</v>
      </c>
      <c r="M2019" s="28" t="s">
        <v>821</v>
      </c>
      <c r="O2019" s="92">
        <v>38686</v>
      </c>
      <c r="P2019" s="28" t="s">
        <v>21</v>
      </c>
      <c r="Q2019" s="26" t="b">
        <v>0</v>
      </c>
      <c r="R2019" s="22">
        <f t="shared" si="31"/>
        <v>1768</v>
      </c>
    </row>
    <row r="2020" spans="1:18">
      <c r="A2020" s="26">
        <v>5700</v>
      </c>
      <c r="B2020" s="27">
        <v>36920</v>
      </c>
      <c r="C2020" s="28" t="s">
        <v>6428</v>
      </c>
      <c r="D2020" s="27">
        <v>36920</v>
      </c>
      <c r="E2020" s="28" t="s">
        <v>6429</v>
      </c>
      <c r="F2020" s="28" t="s">
        <v>149</v>
      </c>
      <c r="G2020" s="28" t="s">
        <v>20</v>
      </c>
      <c r="H2020" s="28" t="s">
        <v>21</v>
      </c>
      <c r="I2020" s="28" t="s">
        <v>21</v>
      </c>
      <c r="J2020" s="28" t="s">
        <v>6430</v>
      </c>
      <c r="K2020" s="28" t="s">
        <v>6431</v>
      </c>
      <c r="L2020" s="28" t="s">
        <v>66</v>
      </c>
      <c r="M2020" s="28" t="s">
        <v>21</v>
      </c>
      <c r="O2020" s="92">
        <v>37788</v>
      </c>
      <c r="P2020" s="28" t="s">
        <v>31</v>
      </c>
      <c r="Q2020" s="26" t="b">
        <v>0</v>
      </c>
      <c r="R2020" s="22">
        <f t="shared" si="31"/>
        <v>868</v>
      </c>
    </row>
    <row r="2021" spans="1:18">
      <c r="A2021" s="26">
        <v>5803</v>
      </c>
      <c r="B2021" s="27">
        <v>36924</v>
      </c>
      <c r="C2021" s="28" t="s">
        <v>6455</v>
      </c>
      <c r="D2021" s="27">
        <v>36924</v>
      </c>
      <c r="E2021" s="28" t="s">
        <v>38</v>
      </c>
      <c r="F2021" s="28" t="s">
        <v>6456</v>
      </c>
      <c r="G2021" s="28" t="s">
        <v>20</v>
      </c>
      <c r="H2021" s="28" t="s">
        <v>189</v>
      </c>
      <c r="I2021" s="28" t="s">
        <v>189</v>
      </c>
      <c r="J2021" s="28" t="s">
        <v>6457</v>
      </c>
      <c r="K2021" s="28" t="s">
        <v>6124</v>
      </c>
      <c r="L2021" s="28" t="s">
        <v>5814</v>
      </c>
      <c r="M2021" s="28" t="s">
        <v>21</v>
      </c>
      <c r="O2021" s="92">
        <v>36983</v>
      </c>
      <c r="P2021" s="28" t="s">
        <v>21</v>
      </c>
      <c r="Q2021" s="26" t="b">
        <v>0</v>
      </c>
      <c r="R2021" s="22">
        <f t="shared" si="31"/>
        <v>60</v>
      </c>
    </row>
    <row r="2022" spans="1:18">
      <c r="A2022" s="26">
        <v>6018</v>
      </c>
      <c r="B2022" s="27">
        <v>36924</v>
      </c>
      <c r="C2022" s="28" t="s">
        <v>6773</v>
      </c>
      <c r="D2022" s="27">
        <v>36557</v>
      </c>
      <c r="E2022" s="28" t="s">
        <v>6774</v>
      </c>
      <c r="F2022" s="28" t="s">
        <v>124</v>
      </c>
      <c r="G2022" s="28" t="s">
        <v>20</v>
      </c>
      <c r="H2022" s="28" t="s">
        <v>21</v>
      </c>
      <c r="I2022" s="28" t="s">
        <v>21</v>
      </c>
      <c r="J2022" s="28" t="s">
        <v>6775</v>
      </c>
      <c r="K2022" s="28" t="s">
        <v>21</v>
      </c>
      <c r="L2022" s="28" t="s">
        <v>314</v>
      </c>
      <c r="M2022" s="28" t="s">
        <v>3526</v>
      </c>
      <c r="O2022" s="92">
        <v>37221</v>
      </c>
      <c r="P2022" s="28" t="s">
        <v>31</v>
      </c>
      <c r="Q2022" s="26" t="b">
        <v>0</v>
      </c>
      <c r="R2022" s="22">
        <f t="shared" si="31"/>
        <v>298</v>
      </c>
    </row>
    <row r="2023" spans="1:18">
      <c r="A2023" s="26">
        <v>5800</v>
      </c>
      <c r="B2023" s="27">
        <v>36928</v>
      </c>
      <c r="C2023" s="28" t="s">
        <v>6444</v>
      </c>
      <c r="D2023" s="27">
        <v>36928</v>
      </c>
      <c r="E2023" s="28" t="s">
        <v>6445</v>
      </c>
      <c r="F2023" s="28" t="s">
        <v>6446</v>
      </c>
      <c r="G2023" s="28" t="s">
        <v>20</v>
      </c>
      <c r="H2023" s="28" t="s">
        <v>21</v>
      </c>
      <c r="I2023" s="28" t="s">
        <v>21</v>
      </c>
      <c r="J2023" s="28" t="s">
        <v>6447</v>
      </c>
      <c r="K2023" s="28" t="s">
        <v>21</v>
      </c>
      <c r="L2023" s="28" t="s">
        <v>3930</v>
      </c>
      <c r="M2023" s="28" t="s">
        <v>21</v>
      </c>
      <c r="O2023" s="92">
        <v>36928</v>
      </c>
      <c r="P2023" s="28" t="s">
        <v>21</v>
      </c>
      <c r="Q2023" s="26" t="b">
        <v>0</v>
      </c>
      <c r="R2023" s="22">
        <f t="shared" ref="R2023:R2086" si="32">IF(O2023=" ", " ", INT(YEARFRAC(O2023, B2023)*365))</f>
        <v>0</v>
      </c>
    </row>
    <row r="2024" spans="1:18">
      <c r="A2024" s="26">
        <v>5801</v>
      </c>
      <c r="B2024" s="27">
        <v>36928</v>
      </c>
      <c r="C2024" s="28" t="s">
        <v>6448</v>
      </c>
      <c r="D2024" s="27">
        <v>36928</v>
      </c>
      <c r="E2024" s="28" t="s">
        <v>4172</v>
      </c>
      <c r="F2024" s="28" t="s">
        <v>5259</v>
      </c>
      <c r="G2024" s="28" t="s">
        <v>20</v>
      </c>
      <c r="H2024" s="28" t="s">
        <v>71</v>
      </c>
      <c r="I2024" s="28" t="s">
        <v>72</v>
      </c>
      <c r="J2024" s="28" t="s">
        <v>6449</v>
      </c>
      <c r="K2024" s="28" t="s">
        <v>6450</v>
      </c>
      <c r="L2024" s="28" t="s">
        <v>66</v>
      </c>
      <c r="M2024" s="28" t="s">
        <v>3930</v>
      </c>
      <c r="O2024" s="92">
        <v>37659</v>
      </c>
      <c r="P2024" s="28" t="s">
        <v>31</v>
      </c>
      <c r="Q2024" s="26" t="b">
        <v>0</v>
      </c>
      <c r="R2024" s="22">
        <f t="shared" si="32"/>
        <v>731</v>
      </c>
    </row>
    <row r="2025" spans="1:18">
      <c r="A2025" s="26">
        <v>5802</v>
      </c>
      <c r="B2025" s="27">
        <v>36928</v>
      </c>
      <c r="C2025" s="28" t="s">
        <v>6451</v>
      </c>
      <c r="D2025" s="27">
        <v>36928</v>
      </c>
      <c r="E2025" s="28" t="s">
        <v>6452</v>
      </c>
      <c r="F2025" s="28" t="s">
        <v>149</v>
      </c>
      <c r="G2025" s="28" t="s">
        <v>20</v>
      </c>
      <c r="H2025" s="28" t="s">
        <v>21</v>
      </c>
      <c r="I2025" s="28" t="s">
        <v>21</v>
      </c>
      <c r="J2025" s="28" t="s">
        <v>6453</v>
      </c>
      <c r="K2025" s="28" t="s">
        <v>6454</v>
      </c>
      <c r="L2025" s="28" t="s">
        <v>3526</v>
      </c>
      <c r="M2025" s="28" t="s">
        <v>3930</v>
      </c>
      <c r="O2025" s="92">
        <v>36993</v>
      </c>
      <c r="P2025" s="28" t="s">
        <v>21</v>
      </c>
      <c r="Q2025" s="26" t="b">
        <v>0</v>
      </c>
      <c r="R2025" s="22">
        <f t="shared" si="32"/>
        <v>66</v>
      </c>
    </row>
    <row r="2026" spans="1:18">
      <c r="A2026" s="26">
        <v>5809</v>
      </c>
      <c r="B2026" s="27">
        <v>36929</v>
      </c>
      <c r="C2026" s="28" t="s">
        <v>6458</v>
      </c>
      <c r="D2026" s="27">
        <v>36929</v>
      </c>
      <c r="E2026" s="28" t="s">
        <v>6459</v>
      </c>
      <c r="F2026" s="28" t="s">
        <v>52</v>
      </c>
      <c r="G2026" s="28" t="s">
        <v>20</v>
      </c>
      <c r="H2026" s="28" t="s">
        <v>21</v>
      </c>
      <c r="I2026" s="28" t="s">
        <v>21</v>
      </c>
      <c r="J2026" s="28" t="s">
        <v>6460</v>
      </c>
      <c r="K2026" s="28" t="s">
        <v>21</v>
      </c>
      <c r="L2026" s="28" t="s">
        <v>3930</v>
      </c>
      <c r="M2026" s="28" t="s">
        <v>21</v>
      </c>
      <c r="O2026" s="92">
        <v>36950</v>
      </c>
      <c r="P2026" s="28" t="s">
        <v>31</v>
      </c>
      <c r="Q2026" s="26" t="b">
        <v>0</v>
      </c>
      <c r="R2026" s="22">
        <f t="shared" si="32"/>
        <v>21</v>
      </c>
    </row>
    <row r="2027" spans="1:18">
      <c r="A2027" s="26">
        <v>5810</v>
      </c>
      <c r="B2027" s="27">
        <v>36934</v>
      </c>
      <c r="C2027" s="28" t="s">
        <v>6461</v>
      </c>
      <c r="D2027" s="27">
        <v>36934</v>
      </c>
      <c r="E2027" s="28" t="s">
        <v>6462</v>
      </c>
      <c r="F2027" s="28" t="s">
        <v>3171</v>
      </c>
      <c r="G2027" s="28" t="s">
        <v>20</v>
      </c>
      <c r="H2027" s="28" t="s">
        <v>566</v>
      </c>
      <c r="I2027" s="28" t="s">
        <v>566</v>
      </c>
      <c r="J2027" s="28" t="s">
        <v>6463</v>
      </c>
      <c r="K2027" s="28" t="s">
        <v>6464</v>
      </c>
      <c r="L2027" s="28" t="s">
        <v>66</v>
      </c>
      <c r="M2027" s="28" t="s">
        <v>21</v>
      </c>
      <c r="O2027" s="92">
        <v>36943</v>
      </c>
      <c r="P2027" s="28" t="s">
        <v>21</v>
      </c>
      <c r="Q2027" s="26" t="b">
        <v>0</v>
      </c>
      <c r="R2027" s="22">
        <f t="shared" si="32"/>
        <v>9</v>
      </c>
    </row>
    <row r="2028" spans="1:18">
      <c r="A2028" s="26">
        <v>5811</v>
      </c>
      <c r="B2028" s="27">
        <v>36934</v>
      </c>
      <c r="C2028" s="28" t="s">
        <v>6465</v>
      </c>
      <c r="D2028" s="27">
        <v>36934</v>
      </c>
      <c r="E2028" s="28" t="s">
        <v>38</v>
      </c>
      <c r="F2028" s="28" t="s">
        <v>793</v>
      </c>
      <c r="G2028" s="28" t="s">
        <v>20</v>
      </c>
      <c r="H2028" s="28" t="s">
        <v>21</v>
      </c>
      <c r="I2028" s="28" t="s">
        <v>21</v>
      </c>
      <c r="J2028" s="28" t="s">
        <v>6466</v>
      </c>
      <c r="K2028" s="28" t="s">
        <v>5767</v>
      </c>
      <c r="L2028" s="28" t="s">
        <v>3271</v>
      </c>
      <c r="M2028" s="28" t="s">
        <v>21</v>
      </c>
      <c r="O2028" s="92">
        <v>36950</v>
      </c>
      <c r="P2028" s="28" t="s">
        <v>31</v>
      </c>
      <c r="Q2028" s="26" t="b">
        <v>0</v>
      </c>
      <c r="R2028" s="22">
        <f t="shared" si="32"/>
        <v>16</v>
      </c>
    </row>
    <row r="2029" spans="1:18">
      <c r="A2029" s="26">
        <v>5814</v>
      </c>
      <c r="B2029" s="27">
        <v>36936</v>
      </c>
      <c r="C2029" s="28" t="s">
        <v>6467</v>
      </c>
      <c r="D2029" s="27">
        <v>36936</v>
      </c>
      <c r="E2029" s="28" t="s">
        <v>38</v>
      </c>
      <c r="F2029" s="28" t="s">
        <v>145</v>
      </c>
      <c r="G2029" s="28" t="s">
        <v>20</v>
      </c>
      <c r="H2029" s="28" t="s">
        <v>21</v>
      </c>
      <c r="I2029" s="28" t="s">
        <v>21</v>
      </c>
      <c r="J2029" s="28" t="s">
        <v>6468</v>
      </c>
      <c r="K2029" s="28" t="s">
        <v>21</v>
      </c>
      <c r="L2029" s="28" t="s">
        <v>6296</v>
      </c>
      <c r="M2029" s="28" t="s">
        <v>21</v>
      </c>
      <c r="O2029" s="92">
        <v>36950</v>
      </c>
      <c r="P2029" s="28" t="s">
        <v>31</v>
      </c>
      <c r="Q2029" s="26" t="b">
        <v>0</v>
      </c>
      <c r="R2029" s="22">
        <f t="shared" si="32"/>
        <v>14</v>
      </c>
    </row>
    <row r="2030" spans="1:18">
      <c r="A2030" s="26">
        <v>5815</v>
      </c>
      <c r="B2030" s="27">
        <v>36936</v>
      </c>
      <c r="C2030" s="28" t="s">
        <v>6469</v>
      </c>
      <c r="D2030" s="27">
        <v>36936</v>
      </c>
      <c r="E2030" s="28" t="s">
        <v>6470</v>
      </c>
      <c r="F2030" s="28" t="s">
        <v>124</v>
      </c>
      <c r="G2030" s="28" t="s">
        <v>20</v>
      </c>
      <c r="H2030" s="28" t="s">
        <v>21</v>
      </c>
      <c r="I2030" s="28" t="s">
        <v>21</v>
      </c>
      <c r="J2030" s="28" t="s">
        <v>5184</v>
      </c>
      <c r="K2030" s="28" t="s">
        <v>6471</v>
      </c>
      <c r="L2030" s="28" t="s">
        <v>3526</v>
      </c>
      <c r="M2030" s="28" t="s">
        <v>21</v>
      </c>
      <c r="O2030" s="92">
        <v>37221</v>
      </c>
      <c r="P2030" s="28" t="s">
        <v>31</v>
      </c>
      <c r="Q2030" s="26" t="b">
        <v>0</v>
      </c>
      <c r="R2030" s="22">
        <f t="shared" si="32"/>
        <v>285</v>
      </c>
    </row>
    <row r="2031" spans="1:18">
      <c r="A2031" s="26">
        <v>5820</v>
      </c>
      <c r="B2031" s="27">
        <v>36937</v>
      </c>
      <c r="C2031" s="28" t="s">
        <v>6479</v>
      </c>
      <c r="D2031" s="27">
        <v>36932</v>
      </c>
      <c r="E2031" s="28" t="s">
        <v>38</v>
      </c>
      <c r="F2031" s="28" t="s">
        <v>145</v>
      </c>
      <c r="G2031" s="28" t="s">
        <v>20</v>
      </c>
      <c r="H2031" s="28" t="s">
        <v>21</v>
      </c>
      <c r="I2031" s="28" t="s">
        <v>21</v>
      </c>
      <c r="J2031" s="28" t="s">
        <v>5067</v>
      </c>
      <c r="K2031" s="28" t="s">
        <v>21</v>
      </c>
      <c r="L2031" s="28" t="s">
        <v>3930</v>
      </c>
      <c r="M2031" s="28" t="s">
        <v>21</v>
      </c>
      <c r="O2031" s="92">
        <v>36943</v>
      </c>
      <c r="P2031" s="28" t="s">
        <v>31</v>
      </c>
      <c r="Q2031" s="26" t="b">
        <v>0</v>
      </c>
      <c r="R2031" s="22">
        <f t="shared" si="32"/>
        <v>6</v>
      </c>
    </row>
    <row r="2032" spans="1:18" ht="24">
      <c r="A2032" s="26">
        <v>5816</v>
      </c>
      <c r="B2032" s="27">
        <v>36942</v>
      </c>
      <c r="C2032" s="28" t="s">
        <v>6472</v>
      </c>
      <c r="D2032" s="27">
        <v>36942</v>
      </c>
      <c r="E2032" s="28" t="s">
        <v>283</v>
      </c>
      <c r="F2032" s="28" t="s">
        <v>145</v>
      </c>
      <c r="G2032" s="28" t="s">
        <v>20</v>
      </c>
      <c r="H2032" s="28" t="s">
        <v>21</v>
      </c>
      <c r="I2032" s="28" t="s">
        <v>21</v>
      </c>
      <c r="J2032" s="28" t="s">
        <v>6473</v>
      </c>
      <c r="K2032" s="28" t="s">
        <v>6474</v>
      </c>
      <c r="L2032" s="28" t="s">
        <v>21</v>
      </c>
      <c r="M2032" s="28" t="s">
        <v>21</v>
      </c>
      <c r="O2032" s="92">
        <v>37014</v>
      </c>
      <c r="P2032" s="28" t="s">
        <v>21</v>
      </c>
      <c r="Q2032" s="26" t="b">
        <v>0</v>
      </c>
      <c r="R2032" s="22">
        <f t="shared" si="32"/>
        <v>74</v>
      </c>
    </row>
    <row r="2033" spans="1:18">
      <c r="A2033" s="26">
        <v>5819</v>
      </c>
      <c r="B2033" s="27">
        <v>36942</v>
      </c>
      <c r="C2033" s="28" t="s">
        <v>6475</v>
      </c>
      <c r="D2033" s="27">
        <v>36942</v>
      </c>
      <c r="E2033" s="28" t="s">
        <v>6476</v>
      </c>
      <c r="F2033" s="28" t="s">
        <v>70</v>
      </c>
      <c r="G2033" s="28" t="s">
        <v>20</v>
      </c>
      <c r="H2033" s="28" t="s">
        <v>71</v>
      </c>
      <c r="I2033" s="28" t="s">
        <v>72</v>
      </c>
      <c r="J2033" s="28" t="s">
        <v>6477</v>
      </c>
      <c r="K2033" s="28" t="s">
        <v>6478</v>
      </c>
      <c r="L2033" s="28" t="s">
        <v>3526</v>
      </c>
      <c r="M2033" s="28" t="s">
        <v>21</v>
      </c>
      <c r="O2033" s="92">
        <v>37095</v>
      </c>
      <c r="P2033" s="28" t="s">
        <v>21</v>
      </c>
      <c r="Q2033" s="26" t="b">
        <v>0</v>
      </c>
      <c r="R2033" s="22">
        <f t="shared" si="32"/>
        <v>155</v>
      </c>
    </row>
    <row r="2034" spans="1:18">
      <c r="A2034" s="26">
        <v>5821</v>
      </c>
      <c r="B2034" s="27">
        <v>36943</v>
      </c>
      <c r="C2034" s="28" t="s">
        <v>6480</v>
      </c>
      <c r="D2034" s="27">
        <v>36943</v>
      </c>
      <c r="E2034" s="28" t="s">
        <v>38</v>
      </c>
      <c r="F2034" s="28" t="s">
        <v>228</v>
      </c>
      <c r="G2034" s="28" t="s">
        <v>20</v>
      </c>
      <c r="H2034" s="28" t="s">
        <v>21</v>
      </c>
      <c r="I2034" s="28" t="s">
        <v>21</v>
      </c>
      <c r="J2034" s="28" t="s">
        <v>6481</v>
      </c>
      <c r="K2034" s="28" t="s">
        <v>6482</v>
      </c>
      <c r="L2034" s="28" t="s">
        <v>66</v>
      </c>
      <c r="M2034" s="28" t="s">
        <v>21</v>
      </c>
      <c r="O2034" s="92">
        <v>36972</v>
      </c>
      <c r="P2034" s="28" t="s">
        <v>31</v>
      </c>
      <c r="Q2034" s="26" t="b">
        <v>0</v>
      </c>
      <c r="R2034" s="22">
        <f t="shared" si="32"/>
        <v>31</v>
      </c>
    </row>
    <row r="2035" spans="1:18">
      <c r="A2035" s="26">
        <v>5826</v>
      </c>
      <c r="B2035" s="27">
        <v>36943</v>
      </c>
      <c r="C2035" s="28" t="s">
        <v>6486</v>
      </c>
      <c r="D2035" s="27">
        <v>36943</v>
      </c>
      <c r="E2035" s="28" t="s">
        <v>6487</v>
      </c>
      <c r="F2035" s="28" t="s">
        <v>228</v>
      </c>
      <c r="G2035" s="28" t="s">
        <v>20</v>
      </c>
      <c r="H2035" s="28" t="s">
        <v>21</v>
      </c>
      <c r="I2035" s="28" t="s">
        <v>21</v>
      </c>
      <c r="J2035" s="28" t="s">
        <v>6488</v>
      </c>
      <c r="K2035" s="28" t="s">
        <v>21</v>
      </c>
      <c r="L2035" s="28" t="s">
        <v>314</v>
      </c>
      <c r="M2035" s="28" t="s">
        <v>3526</v>
      </c>
      <c r="O2035" s="92">
        <v>37552</v>
      </c>
      <c r="P2035" s="28" t="s">
        <v>21</v>
      </c>
      <c r="Q2035" s="26" t="b">
        <v>0</v>
      </c>
      <c r="R2035" s="22">
        <f t="shared" si="32"/>
        <v>610</v>
      </c>
    </row>
    <row r="2036" spans="1:18">
      <c r="A2036" s="26">
        <v>5830</v>
      </c>
      <c r="B2036" s="27">
        <v>36943</v>
      </c>
      <c r="C2036" s="28" t="s">
        <v>6492</v>
      </c>
      <c r="D2036" s="27">
        <v>36943</v>
      </c>
      <c r="E2036" s="28" t="s">
        <v>6493</v>
      </c>
      <c r="F2036" s="28" t="s">
        <v>242</v>
      </c>
      <c r="G2036" s="28" t="s">
        <v>20</v>
      </c>
      <c r="H2036" s="28" t="s">
        <v>21</v>
      </c>
      <c r="I2036" s="28" t="s">
        <v>21</v>
      </c>
      <c r="J2036" s="28" t="s">
        <v>255</v>
      </c>
      <c r="K2036" s="28" t="s">
        <v>6494</v>
      </c>
      <c r="L2036" s="28" t="s">
        <v>3930</v>
      </c>
      <c r="M2036" s="28" t="s">
        <v>21</v>
      </c>
      <c r="O2036" s="92">
        <v>36950</v>
      </c>
      <c r="P2036" s="28" t="s">
        <v>31</v>
      </c>
      <c r="Q2036" s="26" t="b">
        <v>0</v>
      </c>
      <c r="R2036" s="22">
        <f t="shared" si="32"/>
        <v>7</v>
      </c>
    </row>
    <row r="2037" spans="1:18">
      <c r="A2037" s="26">
        <v>5824</v>
      </c>
      <c r="B2037" s="27">
        <v>36948</v>
      </c>
      <c r="C2037" s="28" t="s">
        <v>6483</v>
      </c>
      <c r="D2037" s="27">
        <v>36948</v>
      </c>
      <c r="E2037" s="28" t="s">
        <v>6484</v>
      </c>
      <c r="F2037" s="28" t="s">
        <v>2413</v>
      </c>
      <c r="G2037" s="28" t="s">
        <v>20</v>
      </c>
      <c r="H2037" s="28" t="s">
        <v>21</v>
      </c>
      <c r="I2037" s="28" t="s">
        <v>21</v>
      </c>
      <c r="J2037" s="28" t="s">
        <v>5993</v>
      </c>
      <c r="K2037" s="28" t="s">
        <v>6485</v>
      </c>
      <c r="L2037" s="28" t="s">
        <v>3930</v>
      </c>
      <c r="M2037" s="28" t="s">
        <v>21</v>
      </c>
      <c r="O2037" s="92">
        <v>36949</v>
      </c>
      <c r="P2037" s="28" t="s">
        <v>31</v>
      </c>
      <c r="Q2037" s="26" t="b">
        <v>0</v>
      </c>
      <c r="R2037" s="22">
        <f t="shared" si="32"/>
        <v>1</v>
      </c>
    </row>
    <row r="2038" spans="1:18">
      <c r="A2038" s="26">
        <v>5827</v>
      </c>
      <c r="B2038" s="27">
        <v>36950</v>
      </c>
      <c r="C2038" s="28" t="s">
        <v>6489</v>
      </c>
      <c r="D2038" s="27">
        <v>36943</v>
      </c>
      <c r="E2038" s="28" t="s">
        <v>6490</v>
      </c>
      <c r="F2038" s="28" t="s">
        <v>124</v>
      </c>
      <c r="G2038" s="28" t="s">
        <v>20</v>
      </c>
      <c r="H2038" s="28" t="s">
        <v>21</v>
      </c>
      <c r="I2038" s="28" t="s">
        <v>21</v>
      </c>
      <c r="J2038" s="28" t="s">
        <v>6491</v>
      </c>
      <c r="K2038" s="28" t="s">
        <v>21</v>
      </c>
      <c r="L2038" s="28" t="s">
        <v>3526</v>
      </c>
      <c r="M2038" s="28" t="s">
        <v>21</v>
      </c>
      <c r="O2038" s="92">
        <v>37064</v>
      </c>
      <c r="P2038" s="28" t="s">
        <v>31</v>
      </c>
      <c r="Q2038" s="26" t="b">
        <v>0</v>
      </c>
      <c r="R2038" s="22">
        <f t="shared" si="32"/>
        <v>113</v>
      </c>
    </row>
    <row r="2039" spans="1:18">
      <c r="A2039" s="26">
        <v>5834</v>
      </c>
      <c r="B2039" s="27">
        <v>36957</v>
      </c>
      <c r="C2039" s="28" t="s">
        <v>6495</v>
      </c>
      <c r="D2039" s="27">
        <v>36957</v>
      </c>
      <c r="E2039" s="28" t="s">
        <v>38</v>
      </c>
      <c r="F2039" s="28" t="s">
        <v>242</v>
      </c>
      <c r="G2039" s="28" t="s">
        <v>20</v>
      </c>
      <c r="H2039" s="28" t="s">
        <v>21</v>
      </c>
      <c r="I2039" s="28" t="s">
        <v>21</v>
      </c>
      <c r="J2039" s="28" t="s">
        <v>6496</v>
      </c>
      <c r="K2039" s="28" t="s">
        <v>21</v>
      </c>
      <c r="L2039" s="28" t="s">
        <v>3526</v>
      </c>
      <c r="M2039" s="28" t="s">
        <v>21</v>
      </c>
      <c r="O2039" s="92">
        <v>37060</v>
      </c>
      <c r="P2039" s="28" t="s">
        <v>31</v>
      </c>
      <c r="Q2039" s="26" t="b">
        <v>0</v>
      </c>
      <c r="R2039" s="22">
        <f t="shared" si="32"/>
        <v>102</v>
      </c>
    </row>
    <row r="2040" spans="1:18">
      <c r="A2040" s="26">
        <v>5835</v>
      </c>
      <c r="B2040" s="27">
        <v>36957</v>
      </c>
      <c r="C2040" s="28" t="s">
        <v>6497</v>
      </c>
      <c r="D2040" s="27">
        <v>36957</v>
      </c>
      <c r="E2040" s="28" t="s">
        <v>38</v>
      </c>
      <c r="F2040" s="28" t="s">
        <v>955</v>
      </c>
      <c r="G2040" s="28" t="s">
        <v>20</v>
      </c>
      <c r="H2040" s="28" t="s">
        <v>21</v>
      </c>
      <c r="I2040" s="28" t="s">
        <v>21</v>
      </c>
      <c r="J2040" s="28" t="s">
        <v>6498</v>
      </c>
      <c r="K2040" s="28" t="s">
        <v>21</v>
      </c>
      <c r="L2040" s="28" t="s">
        <v>3526</v>
      </c>
      <c r="M2040" s="28" t="s">
        <v>21</v>
      </c>
      <c r="O2040" s="92">
        <v>36972</v>
      </c>
      <c r="P2040" s="28" t="s">
        <v>21</v>
      </c>
      <c r="Q2040" s="26" t="b">
        <v>0</v>
      </c>
      <c r="R2040" s="22">
        <f t="shared" si="32"/>
        <v>15</v>
      </c>
    </row>
    <row r="2041" spans="1:18">
      <c r="A2041" s="26">
        <v>5836</v>
      </c>
      <c r="B2041" s="27">
        <v>36957</v>
      </c>
      <c r="C2041" s="28" t="s">
        <v>6499</v>
      </c>
      <c r="D2041" s="27">
        <v>36957</v>
      </c>
      <c r="E2041" s="28" t="s">
        <v>6500</v>
      </c>
      <c r="F2041" s="28" t="s">
        <v>861</v>
      </c>
      <c r="G2041" s="28" t="s">
        <v>20</v>
      </c>
      <c r="H2041" s="28" t="s">
        <v>6501</v>
      </c>
      <c r="I2041" s="28" t="s">
        <v>566</v>
      </c>
      <c r="J2041" s="28" t="s">
        <v>6502</v>
      </c>
      <c r="K2041" s="28" t="s">
        <v>21</v>
      </c>
      <c r="L2041" s="28" t="s">
        <v>66</v>
      </c>
      <c r="M2041" s="28" t="s">
        <v>21</v>
      </c>
      <c r="O2041" s="92">
        <v>37839</v>
      </c>
      <c r="P2041" s="28" t="s">
        <v>31</v>
      </c>
      <c r="Q2041" s="26" t="b">
        <v>0</v>
      </c>
      <c r="R2041" s="22">
        <f t="shared" si="32"/>
        <v>881</v>
      </c>
    </row>
    <row r="2042" spans="1:18">
      <c r="A2042" s="26">
        <v>5843</v>
      </c>
      <c r="B2042" s="27">
        <v>36957</v>
      </c>
      <c r="C2042" s="28" t="s">
        <v>6516</v>
      </c>
      <c r="D2042" s="27">
        <v>36952</v>
      </c>
      <c r="E2042" s="28" t="s">
        <v>38</v>
      </c>
      <c r="F2042" s="28" t="s">
        <v>70</v>
      </c>
      <c r="G2042" s="28" t="s">
        <v>20</v>
      </c>
      <c r="H2042" s="28" t="s">
        <v>71</v>
      </c>
      <c r="I2042" s="28" t="s">
        <v>72</v>
      </c>
      <c r="J2042" s="28" t="s">
        <v>1559</v>
      </c>
      <c r="K2042" s="28" t="s">
        <v>91</v>
      </c>
      <c r="L2042" s="28" t="s">
        <v>66</v>
      </c>
      <c r="M2042" s="28" t="s">
        <v>21</v>
      </c>
      <c r="O2042" s="92">
        <v>36977</v>
      </c>
      <c r="P2042" s="28" t="s">
        <v>31</v>
      </c>
      <c r="Q2042" s="26" t="b">
        <v>0</v>
      </c>
      <c r="R2042" s="22">
        <f t="shared" si="32"/>
        <v>20</v>
      </c>
    </row>
    <row r="2043" spans="1:18">
      <c r="A2043" s="26">
        <v>5842</v>
      </c>
      <c r="B2043" s="27">
        <v>36963</v>
      </c>
      <c r="C2043" s="28" t="s">
        <v>6514</v>
      </c>
      <c r="D2043" s="27">
        <v>36963</v>
      </c>
      <c r="E2043" s="28" t="s">
        <v>38</v>
      </c>
      <c r="F2043" s="28" t="s">
        <v>984</v>
      </c>
      <c r="G2043" s="28" t="s">
        <v>20</v>
      </c>
      <c r="H2043" s="28" t="s">
        <v>21</v>
      </c>
      <c r="I2043" s="28" t="s">
        <v>21</v>
      </c>
      <c r="J2043" s="28" t="s">
        <v>6515</v>
      </c>
      <c r="K2043" s="28" t="s">
        <v>21</v>
      </c>
      <c r="L2043" s="28" t="s">
        <v>66</v>
      </c>
      <c r="M2043" s="28" t="s">
        <v>21</v>
      </c>
      <c r="O2043" s="92">
        <v>36978</v>
      </c>
      <c r="P2043" s="28" t="s">
        <v>31</v>
      </c>
      <c r="Q2043" s="26" t="b">
        <v>0</v>
      </c>
      <c r="R2043" s="22">
        <f t="shared" si="32"/>
        <v>15</v>
      </c>
    </row>
    <row r="2044" spans="1:18">
      <c r="A2044" s="26">
        <v>5838</v>
      </c>
      <c r="B2044" s="27">
        <v>36966</v>
      </c>
      <c r="C2044" s="28" t="s">
        <v>6505</v>
      </c>
      <c r="D2044" s="27">
        <v>36962</v>
      </c>
      <c r="E2044" s="28" t="s">
        <v>38</v>
      </c>
      <c r="F2044" s="28" t="s">
        <v>56</v>
      </c>
      <c r="G2044" s="28" t="s">
        <v>20</v>
      </c>
      <c r="H2044" s="28" t="s">
        <v>21</v>
      </c>
      <c r="I2044" s="28" t="s">
        <v>21</v>
      </c>
      <c r="J2044" s="28" t="s">
        <v>457</v>
      </c>
      <c r="K2044" s="28" t="s">
        <v>21</v>
      </c>
      <c r="L2044" s="28" t="s">
        <v>66</v>
      </c>
      <c r="M2044" s="28" t="s">
        <v>21</v>
      </c>
      <c r="O2044" s="92">
        <v>36979</v>
      </c>
      <c r="P2044" s="28" t="s">
        <v>31</v>
      </c>
      <c r="Q2044" s="26" t="b">
        <v>0</v>
      </c>
      <c r="R2044" s="22">
        <f t="shared" si="32"/>
        <v>13</v>
      </c>
    </row>
    <row r="2045" spans="1:18">
      <c r="A2045" s="26">
        <v>5839</v>
      </c>
      <c r="B2045" s="27">
        <v>36966</v>
      </c>
      <c r="C2045" s="28" t="s">
        <v>6506</v>
      </c>
      <c r="D2045" s="27">
        <v>36965</v>
      </c>
      <c r="E2045" s="28" t="s">
        <v>6507</v>
      </c>
      <c r="F2045" s="28" t="s">
        <v>1047</v>
      </c>
      <c r="G2045" s="28" t="s">
        <v>20</v>
      </c>
      <c r="H2045" s="28" t="s">
        <v>71</v>
      </c>
      <c r="I2045" s="28" t="s">
        <v>72</v>
      </c>
      <c r="J2045" s="28" t="s">
        <v>6508</v>
      </c>
      <c r="K2045" s="28" t="s">
        <v>21</v>
      </c>
      <c r="L2045" s="28" t="s">
        <v>66</v>
      </c>
      <c r="M2045" s="28" t="s">
        <v>21</v>
      </c>
      <c r="O2045" s="92">
        <v>37057</v>
      </c>
      <c r="P2045" s="28" t="s">
        <v>21</v>
      </c>
      <c r="Q2045" s="26" t="b">
        <v>0</v>
      </c>
      <c r="R2045" s="22">
        <f t="shared" si="32"/>
        <v>90</v>
      </c>
    </row>
    <row r="2046" spans="1:18">
      <c r="A2046" s="26">
        <v>5840</v>
      </c>
      <c r="B2046" s="27">
        <v>36966</v>
      </c>
      <c r="C2046" s="28" t="s">
        <v>6509</v>
      </c>
      <c r="D2046" s="27">
        <v>36957</v>
      </c>
      <c r="E2046" s="28" t="s">
        <v>6510</v>
      </c>
      <c r="F2046" s="28" t="s">
        <v>2727</v>
      </c>
      <c r="G2046" s="28" t="s">
        <v>20</v>
      </c>
      <c r="H2046" s="28" t="s">
        <v>71</v>
      </c>
      <c r="I2046" s="28" t="s">
        <v>72</v>
      </c>
      <c r="J2046" s="28" t="s">
        <v>5162</v>
      </c>
      <c r="K2046" s="28" t="s">
        <v>6511</v>
      </c>
      <c r="L2046" s="28" t="s">
        <v>66</v>
      </c>
      <c r="M2046" s="28" t="s">
        <v>21</v>
      </c>
      <c r="O2046" s="92">
        <v>37109</v>
      </c>
      <c r="P2046" s="28" t="s">
        <v>21</v>
      </c>
      <c r="Q2046" s="26" t="b">
        <v>0</v>
      </c>
      <c r="R2046" s="22">
        <f t="shared" si="32"/>
        <v>141</v>
      </c>
    </row>
    <row r="2047" spans="1:18">
      <c r="A2047" s="26">
        <v>5841</v>
      </c>
      <c r="B2047" s="27">
        <v>36966</v>
      </c>
      <c r="C2047" s="28" t="s">
        <v>6512</v>
      </c>
      <c r="D2047" s="27">
        <v>36956</v>
      </c>
      <c r="E2047" s="28" t="s">
        <v>38</v>
      </c>
      <c r="F2047" s="28" t="s">
        <v>145</v>
      </c>
      <c r="G2047" s="28" t="s">
        <v>20</v>
      </c>
      <c r="H2047" s="28" t="s">
        <v>21</v>
      </c>
      <c r="I2047" s="28" t="s">
        <v>21</v>
      </c>
      <c r="J2047" s="28" t="s">
        <v>6513</v>
      </c>
      <c r="K2047" s="28" t="s">
        <v>21</v>
      </c>
      <c r="L2047" s="28" t="s">
        <v>3930</v>
      </c>
      <c r="M2047" s="28" t="s">
        <v>21</v>
      </c>
      <c r="O2047" s="92">
        <v>36971</v>
      </c>
      <c r="P2047" s="28" t="s">
        <v>21</v>
      </c>
      <c r="Q2047" s="26" t="b">
        <v>0</v>
      </c>
      <c r="R2047" s="22">
        <f t="shared" si="32"/>
        <v>5</v>
      </c>
    </row>
    <row r="2048" spans="1:18">
      <c r="A2048" s="26">
        <v>5837</v>
      </c>
      <c r="B2048" s="27">
        <v>36969</v>
      </c>
      <c r="C2048" s="28" t="s">
        <v>6503</v>
      </c>
      <c r="D2048" s="27">
        <v>36963</v>
      </c>
      <c r="E2048" s="28" t="s">
        <v>6504</v>
      </c>
      <c r="F2048" s="28" t="s">
        <v>124</v>
      </c>
      <c r="G2048" s="28" t="s">
        <v>20</v>
      </c>
      <c r="H2048" s="28" t="s">
        <v>21</v>
      </c>
      <c r="I2048" s="28" t="s">
        <v>21</v>
      </c>
      <c r="J2048" s="28" t="s">
        <v>272</v>
      </c>
      <c r="K2048" s="28" t="s">
        <v>21</v>
      </c>
      <c r="L2048" s="28" t="s">
        <v>4282</v>
      </c>
      <c r="M2048" s="28" t="s">
        <v>3526</v>
      </c>
      <c r="O2048" s="92">
        <v>37931</v>
      </c>
      <c r="P2048" s="28" t="s">
        <v>31</v>
      </c>
      <c r="Q2048" s="26" t="b">
        <v>0</v>
      </c>
      <c r="R2048" s="22">
        <f t="shared" si="32"/>
        <v>960</v>
      </c>
    </row>
    <row r="2049" spans="1:18">
      <c r="A2049" s="26">
        <v>5848</v>
      </c>
      <c r="B2049" s="27">
        <v>36970</v>
      </c>
      <c r="C2049" s="28" t="s">
        <v>6521</v>
      </c>
      <c r="D2049" s="27">
        <v>36966</v>
      </c>
      <c r="E2049" s="28" t="s">
        <v>6522</v>
      </c>
      <c r="F2049" s="28" t="s">
        <v>4209</v>
      </c>
      <c r="G2049" s="28" t="s">
        <v>20</v>
      </c>
      <c r="H2049" s="28" t="s">
        <v>71</v>
      </c>
      <c r="I2049" s="28" t="s">
        <v>72</v>
      </c>
      <c r="J2049" s="28" t="s">
        <v>6523</v>
      </c>
      <c r="K2049" s="28" t="s">
        <v>6524</v>
      </c>
      <c r="L2049" s="28" t="s">
        <v>4579</v>
      </c>
      <c r="M2049" s="28" t="s">
        <v>66</v>
      </c>
      <c r="O2049" s="92">
        <v>38883</v>
      </c>
      <c r="P2049" s="28" t="s">
        <v>21</v>
      </c>
      <c r="Q2049" s="26" t="b">
        <v>0</v>
      </c>
      <c r="R2049" s="22">
        <f t="shared" si="32"/>
        <v>1911</v>
      </c>
    </row>
    <row r="2050" spans="1:18" ht="24">
      <c r="A2050" s="26">
        <v>5862</v>
      </c>
      <c r="B2050" s="27">
        <v>36971</v>
      </c>
      <c r="C2050" s="28" t="s">
        <v>6535</v>
      </c>
      <c r="D2050" s="27">
        <v>36965</v>
      </c>
      <c r="E2050" s="28" t="s">
        <v>3116</v>
      </c>
      <c r="F2050" s="28" t="s">
        <v>19</v>
      </c>
      <c r="G2050" s="28" t="s">
        <v>20</v>
      </c>
      <c r="H2050" s="28" t="s">
        <v>21</v>
      </c>
      <c r="I2050" s="28" t="s">
        <v>21</v>
      </c>
      <c r="J2050" s="28" t="s">
        <v>6536</v>
      </c>
      <c r="K2050" s="28" t="s">
        <v>21</v>
      </c>
      <c r="L2050" s="28" t="s">
        <v>4579</v>
      </c>
      <c r="M2050" s="28" t="s">
        <v>6537</v>
      </c>
      <c r="O2050" s="92">
        <v>39357</v>
      </c>
      <c r="P2050" s="28" t="s">
        <v>182</v>
      </c>
      <c r="Q2050" s="26" t="b">
        <v>0</v>
      </c>
      <c r="R2050" s="22">
        <f t="shared" si="32"/>
        <v>2383</v>
      </c>
    </row>
    <row r="2051" spans="1:18">
      <c r="A2051" s="26">
        <v>5847</v>
      </c>
      <c r="B2051" s="27">
        <v>36977</v>
      </c>
      <c r="C2051" s="28" t="s">
        <v>6519</v>
      </c>
      <c r="D2051" s="27">
        <v>36977</v>
      </c>
      <c r="E2051" s="28" t="s">
        <v>38</v>
      </c>
      <c r="F2051" s="28" t="s">
        <v>955</v>
      </c>
      <c r="G2051" s="28" t="s">
        <v>20</v>
      </c>
      <c r="H2051" s="28" t="s">
        <v>21</v>
      </c>
      <c r="I2051" s="28" t="s">
        <v>21</v>
      </c>
      <c r="J2051" s="28" t="s">
        <v>6520</v>
      </c>
      <c r="K2051" s="28" t="s">
        <v>21</v>
      </c>
      <c r="L2051" s="28" t="s">
        <v>4282</v>
      </c>
      <c r="M2051" s="28" t="s">
        <v>21</v>
      </c>
      <c r="O2051" s="92">
        <v>37032</v>
      </c>
      <c r="P2051" s="28" t="s">
        <v>31</v>
      </c>
      <c r="Q2051" s="26" t="b">
        <v>0</v>
      </c>
      <c r="R2051" s="22">
        <f t="shared" si="32"/>
        <v>54</v>
      </c>
    </row>
    <row r="2052" spans="1:18">
      <c r="A2052" s="26">
        <v>5853</v>
      </c>
      <c r="B2052" s="27">
        <v>36977</v>
      </c>
      <c r="C2052" s="28" t="s">
        <v>6525</v>
      </c>
      <c r="D2052" s="27">
        <v>36977</v>
      </c>
      <c r="E2052" s="28" t="s">
        <v>6526</v>
      </c>
      <c r="F2052" s="28" t="s">
        <v>39</v>
      </c>
      <c r="G2052" s="28" t="s">
        <v>20</v>
      </c>
      <c r="H2052" s="28" t="s">
        <v>21</v>
      </c>
      <c r="I2052" s="28" t="s">
        <v>21</v>
      </c>
      <c r="J2052" s="28" t="s">
        <v>6527</v>
      </c>
      <c r="K2052" s="28" t="s">
        <v>21</v>
      </c>
      <c r="L2052" s="28" t="s">
        <v>314</v>
      </c>
      <c r="M2052" s="28" t="s">
        <v>3526</v>
      </c>
      <c r="O2052" s="92">
        <v>37242</v>
      </c>
      <c r="P2052" s="28" t="s">
        <v>21</v>
      </c>
      <c r="Q2052" s="26" t="b">
        <v>0</v>
      </c>
      <c r="R2052" s="22">
        <f t="shared" si="32"/>
        <v>263</v>
      </c>
    </row>
    <row r="2053" spans="1:18">
      <c r="A2053" s="26">
        <v>5858</v>
      </c>
      <c r="B2053" s="27">
        <v>36984</v>
      </c>
      <c r="C2053" s="28" t="s">
        <v>6530</v>
      </c>
      <c r="D2053" s="27">
        <v>36987</v>
      </c>
      <c r="E2053" s="28" t="s">
        <v>6531</v>
      </c>
      <c r="F2053" s="28" t="s">
        <v>19</v>
      </c>
      <c r="G2053" s="28" t="s">
        <v>20</v>
      </c>
      <c r="H2053" s="28" t="s">
        <v>21</v>
      </c>
      <c r="I2053" s="28" t="s">
        <v>21</v>
      </c>
      <c r="J2053" s="28" t="s">
        <v>5067</v>
      </c>
      <c r="K2053" s="28" t="s">
        <v>21</v>
      </c>
      <c r="L2053" s="28" t="s">
        <v>4282</v>
      </c>
      <c r="M2053" s="28" t="s">
        <v>21</v>
      </c>
      <c r="O2053" s="92">
        <v>37596</v>
      </c>
      <c r="P2053" s="28" t="s">
        <v>31</v>
      </c>
      <c r="Q2053" s="26" t="b">
        <v>0</v>
      </c>
      <c r="R2053" s="22">
        <f t="shared" si="32"/>
        <v>611</v>
      </c>
    </row>
    <row r="2054" spans="1:18">
      <c r="A2054" s="26">
        <v>5932</v>
      </c>
      <c r="B2054" s="27">
        <v>36985</v>
      </c>
      <c r="C2054" s="28" t="s">
        <v>6679</v>
      </c>
      <c r="D2054" s="27">
        <v>36980</v>
      </c>
      <c r="E2054" s="28" t="s">
        <v>6680</v>
      </c>
      <c r="F2054" s="28" t="s">
        <v>70</v>
      </c>
      <c r="G2054" s="28" t="s">
        <v>20</v>
      </c>
      <c r="H2054" s="28" t="s">
        <v>71</v>
      </c>
      <c r="I2054" s="28" t="s">
        <v>72</v>
      </c>
      <c r="J2054" s="28" t="s">
        <v>6681</v>
      </c>
      <c r="K2054" s="28" t="s">
        <v>6682</v>
      </c>
      <c r="L2054" s="28" t="s">
        <v>4282</v>
      </c>
      <c r="M2054" s="28" t="s">
        <v>21</v>
      </c>
      <c r="O2054" s="92">
        <v>37223</v>
      </c>
      <c r="P2054" s="28" t="s">
        <v>31</v>
      </c>
      <c r="Q2054" s="26" t="b">
        <v>0</v>
      </c>
      <c r="R2054" s="22">
        <f t="shared" si="32"/>
        <v>237</v>
      </c>
    </row>
    <row r="2055" spans="1:18">
      <c r="A2055" s="26">
        <v>5857</v>
      </c>
      <c r="B2055" s="27">
        <v>36986</v>
      </c>
      <c r="C2055" s="28" t="s">
        <v>6528</v>
      </c>
      <c r="D2055" s="27">
        <v>36980</v>
      </c>
      <c r="E2055" s="28" t="s">
        <v>4172</v>
      </c>
      <c r="F2055" s="28" t="s">
        <v>984</v>
      </c>
      <c r="G2055" s="28" t="s">
        <v>20</v>
      </c>
      <c r="H2055" s="28" t="s">
        <v>21</v>
      </c>
      <c r="I2055" s="28" t="s">
        <v>21</v>
      </c>
      <c r="J2055" s="28" t="s">
        <v>1629</v>
      </c>
      <c r="K2055" s="28" t="s">
        <v>6529</v>
      </c>
      <c r="L2055" s="28" t="s">
        <v>4282</v>
      </c>
      <c r="M2055" s="28" t="s">
        <v>21</v>
      </c>
      <c r="O2055" s="92">
        <v>37032</v>
      </c>
      <c r="P2055" s="28" t="s">
        <v>21</v>
      </c>
      <c r="Q2055" s="26" t="b">
        <v>0</v>
      </c>
      <c r="R2055" s="22">
        <f t="shared" si="32"/>
        <v>46</v>
      </c>
    </row>
    <row r="2056" spans="1:18" ht="24">
      <c r="A2056" s="26">
        <v>5859</v>
      </c>
      <c r="B2056" s="27">
        <v>36992</v>
      </c>
      <c r="C2056" s="28" t="s">
        <v>6532</v>
      </c>
      <c r="D2056" s="27">
        <v>36987</v>
      </c>
      <c r="E2056" s="28" t="s">
        <v>3116</v>
      </c>
      <c r="F2056" s="28" t="s">
        <v>133</v>
      </c>
      <c r="G2056" s="28" t="s">
        <v>20</v>
      </c>
      <c r="H2056" s="28" t="s">
        <v>21</v>
      </c>
      <c r="I2056" s="28" t="s">
        <v>21</v>
      </c>
      <c r="J2056" s="28" t="s">
        <v>6533</v>
      </c>
      <c r="K2056" s="28" t="s">
        <v>6534</v>
      </c>
      <c r="L2056" s="28" t="s">
        <v>66</v>
      </c>
      <c r="M2056" s="28" t="s">
        <v>21</v>
      </c>
      <c r="O2056" s="92">
        <v>37022</v>
      </c>
      <c r="P2056" s="28" t="s">
        <v>21</v>
      </c>
      <c r="Q2056" s="26" t="b">
        <v>0</v>
      </c>
      <c r="R2056" s="22">
        <f t="shared" si="32"/>
        <v>30</v>
      </c>
    </row>
    <row r="2057" spans="1:18">
      <c r="A2057" s="26">
        <v>5863</v>
      </c>
      <c r="B2057" s="27">
        <v>36992</v>
      </c>
      <c r="C2057" s="28" t="s">
        <v>6538</v>
      </c>
      <c r="D2057" s="27">
        <v>36972</v>
      </c>
      <c r="E2057" s="28" t="s">
        <v>6539</v>
      </c>
      <c r="F2057" s="28" t="s">
        <v>124</v>
      </c>
      <c r="G2057" s="28" t="s">
        <v>20</v>
      </c>
      <c r="H2057" s="28" t="s">
        <v>21</v>
      </c>
      <c r="I2057" s="28" t="s">
        <v>21</v>
      </c>
      <c r="J2057" s="28" t="s">
        <v>6540</v>
      </c>
      <c r="K2057" s="28" t="s">
        <v>21</v>
      </c>
      <c r="L2057" s="28" t="s">
        <v>314</v>
      </c>
      <c r="M2057" s="28" t="s">
        <v>3526</v>
      </c>
      <c r="O2057" s="92">
        <v>37351</v>
      </c>
      <c r="P2057" s="28" t="s">
        <v>21</v>
      </c>
      <c r="Q2057" s="26" t="b">
        <v>0</v>
      </c>
      <c r="R2057" s="22">
        <f t="shared" si="32"/>
        <v>358</v>
      </c>
    </row>
    <row r="2058" spans="1:18">
      <c r="A2058" s="26">
        <v>5864</v>
      </c>
      <c r="B2058" s="27">
        <v>36992</v>
      </c>
      <c r="C2058" s="28" t="s">
        <v>6541</v>
      </c>
      <c r="D2058" s="27">
        <v>36978</v>
      </c>
      <c r="E2058" s="28" t="s">
        <v>4172</v>
      </c>
      <c r="F2058" s="28" t="s">
        <v>124</v>
      </c>
      <c r="G2058" s="28" t="s">
        <v>20</v>
      </c>
      <c r="H2058" s="28" t="s">
        <v>21</v>
      </c>
      <c r="I2058" s="28" t="s">
        <v>21</v>
      </c>
      <c r="J2058" s="28" t="s">
        <v>6542</v>
      </c>
      <c r="K2058" s="28" t="s">
        <v>6543</v>
      </c>
      <c r="L2058" s="28" t="s">
        <v>4282</v>
      </c>
      <c r="M2058" s="28" t="s">
        <v>21</v>
      </c>
      <c r="O2058" s="92">
        <v>37496</v>
      </c>
      <c r="P2058" s="28" t="s">
        <v>31</v>
      </c>
      <c r="Q2058" s="26" t="b">
        <v>0</v>
      </c>
      <c r="R2058" s="22">
        <f t="shared" si="32"/>
        <v>503</v>
      </c>
    </row>
    <row r="2059" spans="1:18">
      <c r="A2059" s="26">
        <v>5865</v>
      </c>
      <c r="B2059" s="27">
        <v>36992</v>
      </c>
      <c r="C2059" s="28" t="s">
        <v>6544</v>
      </c>
      <c r="D2059" s="27">
        <v>36979</v>
      </c>
      <c r="E2059" s="28" t="s">
        <v>1432</v>
      </c>
      <c r="F2059" s="28" t="s">
        <v>124</v>
      </c>
      <c r="G2059" s="28" t="s">
        <v>20</v>
      </c>
      <c r="H2059" s="28" t="s">
        <v>21</v>
      </c>
      <c r="I2059" s="28" t="s">
        <v>21</v>
      </c>
      <c r="J2059" s="28" t="s">
        <v>6545</v>
      </c>
      <c r="K2059" s="28" t="s">
        <v>21</v>
      </c>
      <c r="L2059" s="28" t="s">
        <v>4282</v>
      </c>
      <c r="M2059" s="28" t="s">
        <v>21</v>
      </c>
      <c r="O2059" s="92">
        <v>37497</v>
      </c>
      <c r="P2059" s="28" t="s">
        <v>31</v>
      </c>
      <c r="Q2059" s="26" t="b">
        <v>0</v>
      </c>
      <c r="R2059" s="22">
        <f t="shared" si="32"/>
        <v>504</v>
      </c>
    </row>
    <row r="2060" spans="1:18">
      <c r="A2060" s="26">
        <v>5866</v>
      </c>
      <c r="B2060" s="27">
        <v>36993</v>
      </c>
      <c r="C2060" s="28" t="s">
        <v>6546</v>
      </c>
      <c r="D2060" s="27">
        <v>36991</v>
      </c>
      <c r="E2060" s="28" t="s">
        <v>6547</v>
      </c>
      <c r="F2060" s="28" t="s">
        <v>124</v>
      </c>
      <c r="G2060" s="28" t="s">
        <v>20</v>
      </c>
      <c r="H2060" s="28" t="s">
        <v>21</v>
      </c>
      <c r="I2060" s="28" t="s">
        <v>21</v>
      </c>
      <c r="J2060" s="28" t="s">
        <v>6548</v>
      </c>
      <c r="K2060" s="28" t="s">
        <v>6549</v>
      </c>
      <c r="L2060" s="28" t="s">
        <v>66</v>
      </c>
      <c r="M2060" s="28" t="s">
        <v>21</v>
      </c>
      <c r="O2060" s="92">
        <v>37384</v>
      </c>
      <c r="P2060" s="28" t="s">
        <v>31</v>
      </c>
      <c r="Q2060" s="26" t="b">
        <v>0</v>
      </c>
      <c r="R2060" s="22">
        <f t="shared" si="32"/>
        <v>391</v>
      </c>
    </row>
    <row r="2061" spans="1:18">
      <c r="A2061" s="26">
        <v>5867</v>
      </c>
      <c r="B2061" s="27">
        <v>36993</v>
      </c>
      <c r="C2061" s="28" t="s">
        <v>6550</v>
      </c>
      <c r="D2061" s="27">
        <v>36993</v>
      </c>
      <c r="E2061" s="28" t="s">
        <v>6551</v>
      </c>
      <c r="F2061" s="28" t="s">
        <v>27</v>
      </c>
      <c r="G2061" s="28" t="s">
        <v>20</v>
      </c>
      <c r="H2061" s="28" t="s">
        <v>21</v>
      </c>
      <c r="I2061" s="28" t="s">
        <v>21</v>
      </c>
      <c r="J2061" s="28" t="s">
        <v>6552</v>
      </c>
      <c r="K2061" s="28" t="s">
        <v>21</v>
      </c>
      <c r="L2061" s="28" t="s">
        <v>66</v>
      </c>
      <c r="M2061" s="28" t="s">
        <v>21</v>
      </c>
      <c r="O2061" s="92">
        <v>37186</v>
      </c>
      <c r="P2061" s="28" t="s">
        <v>31</v>
      </c>
      <c r="Q2061" s="26" t="b">
        <v>0</v>
      </c>
      <c r="R2061" s="22">
        <f t="shared" si="32"/>
        <v>192</v>
      </c>
    </row>
    <row r="2062" spans="1:18">
      <c r="A2062" s="26">
        <v>5869</v>
      </c>
      <c r="B2062" s="27">
        <v>36993</v>
      </c>
      <c r="C2062" s="28" t="s">
        <v>6553</v>
      </c>
      <c r="D2062" s="27">
        <v>36989</v>
      </c>
      <c r="E2062" s="28" t="s">
        <v>4172</v>
      </c>
      <c r="F2062" s="28" t="s">
        <v>5659</v>
      </c>
      <c r="G2062" s="28" t="s">
        <v>20</v>
      </c>
      <c r="H2062" s="28" t="s">
        <v>566</v>
      </c>
      <c r="I2062" s="28" t="s">
        <v>566</v>
      </c>
      <c r="J2062" s="28" t="s">
        <v>5598</v>
      </c>
      <c r="K2062" s="28" t="s">
        <v>21</v>
      </c>
      <c r="L2062" s="28" t="s">
        <v>66</v>
      </c>
      <c r="M2062" s="28" t="s">
        <v>21</v>
      </c>
      <c r="O2062" s="92">
        <v>37356</v>
      </c>
      <c r="P2062" s="28" t="s">
        <v>31</v>
      </c>
      <c r="Q2062" s="26" t="b">
        <v>0</v>
      </c>
      <c r="R2062" s="22">
        <f t="shared" si="32"/>
        <v>362</v>
      </c>
    </row>
    <row r="2063" spans="1:18">
      <c r="A2063" s="26">
        <v>5872</v>
      </c>
      <c r="B2063" s="27">
        <v>37006</v>
      </c>
      <c r="C2063" s="28" t="s">
        <v>6554</v>
      </c>
      <c r="D2063" s="27">
        <v>37005</v>
      </c>
      <c r="E2063" s="28" t="s">
        <v>1432</v>
      </c>
      <c r="F2063" s="28" t="s">
        <v>104</v>
      </c>
      <c r="G2063" s="28" t="s">
        <v>20</v>
      </c>
      <c r="H2063" s="28" t="s">
        <v>21</v>
      </c>
      <c r="I2063" s="28" t="s">
        <v>21</v>
      </c>
      <c r="J2063" s="28" t="s">
        <v>6555</v>
      </c>
      <c r="K2063" s="28" t="s">
        <v>6556</v>
      </c>
      <c r="L2063" s="28" t="s">
        <v>4282</v>
      </c>
      <c r="M2063" s="28" t="s">
        <v>21</v>
      </c>
      <c r="O2063" s="92">
        <v>37608</v>
      </c>
      <c r="P2063" s="28" t="s">
        <v>21</v>
      </c>
      <c r="Q2063" s="26" t="b">
        <v>0</v>
      </c>
      <c r="R2063" s="22">
        <f t="shared" si="32"/>
        <v>601</v>
      </c>
    </row>
    <row r="2064" spans="1:18">
      <c r="A2064" s="26">
        <v>5873</v>
      </c>
      <c r="B2064" s="27">
        <v>37007</v>
      </c>
      <c r="C2064" s="28" t="s">
        <v>6557</v>
      </c>
      <c r="D2064" s="27">
        <v>37007</v>
      </c>
      <c r="E2064" s="28" t="s">
        <v>6558</v>
      </c>
      <c r="F2064" s="28" t="s">
        <v>70</v>
      </c>
      <c r="G2064" s="28" t="s">
        <v>20</v>
      </c>
      <c r="H2064" s="28" t="s">
        <v>71</v>
      </c>
      <c r="I2064" s="28" t="s">
        <v>72</v>
      </c>
      <c r="J2064" s="28" t="s">
        <v>3721</v>
      </c>
      <c r="K2064" s="28" t="s">
        <v>21</v>
      </c>
      <c r="L2064" s="28" t="s">
        <v>66</v>
      </c>
      <c r="M2064" s="28" t="s">
        <v>21</v>
      </c>
      <c r="O2064" s="92">
        <v>37072</v>
      </c>
      <c r="P2064" s="28" t="s">
        <v>21</v>
      </c>
      <c r="Q2064" s="26" t="b">
        <v>0</v>
      </c>
      <c r="R2064" s="22">
        <f t="shared" si="32"/>
        <v>64</v>
      </c>
    </row>
    <row r="2065" spans="1:18">
      <c r="A2065" s="26">
        <v>5874</v>
      </c>
      <c r="B2065" s="27">
        <v>37008</v>
      </c>
      <c r="C2065" s="28" t="s">
        <v>6559</v>
      </c>
      <c r="D2065" s="27">
        <v>36996</v>
      </c>
      <c r="E2065" s="28" t="s">
        <v>6560</v>
      </c>
      <c r="F2065" s="28" t="s">
        <v>124</v>
      </c>
      <c r="G2065" s="28" t="s">
        <v>20</v>
      </c>
      <c r="H2065" s="28" t="s">
        <v>21</v>
      </c>
      <c r="I2065" s="28" t="s">
        <v>21</v>
      </c>
      <c r="J2065" s="28" t="s">
        <v>6561</v>
      </c>
      <c r="K2065" s="28" t="s">
        <v>6562</v>
      </c>
      <c r="L2065" s="28" t="s">
        <v>3930</v>
      </c>
      <c r="M2065" s="28" t="s">
        <v>21</v>
      </c>
      <c r="O2065" s="92">
        <v>37002</v>
      </c>
      <c r="P2065" s="28" t="s">
        <v>31</v>
      </c>
      <c r="Q2065" s="26" t="b">
        <v>0</v>
      </c>
      <c r="R2065" s="22">
        <f t="shared" si="32"/>
        <v>6</v>
      </c>
    </row>
    <row r="2066" spans="1:18" ht="24">
      <c r="A2066" s="26">
        <v>5876</v>
      </c>
      <c r="B2066" s="27">
        <v>37008</v>
      </c>
      <c r="C2066" s="28" t="s">
        <v>6568</v>
      </c>
      <c r="D2066" s="27">
        <v>37008</v>
      </c>
      <c r="E2066" s="28" t="s">
        <v>6569</v>
      </c>
      <c r="F2066" s="28" t="s">
        <v>4242</v>
      </c>
      <c r="G2066" s="28" t="s">
        <v>20</v>
      </c>
      <c r="H2066" s="28" t="s">
        <v>189</v>
      </c>
      <c r="I2066" s="28" t="s">
        <v>189</v>
      </c>
      <c r="J2066" s="28" t="s">
        <v>6570</v>
      </c>
      <c r="K2066" s="28" t="s">
        <v>21</v>
      </c>
      <c r="L2066" s="28" t="s">
        <v>66</v>
      </c>
      <c r="M2066" s="28" t="s">
        <v>21</v>
      </c>
      <c r="O2066" s="92">
        <v>37824</v>
      </c>
      <c r="P2066" s="28" t="s">
        <v>21</v>
      </c>
      <c r="Q2066" s="26" t="b">
        <v>0</v>
      </c>
      <c r="R2066" s="22">
        <f t="shared" si="32"/>
        <v>816</v>
      </c>
    </row>
    <row r="2067" spans="1:18">
      <c r="A2067" s="26">
        <v>5878</v>
      </c>
      <c r="B2067" s="27">
        <v>37008</v>
      </c>
      <c r="C2067" s="28" t="s">
        <v>6571</v>
      </c>
      <c r="D2067" s="27">
        <v>37008</v>
      </c>
      <c r="E2067" s="28" t="s">
        <v>6572</v>
      </c>
      <c r="F2067" s="28" t="s">
        <v>242</v>
      </c>
      <c r="G2067" s="28" t="s">
        <v>20</v>
      </c>
      <c r="H2067" s="28" t="s">
        <v>21</v>
      </c>
      <c r="I2067" s="28" t="s">
        <v>21</v>
      </c>
      <c r="J2067" s="28" t="s">
        <v>6573</v>
      </c>
      <c r="K2067" s="28" t="s">
        <v>6574</v>
      </c>
      <c r="L2067" s="28" t="s">
        <v>3526</v>
      </c>
      <c r="M2067" s="28" t="s">
        <v>21</v>
      </c>
      <c r="O2067" s="92">
        <v>37151</v>
      </c>
      <c r="P2067" s="28" t="s">
        <v>31</v>
      </c>
      <c r="Q2067" s="26" t="b">
        <v>0</v>
      </c>
      <c r="R2067" s="22">
        <f t="shared" si="32"/>
        <v>141</v>
      </c>
    </row>
    <row r="2068" spans="1:18">
      <c r="A2068" s="26">
        <v>5879</v>
      </c>
      <c r="B2068" s="27">
        <v>37008</v>
      </c>
      <c r="C2068" s="28" t="s">
        <v>6575</v>
      </c>
      <c r="D2068" s="27">
        <v>36995</v>
      </c>
      <c r="E2068" s="28" t="s">
        <v>38</v>
      </c>
      <c r="F2068" s="28" t="s">
        <v>228</v>
      </c>
      <c r="G2068" s="28" t="s">
        <v>20</v>
      </c>
      <c r="H2068" s="28" t="s">
        <v>21</v>
      </c>
      <c r="I2068" s="28" t="s">
        <v>21</v>
      </c>
      <c r="J2068" s="28" t="s">
        <v>6576</v>
      </c>
      <c r="K2068" s="28" t="s">
        <v>6577</v>
      </c>
      <c r="L2068" s="28" t="s">
        <v>66</v>
      </c>
      <c r="M2068" s="28" t="s">
        <v>21</v>
      </c>
      <c r="O2068" s="92">
        <v>37022</v>
      </c>
      <c r="P2068" s="28" t="s">
        <v>31</v>
      </c>
      <c r="Q2068" s="26" t="b">
        <v>0</v>
      </c>
      <c r="R2068" s="22">
        <f t="shared" si="32"/>
        <v>14</v>
      </c>
    </row>
    <row r="2069" spans="1:18">
      <c r="A2069" s="26">
        <v>5875</v>
      </c>
      <c r="B2069" s="27">
        <v>37012</v>
      </c>
      <c r="C2069" s="28" t="s">
        <v>6563</v>
      </c>
      <c r="D2069" s="27">
        <v>37004</v>
      </c>
      <c r="E2069" s="28" t="s">
        <v>6564</v>
      </c>
      <c r="F2069" s="28" t="s">
        <v>6565</v>
      </c>
      <c r="G2069" s="28" t="s">
        <v>20</v>
      </c>
      <c r="H2069" s="28" t="s">
        <v>21</v>
      </c>
      <c r="I2069" s="28" t="s">
        <v>21</v>
      </c>
      <c r="J2069" s="28" t="s">
        <v>6566</v>
      </c>
      <c r="K2069" s="28" t="s">
        <v>6567</v>
      </c>
      <c r="L2069" s="28" t="s">
        <v>314</v>
      </c>
      <c r="M2069" s="28" t="s">
        <v>3526</v>
      </c>
      <c r="O2069" s="92">
        <v>38252</v>
      </c>
      <c r="P2069" s="28" t="s">
        <v>21</v>
      </c>
      <c r="Q2069" s="26" t="b">
        <v>0</v>
      </c>
      <c r="R2069" s="22">
        <f t="shared" si="32"/>
        <v>1237</v>
      </c>
    </row>
    <row r="2070" spans="1:18">
      <c r="A2070" s="26">
        <v>5885</v>
      </c>
      <c r="B2070" s="27">
        <v>37020</v>
      </c>
      <c r="C2070" s="28" t="s">
        <v>6590</v>
      </c>
      <c r="D2070" s="27">
        <v>37016</v>
      </c>
      <c r="E2070" s="28" t="s">
        <v>38</v>
      </c>
      <c r="F2070" s="28" t="s">
        <v>124</v>
      </c>
      <c r="G2070" s="28" t="s">
        <v>20</v>
      </c>
      <c r="H2070" s="28" t="s">
        <v>21</v>
      </c>
      <c r="I2070" s="28" t="s">
        <v>21</v>
      </c>
      <c r="J2070" s="28" t="s">
        <v>6591</v>
      </c>
      <c r="K2070" s="28" t="s">
        <v>21</v>
      </c>
      <c r="L2070" s="28" t="s">
        <v>66</v>
      </c>
      <c r="M2070" s="28" t="s">
        <v>21</v>
      </c>
      <c r="O2070" s="92">
        <v>37033</v>
      </c>
      <c r="P2070" s="28" t="s">
        <v>31</v>
      </c>
      <c r="Q2070" s="26" t="b">
        <v>0</v>
      </c>
      <c r="R2070" s="22">
        <f t="shared" si="32"/>
        <v>13</v>
      </c>
    </row>
    <row r="2071" spans="1:18">
      <c r="A2071" s="26">
        <v>5880</v>
      </c>
      <c r="B2071" s="27">
        <v>37021</v>
      </c>
      <c r="C2071" s="28" t="s">
        <v>6578</v>
      </c>
      <c r="D2071" s="27">
        <v>37012</v>
      </c>
      <c r="E2071" s="28" t="s">
        <v>6579</v>
      </c>
      <c r="F2071" s="28" t="s">
        <v>6580</v>
      </c>
      <c r="G2071" s="28" t="s">
        <v>20</v>
      </c>
      <c r="H2071" s="28" t="s">
        <v>566</v>
      </c>
      <c r="I2071" s="28" t="s">
        <v>566</v>
      </c>
      <c r="J2071" s="28" t="s">
        <v>272</v>
      </c>
      <c r="K2071" s="28" t="s">
        <v>21</v>
      </c>
      <c r="L2071" s="28" t="s">
        <v>4282</v>
      </c>
      <c r="M2071" s="28" t="s">
        <v>21</v>
      </c>
      <c r="O2071" s="92">
        <v>37090</v>
      </c>
      <c r="P2071" s="28" t="s">
        <v>31</v>
      </c>
      <c r="Q2071" s="26" t="b">
        <v>0</v>
      </c>
      <c r="R2071" s="22">
        <f t="shared" si="32"/>
        <v>68</v>
      </c>
    </row>
    <row r="2072" spans="1:18">
      <c r="A2072" s="26">
        <v>5881</v>
      </c>
      <c r="B2072" s="27">
        <v>37021</v>
      </c>
      <c r="C2072" s="28" t="s">
        <v>6581</v>
      </c>
      <c r="D2072" s="27">
        <v>37017</v>
      </c>
      <c r="E2072" s="28" t="s">
        <v>6582</v>
      </c>
      <c r="F2072" s="28" t="s">
        <v>149</v>
      </c>
      <c r="G2072" s="28" t="s">
        <v>20</v>
      </c>
      <c r="H2072" s="28" t="s">
        <v>21</v>
      </c>
      <c r="I2072" s="28" t="s">
        <v>21</v>
      </c>
      <c r="J2072" s="28" t="s">
        <v>272</v>
      </c>
      <c r="K2072" s="28" t="s">
        <v>21</v>
      </c>
      <c r="L2072" s="28" t="s">
        <v>66</v>
      </c>
      <c r="M2072" s="28" t="s">
        <v>21</v>
      </c>
      <c r="O2072" s="92">
        <v>37488</v>
      </c>
      <c r="P2072" s="28" t="s">
        <v>31</v>
      </c>
      <c r="Q2072" s="26" t="b">
        <v>0</v>
      </c>
      <c r="R2072" s="22">
        <f t="shared" si="32"/>
        <v>466</v>
      </c>
    </row>
    <row r="2073" spans="1:18">
      <c r="A2073" s="26">
        <v>5883</v>
      </c>
      <c r="B2073" s="27">
        <v>37025</v>
      </c>
      <c r="C2073" s="28" t="s">
        <v>6583</v>
      </c>
      <c r="D2073" s="27">
        <v>37022</v>
      </c>
      <c r="E2073" s="28" t="s">
        <v>6584</v>
      </c>
      <c r="F2073" s="28" t="s">
        <v>5690</v>
      </c>
      <c r="G2073" s="28" t="s">
        <v>20</v>
      </c>
      <c r="H2073" s="28" t="s">
        <v>71</v>
      </c>
      <c r="I2073" s="28" t="s">
        <v>72</v>
      </c>
      <c r="J2073" s="28" t="s">
        <v>6585</v>
      </c>
      <c r="K2073" s="28" t="s">
        <v>5668</v>
      </c>
      <c r="L2073" s="28" t="s">
        <v>314</v>
      </c>
      <c r="M2073" s="28" t="s">
        <v>3526</v>
      </c>
      <c r="O2073" s="92">
        <v>37686</v>
      </c>
      <c r="P2073" s="28" t="s">
        <v>31</v>
      </c>
      <c r="Q2073" s="26" t="b">
        <v>0</v>
      </c>
      <c r="R2073" s="22">
        <f t="shared" si="32"/>
        <v>661</v>
      </c>
    </row>
    <row r="2074" spans="1:18">
      <c r="A2074" s="26">
        <v>5884</v>
      </c>
      <c r="B2074" s="27">
        <v>37026</v>
      </c>
      <c r="C2074" s="28" t="s">
        <v>6586</v>
      </c>
      <c r="D2074" s="27">
        <v>37021</v>
      </c>
      <c r="E2074" s="28" t="s">
        <v>6587</v>
      </c>
      <c r="F2074" s="28" t="s">
        <v>3171</v>
      </c>
      <c r="G2074" s="28" t="s">
        <v>20</v>
      </c>
      <c r="H2074" s="28" t="s">
        <v>566</v>
      </c>
      <c r="I2074" s="28" t="s">
        <v>566</v>
      </c>
      <c r="J2074" s="28" t="s">
        <v>6588</v>
      </c>
      <c r="K2074" s="28" t="s">
        <v>6589</v>
      </c>
      <c r="L2074" s="28" t="s">
        <v>66</v>
      </c>
      <c r="M2074" s="28" t="s">
        <v>21</v>
      </c>
      <c r="O2074" s="92">
        <v>38110</v>
      </c>
      <c r="P2074" s="28" t="s">
        <v>21</v>
      </c>
      <c r="Q2074" s="26" t="b">
        <v>0</v>
      </c>
      <c r="R2074" s="22">
        <f t="shared" si="32"/>
        <v>1082</v>
      </c>
    </row>
    <row r="2075" spans="1:18" ht="24">
      <c r="A2075" s="26">
        <v>5888</v>
      </c>
      <c r="B2075" s="27">
        <v>37029</v>
      </c>
      <c r="C2075" s="28" t="s">
        <v>6595</v>
      </c>
      <c r="D2075" s="27">
        <v>37026</v>
      </c>
      <c r="E2075" s="28" t="s">
        <v>6596</v>
      </c>
      <c r="F2075" s="28" t="s">
        <v>124</v>
      </c>
      <c r="G2075" s="28" t="s">
        <v>20</v>
      </c>
      <c r="H2075" s="28" t="s">
        <v>21</v>
      </c>
      <c r="I2075" s="28" t="s">
        <v>21</v>
      </c>
      <c r="J2075" s="28" t="s">
        <v>6597</v>
      </c>
      <c r="K2075" s="28" t="s">
        <v>6598</v>
      </c>
      <c r="L2075" s="28" t="s">
        <v>66</v>
      </c>
      <c r="M2075" s="28" t="s">
        <v>21</v>
      </c>
      <c r="O2075" s="92">
        <v>37200</v>
      </c>
      <c r="P2075" s="28" t="s">
        <v>31</v>
      </c>
      <c r="Q2075" s="26" t="b">
        <v>0</v>
      </c>
      <c r="R2075" s="22">
        <f t="shared" si="32"/>
        <v>169</v>
      </c>
    </row>
    <row r="2076" spans="1:18">
      <c r="A2076" s="26">
        <v>5889</v>
      </c>
      <c r="B2076" s="27">
        <v>37029</v>
      </c>
      <c r="C2076" s="28" t="s">
        <v>6599</v>
      </c>
      <c r="D2076" s="27">
        <v>37028</v>
      </c>
      <c r="E2076" s="28" t="s">
        <v>38</v>
      </c>
      <c r="F2076" s="28" t="s">
        <v>124</v>
      </c>
      <c r="G2076" s="28" t="s">
        <v>20</v>
      </c>
      <c r="H2076" s="28" t="s">
        <v>21</v>
      </c>
      <c r="I2076" s="28" t="s">
        <v>21</v>
      </c>
      <c r="J2076" s="28" t="s">
        <v>5162</v>
      </c>
      <c r="K2076" s="28" t="s">
        <v>21</v>
      </c>
      <c r="L2076" s="28" t="s">
        <v>66</v>
      </c>
      <c r="M2076" s="28" t="s">
        <v>21</v>
      </c>
      <c r="O2076" s="92">
        <v>37035</v>
      </c>
      <c r="P2076" s="28" t="s">
        <v>31</v>
      </c>
      <c r="Q2076" s="26" t="b">
        <v>0</v>
      </c>
      <c r="R2076" s="22">
        <f t="shared" si="32"/>
        <v>6</v>
      </c>
    </row>
    <row r="2077" spans="1:18">
      <c r="A2077" s="26">
        <v>5894</v>
      </c>
      <c r="B2077" s="27">
        <v>37029</v>
      </c>
      <c r="C2077" s="28" t="s">
        <v>6608</v>
      </c>
      <c r="D2077" s="27">
        <v>37026</v>
      </c>
      <c r="E2077" s="28" t="s">
        <v>38</v>
      </c>
      <c r="F2077" s="28" t="s">
        <v>124</v>
      </c>
      <c r="G2077" s="28" t="s">
        <v>20</v>
      </c>
      <c r="H2077" s="28" t="s">
        <v>21</v>
      </c>
      <c r="I2077" s="28" t="s">
        <v>21</v>
      </c>
      <c r="J2077" s="28" t="s">
        <v>6609</v>
      </c>
      <c r="K2077" s="28" t="s">
        <v>21</v>
      </c>
      <c r="L2077" s="28" t="s">
        <v>314</v>
      </c>
      <c r="M2077" s="28" t="s">
        <v>3526</v>
      </c>
      <c r="O2077" s="92">
        <v>37350</v>
      </c>
      <c r="P2077" s="28" t="s">
        <v>31</v>
      </c>
      <c r="Q2077" s="26" t="b">
        <v>0</v>
      </c>
      <c r="R2077" s="22">
        <f t="shared" si="32"/>
        <v>320</v>
      </c>
    </row>
    <row r="2078" spans="1:18">
      <c r="A2078" s="26">
        <v>5887</v>
      </c>
      <c r="B2078" s="27">
        <v>37032</v>
      </c>
      <c r="C2078" s="28" t="s">
        <v>6592</v>
      </c>
      <c r="D2078" s="27">
        <v>37026</v>
      </c>
      <c r="E2078" s="28" t="s">
        <v>6593</v>
      </c>
      <c r="F2078" s="28" t="s">
        <v>124</v>
      </c>
      <c r="G2078" s="28" t="s">
        <v>20</v>
      </c>
      <c r="H2078" s="28" t="s">
        <v>21</v>
      </c>
      <c r="I2078" s="28" t="s">
        <v>21</v>
      </c>
      <c r="J2078" s="28" t="s">
        <v>6594</v>
      </c>
      <c r="K2078" s="28" t="s">
        <v>21</v>
      </c>
      <c r="L2078" s="28" t="s">
        <v>66</v>
      </c>
      <c r="M2078" s="28" t="s">
        <v>21</v>
      </c>
      <c r="O2078" s="92">
        <v>37855</v>
      </c>
      <c r="P2078" s="28" t="s">
        <v>31</v>
      </c>
      <c r="Q2078" s="26" t="b">
        <v>0</v>
      </c>
      <c r="R2078" s="22">
        <f t="shared" si="32"/>
        <v>822</v>
      </c>
    </row>
    <row r="2079" spans="1:18">
      <c r="A2079" s="26">
        <v>5891</v>
      </c>
      <c r="B2079" s="27">
        <v>37032</v>
      </c>
      <c r="C2079" s="28" t="s">
        <v>6600</v>
      </c>
      <c r="D2079" s="27">
        <v>37026</v>
      </c>
      <c r="E2079" s="28" t="s">
        <v>38</v>
      </c>
      <c r="F2079" s="28" t="s">
        <v>124</v>
      </c>
      <c r="G2079" s="28" t="s">
        <v>20</v>
      </c>
      <c r="H2079" s="28" t="s">
        <v>21</v>
      </c>
      <c r="I2079" s="28" t="s">
        <v>21</v>
      </c>
      <c r="J2079" s="28" t="s">
        <v>6601</v>
      </c>
      <c r="K2079" s="28" t="s">
        <v>21</v>
      </c>
      <c r="L2079" s="28" t="s">
        <v>4282</v>
      </c>
      <c r="M2079" s="28" t="s">
        <v>21</v>
      </c>
      <c r="O2079" s="92">
        <v>37042</v>
      </c>
      <c r="P2079" s="28" t="s">
        <v>31</v>
      </c>
      <c r="Q2079" s="26" t="b">
        <v>0</v>
      </c>
      <c r="R2079" s="22">
        <f t="shared" si="32"/>
        <v>10</v>
      </c>
    </row>
    <row r="2080" spans="1:18">
      <c r="A2080" s="26">
        <v>5895</v>
      </c>
      <c r="B2080" s="27">
        <v>37032</v>
      </c>
      <c r="C2080" s="28" t="s">
        <v>6610</v>
      </c>
      <c r="D2080" s="27">
        <v>37026</v>
      </c>
      <c r="E2080" s="28" t="s">
        <v>6611</v>
      </c>
      <c r="F2080" s="28" t="s">
        <v>124</v>
      </c>
      <c r="G2080" s="28" t="s">
        <v>20</v>
      </c>
      <c r="H2080" s="28" t="s">
        <v>21</v>
      </c>
      <c r="I2080" s="28" t="s">
        <v>21</v>
      </c>
      <c r="J2080" s="28" t="s">
        <v>6612</v>
      </c>
      <c r="K2080" s="28" t="s">
        <v>21</v>
      </c>
      <c r="L2080" s="28" t="s">
        <v>3526</v>
      </c>
      <c r="M2080" s="28" t="s">
        <v>21</v>
      </c>
      <c r="O2080" s="92">
        <v>37151</v>
      </c>
      <c r="P2080" s="28" t="s">
        <v>31</v>
      </c>
      <c r="Q2080" s="26" t="b">
        <v>0</v>
      </c>
      <c r="R2080" s="22">
        <f t="shared" si="32"/>
        <v>117</v>
      </c>
    </row>
    <row r="2081" spans="1:18" ht="24">
      <c r="A2081" s="26">
        <v>5904</v>
      </c>
      <c r="B2081" s="27">
        <v>37032</v>
      </c>
      <c r="C2081" s="28" t="s">
        <v>6623</v>
      </c>
      <c r="D2081" s="27">
        <v>37026</v>
      </c>
      <c r="E2081" s="28" t="s">
        <v>38</v>
      </c>
      <c r="F2081" s="28" t="s">
        <v>124</v>
      </c>
      <c r="G2081" s="28" t="s">
        <v>20</v>
      </c>
      <c r="H2081" s="28" t="s">
        <v>21</v>
      </c>
      <c r="I2081" s="28" t="s">
        <v>21</v>
      </c>
      <c r="J2081" s="28" t="s">
        <v>6624</v>
      </c>
      <c r="K2081" s="28" t="s">
        <v>21</v>
      </c>
      <c r="L2081" s="28" t="s">
        <v>314</v>
      </c>
      <c r="M2081" s="28" t="s">
        <v>3526</v>
      </c>
      <c r="O2081" s="92">
        <v>37680</v>
      </c>
      <c r="P2081" s="28" t="s">
        <v>31</v>
      </c>
      <c r="Q2081" s="26" t="b">
        <v>0</v>
      </c>
      <c r="R2081" s="22">
        <f t="shared" si="32"/>
        <v>645</v>
      </c>
    </row>
    <row r="2082" spans="1:18">
      <c r="A2082" s="26">
        <v>5914</v>
      </c>
      <c r="B2082" s="27">
        <v>37032</v>
      </c>
      <c r="C2082" s="28" t="s">
        <v>6646</v>
      </c>
      <c r="D2082" s="27">
        <v>37026</v>
      </c>
      <c r="E2082" s="28" t="s">
        <v>3045</v>
      </c>
      <c r="F2082" s="28" t="s">
        <v>6647</v>
      </c>
      <c r="G2082" s="28" t="s">
        <v>20</v>
      </c>
      <c r="H2082" s="28" t="s">
        <v>189</v>
      </c>
      <c r="I2082" s="28" t="s">
        <v>21</v>
      </c>
      <c r="J2082" s="28" t="s">
        <v>6648</v>
      </c>
      <c r="K2082" s="28" t="s">
        <v>21</v>
      </c>
      <c r="L2082" s="28" t="s">
        <v>6649</v>
      </c>
      <c r="M2082" s="28" t="s">
        <v>21</v>
      </c>
      <c r="O2082" s="92">
        <v>37183</v>
      </c>
      <c r="P2082" s="28" t="s">
        <v>21</v>
      </c>
      <c r="Q2082" s="26" t="b">
        <v>0</v>
      </c>
      <c r="R2082" s="22">
        <f t="shared" si="32"/>
        <v>150</v>
      </c>
    </row>
    <row r="2083" spans="1:18">
      <c r="A2083" s="26">
        <v>5892</v>
      </c>
      <c r="B2083" s="27">
        <v>37033</v>
      </c>
      <c r="C2083" s="28" t="s">
        <v>6602</v>
      </c>
      <c r="D2083" s="27">
        <v>37028</v>
      </c>
      <c r="E2083" s="28" t="s">
        <v>6603</v>
      </c>
      <c r="F2083" s="28" t="s">
        <v>861</v>
      </c>
      <c r="G2083" s="28" t="s">
        <v>20</v>
      </c>
      <c r="H2083" s="28" t="s">
        <v>566</v>
      </c>
      <c r="I2083" s="28" t="s">
        <v>566</v>
      </c>
      <c r="J2083" s="28" t="s">
        <v>222</v>
      </c>
      <c r="K2083" s="28" t="s">
        <v>2988</v>
      </c>
      <c r="L2083" s="28" t="s">
        <v>4579</v>
      </c>
      <c r="M2083" s="28" t="s">
        <v>6604</v>
      </c>
      <c r="O2083" s="92">
        <v>38469</v>
      </c>
      <c r="P2083" s="28" t="s">
        <v>21</v>
      </c>
      <c r="Q2083" s="26" t="b">
        <v>0</v>
      </c>
      <c r="R2083" s="22">
        <f t="shared" si="32"/>
        <v>1434</v>
      </c>
    </row>
    <row r="2084" spans="1:18">
      <c r="A2084" s="26">
        <v>5893</v>
      </c>
      <c r="B2084" s="27">
        <v>37034</v>
      </c>
      <c r="C2084" s="28" t="s">
        <v>6605</v>
      </c>
      <c r="D2084" s="27">
        <v>37026</v>
      </c>
      <c r="E2084" s="28" t="s">
        <v>38</v>
      </c>
      <c r="F2084" s="28" t="s">
        <v>124</v>
      </c>
      <c r="G2084" s="28" t="s">
        <v>20</v>
      </c>
      <c r="H2084" s="28" t="s">
        <v>21</v>
      </c>
      <c r="I2084" s="28" t="s">
        <v>21</v>
      </c>
      <c r="J2084" s="28" t="s">
        <v>6606</v>
      </c>
      <c r="K2084" s="28" t="s">
        <v>6607</v>
      </c>
      <c r="L2084" s="28" t="s">
        <v>3930</v>
      </c>
      <c r="M2084" s="28" t="s">
        <v>21</v>
      </c>
      <c r="O2084" s="92">
        <v>37035</v>
      </c>
      <c r="P2084" s="28" t="s">
        <v>31</v>
      </c>
      <c r="Q2084" s="26" t="b">
        <v>0</v>
      </c>
      <c r="R2084" s="22">
        <f t="shared" si="32"/>
        <v>1</v>
      </c>
    </row>
    <row r="2085" spans="1:18">
      <c r="A2085" s="26">
        <v>5896</v>
      </c>
      <c r="B2085" s="27">
        <v>37036</v>
      </c>
      <c r="C2085" s="28" t="s">
        <v>6613</v>
      </c>
      <c r="D2085" s="27">
        <v>37032</v>
      </c>
      <c r="E2085" s="28" t="s">
        <v>38</v>
      </c>
      <c r="F2085" s="28" t="s">
        <v>124</v>
      </c>
      <c r="G2085" s="28" t="s">
        <v>20</v>
      </c>
      <c r="H2085" s="28" t="s">
        <v>21</v>
      </c>
      <c r="I2085" s="28" t="s">
        <v>21</v>
      </c>
      <c r="J2085" s="28" t="s">
        <v>3897</v>
      </c>
      <c r="K2085" s="28" t="s">
        <v>21</v>
      </c>
      <c r="L2085" s="28" t="s">
        <v>3271</v>
      </c>
      <c r="M2085" s="28" t="s">
        <v>21</v>
      </c>
      <c r="O2085" s="92">
        <v>37072</v>
      </c>
      <c r="P2085" s="28" t="s">
        <v>31</v>
      </c>
      <c r="Q2085" s="26" t="b">
        <v>0</v>
      </c>
      <c r="R2085" s="22">
        <f t="shared" si="32"/>
        <v>35</v>
      </c>
    </row>
    <row r="2086" spans="1:18">
      <c r="A2086" s="26">
        <v>5898</v>
      </c>
      <c r="B2086" s="27">
        <v>37043</v>
      </c>
      <c r="C2086" s="28" t="s">
        <v>6614</v>
      </c>
      <c r="D2086" s="27">
        <v>37042</v>
      </c>
      <c r="E2086" s="28" t="s">
        <v>6615</v>
      </c>
      <c r="F2086" s="28" t="s">
        <v>371</v>
      </c>
      <c r="G2086" s="28" t="s">
        <v>20</v>
      </c>
      <c r="H2086" s="28" t="s">
        <v>21</v>
      </c>
      <c r="I2086" s="28" t="s">
        <v>21</v>
      </c>
      <c r="J2086" s="28" t="s">
        <v>6616</v>
      </c>
      <c r="K2086" s="28" t="s">
        <v>6617</v>
      </c>
      <c r="L2086" s="28" t="s">
        <v>66</v>
      </c>
      <c r="M2086" s="28" t="s">
        <v>21</v>
      </c>
      <c r="O2086" s="92">
        <v>37201</v>
      </c>
      <c r="P2086" s="28" t="s">
        <v>31</v>
      </c>
      <c r="Q2086" s="26" t="b">
        <v>0</v>
      </c>
      <c r="R2086" s="22">
        <f t="shared" si="32"/>
        <v>157</v>
      </c>
    </row>
    <row r="2087" spans="1:18">
      <c r="A2087" s="26">
        <v>5899</v>
      </c>
      <c r="B2087" s="27">
        <v>37046</v>
      </c>
      <c r="C2087" s="28" t="s">
        <v>6618</v>
      </c>
      <c r="D2087" s="27">
        <v>37042</v>
      </c>
      <c r="E2087" s="28" t="s">
        <v>6619</v>
      </c>
      <c r="F2087" s="28" t="s">
        <v>5265</v>
      </c>
      <c r="G2087" s="28" t="s">
        <v>20</v>
      </c>
      <c r="H2087" s="28" t="s">
        <v>21</v>
      </c>
      <c r="I2087" s="28" t="s">
        <v>21</v>
      </c>
      <c r="J2087" s="28" t="s">
        <v>1639</v>
      </c>
      <c r="K2087" s="28" t="s">
        <v>6620</v>
      </c>
      <c r="L2087" s="28" t="s">
        <v>66</v>
      </c>
      <c r="M2087" s="28" t="s">
        <v>21</v>
      </c>
      <c r="O2087" s="92">
        <v>37138</v>
      </c>
      <c r="P2087" s="28" t="s">
        <v>21</v>
      </c>
      <c r="Q2087" s="26" t="b">
        <v>0</v>
      </c>
      <c r="R2087" s="22">
        <f t="shared" ref="R2087:R2150" si="33">IF(O2087=" ", " ", INT(YEARFRAC(O2087, B2087)*365))</f>
        <v>91</v>
      </c>
    </row>
    <row r="2088" spans="1:18">
      <c r="A2088" s="26">
        <v>5903</v>
      </c>
      <c r="B2088" s="27">
        <v>37056</v>
      </c>
      <c r="C2088" s="28" t="s">
        <v>6621</v>
      </c>
      <c r="D2088" s="27">
        <v>37054</v>
      </c>
      <c r="E2088" s="28" t="s">
        <v>38</v>
      </c>
      <c r="F2088" s="28" t="s">
        <v>124</v>
      </c>
      <c r="G2088" s="28" t="s">
        <v>20</v>
      </c>
      <c r="H2088" s="28" t="s">
        <v>21</v>
      </c>
      <c r="I2088" s="28" t="s">
        <v>21</v>
      </c>
      <c r="J2088" s="28" t="s">
        <v>6622</v>
      </c>
      <c r="K2088" s="28" t="s">
        <v>21</v>
      </c>
      <c r="L2088" s="28" t="s">
        <v>3526</v>
      </c>
      <c r="M2088" s="28" t="s">
        <v>21</v>
      </c>
      <c r="O2088" s="92">
        <v>37067</v>
      </c>
      <c r="P2088" s="28" t="s">
        <v>31</v>
      </c>
      <c r="Q2088" s="26" t="b">
        <v>0</v>
      </c>
      <c r="R2088" s="22">
        <f t="shared" si="33"/>
        <v>11</v>
      </c>
    </row>
    <row r="2089" spans="1:18">
      <c r="A2089" s="26">
        <v>5905</v>
      </c>
      <c r="B2089" s="27">
        <v>37056</v>
      </c>
      <c r="C2089" s="28" t="s">
        <v>6625</v>
      </c>
      <c r="D2089" s="27">
        <v>37055</v>
      </c>
      <c r="E2089" s="28" t="s">
        <v>6626</v>
      </c>
      <c r="F2089" s="28" t="s">
        <v>3434</v>
      </c>
      <c r="G2089" s="28" t="s">
        <v>20</v>
      </c>
      <c r="H2089" s="28" t="s">
        <v>21</v>
      </c>
      <c r="I2089" s="28" t="s">
        <v>21</v>
      </c>
      <c r="J2089" s="28" t="s">
        <v>6627</v>
      </c>
      <c r="K2089" s="28" t="s">
        <v>6628</v>
      </c>
      <c r="L2089" s="28" t="s">
        <v>314</v>
      </c>
      <c r="M2089" s="28" t="s">
        <v>21</v>
      </c>
      <c r="O2089" s="92">
        <v>37201</v>
      </c>
      <c r="P2089" s="28" t="s">
        <v>31</v>
      </c>
      <c r="Q2089" s="26" t="b">
        <v>0</v>
      </c>
      <c r="R2089" s="22">
        <f t="shared" si="33"/>
        <v>143</v>
      </c>
    </row>
    <row r="2090" spans="1:18">
      <c r="A2090" s="26">
        <v>5909</v>
      </c>
      <c r="B2090" s="27">
        <v>37061</v>
      </c>
      <c r="C2090" s="28" t="s">
        <v>6629</v>
      </c>
      <c r="D2090" s="27">
        <v>37054</v>
      </c>
      <c r="E2090" s="28" t="s">
        <v>6630</v>
      </c>
      <c r="F2090" s="28" t="s">
        <v>124</v>
      </c>
      <c r="G2090" s="28" t="s">
        <v>20</v>
      </c>
      <c r="H2090" s="28" t="s">
        <v>21</v>
      </c>
      <c r="I2090" s="28" t="s">
        <v>21</v>
      </c>
      <c r="J2090" s="28" t="s">
        <v>6631</v>
      </c>
      <c r="K2090" s="28" t="s">
        <v>6632</v>
      </c>
      <c r="L2090" s="28" t="s">
        <v>3526</v>
      </c>
      <c r="M2090" s="28" t="s">
        <v>21</v>
      </c>
      <c r="O2090" s="92">
        <v>37072</v>
      </c>
      <c r="P2090" s="28" t="s">
        <v>31</v>
      </c>
      <c r="Q2090" s="26" t="b">
        <v>0</v>
      </c>
      <c r="R2090" s="22">
        <f t="shared" si="33"/>
        <v>11</v>
      </c>
    </row>
    <row r="2091" spans="1:18" ht="36">
      <c r="A2091" s="26">
        <v>5910</v>
      </c>
      <c r="B2091" s="27">
        <v>37062</v>
      </c>
      <c r="C2091" s="28" t="s">
        <v>6633</v>
      </c>
      <c r="D2091" s="27">
        <v>37061</v>
      </c>
      <c r="E2091" s="28" t="s">
        <v>6634</v>
      </c>
      <c r="F2091" s="28" t="s">
        <v>52</v>
      </c>
      <c r="G2091" s="28" t="s">
        <v>20</v>
      </c>
      <c r="H2091" s="28" t="s">
        <v>71</v>
      </c>
      <c r="I2091" s="28" t="s">
        <v>21</v>
      </c>
      <c r="J2091" s="28" t="s">
        <v>6635</v>
      </c>
      <c r="K2091" s="28" t="s">
        <v>6636</v>
      </c>
      <c r="L2091" s="28" t="s">
        <v>4282</v>
      </c>
      <c r="M2091" s="28" t="s">
        <v>21</v>
      </c>
      <c r="O2091" s="92">
        <v>38558</v>
      </c>
      <c r="P2091" s="28" t="s">
        <v>21</v>
      </c>
      <c r="Q2091" s="26" t="b">
        <v>0</v>
      </c>
      <c r="R2091" s="22">
        <f t="shared" si="33"/>
        <v>1495</v>
      </c>
    </row>
    <row r="2092" spans="1:18">
      <c r="A2092" s="26">
        <v>5911</v>
      </c>
      <c r="B2092" s="27">
        <v>37067</v>
      </c>
      <c r="C2092" s="28" t="s">
        <v>6637</v>
      </c>
      <c r="D2092" s="27">
        <v>37060</v>
      </c>
      <c r="E2092" s="28" t="s">
        <v>6638</v>
      </c>
      <c r="F2092" s="28" t="s">
        <v>124</v>
      </c>
      <c r="G2092" s="28" t="s">
        <v>20</v>
      </c>
      <c r="H2092" s="28" t="s">
        <v>21</v>
      </c>
      <c r="I2092" s="28" t="s">
        <v>21</v>
      </c>
      <c r="J2092" s="28" t="s">
        <v>6639</v>
      </c>
      <c r="K2092" s="28" t="s">
        <v>6640</v>
      </c>
      <c r="L2092" s="28" t="s">
        <v>4282</v>
      </c>
      <c r="M2092" s="28" t="s">
        <v>21</v>
      </c>
      <c r="O2092" s="92">
        <v>38218</v>
      </c>
      <c r="P2092" s="28" t="s">
        <v>31</v>
      </c>
      <c r="Q2092" s="26" t="b">
        <v>0</v>
      </c>
      <c r="R2092" s="22">
        <f t="shared" si="33"/>
        <v>1149</v>
      </c>
    </row>
    <row r="2093" spans="1:18">
      <c r="A2093" s="26">
        <v>5912</v>
      </c>
      <c r="B2093" s="27">
        <v>37070</v>
      </c>
      <c r="C2093" s="28" t="s">
        <v>6641</v>
      </c>
      <c r="D2093" s="27">
        <v>37061</v>
      </c>
      <c r="E2093" s="28" t="s">
        <v>6642</v>
      </c>
      <c r="F2093" s="28" t="s">
        <v>6643</v>
      </c>
      <c r="G2093" s="28" t="s">
        <v>20</v>
      </c>
      <c r="H2093" s="28" t="s">
        <v>189</v>
      </c>
      <c r="I2093" s="28" t="s">
        <v>189</v>
      </c>
      <c r="J2093" s="28" t="s">
        <v>6644</v>
      </c>
      <c r="K2093" s="28" t="s">
        <v>6645</v>
      </c>
      <c r="L2093" s="28" t="s">
        <v>4282</v>
      </c>
      <c r="M2093" s="28" t="s">
        <v>21</v>
      </c>
      <c r="O2093" s="92">
        <v>37922</v>
      </c>
      <c r="P2093" s="28" t="s">
        <v>21</v>
      </c>
      <c r="Q2093" s="26" t="b">
        <v>0</v>
      </c>
      <c r="R2093" s="22">
        <f t="shared" si="33"/>
        <v>851</v>
      </c>
    </row>
    <row r="2094" spans="1:18">
      <c r="A2094" s="26">
        <v>5921</v>
      </c>
      <c r="B2094" s="27">
        <v>37077</v>
      </c>
      <c r="C2094" s="28" t="s">
        <v>6664</v>
      </c>
      <c r="D2094" s="27">
        <v>37077</v>
      </c>
      <c r="E2094" s="28" t="s">
        <v>6665</v>
      </c>
      <c r="F2094" s="28" t="s">
        <v>104</v>
      </c>
      <c r="G2094" s="28" t="s">
        <v>20</v>
      </c>
      <c r="H2094" s="28" t="s">
        <v>21</v>
      </c>
      <c r="I2094" s="28" t="s">
        <v>21</v>
      </c>
      <c r="J2094" s="28" t="s">
        <v>6666</v>
      </c>
      <c r="K2094" s="28" t="s">
        <v>21</v>
      </c>
      <c r="L2094" s="28" t="s">
        <v>66</v>
      </c>
      <c r="M2094" s="28" t="s">
        <v>21</v>
      </c>
      <c r="O2094" s="92">
        <v>37123</v>
      </c>
      <c r="P2094" s="28" t="s">
        <v>21</v>
      </c>
      <c r="Q2094" s="26" t="b">
        <v>0</v>
      </c>
      <c r="R2094" s="22">
        <f t="shared" si="33"/>
        <v>45</v>
      </c>
    </row>
    <row r="2095" spans="1:18">
      <c r="A2095" s="26">
        <v>5915</v>
      </c>
      <c r="B2095" s="27">
        <v>37083</v>
      </c>
      <c r="C2095" s="28" t="s">
        <v>6650</v>
      </c>
      <c r="D2095" s="27">
        <v>37083</v>
      </c>
      <c r="E2095" s="28" t="s">
        <v>6651</v>
      </c>
      <c r="F2095" s="28" t="s">
        <v>4242</v>
      </c>
      <c r="G2095" s="28" t="s">
        <v>20</v>
      </c>
      <c r="H2095" s="28" t="s">
        <v>189</v>
      </c>
      <c r="I2095" s="28" t="s">
        <v>189</v>
      </c>
      <c r="J2095" s="28" t="s">
        <v>6652</v>
      </c>
      <c r="K2095" s="28" t="s">
        <v>6653</v>
      </c>
      <c r="L2095" s="28" t="s">
        <v>66</v>
      </c>
      <c r="M2095" s="28" t="s">
        <v>21</v>
      </c>
      <c r="O2095" s="92">
        <v>37180</v>
      </c>
      <c r="P2095" s="28" t="s">
        <v>21</v>
      </c>
      <c r="Q2095" s="26" t="b">
        <v>0</v>
      </c>
      <c r="R2095" s="22">
        <f t="shared" si="33"/>
        <v>96</v>
      </c>
    </row>
    <row r="2096" spans="1:18">
      <c r="A2096" s="26">
        <v>5917</v>
      </c>
      <c r="B2096" s="27">
        <v>37083</v>
      </c>
      <c r="C2096" s="28" t="s">
        <v>6657</v>
      </c>
      <c r="D2096" s="27">
        <v>37082</v>
      </c>
      <c r="E2096" s="28" t="s">
        <v>6658</v>
      </c>
      <c r="F2096" s="28" t="s">
        <v>6659</v>
      </c>
      <c r="G2096" s="28" t="s">
        <v>20</v>
      </c>
      <c r="H2096" s="28" t="s">
        <v>566</v>
      </c>
      <c r="I2096" s="28" t="s">
        <v>566</v>
      </c>
      <c r="J2096" s="28" t="s">
        <v>6660</v>
      </c>
      <c r="K2096" s="28" t="s">
        <v>6661</v>
      </c>
      <c r="L2096" s="28" t="s">
        <v>66</v>
      </c>
      <c r="M2096" s="28" t="s">
        <v>21</v>
      </c>
      <c r="O2096" s="92">
        <v>37697</v>
      </c>
      <c r="P2096" s="28" t="s">
        <v>21</v>
      </c>
      <c r="Q2096" s="26" t="b">
        <v>0</v>
      </c>
      <c r="R2096" s="22">
        <f t="shared" si="33"/>
        <v>614</v>
      </c>
    </row>
    <row r="2097" spans="1:18">
      <c r="A2097" s="26">
        <v>5916</v>
      </c>
      <c r="B2097" s="27">
        <v>37085</v>
      </c>
      <c r="C2097" s="28" t="s">
        <v>6654</v>
      </c>
      <c r="D2097" s="27">
        <v>37084</v>
      </c>
      <c r="E2097" s="28" t="s">
        <v>1432</v>
      </c>
      <c r="F2097" s="28" t="s">
        <v>4242</v>
      </c>
      <c r="G2097" s="28" t="s">
        <v>20</v>
      </c>
      <c r="H2097" s="28" t="s">
        <v>189</v>
      </c>
      <c r="I2097" s="28" t="s">
        <v>189</v>
      </c>
      <c r="J2097" s="28" t="s">
        <v>6655</v>
      </c>
      <c r="K2097" s="28" t="s">
        <v>6656</v>
      </c>
      <c r="L2097" s="28" t="s">
        <v>4282</v>
      </c>
      <c r="M2097" s="28" t="s">
        <v>21</v>
      </c>
      <c r="O2097" s="92">
        <v>37579</v>
      </c>
      <c r="P2097" s="28" t="s">
        <v>31</v>
      </c>
      <c r="Q2097" s="26" t="b">
        <v>0</v>
      </c>
      <c r="R2097" s="22">
        <f t="shared" si="33"/>
        <v>492</v>
      </c>
    </row>
    <row r="2098" spans="1:18">
      <c r="A2098" s="26">
        <v>5918</v>
      </c>
      <c r="B2098" s="27">
        <v>37089</v>
      </c>
      <c r="C2098" s="28" t="s">
        <v>6662</v>
      </c>
      <c r="D2098" s="27">
        <v>37083</v>
      </c>
      <c r="E2098" s="28" t="s">
        <v>6663</v>
      </c>
      <c r="F2098" s="28" t="s">
        <v>124</v>
      </c>
      <c r="G2098" s="28" t="s">
        <v>20</v>
      </c>
      <c r="H2098" s="28" t="s">
        <v>21</v>
      </c>
      <c r="I2098" s="28" t="s">
        <v>21</v>
      </c>
      <c r="J2098" s="28" t="s">
        <v>2547</v>
      </c>
      <c r="K2098" s="28" t="s">
        <v>5920</v>
      </c>
      <c r="L2098" s="28" t="s">
        <v>3526</v>
      </c>
      <c r="M2098" s="28" t="s">
        <v>21</v>
      </c>
      <c r="O2098" s="92">
        <v>37151</v>
      </c>
      <c r="P2098" s="28" t="s">
        <v>31</v>
      </c>
      <c r="Q2098" s="26" t="b">
        <v>0</v>
      </c>
      <c r="R2098" s="22">
        <f t="shared" si="33"/>
        <v>60</v>
      </c>
    </row>
    <row r="2099" spans="1:18">
      <c r="A2099" s="26">
        <v>6319</v>
      </c>
      <c r="B2099" s="27">
        <v>37090</v>
      </c>
      <c r="C2099" s="28" t="s">
        <v>7051</v>
      </c>
      <c r="D2099" s="27">
        <v>37090</v>
      </c>
      <c r="E2099" s="28" t="s">
        <v>4172</v>
      </c>
      <c r="F2099" s="28" t="s">
        <v>39</v>
      </c>
      <c r="G2099" s="28" t="s">
        <v>20</v>
      </c>
      <c r="H2099" s="28" t="s">
        <v>21</v>
      </c>
      <c r="I2099" s="28" t="s">
        <v>21</v>
      </c>
      <c r="J2099" s="28" t="s">
        <v>7052</v>
      </c>
      <c r="K2099" s="28" t="s">
        <v>7034</v>
      </c>
      <c r="L2099" s="28" t="s">
        <v>4282</v>
      </c>
      <c r="M2099" s="28" t="s">
        <v>21</v>
      </c>
      <c r="O2099" s="92">
        <v>38336</v>
      </c>
      <c r="P2099" s="28" t="s">
        <v>31</v>
      </c>
      <c r="Q2099" s="26" t="b">
        <v>0</v>
      </c>
      <c r="R2099" s="22">
        <f t="shared" si="33"/>
        <v>1244</v>
      </c>
    </row>
    <row r="2100" spans="1:18">
      <c r="A2100" s="26">
        <v>5923</v>
      </c>
      <c r="B2100" s="27">
        <v>37092</v>
      </c>
      <c r="C2100" s="28" t="s">
        <v>6667</v>
      </c>
      <c r="D2100" s="27">
        <v>37090</v>
      </c>
      <c r="E2100" s="28" t="s">
        <v>5208</v>
      </c>
      <c r="F2100" s="28" t="s">
        <v>3847</v>
      </c>
      <c r="G2100" s="28" t="s">
        <v>20</v>
      </c>
      <c r="H2100" s="28" t="s">
        <v>21</v>
      </c>
      <c r="I2100" s="28" t="s">
        <v>1061</v>
      </c>
      <c r="J2100" s="28" t="s">
        <v>6668</v>
      </c>
      <c r="K2100" s="28" t="s">
        <v>21</v>
      </c>
      <c r="L2100" s="28" t="s">
        <v>3271</v>
      </c>
      <c r="M2100" s="28" t="s">
        <v>21</v>
      </c>
      <c r="O2100" s="92">
        <v>37733</v>
      </c>
      <c r="P2100" s="28" t="s">
        <v>21</v>
      </c>
      <c r="Q2100" s="26" t="b">
        <v>0</v>
      </c>
      <c r="R2100" s="22">
        <f t="shared" si="33"/>
        <v>640</v>
      </c>
    </row>
    <row r="2101" spans="1:18">
      <c r="A2101" s="26">
        <v>5927</v>
      </c>
      <c r="B2101" s="27">
        <v>37097</v>
      </c>
      <c r="C2101" s="28" t="s">
        <v>6672</v>
      </c>
      <c r="D2101" s="27">
        <v>37097</v>
      </c>
      <c r="E2101" s="28" t="s">
        <v>6673</v>
      </c>
      <c r="F2101" s="28" t="s">
        <v>216</v>
      </c>
      <c r="G2101" s="28" t="s">
        <v>20</v>
      </c>
      <c r="H2101" s="28" t="s">
        <v>189</v>
      </c>
      <c r="I2101" s="28" t="s">
        <v>189</v>
      </c>
      <c r="J2101" s="28" t="s">
        <v>6674</v>
      </c>
      <c r="K2101" s="28" t="s">
        <v>6675</v>
      </c>
      <c r="L2101" s="28" t="s">
        <v>314</v>
      </c>
      <c r="M2101" s="28" t="s">
        <v>3526</v>
      </c>
      <c r="O2101" s="92">
        <v>38167</v>
      </c>
      <c r="P2101" s="28" t="s">
        <v>31</v>
      </c>
      <c r="Q2101" s="26" t="b">
        <v>0</v>
      </c>
      <c r="R2101" s="22">
        <f t="shared" si="33"/>
        <v>1068</v>
      </c>
    </row>
    <row r="2102" spans="1:18">
      <c r="A2102" s="26">
        <v>5926</v>
      </c>
      <c r="B2102" s="27">
        <v>37098</v>
      </c>
      <c r="C2102" s="28" t="s">
        <v>6669</v>
      </c>
      <c r="D2102" s="27">
        <v>37098</v>
      </c>
      <c r="E2102" s="28" t="s">
        <v>6670</v>
      </c>
      <c r="F2102" s="28" t="s">
        <v>395</v>
      </c>
      <c r="G2102" s="28" t="s">
        <v>20</v>
      </c>
      <c r="H2102" s="28" t="s">
        <v>21</v>
      </c>
      <c r="I2102" s="28" t="s">
        <v>21</v>
      </c>
      <c r="J2102" s="28" t="s">
        <v>6671</v>
      </c>
      <c r="K2102" s="28" t="s">
        <v>3602</v>
      </c>
      <c r="L2102" s="28" t="s">
        <v>66</v>
      </c>
      <c r="M2102" s="28" t="s">
        <v>21</v>
      </c>
      <c r="O2102" s="92">
        <v>37138</v>
      </c>
      <c r="P2102" s="28" t="s">
        <v>31</v>
      </c>
      <c r="Q2102" s="26" t="b">
        <v>0</v>
      </c>
      <c r="R2102" s="22">
        <f t="shared" si="33"/>
        <v>38</v>
      </c>
    </row>
    <row r="2103" spans="1:18">
      <c r="A2103" s="26">
        <v>5928</v>
      </c>
      <c r="B2103" s="27">
        <v>37099</v>
      </c>
      <c r="C2103" s="28" t="s">
        <v>6676</v>
      </c>
      <c r="D2103" s="27">
        <v>37099</v>
      </c>
      <c r="E2103" s="28" t="s">
        <v>6677</v>
      </c>
      <c r="F2103" s="28" t="s">
        <v>2782</v>
      </c>
      <c r="G2103" s="28" t="s">
        <v>20</v>
      </c>
      <c r="H2103" s="28" t="s">
        <v>71</v>
      </c>
      <c r="I2103" s="28" t="s">
        <v>72</v>
      </c>
      <c r="J2103" s="28" t="s">
        <v>6678</v>
      </c>
      <c r="K2103" s="28" t="s">
        <v>1712</v>
      </c>
      <c r="L2103" s="28" t="s">
        <v>314</v>
      </c>
      <c r="M2103" s="28" t="s">
        <v>3526</v>
      </c>
      <c r="O2103" s="92">
        <v>38146</v>
      </c>
      <c r="P2103" s="28" t="s">
        <v>31</v>
      </c>
      <c r="Q2103" s="26" t="b">
        <v>0</v>
      </c>
      <c r="R2103" s="22">
        <f t="shared" si="33"/>
        <v>1045</v>
      </c>
    </row>
    <row r="2104" spans="1:18">
      <c r="A2104" s="26">
        <v>5933</v>
      </c>
      <c r="B2104" s="27">
        <v>37106</v>
      </c>
      <c r="C2104" s="28" t="s">
        <v>6683</v>
      </c>
      <c r="D2104" s="27">
        <v>37105</v>
      </c>
      <c r="E2104" s="28" t="s">
        <v>6684</v>
      </c>
      <c r="F2104" s="28" t="s">
        <v>149</v>
      </c>
      <c r="G2104" s="28" t="s">
        <v>20</v>
      </c>
      <c r="H2104" s="28" t="s">
        <v>21</v>
      </c>
      <c r="I2104" s="28" t="s">
        <v>21</v>
      </c>
      <c r="J2104" s="28" t="s">
        <v>6685</v>
      </c>
      <c r="K2104" s="28" t="s">
        <v>6686</v>
      </c>
      <c r="L2104" s="28" t="s">
        <v>66</v>
      </c>
      <c r="M2104" s="28" t="s">
        <v>21</v>
      </c>
      <c r="O2104" s="92">
        <v>37249</v>
      </c>
      <c r="P2104" s="28" t="s">
        <v>31</v>
      </c>
      <c r="Q2104" s="26" t="b">
        <v>0</v>
      </c>
      <c r="R2104" s="22">
        <f t="shared" si="33"/>
        <v>142</v>
      </c>
    </row>
    <row r="2105" spans="1:18">
      <c r="A2105" s="26">
        <v>5934</v>
      </c>
      <c r="B2105" s="27">
        <v>37111</v>
      </c>
      <c r="C2105" s="28" t="s">
        <v>6687</v>
      </c>
      <c r="D2105" s="27">
        <v>37111</v>
      </c>
      <c r="E2105" s="28" t="s">
        <v>6688</v>
      </c>
      <c r="F2105" s="28" t="s">
        <v>367</v>
      </c>
      <c r="G2105" s="28" t="s">
        <v>20</v>
      </c>
      <c r="H2105" s="28" t="s">
        <v>71</v>
      </c>
      <c r="I2105" s="28" t="s">
        <v>72</v>
      </c>
      <c r="J2105" s="28" t="s">
        <v>6689</v>
      </c>
      <c r="K2105" s="28" t="s">
        <v>6690</v>
      </c>
      <c r="L2105" s="28" t="s">
        <v>4282</v>
      </c>
      <c r="M2105" s="28" t="s">
        <v>21</v>
      </c>
      <c r="O2105" s="92">
        <v>38306</v>
      </c>
      <c r="P2105" s="28" t="s">
        <v>31</v>
      </c>
      <c r="Q2105" s="26" t="b">
        <v>0</v>
      </c>
      <c r="R2105" s="22">
        <f t="shared" si="33"/>
        <v>1193</v>
      </c>
    </row>
    <row r="2106" spans="1:18">
      <c r="A2106" s="26">
        <v>5935</v>
      </c>
      <c r="B2106" s="27">
        <v>37123</v>
      </c>
      <c r="C2106" s="28" t="s">
        <v>6691</v>
      </c>
      <c r="D2106" s="27">
        <v>37123</v>
      </c>
      <c r="E2106" s="28" t="s">
        <v>6692</v>
      </c>
      <c r="F2106" s="28" t="s">
        <v>19</v>
      </c>
      <c r="G2106" s="28" t="s">
        <v>20</v>
      </c>
      <c r="H2106" s="28" t="s">
        <v>21</v>
      </c>
      <c r="I2106" s="28" t="s">
        <v>21</v>
      </c>
      <c r="J2106" s="28" t="s">
        <v>6693</v>
      </c>
      <c r="K2106" s="28" t="s">
        <v>6694</v>
      </c>
      <c r="L2106" s="28" t="s">
        <v>66</v>
      </c>
      <c r="M2106" s="28" t="s">
        <v>21</v>
      </c>
      <c r="O2106" s="92">
        <v>37131</v>
      </c>
      <c r="P2106" s="28" t="s">
        <v>31</v>
      </c>
      <c r="Q2106" s="26" t="b">
        <v>0</v>
      </c>
      <c r="R2106" s="22">
        <f t="shared" si="33"/>
        <v>8</v>
      </c>
    </row>
    <row r="2107" spans="1:18">
      <c r="A2107" s="26">
        <v>5936</v>
      </c>
      <c r="B2107" s="27">
        <v>37124</v>
      </c>
      <c r="C2107" s="28" t="s">
        <v>6695</v>
      </c>
      <c r="D2107" s="27">
        <v>37123</v>
      </c>
      <c r="E2107" s="28" t="s">
        <v>6696</v>
      </c>
      <c r="F2107" s="28" t="s">
        <v>1537</v>
      </c>
      <c r="G2107" s="28" t="s">
        <v>20</v>
      </c>
      <c r="H2107" s="28" t="s">
        <v>21</v>
      </c>
      <c r="I2107" s="28" t="s">
        <v>21</v>
      </c>
      <c r="J2107" s="28" t="s">
        <v>6697</v>
      </c>
      <c r="K2107" s="28" t="s">
        <v>21</v>
      </c>
      <c r="L2107" s="28" t="s">
        <v>3526</v>
      </c>
      <c r="M2107" s="28" t="s">
        <v>21</v>
      </c>
      <c r="O2107" s="92">
        <v>37169</v>
      </c>
      <c r="P2107" s="28" t="s">
        <v>31</v>
      </c>
      <c r="Q2107" s="26" t="b">
        <v>0</v>
      </c>
      <c r="R2107" s="22">
        <f t="shared" si="33"/>
        <v>44</v>
      </c>
    </row>
    <row r="2108" spans="1:18">
      <c r="A2108" s="26">
        <v>5938</v>
      </c>
      <c r="B2108" s="27">
        <v>37133</v>
      </c>
      <c r="C2108" s="28" t="s">
        <v>6698</v>
      </c>
      <c r="D2108" s="27">
        <v>37132</v>
      </c>
      <c r="E2108" s="28" t="s">
        <v>6699</v>
      </c>
      <c r="F2108" s="28" t="s">
        <v>211</v>
      </c>
      <c r="G2108" s="28" t="s">
        <v>20</v>
      </c>
      <c r="H2108" s="28" t="s">
        <v>212</v>
      </c>
      <c r="I2108" s="28" t="s">
        <v>212</v>
      </c>
      <c r="J2108" s="28" t="s">
        <v>272</v>
      </c>
      <c r="K2108" s="28" t="s">
        <v>6700</v>
      </c>
      <c r="L2108" s="28" t="s">
        <v>4282</v>
      </c>
      <c r="M2108" s="28" t="s">
        <v>21</v>
      </c>
      <c r="O2108" s="92">
        <v>38455</v>
      </c>
      <c r="P2108" s="28" t="s">
        <v>21</v>
      </c>
      <c r="Q2108" s="26" t="b">
        <v>0</v>
      </c>
      <c r="R2108" s="22">
        <f t="shared" si="33"/>
        <v>1321</v>
      </c>
    </row>
    <row r="2109" spans="1:18">
      <c r="A2109" s="26">
        <v>5939</v>
      </c>
      <c r="B2109" s="27">
        <v>37133</v>
      </c>
      <c r="C2109" s="28" t="s">
        <v>6701</v>
      </c>
      <c r="D2109" s="27">
        <v>37131</v>
      </c>
      <c r="E2109" s="28" t="s">
        <v>6702</v>
      </c>
      <c r="F2109" s="28" t="s">
        <v>52</v>
      </c>
      <c r="G2109" s="28" t="s">
        <v>20</v>
      </c>
      <c r="H2109" s="28" t="s">
        <v>21</v>
      </c>
      <c r="I2109" s="28" t="s">
        <v>21</v>
      </c>
      <c r="J2109" s="28" t="s">
        <v>5162</v>
      </c>
      <c r="K2109" s="28" t="s">
        <v>21</v>
      </c>
      <c r="L2109" s="28" t="s">
        <v>66</v>
      </c>
      <c r="M2109" s="28" t="s">
        <v>21</v>
      </c>
      <c r="O2109" s="92">
        <v>37467</v>
      </c>
      <c r="P2109" s="28" t="s">
        <v>31</v>
      </c>
      <c r="Q2109" s="26" t="b">
        <v>0</v>
      </c>
      <c r="R2109" s="22">
        <f t="shared" si="33"/>
        <v>334</v>
      </c>
    </row>
    <row r="2110" spans="1:18">
      <c r="A2110" s="26">
        <v>5940</v>
      </c>
      <c r="B2110" s="27">
        <v>37133</v>
      </c>
      <c r="C2110" s="28" t="s">
        <v>6703</v>
      </c>
      <c r="D2110" s="27">
        <v>37131</v>
      </c>
      <c r="E2110" s="28" t="s">
        <v>6704</v>
      </c>
      <c r="F2110" s="28" t="s">
        <v>85</v>
      </c>
      <c r="G2110" s="28" t="s">
        <v>20</v>
      </c>
      <c r="H2110" s="28" t="s">
        <v>71</v>
      </c>
      <c r="I2110" s="28" t="s">
        <v>21</v>
      </c>
      <c r="J2110" s="28" t="s">
        <v>6705</v>
      </c>
      <c r="K2110" s="28" t="s">
        <v>272</v>
      </c>
      <c r="L2110" s="28" t="s">
        <v>4282</v>
      </c>
      <c r="M2110" s="28" t="s">
        <v>21</v>
      </c>
      <c r="O2110" s="92">
        <v>38422</v>
      </c>
      <c r="P2110" s="28" t="s">
        <v>31</v>
      </c>
      <c r="Q2110" s="26" t="b">
        <v>0</v>
      </c>
      <c r="R2110" s="22">
        <f t="shared" si="33"/>
        <v>1288</v>
      </c>
    </row>
    <row r="2111" spans="1:18">
      <c r="A2111" s="26">
        <v>5943</v>
      </c>
      <c r="B2111" s="27">
        <v>37144</v>
      </c>
      <c r="C2111" s="28" t="s">
        <v>6706</v>
      </c>
      <c r="D2111" s="27">
        <v>37140</v>
      </c>
      <c r="E2111" s="28" t="s">
        <v>1204</v>
      </c>
      <c r="F2111" s="28" t="s">
        <v>741</v>
      </c>
      <c r="G2111" s="28" t="s">
        <v>20</v>
      </c>
      <c r="H2111" s="28" t="s">
        <v>71</v>
      </c>
      <c r="I2111" s="28" t="s">
        <v>21</v>
      </c>
      <c r="J2111" s="28" t="s">
        <v>6707</v>
      </c>
      <c r="K2111" s="28" t="s">
        <v>21</v>
      </c>
      <c r="L2111" s="28" t="s">
        <v>5814</v>
      </c>
      <c r="M2111" s="28" t="s">
        <v>21</v>
      </c>
      <c r="O2111" s="92">
        <v>37147</v>
      </c>
      <c r="P2111" s="28" t="s">
        <v>21</v>
      </c>
      <c r="Q2111" s="26" t="b">
        <v>0</v>
      </c>
      <c r="R2111" s="22">
        <f t="shared" si="33"/>
        <v>3</v>
      </c>
    </row>
    <row r="2112" spans="1:18">
      <c r="A2112" s="26">
        <v>5947</v>
      </c>
      <c r="B2112" s="27">
        <v>37145</v>
      </c>
      <c r="C2112" s="28" t="s">
        <v>6714</v>
      </c>
      <c r="D2112" s="27">
        <v>37144</v>
      </c>
      <c r="E2112" s="28" t="s">
        <v>6715</v>
      </c>
      <c r="F2112" s="28" t="s">
        <v>179</v>
      </c>
      <c r="G2112" s="28" t="s">
        <v>20</v>
      </c>
      <c r="H2112" s="28" t="s">
        <v>71</v>
      </c>
      <c r="I2112" s="28" t="s">
        <v>72</v>
      </c>
      <c r="J2112" s="28" t="s">
        <v>6716</v>
      </c>
      <c r="K2112" s="28" t="s">
        <v>21</v>
      </c>
      <c r="L2112" s="28" t="s">
        <v>4579</v>
      </c>
      <c r="M2112" s="28" t="s">
        <v>66</v>
      </c>
      <c r="O2112" s="92">
        <v>38555</v>
      </c>
      <c r="P2112" s="28" t="s">
        <v>31</v>
      </c>
      <c r="Q2112" s="26" t="b">
        <v>0</v>
      </c>
      <c r="R2112" s="22">
        <f t="shared" si="33"/>
        <v>1410</v>
      </c>
    </row>
    <row r="2113" spans="1:18" ht="24">
      <c r="A2113" s="26">
        <v>5945</v>
      </c>
      <c r="B2113" s="27">
        <v>37147</v>
      </c>
      <c r="C2113" s="28" t="s">
        <v>6708</v>
      </c>
      <c r="D2113" s="27">
        <v>37147</v>
      </c>
      <c r="E2113" s="28" t="s">
        <v>6709</v>
      </c>
      <c r="F2113" s="28" t="s">
        <v>98</v>
      </c>
      <c r="G2113" s="28" t="s">
        <v>20</v>
      </c>
      <c r="H2113" s="28" t="s">
        <v>71</v>
      </c>
      <c r="I2113" s="28" t="s">
        <v>21</v>
      </c>
      <c r="J2113" s="28" t="s">
        <v>6710</v>
      </c>
      <c r="K2113" s="28" t="s">
        <v>6711</v>
      </c>
      <c r="L2113" s="28" t="s">
        <v>4282</v>
      </c>
      <c r="M2113" s="28" t="s">
        <v>21</v>
      </c>
      <c r="O2113" s="92">
        <v>38555</v>
      </c>
      <c r="P2113" s="28" t="s">
        <v>31</v>
      </c>
      <c r="Q2113" s="26" t="b">
        <v>0</v>
      </c>
      <c r="R2113" s="22">
        <f t="shared" si="33"/>
        <v>1408</v>
      </c>
    </row>
    <row r="2114" spans="1:18">
      <c r="A2114" s="26">
        <v>5946</v>
      </c>
      <c r="B2114" s="27">
        <v>37147</v>
      </c>
      <c r="C2114" s="28" t="s">
        <v>6712</v>
      </c>
      <c r="D2114" s="27">
        <v>37139</v>
      </c>
      <c r="E2114" s="28" t="s">
        <v>38</v>
      </c>
      <c r="F2114" s="28" t="s">
        <v>124</v>
      </c>
      <c r="G2114" s="28" t="s">
        <v>20</v>
      </c>
      <c r="H2114" s="28" t="s">
        <v>21</v>
      </c>
      <c r="I2114" s="28" t="s">
        <v>21</v>
      </c>
      <c r="J2114" s="28" t="s">
        <v>6713</v>
      </c>
      <c r="K2114" s="28" t="s">
        <v>21</v>
      </c>
      <c r="L2114" s="28" t="s">
        <v>3930</v>
      </c>
      <c r="M2114" s="28" t="s">
        <v>21</v>
      </c>
      <c r="N2114" s="18"/>
      <c r="O2114" s="92">
        <v>37169</v>
      </c>
      <c r="P2114" s="28" t="s">
        <v>31</v>
      </c>
      <c r="Q2114" s="26" t="b">
        <v>0</v>
      </c>
      <c r="R2114" s="22">
        <f t="shared" si="33"/>
        <v>22</v>
      </c>
    </row>
    <row r="2115" spans="1:18">
      <c r="A2115" s="26">
        <v>5948</v>
      </c>
      <c r="B2115" s="27">
        <v>37151</v>
      </c>
      <c r="C2115" s="28" t="s">
        <v>6717</v>
      </c>
      <c r="D2115" s="27">
        <v>37148</v>
      </c>
      <c r="E2115" s="28" t="s">
        <v>6718</v>
      </c>
      <c r="F2115" s="28" t="s">
        <v>124</v>
      </c>
      <c r="G2115" s="28" t="s">
        <v>20</v>
      </c>
      <c r="H2115" s="28" t="s">
        <v>21</v>
      </c>
      <c r="I2115" s="28" t="s">
        <v>21</v>
      </c>
      <c r="J2115" s="28" t="s">
        <v>6686</v>
      </c>
      <c r="K2115" s="28" t="s">
        <v>6719</v>
      </c>
      <c r="L2115" s="28" t="s">
        <v>4282</v>
      </c>
      <c r="M2115" s="28" t="s">
        <v>21</v>
      </c>
      <c r="O2115" s="92">
        <v>37175</v>
      </c>
      <c r="P2115" s="28" t="s">
        <v>31</v>
      </c>
      <c r="Q2115" s="26" t="b">
        <v>0</v>
      </c>
      <c r="R2115" s="22">
        <f t="shared" si="33"/>
        <v>24</v>
      </c>
    </row>
    <row r="2116" spans="1:18">
      <c r="A2116" s="26">
        <v>5949</v>
      </c>
      <c r="B2116" s="27">
        <v>37151</v>
      </c>
      <c r="C2116" s="28" t="s">
        <v>6720</v>
      </c>
      <c r="D2116" s="27">
        <v>37133</v>
      </c>
      <c r="E2116" s="28" t="s">
        <v>6721</v>
      </c>
      <c r="F2116" s="28" t="s">
        <v>861</v>
      </c>
      <c r="G2116" s="28" t="s">
        <v>20</v>
      </c>
      <c r="H2116" s="28" t="s">
        <v>566</v>
      </c>
      <c r="I2116" s="28" t="s">
        <v>566</v>
      </c>
      <c r="J2116" s="28" t="s">
        <v>6686</v>
      </c>
      <c r="K2116" s="28" t="s">
        <v>6722</v>
      </c>
      <c r="L2116" s="28" t="s">
        <v>4282</v>
      </c>
      <c r="M2116" s="28" t="s">
        <v>21</v>
      </c>
      <c r="O2116" s="92">
        <v>37526</v>
      </c>
      <c r="P2116" s="28" t="s">
        <v>31</v>
      </c>
      <c r="Q2116" s="26" t="b">
        <v>0</v>
      </c>
      <c r="R2116" s="22">
        <f t="shared" si="33"/>
        <v>375</v>
      </c>
    </row>
    <row r="2117" spans="1:18">
      <c r="A2117" s="26">
        <v>5951</v>
      </c>
      <c r="B2117" s="27">
        <v>37151</v>
      </c>
      <c r="C2117" s="28" t="s">
        <v>6726</v>
      </c>
      <c r="D2117" s="27">
        <v>37139</v>
      </c>
      <c r="E2117" s="28" t="s">
        <v>38</v>
      </c>
      <c r="F2117" s="28" t="s">
        <v>149</v>
      </c>
      <c r="G2117" s="28" t="s">
        <v>20</v>
      </c>
      <c r="H2117" s="28" t="s">
        <v>21</v>
      </c>
      <c r="I2117" s="28" t="s">
        <v>21</v>
      </c>
      <c r="J2117" s="28" t="s">
        <v>6727</v>
      </c>
      <c r="K2117" s="28" t="s">
        <v>21</v>
      </c>
      <c r="L2117" s="28" t="s">
        <v>66</v>
      </c>
      <c r="M2117" s="28" t="s">
        <v>21</v>
      </c>
      <c r="O2117" s="92">
        <v>37201</v>
      </c>
      <c r="P2117" s="28" t="s">
        <v>31</v>
      </c>
      <c r="Q2117" s="26" t="b">
        <v>0</v>
      </c>
      <c r="R2117" s="22">
        <f t="shared" si="33"/>
        <v>49</v>
      </c>
    </row>
    <row r="2118" spans="1:18">
      <c r="A2118" s="26">
        <v>5950</v>
      </c>
      <c r="B2118" s="27">
        <v>37154</v>
      </c>
      <c r="C2118" s="28" t="s">
        <v>6723</v>
      </c>
      <c r="D2118" s="27">
        <v>37153</v>
      </c>
      <c r="E2118" s="28" t="s">
        <v>6724</v>
      </c>
      <c r="F2118" s="28" t="s">
        <v>56</v>
      </c>
      <c r="G2118" s="28" t="s">
        <v>20</v>
      </c>
      <c r="H2118" s="28" t="s">
        <v>21</v>
      </c>
      <c r="I2118" s="28" t="s">
        <v>21</v>
      </c>
      <c r="J2118" s="28" t="s">
        <v>6725</v>
      </c>
      <c r="K2118" s="28" t="s">
        <v>21</v>
      </c>
      <c r="L2118" s="28" t="s">
        <v>66</v>
      </c>
      <c r="M2118" s="28" t="s">
        <v>21</v>
      </c>
      <c r="O2118" s="92">
        <v>37271</v>
      </c>
      <c r="P2118" s="28" t="s">
        <v>31</v>
      </c>
      <c r="Q2118" s="26" t="b">
        <v>0</v>
      </c>
      <c r="R2118" s="22">
        <f t="shared" si="33"/>
        <v>116</v>
      </c>
    </row>
    <row r="2119" spans="1:18">
      <c r="A2119" s="26">
        <v>5952</v>
      </c>
      <c r="B2119" s="27">
        <v>37154</v>
      </c>
      <c r="C2119" s="28" t="s">
        <v>6728</v>
      </c>
      <c r="D2119" s="27">
        <v>37145</v>
      </c>
      <c r="E2119" s="28" t="s">
        <v>6729</v>
      </c>
      <c r="F2119" s="28" t="s">
        <v>6049</v>
      </c>
      <c r="G2119" s="28" t="s">
        <v>20</v>
      </c>
      <c r="H2119" s="28" t="s">
        <v>21</v>
      </c>
      <c r="I2119" s="28" t="s">
        <v>21</v>
      </c>
      <c r="J2119" s="28" t="s">
        <v>6730</v>
      </c>
      <c r="K2119" s="28" t="s">
        <v>6731</v>
      </c>
      <c r="L2119" s="28" t="s">
        <v>4282</v>
      </c>
      <c r="M2119" s="28" t="s">
        <v>21</v>
      </c>
      <c r="O2119" s="92">
        <v>37930</v>
      </c>
      <c r="P2119" s="28" t="s">
        <v>31</v>
      </c>
      <c r="Q2119" s="26" t="b">
        <v>0</v>
      </c>
      <c r="R2119" s="22">
        <f t="shared" si="33"/>
        <v>775</v>
      </c>
    </row>
    <row r="2120" spans="1:18">
      <c r="A2120" s="26">
        <v>5953</v>
      </c>
      <c r="B2120" s="27">
        <v>37158</v>
      </c>
      <c r="C2120" s="28" t="s">
        <v>6732</v>
      </c>
      <c r="D2120" s="27">
        <v>37158</v>
      </c>
      <c r="E2120" s="28" t="s">
        <v>6733</v>
      </c>
      <c r="F2120" s="28" t="s">
        <v>149</v>
      </c>
      <c r="G2120" s="28" t="s">
        <v>20</v>
      </c>
      <c r="H2120" s="28" t="s">
        <v>21</v>
      </c>
      <c r="I2120" s="28" t="s">
        <v>21</v>
      </c>
      <c r="J2120" s="28" t="s">
        <v>6734</v>
      </c>
      <c r="K2120" s="28" t="s">
        <v>6735</v>
      </c>
      <c r="L2120" s="28" t="s">
        <v>4282</v>
      </c>
      <c r="M2120" s="28" t="s">
        <v>21</v>
      </c>
      <c r="O2120" s="92">
        <v>37183</v>
      </c>
      <c r="P2120" s="28" t="s">
        <v>31</v>
      </c>
      <c r="Q2120" s="26" t="b">
        <v>0</v>
      </c>
      <c r="R2120" s="22">
        <f t="shared" si="33"/>
        <v>25</v>
      </c>
    </row>
    <row r="2121" spans="1:18">
      <c r="A2121" s="26">
        <v>5954</v>
      </c>
      <c r="B2121" s="27">
        <v>37158</v>
      </c>
      <c r="C2121" s="28" t="s">
        <v>6736</v>
      </c>
      <c r="D2121" s="27">
        <v>37154</v>
      </c>
      <c r="E2121" s="28" t="s">
        <v>6737</v>
      </c>
      <c r="F2121" s="28" t="s">
        <v>4242</v>
      </c>
      <c r="G2121" s="28" t="s">
        <v>20</v>
      </c>
      <c r="H2121" s="28" t="s">
        <v>189</v>
      </c>
      <c r="I2121" s="28" t="s">
        <v>189</v>
      </c>
      <c r="J2121" s="28" t="s">
        <v>5162</v>
      </c>
      <c r="K2121" s="28" t="s">
        <v>6738</v>
      </c>
      <c r="L2121" s="28" t="s">
        <v>66</v>
      </c>
      <c r="M2121" s="28" t="s">
        <v>21</v>
      </c>
      <c r="O2121" s="92">
        <v>37196</v>
      </c>
      <c r="P2121" s="28" t="s">
        <v>21</v>
      </c>
      <c r="Q2121" s="26" t="b">
        <v>0</v>
      </c>
      <c r="R2121" s="22">
        <f t="shared" si="33"/>
        <v>37</v>
      </c>
    </row>
    <row r="2122" spans="1:18">
      <c r="A2122" s="26">
        <v>5955</v>
      </c>
      <c r="B2122" s="27">
        <v>37165</v>
      </c>
      <c r="C2122" s="28" t="s">
        <v>6739</v>
      </c>
      <c r="D2122" s="27">
        <v>37165</v>
      </c>
      <c r="E2122" s="28" t="s">
        <v>6740</v>
      </c>
      <c r="F2122" s="28" t="s">
        <v>2882</v>
      </c>
      <c r="G2122" s="28" t="s">
        <v>20</v>
      </c>
      <c r="H2122" s="28" t="s">
        <v>566</v>
      </c>
      <c r="I2122" s="28" t="s">
        <v>566</v>
      </c>
      <c r="J2122" s="28" t="s">
        <v>6741</v>
      </c>
      <c r="K2122" s="28" t="s">
        <v>21</v>
      </c>
      <c r="L2122" s="28" t="s">
        <v>4282</v>
      </c>
      <c r="M2122" s="28" t="s">
        <v>21</v>
      </c>
      <c r="O2122" s="92">
        <v>37169</v>
      </c>
      <c r="P2122" s="28" t="s">
        <v>21</v>
      </c>
      <c r="Q2122" s="26" t="b">
        <v>0</v>
      </c>
      <c r="R2122" s="22">
        <f t="shared" si="33"/>
        <v>4</v>
      </c>
    </row>
    <row r="2123" spans="1:18">
      <c r="A2123" s="26">
        <v>5956</v>
      </c>
      <c r="B2123" s="27">
        <v>37169</v>
      </c>
      <c r="C2123" s="28" t="s">
        <v>6742</v>
      </c>
      <c r="D2123" s="27">
        <v>37168</v>
      </c>
      <c r="E2123" s="28" t="s">
        <v>6743</v>
      </c>
      <c r="F2123" s="28" t="s">
        <v>27</v>
      </c>
      <c r="G2123" s="28" t="s">
        <v>20</v>
      </c>
      <c r="H2123" s="28" t="s">
        <v>21</v>
      </c>
      <c r="I2123" s="28" t="s">
        <v>21</v>
      </c>
      <c r="J2123" s="28" t="s">
        <v>6744</v>
      </c>
      <c r="K2123" s="28" t="s">
        <v>6745</v>
      </c>
      <c r="L2123" s="28" t="s">
        <v>66</v>
      </c>
      <c r="M2123" s="28" t="s">
        <v>21</v>
      </c>
      <c r="O2123" s="92">
        <v>37984</v>
      </c>
      <c r="P2123" s="28" t="s">
        <v>21</v>
      </c>
      <c r="Q2123" s="26" t="b">
        <v>0</v>
      </c>
      <c r="R2123" s="22">
        <f t="shared" si="33"/>
        <v>815</v>
      </c>
    </row>
    <row r="2124" spans="1:18">
      <c r="A2124" s="26">
        <v>5958</v>
      </c>
      <c r="B2124" s="27">
        <v>37179</v>
      </c>
      <c r="C2124" s="28" t="s">
        <v>6746</v>
      </c>
      <c r="D2124" s="27">
        <v>37176</v>
      </c>
      <c r="E2124" s="28" t="s">
        <v>6747</v>
      </c>
      <c r="F2124" s="28" t="s">
        <v>34</v>
      </c>
      <c r="G2124" s="28" t="s">
        <v>20</v>
      </c>
      <c r="H2124" s="28" t="s">
        <v>21</v>
      </c>
      <c r="I2124" s="28" t="s">
        <v>21</v>
      </c>
      <c r="J2124" s="28" t="s">
        <v>6748</v>
      </c>
      <c r="K2124" s="28" t="s">
        <v>6749</v>
      </c>
      <c r="L2124" s="28" t="s">
        <v>4282</v>
      </c>
      <c r="M2124" s="28" t="s">
        <v>21</v>
      </c>
      <c r="O2124" s="92">
        <v>38008</v>
      </c>
      <c r="P2124" s="28" t="s">
        <v>21</v>
      </c>
      <c r="Q2124" s="26" t="b">
        <v>0</v>
      </c>
      <c r="R2124" s="22">
        <f t="shared" si="33"/>
        <v>828</v>
      </c>
    </row>
    <row r="2125" spans="1:18">
      <c r="A2125" s="26">
        <v>5999</v>
      </c>
      <c r="B2125" s="27">
        <v>37186</v>
      </c>
      <c r="C2125" s="28" t="s">
        <v>6750</v>
      </c>
      <c r="D2125" s="27">
        <v>37186</v>
      </c>
      <c r="E2125" s="28" t="s">
        <v>6751</v>
      </c>
      <c r="F2125" s="28" t="s">
        <v>27</v>
      </c>
      <c r="G2125" s="28" t="s">
        <v>20</v>
      </c>
      <c r="H2125" s="28" t="s">
        <v>21</v>
      </c>
      <c r="I2125" s="28" t="s">
        <v>21</v>
      </c>
      <c r="J2125" s="28" t="s">
        <v>6752</v>
      </c>
      <c r="K2125" s="28" t="s">
        <v>6753</v>
      </c>
      <c r="L2125" s="28" t="s">
        <v>314</v>
      </c>
      <c r="M2125" s="28" t="s">
        <v>21</v>
      </c>
      <c r="O2125" s="92">
        <v>37237</v>
      </c>
      <c r="P2125" s="28" t="s">
        <v>31</v>
      </c>
      <c r="Q2125" s="26" t="b">
        <v>0</v>
      </c>
      <c r="R2125" s="22">
        <f t="shared" si="33"/>
        <v>50</v>
      </c>
    </row>
    <row r="2126" spans="1:18">
      <c r="A2126" s="26">
        <v>6010</v>
      </c>
      <c r="B2126" s="27">
        <v>37186</v>
      </c>
      <c r="C2126" s="28" t="s">
        <v>6754</v>
      </c>
      <c r="D2126" s="27">
        <v>37186</v>
      </c>
      <c r="E2126" s="28" t="s">
        <v>38</v>
      </c>
      <c r="F2126" s="28" t="s">
        <v>149</v>
      </c>
      <c r="G2126" s="28" t="s">
        <v>20</v>
      </c>
      <c r="H2126" s="28" t="s">
        <v>21</v>
      </c>
      <c r="I2126" s="28" t="s">
        <v>21</v>
      </c>
      <c r="J2126" s="28" t="s">
        <v>149</v>
      </c>
      <c r="K2126" s="28" t="s">
        <v>6755</v>
      </c>
      <c r="L2126" s="28" t="s">
        <v>66</v>
      </c>
      <c r="M2126" s="28" t="s">
        <v>21</v>
      </c>
      <c r="O2126" s="92">
        <v>37188</v>
      </c>
      <c r="P2126" s="28" t="s">
        <v>31</v>
      </c>
      <c r="Q2126" s="26" t="b">
        <v>0</v>
      </c>
      <c r="R2126" s="22">
        <f t="shared" si="33"/>
        <v>2</v>
      </c>
    </row>
    <row r="2127" spans="1:18">
      <c r="A2127" s="26">
        <v>6014</v>
      </c>
      <c r="B2127" s="27">
        <v>37188</v>
      </c>
      <c r="C2127" s="28" t="s">
        <v>6763</v>
      </c>
      <c r="D2127" s="27">
        <v>37186</v>
      </c>
      <c r="E2127" s="28" t="s">
        <v>3116</v>
      </c>
      <c r="F2127" s="28" t="s">
        <v>1232</v>
      </c>
      <c r="G2127" s="28" t="s">
        <v>20</v>
      </c>
      <c r="H2127" s="28" t="s">
        <v>189</v>
      </c>
      <c r="I2127" s="28" t="s">
        <v>189</v>
      </c>
      <c r="J2127" s="28" t="s">
        <v>1639</v>
      </c>
      <c r="K2127" s="28" t="s">
        <v>4613</v>
      </c>
      <c r="L2127" s="28" t="s">
        <v>66</v>
      </c>
      <c r="M2127" s="28" t="s">
        <v>21</v>
      </c>
      <c r="O2127" s="92">
        <v>37202</v>
      </c>
      <c r="P2127" s="28" t="s">
        <v>21</v>
      </c>
      <c r="Q2127" s="26" t="b">
        <v>0</v>
      </c>
      <c r="R2127" s="22">
        <f t="shared" si="33"/>
        <v>13</v>
      </c>
    </row>
    <row r="2128" spans="1:18">
      <c r="A2128" s="26">
        <v>6011</v>
      </c>
      <c r="B2128" s="27">
        <v>37189</v>
      </c>
      <c r="C2128" s="28" t="s">
        <v>6756</v>
      </c>
      <c r="D2128" s="27">
        <v>37159</v>
      </c>
      <c r="E2128" s="28" t="s">
        <v>38</v>
      </c>
      <c r="F2128" s="28" t="s">
        <v>149</v>
      </c>
      <c r="G2128" s="28" t="s">
        <v>20</v>
      </c>
      <c r="H2128" s="28" t="s">
        <v>21</v>
      </c>
      <c r="I2128" s="28" t="s">
        <v>21</v>
      </c>
      <c r="J2128" s="28" t="s">
        <v>6757</v>
      </c>
      <c r="K2128" s="28" t="s">
        <v>6758</v>
      </c>
      <c r="L2128" s="28" t="s">
        <v>314</v>
      </c>
      <c r="M2128" s="28" t="s">
        <v>21</v>
      </c>
      <c r="O2128" s="92">
        <v>37242</v>
      </c>
      <c r="P2128" s="28" t="s">
        <v>31</v>
      </c>
      <c r="Q2128" s="26" t="b">
        <v>0</v>
      </c>
      <c r="R2128" s="22">
        <f t="shared" si="33"/>
        <v>52</v>
      </c>
    </row>
    <row r="2129" spans="1:18">
      <c r="A2129" s="26">
        <v>6013</v>
      </c>
      <c r="B2129" s="27">
        <v>37193</v>
      </c>
      <c r="C2129" s="28" t="s">
        <v>6759</v>
      </c>
      <c r="D2129" s="27">
        <v>37193</v>
      </c>
      <c r="E2129" s="28" t="s">
        <v>6760</v>
      </c>
      <c r="F2129" s="28" t="s">
        <v>984</v>
      </c>
      <c r="G2129" s="28" t="s">
        <v>20</v>
      </c>
      <c r="H2129" s="28" t="s">
        <v>21</v>
      </c>
      <c r="I2129" s="28" t="s">
        <v>21</v>
      </c>
      <c r="J2129" s="28" t="s">
        <v>6761</v>
      </c>
      <c r="K2129" s="28" t="s">
        <v>6762</v>
      </c>
      <c r="L2129" s="28" t="s">
        <v>66</v>
      </c>
      <c r="M2129" s="28" t="s">
        <v>21</v>
      </c>
      <c r="O2129" s="92">
        <v>37202</v>
      </c>
      <c r="P2129" s="28" t="s">
        <v>21</v>
      </c>
      <c r="Q2129" s="26" t="b">
        <v>0</v>
      </c>
      <c r="R2129" s="22">
        <f t="shared" si="33"/>
        <v>8</v>
      </c>
    </row>
    <row r="2130" spans="1:18">
      <c r="A2130" s="26">
        <v>6015</v>
      </c>
      <c r="B2130" s="27">
        <v>37195</v>
      </c>
      <c r="C2130" s="28" t="s">
        <v>6764</v>
      </c>
      <c r="D2130" s="27">
        <v>37195</v>
      </c>
      <c r="E2130" s="28" t="s">
        <v>6765</v>
      </c>
      <c r="F2130" s="28" t="s">
        <v>52</v>
      </c>
      <c r="G2130" s="28" t="s">
        <v>20</v>
      </c>
      <c r="H2130" s="28" t="s">
        <v>21</v>
      </c>
      <c r="I2130" s="28" t="s">
        <v>21</v>
      </c>
      <c r="J2130" s="28" t="s">
        <v>6766</v>
      </c>
      <c r="K2130" s="28" t="s">
        <v>6767</v>
      </c>
      <c r="L2130" s="28" t="s">
        <v>314</v>
      </c>
      <c r="M2130" s="28" t="s">
        <v>21</v>
      </c>
      <c r="O2130" s="92">
        <v>37880</v>
      </c>
      <c r="P2130" s="28" t="s">
        <v>31</v>
      </c>
      <c r="Q2130" s="26" t="b">
        <v>0</v>
      </c>
      <c r="R2130" s="22">
        <f t="shared" si="33"/>
        <v>685</v>
      </c>
    </row>
    <row r="2131" spans="1:18">
      <c r="A2131" s="26">
        <v>6016</v>
      </c>
      <c r="B2131" s="27">
        <v>37196</v>
      </c>
      <c r="C2131" s="28" t="s">
        <v>6768</v>
      </c>
      <c r="D2131" s="27">
        <v>37190</v>
      </c>
      <c r="E2131" s="28" t="s">
        <v>6769</v>
      </c>
      <c r="F2131" s="28" t="s">
        <v>124</v>
      </c>
      <c r="G2131" s="28" t="s">
        <v>20</v>
      </c>
      <c r="H2131" s="28" t="s">
        <v>21</v>
      </c>
      <c r="I2131" s="28" t="s">
        <v>21</v>
      </c>
      <c r="J2131" s="28" t="s">
        <v>272</v>
      </c>
      <c r="K2131" s="28" t="s">
        <v>2868</v>
      </c>
      <c r="L2131" s="28" t="s">
        <v>314</v>
      </c>
      <c r="M2131" s="28" t="s">
        <v>21</v>
      </c>
      <c r="N2131" s="18"/>
      <c r="O2131" s="92">
        <v>37407</v>
      </c>
      <c r="P2131" s="28" t="s">
        <v>31</v>
      </c>
      <c r="Q2131" s="26" t="b">
        <v>0</v>
      </c>
      <c r="R2131" s="22">
        <f t="shared" si="33"/>
        <v>212</v>
      </c>
    </row>
    <row r="2132" spans="1:18">
      <c r="A2132" s="26">
        <v>6017</v>
      </c>
      <c r="B2132" s="27">
        <v>37196</v>
      </c>
      <c r="C2132" s="28" t="s">
        <v>6770</v>
      </c>
      <c r="D2132" s="27">
        <v>37195</v>
      </c>
      <c r="E2132" s="28" t="s">
        <v>6771</v>
      </c>
      <c r="F2132" s="28" t="s">
        <v>124</v>
      </c>
      <c r="G2132" s="28" t="s">
        <v>20</v>
      </c>
      <c r="H2132" s="28" t="s">
        <v>21</v>
      </c>
      <c r="I2132" s="28" t="s">
        <v>21</v>
      </c>
      <c r="J2132" s="28" t="s">
        <v>272</v>
      </c>
      <c r="K2132" s="28" t="s">
        <v>6772</v>
      </c>
      <c r="L2132" s="28" t="s">
        <v>66</v>
      </c>
      <c r="M2132" s="28" t="s">
        <v>21</v>
      </c>
      <c r="O2132" s="92">
        <v>37371</v>
      </c>
      <c r="P2132" s="28" t="s">
        <v>31</v>
      </c>
      <c r="Q2132" s="26" t="b">
        <v>0</v>
      </c>
      <c r="R2132" s="22">
        <f t="shared" si="33"/>
        <v>176</v>
      </c>
    </row>
    <row r="2133" spans="1:18">
      <c r="A2133" s="26">
        <v>6019</v>
      </c>
      <c r="B2133" s="27">
        <v>37203</v>
      </c>
      <c r="C2133" s="28" t="s">
        <v>6776</v>
      </c>
      <c r="D2133" s="27">
        <v>37203</v>
      </c>
      <c r="E2133" s="28" t="s">
        <v>2925</v>
      </c>
      <c r="F2133" s="28" t="s">
        <v>5342</v>
      </c>
      <c r="G2133" s="28" t="s">
        <v>20</v>
      </c>
      <c r="H2133" s="28" t="s">
        <v>21</v>
      </c>
      <c r="I2133" s="28" t="s">
        <v>21</v>
      </c>
      <c r="J2133" s="28" t="s">
        <v>6777</v>
      </c>
      <c r="K2133" s="28" t="s">
        <v>6778</v>
      </c>
      <c r="L2133" s="28" t="s">
        <v>314</v>
      </c>
      <c r="M2133" s="28" t="s">
        <v>21</v>
      </c>
      <c r="O2133" s="92">
        <v>37708</v>
      </c>
      <c r="P2133" s="28" t="s">
        <v>21</v>
      </c>
      <c r="Q2133" s="26" t="b">
        <v>0</v>
      </c>
      <c r="R2133" s="22">
        <f t="shared" si="33"/>
        <v>506</v>
      </c>
    </row>
    <row r="2134" spans="1:18" ht="24">
      <c r="A2134" s="26">
        <v>6021</v>
      </c>
      <c r="B2134" s="27">
        <v>37203</v>
      </c>
      <c r="C2134" s="28" t="s">
        <v>6779</v>
      </c>
      <c r="D2134" s="27">
        <v>37203</v>
      </c>
      <c r="E2134" s="28" t="s">
        <v>6780</v>
      </c>
      <c r="F2134" s="28" t="s">
        <v>56</v>
      </c>
      <c r="G2134" s="28" t="s">
        <v>20</v>
      </c>
      <c r="H2134" s="28" t="s">
        <v>21</v>
      </c>
      <c r="I2134" s="28" t="s">
        <v>21</v>
      </c>
      <c r="J2134" s="28" t="s">
        <v>6781</v>
      </c>
      <c r="K2134" s="28" t="s">
        <v>6782</v>
      </c>
      <c r="L2134" s="28" t="s">
        <v>66</v>
      </c>
      <c r="M2134" s="28" t="s">
        <v>21</v>
      </c>
      <c r="O2134" s="92">
        <v>37546</v>
      </c>
      <c r="P2134" s="28" t="s">
        <v>31</v>
      </c>
      <c r="Q2134" s="26" t="b">
        <v>0</v>
      </c>
      <c r="R2134" s="22">
        <f t="shared" si="33"/>
        <v>343</v>
      </c>
    </row>
    <row r="2135" spans="1:18">
      <c r="A2135" s="26">
        <v>6436</v>
      </c>
      <c r="B2135" s="27">
        <v>37207</v>
      </c>
      <c r="C2135" s="28" t="s">
        <v>7306</v>
      </c>
      <c r="D2135" s="27">
        <v>37207</v>
      </c>
      <c r="E2135" s="28" t="s">
        <v>4172</v>
      </c>
      <c r="F2135" s="28" t="s">
        <v>5690</v>
      </c>
      <c r="G2135" s="28" t="s">
        <v>20</v>
      </c>
      <c r="H2135" s="28" t="s">
        <v>71</v>
      </c>
      <c r="I2135" s="28" t="s">
        <v>72</v>
      </c>
      <c r="J2135" s="28" t="s">
        <v>7307</v>
      </c>
      <c r="K2135" s="28" t="s">
        <v>21</v>
      </c>
      <c r="L2135" s="28" t="s">
        <v>66</v>
      </c>
      <c r="M2135" s="28" t="s">
        <v>21</v>
      </c>
      <c r="O2135" s="92">
        <v>37245</v>
      </c>
      <c r="P2135" s="28" t="s">
        <v>21</v>
      </c>
      <c r="Q2135" s="26" t="b">
        <v>0</v>
      </c>
      <c r="R2135" s="22">
        <f t="shared" si="33"/>
        <v>38</v>
      </c>
    </row>
    <row r="2136" spans="1:18">
      <c r="A2136" s="26">
        <v>6026</v>
      </c>
      <c r="B2136" s="27">
        <v>37222</v>
      </c>
      <c r="C2136" s="28" t="s">
        <v>6783</v>
      </c>
      <c r="D2136" s="27">
        <v>37207</v>
      </c>
      <c r="E2136" s="28" t="s">
        <v>6784</v>
      </c>
      <c r="F2136" s="28" t="s">
        <v>1019</v>
      </c>
      <c r="G2136" s="28" t="s">
        <v>20</v>
      </c>
      <c r="H2136" s="28" t="s">
        <v>21</v>
      </c>
      <c r="I2136" s="28" t="s">
        <v>21</v>
      </c>
      <c r="J2136" s="28" t="s">
        <v>6785</v>
      </c>
      <c r="K2136" s="28" t="s">
        <v>4690</v>
      </c>
      <c r="L2136" s="28" t="s">
        <v>66</v>
      </c>
      <c r="M2136" s="28" t="s">
        <v>21</v>
      </c>
      <c r="O2136" s="92">
        <v>37384</v>
      </c>
      <c r="P2136" s="28" t="s">
        <v>31</v>
      </c>
      <c r="Q2136" s="26" t="b">
        <v>0</v>
      </c>
      <c r="R2136" s="22">
        <f t="shared" si="33"/>
        <v>163</v>
      </c>
    </row>
    <row r="2137" spans="1:18">
      <c r="A2137" s="26">
        <v>6027</v>
      </c>
      <c r="B2137" s="27">
        <v>37222</v>
      </c>
      <c r="C2137" s="28" t="s">
        <v>6786</v>
      </c>
      <c r="D2137" s="27">
        <v>37210</v>
      </c>
      <c r="E2137" s="28" t="s">
        <v>6787</v>
      </c>
      <c r="F2137" s="28" t="s">
        <v>94</v>
      </c>
      <c r="G2137" s="28" t="s">
        <v>20</v>
      </c>
      <c r="H2137" s="28" t="s">
        <v>21</v>
      </c>
      <c r="I2137" s="28" t="s">
        <v>21</v>
      </c>
      <c r="J2137" s="28" t="s">
        <v>6788</v>
      </c>
      <c r="K2137" s="28" t="s">
        <v>21</v>
      </c>
      <c r="L2137" s="28" t="s">
        <v>66</v>
      </c>
      <c r="M2137" s="28" t="s">
        <v>21</v>
      </c>
      <c r="O2137" s="94">
        <v>37279</v>
      </c>
      <c r="P2137" s="28" t="s">
        <v>31</v>
      </c>
      <c r="Q2137" s="26" t="b">
        <v>0</v>
      </c>
      <c r="R2137" s="22">
        <f t="shared" si="33"/>
        <v>56</v>
      </c>
    </row>
    <row r="2138" spans="1:18">
      <c r="A2138" s="26">
        <v>6028</v>
      </c>
      <c r="B2138" s="27">
        <v>37222</v>
      </c>
      <c r="C2138" s="28" t="s">
        <v>6789</v>
      </c>
      <c r="D2138" s="27">
        <v>37214</v>
      </c>
      <c r="E2138" s="28" t="s">
        <v>6790</v>
      </c>
      <c r="F2138" s="28" t="s">
        <v>371</v>
      </c>
      <c r="G2138" s="28" t="s">
        <v>20</v>
      </c>
      <c r="H2138" s="28" t="s">
        <v>21</v>
      </c>
      <c r="I2138" s="28" t="s">
        <v>21</v>
      </c>
      <c r="J2138" s="28" t="s">
        <v>6791</v>
      </c>
      <c r="K2138" s="28" t="s">
        <v>6792</v>
      </c>
      <c r="L2138" s="28" t="s">
        <v>314</v>
      </c>
      <c r="M2138" s="28" t="s">
        <v>21</v>
      </c>
      <c r="O2138" s="92">
        <v>37327</v>
      </c>
      <c r="P2138" s="28" t="s">
        <v>31</v>
      </c>
      <c r="Q2138" s="26" t="b">
        <v>0</v>
      </c>
      <c r="R2138" s="22">
        <f t="shared" si="33"/>
        <v>106</v>
      </c>
    </row>
    <row r="2139" spans="1:18">
      <c r="A2139" s="26">
        <v>6029</v>
      </c>
      <c r="B2139" s="27">
        <v>37223</v>
      </c>
      <c r="C2139" s="28" t="s">
        <v>6793</v>
      </c>
      <c r="D2139" s="27">
        <v>37223</v>
      </c>
      <c r="E2139" s="28" t="s">
        <v>6794</v>
      </c>
      <c r="F2139" s="28" t="s">
        <v>104</v>
      </c>
      <c r="G2139" s="28" t="s">
        <v>20</v>
      </c>
      <c r="H2139" s="28" t="s">
        <v>21</v>
      </c>
      <c r="I2139" s="28" t="s">
        <v>21</v>
      </c>
      <c r="J2139" s="28" t="s">
        <v>5630</v>
      </c>
      <c r="K2139" s="28" t="s">
        <v>6795</v>
      </c>
      <c r="L2139" s="28" t="s">
        <v>314</v>
      </c>
      <c r="M2139" s="28" t="s">
        <v>21</v>
      </c>
      <c r="O2139" s="92">
        <v>37302</v>
      </c>
      <c r="P2139" s="28" t="s">
        <v>31</v>
      </c>
      <c r="Q2139" s="26" t="b">
        <v>0</v>
      </c>
      <c r="R2139" s="22">
        <f t="shared" si="33"/>
        <v>78</v>
      </c>
    </row>
    <row r="2140" spans="1:18">
      <c r="A2140" s="26">
        <v>6320</v>
      </c>
      <c r="B2140" s="27">
        <v>37225</v>
      </c>
      <c r="C2140" s="28" t="s">
        <v>7053</v>
      </c>
      <c r="D2140" s="27">
        <v>37225</v>
      </c>
      <c r="E2140" s="28" t="s">
        <v>4172</v>
      </c>
      <c r="F2140" s="28" t="s">
        <v>7054</v>
      </c>
      <c r="G2140" s="28" t="s">
        <v>20</v>
      </c>
      <c r="H2140" s="28" t="s">
        <v>212</v>
      </c>
      <c r="I2140" s="28" t="s">
        <v>212</v>
      </c>
      <c r="J2140" s="28" t="s">
        <v>5598</v>
      </c>
      <c r="K2140" s="28" t="s">
        <v>21</v>
      </c>
      <c r="L2140" s="28" t="s">
        <v>7055</v>
      </c>
      <c r="M2140" s="28" t="s">
        <v>4282</v>
      </c>
      <c r="O2140" s="92">
        <v>38489</v>
      </c>
      <c r="P2140" s="28" t="s">
        <v>31</v>
      </c>
      <c r="Q2140" s="26" t="b">
        <v>0</v>
      </c>
      <c r="R2140" s="22">
        <f t="shared" si="33"/>
        <v>1264</v>
      </c>
    </row>
    <row r="2141" spans="1:18">
      <c r="A2141" s="26">
        <v>6031</v>
      </c>
      <c r="B2141" s="27">
        <v>37231</v>
      </c>
      <c r="C2141" s="28" t="s">
        <v>6796</v>
      </c>
      <c r="D2141" s="27">
        <v>37229</v>
      </c>
      <c r="E2141" s="28" t="s">
        <v>3116</v>
      </c>
      <c r="F2141" s="28" t="s">
        <v>228</v>
      </c>
      <c r="G2141" s="28" t="s">
        <v>20</v>
      </c>
      <c r="H2141" s="28" t="s">
        <v>21</v>
      </c>
      <c r="I2141" s="28" t="s">
        <v>21</v>
      </c>
      <c r="J2141" s="28" t="s">
        <v>6797</v>
      </c>
      <c r="K2141" s="28" t="s">
        <v>1510</v>
      </c>
      <c r="L2141" s="28" t="s">
        <v>66</v>
      </c>
      <c r="M2141" s="28" t="s">
        <v>21</v>
      </c>
      <c r="O2141" s="92">
        <v>37251</v>
      </c>
      <c r="P2141" s="28" t="s">
        <v>21</v>
      </c>
      <c r="Q2141" s="26" t="b">
        <v>0</v>
      </c>
      <c r="R2141" s="22">
        <f t="shared" si="33"/>
        <v>20</v>
      </c>
    </row>
    <row r="2142" spans="1:18">
      <c r="A2142" s="26">
        <v>6036</v>
      </c>
      <c r="B2142" s="27">
        <v>37231</v>
      </c>
      <c r="C2142" s="28" t="s">
        <v>6796</v>
      </c>
      <c r="D2142" s="27">
        <v>37231</v>
      </c>
      <c r="E2142" s="28" t="s">
        <v>3116</v>
      </c>
      <c r="F2142" s="28" t="s">
        <v>149</v>
      </c>
      <c r="G2142" s="28" t="s">
        <v>20</v>
      </c>
      <c r="H2142" s="28" t="s">
        <v>21</v>
      </c>
      <c r="I2142" s="28" t="s">
        <v>21</v>
      </c>
      <c r="J2142" s="28" t="s">
        <v>6805</v>
      </c>
      <c r="K2142" s="28" t="s">
        <v>21</v>
      </c>
      <c r="L2142" s="28" t="s">
        <v>4282</v>
      </c>
      <c r="M2142" s="28" t="s">
        <v>21</v>
      </c>
      <c r="O2142" s="92">
        <v>37260</v>
      </c>
      <c r="P2142" s="28" t="s">
        <v>21</v>
      </c>
      <c r="Q2142" s="26" t="b">
        <v>0</v>
      </c>
      <c r="R2142" s="22">
        <f t="shared" si="33"/>
        <v>28</v>
      </c>
    </row>
    <row r="2143" spans="1:18">
      <c r="A2143" s="26">
        <v>6032</v>
      </c>
      <c r="B2143" s="27">
        <v>37236</v>
      </c>
      <c r="C2143" s="28" t="s">
        <v>6798</v>
      </c>
      <c r="D2143" s="27">
        <v>37230</v>
      </c>
      <c r="E2143" s="28" t="s">
        <v>283</v>
      </c>
      <c r="F2143" s="28" t="s">
        <v>149</v>
      </c>
      <c r="G2143" s="28" t="s">
        <v>20</v>
      </c>
      <c r="H2143" s="28" t="s">
        <v>21</v>
      </c>
      <c r="I2143" s="28" t="s">
        <v>21</v>
      </c>
      <c r="J2143" s="28" t="s">
        <v>6799</v>
      </c>
      <c r="K2143" s="28" t="s">
        <v>6800</v>
      </c>
      <c r="L2143" s="28" t="s">
        <v>4282</v>
      </c>
      <c r="M2143" s="28" t="s">
        <v>21</v>
      </c>
      <c r="O2143" s="92">
        <v>37442</v>
      </c>
      <c r="P2143" s="28" t="s">
        <v>21</v>
      </c>
      <c r="Q2143" s="26" t="b">
        <v>0</v>
      </c>
      <c r="R2143" s="22">
        <f t="shared" si="33"/>
        <v>206</v>
      </c>
    </row>
    <row r="2144" spans="1:18" ht="24">
      <c r="A2144" s="26">
        <v>6033</v>
      </c>
      <c r="B2144" s="27">
        <v>37236</v>
      </c>
      <c r="C2144" s="28" t="s">
        <v>6801</v>
      </c>
      <c r="D2144" s="27">
        <v>37235</v>
      </c>
      <c r="E2144" s="28" t="s">
        <v>6802</v>
      </c>
      <c r="F2144" s="28" t="s">
        <v>179</v>
      </c>
      <c r="G2144" s="28" t="s">
        <v>20</v>
      </c>
      <c r="H2144" s="28" t="s">
        <v>71</v>
      </c>
      <c r="I2144" s="28" t="s">
        <v>72</v>
      </c>
      <c r="J2144" s="28" t="s">
        <v>6803</v>
      </c>
      <c r="K2144" s="28" t="s">
        <v>6804</v>
      </c>
      <c r="L2144" s="28" t="s">
        <v>66</v>
      </c>
      <c r="M2144" s="28" t="s">
        <v>21</v>
      </c>
      <c r="O2144" s="92">
        <v>37301</v>
      </c>
      <c r="P2144" s="28" t="s">
        <v>21</v>
      </c>
      <c r="Q2144" s="26" t="b">
        <v>0</v>
      </c>
      <c r="R2144" s="22">
        <f t="shared" si="33"/>
        <v>63</v>
      </c>
    </row>
    <row r="2145" spans="1:18" ht="24">
      <c r="A2145" s="26">
        <v>6037</v>
      </c>
      <c r="B2145" s="27">
        <v>37237</v>
      </c>
      <c r="C2145" s="28" t="s">
        <v>6806</v>
      </c>
      <c r="D2145" s="27">
        <v>37223</v>
      </c>
      <c r="E2145" s="28" t="s">
        <v>6807</v>
      </c>
      <c r="F2145" s="28" t="s">
        <v>179</v>
      </c>
      <c r="G2145" s="28" t="s">
        <v>20</v>
      </c>
      <c r="H2145" s="28" t="s">
        <v>71</v>
      </c>
      <c r="I2145" s="28" t="s">
        <v>72</v>
      </c>
      <c r="J2145" s="28" t="s">
        <v>6808</v>
      </c>
      <c r="K2145" s="28" t="s">
        <v>6809</v>
      </c>
      <c r="L2145" s="28" t="s">
        <v>4579</v>
      </c>
      <c r="M2145" s="28" t="s">
        <v>66</v>
      </c>
      <c r="O2145" s="92">
        <v>38555</v>
      </c>
      <c r="P2145" s="28" t="s">
        <v>31</v>
      </c>
      <c r="Q2145" s="26" t="b">
        <v>0</v>
      </c>
      <c r="R2145" s="22">
        <f t="shared" si="33"/>
        <v>1318</v>
      </c>
    </row>
    <row r="2146" spans="1:18">
      <c r="A2146" s="26">
        <v>6038</v>
      </c>
      <c r="B2146" s="27">
        <v>37237</v>
      </c>
      <c r="C2146" s="28" t="s">
        <v>6810</v>
      </c>
      <c r="D2146" s="27">
        <v>37237</v>
      </c>
      <c r="E2146" s="28" t="s">
        <v>6811</v>
      </c>
      <c r="F2146" s="28" t="s">
        <v>124</v>
      </c>
      <c r="G2146" s="28" t="s">
        <v>20</v>
      </c>
      <c r="H2146" s="28" t="s">
        <v>21</v>
      </c>
      <c r="I2146" s="28" t="s">
        <v>21</v>
      </c>
      <c r="J2146" s="28" t="s">
        <v>6812</v>
      </c>
      <c r="K2146" s="28" t="s">
        <v>21</v>
      </c>
      <c r="L2146" s="28" t="s">
        <v>4282</v>
      </c>
      <c r="M2146" s="28" t="s">
        <v>21</v>
      </c>
      <c r="O2146" s="92">
        <v>38244</v>
      </c>
      <c r="P2146" s="28" t="s">
        <v>31</v>
      </c>
      <c r="Q2146" s="26" t="b">
        <v>0</v>
      </c>
      <c r="R2146" s="22">
        <f t="shared" si="33"/>
        <v>1005</v>
      </c>
    </row>
    <row r="2147" spans="1:18" ht="24">
      <c r="A2147" s="26">
        <v>6039</v>
      </c>
      <c r="B2147" s="27">
        <v>37237</v>
      </c>
      <c r="C2147" s="28" t="s">
        <v>6813</v>
      </c>
      <c r="D2147" s="27">
        <v>37237</v>
      </c>
      <c r="E2147" s="28" t="s">
        <v>6814</v>
      </c>
      <c r="F2147" s="28" t="s">
        <v>27</v>
      </c>
      <c r="G2147" s="28" t="s">
        <v>20</v>
      </c>
      <c r="H2147" s="28" t="s">
        <v>21</v>
      </c>
      <c r="I2147" s="28" t="s">
        <v>21</v>
      </c>
      <c r="J2147" s="28" t="s">
        <v>6815</v>
      </c>
      <c r="K2147" s="28" t="s">
        <v>5162</v>
      </c>
      <c r="L2147" s="28" t="s">
        <v>2205</v>
      </c>
      <c r="M2147" s="28" t="s">
        <v>314</v>
      </c>
      <c r="O2147" s="92">
        <v>38386</v>
      </c>
      <c r="P2147" s="28" t="s">
        <v>31</v>
      </c>
      <c r="Q2147" s="26" t="b">
        <v>0</v>
      </c>
      <c r="R2147" s="22">
        <f t="shared" si="33"/>
        <v>1146</v>
      </c>
    </row>
    <row r="2148" spans="1:18">
      <c r="A2148" s="26">
        <v>6040</v>
      </c>
      <c r="B2148" s="27">
        <v>37239</v>
      </c>
      <c r="C2148" s="28" t="s">
        <v>6816</v>
      </c>
      <c r="D2148" s="27">
        <v>37242</v>
      </c>
      <c r="E2148" s="28" t="s">
        <v>38</v>
      </c>
      <c r="F2148" s="28" t="s">
        <v>533</v>
      </c>
      <c r="G2148" s="28" t="s">
        <v>20</v>
      </c>
      <c r="H2148" s="28" t="s">
        <v>21</v>
      </c>
      <c r="I2148" s="28" t="s">
        <v>21</v>
      </c>
      <c r="J2148" s="28" t="s">
        <v>572</v>
      </c>
      <c r="K2148" s="28" t="s">
        <v>21</v>
      </c>
      <c r="L2148" s="28" t="s">
        <v>314</v>
      </c>
      <c r="M2148" s="28" t="s">
        <v>21</v>
      </c>
      <c r="O2148" s="92">
        <v>37252</v>
      </c>
      <c r="P2148" s="28" t="s">
        <v>21</v>
      </c>
      <c r="Q2148" s="26" t="b">
        <v>0</v>
      </c>
      <c r="R2148" s="22">
        <f t="shared" si="33"/>
        <v>13</v>
      </c>
    </row>
    <row r="2149" spans="1:18">
      <c r="A2149" s="26">
        <v>6041</v>
      </c>
      <c r="B2149" s="27">
        <v>37242</v>
      </c>
      <c r="C2149" s="28" t="s">
        <v>6817</v>
      </c>
      <c r="D2149" s="27">
        <v>37242</v>
      </c>
      <c r="E2149" s="28" t="s">
        <v>38</v>
      </c>
      <c r="F2149" s="28" t="s">
        <v>149</v>
      </c>
      <c r="G2149" s="28" t="s">
        <v>20</v>
      </c>
      <c r="H2149" s="28" t="s">
        <v>21</v>
      </c>
      <c r="I2149" s="28" t="s">
        <v>21</v>
      </c>
      <c r="J2149" s="28" t="s">
        <v>6757</v>
      </c>
      <c r="K2149" s="28" t="s">
        <v>6818</v>
      </c>
      <c r="L2149" s="28" t="s">
        <v>314</v>
      </c>
      <c r="M2149" s="28" t="s">
        <v>21</v>
      </c>
      <c r="O2149" s="92">
        <v>37242</v>
      </c>
      <c r="P2149" s="28" t="s">
        <v>31</v>
      </c>
      <c r="Q2149" s="26" t="b">
        <v>0</v>
      </c>
      <c r="R2149" s="22">
        <f t="shared" si="33"/>
        <v>0</v>
      </c>
    </row>
    <row r="2150" spans="1:18">
      <c r="A2150" s="26">
        <v>6042</v>
      </c>
      <c r="B2150" s="27">
        <v>37242</v>
      </c>
      <c r="C2150" s="28" t="s">
        <v>6817</v>
      </c>
      <c r="D2150" s="27">
        <v>37223</v>
      </c>
      <c r="E2150" s="28" t="s">
        <v>6819</v>
      </c>
      <c r="F2150" s="28" t="s">
        <v>145</v>
      </c>
      <c r="G2150" s="28" t="s">
        <v>20</v>
      </c>
      <c r="H2150" s="28" t="s">
        <v>21</v>
      </c>
      <c r="I2150" s="28" t="s">
        <v>21</v>
      </c>
      <c r="J2150" s="28" t="s">
        <v>6820</v>
      </c>
      <c r="K2150" s="28" t="s">
        <v>21</v>
      </c>
      <c r="L2150" s="28" t="s">
        <v>66</v>
      </c>
      <c r="M2150" s="28" t="s">
        <v>21</v>
      </c>
      <c r="O2150" s="92">
        <v>37287</v>
      </c>
      <c r="P2150" s="28" t="s">
        <v>31</v>
      </c>
      <c r="Q2150" s="26" t="b">
        <v>0</v>
      </c>
      <c r="R2150" s="22">
        <f t="shared" si="33"/>
        <v>44</v>
      </c>
    </row>
    <row r="2151" spans="1:18" ht="24">
      <c r="A2151" s="26">
        <v>6045</v>
      </c>
      <c r="B2151" s="27">
        <v>37249</v>
      </c>
      <c r="C2151" s="28" t="s">
        <v>6825</v>
      </c>
      <c r="D2151" s="27">
        <v>37244</v>
      </c>
      <c r="E2151" s="28" t="s">
        <v>6826</v>
      </c>
      <c r="F2151" s="28" t="s">
        <v>98</v>
      </c>
      <c r="G2151" s="28" t="s">
        <v>20</v>
      </c>
      <c r="H2151" s="28" t="s">
        <v>21</v>
      </c>
      <c r="I2151" s="28" t="s">
        <v>21</v>
      </c>
      <c r="J2151" s="28" t="s">
        <v>6827</v>
      </c>
      <c r="K2151" s="28" t="s">
        <v>6828</v>
      </c>
      <c r="L2151" s="28" t="s">
        <v>3588</v>
      </c>
      <c r="M2151" s="28" t="s">
        <v>6829</v>
      </c>
      <c r="O2151" s="92">
        <v>39505</v>
      </c>
      <c r="P2151" s="28" t="s">
        <v>21</v>
      </c>
      <c r="Q2151" s="26" t="b">
        <v>0</v>
      </c>
      <c r="R2151" s="22">
        <f t="shared" ref="R2151:R2214" si="34">IF(O2151=" ", " ", INT(YEARFRAC(O2151, B2151)*365))</f>
        <v>2253</v>
      </c>
    </row>
    <row r="2152" spans="1:18">
      <c r="A2152" s="26">
        <v>6044</v>
      </c>
      <c r="B2152" s="27">
        <v>37253</v>
      </c>
      <c r="C2152" s="28" t="s">
        <v>6821</v>
      </c>
      <c r="D2152" s="27">
        <v>37252</v>
      </c>
      <c r="E2152" s="28" t="s">
        <v>6822</v>
      </c>
      <c r="F2152" s="28" t="s">
        <v>242</v>
      </c>
      <c r="G2152" s="28" t="s">
        <v>20</v>
      </c>
      <c r="H2152" s="28" t="s">
        <v>21</v>
      </c>
      <c r="I2152" s="28" t="s">
        <v>21</v>
      </c>
      <c r="J2152" s="28" t="s">
        <v>6823</v>
      </c>
      <c r="K2152" s="28" t="s">
        <v>6824</v>
      </c>
      <c r="L2152" s="28" t="s">
        <v>4282</v>
      </c>
      <c r="M2152" s="28" t="s">
        <v>21</v>
      </c>
      <c r="O2152" s="92">
        <v>38324</v>
      </c>
      <c r="P2152" s="28" t="s">
        <v>31</v>
      </c>
      <c r="Q2152" s="26" t="b">
        <v>0</v>
      </c>
      <c r="R2152" s="22">
        <f t="shared" si="34"/>
        <v>1069</v>
      </c>
    </row>
    <row r="2153" spans="1:18">
      <c r="A2153" s="26">
        <v>6046</v>
      </c>
      <c r="B2153" s="27">
        <v>37256</v>
      </c>
      <c r="C2153" s="28" t="s">
        <v>6830</v>
      </c>
      <c r="D2153" s="27">
        <v>37251</v>
      </c>
      <c r="E2153" s="28" t="s">
        <v>38</v>
      </c>
      <c r="F2153" s="28" t="s">
        <v>39</v>
      </c>
      <c r="G2153" s="28" t="s">
        <v>20</v>
      </c>
      <c r="H2153" s="28" t="s">
        <v>21</v>
      </c>
      <c r="I2153" s="28" t="s">
        <v>21</v>
      </c>
      <c r="J2153" s="28" t="s">
        <v>6831</v>
      </c>
      <c r="K2153" s="28" t="s">
        <v>6832</v>
      </c>
      <c r="L2153" s="28" t="s">
        <v>314</v>
      </c>
      <c r="M2153" s="28" t="s">
        <v>21</v>
      </c>
      <c r="O2153" s="92">
        <v>37319</v>
      </c>
      <c r="P2153" s="28" t="s">
        <v>21</v>
      </c>
      <c r="Q2153" s="26" t="b">
        <v>0</v>
      </c>
      <c r="R2153" s="22">
        <f t="shared" si="34"/>
        <v>64</v>
      </c>
    </row>
    <row r="2154" spans="1:18">
      <c r="A2154" s="26">
        <v>6047</v>
      </c>
      <c r="B2154" s="27">
        <v>37256</v>
      </c>
      <c r="C2154" s="28" t="s">
        <v>6833</v>
      </c>
      <c r="D2154" s="27">
        <v>37252</v>
      </c>
      <c r="E2154" s="28" t="s">
        <v>6834</v>
      </c>
      <c r="F2154" s="28" t="s">
        <v>124</v>
      </c>
      <c r="G2154" s="28" t="s">
        <v>20</v>
      </c>
      <c r="H2154" s="28" t="s">
        <v>21</v>
      </c>
      <c r="I2154" s="28" t="s">
        <v>21</v>
      </c>
      <c r="J2154" s="28" t="s">
        <v>572</v>
      </c>
      <c r="K2154" s="28" t="s">
        <v>6835</v>
      </c>
      <c r="L2154" s="28" t="s">
        <v>2205</v>
      </c>
      <c r="M2154" s="28" t="s">
        <v>314</v>
      </c>
      <c r="O2154" s="92">
        <v>38385</v>
      </c>
      <c r="P2154" s="28" t="s">
        <v>31</v>
      </c>
      <c r="Q2154" s="26" t="b">
        <v>0</v>
      </c>
      <c r="R2154" s="22">
        <f t="shared" si="34"/>
        <v>1127</v>
      </c>
    </row>
    <row r="2155" spans="1:18">
      <c r="A2155" s="26">
        <v>6048</v>
      </c>
      <c r="B2155" s="27">
        <v>37256</v>
      </c>
      <c r="C2155" s="28" t="s">
        <v>6836</v>
      </c>
      <c r="D2155" s="27">
        <v>37253</v>
      </c>
      <c r="E2155" s="28" t="s">
        <v>6837</v>
      </c>
      <c r="F2155" s="28" t="s">
        <v>741</v>
      </c>
      <c r="G2155" s="28" t="s">
        <v>20</v>
      </c>
      <c r="H2155" s="28" t="s">
        <v>21</v>
      </c>
      <c r="I2155" s="28" t="s">
        <v>21</v>
      </c>
      <c r="J2155" s="28" t="s">
        <v>6838</v>
      </c>
      <c r="K2155" s="28" t="s">
        <v>6839</v>
      </c>
      <c r="L2155" s="28" t="s">
        <v>66</v>
      </c>
      <c r="M2155" s="28" t="s">
        <v>21</v>
      </c>
      <c r="O2155" s="92">
        <v>37286</v>
      </c>
      <c r="P2155" s="28" t="s">
        <v>31</v>
      </c>
      <c r="Q2155" s="26" t="b">
        <v>0</v>
      </c>
      <c r="R2155" s="22">
        <f t="shared" si="34"/>
        <v>30</v>
      </c>
    </row>
    <row r="2156" spans="1:18">
      <c r="A2156" s="26">
        <v>6052</v>
      </c>
      <c r="B2156" s="27">
        <v>37258</v>
      </c>
      <c r="C2156" s="28" t="s">
        <v>6840</v>
      </c>
      <c r="D2156" s="27">
        <v>37258</v>
      </c>
      <c r="E2156" s="28" t="s">
        <v>38</v>
      </c>
      <c r="F2156" s="28" t="s">
        <v>149</v>
      </c>
      <c r="G2156" s="28" t="s">
        <v>20</v>
      </c>
      <c r="H2156" s="28" t="s">
        <v>21</v>
      </c>
      <c r="I2156" s="28" t="s">
        <v>21</v>
      </c>
      <c r="J2156" s="28" t="s">
        <v>6841</v>
      </c>
      <c r="K2156" s="28" t="s">
        <v>6842</v>
      </c>
      <c r="L2156" s="28" t="s">
        <v>66</v>
      </c>
      <c r="M2156" s="28" t="s">
        <v>21</v>
      </c>
      <c r="O2156" s="92">
        <v>37264</v>
      </c>
      <c r="P2156" s="28" t="s">
        <v>31</v>
      </c>
      <c r="Q2156" s="26" t="b">
        <v>0</v>
      </c>
      <c r="R2156" s="22">
        <f t="shared" si="34"/>
        <v>6</v>
      </c>
    </row>
    <row r="2157" spans="1:18">
      <c r="A2157" s="26">
        <v>6054</v>
      </c>
      <c r="B2157" s="27">
        <v>37264</v>
      </c>
      <c r="C2157" s="28" t="s">
        <v>6846</v>
      </c>
      <c r="D2157" s="27">
        <v>37264</v>
      </c>
      <c r="E2157" s="28" t="s">
        <v>3268</v>
      </c>
      <c r="F2157" s="28" t="s">
        <v>98</v>
      </c>
      <c r="G2157" s="28" t="s">
        <v>20</v>
      </c>
      <c r="H2157" s="28" t="s">
        <v>21</v>
      </c>
      <c r="I2157" s="28" t="s">
        <v>21</v>
      </c>
      <c r="J2157" s="28" t="s">
        <v>6847</v>
      </c>
      <c r="K2157" s="28" t="s">
        <v>6848</v>
      </c>
      <c r="L2157" s="28" t="s">
        <v>66</v>
      </c>
      <c r="M2157" s="28" t="s">
        <v>21</v>
      </c>
      <c r="O2157" s="92">
        <v>37266</v>
      </c>
      <c r="P2157" s="28" t="s">
        <v>21</v>
      </c>
      <c r="Q2157" s="26" t="b">
        <v>0</v>
      </c>
      <c r="R2157" s="22">
        <f t="shared" si="34"/>
        <v>2</v>
      </c>
    </row>
    <row r="2158" spans="1:18">
      <c r="A2158" s="26">
        <v>6053</v>
      </c>
      <c r="B2158" s="27">
        <v>37265</v>
      </c>
      <c r="C2158" s="28" t="s">
        <v>6843</v>
      </c>
      <c r="D2158" s="27">
        <v>37264</v>
      </c>
      <c r="E2158" s="28" t="s">
        <v>283</v>
      </c>
      <c r="F2158" s="28" t="s">
        <v>124</v>
      </c>
      <c r="G2158" s="28" t="s">
        <v>20</v>
      </c>
      <c r="H2158" s="28" t="s">
        <v>21</v>
      </c>
      <c r="I2158" s="28" t="s">
        <v>21</v>
      </c>
      <c r="J2158" s="28" t="s">
        <v>6844</v>
      </c>
      <c r="K2158" s="28" t="s">
        <v>6845</v>
      </c>
      <c r="L2158" s="28" t="s">
        <v>314</v>
      </c>
      <c r="M2158" s="28" t="s">
        <v>21</v>
      </c>
      <c r="O2158" s="92">
        <v>37286</v>
      </c>
      <c r="P2158" s="28" t="s">
        <v>21</v>
      </c>
      <c r="Q2158" s="26" t="b">
        <v>0</v>
      </c>
      <c r="R2158" s="22">
        <f t="shared" si="34"/>
        <v>21</v>
      </c>
    </row>
    <row r="2159" spans="1:18">
      <c r="A2159" s="26">
        <v>6055</v>
      </c>
      <c r="B2159" s="27">
        <v>37267</v>
      </c>
      <c r="C2159" s="28" t="s">
        <v>6849</v>
      </c>
      <c r="D2159" s="27">
        <v>37209</v>
      </c>
      <c r="E2159" s="28" t="s">
        <v>6850</v>
      </c>
      <c r="F2159" s="28" t="s">
        <v>19</v>
      </c>
      <c r="G2159" s="28" t="s">
        <v>20</v>
      </c>
      <c r="H2159" s="28" t="s">
        <v>21</v>
      </c>
      <c r="I2159" s="28" t="s">
        <v>21</v>
      </c>
      <c r="J2159" s="28" t="s">
        <v>6851</v>
      </c>
      <c r="K2159" s="28" t="s">
        <v>6693</v>
      </c>
      <c r="L2159" s="28" t="s">
        <v>314</v>
      </c>
      <c r="M2159" s="28" t="s">
        <v>21</v>
      </c>
      <c r="O2159" s="92">
        <v>37372</v>
      </c>
      <c r="P2159" s="28" t="s">
        <v>31</v>
      </c>
      <c r="Q2159" s="26" t="b">
        <v>0</v>
      </c>
      <c r="R2159" s="22">
        <f t="shared" si="34"/>
        <v>106</v>
      </c>
    </row>
    <row r="2160" spans="1:18">
      <c r="A2160" s="26">
        <v>6056</v>
      </c>
      <c r="B2160" s="27">
        <v>37267</v>
      </c>
      <c r="C2160" s="28" t="s">
        <v>6852</v>
      </c>
      <c r="D2160" s="27">
        <v>37209</v>
      </c>
      <c r="E2160" s="28" t="s">
        <v>6853</v>
      </c>
      <c r="F2160" s="28" t="s">
        <v>56</v>
      </c>
      <c r="G2160" s="28" t="s">
        <v>20</v>
      </c>
      <c r="H2160" s="28" t="s">
        <v>21</v>
      </c>
      <c r="I2160" s="28" t="s">
        <v>21</v>
      </c>
      <c r="J2160" s="28" t="s">
        <v>6693</v>
      </c>
      <c r="K2160" s="28" t="s">
        <v>6854</v>
      </c>
      <c r="L2160" s="28" t="s">
        <v>66</v>
      </c>
      <c r="M2160" s="28" t="s">
        <v>21</v>
      </c>
      <c r="O2160" s="92">
        <v>37372</v>
      </c>
      <c r="P2160" s="28" t="s">
        <v>31</v>
      </c>
      <c r="Q2160" s="26" t="b">
        <v>0</v>
      </c>
      <c r="R2160" s="22">
        <f t="shared" si="34"/>
        <v>106</v>
      </c>
    </row>
    <row r="2161" spans="1:18">
      <c r="A2161" s="26">
        <v>6057</v>
      </c>
      <c r="B2161" s="27">
        <v>37267</v>
      </c>
      <c r="C2161" s="28" t="s">
        <v>6855</v>
      </c>
      <c r="D2161" s="27">
        <v>37264</v>
      </c>
      <c r="E2161" s="28" t="s">
        <v>6856</v>
      </c>
      <c r="F2161" s="28" t="s">
        <v>124</v>
      </c>
      <c r="G2161" s="28" t="s">
        <v>20</v>
      </c>
      <c r="H2161" s="28" t="s">
        <v>21</v>
      </c>
      <c r="I2161" s="28" t="s">
        <v>21</v>
      </c>
      <c r="J2161" s="28" t="s">
        <v>6857</v>
      </c>
      <c r="K2161" s="28" t="s">
        <v>6858</v>
      </c>
      <c r="L2161" s="28" t="s">
        <v>66</v>
      </c>
      <c r="M2161" s="28" t="s">
        <v>21</v>
      </c>
      <c r="O2161" s="92">
        <v>37467</v>
      </c>
      <c r="P2161" s="28" t="s">
        <v>31</v>
      </c>
      <c r="Q2161" s="26" t="b">
        <v>0</v>
      </c>
      <c r="R2161" s="22">
        <f t="shared" si="34"/>
        <v>201</v>
      </c>
    </row>
    <row r="2162" spans="1:18">
      <c r="A2162" s="26">
        <v>6059</v>
      </c>
      <c r="B2162" s="27">
        <v>37271</v>
      </c>
      <c r="C2162" s="28" t="s">
        <v>6859</v>
      </c>
      <c r="D2162" s="27">
        <v>37271</v>
      </c>
      <c r="E2162" s="28" t="s">
        <v>6860</v>
      </c>
      <c r="F2162" s="28" t="s">
        <v>52</v>
      </c>
      <c r="G2162" s="28" t="s">
        <v>20</v>
      </c>
      <c r="H2162" s="28" t="s">
        <v>21</v>
      </c>
      <c r="I2162" s="28" t="s">
        <v>21</v>
      </c>
      <c r="J2162" s="28" t="s">
        <v>6861</v>
      </c>
      <c r="K2162" s="28" t="s">
        <v>6862</v>
      </c>
      <c r="L2162" s="28" t="s">
        <v>314</v>
      </c>
      <c r="M2162" s="28" t="s">
        <v>21</v>
      </c>
      <c r="O2162" s="92">
        <v>37694</v>
      </c>
      <c r="P2162" s="28" t="s">
        <v>21</v>
      </c>
      <c r="Q2162" s="26" t="b">
        <v>0</v>
      </c>
      <c r="R2162" s="22">
        <f t="shared" si="34"/>
        <v>424</v>
      </c>
    </row>
    <row r="2163" spans="1:18" ht="24">
      <c r="A2163" s="26">
        <v>6060</v>
      </c>
      <c r="B2163" s="27">
        <v>37271</v>
      </c>
      <c r="C2163" s="28" t="s">
        <v>6863</v>
      </c>
      <c r="D2163" s="27">
        <v>37270</v>
      </c>
      <c r="E2163" s="28" t="s">
        <v>4172</v>
      </c>
      <c r="F2163" s="28" t="s">
        <v>1039</v>
      </c>
      <c r="G2163" s="28" t="s">
        <v>20</v>
      </c>
      <c r="H2163" s="28" t="s">
        <v>21</v>
      </c>
      <c r="I2163" s="28" t="s">
        <v>21</v>
      </c>
      <c r="J2163" s="28" t="s">
        <v>6864</v>
      </c>
      <c r="K2163" s="28" t="s">
        <v>21</v>
      </c>
      <c r="L2163" s="28" t="s">
        <v>3930</v>
      </c>
      <c r="M2163" s="28" t="s">
        <v>21</v>
      </c>
      <c r="O2163" s="92">
        <v>37288</v>
      </c>
      <c r="P2163" s="28" t="s">
        <v>31</v>
      </c>
      <c r="Q2163" s="26" t="b">
        <v>0</v>
      </c>
      <c r="R2163" s="22">
        <f t="shared" si="34"/>
        <v>16</v>
      </c>
    </row>
    <row r="2164" spans="1:18">
      <c r="A2164" s="26">
        <v>6095</v>
      </c>
      <c r="B2164" s="27">
        <v>37279</v>
      </c>
      <c r="C2164" s="28" t="s">
        <v>6865</v>
      </c>
      <c r="D2164" s="27">
        <v>37265</v>
      </c>
      <c r="E2164" s="28" t="s">
        <v>6866</v>
      </c>
      <c r="F2164" s="28" t="s">
        <v>124</v>
      </c>
      <c r="G2164" s="28" t="s">
        <v>20</v>
      </c>
      <c r="H2164" s="28" t="s">
        <v>21</v>
      </c>
      <c r="I2164" s="28" t="s">
        <v>21</v>
      </c>
      <c r="J2164" s="28" t="s">
        <v>272</v>
      </c>
      <c r="K2164" s="28" t="s">
        <v>21</v>
      </c>
      <c r="L2164" s="28" t="s">
        <v>314</v>
      </c>
      <c r="M2164" s="28" t="s">
        <v>21</v>
      </c>
      <c r="O2164" s="92">
        <v>37463</v>
      </c>
      <c r="P2164" s="28" t="s">
        <v>31</v>
      </c>
      <c r="Q2164" s="26" t="b">
        <v>0</v>
      </c>
      <c r="R2164" s="22">
        <f t="shared" si="34"/>
        <v>185</v>
      </c>
    </row>
    <row r="2165" spans="1:18">
      <c r="A2165" s="26">
        <v>6096</v>
      </c>
      <c r="B2165" s="27">
        <v>37279</v>
      </c>
      <c r="C2165" s="28" t="s">
        <v>6867</v>
      </c>
      <c r="D2165" s="27">
        <v>37266</v>
      </c>
      <c r="E2165" s="28" t="s">
        <v>6868</v>
      </c>
      <c r="F2165" s="28" t="s">
        <v>124</v>
      </c>
      <c r="G2165" s="28" t="s">
        <v>20</v>
      </c>
      <c r="H2165" s="28" t="s">
        <v>21</v>
      </c>
      <c r="I2165" s="28" t="s">
        <v>21</v>
      </c>
      <c r="J2165" s="28" t="s">
        <v>272</v>
      </c>
      <c r="K2165" s="28" t="s">
        <v>21</v>
      </c>
      <c r="L2165" s="28" t="s">
        <v>4282</v>
      </c>
      <c r="M2165" s="28" t="s">
        <v>21</v>
      </c>
      <c r="O2165" s="92">
        <v>37951</v>
      </c>
      <c r="P2165" s="28" t="s">
        <v>31</v>
      </c>
      <c r="Q2165" s="26" t="b">
        <v>0</v>
      </c>
      <c r="R2165" s="22">
        <f t="shared" si="34"/>
        <v>672</v>
      </c>
    </row>
    <row r="2166" spans="1:18">
      <c r="A2166" s="26">
        <v>6168</v>
      </c>
      <c r="B2166" s="27">
        <v>37285</v>
      </c>
      <c r="C2166" s="28" t="s">
        <v>6869</v>
      </c>
      <c r="D2166" s="27">
        <v>37281</v>
      </c>
      <c r="E2166" s="28" t="s">
        <v>3116</v>
      </c>
      <c r="F2166" s="28" t="s">
        <v>741</v>
      </c>
      <c r="G2166" s="28" t="s">
        <v>20</v>
      </c>
      <c r="H2166" s="28" t="s">
        <v>21</v>
      </c>
      <c r="I2166" s="28" t="s">
        <v>21</v>
      </c>
      <c r="J2166" s="28" t="s">
        <v>6870</v>
      </c>
      <c r="K2166" s="28" t="s">
        <v>21</v>
      </c>
      <c r="L2166" s="28" t="s">
        <v>66</v>
      </c>
      <c r="M2166" s="28" t="s">
        <v>21</v>
      </c>
      <c r="O2166" s="92">
        <v>37293</v>
      </c>
      <c r="P2166" s="28" t="s">
        <v>21</v>
      </c>
      <c r="Q2166" s="26" t="b">
        <v>0</v>
      </c>
      <c r="R2166" s="22">
        <f t="shared" si="34"/>
        <v>7</v>
      </c>
    </row>
    <row r="2167" spans="1:18">
      <c r="A2167" s="26">
        <v>6169</v>
      </c>
      <c r="B2167" s="27">
        <v>37285</v>
      </c>
      <c r="C2167" s="28" t="s">
        <v>6871</v>
      </c>
      <c r="D2167" s="27">
        <v>37285</v>
      </c>
      <c r="E2167" s="28" t="s">
        <v>6872</v>
      </c>
      <c r="F2167" s="28" t="s">
        <v>371</v>
      </c>
      <c r="G2167" s="28" t="s">
        <v>20</v>
      </c>
      <c r="H2167" s="28" t="s">
        <v>21</v>
      </c>
      <c r="I2167" s="28" t="s">
        <v>21</v>
      </c>
      <c r="J2167" s="28" t="s">
        <v>6873</v>
      </c>
      <c r="K2167" s="28" t="s">
        <v>675</v>
      </c>
      <c r="L2167" s="28" t="s">
        <v>66</v>
      </c>
      <c r="M2167" s="28" t="s">
        <v>21</v>
      </c>
      <c r="O2167" s="92">
        <v>37369</v>
      </c>
      <c r="P2167" s="28" t="s">
        <v>31</v>
      </c>
      <c r="Q2167" s="26" t="b">
        <v>0</v>
      </c>
      <c r="R2167" s="22">
        <f t="shared" si="34"/>
        <v>85</v>
      </c>
    </row>
    <row r="2168" spans="1:18">
      <c r="A2168" s="26">
        <v>6243</v>
      </c>
      <c r="B2168" s="27">
        <v>37291</v>
      </c>
      <c r="C2168" s="28" t="s">
        <v>6874</v>
      </c>
      <c r="D2168" s="27">
        <v>37287</v>
      </c>
      <c r="E2168" s="28" t="s">
        <v>6875</v>
      </c>
      <c r="F2168" s="28" t="s">
        <v>228</v>
      </c>
      <c r="G2168" s="28" t="s">
        <v>20</v>
      </c>
      <c r="H2168" s="28" t="s">
        <v>21</v>
      </c>
      <c r="I2168" s="28" t="s">
        <v>21</v>
      </c>
      <c r="J2168" s="28" t="s">
        <v>6876</v>
      </c>
      <c r="K2168" s="28" t="s">
        <v>496</v>
      </c>
      <c r="L2168" s="28" t="s">
        <v>4282</v>
      </c>
      <c r="M2168" s="28" t="s">
        <v>21</v>
      </c>
      <c r="O2168" s="92">
        <v>37994</v>
      </c>
      <c r="P2168" s="28" t="s">
        <v>21</v>
      </c>
      <c r="Q2168" s="26" t="b">
        <v>0</v>
      </c>
      <c r="R2168" s="22">
        <f t="shared" si="34"/>
        <v>703</v>
      </c>
    </row>
    <row r="2169" spans="1:18">
      <c r="A2169" s="26">
        <v>6244</v>
      </c>
      <c r="B2169" s="27">
        <v>37291</v>
      </c>
      <c r="C2169" s="28" t="s">
        <v>6877</v>
      </c>
      <c r="D2169" s="27">
        <v>37286</v>
      </c>
      <c r="E2169" s="28" t="s">
        <v>6878</v>
      </c>
      <c r="F2169" s="28" t="s">
        <v>1232</v>
      </c>
      <c r="G2169" s="28" t="s">
        <v>20</v>
      </c>
      <c r="H2169" s="28" t="s">
        <v>189</v>
      </c>
      <c r="I2169" s="28" t="s">
        <v>189</v>
      </c>
      <c r="J2169" s="28" t="s">
        <v>6242</v>
      </c>
      <c r="K2169" s="28" t="s">
        <v>6879</v>
      </c>
      <c r="L2169" s="28" t="s">
        <v>314</v>
      </c>
      <c r="M2169" s="28" t="s">
        <v>21</v>
      </c>
      <c r="O2169" s="92">
        <v>37816</v>
      </c>
      <c r="P2169" s="28" t="s">
        <v>21</v>
      </c>
      <c r="Q2169" s="26" t="b">
        <v>0</v>
      </c>
      <c r="R2169" s="22">
        <f t="shared" si="34"/>
        <v>527</v>
      </c>
    </row>
    <row r="2170" spans="1:18">
      <c r="A2170" s="26">
        <v>6247</v>
      </c>
      <c r="B2170" s="27">
        <v>37302</v>
      </c>
      <c r="C2170" s="28" t="s">
        <v>6880</v>
      </c>
      <c r="D2170" s="27">
        <v>37287</v>
      </c>
      <c r="E2170" s="28" t="s">
        <v>6881</v>
      </c>
      <c r="F2170" s="28" t="s">
        <v>98</v>
      </c>
      <c r="G2170" s="28" t="s">
        <v>20</v>
      </c>
      <c r="H2170" s="28" t="s">
        <v>21</v>
      </c>
      <c r="I2170" s="28" t="s">
        <v>21</v>
      </c>
      <c r="J2170" s="28" t="s">
        <v>6882</v>
      </c>
      <c r="K2170" s="28" t="s">
        <v>6883</v>
      </c>
      <c r="L2170" s="28" t="s">
        <v>66</v>
      </c>
      <c r="M2170" s="28" t="s">
        <v>21</v>
      </c>
      <c r="O2170" s="92">
        <v>37449</v>
      </c>
      <c r="P2170" s="28" t="s">
        <v>31</v>
      </c>
      <c r="Q2170" s="26" t="b">
        <v>0</v>
      </c>
      <c r="R2170" s="22">
        <f t="shared" si="34"/>
        <v>149</v>
      </c>
    </row>
    <row r="2171" spans="1:18">
      <c r="A2171" s="26">
        <v>6250</v>
      </c>
      <c r="B2171" s="27">
        <v>37307</v>
      </c>
      <c r="C2171" s="28" t="s">
        <v>6884</v>
      </c>
      <c r="D2171" s="27">
        <v>37301</v>
      </c>
      <c r="E2171" s="28" t="s">
        <v>38</v>
      </c>
      <c r="F2171" s="28" t="s">
        <v>283</v>
      </c>
      <c r="G2171" s="28" t="s">
        <v>20</v>
      </c>
      <c r="H2171" s="28" t="s">
        <v>21</v>
      </c>
      <c r="I2171" s="28" t="s">
        <v>21</v>
      </c>
      <c r="J2171" s="28" t="s">
        <v>6885</v>
      </c>
      <c r="K2171" s="28" t="s">
        <v>6886</v>
      </c>
      <c r="L2171" s="28" t="s">
        <v>314</v>
      </c>
      <c r="M2171" s="28" t="s">
        <v>21</v>
      </c>
      <c r="O2171" s="92">
        <v>37333</v>
      </c>
      <c r="P2171" s="28" t="s">
        <v>31</v>
      </c>
      <c r="Q2171" s="26" t="b">
        <v>0</v>
      </c>
      <c r="R2171" s="22">
        <f t="shared" si="34"/>
        <v>28</v>
      </c>
    </row>
    <row r="2172" spans="1:18">
      <c r="A2172" s="26">
        <v>6252</v>
      </c>
      <c r="B2172" s="27">
        <v>37309</v>
      </c>
      <c r="C2172" s="28" t="s">
        <v>6887</v>
      </c>
      <c r="D2172" s="27">
        <v>37309</v>
      </c>
      <c r="E2172" s="28" t="s">
        <v>283</v>
      </c>
      <c r="F2172" s="28" t="s">
        <v>6888</v>
      </c>
      <c r="G2172" s="28" t="s">
        <v>20</v>
      </c>
      <c r="H2172" s="28" t="s">
        <v>21</v>
      </c>
      <c r="I2172" s="28" t="s">
        <v>21</v>
      </c>
      <c r="J2172" s="28" t="s">
        <v>6889</v>
      </c>
      <c r="K2172" s="28" t="s">
        <v>6890</v>
      </c>
      <c r="L2172" s="28" t="s">
        <v>314</v>
      </c>
      <c r="M2172" s="28" t="s">
        <v>21</v>
      </c>
      <c r="O2172" s="92">
        <v>37377</v>
      </c>
      <c r="P2172" s="28" t="s">
        <v>21</v>
      </c>
      <c r="Q2172" s="26" t="b">
        <v>0</v>
      </c>
      <c r="R2172" s="22">
        <f t="shared" si="34"/>
        <v>69</v>
      </c>
    </row>
    <row r="2173" spans="1:18">
      <c r="A2173" s="26">
        <v>6253</v>
      </c>
      <c r="B2173" s="27">
        <v>37312</v>
      </c>
      <c r="C2173" s="28" t="s">
        <v>6891</v>
      </c>
      <c r="D2173" s="27">
        <v>37307</v>
      </c>
      <c r="E2173" s="28" t="s">
        <v>6892</v>
      </c>
      <c r="F2173" s="28" t="s">
        <v>124</v>
      </c>
      <c r="G2173" s="28" t="s">
        <v>20</v>
      </c>
      <c r="H2173" s="28" t="s">
        <v>21</v>
      </c>
      <c r="I2173" s="28" t="s">
        <v>21</v>
      </c>
      <c r="J2173" s="28" t="s">
        <v>272</v>
      </c>
      <c r="K2173" s="28" t="s">
        <v>6893</v>
      </c>
      <c r="L2173" s="28" t="s">
        <v>4282</v>
      </c>
      <c r="M2173" s="28" t="s">
        <v>21</v>
      </c>
      <c r="O2173" s="92">
        <v>37558</v>
      </c>
      <c r="P2173" s="28" t="s">
        <v>31</v>
      </c>
      <c r="Q2173" s="26" t="b">
        <v>0</v>
      </c>
      <c r="R2173" s="22">
        <f t="shared" si="34"/>
        <v>247</v>
      </c>
    </row>
    <row r="2174" spans="1:18">
      <c r="A2174" s="26">
        <v>6254</v>
      </c>
      <c r="B2174" s="27">
        <v>37312</v>
      </c>
      <c r="C2174" s="28" t="s">
        <v>6894</v>
      </c>
      <c r="D2174" s="27">
        <v>37312</v>
      </c>
      <c r="E2174" s="28" t="s">
        <v>283</v>
      </c>
      <c r="F2174" s="28" t="s">
        <v>6888</v>
      </c>
      <c r="G2174" s="28" t="s">
        <v>20</v>
      </c>
      <c r="H2174" s="28" t="s">
        <v>21</v>
      </c>
      <c r="I2174" s="28" t="s">
        <v>21</v>
      </c>
      <c r="J2174" s="28" t="s">
        <v>6895</v>
      </c>
      <c r="K2174" s="28" t="s">
        <v>6896</v>
      </c>
      <c r="L2174" s="28" t="s">
        <v>314</v>
      </c>
      <c r="M2174" s="28" t="s">
        <v>21</v>
      </c>
      <c r="O2174" s="92">
        <v>37382</v>
      </c>
      <c r="P2174" s="28" t="s">
        <v>21</v>
      </c>
      <c r="Q2174" s="26" t="b">
        <v>0</v>
      </c>
      <c r="R2174" s="22">
        <f t="shared" si="34"/>
        <v>71</v>
      </c>
    </row>
    <row r="2175" spans="1:18">
      <c r="A2175" s="26">
        <v>6255</v>
      </c>
      <c r="B2175" s="27">
        <v>37313</v>
      </c>
      <c r="C2175" s="28" t="s">
        <v>6897</v>
      </c>
      <c r="D2175" s="27">
        <v>37313</v>
      </c>
      <c r="E2175" s="28" t="s">
        <v>283</v>
      </c>
      <c r="F2175" s="28" t="s">
        <v>6888</v>
      </c>
      <c r="G2175" s="28" t="s">
        <v>20</v>
      </c>
      <c r="H2175" s="28" t="s">
        <v>21</v>
      </c>
      <c r="I2175" s="28" t="s">
        <v>21</v>
      </c>
      <c r="J2175" s="28" t="s">
        <v>6898</v>
      </c>
      <c r="K2175" s="28" t="s">
        <v>6899</v>
      </c>
      <c r="L2175" s="28" t="s">
        <v>314</v>
      </c>
      <c r="M2175" s="28" t="s">
        <v>21</v>
      </c>
      <c r="O2175" s="92">
        <v>37384</v>
      </c>
      <c r="P2175" s="28" t="s">
        <v>21</v>
      </c>
      <c r="Q2175" s="26" t="b">
        <v>0</v>
      </c>
      <c r="R2175" s="22">
        <f t="shared" si="34"/>
        <v>73</v>
      </c>
    </row>
    <row r="2176" spans="1:18">
      <c r="A2176" s="26">
        <v>6256</v>
      </c>
      <c r="B2176" s="27">
        <v>37313</v>
      </c>
      <c r="C2176" s="28" t="s">
        <v>6900</v>
      </c>
      <c r="D2176" s="27">
        <v>37313</v>
      </c>
      <c r="E2176" s="28" t="s">
        <v>283</v>
      </c>
      <c r="F2176" s="28" t="s">
        <v>6888</v>
      </c>
      <c r="G2176" s="28" t="s">
        <v>20</v>
      </c>
      <c r="H2176" s="28" t="s">
        <v>21</v>
      </c>
      <c r="I2176" s="28" t="s">
        <v>21</v>
      </c>
      <c r="J2176" s="28" t="s">
        <v>6901</v>
      </c>
      <c r="K2176" s="28" t="s">
        <v>6899</v>
      </c>
      <c r="L2176" s="28" t="s">
        <v>314</v>
      </c>
      <c r="M2176" s="28" t="s">
        <v>21</v>
      </c>
      <c r="O2176" s="92">
        <v>37382</v>
      </c>
      <c r="P2176" s="28" t="s">
        <v>21</v>
      </c>
      <c r="Q2176" s="26" t="b">
        <v>0</v>
      </c>
      <c r="R2176" s="22">
        <f t="shared" si="34"/>
        <v>70</v>
      </c>
    </row>
    <row r="2177" spans="1:18">
      <c r="A2177" s="26">
        <v>6257</v>
      </c>
      <c r="B2177" s="27">
        <v>37313</v>
      </c>
      <c r="C2177" s="28" t="s">
        <v>6902</v>
      </c>
      <c r="D2177" s="27">
        <v>37313</v>
      </c>
      <c r="E2177" s="28" t="s">
        <v>283</v>
      </c>
      <c r="F2177" s="28" t="s">
        <v>6888</v>
      </c>
      <c r="G2177" s="28" t="s">
        <v>20</v>
      </c>
      <c r="H2177" s="28" t="s">
        <v>21</v>
      </c>
      <c r="I2177" s="28" t="s">
        <v>21</v>
      </c>
      <c r="J2177" s="28" t="s">
        <v>6903</v>
      </c>
      <c r="K2177" s="28" t="s">
        <v>6904</v>
      </c>
      <c r="L2177" s="28" t="s">
        <v>314</v>
      </c>
      <c r="M2177" s="28" t="s">
        <v>21</v>
      </c>
      <c r="O2177" s="92">
        <v>37376</v>
      </c>
      <c r="P2177" s="28" t="s">
        <v>21</v>
      </c>
      <c r="Q2177" s="26" t="b">
        <v>0</v>
      </c>
      <c r="R2177" s="22">
        <f t="shared" si="34"/>
        <v>64</v>
      </c>
    </row>
    <row r="2178" spans="1:18">
      <c r="A2178" s="26">
        <v>6258</v>
      </c>
      <c r="B2178" s="27">
        <v>37313</v>
      </c>
      <c r="C2178" s="28" t="s">
        <v>6905</v>
      </c>
      <c r="D2178" s="27">
        <v>37313</v>
      </c>
      <c r="E2178" s="28" t="s">
        <v>283</v>
      </c>
      <c r="F2178" s="28" t="s">
        <v>6888</v>
      </c>
      <c r="G2178" s="28" t="s">
        <v>20</v>
      </c>
      <c r="H2178" s="28" t="s">
        <v>21</v>
      </c>
      <c r="I2178" s="28" t="s">
        <v>21</v>
      </c>
      <c r="J2178" s="28" t="s">
        <v>6906</v>
      </c>
      <c r="K2178" s="28" t="s">
        <v>6904</v>
      </c>
      <c r="L2178" s="28" t="s">
        <v>314</v>
      </c>
      <c r="M2178" s="28" t="s">
        <v>21</v>
      </c>
      <c r="O2178" s="92">
        <v>37384</v>
      </c>
      <c r="P2178" s="28" t="s">
        <v>21</v>
      </c>
      <c r="Q2178" s="26" t="b">
        <v>0</v>
      </c>
      <c r="R2178" s="22">
        <f t="shared" si="34"/>
        <v>73</v>
      </c>
    </row>
    <row r="2179" spans="1:18">
      <c r="A2179" s="26">
        <v>6266</v>
      </c>
      <c r="B2179" s="27">
        <v>37313</v>
      </c>
      <c r="C2179" s="28" t="s">
        <v>6923</v>
      </c>
      <c r="D2179" s="27">
        <v>37313</v>
      </c>
      <c r="E2179" s="28" t="s">
        <v>283</v>
      </c>
      <c r="F2179" s="28" t="s">
        <v>6888</v>
      </c>
      <c r="G2179" s="28" t="s">
        <v>20</v>
      </c>
      <c r="H2179" s="28" t="s">
        <v>21</v>
      </c>
      <c r="I2179" s="28" t="s">
        <v>21</v>
      </c>
      <c r="J2179" s="28" t="s">
        <v>6924</v>
      </c>
      <c r="K2179" s="28" t="s">
        <v>6925</v>
      </c>
      <c r="L2179" s="28" t="s">
        <v>314</v>
      </c>
      <c r="M2179" s="28" t="s">
        <v>21</v>
      </c>
      <c r="O2179" s="92">
        <v>37378</v>
      </c>
      <c r="P2179" s="28" t="s">
        <v>21</v>
      </c>
      <c r="Q2179" s="26" t="b">
        <v>0</v>
      </c>
      <c r="R2179" s="22">
        <f t="shared" si="34"/>
        <v>66</v>
      </c>
    </row>
    <row r="2180" spans="1:18">
      <c r="A2180" s="26">
        <v>6267</v>
      </c>
      <c r="B2180" s="27">
        <v>37313</v>
      </c>
      <c r="C2180" s="28" t="s">
        <v>6926</v>
      </c>
      <c r="D2180" s="27">
        <v>37313</v>
      </c>
      <c r="E2180" s="28" t="s">
        <v>283</v>
      </c>
      <c r="F2180" s="28" t="s">
        <v>61</v>
      </c>
      <c r="G2180" s="28" t="s">
        <v>20</v>
      </c>
      <c r="H2180" s="28" t="s">
        <v>21</v>
      </c>
      <c r="I2180" s="28" t="s">
        <v>21</v>
      </c>
      <c r="J2180" s="28" t="s">
        <v>6927</v>
      </c>
      <c r="K2180" s="28" t="s">
        <v>6925</v>
      </c>
      <c r="L2180" s="28" t="s">
        <v>314</v>
      </c>
      <c r="M2180" s="28" t="s">
        <v>21</v>
      </c>
      <c r="O2180" s="92">
        <v>37382</v>
      </c>
      <c r="P2180" s="28" t="s">
        <v>21</v>
      </c>
      <c r="Q2180" s="26" t="b">
        <v>0</v>
      </c>
      <c r="R2180" s="22">
        <f t="shared" si="34"/>
        <v>70</v>
      </c>
    </row>
    <row r="2181" spans="1:18" ht="24">
      <c r="A2181" s="26">
        <v>6259</v>
      </c>
      <c r="B2181" s="27">
        <v>37314</v>
      </c>
      <c r="C2181" s="28" t="s">
        <v>6907</v>
      </c>
      <c r="D2181" s="27">
        <v>37314</v>
      </c>
      <c r="E2181" s="28" t="s">
        <v>283</v>
      </c>
      <c r="F2181" s="28" t="s">
        <v>6888</v>
      </c>
      <c r="G2181" s="28" t="s">
        <v>20</v>
      </c>
      <c r="H2181" s="28" t="s">
        <v>21</v>
      </c>
      <c r="I2181" s="28" t="s">
        <v>21</v>
      </c>
      <c r="J2181" s="28" t="s">
        <v>6908</v>
      </c>
      <c r="K2181" s="28" t="s">
        <v>6909</v>
      </c>
      <c r="L2181" s="28" t="s">
        <v>66</v>
      </c>
      <c r="M2181" s="28" t="s">
        <v>21</v>
      </c>
      <c r="O2181" s="92">
        <v>37368</v>
      </c>
      <c r="P2181" s="28" t="s">
        <v>21</v>
      </c>
      <c r="Q2181" s="26" t="b">
        <v>0</v>
      </c>
      <c r="R2181" s="22">
        <f t="shared" si="34"/>
        <v>55</v>
      </c>
    </row>
    <row r="2182" spans="1:18">
      <c r="A2182" s="26">
        <v>6261</v>
      </c>
      <c r="B2182" s="27">
        <v>37314</v>
      </c>
      <c r="C2182" s="28" t="s">
        <v>6910</v>
      </c>
      <c r="D2182" s="27">
        <v>37314</v>
      </c>
      <c r="E2182" s="28" t="s">
        <v>283</v>
      </c>
      <c r="F2182" s="28" t="s">
        <v>6888</v>
      </c>
      <c r="G2182" s="28" t="s">
        <v>20</v>
      </c>
      <c r="H2182" s="28" t="s">
        <v>21</v>
      </c>
      <c r="I2182" s="28" t="s">
        <v>21</v>
      </c>
      <c r="J2182" s="28" t="s">
        <v>6911</v>
      </c>
      <c r="K2182" s="28" t="s">
        <v>6912</v>
      </c>
      <c r="L2182" s="28" t="s">
        <v>314</v>
      </c>
      <c r="M2182" s="28" t="s">
        <v>21</v>
      </c>
      <c r="O2182" s="92">
        <v>37376</v>
      </c>
      <c r="P2182" s="28" t="s">
        <v>21</v>
      </c>
      <c r="Q2182" s="26" t="b">
        <v>0</v>
      </c>
      <c r="R2182" s="22">
        <f t="shared" si="34"/>
        <v>63</v>
      </c>
    </row>
    <row r="2183" spans="1:18">
      <c r="A2183" s="26">
        <v>6262</v>
      </c>
      <c r="B2183" s="27">
        <v>37314</v>
      </c>
      <c r="C2183" s="28" t="s">
        <v>6913</v>
      </c>
      <c r="D2183" s="27">
        <v>37314</v>
      </c>
      <c r="E2183" s="28" t="s">
        <v>283</v>
      </c>
      <c r="F2183" s="28" t="s">
        <v>6888</v>
      </c>
      <c r="G2183" s="28" t="s">
        <v>20</v>
      </c>
      <c r="H2183" s="28" t="s">
        <v>21</v>
      </c>
      <c r="I2183" s="28" t="s">
        <v>21</v>
      </c>
      <c r="J2183" s="28" t="s">
        <v>6914</v>
      </c>
      <c r="K2183" s="28" t="s">
        <v>6912</v>
      </c>
      <c r="L2183" s="28" t="s">
        <v>314</v>
      </c>
      <c r="M2183" s="28" t="s">
        <v>21</v>
      </c>
      <c r="O2183" s="92">
        <v>37377</v>
      </c>
      <c r="P2183" s="28" t="s">
        <v>21</v>
      </c>
      <c r="Q2183" s="26" t="b">
        <v>0</v>
      </c>
      <c r="R2183" s="22">
        <f t="shared" si="34"/>
        <v>64</v>
      </c>
    </row>
    <row r="2184" spans="1:18">
      <c r="A2184" s="26">
        <v>6263</v>
      </c>
      <c r="B2184" s="27">
        <v>37314</v>
      </c>
      <c r="C2184" s="28" t="s">
        <v>6915</v>
      </c>
      <c r="D2184" s="27">
        <v>37314</v>
      </c>
      <c r="E2184" s="28" t="s">
        <v>283</v>
      </c>
      <c r="F2184" s="28" t="s">
        <v>6888</v>
      </c>
      <c r="G2184" s="28" t="s">
        <v>20</v>
      </c>
      <c r="H2184" s="28" t="s">
        <v>21</v>
      </c>
      <c r="I2184" s="28" t="s">
        <v>21</v>
      </c>
      <c r="J2184" s="28" t="s">
        <v>6916</v>
      </c>
      <c r="K2184" s="28" t="s">
        <v>6917</v>
      </c>
      <c r="L2184" s="28" t="s">
        <v>314</v>
      </c>
      <c r="M2184" s="28" t="s">
        <v>21</v>
      </c>
      <c r="O2184" s="92">
        <v>37378</v>
      </c>
      <c r="P2184" s="28" t="s">
        <v>21</v>
      </c>
      <c r="Q2184" s="26" t="b">
        <v>0</v>
      </c>
      <c r="R2184" s="22">
        <f t="shared" si="34"/>
        <v>65</v>
      </c>
    </row>
    <row r="2185" spans="1:18">
      <c r="A2185" s="26">
        <v>6264</v>
      </c>
      <c r="B2185" s="27">
        <v>37314</v>
      </c>
      <c r="C2185" s="28" t="s">
        <v>6918</v>
      </c>
      <c r="D2185" s="27">
        <v>37314</v>
      </c>
      <c r="E2185" s="28" t="s">
        <v>283</v>
      </c>
      <c r="F2185" s="28" t="s">
        <v>6888</v>
      </c>
      <c r="G2185" s="28" t="s">
        <v>20</v>
      </c>
      <c r="H2185" s="28" t="s">
        <v>21</v>
      </c>
      <c r="I2185" s="28" t="s">
        <v>21</v>
      </c>
      <c r="J2185" s="28" t="s">
        <v>6919</v>
      </c>
      <c r="K2185" s="28" t="s">
        <v>6920</v>
      </c>
      <c r="L2185" s="28" t="s">
        <v>314</v>
      </c>
      <c r="M2185" s="28" t="s">
        <v>21</v>
      </c>
      <c r="O2185" s="92">
        <v>37382</v>
      </c>
      <c r="P2185" s="28" t="s">
        <v>21</v>
      </c>
      <c r="Q2185" s="26" t="b">
        <v>0</v>
      </c>
      <c r="R2185" s="22">
        <f t="shared" si="34"/>
        <v>69</v>
      </c>
    </row>
    <row r="2186" spans="1:18">
      <c r="A2186" s="26">
        <v>6265</v>
      </c>
      <c r="B2186" s="27">
        <v>37314</v>
      </c>
      <c r="C2186" s="28" t="s">
        <v>6921</v>
      </c>
      <c r="D2186" s="27">
        <v>37314</v>
      </c>
      <c r="E2186" s="28" t="s">
        <v>283</v>
      </c>
      <c r="F2186" s="28" t="s">
        <v>6888</v>
      </c>
      <c r="G2186" s="28" t="s">
        <v>20</v>
      </c>
      <c r="H2186" s="28" t="s">
        <v>21</v>
      </c>
      <c r="I2186" s="28" t="s">
        <v>21</v>
      </c>
      <c r="J2186" s="28" t="s">
        <v>6922</v>
      </c>
      <c r="K2186" s="28" t="s">
        <v>6920</v>
      </c>
      <c r="L2186" s="28" t="s">
        <v>314</v>
      </c>
      <c r="M2186" s="28" t="s">
        <v>21</v>
      </c>
      <c r="O2186" s="92">
        <v>37377</v>
      </c>
      <c r="P2186" s="28" t="s">
        <v>21</v>
      </c>
      <c r="Q2186" s="26" t="b">
        <v>0</v>
      </c>
      <c r="R2186" s="22">
        <f t="shared" si="34"/>
        <v>64</v>
      </c>
    </row>
    <row r="2187" spans="1:18">
      <c r="A2187" s="26">
        <v>6268</v>
      </c>
      <c r="B2187" s="27">
        <v>37314</v>
      </c>
      <c r="C2187" s="28" t="s">
        <v>6928</v>
      </c>
      <c r="D2187" s="27">
        <v>37314</v>
      </c>
      <c r="E2187" s="28" t="s">
        <v>283</v>
      </c>
      <c r="F2187" s="28" t="s">
        <v>6888</v>
      </c>
      <c r="G2187" s="28" t="s">
        <v>20</v>
      </c>
      <c r="H2187" s="28" t="s">
        <v>21</v>
      </c>
      <c r="I2187" s="28" t="s">
        <v>21</v>
      </c>
      <c r="J2187" s="28" t="s">
        <v>6929</v>
      </c>
      <c r="K2187" s="28" t="s">
        <v>6930</v>
      </c>
      <c r="L2187" s="28" t="s">
        <v>314</v>
      </c>
      <c r="M2187" s="28" t="s">
        <v>21</v>
      </c>
      <c r="O2187" s="92">
        <v>37376</v>
      </c>
      <c r="P2187" s="28" t="s">
        <v>21</v>
      </c>
      <c r="Q2187" s="26" t="b">
        <v>0</v>
      </c>
      <c r="R2187" s="22">
        <f t="shared" si="34"/>
        <v>63</v>
      </c>
    </row>
    <row r="2188" spans="1:18">
      <c r="A2188" s="26">
        <v>6269</v>
      </c>
      <c r="B2188" s="27">
        <v>37314</v>
      </c>
      <c r="C2188" s="28" t="s">
        <v>6931</v>
      </c>
      <c r="D2188" s="27">
        <v>37314</v>
      </c>
      <c r="E2188" s="28" t="s">
        <v>283</v>
      </c>
      <c r="F2188" s="28" t="s">
        <v>6888</v>
      </c>
      <c r="G2188" s="28" t="s">
        <v>20</v>
      </c>
      <c r="H2188" s="28" t="s">
        <v>21</v>
      </c>
      <c r="I2188" s="28" t="s">
        <v>21</v>
      </c>
      <c r="J2188" s="28" t="s">
        <v>6932</v>
      </c>
      <c r="K2188" s="28" t="s">
        <v>6933</v>
      </c>
      <c r="L2188" s="28" t="s">
        <v>4282</v>
      </c>
      <c r="M2188" s="28" t="s">
        <v>21</v>
      </c>
      <c r="O2188" s="92">
        <v>37392</v>
      </c>
      <c r="P2188" s="28" t="s">
        <v>21</v>
      </c>
      <c r="Q2188" s="26" t="b">
        <v>0</v>
      </c>
      <c r="R2188" s="22">
        <f t="shared" si="34"/>
        <v>80</v>
      </c>
    </row>
    <row r="2189" spans="1:18">
      <c r="A2189" s="26">
        <v>6270</v>
      </c>
      <c r="B2189" s="27">
        <v>37314</v>
      </c>
      <c r="C2189" s="28" t="s">
        <v>6934</v>
      </c>
      <c r="D2189" s="27">
        <v>37314</v>
      </c>
      <c r="E2189" s="28" t="s">
        <v>283</v>
      </c>
      <c r="F2189" s="28" t="s">
        <v>6888</v>
      </c>
      <c r="G2189" s="28" t="s">
        <v>20</v>
      </c>
      <c r="H2189" s="28" t="s">
        <v>21</v>
      </c>
      <c r="I2189" s="28" t="s">
        <v>21</v>
      </c>
      <c r="J2189" s="28" t="s">
        <v>6935</v>
      </c>
      <c r="K2189" s="28" t="s">
        <v>6933</v>
      </c>
      <c r="L2189" s="28" t="s">
        <v>4282</v>
      </c>
      <c r="M2189" s="28" t="s">
        <v>21</v>
      </c>
      <c r="O2189" s="92">
        <v>37392</v>
      </c>
      <c r="P2189" s="28" t="s">
        <v>21</v>
      </c>
      <c r="Q2189" s="26" t="b">
        <v>0</v>
      </c>
      <c r="R2189" s="22">
        <f t="shared" si="34"/>
        <v>80</v>
      </c>
    </row>
    <row r="2190" spans="1:18">
      <c r="A2190" s="26">
        <v>6271</v>
      </c>
      <c r="B2190" s="27">
        <v>37315</v>
      </c>
      <c r="C2190" s="28" t="s">
        <v>6936</v>
      </c>
      <c r="D2190" s="27">
        <v>37315</v>
      </c>
      <c r="E2190" s="28" t="s">
        <v>6937</v>
      </c>
      <c r="F2190" s="28" t="s">
        <v>70</v>
      </c>
      <c r="G2190" s="28" t="s">
        <v>20</v>
      </c>
      <c r="H2190" s="28" t="s">
        <v>71</v>
      </c>
      <c r="I2190" s="28" t="s">
        <v>72</v>
      </c>
      <c r="J2190" s="28" t="s">
        <v>6938</v>
      </c>
      <c r="K2190" s="28" t="s">
        <v>6939</v>
      </c>
      <c r="L2190" s="28" t="s">
        <v>4282</v>
      </c>
      <c r="M2190" s="28" t="s">
        <v>21</v>
      </c>
      <c r="O2190" s="92">
        <v>37343</v>
      </c>
      <c r="P2190" s="28" t="s">
        <v>31</v>
      </c>
      <c r="Q2190" s="26" t="b">
        <v>0</v>
      </c>
      <c r="R2190" s="22">
        <f t="shared" si="34"/>
        <v>28</v>
      </c>
    </row>
    <row r="2191" spans="1:18">
      <c r="A2191" s="26">
        <v>6272</v>
      </c>
      <c r="B2191" s="27">
        <v>37319</v>
      </c>
      <c r="C2191" s="28" t="s">
        <v>6940</v>
      </c>
      <c r="D2191" s="27">
        <v>37192</v>
      </c>
      <c r="E2191" s="28" t="s">
        <v>38</v>
      </c>
      <c r="F2191" s="28" t="s">
        <v>149</v>
      </c>
      <c r="G2191" s="28" t="s">
        <v>20</v>
      </c>
      <c r="H2191" s="28" t="s">
        <v>21</v>
      </c>
      <c r="I2191" s="28" t="s">
        <v>21</v>
      </c>
      <c r="J2191" s="28" t="s">
        <v>6941</v>
      </c>
      <c r="K2191" s="28" t="s">
        <v>5182</v>
      </c>
      <c r="L2191" s="28" t="s">
        <v>3930</v>
      </c>
      <c r="M2191" s="28" t="s">
        <v>21</v>
      </c>
      <c r="O2191" s="92">
        <v>37560</v>
      </c>
      <c r="P2191" s="28" t="s">
        <v>31</v>
      </c>
      <c r="Q2191" s="26" t="b">
        <v>0</v>
      </c>
      <c r="R2191" s="22">
        <f t="shared" si="34"/>
        <v>240</v>
      </c>
    </row>
    <row r="2192" spans="1:18">
      <c r="A2192" s="26">
        <v>6273</v>
      </c>
      <c r="B2192" s="27">
        <v>37319</v>
      </c>
      <c r="C2192" s="28" t="s">
        <v>6942</v>
      </c>
      <c r="D2192" s="27">
        <v>37319</v>
      </c>
      <c r="E2192" s="28" t="s">
        <v>283</v>
      </c>
      <c r="F2192" s="28" t="s">
        <v>6888</v>
      </c>
      <c r="G2192" s="28" t="s">
        <v>20</v>
      </c>
      <c r="H2192" s="28" t="s">
        <v>21</v>
      </c>
      <c r="I2192" s="28" t="s">
        <v>21</v>
      </c>
      <c r="J2192" s="28" t="s">
        <v>6943</v>
      </c>
      <c r="K2192" s="28" t="s">
        <v>6944</v>
      </c>
      <c r="L2192" s="28" t="s">
        <v>3930</v>
      </c>
      <c r="M2192" s="28" t="s">
        <v>21</v>
      </c>
      <c r="O2192" s="92">
        <v>37399</v>
      </c>
      <c r="P2192" s="28" t="s">
        <v>21</v>
      </c>
      <c r="Q2192" s="26" t="b">
        <v>0</v>
      </c>
      <c r="R2192" s="22">
        <f t="shared" si="34"/>
        <v>80</v>
      </c>
    </row>
    <row r="2193" spans="1:18">
      <c r="A2193" s="26">
        <v>6275</v>
      </c>
      <c r="B2193" s="27">
        <v>37319</v>
      </c>
      <c r="C2193" s="28" t="s">
        <v>6948</v>
      </c>
      <c r="D2193" s="27">
        <v>37310</v>
      </c>
      <c r="E2193" s="28" t="s">
        <v>6949</v>
      </c>
      <c r="F2193" s="28" t="s">
        <v>124</v>
      </c>
      <c r="G2193" s="28" t="s">
        <v>20</v>
      </c>
      <c r="H2193" s="28" t="s">
        <v>21</v>
      </c>
      <c r="I2193" s="28" t="s">
        <v>21</v>
      </c>
      <c r="J2193" s="28" t="s">
        <v>272</v>
      </c>
      <c r="K2193" s="28" t="s">
        <v>6950</v>
      </c>
      <c r="L2193" s="28" t="s">
        <v>66</v>
      </c>
      <c r="M2193" s="28" t="s">
        <v>21</v>
      </c>
      <c r="O2193" s="92">
        <v>37370</v>
      </c>
      <c r="P2193" s="28" t="s">
        <v>31</v>
      </c>
      <c r="Q2193" s="26" t="b">
        <v>0</v>
      </c>
      <c r="R2193" s="22">
        <f t="shared" si="34"/>
        <v>50</v>
      </c>
    </row>
    <row r="2194" spans="1:18">
      <c r="A2194" s="26">
        <v>6274</v>
      </c>
      <c r="B2194" s="27">
        <v>37321</v>
      </c>
      <c r="C2194" s="28" t="s">
        <v>6945</v>
      </c>
      <c r="D2194" s="27">
        <v>37319</v>
      </c>
      <c r="E2194" s="28" t="s">
        <v>6946</v>
      </c>
      <c r="F2194" s="28" t="s">
        <v>124</v>
      </c>
      <c r="G2194" s="28" t="s">
        <v>20</v>
      </c>
      <c r="H2194" s="28" t="s">
        <v>21</v>
      </c>
      <c r="I2194" s="28" t="s">
        <v>21</v>
      </c>
      <c r="J2194" s="28" t="s">
        <v>272</v>
      </c>
      <c r="K2194" s="28" t="s">
        <v>6947</v>
      </c>
      <c r="L2194" s="28" t="s">
        <v>4282</v>
      </c>
      <c r="M2194" s="28" t="s">
        <v>21</v>
      </c>
      <c r="O2194" s="92">
        <v>37634</v>
      </c>
      <c r="P2194" s="28" t="s">
        <v>31</v>
      </c>
      <c r="Q2194" s="26" t="b">
        <v>0</v>
      </c>
      <c r="R2194" s="22">
        <f t="shared" si="34"/>
        <v>311</v>
      </c>
    </row>
    <row r="2195" spans="1:18">
      <c r="A2195" s="26">
        <v>6276</v>
      </c>
      <c r="B2195" s="27">
        <v>37326</v>
      </c>
      <c r="C2195" s="28" t="s">
        <v>6951</v>
      </c>
      <c r="D2195" s="27">
        <v>37325</v>
      </c>
      <c r="E2195" s="28" t="s">
        <v>6952</v>
      </c>
      <c r="F2195" s="28" t="s">
        <v>6953</v>
      </c>
      <c r="G2195" s="28" t="s">
        <v>20</v>
      </c>
      <c r="H2195" s="28" t="s">
        <v>21</v>
      </c>
      <c r="I2195" s="28" t="s">
        <v>21</v>
      </c>
      <c r="J2195" s="28" t="s">
        <v>6372</v>
      </c>
      <c r="K2195" s="28" t="s">
        <v>6954</v>
      </c>
      <c r="L2195" s="28" t="s">
        <v>2205</v>
      </c>
      <c r="M2195" s="28" t="s">
        <v>6955</v>
      </c>
      <c r="O2195" s="92">
        <v>38692</v>
      </c>
      <c r="P2195" s="28" t="s">
        <v>31</v>
      </c>
      <c r="Q2195" s="26" t="b">
        <v>0</v>
      </c>
      <c r="R2195" s="22">
        <f t="shared" si="34"/>
        <v>1363</v>
      </c>
    </row>
    <row r="2196" spans="1:18">
      <c r="A2196" s="26">
        <v>6277</v>
      </c>
      <c r="B2196" s="27">
        <v>37326</v>
      </c>
      <c r="C2196" s="28" t="s">
        <v>6956</v>
      </c>
      <c r="D2196" s="27">
        <v>37326</v>
      </c>
      <c r="E2196" s="28" t="s">
        <v>6957</v>
      </c>
      <c r="F2196" s="28" t="s">
        <v>3062</v>
      </c>
      <c r="G2196" s="28" t="s">
        <v>20</v>
      </c>
      <c r="H2196" s="28" t="s">
        <v>21</v>
      </c>
      <c r="I2196" s="28" t="s">
        <v>21</v>
      </c>
      <c r="J2196" s="28" t="s">
        <v>6958</v>
      </c>
      <c r="K2196" s="28" t="s">
        <v>1510</v>
      </c>
      <c r="L2196" s="28" t="s">
        <v>314</v>
      </c>
      <c r="M2196" s="28" t="s">
        <v>21</v>
      </c>
      <c r="O2196" s="92">
        <v>38231</v>
      </c>
      <c r="P2196" s="28" t="s">
        <v>31</v>
      </c>
      <c r="Q2196" s="26" t="b">
        <v>0</v>
      </c>
      <c r="R2196" s="22">
        <f t="shared" si="34"/>
        <v>902</v>
      </c>
    </row>
    <row r="2197" spans="1:18">
      <c r="A2197" s="26">
        <v>6278</v>
      </c>
      <c r="B2197" s="27">
        <v>37326</v>
      </c>
      <c r="C2197" s="28" t="s">
        <v>6959</v>
      </c>
      <c r="D2197" s="27">
        <v>37326</v>
      </c>
      <c r="E2197" s="28" t="s">
        <v>283</v>
      </c>
      <c r="F2197" s="28" t="s">
        <v>6888</v>
      </c>
      <c r="G2197" s="28" t="s">
        <v>20</v>
      </c>
      <c r="H2197" s="28" t="s">
        <v>21</v>
      </c>
      <c r="I2197" s="28" t="s">
        <v>21</v>
      </c>
      <c r="J2197" s="28" t="s">
        <v>6960</v>
      </c>
      <c r="K2197" s="28" t="s">
        <v>6961</v>
      </c>
      <c r="L2197" s="28" t="s">
        <v>314</v>
      </c>
      <c r="M2197" s="28" t="s">
        <v>21</v>
      </c>
      <c r="O2197" s="92">
        <v>37382</v>
      </c>
      <c r="P2197" s="28" t="s">
        <v>21</v>
      </c>
      <c r="Q2197" s="26" t="b">
        <v>0</v>
      </c>
      <c r="R2197" s="22">
        <f t="shared" si="34"/>
        <v>55</v>
      </c>
    </row>
    <row r="2198" spans="1:18">
      <c r="A2198" s="26">
        <v>6279</v>
      </c>
      <c r="B2198" s="27">
        <v>37326</v>
      </c>
      <c r="C2198" s="28" t="s">
        <v>6962</v>
      </c>
      <c r="D2198" s="27">
        <v>37326</v>
      </c>
      <c r="E2198" s="28" t="s">
        <v>283</v>
      </c>
      <c r="F2198" s="28" t="s">
        <v>6888</v>
      </c>
      <c r="G2198" s="28" t="s">
        <v>21</v>
      </c>
      <c r="H2198" s="28" t="s">
        <v>21</v>
      </c>
      <c r="I2198" s="28" t="s">
        <v>21</v>
      </c>
      <c r="J2198" s="28" t="s">
        <v>6963</v>
      </c>
      <c r="K2198" s="28" t="s">
        <v>6961</v>
      </c>
      <c r="L2198" s="28" t="s">
        <v>314</v>
      </c>
      <c r="M2198" s="28" t="s">
        <v>21</v>
      </c>
      <c r="O2198" s="92">
        <v>37375</v>
      </c>
      <c r="P2198" s="28" t="s">
        <v>21</v>
      </c>
      <c r="Q2198" s="26" t="b">
        <v>0</v>
      </c>
      <c r="R2198" s="22">
        <f t="shared" si="34"/>
        <v>48</v>
      </c>
    </row>
    <row r="2199" spans="1:18">
      <c r="A2199" s="26">
        <v>6280</v>
      </c>
      <c r="B2199" s="27">
        <v>37326</v>
      </c>
      <c r="C2199" s="28" t="s">
        <v>6964</v>
      </c>
      <c r="D2199" s="27">
        <v>37322</v>
      </c>
      <c r="E2199" s="28" t="s">
        <v>38</v>
      </c>
      <c r="F2199" s="28" t="s">
        <v>3430</v>
      </c>
      <c r="G2199" s="28" t="s">
        <v>20</v>
      </c>
      <c r="H2199" s="28" t="s">
        <v>71</v>
      </c>
      <c r="I2199" s="28" t="s">
        <v>72</v>
      </c>
      <c r="J2199" s="28" t="s">
        <v>6965</v>
      </c>
      <c r="K2199" s="28" t="s">
        <v>21</v>
      </c>
      <c r="L2199" s="28" t="s">
        <v>4282</v>
      </c>
      <c r="M2199" s="28" t="s">
        <v>21</v>
      </c>
      <c r="O2199" s="92">
        <v>37582</v>
      </c>
      <c r="P2199" s="28" t="s">
        <v>31</v>
      </c>
      <c r="Q2199" s="26" t="b">
        <v>0</v>
      </c>
      <c r="R2199" s="22">
        <f t="shared" si="34"/>
        <v>254</v>
      </c>
    </row>
    <row r="2200" spans="1:18">
      <c r="A2200" s="26">
        <v>6368</v>
      </c>
      <c r="B2200" s="27">
        <v>37327</v>
      </c>
      <c r="C2200" s="28" t="s">
        <v>7142</v>
      </c>
      <c r="D2200" s="27">
        <v>37327</v>
      </c>
      <c r="E2200" s="28" t="s">
        <v>283</v>
      </c>
      <c r="F2200" s="28" t="s">
        <v>6888</v>
      </c>
      <c r="G2200" s="28" t="s">
        <v>20</v>
      </c>
      <c r="H2200" s="28" t="s">
        <v>21</v>
      </c>
      <c r="I2200" s="28" t="s">
        <v>21</v>
      </c>
      <c r="J2200" s="28" t="s">
        <v>7143</v>
      </c>
      <c r="K2200" s="28" t="s">
        <v>7144</v>
      </c>
      <c r="L2200" s="28" t="s">
        <v>4282</v>
      </c>
      <c r="M2200" s="28" t="s">
        <v>21</v>
      </c>
      <c r="O2200" s="92">
        <v>37414</v>
      </c>
      <c r="P2200" s="28" t="s">
        <v>21</v>
      </c>
      <c r="Q2200" s="26" t="b">
        <v>0</v>
      </c>
      <c r="R2200" s="22">
        <f t="shared" si="34"/>
        <v>86</v>
      </c>
    </row>
    <row r="2201" spans="1:18" ht="24">
      <c r="A2201" s="26">
        <v>6369</v>
      </c>
      <c r="B2201" s="27">
        <v>37327</v>
      </c>
      <c r="C2201" s="28" t="s">
        <v>7145</v>
      </c>
      <c r="D2201" s="27">
        <v>37327</v>
      </c>
      <c r="E2201" s="28" t="s">
        <v>283</v>
      </c>
      <c r="F2201" s="28" t="s">
        <v>6888</v>
      </c>
      <c r="G2201" s="28" t="s">
        <v>20</v>
      </c>
      <c r="H2201" s="28" t="s">
        <v>21</v>
      </c>
      <c r="I2201" s="28" t="s">
        <v>21</v>
      </c>
      <c r="J2201" s="28" t="s">
        <v>7146</v>
      </c>
      <c r="K2201" s="28" t="s">
        <v>7147</v>
      </c>
      <c r="L2201" s="28" t="s">
        <v>4282</v>
      </c>
      <c r="M2201" s="28" t="s">
        <v>21</v>
      </c>
      <c r="O2201" s="92">
        <v>37414</v>
      </c>
      <c r="P2201" s="28" t="s">
        <v>21</v>
      </c>
      <c r="Q2201" s="26" t="b">
        <v>0</v>
      </c>
      <c r="R2201" s="22">
        <f t="shared" si="34"/>
        <v>86</v>
      </c>
    </row>
    <row r="2202" spans="1:18">
      <c r="A2202" s="26">
        <v>6281</v>
      </c>
      <c r="B2202" s="27">
        <v>37329</v>
      </c>
      <c r="C2202" s="28" t="s">
        <v>6966</v>
      </c>
      <c r="D2202" s="27">
        <v>37328</v>
      </c>
      <c r="E2202" s="28" t="s">
        <v>6967</v>
      </c>
      <c r="F2202" s="28" t="s">
        <v>974</v>
      </c>
      <c r="G2202" s="28" t="s">
        <v>20</v>
      </c>
      <c r="H2202" s="28" t="s">
        <v>212</v>
      </c>
      <c r="I2202" s="28" t="s">
        <v>212</v>
      </c>
      <c r="J2202" s="28" t="s">
        <v>6968</v>
      </c>
      <c r="K2202" s="28" t="s">
        <v>6969</v>
      </c>
      <c r="L2202" s="28" t="s">
        <v>4282</v>
      </c>
      <c r="M2202" s="28" t="s">
        <v>21</v>
      </c>
      <c r="O2202" s="92">
        <v>38422</v>
      </c>
      <c r="P2202" s="28" t="s">
        <v>31</v>
      </c>
      <c r="Q2202" s="26" t="b">
        <v>0</v>
      </c>
      <c r="R2202" s="22">
        <f t="shared" si="34"/>
        <v>1091</v>
      </c>
    </row>
    <row r="2203" spans="1:18">
      <c r="A2203" s="26">
        <v>6282</v>
      </c>
      <c r="B2203" s="27">
        <v>37334</v>
      </c>
      <c r="C2203" s="28" t="s">
        <v>6970</v>
      </c>
      <c r="D2203" s="27">
        <v>37327</v>
      </c>
      <c r="E2203" s="28" t="s">
        <v>1432</v>
      </c>
      <c r="F2203" s="28" t="s">
        <v>533</v>
      </c>
      <c r="G2203" s="28" t="s">
        <v>20</v>
      </c>
      <c r="H2203" s="28" t="s">
        <v>21</v>
      </c>
      <c r="I2203" s="28" t="s">
        <v>21</v>
      </c>
      <c r="J2203" s="28" t="s">
        <v>6971</v>
      </c>
      <c r="K2203" s="28" t="s">
        <v>6972</v>
      </c>
      <c r="L2203" s="28" t="s">
        <v>4282</v>
      </c>
      <c r="M2203" s="28" t="s">
        <v>21</v>
      </c>
      <c r="O2203" s="92">
        <v>37508</v>
      </c>
      <c r="P2203" s="28" t="s">
        <v>31</v>
      </c>
      <c r="Q2203" s="26" t="b">
        <v>0</v>
      </c>
      <c r="R2203" s="22">
        <f t="shared" si="34"/>
        <v>172</v>
      </c>
    </row>
    <row r="2204" spans="1:18">
      <c r="A2204" s="26">
        <v>6283</v>
      </c>
      <c r="B2204" s="27">
        <v>37334</v>
      </c>
      <c r="C2204" s="28" t="s">
        <v>6973</v>
      </c>
      <c r="D2204" s="27">
        <v>37330</v>
      </c>
      <c r="E2204" s="28" t="s">
        <v>6974</v>
      </c>
      <c r="F2204" s="28" t="s">
        <v>56</v>
      </c>
      <c r="G2204" s="28" t="s">
        <v>20</v>
      </c>
      <c r="H2204" s="28" t="s">
        <v>21</v>
      </c>
      <c r="I2204" s="28" t="s">
        <v>21</v>
      </c>
      <c r="J2204" s="28" t="s">
        <v>6975</v>
      </c>
      <c r="K2204" s="28" t="s">
        <v>3655</v>
      </c>
      <c r="L2204" s="28" t="s">
        <v>314</v>
      </c>
      <c r="M2204" s="28" t="s">
        <v>21</v>
      </c>
      <c r="O2204" s="92">
        <v>37407</v>
      </c>
      <c r="P2204" s="28" t="s">
        <v>31</v>
      </c>
      <c r="Q2204" s="26" t="b">
        <v>0</v>
      </c>
      <c r="R2204" s="22">
        <f t="shared" si="34"/>
        <v>73</v>
      </c>
    </row>
    <row r="2205" spans="1:18">
      <c r="A2205" s="26">
        <v>6285</v>
      </c>
      <c r="B2205" s="27">
        <v>37335</v>
      </c>
      <c r="C2205" s="28" t="s">
        <v>6976</v>
      </c>
      <c r="D2205" s="27">
        <v>37335</v>
      </c>
      <c r="E2205" s="28" t="s">
        <v>283</v>
      </c>
      <c r="F2205" s="28" t="s">
        <v>6888</v>
      </c>
      <c r="G2205" s="28" t="s">
        <v>20</v>
      </c>
      <c r="H2205" s="28" t="s">
        <v>21</v>
      </c>
      <c r="I2205" s="28" t="s">
        <v>21</v>
      </c>
      <c r="J2205" s="28" t="s">
        <v>6977</v>
      </c>
      <c r="K2205" s="28" t="s">
        <v>6978</v>
      </c>
      <c r="L2205" s="28" t="s">
        <v>4282</v>
      </c>
      <c r="M2205" s="28" t="s">
        <v>21</v>
      </c>
      <c r="O2205" s="92">
        <v>37442</v>
      </c>
      <c r="P2205" s="28" t="s">
        <v>21</v>
      </c>
      <c r="Q2205" s="26" t="b">
        <v>0</v>
      </c>
      <c r="R2205" s="22">
        <f t="shared" si="34"/>
        <v>106</v>
      </c>
    </row>
    <row r="2206" spans="1:18">
      <c r="A2206" s="26">
        <v>6286</v>
      </c>
      <c r="B2206" s="27">
        <v>37336</v>
      </c>
      <c r="C2206" s="28" t="s">
        <v>6979</v>
      </c>
      <c r="D2206" s="27">
        <v>37284</v>
      </c>
      <c r="E2206" s="28" t="s">
        <v>6980</v>
      </c>
      <c r="F2206" s="28" t="s">
        <v>39</v>
      </c>
      <c r="G2206" s="28" t="s">
        <v>20</v>
      </c>
      <c r="H2206" s="28" t="s">
        <v>21</v>
      </c>
      <c r="I2206" s="28" t="s">
        <v>21</v>
      </c>
      <c r="J2206" s="28" t="s">
        <v>5162</v>
      </c>
      <c r="K2206" s="28" t="s">
        <v>6981</v>
      </c>
      <c r="L2206" s="28" t="s">
        <v>314</v>
      </c>
      <c r="M2206" s="28" t="s">
        <v>21</v>
      </c>
      <c r="O2206" s="92">
        <v>37399</v>
      </c>
      <c r="P2206" s="28" t="s">
        <v>21</v>
      </c>
      <c r="Q2206" s="26" t="b">
        <v>0</v>
      </c>
      <c r="R2206" s="22">
        <f t="shared" si="34"/>
        <v>62</v>
      </c>
    </row>
    <row r="2207" spans="1:18">
      <c r="A2207" s="26">
        <v>6287</v>
      </c>
      <c r="B2207" s="27">
        <v>37336</v>
      </c>
      <c r="C2207" s="28" t="s">
        <v>6982</v>
      </c>
      <c r="D2207" s="27">
        <v>37284</v>
      </c>
      <c r="E2207" s="28" t="s">
        <v>6983</v>
      </c>
      <c r="F2207" s="28" t="s">
        <v>129</v>
      </c>
      <c r="G2207" s="28" t="s">
        <v>20</v>
      </c>
      <c r="H2207" s="28" t="s">
        <v>21</v>
      </c>
      <c r="I2207" s="28" t="s">
        <v>21</v>
      </c>
      <c r="J2207" s="28" t="s">
        <v>5162</v>
      </c>
      <c r="K2207" s="28" t="s">
        <v>6981</v>
      </c>
      <c r="L2207" s="28" t="s">
        <v>314</v>
      </c>
      <c r="M2207" s="28" t="s">
        <v>21</v>
      </c>
      <c r="O2207" s="92">
        <v>37399</v>
      </c>
      <c r="P2207" s="28" t="s">
        <v>31</v>
      </c>
      <c r="Q2207" s="26" t="b">
        <v>0</v>
      </c>
      <c r="R2207" s="22">
        <f t="shared" si="34"/>
        <v>62</v>
      </c>
    </row>
    <row r="2208" spans="1:18">
      <c r="A2208" s="26">
        <v>6288</v>
      </c>
      <c r="B2208" s="27">
        <v>37343</v>
      </c>
      <c r="C2208" s="28" t="s">
        <v>6984</v>
      </c>
      <c r="D2208" s="27">
        <v>37335</v>
      </c>
      <c r="E2208" s="28" t="s">
        <v>6985</v>
      </c>
      <c r="F2208" s="28" t="s">
        <v>124</v>
      </c>
      <c r="G2208" s="28" t="s">
        <v>20</v>
      </c>
      <c r="H2208" s="28" t="s">
        <v>21</v>
      </c>
      <c r="I2208" s="28" t="s">
        <v>21</v>
      </c>
      <c r="J2208" s="28" t="s">
        <v>6986</v>
      </c>
      <c r="K2208" s="28" t="s">
        <v>6987</v>
      </c>
      <c r="L2208" s="28" t="s">
        <v>314</v>
      </c>
      <c r="M2208" s="28" t="s">
        <v>21</v>
      </c>
      <c r="O2208" s="92">
        <v>37634</v>
      </c>
      <c r="P2208" s="28" t="s">
        <v>31</v>
      </c>
      <c r="Q2208" s="26" t="b">
        <v>0</v>
      </c>
      <c r="R2208" s="22">
        <f t="shared" si="34"/>
        <v>288</v>
      </c>
    </row>
    <row r="2209" spans="1:18">
      <c r="A2209" s="26">
        <v>6289</v>
      </c>
      <c r="B2209" s="27">
        <v>37343</v>
      </c>
      <c r="C2209" s="28" t="s">
        <v>6988</v>
      </c>
      <c r="D2209" s="27">
        <v>37340</v>
      </c>
      <c r="E2209" s="28" t="s">
        <v>4172</v>
      </c>
      <c r="F2209" s="28" t="s">
        <v>3062</v>
      </c>
      <c r="G2209" s="28" t="s">
        <v>20</v>
      </c>
      <c r="H2209" s="28" t="s">
        <v>21</v>
      </c>
      <c r="I2209" s="28" t="s">
        <v>21</v>
      </c>
      <c r="J2209" s="28" t="s">
        <v>6989</v>
      </c>
      <c r="K2209" s="28" t="s">
        <v>21</v>
      </c>
      <c r="L2209" s="28" t="s">
        <v>66</v>
      </c>
      <c r="M2209" s="28" t="s">
        <v>21</v>
      </c>
      <c r="O2209" s="92">
        <v>37659</v>
      </c>
      <c r="P2209" s="28" t="s">
        <v>21</v>
      </c>
      <c r="Q2209" s="26" t="b">
        <v>0</v>
      </c>
      <c r="R2209" s="22">
        <f t="shared" si="34"/>
        <v>313</v>
      </c>
    </row>
    <row r="2210" spans="1:18" ht="24">
      <c r="A2210" s="26">
        <v>6290</v>
      </c>
      <c r="B2210" s="27">
        <v>37343</v>
      </c>
      <c r="C2210" s="28" t="s">
        <v>6990</v>
      </c>
      <c r="D2210" s="27">
        <v>37336</v>
      </c>
      <c r="E2210" s="28" t="s">
        <v>6991</v>
      </c>
      <c r="F2210" s="28" t="s">
        <v>6456</v>
      </c>
      <c r="G2210" s="28" t="s">
        <v>20</v>
      </c>
      <c r="H2210" s="28" t="s">
        <v>21</v>
      </c>
      <c r="I2210" s="28" t="s">
        <v>21</v>
      </c>
      <c r="J2210" s="28" t="s">
        <v>6992</v>
      </c>
      <c r="K2210" s="28" t="s">
        <v>6993</v>
      </c>
      <c r="L2210" s="28" t="s">
        <v>4579</v>
      </c>
      <c r="M2210" s="28" t="s">
        <v>66</v>
      </c>
      <c r="O2210" s="92">
        <v>38827</v>
      </c>
      <c r="P2210" s="28" t="s">
        <v>21</v>
      </c>
      <c r="Q2210" s="26" t="b">
        <v>0</v>
      </c>
      <c r="R2210" s="22">
        <f t="shared" si="34"/>
        <v>1482</v>
      </c>
    </row>
    <row r="2211" spans="1:18" ht="48">
      <c r="A2211" s="26">
        <v>6295</v>
      </c>
      <c r="B2211" s="27">
        <v>37343</v>
      </c>
      <c r="C2211" s="28" t="s">
        <v>7000</v>
      </c>
      <c r="D2211" s="27">
        <v>37343</v>
      </c>
      <c r="E2211" s="28" t="s">
        <v>283</v>
      </c>
      <c r="F2211" s="28" t="s">
        <v>149</v>
      </c>
      <c r="G2211" s="28" t="s">
        <v>20</v>
      </c>
      <c r="H2211" s="28" t="s">
        <v>21</v>
      </c>
      <c r="I2211" s="28" t="s">
        <v>21</v>
      </c>
      <c r="J2211" s="28" t="s">
        <v>7001</v>
      </c>
      <c r="K2211" s="28" t="s">
        <v>7002</v>
      </c>
      <c r="L2211" s="28" t="s">
        <v>4282</v>
      </c>
      <c r="M2211" s="28" t="s">
        <v>21</v>
      </c>
      <c r="O2211" s="92">
        <v>37442</v>
      </c>
      <c r="P2211" s="28" t="s">
        <v>21</v>
      </c>
      <c r="Q2211" s="26" t="b">
        <v>0</v>
      </c>
      <c r="R2211" s="22">
        <f t="shared" si="34"/>
        <v>98</v>
      </c>
    </row>
    <row r="2212" spans="1:18">
      <c r="A2212" s="26">
        <v>6292</v>
      </c>
      <c r="B2212" s="27">
        <v>37348</v>
      </c>
      <c r="C2212" s="28" t="s">
        <v>6994</v>
      </c>
      <c r="D2212" s="27">
        <v>37343</v>
      </c>
      <c r="E2212" s="28" t="s">
        <v>6995</v>
      </c>
      <c r="F2212" s="28" t="s">
        <v>85</v>
      </c>
      <c r="G2212" s="28" t="s">
        <v>20</v>
      </c>
      <c r="H2212" s="28" t="s">
        <v>21</v>
      </c>
      <c r="I2212" s="28" t="s">
        <v>21</v>
      </c>
      <c r="J2212" s="28" t="s">
        <v>6996</v>
      </c>
      <c r="K2212" s="28" t="s">
        <v>6997</v>
      </c>
      <c r="L2212" s="28" t="s">
        <v>314</v>
      </c>
      <c r="M2212" s="28" t="s">
        <v>21</v>
      </c>
      <c r="O2212" s="92">
        <v>37503</v>
      </c>
      <c r="P2212" s="28" t="s">
        <v>31</v>
      </c>
      <c r="Q2212" s="26" t="b">
        <v>0</v>
      </c>
      <c r="R2212" s="22">
        <f t="shared" si="34"/>
        <v>154</v>
      </c>
    </row>
    <row r="2213" spans="1:18">
      <c r="A2213" s="26">
        <v>6293</v>
      </c>
      <c r="B2213" s="27">
        <v>37349</v>
      </c>
      <c r="C2213" s="28" t="s">
        <v>6998</v>
      </c>
      <c r="D2213" s="27">
        <v>37338</v>
      </c>
      <c r="E2213" s="28" t="s">
        <v>38</v>
      </c>
      <c r="F2213" s="28" t="s">
        <v>124</v>
      </c>
      <c r="G2213" s="28" t="s">
        <v>20</v>
      </c>
      <c r="H2213" s="28" t="s">
        <v>21</v>
      </c>
      <c r="I2213" s="28" t="s">
        <v>21</v>
      </c>
      <c r="J2213" s="28" t="s">
        <v>6999</v>
      </c>
      <c r="K2213" s="28" t="s">
        <v>21</v>
      </c>
      <c r="L2213" s="28" t="s">
        <v>3930</v>
      </c>
      <c r="M2213" s="28" t="s">
        <v>21</v>
      </c>
      <c r="O2213" s="92">
        <v>37349</v>
      </c>
      <c r="P2213" s="28" t="s">
        <v>31</v>
      </c>
      <c r="Q2213" s="26" t="b">
        <v>0</v>
      </c>
      <c r="R2213" s="22">
        <f t="shared" si="34"/>
        <v>0</v>
      </c>
    </row>
    <row r="2214" spans="1:18">
      <c r="A2214" s="26">
        <v>6297</v>
      </c>
      <c r="B2214" s="27">
        <v>37351</v>
      </c>
      <c r="C2214" s="28" t="s">
        <v>7003</v>
      </c>
      <c r="D2214" s="27">
        <v>37347</v>
      </c>
      <c r="E2214" s="28" t="s">
        <v>38</v>
      </c>
      <c r="F2214" s="28" t="s">
        <v>124</v>
      </c>
      <c r="G2214" s="28" t="s">
        <v>20</v>
      </c>
      <c r="H2214" s="28" t="s">
        <v>21</v>
      </c>
      <c r="I2214" s="28" t="s">
        <v>21</v>
      </c>
      <c r="J2214" s="28" t="s">
        <v>7004</v>
      </c>
      <c r="K2214" s="28" t="s">
        <v>7005</v>
      </c>
      <c r="L2214" s="28" t="s">
        <v>3930</v>
      </c>
      <c r="M2214" s="28" t="s">
        <v>21</v>
      </c>
      <c r="O2214" s="92">
        <v>37634</v>
      </c>
      <c r="P2214" s="28" t="s">
        <v>31</v>
      </c>
      <c r="Q2214" s="26" t="b">
        <v>0</v>
      </c>
      <c r="R2214" s="22">
        <f t="shared" si="34"/>
        <v>281</v>
      </c>
    </row>
    <row r="2215" spans="1:18">
      <c r="A2215" s="26">
        <v>6298</v>
      </c>
      <c r="B2215" s="27">
        <v>37351</v>
      </c>
      <c r="C2215" s="28" t="s">
        <v>7003</v>
      </c>
      <c r="D2215" s="27">
        <v>37350</v>
      </c>
      <c r="E2215" s="28" t="s">
        <v>7006</v>
      </c>
      <c r="F2215" s="28" t="s">
        <v>85</v>
      </c>
      <c r="G2215" s="28" t="s">
        <v>20</v>
      </c>
      <c r="H2215" s="28" t="s">
        <v>21</v>
      </c>
      <c r="I2215" s="28" t="s">
        <v>21</v>
      </c>
      <c r="J2215" s="28" t="s">
        <v>7007</v>
      </c>
      <c r="K2215" s="28" t="s">
        <v>7008</v>
      </c>
      <c r="L2215" s="28" t="s">
        <v>314</v>
      </c>
      <c r="M2215" s="28" t="s">
        <v>21</v>
      </c>
      <c r="O2215" s="92">
        <v>37494</v>
      </c>
      <c r="P2215" s="28" t="s">
        <v>31</v>
      </c>
      <c r="Q2215" s="26" t="b">
        <v>0</v>
      </c>
      <c r="R2215" s="22">
        <f t="shared" ref="R2215:R2244" si="35">IF(O2215=" ", " ", INT(YEARFRAC(O2215, B2215)*365))</f>
        <v>142</v>
      </c>
    </row>
    <row r="2216" spans="1:18">
      <c r="A2216" s="26">
        <v>6299</v>
      </c>
      <c r="B2216" s="27">
        <v>37354</v>
      </c>
      <c r="C2216" s="28" t="s">
        <v>7009</v>
      </c>
      <c r="D2216" s="27">
        <v>36439</v>
      </c>
      <c r="E2216" s="28" t="s">
        <v>4172</v>
      </c>
      <c r="F2216" s="28" t="s">
        <v>1830</v>
      </c>
      <c r="G2216" s="28" t="s">
        <v>20</v>
      </c>
      <c r="H2216" s="28" t="s">
        <v>21</v>
      </c>
      <c r="I2216" s="28" t="s">
        <v>21</v>
      </c>
      <c r="J2216" s="28" t="s">
        <v>7010</v>
      </c>
      <c r="K2216" s="28" t="s">
        <v>21</v>
      </c>
      <c r="L2216" s="28" t="s">
        <v>314</v>
      </c>
      <c r="M2216" s="28" t="s">
        <v>5749</v>
      </c>
      <c r="O2216" s="92">
        <v>37572</v>
      </c>
      <c r="P2216" s="28" t="s">
        <v>31</v>
      </c>
      <c r="Q2216" s="26" t="b">
        <v>0</v>
      </c>
      <c r="R2216" s="22">
        <f t="shared" si="35"/>
        <v>216</v>
      </c>
    </row>
    <row r="2217" spans="1:18">
      <c r="A2217" s="26">
        <v>6301</v>
      </c>
      <c r="B2217" s="27">
        <v>37354</v>
      </c>
      <c r="C2217" s="28" t="s">
        <v>7011</v>
      </c>
      <c r="D2217" s="27">
        <v>36579</v>
      </c>
      <c r="E2217" s="28" t="s">
        <v>4172</v>
      </c>
      <c r="F2217" s="28" t="s">
        <v>6643</v>
      </c>
      <c r="G2217" s="28" t="s">
        <v>20</v>
      </c>
      <c r="H2217" s="28" t="s">
        <v>189</v>
      </c>
      <c r="I2217" s="28" t="s">
        <v>189</v>
      </c>
      <c r="J2217" s="28" t="s">
        <v>7012</v>
      </c>
      <c r="K2217" s="28" t="s">
        <v>21</v>
      </c>
      <c r="L2217" s="28" t="s">
        <v>314</v>
      </c>
      <c r="M2217" s="28" t="s">
        <v>5749</v>
      </c>
      <c r="O2217" s="92">
        <v>37845</v>
      </c>
      <c r="P2217" s="28" t="s">
        <v>31</v>
      </c>
      <c r="Q2217" s="26" t="b">
        <v>0</v>
      </c>
      <c r="R2217" s="22">
        <f t="shared" si="35"/>
        <v>490</v>
      </c>
    </row>
    <row r="2218" spans="1:18">
      <c r="A2218" s="26">
        <v>6302</v>
      </c>
      <c r="B2218" s="27">
        <v>37354</v>
      </c>
      <c r="C2218" s="28" t="s">
        <v>7013</v>
      </c>
      <c r="D2218" s="27">
        <v>36579</v>
      </c>
      <c r="E2218" s="28" t="s">
        <v>4172</v>
      </c>
      <c r="F2218" s="28" t="s">
        <v>1771</v>
      </c>
      <c r="G2218" s="28" t="s">
        <v>20</v>
      </c>
      <c r="H2218" s="28" t="s">
        <v>189</v>
      </c>
      <c r="I2218" s="28" t="s">
        <v>189</v>
      </c>
      <c r="J2218" s="28" t="s">
        <v>7014</v>
      </c>
      <c r="K2218" s="28" t="s">
        <v>7015</v>
      </c>
      <c r="L2218" s="28" t="s">
        <v>314</v>
      </c>
      <c r="M2218" s="28" t="s">
        <v>5749</v>
      </c>
      <c r="O2218" s="92">
        <v>37845</v>
      </c>
      <c r="P2218" s="28" t="s">
        <v>31</v>
      </c>
      <c r="Q2218" s="26" t="b">
        <v>0</v>
      </c>
      <c r="R2218" s="22">
        <f t="shared" si="35"/>
        <v>490</v>
      </c>
    </row>
    <row r="2219" spans="1:18">
      <c r="A2219" s="26">
        <v>6303</v>
      </c>
      <c r="B2219" s="27">
        <v>37354</v>
      </c>
      <c r="C2219" s="28" t="s">
        <v>7016</v>
      </c>
      <c r="D2219" s="27">
        <v>36579</v>
      </c>
      <c r="E2219" s="28" t="s">
        <v>4172</v>
      </c>
      <c r="F2219" s="28" t="s">
        <v>56</v>
      </c>
      <c r="G2219" s="28" t="s">
        <v>20</v>
      </c>
      <c r="H2219" s="28" t="s">
        <v>21</v>
      </c>
      <c r="I2219" s="28" t="s">
        <v>21</v>
      </c>
      <c r="J2219" s="28" t="s">
        <v>5369</v>
      </c>
      <c r="K2219" s="28" t="s">
        <v>7017</v>
      </c>
      <c r="L2219" s="28" t="s">
        <v>314</v>
      </c>
      <c r="M2219" s="28" t="s">
        <v>5749</v>
      </c>
      <c r="O2219" s="92">
        <v>37845</v>
      </c>
      <c r="P2219" s="28" t="s">
        <v>31</v>
      </c>
      <c r="Q2219" s="26" t="b">
        <v>0</v>
      </c>
      <c r="R2219" s="22">
        <f t="shared" si="35"/>
        <v>490</v>
      </c>
    </row>
    <row r="2220" spans="1:18">
      <c r="A2220" s="26">
        <v>6304</v>
      </c>
      <c r="B2220" s="27">
        <v>37355</v>
      </c>
      <c r="C2220" s="28" t="s">
        <v>7018</v>
      </c>
      <c r="D2220" s="27">
        <v>36579</v>
      </c>
      <c r="E2220" s="28" t="s">
        <v>4172</v>
      </c>
      <c r="F2220" s="28" t="s">
        <v>5988</v>
      </c>
      <c r="G2220" s="28" t="s">
        <v>20</v>
      </c>
      <c r="H2220" s="28" t="s">
        <v>21</v>
      </c>
      <c r="I2220" s="28" t="s">
        <v>21</v>
      </c>
      <c r="J2220" s="28" t="s">
        <v>7019</v>
      </c>
      <c r="K2220" s="28" t="s">
        <v>7020</v>
      </c>
      <c r="L2220" s="28" t="s">
        <v>314</v>
      </c>
      <c r="M2220" s="28" t="s">
        <v>5749</v>
      </c>
      <c r="O2220" s="92">
        <v>37845</v>
      </c>
      <c r="P2220" s="28" t="s">
        <v>31</v>
      </c>
      <c r="Q2220" s="26" t="b">
        <v>0</v>
      </c>
      <c r="R2220" s="22">
        <f t="shared" si="35"/>
        <v>489</v>
      </c>
    </row>
    <row r="2221" spans="1:18">
      <c r="A2221" s="26">
        <v>6305</v>
      </c>
      <c r="B2221" s="27">
        <v>37355</v>
      </c>
      <c r="C2221" s="28" t="s">
        <v>7021</v>
      </c>
      <c r="D2221" s="27">
        <v>37089</v>
      </c>
      <c r="E2221" s="28" t="s">
        <v>4172</v>
      </c>
      <c r="F2221" s="28" t="s">
        <v>984</v>
      </c>
      <c r="G2221" s="28" t="s">
        <v>20</v>
      </c>
      <c r="H2221" s="28" t="s">
        <v>21</v>
      </c>
      <c r="I2221" s="28" t="s">
        <v>21</v>
      </c>
      <c r="J2221" s="28" t="s">
        <v>572</v>
      </c>
      <c r="K2221" s="28" t="s">
        <v>7022</v>
      </c>
      <c r="L2221" s="28" t="s">
        <v>314</v>
      </c>
      <c r="M2221" s="28" t="s">
        <v>3526</v>
      </c>
      <c r="O2221" s="92">
        <v>38321</v>
      </c>
      <c r="P2221" s="28" t="s">
        <v>21</v>
      </c>
      <c r="Q2221" s="26" t="b">
        <v>0</v>
      </c>
      <c r="R2221" s="22">
        <f t="shared" si="35"/>
        <v>964</v>
      </c>
    </row>
    <row r="2222" spans="1:18">
      <c r="A2222" s="26">
        <v>6306</v>
      </c>
      <c r="B2222" s="27">
        <v>37355</v>
      </c>
      <c r="C2222" s="28" t="s">
        <v>7023</v>
      </c>
      <c r="D2222" s="27">
        <v>36546</v>
      </c>
      <c r="E2222" s="28" t="s">
        <v>4172</v>
      </c>
      <c r="F2222" s="28" t="s">
        <v>7024</v>
      </c>
      <c r="G2222" s="28" t="s">
        <v>20</v>
      </c>
      <c r="H2222" s="28" t="s">
        <v>21</v>
      </c>
      <c r="I2222" s="28" t="s">
        <v>1061</v>
      </c>
      <c r="J2222" s="28" t="s">
        <v>7025</v>
      </c>
      <c r="K2222" s="28" t="s">
        <v>21</v>
      </c>
      <c r="L2222" s="28" t="s">
        <v>66</v>
      </c>
      <c r="M2222" s="28" t="s">
        <v>21</v>
      </c>
      <c r="O2222" s="92">
        <v>37580</v>
      </c>
      <c r="P2222" s="28" t="s">
        <v>31</v>
      </c>
      <c r="Q2222" s="26" t="b">
        <v>0</v>
      </c>
      <c r="R2222" s="22">
        <f t="shared" si="35"/>
        <v>224</v>
      </c>
    </row>
    <row r="2223" spans="1:18">
      <c r="A2223" s="26">
        <v>6307</v>
      </c>
      <c r="B2223" s="27">
        <v>37355</v>
      </c>
      <c r="C2223" s="28" t="s">
        <v>7026</v>
      </c>
      <c r="D2223" s="27">
        <v>37238</v>
      </c>
      <c r="E2223" s="28" t="s">
        <v>4172</v>
      </c>
      <c r="F2223" s="28" t="s">
        <v>3062</v>
      </c>
      <c r="G2223" s="28" t="s">
        <v>20</v>
      </c>
      <c r="H2223" s="28" t="s">
        <v>21</v>
      </c>
      <c r="I2223" s="28" t="s">
        <v>21</v>
      </c>
      <c r="J2223" s="28" t="s">
        <v>3064</v>
      </c>
      <c r="K2223" s="28" t="s">
        <v>21</v>
      </c>
      <c r="L2223" s="28" t="s">
        <v>66</v>
      </c>
      <c r="M2223" s="28" t="s">
        <v>21</v>
      </c>
      <c r="O2223" s="92">
        <v>37670</v>
      </c>
      <c r="P2223" s="28" t="s">
        <v>21</v>
      </c>
      <c r="Q2223" s="26" t="b">
        <v>0</v>
      </c>
      <c r="R2223" s="22">
        <f t="shared" si="35"/>
        <v>313</v>
      </c>
    </row>
    <row r="2224" spans="1:18">
      <c r="A2224" s="26">
        <v>6308</v>
      </c>
      <c r="B2224" s="27">
        <v>37355</v>
      </c>
      <c r="C2224" s="28" t="s">
        <v>7027</v>
      </c>
      <c r="D2224" s="27">
        <v>36563</v>
      </c>
      <c r="E2224" s="28" t="s">
        <v>4172</v>
      </c>
      <c r="F2224" s="28" t="s">
        <v>3434</v>
      </c>
      <c r="G2224" s="28" t="s">
        <v>20</v>
      </c>
      <c r="H2224" s="28" t="s">
        <v>21</v>
      </c>
      <c r="I2224" s="28" t="s">
        <v>21</v>
      </c>
      <c r="J2224" s="28" t="s">
        <v>7028</v>
      </c>
      <c r="K2224" s="28" t="s">
        <v>21</v>
      </c>
      <c r="L2224" s="28" t="s">
        <v>66</v>
      </c>
      <c r="M2224" s="28" t="s">
        <v>21</v>
      </c>
      <c r="O2224" s="92">
        <v>37424</v>
      </c>
      <c r="P2224" s="28" t="s">
        <v>31</v>
      </c>
      <c r="Q2224" s="26" t="b">
        <v>0</v>
      </c>
      <c r="R2224" s="22">
        <f t="shared" si="35"/>
        <v>68</v>
      </c>
    </row>
    <row r="2225" spans="1:18">
      <c r="A2225" s="26">
        <v>6309</v>
      </c>
      <c r="B2225" s="27">
        <v>37355</v>
      </c>
      <c r="C2225" s="28" t="s">
        <v>7029</v>
      </c>
      <c r="D2225" s="27">
        <v>35901</v>
      </c>
      <c r="E2225" s="28" t="s">
        <v>4172</v>
      </c>
      <c r="F2225" s="28" t="s">
        <v>7030</v>
      </c>
      <c r="G2225" s="28" t="s">
        <v>20</v>
      </c>
      <c r="H2225" s="28" t="s">
        <v>71</v>
      </c>
      <c r="I2225" s="28" t="s">
        <v>72</v>
      </c>
      <c r="J2225" s="28" t="s">
        <v>7031</v>
      </c>
      <c r="K2225" s="28" t="s">
        <v>7032</v>
      </c>
      <c r="L2225" s="28" t="s">
        <v>66</v>
      </c>
      <c r="M2225" s="28" t="s">
        <v>686</v>
      </c>
      <c r="O2225" s="92">
        <v>37426</v>
      </c>
      <c r="P2225" s="28" t="s">
        <v>21</v>
      </c>
      <c r="Q2225" s="26" t="b">
        <v>0</v>
      </c>
      <c r="R2225" s="22">
        <f t="shared" si="35"/>
        <v>70</v>
      </c>
    </row>
    <row r="2226" spans="1:18">
      <c r="A2226" s="26">
        <v>6311</v>
      </c>
      <c r="B2226" s="27">
        <v>37358</v>
      </c>
      <c r="C2226" s="28" t="s">
        <v>7033</v>
      </c>
      <c r="D2226" s="27">
        <v>37354</v>
      </c>
      <c r="E2226" s="28" t="s">
        <v>38</v>
      </c>
      <c r="F2226" s="28" t="s">
        <v>367</v>
      </c>
      <c r="G2226" s="28" t="s">
        <v>20</v>
      </c>
      <c r="H2226" s="28" t="s">
        <v>71</v>
      </c>
      <c r="I2226" s="28" t="s">
        <v>72</v>
      </c>
      <c r="J2226" s="28" t="s">
        <v>7034</v>
      </c>
      <c r="K2226" s="28" t="s">
        <v>7035</v>
      </c>
      <c r="L2226" s="28" t="s">
        <v>4282</v>
      </c>
      <c r="M2226" s="28" t="s">
        <v>21</v>
      </c>
      <c r="O2226" s="92">
        <v>37411</v>
      </c>
      <c r="P2226" s="28" t="s">
        <v>31</v>
      </c>
      <c r="Q2226" s="26" t="b">
        <v>0</v>
      </c>
      <c r="R2226" s="22">
        <f t="shared" si="35"/>
        <v>52</v>
      </c>
    </row>
    <row r="2227" spans="1:18">
      <c r="A2227" s="26">
        <v>6312</v>
      </c>
      <c r="B2227" s="27">
        <v>37361</v>
      </c>
      <c r="C2227" s="28" t="s">
        <v>7036</v>
      </c>
      <c r="D2227" s="27">
        <v>37340</v>
      </c>
      <c r="E2227" s="28" t="s">
        <v>283</v>
      </c>
      <c r="F2227" s="28" t="s">
        <v>149</v>
      </c>
      <c r="G2227" s="28" t="s">
        <v>20</v>
      </c>
      <c r="H2227" s="28" t="s">
        <v>21</v>
      </c>
      <c r="I2227" s="28" t="s">
        <v>21</v>
      </c>
      <c r="J2227" s="28" t="s">
        <v>7037</v>
      </c>
      <c r="K2227" s="28" t="s">
        <v>7038</v>
      </c>
      <c r="L2227" s="28" t="s">
        <v>66</v>
      </c>
      <c r="M2227" s="28" t="s">
        <v>21</v>
      </c>
      <c r="O2227" s="92">
        <v>37392</v>
      </c>
      <c r="P2227" s="28" t="s">
        <v>21</v>
      </c>
      <c r="Q2227" s="26" t="b">
        <v>0</v>
      </c>
      <c r="R2227" s="22">
        <f t="shared" si="35"/>
        <v>31</v>
      </c>
    </row>
    <row r="2228" spans="1:18">
      <c r="A2228" s="26">
        <v>6313</v>
      </c>
      <c r="B2228" s="27">
        <v>37363</v>
      </c>
      <c r="C2228" s="28" t="s">
        <v>7039</v>
      </c>
      <c r="D2228" s="27">
        <v>37356</v>
      </c>
      <c r="E2228" s="28" t="s">
        <v>3116</v>
      </c>
      <c r="F2228" s="28" t="s">
        <v>741</v>
      </c>
      <c r="G2228" s="28" t="s">
        <v>20</v>
      </c>
      <c r="H2228" s="28" t="s">
        <v>21</v>
      </c>
      <c r="I2228" s="28" t="s">
        <v>21</v>
      </c>
      <c r="J2228" s="28" t="s">
        <v>7040</v>
      </c>
      <c r="K2228" s="28" t="s">
        <v>21</v>
      </c>
      <c r="L2228" s="28" t="s">
        <v>66</v>
      </c>
      <c r="M2228" s="28" t="s">
        <v>21</v>
      </c>
      <c r="N2228" s="29">
        <v>37386</v>
      </c>
      <c r="O2228" s="92">
        <v>37363</v>
      </c>
      <c r="P2228" s="28" t="s">
        <v>21</v>
      </c>
      <c r="Q2228" s="26" t="b">
        <v>0</v>
      </c>
      <c r="R2228" s="22">
        <f t="shared" si="35"/>
        <v>0</v>
      </c>
    </row>
    <row r="2229" spans="1:18">
      <c r="A2229" s="26">
        <v>6329</v>
      </c>
      <c r="B2229" s="27">
        <v>37364</v>
      </c>
      <c r="C2229" s="28" t="s">
        <v>7063</v>
      </c>
      <c r="D2229" s="27">
        <v>37368</v>
      </c>
      <c r="E2229" s="28" t="s">
        <v>7064</v>
      </c>
      <c r="F2229" s="28" t="s">
        <v>70</v>
      </c>
      <c r="G2229" s="28" t="s">
        <v>20</v>
      </c>
      <c r="H2229" s="28" t="s">
        <v>71</v>
      </c>
      <c r="I2229" s="28" t="s">
        <v>72</v>
      </c>
      <c r="J2229" s="28" t="s">
        <v>3639</v>
      </c>
      <c r="K2229" s="28" t="s">
        <v>7065</v>
      </c>
      <c r="L2229" s="28" t="s">
        <v>314</v>
      </c>
      <c r="M2229" s="28" t="s">
        <v>21</v>
      </c>
      <c r="O2229" s="92">
        <v>37427</v>
      </c>
      <c r="P2229" s="28" t="s">
        <v>31</v>
      </c>
      <c r="Q2229" s="26" t="b">
        <v>0</v>
      </c>
      <c r="R2229" s="22">
        <f t="shared" si="35"/>
        <v>62</v>
      </c>
    </row>
    <row r="2230" spans="1:18" ht="24">
      <c r="A2230" s="26">
        <v>6321</v>
      </c>
      <c r="B2230" s="27">
        <v>37365</v>
      </c>
      <c r="C2230" s="28" t="s">
        <v>7056</v>
      </c>
      <c r="D2230" s="27">
        <v>37342</v>
      </c>
      <c r="E2230" s="28" t="s">
        <v>4172</v>
      </c>
      <c r="F2230" s="28" t="s">
        <v>149</v>
      </c>
      <c r="G2230" s="28" t="s">
        <v>20</v>
      </c>
      <c r="H2230" s="28" t="s">
        <v>21</v>
      </c>
      <c r="I2230" s="28" t="s">
        <v>21</v>
      </c>
      <c r="J2230" s="28" t="s">
        <v>7057</v>
      </c>
      <c r="K2230" s="28" t="s">
        <v>7058</v>
      </c>
      <c r="L2230" s="28" t="s">
        <v>314</v>
      </c>
      <c r="M2230" s="28" t="s">
        <v>21</v>
      </c>
      <c r="O2230" s="92">
        <v>37396</v>
      </c>
      <c r="P2230" s="28" t="s">
        <v>31</v>
      </c>
      <c r="Q2230" s="26" t="b">
        <v>0</v>
      </c>
      <c r="R2230" s="22">
        <f t="shared" si="35"/>
        <v>31</v>
      </c>
    </row>
    <row r="2231" spans="1:18">
      <c r="A2231" s="26">
        <v>6323</v>
      </c>
      <c r="B2231" s="27">
        <v>37370</v>
      </c>
      <c r="C2231" s="28" t="s">
        <v>7059</v>
      </c>
      <c r="D2231" s="27">
        <v>36563</v>
      </c>
      <c r="E2231" s="28" t="s">
        <v>4172</v>
      </c>
      <c r="F2231" s="28" t="s">
        <v>741</v>
      </c>
      <c r="G2231" s="28" t="s">
        <v>20</v>
      </c>
      <c r="H2231" s="28" t="s">
        <v>21</v>
      </c>
      <c r="I2231" s="28" t="s">
        <v>21</v>
      </c>
      <c r="J2231" s="28" t="s">
        <v>7060</v>
      </c>
      <c r="K2231" s="28" t="s">
        <v>21</v>
      </c>
      <c r="L2231" s="28" t="s">
        <v>66</v>
      </c>
      <c r="M2231" s="28" t="s">
        <v>21</v>
      </c>
      <c r="O2231" s="92">
        <v>37370</v>
      </c>
      <c r="P2231" s="28" t="s">
        <v>31</v>
      </c>
      <c r="Q2231" s="26" t="b">
        <v>0</v>
      </c>
      <c r="R2231" s="22">
        <f t="shared" si="35"/>
        <v>0</v>
      </c>
    </row>
    <row r="2232" spans="1:18">
      <c r="A2232" s="26">
        <v>6324</v>
      </c>
      <c r="B2232" s="27">
        <v>37370</v>
      </c>
      <c r="C2232" s="28" t="s">
        <v>7061</v>
      </c>
      <c r="D2232" s="27">
        <v>37189</v>
      </c>
      <c r="E2232" s="28" t="s">
        <v>4172</v>
      </c>
      <c r="F2232" s="28" t="s">
        <v>3430</v>
      </c>
      <c r="G2232" s="28" t="s">
        <v>20</v>
      </c>
      <c r="H2232" s="28" t="s">
        <v>71</v>
      </c>
      <c r="I2232" s="28" t="s">
        <v>72</v>
      </c>
      <c r="J2232" s="28" t="s">
        <v>7062</v>
      </c>
      <c r="K2232" s="28" t="s">
        <v>4690</v>
      </c>
      <c r="L2232" s="28" t="s">
        <v>66</v>
      </c>
      <c r="M2232" s="28" t="s">
        <v>21</v>
      </c>
      <c r="O2232" s="92">
        <v>37377</v>
      </c>
      <c r="P2232" s="28" t="s">
        <v>31</v>
      </c>
      <c r="Q2232" s="26" t="b">
        <v>0</v>
      </c>
      <c r="R2232" s="22">
        <f t="shared" si="35"/>
        <v>7</v>
      </c>
    </row>
    <row r="2233" spans="1:18">
      <c r="A2233" s="26">
        <v>6330</v>
      </c>
      <c r="B2233" s="27">
        <v>37372</v>
      </c>
      <c r="C2233" s="28" t="s">
        <v>7066</v>
      </c>
      <c r="D2233" s="27">
        <v>37367</v>
      </c>
      <c r="E2233" s="28" t="s">
        <v>38</v>
      </c>
      <c r="F2233" s="28" t="s">
        <v>228</v>
      </c>
      <c r="G2233" s="28" t="s">
        <v>20</v>
      </c>
      <c r="H2233" s="28" t="s">
        <v>21</v>
      </c>
      <c r="I2233" s="28" t="s">
        <v>21</v>
      </c>
      <c r="J2233" s="28" t="s">
        <v>7067</v>
      </c>
      <c r="K2233" s="28" t="s">
        <v>7068</v>
      </c>
      <c r="L2233" s="28" t="s">
        <v>66</v>
      </c>
      <c r="M2233" s="28" t="s">
        <v>21</v>
      </c>
      <c r="O2233" s="92">
        <v>37375</v>
      </c>
      <c r="P2233" s="28" t="s">
        <v>31</v>
      </c>
      <c r="Q2233" s="26" t="b">
        <v>0</v>
      </c>
      <c r="R2233" s="22">
        <f t="shared" si="35"/>
        <v>3</v>
      </c>
    </row>
    <row r="2234" spans="1:18">
      <c r="A2234" s="26">
        <v>6339</v>
      </c>
      <c r="B2234" s="27">
        <v>37377</v>
      </c>
      <c r="C2234" s="28" t="s">
        <v>7086</v>
      </c>
      <c r="D2234" s="27">
        <v>37372</v>
      </c>
      <c r="E2234" s="28" t="s">
        <v>1432</v>
      </c>
      <c r="F2234" s="28" t="s">
        <v>7070</v>
      </c>
      <c r="G2234" s="28" t="s">
        <v>20</v>
      </c>
      <c r="H2234" s="28" t="s">
        <v>566</v>
      </c>
      <c r="I2234" s="28" t="s">
        <v>566</v>
      </c>
      <c r="J2234" s="28" t="s">
        <v>7087</v>
      </c>
      <c r="K2234" s="28" t="s">
        <v>7088</v>
      </c>
      <c r="L2234" s="28" t="s">
        <v>314</v>
      </c>
      <c r="M2234" s="28" t="s">
        <v>7089</v>
      </c>
      <c r="O2234" s="92">
        <v>38379</v>
      </c>
      <c r="P2234" s="28" t="s">
        <v>21</v>
      </c>
      <c r="Q2234" s="26" t="b">
        <v>0</v>
      </c>
      <c r="R2234" s="22">
        <f t="shared" si="35"/>
        <v>999</v>
      </c>
    </row>
    <row r="2235" spans="1:18">
      <c r="A2235" s="26">
        <v>6331</v>
      </c>
      <c r="B2235" s="27">
        <v>37378</v>
      </c>
      <c r="C2235" s="28" t="s">
        <v>7069</v>
      </c>
      <c r="D2235" s="27">
        <v>37368</v>
      </c>
      <c r="E2235" s="28" t="s">
        <v>38</v>
      </c>
      <c r="F2235" s="28" t="s">
        <v>7070</v>
      </c>
      <c r="G2235" s="28" t="s">
        <v>20</v>
      </c>
      <c r="H2235" s="28" t="s">
        <v>566</v>
      </c>
      <c r="I2235" s="28" t="s">
        <v>566</v>
      </c>
      <c r="J2235" s="28" t="s">
        <v>7071</v>
      </c>
      <c r="K2235" s="28" t="s">
        <v>21</v>
      </c>
      <c r="L2235" s="28" t="s">
        <v>7072</v>
      </c>
      <c r="M2235" s="28" t="s">
        <v>21</v>
      </c>
      <c r="O2235" s="92">
        <v>37396</v>
      </c>
      <c r="P2235" s="28" t="s">
        <v>21</v>
      </c>
      <c r="Q2235" s="26" t="b">
        <v>0</v>
      </c>
      <c r="R2235" s="22">
        <f t="shared" si="35"/>
        <v>18</v>
      </c>
    </row>
    <row r="2236" spans="1:18">
      <c r="A2236" s="26">
        <v>6332</v>
      </c>
      <c r="B2236" s="27">
        <v>37378</v>
      </c>
      <c r="C2236" s="28" t="s">
        <v>7073</v>
      </c>
      <c r="D2236" s="27">
        <v>37363</v>
      </c>
      <c r="E2236" s="28" t="s">
        <v>38</v>
      </c>
      <c r="F2236" s="28" t="s">
        <v>124</v>
      </c>
      <c r="G2236" s="28" t="s">
        <v>20</v>
      </c>
      <c r="H2236" s="28" t="s">
        <v>21</v>
      </c>
      <c r="I2236" s="28" t="s">
        <v>21</v>
      </c>
      <c r="J2236" s="28" t="s">
        <v>21</v>
      </c>
      <c r="K2236" s="28" t="s">
        <v>21</v>
      </c>
      <c r="L2236" s="28" t="s">
        <v>7072</v>
      </c>
      <c r="M2236" s="28" t="s">
        <v>21</v>
      </c>
      <c r="O2236" s="92">
        <v>37384</v>
      </c>
      <c r="P2236" s="28" t="s">
        <v>31</v>
      </c>
      <c r="Q2236" s="26" t="b">
        <v>0</v>
      </c>
      <c r="R2236" s="22">
        <f t="shared" si="35"/>
        <v>6</v>
      </c>
    </row>
    <row r="2237" spans="1:18">
      <c r="A2237" s="26">
        <v>6333</v>
      </c>
      <c r="B2237" s="27">
        <v>37378</v>
      </c>
      <c r="C2237" s="28" t="s">
        <v>7074</v>
      </c>
      <c r="D2237" s="27">
        <v>37374</v>
      </c>
      <c r="E2237" s="28" t="s">
        <v>38</v>
      </c>
      <c r="F2237" s="28" t="s">
        <v>124</v>
      </c>
      <c r="G2237" s="28" t="s">
        <v>20</v>
      </c>
      <c r="H2237" s="28" t="s">
        <v>21</v>
      </c>
      <c r="I2237" s="28" t="s">
        <v>21</v>
      </c>
      <c r="J2237" s="28" t="s">
        <v>7075</v>
      </c>
      <c r="K2237" s="28" t="s">
        <v>21</v>
      </c>
      <c r="L2237" s="28" t="s">
        <v>7072</v>
      </c>
      <c r="M2237" s="28" t="s">
        <v>21</v>
      </c>
      <c r="O2237" s="92">
        <v>37410</v>
      </c>
      <c r="P2237" s="28" t="s">
        <v>31</v>
      </c>
      <c r="Q2237" s="26" t="b">
        <v>0</v>
      </c>
      <c r="R2237" s="22">
        <f t="shared" si="35"/>
        <v>31</v>
      </c>
    </row>
    <row r="2238" spans="1:18" ht="24">
      <c r="A2238" s="26">
        <v>6334</v>
      </c>
      <c r="B2238" s="27">
        <v>37383</v>
      </c>
      <c r="C2238" s="28" t="s">
        <v>7076</v>
      </c>
      <c r="D2238" s="27">
        <v>37376</v>
      </c>
      <c r="E2238" s="28" t="s">
        <v>7077</v>
      </c>
      <c r="F2238" s="28" t="s">
        <v>124</v>
      </c>
      <c r="G2238" s="28" t="s">
        <v>20</v>
      </c>
      <c r="H2238" s="28" t="s">
        <v>21</v>
      </c>
      <c r="I2238" s="28" t="s">
        <v>21</v>
      </c>
      <c r="J2238" s="28" t="s">
        <v>7078</v>
      </c>
      <c r="K2238" s="28" t="s">
        <v>1513</v>
      </c>
      <c r="L2238" s="28" t="s">
        <v>3588</v>
      </c>
      <c r="M2238" s="28" t="s">
        <v>7079</v>
      </c>
      <c r="O2238" s="92">
        <v>39499</v>
      </c>
      <c r="P2238" s="28" t="s">
        <v>21</v>
      </c>
      <c r="Q2238" s="26" t="b">
        <v>0</v>
      </c>
      <c r="R2238" s="22">
        <f t="shared" si="35"/>
        <v>2112</v>
      </c>
    </row>
    <row r="2239" spans="1:18">
      <c r="A2239" s="26">
        <v>6335</v>
      </c>
      <c r="B2239" s="27">
        <v>37383</v>
      </c>
      <c r="C2239" s="28" t="s">
        <v>7080</v>
      </c>
      <c r="D2239" s="27">
        <v>37376</v>
      </c>
      <c r="E2239" s="28" t="s">
        <v>38</v>
      </c>
      <c r="F2239" s="28" t="s">
        <v>124</v>
      </c>
      <c r="G2239" s="28" t="s">
        <v>20</v>
      </c>
      <c r="H2239" s="28" t="s">
        <v>21</v>
      </c>
      <c r="I2239" s="28" t="s">
        <v>21</v>
      </c>
      <c r="J2239" s="28" t="s">
        <v>2868</v>
      </c>
      <c r="K2239" s="28" t="s">
        <v>7081</v>
      </c>
      <c r="L2239" s="28" t="s">
        <v>66</v>
      </c>
      <c r="M2239" s="28" t="s">
        <v>21</v>
      </c>
      <c r="O2239" s="92">
        <v>37384</v>
      </c>
      <c r="P2239" s="28" t="s">
        <v>31</v>
      </c>
      <c r="Q2239" s="26" t="b">
        <v>0</v>
      </c>
      <c r="R2239" s="22">
        <f t="shared" si="35"/>
        <v>1</v>
      </c>
    </row>
    <row r="2240" spans="1:18">
      <c r="A2240" s="26">
        <v>6336</v>
      </c>
      <c r="B2240" s="27">
        <v>37384</v>
      </c>
      <c r="C2240" s="28" t="s">
        <v>7082</v>
      </c>
      <c r="D2240" s="27">
        <v>37379</v>
      </c>
      <c r="E2240" s="28" t="s">
        <v>1928</v>
      </c>
      <c r="F2240" s="28" t="s">
        <v>7070</v>
      </c>
      <c r="G2240" s="28" t="s">
        <v>20</v>
      </c>
      <c r="H2240" s="28" t="s">
        <v>566</v>
      </c>
      <c r="I2240" s="28" t="s">
        <v>566</v>
      </c>
      <c r="J2240" s="28" t="s">
        <v>7083</v>
      </c>
      <c r="K2240" s="28" t="s">
        <v>21</v>
      </c>
      <c r="L2240" s="28" t="s">
        <v>4282</v>
      </c>
      <c r="M2240" s="28" t="s">
        <v>21</v>
      </c>
      <c r="N2240" s="29">
        <v>37389</v>
      </c>
      <c r="O2240" s="92">
        <v>37442</v>
      </c>
      <c r="P2240" s="28" t="s">
        <v>31</v>
      </c>
      <c r="Q2240" s="26" t="b">
        <v>0</v>
      </c>
      <c r="R2240" s="22">
        <f t="shared" si="35"/>
        <v>57</v>
      </c>
    </row>
    <row r="2241" spans="1:18">
      <c r="A2241" s="26">
        <v>6337</v>
      </c>
      <c r="B2241" s="27">
        <v>37385</v>
      </c>
      <c r="C2241" s="28" t="s">
        <v>7084</v>
      </c>
      <c r="D2241" s="27">
        <v>37385</v>
      </c>
      <c r="E2241" s="28" t="s">
        <v>4172</v>
      </c>
      <c r="F2241" s="28" t="s">
        <v>2359</v>
      </c>
      <c r="G2241" s="28" t="s">
        <v>20</v>
      </c>
      <c r="H2241" s="28" t="s">
        <v>71</v>
      </c>
      <c r="I2241" s="28" t="s">
        <v>72</v>
      </c>
      <c r="J2241" s="28" t="s">
        <v>7085</v>
      </c>
      <c r="K2241" s="28" t="s">
        <v>6258</v>
      </c>
      <c r="L2241" s="28" t="s">
        <v>314</v>
      </c>
      <c r="M2241" s="28" t="s">
        <v>21</v>
      </c>
      <c r="O2241" s="92">
        <v>37683</v>
      </c>
      <c r="P2241" s="28" t="s">
        <v>31</v>
      </c>
      <c r="Q2241" s="26" t="b">
        <v>0</v>
      </c>
      <c r="R2241" s="22">
        <f t="shared" si="35"/>
        <v>298</v>
      </c>
    </row>
    <row r="2242" spans="1:18">
      <c r="A2242" s="26">
        <v>6344</v>
      </c>
      <c r="B2242" s="27">
        <v>37392</v>
      </c>
      <c r="C2242" s="28" t="s">
        <v>7090</v>
      </c>
      <c r="D2242" s="27">
        <v>37388</v>
      </c>
      <c r="E2242" s="28" t="s">
        <v>38</v>
      </c>
      <c r="F2242" s="28" t="s">
        <v>371</v>
      </c>
      <c r="G2242" s="28" t="s">
        <v>20</v>
      </c>
      <c r="H2242" s="28" t="s">
        <v>21</v>
      </c>
      <c r="I2242" s="28" t="s">
        <v>21</v>
      </c>
      <c r="J2242" s="28" t="s">
        <v>272</v>
      </c>
      <c r="K2242" s="28" t="s">
        <v>748</v>
      </c>
      <c r="L2242" s="28" t="s">
        <v>66</v>
      </c>
      <c r="M2242" s="28" t="s">
        <v>21</v>
      </c>
      <c r="O2242" s="92">
        <v>37396</v>
      </c>
      <c r="P2242" s="28" t="s">
        <v>31</v>
      </c>
      <c r="Q2242" s="26" t="b">
        <v>0</v>
      </c>
      <c r="R2242" s="22">
        <f t="shared" si="35"/>
        <v>4</v>
      </c>
    </row>
    <row r="2243" spans="1:18">
      <c r="A2243" s="26">
        <v>6346</v>
      </c>
      <c r="B2243" s="27">
        <v>37396</v>
      </c>
      <c r="C2243" s="28" t="s">
        <v>7091</v>
      </c>
      <c r="D2243" s="27">
        <v>37393</v>
      </c>
      <c r="E2243" s="28" t="s">
        <v>38</v>
      </c>
      <c r="F2243" s="28" t="s">
        <v>124</v>
      </c>
      <c r="G2243" s="28" t="s">
        <v>20</v>
      </c>
      <c r="H2243" s="28" t="s">
        <v>21</v>
      </c>
      <c r="I2243" s="28" t="s">
        <v>21</v>
      </c>
      <c r="J2243" s="28" t="s">
        <v>7092</v>
      </c>
      <c r="K2243" s="28" t="s">
        <v>7093</v>
      </c>
      <c r="L2243" s="28" t="s">
        <v>314</v>
      </c>
      <c r="M2243" s="28" t="s">
        <v>21</v>
      </c>
      <c r="O2243" s="92">
        <v>37483</v>
      </c>
      <c r="P2243" s="28" t="s">
        <v>31</v>
      </c>
      <c r="Q2243" s="26" t="b">
        <v>0</v>
      </c>
      <c r="R2243" s="22">
        <f t="shared" si="35"/>
        <v>86</v>
      </c>
    </row>
    <row r="2244" spans="1:18">
      <c r="A2244" s="26">
        <v>6347</v>
      </c>
      <c r="B2244" s="27">
        <v>37397</v>
      </c>
      <c r="C2244" s="28" t="s">
        <v>7094</v>
      </c>
      <c r="D2244" s="27">
        <v>37393</v>
      </c>
      <c r="E2244" s="28" t="s">
        <v>7095</v>
      </c>
      <c r="F2244" s="28" t="s">
        <v>19</v>
      </c>
      <c r="G2244" s="28" t="s">
        <v>20</v>
      </c>
      <c r="H2244" s="28" t="s">
        <v>21</v>
      </c>
      <c r="I2244" s="28" t="s">
        <v>21</v>
      </c>
      <c r="J2244" s="28" t="s">
        <v>7096</v>
      </c>
      <c r="K2244" s="28" t="s">
        <v>7097</v>
      </c>
      <c r="L2244" s="28" t="s">
        <v>314</v>
      </c>
      <c r="M2244" s="28" t="s">
        <v>21</v>
      </c>
      <c r="O2244" s="92">
        <v>38100</v>
      </c>
      <c r="P2244" s="28" t="s">
        <v>21</v>
      </c>
      <c r="Q2244" s="26" t="b">
        <v>0</v>
      </c>
      <c r="R2244" s="22">
        <f t="shared" si="35"/>
        <v>701</v>
      </c>
    </row>
    <row r="2245" spans="1:18" ht="64">
      <c r="A2245" s="33">
        <v>6348</v>
      </c>
      <c r="B2245" s="34">
        <v>37399</v>
      </c>
      <c r="C2245" s="35" t="s">
        <v>18140</v>
      </c>
      <c r="D2245" s="34">
        <v>37399</v>
      </c>
      <c r="E2245" s="35" t="s">
        <v>255</v>
      </c>
      <c r="F2245" s="35" t="s">
        <v>3847</v>
      </c>
      <c r="G2245" s="35" t="s">
        <v>20</v>
      </c>
      <c r="H2245" s="35" t="s">
        <v>21</v>
      </c>
      <c r="I2245" s="35" t="s">
        <v>21</v>
      </c>
      <c r="J2245" s="35" t="s">
        <v>7098</v>
      </c>
      <c r="K2245" s="35" t="s">
        <v>5986</v>
      </c>
      <c r="L2245" s="35" t="s">
        <v>1946</v>
      </c>
      <c r="M2245" s="35" t="s">
        <v>7099</v>
      </c>
      <c r="N2245" s="36"/>
      <c r="O2245" s="95"/>
      <c r="P2245" s="35" t="s">
        <v>21</v>
      </c>
      <c r="Q2245" s="33" t="b">
        <v>0</v>
      </c>
      <c r="R2245" s="112"/>
    </row>
    <row r="2246" spans="1:18" ht="24">
      <c r="A2246" s="26">
        <v>6349</v>
      </c>
      <c r="B2246" s="27">
        <v>37399</v>
      </c>
      <c r="C2246" s="28" t="s">
        <v>7100</v>
      </c>
      <c r="D2246" s="27">
        <v>37397</v>
      </c>
      <c r="E2246" s="28" t="s">
        <v>7101</v>
      </c>
      <c r="F2246" s="28" t="s">
        <v>124</v>
      </c>
      <c r="G2246" s="28" t="s">
        <v>20</v>
      </c>
      <c r="H2246" s="28" t="s">
        <v>21</v>
      </c>
      <c r="I2246" s="28" t="s">
        <v>21</v>
      </c>
      <c r="J2246" s="28" t="s">
        <v>7102</v>
      </c>
      <c r="K2246" s="28" t="s">
        <v>21</v>
      </c>
      <c r="L2246" s="28" t="s">
        <v>66</v>
      </c>
      <c r="M2246" s="28" t="s">
        <v>21</v>
      </c>
      <c r="O2246" s="92">
        <v>37461</v>
      </c>
      <c r="P2246" s="28" t="s">
        <v>31</v>
      </c>
      <c r="Q2246" s="26" t="b">
        <v>0</v>
      </c>
      <c r="R2246" s="22">
        <f t="shared" ref="R2246:R2277" si="36">IF(O2246=" ", " ", INT(YEARFRAC(O2246, B2246)*365))</f>
        <v>61</v>
      </c>
    </row>
    <row r="2247" spans="1:18">
      <c r="A2247" s="26">
        <v>6350</v>
      </c>
      <c r="B2247" s="27">
        <v>37399</v>
      </c>
      <c r="C2247" s="28" t="s">
        <v>7103</v>
      </c>
      <c r="D2247" s="27">
        <v>37396</v>
      </c>
      <c r="E2247" s="28" t="s">
        <v>38</v>
      </c>
      <c r="F2247" s="28" t="s">
        <v>70</v>
      </c>
      <c r="G2247" s="28" t="s">
        <v>20</v>
      </c>
      <c r="H2247" s="28" t="s">
        <v>71</v>
      </c>
      <c r="I2247" s="28" t="s">
        <v>72</v>
      </c>
      <c r="J2247" s="28" t="s">
        <v>7104</v>
      </c>
      <c r="K2247" s="28" t="s">
        <v>7105</v>
      </c>
      <c r="L2247" s="28" t="s">
        <v>314</v>
      </c>
      <c r="M2247" s="28" t="s">
        <v>21</v>
      </c>
      <c r="O2247" s="92">
        <v>37405</v>
      </c>
      <c r="P2247" s="28" t="s">
        <v>31</v>
      </c>
      <c r="Q2247" s="26" t="b">
        <v>0</v>
      </c>
      <c r="R2247" s="22">
        <f t="shared" si="36"/>
        <v>6</v>
      </c>
    </row>
    <row r="2248" spans="1:18">
      <c r="A2248" s="26">
        <v>6352</v>
      </c>
      <c r="B2248" s="27">
        <v>37406</v>
      </c>
      <c r="C2248" s="28" t="s">
        <v>7109</v>
      </c>
      <c r="D2248" s="27">
        <v>37404</v>
      </c>
      <c r="E2248" s="28" t="s">
        <v>7110</v>
      </c>
      <c r="F2248" s="28" t="s">
        <v>371</v>
      </c>
      <c r="G2248" s="28" t="s">
        <v>20</v>
      </c>
      <c r="H2248" s="28" t="s">
        <v>21</v>
      </c>
      <c r="I2248" s="28" t="s">
        <v>21</v>
      </c>
      <c r="J2248" s="28" t="s">
        <v>272</v>
      </c>
      <c r="K2248" s="28" t="s">
        <v>7111</v>
      </c>
      <c r="L2248" s="28" t="s">
        <v>7112</v>
      </c>
      <c r="M2248" s="28" t="s">
        <v>21</v>
      </c>
      <c r="O2248" s="92">
        <v>37477</v>
      </c>
      <c r="P2248" s="28" t="s">
        <v>31</v>
      </c>
      <c r="Q2248" s="26" t="b">
        <v>0</v>
      </c>
      <c r="R2248" s="22">
        <f t="shared" si="36"/>
        <v>69</v>
      </c>
    </row>
    <row r="2249" spans="1:18">
      <c r="A2249" s="26">
        <v>6351</v>
      </c>
      <c r="B2249" s="27">
        <v>37407</v>
      </c>
      <c r="C2249" s="28" t="s">
        <v>7106</v>
      </c>
      <c r="D2249" s="27">
        <v>37407</v>
      </c>
      <c r="E2249" s="28" t="s">
        <v>38</v>
      </c>
      <c r="F2249" s="28" t="s">
        <v>104</v>
      </c>
      <c r="G2249" s="28" t="s">
        <v>20</v>
      </c>
      <c r="H2249" s="28" t="s">
        <v>21</v>
      </c>
      <c r="I2249" s="28" t="s">
        <v>21</v>
      </c>
      <c r="J2249" s="28" t="s">
        <v>7107</v>
      </c>
      <c r="K2249" s="28" t="s">
        <v>7108</v>
      </c>
      <c r="L2249" s="28" t="s">
        <v>66</v>
      </c>
      <c r="M2249" s="28" t="s">
        <v>21</v>
      </c>
      <c r="O2249" s="92">
        <v>37412</v>
      </c>
      <c r="P2249" s="28" t="s">
        <v>31</v>
      </c>
      <c r="Q2249" s="26" t="b">
        <v>0</v>
      </c>
      <c r="R2249" s="22">
        <f t="shared" si="36"/>
        <v>5</v>
      </c>
    </row>
    <row r="2250" spans="1:18">
      <c r="A2250" s="26">
        <v>6354</v>
      </c>
      <c r="B2250" s="27">
        <v>37407</v>
      </c>
      <c r="C2250" s="28" t="s">
        <v>7116</v>
      </c>
      <c r="D2250" s="27">
        <v>37405</v>
      </c>
      <c r="E2250" s="28" t="s">
        <v>7117</v>
      </c>
      <c r="F2250" s="28" t="s">
        <v>371</v>
      </c>
      <c r="G2250" s="28" t="s">
        <v>20</v>
      </c>
      <c r="H2250" s="28" t="s">
        <v>21</v>
      </c>
      <c r="I2250" s="28" t="s">
        <v>21</v>
      </c>
      <c r="J2250" s="28" t="s">
        <v>675</v>
      </c>
      <c r="K2250" s="28" t="s">
        <v>7118</v>
      </c>
      <c r="L2250" s="28" t="s">
        <v>66</v>
      </c>
      <c r="M2250" s="28" t="s">
        <v>21</v>
      </c>
      <c r="O2250" s="92">
        <v>37494</v>
      </c>
      <c r="P2250" s="28" t="s">
        <v>31</v>
      </c>
      <c r="Q2250" s="26" t="b">
        <v>0</v>
      </c>
      <c r="R2250" s="22">
        <f t="shared" si="36"/>
        <v>87</v>
      </c>
    </row>
    <row r="2251" spans="1:18">
      <c r="A2251" s="26">
        <v>6355</v>
      </c>
      <c r="B2251" s="27">
        <v>37407</v>
      </c>
      <c r="C2251" s="28" t="s">
        <v>7119</v>
      </c>
      <c r="D2251" s="27">
        <v>37405</v>
      </c>
      <c r="E2251" s="28" t="s">
        <v>7120</v>
      </c>
      <c r="F2251" s="28" t="s">
        <v>124</v>
      </c>
      <c r="G2251" s="28" t="s">
        <v>20</v>
      </c>
      <c r="H2251" s="28" t="s">
        <v>21</v>
      </c>
      <c r="I2251" s="28" t="s">
        <v>21</v>
      </c>
      <c r="J2251" s="28" t="s">
        <v>3655</v>
      </c>
      <c r="K2251" s="28" t="s">
        <v>3883</v>
      </c>
      <c r="L2251" s="28" t="s">
        <v>314</v>
      </c>
      <c r="M2251" s="28" t="s">
        <v>21</v>
      </c>
      <c r="O2251" s="92">
        <v>37671</v>
      </c>
      <c r="P2251" s="28" t="s">
        <v>31</v>
      </c>
      <c r="Q2251" s="26" t="b">
        <v>0</v>
      </c>
      <c r="R2251" s="22">
        <f t="shared" si="36"/>
        <v>262</v>
      </c>
    </row>
    <row r="2252" spans="1:18">
      <c r="A2252" s="26">
        <v>6356</v>
      </c>
      <c r="B2252" s="27">
        <v>37407</v>
      </c>
      <c r="C2252" s="28" t="s">
        <v>7121</v>
      </c>
      <c r="D2252" s="27">
        <v>37407</v>
      </c>
      <c r="E2252" s="28" t="s">
        <v>38</v>
      </c>
      <c r="F2252" s="28" t="s">
        <v>1232</v>
      </c>
      <c r="G2252" s="28" t="s">
        <v>20</v>
      </c>
      <c r="H2252" s="28" t="s">
        <v>189</v>
      </c>
      <c r="I2252" s="28" t="s">
        <v>189</v>
      </c>
      <c r="J2252" s="28" t="s">
        <v>7122</v>
      </c>
      <c r="K2252" s="28" t="s">
        <v>1639</v>
      </c>
      <c r="L2252" s="28" t="s">
        <v>3930</v>
      </c>
      <c r="M2252" s="28" t="s">
        <v>21</v>
      </c>
      <c r="O2252" s="92">
        <v>37442</v>
      </c>
      <c r="P2252" s="28" t="s">
        <v>21</v>
      </c>
      <c r="Q2252" s="26" t="b">
        <v>0</v>
      </c>
      <c r="R2252" s="22">
        <f t="shared" si="36"/>
        <v>35</v>
      </c>
    </row>
    <row r="2253" spans="1:18">
      <c r="A2253" s="26">
        <v>6353</v>
      </c>
      <c r="B2253" s="27">
        <v>37410</v>
      </c>
      <c r="C2253" s="28" t="s">
        <v>7113</v>
      </c>
      <c r="D2253" s="27">
        <v>37400</v>
      </c>
      <c r="E2253" s="28" t="s">
        <v>1432</v>
      </c>
      <c r="F2253" s="28" t="s">
        <v>124</v>
      </c>
      <c r="G2253" s="28" t="s">
        <v>20</v>
      </c>
      <c r="H2253" s="28" t="s">
        <v>21</v>
      </c>
      <c r="I2253" s="28" t="s">
        <v>21</v>
      </c>
      <c r="J2253" s="28" t="s">
        <v>7114</v>
      </c>
      <c r="K2253" s="28" t="s">
        <v>7115</v>
      </c>
      <c r="L2253" s="28" t="s">
        <v>314</v>
      </c>
      <c r="M2253" s="28" t="s">
        <v>7089</v>
      </c>
      <c r="O2253" s="92">
        <v>38040</v>
      </c>
      <c r="P2253" s="28" t="s">
        <v>31</v>
      </c>
      <c r="Q2253" s="26" t="b">
        <v>0</v>
      </c>
      <c r="R2253" s="22">
        <f t="shared" si="36"/>
        <v>628</v>
      </c>
    </row>
    <row r="2254" spans="1:18">
      <c r="A2254" s="26">
        <v>6360</v>
      </c>
      <c r="B2254" s="27">
        <v>37412</v>
      </c>
      <c r="C2254" s="28" t="s">
        <v>7127</v>
      </c>
      <c r="D2254" s="27">
        <v>37411</v>
      </c>
      <c r="E2254" s="28" t="s">
        <v>38</v>
      </c>
      <c r="F2254" s="28" t="s">
        <v>85</v>
      </c>
      <c r="G2254" s="28" t="s">
        <v>20</v>
      </c>
      <c r="H2254" s="28" t="s">
        <v>21</v>
      </c>
      <c r="I2254" s="28" t="s">
        <v>21</v>
      </c>
      <c r="J2254" s="28" t="s">
        <v>7128</v>
      </c>
      <c r="K2254" s="28" t="s">
        <v>7129</v>
      </c>
      <c r="L2254" s="28" t="s">
        <v>66</v>
      </c>
      <c r="M2254" s="28" t="s">
        <v>21</v>
      </c>
      <c r="O2254" s="92">
        <v>37426</v>
      </c>
      <c r="P2254" s="28" t="s">
        <v>31</v>
      </c>
      <c r="Q2254" s="26" t="b">
        <v>0</v>
      </c>
      <c r="R2254" s="22">
        <f t="shared" si="36"/>
        <v>14</v>
      </c>
    </row>
    <row r="2255" spans="1:18">
      <c r="A2255" s="26">
        <v>6359</v>
      </c>
      <c r="B2255" s="27">
        <v>37420</v>
      </c>
      <c r="C2255" s="28" t="s">
        <v>7123</v>
      </c>
      <c r="D2255" s="27">
        <v>37420</v>
      </c>
      <c r="E2255" s="28" t="s">
        <v>7124</v>
      </c>
      <c r="F2255" s="28" t="s">
        <v>27</v>
      </c>
      <c r="G2255" s="28" t="s">
        <v>20</v>
      </c>
      <c r="H2255" s="28" t="s">
        <v>21</v>
      </c>
      <c r="I2255" s="28" t="s">
        <v>21</v>
      </c>
      <c r="J2255" s="28" t="s">
        <v>7125</v>
      </c>
      <c r="K2255" s="28" t="s">
        <v>7126</v>
      </c>
      <c r="L2255" s="28" t="s">
        <v>66</v>
      </c>
      <c r="M2255" s="28" t="s">
        <v>21</v>
      </c>
      <c r="O2255" s="92">
        <v>37817</v>
      </c>
      <c r="P2255" s="28" t="s">
        <v>21</v>
      </c>
      <c r="Q2255" s="26" t="b">
        <v>0</v>
      </c>
      <c r="R2255" s="22">
        <f t="shared" si="36"/>
        <v>397</v>
      </c>
    </row>
    <row r="2256" spans="1:18">
      <c r="A2256" s="26">
        <v>6362</v>
      </c>
      <c r="B2256" s="27">
        <v>37420</v>
      </c>
      <c r="C2256" s="28" t="s">
        <v>7130</v>
      </c>
      <c r="D2256" s="27">
        <v>37420</v>
      </c>
      <c r="E2256" s="28" t="s">
        <v>4172</v>
      </c>
      <c r="F2256" s="28" t="s">
        <v>5690</v>
      </c>
      <c r="G2256" s="28" t="s">
        <v>20</v>
      </c>
      <c r="H2256" s="28" t="s">
        <v>71</v>
      </c>
      <c r="I2256" s="28" t="s">
        <v>72</v>
      </c>
      <c r="J2256" s="28" t="s">
        <v>7131</v>
      </c>
      <c r="K2256" s="28" t="s">
        <v>7034</v>
      </c>
      <c r="L2256" s="28" t="s">
        <v>314</v>
      </c>
      <c r="M2256" s="28" t="s">
        <v>21</v>
      </c>
      <c r="O2256" s="92">
        <v>37749</v>
      </c>
      <c r="P2256" s="28" t="s">
        <v>31</v>
      </c>
      <c r="Q2256" s="26" t="b">
        <v>0</v>
      </c>
      <c r="R2256" s="22">
        <f t="shared" si="36"/>
        <v>329</v>
      </c>
    </row>
    <row r="2257" spans="1:18">
      <c r="A2257" s="26">
        <v>6364</v>
      </c>
      <c r="B2257" s="27">
        <v>37426</v>
      </c>
      <c r="C2257" s="28" t="s">
        <v>7132</v>
      </c>
      <c r="D2257" s="27">
        <v>37426</v>
      </c>
      <c r="E2257" s="28" t="s">
        <v>4172</v>
      </c>
      <c r="F2257" s="28" t="s">
        <v>6084</v>
      </c>
      <c r="G2257" s="28" t="s">
        <v>20</v>
      </c>
      <c r="H2257" s="28" t="s">
        <v>21</v>
      </c>
      <c r="I2257" s="28" t="s">
        <v>21</v>
      </c>
      <c r="J2257" s="28" t="s">
        <v>7133</v>
      </c>
      <c r="K2257" s="28" t="s">
        <v>7134</v>
      </c>
      <c r="L2257" s="28" t="s">
        <v>66</v>
      </c>
      <c r="M2257" s="28" t="s">
        <v>21</v>
      </c>
      <c r="O2257" s="92">
        <v>37572</v>
      </c>
      <c r="P2257" s="28" t="s">
        <v>21</v>
      </c>
      <c r="Q2257" s="26" t="b">
        <v>0</v>
      </c>
      <c r="R2257" s="22">
        <f t="shared" si="36"/>
        <v>144</v>
      </c>
    </row>
    <row r="2258" spans="1:18">
      <c r="A2258" s="26">
        <v>6365</v>
      </c>
      <c r="B2258" s="27">
        <v>37432</v>
      </c>
      <c r="C2258" s="28" t="s">
        <v>7135</v>
      </c>
      <c r="D2258" s="27">
        <v>37427</v>
      </c>
      <c r="E2258" s="28" t="s">
        <v>38</v>
      </c>
      <c r="F2258" s="28" t="s">
        <v>124</v>
      </c>
      <c r="G2258" s="28" t="s">
        <v>20</v>
      </c>
      <c r="H2258" s="28" t="s">
        <v>21</v>
      </c>
      <c r="I2258" s="28" t="s">
        <v>21</v>
      </c>
      <c r="J2258" s="28" t="s">
        <v>7136</v>
      </c>
      <c r="K2258" s="28" t="s">
        <v>21</v>
      </c>
      <c r="L2258" s="28" t="s">
        <v>66</v>
      </c>
      <c r="M2258" s="28" t="s">
        <v>21</v>
      </c>
      <c r="O2258" s="92">
        <v>37434</v>
      </c>
      <c r="P2258" s="28" t="s">
        <v>31</v>
      </c>
      <c r="Q2258" s="26" t="b">
        <v>0</v>
      </c>
      <c r="R2258" s="22">
        <f t="shared" si="36"/>
        <v>2</v>
      </c>
    </row>
    <row r="2259" spans="1:18">
      <c r="A2259" s="26">
        <v>6366</v>
      </c>
      <c r="B2259" s="27">
        <v>37432</v>
      </c>
      <c r="C2259" s="28" t="s">
        <v>7137</v>
      </c>
      <c r="D2259" s="27">
        <v>37428</v>
      </c>
      <c r="E2259" s="28" t="s">
        <v>1204</v>
      </c>
      <c r="F2259" s="28" t="s">
        <v>3171</v>
      </c>
      <c r="G2259" s="28" t="s">
        <v>20</v>
      </c>
      <c r="H2259" s="28" t="s">
        <v>566</v>
      </c>
      <c r="I2259" s="28" t="s">
        <v>566</v>
      </c>
      <c r="J2259" s="28" t="s">
        <v>7138</v>
      </c>
      <c r="K2259" s="28" t="s">
        <v>21</v>
      </c>
      <c r="L2259" s="28" t="s">
        <v>66</v>
      </c>
      <c r="M2259" s="28" t="s">
        <v>21</v>
      </c>
      <c r="O2259" s="92">
        <v>37461</v>
      </c>
      <c r="P2259" s="28" t="s">
        <v>21</v>
      </c>
      <c r="Q2259" s="26" t="b">
        <v>0</v>
      </c>
      <c r="R2259" s="22">
        <f t="shared" si="36"/>
        <v>29</v>
      </c>
    </row>
    <row r="2260" spans="1:18" ht="24">
      <c r="A2260" s="26">
        <v>6367</v>
      </c>
      <c r="B2260" s="27">
        <v>37432</v>
      </c>
      <c r="C2260" s="28" t="s">
        <v>7139</v>
      </c>
      <c r="D2260" s="27">
        <v>37426</v>
      </c>
      <c r="E2260" s="28" t="s">
        <v>7140</v>
      </c>
      <c r="F2260" s="28" t="s">
        <v>149</v>
      </c>
      <c r="G2260" s="28" t="s">
        <v>20</v>
      </c>
      <c r="H2260" s="28" t="s">
        <v>21</v>
      </c>
      <c r="I2260" s="28" t="s">
        <v>21</v>
      </c>
      <c r="J2260" s="28" t="s">
        <v>5162</v>
      </c>
      <c r="K2260" s="28" t="s">
        <v>7141</v>
      </c>
      <c r="L2260" s="28" t="s">
        <v>66</v>
      </c>
      <c r="M2260" s="28" t="s">
        <v>21</v>
      </c>
      <c r="O2260" s="92">
        <v>37539</v>
      </c>
      <c r="P2260" s="28" t="s">
        <v>31</v>
      </c>
      <c r="Q2260" s="26" t="b">
        <v>0</v>
      </c>
      <c r="R2260" s="22">
        <f t="shared" si="36"/>
        <v>106</v>
      </c>
    </row>
    <row r="2261" spans="1:18">
      <c r="A2261" s="26">
        <v>6370</v>
      </c>
      <c r="B2261" s="27">
        <v>37439</v>
      </c>
      <c r="C2261" s="28" t="s">
        <v>7148</v>
      </c>
      <c r="D2261" s="27">
        <v>37439</v>
      </c>
      <c r="E2261" s="28" t="s">
        <v>7149</v>
      </c>
      <c r="F2261" s="28" t="s">
        <v>974</v>
      </c>
      <c r="G2261" s="28" t="s">
        <v>20</v>
      </c>
      <c r="H2261" s="28" t="s">
        <v>212</v>
      </c>
      <c r="I2261" s="28" t="s">
        <v>212</v>
      </c>
      <c r="J2261" s="28" t="s">
        <v>7150</v>
      </c>
      <c r="K2261" s="28" t="s">
        <v>7151</v>
      </c>
      <c r="L2261" s="28" t="s">
        <v>66</v>
      </c>
      <c r="M2261" s="28" t="s">
        <v>21</v>
      </c>
      <c r="O2261" s="92">
        <v>37644</v>
      </c>
      <c r="P2261" s="28" t="s">
        <v>21</v>
      </c>
      <c r="Q2261" s="26" t="b">
        <v>0</v>
      </c>
      <c r="R2261" s="22">
        <f t="shared" si="36"/>
        <v>203</v>
      </c>
    </row>
    <row r="2262" spans="1:18">
      <c r="A2262" s="26">
        <v>6371</v>
      </c>
      <c r="B2262" s="27">
        <v>37440</v>
      </c>
      <c r="C2262" s="28" t="s">
        <v>7152</v>
      </c>
      <c r="D2262" s="27">
        <v>37434</v>
      </c>
      <c r="E2262" s="28" t="s">
        <v>7153</v>
      </c>
      <c r="F2262" s="28" t="s">
        <v>149</v>
      </c>
      <c r="G2262" s="28" t="s">
        <v>20</v>
      </c>
      <c r="H2262" s="28" t="s">
        <v>21</v>
      </c>
      <c r="I2262" s="28" t="s">
        <v>21</v>
      </c>
      <c r="J2262" s="28" t="s">
        <v>272</v>
      </c>
      <c r="K2262" s="28" t="s">
        <v>7154</v>
      </c>
      <c r="L2262" s="28" t="s">
        <v>314</v>
      </c>
      <c r="M2262" s="28" t="s">
        <v>21</v>
      </c>
      <c r="O2262" s="92">
        <v>38139</v>
      </c>
      <c r="P2262" s="28" t="s">
        <v>31</v>
      </c>
      <c r="Q2262" s="26" t="b">
        <v>0</v>
      </c>
      <c r="R2262" s="22">
        <f t="shared" si="36"/>
        <v>697</v>
      </c>
    </row>
    <row r="2263" spans="1:18">
      <c r="A2263" s="26">
        <v>6372</v>
      </c>
      <c r="B2263" s="27">
        <v>37440</v>
      </c>
      <c r="C2263" s="28" t="s">
        <v>7155</v>
      </c>
      <c r="D2263" s="27">
        <v>37440</v>
      </c>
      <c r="E2263" s="28" t="s">
        <v>7156</v>
      </c>
      <c r="F2263" s="28" t="s">
        <v>98</v>
      </c>
      <c r="G2263" s="28" t="s">
        <v>20</v>
      </c>
      <c r="H2263" s="28" t="s">
        <v>21</v>
      </c>
      <c r="I2263" s="28" t="s">
        <v>21</v>
      </c>
      <c r="J2263" s="28" t="s">
        <v>7157</v>
      </c>
      <c r="K2263" s="28" t="s">
        <v>7158</v>
      </c>
      <c r="L2263" s="28" t="s">
        <v>4579</v>
      </c>
      <c r="M2263" s="28" t="s">
        <v>66</v>
      </c>
      <c r="O2263" s="92">
        <v>38552</v>
      </c>
      <c r="P2263" s="28" t="s">
        <v>31</v>
      </c>
      <c r="Q2263" s="26" t="b">
        <v>0</v>
      </c>
      <c r="R2263" s="22">
        <f t="shared" si="36"/>
        <v>1111</v>
      </c>
    </row>
    <row r="2264" spans="1:18">
      <c r="A2264" s="26">
        <v>6376</v>
      </c>
      <c r="B2264" s="27">
        <v>37442</v>
      </c>
      <c r="C2264" s="28" t="s">
        <v>7159</v>
      </c>
      <c r="D2264" s="27">
        <v>37439</v>
      </c>
      <c r="E2264" s="28" t="s">
        <v>7160</v>
      </c>
      <c r="F2264" s="28" t="s">
        <v>2838</v>
      </c>
      <c r="G2264" s="28" t="s">
        <v>20</v>
      </c>
      <c r="H2264" s="28" t="s">
        <v>21</v>
      </c>
      <c r="I2264" s="28" t="s">
        <v>21</v>
      </c>
      <c r="J2264" s="28" t="s">
        <v>7161</v>
      </c>
      <c r="K2264" s="28" t="s">
        <v>7162</v>
      </c>
      <c r="L2264" s="28" t="s">
        <v>314</v>
      </c>
      <c r="M2264" s="28" t="s">
        <v>21</v>
      </c>
      <c r="O2264" s="92">
        <v>37448</v>
      </c>
      <c r="P2264" s="28" t="s">
        <v>31</v>
      </c>
      <c r="Q2264" s="26" t="b">
        <v>0</v>
      </c>
      <c r="R2264" s="22">
        <f t="shared" si="36"/>
        <v>6</v>
      </c>
    </row>
    <row r="2265" spans="1:18">
      <c r="A2265" s="26">
        <v>6378</v>
      </c>
      <c r="B2265" s="27">
        <v>37445</v>
      </c>
      <c r="C2265" s="28" t="s">
        <v>7163</v>
      </c>
      <c r="D2265" s="27">
        <v>37440</v>
      </c>
      <c r="E2265" s="28" t="s">
        <v>7164</v>
      </c>
      <c r="F2265" s="28" t="s">
        <v>104</v>
      </c>
      <c r="G2265" s="28" t="s">
        <v>20</v>
      </c>
      <c r="H2265" s="28" t="s">
        <v>21</v>
      </c>
      <c r="I2265" s="28" t="s">
        <v>21</v>
      </c>
      <c r="J2265" s="28" t="s">
        <v>7165</v>
      </c>
      <c r="K2265" s="28" t="s">
        <v>7166</v>
      </c>
      <c r="L2265" s="28" t="s">
        <v>7167</v>
      </c>
      <c r="M2265" s="28" t="s">
        <v>7168</v>
      </c>
      <c r="O2265" s="92">
        <v>40884</v>
      </c>
      <c r="P2265" s="28" t="s">
        <v>31</v>
      </c>
      <c r="Q2265" s="26" t="b">
        <v>0</v>
      </c>
      <c r="R2265" s="22">
        <f t="shared" si="36"/>
        <v>3436</v>
      </c>
    </row>
    <row r="2266" spans="1:18">
      <c r="A2266" s="26">
        <v>6379</v>
      </c>
      <c r="B2266" s="27">
        <v>37448</v>
      </c>
      <c r="C2266" s="28" t="s">
        <v>7169</v>
      </c>
      <c r="D2266" s="27">
        <v>37445</v>
      </c>
      <c r="E2266" s="28" t="s">
        <v>7170</v>
      </c>
      <c r="F2266" s="28" t="s">
        <v>98</v>
      </c>
      <c r="G2266" s="28" t="s">
        <v>20</v>
      </c>
      <c r="H2266" s="28" t="s">
        <v>21</v>
      </c>
      <c r="I2266" s="28" t="s">
        <v>21</v>
      </c>
      <c r="J2266" s="28" t="s">
        <v>5162</v>
      </c>
      <c r="K2266" s="28" t="s">
        <v>7171</v>
      </c>
      <c r="L2266" s="28" t="s">
        <v>314</v>
      </c>
      <c r="M2266" s="28" t="s">
        <v>21</v>
      </c>
      <c r="O2266" s="92">
        <v>37495</v>
      </c>
      <c r="P2266" s="28" t="s">
        <v>31</v>
      </c>
      <c r="Q2266" s="26" t="b">
        <v>0</v>
      </c>
      <c r="R2266" s="22">
        <f t="shared" si="36"/>
        <v>46</v>
      </c>
    </row>
    <row r="2267" spans="1:18">
      <c r="A2267" s="26">
        <v>6380</v>
      </c>
      <c r="B2267" s="27">
        <v>37448</v>
      </c>
      <c r="C2267" s="28" t="s">
        <v>7172</v>
      </c>
      <c r="D2267" s="27">
        <v>37445</v>
      </c>
      <c r="E2267" s="28" t="s">
        <v>7173</v>
      </c>
      <c r="F2267" s="28" t="s">
        <v>98</v>
      </c>
      <c r="G2267" s="28" t="s">
        <v>20</v>
      </c>
      <c r="H2267" s="28" t="s">
        <v>21</v>
      </c>
      <c r="I2267" s="28" t="s">
        <v>21</v>
      </c>
      <c r="J2267" s="28" t="s">
        <v>5162</v>
      </c>
      <c r="K2267" s="28" t="s">
        <v>7174</v>
      </c>
      <c r="L2267" s="28" t="s">
        <v>314</v>
      </c>
      <c r="M2267" s="28" t="s">
        <v>21</v>
      </c>
      <c r="O2267" s="92">
        <v>37495</v>
      </c>
      <c r="P2267" s="28" t="s">
        <v>31</v>
      </c>
      <c r="Q2267" s="26" t="b">
        <v>0</v>
      </c>
      <c r="R2267" s="22">
        <f t="shared" si="36"/>
        <v>46</v>
      </c>
    </row>
    <row r="2268" spans="1:18">
      <c r="A2268" s="26">
        <v>6381</v>
      </c>
      <c r="B2268" s="27">
        <v>37448</v>
      </c>
      <c r="C2268" s="28" t="s">
        <v>7175</v>
      </c>
      <c r="D2268" s="27">
        <v>37448</v>
      </c>
      <c r="E2268" s="28" t="s">
        <v>7176</v>
      </c>
      <c r="F2268" s="28" t="s">
        <v>2413</v>
      </c>
      <c r="G2268" s="28" t="s">
        <v>20</v>
      </c>
      <c r="H2268" s="28" t="s">
        <v>21</v>
      </c>
      <c r="I2268" s="28" t="s">
        <v>21</v>
      </c>
      <c r="J2268" s="28" t="s">
        <v>5162</v>
      </c>
      <c r="K2268" s="28" t="s">
        <v>7177</v>
      </c>
      <c r="L2268" s="28" t="s">
        <v>66</v>
      </c>
      <c r="M2268" s="28" t="s">
        <v>21</v>
      </c>
      <c r="O2268" s="92">
        <v>37483</v>
      </c>
      <c r="P2268" s="28" t="s">
        <v>31</v>
      </c>
      <c r="Q2268" s="26" t="b">
        <v>0</v>
      </c>
      <c r="R2268" s="22">
        <f t="shared" si="36"/>
        <v>34</v>
      </c>
    </row>
    <row r="2269" spans="1:18">
      <c r="A2269" s="26">
        <v>6382</v>
      </c>
      <c r="B2269" s="27">
        <v>37449</v>
      </c>
      <c r="C2269" s="28" t="s">
        <v>7178</v>
      </c>
      <c r="D2269" s="27">
        <v>37411</v>
      </c>
      <c r="E2269" s="28" t="s">
        <v>38</v>
      </c>
      <c r="F2269" s="28" t="s">
        <v>7179</v>
      </c>
      <c r="G2269" s="28" t="s">
        <v>20</v>
      </c>
      <c r="H2269" s="28" t="s">
        <v>71</v>
      </c>
      <c r="I2269" s="28" t="s">
        <v>72</v>
      </c>
      <c r="J2269" s="28" t="s">
        <v>7180</v>
      </c>
      <c r="K2269" s="28" t="s">
        <v>21</v>
      </c>
      <c r="L2269" s="28" t="s">
        <v>314</v>
      </c>
      <c r="M2269" s="28" t="s">
        <v>21</v>
      </c>
      <c r="O2269" s="92">
        <v>37453</v>
      </c>
      <c r="P2269" s="28" t="s">
        <v>31</v>
      </c>
      <c r="Q2269" s="26" t="b">
        <v>0</v>
      </c>
      <c r="R2269" s="22">
        <f t="shared" si="36"/>
        <v>4</v>
      </c>
    </row>
    <row r="2270" spans="1:18">
      <c r="A2270" s="26">
        <v>6384</v>
      </c>
      <c r="B2270" s="27">
        <v>37454</v>
      </c>
      <c r="C2270" s="28" t="s">
        <v>7181</v>
      </c>
      <c r="D2270" s="27">
        <v>37453</v>
      </c>
      <c r="E2270" s="28" t="s">
        <v>7182</v>
      </c>
      <c r="F2270" s="28" t="s">
        <v>52</v>
      </c>
      <c r="G2270" s="28" t="s">
        <v>20</v>
      </c>
      <c r="H2270" s="28" t="s">
        <v>21</v>
      </c>
      <c r="I2270" s="28" t="s">
        <v>21</v>
      </c>
      <c r="J2270" s="28" t="s">
        <v>7183</v>
      </c>
      <c r="K2270" s="28" t="s">
        <v>4693</v>
      </c>
      <c r="L2270" s="28" t="s">
        <v>314</v>
      </c>
      <c r="M2270" s="28" t="s">
        <v>21</v>
      </c>
      <c r="O2270" s="92">
        <v>37770</v>
      </c>
      <c r="P2270" s="28" t="s">
        <v>31</v>
      </c>
      <c r="Q2270" s="26" t="b">
        <v>0</v>
      </c>
      <c r="R2270" s="22">
        <f t="shared" si="36"/>
        <v>316</v>
      </c>
    </row>
    <row r="2271" spans="1:18">
      <c r="A2271" s="26">
        <v>6386</v>
      </c>
      <c r="B2271" s="27">
        <v>37460</v>
      </c>
      <c r="C2271" s="28" t="s">
        <v>7184</v>
      </c>
      <c r="D2271" s="27">
        <v>37460</v>
      </c>
      <c r="E2271" s="28" t="s">
        <v>7185</v>
      </c>
      <c r="F2271" s="28" t="s">
        <v>56</v>
      </c>
      <c r="G2271" s="28" t="s">
        <v>20</v>
      </c>
      <c r="H2271" s="28" t="s">
        <v>21</v>
      </c>
      <c r="I2271" s="28" t="s">
        <v>21</v>
      </c>
      <c r="J2271" s="28" t="s">
        <v>7186</v>
      </c>
      <c r="K2271" s="28" t="s">
        <v>21</v>
      </c>
      <c r="L2271" s="28" t="s">
        <v>66</v>
      </c>
      <c r="M2271" s="28" t="s">
        <v>21</v>
      </c>
      <c r="O2271" s="92">
        <v>37937</v>
      </c>
      <c r="P2271" s="28" t="s">
        <v>31</v>
      </c>
      <c r="Q2271" s="26" t="b">
        <v>0</v>
      </c>
      <c r="R2271" s="22">
        <f t="shared" si="36"/>
        <v>475</v>
      </c>
    </row>
    <row r="2272" spans="1:18">
      <c r="A2272" s="26">
        <v>6387</v>
      </c>
      <c r="B2272" s="27">
        <v>37460</v>
      </c>
      <c r="C2272" s="28" t="s">
        <v>7187</v>
      </c>
      <c r="D2272" s="27">
        <v>37459</v>
      </c>
      <c r="E2272" s="28" t="s">
        <v>7188</v>
      </c>
      <c r="F2272" s="28" t="s">
        <v>3434</v>
      </c>
      <c r="G2272" s="28" t="s">
        <v>20</v>
      </c>
      <c r="H2272" s="28" t="s">
        <v>21</v>
      </c>
      <c r="I2272" s="28" t="s">
        <v>21</v>
      </c>
      <c r="J2272" s="28" t="s">
        <v>5162</v>
      </c>
      <c r="K2272" s="28" t="s">
        <v>21</v>
      </c>
      <c r="L2272" s="28" t="s">
        <v>314</v>
      </c>
      <c r="M2272" s="28" t="s">
        <v>21</v>
      </c>
      <c r="O2272" s="92">
        <v>37705</v>
      </c>
      <c r="P2272" s="28" t="s">
        <v>31</v>
      </c>
      <c r="Q2272" s="26" t="b">
        <v>0</v>
      </c>
      <c r="R2272" s="22">
        <f t="shared" si="36"/>
        <v>245</v>
      </c>
    </row>
    <row r="2273" spans="1:18">
      <c r="A2273" s="26">
        <v>6389</v>
      </c>
      <c r="B2273" s="27">
        <v>37473</v>
      </c>
      <c r="C2273" s="28" t="s">
        <v>7189</v>
      </c>
      <c r="D2273" s="27">
        <v>37471</v>
      </c>
      <c r="E2273" s="28" t="s">
        <v>38</v>
      </c>
      <c r="F2273" s="28" t="s">
        <v>3434</v>
      </c>
      <c r="G2273" s="28" t="s">
        <v>20</v>
      </c>
      <c r="H2273" s="28" t="s">
        <v>21</v>
      </c>
      <c r="I2273" s="28" t="s">
        <v>21</v>
      </c>
      <c r="J2273" s="28" t="s">
        <v>7190</v>
      </c>
      <c r="K2273" s="28" t="s">
        <v>21</v>
      </c>
      <c r="L2273" s="28" t="s">
        <v>314</v>
      </c>
      <c r="M2273" s="28" t="s">
        <v>21</v>
      </c>
      <c r="O2273" s="92">
        <v>37559</v>
      </c>
      <c r="P2273" s="28" t="s">
        <v>31</v>
      </c>
      <c r="Q2273" s="26" t="b">
        <v>0</v>
      </c>
      <c r="R2273" s="22">
        <f t="shared" si="36"/>
        <v>86</v>
      </c>
    </row>
    <row r="2274" spans="1:18">
      <c r="A2274" s="26">
        <v>6390</v>
      </c>
      <c r="B2274" s="27">
        <v>37473</v>
      </c>
      <c r="C2274" s="28" t="s">
        <v>7191</v>
      </c>
      <c r="D2274" s="27">
        <v>37473</v>
      </c>
      <c r="E2274" s="28" t="s">
        <v>7192</v>
      </c>
      <c r="F2274" s="28" t="s">
        <v>3434</v>
      </c>
      <c r="G2274" s="28" t="s">
        <v>20</v>
      </c>
      <c r="H2274" s="28" t="s">
        <v>21</v>
      </c>
      <c r="I2274" s="28" t="s">
        <v>21</v>
      </c>
      <c r="J2274" s="28" t="s">
        <v>7193</v>
      </c>
      <c r="K2274" s="28" t="s">
        <v>21</v>
      </c>
      <c r="L2274" s="28" t="s">
        <v>314</v>
      </c>
      <c r="M2274" s="28" t="s">
        <v>21</v>
      </c>
      <c r="O2274" s="92">
        <v>37515</v>
      </c>
      <c r="P2274" s="28" t="s">
        <v>31</v>
      </c>
      <c r="Q2274" s="26" t="b">
        <v>0</v>
      </c>
      <c r="R2274" s="22">
        <f t="shared" si="36"/>
        <v>41</v>
      </c>
    </row>
    <row r="2275" spans="1:18">
      <c r="A2275" s="26">
        <v>6391</v>
      </c>
      <c r="B2275" s="27">
        <v>37473</v>
      </c>
      <c r="C2275" s="28" t="s">
        <v>7194</v>
      </c>
      <c r="D2275" s="27">
        <v>37473</v>
      </c>
      <c r="E2275" s="28" t="s">
        <v>4172</v>
      </c>
      <c r="F2275" s="28" t="s">
        <v>19</v>
      </c>
      <c r="G2275" s="28" t="s">
        <v>20</v>
      </c>
      <c r="H2275" s="28" t="s">
        <v>21</v>
      </c>
      <c r="I2275" s="28" t="s">
        <v>21</v>
      </c>
      <c r="J2275" s="28" t="s">
        <v>7195</v>
      </c>
      <c r="K2275" s="28" t="s">
        <v>7196</v>
      </c>
      <c r="L2275" s="28" t="s">
        <v>66</v>
      </c>
      <c r="M2275" s="28" t="s">
        <v>21</v>
      </c>
      <c r="O2275" s="92">
        <v>37497</v>
      </c>
      <c r="P2275" s="28" t="s">
        <v>31</v>
      </c>
      <c r="Q2275" s="26" t="b">
        <v>0</v>
      </c>
      <c r="R2275" s="22">
        <f t="shared" si="36"/>
        <v>24</v>
      </c>
    </row>
    <row r="2276" spans="1:18">
      <c r="A2276" s="26">
        <v>6392</v>
      </c>
      <c r="B2276" s="27">
        <v>37475</v>
      </c>
      <c r="C2276" s="28" t="s">
        <v>7197</v>
      </c>
      <c r="D2276" s="27">
        <v>37474</v>
      </c>
      <c r="E2276" s="28" t="s">
        <v>4172</v>
      </c>
      <c r="F2276" s="28" t="s">
        <v>3434</v>
      </c>
      <c r="G2276" s="28" t="s">
        <v>20</v>
      </c>
      <c r="H2276" s="28" t="s">
        <v>21</v>
      </c>
      <c r="I2276" s="28" t="s">
        <v>21</v>
      </c>
      <c r="J2276" s="28" t="s">
        <v>7198</v>
      </c>
      <c r="K2276" s="28" t="s">
        <v>7199</v>
      </c>
      <c r="L2276" s="28" t="s">
        <v>314</v>
      </c>
      <c r="M2276" s="28" t="s">
        <v>21</v>
      </c>
      <c r="O2276" s="92">
        <v>37977</v>
      </c>
      <c r="P2276" s="28" t="s">
        <v>31</v>
      </c>
      <c r="Q2276" s="26" t="b">
        <v>0</v>
      </c>
      <c r="R2276" s="22">
        <f t="shared" si="36"/>
        <v>501</v>
      </c>
    </row>
    <row r="2277" spans="1:18">
      <c r="A2277" s="26">
        <v>6393</v>
      </c>
      <c r="B2277" s="27">
        <v>37476</v>
      </c>
      <c r="C2277" s="28" t="s">
        <v>7200</v>
      </c>
      <c r="D2277" s="27">
        <v>37462</v>
      </c>
      <c r="E2277" s="28" t="s">
        <v>38</v>
      </c>
      <c r="F2277" s="28" t="s">
        <v>124</v>
      </c>
      <c r="G2277" s="28" t="s">
        <v>20</v>
      </c>
      <c r="H2277" s="28" t="s">
        <v>21</v>
      </c>
      <c r="I2277" s="28" t="s">
        <v>21</v>
      </c>
      <c r="J2277" s="28" t="s">
        <v>7201</v>
      </c>
      <c r="K2277" s="28" t="s">
        <v>6080</v>
      </c>
      <c r="L2277" s="28" t="s">
        <v>314</v>
      </c>
      <c r="M2277" s="28" t="s">
        <v>21</v>
      </c>
      <c r="O2277" s="92">
        <v>37476</v>
      </c>
      <c r="P2277" s="28" t="s">
        <v>31</v>
      </c>
      <c r="Q2277" s="26" t="b">
        <v>0</v>
      </c>
      <c r="R2277" s="22">
        <f t="shared" si="36"/>
        <v>0</v>
      </c>
    </row>
    <row r="2278" spans="1:18">
      <c r="A2278" s="26">
        <v>6394</v>
      </c>
      <c r="B2278" s="27">
        <v>37477</v>
      </c>
      <c r="C2278" s="28" t="s">
        <v>7202</v>
      </c>
      <c r="D2278" s="27">
        <v>37477</v>
      </c>
      <c r="E2278" s="28" t="s">
        <v>38</v>
      </c>
      <c r="F2278" s="28" t="s">
        <v>56</v>
      </c>
      <c r="G2278" s="28" t="s">
        <v>20</v>
      </c>
      <c r="H2278" s="28" t="s">
        <v>21</v>
      </c>
      <c r="I2278" s="28" t="s">
        <v>21</v>
      </c>
      <c r="J2278" s="28" t="s">
        <v>7203</v>
      </c>
      <c r="K2278" s="28" t="s">
        <v>21</v>
      </c>
      <c r="L2278" s="28" t="s">
        <v>66</v>
      </c>
      <c r="M2278" s="28" t="s">
        <v>21</v>
      </c>
      <c r="O2278" s="92">
        <v>37480</v>
      </c>
      <c r="P2278" s="28" t="s">
        <v>31</v>
      </c>
      <c r="Q2278" s="26" t="b">
        <v>0</v>
      </c>
      <c r="R2278" s="22">
        <f t="shared" ref="R2278:R2309" si="37">IF(O2278=" ", " ", INT(YEARFRAC(O2278, B2278)*365))</f>
        <v>3</v>
      </c>
    </row>
    <row r="2279" spans="1:18">
      <c r="A2279" s="26">
        <v>6395</v>
      </c>
      <c r="B2279" s="27">
        <v>37480</v>
      </c>
      <c r="C2279" s="28" t="s">
        <v>7204</v>
      </c>
      <c r="D2279" s="27">
        <v>37474</v>
      </c>
      <c r="E2279" s="28" t="s">
        <v>38</v>
      </c>
      <c r="F2279" s="28" t="s">
        <v>3171</v>
      </c>
      <c r="G2279" s="28" t="s">
        <v>20</v>
      </c>
      <c r="H2279" s="28" t="s">
        <v>566</v>
      </c>
      <c r="I2279" s="28" t="s">
        <v>566</v>
      </c>
      <c r="J2279" s="28" t="s">
        <v>7205</v>
      </c>
      <c r="K2279" s="28" t="s">
        <v>7206</v>
      </c>
      <c r="L2279" s="28" t="s">
        <v>66</v>
      </c>
      <c r="M2279" s="28" t="s">
        <v>21</v>
      </c>
      <c r="O2279" s="92">
        <v>37482</v>
      </c>
      <c r="P2279" s="28" t="s">
        <v>21</v>
      </c>
      <c r="Q2279" s="26" t="b">
        <v>0</v>
      </c>
      <c r="R2279" s="22">
        <f t="shared" si="37"/>
        <v>2</v>
      </c>
    </row>
    <row r="2280" spans="1:18">
      <c r="A2280" s="26">
        <v>6396</v>
      </c>
      <c r="B2280" s="27">
        <v>37480</v>
      </c>
      <c r="C2280" s="28" t="s">
        <v>7207</v>
      </c>
      <c r="D2280" s="27">
        <v>37480</v>
      </c>
      <c r="E2280" s="28" t="s">
        <v>7208</v>
      </c>
      <c r="F2280" s="28" t="s">
        <v>2782</v>
      </c>
      <c r="G2280" s="28" t="s">
        <v>20</v>
      </c>
      <c r="H2280" s="28" t="s">
        <v>71</v>
      </c>
      <c r="I2280" s="28" t="s">
        <v>72</v>
      </c>
      <c r="J2280" s="28" t="s">
        <v>7209</v>
      </c>
      <c r="K2280" s="28" t="s">
        <v>2783</v>
      </c>
      <c r="L2280" s="28" t="s">
        <v>66</v>
      </c>
      <c r="M2280" s="28" t="s">
        <v>21</v>
      </c>
      <c r="O2280" s="92">
        <v>37770</v>
      </c>
      <c r="P2280" s="28" t="s">
        <v>31</v>
      </c>
      <c r="Q2280" s="26" t="b">
        <v>0</v>
      </c>
      <c r="R2280" s="22">
        <f t="shared" si="37"/>
        <v>290</v>
      </c>
    </row>
    <row r="2281" spans="1:18">
      <c r="A2281" s="26">
        <v>6398</v>
      </c>
      <c r="B2281" s="27">
        <v>37483</v>
      </c>
      <c r="C2281" s="28" t="s">
        <v>7210</v>
      </c>
      <c r="D2281" s="27">
        <v>37481</v>
      </c>
      <c r="E2281" s="28" t="s">
        <v>7211</v>
      </c>
      <c r="F2281" s="28" t="s">
        <v>7212</v>
      </c>
      <c r="G2281" s="28" t="s">
        <v>20</v>
      </c>
      <c r="H2281" s="28" t="s">
        <v>71</v>
      </c>
      <c r="I2281" s="28" t="s">
        <v>72</v>
      </c>
      <c r="J2281" s="28" t="s">
        <v>7213</v>
      </c>
      <c r="K2281" s="28" t="s">
        <v>21</v>
      </c>
      <c r="L2281" s="28" t="s">
        <v>314</v>
      </c>
      <c r="M2281" s="28" t="s">
        <v>21</v>
      </c>
      <c r="O2281" s="92">
        <v>37497</v>
      </c>
      <c r="P2281" s="28" t="s">
        <v>31</v>
      </c>
      <c r="Q2281" s="26" t="b">
        <v>0</v>
      </c>
      <c r="R2281" s="22">
        <f t="shared" si="37"/>
        <v>14</v>
      </c>
    </row>
    <row r="2282" spans="1:18">
      <c r="A2282" s="26">
        <v>6400</v>
      </c>
      <c r="B2282" s="27">
        <v>37488</v>
      </c>
      <c r="C2282" s="28" t="s">
        <v>7214</v>
      </c>
      <c r="D2282" s="27">
        <v>37484</v>
      </c>
      <c r="E2282" s="28" t="s">
        <v>7215</v>
      </c>
      <c r="F2282" s="28" t="s">
        <v>693</v>
      </c>
      <c r="G2282" s="28" t="s">
        <v>20</v>
      </c>
      <c r="H2282" s="28" t="s">
        <v>189</v>
      </c>
      <c r="I2282" s="28" t="s">
        <v>189</v>
      </c>
      <c r="J2282" s="28" t="s">
        <v>7216</v>
      </c>
      <c r="K2282" s="28" t="s">
        <v>7217</v>
      </c>
      <c r="L2282" s="28" t="s">
        <v>66</v>
      </c>
      <c r="M2282" s="28" t="s">
        <v>21</v>
      </c>
      <c r="O2282" s="92">
        <v>37522</v>
      </c>
      <c r="P2282" s="28" t="s">
        <v>31</v>
      </c>
      <c r="Q2282" s="26" t="b">
        <v>0</v>
      </c>
      <c r="R2282" s="22">
        <f t="shared" si="37"/>
        <v>33</v>
      </c>
    </row>
    <row r="2283" spans="1:18">
      <c r="A2283" s="26">
        <v>6403</v>
      </c>
      <c r="B2283" s="27">
        <v>37494</v>
      </c>
      <c r="C2283" s="28" t="s">
        <v>7218</v>
      </c>
      <c r="D2283" s="27">
        <v>37491</v>
      </c>
      <c r="E2283" s="28" t="s">
        <v>7219</v>
      </c>
      <c r="F2283" s="28" t="s">
        <v>3171</v>
      </c>
      <c r="G2283" s="28" t="s">
        <v>20</v>
      </c>
      <c r="H2283" s="28" t="s">
        <v>566</v>
      </c>
      <c r="I2283" s="28" t="s">
        <v>566</v>
      </c>
      <c r="J2283" s="28" t="s">
        <v>7220</v>
      </c>
      <c r="K2283" s="28" t="s">
        <v>21</v>
      </c>
      <c r="L2283" s="28" t="s">
        <v>66</v>
      </c>
      <c r="M2283" s="28" t="s">
        <v>21</v>
      </c>
      <c r="O2283" s="92">
        <v>37621</v>
      </c>
      <c r="P2283" s="28" t="s">
        <v>21</v>
      </c>
      <c r="Q2283" s="26" t="b">
        <v>0</v>
      </c>
      <c r="R2283" s="22">
        <f t="shared" si="37"/>
        <v>126</v>
      </c>
    </row>
    <row r="2284" spans="1:18">
      <c r="A2284" s="26">
        <v>6404</v>
      </c>
      <c r="B2284" s="27">
        <v>37496</v>
      </c>
      <c r="C2284" s="28" t="s">
        <v>7221</v>
      </c>
      <c r="D2284" s="27">
        <v>37496</v>
      </c>
      <c r="E2284" s="28" t="s">
        <v>7222</v>
      </c>
      <c r="F2284" s="28" t="s">
        <v>27</v>
      </c>
      <c r="G2284" s="28" t="s">
        <v>20</v>
      </c>
      <c r="H2284" s="28" t="s">
        <v>21</v>
      </c>
      <c r="I2284" s="28" t="s">
        <v>21</v>
      </c>
      <c r="J2284" s="28" t="s">
        <v>7223</v>
      </c>
      <c r="K2284" s="28" t="s">
        <v>7224</v>
      </c>
      <c r="L2284" s="28" t="s">
        <v>66</v>
      </c>
      <c r="M2284" s="28" t="s">
        <v>21</v>
      </c>
      <c r="O2284" s="92">
        <v>37685</v>
      </c>
      <c r="P2284" s="28" t="s">
        <v>21</v>
      </c>
      <c r="Q2284" s="26" t="b">
        <v>0</v>
      </c>
      <c r="R2284" s="22">
        <f t="shared" si="37"/>
        <v>189</v>
      </c>
    </row>
    <row r="2285" spans="1:18">
      <c r="A2285" s="26">
        <v>6405</v>
      </c>
      <c r="B2285" s="27">
        <v>37496</v>
      </c>
      <c r="C2285" s="28" t="s">
        <v>7225</v>
      </c>
      <c r="D2285" s="27">
        <v>37491</v>
      </c>
      <c r="E2285" s="28" t="s">
        <v>7226</v>
      </c>
      <c r="F2285" s="28" t="s">
        <v>124</v>
      </c>
      <c r="G2285" s="28" t="s">
        <v>20</v>
      </c>
      <c r="H2285" s="28" t="s">
        <v>21</v>
      </c>
      <c r="I2285" s="28" t="s">
        <v>21</v>
      </c>
      <c r="J2285" s="28" t="s">
        <v>7227</v>
      </c>
      <c r="K2285" s="28" t="s">
        <v>21</v>
      </c>
      <c r="L2285" s="28" t="s">
        <v>314</v>
      </c>
      <c r="M2285" s="28" t="s">
        <v>21</v>
      </c>
      <c r="O2285" s="92">
        <v>37613</v>
      </c>
      <c r="P2285" s="28" t="s">
        <v>31</v>
      </c>
      <c r="Q2285" s="26" t="b">
        <v>0</v>
      </c>
      <c r="R2285" s="22">
        <f t="shared" si="37"/>
        <v>116</v>
      </c>
    </row>
    <row r="2286" spans="1:18">
      <c r="A2286" s="26">
        <v>6406</v>
      </c>
      <c r="B2286" s="27">
        <v>37502</v>
      </c>
      <c r="C2286" s="28" t="s">
        <v>7228</v>
      </c>
      <c r="D2286" s="27">
        <v>37502</v>
      </c>
      <c r="E2286" s="28" t="s">
        <v>7229</v>
      </c>
      <c r="F2286" s="28" t="s">
        <v>974</v>
      </c>
      <c r="G2286" s="28" t="s">
        <v>20</v>
      </c>
      <c r="H2286" s="28" t="s">
        <v>212</v>
      </c>
      <c r="I2286" s="28" t="s">
        <v>212</v>
      </c>
      <c r="J2286" s="28" t="s">
        <v>7150</v>
      </c>
      <c r="K2286" s="28" t="s">
        <v>7230</v>
      </c>
      <c r="L2286" s="28" t="s">
        <v>314</v>
      </c>
      <c r="M2286" s="28" t="s">
        <v>21</v>
      </c>
      <c r="O2286" s="92">
        <v>37879</v>
      </c>
      <c r="P2286" s="28" t="s">
        <v>31</v>
      </c>
      <c r="Q2286" s="26" t="b">
        <v>0</v>
      </c>
      <c r="R2286" s="22">
        <f t="shared" si="37"/>
        <v>377</v>
      </c>
    </row>
    <row r="2287" spans="1:18">
      <c r="A2287" s="26">
        <v>6407</v>
      </c>
      <c r="B2287" s="27">
        <v>37503</v>
      </c>
      <c r="C2287" s="28" t="s">
        <v>7231</v>
      </c>
      <c r="D2287" s="27">
        <v>37503</v>
      </c>
      <c r="E2287" s="28" t="s">
        <v>1432</v>
      </c>
      <c r="F2287" s="28" t="s">
        <v>85</v>
      </c>
      <c r="G2287" s="28" t="s">
        <v>20</v>
      </c>
      <c r="H2287" s="28" t="s">
        <v>21</v>
      </c>
      <c r="I2287" s="28" t="s">
        <v>21</v>
      </c>
      <c r="J2287" s="28" t="s">
        <v>3318</v>
      </c>
      <c r="K2287" s="28" t="s">
        <v>1510</v>
      </c>
      <c r="L2287" s="28" t="s">
        <v>4282</v>
      </c>
      <c r="M2287" s="28" t="s">
        <v>21</v>
      </c>
      <c r="O2287" s="92">
        <v>37886</v>
      </c>
      <c r="P2287" s="28" t="s">
        <v>31</v>
      </c>
      <c r="Q2287" s="26" t="b">
        <v>0</v>
      </c>
      <c r="R2287" s="22">
        <f t="shared" si="37"/>
        <v>383</v>
      </c>
    </row>
    <row r="2288" spans="1:18" ht="24">
      <c r="A2288" s="26">
        <v>6408</v>
      </c>
      <c r="B2288" s="27">
        <v>37503</v>
      </c>
      <c r="C2288" s="28" t="s">
        <v>7232</v>
      </c>
      <c r="D2288" s="27">
        <v>37498</v>
      </c>
      <c r="E2288" s="28" t="s">
        <v>7233</v>
      </c>
      <c r="F2288" s="28" t="s">
        <v>27</v>
      </c>
      <c r="G2288" s="28" t="s">
        <v>20</v>
      </c>
      <c r="H2288" s="28" t="s">
        <v>21</v>
      </c>
      <c r="I2288" s="28" t="s">
        <v>21</v>
      </c>
      <c r="J2288" s="28" t="s">
        <v>7234</v>
      </c>
      <c r="K2288" s="28" t="s">
        <v>21</v>
      </c>
      <c r="L2288" s="28" t="s">
        <v>314</v>
      </c>
      <c r="M2288" s="28" t="s">
        <v>21</v>
      </c>
      <c r="O2288" s="92">
        <v>37551</v>
      </c>
      <c r="P2288" s="28" t="s">
        <v>21</v>
      </c>
      <c r="Q2288" s="26" t="b">
        <v>0</v>
      </c>
      <c r="R2288" s="22">
        <f t="shared" si="37"/>
        <v>48</v>
      </c>
    </row>
    <row r="2289" spans="1:18" ht="24">
      <c r="A2289" s="26">
        <v>6409</v>
      </c>
      <c r="B2289" s="27">
        <v>37504</v>
      </c>
      <c r="C2289" s="28" t="s">
        <v>7235</v>
      </c>
      <c r="D2289" s="27">
        <v>37489</v>
      </c>
      <c r="E2289" s="28" t="s">
        <v>7236</v>
      </c>
      <c r="F2289" s="28" t="s">
        <v>3430</v>
      </c>
      <c r="G2289" s="28" t="s">
        <v>20</v>
      </c>
      <c r="H2289" s="28" t="s">
        <v>71</v>
      </c>
      <c r="I2289" s="28" t="s">
        <v>72</v>
      </c>
      <c r="J2289" s="28" t="s">
        <v>7237</v>
      </c>
      <c r="K2289" s="28" t="s">
        <v>7238</v>
      </c>
      <c r="L2289" s="28" t="s">
        <v>66</v>
      </c>
      <c r="M2289" s="28" t="s">
        <v>21</v>
      </c>
      <c r="O2289" s="92">
        <v>37817</v>
      </c>
      <c r="P2289" s="28" t="s">
        <v>21</v>
      </c>
      <c r="Q2289" s="26" t="b">
        <v>0</v>
      </c>
      <c r="R2289" s="22">
        <f t="shared" si="37"/>
        <v>314</v>
      </c>
    </row>
    <row r="2290" spans="1:18">
      <c r="A2290" s="26">
        <v>6410</v>
      </c>
      <c r="B2290" s="27">
        <v>37508</v>
      </c>
      <c r="C2290" s="28" t="s">
        <v>7239</v>
      </c>
      <c r="D2290" s="27">
        <v>37508</v>
      </c>
      <c r="E2290" s="28" t="s">
        <v>7240</v>
      </c>
      <c r="F2290" s="28" t="s">
        <v>2943</v>
      </c>
      <c r="G2290" s="28" t="s">
        <v>20</v>
      </c>
      <c r="H2290" s="28" t="s">
        <v>21</v>
      </c>
      <c r="I2290" s="28" t="s">
        <v>21</v>
      </c>
      <c r="J2290" s="28" t="s">
        <v>7241</v>
      </c>
      <c r="K2290" s="28" t="s">
        <v>6454</v>
      </c>
      <c r="L2290" s="28" t="s">
        <v>66</v>
      </c>
      <c r="M2290" s="28" t="s">
        <v>21</v>
      </c>
      <c r="O2290" s="92">
        <v>37762</v>
      </c>
      <c r="P2290" s="28" t="s">
        <v>31</v>
      </c>
      <c r="Q2290" s="26" t="b">
        <v>0</v>
      </c>
      <c r="R2290" s="22">
        <f t="shared" si="37"/>
        <v>255</v>
      </c>
    </row>
    <row r="2291" spans="1:18">
      <c r="A2291" s="26">
        <v>6411</v>
      </c>
      <c r="B2291" s="27">
        <v>37508</v>
      </c>
      <c r="C2291" s="28" t="s">
        <v>7242</v>
      </c>
      <c r="D2291" s="27">
        <v>37497</v>
      </c>
      <c r="E2291" s="28" t="s">
        <v>7243</v>
      </c>
      <c r="F2291" s="28" t="s">
        <v>124</v>
      </c>
      <c r="G2291" s="28" t="s">
        <v>20</v>
      </c>
      <c r="H2291" s="28" t="s">
        <v>21</v>
      </c>
      <c r="I2291" s="28" t="s">
        <v>21</v>
      </c>
      <c r="J2291" s="28" t="s">
        <v>7244</v>
      </c>
      <c r="K2291" s="28" t="s">
        <v>7245</v>
      </c>
      <c r="L2291" s="28" t="s">
        <v>66</v>
      </c>
      <c r="M2291" s="28" t="s">
        <v>21</v>
      </c>
      <c r="O2291" s="92">
        <v>37510</v>
      </c>
      <c r="P2291" s="28" t="s">
        <v>31</v>
      </c>
      <c r="Q2291" s="26" t="b">
        <v>0</v>
      </c>
      <c r="R2291" s="22">
        <f t="shared" si="37"/>
        <v>2</v>
      </c>
    </row>
    <row r="2292" spans="1:18">
      <c r="A2292" s="26">
        <v>6412</v>
      </c>
      <c r="B2292" s="27">
        <v>37509</v>
      </c>
      <c r="C2292" s="28" t="s">
        <v>7246</v>
      </c>
      <c r="D2292" s="27">
        <v>37496</v>
      </c>
      <c r="E2292" s="28" t="s">
        <v>7247</v>
      </c>
      <c r="F2292" s="28" t="s">
        <v>5690</v>
      </c>
      <c r="G2292" s="28" t="s">
        <v>20</v>
      </c>
      <c r="H2292" s="28" t="s">
        <v>71</v>
      </c>
      <c r="I2292" s="28" t="s">
        <v>72</v>
      </c>
      <c r="J2292" s="28" t="s">
        <v>7248</v>
      </c>
      <c r="K2292" s="28" t="s">
        <v>21</v>
      </c>
      <c r="L2292" s="28" t="s">
        <v>4282</v>
      </c>
      <c r="M2292" s="28" t="s">
        <v>21</v>
      </c>
      <c r="O2292" s="92">
        <v>38418</v>
      </c>
      <c r="P2292" s="28" t="s">
        <v>182</v>
      </c>
      <c r="Q2292" s="26" t="b">
        <v>0</v>
      </c>
      <c r="R2292" s="22">
        <f t="shared" si="37"/>
        <v>909</v>
      </c>
    </row>
    <row r="2293" spans="1:18">
      <c r="A2293" s="26">
        <v>6414</v>
      </c>
      <c r="B2293" s="27">
        <v>37512</v>
      </c>
      <c r="C2293" s="28" t="s">
        <v>7249</v>
      </c>
      <c r="D2293" s="27">
        <v>37512</v>
      </c>
      <c r="E2293" s="28" t="s">
        <v>4172</v>
      </c>
      <c r="F2293" s="28" t="s">
        <v>3434</v>
      </c>
      <c r="G2293" s="28" t="s">
        <v>20</v>
      </c>
      <c r="H2293" s="28" t="s">
        <v>21</v>
      </c>
      <c r="I2293" s="28" t="s">
        <v>21</v>
      </c>
      <c r="J2293" s="28" t="s">
        <v>7192</v>
      </c>
      <c r="K2293" s="28" t="s">
        <v>21</v>
      </c>
      <c r="L2293" s="28" t="s">
        <v>314</v>
      </c>
      <c r="M2293" s="28" t="s">
        <v>21</v>
      </c>
      <c r="O2293" s="92">
        <v>37544</v>
      </c>
      <c r="P2293" s="28" t="s">
        <v>21</v>
      </c>
      <c r="Q2293" s="26" t="b">
        <v>0</v>
      </c>
      <c r="R2293" s="22">
        <f t="shared" si="37"/>
        <v>32</v>
      </c>
    </row>
    <row r="2294" spans="1:18">
      <c r="A2294" s="26">
        <v>6415</v>
      </c>
      <c r="B2294" s="27">
        <v>37515</v>
      </c>
      <c r="C2294" s="28" t="s">
        <v>7250</v>
      </c>
      <c r="D2294" s="27">
        <v>37513</v>
      </c>
      <c r="E2294" s="28" t="s">
        <v>7251</v>
      </c>
      <c r="F2294" s="28" t="s">
        <v>2296</v>
      </c>
      <c r="G2294" s="28" t="s">
        <v>20</v>
      </c>
      <c r="H2294" s="28" t="s">
        <v>566</v>
      </c>
      <c r="I2294" s="28" t="s">
        <v>566</v>
      </c>
      <c r="J2294" s="28" t="s">
        <v>7252</v>
      </c>
      <c r="K2294" s="28" t="s">
        <v>21</v>
      </c>
      <c r="L2294" s="28" t="s">
        <v>66</v>
      </c>
      <c r="M2294" s="28" t="s">
        <v>21</v>
      </c>
      <c r="O2294" s="92">
        <v>37523</v>
      </c>
      <c r="P2294" s="28" t="s">
        <v>21</v>
      </c>
      <c r="Q2294" s="26" t="b">
        <v>0</v>
      </c>
      <c r="R2294" s="22">
        <f t="shared" si="37"/>
        <v>8</v>
      </c>
    </row>
    <row r="2295" spans="1:18">
      <c r="A2295" s="26">
        <v>6416</v>
      </c>
      <c r="B2295" s="27">
        <v>37515</v>
      </c>
      <c r="C2295" s="28" t="s">
        <v>7253</v>
      </c>
      <c r="D2295" s="27">
        <v>37515</v>
      </c>
      <c r="E2295" s="28" t="s">
        <v>7254</v>
      </c>
      <c r="F2295" s="28" t="s">
        <v>98</v>
      </c>
      <c r="G2295" s="28" t="s">
        <v>20</v>
      </c>
      <c r="H2295" s="28" t="s">
        <v>21</v>
      </c>
      <c r="I2295" s="28" t="s">
        <v>21</v>
      </c>
      <c r="J2295" s="28" t="s">
        <v>3334</v>
      </c>
      <c r="K2295" s="28" t="s">
        <v>3335</v>
      </c>
      <c r="L2295" s="28" t="s">
        <v>4282</v>
      </c>
      <c r="M2295" s="28" t="s">
        <v>21</v>
      </c>
      <c r="O2295" s="92">
        <v>37741</v>
      </c>
      <c r="P2295" s="28" t="s">
        <v>31</v>
      </c>
      <c r="Q2295" s="26" t="b">
        <v>0</v>
      </c>
      <c r="R2295" s="22">
        <f t="shared" si="37"/>
        <v>227</v>
      </c>
    </row>
    <row r="2296" spans="1:18">
      <c r="A2296" s="26">
        <v>6418</v>
      </c>
      <c r="B2296" s="27">
        <v>37516</v>
      </c>
      <c r="C2296" s="28" t="s">
        <v>7255</v>
      </c>
      <c r="D2296" s="27">
        <v>37515</v>
      </c>
      <c r="E2296" s="28" t="s">
        <v>7256</v>
      </c>
      <c r="F2296" s="28" t="s">
        <v>2838</v>
      </c>
      <c r="G2296" s="28" t="s">
        <v>20</v>
      </c>
      <c r="H2296" s="28" t="s">
        <v>21</v>
      </c>
      <c r="I2296" s="28" t="s">
        <v>21</v>
      </c>
      <c r="J2296" s="28" t="s">
        <v>3737</v>
      </c>
      <c r="K2296" s="28" t="s">
        <v>7257</v>
      </c>
      <c r="L2296" s="28" t="s">
        <v>66</v>
      </c>
      <c r="M2296" s="28" t="s">
        <v>21</v>
      </c>
      <c r="O2296" s="92">
        <v>37539</v>
      </c>
      <c r="P2296" s="28" t="s">
        <v>31</v>
      </c>
      <c r="Q2296" s="26" t="b">
        <v>0</v>
      </c>
      <c r="R2296" s="22">
        <f t="shared" si="37"/>
        <v>23</v>
      </c>
    </row>
    <row r="2297" spans="1:18">
      <c r="A2297" s="26">
        <v>6419</v>
      </c>
      <c r="B2297" s="27">
        <v>37517</v>
      </c>
      <c r="C2297" s="28" t="s">
        <v>7258</v>
      </c>
      <c r="D2297" s="27">
        <v>37517</v>
      </c>
      <c r="E2297" s="28" t="s">
        <v>38</v>
      </c>
      <c r="F2297" s="28" t="s">
        <v>124</v>
      </c>
      <c r="G2297" s="28" t="s">
        <v>20</v>
      </c>
      <c r="H2297" s="28" t="s">
        <v>21</v>
      </c>
      <c r="I2297" s="28" t="s">
        <v>21</v>
      </c>
      <c r="J2297" s="28" t="s">
        <v>5162</v>
      </c>
      <c r="K2297" s="28" t="s">
        <v>7259</v>
      </c>
      <c r="L2297" s="28" t="s">
        <v>66</v>
      </c>
      <c r="M2297" s="28" t="s">
        <v>21</v>
      </c>
      <c r="O2297" s="92">
        <v>37517</v>
      </c>
      <c r="P2297" s="28" t="s">
        <v>31</v>
      </c>
      <c r="Q2297" s="26" t="b">
        <v>0</v>
      </c>
      <c r="R2297" s="22">
        <f t="shared" si="37"/>
        <v>0</v>
      </c>
    </row>
    <row r="2298" spans="1:18">
      <c r="A2298" s="26">
        <v>6420</v>
      </c>
      <c r="B2298" s="27">
        <v>37517</v>
      </c>
      <c r="C2298" s="28" t="s">
        <v>7260</v>
      </c>
      <c r="D2298" s="27">
        <v>37515</v>
      </c>
      <c r="E2298" s="28" t="s">
        <v>7261</v>
      </c>
      <c r="F2298" s="28" t="s">
        <v>85</v>
      </c>
      <c r="G2298" s="28" t="s">
        <v>20</v>
      </c>
      <c r="H2298" s="28" t="s">
        <v>21</v>
      </c>
      <c r="I2298" s="28" t="s">
        <v>21</v>
      </c>
      <c r="J2298" s="28" t="s">
        <v>7262</v>
      </c>
      <c r="K2298" s="28" t="s">
        <v>21</v>
      </c>
      <c r="L2298" s="28" t="s">
        <v>66</v>
      </c>
      <c r="M2298" s="28" t="s">
        <v>21</v>
      </c>
      <c r="O2298" s="92">
        <v>37559</v>
      </c>
      <c r="P2298" s="28" t="s">
        <v>31</v>
      </c>
      <c r="Q2298" s="26" t="b">
        <v>0</v>
      </c>
      <c r="R2298" s="22">
        <f t="shared" si="37"/>
        <v>42</v>
      </c>
    </row>
    <row r="2299" spans="1:18">
      <c r="A2299" s="26">
        <v>6421</v>
      </c>
      <c r="B2299" s="27">
        <v>37517</v>
      </c>
      <c r="C2299" s="28" t="s">
        <v>7263</v>
      </c>
      <c r="D2299" s="27">
        <v>37515</v>
      </c>
      <c r="E2299" s="28" t="s">
        <v>7264</v>
      </c>
      <c r="F2299" s="28" t="s">
        <v>85</v>
      </c>
      <c r="G2299" s="28" t="s">
        <v>20</v>
      </c>
      <c r="H2299" s="28" t="s">
        <v>21</v>
      </c>
      <c r="I2299" s="28" t="s">
        <v>21</v>
      </c>
      <c r="J2299" s="28" t="s">
        <v>7265</v>
      </c>
      <c r="K2299" s="28" t="s">
        <v>21</v>
      </c>
      <c r="L2299" s="28" t="s">
        <v>66</v>
      </c>
      <c r="M2299" s="28" t="s">
        <v>21</v>
      </c>
      <c r="O2299" s="92">
        <v>37559</v>
      </c>
      <c r="P2299" s="28" t="s">
        <v>31</v>
      </c>
      <c r="Q2299" s="26" t="b">
        <v>0</v>
      </c>
      <c r="R2299" s="22">
        <f t="shared" si="37"/>
        <v>42</v>
      </c>
    </row>
    <row r="2300" spans="1:18" ht="24">
      <c r="A2300" s="26">
        <v>6422</v>
      </c>
      <c r="B2300" s="27">
        <v>37518</v>
      </c>
      <c r="C2300" s="28" t="s">
        <v>7266</v>
      </c>
      <c r="D2300" s="27">
        <v>37509</v>
      </c>
      <c r="E2300" s="28" t="s">
        <v>7267</v>
      </c>
      <c r="F2300" s="28" t="s">
        <v>3283</v>
      </c>
      <c r="G2300" s="28" t="s">
        <v>20</v>
      </c>
      <c r="H2300" s="28" t="s">
        <v>21</v>
      </c>
      <c r="I2300" s="28" t="s">
        <v>21</v>
      </c>
      <c r="J2300" s="28" t="s">
        <v>7268</v>
      </c>
      <c r="K2300" s="28" t="s">
        <v>7269</v>
      </c>
      <c r="L2300" s="28" t="s">
        <v>4282</v>
      </c>
      <c r="M2300" s="28" t="s">
        <v>21</v>
      </c>
      <c r="O2300" s="92">
        <v>38471</v>
      </c>
      <c r="P2300" s="28" t="s">
        <v>31</v>
      </c>
      <c r="Q2300" s="26" t="b">
        <v>0</v>
      </c>
      <c r="R2300" s="22">
        <f t="shared" si="37"/>
        <v>953</v>
      </c>
    </row>
    <row r="2301" spans="1:18" ht="24">
      <c r="A2301" s="26">
        <v>6423</v>
      </c>
      <c r="B2301" s="27">
        <v>37518</v>
      </c>
      <c r="C2301" s="28" t="s">
        <v>7270</v>
      </c>
      <c r="D2301" s="27">
        <v>37512</v>
      </c>
      <c r="E2301" s="28" t="s">
        <v>38</v>
      </c>
      <c r="F2301" s="28" t="s">
        <v>124</v>
      </c>
      <c r="G2301" s="28" t="s">
        <v>20</v>
      </c>
      <c r="H2301" s="28" t="s">
        <v>21</v>
      </c>
      <c r="I2301" s="28" t="s">
        <v>21</v>
      </c>
      <c r="J2301" s="28" t="s">
        <v>7271</v>
      </c>
      <c r="K2301" s="28" t="s">
        <v>21</v>
      </c>
      <c r="L2301" s="28" t="s">
        <v>314</v>
      </c>
      <c r="M2301" s="28" t="s">
        <v>21</v>
      </c>
      <c r="O2301" s="92">
        <v>37601</v>
      </c>
      <c r="P2301" s="28" t="s">
        <v>31</v>
      </c>
      <c r="Q2301" s="26" t="b">
        <v>0</v>
      </c>
      <c r="R2301" s="22">
        <f t="shared" si="37"/>
        <v>83</v>
      </c>
    </row>
    <row r="2302" spans="1:18">
      <c r="A2302" s="26">
        <v>6424</v>
      </c>
      <c r="B2302" s="27">
        <v>37518</v>
      </c>
      <c r="C2302" s="28" t="s">
        <v>7272</v>
      </c>
      <c r="D2302" s="27">
        <v>37510</v>
      </c>
      <c r="E2302" s="28" t="s">
        <v>7273</v>
      </c>
      <c r="F2302" s="28" t="s">
        <v>367</v>
      </c>
      <c r="G2302" s="28" t="s">
        <v>20</v>
      </c>
      <c r="H2302" s="28" t="s">
        <v>71</v>
      </c>
      <c r="I2302" s="28" t="s">
        <v>72</v>
      </c>
      <c r="J2302" s="28" t="s">
        <v>7274</v>
      </c>
      <c r="K2302" s="28" t="s">
        <v>21</v>
      </c>
      <c r="L2302" s="28" t="s">
        <v>314</v>
      </c>
      <c r="M2302" s="28" t="s">
        <v>21</v>
      </c>
      <c r="O2302" s="92">
        <v>37553</v>
      </c>
      <c r="P2302" s="28" t="s">
        <v>31</v>
      </c>
      <c r="Q2302" s="26" t="b">
        <v>0</v>
      </c>
      <c r="R2302" s="22">
        <f t="shared" si="37"/>
        <v>35</v>
      </c>
    </row>
    <row r="2303" spans="1:18" ht="24">
      <c r="A2303" s="26">
        <v>6425</v>
      </c>
      <c r="B2303" s="27">
        <v>37518</v>
      </c>
      <c r="C2303" s="28" t="s">
        <v>7275</v>
      </c>
      <c r="D2303" s="27">
        <v>37518</v>
      </c>
      <c r="E2303" s="28" t="s">
        <v>7276</v>
      </c>
      <c r="F2303" s="28" t="s">
        <v>98</v>
      </c>
      <c r="G2303" s="28" t="s">
        <v>20</v>
      </c>
      <c r="H2303" s="28" t="s">
        <v>21</v>
      </c>
      <c r="I2303" s="28" t="s">
        <v>21</v>
      </c>
      <c r="J2303" s="28" t="s">
        <v>7277</v>
      </c>
      <c r="K2303" s="28" t="s">
        <v>7278</v>
      </c>
      <c r="L2303" s="28" t="s">
        <v>4282</v>
      </c>
      <c r="M2303" s="28" t="s">
        <v>21</v>
      </c>
      <c r="O2303" s="92">
        <v>38289</v>
      </c>
      <c r="P2303" s="28" t="s">
        <v>31</v>
      </c>
      <c r="Q2303" s="26" t="b">
        <v>0</v>
      </c>
      <c r="R2303" s="22">
        <f t="shared" si="37"/>
        <v>770</v>
      </c>
    </row>
    <row r="2304" spans="1:18">
      <c r="A2304" s="26">
        <v>6426</v>
      </c>
      <c r="B2304" s="27">
        <v>37518</v>
      </c>
      <c r="C2304" s="28" t="s">
        <v>7279</v>
      </c>
      <c r="D2304" s="27">
        <v>37506</v>
      </c>
      <c r="E2304" s="28" t="s">
        <v>38</v>
      </c>
      <c r="F2304" s="28" t="s">
        <v>124</v>
      </c>
      <c r="G2304" s="28" t="s">
        <v>20</v>
      </c>
      <c r="H2304" s="28" t="s">
        <v>21</v>
      </c>
      <c r="I2304" s="28" t="s">
        <v>21</v>
      </c>
      <c r="J2304" s="28" t="s">
        <v>7280</v>
      </c>
      <c r="K2304" s="28" t="s">
        <v>6080</v>
      </c>
      <c r="L2304" s="28" t="s">
        <v>314</v>
      </c>
      <c r="M2304" s="28" t="s">
        <v>21</v>
      </c>
      <c r="O2304" s="92">
        <v>37523</v>
      </c>
      <c r="P2304" s="28" t="s">
        <v>31</v>
      </c>
      <c r="Q2304" s="26" t="b">
        <v>0</v>
      </c>
      <c r="R2304" s="22">
        <f t="shared" si="37"/>
        <v>5</v>
      </c>
    </row>
    <row r="2305" spans="1:18">
      <c r="A2305" s="26">
        <v>6427</v>
      </c>
      <c r="B2305" s="27">
        <v>37522</v>
      </c>
      <c r="C2305" s="28" t="s">
        <v>7281</v>
      </c>
      <c r="D2305" s="27">
        <v>37519</v>
      </c>
      <c r="E2305" s="28" t="s">
        <v>7282</v>
      </c>
      <c r="F2305" s="28" t="s">
        <v>3171</v>
      </c>
      <c r="G2305" s="28" t="s">
        <v>20</v>
      </c>
      <c r="H2305" s="28" t="s">
        <v>566</v>
      </c>
      <c r="I2305" s="28" t="s">
        <v>566</v>
      </c>
      <c r="J2305" s="28" t="s">
        <v>7283</v>
      </c>
      <c r="K2305" s="28" t="s">
        <v>21</v>
      </c>
      <c r="L2305" s="28" t="s">
        <v>4282</v>
      </c>
      <c r="M2305" s="28" t="s">
        <v>21</v>
      </c>
      <c r="O2305" s="92">
        <v>38167</v>
      </c>
      <c r="P2305" s="28" t="s">
        <v>21</v>
      </c>
      <c r="Q2305" s="26" t="b">
        <v>0</v>
      </c>
      <c r="R2305" s="22">
        <f t="shared" si="37"/>
        <v>644</v>
      </c>
    </row>
    <row r="2306" spans="1:18">
      <c r="A2306" s="26">
        <v>6428</v>
      </c>
      <c r="B2306" s="27">
        <v>37524</v>
      </c>
      <c r="C2306" s="28" t="s">
        <v>7284</v>
      </c>
      <c r="D2306" s="27">
        <v>37524</v>
      </c>
      <c r="E2306" s="28" t="s">
        <v>7285</v>
      </c>
      <c r="F2306" s="28" t="s">
        <v>124</v>
      </c>
      <c r="G2306" s="28" t="s">
        <v>20</v>
      </c>
      <c r="H2306" s="28" t="s">
        <v>21</v>
      </c>
      <c r="I2306" s="28" t="s">
        <v>21</v>
      </c>
      <c r="J2306" s="28" t="s">
        <v>3655</v>
      </c>
      <c r="K2306" s="28" t="s">
        <v>7286</v>
      </c>
      <c r="L2306" s="28" t="s">
        <v>314</v>
      </c>
      <c r="M2306" s="28" t="s">
        <v>21</v>
      </c>
      <c r="O2306" s="92">
        <v>37670</v>
      </c>
      <c r="P2306" s="28" t="s">
        <v>31</v>
      </c>
      <c r="Q2306" s="26" t="b">
        <v>0</v>
      </c>
      <c r="R2306" s="22">
        <f t="shared" si="37"/>
        <v>144</v>
      </c>
    </row>
    <row r="2307" spans="1:18">
      <c r="A2307" s="26">
        <v>6429</v>
      </c>
      <c r="B2307" s="27">
        <v>37526</v>
      </c>
      <c r="C2307" s="28" t="s">
        <v>7287</v>
      </c>
      <c r="D2307" s="27">
        <v>37522</v>
      </c>
      <c r="E2307" s="28" t="s">
        <v>7288</v>
      </c>
      <c r="F2307" s="28" t="s">
        <v>371</v>
      </c>
      <c r="G2307" s="28" t="s">
        <v>20</v>
      </c>
      <c r="H2307" s="28" t="s">
        <v>21</v>
      </c>
      <c r="I2307" s="28" t="s">
        <v>21</v>
      </c>
      <c r="J2307" s="28" t="s">
        <v>2542</v>
      </c>
      <c r="K2307" s="28" t="s">
        <v>7289</v>
      </c>
      <c r="L2307" s="28" t="s">
        <v>66</v>
      </c>
      <c r="M2307" s="28" t="s">
        <v>21</v>
      </c>
      <c r="O2307" s="92">
        <v>37572</v>
      </c>
      <c r="P2307" s="28" t="s">
        <v>31</v>
      </c>
      <c r="Q2307" s="26" t="b">
        <v>0</v>
      </c>
      <c r="R2307" s="22">
        <f t="shared" si="37"/>
        <v>45</v>
      </c>
    </row>
    <row r="2308" spans="1:18" ht="24">
      <c r="A2308" s="26">
        <v>6430</v>
      </c>
      <c r="B2308" s="27">
        <v>37529</v>
      </c>
      <c r="C2308" s="28" t="s">
        <v>7290</v>
      </c>
      <c r="D2308" s="27">
        <v>37525</v>
      </c>
      <c r="E2308" s="28" t="s">
        <v>7291</v>
      </c>
      <c r="F2308" s="28" t="s">
        <v>4596</v>
      </c>
      <c r="G2308" s="28" t="s">
        <v>20</v>
      </c>
      <c r="H2308" s="28" t="s">
        <v>21</v>
      </c>
      <c r="I2308" s="28" t="s">
        <v>21</v>
      </c>
      <c r="J2308" s="28" t="s">
        <v>7292</v>
      </c>
      <c r="K2308" s="28" t="s">
        <v>7293</v>
      </c>
      <c r="L2308" s="28" t="s">
        <v>3588</v>
      </c>
      <c r="M2308" s="28" t="s">
        <v>6829</v>
      </c>
      <c r="O2308" s="92">
        <v>39518</v>
      </c>
      <c r="P2308" s="28" t="s">
        <v>31</v>
      </c>
      <c r="Q2308" s="26" t="b">
        <v>0</v>
      </c>
      <c r="R2308" s="22">
        <f t="shared" si="37"/>
        <v>1988</v>
      </c>
    </row>
    <row r="2309" spans="1:18">
      <c r="A2309" s="26">
        <v>6431</v>
      </c>
      <c r="B2309" s="27">
        <v>37530</v>
      </c>
      <c r="C2309" s="28" t="s">
        <v>7294</v>
      </c>
      <c r="D2309" s="27">
        <v>37524</v>
      </c>
      <c r="E2309" s="28" t="s">
        <v>38</v>
      </c>
      <c r="F2309" s="28" t="s">
        <v>124</v>
      </c>
      <c r="G2309" s="28" t="s">
        <v>20</v>
      </c>
      <c r="H2309" s="28" t="s">
        <v>21</v>
      </c>
      <c r="I2309" s="28" t="s">
        <v>21</v>
      </c>
      <c r="J2309" s="28" t="s">
        <v>7295</v>
      </c>
      <c r="K2309" s="28" t="s">
        <v>124</v>
      </c>
      <c r="L2309" s="28" t="s">
        <v>314</v>
      </c>
      <c r="M2309" s="28" t="s">
        <v>21</v>
      </c>
      <c r="O2309" s="92">
        <v>37531</v>
      </c>
      <c r="P2309" s="28" t="s">
        <v>31</v>
      </c>
      <c r="Q2309" s="26" t="b">
        <v>0</v>
      </c>
      <c r="R2309" s="22">
        <f t="shared" si="37"/>
        <v>1</v>
      </c>
    </row>
    <row r="2310" spans="1:18">
      <c r="A2310" s="26">
        <v>6432</v>
      </c>
      <c r="B2310" s="27">
        <v>37531</v>
      </c>
      <c r="C2310" s="28" t="s">
        <v>7296</v>
      </c>
      <c r="D2310" s="27">
        <v>37529</v>
      </c>
      <c r="E2310" s="28" t="s">
        <v>7297</v>
      </c>
      <c r="F2310" s="28" t="s">
        <v>371</v>
      </c>
      <c r="G2310" s="28" t="s">
        <v>20</v>
      </c>
      <c r="H2310" s="28" t="s">
        <v>21</v>
      </c>
      <c r="I2310" s="28" t="s">
        <v>21</v>
      </c>
      <c r="J2310" s="28" t="s">
        <v>7298</v>
      </c>
      <c r="K2310" s="28" t="s">
        <v>7299</v>
      </c>
      <c r="L2310" s="28" t="s">
        <v>66</v>
      </c>
      <c r="M2310" s="28" t="s">
        <v>21</v>
      </c>
      <c r="O2310" s="92">
        <v>37566</v>
      </c>
      <c r="P2310" s="28" t="s">
        <v>31</v>
      </c>
      <c r="Q2310" s="26" t="b">
        <v>0</v>
      </c>
      <c r="R2310" s="22">
        <f t="shared" ref="R2310:R2327" si="38">IF(O2310=" ", " ", INT(YEARFRAC(O2310, B2310)*365))</f>
        <v>34</v>
      </c>
    </row>
    <row r="2311" spans="1:18">
      <c r="A2311" s="26">
        <v>6433</v>
      </c>
      <c r="B2311" s="27">
        <v>37531</v>
      </c>
      <c r="C2311" s="28" t="s">
        <v>7300</v>
      </c>
      <c r="D2311" s="27">
        <v>37524</v>
      </c>
      <c r="E2311" s="28" t="s">
        <v>38</v>
      </c>
      <c r="F2311" s="28" t="s">
        <v>124</v>
      </c>
      <c r="G2311" s="28" t="s">
        <v>20</v>
      </c>
      <c r="H2311" s="28" t="s">
        <v>21</v>
      </c>
      <c r="I2311" s="28" t="s">
        <v>21</v>
      </c>
      <c r="J2311" s="28" t="s">
        <v>6950</v>
      </c>
      <c r="K2311" s="28" t="s">
        <v>124</v>
      </c>
      <c r="L2311" s="28" t="s">
        <v>4282</v>
      </c>
      <c r="M2311" s="28" t="s">
        <v>21</v>
      </c>
      <c r="O2311" s="92">
        <v>37533</v>
      </c>
      <c r="P2311" s="28" t="s">
        <v>31</v>
      </c>
      <c r="Q2311" s="26" t="b">
        <v>0</v>
      </c>
      <c r="R2311" s="22">
        <f t="shared" si="38"/>
        <v>2</v>
      </c>
    </row>
    <row r="2312" spans="1:18">
      <c r="A2312" s="26">
        <v>6440</v>
      </c>
      <c r="B2312" s="27">
        <v>37537</v>
      </c>
      <c r="C2312" s="28" t="s">
        <v>7310</v>
      </c>
      <c r="D2312" s="27">
        <v>37536</v>
      </c>
      <c r="E2312" s="28" t="s">
        <v>7311</v>
      </c>
      <c r="F2312" s="28" t="s">
        <v>861</v>
      </c>
      <c r="G2312" s="28" t="s">
        <v>20</v>
      </c>
      <c r="H2312" s="28" t="s">
        <v>566</v>
      </c>
      <c r="I2312" s="28" t="s">
        <v>566</v>
      </c>
      <c r="J2312" s="28" t="s">
        <v>7312</v>
      </c>
      <c r="K2312" s="28" t="s">
        <v>21</v>
      </c>
      <c r="L2312" s="28" t="s">
        <v>314</v>
      </c>
      <c r="M2312" s="28" t="s">
        <v>21</v>
      </c>
      <c r="O2312" s="92">
        <v>37876</v>
      </c>
      <c r="P2312" s="28" t="s">
        <v>31</v>
      </c>
      <c r="Q2312" s="26" t="b">
        <v>0</v>
      </c>
      <c r="R2312" s="22">
        <f t="shared" si="38"/>
        <v>338</v>
      </c>
    </row>
    <row r="2313" spans="1:18" ht="24">
      <c r="A2313" s="26">
        <v>6441</v>
      </c>
      <c r="B2313" s="27">
        <v>37537</v>
      </c>
      <c r="C2313" s="28" t="s">
        <v>7313</v>
      </c>
      <c r="D2313" s="27">
        <v>37533</v>
      </c>
      <c r="E2313" s="28" t="s">
        <v>4172</v>
      </c>
      <c r="F2313" s="28" t="s">
        <v>52</v>
      </c>
      <c r="G2313" s="28" t="s">
        <v>20</v>
      </c>
      <c r="H2313" s="28" t="s">
        <v>21</v>
      </c>
      <c r="I2313" s="28" t="s">
        <v>21</v>
      </c>
      <c r="J2313" s="28" t="s">
        <v>7314</v>
      </c>
      <c r="K2313" s="28" t="s">
        <v>7315</v>
      </c>
      <c r="L2313" s="28" t="s">
        <v>66</v>
      </c>
      <c r="M2313" s="28" t="s">
        <v>21</v>
      </c>
      <c r="O2313" s="92">
        <v>37659</v>
      </c>
      <c r="P2313" s="28" t="s">
        <v>31</v>
      </c>
      <c r="Q2313" s="26" t="b">
        <v>0</v>
      </c>
      <c r="R2313" s="22">
        <f t="shared" si="38"/>
        <v>120</v>
      </c>
    </row>
    <row r="2314" spans="1:18">
      <c r="A2314" s="26">
        <v>6443</v>
      </c>
      <c r="B2314" s="27">
        <v>37538</v>
      </c>
      <c r="C2314" s="28" t="s">
        <v>7319</v>
      </c>
      <c r="D2314" s="27">
        <v>37534</v>
      </c>
      <c r="E2314" s="28" t="s">
        <v>7320</v>
      </c>
      <c r="F2314" s="28" t="s">
        <v>2413</v>
      </c>
      <c r="G2314" s="28" t="s">
        <v>20</v>
      </c>
      <c r="H2314" s="28" t="s">
        <v>21</v>
      </c>
      <c r="I2314" s="28" t="s">
        <v>21</v>
      </c>
      <c r="J2314" s="28" t="s">
        <v>7321</v>
      </c>
      <c r="K2314" s="28" t="s">
        <v>21</v>
      </c>
      <c r="L2314" s="28" t="s">
        <v>4282</v>
      </c>
      <c r="M2314" s="28" t="s">
        <v>21</v>
      </c>
      <c r="O2314" s="92">
        <v>38555</v>
      </c>
      <c r="P2314" s="28" t="s">
        <v>31</v>
      </c>
      <c r="Q2314" s="26" t="b">
        <v>0</v>
      </c>
      <c r="R2314" s="22">
        <f t="shared" si="38"/>
        <v>1016</v>
      </c>
    </row>
    <row r="2315" spans="1:18">
      <c r="A2315" s="26">
        <v>6445</v>
      </c>
      <c r="B2315" s="27">
        <v>37539</v>
      </c>
      <c r="C2315" s="28" t="s">
        <v>7325</v>
      </c>
      <c r="D2315" s="27">
        <v>37539</v>
      </c>
      <c r="E2315" s="28" t="s">
        <v>7326</v>
      </c>
      <c r="F2315" s="28" t="s">
        <v>2727</v>
      </c>
      <c r="G2315" s="28" t="s">
        <v>20</v>
      </c>
      <c r="H2315" s="28" t="s">
        <v>71</v>
      </c>
      <c r="I2315" s="28" t="s">
        <v>72</v>
      </c>
      <c r="J2315" s="28" t="s">
        <v>5162</v>
      </c>
      <c r="K2315" s="28" t="s">
        <v>7327</v>
      </c>
      <c r="L2315" s="28" t="s">
        <v>4579</v>
      </c>
      <c r="M2315" s="28" t="s">
        <v>66</v>
      </c>
      <c r="O2315" s="92">
        <v>38287</v>
      </c>
      <c r="P2315" s="28" t="s">
        <v>31</v>
      </c>
      <c r="Q2315" s="26" t="b">
        <v>0</v>
      </c>
      <c r="R2315" s="22">
        <f t="shared" si="38"/>
        <v>747</v>
      </c>
    </row>
    <row r="2316" spans="1:18">
      <c r="A2316" s="26">
        <v>6450</v>
      </c>
      <c r="B2316" s="27">
        <v>37543</v>
      </c>
      <c r="C2316" s="28" t="s">
        <v>7337</v>
      </c>
      <c r="D2316" s="27">
        <v>37543</v>
      </c>
      <c r="E2316" s="28" t="s">
        <v>4172</v>
      </c>
      <c r="F2316" s="28" t="s">
        <v>2943</v>
      </c>
      <c r="G2316" s="28" t="s">
        <v>20</v>
      </c>
      <c r="H2316" s="28" t="s">
        <v>21</v>
      </c>
      <c r="I2316" s="28" t="s">
        <v>21</v>
      </c>
      <c r="J2316" s="28" t="s">
        <v>7338</v>
      </c>
      <c r="K2316" s="28" t="s">
        <v>21</v>
      </c>
      <c r="L2316" s="28" t="s">
        <v>66</v>
      </c>
      <c r="M2316" s="28" t="s">
        <v>21</v>
      </c>
      <c r="O2316" s="92">
        <v>37762</v>
      </c>
      <c r="P2316" s="28" t="s">
        <v>31</v>
      </c>
      <c r="Q2316" s="26" t="b">
        <v>0</v>
      </c>
      <c r="R2316" s="22">
        <f t="shared" si="38"/>
        <v>220</v>
      </c>
    </row>
    <row r="2317" spans="1:18">
      <c r="A2317" s="26">
        <v>6451</v>
      </c>
      <c r="B2317" s="27">
        <v>37544</v>
      </c>
      <c r="C2317" s="28" t="s">
        <v>7339</v>
      </c>
      <c r="D2317" s="27">
        <v>37544</v>
      </c>
      <c r="E2317" s="28" t="s">
        <v>4172</v>
      </c>
      <c r="F2317" s="28" t="s">
        <v>693</v>
      </c>
      <c r="G2317" s="28" t="s">
        <v>20</v>
      </c>
      <c r="H2317" s="28" t="s">
        <v>189</v>
      </c>
      <c r="I2317" s="28" t="s">
        <v>189</v>
      </c>
      <c r="J2317" s="28" t="s">
        <v>7340</v>
      </c>
      <c r="K2317" s="28" t="s">
        <v>21</v>
      </c>
      <c r="L2317" s="28" t="s">
        <v>66</v>
      </c>
      <c r="M2317" s="28" t="s">
        <v>21</v>
      </c>
      <c r="O2317" s="92">
        <v>37593</v>
      </c>
      <c r="P2317" s="28" t="s">
        <v>21</v>
      </c>
      <c r="Q2317" s="26" t="b">
        <v>0</v>
      </c>
      <c r="R2317" s="22">
        <f t="shared" si="38"/>
        <v>48</v>
      </c>
    </row>
    <row r="2318" spans="1:18">
      <c r="A2318" s="26">
        <v>6453</v>
      </c>
      <c r="B2318" s="27">
        <v>37545</v>
      </c>
      <c r="C2318" s="28" t="s">
        <v>7341</v>
      </c>
      <c r="D2318" s="27">
        <v>37545</v>
      </c>
      <c r="E2318" s="28" t="s">
        <v>38</v>
      </c>
      <c r="F2318" s="28" t="s">
        <v>533</v>
      </c>
      <c r="G2318" s="28" t="s">
        <v>20</v>
      </c>
      <c r="H2318" s="28" t="s">
        <v>21</v>
      </c>
      <c r="I2318" s="28" t="s">
        <v>21</v>
      </c>
      <c r="J2318" s="28" t="s">
        <v>7342</v>
      </c>
      <c r="K2318" s="28" t="s">
        <v>21</v>
      </c>
      <c r="L2318" s="28" t="s">
        <v>3930</v>
      </c>
      <c r="M2318" s="28" t="s">
        <v>21</v>
      </c>
      <c r="O2318" s="92">
        <v>37564</v>
      </c>
      <c r="P2318" s="28" t="s">
        <v>31</v>
      </c>
      <c r="Q2318" s="26" t="b">
        <v>0</v>
      </c>
      <c r="R2318" s="22">
        <f t="shared" si="38"/>
        <v>18</v>
      </c>
    </row>
    <row r="2319" spans="1:18">
      <c r="A2319" s="26">
        <v>6454</v>
      </c>
      <c r="B2319" s="27">
        <v>37546</v>
      </c>
      <c r="C2319" s="28" t="s">
        <v>7343</v>
      </c>
      <c r="D2319" s="27">
        <v>37542</v>
      </c>
      <c r="E2319" s="28" t="s">
        <v>7344</v>
      </c>
      <c r="F2319" s="28" t="s">
        <v>124</v>
      </c>
      <c r="G2319" s="28" t="s">
        <v>20</v>
      </c>
      <c r="H2319" s="28" t="s">
        <v>21</v>
      </c>
      <c r="I2319" s="28" t="s">
        <v>21</v>
      </c>
      <c r="J2319" s="28" t="s">
        <v>5993</v>
      </c>
      <c r="K2319" s="28" t="s">
        <v>21</v>
      </c>
      <c r="L2319" s="28" t="s">
        <v>4282</v>
      </c>
      <c r="M2319" s="28" t="s">
        <v>21</v>
      </c>
      <c r="O2319" s="92">
        <v>37931</v>
      </c>
      <c r="P2319" s="28" t="s">
        <v>31</v>
      </c>
      <c r="Q2319" s="26" t="b">
        <v>0</v>
      </c>
      <c r="R2319" s="22">
        <f t="shared" si="38"/>
        <v>384</v>
      </c>
    </row>
    <row r="2320" spans="1:18">
      <c r="A2320" s="26">
        <v>6455</v>
      </c>
      <c r="B2320" s="27">
        <v>37546</v>
      </c>
      <c r="C2320" s="28" t="s">
        <v>7345</v>
      </c>
      <c r="D2320" s="27">
        <v>37542</v>
      </c>
      <c r="E2320" s="28" t="s">
        <v>4172</v>
      </c>
      <c r="F2320" s="28" t="s">
        <v>124</v>
      </c>
      <c r="G2320" s="28" t="s">
        <v>20</v>
      </c>
      <c r="H2320" s="28" t="s">
        <v>21</v>
      </c>
      <c r="I2320" s="28" t="s">
        <v>21</v>
      </c>
      <c r="J2320" s="28" t="s">
        <v>7346</v>
      </c>
      <c r="K2320" s="28" t="s">
        <v>21</v>
      </c>
      <c r="L2320" s="28" t="s">
        <v>4282</v>
      </c>
      <c r="M2320" s="28" t="s">
        <v>21</v>
      </c>
      <c r="O2320" s="92">
        <v>37951</v>
      </c>
      <c r="P2320" s="28" t="s">
        <v>31</v>
      </c>
      <c r="Q2320" s="26" t="b">
        <v>0</v>
      </c>
      <c r="R2320" s="22">
        <f t="shared" si="38"/>
        <v>404</v>
      </c>
    </row>
    <row r="2321" spans="1:18" ht="24">
      <c r="A2321" s="26">
        <v>6457</v>
      </c>
      <c r="B2321" s="27">
        <v>37551</v>
      </c>
      <c r="C2321" s="28" t="s">
        <v>7347</v>
      </c>
      <c r="D2321" s="27">
        <v>37547</v>
      </c>
      <c r="E2321" s="28" t="s">
        <v>7348</v>
      </c>
      <c r="F2321" s="28" t="s">
        <v>7179</v>
      </c>
      <c r="G2321" s="28" t="s">
        <v>20</v>
      </c>
      <c r="H2321" s="28" t="s">
        <v>71</v>
      </c>
      <c r="I2321" s="28" t="s">
        <v>72</v>
      </c>
      <c r="J2321" s="28" t="s">
        <v>7349</v>
      </c>
      <c r="K2321" s="28" t="s">
        <v>7350</v>
      </c>
      <c r="L2321" s="28" t="s">
        <v>66</v>
      </c>
      <c r="M2321" s="28" t="s">
        <v>21</v>
      </c>
      <c r="O2321" s="92">
        <v>37678</v>
      </c>
      <c r="P2321" s="28" t="s">
        <v>31</v>
      </c>
      <c r="Q2321" s="26" t="b">
        <v>0</v>
      </c>
      <c r="R2321" s="22">
        <f t="shared" si="38"/>
        <v>125</v>
      </c>
    </row>
    <row r="2322" spans="1:18">
      <c r="A2322" s="26">
        <v>6462</v>
      </c>
      <c r="B2322" s="27">
        <v>37554</v>
      </c>
      <c r="C2322" s="28" t="s">
        <v>7353</v>
      </c>
      <c r="D2322" s="27">
        <v>37554</v>
      </c>
      <c r="E2322" s="28" t="s">
        <v>7354</v>
      </c>
      <c r="F2322" s="28" t="s">
        <v>98</v>
      </c>
      <c r="G2322" s="28" t="s">
        <v>20</v>
      </c>
      <c r="H2322" s="28" t="s">
        <v>21</v>
      </c>
      <c r="I2322" s="28" t="s">
        <v>21</v>
      </c>
      <c r="J2322" s="28" t="s">
        <v>7355</v>
      </c>
      <c r="K2322" s="28" t="s">
        <v>21</v>
      </c>
      <c r="L2322" s="28" t="s">
        <v>4282</v>
      </c>
      <c r="M2322" s="28" t="s">
        <v>21</v>
      </c>
      <c r="O2322" s="92">
        <v>38555</v>
      </c>
      <c r="P2322" s="28" t="s">
        <v>31</v>
      </c>
      <c r="Q2322" s="26" t="b">
        <v>0</v>
      </c>
      <c r="R2322" s="22">
        <f t="shared" si="38"/>
        <v>1000</v>
      </c>
    </row>
    <row r="2323" spans="1:18">
      <c r="A2323" s="26">
        <v>6467</v>
      </c>
      <c r="B2323" s="27">
        <v>37559</v>
      </c>
      <c r="C2323" s="28" t="s">
        <v>7367</v>
      </c>
      <c r="D2323" s="27">
        <v>37559</v>
      </c>
      <c r="E2323" s="28" t="s">
        <v>7368</v>
      </c>
      <c r="F2323" s="28" t="s">
        <v>3236</v>
      </c>
      <c r="G2323" s="28" t="s">
        <v>20</v>
      </c>
      <c r="H2323" s="28" t="s">
        <v>21</v>
      </c>
      <c r="I2323" s="28" t="s">
        <v>21</v>
      </c>
      <c r="J2323" s="28" t="s">
        <v>7369</v>
      </c>
      <c r="K2323" s="28" t="s">
        <v>7217</v>
      </c>
      <c r="L2323" s="28" t="s">
        <v>2205</v>
      </c>
      <c r="M2323" s="28" t="s">
        <v>4282</v>
      </c>
      <c r="O2323" s="92">
        <v>38449</v>
      </c>
      <c r="P2323" s="28" t="s">
        <v>31</v>
      </c>
      <c r="Q2323" s="26" t="b">
        <v>0</v>
      </c>
      <c r="R2323" s="22">
        <f t="shared" si="38"/>
        <v>889</v>
      </c>
    </row>
    <row r="2324" spans="1:18">
      <c r="A2324" s="26">
        <v>6472</v>
      </c>
      <c r="B2324" s="27">
        <v>37568</v>
      </c>
      <c r="C2324" s="28" t="s">
        <v>7373</v>
      </c>
      <c r="D2324" s="27">
        <v>37565</v>
      </c>
      <c r="E2324" s="28" t="s">
        <v>38</v>
      </c>
      <c r="F2324" s="28" t="s">
        <v>2838</v>
      </c>
      <c r="G2324" s="28" t="s">
        <v>20</v>
      </c>
      <c r="H2324" s="28" t="s">
        <v>21</v>
      </c>
      <c r="I2324" s="28" t="s">
        <v>21</v>
      </c>
      <c r="J2324" s="28" t="s">
        <v>5162</v>
      </c>
      <c r="K2324" s="28" t="s">
        <v>21</v>
      </c>
      <c r="L2324" s="28" t="s">
        <v>314</v>
      </c>
      <c r="M2324" s="28" t="s">
        <v>21</v>
      </c>
      <c r="O2324" s="92">
        <v>37573</v>
      </c>
      <c r="P2324" s="28" t="s">
        <v>31</v>
      </c>
      <c r="Q2324" s="26" t="b">
        <v>0</v>
      </c>
      <c r="R2324" s="22">
        <f t="shared" si="38"/>
        <v>5</v>
      </c>
    </row>
    <row r="2325" spans="1:18">
      <c r="A2325" s="26">
        <v>6473</v>
      </c>
      <c r="B2325" s="27">
        <v>37568</v>
      </c>
      <c r="C2325" s="28" t="s">
        <v>7374</v>
      </c>
      <c r="D2325" s="27">
        <v>37566</v>
      </c>
      <c r="E2325" s="28" t="s">
        <v>7375</v>
      </c>
      <c r="F2325" s="28" t="s">
        <v>6084</v>
      </c>
      <c r="G2325" s="28" t="s">
        <v>20</v>
      </c>
      <c r="H2325" s="28" t="s">
        <v>21</v>
      </c>
      <c r="I2325" s="28" t="s">
        <v>21</v>
      </c>
      <c r="J2325" s="28" t="s">
        <v>5162</v>
      </c>
      <c r="K2325" s="28" t="s">
        <v>7376</v>
      </c>
      <c r="L2325" s="28" t="s">
        <v>66</v>
      </c>
      <c r="M2325" s="28" t="s">
        <v>21</v>
      </c>
      <c r="O2325" s="92">
        <v>37722</v>
      </c>
      <c r="P2325" s="28" t="s">
        <v>31</v>
      </c>
      <c r="Q2325" s="26" t="b">
        <v>0</v>
      </c>
      <c r="R2325" s="22">
        <f t="shared" si="38"/>
        <v>155</v>
      </c>
    </row>
    <row r="2326" spans="1:18" ht="24">
      <c r="A2326" s="26">
        <v>6475</v>
      </c>
      <c r="B2326" s="27">
        <v>37572</v>
      </c>
      <c r="C2326" s="28" t="s">
        <v>7377</v>
      </c>
      <c r="D2326" s="27">
        <v>37568</v>
      </c>
      <c r="E2326" s="28" t="s">
        <v>7378</v>
      </c>
      <c r="F2326" s="28" t="s">
        <v>6643</v>
      </c>
      <c r="G2326" s="28" t="s">
        <v>20</v>
      </c>
      <c r="H2326" s="28" t="s">
        <v>189</v>
      </c>
      <c r="I2326" s="28" t="s">
        <v>189</v>
      </c>
      <c r="J2326" s="28" t="s">
        <v>7379</v>
      </c>
      <c r="K2326" s="28" t="s">
        <v>7380</v>
      </c>
      <c r="L2326" s="28" t="s">
        <v>66</v>
      </c>
      <c r="M2326" s="28" t="s">
        <v>21</v>
      </c>
      <c r="O2326" s="92">
        <v>37728</v>
      </c>
      <c r="P2326" s="28" t="s">
        <v>31</v>
      </c>
      <c r="Q2326" s="26" t="b">
        <v>0</v>
      </c>
      <c r="R2326" s="22">
        <f t="shared" si="38"/>
        <v>157</v>
      </c>
    </row>
    <row r="2327" spans="1:18" ht="24">
      <c r="A2327" s="26">
        <v>6476</v>
      </c>
      <c r="B2327" s="27">
        <v>37573</v>
      </c>
      <c r="C2327" s="28" t="s">
        <v>7381</v>
      </c>
      <c r="D2327" s="27">
        <v>37566</v>
      </c>
      <c r="E2327" s="28" t="s">
        <v>38</v>
      </c>
      <c r="F2327" s="28" t="s">
        <v>395</v>
      </c>
      <c r="G2327" s="28" t="s">
        <v>20</v>
      </c>
      <c r="H2327" s="28" t="s">
        <v>21</v>
      </c>
      <c r="I2327" s="28" t="s">
        <v>21</v>
      </c>
      <c r="J2327" s="28" t="s">
        <v>7382</v>
      </c>
      <c r="K2327" s="28" t="s">
        <v>21</v>
      </c>
      <c r="L2327" s="28" t="s">
        <v>66</v>
      </c>
      <c r="M2327" s="28" t="s">
        <v>21</v>
      </c>
      <c r="O2327" s="92">
        <v>37575</v>
      </c>
      <c r="P2327" s="28" t="s">
        <v>31</v>
      </c>
      <c r="Q2327" s="26" t="b">
        <v>0</v>
      </c>
      <c r="R2327" s="22">
        <f t="shared" si="38"/>
        <v>2</v>
      </c>
    </row>
    <row r="2328" spans="1:18" ht="32">
      <c r="A2328" s="33">
        <v>6477</v>
      </c>
      <c r="B2328" s="34">
        <v>37574</v>
      </c>
      <c r="C2328" s="35" t="s">
        <v>18159</v>
      </c>
      <c r="D2328" s="34">
        <v>37567</v>
      </c>
      <c r="E2328" s="35" t="s">
        <v>255</v>
      </c>
      <c r="F2328" s="35" t="s">
        <v>1743</v>
      </c>
      <c r="G2328" s="35" t="s">
        <v>20</v>
      </c>
      <c r="H2328" s="35" t="s">
        <v>21</v>
      </c>
      <c r="I2328" s="35" t="s">
        <v>21</v>
      </c>
      <c r="J2328" s="35" t="s">
        <v>18160</v>
      </c>
      <c r="K2328" s="35" t="s">
        <v>21</v>
      </c>
      <c r="L2328" s="35" t="s">
        <v>1946</v>
      </c>
      <c r="M2328" s="35" t="s">
        <v>18161</v>
      </c>
      <c r="N2328" s="36"/>
      <c r="O2328" s="95"/>
      <c r="P2328" s="35" t="s">
        <v>21</v>
      </c>
      <c r="Q2328" s="33" t="b">
        <v>0</v>
      </c>
      <c r="R2328" s="112"/>
    </row>
    <row r="2329" spans="1:18">
      <c r="A2329" s="26">
        <v>6517</v>
      </c>
      <c r="B2329" s="27">
        <v>37574</v>
      </c>
      <c r="C2329" s="28" t="s">
        <v>7489</v>
      </c>
      <c r="D2329" s="27">
        <v>37574</v>
      </c>
      <c r="E2329" s="28" t="s">
        <v>38</v>
      </c>
      <c r="F2329" s="28" t="s">
        <v>124</v>
      </c>
      <c r="G2329" s="28" t="s">
        <v>20</v>
      </c>
      <c r="H2329" s="28" t="s">
        <v>21</v>
      </c>
      <c r="I2329" s="28" t="s">
        <v>21</v>
      </c>
      <c r="J2329" s="28" t="s">
        <v>7490</v>
      </c>
      <c r="K2329" s="28" t="s">
        <v>21</v>
      </c>
      <c r="L2329" s="28" t="s">
        <v>66</v>
      </c>
      <c r="M2329" s="28" t="s">
        <v>21</v>
      </c>
      <c r="O2329" s="92">
        <v>37602</v>
      </c>
      <c r="P2329" s="28" t="s">
        <v>31</v>
      </c>
      <c r="Q2329" s="26" t="b">
        <v>0</v>
      </c>
      <c r="R2329" s="22">
        <f t="shared" ref="R2329:R2392" si="39">IF(O2329=" ", " ", INT(YEARFRAC(O2329, B2329)*365))</f>
        <v>28</v>
      </c>
    </row>
    <row r="2330" spans="1:18">
      <c r="A2330" s="26">
        <v>6518</v>
      </c>
      <c r="B2330" s="27">
        <v>37574</v>
      </c>
      <c r="C2330" s="28" t="s">
        <v>7491</v>
      </c>
      <c r="D2330" s="27">
        <v>37561</v>
      </c>
      <c r="E2330" s="28" t="s">
        <v>38</v>
      </c>
      <c r="F2330" s="28" t="s">
        <v>371</v>
      </c>
      <c r="G2330" s="28" t="s">
        <v>20</v>
      </c>
      <c r="H2330" s="28" t="s">
        <v>21</v>
      </c>
      <c r="I2330" s="28" t="s">
        <v>21</v>
      </c>
      <c r="J2330" s="28" t="s">
        <v>7492</v>
      </c>
      <c r="K2330" s="28" t="s">
        <v>21</v>
      </c>
      <c r="L2330" s="28" t="s">
        <v>66</v>
      </c>
      <c r="M2330" s="28" t="s">
        <v>21</v>
      </c>
      <c r="O2330" s="92">
        <v>37602</v>
      </c>
      <c r="P2330" s="28" t="s">
        <v>31</v>
      </c>
      <c r="Q2330" s="26" t="b">
        <v>0</v>
      </c>
      <c r="R2330" s="22">
        <f t="shared" si="39"/>
        <v>28</v>
      </c>
    </row>
    <row r="2331" spans="1:18">
      <c r="A2331" s="26">
        <v>6482</v>
      </c>
      <c r="B2331" s="27">
        <v>37578</v>
      </c>
      <c r="C2331" s="28" t="s">
        <v>7393</v>
      </c>
      <c r="D2331" s="27">
        <v>37554</v>
      </c>
      <c r="E2331" s="28" t="s">
        <v>38</v>
      </c>
      <c r="F2331" s="28" t="s">
        <v>124</v>
      </c>
      <c r="G2331" s="28" t="s">
        <v>20</v>
      </c>
      <c r="H2331" s="28" t="s">
        <v>21</v>
      </c>
      <c r="I2331" s="28" t="s">
        <v>21</v>
      </c>
      <c r="J2331" s="28" t="s">
        <v>28</v>
      </c>
      <c r="K2331" s="28" t="s">
        <v>7394</v>
      </c>
      <c r="L2331" s="28" t="s">
        <v>314</v>
      </c>
      <c r="M2331" s="28" t="s">
        <v>21</v>
      </c>
      <c r="O2331" s="92">
        <v>37582</v>
      </c>
      <c r="P2331" s="28" t="s">
        <v>31</v>
      </c>
      <c r="Q2331" s="26" t="b">
        <v>0</v>
      </c>
      <c r="R2331" s="22">
        <f t="shared" si="39"/>
        <v>4</v>
      </c>
    </row>
    <row r="2332" spans="1:18" ht="24">
      <c r="A2332" s="26">
        <v>6489</v>
      </c>
      <c r="B2332" s="27">
        <v>37585</v>
      </c>
      <c r="C2332" s="28" t="s">
        <v>7404</v>
      </c>
      <c r="D2332" s="27">
        <v>37581</v>
      </c>
      <c r="E2332" s="28" t="s">
        <v>38</v>
      </c>
      <c r="F2332" s="28" t="s">
        <v>124</v>
      </c>
      <c r="G2332" s="28" t="s">
        <v>20</v>
      </c>
      <c r="H2332" s="28" t="s">
        <v>21</v>
      </c>
      <c r="I2332" s="28" t="s">
        <v>21</v>
      </c>
      <c r="J2332" s="28" t="s">
        <v>7405</v>
      </c>
      <c r="K2332" s="28" t="s">
        <v>21</v>
      </c>
      <c r="L2332" s="28" t="s">
        <v>4282</v>
      </c>
      <c r="M2332" s="28" t="s">
        <v>21</v>
      </c>
      <c r="O2332" s="92">
        <v>37593</v>
      </c>
      <c r="P2332" s="28" t="s">
        <v>31</v>
      </c>
      <c r="Q2332" s="26" t="b">
        <v>0</v>
      </c>
      <c r="R2332" s="22">
        <f t="shared" si="39"/>
        <v>8</v>
      </c>
    </row>
    <row r="2333" spans="1:18">
      <c r="A2333" s="26">
        <v>6490</v>
      </c>
      <c r="B2333" s="27">
        <v>37585</v>
      </c>
      <c r="C2333" s="28" t="s">
        <v>7406</v>
      </c>
      <c r="D2333" s="27">
        <v>37582</v>
      </c>
      <c r="E2333" s="28" t="s">
        <v>7407</v>
      </c>
      <c r="F2333" s="28" t="s">
        <v>98</v>
      </c>
      <c r="G2333" s="28" t="s">
        <v>20</v>
      </c>
      <c r="H2333" s="28" t="s">
        <v>21</v>
      </c>
      <c r="I2333" s="28" t="s">
        <v>21</v>
      </c>
      <c r="J2333" s="28" t="s">
        <v>7408</v>
      </c>
      <c r="K2333" s="28" t="s">
        <v>21</v>
      </c>
      <c r="L2333" s="28" t="s">
        <v>4282</v>
      </c>
      <c r="M2333" s="28" t="s">
        <v>21</v>
      </c>
      <c r="O2333" s="92">
        <v>38226</v>
      </c>
      <c r="P2333" s="28" t="s">
        <v>31</v>
      </c>
      <c r="Q2333" s="26" t="b">
        <v>0</v>
      </c>
      <c r="R2333" s="22">
        <f t="shared" si="39"/>
        <v>640</v>
      </c>
    </row>
    <row r="2334" spans="1:18">
      <c r="A2334" s="26">
        <v>6496</v>
      </c>
      <c r="B2334" s="27">
        <v>37587</v>
      </c>
      <c r="C2334" s="28" t="s">
        <v>7425</v>
      </c>
      <c r="D2334" s="27">
        <v>37587</v>
      </c>
      <c r="E2334" s="28" t="s">
        <v>7426</v>
      </c>
      <c r="F2334" s="28" t="s">
        <v>6643</v>
      </c>
      <c r="G2334" s="28" t="s">
        <v>20</v>
      </c>
      <c r="H2334" s="28" t="s">
        <v>189</v>
      </c>
      <c r="I2334" s="28" t="s">
        <v>189</v>
      </c>
      <c r="J2334" s="28" t="s">
        <v>7427</v>
      </c>
      <c r="K2334" s="28" t="s">
        <v>7428</v>
      </c>
      <c r="L2334" s="28" t="s">
        <v>4282</v>
      </c>
      <c r="M2334" s="28" t="s">
        <v>21</v>
      </c>
      <c r="O2334" s="92">
        <v>37924</v>
      </c>
      <c r="P2334" s="28" t="s">
        <v>31</v>
      </c>
      <c r="Q2334" s="26" t="b">
        <v>0</v>
      </c>
      <c r="R2334" s="22">
        <f t="shared" si="39"/>
        <v>337</v>
      </c>
    </row>
    <row r="2335" spans="1:18">
      <c r="A2335" s="26">
        <v>6502</v>
      </c>
      <c r="B2335" s="27">
        <v>37589</v>
      </c>
      <c r="C2335" s="28" t="s">
        <v>7443</v>
      </c>
      <c r="D2335" s="27">
        <v>37584</v>
      </c>
      <c r="E2335" s="28" t="s">
        <v>7444</v>
      </c>
      <c r="F2335" s="28" t="s">
        <v>124</v>
      </c>
      <c r="G2335" s="28" t="s">
        <v>20</v>
      </c>
      <c r="H2335" s="28" t="s">
        <v>21</v>
      </c>
      <c r="I2335" s="28" t="s">
        <v>21</v>
      </c>
      <c r="J2335" s="28" t="s">
        <v>7445</v>
      </c>
      <c r="K2335" s="28" t="s">
        <v>859</v>
      </c>
      <c r="L2335" s="28" t="s">
        <v>314</v>
      </c>
      <c r="M2335" s="28" t="s">
        <v>21</v>
      </c>
      <c r="O2335" s="92">
        <v>37655</v>
      </c>
      <c r="P2335" s="28" t="s">
        <v>31</v>
      </c>
      <c r="Q2335" s="26" t="b">
        <v>0</v>
      </c>
      <c r="R2335" s="22">
        <f t="shared" si="39"/>
        <v>64</v>
      </c>
    </row>
    <row r="2336" spans="1:18">
      <c r="A2336" s="26">
        <v>6503</v>
      </c>
      <c r="B2336" s="27">
        <v>37589</v>
      </c>
      <c r="C2336" s="28" t="s">
        <v>7446</v>
      </c>
      <c r="D2336" s="27">
        <v>37587</v>
      </c>
      <c r="E2336" s="28" t="s">
        <v>7447</v>
      </c>
      <c r="F2336" s="28" t="s">
        <v>984</v>
      </c>
      <c r="G2336" s="28" t="s">
        <v>20</v>
      </c>
      <c r="H2336" s="28" t="s">
        <v>21</v>
      </c>
      <c r="I2336" s="28" t="s">
        <v>21</v>
      </c>
      <c r="J2336" s="28" t="s">
        <v>7448</v>
      </c>
      <c r="K2336" s="28" t="s">
        <v>21</v>
      </c>
      <c r="L2336" s="28" t="s">
        <v>314</v>
      </c>
      <c r="M2336" s="28" t="s">
        <v>21</v>
      </c>
      <c r="O2336" s="92">
        <v>38091</v>
      </c>
      <c r="P2336" s="28" t="s">
        <v>31</v>
      </c>
      <c r="Q2336" s="26" t="b">
        <v>0</v>
      </c>
      <c r="R2336" s="22">
        <f t="shared" si="39"/>
        <v>501</v>
      </c>
    </row>
    <row r="2337" spans="1:18">
      <c r="A2337" s="26">
        <v>6511</v>
      </c>
      <c r="B2337" s="27">
        <v>37592</v>
      </c>
      <c r="C2337" s="28" t="s">
        <v>7471</v>
      </c>
      <c r="D2337" s="27">
        <v>37589</v>
      </c>
      <c r="E2337" s="28" t="s">
        <v>7472</v>
      </c>
      <c r="F2337" s="28" t="s">
        <v>7473</v>
      </c>
      <c r="G2337" s="28" t="s">
        <v>20</v>
      </c>
      <c r="H2337" s="28" t="s">
        <v>71</v>
      </c>
      <c r="I2337" s="28" t="s">
        <v>72</v>
      </c>
      <c r="J2337" s="28" t="s">
        <v>7474</v>
      </c>
      <c r="K2337" s="28" t="s">
        <v>21</v>
      </c>
      <c r="L2337" s="28" t="s">
        <v>2205</v>
      </c>
      <c r="M2337" s="28" t="s">
        <v>6955</v>
      </c>
      <c r="O2337" s="92">
        <v>38489</v>
      </c>
      <c r="P2337" s="28" t="s">
        <v>31</v>
      </c>
      <c r="Q2337" s="26" t="b">
        <v>0</v>
      </c>
      <c r="R2337" s="22">
        <f t="shared" si="39"/>
        <v>897</v>
      </c>
    </row>
    <row r="2338" spans="1:18">
      <c r="A2338" s="26">
        <v>6512</v>
      </c>
      <c r="B2338" s="27">
        <v>37592</v>
      </c>
      <c r="C2338" s="28" t="s">
        <v>7475</v>
      </c>
      <c r="D2338" s="27">
        <v>37589</v>
      </c>
      <c r="E2338" s="28" t="s">
        <v>38</v>
      </c>
      <c r="F2338" s="28" t="s">
        <v>3236</v>
      </c>
      <c r="G2338" s="28" t="s">
        <v>20</v>
      </c>
      <c r="H2338" s="28" t="s">
        <v>212</v>
      </c>
      <c r="I2338" s="28" t="s">
        <v>212</v>
      </c>
      <c r="J2338" s="28" t="s">
        <v>7476</v>
      </c>
      <c r="K2338" s="28" t="s">
        <v>7477</v>
      </c>
      <c r="L2338" s="28" t="s">
        <v>4282</v>
      </c>
      <c r="M2338" s="28" t="s">
        <v>21</v>
      </c>
      <c r="O2338" s="92">
        <v>38078</v>
      </c>
      <c r="P2338" s="28" t="s">
        <v>21</v>
      </c>
      <c r="Q2338" s="26" t="b">
        <v>0</v>
      </c>
      <c r="R2338" s="22">
        <f t="shared" si="39"/>
        <v>485</v>
      </c>
    </row>
    <row r="2339" spans="1:18">
      <c r="A2339" s="26">
        <v>6513</v>
      </c>
      <c r="B2339" s="27">
        <v>37592</v>
      </c>
      <c r="C2339" s="28" t="s">
        <v>7478</v>
      </c>
      <c r="D2339" s="27">
        <v>37586</v>
      </c>
      <c r="E2339" s="28" t="s">
        <v>7479</v>
      </c>
      <c r="F2339" s="28" t="s">
        <v>124</v>
      </c>
      <c r="G2339" s="28" t="s">
        <v>20</v>
      </c>
      <c r="H2339" s="28" t="s">
        <v>21</v>
      </c>
      <c r="I2339" s="28" t="s">
        <v>21</v>
      </c>
      <c r="J2339" s="28" t="s">
        <v>7480</v>
      </c>
      <c r="K2339" s="28" t="s">
        <v>21</v>
      </c>
      <c r="L2339" s="28" t="s">
        <v>314</v>
      </c>
      <c r="M2339" s="28" t="s">
        <v>21</v>
      </c>
      <c r="O2339" s="92">
        <v>37715</v>
      </c>
      <c r="P2339" s="28" t="s">
        <v>31</v>
      </c>
      <c r="Q2339" s="26" t="b">
        <v>0</v>
      </c>
      <c r="R2339" s="22">
        <f t="shared" si="39"/>
        <v>123</v>
      </c>
    </row>
    <row r="2340" spans="1:18">
      <c r="A2340" s="26">
        <v>6514</v>
      </c>
      <c r="B2340" s="27">
        <v>37593</v>
      </c>
      <c r="C2340" s="28" t="s">
        <v>7481</v>
      </c>
      <c r="D2340" s="27">
        <v>37592</v>
      </c>
      <c r="E2340" s="28" t="s">
        <v>38</v>
      </c>
      <c r="F2340" s="28" t="s">
        <v>6643</v>
      </c>
      <c r="G2340" s="28" t="s">
        <v>20</v>
      </c>
      <c r="H2340" s="28" t="s">
        <v>189</v>
      </c>
      <c r="I2340" s="28" t="s">
        <v>189</v>
      </c>
      <c r="J2340" s="28" t="s">
        <v>5369</v>
      </c>
      <c r="K2340" s="28" t="s">
        <v>7482</v>
      </c>
      <c r="L2340" s="28" t="s">
        <v>3930</v>
      </c>
      <c r="M2340" s="28" t="s">
        <v>21</v>
      </c>
      <c r="O2340" s="92">
        <v>37593</v>
      </c>
      <c r="P2340" s="28" t="s">
        <v>31</v>
      </c>
      <c r="Q2340" s="26" t="b">
        <v>0</v>
      </c>
      <c r="R2340" s="22">
        <f t="shared" si="39"/>
        <v>0</v>
      </c>
    </row>
    <row r="2341" spans="1:18">
      <c r="A2341" s="26">
        <v>6519</v>
      </c>
      <c r="B2341" s="27">
        <v>37600</v>
      </c>
      <c r="C2341" s="28" t="s">
        <v>7493</v>
      </c>
      <c r="D2341" s="27">
        <v>37599</v>
      </c>
      <c r="E2341" s="28" t="s">
        <v>4172</v>
      </c>
      <c r="F2341" s="28" t="s">
        <v>283</v>
      </c>
      <c r="G2341" s="28" t="s">
        <v>20</v>
      </c>
      <c r="H2341" s="28" t="s">
        <v>21</v>
      </c>
      <c r="I2341" s="28" t="s">
        <v>21</v>
      </c>
      <c r="J2341" s="28" t="s">
        <v>7494</v>
      </c>
      <c r="K2341" s="28" t="s">
        <v>21</v>
      </c>
      <c r="L2341" s="28" t="s">
        <v>314</v>
      </c>
      <c r="M2341" s="28" t="s">
        <v>21</v>
      </c>
      <c r="O2341" s="92">
        <v>37749</v>
      </c>
      <c r="P2341" s="28" t="s">
        <v>31</v>
      </c>
      <c r="Q2341" s="26" t="b">
        <v>0</v>
      </c>
      <c r="R2341" s="22">
        <f t="shared" si="39"/>
        <v>150</v>
      </c>
    </row>
    <row r="2342" spans="1:18">
      <c r="A2342" s="26">
        <v>6520</v>
      </c>
      <c r="B2342" s="27">
        <v>37600</v>
      </c>
      <c r="C2342" s="28" t="s">
        <v>7495</v>
      </c>
      <c r="D2342" s="27">
        <v>37600</v>
      </c>
      <c r="E2342" s="28" t="s">
        <v>7496</v>
      </c>
      <c r="F2342" s="28" t="s">
        <v>5704</v>
      </c>
      <c r="G2342" s="28" t="s">
        <v>20</v>
      </c>
      <c r="H2342" s="28" t="s">
        <v>21</v>
      </c>
      <c r="I2342" s="28" t="s">
        <v>21</v>
      </c>
      <c r="J2342" s="28" t="s">
        <v>7497</v>
      </c>
      <c r="K2342" s="28" t="s">
        <v>21</v>
      </c>
      <c r="L2342" s="28" t="s">
        <v>4282</v>
      </c>
      <c r="M2342" s="28" t="s">
        <v>21</v>
      </c>
      <c r="O2342" s="92">
        <v>37935</v>
      </c>
      <c r="P2342" s="28" t="s">
        <v>31</v>
      </c>
      <c r="Q2342" s="26" t="b">
        <v>0</v>
      </c>
      <c r="R2342" s="22">
        <f t="shared" si="39"/>
        <v>334</v>
      </c>
    </row>
    <row r="2343" spans="1:18">
      <c r="A2343" s="26">
        <v>6529</v>
      </c>
      <c r="B2343" s="27">
        <v>37602</v>
      </c>
      <c r="C2343" s="28" t="s">
        <v>7522</v>
      </c>
      <c r="D2343" s="27">
        <v>37602</v>
      </c>
      <c r="E2343" s="28" t="s">
        <v>283</v>
      </c>
      <c r="F2343" s="28" t="s">
        <v>3283</v>
      </c>
      <c r="G2343" s="28" t="s">
        <v>20</v>
      </c>
      <c r="H2343" s="28" t="s">
        <v>21</v>
      </c>
      <c r="I2343" s="28" t="s">
        <v>21</v>
      </c>
      <c r="J2343" s="28" t="s">
        <v>7523</v>
      </c>
      <c r="K2343" s="28" t="s">
        <v>7524</v>
      </c>
      <c r="L2343" s="28" t="s">
        <v>314</v>
      </c>
      <c r="M2343" s="28" t="s">
        <v>21</v>
      </c>
      <c r="O2343" s="92">
        <v>37659</v>
      </c>
      <c r="P2343" s="28" t="s">
        <v>21</v>
      </c>
      <c r="Q2343" s="26" t="b">
        <v>0</v>
      </c>
      <c r="R2343" s="22">
        <f t="shared" si="39"/>
        <v>55</v>
      </c>
    </row>
    <row r="2344" spans="1:18">
      <c r="A2344" s="26">
        <v>6541</v>
      </c>
      <c r="B2344" s="27">
        <v>37608</v>
      </c>
      <c r="C2344" s="28" t="s">
        <v>7555</v>
      </c>
      <c r="D2344" s="27">
        <v>37608</v>
      </c>
      <c r="E2344" s="28" t="s">
        <v>4172</v>
      </c>
      <c r="F2344" s="28" t="s">
        <v>6084</v>
      </c>
      <c r="G2344" s="28" t="s">
        <v>20</v>
      </c>
      <c r="H2344" s="28" t="s">
        <v>21</v>
      </c>
      <c r="I2344" s="28" t="s">
        <v>21</v>
      </c>
      <c r="J2344" s="28" t="s">
        <v>6242</v>
      </c>
      <c r="K2344" s="28" t="s">
        <v>21</v>
      </c>
      <c r="L2344" s="28" t="s">
        <v>66</v>
      </c>
      <c r="M2344" s="28" t="s">
        <v>21</v>
      </c>
      <c r="O2344" s="92">
        <v>37691</v>
      </c>
      <c r="P2344" s="28" t="s">
        <v>31</v>
      </c>
      <c r="Q2344" s="26" t="b">
        <v>0</v>
      </c>
      <c r="R2344" s="22">
        <f t="shared" si="39"/>
        <v>84</v>
      </c>
    </row>
    <row r="2345" spans="1:18">
      <c r="A2345" s="26">
        <v>6547</v>
      </c>
      <c r="B2345" s="27">
        <v>37610</v>
      </c>
      <c r="C2345" s="28" t="s">
        <v>7564</v>
      </c>
      <c r="D2345" s="27">
        <v>37610</v>
      </c>
      <c r="E2345" s="28" t="s">
        <v>7565</v>
      </c>
      <c r="F2345" s="28" t="s">
        <v>242</v>
      </c>
      <c r="G2345" s="28" t="s">
        <v>20</v>
      </c>
      <c r="H2345" s="28" t="s">
        <v>21</v>
      </c>
      <c r="I2345" s="28" t="s">
        <v>21</v>
      </c>
      <c r="J2345" s="28" t="s">
        <v>7566</v>
      </c>
      <c r="K2345" s="28" t="s">
        <v>7567</v>
      </c>
      <c r="L2345" s="28" t="s">
        <v>4282</v>
      </c>
      <c r="M2345" s="28" t="s">
        <v>21</v>
      </c>
      <c r="O2345" s="92">
        <v>37722</v>
      </c>
      <c r="P2345" s="28" t="s">
        <v>21</v>
      </c>
      <c r="Q2345" s="26" t="b">
        <v>0</v>
      </c>
      <c r="R2345" s="22">
        <f t="shared" si="39"/>
        <v>112</v>
      </c>
    </row>
    <row r="2346" spans="1:18">
      <c r="A2346" s="26">
        <v>6555</v>
      </c>
      <c r="B2346" s="27">
        <v>37614</v>
      </c>
      <c r="C2346" s="28" t="s">
        <v>7592</v>
      </c>
      <c r="D2346" s="27">
        <v>37614</v>
      </c>
      <c r="E2346" s="28" t="s">
        <v>4172</v>
      </c>
      <c r="F2346" s="28" t="s">
        <v>129</v>
      </c>
      <c r="G2346" s="28" t="s">
        <v>20</v>
      </c>
      <c r="H2346" s="28" t="s">
        <v>21</v>
      </c>
      <c r="I2346" s="28" t="s">
        <v>21</v>
      </c>
      <c r="J2346" s="28" t="s">
        <v>7593</v>
      </c>
      <c r="K2346" s="28" t="s">
        <v>7494</v>
      </c>
      <c r="L2346" s="28" t="s">
        <v>66</v>
      </c>
      <c r="M2346" s="28" t="s">
        <v>21</v>
      </c>
      <c r="O2346" s="92">
        <v>37728</v>
      </c>
      <c r="P2346" s="28" t="s">
        <v>31</v>
      </c>
      <c r="Q2346" s="26" t="b">
        <v>0</v>
      </c>
      <c r="R2346" s="22">
        <f t="shared" si="39"/>
        <v>114</v>
      </c>
    </row>
    <row r="2347" spans="1:18" ht="24">
      <c r="A2347" s="26">
        <v>6564</v>
      </c>
      <c r="B2347" s="27">
        <v>37614</v>
      </c>
      <c r="C2347" s="28" t="s">
        <v>7609</v>
      </c>
      <c r="D2347" s="27">
        <v>37613</v>
      </c>
      <c r="E2347" s="28" t="s">
        <v>7610</v>
      </c>
      <c r="F2347" s="28" t="s">
        <v>3236</v>
      </c>
      <c r="G2347" s="28" t="s">
        <v>20</v>
      </c>
      <c r="H2347" s="28" t="s">
        <v>212</v>
      </c>
      <c r="I2347" s="28" t="s">
        <v>212</v>
      </c>
      <c r="J2347" s="28" t="s">
        <v>1639</v>
      </c>
      <c r="K2347" s="28" t="s">
        <v>7611</v>
      </c>
      <c r="L2347" s="28" t="s">
        <v>4579</v>
      </c>
      <c r="M2347" s="28" t="s">
        <v>7612</v>
      </c>
      <c r="O2347" s="92">
        <v>39280</v>
      </c>
      <c r="P2347" s="28" t="s">
        <v>31</v>
      </c>
      <c r="Q2347" s="26" t="b">
        <v>0</v>
      </c>
      <c r="R2347" s="22">
        <f t="shared" si="39"/>
        <v>1665</v>
      </c>
    </row>
    <row r="2348" spans="1:18">
      <c r="A2348" s="26">
        <v>6550</v>
      </c>
      <c r="B2348" s="27">
        <v>37616</v>
      </c>
      <c r="C2348" s="28" t="s">
        <v>7573</v>
      </c>
      <c r="D2348" s="27">
        <v>37610</v>
      </c>
      <c r="E2348" s="28" t="s">
        <v>38</v>
      </c>
      <c r="F2348" s="28" t="s">
        <v>7574</v>
      </c>
      <c r="G2348" s="28" t="s">
        <v>20</v>
      </c>
      <c r="H2348" s="28" t="s">
        <v>21</v>
      </c>
      <c r="I2348" s="28" t="s">
        <v>21</v>
      </c>
      <c r="J2348" s="28" t="s">
        <v>7575</v>
      </c>
      <c r="K2348" s="28" t="s">
        <v>7576</v>
      </c>
      <c r="L2348" s="28" t="s">
        <v>7577</v>
      </c>
      <c r="M2348" s="28" t="s">
        <v>21</v>
      </c>
      <c r="O2348" s="92">
        <v>37617</v>
      </c>
      <c r="P2348" s="28" t="s">
        <v>31</v>
      </c>
      <c r="Q2348" s="26" t="b">
        <v>0</v>
      </c>
      <c r="R2348" s="22">
        <f t="shared" si="39"/>
        <v>1</v>
      </c>
    </row>
    <row r="2349" spans="1:18">
      <c r="A2349" s="26">
        <v>6556</v>
      </c>
      <c r="B2349" s="27">
        <v>37620</v>
      </c>
      <c r="C2349" s="28" t="s">
        <v>7594</v>
      </c>
      <c r="D2349" s="27">
        <v>37616</v>
      </c>
      <c r="E2349" s="28" t="s">
        <v>7595</v>
      </c>
      <c r="F2349" s="28" t="s">
        <v>124</v>
      </c>
      <c r="G2349" s="28" t="s">
        <v>20</v>
      </c>
      <c r="H2349" s="28" t="s">
        <v>21</v>
      </c>
      <c r="I2349" s="28" t="s">
        <v>21</v>
      </c>
      <c r="J2349" s="28" t="s">
        <v>7104</v>
      </c>
      <c r="K2349" s="28" t="s">
        <v>7596</v>
      </c>
      <c r="L2349" s="28" t="s">
        <v>4282</v>
      </c>
      <c r="M2349" s="28" t="s">
        <v>21</v>
      </c>
      <c r="O2349" s="92">
        <v>37690</v>
      </c>
      <c r="P2349" s="28" t="s">
        <v>31</v>
      </c>
      <c r="Q2349" s="26" t="b">
        <v>0</v>
      </c>
      <c r="R2349" s="22">
        <f t="shared" si="39"/>
        <v>70</v>
      </c>
    </row>
    <row r="2350" spans="1:18">
      <c r="A2350" s="26">
        <v>6557</v>
      </c>
      <c r="B2350" s="27">
        <v>37621</v>
      </c>
      <c r="C2350" s="28" t="s">
        <v>7597</v>
      </c>
      <c r="D2350" s="27">
        <v>37618</v>
      </c>
      <c r="E2350" s="28" t="s">
        <v>7598</v>
      </c>
      <c r="F2350" s="28" t="s">
        <v>228</v>
      </c>
      <c r="G2350" s="28" t="s">
        <v>20</v>
      </c>
      <c r="H2350" s="28" t="s">
        <v>21</v>
      </c>
      <c r="I2350" s="28" t="s">
        <v>21</v>
      </c>
      <c r="J2350" s="28" t="s">
        <v>5162</v>
      </c>
      <c r="K2350" s="28" t="s">
        <v>7599</v>
      </c>
      <c r="L2350" s="28" t="s">
        <v>4282</v>
      </c>
      <c r="M2350" s="28" t="s">
        <v>21</v>
      </c>
      <c r="O2350" s="92">
        <v>37972</v>
      </c>
      <c r="P2350" s="28" t="s">
        <v>31</v>
      </c>
      <c r="Q2350" s="26" t="b">
        <v>0</v>
      </c>
      <c r="R2350" s="22">
        <f t="shared" si="39"/>
        <v>351</v>
      </c>
    </row>
    <row r="2351" spans="1:18">
      <c r="A2351" s="26">
        <v>6559</v>
      </c>
      <c r="B2351" s="27">
        <v>37627</v>
      </c>
      <c r="C2351" s="28" t="s">
        <v>7600</v>
      </c>
      <c r="D2351" s="27">
        <v>37627</v>
      </c>
      <c r="E2351" s="28" t="s">
        <v>7601</v>
      </c>
      <c r="F2351" s="28" t="s">
        <v>2943</v>
      </c>
      <c r="G2351" s="28" t="s">
        <v>20</v>
      </c>
      <c r="H2351" s="28" t="s">
        <v>21</v>
      </c>
      <c r="I2351" s="28" t="s">
        <v>21</v>
      </c>
      <c r="J2351" s="28" t="s">
        <v>7602</v>
      </c>
      <c r="K2351" s="28" t="s">
        <v>21</v>
      </c>
      <c r="L2351" s="28" t="s">
        <v>314</v>
      </c>
      <c r="M2351" s="28" t="s">
        <v>21</v>
      </c>
      <c r="O2351" s="92">
        <v>37680</v>
      </c>
      <c r="P2351" s="28" t="s">
        <v>31</v>
      </c>
      <c r="Q2351" s="26" t="b">
        <v>0</v>
      </c>
      <c r="R2351" s="22">
        <f t="shared" si="39"/>
        <v>52</v>
      </c>
    </row>
    <row r="2352" spans="1:18">
      <c r="A2352" s="26">
        <v>6561</v>
      </c>
      <c r="B2352" s="27">
        <v>37631</v>
      </c>
      <c r="C2352" s="28" t="s">
        <v>7603</v>
      </c>
      <c r="D2352" s="27">
        <v>37627</v>
      </c>
      <c r="E2352" s="28" t="s">
        <v>7604</v>
      </c>
      <c r="F2352" s="28" t="s">
        <v>124</v>
      </c>
      <c r="G2352" s="28" t="s">
        <v>20</v>
      </c>
      <c r="H2352" s="28" t="s">
        <v>21</v>
      </c>
      <c r="I2352" s="28" t="s">
        <v>21</v>
      </c>
      <c r="J2352" s="28" t="s">
        <v>7605</v>
      </c>
      <c r="K2352" s="28" t="s">
        <v>1712</v>
      </c>
      <c r="L2352" s="28" t="s">
        <v>66</v>
      </c>
      <c r="M2352" s="28" t="s">
        <v>21</v>
      </c>
      <c r="O2352" s="92">
        <v>37763</v>
      </c>
      <c r="P2352" s="28" t="s">
        <v>31</v>
      </c>
      <c r="Q2352" s="26" t="b">
        <v>0</v>
      </c>
      <c r="R2352" s="22">
        <f t="shared" si="39"/>
        <v>133</v>
      </c>
    </row>
    <row r="2353" spans="1:18">
      <c r="A2353" s="26">
        <v>6562</v>
      </c>
      <c r="B2353" s="27">
        <v>37631</v>
      </c>
      <c r="C2353" s="28" t="s">
        <v>7606</v>
      </c>
      <c r="D2353" s="27">
        <v>37627</v>
      </c>
      <c r="E2353" s="28" t="s">
        <v>7607</v>
      </c>
      <c r="F2353" s="28" t="s">
        <v>371</v>
      </c>
      <c r="G2353" s="28" t="s">
        <v>20</v>
      </c>
      <c r="H2353" s="28" t="s">
        <v>21</v>
      </c>
      <c r="I2353" s="28" t="s">
        <v>21</v>
      </c>
      <c r="J2353" s="28" t="s">
        <v>7608</v>
      </c>
      <c r="K2353" s="28" t="s">
        <v>1712</v>
      </c>
      <c r="L2353" s="28" t="s">
        <v>66</v>
      </c>
      <c r="M2353" s="28" t="s">
        <v>21</v>
      </c>
      <c r="O2353" s="92">
        <v>37712</v>
      </c>
      <c r="P2353" s="28" t="s">
        <v>31</v>
      </c>
      <c r="Q2353" s="26" t="b">
        <v>0</v>
      </c>
      <c r="R2353" s="22">
        <f t="shared" si="39"/>
        <v>82</v>
      </c>
    </row>
    <row r="2354" spans="1:18">
      <c r="A2354" s="26">
        <v>7222</v>
      </c>
      <c r="B2354" s="27">
        <v>37631</v>
      </c>
      <c r="C2354" s="28" t="s">
        <v>8805</v>
      </c>
      <c r="D2354" s="27">
        <v>37631</v>
      </c>
      <c r="E2354" s="28" t="s">
        <v>1432</v>
      </c>
      <c r="F2354" s="28" t="s">
        <v>6643</v>
      </c>
      <c r="G2354" s="28" t="s">
        <v>20</v>
      </c>
      <c r="H2354" s="28" t="s">
        <v>189</v>
      </c>
      <c r="I2354" s="28" t="s">
        <v>189</v>
      </c>
      <c r="J2354" s="28" t="s">
        <v>8806</v>
      </c>
      <c r="K2354" s="28" t="s">
        <v>8807</v>
      </c>
      <c r="L2354" s="28" t="s">
        <v>66</v>
      </c>
      <c r="M2354" s="28" t="s">
        <v>21</v>
      </c>
      <c r="O2354" s="92">
        <v>37648</v>
      </c>
      <c r="P2354" s="28" t="s">
        <v>31</v>
      </c>
      <c r="Q2354" s="26" t="b">
        <v>0</v>
      </c>
      <c r="R2354" s="22">
        <f t="shared" si="39"/>
        <v>17</v>
      </c>
    </row>
    <row r="2355" spans="1:18" ht="24">
      <c r="A2355" s="26">
        <v>6565</v>
      </c>
      <c r="B2355" s="27">
        <v>37636</v>
      </c>
      <c r="C2355" s="28" t="s">
        <v>7613</v>
      </c>
      <c r="D2355" s="27">
        <v>37631</v>
      </c>
      <c r="E2355" s="28" t="s">
        <v>38</v>
      </c>
      <c r="F2355" s="28" t="s">
        <v>124</v>
      </c>
      <c r="G2355" s="28" t="s">
        <v>20</v>
      </c>
      <c r="H2355" s="28" t="s">
        <v>21</v>
      </c>
      <c r="I2355" s="28" t="s">
        <v>21</v>
      </c>
      <c r="J2355" s="28" t="s">
        <v>7614</v>
      </c>
      <c r="K2355" s="28" t="s">
        <v>21</v>
      </c>
      <c r="L2355" s="28" t="s">
        <v>66</v>
      </c>
      <c r="M2355" s="28" t="s">
        <v>21</v>
      </c>
      <c r="O2355" s="92">
        <v>37637</v>
      </c>
      <c r="P2355" s="28" t="s">
        <v>31</v>
      </c>
      <c r="Q2355" s="26" t="b">
        <v>0</v>
      </c>
      <c r="R2355" s="22">
        <f t="shared" si="39"/>
        <v>1</v>
      </c>
    </row>
    <row r="2356" spans="1:18">
      <c r="A2356" s="26">
        <v>6583</v>
      </c>
      <c r="B2356" s="27">
        <v>37637</v>
      </c>
      <c r="C2356" s="28" t="s">
        <v>7635</v>
      </c>
      <c r="D2356" s="27">
        <v>37637</v>
      </c>
      <c r="E2356" s="28" t="s">
        <v>283</v>
      </c>
      <c r="F2356" s="28" t="s">
        <v>149</v>
      </c>
      <c r="G2356" s="28" t="s">
        <v>20</v>
      </c>
      <c r="H2356" s="28" t="s">
        <v>21</v>
      </c>
      <c r="I2356" s="28" t="s">
        <v>21</v>
      </c>
      <c r="J2356" s="28" t="s">
        <v>7636</v>
      </c>
      <c r="K2356" s="28" t="s">
        <v>7637</v>
      </c>
      <c r="L2356" s="28" t="s">
        <v>314</v>
      </c>
      <c r="M2356" s="28" t="s">
        <v>21</v>
      </c>
      <c r="O2356" s="92">
        <v>37742</v>
      </c>
      <c r="P2356" s="28" t="s">
        <v>21</v>
      </c>
      <c r="Q2356" s="26" t="b">
        <v>0</v>
      </c>
      <c r="R2356" s="22">
        <f t="shared" si="39"/>
        <v>106</v>
      </c>
    </row>
    <row r="2357" spans="1:18" ht="24">
      <c r="A2357" s="26">
        <v>6584</v>
      </c>
      <c r="B2357" s="27">
        <v>37637</v>
      </c>
      <c r="C2357" s="28" t="s">
        <v>7638</v>
      </c>
      <c r="D2357" s="27">
        <v>37637</v>
      </c>
      <c r="E2357" s="28" t="s">
        <v>283</v>
      </c>
      <c r="F2357" s="28" t="s">
        <v>149</v>
      </c>
      <c r="G2357" s="28" t="s">
        <v>20</v>
      </c>
      <c r="H2357" s="28" t="s">
        <v>21</v>
      </c>
      <c r="I2357" s="28" t="s">
        <v>21</v>
      </c>
      <c r="J2357" s="28" t="s">
        <v>7639</v>
      </c>
      <c r="K2357" s="28" t="s">
        <v>7640</v>
      </c>
      <c r="L2357" s="28" t="s">
        <v>314</v>
      </c>
      <c r="M2357" s="28" t="s">
        <v>21</v>
      </c>
      <c r="O2357" s="92">
        <v>37742</v>
      </c>
      <c r="P2357" s="28" t="s">
        <v>21</v>
      </c>
      <c r="Q2357" s="26" t="b">
        <v>0</v>
      </c>
      <c r="R2357" s="22">
        <f t="shared" si="39"/>
        <v>106</v>
      </c>
    </row>
    <row r="2358" spans="1:18">
      <c r="A2358" s="26">
        <v>6590</v>
      </c>
      <c r="B2358" s="27">
        <v>37637</v>
      </c>
      <c r="C2358" s="28" t="s">
        <v>7641</v>
      </c>
      <c r="D2358" s="27">
        <v>37637</v>
      </c>
      <c r="E2358" s="28" t="s">
        <v>283</v>
      </c>
      <c r="F2358" s="28" t="s">
        <v>545</v>
      </c>
      <c r="G2358" s="28" t="s">
        <v>20</v>
      </c>
      <c r="H2358" s="28" t="s">
        <v>21</v>
      </c>
      <c r="I2358" s="28" t="s">
        <v>21</v>
      </c>
      <c r="J2358" s="28" t="s">
        <v>7642</v>
      </c>
      <c r="K2358" s="28" t="s">
        <v>7643</v>
      </c>
      <c r="L2358" s="28" t="s">
        <v>4282</v>
      </c>
      <c r="M2358" s="28" t="s">
        <v>21</v>
      </c>
      <c r="O2358" s="92">
        <v>37797</v>
      </c>
      <c r="P2358" s="28" t="s">
        <v>21</v>
      </c>
      <c r="Q2358" s="26" t="b">
        <v>0</v>
      </c>
      <c r="R2358" s="22">
        <f t="shared" si="39"/>
        <v>161</v>
      </c>
    </row>
    <row r="2359" spans="1:18" ht="24">
      <c r="A2359" s="26">
        <v>6592</v>
      </c>
      <c r="B2359" s="27">
        <v>37637</v>
      </c>
      <c r="C2359" s="28" t="s">
        <v>7644</v>
      </c>
      <c r="D2359" s="27">
        <v>37637</v>
      </c>
      <c r="E2359" s="28" t="s">
        <v>283</v>
      </c>
      <c r="F2359" s="28" t="s">
        <v>104</v>
      </c>
      <c r="G2359" s="28" t="s">
        <v>20</v>
      </c>
      <c r="H2359" s="28" t="s">
        <v>21</v>
      </c>
      <c r="I2359" s="28" t="s">
        <v>21</v>
      </c>
      <c r="J2359" s="28" t="s">
        <v>7645</v>
      </c>
      <c r="K2359" s="28" t="s">
        <v>7646</v>
      </c>
      <c r="L2359" s="28" t="s">
        <v>66</v>
      </c>
      <c r="M2359" s="28" t="s">
        <v>21</v>
      </c>
      <c r="O2359" s="92">
        <v>37727</v>
      </c>
      <c r="P2359" s="28" t="s">
        <v>21</v>
      </c>
      <c r="Q2359" s="26" t="b">
        <v>0</v>
      </c>
      <c r="R2359" s="22">
        <f t="shared" si="39"/>
        <v>91</v>
      </c>
    </row>
    <row r="2360" spans="1:18">
      <c r="A2360" s="26">
        <v>6570</v>
      </c>
      <c r="B2360" s="27">
        <v>37638</v>
      </c>
      <c r="C2360" s="28" t="s">
        <v>7615</v>
      </c>
      <c r="D2360" s="27">
        <v>37638</v>
      </c>
      <c r="E2360" s="28" t="s">
        <v>283</v>
      </c>
      <c r="F2360" s="28" t="s">
        <v>5342</v>
      </c>
      <c r="G2360" s="28" t="s">
        <v>20</v>
      </c>
      <c r="H2360" s="28" t="s">
        <v>21</v>
      </c>
      <c r="I2360" s="28" t="s">
        <v>21</v>
      </c>
      <c r="J2360" s="28" t="s">
        <v>7616</v>
      </c>
      <c r="K2360" s="28" t="s">
        <v>7617</v>
      </c>
      <c r="L2360" s="28" t="s">
        <v>4282</v>
      </c>
      <c r="M2360" s="28" t="s">
        <v>21</v>
      </c>
      <c r="O2360" s="92">
        <v>37797</v>
      </c>
      <c r="P2360" s="28" t="s">
        <v>21</v>
      </c>
      <c r="Q2360" s="26" t="b">
        <v>0</v>
      </c>
      <c r="R2360" s="22">
        <f t="shared" si="39"/>
        <v>160</v>
      </c>
    </row>
    <row r="2361" spans="1:18">
      <c r="A2361" s="26">
        <v>6575</v>
      </c>
      <c r="B2361" s="27">
        <v>37638</v>
      </c>
      <c r="C2361" s="28" t="s">
        <v>7618</v>
      </c>
      <c r="D2361" s="27">
        <v>37638</v>
      </c>
      <c r="E2361" s="28" t="s">
        <v>283</v>
      </c>
      <c r="F2361" s="28" t="s">
        <v>242</v>
      </c>
      <c r="G2361" s="28" t="s">
        <v>20</v>
      </c>
      <c r="H2361" s="28" t="s">
        <v>21</v>
      </c>
      <c r="I2361" s="28" t="s">
        <v>21</v>
      </c>
      <c r="J2361" s="28" t="s">
        <v>7619</v>
      </c>
      <c r="K2361" s="28" t="s">
        <v>7620</v>
      </c>
      <c r="L2361" s="28" t="s">
        <v>4282</v>
      </c>
      <c r="M2361" s="28" t="s">
        <v>66</v>
      </c>
      <c r="O2361" s="92">
        <v>37802</v>
      </c>
      <c r="P2361" s="28" t="s">
        <v>21</v>
      </c>
      <c r="Q2361" s="26" t="b">
        <v>0</v>
      </c>
      <c r="R2361" s="22">
        <f t="shared" si="39"/>
        <v>165</v>
      </c>
    </row>
    <row r="2362" spans="1:18">
      <c r="A2362" s="26">
        <v>6577</v>
      </c>
      <c r="B2362" s="27">
        <v>37638</v>
      </c>
      <c r="C2362" s="28" t="s">
        <v>7621</v>
      </c>
      <c r="D2362" s="27">
        <v>37638</v>
      </c>
      <c r="E2362" s="28" t="s">
        <v>283</v>
      </c>
      <c r="F2362" s="28" t="s">
        <v>149</v>
      </c>
      <c r="G2362" s="28" t="s">
        <v>20</v>
      </c>
      <c r="H2362" s="28" t="s">
        <v>21</v>
      </c>
      <c r="I2362" s="28" t="s">
        <v>21</v>
      </c>
      <c r="J2362" s="28" t="s">
        <v>7622</v>
      </c>
      <c r="K2362" s="28" t="s">
        <v>7623</v>
      </c>
      <c r="L2362" s="28" t="s">
        <v>314</v>
      </c>
      <c r="M2362" s="28" t="s">
        <v>21</v>
      </c>
      <c r="O2362" s="92">
        <v>37742</v>
      </c>
      <c r="P2362" s="28" t="s">
        <v>21</v>
      </c>
      <c r="Q2362" s="26" t="b">
        <v>0</v>
      </c>
      <c r="R2362" s="22">
        <f t="shared" si="39"/>
        <v>105</v>
      </c>
    </row>
    <row r="2363" spans="1:18">
      <c r="A2363" s="26">
        <v>6578</v>
      </c>
      <c r="B2363" s="27">
        <v>37638</v>
      </c>
      <c r="C2363" s="28" t="s">
        <v>7624</v>
      </c>
      <c r="D2363" s="27">
        <v>37638</v>
      </c>
      <c r="E2363" s="28" t="s">
        <v>283</v>
      </c>
      <c r="F2363" s="28" t="s">
        <v>52</v>
      </c>
      <c r="G2363" s="28" t="s">
        <v>20</v>
      </c>
      <c r="H2363" s="28" t="s">
        <v>21</v>
      </c>
      <c r="I2363" s="28" t="s">
        <v>21</v>
      </c>
      <c r="J2363" s="28" t="s">
        <v>7625</v>
      </c>
      <c r="K2363" s="28" t="s">
        <v>6961</v>
      </c>
      <c r="L2363" s="28" t="s">
        <v>314</v>
      </c>
      <c r="M2363" s="28" t="s">
        <v>21</v>
      </c>
      <c r="O2363" s="92">
        <v>37742</v>
      </c>
      <c r="P2363" s="28" t="s">
        <v>21</v>
      </c>
      <c r="Q2363" s="26" t="b">
        <v>0</v>
      </c>
      <c r="R2363" s="22">
        <f t="shared" si="39"/>
        <v>105</v>
      </c>
    </row>
    <row r="2364" spans="1:18">
      <c r="A2364" s="26">
        <v>6579</v>
      </c>
      <c r="B2364" s="27">
        <v>37638</v>
      </c>
      <c r="C2364" s="28" t="s">
        <v>7626</v>
      </c>
      <c r="D2364" s="27">
        <v>37638</v>
      </c>
      <c r="E2364" s="28" t="s">
        <v>283</v>
      </c>
      <c r="F2364" s="28" t="s">
        <v>52</v>
      </c>
      <c r="G2364" s="28" t="s">
        <v>20</v>
      </c>
      <c r="H2364" s="28" t="s">
        <v>21</v>
      </c>
      <c r="I2364" s="28" t="s">
        <v>21</v>
      </c>
      <c r="J2364" s="28" t="s">
        <v>7627</v>
      </c>
      <c r="K2364" s="28" t="s">
        <v>6961</v>
      </c>
      <c r="L2364" s="28" t="s">
        <v>314</v>
      </c>
      <c r="M2364" s="28" t="s">
        <v>21</v>
      </c>
      <c r="O2364" s="92">
        <v>37742</v>
      </c>
      <c r="P2364" s="28" t="s">
        <v>21</v>
      </c>
      <c r="Q2364" s="26" t="b">
        <v>0</v>
      </c>
      <c r="R2364" s="22">
        <f t="shared" si="39"/>
        <v>105</v>
      </c>
    </row>
    <row r="2365" spans="1:18">
      <c r="A2365" s="26">
        <v>6580</v>
      </c>
      <c r="B2365" s="27">
        <v>37638</v>
      </c>
      <c r="C2365" s="28" t="s">
        <v>7628</v>
      </c>
      <c r="D2365" s="27">
        <v>37638</v>
      </c>
      <c r="E2365" s="28" t="s">
        <v>283</v>
      </c>
      <c r="F2365" s="28" t="s">
        <v>52</v>
      </c>
      <c r="G2365" s="28" t="s">
        <v>20</v>
      </c>
      <c r="H2365" s="28" t="s">
        <v>21</v>
      </c>
      <c r="I2365" s="28" t="s">
        <v>21</v>
      </c>
      <c r="J2365" s="28" t="s">
        <v>7629</v>
      </c>
      <c r="K2365" s="28" t="s">
        <v>7630</v>
      </c>
      <c r="L2365" s="28" t="s">
        <v>4282</v>
      </c>
      <c r="M2365" s="28" t="s">
        <v>21</v>
      </c>
      <c r="O2365" s="92">
        <v>37797</v>
      </c>
      <c r="P2365" s="28" t="s">
        <v>21</v>
      </c>
      <c r="Q2365" s="26" t="b">
        <v>0</v>
      </c>
      <c r="R2365" s="22">
        <f t="shared" si="39"/>
        <v>160</v>
      </c>
    </row>
    <row r="2366" spans="1:18">
      <c r="A2366" s="26">
        <v>6581</v>
      </c>
      <c r="B2366" s="27">
        <v>37642</v>
      </c>
      <c r="C2366" s="28" t="s">
        <v>7631</v>
      </c>
      <c r="D2366" s="27">
        <v>37620</v>
      </c>
      <c r="E2366" s="28" t="s">
        <v>38</v>
      </c>
      <c r="F2366" s="28" t="s">
        <v>371</v>
      </c>
      <c r="G2366" s="28" t="s">
        <v>20</v>
      </c>
      <c r="H2366" s="28" t="s">
        <v>21</v>
      </c>
      <c r="I2366" s="28" t="s">
        <v>21</v>
      </c>
      <c r="J2366" s="28" t="s">
        <v>21</v>
      </c>
      <c r="K2366" s="28" t="s">
        <v>21</v>
      </c>
      <c r="L2366" s="28" t="s">
        <v>66</v>
      </c>
      <c r="M2366" s="28" t="s">
        <v>21</v>
      </c>
      <c r="O2366" s="92">
        <v>37643</v>
      </c>
      <c r="P2366" s="28" t="s">
        <v>31</v>
      </c>
      <c r="Q2366" s="26" t="b">
        <v>0</v>
      </c>
      <c r="R2366" s="22">
        <f t="shared" si="39"/>
        <v>1</v>
      </c>
    </row>
    <row r="2367" spans="1:18" ht="24">
      <c r="A2367" s="26">
        <v>6582</v>
      </c>
      <c r="B2367" s="27">
        <v>37642</v>
      </c>
      <c r="C2367" s="28" t="s">
        <v>7632</v>
      </c>
      <c r="D2367" s="27">
        <v>37637</v>
      </c>
      <c r="E2367" s="28" t="s">
        <v>7633</v>
      </c>
      <c r="F2367" s="28" t="s">
        <v>124</v>
      </c>
      <c r="G2367" s="28" t="s">
        <v>20</v>
      </c>
      <c r="H2367" s="28" t="s">
        <v>21</v>
      </c>
      <c r="I2367" s="28" t="s">
        <v>21</v>
      </c>
      <c r="J2367" s="28" t="s">
        <v>7634</v>
      </c>
      <c r="K2367" s="28" t="s">
        <v>21</v>
      </c>
      <c r="L2367" s="28" t="s">
        <v>66</v>
      </c>
      <c r="M2367" s="28" t="s">
        <v>21</v>
      </c>
      <c r="O2367" s="92">
        <v>37671</v>
      </c>
      <c r="P2367" s="28" t="s">
        <v>31</v>
      </c>
      <c r="Q2367" s="26" t="b">
        <v>0</v>
      </c>
      <c r="R2367" s="22">
        <f t="shared" si="39"/>
        <v>28</v>
      </c>
    </row>
    <row r="2368" spans="1:18" ht="24">
      <c r="A2368" s="26">
        <v>6595</v>
      </c>
      <c r="B2368" s="27">
        <v>37642</v>
      </c>
      <c r="C2368" s="28" t="s">
        <v>7647</v>
      </c>
      <c r="D2368" s="27">
        <v>37642</v>
      </c>
      <c r="E2368" s="28" t="s">
        <v>283</v>
      </c>
      <c r="F2368" s="28" t="s">
        <v>39</v>
      </c>
      <c r="G2368" s="28" t="s">
        <v>20</v>
      </c>
      <c r="H2368" s="28" t="s">
        <v>21</v>
      </c>
      <c r="I2368" s="28" t="s">
        <v>21</v>
      </c>
      <c r="J2368" s="28" t="s">
        <v>7648</v>
      </c>
      <c r="K2368" s="28" t="s">
        <v>7649</v>
      </c>
      <c r="L2368" s="28" t="s">
        <v>4282</v>
      </c>
      <c r="M2368" s="28" t="s">
        <v>7650</v>
      </c>
      <c r="O2368" s="92">
        <v>37797</v>
      </c>
      <c r="P2368" s="28" t="s">
        <v>21</v>
      </c>
      <c r="Q2368" s="26" t="b">
        <v>0</v>
      </c>
      <c r="R2368" s="22">
        <f t="shared" si="39"/>
        <v>156</v>
      </c>
    </row>
    <row r="2369" spans="1:18">
      <c r="A2369" s="26">
        <v>6596</v>
      </c>
      <c r="B2369" s="27">
        <v>37642</v>
      </c>
      <c r="C2369" s="28" t="s">
        <v>7651</v>
      </c>
      <c r="D2369" s="27">
        <v>37642</v>
      </c>
      <c r="E2369" s="28" t="s">
        <v>283</v>
      </c>
      <c r="F2369" s="28" t="s">
        <v>2413</v>
      </c>
      <c r="G2369" s="28" t="s">
        <v>20</v>
      </c>
      <c r="H2369" s="28" t="s">
        <v>21</v>
      </c>
      <c r="I2369" s="28" t="s">
        <v>21</v>
      </c>
      <c r="J2369" s="28" t="s">
        <v>7652</v>
      </c>
      <c r="K2369" s="28" t="s">
        <v>7653</v>
      </c>
      <c r="L2369" s="28" t="s">
        <v>4282</v>
      </c>
      <c r="M2369" s="28" t="s">
        <v>3930</v>
      </c>
      <c r="O2369" s="92">
        <v>37797</v>
      </c>
      <c r="P2369" s="28" t="s">
        <v>21</v>
      </c>
      <c r="Q2369" s="26" t="b">
        <v>0</v>
      </c>
      <c r="R2369" s="22">
        <f t="shared" si="39"/>
        <v>156</v>
      </c>
    </row>
    <row r="2370" spans="1:18">
      <c r="A2370" s="26">
        <v>6604</v>
      </c>
      <c r="B2370" s="27">
        <v>37642</v>
      </c>
      <c r="C2370" s="28" t="s">
        <v>7672</v>
      </c>
      <c r="D2370" s="27">
        <v>37642</v>
      </c>
      <c r="E2370" s="28" t="s">
        <v>283</v>
      </c>
      <c r="F2370" s="28" t="s">
        <v>216</v>
      </c>
      <c r="G2370" s="28" t="s">
        <v>20</v>
      </c>
      <c r="H2370" s="28" t="s">
        <v>21</v>
      </c>
      <c r="I2370" s="28" t="s">
        <v>21</v>
      </c>
      <c r="J2370" s="28" t="s">
        <v>7673</v>
      </c>
      <c r="K2370" s="28" t="s">
        <v>7674</v>
      </c>
      <c r="L2370" s="28" t="s">
        <v>66</v>
      </c>
      <c r="M2370" s="28" t="s">
        <v>21</v>
      </c>
      <c r="O2370" s="92">
        <v>37736</v>
      </c>
      <c r="P2370" s="28" t="s">
        <v>21</v>
      </c>
      <c r="Q2370" s="26" t="b">
        <v>0</v>
      </c>
      <c r="R2370" s="22">
        <f t="shared" si="39"/>
        <v>95</v>
      </c>
    </row>
    <row r="2371" spans="1:18">
      <c r="A2371" s="26">
        <v>6613</v>
      </c>
      <c r="B2371" s="27">
        <v>37642</v>
      </c>
      <c r="C2371" s="28" t="s">
        <v>7683</v>
      </c>
      <c r="D2371" s="27">
        <v>37642</v>
      </c>
      <c r="E2371" s="28" t="s">
        <v>283</v>
      </c>
      <c r="F2371" s="28" t="s">
        <v>39</v>
      </c>
      <c r="G2371" s="28" t="s">
        <v>20</v>
      </c>
      <c r="H2371" s="28" t="s">
        <v>21</v>
      </c>
      <c r="I2371" s="28" t="s">
        <v>21</v>
      </c>
      <c r="J2371" s="28" t="s">
        <v>7684</v>
      </c>
      <c r="K2371" s="28" t="s">
        <v>7685</v>
      </c>
      <c r="L2371" s="28" t="s">
        <v>66</v>
      </c>
      <c r="M2371" s="28" t="s">
        <v>21</v>
      </c>
      <c r="O2371" s="92">
        <v>37736</v>
      </c>
      <c r="P2371" s="28" t="s">
        <v>21</v>
      </c>
      <c r="Q2371" s="26" t="b">
        <v>0</v>
      </c>
      <c r="R2371" s="22">
        <f t="shared" si="39"/>
        <v>95</v>
      </c>
    </row>
    <row r="2372" spans="1:18" ht="24">
      <c r="A2372" s="26">
        <v>6614</v>
      </c>
      <c r="B2372" s="27">
        <v>37642</v>
      </c>
      <c r="C2372" s="28" t="s">
        <v>7686</v>
      </c>
      <c r="D2372" s="27">
        <v>37642</v>
      </c>
      <c r="E2372" s="28" t="s">
        <v>283</v>
      </c>
      <c r="F2372" s="28" t="s">
        <v>395</v>
      </c>
      <c r="G2372" s="28" t="s">
        <v>20</v>
      </c>
      <c r="H2372" s="28" t="s">
        <v>21</v>
      </c>
      <c r="I2372" s="28" t="s">
        <v>21</v>
      </c>
      <c r="J2372" s="28" t="s">
        <v>7687</v>
      </c>
      <c r="K2372" s="28" t="s">
        <v>7688</v>
      </c>
      <c r="L2372" s="28" t="s">
        <v>66</v>
      </c>
      <c r="M2372" s="28" t="s">
        <v>21</v>
      </c>
      <c r="O2372" s="92">
        <v>37719</v>
      </c>
      <c r="P2372" s="28" t="s">
        <v>21</v>
      </c>
      <c r="Q2372" s="26" t="b">
        <v>0</v>
      </c>
      <c r="R2372" s="22">
        <f t="shared" si="39"/>
        <v>78</v>
      </c>
    </row>
    <row r="2373" spans="1:18" ht="24">
      <c r="A2373" s="26">
        <v>6615</v>
      </c>
      <c r="B2373" s="27">
        <v>37642</v>
      </c>
      <c r="C2373" s="28" t="s">
        <v>7689</v>
      </c>
      <c r="D2373" s="27">
        <v>37642</v>
      </c>
      <c r="E2373" s="28" t="s">
        <v>283</v>
      </c>
      <c r="F2373" s="28" t="s">
        <v>395</v>
      </c>
      <c r="G2373" s="28" t="s">
        <v>20</v>
      </c>
      <c r="H2373" s="28" t="s">
        <v>21</v>
      </c>
      <c r="I2373" s="28" t="s">
        <v>21</v>
      </c>
      <c r="J2373" s="28" t="s">
        <v>7690</v>
      </c>
      <c r="K2373" s="28" t="s">
        <v>7691</v>
      </c>
      <c r="L2373" s="28" t="s">
        <v>66</v>
      </c>
      <c r="M2373" s="28" t="s">
        <v>21</v>
      </c>
      <c r="O2373" s="92">
        <v>37718</v>
      </c>
      <c r="P2373" s="28" t="s">
        <v>21</v>
      </c>
      <c r="Q2373" s="26" t="b">
        <v>0</v>
      </c>
      <c r="R2373" s="22">
        <f t="shared" si="39"/>
        <v>77</v>
      </c>
    </row>
    <row r="2374" spans="1:18">
      <c r="A2374" s="26">
        <v>6617</v>
      </c>
      <c r="B2374" s="27">
        <v>37642</v>
      </c>
      <c r="C2374" s="28" t="s">
        <v>7692</v>
      </c>
      <c r="D2374" s="27">
        <v>37642</v>
      </c>
      <c r="E2374" s="28" t="s">
        <v>283</v>
      </c>
      <c r="F2374" s="28" t="s">
        <v>395</v>
      </c>
      <c r="G2374" s="28" t="s">
        <v>20</v>
      </c>
      <c r="H2374" s="28" t="s">
        <v>21</v>
      </c>
      <c r="I2374" s="28" t="s">
        <v>21</v>
      </c>
      <c r="J2374" s="28" t="s">
        <v>7693</v>
      </c>
      <c r="K2374" s="28" t="s">
        <v>7694</v>
      </c>
      <c r="L2374" s="28" t="s">
        <v>66</v>
      </c>
      <c r="M2374" s="28" t="s">
        <v>21</v>
      </c>
      <c r="O2374" s="92">
        <v>37747</v>
      </c>
      <c r="P2374" s="28" t="s">
        <v>21</v>
      </c>
      <c r="Q2374" s="26" t="b">
        <v>0</v>
      </c>
      <c r="R2374" s="22">
        <f t="shared" si="39"/>
        <v>106</v>
      </c>
    </row>
    <row r="2375" spans="1:18" ht="24">
      <c r="A2375" s="26">
        <v>6618</v>
      </c>
      <c r="B2375" s="27">
        <v>37642</v>
      </c>
      <c r="C2375" s="28" t="s">
        <v>7695</v>
      </c>
      <c r="D2375" s="27">
        <v>37642</v>
      </c>
      <c r="E2375" s="28" t="s">
        <v>283</v>
      </c>
      <c r="F2375" s="28" t="s">
        <v>85</v>
      </c>
      <c r="G2375" s="28" t="s">
        <v>20</v>
      </c>
      <c r="H2375" s="28" t="s">
        <v>21</v>
      </c>
      <c r="I2375" s="28" t="s">
        <v>21</v>
      </c>
      <c r="J2375" s="28" t="s">
        <v>7696</v>
      </c>
      <c r="K2375" s="28" t="s">
        <v>7697</v>
      </c>
      <c r="L2375" s="28" t="s">
        <v>66</v>
      </c>
      <c r="M2375" s="28" t="s">
        <v>21</v>
      </c>
      <c r="O2375" s="92">
        <v>37727</v>
      </c>
      <c r="P2375" s="28" t="s">
        <v>21</v>
      </c>
      <c r="Q2375" s="26" t="b">
        <v>0</v>
      </c>
      <c r="R2375" s="22">
        <f t="shared" si="39"/>
        <v>86</v>
      </c>
    </row>
    <row r="2376" spans="1:18">
      <c r="A2376" s="26">
        <v>6619</v>
      </c>
      <c r="B2376" s="27">
        <v>37642</v>
      </c>
      <c r="C2376" s="28" t="s">
        <v>7698</v>
      </c>
      <c r="D2376" s="27">
        <v>37642</v>
      </c>
      <c r="E2376" s="28" t="s">
        <v>283</v>
      </c>
      <c r="F2376" s="28" t="s">
        <v>395</v>
      </c>
      <c r="G2376" s="28" t="s">
        <v>20</v>
      </c>
      <c r="H2376" s="28" t="s">
        <v>21</v>
      </c>
      <c r="I2376" s="28" t="s">
        <v>21</v>
      </c>
      <c r="J2376" s="28" t="s">
        <v>7699</v>
      </c>
      <c r="K2376" s="28" t="s">
        <v>7700</v>
      </c>
      <c r="L2376" s="28" t="s">
        <v>66</v>
      </c>
      <c r="M2376" s="28" t="s">
        <v>21</v>
      </c>
      <c r="O2376" s="92">
        <v>37718</v>
      </c>
      <c r="P2376" s="28" t="s">
        <v>21</v>
      </c>
      <c r="Q2376" s="26" t="b">
        <v>0</v>
      </c>
      <c r="R2376" s="22">
        <f t="shared" si="39"/>
        <v>77</v>
      </c>
    </row>
    <row r="2377" spans="1:18" ht="24">
      <c r="A2377" s="26">
        <v>6621</v>
      </c>
      <c r="B2377" s="27">
        <v>37642</v>
      </c>
      <c r="C2377" s="28" t="s">
        <v>7701</v>
      </c>
      <c r="D2377" s="27">
        <v>37642</v>
      </c>
      <c r="E2377" s="28" t="s">
        <v>283</v>
      </c>
      <c r="F2377" s="28" t="s">
        <v>7702</v>
      </c>
      <c r="G2377" s="28" t="s">
        <v>20</v>
      </c>
      <c r="H2377" s="28" t="s">
        <v>21</v>
      </c>
      <c r="I2377" s="28" t="s">
        <v>21</v>
      </c>
      <c r="J2377" s="28" t="s">
        <v>7703</v>
      </c>
      <c r="K2377" s="28" t="s">
        <v>7704</v>
      </c>
      <c r="L2377" s="28" t="s">
        <v>66</v>
      </c>
      <c r="M2377" s="28" t="s">
        <v>21</v>
      </c>
      <c r="O2377" s="92">
        <v>37792</v>
      </c>
      <c r="P2377" s="28" t="s">
        <v>21</v>
      </c>
      <c r="Q2377" s="26" t="b">
        <v>0</v>
      </c>
      <c r="R2377" s="22">
        <f t="shared" si="39"/>
        <v>151</v>
      </c>
    </row>
    <row r="2378" spans="1:18" ht="24">
      <c r="A2378" s="26">
        <v>6622</v>
      </c>
      <c r="B2378" s="27">
        <v>37642</v>
      </c>
      <c r="C2378" s="28" t="s">
        <v>7705</v>
      </c>
      <c r="D2378" s="27">
        <v>37642</v>
      </c>
      <c r="E2378" s="28" t="s">
        <v>283</v>
      </c>
      <c r="F2378" s="28" t="s">
        <v>104</v>
      </c>
      <c r="G2378" s="28" t="s">
        <v>20</v>
      </c>
      <c r="H2378" s="28" t="s">
        <v>21</v>
      </c>
      <c r="I2378" s="28" t="s">
        <v>21</v>
      </c>
      <c r="J2378" s="28" t="s">
        <v>7706</v>
      </c>
      <c r="K2378" s="28" t="s">
        <v>7707</v>
      </c>
      <c r="L2378" s="28" t="s">
        <v>314</v>
      </c>
      <c r="M2378" s="28" t="s">
        <v>66</v>
      </c>
      <c r="O2378" s="92">
        <v>37725</v>
      </c>
      <c r="P2378" s="28" t="s">
        <v>21</v>
      </c>
      <c r="Q2378" s="26" t="b">
        <v>0</v>
      </c>
      <c r="R2378" s="22">
        <f t="shared" si="39"/>
        <v>84</v>
      </c>
    </row>
    <row r="2379" spans="1:18">
      <c r="A2379" s="26">
        <v>6627</v>
      </c>
      <c r="B2379" s="27">
        <v>37642</v>
      </c>
      <c r="C2379" s="28" t="s">
        <v>7708</v>
      </c>
      <c r="D2379" s="27">
        <v>37642</v>
      </c>
      <c r="E2379" s="28" t="s">
        <v>283</v>
      </c>
      <c r="F2379" s="28" t="s">
        <v>350</v>
      </c>
      <c r="G2379" s="28" t="s">
        <v>20</v>
      </c>
      <c r="H2379" s="28" t="s">
        <v>21</v>
      </c>
      <c r="I2379" s="28" t="s">
        <v>21</v>
      </c>
      <c r="J2379" s="28" t="s">
        <v>7709</v>
      </c>
      <c r="K2379" s="28" t="s">
        <v>7710</v>
      </c>
      <c r="L2379" s="28" t="s">
        <v>314</v>
      </c>
      <c r="M2379" s="28" t="s">
        <v>21</v>
      </c>
      <c r="O2379" s="92">
        <v>37742</v>
      </c>
      <c r="P2379" s="28" t="s">
        <v>21</v>
      </c>
      <c r="Q2379" s="26" t="b">
        <v>0</v>
      </c>
      <c r="R2379" s="22">
        <f t="shared" si="39"/>
        <v>101</v>
      </c>
    </row>
    <row r="2380" spans="1:18">
      <c r="A2380" s="26">
        <v>6629</v>
      </c>
      <c r="B2380" s="27">
        <v>37642</v>
      </c>
      <c r="C2380" s="28" t="s">
        <v>7711</v>
      </c>
      <c r="D2380" s="27">
        <v>37642</v>
      </c>
      <c r="E2380" s="28" t="s">
        <v>283</v>
      </c>
      <c r="F2380" s="28" t="s">
        <v>85</v>
      </c>
      <c r="G2380" s="28" t="s">
        <v>20</v>
      </c>
      <c r="H2380" s="28" t="s">
        <v>21</v>
      </c>
      <c r="I2380" s="28" t="s">
        <v>21</v>
      </c>
      <c r="J2380" s="28" t="s">
        <v>7712</v>
      </c>
      <c r="K2380" s="28" t="s">
        <v>7713</v>
      </c>
      <c r="L2380" s="28" t="s">
        <v>314</v>
      </c>
      <c r="M2380" s="28" t="s">
        <v>21</v>
      </c>
      <c r="O2380" s="92">
        <v>37742</v>
      </c>
      <c r="P2380" s="28" t="s">
        <v>21</v>
      </c>
      <c r="Q2380" s="26" t="b">
        <v>0</v>
      </c>
      <c r="R2380" s="22">
        <f t="shared" si="39"/>
        <v>101</v>
      </c>
    </row>
    <row r="2381" spans="1:18" ht="24">
      <c r="A2381" s="26">
        <v>6632</v>
      </c>
      <c r="B2381" s="27">
        <v>37642</v>
      </c>
      <c r="C2381" s="28" t="s">
        <v>7714</v>
      </c>
      <c r="D2381" s="27">
        <v>37642</v>
      </c>
      <c r="E2381" s="28" t="s">
        <v>283</v>
      </c>
      <c r="F2381" s="28" t="s">
        <v>3847</v>
      </c>
      <c r="G2381" s="28" t="s">
        <v>20</v>
      </c>
      <c r="H2381" s="28" t="s">
        <v>21</v>
      </c>
      <c r="I2381" s="28" t="s">
        <v>21</v>
      </c>
      <c r="J2381" s="28" t="s">
        <v>7715</v>
      </c>
      <c r="K2381" s="28" t="s">
        <v>7716</v>
      </c>
      <c r="L2381" s="28" t="s">
        <v>314</v>
      </c>
      <c r="M2381" s="28" t="s">
        <v>21</v>
      </c>
      <c r="O2381" s="92">
        <v>37742</v>
      </c>
      <c r="P2381" s="28" t="s">
        <v>21</v>
      </c>
      <c r="Q2381" s="26" t="b">
        <v>0</v>
      </c>
      <c r="R2381" s="22">
        <f t="shared" si="39"/>
        <v>101</v>
      </c>
    </row>
    <row r="2382" spans="1:18">
      <c r="A2382" s="26">
        <v>6634</v>
      </c>
      <c r="B2382" s="27">
        <v>37642</v>
      </c>
      <c r="C2382" s="28" t="s">
        <v>7717</v>
      </c>
      <c r="D2382" s="27">
        <v>37642</v>
      </c>
      <c r="E2382" s="28" t="s">
        <v>283</v>
      </c>
      <c r="F2382" s="28" t="s">
        <v>98</v>
      </c>
      <c r="G2382" s="28" t="s">
        <v>20</v>
      </c>
      <c r="H2382" s="28" t="s">
        <v>21</v>
      </c>
      <c r="I2382" s="28" t="s">
        <v>21</v>
      </c>
      <c r="J2382" s="28" t="s">
        <v>7718</v>
      </c>
      <c r="K2382" s="28" t="s">
        <v>7719</v>
      </c>
      <c r="L2382" s="28" t="s">
        <v>314</v>
      </c>
      <c r="M2382" s="28" t="s">
        <v>21</v>
      </c>
      <c r="O2382" s="92">
        <v>37742</v>
      </c>
      <c r="P2382" s="28" t="s">
        <v>21</v>
      </c>
      <c r="Q2382" s="26" t="b">
        <v>0</v>
      </c>
      <c r="R2382" s="22">
        <f t="shared" si="39"/>
        <v>101</v>
      </c>
    </row>
    <row r="2383" spans="1:18" ht="24">
      <c r="A2383" s="26">
        <v>6635</v>
      </c>
      <c r="B2383" s="27">
        <v>37642</v>
      </c>
      <c r="C2383" s="28" t="s">
        <v>7720</v>
      </c>
      <c r="D2383" s="27">
        <v>37642</v>
      </c>
      <c r="E2383" s="28" t="s">
        <v>283</v>
      </c>
      <c r="F2383" s="28" t="s">
        <v>242</v>
      </c>
      <c r="G2383" s="28" t="s">
        <v>20</v>
      </c>
      <c r="H2383" s="28" t="s">
        <v>21</v>
      </c>
      <c r="I2383" s="28" t="s">
        <v>21</v>
      </c>
      <c r="J2383" s="28" t="s">
        <v>7721</v>
      </c>
      <c r="K2383" s="28" t="s">
        <v>7722</v>
      </c>
      <c r="L2383" s="28" t="s">
        <v>4282</v>
      </c>
      <c r="M2383" s="28" t="s">
        <v>21</v>
      </c>
      <c r="O2383" s="92">
        <v>37802</v>
      </c>
      <c r="P2383" s="28" t="s">
        <v>21</v>
      </c>
      <c r="Q2383" s="26" t="b">
        <v>0</v>
      </c>
      <c r="R2383" s="22">
        <f t="shared" si="39"/>
        <v>161</v>
      </c>
    </row>
    <row r="2384" spans="1:18" ht="24">
      <c r="A2384" s="26">
        <v>6636</v>
      </c>
      <c r="B2384" s="27">
        <v>37642</v>
      </c>
      <c r="C2384" s="28" t="s">
        <v>7723</v>
      </c>
      <c r="D2384" s="27">
        <v>37642</v>
      </c>
      <c r="E2384" s="28" t="s">
        <v>283</v>
      </c>
      <c r="F2384" s="28" t="s">
        <v>242</v>
      </c>
      <c r="G2384" s="28" t="s">
        <v>20</v>
      </c>
      <c r="H2384" s="28" t="s">
        <v>21</v>
      </c>
      <c r="I2384" s="28" t="s">
        <v>21</v>
      </c>
      <c r="J2384" s="28" t="s">
        <v>7724</v>
      </c>
      <c r="K2384" s="28" t="s">
        <v>7725</v>
      </c>
      <c r="L2384" s="28" t="s">
        <v>4282</v>
      </c>
      <c r="M2384" s="28" t="s">
        <v>21</v>
      </c>
      <c r="O2384" s="92">
        <v>37802</v>
      </c>
      <c r="P2384" s="28" t="s">
        <v>21</v>
      </c>
      <c r="Q2384" s="26" t="b">
        <v>0</v>
      </c>
      <c r="R2384" s="22">
        <f t="shared" si="39"/>
        <v>161</v>
      </c>
    </row>
    <row r="2385" spans="1:18">
      <c r="A2385" s="26">
        <v>6640</v>
      </c>
      <c r="B2385" s="27">
        <v>37642</v>
      </c>
      <c r="C2385" s="28" t="s">
        <v>7726</v>
      </c>
      <c r="D2385" s="27">
        <v>37642</v>
      </c>
      <c r="E2385" s="28" t="s">
        <v>283</v>
      </c>
      <c r="F2385" s="28" t="s">
        <v>149</v>
      </c>
      <c r="G2385" s="28" t="s">
        <v>20</v>
      </c>
      <c r="H2385" s="28" t="s">
        <v>21</v>
      </c>
      <c r="I2385" s="28" t="s">
        <v>21</v>
      </c>
      <c r="J2385" s="28" t="s">
        <v>7727</v>
      </c>
      <c r="K2385" s="28" t="s">
        <v>7728</v>
      </c>
      <c r="L2385" s="28" t="s">
        <v>4282</v>
      </c>
      <c r="M2385" s="28" t="s">
        <v>21</v>
      </c>
      <c r="O2385" s="92">
        <v>37742</v>
      </c>
      <c r="P2385" s="28" t="s">
        <v>21</v>
      </c>
      <c r="Q2385" s="26" t="b">
        <v>0</v>
      </c>
      <c r="R2385" s="22">
        <f t="shared" si="39"/>
        <v>101</v>
      </c>
    </row>
    <row r="2386" spans="1:18">
      <c r="A2386" s="26">
        <v>6641</v>
      </c>
      <c r="B2386" s="27">
        <v>37642</v>
      </c>
      <c r="C2386" s="28" t="s">
        <v>7729</v>
      </c>
      <c r="D2386" s="27">
        <v>37642</v>
      </c>
      <c r="E2386" s="28" t="s">
        <v>283</v>
      </c>
      <c r="F2386" s="28" t="s">
        <v>1939</v>
      </c>
      <c r="G2386" s="28" t="s">
        <v>20</v>
      </c>
      <c r="H2386" s="28" t="s">
        <v>21</v>
      </c>
      <c r="I2386" s="28" t="s">
        <v>21</v>
      </c>
      <c r="J2386" s="28" t="s">
        <v>7730</v>
      </c>
      <c r="K2386" s="28" t="s">
        <v>7731</v>
      </c>
      <c r="L2386" s="28" t="s">
        <v>314</v>
      </c>
      <c r="M2386" s="28" t="s">
        <v>21</v>
      </c>
      <c r="O2386" s="92">
        <v>37742</v>
      </c>
      <c r="P2386" s="28" t="s">
        <v>21</v>
      </c>
      <c r="Q2386" s="26" t="b">
        <v>0</v>
      </c>
      <c r="R2386" s="22">
        <f t="shared" si="39"/>
        <v>101</v>
      </c>
    </row>
    <row r="2387" spans="1:18">
      <c r="A2387" s="26">
        <v>6642</v>
      </c>
      <c r="B2387" s="27">
        <v>37642</v>
      </c>
      <c r="C2387" s="28" t="s">
        <v>7732</v>
      </c>
      <c r="D2387" s="27">
        <v>37642</v>
      </c>
      <c r="E2387" s="28" t="s">
        <v>283</v>
      </c>
      <c r="F2387" s="28" t="s">
        <v>228</v>
      </c>
      <c r="G2387" s="28" t="s">
        <v>20</v>
      </c>
      <c r="H2387" s="28" t="s">
        <v>21</v>
      </c>
      <c r="I2387" s="28" t="s">
        <v>21</v>
      </c>
      <c r="J2387" s="28" t="s">
        <v>7733</v>
      </c>
      <c r="K2387" s="28" t="s">
        <v>7734</v>
      </c>
      <c r="L2387" s="28" t="s">
        <v>66</v>
      </c>
      <c r="M2387" s="28" t="s">
        <v>21</v>
      </c>
      <c r="O2387" s="92">
        <v>37739</v>
      </c>
      <c r="P2387" s="28" t="s">
        <v>21</v>
      </c>
      <c r="Q2387" s="26" t="b">
        <v>0</v>
      </c>
      <c r="R2387" s="22">
        <f t="shared" si="39"/>
        <v>98</v>
      </c>
    </row>
    <row r="2388" spans="1:18" ht="24">
      <c r="A2388" s="26">
        <v>6643</v>
      </c>
      <c r="B2388" s="27">
        <v>37642</v>
      </c>
      <c r="C2388" s="28" t="s">
        <v>7735</v>
      </c>
      <c r="D2388" s="27">
        <v>37642</v>
      </c>
      <c r="E2388" s="28" t="s">
        <v>283</v>
      </c>
      <c r="F2388" s="28" t="s">
        <v>306</v>
      </c>
      <c r="G2388" s="28" t="s">
        <v>20</v>
      </c>
      <c r="H2388" s="28" t="s">
        <v>21</v>
      </c>
      <c r="I2388" s="28" t="s">
        <v>21</v>
      </c>
      <c r="J2388" s="28" t="s">
        <v>7736</v>
      </c>
      <c r="K2388" s="28" t="s">
        <v>7737</v>
      </c>
      <c r="L2388" s="28" t="s">
        <v>314</v>
      </c>
      <c r="M2388" s="28" t="s">
        <v>21</v>
      </c>
      <c r="O2388" s="92">
        <v>37742</v>
      </c>
      <c r="P2388" s="28" t="s">
        <v>21</v>
      </c>
      <c r="Q2388" s="26" t="b">
        <v>0</v>
      </c>
      <c r="R2388" s="22">
        <f t="shared" si="39"/>
        <v>101</v>
      </c>
    </row>
    <row r="2389" spans="1:18">
      <c r="A2389" s="26">
        <v>6644</v>
      </c>
      <c r="B2389" s="27">
        <v>37642</v>
      </c>
      <c r="C2389" s="28" t="s">
        <v>7738</v>
      </c>
      <c r="D2389" s="27">
        <v>37642</v>
      </c>
      <c r="E2389" s="28" t="s">
        <v>283</v>
      </c>
      <c r="F2389" s="28" t="s">
        <v>3283</v>
      </c>
      <c r="G2389" s="28" t="s">
        <v>20</v>
      </c>
      <c r="H2389" s="28" t="s">
        <v>21</v>
      </c>
      <c r="I2389" s="28" t="s">
        <v>21</v>
      </c>
      <c r="J2389" s="28" t="s">
        <v>7739</v>
      </c>
      <c r="K2389" s="28" t="s">
        <v>7740</v>
      </c>
      <c r="L2389" s="28" t="s">
        <v>314</v>
      </c>
      <c r="M2389" s="28" t="s">
        <v>21</v>
      </c>
      <c r="O2389" s="92">
        <v>37742</v>
      </c>
      <c r="P2389" s="28" t="s">
        <v>21</v>
      </c>
      <c r="Q2389" s="26" t="b">
        <v>0</v>
      </c>
      <c r="R2389" s="22">
        <f t="shared" si="39"/>
        <v>101</v>
      </c>
    </row>
    <row r="2390" spans="1:18">
      <c r="A2390" s="26">
        <v>6657</v>
      </c>
      <c r="B2390" s="27">
        <v>37642</v>
      </c>
      <c r="C2390" s="28" t="s">
        <v>7766</v>
      </c>
      <c r="D2390" s="27">
        <v>37642</v>
      </c>
      <c r="E2390" s="28" t="s">
        <v>283</v>
      </c>
      <c r="F2390" s="28" t="s">
        <v>149</v>
      </c>
      <c r="G2390" s="28" t="s">
        <v>20</v>
      </c>
      <c r="H2390" s="28" t="s">
        <v>21</v>
      </c>
      <c r="I2390" s="28" t="s">
        <v>21</v>
      </c>
      <c r="J2390" s="28" t="s">
        <v>7767</v>
      </c>
      <c r="K2390" s="28" t="s">
        <v>7768</v>
      </c>
      <c r="L2390" s="28" t="s">
        <v>4282</v>
      </c>
      <c r="M2390" s="28" t="s">
        <v>21</v>
      </c>
      <c r="O2390" s="92">
        <v>37797</v>
      </c>
      <c r="P2390" s="28" t="s">
        <v>21</v>
      </c>
      <c r="Q2390" s="26" t="b">
        <v>0</v>
      </c>
      <c r="R2390" s="22">
        <f t="shared" si="39"/>
        <v>156</v>
      </c>
    </row>
    <row r="2391" spans="1:18" ht="24">
      <c r="A2391" s="26">
        <v>6660</v>
      </c>
      <c r="B2391" s="27">
        <v>37642</v>
      </c>
      <c r="C2391" s="28" t="s">
        <v>7772</v>
      </c>
      <c r="D2391" s="27">
        <v>37642</v>
      </c>
      <c r="E2391" s="28" t="s">
        <v>283</v>
      </c>
      <c r="F2391" s="28" t="s">
        <v>85</v>
      </c>
      <c r="G2391" s="28" t="s">
        <v>20</v>
      </c>
      <c r="H2391" s="28" t="s">
        <v>21</v>
      </c>
      <c r="I2391" s="28" t="s">
        <v>21</v>
      </c>
      <c r="J2391" s="28" t="s">
        <v>7773</v>
      </c>
      <c r="K2391" s="28" t="s">
        <v>7774</v>
      </c>
      <c r="L2391" s="28" t="s">
        <v>66</v>
      </c>
      <c r="M2391" s="28" t="s">
        <v>21</v>
      </c>
      <c r="O2391" s="92">
        <v>37727</v>
      </c>
      <c r="P2391" s="28" t="s">
        <v>21</v>
      </c>
      <c r="Q2391" s="26" t="b">
        <v>0</v>
      </c>
      <c r="R2391" s="22">
        <f t="shared" si="39"/>
        <v>86</v>
      </c>
    </row>
    <row r="2392" spans="1:18">
      <c r="A2392" s="26">
        <v>6665</v>
      </c>
      <c r="B2392" s="27">
        <v>37642</v>
      </c>
      <c r="C2392" s="28" t="s">
        <v>7781</v>
      </c>
      <c r="D2392" s="27">
        <v>37642</v>
      </c>
      <c r="E2392" s="28" t="s">
        <v>283</v>
      </c>
      <c r="F2392" s="28" t="s">
        <v>85</v>
      </c>
      <c r="G2392" s="28" t="s">
        <v>20</v>
      </c>
      <c r="H2392" s="28" t="s">
        <v>21</v>
      </c>
      <c r="I2392" s="28" t="s">
        <v>21</v>
      </c>
      <c r="J2392" s="28" t="s">
        <v>7782</v>
      </c>
      <c r="K2392" s="28" t="s">
        <v>7783</v>
      </c>
      <c r="L2392" s="28" t="s">
        <v>4282</v>
      </c>
      <c r="M2392" s="28" t="s">
        <v>21</v>
      </c>
      <c r="O2392" s="92">
        <v>37802</v>
      </c>
      <c r="P2392" s="28" t="s">
        <v>21</v>
      </c>
      <c r="Q2392" s="26" t="b">
        <v>0</v>
      </c>
      <c r="R2392" s="22">
        <f t="shared" si="39"/>
        <v>161</v>
      </c>
    </row>
    <row r="2393" spans="1:18">
      <c r="A2393" s="26">
        <v>6603</v>
      </c>
      <c r="B2393" s="27">
        <v>37643</v>
      </c>
      <c r="C2393" s="28" t="s">
        <v>7669</v>
      </c>
      <c r="D2393" s="27">
        <v>37643</v>
      </c>
      <c r="E2393" s="28" t="s">
        <v>283</v>
      </c>
      <c r="F2393" s="28" t="s">
        <v>98</v>
      </c>
      <c r="G2393" s="28" t="s">
        <v>20</v>
      </c>
      <c r="H2393" s="28" t="s">
        <v>21</v>
      </c>
      <c r="I2393" s="28" t="s">
        <v>21</v>
      </c>
      <c r="J2393" s="28" t="s">
        <v>7670</v>
      </c>
      <c r="K2393" s="28" t="s">
        <v>7671</v>
      </c>
      <c r="L2393" s="28" t="s">
        <v>314</v>
      </c>
      <c r="M2393" s="28" t="s">
        <v>21</v>
      </c>
      <c r="O2393" s="92">
        <v>37742</v>
      </c>
      <c r="P2393" s="28" t="s">
        <v>21</v>
      </c>
      <c r="Q2393" s="26" t="b">
        <v>0</v>
      </c>
      <c r="R2393" s="22">
        <f t="shared" ref="R2393:R2456" si="40">IF(O2393=" ", " ", INT(YEARFRAC(O2393, B2393)*365))</f>
        <v>100</v>
      </c>
    </row>
    <row r="2394" spans="1:18" ht="24">
      <c r="A2394" s="26">
        <v>6653</v>
      </c>
      <c r="B2394" s="27">
        <v>37643</v>
      </c>
      <c r="C2394" s="28" t="s">
        <v>7760</v>
      </c>
      <c r="D2394" s="27">
        <v>37643</v>
      </c>
      <c r="E2394" s="28" t="s">
        <v>283</v>
      </c>
      <c r="F2394" s="28" t="s">
        <v>27</v>
      </c>
      <c r="G2394" s="28" t="s">
        <v>20</v>
      </c>
      <c r="H2394" s="28" t="s">
        <v>21</v>
      </c>
      <c r="I2394" s="28" t="s">
        <v>21</v>
      </c>
      <c r="J2394" s="28" t="s">
        <v>7761</v>
      </c>
      <c r="K2394" s="28" t="s">
        <v>7762</v>
      </c>
      <c r="L2394" s="28" t="s">
        <v>4282</v>
      </c>
      <c r="M2394" s="28" t="s">
        <v>21</v>
      </c>
      <c r="O2394" s="92">
        <v>37802</v>
      </c>
      <c r="P2394" s="28" t="s">
        <v>21</v>
      </c>
      <c r="Q2394" s="26" t="b">
        <v>0</v>
      </c>
      <c r="R2394" s="22">
        <f t="shared" si="40"/>
        <v>160</v>
      </c>
    </row>
    <row r="2395" spans="1:18">
      <c r="A2395" s="26">
        <v>6667</v>
      </c>
      <c r="B2395" s="27">
        <v>37643</v>
      </c>
      <c r="C2395" s="28" t="s">
        <v>7784</v>
      </c>
      <c r="D2395" s="27">
        <v>37643</v>
      </c>
      <c r="E2395" s="28" t="s">
        <v>283</v>
      </c>
      <c r="F2395" s="28" t="s">
        <v>242</v>
      </c>
      <c r="G2395" s="28" t="s">
        <v>20</v>
      </c>
      <c r="H2395" s="28" t="s">
        <v>21</v>
      </c>
      <c r="I2395" s="28" t="s">
        <v>21</v>
      </c>
      <c r="J2395" s="28" t="s">
        <v>7785</v>
      </c>
      <c r="K2395" s="28" t="s">
        <v>7786</v>
      </c>
      <c r="L2395" s="28" t="s">
        <v>4282</v>
      </c>
      <c r="M2395" s="28" t="s">
        <v>21</v>
      </c>
      <c r="O2395" s="92">
        <v>37802</v>
      </c>
      <c r="P2395" s="28" t="s">
        <v>21</v>
      </c>
      <c r="Q2395" s="26" t="b">
        <v>0</v>
      </c>
      <c r="R2395" s="22">
        <f t="shared" si="40"/>
        <v>160</v>
      </c>
    </row>
    <row r="2396" spans="1:18" ht="24">
      <c r="A2396" s="26">
        <v>6688</v>
      </c>
      <c r="B2396" s="27">
        <v>37643</v>
      </c>
      <c r="C2396" s="28" t="s">
        <v>7835</v>
      </c>
      <c r="D2396" s="27">
        <v>37643</v>
      </c>
      <c r="E2396" s="28" t="s">
        <v>283</v>
      </c>
      <c r="F2396" s="28" t="s">
        <v>52</v>
      </c>
      <c r="G2396" s="28" t="s">
        <v>20</v>
      </c>
      <c r="H2396" s="28" t="s">
        <v>21</v>
      </c>
      <c r="I2396" s="28" t="s">
        <v>21</v>
      </c>
      <c r="J2396" s="28" t="s">
        <v>7836</v>
      </c>
      <c r="K2396" s="28" t="s">
        <v>7837</v>
      </c>
      <c r="L2396" s="28" t="s">
        <v>66</v>
      </c>
      <c r="M2396" s="28" t="s">
        <v>21</v>
      </c>
      <c r="O2396" s="92">
        <v>37666</v>
      </c>
      <c r="P2396" s="28" t="s">
        <v>21</v>
      </c>
      <c r="Q2396" s="26" t="b">
        <v>0</v>
      </c>
      <c r="R2396" s="22">
        <f t="shared" si="40"/>
        <v>22</v>
      </c>
    </row>
    <row r="2397" spans="1:18">
      <c r="A2397" s="26">
        <v>6690</v>
      </c>
      <c r="B2397" s="27">
        <v>37643</v>
      </c>
      <c r="C2397" s="28" t="s">
        <v>7841</v>
      </c>
      <c r="D2397" s="27">
        <v>37643</v>
      </c>
      <c r="E2397" s="28" t="s">
        <v>283</v>
      </c>
      <c r="F2397" s="28" t="s">
        <v>85</v>
      </c>
      <c r="G2397" s="28" t="s">
        <v>20</v>
      </c>
      <c r="H2397" s="28" t="s">
        <v>21</v>
      </c>
      <c r="I2397" s="28" t="s">
        <v>21</v>
      </c>
      <c r="J2397" s="28" t="s">
        <v>7842</v>
      </c>
      <c r="K2397" s="28" t="s">
        <v>7843</v>
      </c>
      <c r="L2397" s="28" t="s">
        <v>314</v>
      </c>
      <c r="M2397" s="28" t="s">
        <v>21</v>
      </c>
      <c r="O2397" s="92">
        <v>37768</v>
      </c>
      <c r="P2397" s="28" t="s">
        <v>21</v>
      </c>
      <c r="Q2397" s="26" t="b">
        <v>0</v>
      </c>
      <c r="R2397" s="22">
        <f t="shared" si="40"/>
        <v>126</v>
      </c>
    </row>
    <row r="2398" spans="1:18">
      <c r="A2398" s="26">
        <v>6691</v>
      </c>
      <c r="B2398" s="27">
        <v>37643</v>
      </c>
      <c r="C2398" s="28" t="s">
        <v>7844</v>
      </c>
      <c r="D2398" s="27">
        <v>37643</v>
      </c>
      <c r="E2398" s="28" t="s">
        <v>283</v>
      </c>
      <c r="F2398" s="28" t="s">
        <v>149</v>
      </c>
      <c r="G2398" s="28" t="s">
        <v>20</v>
      </c>
      <c r="H2398" s="28" t="s">
        <v>21</v>
      </c>
      <c r="I2398" s="28" t="s">
        <v>21</v>
      </c>
      <c r="J2398" s="28" t="s">
        <v>7845</v>
      </c>
      <c r="K2398" s="28" t="s">
        <v>3869</v>
      </c>
      <c r="L2398" s="28" t="s">
        <v>4282</v>
      </c>
      <c r="M2398" s="28" t="s">
        <v>314</v>
      </c>
      <c r="O2398" s="92">
        <v>37802</v>
      </c>
      <c r="P2398" s="28" t="s">
        <v>21</v>
      </c>
      <c r="Q2398" s="26" t="b">
        <v>0</v>
      </c>
      <c r="R2398" s="22">
        <f t="shared" si="40"/>
        <v>160</v>
      </c>
    </row>
    <row r="2399" spans="1:18">
      <c r="A2399" s="26">
        <v>6692</v>
      </c>
      <c r="B2399" s="27">
        <v>37643</v>
      </c>
      <c r="C2399" s="28" t="s">
        <v>7846</v>
      </c>
      <c r="D2399" s="27">
        <v>37643</v>
      </c>
      <c r="E2399" s="28" t="s">
        <v>283</v>
      </c>
      <c r="F2399" s="28" t="s">
        <v>85</v>
      </c>
      <c r="G2399" s="28" t="s">
        <v>20</v>
      </c>
      <c r="H2399" s="28" t="s">
        <v>21</v>
      </c>
      <c r="I2399" s="28" t="s">
        <v>21</v>
      </c>
      <c r="J2399" s="28" t="s">
        <v>7847</v>
      </c>
      <c r="K2399" s="28" t="s">
        <v>5525</v>
      </c>
      <c r="L2399" s="28" t="s">
        <v>314</v>
      </c>
      <c r="M2399" s="28" t="s">
        <v>21</v>
      </c>
      <c r="O2399" s="92">
        <v>37735</v>
      </c>
      <c r="P2399" s="28" t="s">
        <v>21</v>
      </c>
      <c r="Q2399" s="26" t="b">
        <v>0</v>
      </c>
      <c r="R2399" s="22">
        <f t="shared" si="40"/>
        <v>93</v>
      </c>
    </row>
    <row r="2400" spans="1:18">
      <c r="A2400" s="26">
        <v>6605</v>
      </c>
      <c r="B2400" s="27">
        <v>37644</v>
      </c>
      <c r="C2400" s="28" t="s">
        <v>7675</v>
      </c>
      <c r="D2400" s="27">
        <v>37644</v>
      </c>
      <c r="E2400" s="28" t="s">
        <v>283</v>
      </c>
      <c r="F2400" s="28" t="s">
        <v>98</v>
      </c>
      <c r="G2400" s="28" t="s">
        <v>20</v>
      </c>
      <c r="H2400" s="28" t="s">
        <v>21</v>
      </c>
      <c r="I2400" s="28" t="s">
        <v>21</v>
      </c>
      <c r="J2400" s="28" t="s">
        <v>7676</v>
      </c>
      <c r="K2400" s="28" t="s">
        <v>7677</v>
      </c>
      <c r="L2400" s="28" t="s">
        <v>314</v>
      </c>
      <c r="M2400" s="28" t="s">
        <v>21</v>
      </c>
      <c r="O2400" s="92">
        <v>37742</v>
      </c>
      <c r="P2400" s="28" t="s">
        <v>21</v>
      </c>
      <c r="Q2400" s="26" t="b">
        <v>0</v>
      </c>
      <c r="R2400" s="22">
        <f t="shared" si="40"/>
        <v>99</v>
      </c>
    </row>
    <row r="2401" spans="1:18">
      <c r="A2401" s="26">
        <v>6607</v>
      </c>
      <c r="B2401" s="27">
        <v>37644</v>
      </c>
      <c r="C2401" s="28" t="s">
        <v>7678</v>
      </c>
      <c r="D2401" s="27">
        <v>37644</v>
      </c>
      <c r="E2401" s="28" t="s">
        <v>1432</v>
      </c>
      <c r="F2401" s="28" t="s">
        <v>124</v>
      </c>
      <c r="G2401" s="28" t="s">
        <v>20</v>
      </c>
      <c r="H2401" s="28" t="s">
        <v>21</v>
      </c>
      <c r="I2401" s="28" t="s">
        <v>21</v>
      </c>
      <c r="J2401" s="28" t="s">
        <v>7114</v>
      </c>
      <c r="K2401" s="28" t="s">
        <v>7679</v>
      </c>
      <c r="L2401" s="28" t="s">
        <v>314</v>
      </c>
      <c r="M2401" s="28" t="s">
        <v>4282</v>
      </c>
      <c r="O2401" s="92">
        <v>38168</v>
      </c>
      <c r="P2401" s="28" t="s">
        <v>31</v>
      </c>
      <c r="Q2401" s="26" t="b">
        <v>0</v>
      </c>
      <c r="R2401" s="22">
        <f t="shared" si="40"/>
        <v>524</v>
      </c>
    </row>
    <row r="2402" spans="1:18">
      <c r="A2402" s="26">
        <v>6609</v>
      </c>
      <c r="B2402" s="27">
        <v>37644</v>
      </c>
      <c r="C2402" s="28" t="s">
        <v>7680</v>
      </c>
      <c r="D2402" s="27">
        <v>37644</v>
      </c>
      <c r="E2402" s="28" t="s">
        <v>283</v>
      </c>
      <c r="F2402" s="28" t="s">
        <v>283</v>
      </c>
      <c r="G2402" s="28" t="s">
        <v>20</v>
      </c>
      <c r="H2402" s="28" t="s">
        <v>21</v>
      </c>
      <c r="I2402" s="28" t="s">
        <v>21</v>
      </c>
      <c r="J2402" s="28" t="s">
        <v>7681</v>
      </c>
      <c r="K2402" s="28" t="s">
        <v>7682</v>
      </c>
      <c r="L2402" s="28" t="s">
        <v>4282</v>
      </c>
      <c r="M2402" s="28" t="s">
        <v>3930</v>
      </c>
      <c r="O2402" s="92">
        <v>37802</v>
      </c>
      <c r="P2402" s="28" t="s">
        <v>21</v>
      </c>
      <c r="Q2402" s="26" t="b">
        <v>0</v>
      </c>
      <c r="R2402" s="22">
        <f t="shared" si="40"/>
        <v>159</v>
      </c>
    </row>
    <row r="2403" spans="1:18">
      <c r="A2403" s="26">
        <v>6647</v>
      </c>
      <c r="B2403" s="27">
        <v>37644</v>
      </c>
      <c r="C2403" s="28" t="s">
        <v>7741</v>
      </c>
      <c r="D2403" s="27">
        <v>37644</v>
      </c>
      <c r="E2403" s="28" t="s">
        <v>283</v>
      </c>
      <c r="F2403" s="28" t="s">
        <v>7742</v>
      </c>
      <c r="G2403" s="28" t="s">
        <v>20</v>
      </c>
      <c r="H2403" s="28" t="s">
        <v>21</v>
      </c>
      <c r="I2403" s="28" t="s">
        <v>21</v>
      </c>
      <c r="J2403" s="28" t="s">
        <v>7743</v>
      </c>
      <c r="K2403" s="28" t="s">
        <v>7744</v>
      </c>
      <c r="L2403" s="28" t="s">
        <v>314</v>
      </c>
      <c r="M2403" s="28" t="s">
        <v>66</v>
      </c>
      <c r="O2403" s="92">
        <v>37742</v>
      </c>
      <c r="P2403" s="28" t="s">
        <v>21</v>
      </c>
      <c r="Q2403" s="26" t="b">
        <v>0</v>
      </c>
      <c r="R2403" s="22">
        <f t="shared" si="40"/>
        <v>99</v>
      </c>
    </row>
    <row r="2404" spans="1:18">
      <c r="A2404" s="26">
        <v>6648</v>
      </c>
      <c r="B2404" s="27">
        <v>37644</v>
      </c>
      <c r="C2404" s="28" t="s">
        <v>7745</v>
      </c>
      <c r="D2404" s="27">
        <v>37644</v>
      </c>
      <c r="E2404" s="28" t="s">
        <v>283</v>
      </c>
      <c r="F2404" s="28" t="s">
        <v>39</v>
      </c>
      <c r="G2404" s="28" t="s">
        <v>20</v>
      </c>
      <c r="H2404" s="28" t="s">
        <v>21</v>
      </c>
      <c r="I2404" s="28" t="s">
        <v>21</v>
      </c>
      <c r="J2404" s="28" t="s">
        <v>7746</v>
      </c>
      <c r="K2404" s="28" t="s">
        <v>7747</v>
      </c>
      <c r="L2404" s="28" t="s">
        <v>66</v>
      </c>
      <c r="M2404" s="28" t="s">
        <v>21</v>
      </c>
      <c r="O2404" s="92">
        <v>37739</v>
      </c>
      <c r="P2404" s="28" t="s">
        <v>21</v>
      </c>
      <c r="Q2404" s="26" t="b">
        <v>0</v>
      </c>
      <c r="R2404" s="22">
        <f t="shared" si="40"/>
        <v>96</v>
      </c>
    </row>
    <row r="2405" spans="1:18">
      <c r="A2405" s="26">
        <v>6652</v>
      </c>
      <c r="B2405" s="27">
        <v>37644</v>
      </c>
      <c r="C2405" s="28" t="s">
        <v>7757</v>
      </c>
      <c r="D2405" s="27">
        <v>37644</v>
      </c>
      <c r="E2405" s="28" t="s">
        <v>283</v>
      </c>
      <c r="F2405" s="28" t="s">
        <v>2413</v>
      </c>
      <c r="G2405" s="28" t="s">
        <v>20</v>
      </c>
      <c r="H2405" s="28" t="s">
        <v>21</v>
      </c>
      <c r="I2405" s="28" t="s">
        <v>21</v>
      </c>
      <c r="J2405" s="28" t="s">
        <v>7758</v>
      </c>
      <c r="K2405" s="28" t="s">
        <v>7759</v>
      </c>
      <c r="L2405" s="28" t="s">
        <v>4282</v>
      </c>
      <c r="M2405" s="28" t="s">
        <v>3930</v>
      </c>
      <c r="O2405" s="92">
        <v>37797</v>
      </c>
      <c r="P2405" s="28" t="s">
        <v>21</v>
      </c>
      <c r="Q2405" s="26" t="b">
        <v>0</v>
      </c>
      <c r="R2405" s="22">
        <f t="shared" si="40"/>
        <v>154</v>
      </c>
    </row>
    <row r="2406" spans="1:18">
      <c r="A2406" s="26">
        <v>6654</v>
      </c>
      <c r="B2406" s="27">
        <v>37644</v>
      </c>
      <c r="C2406" s="28" t="s">
        <v>7763</v>
      </c>
      <c r="D2406" s="27">
        <v>37644</v>
      </c>
      <c r="E2406" s="28" t="s">
        <v>283</v>
      </c>
      <c r="F2406" s="28" t="s">
        <v>3847</v>
      </c>
      <c r="G2406" s="28" t="s">
        <v>20</v>
      </c>
      <c r="H2406" s="28" t="s">
        <v>21</v>
      </c>
      <c r="I2406" s="28" t="s">
        <v>21</v>
      </c>
      <c r="J2406" s="28" t="s">
        <v>7764</v>
      </c>
      <c r="K2406" s="28" t="s">
        <v>7765</v>
      </c>
      <c r="L2406" s="28" t="s">
        <v>314</v>
      </c>
      <c r="M2406" s="28" t="s">
        <v>21</v>
      </c>
      <c r="O2406" s="92">
        <v>37742</v>
      </c>
      <c r="P2406" s="28" t="s">
        <v>21</v>
      </c>
      <c r="Q2406" s="26" t="b">
        <v>0</v>
      </c>
      <c r="R2406" s="22">
        <f t="shared" si="40"/>
        <v>99</v>
      </c>
    </row>
    <row r="2407" spans="1:18" ht="24">
      <c r="A2407" s="26">
        <v>6661</v>
      </c>
      <c r="B2407" s="27">
        <v>37644</v>
      </c>
      <c r="C2407" s="28" t="s">
        <v>7775</v>
      </c>
      <c r="D2407" s="27">
        <v>37644</v>
      </c>
      <c r="E2407" s="28" t="s">
        <v>283</v>
      </c>
      <c r="F2407" s="28" t="s">
        <v>98</v>
      </c>
      <c r="G2407" s="28" t="s">
        <v>20</v>
      </c>
      <c r="H2407" s="28" t="s">
        <v>21</v>
      </c>
      <c r="I2407" s="28" t="s">
        <v>21</v>
      </c>
      <c r="J2407" s="28" t="s">
        <v>7776</v>
      </c>
      <c r="K2407" s="28" t="s">
        <v>7777</v>
      </c>
      <c r="L2407" s="28" t="s">
        <v>314</v>
      </c>
      <c r="M2407" s="28" t="s">
        <v>21</v>
      </c>
      <c r="O2407" s="92">
        <v>37742</v>
      </c>
      <c r="P2407" s="28" t="s">
        <v>21</v>
      </c>
      <c r="Q2407" s="26" t="b">
        <v>0</v>
      </c>
      <c r="R2407" s="22">
        <f t="shared" si="40"/>
        <v>99</v>
      </c>
    </row>
    <row r="2408" spans="1:18" ht="24">
      <c r="A2408" s="26">
        <v>6662</v>
      </c>
      <c r="B2408" s="27">
        <v>37644</v>
      </c>
      <c r="C2408" s="28" t="s">
        <v>7778</v>
      </c>
      <c r="D2408" s="27">
        <v>37644</v>
      </c>
      <c r="E2408" s="28" t="s">
        <v>283</v>
      </c>
      <c r="F2408" s="28" t="s">
        <v>5342</v>
      </c>
      <c r="G2408" s="28" t="s">
        <v>20</v>
      </c>
      <c r="H2408" s="28" t="s">
        <v>21</v>
      </c>
      <c r="I2408" s="28" t="s">
        <v>21</v>
      </c>
      <c r="J2408" s="28" t="s">
        <v>7779</v>
      </c>
      <c r="K2408" s="28" t="s">
        <v>7780</v>
      </c>
      <c r="L2408" s="28" t="s">
        <v>314</v>
      </c>
      <c r="M2408" s="28" t="s">
        <v>21</v>
      </c>
      <c r="O2408" s="92">
        <v>37742</v>
      </c>
      <c r="P2408" s="28" t="s">
        <v>21</v>
      </c>
      <c r="Q2408" s="26" t="b">
        <v>0</v>
      </c>
      <c r="R2408" s="22">
        <f t="shared" si="40"/>
        <v>99</v>
      </c>
    </row>
    <row r="2409" spans="1:18" ht="24">
      <c r="A2409" s="26">
        <v>6770</v>
      </c>
      <c r="B2409" s="27">
        <v>37644</v>
      </c>
      <c r="C2409" s="28" t="s">
        <v>8025</v>
      </c>
      <c r="D2409" s="27">
        <v>37644</v>
      </c>
      <c r="E2409" s="28" t="s">
        <v>283</v>
      </c>
      <c r="F2409" s="28" t="s">
        <v>8022</v>
      </c>
      <c r="G2409" s="28" t="s">
        <v>20</v>
      </c>
      <c r="H2409" s="28" t="s">
        <v>21</v>
      </c>
      <c r="I2409" s="28" t="s">
        <v>21</v>
      </c>
      <c r="J2409" s="28" t="s">
        <v>8026</v>
      </c>
      <c r="K2409" s="28" t="s">
        <v>8027</v>
      </c>
      <c r="L2409" s="28" t="s">
        <v>66</v>
      </c>
      <c r="M2409" s="28" t="s">
        <v>21</v>
      </c>
      <c r="O2409" s="92">
        <v>37739</v>
      </c>
      <c r="P2409" s="28" t="s">
        <v>21</v>
      </c>
      <c r="Q2409" s="26" t="b">
        <v>0</v>
      </c>
      <c r="R2409" s="22">
        <f t="shared" si="40"/>
        <v>96</v>
      </c>
    </row>
    <row r="2410" spans="1:18" ht="24">
      <c r="A2410" s="26">
        <v>6771</v>
      </c>
      <c r="B2410" s="27">
        <v>37644</v>
      </c>
      <c r="C2410" s="28" t="s">
        <v>8028</v>
      </c>
      <c r="D2410" s="27">
        <v>37644</v>
      </c>
      <c r="E2410" s="28" t="s">
        <v>283</v>
      </c>
      <c r="F2410" s="28" t="s">
        <v>8022</v>
      </c>
      <c r="G2410" s="28" t="s">
        <v>20</v>
      </c>
      <c r="H2410" s="28" t="s">
        <v>21</v>
      </c>
      <c r="I2410" s="28" t="s">
        <v>21</v>
      </c>
      <c r="J2410" s="28" t="s">
        <v>8029</v>
      </c>
      <c r="K2410" s="28" t="s">
        <v>8030</v>
      </c>
      <c r="L2410" s="28" t="s">
        <v>66</v>
      </c>
      <c r="M2410" s="28" t="s">
        <v>21</v>
      </c>
      <c r="O2410" s="92">
        <v>37736</v>
      </c>
      <c r="P2410" s="28" t="s">
        <v>21</v>
      </c>
      <c r="Q2410" s="26" t="b">
        <v>0</v>
      </c>
      <c r="R2410" s="22">
        <f t="shared" si="40"/>
        <v>93</v>
      </c>
    </row>
    <row r="2411" spans="1:18">
      <c r="A2411" s="26">
        <v>6649</v>
      </c>
      <c r="B2411" s="27">
        <v>37645</v>
      </c>
      <c r="C2411" s="28" t="s">
        <v>7748</v>
      </c>
      <c r="D2411" s="27">
        <v>37645</v>
      </c>
      <c r="E2411" s="28" t="s">
        <v>283</v>
      </c>
      <c r="F2411" s="28" t="s">
        <v>39</v>
      </c>
      <c r="G2411" s="28" t="s">
        <v>20</v>
      </c>
      <c r="H2411" s="28" t="s">
        <v>21</v>
      </c>
      <c r="I2411" s="28" t="s">
        <v>21</v>
      </c>
      <c r="J2411" s="28" t="s">
        <v>7749</v>
      </c>
      <c r="K2411" s="28" t="s">
        <v>7241</v>
      </c>
      <c r="L2411" s="28" t="s">
        <v>66</v>
      </c>
      <c r="M2411" s="28" t="s">
        <v>21</v>
      </c>
      <c r="O2411" s="92">
        <v>37663</v>
      </c>
      <c r="P2411" s="28" t="s">
        <v>21</v>
      </c>
      <c r="Q2411" s="26" t="b">
        <v>0</v>
      </c>
      <c r="R2411" s="22">
        <f t="shared" si="40"/>
        <v>17</v>
      </c>
    </row>
    <row r="2412" spans="1:18" ht="24">
      <c r="A2412" s="26">
        <v>6650</v>
      </c>
      <c r="B2412" s="27">
        <v>37645</v>
      </c>
      <c r="C2412" s="28" t="s">
        <v>7750</v>
      </c>
      <c r="D2412" s="27">
        <v>37645</v>
      </c>
      <c r="E2412" s="28" t="s">
        <v>283</v>
      </c>
      <c r="F2412" s="28" t="s">
        <v>39</v>
      </c>
      <c r="G2412" s="28" t="s">
        <v>20</v>
      </c>
      <c r="H2412" s="28" t="s">
        <v>21</v>
      </c>
      <c r="I2412" s="28" t="s">
        <v>21</v>
      </c>
      <c r="J2412" s="28" t="s">
        <v>7751</v>
      </c>
      <c r="K2412" s="28" t="s">
        <v>7752</v>
      </c>
      <c r="L2412" s="28" t="s">
        <v>314</v>
      </c>
      <c r="M2412" s="28" t="s">
        <v>66</v>
      </c>
      <c r="O2412" s="92">
        <v>37742</v>
      </c>
      <c r="P2412" s="28" t="s">
        <v>21</v>
      </c>
      <c r="Q2412" s="26" t="b">
        <v>0</v>
      </c>
      <c r="R2412" s="22">
        <f t="shared" si="40"/>
        <v>98</v>
      </c>
    </row>
    <row r="2413" spans="1:18">
      <c r="A2413" s="26">
        <v>6651</v>
      </c>
      <c r="B2413" s="27">
        <v>37645</v>
      </c>
      <c r="C2413" s="28" t="s">
        <v>7753</v>
      </c>
      <c r="D2413" s="27">
        <v>37645</v>
      </c>
      <c r="E2413" s="28" t="s">
        <v>283</v>
      </c>
      <c r="F2413" s="28" t="s">
        <v>7754</v>
      </c>
      <c r="G2413" s="28" t="s">
        <v>20</v>
      </c>
      <c r="H2413" s="28" t="s">
        <v>21</v>
      </c>
      <c r="I2413" s="28" t="s">
        <v>21</v>
      </c>
      <c r="J2413" s="28" t="s">
        <v>7755</v>
      </c>
      <c r="K2413" s="28" t="s">
        <v>7756</v>
      </c>
      <c r="L2413" s="28" t="s">
        <v>66</v>
      </c>
      <c r="M2413" s="28" t="s">
        <v>21</v>
      </c>
      <c r="O2413" s="92">
        <v>37728</v>
      </c>
      <c r="P2413" s="28" t="s">
        <v>21</v>
      </c>
      <c r="Q2413" s="26" t="b">
        <v>0</v>
      </c>
      <c r="R2413" s="22">
        <f t="shared" si="40"/>
        <v>84</v>
      </c>
    </row>
    <row r="2414" spans="1:18">
      <c r="A2414" s="26">
        <v>6658</v>
      </c>
      <c r="B2414" s="27">
        <v>37645</v>
      </c>
      <c r="C2414" s="28" t="s">
        <v>7769</v>
      </c>
      <c r="D2414" s="27">
        <v>37645</v>
      </c>
      <c r="E2414" s="28" t="s">
        <v>283</v>
      </c>
      <c r="F2414" s="28" t="s">
        <v>741</v>
      </c>
      <c r="G2414" s="28" t="s">
        <v>20</v>
      </c>
      <c r="H2414" s="28" t="s">
        <v>21</v>
      </c>
      <c r="I2414" s="28" t="s">
        <v>21</v>
      </c>
      <c r="J2414" s="28" t="s">
        <v>7770</v>
      </c>
      <c r="K2414" s="28" t="s">
        <v>7771</v>
      </c>
      <c r="L2414" s="28" t="s">
        <v>4282</v>
      </c>
      <c r="M2414" s="28" t="s">
        <v>3930</v>
      </c>
      <c r="O2414" s="92">
        <v>37802</v>
      </c>
      <c r="P2414" s="28" t="s">
        <v>21</v>
      </c>
      <c r="Q2414" s="26" t="b">
        <v>0</v>
      </c>
      <c r="R2414" s="22">
        <f t="shared" si="40"/>
        <v>158</v>
      </c>
    </row>
    <row r="2415" spans="1:18" ht="24">
      <c r="A2415" s="26">
        <v>6671</v>
      </c>
      <c r="B2415" s="27">
        <v>37645</v>
      </c>
      <c r="C2415" s="28" t="s">
        <v>7787</v>
      </c>
      <c r="D2415" s="27">
        <v>37645</v>
      </c>
      <c r="E2415" s="28" t="s">
        <v>283</v>
      </c>
      <c r="F2415" s="28" t="s">
        <v>306</v>
      </c>
      <c r="G2415" s="28" t="s">
        <v>20</v>
      </c>
      <c r="H2415" s="28" t="s">
        <v>21</v>
      </c>
      <c r="I2415" s="28" t="s">
        <v>21</v>
      </c>
      <c r="J2415" s="28" t="s">
        <v>7788</v>
      </c>
      <c r="K2415" s="28" t="s">
        <v>7789</v>
      </c>
      <c r="L2415" s="28" t="s">
        <v>314</v>
      </c>
      <c r="M2415" s="28" t="s">
        <v>21</v>
      </c>
      <c r="O2415" s="92">
        <v>37742</v>
      </c>
      <c r="P2415" s="28" t="s">
        <v>21</v>
      </c>
      <c r="Q2415" s="26" t="b">
        <v>0</v>
      </c>
      <c r="R2415" s="22">
        <f t="shared" si="40"/>
        <v>98</v>
      </c>
    </row>
    <row r="2416" spans="1:18">
      <c r="A2416" s="26">
        <v>6672</v>
      </c>
      <c r="B2416" s="27">
        <v>37645</v>
      </c>
      <c r="C2416" s="28" t="s">
        <v>7790</v>
      </c>
      <c r="D2416" s="27">
        <v>37645</v>
      </c>
      <c r="E2416" s="28" t="s">
        <v>283</v>
      </c>
      <c r="F2416" s="28" t="s">
        <v>7754</v>
      </c>
      <c r="G2416" s="28" t="s">
        <v>20</v>
      </c>
      <c r="H2416" s="28" t="s">
        <v>21</v>
      </c>
      <c r="I2416" s="28" t="s">
        <v>21</v>
      </c>
      <c r="J2416" s="28" t="s">
        <v>7791</v>
      </c>
      <c r="K2416" s="28" t="s">
        <v>7792</v>
      </c>
      <c r="L2416" s="28" t="s">
        <v>66</v>
      </c>
      <c r="M2416" s="28" t="s">
        <v>21</v>
      </c>
      <c r="O2416" s="92">
        <v>37739</v>
      </c>
      <c r="P2416" s="28" t="s">
        <v>21</v>
      </c>
      <c r="Q2416" s="26" t="b">
        <v>0</v>
      </c>
      <c r="R2416" s="22">
        <f t="shared" si="40"/>
        <v>95</v>
      </c>
    </row>
    <row r="2417" spans="1:18">
      <c r="A2417" s="26">
        <v>6673</v>
      </c>
      <c r="B2417" s="27">
        <v>37645</v>
      </c>
      <c r="C2417" s="28" t="s">
        <v>7793</v>
      </c>
      <c r="D2417" s="27">
        <v>37645</v>
      </c>
      <c r="E2417" s="28" t="s">
        <v>283</v>
      </c>
      <c r="F2417" s="28" t="s">
        <v>1830</v>
      </c>
      <c r="G2417" s="28" t="s">
        <v>20</v>
      </c>
      <c r="H2417" s="28" t="s">
        <v>21</v>
      </c>
      <c r="I2417" s="28" t="s">
        <v>21</v>
      </c>
      <c r="J2417" s="28" t="s">
        <v>7794</v>
      </c>
      <c r="K2417" s="28" t="s">
        <v>7795</v>
      </c>
      <c r="L2417" s="28" t="s">
        <v>314</v>
      </c>
      <c r="M2417" s="28" t="s">
        <v>21</v>
      </c>
      <c r="O2417" s="92">
        <v>37742</v>
      </c>
      <c r="P2417" s="28" t="s">
        <v>21</v>
      </c>
      <c r="Q2417" s="26" t="b">
        <v>0</v>
      </c>
      <c r="R2417" s="22">
        <f t="shared" si="40"/>
        <v>98</v>
      </c>
    </row>
    <row r="2418" spans="1:18">
      <c r="A2418" s="26">
        <v>6674</v>
      </c>
      <c r="B2418" s="27">
        <v>37645</v>
      </c>
      <c r="C2418" s="28" t="s">
        <v>7796</v>
      </c>
      <c r="D2418" s="27">
        <v>37645</v>
      </c>
      <c r="E2418" s="28" t="s">
        <v>283</v>
      </c>
      <c r="F2418" s="28" t="s">
        <v>306</v>
      </c>
      <c r="G2418" s="28" t="s">
        <v>20</v>
      </c>
      <c r="H2418" s="28" t="s">
        <v>21</v>
      </c>
      <c r="I2418" s="28" t="s">
        <v>21</v>
      </c>
      <c r="J2418" s="28" t="s">
        <v>7797</v>
      </c>
      <c r="K2418" s="28" t="s">
        <v>7798</v>
      </c>
      <c r="L2418" s="28" t="s">
        <v>314</v>
      </c>
      <c r="M2418" s="28" t="s">
        <v>21</v>
      </c>
      <c r="O2418" s="92">
        <v>37742</v>
      </c>
      <c r="P2418" s="28" t="s">
        <v>21</v>
      </c>
      <c r="Q2418" s="26" t="b">
        <v>0</v>
      </c>
      <c r="R2418" s="22">
        <f t="shared" si="40"/>
        <v>98</v>
      </c>
    </row>
    <row r="2419" spans="1:18" ht="24">
      <c r="A2419" s="26">
        <v>6676</v>
      </c>
      <c r="B2419" s="27">
        <v>37645</v>
      </c>
      <c r="C2419" s="28" t="s">
        <v>7801</v>
      </c>
      <c r="D2419" s="27">
        <v>37645</v>
      </c>
      <c r="E2419" s="28" t="s">
        <v>283</v>
      </c>
      <c r="F2419" s="28" t="s">
        <v>52</v>
      </c>
      <c r="G2419" s="28" t="s">
        <v>20</v>
      </c>
      <c r="H2419" s="28" t="s">
        <v>21</v>
      </c>
      <c r="I2419" s="28" t="s">
        <v>21</v>
      </c>
      <c r="J2419" s="28" t="s">
        <v>7802</v>
      </c>
      <c r="K2419" s="28" t="s">
        <v>7803</v>
      </c>
      <c r="L2419" s="28" t="s">
        <v>66</v>
      </c>
      <c r="M2419" s="28" t="s">
        <v>21</v>
      </c>
      <c r="O2419" s="92">
        <v>37739</v>
      </c>
      <c r="P2419" s="28" t="s">
        <v>21</v>
      </c>
      <c r="Q2419" s="26" t="b">
        <v>0</v>
      </c>
      <c r="R2419" s="22">
        <f t="shared" si="40"/>
        <v>95</v>
      </c>
    </row>
    <row r="2420" spans="1:18" ht="24">
      <c r="A2420" s="26">
        <v>6677</v>
      </c>
      <c r="B2420" s="27">
        <v>37645</v>
      </c>
      <c r="C2420" s="28" t="s">
        <v>7804</v>
      </c>
      <c r="D2420" s="27">
        <v>37645</v>
      </c>
      <c r="E2420" s="28" t="s">
        <v>283</v>
      </c>
      <c r="F2420" s="28" t="s">
        <v>85</v>
      </c>
      <c r="G2420" s="28" t="s">
        <v>20</v>
      </c>
      <c r="H2420" s="28" t="s">
        <v>21</v>
      </c>
      <c r="I2420" s="28" t="s">
        <v>21</v>
      </c>
      <c r="J2420" s="28" t="s">
        <v>7805</v>
      </c>
      <c r="K2420" s="28" t="s">
        <v>7806</v>
      </c>
      <c r="L2420" s="28" t="s">
        <v>314</v>
      </c>
      <c r="M2420" s="28" t="s">
        <v>21</v>
      </c>
      <c r="O2420" s="92">
        <v>37742</v>
      </c>
      <c r="P2420" s="28" t="s">
        <v>21</v>
      </c>
      <c r="Q2420" s="26" t="b">
        <v>0</v>
      </c>
      <c r="R2420" s="22">
        <f t="shared" si="40"/>
        <v>98</v>
      </c>
    </row>
    <row r="2421" spans="1:18" ht="24">
      <c r="A2421" s="26">
        <v>6678</v>
      </c>
      <c r="B2421" s="27">
        <v>37645</v>
      </c>
      <c r="C2421" s="28" t="s">
        <v>7807</v>
      </c>
      <c r="D2421" s="27">
        <v>37645</v>
      </c>
      <c r="E2421" s="28" t="s">
        <v>283</v>
      </c>
      <c r="F2421" s="28" t="s">
        <v>19</v>
      </c>
      <c r="G2421" s="28" t="s">
        <v>20</v>
      </c>
      <c r="H2421" s="28" t="s">
        <v>21</v>
      </c>
      <c r="I2421" s="28" t="s">
        <v>21</v>
      </c>
      <c r="J2421" s="28" t="s">
        <v>7808</v>
      </c>
      <c r="K2421" s="28" t="s">
        <v>7809</v>
      </c>
      <c r="L2421" s="28" t="s">
        <v>66</v>
      </c>
      <c r="M2421" s="28" t="s">
        <v>21</v>
      </c>
      <c r="O2421" s="92">
        <v>37747</v>
      </c>
      <c r="P2421" s="28" t="s">
        <v>21</v>
      </c>
      <c r="Q2421" s="26" t="b">
        <v>0</v>
      </c>
      <c r="R2421" s="22">
        <f t="shared" si="40"/>
        <v>103</v>
      </c>
    </row>
    <row r="2422" spans="1:18" ht="24">
      <c r="A2422" s="26">
        <v>6679</v>
      </c>
      <c r="B2422" s="27">
        <v>37645</v>
      </c>
      <c r="C2422" s="28" t="s">
        <v>7810</v>
      </c>
      <c r="D2422" s="27">
        <v>37645</v>
      </c>
      <c r="E2422" s="28" t="s">
        <v>283</v>
      </c>
      <c r="F2422" s="28" t="s">
        <v>85</v>
      </c>
      <c r="G2422" s="28" t="s">
        <v>20</v>
      </c>
      <c r="H2422" s="28" t="s">
        <v>21</v>
      </c>
      <c r="I2422" s="28" t="s">
        <v>21</v>
      </c>
      <c r="J2422" s="28" t="s">
        <v>7811</v>
      </c>
      <c r="K2422" s="28" t="s">
        <v>7812</v>
      </c>
      <c r="L2422" s="28" t="s">
        <v>314</v>
      </c>
      <c r="M2422" s="28" t="s">
        <v>21</v>
      </c>
      <c r="O2422" s="92">
        <v>37742</v>
      </c>
      <c r="P2422" s="28" t="s">
        <v>21</v>
      </c>
      <c r="Q2422" s="26" t="b">
        <v>0</v>
      </c>
      <c r="R2422" s="22">
        <f t="shared" si="40"/>
        <v>98</v>
      </c>
    </row>
    <row r="2423" spans="1:18" ht="24">
      <c r="A2423" s="26">
        <v>6680</v>
      </c>
      <c r="B2423" s="27">
        <v>37645</v>
      </c>
      <c r="C2423" s="28" t="s">
        <v>7813</v>
      </c>
      <c r="D2423" s="27">
        <v>37645</v>
      </c>
      <c r="E2423" s="28" t="s">
        <v>283</v>
      </c>
      <c r="F2423" s="28" t="s">
        <v>242</v>
      </c>
      <c r="G2423" s="28" t="s">
        <v>20</v>
      </c>
      <c r="H2423" s="28" t="s">
        <v>21</v>
      </c>
      <c r="I2423" s="28" t="s">
        <v>21</v>
      </c>
      <c r="J2423" s="28" t="s">
        <v>7814</v>
      </c>
      <c r="K2423" s="28" t="s">
        <v>7815</v>
      </c>
      <c r="L2423" s="28" t="s">
        <v>66</v>
      </c>
      <c r="M2423" s="28" t="s">
        <v>21</v>
      </c>
      <c r="O2423" s="92">
        <v>37739</v>
      </c>
      <c r="P2423" s="28" t="s">
        <v>21</v>
      </c>
      <c r="Q2423" s="26" t="b">
        <v>0</v>
      </c>
      <c r="R2423" s="22">
        <f t="shared" si="40"/>
        <v>95</v>
      </c>
    </row>
    <row r="2424" spans="1:18" ht="24">
      <c r="A2424" s="26">
        <v>6681</v>
      </c>
      <c r="B2424" s="27">
        <v>37645</v>
      </c>
      <c r="C2424" s="28" t="s">
        <v>7816</v>
      </c>
      <c r="D2424" s="27">
        <v>37645</v>
      </c>
      <c r="E2424" s="28" t="s">
        <v>283</v>
      </c>
      <c r="F2424" s="28" t="s">
        <v>533</v>
      </c>
      <c r="G2424" s="28" t="s">
        <v>20</v>
      </c>
      <c r="H2424" s="28" t="s">
        <v>21</v>
      </c>
      <c r="I2424" s="28" t="s">
        <v>21</v>
      </c>
      <c r="J2424" s="28" t="s">
        <v>7817</v>
      </c>
      <c r="K2424" s="28" t="s">
        <v>7818</v>
      </c>
      <c r="L2424" s="28" t="s">
        <v>314</v>
      </c>
      <c r="M2424" s="28" t="s">
        <v>21</v>
      </c>
      <c r="O2424" s="92">
        <v>37742</v>
      </c>
      <c r="P2424" s="28" t="s">
        <v>21</v>
      </c>
      <c r="Q2424" s="26" t="b">
        <v>0</v>
      </c>
      <c r="R2424" s="22">
        <f t="shared" si="40"/>
        <v>98</v>
      </c>
    </row>
    <row r="2425" spans="1:18">
      <c r="A2425" s="26">
        <v>6682</v>
      </c>
      <c r="B2425" s="27">
        <v>37645</v>
      </c>
      <c r="C2425" s="28" t="s">
        <v>7819</v>
      </c>
      <c r="D2425" s="27">
        <v>37645</v>
      </c>
      <c r="E2425" s="28" t="s">
        <v>283</v>
      </c>
      <c r="F2425" s="28" t="s">
        <v>56</v>
      </c>
      <c r="G2425" s="28" t="s">
        <v>20</v>
      </c>
      <c r="H2425" s="28" t="s">
        <v>21</v>
      </c>
      <c r="I2425" s="28" t="s">
        <v>21</v>
      </c>
      <c r="J2425" s="28" t="s">
        <v>7820</v>
      </c>
      <c r="K2425" s="28" t="s">
        <v>7821</v>
      </c>
      <c r="L2425" s="28" t="s">
        <v>66</v>
      </c>
      <c r="M2425" s="28" t="s">
        <v>21</v>
      </c>
      <c r="O2425" s="92">
        <v>37728</v>
      </c>
      <c r="P2425" s="28" t="s">
        <v>21</v>
      </c>
      <c r="Q2425" s="26" t="b">
        <v>0</v>
      </c>
      <c r="R2425" s="22">
        <f t="shared" si="40"/>
        <v>84</v>
      </c>
    </row>
    <row r="2426" spans="1:18" ht="24">
      <c r="A2426" s="26">
        <v>6683</v>
      </c>
      <c r="B2426" s="27">
        <v>37645</v>
      </c>
      <c r="C2426" s="28" t="s">
        <v>7822</v>
      </c>
      <c r="D2426" s="27">
        <v>37645</v>
      </c>
      <c r="E2426" s="28" t="s">
        <v>283</v>
      </c>
      <c r="F2426" s="28" t="s">
        <v>7823</v>
      </c>
      <c r="G2426" s="28" t="s">
        <v>20</v>
      </c>
      <c r="H2426" s="28" t="s">
        <v>21</v>
      </c>
      <c r="I2426" s="28" t="s">
        <v>21</v>
      </c>
      <c r="J2426" s="28" t="s">
        <v>7824</v>
      </c>
      <c r="K2426" s="28" t="s">
        <v>7825</v>
      </c>
      <c r="L2426" s="28" t="s">
        <v>314</v>
      </c>
      <c r="M2426" s="28" t="s">
        <v>21</v>
      </c>
      <c r="O2426" s="92">
        <v>37742</v>
      </c>
      <c r="P2426" s="28" t="s">
        <v>21</v>
      </c>
      <c r="Q2426" s="26" t="b">
        <v>0</v>
      </c>
      <c r="R2426" s="22">
        <f t="shared" si="40"/>
        <v>98</v>
      </c>
    </row>
    <row r="2427" spans="1:18">
      <c r="A2427" s="26">
        <v>6684</v>
      </c>
      <c r="B2427" s="27">
        <v>37645</v>
      </c>
      <c r="C2427" s="28" t="s">
        <v>7826</v>
      </c>
      <c r="D2427" s="27">
        <v>37645</v>
      </c>
      <c r="E2427" s="28" t="s">
        <v>283</v>
      </c>
      <c r="F2427" s="28" t="s">
        <v>56</v>
      </c>
      <c r="G2427" s="28" t="s">
        <v>20</v>
      </c>
      <c r="H2427" s="28" t="s">
        <v>21</v>
      </c>
      <c r="I2427" s="28" t="s">
        <v>21</v>
      </c>
      <c r="J2427" s="28" t="s">
        <v>7827</v>
      </c>
      <c r="K2427" s="28" t="s">
        <v>7828</v>
      </c>
      <c r="L2427" s="28" t="s">
        <v>66</v>
      </c>
      <c r="M2427" s="28" t="s">
        <v>21</v>
      </c>
      <c r="O2427" s="92">
        <v>37733</v>
      </c>
      <c r="P2427" s="28" t="s">
        <v>21</v>
      </c>
      <c r="Q2427" s="26" t="b">
        <v>0</v>
      </c>
      <c r="R2427" s="22">
        <f t="shared" si="40"/>
        <v>89</v>
      </c>
    </row>
    <row r="2428" spans="1:18">
      <c r="A2428" s="26">
        <v>6685</v>
      </c>
      <c r="B2428" s="27">
        <v>37645</v>
      </c>
      <c r="C2428" s="28" t="s">
        <v>7829</v>
      </c>
      <c r="D2428" s="27">
        <v>37645</v>
      </c>
      <c r="E2428" s="28" t="s">
        <v>283</v>
      </c>
      <c r="F2428" s="28" t="s">
        <v>56</v>
      </c>
      <c r="G2428" s="28" t="s">
        <v>20</v>
      </c>
      <c r="H2428" s="28" t="s">
        <v>21</v>
      </c>
      <c r="I2428" s="28" t="s">
        <v>21</v>
      </c>
      <c r="J2428" s="28" t="s">
        <v>7830</v>
      </c>
      <c r="K2428" s="28" t="s">
        <v>7831</v>
      </c>
      <c r="L2428" s="28" t="s">
        <v>314</v>
      </c>
      <c r="M2428" s="28" t="s">
        <v>21</v>
      </c>
      <c r="O2428" s="92">
        <v>37742</v>
      </c>
      <c r="P2428" s="28" t="s">
        <v>21</v>
      </c>
      <c r="Q2428" s="26" t="b">
        <v>0</v>
      </c>
      <c r="R2428" s="22">
        <f t="shared" si="40"/>
        <v>98</v>
      </c>
    </row>
    <row r="2429" spans="1:18" ht="24">
      <c r="A2429" s="26">
        <v>6687</v>
      </c>
      <c r="B2429" s="27">
        <v>37645</v>
      </c>
      <c r="C2429" s="28" t="s">
        <v>7832</v>
      </c>
      <c r="D2429" s="27">
        <v>37645</v>
      </c>
      <c r="E2429" s="28" t="s">
        <v>283</v>
      </c>
      <c r="F2429" s="28" t="s">
        <v>3283</v>
      </c>
      <c r="G2429" s="28" t="s">
        <v>20</v>
      </c>
      <c r="H2429" s="28" t="s">
        <v>21</v>
      </c>
      <c r="I2429" s="28" t="s">
        <v>21</v>
      </c>
      <c r="J2429" s="28" t="s">
        <v>7833</v>
      </c>
      <c r="K2429" s="28" t="s">
        <v>7834</v>
      </c>
      <c r="L2429" s="28" t="s">
        <v>314</v>
      </c>
      <c r="M2429" s="28" t="s">
        <v>21</v>
      </c>
      <c r="O2429" s="92">
        <v>37809</v>
      </c>
      <c r="P2429" s="28" t="s">
        <v>21</v>
      </c>
      <c r="Q2429" s="26" t="b">
        <v>0</v>
      </c>
      <c r="R2429" s="22">
        <f t="shared" si="40"/>
        <v>165</v>
      </c>
    </row>
    <row r="2430" spans="1:18">
      <c r="A2430" s="26">
        <v>6689</v>
      </c>
      <c r="B2430" s="27">
        <v>37645</v>
      </c>
      <c r="C2430" s="28" t="s">
        <v>7838</v>
      </c>
      <c r="D2430" s="27">
        <v>37645</v>
      </c>
      <c r="E2430" s="28" t="s">
        <v>283</v>
      </c>
      <c r="F2430" s="28" t="s">
        <v>85</v>
      </c>
      <c r="G2430" s="28" t="s">
        <v>20</v>
      </c>
      <c r="H2430" s="28" t="s">
        <v>21</v>
      </c>
      <c r="I2430" s="28" t="s">
        <v>21</v>
      </c>
      <c r="J2430" s="28" t="s">
        <v>7839</v>
      </c>
      <c r="K2430" s="28" t="s">
        <v>7840</v>
      </c>
      <c r="L2430" s="28" t="s">
        <v>314</v>
      </c>
      <c r="M2430" s="28" t="s">
        <v>21</v>
      </c>
      <c r="O2430" s="92">
        <v>37742</v>
      </c>
      <c r="P2430" s="28" t="s">
        <v>21</v>
      </c>
      <c r="Q2430" s="26" t="b">
        <v>0</v>
      </c>
      <c r="R2430" s="22">
        <f t="shared" si="40"/>
        <v>98</v>
      </c>
    </row>
    <row r="2431" spans="1:18" ht="24">
      <c r="A2431" s="26">
        <v>6710</v>
      </c>
      <c r="B2431" s="27">
        <v>37645</v>
      </c>
      <c r="C2431" s="28" t="s">
        <v>7879</v>
      </c>
      <c r="D2431" s="27">
        <v>37645</v>
      </c>
      <c r="E2431" s="28" t="s">
        <v>283</v>
      </c>
      <c r="F2431" s="28" t="s">
        <v>395</v>
      </c>
      <c r="G2431" s="28" t="s">
        <v>20</v>
      </c>
      <c r="H2431" s="28" t="s">
        <v>21</v>
      </c>
      <c r="I2431" s="28" t="s">
        <v>21</v>
      </c>
      <c r="J2431" s="28" t="s">
        <v>7880</v>
      </c>
      <c r="K2431" s="28" t="s">
        <v>7881</v>
      </c>
      <c r="L2431" s="28" t="s">
        <v>66</v>
      </c>
      <c r="M2431" s="28" t="s">
        <v>21</v>
      </c>
      <c r="O2431" s="92">
        <v>37722</v>
      </c>
      <c r="P2431" s="28" t="s">
        <v>21</v>
      </c>
      <c r="Q2431" s="26" t="b">
        <v>0</v>
      </c>
      <c r="R2431" s="22">
        <f t="shared" si="40"/>
        <v>78</v>
      </c>
    </row>
    <row r="2432" spans="1:18" ht="24">
      <c r="A2432" s="26">
        <v>6711</v>
      </c>
      <c r="B2432" s="27">
        <v>37645</v>
      </c>
      <c r="C2432" s="28" t="s">
        <v>7882</v>
      </c>
      <c r="D2432" s="27">
        <v>37645</v>
      </c>
      <c r="E2432" s="28" t="s">
        <v>283</v>
      </c>
      <c r="F2432" s="28" t="s">
        <v>3847</v>
      </c>
      <c r="G2432" s="28" t="s">
        <v>20</v>
      </c>
      <c r="H2432" s="28" t="s">
        <v>21</v>
      </c>
      <c r="I2432" s="28" t="s">
        <v>21</v>
      </c>
      <c r="J2432" s="28" t="s">
        <v>7883</v>
      </c>
      <c r="K2432" s="28" t="s">
        <v>7884</v>
      </c>
      <c r="L2432" s="28" t="s">
        <v>66</v>
      </c>
      <c r="M2432" s="28" t="s">
        <v>21</v>
      </c>
      <c r="O2432" s="92">
        <v>37721</v>
      </c>
      <c r="P2432" s="28" t="s">
        <v>21</v>
      </c>
      <c r="Q2432" s="26" t="b">
        <v>0</v>
      </c>
      <c r="R2432" s="22">
        <f t="shared" si="40"/>
        <v>77</v>
      </c>
    </row>
    <row r="2433" spans="1:18">
      <c r="A2433" s="26">
        <v>6732</v>
      </c>
      <c r="B2433" s="27">
        <v>37645</v>
      </c>
      <c r="C2433" s="28" t="s">
        <v>7931</v>
      </c>
      <c r="D2433" s="27">
        <v>37635</v>
      </c>
      <c r="E2433" s="28" t="s">
        <v>7932</v>
      </c>
      <c r="F2433" s="28" t="s">
        <v>455</v>
      </c>
      <c r="G2433" s="28" t="s">
        <v>20</v>
      </c>
      <c r="H2433" s="28" t="s">
        <v>71</v>
      </c>
      <c r="I2433" s="28" t="s">
        <v>72</v>
      </c>
      <c r="J2433" s="28" t="s">
        <v>7933</v>
      </c>
      <c r="K2433" s="28" t="s">
        <v>21</v>
      </c>
      <c r="L2433" s="28" t="s">
        <v>314</v>
      </c>
      <c r="M2433" s="28" t="s">
        <v>21</v>
      </c>
      <c r="O2433" s="92">
        <v>37663</v>
      </c>
      <c r="P2433" s="28" t="s">
        <v>31</v>
      </c>
      <c r="Q2433" s="26" t="b">
        <v>0</v>
      </c>
      <c r="R2433" s="22">
        <f t="shared" si="40"/>
        <v>17</v>
      </c>
    </row>
    <row r="2434" spans="1:18">
      <c r="A2434" s="26">
        <v>6736</v>
      </c>
      <c r="B2434" s="27">
        <v>37645</v>
      </c>
      <c r="C2434" s="28" t="s">
        <v>7936</v>
      </c>
      <c r="D2434" s="27">
        <v>37645</v>
      </c>
      <c r="E2434" s="28" t="s">
        <v>283</v>
      </c>
      <c r="F2434" s="28" t="s">
        <v>741</v>
      </c>
      <c r="G2434" s="28" t="s">
        <v>20</v>
      </c>
      <c r="H2434" s="28" t="s">
        <v>21</v>
      </c>
      <c r="I2434" s="28" t="s">
        <v>21</v>
      </c>
      <c r="J2434" s="28" t="s">
        <v>7937</v>
      </c>
      <c r="K2434" s="28" t="s">
        <v>7938</v>
      </c>
      <c r="L2434" s="28" t="s">
        <v>4282</v>
      </c>
      <c r="M2434" s="28" t="s">
        <v>21</v>
      </c>
      <c r="O2434" s="92">
        <v>37802</v>
      </c>
      <c r="P2434" s="28" t="s">
        <v>21</v>
      </c>
      <c r="Q2434" s="26" t="b">
        <v>0</v>
      </c>
      <c r="R2434" s="22">
        <f t="shared" si="40"/>
        <v>158</v>
      </c>
    </row>
    <row r="2435" spans="1:18" ht="24">
      <c r="A2435" s="26">
        <v>6750</v>
      </c>
      <c r="B2435" s="27">
        <v>37645</v>
      </c>
      <c r="C2435" s="28" t="s">
        <v>7973</v>
      </c>
      <c r="D2435" s="27">
        <v>37645</v>
      </c>
      <c r="E2435" s="28" t="s">
        <v>283</v>
      </c>
      <c r="F2435" s="28" t="s">
        <v>149</v>
      </c>
      <c r="G2435" s="28" t="s">
        <v>20</v>
      </c>
      <c r="H2435" s="28" t="s">
        <v>21</v>
      </c>
      <c r="I2435" s="28" t="s">
        <v>21</v>
      </c>
      <c r="J2435" s="28" t="s">
        <v>7974</v>
      </c>
      <c r="K2435" s="28" t="s">
        <v>7975</v>
      </c>
      <c r="L2435" s="28" t="s">
        <v>4282</v>
      </c>
      <c r="M2435" s="28" t="s">
        <v>21</v>
      </c>
      <c r="O2435" s="92">
        <v>37802</v>
      </c>
      <c r="P2435" s="28" t="s">
        <v>21</v>
      </c>
      <c r="Q2435" s="26" t="b">
        <v>0</v>
      </c>
      <c r="R2435" s="22">
        <f t="shared" si="40"/>
        <v>158</v>
      </c>
    </row>
    <row r="2436" spans="1:18" ht="24">
      <c r="A2436" s="26">
        <v>6755</v>
      </c>
      <c r="B2436" s="27">
        <v>37645</v>
      </c>
      <c r="C2436" s="28" t="s">
        <v>7988</v>
      </c>
      <c r="D2436" s="27">
        <v>37645</v>
      </c>
      <c r="E2436" s="28" t="s">
        <v>283</v>
      </c>
      <c r="F2436" s="28" t="s">
        <v>741</v>
      </c>
      <c r="G2436" s="28" t="s">
        <v>20</v>
      </c>
      <c r="H2436" s="28" t="s">
        <v>21</v>
      </c>
      <c r="I2436" s="28" t="s">
        <v>21</v>
      </c>
      <c r="J2436" s="28" t="s">
        <v>7989</v>
      </c>
      <c r="K2436" s="28" t="s">
        <v>7990</v>
      </c>
      <c r="L2436" s="28" t="s">
        <v>4282</v>
      </c>
      <c r="M2436" s="28" t="s">
        <v>21</v>
      </c>
      <c r="O2436" s="92">
        <v>37802</v>
      </c>
      <c r="P2436" s="28" t="s">
        <v>21</v>
      </c>
      <c r="Q2436" s="26" t="b">
        <v>0</v>
      </c>
      <c r="R2436" s="22">
        <f t="shared" si="40"/>
        <v>158</v>
      </c>
    </row>
    <row r="2437" spans="1:18">
      <c r="A2437" s="26">
        <v>6757</v>
      </c>
      <c r="B2437" s="27">
        <v>37645</v>
      </c>
      <c r="C2437" s="28" t="s">
        <v>7994</v>
      </c>
      <c r="D2437" s="27">
        <v>37645</v>
      </c>
      <c r="E2437" s="28" t="s">
        <v>283</v>
      </c>
      <c r="F2437" s="28" t="s">
        <v>27</v>
      </c>
      <c r="G2437" s="28" t="s">
        <v>20</v>
      </c>
      <c r="H2437" s="28" t="s">
        <v>21</v>
      </c>
      <c r="I2437" s="28" t="s">
        <v>21</v>
      </c>
      <c r="J2437" s="28" t="s">
        <v>7995</v>
      </c>
      <c r="K2437" s="28" t="s">
        <v>7996</v>
      </c>
      <c r="L2437" s="28" t="s">
        <v>4282</v>
      </c>
      <c r="M2437" s="28" t="s">
        <v>21</v>
      </c>
      <c r="O2437" s="92">
        <v>37802</v>
      </c>
      <c r="P2437" s="28" t="s">
        <v>21</v>
      </c>
      <c r="Q2437" s="26" t="b">
        <v>0</v>
      </c>
      <c r="R2437" s="22">
        <f t="shared" si="40"/>
        <v>158</v>
      </c>
    </row>
    <row r="2438" spans="1:18" ht="24">
      <c r="A2438" s="26">
        <v>6760</v>
      </c>
      <c r="B2438" s="27">
        <v>37645</v>
      </c>
      <c r="C2438" s="28" t="s">
        <v>8003</v>
      </c>
      <c r="D2438" s="27">
        <v>37645</v>
      </c>
      <c r="E2438" s="28" t="s">
        <v>283</v>
      </c>
      <c r="F2438" s="28" t="s">
        <v>56</v>
      </c>
      <c r="G2438" s="28" t="s">
        <v>20</v>
      </c>
      <c r="H2438" s="28" t="s">
        <v>21</v>
      </c>
      <c r="I2438" s="28" t="s">
        <v>21</v>
      </c>
      <c r="J2438" s="28" t="s">
        <v>8004</v>
      </c>
      <c r="K2438" s="28" t="s">
        <v>8005</v>
      </c>
      <c r="L2438" s="28" t="s">
        <v>314</v>
      </c>
      <c r="M2438" s="28" t="s">
        <v>66</v>
      </c>
      <c r="O2438" s="92">
        <v>37742</v>
      </c>
      <c r="P2438" s="28" t="s">
        <v>21</v>
      </c>
      <c r="Q2438" s="26" t="b">
        <v>0</v>
      </c>
      <c r="R2438" s="22">
        <f t="shared" si="40"/>
        <v>98</v>
      </c>
    </row>
    <row r="2439" spans="1:18" ht="24">
      <c r="A2439" s="26">
        <v>6764</v>
      </c>
      <c r="B2439" s="27">
        <v>37645</v>
      </c>
      <c r="C2439" s="28" t="s">
        <v>8009</v>
      </c>
      <c r="D2439" s="27">
        <v>37645</v>
      </c>
      <c r="E2439" s="28" t="s">
        <v>283</v>
      </c>
      <c r="F2439" s="28" t="s">
        <v>85</v>
      </c>
      <c r="G2439" s="28" t="s">
        <v>20</v>
      </c>
      <c r="H2439" s="28" t="s">
        <v>21</v>
      </c>
      <c r="I2439" s="28" t="s">
        <v>21</v>
      </c>
      <c r="J2439" s="28" t="s">
        <v>8010</v>
      </c>
      <c r="K2439" s="28" t="s">
        <v>8011</v>
      </c>
      <c r="L2439" s="28" t="s">
        <v>4282</v>
      </c>
      <c r="M2439" s="28" t="s">
        <v>21</v>
      </c>
      <c r="O2439" s="92">
        <v>37742</v>
      </c>
      <c r="P2439" s="28" t="s">
        <v>21</v>
      </c>
      <c r="Q2439" s="26" t="b">
        <v>0</v>
      </c>
      <c r="R2439" s="22">
        <f t="shared" si="40"/>
        <v>98</v>
      </c>
    </row>
    <row r="2440" spans="1:18">
      <c r="A2440" s="26">
        <v>6766</v>
      </c>
      <c r="B2440" s="27">
        <v>37645</v>
      </c>
      <c r="C2440" s="28" t="s">
        <v>8015</v>
      </c>
      <c r="D2440" s="27">
        <v>37645</v>
      </c>
      <c r="E2440" s="28" t="s">
        <v>283</v>
      </c>
      <c r="F2440" s="28" t="s">
        <v>145</v>
      </c>
      <c r="G2440" s="28" t="s">
        <v>20</v>
      </c>
      <c r="H2440" s="28" t="s">
        <v>21</v>
      </c>
      <c r="I2440" s="28" t="s">
        <v>21</v>
      </c>
      <c r="J2440" s="28" t="s">
        <v>8016</v>
      </c>
      <c r="K2440" s="28" t="s">
        <v>8017</v>
      </c>
      <c r="L2440" s="28" t="s">
        <v>4282</v>
      </c>
      <c r="M2440" s="28" t="s">
        <v>21</v>
      </c>
      <c r="O2440" s="92">
        <v>37742</v>
      </c>
      <c r="P2440" s="28" t="s">
        <v>21</v>
      </c>
      <c r="Q2440" s="26" t="b">
        <v>0</v>
      </c>
      <c r="R2440" s="22">
        <f t="shared" si="40"/>
        <v>98</v>
      </c>
    </row>
    <row r="2441" spans="1:18" ht="24">
      <c r="A2441" s="26">
        <v>6772</v>
      </c>
      <c r="B2441" s="27">
        <v>37645</v>
      </c>
      <c r="C2441" s="28" t="s">
        <v>8031</v>
      </c>
      <c r="D2441" s="27">
        <v>37645</v>
      </c>
      <c r="E2441" s="28" t="s">
        <v>283</v>
      </c>
      <c r="F2441" s="28" t="s">
        <v>8022</v>
      </c>
      <c r="G2441" s="28" t="s">
        <v>20</v>
      </c>
      <c r="H2441" s="28" t="s">
        <v>21</v>
      </c>
      <c r="I2441" s="28" t="s">
        <v>21</v>
      </c>
      <c r="J2441" s="28" t="s">
        <v>8032</v>
      </c>
      <c r="K2441" s="28" t="s">
        <v>8033</v>
      </c>
      <c r="L2441" s="28" t="s">
        <v>66</v>
      </c>
      <c r="M2441" s="28" t="s">
        <v>21</v>
      </c>
      <c r="O2441" s="92">
        <v>37721</v>
      </c>
      <c r="P2441" s="28" t="s">
        <v>21</v>
      </c>
      <c r="Q2441" s="26" t="b">
        <v>0</v>
      </c>
      <c r="R2441" s="22">
        <f t="shared" si="40"/>
        <v>77</v>
      </c>
    </row>
    <row r="2442" spans="1:18" ht="24">
      <c r="A2442" s="26">
        <v>6816</v>
      </c>
      <c r="B2442" s="27">
        <v>37645</v>
      </c>
      <c r="C2442" s="28" t="s">
        <v>8134</v>
      </c>
      <c r="D2442" s="27">
        <v>37645</v>
      </c>
      <c r="E2442" s="28" t="s">
        <v>283</v>
      </c>
      <c r="F2442" s="28" t="s">
        <v>149</v>
      </c>
      <c r="G2442" s="28" t="s">
        <v>20</v>
      </c>
      <c r="H2442" s="28" t="s">
        <v>21</v>
      </c>
      <c r="I2442" s="28" t="s">
        <v>21</v>
      </c>
      <c r="J2442" s="28" t="s">
        <v>8135</v>
      </c>
      <c r="K2442" s="28" t="s">
        <v>8136</v>
      </c>
      <c r="L2442" s="28" t="s">
        <v>4282</v>
      </c>
      <c r="M2442" s="28" t="s">
        <v>21</v>
      </c>
      <c r="O2442" s="92">
        <v>37742</v>
      </c>
      <c r="P2442" s="28" t="s">
        <v>21</v>
      </c>
      <c r="Q2442" s="26" t="b">
        <v>0</v>
      </c>
      <c r="R2442" s="22">
        <f t="shared" si="40"/>
        <v>98</v>
      </c>
    </row>
    <row r="2443" spans="1:18">
      <c r="A2443" s="26">
        <v>6817</v>
      </c>
      <c r="B2443" s="27">
        <v>37645</v>
      </c>
      <c r="C2443" s="28" t="s">
        <v>8137</v>
      </c>
      <c r="D2443" s="27">
        <v>37645</v>
      </c>
      <c r="E2443" s="28" t="s">
        <v>283</v>
      </c>
      <c r="F2443" s="28" t="s">
        <v>1039</v>
      </c>
      <c r="G2443" s="28" t="s">
        <v>20</v>
      </c>
      <c r="H2443" s="28" t="s">
        <v>21</v>
      </c>
      <c r="I2443" s="28" t="s">
        <v>21</v>
      </c>
      <c r="J2443" s="28" t="s">
        <v>8138</v>
      </c>
      <c r="K2443" s="28" t="s">
        <v>8139</v>
      </c>
      <c r="L2443" s="28" t="s">
        <v>4282</v>
      </c>
      <c r="M2443" s="28" t="s">
        <v>21</v>
      </c>
      <c r="O2443" s="92">
        <v>37802</v>
      </c>
      <c r="P2443" s="28" t="s">
        <v>21</v>
      </c>
      <c r="Q2443" s="26" t="b">
        <v>0</v>
      </c>
      <c r="R2443" s="22">
        <f t="shared" si="40"/>
        <v>158</v>
      </c>
    </row>
    <row r="2444" spans="1:18" ht="24">
      <c r="A2444" s="26">
        <v>6820</v>
      </c>
      <c r="B2444" s="27">
        <v>37645</v>
      </c>
      <c r="C2444" s="28" t="s">
        <v>8140</v>
      </c>
      <c r="D2444" s="27">
        <v>37645</v>
      </c>
      <c r="E2444" s="28" t="s">
        <v>283</v>
      </c>
      <c r="F2444" s="28" t="s">
        <v>149</v>
      </c>
      <c r="G2444" s="28" t="s">
        <v>20</v>
      </c>
      <c r="H2444" s="28" t="s">
        <v>21</v>
      </c>
      <c r="I2444" s="28" t="s">
        <v>21</v>
      </c>
      <c r="J2444" s="28" t="s">
        <v>8141</v>
      </c>
      <c r="K2444" s="28" t="s">
        <v>8142</v>
      </c>
      <c r="L2444" s="28" t="s">
        <v>4282</v>
      </c>
      <c r="M2444" s="28" t="s">
        <v>21</v>
      </c>
      <c r="O2444" s="92">
        <v>37802</v>
      </c>
      <c r="P2444" s="28" t="s">
        <v>21</v>
      </c>
      <c r="Q2444" s="26" t="b">
        <v>0</v>
      </c>
      <c r="R2444" s="22">
        <f t="shared" si="40"/>
        <v>158</v>
      </c>
    </row>
    <row r="2445" spans="1:18">
      <c r="A2445" s="26">
        <v>6821</v>
      </c>
      <c r="B2445" s="27">
        <v>37645</v>
      </c>
      <c r="C2445" s="28" t="s">
        <v>8143</v>
      </c>
      <c r="D2445" s="27">
        <v>37645</v>
      </c>
      <c r="E2445" s="28" t="s">
        <v>283</v>
      </c>
      <c r="F2445" s="28" t="s">
        <v>5342</v>
      </c>
      <c r="G2445" s="28" t="s">
        <v>20</v>
      </c>
      <c r="H2445" s="28" t="s">
        <v>21</v>
      </c>
      <c r="I2445" s="28" t="s">
        <v>21</v>
      </c>
      <c r="J2445" s="28" t="s">
        <v>8144</v>
      </c>
      <c r="K2445" s="28" t="s">
        <v>8145</v>
      </c>
      <c r="L2445" s="28" t="s">
        <v>4282</v>
      </c>
      <c r="M2445" s="28" t="s">
        <v>21</v>
      </c>
      <c r="O2445" s="92">
        <v>37802</v>
      </c>
      <c r="P2445" s="28" t="s">
        <v>21</v>
      </c>
      <c r="Q2445" s="26" t="b">
        <v>0</v>
      </c>
      <c r="R2445" s="22">
        <f t="shared" si="40"/>
        <v>158</v>
      </c>
    </row>
    <row r="2446" spans="1:18">
      <c r="A2446" s="26">
        <v>6693</v>
      </c>
      <c r="B2446" s="27">
        <v>37648</v>
      </c>
      <c r="C2446" s="28" t="s">
        <v>7848</v>
      </c>
      <c r="D2446" s="27">
        <v>37648</v>
      </c>
      <c r="E2446" s="28" t="s">
        <v>283</v>
      </c>
      <c r="F2446" s="28" t="s">
        <v>98</v>
      </c>
      <c r="G2446" s="28" t="s">
        <v>20</v>
      </c>
      <c r="H2446" s="28" t="s">
        <v>21</v>
      </c>
      <c r="I2446" s="28" t="s">
        <v>21</v>
      </c>
      <c r="J2446" s="28" t="s">
        <v>7849</v>
      </c>
      <c r="K2446" s="28" t="s">
        <v>7850</v>
      </c>
      <c r="L2446" s="28" t="s">
        <v>4282</v>
      </c>
      <c r="M2446" s="28" t="s">
        <v>3930</v>
      </c>
      <c r="O2446" s="92">
        <v>37802</v>
      </c>
      <c r="P2446" s="28" t="s">
        <v>21</v>
      </c>
      <c r="Q2446" s="26" t="b">
        <v>0</v>
      </c>
      <c r="R2446" s="22">
        <f t="shared" si="40"/>
        <v>155</v>
      </c>
    </row>
    <row r="2447" spans="1:18" ht="24">
      <c r="A2447" s="26">
        <v>6694</v>
      </c>
      <c r="B2447" s="27">
        <v>37648</v>
      </c>
      <c r="C2447" s="28" t="s">
        <v>7851</v>
      </c>
      <c r="D2447" s="27">
        <v>37648</v>
      </c>
      <c r="E2447" s="28" t="s">
        <v>283</v>
      </c>
      <c r="F2447" s="28" t="s">
        <v>39</v>
      </c>
      <c r="G2447" s="28" t="s">
        <v>20</v>
      </c>
      <c r="H2447" s="28" t="s">
        <v>21</v>
      </c>
      <c r="I2447" s="28" t="s">
        <v>21</v>
      </c>
      <c r="J2447" s="28" t="s">
        <v>7852</v>
      </c>
      <c r="K2447" s="28" t="s">
        <v>7853</v>
      </c>
      <c r="L2447" s="28" t="s">
        <v>4282</v>
      </c>
      <c r="M2447" s="28" t="s">
        <v>7650</v>
      </c>
      <c r="O2447" s="92">
        <v>37802</v>
      </c>
      <c r="P2447" s="28" t="s">
        <v>21</v>
      </c>
      <c r="Q2447" s="26" t="b">
        <v>0</v>
      </c>
      <c r="R2447" s="22">
        <f t="shared" si="40"/>
        <v>155</v>
      </c>
    </row>
    <row r="2448" spans="1:18">
      <c r="A2448" s="26">
        <v>6698</v>
      </c>
      <c r="B2448" s="27">
        <v>37648</v>
      </c>
      <c r="C2448" s="28" t="s">
        <v>7854</v>
      </c>
      <c r="D2448" s="27">
        <v>37648</v>
      </c>
      <c r="E2448" s="28" t="s">
        <v>283</v>
      </c>
      <c r="F2448" s="28" t="s">
        <v>52</v>
      </c>
      <c r="G2448" s="28" t="s">
        <v>20</v>
      </c>
      <c r="H2448" s="28" t="s">
        <v>21</v>
      </c>
      <c r="I2448" s="28" t="s">
        <v>21</v>
      </c>
      <c r="J2448" s="28" t="s">
        <v>7855</v>
      </c>
      <c r="K2448" s="28" t="s">
        <v>7856</v>
      </c>
      <c r="L2448" s="28" t="s">
        <v>66</v>
      </c>
      <c r="M2448" s="28" t="s">
        <v>21</v>
      </c>
      <c r="O2448" s="92">
        <v>37720</v>
      </c>
      <c r="P2448" s="28" t="s">
        <v>21</v>
      </c>
      <c r="Q2448" s="26" t="b">
        <v>0</v>
      </c>
      <c r="R2448" s="22">
        <f t="shared" si="40"/>
        <v>73</v>
      </c>
    </row>
    <row r="2449" spans="1:18">
      <c r="A2449" s="26">
        <v>6699</v>
      </c>
      <c r="B2449" s="27">
        <v>37648</v>
      </c>
      <c r="C2449" s="28" t="s">
        <v>7857</v>
      </c>
      <c r="D2449" s="27">
        <v>37648</v>
      </c>
      <c r="E2449" s="28" t="s">
        <v>283</v>
      </c>
      <c r="F2449" s="28" t="s">
        <v>395</v>
      </c>
      <c r="G2449" s="28" t="s">
        <v>20</v>
      </c>
      <c r="H2449" s="28" t="s">
        <v>21</v>
      </c>
      <c r="I2449" s="28" t="s">
        <v>21</v>
      </c>
      <c r="J2449" s="28" t="s">
        <v>7858</v>
      </c>
      <c r="K2449" s="28" t="s">
        <v>7859</v>
      </c>
      <c r="L2449" s="28" t="s">
        <v>66</v>
      </c>
      <c r="M2449" s="28" t="s">
        <v>21</v>
      </c>
      <c r="O2449" s="92">
        <v>37733</v>
      </c>
      <c r="P2449" s="28" t="s">
        <v>21</v>
      </c>
      <c r="Q2449" s="26" t="b">
        <v>0</v>
      </c>
      <c r="R2449" s="22">
        <f t="shared" si="40"/>
        <v>86</v>
      </c>
    </row>
    <row r="2450" spans="1:18">
      <c r="A2450" s="26">
        <v>6700</v>
      </c>
      <c r="B2450" s="27">
        <v>37648</v>
      </c>
      <c r="C2450" s="28" t="s">
        <v>7860</v>
      </c>
      <c r="D2450" s="27">
        <v>37648</v>
      </c>
      <c r="E2450" s="28" t="s">
        <v>283</v>
      </c>
      <c r="F2450" s="28" t="s">
        <v>39</v>
      </c>
      <c r="G2450" s="28" t="s">
        <v>20</v>
      </c>
      <c r="H2450" s="28" t="s">
        <v>21</v>
      </c>
      <c r="I2450" s="28" t="s">
        <v>21</v>
      </c>
      <c r="J2450" s="28" t="s">
        <v>7861</v>
      </c>
      <c r="K2450" s="28" t="s">
        <v>7862</v>
      </c>
      <c r="L2450" s="28" t="s">
        <v>314</v>
      </c>
      <c r="M2450" s="28" t="s">
        <v>66</v>
      </c>
      <c r="O2450" s="92">
        <v>37742</v>
      </c>
      <c r="P2450" s="28" t="s">
        <v>21</v>
      </c>
      <c r="Q2450" s="26" t="b">
        <v>0</v>
      </c>
      <c r="R2450" s="22">
        <f t="shared" si="40"/>
        <v>95</v>
      </c>
    </row>
    <row r="2451" spans="1:18">
      <c r="A2451" s="26">
        <v>6701</v>
      </c>
      <c r="B2451" s="27">
        <v>37648</v>
      </c>
      <c r="C2451" s="28" t="s">
        <v>7863</v>
      </c>
      <c r="D2451" s="27">
        <v>37648</v>
      </c>
      <c r="E2451" s="28" t="s">
        <v>283</v>
      </c>
      <c r="F2451" s="28" t="s">
        <v>39</v>
      </c>
      <c r="G2451" s="28" t="s">
        <v>20</v>
      </c>
      <c r="H2451" s="28" t="s">
        <v>21</v>
      </c>
      <c r="I2451" s="28" t="s">
        <v>21</v>
      </c>
      <c r="J2451" s="28" t="s">
        <v>7864</v>
      </c>
      <c r="K2451" s="28" t="s">
        <v>7865</v>
      </c>
      <c r="L2451" s="28" t="s">
        <v>66</v>
      </c>
      <c r="M2451" s="28" t="s">
        <v>21</v>
      </c>
      <c r="O2451" s="92">
        <v>37719</v>
      </c>
      <c r="P2451" s="28" t="s">
        <v>21</v>
      </c>
      <c r="Q2451" s="26" t="b">
        <v>0</v>
      </c>
      <c r="R2451" s="22">
        <f t="shared" si="40"/>
        <v>71</v>
      </c>
    </row>
    <row r="2452" spans="1:18">
      <c r="A2452" s="26">
        <v>6704</v>
      </c>
      <c r="B2452" s="27">
        <v>37648</v>
      </c>
      <c r="C2452" s="28" t="s">
        <v>7866</v>
      </c>
      <c r="D2452" s="27">
        <v>37648</v>
      </c>
      <c r="E2452" s="28" t="s">
        <v>283</v>
      </c>
      <c r="F2452" s="28" t="s">
        <v>2597</v>
      </c>
      <c r="G2452" s="28" t="s">
        <v>20</v>
      </c>
      <c r="H2452" s="28" t="s">
        <v>21</v>
      </c>
      <c r="I2452" s="28" t="s">
        <v>21</v>
      </c>
      <c r="J2452" s="28" t="s">
        <v>7867</v>
      </c>
      <c r="K2452" s="28" t="s">
        <v>7465</v>
      </c>
      <c r="L2452" s="28" t="s">
        <v>66</v>
      </c>
      <c r="M2452" s="28" t="s">
        <v>21</v>
      </c>
      <c r="O2452" s="92">
        <v>37739</v>
      </c>
      <c r="P2452" s="28" t="s">
        <v>21</v>
      </c>
      <c r="Q2452" s="26" t="b">
        <v>0</v>
      </c>
      <c r="R2452" s="22">
        <f t="shared" si="40"/>
        <v>92</v>
      </c>
    </row>
    <row r="2453" spans="1:18">
      <c r="A2453" s="26">
        <v>6706</v>
      </c>
      <c r="B2453" s="27">
        <v>37648</v>
      </c>
      <c r="C2453" s="28" t="s">
        <v>7868</v>
      </c>
      <c r="D2453" s="27">
        <v>37648</v>
      </c>
      <c r="E2453" s="28" t="s">
        <v>283</v>
      </c>
      <c r="F2453" s="28" t="s">
        <v>39</v>
      </c>
      <c r="G2453" s="28" t="s">
        <v>20</v>
      </c>
      <c r="H2453" s="28" t="s">
        <v>21</v>
      </c>
      <c r="I2453" s="28" t="s">
        <v>21</v>
      </c>
      <c r="J2453" s="28" t="s">
        <v>7869</v>
      </c>
      <c r="K2453" s="28" t="s">
        <v>7870</v>
      </c>
      <c r="L2453" s="28" t="s">
        <v>66</v>
      </c>
      <c r="M2453" s="28" t="s">
        <v>21</v>
      </c>
      <c r="O2453" s="92">
        <v>37722</v>
      </c>
      <c r="P2453" s="28" t="s">
        <v>21</v>
      </c>
      <c r="Q2453" s="26" t="b">
        <v>0</v>
      </c>
      <c r="R2453" s="22">
        <f t="shared" si="40"/>
        <v>75</v>
      </c>
    </row>
    <row r="2454" spans="1:18" ht="24">
      <c r="A2454" s="26">
        <v>6707</v>
      </c>
      <c r="B2454" s="27">
        <v>37648</v>
      </c>
      <c r="C2454" s="28" t="s">
        <v>7871</v>
      </c>
      <c r="D2454" s="27">
        <v>37648</v>
      </c>
      <c r="E2454" s="28" t="s">
        <v>283</v>
      </c>
      <c r="F2454" s="28" t="s">
        <v>5342</v>
      </c>
      <c r="G2454" s="28" t="s">
        <v>20</v>
      </c>
      <c r="H2454" s="28" t="s">
        <v>21</v>
      </c>
      <c r="I2454" s="28" t="s">
        <v>21</v>
      </c>
      <c r="J2454" s="28" t="s">
        <v>7872</v>
      </c>
      <c r="K2454" s="28" t="s">
        <v>7780</v>
      </c>
      <c r="L2454" s="28" t="s">
        <v>314</v>
      </c>
      <c r="M2454" s="28" t="s">
        <v>21</v>
      </c>
      <c r="O2454" s="92">
        <v>37728</v>
      </c>
      <c r="P2454" s="28" t="s">
        <v>21</v>
      </c>
      <c r="Q2454" s="26" t="b">
        <v>0</v>
      </c>
      <c r="R2454" s="22">
        <f t="shared" si="40"/>
        <v>81</v>
      </c>
    </row>
    <row r="2455" spans="1:18" ht="24">
      <c r="A2455" s="26">
        <v>6708</v>
      </c>
      <c r="B2455" s="27">
        <v>37648</v>
      </c>
      <c r="C2455" s="28" t="s">
        <v>7873</v>
      </c>
      <c r="D2455" s="27">
        <v>37648</v>
      </c>
      <c r="E2455" s="28" t="s">
        <v>283</v>
      </c>
      <c r="F2455" s="28" t="s">
        <v>70</v>
      </c>
      <c r="G2455" s="28" t="s">
        <v>20</v>
      </c>
      <c r="H2455" s="28" t="s">
        <v>71</v>
      </c>
      <c r="I2455" s="28" t="s">
        <v>72</v>
      </c>
      <c r="J2455" s="28" t="s">
        <v>7874</v>
      </c>
      <c r="K2455" s="28" t="s">
        <v>7875</v>
      </c>
      <c r="L2455" s="28" t="s">
        <v>314</v>
      </c>
      <c r="M2455" s="28" t="s">
        <v>21</v>
      </c>
      <c r="O2455" s="92">
        <v>37742</v>
      </c>
      <c r="P2455" s="28" t="s">
        <v>21</v>
      </c>
      <c r="Q2455" s="26" t="b">
        <v>0</v>
      </c>
      <c r="R2455" s="22">
        <f t="shared" si="40"/>
        <v>95</v>
      </c>
    </row>
    <row r="2456" spans="1:18">
      <c r="A2456" s="26">
        <v>6709</v>
      </c>
      <c r="B2456" s="27">
        <v>37648</v>
      </c>
      <c r="C2456" s="28" t="s">
        <v>7876</v>
      </c>
      <c r="D2456" s="27">
        <v>37648</v>
      </c>
      <c r="E2456" s="28" t="s">
        <v>283</v>
      </c>
      <c r="F2456" s="28" t="s">
        <v>124</v>
      </c>
      <c r="G2456" s="28" t="s">
        <v>20</v>
      </c>
      <c r="H2456" s="28" t="s">
        <v>21</v>
      </c>
      <c r="I2456" s="28" t="s">
        <v>21</v>
      </c>
      <c r="J2456" s="28" t="s">
        <v>7877</v>
      </c>
      <c r="K2456" s="28" t="s">
        <v>7878</v>
      </c>
      <c r="L2456" s="28" t="s">
        <v>314</v>
      </c>
      <c r="M2456" s="28" t="s">
        <v>21</v>
      </c>
      <c r="O2456" s="92">
        <v>37742</v>
      </c>
      <c r="P2456" s="28" t="s">
        <v>21</v>
      </c>
      <c r="Q2456" s="26" t="b">
        <v>0</v>
      </c>
      <c r="R2456" s="22">
        <f t="shared" si="40"/>
        <v>95</v>
      </c>
    </row>
    <row r="2457" spans="1:18">
      <c r="A2457" s="26">
        <v>6712</v>
      </c>
      <c r="B2457" s="27">
        <v>37648</v>
      </c>
      <c r="C2457" s="28" t="s">
        <v>7885</v>
      </c>
      <c r="D2457" s="27">
        <v>37648</v>
      </c>
      <c r="E2457" s="28" t="s">
        <v>283</v>
      </c>
      <c r="F2457" s="28" t="s">
        <v>85</v>
      </c>
      <c r="G2457" s="28" t="s">
        <v>20</v>
      </c>
      <c r="H2457" s="28" t="s">
        <v>21</v>
      </c>
      <c r="I2457" s="28" t="s">
        <v>21</v>
      </c>
      <c r="J2457" s="28" t="s">
        <v>7886</v>
      </c>
      <c r="K2457" s="28" t="s">
        <v>7887</v>
      </c>
      <c r="L2457" s="28" t="s">
        <v>66</v>
      </c>
      <c r="M2457" s="28" t="s">
        <v>21</v>
      </c>
      <c r="O2457" s="92">
        <v>37725</v>
      </c>
      <c r="P2457" s="28" t="s">
        <v>21</v>
      </c>
      <c r="Q2457" s="26" t="b">
        <v>0</v>
      </c>
      <c r="R2457" s="22">
        <f t="shared" ref="R2457:R2520" si="41">IF(O2457=" ", " ", INT(YEARFRAC(O2457, B2457)*365))</f>
        <v>78</v>
      </c>
    </row>
    <row r="2458" spans="1:18" ht="24">
      <c r="A2458" s="26">
        <v>6713</v>
      </c>
      <c r="B2458" s="27">
        <v>37648</v>
      </c>
      <c r="C2458" s="28" t="s">
        <v>7888</v>
      </c>
      <c r="D2458" s="27">
        <v>37648</v>
      </c>
      <c r="E2458" s="28" t="s">
        <v>283</v>
      </c>
      <c r="F2458" s="28" t="s">
        <v>145</v>
      </c>
      <c r="G2458" s="28" t="s">
        <v>20</v>
      </c>
      <c r="H2458" s="28" t="s">
        <v>21</v>
      </c>
      <c r="I2458" s="28" t="s">
        <v>21</v>
      </c>
      <c r="J2458" s="28" t="s">
        <v>7889</v>
      </c>
      <c r="K2458" s="28" t="s">
        <v>7890</v>
      </c>
      <c r="L2458" s="28" t="s">
        <v>314</v>
      </c>
      <c r="M2458" s="28" t="s">
        <v>66</v>
      </c>
      <c r="O2458" s="92">
        <v>37735</v>
      </c>
      <c r="P2458" s="28" t="s">
        <v>21</v>
      </c>
      <c r="Q2458" s="26" t="b">
        <v>0</v>
      </c>
      <c r="R2458" s="22">
        <f t="shared" si="41"/>
        <v>88</v>
      </c>
    </row>
    <row r="2459" spans="1:18" ht="24">
      <c r="A2459" s="26">
        <v>6715</v>
      </c>
      <c r="B2459" s="27">
        <v>37648</v>
      </c>
      <c r="C2459" s="28" t="s">
        <v>7891</v>
      </c>
      <c r="D2459" s="27">
        <v>37648</v>
      </c>
      <c r="E2459" s="28" t="s">
        <v>283</v>
      </c>
      <c r="F2459" s="28" t="s">
        <v>741</v>
      </c>
      <c r="G2459" s="28" t="s">
        <v>20</v>
      </c>
      <c r="H2459" s="28" t="s">
        <v>21</v>
      </c>
      <c r="I2459" s="28" t="s">
        <v>21</v>
      </c>
      <c r="J2459" s="28" t="s">
        <v>7892</v>
      </c>
      <c r="K2459" s="28" t="s">
        <v>7893</v>
      </c>
      <c r="L2459" s="28" t="s">
        <v>66</v>
      </c>
      <c r="M2459" s="28" t="s">
        <v>21</v>
      </c>
      <c r="O2459" s="92">
        <v>37728</v>
      </c>
      <c r="P2459" s="28" t="s">
        <v>21</v>
      </c>
      <c r="Q2459" s="26" t="b">
        <v>0</v>
      </c>
      <c r="R2459" s="22">
        <f t="shared" si="41"/>
        <v>81</v>
      </c>
    </row>
    <row r="2460" spans="1:18" ht="24">
      <c r="A2460" s="26">
        <v>6716</v>
      </c>
      <c r="B2460" s="27">
        <v>37648</v>
      </c>
      <c r="C2460" s="28" t="s">
        <v>7894</v>
      </c>
      <c r="D2460" s="27">
        <v>37648</v>
      </c>
      <c r="E2460" s="28" t="s">
        <v>283</v>
      </c>
      <c r="F2460" s="28" t="s">
        <v>19</v>
      </c>
      <c r="G2460" s="28" t="s">
        <v>20</v>
      </c>
      <c r="H2460" s="28" t="s">
        <v>21</v>
      </c>
      <c r="I2460" s="28" t="s">
        <v>21</v>
      </c>
      <c r="J2460" s="28" t="s">
        <v>7895</v>
      </c>
      <c r="K2460" s="28" t="s">
        <v>7896</v>
      </c>
      <c r="L2460" s="28" t="s">
        <v>66</v>
      </c>
      <c r="M2460" s="28" t="s">
        <v>21</v>
      </c>
      <c r="O2460" s="92">
        <v>37733</v>
      </c>
      <c r="P2460" s="28" t="s">
        <v>21</v>
      </c>
      <c r="Q2460" s="26" t="b">
        <v>0</v>
      </c>
      <c r="R2460" s="22">
        <f t="shared" si="41"/>
        <v>86</v>
      </c>
    </row>
    <row r="2461" spans="1:18">
      <c r="A2461" s="26">
        <v>6717</v>
      </c>
      <c r="B2461" s="27">
        <v>37648</v>
      </c>
      <c r="C2461" s="28" t="s">
        <v>7897</v>
      </c>
      <c r="D2461" s="27">
        <v>37648</v>
      </c>
      <c r="E2461" s="28" t="s">
        <v>283</v>
      </c>
      <c r="F2461" s="28" t="s">
        <v>56</v>
      </c>
      <c r="G2461" s="28" t="s">
        <v>20</v>
      </c>
      <c r="H2461" s="28" t="s">
        <v>21</v>
      </c>
      <c r="I2461" s="28" t="s">
        <v>21</v>
      </c>
      <c r="J2461" s="28" t="s">
        <v>7898</v>
      </c>
      <c r="K2461" s="28" t="s">
        <v>7899</v>
      </c>
      <c r="L2461" s="28" t="s">
        <v>66</v>
      </c>
      <c r="M2461" s="28" t="s">
        <v>21</v>
      </c>
      <c r="O2461" s="92">
        <v>37714</v>
      </c>
      <c r="P2461" s="28" t="s">
        <v>21</v>
      </c>
      <c r="Q2461" s="26" t="b">
        <v>0</v>
      </c>
      <c r="R2461" s="22">
        <f t="shared" si="41"/>
        <v>66</v>
      </c>
    </row>
    <row r="2462" spans="1:18">
      <c r="A2462" s="26">
        <v>6718</v>
      </c>
      <c r="B2462" s="27">
        <v>37648</v>
      </c>
      <c r="C2462" s="28" t="s">
        <v>7900</v>
      </c>
      <c r="D2462" s="27">
        <v>37648</v>
      </c>
      <c r="E2462" s="28" t="s">
        <v>283</v>
      </c>
      <c r="F2462" s="28" t="s">
        <v>56</v>
      </c>
      <c r="G2462" s="28" t="s">
        <v>20</v>
      </c>
      <c r="H2462" s="28" t="s">
        <v>21</v>
      </c>
      <c r="I2462" s="28" t="s">
        <v>21</v>
      </c>
      <c r="J2462" s="28" t="s">
        <v>7901</v>
      </c>
      <c r="K2462" s="28" t="s">
        <v>7902</v>
      </c>
      <c r="L2462" s="28" t="s">
        <v>66</v>
      </c>
      <c r="M2462" s="28" t="s">
        <v>21</v>
      </c>
      <c r="O2462" s="92">
        <v>37733</v>
      </c>
      <c r="P2462" s="28" t="s">
        <v>21</v>
      </c>
      <c r="Q2462" s="26" t="b">
        <v>0</v>
      </c>
      <c r="R2462" s="22">
        <f t="shared" si="41"/>
        <v>86</v>
      </c>
    </row>
    <row r="2463" spans="1:18" ht="24">
      <c r="A2463" s="26">
        <v>6719</v>
      </c>
      <c r="B2463" s="27">
        <v>37648</v>
      </c>
      <c r="C2463" s="28" t="s">
        <v>7903</v>
      </c>
      <c r="D2463" s="27">
        <v>37648</v>
      </c>
      <c r="E2463" s="28" t="s">
        <v>283</v>
      </c>
      <c r="F2463" s="28" t="s">
        <v>741</v>
      </c>
      <c r="G2463" s="28" t="s">
        <v>20</v>
      </c>
      <c r="H2463" s="28" t="s">
        <v>21</v>
      </c>
      <c r="I2463" s="28" t="s">
        <v>21</v>
      </c>
      <c r="J2463" s="28" t="s">
        <v>7904</v>
      </c>
      <c r="K2463" s="28" t="s">
        <v>7905</v>
      </c>
      <c r="L2463" s="28" t="s">
        <v>66</v>
      </c>
      <c r="M2463" s="28" t="s">
        <v>21</v>
      </c>
      <c r="O2463" s="92">
        <v>37736</v>
      </c>
      <c r="P2463" s="28" t="s">
        <v>21</v>
      </c>
      <c r="Q2463" s="26" t="b">
        <v>0</v>
      </c>
      <c r="R2463" s="22">
        <f t="shared" si="41"/>
        <v>89</v>
      </c>
    </row>
    <row r="2464" spans="1:18">
      <c r="A2464" s="26">
        <v>6720</v>
      </c>
      <c r="B2464" s="27">
        <v>37648</v>
      </c>
      <c r="C2464" s="28" t="s">
        <v>7906</v>
      </c>
      <c r="D2464" s="27">
        <v>37648</v>
      </c>
      <c r="E2464" s="28" t="s">
        <v>283</v>
      </c>
      <c r="F2464" s="28" t="s">
        <v>145</v>
      </c>
      <c r="G2464" s="28" t="s">
        <v>20</v>
      </c>
      <c r="H2464" s="28" t="s">
        <v>21</v>
      </c>
      <c r="I2464" s="28" t="s">
        <v>21</v>
      </c>
      <c r="J2464" s="28" t="s">
        <v>7907</v>
      </c>
      <c r="K2464" s="28" t="s">
        <v>7908</v>
      </c>
      <c r="L2464" s="28" t="s">
        <v>66</v>
      </c>
      <c r="M2464" s="28" t="s">
        <v>21</v>
      </c>
      <c r="O2464" s="92">
        <v>37739</v>
      </c>
      <c r="P2464" s="28" t="s">
        <v>21</v>
      </c>
      <c r="Q2464" s="26" t="b">
        <v>0</v>
      </c>
      <c r="R2464" s="22">
        <f t="shared" si="41"/>
        <v>92</v>
      </c>
    </row>
    <row r="2465" spans="1:18" ht="24">
      <c r="A2465" s="26">
        <v>6721</v>
      </c>
      <c r="B2465" s="27">
        <v>37648</v>
      </c>
      <c r="C2465" s="28" t="s">
        <v>7909</v>
      </c>
      <c r="D2465" s="27">
        <v>37648</v>
      </c>
      <c r="E2465" s="28" t="s">
        <v>283</v>
      </c>
      <c r="F2465" s="28" t="s">
        <v>149</v>
      </c>
      <c r="G2465" s="28" t="s">
        <v>20</v>
      </c>
      <c r="H2465" s="28" t="s">
        <v>21</v>
      </c>
      <c r="I2465" s="28" t="s">
        <v>21</v>
      </c>
      <c r="J2465" s="28" t="s">
        <v>5589</v>
      </c>
      <c r="K2465" s="28" t="s">
        <v>7910</v>
      </c>
      <c r="L2465" s="28" t="s">
        <v>66</v>
      </c>
      <c r="M2465" s="28" t="s">
        <v>21</v>
      </c>
      <c r="O2465" s="92">
        <v>37739</v>
      </c>
      <c r="P2465" s="28" t="s">
        <v>21</v>
      </c>
      <c r="Q2465" s="26" t="b">
        <v>0</v>
      </c>
      <c r="R2465" s="22">
        <f t="shared" si="41"/>
        <v>92</v>
      </c>
    </row>
    <row r="2466" spans="1:18">
      <c r="A2466" s="26">
        <v>6722</v>
      </c>
      <c r="B2466" s="27">
        <v>37648</v>
      </c>
      <c r="C2466" s="28" t="s">
        <v>7911</v>
      </c>
      <c r="D2466" s="27">
        <v>37648</v>
      </c>
      <c r="E2466" s="28" t="s">
        <v>283</v>
      </c>
      <c r="F2466" s="28" t="s">
        <v>7754</v>
      </c>
      <c r="G2466" s="28" t="s">
        <v>20</v>
      </c>
      <c r="H2466" s="28" t="s">
        <v>21</v>
      </c>
      <c r="I2466" s="28" t="s">
        <v>21</v>
      </c>
      <c r="J2466" s="28" t="s">
        <v>7912</v>
      </c>
      <c r="K2466" s="28" t="s">
        <v>7913</v>
      </c>
      <c r="L2466" s="28" t="s">
        <v>66</v>
      </c>
      <c r="M2466" s="28" t="s">
        <v>21</v>
      </c>
      <c r="O2466" s="92">
        <v>37739</v>
      </c>
      <c r="P2466" s="28" t="s">
        <v>21</v>
      </c>
      <c r="Q2466" s="26" t="b">
        <v>0</v>
      </c>
      <c r="R2466" s="22">
        <f t="shared" si="41"/>
        <v>92</v>
      </c>
    </row>
    <row r="2467" spans="1:18">
      <c r="A2467" s="26">
        <v>6723</v>
      </c>
      <c r="B2467" s="27">
        <v>37648</v>
      </c>
      <c r="C2467" s="28" t="s">
        <v>7914</v>
      </c>
      <c r="D2467" s="27">
        <v>37648</v>
      </c>
      <c r="E2467" s="28" t="s">
        <v>283</v>
      </c>
      <c r="F2467" s="28" t="s">
        <v>145</v>
      </c>
      <c r="G2467" s="28" t="s">
        <v>20</v>
      </c>
      <c r="H2467" s="28" t="s">
        <v>21</v>
      </c>
      <c r="I2467" s="28" t="s">
        <v>21</v>
      </c>
      <c r="J2467" s="28" t="s">
        <v>7915</v>
      </c>
      <c r="K2467" s="28" t="s">
        <v>7916</v>
      </c>
      <c r="L2467" s="28" t="s">
        <v>66</v>
      </c>
      <c r="M2467" s="28" t="s">
        <v>21</v>
      </c>
      <c r="O2467" s="92">
        <v>37739</v>
      </c>
      <c r="P2467" s="28" t="s">
        <v>21</v>
      </c>
      <c r="Q2467" s="26" t="b">
        <v>0</v>
      </c>
      <c r="R2467" s="22">
        <f t="shared" si="41"/>
        <v>92</v>
      </c>
    </row>
    <row r="2468" spans="1:18">
      <c r="A2468" s="26">
        <v>6724</v>
      </c>
      <c r="B2468" s="27">
        <v>37648</v>
      </c>
      <c r="C2468" s="28" t="s">
        <v>7917</v>
      </c>
      <c r="D2468" s="27">
        <v>37648</v>
      </c>
      <c r="E2468" s="28" t="s">
        <v>283</v>
      </c>
      <c r="F2468" s="28" t="s">
        <v>7754</v>
      </c>
      <c r="G2468" s="28" t="s">
        <v>20</v>
      </c>
      <c r="H2468" s="28" t="s">
        <v>21</v>
      </c>
      <c r="I2468" s="28" t="s">
        <v>21</v>
      </c>
      <c r="J2468" s="28" t="s">
        <v>7918</v>
      </c>
      <c r="K2468" s="28" t="s">
        <v>7919</v>
      </c>
      <c r="L2468" s="28" t="s">
        <v>66</v>
      </c>
      <c r="M2468" s="28" t="s">
        <v>21</v>
      </c>
      <c r="O2468" s="92">
        <v>37739</v>
      </c>
      <c r="P2468" s="28" t="s">
        <v>21</v>
      </c>
      <c r="Q2468" s="26" t="b">
        <v>0</v>
      </c>
      <c r="R2468" s="22">
        <f t="shared" si="41"/>
        <v>92</v>
      </c>
    </row>
    <row r="2469" spans="1:18">
      <c r="A2469" s="26">
        <v>6725</v>
      </c>
      <c r="B2469" s="27">
        <v>37648</v>
      </c>
      <c r="C2469" s="28" t="s">
        <v>7920</v>
      </c>
      <c r="D2469" s="27">
        <v>37648</v>
      </c>
      <c r="E2469" s="28" t="s">
        <v>283</v>
      </c>
      <c r="F2469" s="28" t="s">
        <v>39</v>
      </c>
      <c r="G2469" s="28" t="s">
        <v>20</v>
      </c>
      <c r="H2469" s="28" t="s">
        <v>21</v>
      </c>
      <c r="I2469" s="28" t="s">
        <v>21</v>
      </c>
      <c r="J2469" s="28" t="s">
        <v>7921</v>
      </c>
      <c r="K2469" s="28" t="s">
        <v>7922</v>
      </c>
      <c r="L2469" s="28" t="s">
        <v>66</v>
      </c>
      <c r="M2469" s="28" t="s">
        <v>21</v>
      </c>
      <c r="O2469" s="92">
        <v>37739</v>
      </c>
      <c r="P2469" s="28" t="s">
        <v>21</v>
      </c>
      <c r="Q2469" s="26" t="b">
        <v>0</v>
      </c>
      <c r="R2469" s="22">
        <f t="shared" si="41"/>
        <v>92</v>
      </c>
    </row>
    <row r="2470" spans="1:18">
      <c r="A2470" s="26">
        <v>6726</v>
      </c>
      <c r="B2470" s="27">
        <v>37648</v>
      </c>
      <c r="C2470" s="28" t="s">
        <v>7923</v>
      </c>
      <c r="D2470" s="27">
        <v>37648</v>
      </c>
      <c r="E2470" s="28" t="s">
        <v>283</v>
      </c>
      <c r="F2470" s="28" t="s">
        <v>2597</v>
      </c>
      <c r="G2470" s="28" t="s">
        <v>20</v>
      </c>
      <c r="H2470" s="28" t="s">
        <v>21</v>
      </c>
      <c r="I2470" s="28" t="s">
        <v>21</v>
      </c>
      <c r="J2470" s="28" t="s">
        <v>7924</v>
      </c>
      <c r="K2470" s="28" t="s">
        <v>7465</v>
      </c>
      <c r="L2470" s="28" t="s">
        <v>4282</v>
      </c>
      <c r="M2470" s="28" t="s">
        <v>66</v>
      </c>
      <c r="O2470" s="92">
        <v>37802</v>
      </c>
      <c r="P2470" s="28" t="s">
        <v>21</v>
      </c>
      <c r="Q2470" s="26" t="b">
        <v>0</v>
      </c>
      <c r="R2470" s="22">
        <f t="shared" si="41"/>
        <v>155</v>
      </c>
    </row>
    <row r="2471" spans="1:18">
      <c r="A2471" s="26">
        <v>6730</v>
      </c>
      <c r="B2471" s="27">
        <v>37648</v>
      </c>
      <c r="C2471" s="28" t="s">
        <v>7925</v>
      </c>
      <c r="D2471" s="27">
        <v>37648</v>
      </c>
      <c r="E2471" s="28" t="s">
        <v>283</v>
      </c>
      <c r="F2471" s="28" t="s">
        <v>2597</v>
      </c>
      <c r="G2471" s="28" t="s">
        <v>20</v>
      </c>
      <c r="H2471" s="28" t="s">
        <v>21</v>
      </c>
      <c r="I2471" s="28" t="s">
        <v>21</v>
      </c>
      <c r="J2471" s="28" t="s">
        <v>7926</v>
      </c>
      <c r="K2471" s="28" t="s">
        <v>7927</v>
      </c>
      <c r="L2471" s="28" t="s">
        <v>4282</v>
      </c>
      <c r="M2471" s="28" t="s">
        <v>3930</v>
      </c>
      <c r="O2471" s="92">
        <v>37802</v>
      </c>
      <c r="P2471" s="28" t="s">
        <v>21</v>
      </c>
      <c r="Q2471" s="26" t="b">
        <v>0</v>
      </c>
      <c r="R2471" s="22">
        <f t="shared" si="41"/>
        <v>155</v>
      </c>
    </row>
    <row r="2472" spans="1:18">
      <c r="A2472" s="26">
        <v>6731</v>
      </c>
      <c r="B2472" s="27">
        <v>37648</v>
      </c>
      <c r="C2472" s="28" t="s">
        <v>7928</v>
      </c>
      <c r="D2472" s="27">
        <v>37648</v>
      </c>
      <c r="E2472" s="28" t="s">
        <v>283</v>
      </c>
      <c r="F2472" s="28" t="s">
        <v>283</v>
      </c>
      <c r="G2472" s="28" t="s">
        <v>20</v>
      </c>
      <c r="H2472" s="28" t="s">
        <v>21</v>
      </c>
      <c r="I2472" s="28" t="s">
        <v>21</v>
      </c>
      <c r="J2472" s="28" t="s">
        <v>7929</v>
      </c>
      <c r="K2472" s="28" t="s">
        <v>7930</v>
      </c>
      <c r="L2472" s="28" t="s">
        <v>4282</v>
      </c>
      <c r="M2472" s="28" t="s">
        <v>3930</v>
      </c>
      <c r="O2472" s="92">
        <v>37802</v>
      </c>
      <c r="P2472" s="28" t="s">
        <v>21</v>
      </c>
      <c r="Q2472" s="26" t="b">
        <v>0</v>
      </c>
      <c r="R2472" s="22">
        <f t="shared" si="41"/>
        <v>155</v>
      </c>
    </row>
    <row r="2473" spans="1:18">
      <c r="A2473" s="26">
        <v>6735</v>
      </c>
      <c r="B2473" s="27">
        <v>37648</v>
      </c>
      <c r="C2473" s="28" t="s">
        <v>7934</v>
      </c>
      <c r="D2473" s="27">
        <v>37648</v>
      </c>
      <c r="E2473" s="28" t="s">
        <v>283</v>
      </c>
      <c r="F2473" s="28" t="s">
        <v>741</v>
      </c>
      <c r="G2473" s="28" t="s">
        <v>20</v>
      </c>
      <c r="H2473" s="28" t="s">
        <v>21</v>
      </c>
      <c r="I2473" s="28" t="s">
        <v>21</v>
      </c>
      <c r="J2473" s="28" t="s">
        <v>7935</v>
      </c>
      <c r="K2473" s="28" t="s">
        <v>5286</v>
      </c>
      <c r="L2473" s="28" t="s">
        <v>4282</v>
      </c>
      <c r="M2473" s="28" t="s">
        <v>21</v>
      </c>
      <c r="O2473" s="92">
        <v>37802</v>
      </c>
      <c r="P2473" s="28" t="s">
        <v>21</v>
      </c>
      <c r="Q2473" s="26" t="b">
        <v>0</v>
      </c>
      <c r="R2473" s="22">
        <f t="shared" si="41"/>
        <v>155</v>
      </c>
    </row>
    <row r="2474" spans="1:18">
      <c r="A2474" s="26">
        <v>6737</v>
      </c>
      <c r="B2474" s="27">
        <v>37648</v>
      </c>
      <c r="C2474" s="28" t="s">
        <v>7939</v>
      </c>
      <c r="D2474" s="27">
        <v>37648</v>
      </c>
      <c r="E2474" s="28" t="s">
        <v>283</v>
      </c>
      <c r="F2474" s="28" t="s">
        <v>228</v>
      </c>
      <c r="G2474" s="28" t="s">
        <v>20</v>
      </c>
      <c r="H2474" s="28" t="s">
        <v>21</v>
      </c>
      <c r="I2474" s="28" t="s">
        <v>21</v>
      </c>
      <c r="J2474" s="28" t="s">
        <v>7940</v>
      </c>
      <c r="K2474" s="28" t="s">
        <v>7941</v>
      </c>
      <c r="L2474" s="28" t="s">
        <v>66</v>
      </c>
      <c r="M2474" s="28" t="s">
        <v>21</v>
      </c>
      <c r="O2474" s="92">
        <v>37739</v>
      </c>
      <c r="P2474" s="28" t="s">
        <v>21</v>
      </c>
      <c r="Q2474" s="26" t="b">
        <v>0</v>
      </c>
      <c r="R2474" s="22">
        <f t="shared" si="41"/>
        <v>92</v>
      </c>
    </row>
    <row r="2475" spans="1:18" ht="24">
      <c r="A2475" s="26">
        <v>6738</v>
      </c>
      <c r="B2475" s="27">
        <v>37648</v>
      </c>
      <c r="C2475" s="28" t="s">
        <v>7942</v>
      </c>
      <c r="D2475" s="27">
        <v>37648</v>
      </c>
      <c r="E2475" s="28" t="s">
        <v>283</v>
      </c>
      <c r="F2475" s="28" t="s">
        <v>242</v>
      </c>
      <c r="G2475" s="28" t="s">
        <v>20</v>
      </c>
      <c r="H2475" s="28" t="s">
        <v>21</v>
      </c>
      <c r="I2475" s="28" t="s">
        <v>21</v>
      </c>
      <c r="J2475" s="28" t="s">
        <v>7943</v>
      </c>
      <c r="K2475" s="28" t="s">
        <v>7944</v>
      </c>
      <c r="L2475" s="28" t="s">
        <v>66</v>
      </c>
      <c r="M2475" s="28" t="s">
        <v>21</v>
      </c>
      <c r="O2475" s="92">
        <v>37736</v>
      </c>
      <c r="P2475" s="28" t="s">
        <v>21</v>
      </c>
      <c r="Q2475" s="26" t="b">
        <v>0</v>
      </c>
      <c r="R2475" s="22">
        <f t="shared" si="41"/>
        <v>89</v>
      </c>
    </row>
    <row r="2476" spans="1:18" ht="24">
      <c r="A2476" s="26">
        <v>6739</v>
      </c>
      <c r="B2476" s="27">
        <v>37648</v>
      </c>
      <c r="C2476" s="28" t="s">
        <v>7945</v>
      </c>
      <c r="D2476" s="27">
        <v>37648</v>
      </c>
      <c r="E2476" s="28" t="s">
        <v>283</v>
      </c>
      <c r="F2476" s="28" t="s">
        <v>39</v>
      </c>
      <c r="G2476" s="28" t="s">
        <v>20</v>
      </c>
      <c r="H2476" s="28" t="s">
        <v>21</v>
      </c>
      <c r="I2476" s="28" t="s">
        <v>21</v>
      </c>
      <c r="J2476" s="28" t="s">
        <v>7946</v>
      </c>
      <c r="K2476" s="28" t="s">
        <v>7947</v>
      </c>
      <c r="L2476" s="28" t="s">
        <v>66</v>
      </c>
      <c r="M2476" s="28" t="s">
        <v>21</v>
      </c>
      <c r="O2476" s="92">
        <v>37725</v>
      </c>
      <c r="P2476" s="28" t="s">
        <v>21</v>
      </c>
      <c r="Q2476" s="26" t="b">
        <v>0</v>
      </c>
      <c r="R2476" s="22">
        <f t="shared" si="41"/>
        <v>78</v>
      </c>
    </row>
    <row r="2477" spans="1:18" ht="24">
      <c r="A2477" s="26">
        <v>6741</v>
      </c>
      <c r="B2477" s="27">
        <v>37648</v>
      </c>
      <c r="C2477" s="28" t="s">
        <v>7948</v>
      </c>
      <c r="D2477" s="27">
        <v>37648</v>
      </c>
      <c r="E2477" s="28" t="s">
        <v>283</v>
      </c>
      <c r="F2477" s="28" t="s">
        <v>39</v>
      </c>
      <c r="G2477" s="28" t="s">
        <v>20</v>
      </c>
      <c r="H2477" s="28" t="s">
        <v>21</v>
      </c>
      <c r="I2477" s="28" t="s">
        <v>21</v>
      </c>
      <c r="J2477" s="28" t="s">
        <v>7949</v>
      </c>
      <c r="K2477" s="28" t="s">
        <v>7950</v>
      </c>
      <c r="L2477" s="28" t="s">
        <v>314</v>
      </c>
      <c r="M2477" s="28" t="s">
        <v>66</v>
      </c>
      <c r="O2477" s="92">
        <v>37735</v>
      </c>
      <c r="P2477" s="28" t="s">
        <v>21</v>
      </c>
      <c r="Q2477" s="26" t="b">
        <v>0</v>
      </c>
      <c r="R2477" s="22">
        <f t="shared" si="41"/>
        <v>88</v>
      </c>
    </row>
    <row r="2478" spans="1:18">
      <c r="A2478" s="26">
        <v>6742</v>
      </c>
      <c r="B2478" s="27">
        <v>37648</v>
      </c>
      <c r="C2478" s="28" t="s">
        <v>7951</v>
      </c>
      <c r="D2478" s="27">
        <v>37648</v>
      </c>
      <c r="E2478" s="28" t="s">
        <v>283</v>
      </c>
      <c r="F2478" s="28" t="s">
        <v>7952</v>
      </c>
      <c r="G2478" s="28" t="s">
        <v>20</v>
      </c>
      <c r="H2478" s="28" t="s">
        <v>21</v>
      </c>
      <c r="I2478" s="28" t="s">
        <v>21</v>
      </c>
      <c r="J2478" s="28" t="s">
        <v>7953</v>
      </c>
      <c r="K2478" s="28" t="s">
        <v>7954</v>
      </c>
      <c r="L2478" s="28" t="s">
        <v>66</v>
      </c>
      <c r="M2478" s="28" t="s">
        <v>21</v>
      </c>
      <c r="O2478" s="92">
        <v>37725</v>
      </c>
      <c r="P2478" s="28" t="s">
        <v>21</v>
      </c>
      <c r="Q2478" s="26" t="b">
        <v>0</v>
      </c>
      <c r="R2478" s="22">
        <f t="shared" si="41"/>
        <v>78</v>
      </c>
    </row>
    <row r="2479" spans="1:18">
      <c r="A2479" s="26">
        <v>6743</v>
      </c>
      <c r="B2479" s="27">
        <v>37648</v>
      </c>
      <c r="C2479" s="28" t="s">
        <v>7955</v>
      </c>
      <c r="D2479" s="27">
        <v>37648</v>
      </c>
      <c r="E2479" s="28" t="s">
        <v>283</v>
      </c>
      <c r="F2479" s="28" t="s">
        <v>7952</v>
      </c>
      <c r="G2479" s="28" t="s">
        <v>20</v>
      </c>
      <c r="H2479" s="28" t="s">
        <v>21</v>
      </c>
      <c r="I2479" s="28" t="s">
        <v>21</v>
      </c>
      <c r="J2479" s="28" t="s">
        <v>7956</v>
      </c>
      <c r="K2479" s="28" t="s">
        <v>7957</v>
      </c>
      <c r="L2479" s="28" t="s">
        <v>66</v>
      </c>
      <c r="M2479" s="28" t="s">
        <v>21</v>
      </c>
      <c r="O2479" s="92">
        <v>37726</v>
      </c>
      <c r="P2479" s="28" t="s">
        <v>21</v>
      </c>
      <c r="Q2479" s="26" t="b">
        <v>0</v>
      </c>
      <c r="R2479" s="22">
        <f t="shared" si="41"/>
        <v>79</v>
      </c>
    </row>
    <row r="2480" spans="1:18">
      <c r="A2480" s="26">
        <v>6745</v>
      </c>
      <c r="B2480" s="27">
        <v>37648</v>
      </c>
      <c r="C2480" s="28" t="s">
        <v>7960</v>
      </c>
      <c r="D2480" s="27">
        <v>37648</v>
      </c>
      <c r="E2480" s="28" t="s">
        <v>283</v>
      </c>
      <c r="F2480" s="28" t="s">
        <v>7961</v>
      </c>
      <c r="G2480" s="28" t="s">
        <v>20</v>
      </c>
      <c r="H2480" s="28" t="s">
        <v>21</v>
      </c>
      <c r="I2480" s="28" t="s">
        <v>21</v>
      </c>
      <c r="J2480" s="28" t="s">
        <v>7962</v>
      </c>
      <c r="K2480" s="28" t="s">
        <v>7963</v>
      </c>
      <c r="L2480" s="28" t="s">
        <v>66</v>
      </c>
      <c r="M2480" s="28" t="s">
        <v>21</v>
      </c>
      <c r="O2480" s="92">
        <v>37722</v>
      </c>
      <c r="P2480" s="28" t="s">
        <v>21</v>
      </c>
      <c r="Q2480" s="26" t="b">
        <v>0</v>
      </c>
      <c r="R2480" s="22">
        <f t="shared" si="41"/>
        <v>75</v>
      </c>
    </row>
    <row r="2481" spans="1:18">
      <c r="A2481" s="26">
        <v>6746</v>
      </c>
      <c r="B2481" s="27">
        <v>37648</v>
      </c>
      <c r="C2481" s="28" t="s">
        <v>7964</v>
      </c>
      <c r="D2481" s="27">
        <v>37648</v>
      </c>
      <c r="E2481" s="28" t="s">
        <v>283</v>
      </c>
      <c r="F2481" s="28" t="s">
        <v>52</v>
      </c>
      <c r="G2481" s="28" t="s">
        <v>20</v>
      </c>
      <c r="H2481" s="28" t="s">
        <v>21</v>
      </c>
      <c r="I2481" s="28" t="s">
        <v>21</v>
      </c>
      <c r="J2481" s="28" t="s">
        <v>7965</v>
      </c>
      <c r="K2481" s="28" t="s">
        <v>7966</v>
      </c>
      <c r="L2481" s="28" t="s">
        <v>66</v>
      </c>
      <c r="M2481" s="28" t="s">
        <v>21</v>
      </c>
      <c r="O2481" s="92">
        <v>37720</v>
      </c>
      <c r="P2481" s="28" t="s">
        <v>21</v>
      </c>
      <c r="Q2481" s="26" t="b">
        <v>0</v>
      </c>
      <c r="R2481" s="22">
        <f t="shared" si="41"/>
        <v>73</v>
      </c>
    </row>
    <row r="2482" spans="1:18">
      <c r="A2482" s="26">
        <v>6747</v>
      </c>
      <c r="B2482" s="27">
        <v>37648</v>
      </c>
      <c r="C2482" s="28" t="s">
        <v>7967</v>
      </c>
      <c r="D2482" s="27">
        <v>37648</v>
      </c>
      <c r="E2482" s="28" t="s">
        <v>283</v>
      </c>
      <c r="F2482" s="28" t="s">
        <v>395</v>
      </c>
      <c r="G2482" s="28" t="s">
        <v>20</v>
      </c>
      <c r="H2482" s="28" t="s">
        <v>21</v>
      </c>
      <c r="I2482" s="28" t="s">
        <v>21</v>
      </c>
      <c r="J2482" s="28" t="s">
        <v>7968</v>
      </c>
      <c r="K2482" s="28" t="s">
        <v>7969</v>
      </c>
      <c r="L2482" s="28" t="s">
        <v>66</v>
      </c>
      <c r="M2482" s="28" t="s">
        <v>21</v>
      </c>
      <c r="O2482" s="92">
        <v>37715</v>
      </c>
      <c r="P2482" s="28" t="s">
        <v>21</v>
      </c>
      <c r="Q2482" s="26" t="b">
        <v>0</v>
      </c>
      <c r="R2482" s="22">
        <f t="shared" si="41"/>
        <v>67</v>
      </c>
    </row>
    <row r="2483" spans="1:18">
      <c r="A2483" s="26">
        <v>6749</v>
      </c>
      <c r="B2483" s="27">
        <v>37648</v>
      </c>
      <c r="C2483" s="28" t="s">
        <v>7970</v>
      </c>
      <c r="D2483" s="27">
        <v>37648</v>
      </c>
      <c r="E2483" s="28" t="s">
        <v>283</v>
      </c>
      <c r="F2483" s="28" t="s">
        <v>39</v>
      </c>
      <c r="G2483" s="28" t="s">
        <v>20</v>
      </c>
      <c r="H2483" s="28" t="s">
        <v>21</v>
      </c>
      <c r="I2483" s="28" t="s">
        <v>21</v>
      </c>
      <c r="J2483" s="28" t="s">
        <v>7971</v>
      </c>
      <c r="K2483" s="28" t="s">
        <v>7972</v>
      </c>
      <c r="L2483" s="28" t="s">
        <v>66</v>
      </c>
      <c r="M2483" s="28" t="s">
        <v>21</v>
      </c>
      <c r="O2483" s="92">
        <v>37726</v>
      </c>
      <c r="P2483" s="28" t="s">
        <v>21</v>
      </c>
      <c r="Q2483" s="26" t="b">
        <v>0</v>
      </c>
      <c r="R2483" s="22">
        <f t="shared" si="41"/>
        <v>79</v>
      </c>
    </row>
    <row r="2484" spans="1:18" ht="24">
      <c r="A2484" s="26">
        <v>6751</v>
      </c>
      <c r="B2484" s="27">
        <v>37648</v>
      </c>
      <c r="C2484" s="28" t="s">
        <v>7976</v>
      </c>
      <c r="D2484" s="27">
        <v>37648</v>
      </c>
      <c r="E2484" s="28" t="s">
        <v>283</v>
      </c>
      <c r="F2484" s="28" t="s">
        <v>149</v>
      </c>
      <c r="G2484" s="28" t="s">
        <v>20</v>
      </c>
      <c r="H2484" s="28" t="s">
        <v>21</v>
      </c>
      <c r="I2484" s="28" t="s">
        <v>21</v>
      </c>
      <c r="J2484" s="28" t="s">
        <v>7977</v>
      </c>
      <c r="K2484" s="28" t="s">
        <v>7978</v>
      </c>
      <c r="L2484" s="28" t="s">
        <v>4282</v>
      </c>
      <c r="M2484" s="28" t="s">
        <v>21</v>
      </c>
      <c r="O2484" s="92">
        <v>37802</v>
      </c>
      <c r="P2484" s="28" t="s">
        <v>21</v>
      </c>
      <c r="Q2484" s="26" t="b">
        <v>0</v>
      </c>
      <c r="R2484" s="22">
        <f t="shared" si="41"/>
        <v>155</v>
      </c>
    </row>
    <row r="2485" spans="1:18">
      <c r="A2485" s="26">
        <v>6752</v>
      </c>
      <c r="B2485" s="27">
        <v>37648</v>
      </c>
      <c r="C2485" s="28" t="s">
        <v>7979</v>
      </c>
      <c r="D2485" s="27">
        <v>37648</v>
      </c>
      <c r="E2485" s="28" t="s">
        <v>283</v>
      </c>
      <c r="F2485" s="28" t="s">
        <v>283</v>
      </c>
      <c r="G2485" s="28" t="s">
        <v>20</v>
      </c>
      <c r="H2485" s="28" t="s">
        <v>21</v>
      </c>
      <c r="I2485" s="28" t="s">
        <v>21</v>
      </c>
      <c r="J2485" s="28" t="s">
        <v>7980</v>
      </c>
      <c r="K2485" s="28" t="s">
        <v>7981</v>
      </c>
      <c r="L2485" s="28" t="s">
        <v>66</v>
      </c>
      <c r="M2485" s="28" t="s">
        <v>21</v>
      </c>
      <c r="O2485" s="92">
        <v>37725</v>
      </c>
      <c r="P2485" s="28" t="s">
        <v>21</v>
      </c>
      <c r="Q2485" s="26" t="b">
        <v>0</v>
      </c>
      <c r="R2485" s="22">
        <f t="shared" si="41"/>
        <v>78</v>
      </c>
    </row>
    <row r="2486" spans="1:18" ht="24">
      <c r="A2486" s="26">
        <v>6753</v>
      </c>
      <c r="B2486" s="27">
        <v>37648</v>
      </c>
      <c r="C2486" s="28" t="s">
        <v>7982</v>
      </c>
      <c r="D2486" s="27">
        <v>37648</v>
      </c>
      <c r="E2486" s="28" t="s">
        <v>283</v>
      </c>
      <c r="F2486" s="28" t="s">
        <v>39</v>
      </c>
      <c r="G2486" s="28" t="s">
        <v>20</v>
      </c>
      <c r="H2486" s="28" t="s">
        <v>21</v>
      </c>
      <c r="I2486" s="28" t="s">
        <v>21</v>
      </c>
      <c r="J2486" s="28" t="s">
        <v>7983</v>
      </c>
      <c r="K2486" s="28" t="s">
        <v>7984</v>
      </c>
      <c r="L2486" s="28" t="s">
        <v>66</v>
      </c>
      <c r="M2486" s="28" t="s">
        <v>21</v>
      </c>
      <c r="O2486" s="92">
        <v>37721</v>
      </c>
      <c r="P2486" s="28" t="s">
        <v>21</v>
      </c>
      <c r="Q2486" s="26" t="b">
        <v>0</v>
      </c>
      <c r="R2486" s="22">
        <f t="shared" si="41"/>
        <v>74</v>
      </c>
    </row>
    <row r="2487" spans="1:18" ht="24">
      <c r="A2487" s="26">
        <v>6754</v>
      </c>
      <c r="B2487" s="27">
        <v>37648</v>
      </c>
      <c r="C2487" s="28" t="s">
        <v>7985</v>
      </c>
      <c r="D2487" s="27">
        <v>37648</v>
      </c>
      <c r="E2487" s="28" t="s">
        <v>283</v>
      </c>
      <c r="F2487" s="28" t="s">
        <v>741</v>
      </c>
      <c r="G2487" s="28" t="s">
        <v>20</v>
      </c>
      <c r="H2487" s="28" t="s">
        <v>21</v>
      </c>
      <c r="I2487" s="28" t="s">
        <v>21</v>
      </c>
      <c r="J2487" s="28" t="s">
        <v>7986</v>
      </c>
      <c r="K2487" s="28" t="s">
        <v>7987</v>
      </c>
      <c r="L2487" s="28" t="s">
        <v>4282</v>
      </c>
      <c r="M2487" s="28" t="s">
        <v>21</v>
      </c>
      <c r="O2487" s="92">
        <v>37802</v>
      </c>
      <c r="P2487" s="28" t="s">
        <v>21</v>
      </c>
      <c r="Q2487" s="26" t="b">
        <v>0</v>
      </c>
      <c r="R2487" s="22">
        <f t="shared" si="41"/>
        <v>155</v>
      </c>
    </row>
    <row r="2488" spans="1:18">
      <c r="A2488" s="26">
        <v>6756</v>
      </c>
      <c r="B2488" s="27">
        <v>37648</v>
      </c>
      <c r="C2488" s="28" t="s">
        <v>7991</v>
      </c>
      <c r="D2488" s="27">
        <v>37648</v>
      </c>
      <c r="E2488" s="28" t="s">
        <v>283</v>
      </c>
      <c r="F2488" s="28" t="s">
        <v>27</v>
      </c>
      <c r="G2488" s="28" t="s">
        <v>20</v>
      </c>
      <c r="H2488" s="28" t="s">
        <v>21</v>
      </c>
      <c r="I2488" s="28" t="s">
        <v>21</v>
      </c>
      <c r="J2488" s="28" t="s">
        <v>7992</v>
      </c>
      <c r="K2488" s="28" t="s">
        <v>7993</v>
      </c>
      <c r="L2488" s="28" t="s">
        <v>4282</v>
      </c>
      <c r="M2488" s="28" t="s">
        <v>21</v>
      </c>
      <c r="O2488" s="92">
        <v>37802</v>
      </c>
      <c r="P2488" s="28" t="s">
        <v>21</v>
      </c>
      <c r="Q2488" s="26" t="b">
        <v>0</v>
      </c>
      <c r="R2488" s="22">
        <f t="shared" si="41"/>
        <v>155</v>
      </c>
    </row>
    <row r="2489" spans="1:18">
      <c r="A2489" s="26">
        <v>6758</v>
      </c>
      <c r="B2489" s="27">
        <v>37648</v>
      </c>
      <c r="C2489" s="28" t="s">
        <v>7997</v>
      </c>
      <c r="D2489" s="27">
        <v>37648</v>
      </c>
      <c r="E2489" s="28" t="s">
        <v>283</v>
      </c>
      <c r="F2489" s="28" t="s">
        <v>39</v>
      </c>
      <c r="G2489" s="28" t="s">
        <v>20</v>
      </c>
      <c r="H2489" s="28" t="s">
        <v>21</v>
      </c>
      <c r="I2489" s="28" t="s">
        <v>21</v>
      </c>
      <c r="J2489" s="28" t="s">
        <v>7998</v>
      </c>
      <c r="K2489" s="28" t="s">
        <v>7999</v>
      </c>
      <c r="L2489" s="28" t="s">
        <v>66</v>
      </c>
      <c r="M2489" s="28" t="s">
        <v>21</v>
      </c>
      <c r="O2489" s="92">
        <v>37792</v>
      </c>
      <c r="P2489" s="28" t="s">
        <v>21</v>
      </c>
      <c r="Q2489" s="26" t="b">
        <v>0</v>
      </c>
      <c r="R2489" s="22">
        <f t="shared" si="41"/>
        <v>144</v>
      </c>
    </row>
    <row r="2490" spans="1:18">
      <c r="A2490" s="26">
        <v>6759</v>
      </c>
      <c r="B2490" s="27">
        <v>37648</v>
      </c>
      <c r="C2490" s="28" t="s">
        <v>8000</v>
      </c>
      <c r="D2490" s="27">
        <v>37648</v>
      </c>
      <c r="E2490" s="28" t="s">
        <v>283</v>
      </c>
      <c r="F2490" s="28" t="s">
        <v>104</v>
      </c>
      <c r="G2490" s="28" t="s">
        <v>20</v>
      </c>
      <c r="H2490" s="28" t="s">
        <v>21</v>
      </c>
      <c r="I2490" s="28" t="s">
        <v>21</v>
      </c>
      <c r="J2490" s="28" t="s">
        <v>8001</v>
      </c>
      <c r="K2490" s="28" t="s">
        <v>8002</v>
      </c>
      <c r="L2490" s="28" t="s">
        <v>66</v>
      </c>
      <c r="M2490" s="28" t="s">
        <v>21</v>
      </c>
      <c r="O2490" s="92">
        <v>37728</v>
      </c>
      <c r="P2490" s="28" t="s">
        <v>21</v>
      </c>
      <c r="Q2490" s="26" t="b">
        <v>0</v>
      </c>
      <c r="R2490" s="22">
        <f t="shared" si="41"/>
        <v>81</v>
      </c>
    </row>
    <row r="2491" spans="1:18">
      <c r="A2491" s="26">
        <v>6763</v>
      </c>
      <c r="B2491" s="27">
        <v>37648</v>
      </c>
      <c r="C2491" s="28" t="s">
        <v>8006</v>
      </c>
      <c r="D2491" s="27">
        <v>37648</v>
      </c>
      <c r="E2491" s="28" t="s">
        <v>283</v>
      </c>
      <c r="F2491" s="28" t="s">
        <v>228</v>
      </c>
      <c r="G2491" s="28" t="s">
        <v>20</v>
      </c>
      <c r="H2491" s="28" t="s">
        <v>21</v>
      </c>
      <c r="I2491" s="28" t="s">
        <v>21</v>
      </c>
      <c r="J2491" s="28" t="s">
        <v>8007</v>
      </c>
      <c r="K2491" s="28" t="s">
        <v>8008</v>
      </c>
      <c r="L2491" s="28" t="s">
        <v>66</v>
      </c>
      <c r="M2491" s="28" t="s">
        <v>21</v>
      </c>
      <c r="O2491" s="92">
        <v>37739</v>
      </c>
      <c r="P2491" s="28" t="s">
        <v>21</v>
      </c>
      <c r="Q2491" s="26" t="b">
        <v>0</v>
      </c>
      <c r="R2491" s="22">
        <f t="shared" si="41"/>
        <v>92</v>
      </c>
    </row>
    <row r="2492" spans="1:18" ht="24">
      <c r="A2492" s="26">
        <v>6765</v>
      </c>
      <c r="B2492" s="27">
        <v>37648</v>
      </c>
      <c r="C2492" s="28" t="s">
        <v>8012</v>
      </c>
      <c r="D2492" s="27">
        <v>37648</v>
      </c>
      <c r="E2492" s="28" t="s">
        <v>283</v>
      </c>
      <c r="F2492" s="28" t="s">
        <v>85</v>
      </c>
      <c r="G2492" s="28" t="s">
        <v>20</v>
      </c>
      <c r="H2492" s="28" t="s">
        <v>21</v>
      </c>
      <c r="I2492" s="28" t="s">
        <v>21</v>
      </c>
      <c r="J2492" s="28" t="s">
        <v>8013</v>
      </c>
      <c r="K2492" s="28" t="s">
        <v>8014</v>
      </c>
      <c r="L2492" s="28" t="s">
        <v>4282</v>
      </c>
      <c r="M2492" s="28" t="s">
        <v>21</v>
      </c>
      <c r="O2492" s="92">
        <v>37742</v>
      </c>
      <c r="P2492" s="28" t="s">
        <v>21</v>
      </c>
      <c r="Q2492" s="26" t="b">
        <v>0</v>
      </c>
      <c r="R2492" s="22">
        <f t="shared" si="41"/>
        <v>95</v>
      </c>
    </row>
    <row r="2493" spans="1:18">
      <c r="A2493" s="26">
        <v>6767</v>
      </c>
      <c r="B2493" s="27">
        <v>37648</v>
      </c>
      <c r="C2493" s="28" t="s">
        <v>8018</v>
      </c>
      <c r="D2493" s="27">
        <v>37648</v>
      </c>
      <c r="E2493" s="28" t="s">
        <v>283</v>
      </c>
      <c r="F2493" s="28" t="s">
        <v>145</v>
      </c>
      <c r="G2493" s="28" t="s">
        <v>20</v>
      </c>
      <c r="H2493" s="28" t="s">
        <v>21</v>
      </c>
      <c r="I2493" s="28" t="s">
        <v>21</v>
      </c>
      <c r="J2493" s="28" t="s">
        <v>8019</v>
      </c>
      <c r="K2493" s="28" t="s">
        <v>8020</v>
      </c>
      <c r="L2493" s="28" t="s">
        <v>4282</v>
      </c>
      <c r="M2493" s="28" t="s">
        <v>21</v>
      </c>
      <c r="O2493" s="92">
        <v>37742</v>
      </c>
      <c r="P2493" s="28" t="s">
        <v>21</v>
      </c>
      <c r="Q2493" s="26" t="b">
        <v>0</v>
      </c>
      <c r="R2493" s="22">
        <f t="shared" si="41"/>
        <v>95</v>
      </c>
    </row>
    <row r="2494" spans="1:18" ht="24">
      <c r="A2494" s="26">
        <v>6769</v>
      </c>
      <c r="B2494" s="27">
        <v>37648</v>
      </c>
      <c r="C2494" s="28" t="s">
        <v>8021</v>
      </c>
      <c r="D2494" s="27">
        <v>37648</v>
      </c>
      <c r="E2494" s="28" t="s">
        <v>283</v>
      </c>
      <c r="F2494" s="28" t="s">
        <v>8022</v>
      </c>
      <c r="G2494" s="28" t="s">
        <v>20</v>
      </c>
      <c r="H2494" s="28" t="s">
        <v>21</v>
      </c>
      <c r="I2494" s="28" t="s">
        <v>21</v>
      </c>
      <c r="J2494" s="28" t="s">
        <v>8023</v>
      </c>
      <c r="K2494" s="28" t="s">
        <v>8024</v>
      </c>
      <c r="L2494" s="28" t="s">
        <v>66</v>
      </c>
      <c r="M2494" s="28" t="s">
        <v>21</v>
      </c>
      <c r="O2494" s="92">
        <v>37736</v>
      </c>
      <c r="P2494" s="28" t="s">
        <v>21</v>
      </c>
      <c r="Q2494" s="26" t="b">
        <v>0</v>
      </c>
      <c r="R2494" s="22">
        <f t="shared" si="41"/>
        <v>89</v>
      </c>
    </row>
    <row r="2495" spans="1:18" ht="24">
      <c r="A2495" s="26">
        <v>6781</v>
      </c>
      <c r="B2495" s="27">
        <v>37648</v>
      </c>
      <c r="C2495" s="28" t="s">
        <v>8054</v>
      </c>
      <c r="D2495" s="27">
        <v>37648</v>
      </c>
      <c r="E2495" s="28" t="s">
        <v>283</v>
      </c>
      <c r="F2495" s="28" t="s">
        <v>1830</v>
      </c>
      <c r="G2495" s="28" t="s">
        <v>20</v>
      </c>
      <c r="H2495" s="28" t="s">
        <v>21</v>
      </c>
      <c r="I2495" s="28" t="s">
        <v>21</v>
      </c>
      <c r="J2495" s="28" t="s">
        <v>8055</v>
      </c>
      <c r="K2495" s="28" t="s">
        <v>8056</v>
      </c>
      <c r="L2495" s="28" t="s">
        <v>314</v>
      </c>
      <c r="M2495" s="28" t="s">
        <v>21</v>
      </c>
      <c r="O2495" s="92">
        <v>37742</v>
      </c>
      <c r="P2495" s="28" t="s">
        <v>21</v>
      </c>
      <c r="Q2495" s="26" t="b">
        <v>0</v>
      </c>
      <c r="R2495" s="22">
        <f t="shared" si="41"/>
        <v>95</v>
      </c>
    </row>
    <row r="2496" spans="1:18">
      <c r="A2496" s="26">
        <v>6783</v>
      </c>
      <c r="B2496" s="27">
        <v>37648</v>
      </c>
      <c r="C2496" s="28" t="s">
        <v>8057</v>
      </c>
      <c r="D2496" s="27">
        <v>37648</v>
      </c>
      <c r="E2496" s="28" t="s">
        <v>283</v>
      </c>
      <c r="F2496" s="28" t="s">
        <v>85</v>
      </c>
      <c r="G2496" s="28" t="s">
        <v>20</v>
      </c>
      <c r="H2496" s="28" t="s">
        <v>21</v>
      </c>
      <c r="I2496" s="28" t="s">
        <v>21</v>
      </c>
      <c r="J2496" s="28" t="s">
        <v>8058</v>
      </c>
      <c r="K2496" s="28" t="s">
        <v>8059</v>
      </c>
      <c r="L2496" s="28" t="s">
        <v>314</v>
      </c>
      <c r="M2496" s="28" t="s">
        <v>21</v>
      </c>
      <c r="O2496" s="92">
        <v>37735</v>
      </c>
      <c r="P2496" s="28" t="s">
        <v>21</v>
      </c>
      <c r="Q2496" s="26" t="b">
        <v>0</v>
      </c>
      <c r="R2496" s="22">
        <f t="shared" si="41"/>
        <v>88</v>
      </c>
    </row>
    <row r="2497" spans="1:18" ht="24">
      <c r="A2497" s="26">
        <v>6784</v>
      </c>
      <c r="B2497" s="27">
        <v>37648</v>
      </c>
      <c r="C2497" s="28" t="s">
        <v>8060</v>
      </c>
      <c r="D2497" s="27">
        <v>37648</v>
      </c>
      <c r="E2497" s="28" t="s">
        <v>283</v>
      </c>
      <c r="F2497" s="28" t="s">
        <v>7823</v>
      </c>
      <c r="G2497" s="28" t="s">
        <v>20</v>
      </c>
      <c r="H2497" s="28" t="s">
        <v>21</v>
      </c>
      <c r="I2497" s="28" t="s">
        <v>21</v>
      </c>
      <c r="J2497" s="28" t="s">
        <v>8061</v>
      </c>
      <c r="K2497" s="28" t="s">
        <v>8062</v>
      </c>
      <c r="L2497" s="28" t="s">
        <v>314</v>
      </c>
      <c r="M2497" s="28" t="s">
        <v>21</v>
      </c>
      <c r="O2497" s="92">
        <v>37742</v>
      </c>
      <c r="P2497" s="28" t="s">
        <v>21</v>
      </c>
      <c r="Q2497" s="26" t="b">
        <v>0</v>
      </c>
      <c r="R2497" s="22">
        <f t="shared" si="41"/>
        <v>95</v>
      </c>
    </row>
    <row r="2498" spans="1:18" ht="24">
      <c r="A2498" s="26">
        <v>6785</v>
      </c>
      <c r="B2498" s="27">
        <v>37648</v>
      </c>
      <c r="C2498" s="28" t="s">
        <v>8063</v>
      </c>
      <c r="D2498" s="27">
        <v>37648</v>
      </c>
      <c r="E2498" s="28" t="s">
        <v>283</v>
      </c>
      <c r="F2498" s="28" t="s">
        <v>85</v>
      </c>
      <c r="G2498" s="28" t="s">
        <v>20</v>
      </c>
      <c r="H2498" s="28" t="s">
        <v>21</v>
      </c>
      <c r="I2498" s="28" t="s">
        <v>21</v>
      </c>
      <c r="J2498" s="28" t="s">
        <v>8064</v>
      </c>
      <c r="K2498" s="28" t="s">
        <v>8065</v>
      </c>
      <c r="L2498" s="28" t="s">
        <v>314</v>
      </c>
      <c r="M2498" s="28" t="s">
        <v>21</v>
      </c>
      <c r="O2498" s="92">
        <v>37742</v>
      </c>
      <c r="P2498" s="28" t="s">
        <v>21</v>
      </c>
      <c r="Q2498" s="26" t="b">
        <v>0</v>
      </c>
      <c r="R2498" s="22">
        <f t="shared" si="41"/>
        <v>95</v>
      </c>
    </row>
    <row r="2499" spans="1:18" ht="24">
      <c r="A2499" s="26">
        <v>6786</v>
      </c>
      <c r="B2499" s="27">
        <v>37648</v>
      </c>
      <c r="C2499" s="28" t="s">
        <v>8066</v>
      </c>
      <c r="D2499" s="27">
        <v>37648</v>
      </c>
      <c r="E2499" s="28" t="s">
        <v>283</v>
      </c>
      <c r="F2499" s="28" t="s">
        <v>85</v>
      </c>
      <c r="G2499" s="28" t="s">
        <v>20</v>
      </c>
      <c r="H2499" s="28" t="s">
        <v>21</v>
      </c>
      <c r="I2499" s="28" t="s">
        <v>21</v>
      </c>
      <c r="J2499" s="28" t="s">
        <v>8067</v>
      </c>
      <c r="K2499" s="28" t="s">
        <v>8068</v>
      </c>
      <c r="L2499" s="28" t="s">
        <v>314</v>
      </c>
      <c r="M2499" s="28" t="s">
        <v>21</v>
      </c>
      <c r="O2499" s="92">
        <v>37742</v>
      </c>
      <c r="P2499" s="28" t="s">
        <v>21</v>
      </c>
      <c r="Q2499" s="26" t="b">
        <v>0</v>
      </c>
      <c r="R2499" s="22">
        <f t="shared" si="41"/>
        <v>95</v>
      </c>
    </row>
    <row r="2500" spans="1:18" ht="24">
      <c r="A2500" s="26">
        <v>6794</v>
      </c>
      <c r="B2500" s="27">
        <v>37648</v>
      </c>
      <c r="C2500" s="28" t="s">
        <v>8086</v>
      </c>
      <c r="D2500" s="27">
        <v>37648</v>
      </c>
      <c r="E2500" s="28" t="s">
        <v>283</v>
      </c>
      <c r="F2500" s="28" t="s">
        <v>533</v>
      </c>
      <c r="G2500" s="28" t="s">
        <v>20</v>
      </c>
      <c r="H2500" s="28" t="s">
        <v>21</v>
      </c>
      <c r="I2500" s="28" t="s">
        <v>21</v>
      </c>
      <c r="J2500" s="28" t="s">
        <v>8087</v>
      </c>
      <c r="K2500" s="28" t="s">
        <v>8088</v>
      </c>
      <c r="L2500" s="28" t="s">
        <v>314</v>
      </c>
      <c r="M2500" s="28" t="s">
        <v>21</v>
      </c>
      <c r="O2500" s="92">
        <v>37742</v>
      </c>
      <c r="P2500" s="28" t="s">
        <v>21</v>
      </c>
      <c r="Q2500" s="26" t="b">
        <v>0</v>
      </c>
      <c r="R2500" s="22">
        <f t="shared" si="41"/>
        <v>95</v>
      </c>
    </row>
    <row r="2501" spans="1:18">
      <c r="A2501" s="26">
        <v>6796</v>
      </c>
      <c r="B2501" s="27">
        <v>37648</v>
      </c>
      <c r="C2501" s="28" t="s">
        <v>8092</v>
      </c>
      <c r="D2501" s="27">
        <v>37648</v>
      </c>
      <c r="E2501" s="28" t="s">
        <v>283</v>
      </c>
      <c r="F2501" s="28" t="s">
        <v>39</v>
      </c>
      <c r="G2501" s="28" t="s">
        <v>20</v>
      </c>
      <c r="H2501" s="28" t="s">
        <v>21</v>
      </c>
      <c r="I2501" s="28" t="s">
        <v>21</v>
      </c>
      <c r="J2501" s="28" t="s">
        <v>8093</v>
      </c>
      <c r="K2501" s="28" t="s">
        <v>8094</v>
      </c>
      <c r="L2501" s="28" t="s">
        <v>314</v>
      </c>
      <c r="M2501" s="28" t="s">
        <v>21</v>
      </c>
      <c r="O2501" s="92">
        <v>37742</v>
      </c>
      <c r="P2501" s="28" t="s">
        <v>21</v>
      </c>
      <c r="Q2501" s="26" t="b">
        <v>0</v>
      </c>
      <c r="R2501" s="22">
        <f t="shared" si="41"/>
        <v>95</v>
      </c>
    </row>
    <row r="2502" spans="1:18">
      <c r="A2502" s="26">
        <v>6797</v>
      </c>
      <c r="B2502" s="27">
        <v>37648</v>
      </c>
      <c r="C2502" s="28" t="s">
        <v>8095</v>
      </c>
      <c r="D2502" s="27">
        <v>37648</v>
      </c>
      <c r="E2502" s="28" t="s">
        <v>283</v>
      </c>
      <c r="F2502" s="28" t="s">
        <v>39</v>
      </c>
      <c r="G2502" s="28" t="s">
        <v>20</v>
      </c>
      <c r="H2502" s="28" t="s">
        <v>21</v>
      </c>
      <c r="I2502" s="28" t="s">
        <v>21</v>
      </c>
      <c r="J2502" s="28" t="s">
        <v>8096</v>
      </c>
      <c r="K2502" s="28" t="s">
        <v>8097</v>
      </c>
      <c r="L2502" s="28" t="s">
        <v>314</v>
      </c>
      <c r="M2502" s="28" t="s">
        <v>21</v>
      </c>
      <c r="O2502" s="92">
        <v>37742</v>
      </c>
      <c r="P2502" s="28" t="s">
        <v>21</v>
      </c>
      <c r="Q2502" s="26" t="b">
        <v>0</v>
      </c>
      <c r="R2502" s="22">
        <f t="shared" si="41"/>
        <v>95</v>
      </c>
    </row>
    <row r="2503" spans="1:18">
      <c r="A2503" s="26">
        <v>6805</v>
      </c>
      <c r="B2503" s="27">
        <v>37648</v>
      </c>
      <c r="C2503" s="28" t="s">
        <v>8109</v>
      </c>
      <c r="D2503" s="27">
        <v>37648</v>
      </c>
      <c r="E2503" s="28" t="s">
        <v>283</v>
      </c>
      <c r="F2503" s="28" t="s">
        <v>52</v>
      </c>
      <c r="G2503" s="28" t="s">
        <v>20</v>
      </c>
      <c r="H2503" s="28" t="s">
        <v>21</v>
      </c>
      <c r="I2503" s="28" t="s">
        <v>21</v>
      </c>
      <c r="J2503" s="28" t="s">
        <v>8110</v>
      </c>
      <c r="K2503" s="28" t="s">
        <v>8111</v>
      </c>
      <c r="L2503" s="28" t="s">
        <v>314</v>
      </c>
      <c r="M2503" s="28" t="s">
        <v>21</v>
      </c>
      <c r="O2503" s="92">
        <v>37742</v>
      </c>
      <c r="P2503" s="28" t="s">
        <v>21</v>
      </c>
      <c r="Q2503" s="26" t="b">
        <v>0</v>
      </c>
      <c r="R2503" s="22">
        <f t="shared" si="41"/>
        <v>95</v>
      </c>
    </row>
    <row r="2504" spans="1:18">
      <c r="A2504" s="26">
        <v>6806</v>
      </c>
      <c r="B2504" s="27">
        <v>37648</v>
      </c>
      <c r="C2504" s="28" t="s">
        <v>8112</v>
      </c>
      <c r="D2504" s="27">
        <v>37648</v>
      </c>
      <c r="E2504" s="28" t="s">
        <v>283</v>
      </c>
      <c r="F2504" s="28" t="s">
        <v>3847</v>
      </c>
      <c r="G2504" s="28" t="s">
        <v>20</v>
      </c>
      <c r="H2504" s="28" t="s">
        <v>21</v>
      </c>
      <c r="I2504" s="28" t="s">
        <v>21</v>
      </c>
      <c r="J2504" s="28" t="s">
        <v>8113</v>
      </c>
      <c r="K2504" s="28" t="s">
        <v>8114</v>
      </c>
      <c r="L2504" s="28" t="s">
        <v>314</v>
      </c>
      <c r="M2504" s="28" t="s">
        <v>21</v>
      </c>
      <c r="O2504" s="92">
        <v>37735</v>
      </c>
      <c r="P2504" s="28" t="s">
        <v>21</v>
      </c>
      <c r="Q2504" s="26" t="b">
        <v>0</v>
      </c>
      <c r="R2504" s="22">
        <f t="shared" si="41"/>
        <v>88</v>
      </c>
    </row>
    <row r="2505" spans="1:18" ht="24">
      <c r="A2505" s="26">
        <v>6808</v>
      </c>
      <c r="B2505" s="27">
        <v>37648</v>
      </c>
      <c r="C2505" s="28" t="s">
        <v>8115</v>
      </c>
      <c r="D2505" s="27">
        <v>37648</v>
      </c>
      <c r="E2505" s="28" t="s">
        <v>283</v>
      </c>
      <c r="F2505" s="28" t="s">
        <v>3847</v>
      </c>
      <c r="G2505" s="28" t="s">
        <v>20</v>
      </c>
      <c r="H2505" s="28" t="s">
        <v>21</v>
      </c>
      <c r="I2505" s="28" t="s">
        <v>21</v>
      </c>
      <c r="J2505" s="28" t="s">
        <v>8116</v>
      </c>
      <c r="K2505" s="28" t="s">
        <v>8117</v>
      </c>
      <c r="L2505" s="28" t="s">
        <v>314</v>
      </c>
      <c r="M2505" s="28" t="s">
        <v>21</v>
      </c>
      <c r="O2505" s="92">
        <v>37742</v>
      </c>
      <c r="P2505" s="28" t="s">
        <v>21</v>
      </c>
      <c r="Q2505" s="26" t="b">
        <v>0</v>
      </c>
      <c r="R2505" s="22">
        <f t="shared" si="41"/>
        <v>95</v>
      </c>
    </row>
    <row r="2506" spans="1:18">
      <c r="A2506" s="26">
        <v>6809</v>
      </c>
      <c r="B2506" s="27">
        <v>37648</v>
      </c>
      <c r="C2506" s="28" t="s">
        <v>8118</v>
      </c>
      <c r="D2506" s="27">
        <v>37648</v>
      </c>
      <c r="E2506" s="28" t="s">
        <v>283</v>
      </c>
      <c r="F2506" s="28" t="s">
        <v>149</v>
      </c>
      <c r="G2506" s="28" t="s">
        <v>20</v>
      </c>
      <c r="H2506" s="28" t="s">
        <v>21</v>
      </c>
      <c r="I2506" s="28" t="s">
        <v>21</v>
      </c>
      <c r="J2506" s="28" t="s">
        <v>8119</v>
      </c>
      <c r="K2506" s="28" t="s">
        <v>8120</v>
      </c>
      <c r="L2506" s="28" t="s">
        <v>314</v>
      </c>
      <c r="M2506" s="28" t="s">
        <v>21</v>
      </c>
      <c r="O2506" s="92">
        <v>37735</v>
      </c>
      <c r="P2506" s="28" t="s">
        <v>21</v>
      </c>
      <c r="Q2506" s="26" t="b">
        <v>0</v>
      </c>
      <c r="R2506" s="22">
        <f t="shared" si="41"/>
        <v>88</v>
      </c>
    </row>
    <row r="2507" spans="1:18" ht="24">
      <c r="A2507" s="26">
        <v>6810</v>
      </c>
      <c r="B2507" s="27">
        <v>37648</v>
      </c>
      <c r="C2507" s="28" t="s">
        <v>8121</v>
      </c>
      <c r="D2507" s="27">
        <v>37648</v>
      </c>
      <c r="E2507" s="28" t="s">
        <v>283</v>
      </c>
      <c r="F2507" s="28" t="s">
        <v>1939</v>
      </c>
      <c r="G2507" s="28" t="s">
        <v>20</v>
      </c>
      <c r="H2507" s="28" t="s">
        <v>21</v>
      </c>
      <c r="I2507" s="28" t="s">
        <v>21</v>
      </c>
      <c r="J2507" s="28" t="s">
        <v>8122</v>
      </c>
      <c r="K2507" s="28" t="s">
        <v>8123</v>
      </c>
      <c r="L2507" s="28" t="s">
        <v>314</v>
      </c>
      <c r="M2507" s="28" t="s">
        <v>21</v>
      </c>
      <c r="O2507" s="92">
        <v>37735</v>
      </c>
      <c r="P2507" s="28" t="s">
        <v>21</v>
      </c>
      <c r="Q2507" s="26" t="b">
        <v>0</v>
      </c>
      <c r="R2507" s="22">
        <f t="shared" si="41"/>
        <v>88</v>
      </c>
    </row>
    <row r="2508" spans="1:18">
      <c r="A2508" s="26">
        <v>6811</v>
      </c>
      <c r="B2508" s="27">
        <v>37648</v>
      </c>
      <c r="C2508" s="28" t="s">
        <v>8124</v>
      </c>
      <c r="D2508" s="27">
        <v>37648</v>
      </c>
      <c r="E2508" s="28" t="s">
        <v>283</v>
      </c>
      <c r="F2508" s="28" t="s">
        <v>3847</v>
      </c>
      <c r="G2508" s="28" t="s">
        <v>20</v>
      </c>
      <c r="H2508" s="28" t="s">
        <v>21</v>
      </c>
      <c r="I2508" s="28" t="s">
        <v>21</v>
      </c>
      <c r="J2508" s="28" t="s">
        <v>8125</v>
      </c>
      <c r="K2508" s="28" t="s">
        <v>351</v>
      </c>
      <c r="L2508" s="28" t="s">
        <v>314</v>
      </c>
      <c r="M2508" s="28" t="s">
        <v>21</v>
      </c>
      <c r="O2508" s="92">
        <v>37735</v>
      </c>
      <c r="P2508" s="28" t="s">
        <v>21</v>
      </c>
      <c r="Q2508" s="26" t="b">
        <v>0</v>
      </c>
      <c r="R2508" s="22">
        <f t="shared" si="41"/>
        <v>88</v>
      </c>
    </row>
    <row r="2509" spans="1:18">
      <c r="A2509" s="26">
        <v>6812</v>
      </c>
      <c r="B2509" s="27">
        <v>37648</v>
      </c>
      <c r="C2509" s="28" t="s">
        <v>8126</v>
      </c>
      <c r="D2509" s="27">
        <v>37648</v>
      </c>
      <c r="E2509" s="28" t="s">
        <v>283</v>
      </c>
      <c r="F2509" s="28" t="s">
        <v>3847</v>
      </c>
      <c r="G2509" s="28" t="s">
        <v>20</v>
      </c>
      <c r="H2509" s="28" t="s">
        <v>21</v>
      </c>
      <c r="I2509" s="28" t="s">
        <v>21</v>
      </c>
      <c r="J2509" s="28" t="s">
        <v>8127</v>
      </c>
      <c r="K2509" s="28" t="s">
        <v>351</v>
      </c>
      <c r="L2509" s="28" t="s">
        <v>314</v>
      </c>
      <c r="M2509" s="28" t="s">
        <v>21</v>
      </c>
      <c r="O2509" s="92">
        <v>37742</v>
      </c>
      <c r="P2509" s="28" t="s">
        <v>21</v>
      </c>
      <c r="Q2509" s="26" t="b">
        <v>0</v>
      </c>
      <c r="R2509" s="22">
        <f t="shared" si="41"/>
        <v>95</v>
      </c>
    </row>
    <row r="2510" spans="1:18">
      <c r="A2510" s="26">
        <v>6814</v>
      </c>
      <c r="B2510" s="27">
        <v>37648</v>
      </c>
      <c r="C2510" s="28" t="s">
        <v>8128</v>
      </c>
      <c r="D2510" s="27">
        <v>37648</v>
      </c>
      <c r="E2510" s="28" t="s">
        <v>283</v>
      </c>
      <c r="F2510" s="28" t="s">
        <v>56</v>
      </c>
      <c r="G2510" s="28" t="s">
        <v>20</v>
      </c>
      <c r="H2510" s="28" t="s">
        <v>21</v>
      </c>
      <c r="I2510" s="28" t="s">
        <v>21</v>
      </c>
      <c r="J2510" s="28" t="s">
        <v>8129</v>
      </c>
      <c r="K2510" s="28" t="s">
        <v>8130</v>
      </c>
      <c r="L2510" s="28" t="s">
        <v>314</v>
      </c>
      <c r="M2510" s="28" t="s">
        <v>21</v>
      </c>
      <c r="O2510" s="92">
        <v>37742</v>
      </c>
      <c r="P2510" s="28" t="s">
        <v>21</v>
      </c>
      <c r="Q2510" s="26" t="b">
        <v>0</v>
      </c>
      <c r="R2510" s="22">
        <f t="shared" si="41"/>
        <v>95</v>
      </c>
    </row>
    <row r="2511" spans="1:18">
      <c r="A2511" s="26">
        <v>6823</v>
      </c>
      <c r="B2511" s="27">
        <v>37648</v>
      </c>
      <c r="C2511" s="28" t="s">
        <v>8149</v>
      </c>
      <c r="D2511" s="27">
        <v>37648</v>
      </c>
      <c r="E2511" s="28" t="s">
        <v>283</v>
      </c>
      <c r="F2511" s="28" t="s">
        <v>98</v>
      </c>
      <c r="G2511" s="28" t="s">
        <v>20</v>
      </c>
      <c r="H2511" s="28" t="s">
        <v>21</v>
      </c>
      <c r="I2511" s="28" t="s">
        <v>21</v>
      </c>
      <c r="J2511" s="28" t="s">
        <v>8150</v>
      </c>
      <c r="K2511" s="28" t="s">
        <v>8151</v>
      </c>
      <c r="L2511" s="28" t="s">
        <v>4282</v>
      </c>
      <c r="M2511" s="28" t="s">
        <v>21</v>
      </c>
      <c r="O2511" s="92">
        <v>37802</v>
      </c>
      <c r="P2511" s="28" t="s">
        <v>21</v>
      </c>
      <c r="Q2511" s="26" t="b">
        <v>0</v>
      </c>
      <c r="R2511" s="22">
        <f t="shared" si="41"/>
        <v>155</v>
      </c>
    </row>
    <row r="2512" spans="1:18">
      <c r="A2512" s="26">
        <v>6827</v>
      </c>
      <c r="B2512" s="27">
        <v>37648</v>
      </c>
      <c r="C2512" s="28" t="s">
        <v>8160</v>
      </c>
      <c r="D2512" s="27">
        <v>37648</v>
      </c>
      <c r="E2512" s="28" t="s">
        <v>283</v>
      </c>
      <c r="F2512" s="28" t="s">
        <v>98</v>
      </c>
      <c r="G2512" s="28" t="s">
        <v>20</v>
      </c>
      <c r="H2512" s="28" t="s">
        <v>21</v>
      </c>
      <c r="I2512" s="28" t="s">
        <v>21</v>
      </c>
      <c r="J2512" s="28" t="s">
        <v>8161</v>
      </c>
      <c r="K2512" s="28" t="s">
        <v>8162</v>
      </c>
      <c r="L2512" s="28" t="s">
        <v>4282</v>
      </c>
      <c r="M2512" s="28" t="s">
        <v>21</v>
      </c>
      <c r="O2512" s="92">
        <v>37802</v>
      </c>
      <c r="P2512" s="28" t="s">
        <v>21</v>
      </c>
      <c r="Q2512" s="26" t="b">
        <v>0</v>
      </c>
      <c r="R2512" s="22">
        <f t="shared" si="41"/>
        <v>155</v>
      </c>
    </row>
    <row r="2513" spans="1:18">
      <c r="A2513" s="26">
        <v>6831</v>
      </c>
      <c r="B2513" s="27">
        <v>37648</v>
      </c>
      <c r="C2513" s="28" t="s">
        <v>8167</v>
      </c>
      <c r="D2513" s="27">
        <v>37648</v>
      </c>
      <c r="E2513" s="28" t="s">
        <v>283</v>
      </c>
      <c r="F2513" s="28" t="s">
        <v>52</v>
      </c>
      <c r="G2513" s="28" t="s">
        <v>20</v>
      </c>
      <c r="H2513" s="28" t="s">
        <v>21</v>
      </c>
      <c r="I2513" s="28" t="s">
        <v>21</v>
      </c>
      <c r="J2513" s="28" t="s">
        <v>8168</v>
      </c>
      <c r="K2513" s="28" t="s">
        <v>8169</v>
      </c>
      <c r="L2513" s="28" t="s">
        <v>314</v>
      </c>
      <c r="M2513" s="28" t="s">
        <v>21</v>
      </c>
      <c r="O2513" s="92">
        <v>37742</v>
      </c>
      <c r="P2513" s="28" t="s">
        <v>21</v>
      </c>
      <c r="Q2513" s="26" t="b">
        <v>0</v>
      </c>
      <c r="R2513" s="22">
        <f t="shared" si="41"/>
        <v>95</v>
      </c>
    </row>
    <row r="2514" spans="1:18">
      <c r="A2514" s="26">
        <v>6846</v>
      </c>
      <c r="B2514" s="27">
        <v>37648</v>
      </c>
      <c r="C2514" s="28" t="s">
        <v>8197</v>
      </c>
      <c r="D2514" s="27">
        <v>37648</v>
      </c>
      <c r="E2514" s="28" t="s">
        <v>283</v>
      </c>
      <c r="F2514" s="28" t="s">
        <v>1939</v>
      </c>
      <c r="G2514" s="28" t="s">
        <v>20</v>
      </c>
      <c r="H2514" s="28" t="s">
        <v>21</v>
      </c>
      <c r="I2514" s="28" t="s">
        <v>21</v>
      </c>
      <c r="J2514" s="28" t="s">
        <v>8198</v>
      </c>
      <c r="K2514" s="28" t="s">
        <v>8199</v>
      </c>
      <c r="L2514" s="28" t="s">
        <v>4282</v>
      </c>
      <c r="M2514" s="28" t="s">
        <v>21</v>
      </c>
      <c r="O2514" s="92">
        <v>37742</v>
      </c>
      <c r="P2514" s="28" t="s">
        <v>21</v>
      </c>
      <c r="Q2514" s="26" t="b">
        <v>0</v>
      </c>
      <c r="R2514" s="22">
        <f t="shared" si="41"/>
        <v>95</v>
      </c>
    </row>
    <row r="2515" spans="1:18">
      <c r="A2515" s="26">
        <v>6849</v>
      </c>
      <c r="B2515" s="27">
        <v>37648</v>
      </c>
      <c r="C2515" s="28" t="s">
        <v>8206</v>
      </c>
      <c r="D2515" s="27">
        <v>37648</v>
      </c>
      <c r="E2515" s="28" t="s">
        <v>283</v>
      </c>
      <c r="F2515" s="28" t="s">
        <v>19</v>
      </c>
      <c r="G2515" s="28" t="s">
        <v>20</v>
      </c>
      <c r="H2515" s="28" t="s">
        <v>21</v>
      </c>
      <c r="I2515" s="28" t="s">
        <v>21</v>
      </c>
      <c r="J2515" s="28" t="s">
        <v>8207</v>
      </c>
      <c r="K2515" s="28" t="s">
        <v>7643</v>
      </c>
      <c r="L2515" s="28" t="s">
        <v>4282</v>
      </c>
      <c r="M2515" s="28" t="s">
        <v>21</v>
      </c>
      <c r="O2515" s="92">
        <v>37802</v>
      </c>
      <c r="P2515" s="28" t="s">
        <v>21</v>
      </c>
      <c r="Q2515" s="26" t="b">
        <v>0</v>
      </c>
      <c r="R2515" s="22">
        <f t="shared" si="41"/>
        <v>155</v>
      </c>
    </row>
    <row r="2516" spans="1:18">
      <c r="A2516" s="26">
        <v>6850</v>
      </c>
      <c r="B2516" s="27">
        <v>37648</v>
      </c>
      <c r="C2516" s="28" t="s">
        <v>8208</v>
      </c>
      <c r="D2516" s="27">
        <v>37648</v>
      </c>
      <c r="E2516" s="28" t="s">
        <v>283</v>
      </c>
      <c r="F2516" s="28" t="s">
        <v>149</v>
      </c>
      <c r="G2516" s="28" t="s">
        <v>20</v>
      </c>
      <c r="H2516" s="28" t="s">
        <v>21</v>
      </c>
      <c r="I2516" s="28" t="s">
        <v>21</v>
      </c>
      <c r="J2516" s="28" t="s">
        <v>8209</v>
      </c>
      <c r="K2516" s="28" t="s">
        <v>5418</v>
      </c>
      <c r="L2516" s="28" t="s">
        <v>4282</v>
      </c>
      <c r="M2516" s="28" t="s">
        <v>21</v>
      </c>
      <c r="O2516" s="92">
        <v>37802</v>
      </c>
      <c r="P2516" s="28" t="s">
        <v>21</v>
      </c>
      <c r="Q2516" s="26" t="b">
        <v>0</v>
      </c>
      <c r="R2516" s="22">
        <f t="shared" si="41"/>
        <v>155</v>
      </c>
    </row>
    <row r="2517" spans="1:18">
      <c r="A2517" s="26">
        <v>6851</v>
      </c>
      <c r="B2517" s="27">
        <v>37648</v>
      </c>
      <c r="C2517" s="28" t="s">
        <v>8210</v>
      </c>
      <c r="D2517" s="27">
        <v>37648</v>
      </c>
      <c r="E2517" s="28" t="s">
        <v>283</v>
      </c>
      <c r="F2517" s="28" t="s">
        <v>124</v>
      </c>
      <c r="G2517" s="28" t="s">
        <v>20</v>
      </c>
      <c r="H2517" s="28" t="s">
        <v>21</v>
      </c>
      <c r="I2517" s="28" t="s">
        <v>21</v>
      </c>
      <c r="J2517" s="28" t="s">
        <v>8211</v>
      </c>
      <c r="K2517" s="28" t="s">
        <v>8212</v>
      </c>
      <c r="L2517" s="28" t="s">
        <v>4282</v>
      </c>
      <c r="M2517" s="28" t="s">
        <v>21</v>
      </c>
      <c r="O2517" s="92">
        <v>37802</v>
      </c>
      <c r="P2517" s="28" t="s">
        <v>21</v>
      </c>
      <c r="Q2517" s="26" t="b">
        <v>0</v>
      </c>
      <c r="R2517" s="22">
        <f t="shared" si="41"/>
        <v>155</v>
      </c>
    </row>
    <row r="2518" spans="1:18" ht="24">
      <c r="A2518" s="26">
        <v>6852</v>
      </c>
      <c r="B2518" s="27">
        <v>37648</v>
      </c>
      <c r="C2518" s="28" t="s">
        <v>8213</v>
      </c>
      <c r="D2518" s="27">
        <v>37648</v>
      </c>
      <c r="E2518" s="28" t="s">
        <v>283</v>
      </c>
      <c r="F2518" s="28" t="s">
        <v>145</v>
      </c>
      <c r="G2518" s="28" t="s">
        <v>20</v>
      </c>
      <c r="H2518" s="28" t="s">
        <v>21</v>
      </c>
      <c r="I2518" s="28" t="s">
        <v>21</v>
      </c>
      <c r="J2518" s="28" t="s">
        <v>8214</v>
      </c>
      <c r="K2518" s="28" t="s">
        <v>8215</v>
      </c>
      <c r="L2518" s="28" t="s">
        <v>4282</v>
      </c>
      <c r="M2518" s="28" t="s">
        <v>21</v>
      </c>
      <c r="O2518" s="92">
        <v>37802</v>
      </c>
      <c r="P2518" s="28" t="s">
        <v>21</v>
      </c>
      <c r="Q2518" s="26" t="b">
        <v>0</v>
      </c>
      <c r="R2518" s="22">
        <f t="shared" si="41"/>
        <v>155</v>
      </c>
    </row>
    <row r="2519" spans="1:18">
      <c r="A2519" s="26">
        <v>6853</v>
      </c>
      <c r="B2519" s="27">
        <v>37648</v>
      </c>
      <c r="C2519" s="28" t="s">
        <v>8216</v>
      </c>
      <c r="D2519" s="27">
        <v>37648</v>
      </c>
      <c r="E2519" s="28" t="s">
        <v>283</v>
      </c>
      <c r="F2519" s="28" t="s">
        <v>306</v>
      </c>
      <c r="G2519" s="28" t="s">
        <v>20</v>
      </c>
      <c r="H2519" s="28" t="s">
        <v>21</v>
      </c>
      <c r="I2519" s="28" t="s">
        <v>21</v>
      </c>
      <c r="J2519" s="28" t="s">
        <v>8217</v>
      </c>
      <c r="K2519" s="28" t="s">
        <v>8218</v>
      </c>
      <c r="L2519" s="28" t="s">
        <v>4282</v>
      </c>
      <c r="M2519" s="28" t="s">
        <v>21</v>
      </c>
      <c r="O2519" s="92">
        <v>37802</v>
      </c>
      <c r="P2519" s="28" t="s">
        <v>21</v>
      </c>
      <c r="Q2519" s="26" t="b">
        <v>0</v>
      </c>
      <c r="R2519" s="22">
        <f t="shared" si="41"/>
        <v>155</v>
      </c>
    </row>
    <row r="2520" spans="1:18">
      <c r="A2520" s="26">
        <v>6854</v>
      </c>
      <c r="B2520" s="27">
        <v>37648</v>
      </c>
      <c r="C2520" s="28" t="s">
        <v>8219</v>
      </c>
      <c r="D2520" s="27">
        <v>37648</v>
      </c>
      <c r="E2520" s="28" t="s">
        <v>283</v>
      </c>
      <c r="F2520" s="28" t="s">
        <v>242</v>
      </c>
      <c r="G2520" s="28" t="s">
        <v>20</v>
      </c>
      <c r="H2520" s="28" t="s">
        <v>21</v>
      </c>
      <c r="I2520" s="28" t="s">
        <v>21</v>
      </c>
      <c r="J2520" s="28" t="s">
        <v>8220</v>
      </c>
      <c r="K2520" s="28" t="s">
        <v>8221</v>
      </c>
      <c r="L2520" s="28" t="s">
        <v>4282</v>
      </c>
      <c r="M2520" s="28" t="s">
        <v>21</v>
      </c>
      <c r="O2520" s="92">
        <v>37802</v>
      </c>
      <c r="P2520" s="28" t="s">
        <v>21</v>
      </c>
      <c r="Q2520" s="26" t="b">
        <v>0</v>
      </c>
      <c r="R2520" s="22">
        <f t="shared" si="41"/>
        <v>155</v>
      </c>
    </row>
    <row r="2521" spans="1:18">
      <c r="A2521" s="26">
        <v>6856</v>
      </c>
      <c r="B2521" s="27">
        <v>37648</v>
      </c>
      <c r="C2521" s="28" t="s">
        <v>8222</v>
      </c>
      <c r="D2521" s="27">
        <v>37648</v>
      </c>
      <c r="E2521" s="28" t="s">
        <v>283</v>
      </c>
      <c r="F2521" s="28" t="s">
        <v>149</v>
      </c>
      <c r="G2521" s="28" t="s">
        <v>20</v>
      </c>
      <c r="H2521" s="28" t="s">
        <v>21</v>
      </c>
      <c r="I2521" s="28" t="s">
        <v>21</v>
      </c>
      <c r="J2521" s="28" t="s">
        <v>8223</v>
      </c>
      <c r="K2521" s="28" t="s">
        <v>8224</v>
      </c>
      <c r="L2521" s="28" t="s">
        <v>4282</v>
      </c>
      <c r="M2521" s="28" t="s">
        <v>21</v>
      </c>
      <c r="O2521" s="92">
        <v>37802</v>
      </c>
      <c r="P2521" s="28" t="s">
        <v>21</v>
      </c>
      <c r="Q2521" s="26" t="b">
        <v>0</v>
      </c>
      <c r="R2521" s="22">
        <f t="shared" ref="R2521:R2584" si="42">IF(O2521=" ", " ", INT(YEARFRAC(O2521, B2521)*365))</f>
        <v>155</v>
      </c>
    </row>
    <row r="2522" spans="1:18">
      <c r="A2522" s="26">
        <v>6857</v>
      </c>
      <c r="B2522" s="27">
        <v>37648</v>
      </c>
      <c r="C2522" s="28" t="s">
        <v>8225</v>
      </c>
      <c r="D2522" s="27">
        <v>37648</v>
      </c>
      <c r="E2522" s="28" t="s">
        <v>283</v>
      </c>
      <c r="F2522" s="28" t="s">
        <v>149</v>
      </c>
      <c r="G2522" s="28" t="s">
        <v>20</v>
      </c>
      <c r="H2522" s="28" t="s">
        <v>21</v>
      </c>
      <c r="I2522" s="28" t="s">
        <v>21</v>
      </c>
      <c r="J2522" s="28" t="s">
        <v>8226</v>
      </c>
      <c r="K2522" s="28" t="s">
        <v>8227</v>
      </c>
      <c r="L2522" s="28" t="s">
        <v>4282</v>
      </c>
      <c r="M2522" s="28" t="s">
        <v>21</v>
      </c>
      <c r="O2522" s="92">
        <v>37802</v>
      </c>
      <c r="P2522" s="28" t="s">
        <v>21</v>
      </c>
      <c r="Q2522" s="26" t="b">
        <v>0</v>
      </c>
      <c r="R2522" s="22">
        <f t="shared" si="42"/>
        <v>155</v>
      </c>
    </row>
    <row r="2523" spans="1:18">
      <c r="A2523" s="26">
        <v>6859</v>
      </c>
      <c r="B2523" s="27">
        <v>37648</v>
      </c>
      <c r="C2523" s="28" t="s">
        <v>8228</v>
      </c>
      <c r="D2523" s="27">
        <v>37648</v>
      </c>
      <c r="E2523" s="28" t="s">
        <v>38</v>
      </c>
      <c r="F2523" s="28" t="s">
        <v>8229</v>
      </c>
      <c r="G2523" s="28" t="s">
        <v>20</v>
      </c>
      <c r="H2523" s="28" t="s">
        <v>212</v>
      </c>
      <c r="I2523" s="28" t="s">
        <v>212</v>
      </c>
      <c r="J2523" s="28" t="s">
        <v>6081</v>
      </c>
      <c r="K2523" s="28" t="s">
        <v>21</v>
      </c>
      <c r="L2523" s="28" t="s">
        <v>7577</v>
      </c>
      <c r="M2523" s="28" t="s">
        <v>21</v>
      </c>
      <c r="O2523" s="92">
        <v>37655</v>
      </c>
      <c r="P2523" s="28" t="s">
        <v>31</v>
      </c>
      <c r="Q2523" s="26" t="b">
        <v>0</v>
      </c>
      <c r="R2523" s="22">
        <f t="shared" si="42"/>
        <v>6</v>
      </c>
    </row>
    <row r="2524" spans="1:18">
      <c r="A2524" s="26">
        <v>6892</v>
      </c>
      <c r="B2524" s="27">
        <v>37648</v>
      </c>
      <c r="C2524" s="28" t="s">
        <v>8306</v>
      </c>
      <c r="D2524" s="27">
        <v>37643</v>
      </c>
      <c r="E2524" s="28" t="s">
        <v>8307</v>
      </c>
      <c r="F2524" s="28" t="s">
        <v>124</v>
      </c>
      <c r="G2524" s="28" t="s">
        <v>20</v>
      </c>
      <c r="H2524" s="28" t="s">
        <v>21</v>
      </c>
      <c r="I2524" s="28" t="s">
        <v>21</v>
      </c>
      <c r="J2524" s="28" t="s">
        <v>6303</v>
      </c>
      <c r="K2524" s="28" t="s">
        <v>21</v>
      </c>
      <c r="L2524" s="28" t="s">
        <v>4282</v>
      </c>
      <c r="M2524" s="28" t="s">
        <v>21</v>
      </c>
      <c r="O2524" s="92">
        <v>38268</v>
      </c>
      <c r="P2524" s="28" t="s">
        <v>31</v>
      </c>
      <c r="Q2524" s="26" t="b">
        <v>0</v>
      </c>
      <c r="R2524" s="22">
        <f t="shared" si="42"/>
        <v>619</v>
      </c>
    </row>
    <row r="2525" spans="1:18">
      <c r="A2525" s="26">
        <v>6744</v>
      </c>
      <c r="B2525" s="27">
        <v>37649</v>
      </c>
      <c r="C2525" s="28" t="s">
        <v>7958</v>
      </c>
      <c r="D2525" s="27">
        <v>37649</v>
      </c>
      <c r="E2525" s="28" t="s">
        <v>283</v>
      </c>
      <c r="F2525" s="28" t="s">
        <v>283</v>
      </c>
      <c r="G2525" s="28" t="s">
        <v>20</v>
      </c>
      <c r="H2525" s="28" t="s">
        <v>21</v>
      </c>
      <c r="I2525" s="28" t="s">
        <v>21</v>
      </c>
      <c r="J2525" s="28" t="s">
        <v>7959</v>
      </c>
      <c r="K2525" s="28" t="s">
        <v>7465</v>
      </c>
      <c r="L2525" s="28" t="s">
        <v>66</v>
      </c>
      <c r="M2525" s="28" t="s">
        <v>21</v>
      </c>
      <c r="O2525" s="92">
        <v>37715</v>
      </c>
      <c r="P2525" s="28" t="s">
        <v>21</v>
      </c>
      <c r="Q2525" s="26" t="b">
        <v>0</v>
      </c>
      <c r="R2525" s="22">
        <f t="shared" si="42"/>
        <v>66</v>
      </c>
    </row>
    <row r="2526" spans="1:18" ht="24">
      <c r="A2526" s="26">
        <v>6773</v>
      </c>
      <c r="B2526" s="27">
        <v>37649</v>
      </c>
      <c r="C2526" s="28" t="s">
        <v>8034</v>
      </c>
      <c r="D2526" s="27">
        <v>37649</v>
      </c>
      <c r="E2526" s="28" t="s">
        <v>283</v>
      </c>
      <c r="F2526" s="28" t="s">
        <v>19</v>
      </c>
      <c r="G2526" s="28" t="s">
        <v>20</v>
      </c>
      <c r="H2526" s="28" t="s">
        <v>21</v>
      </c>
      <c r="I2526" s="28" t="s">
        <v>21</v>
      </c>
      <c r="J2526" s="28" t="s">
        <v>8035</v>
      </c>
      <c r="K2526" s="28" t="s">
        <v>8036</v>
      </c>
      <c r="L2526" s="28" t="s">
        <v>66</v>
      </c>
      <c r="M2526" s="28" t="s">
        <v>21</v>
      </c>
      <c r="O2526" s="92">
        <v>37746</v>
      </c>
      <c r="P2526" s="28" t="s">
        <v>21</v>
      </c>
      <c r="Q2526" s="26" t="b">
        <v>0</v>
      </c>
      <c r="R2526" s="22">
        <f t="shared" si="42"/>
        <v>98</v>
      </c>
    </row>
    <row r="2527" spans="1:18">
      <c r="A2527" s="26">
        <v>6774</v>
      </c>
      <c r="B2527" s="27">
        <v>37649</v>
      </c>
      <c r="C2527" s="28" t="s">
        <v>8037</v>
      </c>
      <c r="D2527" s="27">
        <v>37649</v>
      </c>
      <c r="E2527" s="28" t="s">
        <v>283</v>
      </c>
      <c r="F2527" s="28" t="s">
        <v>7754</v>
      </c>
      <c r="G2527" s="28" t="s">
        <v>20</v>
      </c>
      <c r="H2527" s="28" t="s">
        <v>21</v>
      </c>
      <c r="I2527" s="28" t="s">
        <v>21</v>
      </c>
      <c r="J2527" s="28" t="s">
        <v>8038</v>
      </c>
      <c r="K2527" s="28" t="s">
        <v>8039</v>
      </c>
      <c r="L2527" s="28" t="s">
        <v>66</v>
      </c>
      <c r="M2527" s="28" t="s">
        <v>21</v>
      </c>
      <c r="O2527" s="92">
        <v>37728</v>
      </c>
      <c r="P2527" s="28" t="s">
        <v>21</v>
      </c>
      <c r="Q2527" s="26" t="b">
        <v>0</v>
      </c>
      <c r="R2527" s="22">
        <f t="shared" si="42"/>
        <v>80</v>
      </c>
    </row>
    <row r="2528" spans="1:18">
      <c r="A2528" s="26">
        <v>6775</v>
      </c>
      <c r="B2528" s="27">
        <v>37649</v>
      </c>
      <c r="C2528" s="28" t="s">
        <v>8040</v>
      </c>
      <c r="D2528" s="27">
        <v>37649</v>
      </c>
      <c r="E2528" s="28" t="s">
        <v>283</v>
      </c>
      <c r="F2528" s="28" t="s">
        <v>395</v>
      </c>
      <c r="G2528" s="28" t="s">
        <v>20</v>
      </c>
      <c r="H2528" s="28" t="s">
        <v>21</v>
      </c>
      <c r="I2528" s="28" t="s">
        <v>21</v>
      </c>
      <c r="J2528" s="28" t="s">
        <v>8041</v>
      </c>
      <c r="K2528" s="28" t="s">
        <v>8042</v>
      </c>
      <c r="L2528" s="28" t="s">
        <v>66</v>
      </c>
      <c r="M2528" s="28" t="s">
        <v>21</v>
      </c>
      <c r="O2528" s="92">
        <v>37719</v>
      </c>
      <c r="P2528" s="28" t="s">
        <v>21</v>
      </c>
      <c r="Q2528" s="26" t="b">
        <v>0</v>
      </c>
      <c r="R2528" s="22">
        <f t="shared" si="42"/>
        <v>70</v>
      </c>
    </row>
    <row r="2529" spans="1:18" ht="24">
      <c r="A2529" s="26">
        <v>6777</v>
      </c>
      <c r="B2529" s="27">
        <v>37649</v>
      </c>
      <c r="C2529" s="28" t="s">
        <v>8043</v>
      </c>
      <c r="D2529" s="27">
        <v>37649</v>
      </c>
      <c r="E2529" s="28" t="s">
        <v>283</v>
      </c>
      <c r="F2529" s="28" t="s">
        <v>19</v>
      </c>
      <c r="G2529" s="28" t="s">
        <v>20</v>
      </c>
      <c r="H2529" s="28" t="s">
        <v>21</v>
      </c>
      <c r="I2529" s="28" t="s">
        <v>21</v>
      </c>
      <c r="J2529" s="28" t="s">
        <v>8044</v>
      </c>
      <c r="K2529" s="28" t="s">
        <v>8045</v>
      </c>
      <c r="L2529" s="28" t="s">
        <v>66</v>
      </c>
      <c r="M2529" s="28" t="s">
        <v>21</v>
      </c>
      <c r="O2529" s="92">
        <v>37733</v>
      </c>
      <c r="P2529" s="28" t="s">
        <v>21</v>
      </c>
      <c r="Q2529" s="26" t="b">
        <v>0</v>
      </c>
      <c r="R2529" s="22">
        <f t="shared" si="42"/>
        <v>85</v>
      </c>
    </row>
    <row r="2530" spans="1:18">
      <c r="A2530" s="26">
        <v>6778</v>
      </c>
      <c r="B2530" s="27">
        <v>37649</v>
      </c>
      <c r="C2530" s="28" t="s">
        <v>8046</v>
      </c>
      <c r="D2530" s="27">
        <v>37649</v>
      </c>
      <c r="E2530" s="28" t="s">
        <v>283</v>
      </c>
      <c r="F2530" s="28" t="s">
        <v>228</v>
      </c>
      <c r="G2530" s="28" t="s">
        <v>20</v>
      </c>
      <c r="H2530" s="28" t="s">
        <v>21</v>
      </c>
      <c r="I2530" s="28" t="s">
        <v>21</v>
      </c>
      <c r="J2530" s="28" t="s">
        <v>8047</v>
      </c>
      <c r="K2530" s="28" t="s">
        <v>8048</v>
      </c>
      <c r="L2530" s="28" t="s">
        <v>66</v>
      </c>
      <c r="M2530" s="28" t="s">
        <v>21</v>
      </c>
      <c r="O2530" s="92">
        <v>37739</v>
      </c>
      <c r="P2530" s="28" t="s">
        <v>21</v>
      </c>
      <c r="Q2530" s="26" t="b">
        <v>0</v>
      </c>
      <c r="R2530" s="22">
        <f t="shared" si="42"/>
        <v>91</v>
      </c>
    </row>
    <row r="2531" spans="1:18">
      <c r="A2531" s="26">
        <v>6787</v>
      </c>
      <c r="B2531" s="27">
        <v>37649</v>
      </c>
      <c r="C2531" s="28" t="s">
        <v>8069</v>
      </c>
      <c r="D2531" s="27">
        <v>37649</v>
      </c>
      <c r="E2531" s="28" t="s">
        <v>283</v>
      </c>
      <c r="F2531" s="28" t="s">
        <v>52</v>
      </c>
      <c r="G2531" s="28" t="s">
        <v>20</v>
      </c>
      <c r="H2531" s="28" t="s">
        <v>21</v>
      </c>
      <c r="I2531" s="28" t="s">
        <v>21</v>
      </c>
      <c r="J2531" s="28" t="s">
        <v>8070</v>
      </c>
      <c r="K2531" s="28" t="s">
        <v>8071</v>
      </c>
      <c r="L2531" s="28" t="s">
        <v>66</v>
      </c>
      <c r="M2531" s="28" t="s">
        <v>21</v>
      </c>
      <c r="O2531" s="92">
        <v>37726</v>
      </c>
      <c r="P2531" s="28" t="s">
        <v>21</v>
      </c>
      <c r="Q2531" s="26" t="b">
        <v>0</v>
      </c>
      <c r="R2531" s="22">
        <f t="shared" si="42"/>
        <v>78</v>
      </c>
    </row>
    <row r="2532" spans="1:18">
      <c r="A2532" s="26">
        <v>6788</v>
      </c>
      <c r="B2532" s="27">
        <v>37649</v>
      </c>
      <c r="C2532" s="28" t="s">
        <v>8072</v>
      </c>
      <c r="D2532" s="27">
        <v>37649</v>
      </c>
      <c r="E2532" s="28" t="s">
        <v>283</v>
      </c>
      <c r="F2532" s="28" t="s">
        <v>52</v>
      </c>
      <c r="G2532" s="28" t="s">
        <v>20</v>
      </c>
      <c r="H2532" s="28" t="s">
        <v>21</v>
      </c>
      <c r="I2532" s="28" t="s">
        <v>21</v>
      </c>
      <c r="J2532" s="28" t="s">
        <v>8073</v>
      </c>
      <c r="K2532" s="28" t="s">
        <v>8074</v>
      </c>
      <c r="L2532" s="28" t="s">
        <v>66</v>
      </c>
      <c r="M2532" s="28" t="s">
        <v>21</v>
      </c>
      <c r="O2532" s="92">
        <v>37796</v>
      </c>
      <c r="P2532" s="28" t="s">
        <v>21</v>
      </c>
      <c r="Q2532" s="26" t="b">
        <v>0</v>
      </c>
      <c r="R2532" s="22">
        <f t="shared" si="42"/>
        <v>148</v>
      </c>
    </row>
    <row r="2533" spans="1:18">
      <c r="A2533" s="26">
        <v>6789</v>
      </c>
      <c r="B2533" s="27">
        <v>37649</v>
      </c>
      <c r="C2533" s="28" t="s">
        <v>8075</v>
      </c>
      <c r="D2533" s="27">
        <v>37649</v>
      </c>
      <c r="E2533" s="28" t="s">
        <v>283</v>
      </c>
      <c r="F2533" s="28" t="s">
        <v>52</v>
      </c>
      <c r="G2533" s="28" t="s">
        <v>20</v>
      </c>
      <c r="H2533" s="28" t="s">
        <v>21</v>
      </c>
      <c r="I2533" s="28" t="s">
        <v>21</v>
      </c>
      <c r="J2533" s="28" t="s">
        <v>8076</v>
      </c>
      <c r="K2533" s="28" t="s">
        <v>8077</v>
      </c>
      <c r="L2533" s="28" t="s">
        <v>66</v>
      </c>
      <c r="M2533" s="28" t="s">
        <v>21</v>
      </c>
      <c r="O2533" s="92">
        <v>37727</v>
      </c>
      <c r="P2533" s="28" t="s">
        <v>21</v>
      </c>
      <c r="Q2533" s="26" t="b">
        <v>0</v>
      </c>
      <c r="R2533" s="22">
        <f t="shared" si="42"/>
        <v>79</v>
      </c>
    </row>
    <row r="2534" spans="1:18">
      <c r="A2534" s="26">
        <v>6790</v>
      </c>
      <c r="B2534" s="27">
        <v>37649</v>
      </c>
      <c r="C2534" s="28" t="s">
        <v>8078</v>
      </c>
      <c r="D2534" s="27">
        <v>37649</v>
      </c>
      <c r="E2534" s="28" t="s">
        <v>283</v>
      </c>
      <c r="F2534" s="28" t="s">
        <v>52</v>
      </c>
      <c r="G2534" s="28" t="s">
        <v>20</v>
      </c>
      <c r="H2534" s="28" t="s">
        <v>21</v>
      </c>
      <c r="I2534" s="28" t="s">
        <v>21</v>
      </c>
      <c r="J2534" s="28" t="s">
        <v>8079</v>
      </c>
      <c r="K2534" s="28" t="s">
        <v>8074</v>
      </c>
      <c r="L2534" s="28" t="s">
        <v>66</v>
      </c>
      <c r="M2534" s="28" t="s">
        <v>21</v>
      </c>
      <c r="O2534" s="92">
        <v>37720</v>
      </c>
      <c r="P2534" s="28" t="s">
        <v>21</v>
      </c>
      <c r="Q2534" s="26" t="b">
        <v>0</v>
      </c>
      <c r="R2534" s="22">
        <f t="shared" si="42"/>
        <v>71</v>
      </c>
    </row>
    <row r="2535" spans="1:18">
      <c r="A2535" s="26">
        <v>6792</v>
      </c>
      <c r="B2535" s="27">
        <v>37649</v>
      </c>
      <c r="C2535" s="28" t="s">
        <v>8080</v>
      </c>
      <c r="D2535" s="27">
        <v>37649</v>
      </c>
      <c r="E2535" s="28" t="s">
        <v>283</v>
      </c>
      <c r="F2535" s="28" t="s">
        <v>7754</v>
      </c>
      <c r="G2535" s="28" t="s">
        <v>20</v>
      </c>
      <c r="H2535" s="28" t="s">
        <v>21</v>
      </c>
      <c r="I2535" s="28" t="s">
        <v>21</v>
      </c>
      <c r="J2535" s="28" t="s">
        <v>8081</v>
      </c>
      <c r="K2535" s="28" t="s">
        <v>8082</v>
      </c>
      <c r="L2535" s="28" t="s">
        <v>66</v>
      </c>
      <c r="M2535" s="28" t="s">
        <v>21</v>
      </c>
      <c r="O2535" s="92">
        <v>37725</v>
      </c>
      <c r="P2535" s="28" t="s">
        <v>21</v>
      </c>
      <c r="Q2535" s="26" t="b">
        <v>0</v>
      </c>
      <c r="R2535" s="22">
        <f t="shared" si="42"/>
        <v>77</v>
      </c>
    </row>
    <row r="2536" spans="1:18">
      <c r="A2536" s="26">
        <v>6795</v>
      </c>
      <c r="B2536" s="27">
        <v>37649</v>
      </c>
      <c r="C2536" s="28" t="s">
        <v>8089</v>
      </c>
      <c r="D2536" s="27">
        <v>37649</v>
      </c>
      <c r="E2536" s="28" t="s">
        <v>283</v>
      </c>
      <c r="F2536" s="28" t="s">
        <v>94</v>
      </c>
      <c r="G2536" s="28" t="s">
        <v>20</v>
      </c>
      <c r="H2536" s="28" t="s">
        <v>21</v>
      </c>
      <c r="I2536" s="28" t="s">
        <v>21</v>
      </c>
      <c r="J2536" s="28" t="s">
        <v>8090</v>
      </c>
      <c r="K2536" s="28" t="s">
        <v>8091</v>
      </c>
      <c r="L2536" s="28" t="s">
        <v>314</v>
      </c>
      <c r="M2536" s="28" t="s">
        <v>21</v>
      </c>
      <c r="O2536" s="92">
        <v>37742</v>
      </c>
      <c r="P2536" s="28" t="s">
        <v>21</v>
      </c>
      <c r="Q2536" s="26" t="b">
        <v>0</v>
      </c>
      <c r="R2536" s="22">
        <f t="shared" si="42"/>
        <v>94</v>
      </c>
    </row>
    <row r="2537" spans="1:18">
      <c r="A2537" s="26">
        <v>6798</v>
      </c>
      <c r="B2537" s="27">
        <v>37649</v>
      </c>
      <c r="C2537" s="28" t="s">
        <v>8098</v>
      </c>
      <c r="D2537" s="27">
        <v>37649</v>
      </c>
      <c r="E2537" s="28" t="s">
        <v>283</v>
      </c>
      <c r="F2537" s="28" t="s">
        <v>5342</v>
      </c>
      <c r="G2537" s="28" t="s">
        <v>20</v>
      </c>
      <c r="H2537" s="28" t="s">
        <v>21</v>
      </c>
      <c r="I2537" s="28" t="s">
        <v>21</v>
      </c>
      <c r="J2537" s="28" t="s">
        <v>8099</v>
      </c>
      <c r="K2537" s="28" t="s">
        <v>2857</v>
      </c>
      <c r="L2537" s="28" t="s">
        <v>314</v>
      </c>
      <c r="M2537" s="28" t="s">
        <v>21</v>
      </c>
      <c r="O2537" s="92">
        <v>37742</v>
      </c>
      <c r="P2537" s="28" t="s">
        <v>21</v>
      </c>
      <c r="Q2537" s="26" t="b">
        <v>0</v>
      </c>
      <c r="R2537" s="22">
        <f t="shared" si="42"/>
        <v>94</v>
      </c>
    </row>
    <row r="2538" spans="1:18">
      <c r="A2538" s="26">
        <v>6799</v>
      </c>
      <c r="B2538" s="27">
        <v>37649</v>
      </c>
      <c r="C2538" s="28" t="s">
        <v>8100</v>
      </c>
      <c r="D2538" s="27">
        <v>37649</v>
      </c>
      <c r="E2538" s="28" t="s">
        <v>283</v>
      </c>
      <c r="F2538" s="28" t="s">
        <v>5342</v>
      </c>
      <c r="G2538" s="28" t="s">
        <v>20</v>
      </c>
      <c r="H2538" s="28" t="s">
        <v>21</v>
      </c>
      <c r="I2538" s="28" t="s">
        <v>21</v>
      </c>
      <c r="J2538" s="28" t="s">
        <v>8101</v>
      </c>
      <c r="K2538" s="28" t="s">
        <v>8102</v>
      </c>
      <c r="L2538" s="28" t="s">
        <v>314</v>
      </c>
      <c r="M2538" s="28" t="s">
        <v>21</v>
      </c>
      <c r="O2538" s="92">
        <v>37742</v>
      </c>
      <c r="P2538" s="28" t="s">
        <v>21</v>
      </c>
      <c r="Q2538" s="26" t="b">
        <v>0</v>
      </c>
      <c r="R2538" s="22">
        <f t="shared" si="42"/>
        <v>94</v>
      </c>
    </row>
    <row r="2539" spans="1:18">
      <c r="A2539" s="26">
        <v>6800</v>
      </c>
      <c r="B2539" s="27">
        <v>37649</v>
      </c>
      <c r="C2539" s="28" t="s">
        <v>8103</v>
      </c>
      <c r="D2539" s="27">
        <v>37649</v>
      </c>
      <c r="E2539" s="28" t="s">
        <v>283</v>
      </c>
      <c r="F2539" s="28" t="s">
        <v>94</v>
      </c>
      <c r="G2539" s="28" t="s">
        <v>20</v>
      </c>
      <c r="H2539" s="28" t="s">
        <v>21</v>
      </c>
      <c r="I2539" s="28" t="s">
        <v>21</v>
      </c>
      <c r="J2539" s="28" t="s">
        <v>8104</v>
      </c>
      <c r="K2539" s="28" t="s">
        <v>8105</v>
      </c>
      <c r="L2539" s="28" t="s">
        <v>314</v>
      </c>
      <c r="M2539" s="28" t="s">
        <v>21</v>
      </c>
      <c r="O2539" s="92">
        <v>37742</v>
      </c>
      <c r="P2539" s="28" t="s">
        <v>21</v>
      </c>
      <c r="Q2539" s="26" t="b">
        <v>0</v>
      </c>
      <c r="R2539" s="22">
        <f t="shared" si="42"/>
        <v>94</v>
      </c>
    </row>
    <row r="2540" spans="1:18">
      <c r="A2540" s="26">
        <v>6802</v>
      </c>
      <c r="B2540" s="27">
        <v>37649</v>
      </c>
      <c r="C2540" s="28" t="s">
        <v>8106</v>
      </c>
      <c r="D2540" s="27">
        <v>37649</v>
      </c>
      <c r="E2540" s="28" t="s">
        <v>283</v>
      </c>
      <c r="F2540" s="28" t="s">
        <v>283</v>
      </c>
      <c r="G2540" s="28" t="s">
        <v>20</v>
      </c>
      <c r="H2540" s="28" t="s">
        <v>21</v>
      </c>
      <c r="I2540" s="28" t="s">
        <v>21</v>
      </c>
      <c r="J2540" s="28" t="s">
        <v>8107</v>
      </c>
      <c r="K2540" s="28" t="s">
        <v>8108</v>
      </c>
      <c r="L2540" s="28" t="s">
        <v>314</v>
      </c>
      <c r="M2540" s="28" t="s">
        <v>21</v>
      </c>
      <c r="O2540" s="92">
        <v>37742</v>
      </c>
      <c r="P2540" s="28" t="s">
        <v>21</v>
      </c>
      <c r="Q2540" s="26" t="b">
        <v>0</v>
      </c>
      <c r="R2540" s="22">
        <f t="shared" si="42"/>
        <v>94</v>
      </c>
    </row>
    <row r="2541" spans="1:18">
      <c r="A2541" s="26">
        <v>6815</v>
      </c>
      <c r="B2541" s="27">
        <v>37649</v>
      </c>
      <c r="C2541" s="28" t="s">
        <v>8131</v>
      </c>
      <c r="D2541" s="27">
        <v>37649</v>
      </c>
      <c r="E2541" s="28" t="s">
        <v>283</v>
      </c>
      <c r="F2541" s="28" t="s">
        <v>19</v>
      </c>
      <c r="G2541" s="28" t="s">
        <v>20</v>
      </c>
      <c r="H2541" s="28" t="s">
        <v>21</v>
      </c>
      <c r="I2541" s="28" t="s">
        <v>21</v>
      </c>
      <c r="J2541" s="28" t="s">
        <v>8132</v>
      </c>
      <c r="K2541" s="28" t="s">
        <v>8133</v>
      </c>
      <c r="L2541" s="28" t="s">
        <v>66</v>
      </c>
      <c r="M2541" s="28" t="s">
        <v>21</v>
      </c>
      <c r="O2541" s="92">
        <v>37714</v>
      </c>
      <c r="P2541" s="28" t="s">
        <v>21</v>
      </c>
      <c r="Q2541" s="26" t="b">
        <v>0</v>
      </c>
      <c r="R2541" s="22">
        <f t="shared" si="42"/>
        <v>65</v>
      </c>
    </row>
    <row r="2542" spans="1:18">
      <c r="A2542" s="26">
        <v>6822</v>
      </c>
      <c r="B2542" s="27">
        <v>37649</v>
      </c>
      <c r="C2542" s="28" t="s">
        <v>8146</v>
      </c>
      <c r="D2542" s="27">
        <v>37649</v>
      </c>
      <c r="E2542" s="28" t="s">
        <v>283</v>
      </c>
      <c r="F2542" s="28" t="s">
        <v>149</v>
      </c>
      <c r="G2542" s="28" t="s">
        <v>20</v>
      </c>
      <c r="H2542" s="28" t="s">
        <v>21</v>
      </c>
      <c r="I2542" s="28" t="s">
        <v>21</v>
      </c>
      <c r="J2542" s="28" t="s">
        <v>8147</v>
      </c>
      <c r="K2542" s="28" t="s">
        <v>8148</v>
      </c>
      <c r="L2542" s="28" t="s">
        <v>4282</v>
      </c>
      <c r="M2542" s="28" t="s">
        <v>21</v>
      </c>
      <c r="O2542" s="92">
        <v>37802</v>
      </c>
      <c r="P2542" s="28" t="s">
        <v>21</v>
      </c>
      <c r="Q2542" s="26" t="b">
        <v>0</v>
      </c>
      <c r="R2542" s="22">
        <f t="shared" si="42"/>
        <v>154</v>
      </c>
    </row>
    <row r="2543" spans="1:18">
      <c r="A2543" s="26">
        <v>6824</v>
      </c>
      <c r="B2543" s="27">
        <v>37649</v>
      </c>
      <c r="C2543" s="28" t="s">
        <v>8152</v>
      </c>
      <c r="D2543" s="27">
        <v>37649</v>
      </c>
      <c r="E2543" s="28" t="s">
        <v>283</v>
      </c>
      <c r="F2543" s="28" t="s">
        <v>94</v>
      </c>
      <c r="G2543" s="28" t="s">
        <v>20</v>
      </c>
      <c r="H2543" s="28" t="s">
        <v>21</v>
      </c>
      <c r="I2543" s="28" t="s">
        <v>21</v>
      </c>
      <c r="J2543" s="28" t="s">
        <v>8153</v>
      </c>
      <c r="K2543" s="28" t="s">
        <v>8154</v>
      </c>
      <c r="L2543" s="28" t="s">
        <v>4282</v>
      </c>
      <c r="M2543" s="28" t="s">
        <v>21</v>
      </c>
      <c r="O2543" s="92">
        <v>37802</v>
      </c>
      <c r="P2543" s="28" t="s">
        <v>21</v>
      </c>
      <c r="Q2543" s="26" t="b">
        <v>0</v>
      </c>
      <c r="R2543" s="22">
        <f t="shared" si="42"/>
        <v>154</v>
      </c>
    </row>
    <row r="2544" spans="1:18">
      <c r="A2544" s="26">
        <v>6825</v>
      </c>
      <c r="B2544" s="27">
        <v>37649</v>
      </c>
      <c r="C2544" s="28" t="s">
        <v>8155</v>
      </c>
      <c r="D2544" s="27">
        <v>37649</v>
      </c>
      <c r="E2544" s="28" t="s">
        <v>283</v>
      </c>
      <c r="F2544" s="28" t="s">
        <v>94</v>
      </c>
      <c r="G2544" s="28" t="s">
        <v>20</v>
      </c>
      <c r="H2544" s="28" t="s">
        <v>21</v>
      </c>
      <c r="I2544" s="28" t="s">
        <v>21</v>
      </c>
      <c r="J2544" s="28" t="s">
        <v>8156</v>
      </c>
      <c r="K2544" s="28" t="s">
        <v>8154</v>
      </c>
      <c r="L2544" s="28" t="s">
        <v>4282</v>
      </c>
      <c r="M2544" s="28" t="s">
        <v>21</v>
      </c>
      <c r="O2544" s="92">
        <v>37802</v>
      </c>
      <c r="P2544" s="28" t="s">
        <v>21</v>
      </c>
      <c r="Q2544" s="26" t="b">
        <v>0</v>
      </c>
      <c r="R2544" s="22">
        <f t="shared" si="42"/>
        <v>154</v>
      </c>
    </row>
    <row r="2545" spans="1:18">
      <c r="A2545" s="26">
        <v>6826</v>
      </c>
      <c r="B2545" s="27">
        <v>37649</v>
      </c>
      <c r="C2545" s="28" t="s">
        <v>8157</v>
      </c>
      <c r="D2545" s="27">
        <v>37649</v>
      </c>
      <c r="E2545" s="28" t="s">
        <v>283</v>
      </c>
      <c r="F2545" s="28" t="s">
        <v>94</v>
      </c>
      <c r="G2545" s="28" t="s">
        <v>20</v>
      </c>
      <c r="H2545" s="28" t="s">
        <v>21</v>
      </c>
      <c r="I2545" s="28" t="s">
        <v>21</v>
      </c>
      <c r="J2545" s="28" t="s">
        <v>8158</v>
      </c>
      <c r="K2545" s="28" t="s">
        <v>8159</v>
      </c>
      <c r="L2545" s="28" t="s">
        <v>4282</v>
      </c>
      <c r="M2545" s="28" t="s">
        <v>21</v>
      </c>
      <c r="O2545" s="92">
        <v>37802</v>
      </c>
      <c r="P2545" s="28" t="s">
        <v>21</v>
      </c>
      <c r="Q2545" s="26" t="b">
        <v>0</v>
      </c>
      <c r="R2545" s="22">
        <f t="shared" si="42"/>
        <v>154</v>
      </c>
    </row>
    <row r="2546" spans="1:18">
      <c r="A2546" s="26">
        <v>6836</v>
      </c>
      <c r="B2546" s="27">
        <v>37649</v>
      </c>
      <c r="C2546" s="28" t="s">
        <v>8178</v>
      </c>
      <c r="D2546" s="27">
        <v>37649</v>
      </c>
      <c r="E2546" s="28" t="s">
        <v>283</v>
      </c>
      <c r="F2546" s="28" t="s">
        <v>5342</v>
      </c>
      <c r="G2546" s="28" t="s">
        <v>20</v>
      </c>
      <c r="H2546" s="28" t="s">
        <v>21</v>
      </c>
      <c r="I2546" s="28" t="s">
        <v>21</v>
      </c>
      <c r="J2546" s="28" t="s">
        <v>8179</v>
      </c>
      <c r="K2546" s="28" t="s">
        <v>8180</v>
      </c>
      <c r="L2546" s="28" t="s">
        <v>314</v>
      </c>
      <c r="M2546" s="28" t="s">
        <v>21</v>
      </c>
      <c r="O2546" s="92">
        <v>37725</v>
      </c>
      <c r="P2546" s="28" t="s">
        <v>21</v>
      </c>
      <c r="Q2546" s="26" t="b">
        <v>0</v>
      </c>
      <c r="R2546" s="22">
        <f t="shared" si="42"/>
        <v>77</v>
      </c>
    </row>
    <row r="2547" spans="1:18">
      <c r="A2547" s="26">
        <v>6839</v>
      </c>
      <c r="B2547" s="27">
        <v>37649</v>
      </c>
      <c r="C2547" s="28" t="s">
        <v>8181</v>
      </c>
      <c r="D2547" s="27">
        <v>37649</v>
      </c>
      <c r="E2547" s="28" t="s">
        <v>283</v>
      </c>
      <c r="F2547" s="28" t="s">
        <v>395</v>
      </c>
      <c r="G2547" s="28" t="s">
        <v>20</v>
      </c>
      <c r="H2547" s="28" t="s">
        <v>21</v>
      </c>
      <c r="I2547" s="28" t="s">
        <v>21</v>
      </c>
      <c r="J2547" s="28" t="s">
        <v>8182</v>
      </c>
      <c r="K2547" s="28" t="s">
        <v>8183</v>
      </c>
      <c r="L2547" s="28" t="s">
        <v>66</v>
      </c>
      <c r="M2547" s="28" t="s">
        <v>21</v>
      </c>
      <c r="O2547" s="92">
        <v>37722</v>
      </c>
      <c r="P2547" s="28" t="s">
        <v>21</v>
      </c>
      <c r="Q2547" s="26" t="b">
        <v>0</v>
      </c>
      <c r="R2547" s="22">
        <f t="shared" si="42"/>
        <v>74</v>
      </c>
    </row>
    <row r="2548" spans="1:18">
      <c r="A2548" s="26">
        <v>6840</v>
      </c>
      <c r="B2548" s="27">
        <v>37649</v>
      </c>
      <c r="C2548" s="28" t="s">
        <v>8184</v>
      </c>
      <c r="D2548" s="27">
        <v>37649</v>
      </c>
      <c r="E2548" s="28" t="s">
        <v>283</v>
      </c>
      <c r="F2548" s="28" t="s">
        <v>395</v>
      </c>
      <c r="G2548" s="28" t="s">
        <v>20</v>
      </c>
      <c r="H2548" s="28" t="s">
        <v>21</v>
      </c>
      <c r="I2548" s="28" t="s">
        <v>21</v>
      </c>
      <c r="J2548" s="28" t="s">
        <v>8185</v>
      </c>
      <c r="K2548" s="28" t="s">
        <v>8186</v>
      </c>
      <c r="L2548" s="28" t="s">
        <v>66</v>
      </c>
      <c r="M2548" s="28" t="s">
        <v>21</v>
      </c>
      <c r="O2548" s="92">
        <v>37733</v>
      </c>
      <c r="P2548" s="28" t="s">
        <v>21</v>
      </c>
      <c r="Q2548" s="26" t="b">
        <v>0</v>
      </c>
      <c r="R2548" s="22">
        <f t="shared" si="42"/>
        <v>85</v>
      </c>
    </row>
    <row r="2549" spans="1:18">
      <c r="A2549" s="26">
        <v>6841</v>
      </c>
      <c r="B2549" s="27">
        <v>37649</v>
      </c>
      <c r="C2549" s="28" t="s">
        <v>8187</v>
      </c>
      <c r="D2549" s="27">
        <v>37649</v>
      </c>
      <c r="E2549" s="28" t="s">
        <v>283</v>
      </c>
      <c r="F2549" s="28" t="s">
        <v>2943</v>
      </c>
      <c r="G2549" s="28" t="s">
        <v>20</v>
      </c>
      <c r="H2549" s="28" t="s">
        <v>21</v>
      </c>
      <c r="I2549" s="28" t="s">
        <v>21</v>
      </c>
      <c r="J2549" s="28" t="s">
        <v>8188</v>
      </c>
      <c r="K2549" s="28" t="s">
        <v>7241</v>
      </c>
      <c r="L2549" s="28" t="s">
        <v>66</v>
      </c>
      <c r="M2549" s="28" t="s">
        <v>21</v>
      </c>
      <c r="O2549" s="92">
        <v>37663</v>
      </c>
      <c r="P2549" s="28" t="s">
        <v>21</v>
      </c>
      <c r="Q2549" s="26" t="b">
        <v>0</v>
      </c>
      <c r="R2549" s="22">
        <f t="shared" si="42"/>
        <v>13</v>
      </c>
    </row>
    <row r="2550" spans="1:18" ht="24">
      <c r="A2550" s="26">
        <v>6843</v>
      </c>
      <c r="B2550" s="27">
        <v>37649</v>
      </c>
      <c r="C2550" s="28" t="s">
        <v>8189</v>
      </c>
      <c r="D2550" s="27">
        <v>37649</v>
      </c>
      <c r="E2550" s="28" t="s">
        <v>283</v>
      </c>
      <c r="F2550" s="28" t="s">
        <v>19</v>
      </c>
      <c r="G2550" s="28" t="s">
        <v>20</v>
      </c>
      <c r="H2550" s="28" t="s">
        <v>21</v>
      </c>
      <c r="I2550" s="28" t="s">
        <v>21</v>
      </c>
      <c r="J2550" s="28" t="s">
        <v>8190</v>
      </c>
      <c r="K2550" s="28" t="s">
        <v>8191</v>
      </c>
      <c r="L2550" s="28" t="s">
        <v>66</v>
      </c>
      <c r="M2550" s="28" t="s">
        <v>21</v>
      </c>
      <c r="O2550" s="92">
        <v>37721</v>
      </c>
      <c r="P2550" s="28" t="s">
        <v>21</v>
      </c>
      <c r="Q2550" s="26" t="b">
        <v>0</v>
      </c>
      <c r="R2550" s="22">
        <f t="shared" si="42"/>
        <v>73</v>
      </c>
    </row>
    <row r="2551" spans="1:18">
      <c r="A2551" s="26">
        <v>6844</v>
      </c>
      <c r="B2551" s="27">
        <v>37649</v>
      </c>
      <c r="C2551" s="28" t="s">
        <v>8192</v>
      </c>
      <c r="D2551" s="27">
        <v>37649</v>
      </c>
      <c r="E2551" s="28" t="s">
        <v>283</v>
      </c>
      <c r="F2551" s="28" t="s">
        <v>395</v>
      </c>
      <c r="G2551" s="28" t="s">
        <v>20</v>
      </c>
      <c r="H2551" s="28" t="s">
        <v>21</v>
      </c>
      <c r="I2551" s="28" t="s">
        <v>21</v>
      </c>
      <c r="J2551" s="28" t="s">
        <v>8193</v>
      </c>
      <c r="K2551" s="28" t="s">
        <v>8194</v>
      </c>
      <c r="L2551" s="28" t="s">
        <v>66</v>
      </c>
      <c r="M2551" s="28" t="s">
        <v>21</v>
      </c>
      <c r="O2551" s="92">
        <v>37715</v>
      </c>
      <c r="P2551" s="28" t="s">
        <v>21</v>
      </c>
      <c r="Q2551" s="26" t="b">
        <v>0</v>
      </c>
      <c r="R2551" s="22">
        <f t="shared" si="42"/>
        <v>66</v>
      </c>
    </row>
    <row r="2552" spans="1:18">
      <c r="A2552" s="26">
        <v>6845</v>
      </c>
      <c r="B2552" s="27">
        <v>37649</v>
      </c>
      <c r="C2552" s="28" t="s">
        <v>8195</v>
      </c>
      <c r="D2552" s="27">
        <v>37649</v>
      </c>
      <c r="E2552" s="28" t="s">
        <v>283</v>
      </c>
      <c r="F2552" s="28" t="s">
        <v>395</v>
      </c>
      <c r="G2552" s="28" t="s">
        <v>20</v>
      </c>
      <c r="H2552" s="28" t="s">
        <v>21</v>
      </c>
      <c r="I2552" s="28" t="s">
        <v>21</v>
      </c>
      <c r="J2552" s="28" t="s">
        <v>8196</v>
      </c>
      <c r="K2552" s="28" t="s">
        <v>1112</v>
      </c>
      <c r="L2552" s="28" t="s">
        <v>66</v>
      </c>
      <c r="M2552" s="28" t="s">
        <v>21</v>
      </c>
      <c r="O2552" s="92">
        <v>37722</v>
      </c>
      <c r="P2552" s="28" t="s">
        <v>21</v>
      </c>
      <c r="Q2552" s="26" t="b">
        <v>0</v>
      </c>
      <c r="R2552" s="22">
        <f t="shared" si="42"/>
        <v>74</v>
      </c>
    </row>
    <row r="2553" spans="1:18" ht="24">
      <c r="A2553" s="26">
        <v>6847</v>
      </c>
      <c r="B2553" s="27">
        <v>37649</v>
      </c>
      <c r="C2553" s="28" t="s">
        <v>8200</v>
      </c>
      <c r="D2553" s="27">
        <v>37649</v>
      </c>
      <c r="E2553" s="28" t="s">
        <v>283</v>
      </c>
      <c r="F2553" s="28" t="s">
        <v>149</v>
      </c>
      <c r="G2553" s="28" t="s">
        <v>20</v>
      </c>
      <c r="H2553" s="28" t="s">
        <v>21</v>
      </c>
      <c r="I2553" s="28" t="s">
        <v>21</v>
      </c>
      <c r="J2553" s="28" t="s">
        <v>8201</v>
      </c>
      <c r="K2553" s="28" t="s">
        <v>8202</v>
      </c>
      <c r="L2553" s="28" t="s">
        <v>4282</v>
      </c>
      <c r="M2553" s="28" t="s">
        <v>21</v>
      </c>
      <c r="O2553" s="92">
        <v>37742</v>
      </c>
      <c r="P2553" s="28" t="s">
        <v>21</v>
      </c>
      <c r="Q2553" s="26" t="b">
        <v>0</v>
      </c>
      <c r="R2553" s="22">
        <f t="shared" si="42"/>
        <v>94</v>
      </c>
    </row>
    <row r="2554" spans="1:18" ht="24">
      <c r="A2554" s="26">
        <v>6848</v>
      </c>
      <c r="B2554" s="27">
        <v>37649</v>
      </c>
      <c r="C2554" s="28" t="s">
        <v>8203</v>
      </c>
      <c r="D2554" s="27">
        <v>37649</v>
      </c>
      <c r="E2554" s="28" t="s">
        <v>283</v>
      </c>
      <c r="F2554" s="28" t="s">
        <v>149</v>
      </c>
      <c r="G2554" s="28" t="s">
        <v>20</v>
      </c>
      <c r="H2554" s="28" t="s">
        <v>21</v>
      </c>
      <c r="I2554" s="28" t="s">
        <v>21</v>
      </c>
      <c r="J2554" s="28" t="s">
        <v>8204</v>
      </c>
      <c r="K2554" s="28" t="s">
        <v>8205</v>
      </c>
      <c r="L2554" s="28" t="s">
        <v>4282</v>
      </c>
      <c r="M2554" s="28" t="s">
        <v>21</v>
      </c>
      <c r="O2554" s="92">
        <v>37742</v>
      </c>
      <c r="P2554" s="28" t="s">
        <v>21</v>
      </c>
      <c r="Q2554" s="26" t="b">
        <v>0</v>
      </c>
      <c r="R2554" s="22">
        <f t="shared" si="42"/>
        <v>94</v>
      </c>
    </row>
    <row r="2555" spans="1:18">
      <c r="A2555" s="26">
        <v>6779</v>
      </c>
      <c r="B2555" s="27">
        <v>37650</v>
      </c>
      <c r="C2555" s="28" t="s">
        <v>8049</v>
      </c>
      <c r="D2555" s="27">
        <v>37650</v>
      </c>
      <c r="E2555" s="28" t="s">
        <v>283</v>
      </c>
      <c r="F2555" s="28" t="s">
        <v>98</v>
      </c>
      <c r="G2555" s="28" t="s">
        <v>20</v>
      </c>
      <c r="H2555" s="28" t="s">
        <v>21</v>
      </c>
      <c r="I2555" s="28" t="s">
        <v>21</v>
      </c>
      <c r="J2555" s="28" t="s">
        <v>8050</v>
      </c>
      <c r="K2555" s="28" t="s">
        <v>8051</v>
      </c>
      <c r="L2555" s="28" t="s">
        <v>4282</v>
      </c>
      <c r="M2555" s="28" t="s">
        <v>21</v>
      </c>
      <c r="O2555" s="92">
        <v>37742</v>
      </c>
      <c r="P2555" s="28" t="s">
        <v>21</v>
      </c>
      <c r="Q2555" s="26" t="b">
        <v>0</v>
      </c>
      <c r="R2555" s="22">
        <f t="shared" si="42"/>
        <v>93</v>
      </c>
    </row>
    <row r="2556" spans="1:18">
      <c r="A2556" s="26">
        <v>6780</v>
      </c>
      <c r="B2556" s="27">
        <v>37650</v>
      </c>
      <c r="C2556" s="28" t="s">
        <v>8052</v>
      </c>
      <c r="D2556" s="27">
        <v>37650</v>
      </c>
      <c r="E2556" s="28" t="s">
        <v>283</v>
      </c>
      <c r="F2556" s="28" t="s">
        <v>98</v>
      </c>
      <c r="G2556" s="28" t="s">
        <v>20</v>
      </c>
      <c r="H2556" s="28" t="s">
        <v>21</v>
      </c>
      <c r="I2556" s="28" t="s">
        <v>21</v>
      </c>
      <c r="J2556" s="28" t="s">
        <v>8053</v>
      </c>
      <c r="K2556" s="28" t="s">
        <v>232</v>
      </c>
      <c r="L2556" s="28" t="s">
        <v>4282</v>
      </c>
      <c r="M2556" s="28" t="s">
        <v>21</v>
      </c>
      <c r="O2556" s="92">
        <v>37742</v>
      </c>
      <c r="P2556" s="28" t="s">
        <v>21</v>
      </c>
      <c r="Q2556" s="26" t="b">
        <v>0</v>
      </c>
      <c r="R2556" s="22">
        <f t="shared" si="42"/>
        <v>93</v>
      </c>
    </row>
    <row r="2557" spans="1:18" ht="24">
      <c r="A2557" s="26">
        <v>6793</v>
      </c>
      <c r="B2557" s="27">
        <v>37650</v>
      </c>
      <c r="C2557" s="28" t="s">
        <v>8083</v>
      </c>
      <c r="D2557" s="27">
        <v>37650</v>
      </c>
      <c r="E2557" s="28" t="s">
        <v>283</v>
      </c>
      <c r="F2557" s="28" t="s">
        <v>39</v>
      </c>
      <c r="G2557" s="28" t="s">
        <v>20</v>
      </c>
      <c r="H2557" s="28" t="s">
        <v>21</v>
      </c>
      <c r="I2557" s="28" t="s">
        <v>21</v>
      </c>
      <c r="J2557" s="28" t="s">
        <v>8084</v>
      </c>
      <c r="K2557" s="28" t="s">
        <v>8085</v>
      </c>
      <c r="L2557" s="28" t="s">
        <v>66</v>
      </c>
      <c r="M2557" s="28" t="s">
        <v>21</v>
      </c>
      <c r="O2557" s="92">
        <v>37739</v>
      </c>
      <c r="P2557" s="28" t="s">
        <v>21</v>
      </c>
      <c r="Q2557" s="26" t="b">
        <v>0</v>
      </c>
      <c r="R2557" s="22">
        <f t="shared" si="42"/>
        <v>90</v>
      </c>
    </row>
    <row r="2558" spans="1:18">
      <c r="A2558" s="26">
        <v>6828</v>
      </c>
      <c r="B2558" s="27">
        <v>37650</v>
      </c>
      <c r="C2558" s="28" t="s">
        <v>8163</v>
      </c>
      <c r="D2558" s="27">
        <v>37650</v>
      </c>
      <c r="E2558" s="28" t="s">
        <v>283</v>
      </c>
      <c r="F2558" s="28" t="s">
        <v>98</v>
      </c>
      <c r="G2558" s="28" t="s">
        <v>20</v>
      </c>
      <c r="H2558" s="28" t="s">
        <v>21</v>
      </c>
      <c r="I2558" s="28" t="s">
        <v>21</v>
      </c>
      <c r="J2558" s="28" t="s">
        <v>8164</v>
      </c>
      <c r="K2558" s="28" t="s">
        <v>8162</v>
      </c>
      <c r="L2558" s="28" t="s">
        <v>4282</v>
      </c>
      <c r="M2558" s="28" t="s">
        <v>21</v>
      </c>
      <c r="O2558" s="92">
        <v>37802</v>
      </c>
      <c r="P2558" s="28" t="s">
        <v>21</v>
      </c>
      <c r="Q2558" s="26" t="b">
        <v>0</v>
      </c>
      <c r="R2558" s="22">
        <f t="shared" si="42"/>
        <v>153</v>
      </c>
    </row>
    <row r="2559" spans="1:18">
      <c r="A2559" s="26">
        <v>6829</v>
      </c>
      <c r="B2559" s="27">
        <v>37650</v>
      </c>
      <c r="C2559" s="28" t="s">
        <v>8165</v>
      </c>
      <c r="D2559" s="27">
        <v>37650</v>
      </c>
      <c r="E2559" s="28" t="s">
        <v>283</v>
      </c>
      <c r="F2559" s="28" t="s">
        <v>98</v>
      </c>
      <c r="G2559" s="28" t="s">
        <v>20</v>
      </c>
      <c r="H2559" s="28" t="s">
        <v>21</v>
      </c>
      <c r="I2559" s="28" t="s">
        <v>21</v>
      </c>
      <c r="J2559" s="28" t="s">
        <v>8166</v>
      </c>
      <c r="K2559" s="28" t="s">
        <v>8162</v>
      </c>
      <c r="L2559" s="28" t="s">
        <v>4282</v>
      </c>
      <c r="M2559" s="28" t="s">
        <v>21</v>
      </c>
      <c r="O2559" s="92">
        <v>37802</v>
      </c>
      <c r="P2559" s="28" t="s">
        <v>21</v>
      </c>
      <c r="Q2559" s="26" t="b">
        <v>0</v>
      </c>
      <c r="R2559" s="22">
        <f t="shared" si="42"/>
        <v>153</v>
      </c>
    </row>
    <row r="2560" spans="1:18">
      <c r="A2560" s="26">
        <v>6832</v>
      </c>
      <c r="B2560" s="27">
        <v>37650</v>
      </c>
      <c r="C2560" s="28" t="s">
        <v>8170</v>
      </c>
      <c r="D2560" s="27">
        <v>37650</v>
      </c>
      <c r="E2560" s="28" t="s">
        <v>283</v>
      </c>
      <c r="F2560" s="28" t="s">
        <v>145</v>
      </c>
      <c r="G2560" s="28" t="s">
        <v>20</v>
      </c>
      <c r="H2560" s="28" t="s">
        <v>21</v>
      </c>
      <c r="I2560" s="28" t="s">
        <v>21</v>
      </c>
      <c r="J2560" s="28" t="s">
        <v>8171</v>
      </c>
      <c r="K2560" s="28" t="s">
        <v>8172</v>
      </c>
      <c r="L2560" s="28" t="s">
        <v>314</v>
      </c>
      <c r="M2560" s="28" t="s">
        <v>21</v>
      </c>
      <c r="O2560" s="92">
        <v>37742</v>
      </c>
      <c r="P2560" s="28" t="s">
        <v>21</v>
      </c>
      <c r="Q2560" s="26" t="b">
        <v>0</v>
      </c>
      <c r="R2560" s="22">
        <f t="shared" si="42"/>
        <v>93</v>
      </c>
    </row>
    <row r="2561" spans="1:18">
      <c r="A2561" s="26">
        <v>6833</v>
      </c>
      <c r="B2561" s="27">
        <v>37650</v>
      </c>
      <c r="C2561" s="28" t="s">
        <v>8173</v>
      </c>
      <c r="D2561" s="27">
        <v>37650</v>
      </c>
      <c r="E2561" s="28" t="s">
        <v>283</v>
      </c>
      <c r="F2561" s="28" t="s">
        <v>19</v>
      </c>
      <c r="G2561" s="28" t="s">
        <v>20</v>
      </c>
      <c r="H2561" s="28" t="s">
        <v>21</v>
      </c>
      <c r="I2561" s="28" t="s">
        <v>21</v>
      </c>
      <c r="J2561" s="28" t="s">
        <v>8174</v>
      </c>
      <c r="K2561" s="28" t="s">
        <v>8172</v>
      </c>
      <c r="L2561" s="28" t="s">
        <v>314</v>
      </c>
      <c r="M2561" s="28" t="s">
        <v>21</v>
      </c>
      <c r="O2561" s="92">
        <v>37728</v>
      </c>
      <c r="P2561" s="28" t="s">
        <v>21</v>
      </c>
      <c r="Q2561" s="26" t="b">
        <v>0</v>
      </c>
      <c r="R2561" s="22">
        <f t="shared" si="42"/>
        <v>79</v>
      </c>
    </row>
    <row r="2562" spans="1:18" ht="24">
      <c r="A2562" s="26">
        <v>6834</v>
      </c>
      <c r="B2562" s="27">
        <v>37650</v>
      </c>
      <c r="C2562" s="28" t="s">
        <v>8175</v>
      </c>
      <c r="D2562" s="27">
        <v>37650</v>
      </c>
      <c r="E2562" s="28" t="s">
        <v>283</v>
      </c>
      <c r="F2562" s="28" t="s">
        <v>19</v>
      </c>
      <c r="G2562" s="28" t="s">
        <v>20</v>
      </c>
      <c r="H2562" s="28" t="s">
        <v>21</v>
      </c>
      <c r="I2562" s="28" t="s">
        <v>21</v>
      </c>
      <c r="J2562" s="28" t="s">
        <v>8176</v>
      </c>
      <c r="K2562" s="28" t="s">
        <v>8177</v>
      </c>
      <c r="L2562" s="28" t="s">
        <v>314</v>
      </c>
      <c r="M2562" s="28" t="s">
        <v>21</v>
      </c>
      <c r="O2562" s="92">
        <v>37728</v>
      </c>
      <c r="P2562" s="28" t="s">
        <v>21</v>
      </c>
      <c r="Q2562" s="26" t="b">
        <v>0</v>
      </c>
      <c r="R2562" s="22">
        <f t="shared" si="42"/>
        <v>79</v>
      </c>
    </row>
    <row r="2563" spans="1:18" ht="24">
      <c r="A2563" s="26">
        <v>6860</v>
      </c>
      <c r="B2563" s="27">
        <v>37650</v>
      </c>
      <c r="C2563" s="28" t="s">
        <v>8230</v>
      </c>
      <c r="D2563" s="27">
        <v>37650</v>
      </c>
      <c r="E2563" s="28" t="s">
        <v>283</v>
      </c>
      <c r="F2563" s="28" t="s">
        <v>733</v>
      </c>
      <c r="G2563" s="28" t="s">
        <v>20</v>
      </c>
      <c r="H2563" s="28" t="s">
        <v>21</v>
      </c>
      <c r="I2563" s="28" t="s">
        <v>21</v>
      </c>
      <c r="J2563" s="28" t="s">
        <v>8231</v>
      </c>
      <c r="K2563" s="28" t="s">
        <v>8232</v>
      </c>
      <c r="L2563" s="28" t="s">
        <v>314</v>
      </c>
      <c r="M2563" s="28" t="s">
        <v>21</v>
      </c>
      <c r="O2563" s="92">
        <v>37742</v>
      </c>
      <c r="P2563" s="28" t="s">
        <v>21</v>
      </c>
      <c r="Q2563" s="26" t="b">
        <v>0</v>
      </c>
      <c r="R2563" s="22">
        <f t="shared" si="42"/>
        <v>93</v>
      </c>
    </row>
    <row r="2564" spans="1:18" ht="24">
      <c r="A2564" s="26">
        <v>6861</v>
      </c>
      <c r="B2564" s="27">
        <v>37650</v>
      </c>
      <c r="C2564" s="28" t="s">
        <v>8233</v>
      </c>
      <c r="D2564" s="27">
        <v>37650</v>
      </c>
      <c r="E2564" s="28" t="s">
        <v>283</v>
      </c>
      <c r="F2564" s="28" t="s">
        <v>733</v>
      </c>
      <c r="G2564" s="28" t="s">
        <v>20</v>
      </c>
      <c r="H2564" s="28" t="s">
        <v>21</v>
      </c>
      <c r="I2564" s="28" t="s">
        <v>21</v>
      </c>
      <c r="J2564" s="28" t="s">
        <v>8234</v>
      </c>
      <c r="K2564" s="28" t="s">
        <v>8235</v>
      </c>
      <c r="L2564" s="28" t="s">
        <v>314</v>
      </c>
      <c r="M2564" s="28" t="s">
        <v>21</v>
      </c>
      <c r="O2564" s="92">
        <v>37742</v>
      </c>
      <c r="P2564" s="28" t="s">
        <v>21</v>
      </c>
      <c r="Q2564" s="26" t="b">
        <v>0</v>
      </c>
      <c r="R2564" s="22">
        <f t="shared" si="42"/>
        <v>93</v>
      </c>
    </row>
    <row r="2565" spans="1:18">
      <c r="A2565" s="26">
        <v>6863</v>
      </c>
      <c r="B2565" s="27">
        <v>37650</v>
      </c>
      <c r="C2565" s="28" t="s">
        <v>8236</v>
      </c>
      <c r="D2565" s="27">
        <v>37650</v>
      </c>
      <c r="E2565" s="28" t="s">
        <v>283</v>
      </c>
      <c r="F2565" s="28" t="s">
        <v>733</v>
      </c>
      <c r="G2565" s="28" t="s">
        <v>20</v>
      </c>
      <c r="H2565" s="28" t="s">
        <v>21</v>
      </c>
      <c r="I2565" s="28" t="s">
        <v>21</v>
      </c>
      <c r="J2565" s="28" t="s">
        <v>8237</v>
      </c>
      <c r="K2565" s="28" t="s">
        <v>8238</v>
      </c>
      <c r="L2565" s="28" t="s">
        <v>314</v>
      </c>
      <c r="M2565" s="28" t="s">
        <v>21</v>
      </c>
      <c r="O2565" s="92">
        <v>37742</v>
      </c>
      <c r="P2565" s="28" t="s">
        <v>21</v>
      </c>
      <c r="Q2565" s="26" t="b">
        <v>0</v>
      </c>
      <c r="R2565" s="22">
        <f t="shared" si="42"/>
        <v>93</v>
      </c>
    </row>
    <row r="2566" spans="1:18">
      <c r="A2566" s="26">
        <v>6864</v>
      </c>
      <c r="B2566" s="27">
        <v>37650</v>
      </c>
      <c r="C2566" s="28" t="s">
        <v>8239</v>
      </c>
      <c r="D2566" s="27">
        <v>37650</v>
      </c>
      <c r="E2566" s="28" t="s">
        <v>283</v>
      </c>
      <c r="F2566" s="28" t="s">
        <v>733</v>
      </c>
      <c r="G2566" s="28" t="s">
        <v>20</v>
      </c>
      <c r="H2566" s="28" t="s">
        <v>21</v>
      </c>
      <c r="I2566" s="28" t="s">
        <v>21</v>
      </c>
      <c r="J2566" s="28" t="s">
        <v>8240</v>
      </c>
      <c r="K2566" s="28" t="s">
        <v>8241</v>
      </c>
      <c r="L2566" s="28" t="s">
        <v>314</v>
      </c>
      <c r="M2566" s="28" t="s">
        <v>21</v>
      </c>
      <c r="O2566" s="92">
        <v>37728</v>
      </c>
      <c r="P2566" s="28" t="s">
        <v>21</v>
      </c>
      <c r="Q2566" s="26" t="b">
        <v>0</v>
      </c>
      <c r="R2566" s="22">
        <f t="shared" si="42"/>
        <v>79</v>
      </c>
    </row>
    <row r="2567" spans="1:18">
      <c r="A2567" s="26">
        <v>6880</v>
      </c>
      <c r="B2567" s="27">
        <v>37650</v>
      </c>
      <c r="C2567" s="28" t="s">
        <v>8280</v>
      </c>
      <c r="D2567" s="27">
        <v>37650</v>
      </c>
      <c r="E2567" s="28" t="s">
        <v>8281</v>
      </c>
      <c r="F2567" s="28" t="s">
        <v>52</v>
      </c>
      <c r="G2567" s="28" t="s">
        <v>20</v>
      </c>
      <c r="H2567" s="28" t="s">
        <v>21</v>
      </c>
      <c r="I2567" s="28" t="s">
        <v>21</v>
      </c>
      <c r="J2567" s="28" t="s">
        <v>8282</v>
      </c>
      <c r="K2567" s="28" t="s">
        <v>8283</v>
      </c>
      <c r="L2567" s="28" t="s">
        <v>66</v>
      </c>
      <c r="M2567" s="28" t="s">
        <v>21</v>
      </c>
      <c r="O2567" s="92">
        <v>37679</v>
      </c>
      <c r="P2567" s="28" t="s">
        <v>31</v>
      </c>
      <c r="Q2567" s="26" t="b">
        <v>0</v>
      </c>
      <c r="R2567" s="22">
        <f t="shared" si="42"/>
        <v>28</v>
      </c>
    </row>
    <row r="2568" spans="1:18" ht="24">
      <c r="A2568" s="26">
        <v>6865</v>
      </c>
      <c r="B2568" s="27">
        <v>37651</v>
      </c>
      <c r="C2568" s="28" t="s">
        <v>8242</v>
      </c>
      <c r="D2568" s="27">
        <v>37651</v>
      </c>
      <c r="E2568" s="28" t="s">
        <v>283</v>
      </c>
      <c r="F2568" s="28" t="s">
        <v>1939</v>
      </c>
      <c r="G2568" s="28" t="s">
        <v>20</v>
      </c>
      <c r="H2568" s="28" t="s">
        <v>21</v>
      </c>
      <c r="I2568" s="28" t="s">
        <v>21</v>
      </c>
      <c r="J2568" s="28" t="s">
        <v>8243</v>
      </c>
      <c r="K2568" s="28" t="s">
        <v>8244</v>
      </c>
      <c r="L2568" s="28" t="s">
        <v>314</v>
      </c>
      <c r="M2568" s="28" t="s">
        <v>21</v>
      </c>
      <c r="O2568" s="92">
        <v>37768</v>
      </c>
      <c r="P2568" s="28" t="s">
        <v>21</v>
      </c>
      <c r="Q2568" s="26" t="b">
        <v>0</v>
      </c>
      <c r="R2568" s="22">
        <f t="shared" si="42"/>
        <v>118</v>
      </c>
    </row>
    <row r="2569" spans="1:18" ht="24">
      <c r="A2569" s="26">
        <v>6866</v>
      </c>
      <c r="B2569" s="27">
        <v>37651</v>
      </c>
      <c r="C2569" s="28" t="s">
        <v>8245</v>
      </c>
      <c r="D2569" s="27">
        <v>37651</v>
      </c>
      <c r="E2569" s="28" t="s">
        <v>283</v>
      </c>
      <c r="F2569" s="28" t="s">
        <v>1939</v>
      </c>
      <c r="G2569" s="28" t="s">
        <v>20</v>
      </c>
      <c r="H2569" s="28" t="s">
        <v>21</v>
      </c>
      <c r="I2569" s="28" t="s">
        <v>21</v>
      </c>
      <c r="J2569" s="28" t="s">
        <v>8246</v>
      </c>
      <c r="K2569" s="28" t="s">
        <v>8247</v>
      </c>
      <c r="L2569" s="28" t="s">
        <v>314</v>
      </c>
      <c r="M2569" s="28" t="s">
        <v>21</v>
      </c>
      <c r="O2569" s="92">
        <v>37742</v>
      </c>
      <c r="P2569" s="28" t="s">
        <v>21</v>
      </c>
      <c r="Q2569" s="26" t="b">
        <v>0</v>
      </c>
      <c r="R2569" s="22">
        <f t="shared" si="42"/>
        <v>92</v>
      </c>
    </row>
    <row r="2570" spans="1:18">
      <c r="A2570" s="26">
        <v>6867</v>
      </c>
      <c r="B2570" s="27">
        <v>37651</v>
      </c>
      <c r="C2570" s="28" t="s">
        <v>8248</v>
      </c>
      <c r="D2570" s="27">
        <v>37651</v>
      </c>
      <c r="E2570" s="28" t="s">
        <v>283</v>
      </c>
      <c r="F2570" s="28" t="s">
        <v>733</v>
      </c>
      <c r="G2570" s="28" t="s">
        <v>20</v>
      </c>
      <c r="H2570" s="28" t="s">
        <v>21</v>
      </c>
      <c r="I2570" s="28" t="s">
        <v>21</v>
      </c>
      <c r="J2570" s="28" t="s">
        <v>8249</v>
      </c>
      <c r="K2570" s="28" t="s">
        <v>8250</v>
      </c>
      <c r="L2570" s="28" t="s">
        <v>314</v>
      </c>
      <c r="M2570" s="28" t="s">
        <v>21</v>
      </c>
      <c r="O2570" s="92">
        <v>37742</v>
      </c>
      <c r="P2570" s="28" t="s">
        <v>21</v>
      </c>
      <c r="Q2570" s="26" t="b">
        <v>0</v>
      </c>
      <c r="R2570" s="22">
        <f t="shared" si="42"/>
        <v>92</v>
      </c>
    </row>
    <row r="2571" spans="1:18">
      <c r="A2571" s="26">
        <v>6868</v>
      </c>
      <c r="B2571" s="27">
        <v>37651</v>
      </c>
      <c r="C2571" s="28" t="s">
        <v>8251</v>
      </c>
      <c r="D2571" s="27">
        <v>37651</v>
      </c>
      <c r="E2571" s="28" t="s">
        <v>283</v>
      </c>
      <c r="F2571" s="28" t="s">
        <v>52</v>
      </c>
      <c r="G2571" s="28" t="s">
        <v>20</v>
      </c>
      <c r="H2571" s="28" t="s">
        <v>21</v>
      </c>
      <c r="I2571" s="28" t="s">
        <v>21</v>
      </c>
      <c r="J2571" s="28" t="s">
        <v>8252</v>
      </c>
      <c r="K2571" s="28" t="s">
        <v>8253</v>
      </c>
      <c r="L2571" s="28" t="s">
        <v>314</v>
      </c>
      <c r="M2571" s="28" t="s">
        <v>21</v>
      </c>
      <c r="O2571" s="92">
        <v>37728</v>
      </c>
      <c r="P2571" s="28" t="s">
        <v>21</v>
      </c>
      <c r="Q2571" s="26" t="b">
        <v>0</v>
      </c>
      <c r="R2571" s="22">
        <f t="shared" si="42"/>
        <v>78</v>
      </c>
    </row>
    <row r="2572" spans="1:18">
      <c r="A2572" s="26">
        <v>6869</v>
      </c>
      <c r="B2572" s="27">
        <v>37651</v>
      </c>
      <c r="C2572" s="28" t="s">
        <v>8242</v>
      </c>
      <c r="D2572" s="27">
        <v>37651</v>
      </c>
      <c r="E2572" s="28" t="s">
        <v>283</v>
      </c>
      <c r="F2572" s="28" t="s">
        <v>52</v>
      </c>
      <c r="G2572" s="28" t="s">
        <v>20</v>
      </c>
      <c r="H2572" s="28" t="s">
        <v>21</v>
      </c>
      <c r="I2572" s="28" t="s">
        <v>21</v>
      </c>
      <c r="J2572" s="28" t="s">
        <v>8254</v>
      </c>
      <c r="K2572" s="28" t="s">
        <v>8255</v>
      </c>
      <c r="L2572" s="28" t="s">
        <v>314</v>
      </c>
      <c r="M2572" s="28" t="s">
        <v>21</v>
      </c>
      <c r="O2572" s="92">
        <v>37809</v>
      </c>
      <c r="P2572" s="28" t="s">
        <v>21</v>
      </c>
      <c r="Q2572" s="26" t="b">
        <v>0</v>
      </c>
      <c r="R2572" s="22">
        <f t="shared" si="42"/>
        <v>159</v>
      </c>
    </row>
    <row r="2573" spans="1:18" ht="24">
      <c r="A2573" s="26">
        <v>6870</v>
      </c>
      <c r="B2573" s="27">
        <v>37651</v>
      </c>
      <c r="C2573" s="28" t="s">
        <v>8256</v>
      </c>
      <c r="D2573" s="27">
        <v>37651</v>
      </c>
      <c r="E2573" s="28" t="s">
        <v>283</v>
      </c>
      <c r="F2573" s="28" t="s">
        <v>5342</v>
      </c>
      <c r="G2573" s="28" t="s">
        <v>20</v>
      </c>
      <c r="H2573" s="28" t="s">
        <v>21</v>
      </c>
      <c r="I2573" s="28" t="s">
        <v>21</v>
      </c>
      <c r="J2573" s="28" t="s">
        <v>8257</v>
      </c>
      <c r="K2573" s="28" t="s">
        <v>8258</v>
      </c>
      <c r="L2573" s="28" t="s">
        <v>314</v>
      </c>
      <c r="M2573" s="28" t="s">
        <v>21</v>
      </c>
      <c r="O2573" s="92">
        <v>37742</v>
      </c>
      <c r="P2573" s="28" t="s">
        <v>21</v>
      </c>
      <c r="Q2573" s="26" t="b">
        <v>0</v>
      </c>
      <c r="R2573" s="22">
        <f t="shared" si="42"/>
        <v>92</v>
      </c>
    </row>
    <row r="2574" spans="1:18">
      <c r="A2574" s="26">
        <v>6871</v>
      </c>
      <c r="B2574" s="27">
        <v>37651</v>
      </c>
      <c r="C2574" s="28" t="s">
        <v>8259</v>
      </c>
      <c r="D2574" s="27">
        <v>37651</v>
      </c>
      <c r="E2574" s="28" t="s">
        <v>283</v>
      </c>
      <c r="F2574" s="28" t="s">
        <v>5342</v>
      </c>
      <c r="G2574" s="28" t="s">
        <v>20</v>
      </c>
      <c r="H2574" s="28" t="s">
        <v>21</v>
      </c>
      <c r="I2574" s="28" t="s">
        <v>21</v>
      </c>
      <c r="J2574" s="28" t="s">
        <v>8260</v>
      </c>
      <c r="K2574" s="28" t="s">
        <v>8261</v>
      </c>
      <c r="L2574" s="28" t="s">
        <v>314</v>
      </c>
      <c r="M2574" s="28" t="s">
        <v>21</v>
      </c>
      <c r="O2574" s="92">
        <v>37742</v>
      </c>
      <c r="P2574" s="28" t="s">
        <v>21</v>
      </c>
      <c r="Q2574" s="26" t="b">
        <v>0</v>
      </c>
      <c r="R2574" s="22">
        <f t="shared" si="42"/>
        <v>92</v>
      </c>
    </row>
    <row r="2575" spans="1:18">
      <c r="A2575" s="26">
        <v>6872</v>
      </c>
      <c r="B2575" s="27">
        <v>37651</v>
      </c>
      <c r="C2575" s="28" t="s">
        <v>8262</v>
      </c>
      <c r="D2575" s="27">
        <v>37651</v>
      </c>
      <c r="E2575" s="28" t="s">
        <v>283</v>
      </c>
      <c r="F2575" s="28" t="s">
        <v>5342</v>
      </c>
      <c r="G2575" s="28" t="s">
        <v>20</v>
      </c>
      <c r="H2575" s="28" t="s">
        <v>21</v>
      </c>
      <c r="I2575" s="28" t="s">
        <v>21</v>
      </c>
      <c r="J2575" s="28" t="s">
        <v>8263</v>
      </c>
      <c r="K2575" s="28" t="s">
        <v>8264</v>
      </c>
      <c r="L2575" s="28" t="s">
        <v>314</v>
      </c>
      <c r="M2575" s="28" t="s">
        <v>21</v>
      </c>
      <c r="O2575" s="92">
        <v>37742</v>
      </c>
      <c r="P2575" s="28" t="s">
        <v>21</v>
      </c>
      <c r="Q2575" s="26" t="b">
        <v>0</v>
      </c>
      <c r="R2575" s="22">
        <f t="shared" si="42"/>
        <v>92</v>
      </c>
    </row>
    <row r="2576" spans="1:18" ht="24">
      <c r="A2576" s="26">
        <v>6874</v>
      </c>
      <c r="B2576" s="27">
        <v>37651</v>
      </c>
      <c r="C2576" s="28" t="s">
        <v>8265</v>
      </c>
      <c r="D2576" s="27">
        <v>37651</v>
      </c>
      <c r="E2576" s="28" t="s">
        <v>283</v>
      </c>
      <c r="F2576" s="28" t="s">
        <v>145</v>
      </c>
      <c r="G2576" s="28" t="s">
        <v>20</v>
      </c>
      <c r="H2576" s="28" t="s">
        <v>21</v>
      </c>
      <c r="I2576" s="28" t="s">
        <v>21</v>
      </c>
      <c r="J2576" s="28" t="s">
        <v>8266</v>
      </c>
      <c r="K2576" s="28" t="s">
        <v>8267</v>
      </c>
      <c r="L2576" s="28" t="s">
        <v>66</v>
      </c>
      <c r="M2576" s="28" t="s">
        <v>21</v>
      </c>
      <c r="O2576" s="92">
        <v>37726</v>
      </c>
      <c r="P2576" s="28" t="s">
        <v>21</v>
      </c>
      <c r="Q2576" s="26" t="b">
        <v>0</v>
      </c>
      <c r="R2576" s="22">
        <f t="shared" si="42"/>
        <v>76</v>
      </c>
    </row>
    <row r="2577" spans="1:18">
      <c r="A2577" s="26">
        <v>6875</v>
      </c>
      <c r="B2577" s="27">
        <v>37651</v>
      </c>
      <c r="C2577" s="28" t="s">
        <v>8268</v>
      </c>
      <c r="D2577" s="27">
        <v>37651</v>
      </c>
      <c r="E2577" s="28" t="s">
        <v>283</v>
      </c>
      <c r="F2577" s="28" t="s">
        <v>395</v>
      </c>
      <c r="G2577" s="28" t="s">
        <v>20</v>
      </c>
      <c r="H2577" s="28" t="s">
        <v>21</v>
      </c>
      <c r="I2577" s="28" t="s">
        <v>21</v>
      </c>
      <c r="J2577" s="28" t="s">
        <v>8269</v>
      </c>
      <c r="K2577" s="28" t="s">
        <v>8194</v>
      </c>
      <c r="L2577" s="28" t="s">
        <v>66</v>
      </c>
      <c r="M2577" s="28" t="s">
        <v>21</v>
      </c>
      <c r="O2577" s="92">
        <v>37739</v>
      </c>
      <c r="P2577" s="28" t="s">
        <v>21</v>
      </c>
      <c r="Q2577" s="26" t="b">
        <v>0</v>
      </c>
      <c r="R2577" s="22">
        <f t="shared" si="42"/>
        <v>89</v>
      </c>
    </row>
    <row r="2578" spans="1:18">
      <c r="A2578" s="26">
        <v>6876</v>
      </c>
      <c r="B2578" s="27">
        <v>37651</v>
      </c>
      <c r="C2578" s="28" t="s">
        <v>8270</v>
      </c>
      <c r="D2578" s="27">
        <v>37651</v>
      </c>
      <c r="E2578" s="28" t="s">
        <v>283</v>
      </c>
      <c r="F2578" s="28" t="s">
        <v>149</v>
      </c>
      <c r="G2578" s="28" t="s">
        <v>20</v>
      </c>
      <c r="H2578" s="28" t="s">
        <v>21</v>
      </c>
      <c r="I2578" s="28" t="s">
        <v>21</v>
      </c>
      <c r="J2578" s="28" t="s">
        <v>8271</v>
      </c>
      <c r="K2578" s="28" t="s">
        <v>8272</v>
      </c>
      <c r="L2578" s="28" t="s">
        <v>4282</v>
      </c>
      <c r="M2578" s="28" t="s">
        <v>21</v>
      </c>
      <c r="O2578" s="92">
        <v>37802</v>
      </c>
      <c r="P2578" s="28" t="s">
        <v>21</v>
      </c>
      <c r="Q2578" s="26" t="b">
        <v>0</v>
      </c>
      <c r="R2578" s="22">
        <f t="shared" si="42"/>
        <v>152</v>
      </c>
    </row>
    <row r="2579" spans="1:18">
      <c r="A2579" s="26">
        <v>6877</v>
      </c>
      <c r="B2579" s="27">
        <v>37651</v>
      </c>
      <c r="C2579" s="28" t="s">
        <v>8273</v>
      </c>
      <c r="D2579" s="27">
        <v>37651</v>
      </c>
      <c r="E2579" s="28" t="s">
        <v>283</v>
      </c>
      <c r="F2579" s="28" t="s">
        <v>242</v>
      </c>
      <c r="G2579" s="28" t="s">
        <v>20</v>
      </c>
      <c r="H2579" s="28" t="s">
        <v>21</v>
      </c>
      <c r="I2579" s="28" t="s">
        <v>21</v>
      </c>
      <c r="J2579" s="28" t="s">
        <v>8274</v>
      </c>
      <c r="K2579" s="28" t="s">
        <v>8275</v>
      </c>
      <c r="L2579" s="28" t="s">
        <v>4282</v>
      </c>
      <c r="M2579" s="28" t="s">
        <v>21</v>
      </c>
      <c r="O2579" s="92">
        <v>37797</v>
      </c>
      <c r="P2579" s="28" t="s">
        <v>21</v>
      </c>
      <c r="Q2579" s="26" t="b">
        <v>0</v>
      </c>
      <c r="R2579" s="22">
        <f t="shared" si="42"/>
        <v>147</v>
      </c>
    </row>
    <row r="2580" spans="1:18">
      <c r="A2580" s="26">
        <v>6879</v>
      </c>
      <c r="B2580" s="27">
        <v>37651</v>
      </c>
      <c r="C2580" s="28" t="s">
        <v>8278</v>
      </c>
      <c r="D2580" s="27">
        <v>37651</v>
      </c>
      <c r="E2580" s="28" t="s">
        <v>38</v>
      </c>
      <c r="F2580" s="28" t="s">
        <v>228</v>
      </c>
      <c r="G2580" s="28" t="s">
        <v>20</v>
      </c>
      <c r="H2580" s="28" t="s">
        <v>21</v>
      </c>
      <c r="I2580" s="28" t="s">
        <v>21</v>
      </c>
      <c r="J2580" s="28" t="s">
        <v>8279</v>
      </c>
      <c r="K2580" s="28" t="s">
        <v>21</v>
      </c>
      <c r="L2580" s="28" t="s">
        <v>3930</v>
      </c>
      <c r="M2580" s="28" t="s">
        <v>21</v>
      </c>
      <c r="O2580" s="92">
        <v>37652</v>
      </c>
      <c r="P2580" s="28" t="s">
        <v>31</v>
      </c>
      <c r="Q2580" s="26" t="b">
        <v>0</v>
      </c>
      <c r="R2580" s="22">
        <f t="shared" si="42"/>
        <v>0</v>
      </c>
    </row>
    <row r="2581" spans="1:18" ht="24">
      <c r="A2581" s="26">
        <v>6887</v>
      </c>
      <c r="B2581" s="27">
        <v>37651</v>
      </c>
      <c r="C2581" s="28" t="s">
        <v>8291</v>
      </c>
      <c r="D2581" s="27">
        <v>37651</v>
      </c>
      <c r="E2581" s="28" t="s">
        <v>283</v>
      </c>
      <c r="F2581" s="28" t="s">
        <v>94</v>
      </c>
      <c r="G2581" s="28" t="s">
        <v>20</v>
      </c>
      <c r="H2581" s="28" t="s">
        <v>21</v>
      </c>
      <c r="I2581" s="28" t="s">
        <v>21</v>
      </c>
      <c r="J2581" s="28" t="s">
        <v>8292</v>
      </c>
      <c r="K2581" s="28" t="s">
        <v>8293</v>
      </c>
      <c r="L2581" s="28" t="s">
        <v>314</v>
      </c>
      <c r="M2581" s="28" t="s">
        <v>21</v>
      </c>
      <c r="O2581" s="92">
        <v>37742</v>
      </c>
      <c r="P2581" s="28" t="s">
        <v>21</v>
      </c>
      <c r="Q2581" s="26" t="b">
        <v>0</v>
      </c>
      <c r="R2581" s="22">
        <f t="shared" si="42"/>
        <v>92</v>
      </c>
    </row>
    <row r="2582" spans="1:18" ht="24">
      <c r="A2582" s="26">
        <v>6888</v>
      </c>
      <c r="B2582" s="27">
        <v>37651</v>
      </c>
      <c r="C2582" s="28" t="s">
        <v>8294</v>
      </c>
      <c r="D2582" s="27">
        <v>37651</v>
      </c>
      <c r="E2582" s="28" t="s">
        <v>283</v>
      </c>
      <c r="F2582" s="28" t="s">
        <v>94</v>
      </c>
      <c r="G2582" s="28" t="s">
        <v>20</v>
      </c>
      <c r="H2582" s="28" t="s">
        <v>21</v>
      </c>
      <c r="I2582" s="28" t="s">
        <v>21</v>
      </c>
      <c r="J2582" s="28" t="s">
        <v>8295</v>
      </c>
      <c r="K2582" s="28" t="s">
        <v>8296</v>
      </c>
      <c r="L2582" s="28" t="s">
        <v>314</v>
      </c>
      <c r="M2582" s="28" t="s">
        <v>21</v>
      </c>
      <c r="O2582" s="92">
        <v>37809</v>
      </c>
      <c r="P2582" s="28" t="s">
        <v>21</v>
      </c>
      <c r="Q2582" s="26" t="b">
        <v>0</v>
      </c>
      <c r="R2582" s="22">
        <f t="shared" si="42"/>
        <v>159</v>
      </c>
    </row>
    <row r="2583" spans="1:18">
      <c r="A2583" s="26">
        <v>6878</v>
      </c>
      <c r="B2583" s="27">
        <v>37652</v>
      </c>
      <c r="C2583" s="28" t="s">
        <v>8276</v>
      </c>
      <c r="D2583" s="27">
        <v>37652</v>
      </c>
      <c r="E2583" s="28" t="s">
        <v>283</v>
      </c>
      <c r="F2583" s="28" t="s">
        <v>52</v>
      </c>
      <c r="G2583" s="28" t="s">
        <v>20</v>
      </c>
      <c r="H2583" s="28" t="s">
        <v>21</v>
      </c>
      <c r="I2583" s="28" t="s">
        <v>21</v>
      </c>
      <c r="J2583" s="28" t="s">
        <v>8277</v>
      </c>
      <c r="K2583" s="28" t="s">
        <v>8071</v>
      </c>
      <c r="L2583" s="28" t="s">
        <v>66</v>
      </c>
      <c r="M2583" s="28" t="s">
        <v>21</v>
      </c>
      <c r="O2583" s="92">
        <v>37739</v>
      </c>
      <c r="P2583" s="28" t="s">
        <v>21</v>
      </c>
      <c r="Q2583" s="26" t="b">
        <v>0</v>
      </c>
      <c r="R2583" s="22">
        <f t="shared" si="42"/>
        <v>89</v>
      </c>
    </row>
    <row r="2584" spans="1:18">
      <c r="A2584" s="26">
        <v>6881</v>
      </c>
      <c r="B2584" s="27">
        <v>37652</v>
      </c>
      <c r="C2584" s="28" t="s">
        <v>8284</v>
      </c>
      <c r="D2584" s="27">
        <v>37652</v>
      </c>
      <c r="E2584" s="28" t="s">
        <v>8285</v>
      </c>
      <c r="F2584" s="28" t="s">
        <v>52</v>
      </c>
      <c r="G2584" s="28" t="s">
        <v>20</v>
      </c>
      <c r="H2584" s="28" t="s">
        <v>21</v>
      </c>
      <c r="I2584" s="28" t="s">
        <v>21</v>
      </c>
      <c r="J2584" s="28" t="s">
        <v>8286</v>
      </c>
      <c r="K2584" s="28" t="s">
        <v>8287</v>
      </c>
      <c r="L2584" s="28" t="s">
        <v>314</v>
      </c>
      <c r="M2584" s="28" t="s">
        <v>21</v>
      </c>
      <c r="O2584" s="92">
        <v>37676</v>
      </c>
      <c r="P2584" s="28" t="s">
        <v>31</v>
      </c>
      <c r="Q2584" s="26" t="b">
        <v>0</v>
      </c>
      <c r="R2584" s="22">
        <f t="shared" si="42"/>
        <v>24</v>
      </c>
    </row>
    <row r="2585" spans="1:18">
      <c r="A2585" s="26">
        <v>6890</v>
      </c>
      <c r="B2585" s="27">
        <v>37652</v>
      </c>
      <c r="C2585" s="28" t="s">
        <v>8300</v>
      </c>
      <c r="D2585" s="27">
        <v>37652</v>
      </c>
      <c r="E2585" s="28" t="s">
        <v>283</v>
      </c>
      <c r="F2585" s="28" t="s">
        <v>149</v>
      </c>
      <c r="G2585" s="28" t="s">
        <v>20</v>
      </c>
      <c r="H2585" s="28" t="s">
        <v>21</v>
      </c>
      <c r="I2585" s="28" t="s">
        <v>21</v>
      </c>
      <c r="J2585" s="28" t="s">
        <v>8301</v>
      </c>
      <c r="K2585" s="28" t="s">
        <v>8302</v>
      </c>
      <c r="L2585" s="28" t="s">
        <v>4282</v>
      </c>
      <c r="M2585" s="28" t="s">
        <v>21</v>
      </c>
      <c r="O2585" s="92">
        <v>37802</v>
      </c>
      <c r="P2585" s="28" t="s">
        <v>21</v>
      </c>
      <c r="Q2585" s="26" t="b">
        <v>0</v>
      </c>
      <c r="R2585" s="22">
        <f t="shared" ref="R2585:R2648" si="43">IF(O2585=" ", " ", INT(YEARFRAC(O2585, B2585)*365))</f>
        <v>152</v>
      </c>
    </row>
    <row r="2586" spans="1:18">
      <c r="A2586" s="26">
        <v>6891</v>
      </c>
      <c r="B2586" s="27">
        <v>37652</v>
      </c>
      <c r="C2586" s="28" t="s">
        <v>8303</v>
      </c>
      <c r="D2586" s="27">
        <v>37652</v>
      </c>
      <c r="E2586" s="28" t="s">
        <v>283</v>
      </c>
      <c r="F2586" s="28" t="s">
        <v>149</v>
      </c>
      <c r="G2586" s="28" t="s">
        <v>20</v>
      </c>
      <c r="H2586" s="28" t="s">
        <v>21</v>
      </c>
      <c r="I2586" s="28" t="s">
        <v>21</v>
      </c>
      <c r="J2586" s="28" t="s">
        <v>8304</v>
      </c>
      <c r="K2586" s="28" t="s">
        <v>8305</v>
      </c>
      <c r="L2586" s="28" t="s">
        <v>4282</v>
      </c>
      <c r="M2586" s="28" t="s">
        <v>21</v>
      </c>
      <c r="O2586" s="92">
        <v>37802</v>
      </c>
      <c r="P2586" s="28" t="s">
        <v>21</v>
      </c>
      <c r="Q2586" s="26" t="b">
        <v>0</v>
      </c>
      <c r="R2586" s="22">
        <f t="shared" si="43"/>
        <v>152</v>
      </c>
    </row>
    <row r="2587" spans="1:18" ht="24">
      <c r="A2587" s="26">
        <v>6885</v>
      </c>
      <c r="B2587" s="27">
        <v>37655</v>
      </c>
      <c r="C2587" s="28" t="s">
        <v>8288</v>
      </c>
      <c r="D2587" s="27">
        <v>37655</v>
      </c>
      <c r="E2587" s="28" t="s">
        <v>283</v>
      </c>
      <c r="F2587" s="28" t="s">
        <v>56</v>
      </c>
      <c r="G2587" s="28" t="s">
        <v>20</v>
      </c>
      <c r="H2587" s="28" t="s">
        <v>21</v>
      </c>
      <c r="I2587" s="28" t="s">
        <v>21</v>
      </c>
      <c r="J2587" s="28" t="s">
        <v>8289</v>
      </c>
      <c r="K2587" s="28" t="s">
        <v>8290</v>
      </c>
      <c r="L2587" s="28" t="s">
        <v>314</v>
      </c>
      <c r="M2587" s="28" t="s">
        <v>21</v>
      </c>
      <c r="O2587" s="92">
        <v>37742</v>
      </c>
      <c r="P2587" s="28" t="s">
        <v>21</v>
      </c>
      <c r="Q2587" s="26" t="b">
        <v>0</v>
      </c>
      <c r="R2587" s="22">
        <f t="shared" si="43"/>
        <v>89</v>
      </c>
    </row>
    <row r="2588" spans="1:18">
      <c r="A2588" s="26">
        <v>6889</v>
      </c>
      <c r="B2588" s="27">
        <v>37656</v>
      </c>
      <c r="C2588" s="28" t="s">
        <v>8297</v>
      </c>
      <c r="D2588" s="27">
        <v>37656</v>
      </c>
      <c r="E2588" s="28" t="s">
        <v>8298</v>
      </c>
      <c r="F2588" s="28" t="s">
        <v>124</v>
      </c>
      <c r="G2588" s="28" t="s">
        <v>20</v>
      </c>
      <c r="H2588" s="28" t="s">
        <v>21</v>
      </c>
      <c r="I2588" s="28" t="s">
        <v>21</v>
      </c>
      <c r="J2588" s="28" t="s">
        <v>8299</v>
      </c>
      <c r="K2588" s="28" t="s">
        <v>1349</v>
      </c>
      <c r="L2588" s="28" t="s">
        <v>4282</v>
      </c>
      <c r="M2588" s="28" t="s">
        <v>21</v>
      </c>
      <c r="O2588" s="92">
        <v>38415</v>
      </c>
      <c r="P2588" s="28" t="s">
        <v>31</v>
      </c>
      <c r="Q2588" s="26" t="b">
        <v>0</v>
      </c>
      <c r="R2588" s="22">
        <f t="shared" si="43"/>
        <v>760</v>
      </c>
    </row>
    <row r="2589" spans="1:18">
      <c r="A2589" s="26">
        <v>6893</v>
      </c>
      <c r="B2589" s="27">
        <v>37658</v>
      </c>
      <c r="C2589" s="28" t="s">
        <v>8308</v>
      </c>
      <c r="D2589" s="27">
        <v>37653</v>
      </c>
      <c r="E2589" s="28" t="s">
        <v>38</v>
      </c>
      <c r="F2589" s="28" t="s">
        <v>124</v>
      </c>
      <c r="G2589" s="28" t="s">
        <v>20</v>
      </c>
      <c r="H2589" s="28" t="s">
        <v>21</v>
      </c>
      <c r="I2589" s="28" t="s">
        <v>21</v>
      </c>
      <c r="J2589" s="28" t="s">
        <v>8309</v>
      </c>
      <c r="K2589" s="28" t="s">
        <v>21</v>
      </c>
      <c r="L2589" s="28" t="s">
        <v>66</v>
      </c>
      <c r="M2589" s="28" t="s">
        <v>21</v>
      </c>
      <c r="O2589" s="92">
        <v>37662</v>
      </c>
      <c r="P2589" s="28" t="s">
        <v>31</v>
      </c>
      <c r="Q2589" s="26" t="b">
        <v>0</v>
      </c>
      <c r="R2589" s="22">
        <f t="shared" si="43"/>
        <v>4</v>
      </c>
    </row>
    <row r="2590" spans="1:18">
      <c r="A2590" s="26">
        <v>6896</v>
      </c>
      <c r="B2590" s="27">
        <v>37663</v>
      </c>
      <c r="C2590" s="28" t="s">
        <v>8310</v>
      </c>
      <c r="D2590" s="27">
        <v>37659</v>
      </c>
      <c r="E2590" s="28" t="s">
        <v>8307</v>
      </c>
      <c r="F2590" s="28" t="s">
        <v>124</v>
      </c>
      <c r="G2590" s="28" t="s">
        <v>20</v>
      </c>
      <c r="H2590" s="28" t="s">
        <v>21</v>
      </c>
      <c r="I2590" s="28" t="s">
        <v>21</v>
      </c>
      <c r="J2590" s="28" t="s">
        <v>8311</v>
      </c>
      <c r="K2590" s="28" t="s">
        <v>21</v>
      </c>
      <c r="L2590" s="28" t="s">
        <v>314</v>
      </c>
      <c r="M2590" s="28" t="s">
        <v>21</v>
      </c>
      <c r="O2590" s="92">
        <v>37720</v>
      </c>
      <c r="P2590" s="28" t="s">
        <v>31</v>
      </c>
      <c r="Q2590" s="26" t="b">
        <v>0</v>
      </c>
      <c r="R2590" s="22">
        <f t="shared" si="43"/>
        <v>58</v>
      </c>
    </row>
    <row r="2591" spans="1:18">
      <c r="A2591" s="26">
        <v>6897</v>
      </c>
      <c r="B2591" s="27">
        <v>37665</v>
      </c>
      <c r="C2591" s="28" t="s">
        <v>8312</v>
      </c>
      <c r="D2591" s="27">
        <v>37659</v>
      </c>
      <c r="E2591" s="28" t="s">
        <v>1432</v>
      </c>
      <c r="F2591" s="28" t="s">
        <v>371</v>
      </c>
      <c r="G2591" s="28" t="s">
        <v>20</v>
      </c>
      <c r="H2591" s="28" t="s">
        <v>21</v>
      </c>
      <c r="I2591" s="28" t="s">
        <v>21</v>
      </c>
      <c r="J2591" s="28" t="s">
        <v>8313</v>
      </c>
      <c r="K2591" s="28" t="s">
        <v>21</v>
      </c>
      <c r="L2591" s="28" t="s">
        <v>66</v>
      </c>
      <c r="M2591" s="28" t="s">
        <v>4282</v>
      </c>
      <c r="O2591" s="92">
        <v>38091</v>
      </c>
      <c r="P2591" s="28" t="s">
        <v>31</v>
      </c>
      <c r="Q2591" s="26" t="b">
        <v>0</v>
      </c>
      <c r="R2591" s="22">
        <f t="shared" si="43"/>
        <v>426</v>
      </c>
    </row>
    <row r="2592" spans="1:18">
      <c r="A2592" s="26">
        <v>6898</v>
      </c>
      <c r="B2592" s="27">
        <v>37665</v>
      </c>
      <c r="C2592" s="28" t="s">
        <v>8314</v>
      </c>
      <c r="D2592" s="27">
        <v>37662</v>
      </c>
      <c r="E2592" s="28" t="s">
        <v>8315</v>
      </c>
      <c r="F2592" s="28" t="s">
        <v>6277</v>
      </c>
      <c r="G2592" s="28" t="s">
        <v>20</v>
      </c>
      <c r="H2592" s="28" t="s">
        <v>212</v>
      </c>
      <c r="I2592" s="28" t="s">
        <v>212</v>
      </c>
      <c r="J2592" s="28" t="s">
        <v>8316</v>
      </c>
      <c r="K2592" s="28" t="s">
        <v>21</v>
      </c>
      <c r="L2592" s="28" t="s">
        <v>66</v>
      </c>
      <c r="M2592" s="28" t="s">
        <v>21</v>
      </c>
      <c r="O2592" s="92">
        <v>37727</v>
      </c>
      <c r="P2592" s="28" t="s">
        <v>31</v>
      </c>
      <c r="Q2592" s="26" t="b">
        <v>0</v>
      </c>
      <c r="R2592" s="22">
        <f t="shared" si="43"/>
        <v>63</v>
      </c>
    </row>
    <row r="2593" spans="1:18">
      <c r="A2593" s="26">
        <v>6904</v>
      </c>
      <c r="B2593" s="27">
        <v>37665</v>
      </c>
      <c r="C2593" s="28" t="s">
        <v>8324</v>
      </c>
      <c r="D2593" s="27">
        <v>37665</v>
      </c>
      <c r="E2593" s="28" t="s">
        <v>8325</v>
      </c>
      <c r="F2593" s="28" t="s">
        <v>124</v>
      </c>
      <c r="G2593" s="28" t="s">
        <v>20</v>
      </c>
      <c r="H2593" s="28" t="s">
        <v>21</v>
      </c>
      <c r="I2593" s="28" t="s">
        <v>21</v>
      </c>
      <c r="J2593" s="28" t="s">
        <v>8326</v>
      </c>
      <c r="K2593" s="28" t="s">
        <v>21</v>
      </c>
      <c r="L2593" s="28" t="s">
        <v>314</v>
      </c>
      <c r="M2593" s="28" t="s">
        <v>21</v>
      </c>
      <c r="O2593" s="92">
        <v>37824</v>
      </c>
      <c r="P2593" s="28" t="s">
        <v>31</v>
      </c>
      <c r="Q2593" s="26" t="b">
        <v>0</v>
      </c>
      <c r="R2593" s="22">
        <f t="shared" si="43"/>
        <v>161</v>
      </c>
    </row>
    <row r="2594" spans="1:18">
      <c r="A2594" s="26">
        <v>6902</v>
      </c>
      <c r="B2594" s="27">
        <v>37666</v>
      </c>
      <c r="C2594" s="28" t="s">
        <v>8317</v>
      </c>
      <c r="D2594" s="27">
        <v>37666</v>
      </c>
      <c r="E2594" s="28" t="s">
        <v>283</v>
      </c>
      <c r="F2594" s="28" t="s">
        <v>104</v>
      </c>
      <c r="G2594" s="28" t="s">
        <v>20</v>
      </c>
      <c r="H2594" s="28" t="s">
        <v>21</v>
      </c>
      <c r="I2594" s="28" t="s">
        <v>21</v>
      </c>
      <c r="J2594" s="28" t="s">
        <v>8319</v>
      </c>
      <c r="K2594" s="28" t="s">
        <v>8320</v>
      </c>
      <c r="L2594" s="28" t="s">
        <v>4282</v>
      </c>
      <c r="M2594" s="28" t="s">
        <v>21</v>
      </c>
      <c r="O2594" s="92">
        <v>37802</v>
      </c>
      <c r="P2594" s="28" t="s">
        <v>21</v>
      </c>
      <c r="Q2594" s="26" t="b">
        <v>0</v>
      </c>
      <c r="R2594" s="22">
        <f t="shared" si="43"/>
        <v>137</v>
      </c>
    </row>
    <row r="2595" spans="1:18">
      <c r="A2595" s="26">
        <v>6903</v>
      </c>
      <c r="B2595" s="27">
        <v>37666</v>
      </c>
      <c r="C2595" s="28" t="s">
        <v>8321</v>
      </c>
      <c r="D2595" s="27">
        <v>37666</v>
      </c>
      <c r="E2595" s="28" t="s">
        <v>283</v>
      </c>
      <c r="F2595" s="28" t="s">
        <v>104</v>
      </c>
      <c r="G2595" s="28" t="s">
        <v>20</v>
      </c>
      <c r="H2595" s="28" t="s">
        <v>21</v>
      </c>
      <c r="I2595" s="28" t="s">
        <v>21</v>
      </c>
      <c r="J2595" s="28" t="s">
        <v>8322</v>
      </c>
      <c r="K2595" s="28" t="s">
        <v>8323</v>
      </c>
      <c r="L2595" s="28" t="s">
        <v>4282</v>
      </c>
      <c r="M2595" s="28" t="s">
        <v>21</v>
      </c>
      <c r="O2595" s="92">
        <v>37797</v>
      </c>
      <c r="P2595" s="28" t="s">
        <v>21</v>
      </c>
      <c r="Q2595" s="26" t="b">
        <v>0</v>
      </c>
      <c r="R2595" s="22">
        <f t="shared" si="43"/>
        <v>132</v>
      </c>
    </row>
    <row r="2596" spans="1:18">
      <c r="A2596" s="26">
        <v>6908</v>
      </c>
      <c r="B2596" s="27">
        <v>37676</v>
      </c>
      <c r="C2596" s="28" t="s">
        <v>8327</v>
      </c>
      <c r="D2596" s="27">
        <v>37671</v>
      </c>
      <c r="E2596" s="28" t="s">
        <v>8328</v>
      </c>
      <c r="F2596" s="28" t="s">
        <v>39</v>
      </c>
      <c r="G2596" s="28" t="s">
        <v>20</v>
      </c>
      <c r="H2596" s="28" t="s">
        <v>21</v>
      </c>
      <c r="I2596" s="28" t="s">
        <v>21</v>
      </c>
      <c r="J2596" s="28" t="s">
        <v>8329</v>
      </c>
      <c r="K2596" s="28" t="s">
        <v>1639</v>
      </c>
      <c r="L2596" s="28" t="s">
        <v>66</v>
      </c>
      <c r="M2596" s="28" t="s">
        <v>21</v>
      </c>
      <c r="O2596" s="92">
        <v>37816</v>
      </c>
      <c r="P2596" s="28" t="s">
        <v>31</v>
      </c>
      <c r="Q2596" s="26" t="b">
        <v>0</v>
      </c>
      <c r="R2596" s="22">
        <f t="shared" si="43"/>
        <v>141</v>
      </c>
    </row>
    <row r="2597" spans="1:18">
      <c r="A2597" s="26">
        <v>6910</v>
      </c>
      <c r="B2597" s="27">
        <v>37680</v>
      </c>
      <c r="C2597" s="28" t="s">
        <v>8330</v>
      </c>
      <c r="D2597" s="27">
        <v>37680</v>
      </c>
      <c r="E2597" s="28" t="s">
        <v>283</v>
      </c>
      <c r="F2597" s="28" t="s">
        <v>3847</v>
      </c>
      <c r="G2597" s="28" t="s">
        <v>20</v>
      </c>
      <c r="H2597" s="28" t="s">
        <v>21</v>
      </c>
      <c r="I2597" s="28" t="s">
        <v>21</v>
      </c>
      <c r="J2597" s="28" t="s">
        <v>8331</v>
      </c>
      <c r="K2597" s="28" t="s">
        <v>8332</v>
      </c>
      <c r="L2597" s="28" t="s">
        <v>66</v>
      </c>
      <c r="M2597" s="28" t="s">
        <v>21</v>
      </c>
      <c r="O2597" s="92">
        <v>37792</v>
      </c>
      <c r="P2597" s="28" t="s">
        <v>21</v>
      </c>
      <c r="Q2597" s="26" t="b">
        <v>0</v>
      </c>
      <c r="R2597" s="22">
        <f t="shared" si="43"/>
        <v>111</v>
      </c>
    </row>
    <row r="2598" spans="1:18">
      <c r="A2598" s="26">
        <v>6911</v>
      </c>
      <c r="B2598" s="27">
        <v>37680</v>
      </c>
      <c r="C2598" s="28" t="s">
        <v>8333</v>
      </c>
      <c r="D2598" s="27">
        <v>37678</v>
      </c>
      <c r="E2598" s="28" t="s">
        <v>8334</v>
      </c>
      <c r="F2598" s="28" t="s">
        <v>124</v>
      </c>
      <c r="G2598" s="28" t="s">
        <v>20</v>
      </c>
      <c r="H2598" s="28" t="s">
        <v>21</v>
      </c>
      <c r="I2598" s="28" t="s">
        <v>21</v>
      </c>
      <c r="J2598" s="28" t="s">
        <v>8335</v>
      </c>
      <c r="K2598" s="28" t="s">
        <v>21</v>
      </c>
      <c r="L2598" s="28" t="s">
        <v>314</v>
      </c>
      <c r="M2598" s="28" t="s">
        <v>21</v>
      </c>
      <c r="O2598" s="92">
        <v>37732</v>
      </c>
      <c r="P2598" s="28" t="s">
        <v>31</v>
      </c>
      <c r="Q2598" s="26" t="b">
        <v>0</v>
      </c>
      <c r="R2598" s="22">
        <f t="shared" si="43"/>
        <v>51</v>
      </c>
    </row>
    <row r="2599" spans="1:18">
      <c r="A2599" s="26">
        <v>6912</v>
      </c>
      <c r="B2599" s="27">
        <v>37680</v>
      </c>
      <c r="C2599" s="28" t="s">
        <v>8336</v>
      </c>
      <c r="D2599" s="27">
        <v>37680</v>
      </c>
      <c r="E2599" s="28" t="s">
        <v>8337</v>
      </c>
      <c r="F2599" s="28" t="s">
        <v>1939</v>
      </c>
      <c r="G2599" s="28" t="s">
        <v>20</v>
      </c>
      <c r="H2599" s="28" t="s">
        <v>21</v>
      </c>
      <c r="I2599" s="28" t="s">
        <v>21</v>
      </c>
      <c r="J2599" s="28" t="s">
        <v>8338</v>
      </c>
      <c r="K2599" s="28" t="s">
        <v>8339</v>
      </c>
      <c r="L2599" s="28" t="s">
        <v>66</v>
      </c>
      <c r="M2599" s="28" t="s">
        <v>21</v>
      </c>
      <c r="O2599" s="92">
        <v>37753</v>
      </c>
      <c r="P2599" s="28" t="s">
        <v>31</v>
      </c>
      <c r="Q2599" s="26" t="b">
        <v>0</v>
      </c>
      <c r="R2599" s="22">
        <f t="shared" si="43"/>
        <v>73</v>
      </c>
    </row>
    <row r="2600" spans="1:18">
      <c r="A2600" s="26">
        <v>6920</v>
      </c>
      <c r="B2600" s="27">
        <v>37680</v>
      </c>
      <c r="C2600" s="28" t="s">
        <v>8357</v>
      </c>
      <c r="D2600" s="27">
        <v>37680</v>
      </c>
      <c r="E2600" s="28" t="s">
        <v>283</v>
      </c>
      <c r="F2600" s="28" t="s">
        <v>8358</v>
      </c>
      <c r="G2600" s="28" t="s">
        <v>20</v>
      </c>
      <c r="H2600" s="28" t="s">
        <v>21</v>
      </c>
      <c r="I2600" s="28" t="s">
        <v>21</v>
      </c>
      <c r="J2600" s="28" t="s">
        <v>8359</v>
      </c>
      <c r="K2600" s="28" t="s">
        <v>7963</v>
      </c>
      <c r="L2600" s="28" t="s">
        <v>66</v>
      </c>
      <c r="M2600" s="28" t="s">
        <v>21</v>
      </c>
      <c r="O2600" s="92">
        <v>37691</v>
      </c>
      <c r="P2600" s="28" t="s">
        <v>21</v>
      </c>
      <c r="Q2600" s="26" t="b">
        <v>0</v>
      </c>
      <c r="R2600" s="22">
        <f t="shared" si="43"/>
        <v>11</v>
      </c>
    </row>
    <row r="2601" spans="1:18">
      <c r="A2601" s="26">
        <v>6921</v>
      </c>
      <c r="B2601" s="27">
        <v>37680</v>
      </c>
      <c r="C2601" s="28" t="s">
        <v>8360</v>
      </c>
      <c r="D2601" s="27">
        <v>37680</v>
      </c>
      <c r="E2601" s="28" t="s">
        <v>283</v>
      </c>
      <c r="F2601" s="28" t="s">
        <v>2838</v>
      </c>
      <c r="G2601" s="28" t="s">
        <v>20</v>
      </c>
      <c r="H2601" s="28" t="s">
        <v>21</v>
      </c>
      <c r="I2601" s="28" t="s">
        <v>21</v>
      </c>
      <c r="J2601" s="28" t="s">
        <v>8053</v>
      </c>
      <c r="K2601" s="28" t="s">
        <v>8361</v>
      </c>
      <c r="L2601" s="28" t="s">
        <v>66</v>
      </c>
      <c r="M2601" s="28" t="s">
        <v>21</v>
      </c>
      <c r="O2601" s="92">
        <v>37691</v>
      </c>
      <c r="P2601" s="28" t="s">
        <v>21</v>
      </c>
      <c r="Q2601" s="26" t="b">
        <v>0</v>
      </c>
      <c r="R2601" s="22">
        <f t="shared" si="43"/>
        <v>11</v>
      </c>
    </row>
    <row r="2602" spans="1:18" ht="24">
      <c r="A2602" s="26">
        <v>6922</v>
      </c>
      <c r="B2602" s="27">
        <v>37680</v>
      </c>
      <c r="C2602" s="28" t="s">
        <v>8362</v>
      </c>
      <c r="D2602" s="27">
        <v>37680</v>
      </c>
      <c r="E2602" s="28" t="s">
        <v>283</v>
      </c>
      <c r="F2602" s="28" t="s">
        <v>98</v>
      </c>
      <c r="G2602" s="28" t="s">
        <v>20</v>
      </c>
      <c r="H2602" s="28" t="s">
        <v>21</v>
      </c>
      <c r="I2602" s="28" t="s">
        <v>21</v>
      </c>
      <c r="J2602" s="28" t="s">
        <v>8363</v>
      </c>
      <c r="K2602" s="28" t="s">
        <v>8364</v>
      </c>
      <c r="L2602" s="28" t="s">
        <v>66</v>
      </c>
      <c r="M2602" s="28" t="s">
        <v>21</v>
      </c>
      <c r="O2602" s="92">
        <v>37691</v>
      </c>
      <c r="P2602" s="28" t="s">
        <v>21</v>
      </c>
      <c r="Q2602" s="26" t="b">
        <v>0</v>
      </c>
      <c r="R2602" s="22">
        <f t="shared" si="43"/>
        <v>11</v>
      </c>
    </row>
    <row r="2603" spans="1:18" ht="24">
      <c r="A2603" s="26">
        <v>6914</v>
      </c>
      <c r="B2603" s="27">
        <v>37687</v>
      </c>
      <c r="C2603" s="28" t="s">
        <v>8340</v>
      </c>
      <c r="D2603" s="27">
        <v>37673</v>
      </c>
      <c r="E2603" s="28" t="s">
        <v>38</v>
      </c>
      <c r="F2603" s="28" t="s">
        <v>3847</v>
      </c>
      <c r="G2603" s="28" t="s">
        <v>20</v>
      </c>
      <c r="H2603" s="28" t="s">
        <v>21</v>
      </c>
      <c r="I2603" s="28" t="s">
        <v>21</v>
      </c>
      <c r="J2603" s="28" t="s">
        <v>8341</v>
      </c>
      <c r="K2603" s="28" t="s">
        <v>21</v>
      </c>
      <c r="L2603" s="28" t="s">
        <v>314</v>
      </c>
      <c r="M2603" s="28" t="s">
        <v>21</v>
      </c>
      <c r="O2603" s="92">
        <v>37690</v>
      </c>
      <c r="P2603" s="28" t="s">
        <v>31</v>
      </c>
      <c r="Q2603" s="26" t="b">
        <v>0</v>
      </c>
      <c r="R2603" s="22">
        <f t="shared" si="43"/>
        <v>3</v>
      </c>
    </row>
    <row r="2604" spans="1:18">
      <c r="A2604" s="26">
        <v>6915</v>
      </c>
      <c r="B2604" s="27">
        <v>37687</v>
      </c>
      <c r="C2604" s="28" t="s">
        <v>8342</v>
      </c>
      <c r="D2604" s="27">
        <v>37687</v>
      </c>
      <c r="E2604" s="28" t="s">
        <v>8343</v>
      </c>
      <c r="F2604" s="28" t="s">
        <v>98</v>
      </c>
      <c r="G2604" s="28" t="s">
        <v>20</v>
      </c>
      <c r="H2604" s="28" t="s">
        <v>21</v>
      </c>
      <c r="I2604" s="28" t="s">
        <v>21</v>
      </c>
      <c r="J2604" s="28" t="s">
        <v>8344</v>
      </c>
      <c r="K2604" s="28" t="s">
        <v>8345</v>
      </c>
      <c r="L2604" s="28" t="s">
        <v>4282</v>
      </c>
      <c r="M2604" s="28" t="s">
        <v>21</v>
      </c>
      <c r="O2604" s="92">
        <v>38555</v>
      </c>
      <c r="P2604" s="28" t="s">
        <v>31</v>
      </c>
      <c r="Q2604" s="26" t="b">
        <v>0</v>
      </c>
      <c r="R2604" s="22">
        <f t="shared" si="43"/>
        <v>866</v>
      </c>
    </row>
    <row r="2605" spans="1:18">
      <c r="A2605" s="26">
        <v>6916</v>
      </c>
      <c r="B2605" s="27">
        <v>37687</v>
      </c>
      <c r="C2605" s="28" t="s">
        <v>8346</v>
      </c>
      <c r="D2605" s="27">
        <v>37687</v>
      </c>
      <c r="E2605" s="28" t="s">
        <v>8347</v>
      </c>
      <c r="F2605" s="28" t="s">
        <v>3847</v>
      </c>
      <c r="G2605" s="28" t="s">
        <v>20</v>
      </c>
      <c r="H2605" s="28" t="s">
        <v>21</v>
      </c>
      <c r="I2605" s="28" t="s">
        <v>21</v>
      </c>
      <c r="J2605" s="28" t="s">
        <v>5668</v>
      </c>
      <c r="K2605" s="28" t="s">
        <v>21</v>
      </c>
      <c r="L2605" s="28" t="s">
        <v>4282</v>
      </c>
      <c r="M2605" s="28" t="s">
        <v>21</v>
      </c>
      <c r="O2605" s="92">
        <v>38371</v>
      </c>
      <c r="P2605" s="28" t="s">
        <v>31</v>
      </c>
      <c r="Q2605" s="26" t="b">
        <v>0</v>
      </c>
      <c r="R2605" s="22">
        <f t="shared" si="43"/>
        <v>681</v>
      </c>
    </row>
    <row r="2606" spans="1:18" ht="24">
      <c r="A2606" s="26">
        <v>6917</v>
      </c>
      <c r="B2606" s="27">
        <v>37690</v>
      </c>
      <c r="C2606" s="28" t="s">
        <v>8348</v>
      </c>
      <c r="D2606" s="27">
        <v>37690</v>
      </c>
      <c r="E2606" s="28" t="s">
        <v>283</v>
      </c>
      <c r="F2606" s="28" t="s">
        <v>216</v>
      </c>
      <c r="G2606" s="28" t="s">
        <v>20</v>
      </c>
      <c r="H2606" s="28" t="s">
        <v>21</v>
      </c>
      <c r="I2606" s="28" t="s">
        <v>21</v>
      </c>
      <c r="J2606" s="28" t="s">
        <v>8349</v>
      </c>
      <c r="K2606" s="28" t="s">
        <v>8350</v>
      </c>
      <c r="L2606" s="28" t="s">
        <v>66</v>
      </c>
      <c r="M2606" s="28" t="s">
        <v>21</v>
      </c>
      <c r="O2606" s="92">
        <v>37691</v>
      </c>
      <c r="P2606" s="28" t="s">
        <v>21</v>
      </c>
      <c r="Q2606" s="26" t="b">
        <v>0</v>
      </c>
      <c r="R2606" s="22">
        <f t="shared" si="43"/>
        <v>1</v>
      </c>
    </row>
    <row r="2607" spans="1:18" ht="24">
      <c r="A2607" s="26">
        <v>6918</v>
      </c>
      <c r="B2607" s="27">
        <v>37690</v>
      </c>
      <c r="C2607" s="28" t="s">
        <v>8351</v>
      </c>
      <c r="D2607" s="27">
        <v>37690</v>
      </c>
      <c r="E2607" s="28" t="s">
        <v>283</v>
      </c>
      <c r="F2607" s="28" t="s">
        <v>216</v>
      </c>
      <c r="G2607" s="28" t="s">
        <v>20</v>
      </c>
      <c r="H2607" s="28" t="s">
        <v>21</v>
      </c>
      <c r="I2607" s="28" t="s">
        <v>21</v>
      </c>
      <c r="J2607" s="28" t="s">
        <v>8352</v>
      </c>
      <c r="K2607" s="28" t="s">
        <v>8353</v>
      </c>
      <c r="L2607" s="28" t="s">
        <v>66</v>
      </c>
      <c r="M2607" s="28" t="s">
        <v>21</v>
      </c>
      <c r="O2607" s="92">
        <v>37691</v>
      </c>
      <c r="P2607" s="28" t="s">
        <v>21</v>
      </c>
      <c r="Q2607" s="26" t="b">
        <v>0</v>
      </c>
      <c r="R2607" s="22">
        <f t="shared" si="43"/>
        <v>1</v>
      </c>
    </row>
    <row r="2608" spans="1:18">
      <c r="A2608" s="26">
        <v>6919</v>
      </c>
      <c r="B2608" s="27">
        <v>37690</v>
      </c>
      <c r="C2608" s="28" t="s">
        <v>8354</v>
      </c>
      <c r="D2608" s="27">
        <v>37690</v>
      </c>
      <c r="E2608" s="28" t="s">
        <v>38</v>
      </c>
      <c r="F2608" s="28" t="s">
        <v>3430</v>
      </c>
      <c r="G2608" s="28" t="s">
        <v>20</v>
      </c>
      <c r="H2608" s="28" t="s">
        <v>71</v>
      </c>
      <c r="I2608" s="28" t="s">
        <v>72</v>
      </c>
      <c r="J2608" s="28" t="s">
        <v>8355</v>
      </c>
      <c r="K2608" s="28" t="s">
        <v>8356</v>
      </c>
      <c r="L2608" s="28" t="s">
        <v>314</v>
      </c>
      <c r="M2608" s="28" t="s">
        <v>21</v>
      </c>
      <c r="O2608" s="92">
        <v>37691</v>
      </c>
      <c r="P2608" s="28" t="s">
        <v>21</v>
      </c>
      <c r="Q2608" s="26" t="b">
        <v>0</v>
      </c>
      <c r="R2608" s="22">
        <f t="shared" si="43"/>
        <v>1</v>
      </c>
    </row>
    <row r="2609" spans="1:18">
      <c r="A2609" s="26">
        <v>6941</v>
      </c>
      <c r="B2609" s="27">
        <v>37691</v>
      </c>
      <c r="C2609" s="28" t="s">
        <v>8413</v>
      </c>
      <c r="D2609" s="27">
        <v>37688</v>
      </c>
      <c r="E2609" s="28" t="s">
        <v>8414</v>
      </c>
      <c r="F2609" s="28" t="s">
        <v>70</v>
      </c>
      <c r="G2609" s="28" t="s">
        <v>20</v>
      </c>
      <c r="H2609" s="28" t="s">
        <v>71</v>
      </c>
      <c r="I2609" s="28" t="s">
        <v>72</v>
      </c>
      <c r="J2609" s="28" t="s">
        <v>8415</v>
      </c>
      <c r="K2609" s="28" t="s">
        <v>21</v>
      </c>
      <c r="L2609" s="28" t="s">
        <v>66</v>
      </c>
      <c r="M2609" s="28" t="s">
        <v>21</v>
      </c>
      <c r="O2609" s="92">
        <v>37720</v>
      </c>
      <c r="P2609" s="28" t="s">
        <v>31</v>
      </c>
      <c r="Q2609" s="26" t="b">
        <v>0</v>
      </c>
      <c r="R2609" s="22">
        <f t="shared" si="43"/>
        <v>28</v>
      </c>
    </row>
    <row r="2610" spans="1:18">
      <c r="A2610" s="26">
        <v>6942</v>
      </c>
      <c r="B2610" s="27">
        <v>37691</v>
      </c>
      <c r="C2610" s="28" t="s">
        <v>8416</v>
      </c>
      <c r="D2610" s="27">
        <v>37688</v>
      </c>
      <c r="E2610" s="28" t="s">
        <v>8417</v>
      </c>
      <c r="F2610" s="28" t="s">
        <v>124</v>
      </c>
      <c r="G2610" s="28" t="s">
        <v>20</v>
      </c>
      <c r="H2610" s="28" t="s">
        <v>21</v>
      </c>
      <c r="I2610" s="28" t="s">
        <v>21</v>
      </c>
      <c r="J2610" s="28" t="s">
        <v>8418</v>
      </c>
      <c r="K2610" s="28" t="s">
        <v>21</v>
      </c>
      <c r="L2610" s="28" t="s">
        <v>66</v>
      </c>
      <c r="M2610" s="28" t="s">
        <v>21</v>
      </c>
      <c r="O2610" s="92">
        <v>37742</v>
      </c>
      <c r="P2610" s="28" t="s">
        <v>31</v>
      </c>
      <c r="Q2610" s="26" t="b">
        <v>0</v>
      </c>
      <c r="R2610" s="22">
        <f t="shared" si="43"/>
        <v>50</v>
      </c>
    </row>
    <row r="2611" spans="1:18">
      <c r="A2611" s="26">
        <v>6940</v>
      </c>
      <c r="B2611" s="27">
        <v>37693</v>
      </c>
      <c r="C2611" s="28" t="s">
        <v>8409</v>
      </c>
      <c r="D2611" s="27">
        <v>37690</v>
      </c>
      <c r="E2611" s="28" t="s">
        <v>8410</v>
      </c>
      <c r="F2611" s="28" t="s">
        <v>27</v>
      </c>
      <c r="G2611" s="28" t="s">
        <v>20</v>
      </c>
      <c r="H2611" s="28" t="s">
        <v>21</v>
      </c>
      <c r="I2611" s="28" t="s">
        <v>21</v>
      </c>
      <c r="J2611" s="28" t="s">
        <v>8411</v>
      </c>
      <c r="K2611" s="28" t="s">
        <v>8412</v>
      </c>
      <c r="L2611" s="28" t="s">
        <v>314</v>
      </c>
      <c r="M2611" s="28" t="s">
        <v>21</v>
      </c>
      <c r="O2611" s="92">
        <v>37768</v>
      </c>
      <c r="P2611" s="28" t="s">
        <v>31</v>
      </c>
      <c r="Q2611" s="26" t="b">
        <v>0</v>
      </c>
      <c r="R2611" s="22">
        <f t="shared" si="43"/>
        <v>75</v>
      </c>
    </row>
    <row r="2612" spans="1:18">
      <c r="A2612" s="26">
        <v>6939</v>
      </c>
      <c r="B2612" s="27">
        <v>37694</v>
      </c>
      <c r="C2612" s="28" t="s">
        <v>8404</v>
      </c>
      <c r="D2612" s="27">
        <v>37694</v>
      </c>
      <c r="E2612" s="28" t="s">
        <v>8405</v>
      </c>
      <c r="F2612" s="28" t="s">
        <v>8406</v>
      </c>
      <c r="G2612" s="28" t="s">
        <v>20</v>
      </c>
      <c r="H2612" s="28" t="s">
        <v>71</v>
      </c>
      <c r="I2612" s="28" t="s">
        <v>72</v>
      </c>
      <c r="J2612" s="28" t="s">
        <v>8407</v>
      </c>
      <c r="K2612" s="28" t="s">
        <v>8408</v>
      </c>
      <c r="L2612" s="28" t="s">
        <v>4282</v>
      </c>
      <c r="M2612" s="28" t="s">
        <v>21</v>
      </c>
      <c r="O2612" s="92">
        <v>38246</v>
      </c>
      <c r="P2612" s="28" t="s">
        <v>31</v>
      </c>
      <c r="Q2612" s="26" t="b">
        <v>0</v>
      </c>
      <c r="R2612" s="22">
        <f t="shared" si="43"/>
        <v>549</v>
      </c>
    </row>
    <row r="2613" spans="1:18">
      <c r="A2613" s="26">
        <v>6943</v>
      </c>
      <c r="B2613" s="27">
        <v>37697</v>
      </c>
      <c r="C2613" s="28" t="s">
        <v>8419</v>
      </c>
      <c r="D2613" s="27">
        <v>37693</v>
      </c>
      <c r="E2613" s="28" t="s">
        <v>38</v>
      </c>
      <c r="F2613" s="28" t="s">
        <v>455</v>
      </c>
      <c r="G2613" s="28" t="s">
        <v>20</v>
      </c>
      <c r="H2613" s="28" t="s">
        <v>71</v>
      </c>
      <c r="I2613" s="28" t="s">
        <v>72</v>
      </c>
      <c r="J2613" s="28" t="s">
        <v>8420</v>
      </c>
      <c r="K2613" s="28" t="s">
        <v>21</v>
      </c>
      <c r="L2613" s="28" t="s">
        <v>66</v>
      </c>
      <c r="M2613" s="28" t="s">
        <v>21</v>
      </c>
      <c r="O2613" s="92">
        <v>37698</v>
      </c>
      <c r="P2613" s="28" t="s">
        <v>31</v>
      </c>
      <c r="Q2613" s="26" t="b">
        <v>0</v>
      </c>
      <c r="R2613" s="22">
        <f t="shared" si="43"/>
        <v>1</v>
      </c>
    </row>
    <row r="2614" spans="1:18">
      <c r="A2614" s="26">
        <v>6944</v>
      </c>
      <c r="B2614" s="27">
        <v>37697</v>
      </c>
      <c r="C2614" s="28" t="s">
        <v>8421</v>
      </c>
      <c r="D2614" s="27">
        <v>37691</v>
      </c>
      <c r="E2614" s="28" t="s">
        <v>38</v>
      </c>
      <c r="F2614" s="28" t="s">
        <v>124</v>
      </c>
      <c r="G2614" s="28" t="s">
        <v>20</v>
      </c>
      <c r="H2614" s="28" t="s">
        <v>21</v>
      </c>
      <c r="I2614" s="28" t="s">
        <v>21</v>
      </c>
      <c r="J2614" s="28" t="s">
        <v>8422</v>
      </c>
      <c r="K2614" s="28" t="s">
        <v>8423</v>
      </c>
      <c r="L2614" s="28" t="s">
        <v>314</v>
      </c>
      <c r="M2614" s="28" t="s">
        <v>21</v>
      </c>
      <c r="O2614" s="92">
        <v>37699</v>
      </c>
      <c r="P2614" s="28" t="s">
        <v>31</v>
      </c>
      <c r="Q2614" s="26" t="b">
        <v>0</v>
      </c>
      <c r="R2614" s="22">
        <f t="shared" si="43"/>
        <v>2</v>
      </c>
    </row>
    <row r="2615" spans="1:18">
      <c r="A2615" s="26">
        <v>6945</v>
      </c>
      <c r="B2615" s="27">
        <v>37697</v>
      </c>
      <c r="C2615" s="28" t="s">
        <v>8424</v>
      </c>
      <c r="D2615" s="27">
        <v>37697</v>
      </c>
      <c r="E2615" s="28" t="s">
        <v>283</v>
      </c>
      <c r="F2615" s="28" t="s">
        <v>228</v>
      </c>
      <c r="G2615" s="28" t="s">
        <v>20</v>
      </c>
      <c r="H2615" s="28" t="s">
        <v>21</v>
      </c>
      <c r="I2615" s="28" t="s">
        <v>21</v>
      </c>
      <c r="J2615" s="28" t="s">
        <v>8425</v>
      </c>
      <c r="K2615" s="28" t="s">
        <v>8426</v>
      </c>
      <c r="L2615" s="28" t="s">
        <v>314</v>
      </c>
      <c r="M2615" s="28" t="s">
        <v>21</v>
      </c>
      <c r="O2615" s="92">
        <v>37742</v>
      </c>
      <c r="P2615" s="28" t="s">
        <v>21</v>
      </c>
      <c r="Q2615" s="26" t="b">
        <v>0</v>
      </c>
      <c r="R2615" s="22">
        <f t="shared" si="43"/>
        <v>44</v>
      </c>
    </row>
    <row r="2616" spans="1:18" ht="24">
      <c r="A2616" s="26">
        <v>6950</v>
      </c>
      <c r="B2616" s="27">
        <v>37700</v>
      </c>
      <c r="C2616" s="28" t="s">
        <v>8431</v>
      </c>
      <c r="D2616" s="27">
        <v>37700</v>
      </c>
      <c r="E2616" s="28" t="s">
        <v>8432</v>
      </c>
      <c r="F2616" s="28" t="s">
        <v>1771</v>
      </c>
      <c r="G2616" s="28" t="s">
        <v>20</v>
      </c>
      <c r="H2616" s="28" t="s">
        <v>189</v>
      </c>
      <c r="I2616" s="28" t="s">
        <v>189</v>
      </c>
      <c r="J2616" s="28" t="s">
        <v>8433</v>
      </c>
      <c r="K2616" s="28" t="s">
        <v>8434</v>
      </c>
      <c r="L2616" s="28" t="s">
        <v>66</v>
      </c>
      <c r="M2616" s="28" t="s">
        <v>21</v>
      </c>
      <c r="O2616" s="92">
        <v>37736</v>
      </c>
      <c r="P2616" s="28" t="s">
        <v>31</v>
      </c>
      <c r="Q2616" s="26" t="b">
        <v>0</v>
      </c>
      <c r="R2616" s="22">
        <f t="shared" si="43"/>
        <v>35</v>
      </c>
    </row>
    <row r="2617" spans="1:18" ht="24">
      <c r="A2617" s="26">
        <v>6959</v>
      </c>
      <c r="B2617" s="27">
        <v>37701</v>
      </c>
      <c r="C2617" s="28" t="s">
        <v>8462</v>
      </c>
      <c r="D2617" s="27">
        <v>37701</v>
      </c>
      <c r="E2617" s="28" t="s">
        <v>4172</v>
      </c>
      <c r="F2617" s="28" t="s">
        <v>129</v>
      </c>
      <c r="G2617" s="28" t="s">
        <v>20</v>
      </c>
      <c r="H2617" s="28" t="s">
        <v>21</v>
      </c>
      <c r="I2617" s="28" t="s">
        <v>21</v>
      </c>
      <c r="J2617" s="28" t="s">
        <v>7085</v>
      </c>
      <c r="K2617" s="28" t="s">
        <v>8463</v>
      </c>
      <c r="L2617" s="28" t="s">
        <v>66</v>
      </c>
      <c r="M2617" s="28" t="s">
        <v>21</v>
      </c>
      <c r="O2617" s="92">
        <v>37747</v>
      </c>
      <c r="P2617" s="28" t="s">
        <v>31</v>
      </c>
      <c r="Q2617" s="26" t="b">
        <v>0</v>
      </c>
      <c r="R2617" s="22">
        <f t="shared" si="43"/>
        <v>45</v>
      </c>
    </row>
    <row r="2618" spans="1:18" ht="24">
      <c r="A2618" s="26">
        <v>6960</v>
      </c>
      <c r="B2618" s="27">
        <v>37701</v>
      </c>
      <c r="C2618" s="28" t="s">
        <v>8464</v>
      </c>
      <c r="D2618" s="27">
        <v>37700</v>
      </c>
      <c r="E2618" s="28" t="s">
        <v>8465</v>
      </c>
      <c r="F2618" s="28" t="s">
        <v>6643</v>
      </c>
      <c r="G2618" s="28" t="s">
        <v>20</v>
      </c>
      <c r="H2618" s="28" t="s">
        <v>189</v>
      </c>
      <c r="I2618" s="28" t="s">
        <v>189</v>
      </c>
      <c r="J2618" s="28" t="s">
        <v>8466</v>
      </c>
      <c r="K2618" s="28" t="s">
        <v>8467</v>
      </c>
      <c r="L2618" s="28" t="s">
        <v>314</v>
      </c>
      <c r="M2618" s="28" t="s">
        <v>21</v>
      </c>
      <c r="O2618" s="92">
        <v>37719</v>
      </c>
      <c r="P2618" s="28" t="s">
        <v>21</v>
      </c>
      <c r="Q2618" s="26" t="b">
        <v>0</v>
      </c>
      <c r="R2618" s="22">
        <f t="shared" si="43"/>
        <v>17</v>
      </c>
    </row>
    <row r="2619" spans="1:18">
      <c r="A2619" s="26">
        <v>6961</v>
      </c>
      <c r="B2619" s="27">
        <v>37705</v>
      </c>
      <c r="C2619" s="28" t="s">
        <v>8468</v>
      </c>
      <c r="D2619" s="27">
        <v>37702</v>
      </c>
      <c r="E2619" s="28" t="s">
        <v>4172</v>
      </c>
      <c r="F2619" s="28" t="s">
        <v>350</v>
      </c>
      <c r="G2619" s="28" t="s">
        <v>20</v>
      </c>
      <c r="H2619" s="28" t="s">
        <v>21</v>
      </c>
      <c r="I2619" s="28" t="s">
        <v>21</v>
      </c>
      <c r="J2619" s="28" t="s">
        <v>7085</v>
      </c>
      <c r="K2619" s="28" t="s">
        <v>1817</v>
      </c>
      <c r="L2619" s="28" t="s">
        <v>8318</v>
      </c>
      <c r="M2619" s="28" t="s">
        <v>314</v>
      </c>
      <c r="O2619" s="92">
        <v>37743</v>
      </c>
      <c r="P2619" s="28" t="s">
        <v>31</v>
      </c>
      <c r="Q2619" s="26" t="b">
        <v>0</v>
      </c>
      <c r="R2619" s="22">
        <f t="shared" si="43"/>
        <v>37</v>
      </c>
    </row>
    <row r="2620" spans="1:18">
      <c r="A2620" s="26">
        <v>6962</v>
      </c>
      <c r="B2620" s="27">
        <v>37705</v>
      </c>
      <c r="C2620" s="28" t="s">
        <v>8469</v>
      </c>
      <c r="D2620" s="27">
        <v>37704</v>
      </c>
      <c r="E2620" s="28" t="s">
        <v>8470</v>
      </c>
      <c r="F2620" s="28" t="s">
        <v>145</v>
      </c>
      <c r="G2620" s="28" t="s">
        <v>20</v>
      </c>
      <c r="H2620" s="28" t="s">
        <v>21</v>
      </c>
      <c r="I2620" s="28" t="s">
        <v>21</v>
      </c>
      <c r="J2620" s="28" t="s">
        <v>8471</v>
      </c>
      <c r="K2620" s="28" t="s">
        <v>8472</v>
      </c>
      <c r="L2620" s="28" t="s">
        <v>4282</v>
      </c>
      <c r="M2620" s="28" t="s">
        <v>21</v>
      </c>
      <c r="O2620" s="92">
        <v>37809</v>
      </c>
      <c r="P2620" s="28" t="s">
        <v>31</v>
      </c>
      <c r="Q2620" s="26" t="b">
        <v>0</v>
      </c>
      <c r="R2620" s="22">
        <f t="shared" si="43"/>
        <v>103</v>
      </c>
    </row>
    <row r="2621" spans="1:18">
      <c r="A2621" s="26">
        <v>7011</v>
      </c>
      <c r="B2621" s="27">
        <v>37705</v>
      </c>
      <c r="C2621" s="28" t="s">
        <v>8517</v>
      </c>
      <c r="D2621" s="27">
        <v>37705</v>
      </c>
      <c r="E2621" s="28" t="s">
        <v>8518</v>
      </c>
      <c r="F2621" s="28" t="s">
        <v>5704</v>
      </c>
      <c r="G2621" s="28" t="s">
        <v>20</v>
      </c>
      <c r="H2621" s="28" t="s">
        <v>21</v>
      </c>
      <c r="I2621" s="28" t="s">
        <v>21</v>
      </c>
      <c r="J2621" s="28" t="s">
        <v>8519</v>
      </c>
      <c r="K2621" s="28" t="s">
        <v>8520</v>
      </c>
      <c r="L2621" s="28" t="s">
        <v>4282</v>
      </c>
      <c r="M2621" s="28" t="s">
        <v>21</v>
      </c>
      <c r="O2621" s="92">
        <v>38315</v>
      </c>
      <c r="P2621" s="28" t="s">
        <v>31</v>
      </c>
      <c r="Q2621" s="26" t="b">
        <v>0</v>
      </c>
      <c r="R2621" s="22">
        <f t="shared" si="43"/>
        <v>607</v>
      </c>
    </row>
    <row r="2622" spans="1:18">
      <c r="A2622" s="26">
        <v>6963</v>
      </c>
      <c r="B2622" s="27">
        <v>37707</v>
      </c>
      <c r="C2622" s="28" t="s">
        <v>8473</v>
      </c>
      <c r="D2622" s="27">
        <v>37705</v>
      </c>
      <c r="E2622" s="28" t="s">
        <v>8474</v>
      </c>
      <c r="F2622" s="28" t="s">
        <v>3434</v>
      </c>
      <c r="G2622" s="28" t="s">
        <v>20</v>
      </c>
      <c r="H2622" s="28" t="s">
        <v>21</v>
      </c>
      <c r="I2622" s="28" t="s">
        <v>21</v>
      </c>
      <c r="J2622" s="28" t="s">
        <v>8475</v>
      </c>
      <c r="K2622" s="28" t="s">
        <v>21</v>
      </c>
      <c r="L2622" s="28" t="s">
        <v>8318</v>
      </c>
      <c r="M2622" s="28" t="s">
        <v>21</v>
      </c>
      <c r="O2622" s="92">
        <v>37707</v>
      </c>
      <c r="P2622" s="28" t="s">
        <v>31</v>
      </c>
      <c r="Q2622" s="26" t="b">
        <v>0</v>
      </c>
      <c r="R2622" s="22">
        <f t="shared" si="43"/>
        <v>0</v>
      </c>
    </row>
    <row r="2623" spans="1:18">
      <c r="A2623" s="26">
        <v>6964</v>
      </c>
      <c r="B2623" s="27">
        <v>37707</v>
      </c>
      <c r="C2623" s="28" t="s">
        <v>8476</v>
      </c>
      <c r="D2623" s="27">
        <v>37707</v>
      </c>
      <c r="E2623" s="28" t="s">
        <v>8477</v>
      </c>
      <c r="F2623" s="28" t="s">
        <v>56</v>
      </c>
      <c r="G2623" s="28" t="s">
        <v>20</v>
      </c>
      <c r="H2623" s="28" t="s">
        <v>21</v>
      </c>
      <c r="I2623" s="28" t="s">
        <v>21</v>
      </c>
      <c r="J2623" s="28" t="s">
        <v>8478</v>
      </c>
      <c r="K2623" s="28" t="s">
        <v>7185</v>
      </c>
      <c r="L2623" s="28" t="s">
        <v>66</v>
      </c>
      <c r="M2623" s="28" t="s">
        <v>21</v>
      </c>
      <c r="O2623" s="92">
        <v>37718</v>
      </c>
      <c r="P2623" s="28" t="s">
        <v>31</v>
      </c>
      <c r="Q2623" s="26" t="b">
        <v>0</v>
      </c>
      <c r="R2623" s="22">
        <f t="shared" si="43"/>
        <v>10</v>
      </c>
    </row>
    <row r="2624" spans="1:18">
      <c r="A2624" s="26">
        <v>6978</v>
      </c>
      <c r="B2624" s="27">
        <v>37708</v>
      </c>
      <c r="C2624" s="28" t="s">
        <v>8485</v>
      </c>
      <c r="D2624" s="27">
        <v>37706</v>
      </c>
      <c r="E2624" s="28" t="s">
        <v>38</v>
      </c>
      <c r="F2624" s="28" t="s">
        <v>124</v>
      </c>
      <c r="G2624" s="28" t="s">
        <v>20</v>
      </c>
      <c r="H2624" s="28" t="s">
        <v>21</v>
      </c>
      <c r="I2624" s="28" t="s">
        <v>21</v>
      </c>
      <c r="J2624" s="28" t="s">
        <v>8486</v>
      </c>
      <c r="K2624" s="28" t="s">
        <v>21</v>
      </c>
      <c r="L2624" s="28" t="s">
        <v>8487</v>
      </c>
      <c r="M2624" s="28" t="s">
        <v>21</v>
      </c>
      <c r="O2624" s="92">
        <v>37714</v>
      </c>
      <c r="P2624" s="28" t="s">
        <v>31</v>
      </c>
      <c r="Q2624" s="26" t="b">
        <v>0</v>
      </c>
      <c r="R2624" s="22">
        <f t="shared" si="43"/>
        <v>5</v>
      </c>
    </row>
    <row r="2625" spans="1:18" ht="24">
      <c r="A2625" s="26">
        <v>6976</v>
      </c>
      <c r="B2625" s="27">
        <v>37712</v>
      </c>
      <c r="C2625" s="28" t="s">
        <v>8479</v>
      </c>
      <c r="D2625" s="27">
        <v>37712</v>
      </c>
      <c r="E2625" s="28" t="s">
        <v>8480</v>
      </c>
      <c r="F2625" s="28" t="s">
        <v>124</v>
      </c>
      <c r="G2625" s="28" t="s">
        <v>20</v>
      </c>
      <c r="H2625" s="28" t="s">
        <v>21</v>
      </c>
      <c r="I2625" s="28" t="s">
        <v>21</v>
      </c>
      <c r="J2625" s="28" t="s">
        <v>8481</v>
      </c>
      <c r="K2625" s="28" t="s">
        <v>21</v>
      </c>
      <c r="L2625" s="28" t="s">
        <v>314</v>
      </c>
      <c r="M2625" s="28" t="s">
        <v>21</v>
      </c>
      <c r="O2625" s="92">
        <v>37718</v>
      </c>
      <c r="P2625" s="28" t="s">
        <v>31</v>
      </c>
      <c r="Q2625" s="26" t="b">
        <v>0</v>
      </c>
      <c r="R2625" s="22">
        <f t="shared" si="43"/>
        <v>6</v>
      </c>
    </row>
    <row r="2626" spans="1:18" ht="24">
      <c r="A2626" s="26">
        <v>6977</v>
      </c>
      <c r="B2626" s="27">
        <v>37712</v>
      </c>
      <c r="C2626" s="28" t="s">
        <v>8482</v>
      </c>
      <c r="D2626" s="27">
        <v>37712</v>
      </c>
      <c r="E2626" s="28" t="s">
        <v>8483</v>
      </c>
      <c r="F2626" s="28" t="s">
        <v>974</v>
      </c>
      <c r="G2626" s="28" t="s">
        <v>20</v>
      </c>
      <c r="H2626" s="28" t="s">
        <v>212</v>
      </c>
      <c r="I2626" s="28" t="s">
        <v>212</v>
      </c>
      <c r="J2626" s="28" t="s">
        <v>8484</v>
      </c>
      <c r="K2626" s="28" t="s">
        <v>1928</v>
      </c>
      <c r="L2626" s="28" t="s">
        <v>7167</v>
      </c>
      <c r="M2626" s="28" t="s">
        <v>7168</v>
      </c>
      <c r="O2626" s="92">
        <v>41064</v>
      </c>
      <c r="P2626" s="28" t="s">
        <v>31</v>
      </c>
      <c r="Q2626" s="26" t="b">
        <v>0</v>
      </c>
      <c r="R2626" s="22">
        <f t="shared" si="43"/>
        <v>3348</v>
      </c>
    </row>
    <row r="2627" spans="1:18">
      <c r="A2627" s="26">
        <v>6979</v>
      </c>
      <c r="B2627" s="27">
        <v>37714</v>
      </c>
      <c r="C2627" s="28" t="s">
        <v>8488</v>
      </c>
      <c r="D2627" s="27">
        <v>37714</v>
      </c>
      <c r="E2627" s="28" t="s">
        <v>38</v>
      </c>
      <c r="F2627" s="28" t="s">
        <v>3434</v>
      </c>
      <c r="G2627" s="28" t="s">
        <v>20</v>
      </c>
      <c r="H2627" s="28" t="s">
        <v>21</v>
      </c>
      <c r="I2627" s="28" t="s">
        <v>21</v>
      </c>
      <c r="J2627" s="28" t="s">
        <v>3581</v>
      </c>
      <c r="K2627" s="28" t="s">
        <v>8489</v>
      </c>
      <c r="L2627" s="28" t="s">
        <v>8318</v>
      </c>
      <c r="M2627" s="28" t="s">
        <v>21</v>
      </c>
      <c r="O2627" s="92">
        <v>37715</v>
      </c>
      <c r="P2627" s="28" t="s">
        <v>31</v>
      </c>
      <c r="Q2627" s="26" t="b">
        <v>0</v>
      </c>
      <c r="R2627" s="22">
        <f t="shared" si="43"/>
        <v>1</v>
      </c>
    </row>
    <row r="2628" spans="1:18">
      <c r="A2628" s="26">
        <v>6981</v>
      </c>
      <c r="B2628" s="27">
        <v>37718</v>
      </c>
      <c r="C2628" s="28" t="s">
        <v>8490</v>
      </c>
      <c r="D2628" s="27">
        <v>37719</v>
      </c>
      <c r="E2628" s="28" t="s">
        <v>8491</v>
      </c>
      <c r="F2628" s="28" t="s">
        <v>3430</v>
      </c>
      <c r="G2628" s="28" t="s">
        <v>20</v>
      </c>
      <c r="H2628" s="28" t="s">
        <v>71</v>
      </c>
      <c r="I2628" s="28" t="s">
        <v>72</v>
      </c>
      <c r="J2628" s="28" t="s">
        <v>8492</v>
      </c>
      <c r="K2628" s="28" t="s">
        <v>5668</v>
      </c>
      <c r="L2628" s="28" t="s">
        <v>8318</v>
      </c>
      <c r="M2628" s="28" t="s">
        <v>21</v>
      </c>
      <c r="O2628" s="92">
        <v>37719</v>
      </c>
      <c r="P2628" s="28" t="s">
        <v>21</v>
      </c>
      <c r="Q2628" s="26" t="b">
        <v>0</v>
      </c>
      <c r="R2628" s="22">
        <f t="shared" si="43"/>
        <v>1</v>
      </c>
    </row>
    <row r="2629" spans="1:18">
      <c r="A2629" s="26">
        <v>6994</v>
      </c>
      <c r="B2629" s="27">
        <v>37718</v>
      </c>
      <c r="C2629" s="28" t="s">
        <v>8498</v>
      </c>
      <c r="D2629" s="27">
        <v>37716</v>
      </c>
      <c r="E2629" s="28" t="s">
        <v>8499</v>
      </c>
      <c r="F2629" s="28" t="s">
        <v>3519</v>
      </c>
      <c r="G2629" s="28" t="s">
        <v>20</v>
      </c>
      <c r="H2629" s="28" t="s">
        <v>566</v>
      </c>
      <c r="I2629" s="28" t="s">
        <v>566</v>
      </c>
      <c r="J2629" s="28" t="s">
        <v>8500</v>
      </c>
      <c r="K2629" s="28" t="s">
        <v>21</v>
      </c>
      <c r="L2629" s="28" t="s">
        <v>66</v>
      </c>
      <c r="M2629" s="28" t="s">
        <v>21</v>
      </c>
      <c r="O2629" s="92">
        <v>37768</v>
      </c>
      <c r="P2629" s="28" t="s">
        <v>31</v>
      </c>
      <c r="Q2629" s="26" t="b">
        <v>0</v>
      </c>
      <c r="R2629" s="22">
        <f t="shared" si="43"/>
        <v>50</v>
      </c>
    </row>
    <row r="2630" spans="1:18">
      <c r="A2630" s="26">
        <v>6995</v>
      </c>
      <c r="B2630" s="27">
        <v>37720</v>
      </c>
      <c r="C2630" s="28" t="s">
        <v>8501</v>
      </c>
      <c r="D2630" s="27">
        <v>37720</v>
      </c>
      <c r="E2630" s="28" t="s">
        <v>8502</v>
      </c>
      <c r="F2630" s="28" t="s">
        <v>4242</v>
      </c>
      <c r="G2630" s="28" t="s">
        <v>20</v>
      </c>
      <c r="H2630" s="28" t="s">
        <v>189</v>
      </c>
      <c r="I2630" s="28" t="s">
        <v>189</v>
      </c>
      <c r="J2630" s="28" t="s">
        <v>8503</v>
      </c>
      <c r="K2630" s="28" t="s">
        <v>8504</v>
      </c>
      <c r="L2630" s="28" t="s">
        <v>8318</v>
      </c>
      <c r="M2630" s="28" t="s">
        <v>21</v>
      </c>
      <c r="O2630" s="92">
        <v>37725</v>
      </c>
      <c r="P2630" s="28" t="s">
        <v>31</v>
      </c>
      <c r="Q2630" s="26" t="b">
        <v>0</v>
      </c>
      <c r="R2630" s="22">
        <f t="shared" si="43"/>
        <v>5</v>
      </c>
    </row>
    <row r="2631" spans="1:18">
      <c r="A2631" s="26">
        <v>6991</v>
      </c>
      <c r="B2631" s="27">
        <v>37721</v>
      </c>
      <c r="C2631" s="28" t="s">
        <v>8495</v>
      </c>
      <c r="D2631" s="27">
        <v>37721</v>
      </c>
      <c r="E2631" s="28" t="s">
        <v>8496</v>
      </c>
      <c r="F2631" s="28" t="s">
        <v>3430</v>
      </c>
      <c r="G2631" s="28" t="s">
        <v>20</v>
      </c>
      <c r="H2631" s="28" t="s">
        <v>71</v>
      </c>
      <c r="I2631" s="28" t="s">
        <v>72</v>
      </c>
      <c r="J2631" s="28" t="s">
        <v>5240</v>
      </c>
      <c r="K2631" s="28" t="s">
        <v>8497</v>
      </c>
      <c r="L2631" s="28" t="s">
        <v>314</v>
      </c>
      <c r="M2631" s="28" t="s">
        <v>21</v>
      </c>
      <c r="O2631" s="92">
        <v>37722</v>
      </c>
      <c r="P2631" s="28" t="s">
        <v>21</v>
      </c>
      <c r="Q2631" s="26" t="b">
        <v>0</v>
      </c>
      <c r="R2631" s="22">
        <f t="shared" si="43"/>
        <v>1</v>
      </c>
    </row>
    <row r="2632" spans="1:18">
      <c r="A2632" s="26">
        <v>6997</v>
      </c>
      <c r="B2632" s="27">
        <v>37725</v>
      </c>
      <c r="C2632" s="28" t="s">
        <v>8505</v>
      </c>
      <c r="D2632" s="27">
        <v>37725</v>
      </c>
      <c r="E2632" s="28" t="s">
        <v>8506</v>
      </c>
      <c r="F2632" s="28" t="s">
        <v>104</v>
      </c>
      <c r="G2632" s="28" t="s">
        <v>20</v>
      </c>
      <c r="H2632" s="28" t="s">
        <v>21</v>
      </c>
      <c r="I2632" s="28" t="s">
        <v>21</v>
      </c>
      <c r="J2632" s="28" t="s">
        <v>8507</v>
      </c>
      <c r="K2632" s="28" t="s">
        <v>21</v>
      </c>
      <c r="L2632" s="28" t="s">
        <v>314</v>
      </c>
      <c r="M2632" s="28" t="s">
        <v>21</v>
      </c>
      <c r="O2632" s="92">
        <v>37726</v>
      </c>
      <c r="P2632" s="28" t="s">
        <v>21</v>
      </c>
      <c r="Q2632" s="26" t="b">
        <v>0</v>
      </c>
      <c r="R2632" s="22">
        <f t="shared" si="43"/>
        <v>1</v>
      </c>
    </row>
    <row r="2633" spans="1:18">
      <c r="A2633" s="26">
        <v>6998</v>
      </c>
      <c r="B2633" s="27">
        <v>37725</v>
      </c>
      <c r="C2633" s="28" t="s">
        <v>8508</v>
      </c>
      <c r="D2633" s="27">
        <v>37719</v>
      </c>
      <c r="E2633" s="28" t="s">
        <v>8509</v>
      </c>
      <c r="F2633" s="28" t="s">
        <v>3430</v>
      </c>
      <c r="G2633" s="28" t="s">
        <v>20</v>
      </c>
      <c r="H2633" s="28" t="s">
        <v>71</v>
      </c>
      <c r="I2633" s="28" t="s">
        <v>72</v>
      </c>
      <c r="J2633" s="28" t="s">
        <v>5668</v>
      </c>
      <c r="K2633" s="28" t="s">
        <v>8510</v>
      </c>
      <c r="L2633" s="28" t="s">
        <v>8511</v>
      </c>
      <c r="M2633" s="28" t="s">
        <v>21</v>
      </c>
      <c r="O2633" s="92">
        <v>37742</v>
      </c>
      <c r="P2633" s="28" t="s">
        <v>21</v>
      </c>
      <c r="Q2633" s="26" t="b">
        <v>0</v>
      </c>
      <c r="R2633" s="22">
        <f t="shared" si="43"/>
        <v>17</v>
      </c>
    </row>
    <row r="2634" spans="1:18" ht="24">
      <c r="A2634" s="26">
        <v>7002</v>
      </c>
      <c r="B2634" s="27">
        <v>37727</v>
      </c>
      <c r="C2634" s="28" t="s">
        <v>8512</v>
      </c>
      <c r="D2634" s="27">
        <v>37726</v>
      </c>
      <c r="E2634" s="28" t="s">
        <v>8513</v>
      </c>
      <c r="F2634" s="28" t="s">
        <v>52</v>
      </c>
      <c r="G2634" s="28" t="s">
        <v>20</v>
      </c>
      <c r="H2634" s="28" t="s">
        <v>21</v>
      </c>
      <c r="I2634" s="28" t="s">
        <v>21</v>
      </c>
      <c r="J2634" s="28" t="s">
        <v>8514</v>
      </c>
      <c r="K2634" s="28" t="s">
        <v>2905</v>
      </c>
      <c r="L2634" s="28" t="s">
        <v>66</v>
      </c>
      <c r="M2634" s="28" t="s">
        <v>21</v>
      </c>
      <c r="O2634" s="92">
        <v>37802</v>
      </c>
      <c r="P2634" s="28" t="s">
        <v>31</v>
      </c>
      <c r="Q2634" s="26" t="b">
        <v>0</v>
      </c>
      <c r="R2634" s="22">
        <f t="shared" si="43"/>
        <v>75</v>
      </c>
    </row>
    <row r="2635" spans="1:18">
      <c r="A2635" s="26">
        <v>7010</v>
      </c>
      <c r="B2635" s="27">
        <v>37732</v>
      </c>
      <c r="C2635" s="28" t="s">
        <v>8515</v>
      </c>
      <c r="D2635" s="27">
        <v>37727</v>
      </c>
      <c r="E2635" s="28" t="s">
        <v>3268</v>
      </c>
      <c r="F2635" s="28" t="s">
        <v>4242</v>
      </c>
      <c r="G2635" s="28" t="s">
        <v>20</v>
      </c>
      <c r="H2635" s="28" t="s">
        <v>189</v>
      </c>
      <c r="I2635" s="28" t="s">
        <v>189</v>
      </c>
      <c r="J2635" s="28" t="s">
        <v>8516</v>
      </c>
      <c r="K2635" s="28" t="s">
        <v>1928</v>
      </c>
      <c r="L2635" s="28" t="s">
        <v>66</v>
      </c>
      <c r="M2635" s="28" t="s">
        <v>21</v>
      </c>
      <c r="O2635" s="92">
        <v>37960</v>
      </c>
      <c r="P2635" s="28" t="s">
        <v>21</v>
      </c>
      <c r="Q2635" s="26" t="b">
        <v>0</v>
      </c>
      <c r="R2635" s="22">
        <f t="shared" si="43"/>
        <v>227</v>
      </c>
    </row>
    <row r="2636" spans="1:18">
      <c r="A2636" s="26">
        <v>7361</v>
      </c>
      <c r="B2636" s="27">
        <v>37732</v>
      </c>
      <c r="C2636" s="28" t="s">
        <v>9102</v>
      </c>
      <c r="D2636" s="27">
        <v>37732</v>
      </c>
      <c r="E2636" s="28" t="s">
        <v>3268</v>
      </c>
      <c r="F2636" s="28" t="s">
        <v>4242</v>
      </c>
      <c r="G2636" s="28" t="s">
        <v>20</v>
      </c>
      <c r="H2636" s="28" t="s">
        <v>189</v>
      </c>
      <c r="I2636" s="28" t="s">
        <v>189</v>
      </c>
      <c r="J2636" s="28" t="s">
        <v>9103</v>
      </c>
      <c r="K2636" s="28" t="s">
        <v>21</v>
      </c>
      <c r="L2636" s="28" t="s">
        <v>66</v>
      </c>
      <c r="M2636" s="28" t="s">
        <v>21</v>
      </c>
      <c r="O2636" s="92">
        <v>37960</v>
      </c>
      <c r="P2636" s="28" t="s">
        <v>21</v>
      </c>
      <c r="Q2636" s="26" t="b">
        <v>0</v>
      </c>
      <c r="R2636" s="22">
        <f t="shared" si="43"/>
        <v>227</v>
      </c>
    </row>
    <row r="2637" spans="1:18">
      <c r="A2637" s="26">
        <v>7022</v>
      </c>
      <c r="B2637" s="27">
        <v>37733</v>
      </c>
      <c r="C2637" s="28" t="s">
        <v>8540</v>
      </c>
      <c r="D2637" s="27">
        <v>37733</v>
      </c>
      <c r="E2637" s="28" t="s">
        <v>8541</v>
      </c>
      <c r="F2637" s="28" t="s">
        <v>3430</v>
      </c>
      <c r="G2637" s="28" t="s">
        <v>20</v>
      </c>
      <c r="H2637" s="28" t="s">
        <v>71</v>
      </c>
      <c r="I2637" s="28" t="s">
        <v>72</v>
      </c>
      <c r="J2637" s="28" t="s">
        <v>5668</v>
      </c>
      <c r="K2637" s="28" t="s">
        <v>8542</v>
      </c>
      <c r="L2637" s="28" t="s">
        <v>8318</v>
      </c>
      <c r="M2637" s="28" t="s">
        <v>21</v>
      </c>
      <c r="O2637" s="92">
        <v>37739</v>
      </c>
      <c r="P2637" s="28" t="s">
        <v>21</v>
      </c>
      <c r="Q2637" s="26" t="b">
        <v>0</v>
      </c>
      <c r="R2637" s="22">
        <f t="shared" si="43"/>
        <v>6</v>
      </c>
    </row>
    <row r="2638" spans="1:18">
      <c r="A2638" s="26">
        <v>7023</v>
      </c>
      <c r="B2638" s="27">
        <v>37733</v>
      </c>
      <c r="C2638" s="28" t="s">
        <v>8543</v>
      </c>
      <c r="D2638" s="27">
        <v>37732</v>
      </c>
      <c r="E2638" s="28" t="s">
        <v>8544</v>
      </c>
      <c r="F2638" s="28" t="s">
        <v>104</v>
      </c>
      <c r="G2638" s="28" t="s">
        <v>20</v>
      </c>
      <c r="H2638" s="28" t="s">
        <v>21</v>
      </c>
      <c r="I2638" s="28" t="s">
        <v>21</v>
      </c>
      <c r="J2638" s="28" t="s">
        <v>2905</v>
      </c>
      <c r="K2638" s="28" t="s">
        <v>8545</v>
      </c>
      <c r="L2638" s="28" t="s">
        <v>314</v>
      </c>
      <c r="M2638" s="28" t="s">
        <v>21</v>
      </c>
      <c r="O2638" s="92">
        <v>37768</v>
      </c>
      <c r="P2638" s="28" t="s">
        <v>31</v>
      </c>
      <c r="Q2638" s="26" t="b">
        <v>0</v>
      </c>
      <c r="R2638" s="22">
        <f t="shared" si="43"/>
        <v>35</v>
      </c>
    </row>
    <row r="2639" spans="1:18">
      <c r="A2639" s="26">
        <v>7024</v>
      </c>
      <c r="B2639" s="27">
        <v>37733</v>
      </c>
      <c r="C2639" s="28" t="s">
        <v>8546</v>
      </c>
      <c r="D2639" s="27">
        <v>37731</v>
      </c>
      <c r="E2639" s="28" t="s">
        <v>8547</v>
      </c>
      <c r="F2639" s="28" t="s">
        <v>124</v>
      </c>
      <c r="G2639" s="28" t="s">
        <v>20</v>
      </c>
      <c r="H2639" s="28" t="s">
        <v>21</v>
      </c>
      <c r="I2639" s="28" t="s">
        <v>21</v>
      </c>
      <c r="J2639" s="28" t="s">
        <v>8548</v>
      </c>
      <c r="K2639" s="28" t="s">
        <v>21</v>
      </c>
      <c r="L2639" s="28" t="s">
        <v>4282</v>
      </c>
      <c r="M2639" s="28" t="s">
        <v>21</v>
      </c>
      <c r="O2639" s="92">
        <v>37771</v>
      </c>
      <c r="P2639" s="28" t="s">
        <v>31</v>
      </c>
      <c r="Q2639" s="26" t="b">
        <v>0</v>
      </c>
      <c r="R2639" s="22">
        <f t="shared" si="43"/>
        <v>38</v>
      </c>
    </row>
    <row r="2640" spans="1:18">
      <c r="A2640" s="26">
        <v>7025</v>
      </c>
      <c r="B2640" s="27">
        <v>37733</v>
      </c>
      <c r="C2640" s="28" t="s">
        <v>8549</v>
      </c>
      <c r="D2640" s="27">
        <v>37731</v>
      </c>
      <c r="E2640" s="28" t="s">
        <v>8550</v>
      </c>
      <c r="F2640" s="28" t="s">
        <v>124</v>
      </c>
      <c r="G2640" s="28" t="s">
        <v>20</v>
      </c>
      <c r="H2640" s="28" t="s">
        <v>21</v>
      </c>
      <c r="I2640" s="28" t="s">
        <v>21</v>
      </c>
      <c r="J2640" s="28" t="s">
        <v>8551</v>
      </c>
      <c r="K2640" s="28" t="s">
        <v>21</v>
      </c>
      <c r="L2640" s="28" t="s">
        <v>4282</v>
      </c>
      <c r="M2640" s="28" t="s">
        <v>21</v>
      </c>
      <c r="O2640" s="92">
        <v>37771</v>
      </c>
      <c r="P2640" s="28" t="s">
        <v>31</v>
      </c>
      <c r="Q2640" s="26" t="b">
        <v>0</v>
      </c>
      <c r="R2640" s="22">
        <f t="shared" si="43"/>
        <v>38</v>
      </c>
    </row>
    <row r="2641" spans="1:18">
      <c r="A2641" s="26">
        <v>7026</v>
      </c>
      <c r="B2641" s="27">
        <v>37733</v>
      </c>
      <c r="C2641" s="28" t="s">
        <v>8552</v>
      </c>
      <c r="D2641" s="27">
        <v>37725</v>
      </c>
      <c r="E2641" s="28" t="s">
        <v>8553</v>
      </c>
      <c r="F2641" s="28" t="s">
        <v>145</v>
      </c>
      <c r="G2641" s="28" t="s">
        <v>20</v>
      </c>
      <c r="H2641" s="28" t="s">
        <v>21</v>
      </c>
      <c r="I2641" s="28" t="s">
        <v>21</v>
      </c>
      <c r="J2641" s="28" t="s">
        <v>8554</v>
      </c>
      <c r="K2641" s="28" t="s">
        <v>8555</v>
      </c>
      <c r="L2641" s="28" t="s">
        <v>314</v>
      </c>
      <c r="M2641" s="28" t="s">
        <v>21</v>
      </c>
      <c r="O2641" s="92">
        <v>37810</v>
      </c>
      <c r="P2641" s="28" t="s">
        <v>31</v>
      </c>
      <c r="Q2641" s="26" t="b">
        <v>0</v>
      </c>
      <c r="R2641" s="22">
        <f t="shared" si="43"/>
        <v>77</v>
      </c>
    </row>
    <row r="2642" spans="1:18">
      <c r="A2642" s="26">
        <v>7014</v>
      </c>
      <c r="B2642" s="27">
        <v>37734</v>
      </c>
      <c r="C2642" s="28" t="s">
        <v>8521</v>
      </c>
      <c r="D2642" s="27">
        <v>37734</v>
      </c>
      <c r="E2642" s="28" t="s">
        <v>3268</v>
      </c>
      <c r="F2642" s="28" t="s">
        <v>8522</v>
      </c>
      <c r="G2642" s="28" t="s">
        <v>20</v>
      </c>
      <c r="H2642" s="28" t="s">
        <v>21</v>
      </c>
      <c r="I2642" s="28" t="s">
        <v>21</v>
      </c>
      <c r="J2642" s="28" t="s">
        <v>8516</v>
      </c>
      <c r="K2642" s="28" t="s">
        <v>8523</v>
      </c>
      <c r="L2642" s="28" t="s">
        <v>66</v>
      </c>
      <c r="M2642" s="28" t="s">
        <v>21</v>
      </c>
      <c r="O2642" s="92">
        <v>37753</v>
      </c>
      <c r="P2642" s="28" t="s">
        <v>21</v>
      </c>
      <c r="Q2642" s="26" t="b">
        <v>0</v>
      </c>
      <c r="R2642" s="22">
        <f t="shared" si="43"/>
        <v>19</v>
      </c>
    </row>
    <row r="2643" spans="1:18">
      <c r="A2643" s="26">
        <v>7027</v>
      </c>
      <c r="B2643" s="27">
        <v>37735</v>
      </c>
      <c r="C2643" s="28" t="s">
        <v>8556</v>
      </c>
      <c r="D2643" s="27">
        <v>37730</v>
      </c>
      <c r="E2643" s="28" t="s">
        <v>8557</v>
      </c>
      <c r="F2643" s="28" t="s">
        <v>124</v>
      </c>
      <c r="G2643" s="28" t="s">
        <v>20</v>
      </c>
      <c r="H2643" s="28" t="s">
        <v>21</v>
      </c>
      <c r="I2643" s="28" t="s">
        <v>21</v>
      </c>
      <c r="J2643" s="28" t="s">
        <v>8558</v>
      </c>
      <c r="K2643" s="28" t="s">
        <v>8559</v>
      </c>
      <c r="L2643" s="28" t="s">
        <v>7577</v>
      </c>
      <c r="M2643" s="28" t="s">
        <v>21</v>
      </c>
      <c r="O2643" s="92">
        <v>37742</v>
      </c>
      <c r="P2643" s="28" t="s">
        <v>31</v>
      </c>
      <c r="Q2643" s="26" t="b">
        <v>0</v>
      </c>
      <c r="R2643" s="22">
        <f t="shared" si="43"/>
        <v>7</v>
      </c>
    </row>
    <row r="2644" spans="1:18">
      <c r="A2644" s="26">
        <v>7020</v>
      </c>
      <c r="B2644" s="27">
        <v>37736</v>
      </c>
      <c r="C2644" s="28" t="s">
        <v>8539</v>
      </c>
      <c r="D2644" s="27">
        <v>37734</v>
      </c>
      <c r="E2644" s="28" t="s">
        <v>4172</v>
      </c>
      <c r="F2644" s="28" t="s">
        <v>52</v>
      </c>
      <c r="G2644" s="28" t="s">
        <v>20</v>
      </c>
      <c r="H2644" s="28" t="s">
        <v>21</v>
      </c>
      <c r="I2644" s="28" t="s">
        <v>21</v>
      </c>
      <c r="J2644" s="28" t="s">
        <v>1510</v>
      </c>
      <c r="K2644" s="28" t="s">
        <v>3538</v>
      </c>
      <c r="L2644" s="28" t="s">
        <v>314</v>
      </c>
      <c r="M2644" s="28" t="s">
        <v>21</v>
      </c>
      <c r="O2644" s="92">
        <v>37804</v>
      </c>
      <c r="P2644" s="28" t="s">
        <v>31</v>
      </c>
      <c r="Q2644" s="26" t="b">
        <v>0</v>
      </c>
      <c r="R2644" s="22">
        <f t="shared" si="43"/>
        <v>67</v>
      </c>
    </row>
    <row r="2645" spans="1:18" ht="24">
      <c r="A2645" s="26">
        <v>7028</v>
      </c>
      <c r="B2645" s="27">
        <v>37736</v>
      </c>
      <c r="C2645" s="28" t="s">
        <v>8560</v>
      </c>
      <c r="D2645" s="27">
        <v>37736</v>
      </c>
      <c r="E2645" s="28" t="s">
        <v>38</v>
      </c>
      <c r="F2645" s="28" t="s">
        <v>3434</v>
      </c>
      <c r="G2645" s="28" t="s">
        <v>20</v>
      </c>
      <c r="H2645" s="28" t="s">
        <v>21</v>
      </c>
      <c r="I2645" s="28" t="s">
        <v>21</v>
      </c>
      <c r="J2645" s="28" t="s">
        <v>8561</v>
      </c>
      <c r="K2645" s="28" t="s">
        <v>8562</v>
      </c>
      <c r="L2645" s="28" t="s">
        <v>66</v>
      </c>
      <c r="M2645" s="28" t="s">
        <v>21</v>
      </c>
      <c r="O2645" s="92">
        <v>37743</v>
      </c>
      <c r="P2645" s="28" t="s">
        <v>31</v>
      </c>
      <c r="Q2645" s="26" t="b">
        <v>0</v>
      </c>
      <c r="R2645" s="22">
        <f t="shared" si="43"/>
        <v>7</v>
      </c>
    </row>
    <row r="2646" spans="1:18">
      <c r="A2646" s="26">
        <v>7030</v>
      </c>
      <c r="B2646" s="27">
        <v>37739</v>
      </c>
      <c r="C2646" s="28" t="s">
        <v>8563</v>
      </c>
      <c r="D2646" s="27">
        <v>37734</v>
      </c>
      <c r="E2646" s="28" t="s">
        <v>38</v>
      </c>
      <c r="F2646" s="28" t="s">
        <v>228</v>
      </c>
      <c r="G2646" s="28" t="s">
        <v>20</v>
      </c>
      <c r="H2646" s="28" t="s">
        <v>21</v>
      </c>
      <c r="I2646" s="28" t="s">
        <v>21</v>
      </c>
      <c r="J2646" s="28" t="s">
        <v>8564</v>
      </c>
      <c r="K2646" s="28" t="s">
        <v>21</v>
      </c>
      <c r="L2646" s="28" t="s">
        <v>66</v>
      </c>
      <c r="M2646" s="28" t="s">
        <v>21</v>
      </c>
      <c r="O2646" s="92">
        <v>37743</v>
      </c>
      <c r="P2646" s="28" t="s">
        <v>31</v>
      </c>
      <c r="Q2646" s="26" t="b">
        <v>0</v>
      </c>
      <c r="R2646" s="22">
        <f t="shared" si="43"/>
        <v>4</v>
      </c>
    </row>
    <row r="2647" spans="1:18">
      <c r="A2647" s="26">
        <v>7031</v>
      </c>
      <c r="B2647" s="27">
        <v>37739</v>
      </c>
      <c r="C2647" s="28" t="s">
        <v>8565</v>
      </c>
      <c r="D2647" s="27">
        <v>37734</v>
      </c>
      <c r="E2647" s="28" t="s">
        <v>8566</v>
      </c>
      <c r="F2647" s="28" t="s">
        <v>1771</v>
      </c>
      <c r="G2647" s="28" t="s">
        <v>20</v>
      </c>
      <c r="H2647" s="28" t="s">
        <v>189</v>
      </c>
      <c r="I2647" s="28" t="s">
        <v>189</v>
      </c>
      <c r="J2647" s="28" t="s">
        <v>8567</v>
      </c>
      <c r="K2647" s="28" t="s">
        <v>21</v>
      </c>
      <c r="L2647" s="28" t="s">
        <v>66</v>
      </c>
      <c r="M2647" s="28" t="s">
        <v>21</v>
      </c>
      <c r="O2647" s="92">
        <v>37810</v>
      </c>
      <c r="P2647" s="28" t="s">
        <v>21</v>
      </c>
      <c r="Q2647" s="26" t="b">
        <v>0</v>
      </c>
      <c r="R2647" s="22">
        <f t="shared" si="43"/>
        <v>70</v>
      </c>
    </row>
    <row r="2648" spans="1:18">
      <c r="A2648" s="26">
        <v>7032</v>
      </c>
      <c r="B2648" s="27">
        <v>37739</v>
      </c>
      <c r="C2648" s="28" t="s">
        <v>8568</v>
      </c>
      <c r="D2648" s="27">
        <v>37739</v>
      </c>
      <c r="E2648" s="28" t="s">
        <v>38</v>
      </c>
      <c r="F2648" s="28" t="s">
        <v>56</v>
      </c>
      <c r="G2648" s="28" t="s">
        <v>20</v>
      </c>
      <c r="H2648" s="28" t="s">
        <v>21</v>
      </c>
      <c r="I2648" s="28" t="s">
        <v>21</v>
      </c>
      <c r="J2648" s="28" t="s">
        <v>8569</v>
      </c>
      <c r="K2648" s="28" t="s">
        <v>8570</v>
      </c>
      <c r="L2648" s="28" t="s">
        <v>66</v>
      </c>
      <c r="M2648" s="28" t="s">
        <v>21</v>
      </c>
      <c r="O2648" s="92">
        <v>37757</v>
      </c>
      <c r="P2648" s="28" t="s">
        <v>31</v>
      </c>
      <c r="Q2648" s="26" t="b">
        <v>0</v>
      </c>
      <c r="R2648" s="22">
        <f t="shared" si="43"/>
        <v>18</v>
      </c>
    </row>
    <row r="2649" spans="1:18">
      <c r="A2649" s="26">
        <v>7051</v>
      </c>
      <c r="B2649" s="27">
        <v>37740</v>
      </c>
      <c r="C2649" s="28" t="s">
        <v>8596</v>
      </c>
      <c r="D2649" s="27">
        <v>37736</v>
      </c>
      <c r="E2649" s="28" t="s">
        <v>8597</v>
      </c>
      <c r="F2649" s="28" t="s">
        <v>5690</v>
      </c>
      <c r="G2649" s="28" t="s">
        <v>20</v>
      </c>
      <c r="H2649" s="28" t="s">
        <v>71</v>
      </c>
      <c r="I2649" s="28" t="s">
        <v>72</v>
      </c>
      <c r="J2649" s="28" t="s">
        <v>8598</v>
      </c>
      <c r="K2649" s="28" t="s">
        <v>8599</v>
      </c>
      <c r="L2649" s="28" t="s">
        <v>314</v>
      </c>
      <c r="M2649" s="28" t="s">
        <v>21</v>
      </c>
      <c r="O2649" s="92">
        <v>37789</v>
      </c>
      <c r="P2649" s="28" t="s">
        <v>21</v>
      </c>
      <c r="Q2649" s="26" t="b">
        <v>0</v>
      </c>
      <c r="R2649" s="22">
        <f t="shared" ref="R2649:R2712" si="44">IF(O2649=" ", " ", INT(YEARFRAC(O2649, B2649)*365))</f>
        <v>48</v>
      </c>
    </row>
    <row r="2650" spans="1:18">
      <c r="A2650" s="26">
        <v>7070</v>
      </c>
      <c r="B2650" s="27">
        <v>37742</v>
      </c>
      <c r="C2650" s="28" t="s">
        <v>8651</v>
      </c>
      <c r="D2650" s="27">
        <v>37742</v>
      </c>
      <c r="E2650" s="28" t="s">
        <v>3268</v>
      </c>
      <c r="F2650" s="28" t="s">
        <v>7070</v>
      </c>
      <c r="G2650" s="28" t="s">
        <v>20</v>
      </c>
      <c r="H2650" s="28" t="s">
        <v>566</v>
      </c>
      <c r="I2650" s="28" t="s">
        <v>566</v>
      </c>
      <c r="J2650" s="28" t="s">
        <v>5668</v>
      </c>
      <c r="K2650" s="28" t="s">
        <v>877</v>
      </c>
      <c r="L2650" s="28" t="s">
        <v>314</v>
      </c>
      <c r="M2650" s="28" t="s">
        <v>21</v>
      </c>
      <c r="O2650" s="92">
        <v>37754</v>
      </c>
      <c r="P2650" s="28" t="s">
        <v>21</v>
      </c>
      <c r="Q2650" s="26" t="b">
        <v>0</v>
      </c>
      <c r="R2650" s="22">
        <f t="shared" si="44"/>
        <v>12</v>
      </c>
    </row>
    <row r="2651" spans="1:18">
      <c r="A2651" s="26">
        <v>7034</v>
      </c>
      <c r="B2651" s="27">
        <v>37746</v>
      </c>
      <c r="C2651" s="28" t="s">
        <v>8571</v>
      </c>
      <c r="D2651" s="27">
        <v>37736</v>
      </c>
      <c r="E2651" s="28" t="s">
        <v>8572</v>
      </c>
      <c r="F2651" s="28" t="s">
        <v>8522</v>
      </c>
      <c r="G2651" s="28" t="s">
        <v>20</v>
      </c>
      <c r="H2651" s="28" t="s">
        <v>21</v>
      </c>
      <c r="I2651" s="28" t="s">
        <v>21</v>
      </c>
      <c r="J2651" s="28" t="s">
        <v>8573</v>
      </c>
      <c r="K2651" s="28" t="s">
        <v>8574</v>
      </c>
      <c r="L2651" s="28" t="s">
        <v>66</v>
      </c>
      <c r="M2651" s="28" t="s">
        <v>21</v>
      </c>
      <c r="O2651" s="92">
        <v>37768</v>
      </c>
      <c r="P2651" s="28" t="s">
        <v>21</v>
      </c>
      <c r="Q2651" s="26" t="b">
        <v>0</v>
      </c>
      <c r="R2651" s="22">
        <f t="shared" si="44"/>
        <v>22</v>
      </c>
    </row>
    <row r="2652" spans="1:18">
      <c r="A2652" s="26">
        <v>7050</v>
      </c>
      <c r="B2652" s="27">
        <v>37746</v>
      </c>
      <c r="C2652" s="28" t="s">
        <v>8593</v>
      </c>
      <c r="D2652" s="27">
        <v>37743</v>
      </c>
      <c r="E2652" s="28" t="s">
        <v>8594</v>
      </c>
      <c r="F2652" s="28" t="s">
        <v>3434</v>
      </c>
      <c r="G2652" s="28" t="s">
        <v>20</v>
      </c>
      <c r="H2652" s="28" t="s">
        <v>21</v>
      </c>
      <c r="I2652" s="28" t="s">
        <v>21</v>
      </c>
      <c r="J2652" s="28" t="s">
        <v>8562</v>
      </c>
      <c r="K2652" s="28" t="s">
        <v>8595</v>
      </c>
      <c r="L2652" s="28" t="s">
        <v>8318</v>
      </c>
      <c r="M2652" s="28" t="s">
        <v>21</v>
      </c>
      <c r="O2652" s="92">
        <v>37910</v>
      </c>
      <c r="P2652" s="28" t="s">
        <v>31</v>
      </c>
      <c r="Q2652" s="26" t="b">
        <v>0</v>
      </c>
      <c r="R2652" s="22">
        <f t="shared" si="44"/>
        <v>163</v>
      </c>
    </row>
    <row r="2653" spans="1:18">
      <c r="A2653" s="26">
        <v>7035</v>
      </c>
      <c r="B2653" s="27">
        <v>37749</v>
      </c>
      <c r="C2653" s="28" t="s">
        <v>8575</v>
      </c>
      <c r="D2653" s="27">
        <v>37749</v>
      </c>
      <c r="E2653" s="28" t="s">
        <v>38</v>
      </c>
      <c r="F2653" s="28" t="s">
        <v>306</v>
      </c>
      <c r="G2653" s="28" t="s">
        <v>20</v>
      </c>
      <c r="H2653" s="28" t="s">
        <v>21</v>
      </c>
      <c r="I2653" s="28" t="s">
        <v>21</v>
      </c>
      <c r="J2653" s="28" t="s">
        <v>4982</v>
      </c>
      <c r="K2653" s="28" t="s">
        <v>1510</v>
      </c>
      <c r="L2653" s="28" t="s">
        <v>314</v>
      </c>
      <c r="M2653" s="28" t="s">
        <v>21</v>
      </c>
      <c r="O2653" s="92">
        <v>37750</v>
      </c>
      <c r="P2653" s="28" t="s">
        <v>21</v>
      </c>
      <c r="Q2653" s="26" t="b">
        <v>0</v>
      </c>
      <c r="R2653" s="22">
        <f t="shared" si="44"/>
        <v>1</v>
      </c>
    </row>
    <row r="2654" spans="1:18">
      <c r="A2654" s="26">
        <v>7043</v>
      </c>
      <c r="B2654" s="27">
        <v>37749</v>
      </c>
      <c r="C2654" s="28" t="s">
        <v>8582</v>
      </c>
      <c r="D2654" s="27">
        <v>37749</v>
      </c>
      <c r="E2654" s="28" t="s">
        <v>8583</v>
      </c>
      <c r="F2654" s="28" t="s">
        <v>5704</v>
      </c>
      <c r="G2654" s="28" t="s">
        <v>20</v>
      </c>
      <c r="H2654" s="28" t="s">
        <v>21</v>
      </c>
      <c r="I2654" s="28" t="s">
        <v>21</v>
      </c>
      <c r="J2654" s="28" t="s">
        <v>8584</v>
      </c>
      <c r="K2654" s="28" t="s">
        <v>21</v>
      </c>
      <c r="L2654" s="28" t="s">
        <v>8318</v>
      </c>
      <c r="M2654" s="28" t="s">
        <v>21</v>
      </c>
      <c r="O2654" s="92">
        <v>37753</v>
      </c>
      <c r="P2654" s="28" t="s">
        <v>31</v>
      </c>
      <c r="Q2654" s="26" t="b">
        <v>0</v>
      </c>
      <c r="R2654" s="22">
        <f t="shared" si="44"/>
        <v>4</v>
      </c>
    </row>
    <row r="2655" spans="1:18">
      <c r="A2655" s="26">
        <v>7039</v>
      </c>
      <c r="B2655" s="27">
        <v>37750</v>
      </c>
      <c r="C2655" s="28" t="s">
        <v>8576</v>
      </c>
      <c r="D2655" s="27">
        <v>37750</v>
      </c>
      <c r="E2655" s="28" t="s">
        <v>8577</v>
      </c>
      <c r="F2655" s="28" t="s">
        <v>5704</v>
      </c>
      <c r="G2655" s="28" t="s">
        <v>20</v>
      </c>
      <c r="H2655" s="28" t="s">
        <v>21</v>
      </c>
      <c r="I2655" s="28" t="s">
        <v>21</v>
      </c>
      <c r="J2655" s="28" t="s">
        <v>8578</v>
      </c>
      <c r="K2655" s="28" t="s">
        <v>3753</v>
      </c>
      <c r="L2655" s="28" t="s">
        <v>66</v>
      </c>
      <c r="M2655" s="28" t="s">
        <v>21</v>
      </c>
      <c r="O2655" s="92">
        <v>37775</v>
      </c>
      <c r="P2655" s="28" t="s">
        <v>31</v>
      </c>
      <c r="Q2655" s="26" t="b">
        <v>0</v>
      </c>
      <c r="R2655" s="22">
        <f t="shared" si="44"/>
        <v>24</v>
      </c>
    </row>
    <row r="2656" spans="1:18" ht="24">
      <c r="A2656" s="26">
        <v>7041</v>
      </c>
      <c r="B2656" s="27">
        <v>37753</v>
      </c>
      <c r="C2656" s="28" t="s">
        <v>8579</v>
      </c>
      <c r="D2656" s="27">
        <v>37753</v>
      </c>
      <c r="E2656" s="28" t="s">
        <v>3268</v>
      </c>
      <c r="F2656" s="28" t="s">
        <v>129</v>
      </c>
      <c r="G2656" s="28" t="s">
        <v>20</v>
      </c>
      <c r="H2656" s="28" t="s">
        <v>21</v>
      </c>
      <c r="I2656" s="28" t="s">
        <v>21</v>
      </c>
      <c r="J2656" s="28" t="s">
        <v>8580</v>
      </c>
      <c r="K2656" s="28" t="s">
        <v>8581</v>
      </c>
      <c r="L2656" s="28" t="s">
        <v>66</v>
      </c>
      <c r="M2656" s="28" t="s">
        <v>21</v>
      </c>
      <c r="O2656" s="92">
        <v>37834</v>
      </c>
      <c r="P2656" s="28" t="s">
        <v>21</v>
      </c>
      <c r="Q2656" s="26" t="b">
        <v>0</v>
      </c>
      <c r="R2656" s="22">
        <f t="shared" si="44"/>
        <v>80</v>
      </c>
    </row>
    <row r="2657" spans="1:18">
      <c r="A2657" s="26">
        <v>7047</v>
      </c>
      <c r="B2657" s="27">
        <v>37753</v>
      </c>
      <c r="C2657" s="28" t="s">
        <v>8588</v>
      </c>
      <c r="D2657" s="27">
        <v>37753</v>
      </c>
      <c r="E2657" s="28" t="s">
        <v>38</v>
      </c>
      <c r="F2657" s="28" t="s">
        <v>149</v>
      </c>
      <c r="G2657" s="28" t="s">
        <v>20</v>
      </c>
      <c r="H2657" s="28" t="s">
        <v>21</v>
      </c>
      <c r="I2657" s="28" t="s">
        <v>21</v>
      </c>
      <c r="J2657" s="28" t="s">
        <v>5182</v>
      </c>
      <c r="K2657" s="28" t="s">
        <v>21</v>
      </c>
      <c r="L2657" s="28" t="s">
        <v>7577</v>
      </c>
      <c r="M2657" s="28" t="s">
        <v>21</v>
      </c>
      <c r="O2657" s="92">
        <v>37756</v>
      </c>
      <c r="P2657" s="28" t="s">
        <v>31</v>
      </c>
      <c r="Q2657" s="26" t="b">
        <v>0</v>
      </c>
      <c r="R2657" s="22">
        <f t="shared" si="44"/>
        <v>3</v>
      </c>
    </row>
    <row r="2658" spans="1:18">
      <c r="A2658" s="26">
        <v>7073</v>
      </c>
      <c r="B2658" s="27">
        <v>37753</v>
      </c>
      <c r="C2658" s="28" t="s">
        <v>8653</v>
      </c>
      <c r="D2658" s="27">
        <v>37753</v>
      </c>
      <c r="E2658" s="28" t="s">
        <v>3268</v>
      </c>
      <c r="F2658" s="28" t="s">
        <v>350</v>
      </c>
      <c r="G2658" s="28" t="s">
        <v>20</v>
      </c>
      <c r="H2658" s="28" t="s">
        <v>21</v>
      </c>
      <c r="I2658" s="28" t="s">
        <v>21</v>
      </c>
      <c r="J2658" s="28" t="s">
        <v>7071</v>
      </c>
      <c r="K2658" s="28" t="s">
        <v>8654</v>
      </c>
      <c r="L2658" s="28" t="s">
        <v>314</v>
      </c>
      <c r="M2658" s="28" t="s">
        <v>21</v>
      </c>
      <c r="O2658" s="92">
        <v>37775</v>
      </c>
      <c r="P2658" s="28" t="s">
        <v>21</v>
      </c>
      <c r="Q2658" s="26" t="b">
        <v>0</v>
      </c>
      <c r="R2658" s="22">
        <f t="shared" si="44"/>
        <v>21</v>
      </c>
    </row>
    <row r="2659" spans="1:18">
      <c r="A2659" s="26">
        <v>7048</v>
      </c>
      <c r="B2659" s="27">
        <v>37754</v>
      </c>
      <c r="C2659" s="28" t="s">
        <v>8589</v>
      </c>
      <c r="D2659" s="27">
        <v>37754</v>
      </c>
      <c r="E2659" s="28" t="s">
        <v>38</v>
      </c>
      <c r="F2659" s="28" t="s">
        <v>27</v>
      </c>
      <c r="G2659" s="28" t="s">
        <v>20</v>
      </c>
      <c r="H2659" s="28" t="s">
        <v>21</v>
      </c>
      <c r="I2659" s="28" t="s">
        <v>21</v>
      </c>
      <c r="J2659" s="28" t="s">
        <v>5182</v>
      </c>
      <c r="K2659" s="28" t="s">
        <v>21</v>
      </c>
      <c r="L2659" s="28" t="s">
        <v>7577</v>
      </c>
      <c r="M2659" s="28" t="s">
        <v>21</v>
      </c>
      <c r="O2659" s="92">
        <v>37756</v>
      </c>
      <c r="P2659" s="28" t="s">
        <v>31</v>
      </c>
      <c r="Q2659" s="26" t="b">
        <v>0</v>
      </c>
      <c r="R2659" s="22">
        <f t="shared" si="44"/>
        <v>2</v>
      </c>
    </row>
    <row r="2660" spans="1:18" ht="24">
      <c r="A2660" s="26">
        <v>7049</v>
      </c>
      <c r="B2660" s="27">
        <v>37754</v>
      </c>
      <c r="C2660" s="28" t="s">
        <v>8590</v>
      </c>
      <c r="D2660" s="27">
        <v>37753</v>
      </c>
      <c r="E2660" s="28" t="s">
        <v>38</v>
      </c>
      <c r="F2660" s="28" t="s">
        <v>27</v>
      </c>
      <c r="G2660" s="28" t="s">
        <v>20</v>
      </c>
      <c r="H2660" s="28" t="s">
        <v>21</v>
      </c>
      <c r="I2660" s="28" t="s">
        <v>21</v>
      </c>
      <c r="J2660" s="28" t="s">
        <v>8591</v>
      </c>
      <c r="K2660" s="28" t="s">
        <v>8592</v>
      </c>
      <c r="L2660" s="28" t="s">
        <v>8318</v>
      </c>
      <c r="M2660" s="28" t="s">
        <v>21</v>
      </c>
      <c r="O2660" s="92">
        <v>37756</v>
      </c>
      <c r="P2660" s="28" t="s">
        <v>31</v>
      </c>
      <c r="Q2660" s="26" t="b">
        <v>0</v>
      </c>
      <c r="R2660" s="22">
        <f t="shared" si="44"/>
        <v>2</v>
      </c>
    </row>
    <row r="2661" spans="1:18">
      <c r="A2661" s="26">
        <v>7052</v>
      </c>
      <c r="B2661" s="27">
        <v>37754</v>
      </c>
      <c r="C2661" s="28" t="s">
        <v>8600</v>
      </c>
      <c r="D2661" s="27">
        <v>37754</v>
      </c>
      <c r="E2661" s="28" t="s">
        <v>8601</v>
      </c>
      <c r="F2661" s="28" t="s">
        <v>39</v>
      </c>
      <c r="G2661" s="28" t="s">
        <v>20</v>
      </c>
      <c r="H2661" s="28" t="s">
        <v>21</v>
      </c>
      <c r="I2661" s="28" t="s">
        <v>21</v>
      </c>
      <c r="J2661" s="28" t="s">
        <v>8602</v>
      </c>
      <c r="K2661" s="28" t="s">
        <v>21</v>
      </c>
      <c r="L2661" s="28" t="s">
        <v>4282</v>
      </c>
      <c r="M2661" s="28" t="s">
        <v>21</v>
      </c>
      <c r="O2661" s="92">
        <v>37935</v>
      </c>
      <c r="P2661" s="28" t="s">
        <v>31</v>
      </c>
      <c r="Q2661" s="26" t="b">
        <v>0</v>
      </c>
      <c r="R2661" s="22">
        <f t="shared" si="44"/>
        <v>179</v>
      </c>
    </row>
    <row r="2662" spans="1:18">
      <c r="A2662" s="26">
        <v>7046</v>
      </c>
      <c r="B2662" s="27">
        <v>37755</v>
      </c>
      <c r="C2662" s="28" t="s">
        <v>8585</v>
      </c>
      <c r="D2662" s="27">
        <v>37755</v>
      </c>
      <c r="E2662" s="28" t="s">
        <v>38</v>
      </c>
      <c r="F2662" s="28" t="s">
        <v>129</v>
      </c>
      <c r="G2662" s="28" t="s">
        <v>20</v>
      </c>
      <c r="H2662" s="28" t="s">
        <v>21</v>
      </c>
      <c r="I2662" s="28" t="s">
        <v>21</v>
      </c>
      <c r="J2662" s="28" t="s">
        <v>8586</v>
      </c>
      <c r="K2662" s="28" t="s">
        <v>8587</v>
      </c>
      <c r="L2662" s="28" t="s">
        <v>66</v>
      </c>
      <c r="M2662" s="28" t="s">
        <v>21</v>
      </c>
      <c r="O2662" s="92">
        <v>37763</v>
      </c>
      <c r="P2662" s="28" t="s">
        <v>31</v>
      </c>
      <c r="Q2662" s="26" t="b">
        <v>0</v>
      </c>
      <c r="R2662" s="22">
        <f t="shared" si="44"/>
        <v>8</v>
      </c>
    </row>
    <row r="2663" spans="1:18">
      <c r="A2663" s="26">
        <v>7053</v>
      </c>
      <c r="B2663" s="27">
        <v>37755</v>
      </c>
      <c r="C2663" s="28" t="s">
        <v>8603</v>
      </c>
      <c r="D2663" s="27">
        <v>37748</v>
      </c>
      <c r="E2663" s="28" t="s">
        <v>8604</v>
      </c>
      <c r="F2663" s="28" t="s">
        <v>8605</v>
      </c>
      <c r="G2663" s="28" t="s">
        <v>20</v>
      </c>
      <c r="H2663" s="28" t="s">
        <v>212</v>
      </c>
      <c r="I2663" s="28" t="s">
        <v>212</v>
      </c>
      <c r="J2663" s="28" t="s">
        <v>8606</v>
      </c>
      <c r="K2663" s="28" t="s">
        <v>5668</v>
      </c>
      <c r="L2663" s="28" t="s">
        <v>66</v>
      </c>
      <c r="M2663" s="28" t="s">
        <v>21</v>
      </c>
      <c r="O2663" s="92">
        <v>37790</v>
      </c>
      <c r="P2663" s="28" t="s">
        <v>21</v>
      </c>
      <c r="Q2663" s="26" t="b">
        <v>0</v>
      </c>
      <c r="R2663" s="22">
        <f t="shared" si="44"/>
        <v>34</v>
      </c>
    </row>
    <row r="2664" spans="1:18">
      <c r="A2664" s="26">
        <v>7054</v>
      </c>
      <c r="B2664" s="27">
        <v>37755</v>
      </c>
      <c r="C2664" s="28" t="s">
        <v>8607</v>
      </c>
      <c r="D2664" s="27">
        <v>37755</v>
      </c>
      <c r="E2664" s="28" t="s">
        <v>8608</v>
      </c>
      <c r="F2664" s="28" t="s">
        <v>94</v>
      </c>
      <c r="G2664" s="28" t="s">
        <v>20</v>
      </c>
      <c r="H2664" s="28" t="s">
        <v>21</v>
      </c>
      <c r="I2664" s="28" t="s">
        <v>21</v>
      </c>
      <c r="J2664" s="28" t="s">
        <v>8609</v>
      </c>
      <c r="K2664" s="28" t="s">
        <v>21</v>
      </c>
      <c r="L2664" s="28" t="s">
        <v>66</v>
      </c>
      <c r="M2664" s="28" t="s">
        <v>21</v>
      </c>
      <c r="O2664" s="92">
        <v>37791</v>
      </c>
      <c r="P2664" s="28" t="s">
        <v>31</v>
      </c>
      <c r="Q2664" s="26" t="b">
        <v>0</v>
      </c>
      <c r="R2664" s="22">
        <f t="shared" si="44"/>
        <v>35</v>
      </c>
    </row>
    <row r="2665" spans="1:18" ht="24">
      <c r="A2665" s="26">
        <v>7058</v>
      </c>
      <c r="B2665" s="27">
        <v>37756</v>
      </c>
      <c r="C2665" s="28" t="s">
        <v>8613</v>
      </c>
      <c r="D2665" s="27">
        <v>37756</v>
      </c>
      <c r="E2665" s="28" t="s">
        <v>8614</v>
      </c>
      <c r="F2665" s="28" t="s">
        <v>8615</v>
      </c>
      <c r="G2665" s="28" t="s">
        <v>20</v>
      </c>
      <c r="H2665" s="28" t="s">
        <v>21</v>
      </c>
      <c r="I2665" s="28" t="s">
        <v>21</v>
      </c>
      <c r="J2665" s="28" t="s">
        <v>8616</v>
      </c>
      <c r="K2665" s="28" t="s">
        <v>8617</v>
      </c>
      <c r="L2665" s="28" t="s">
        <v>4282</v>
      </c>
      <c r="M2665" s="28" t="s">
        <v>314</v>
      </c>
      <c r="O2665" s="92">
        <v>37937</v>
      </c>
      <c r="P2665" s="28" t="s">
        <v>21</v>
      </c>
      <c r="Q2665" s="26" t="b">
        <v>0</v>
      </c>
      <c r="R2665" s="22">
        <f t="shared" si="44"/>
        <v>179</v>
      </c>
    </row>
    <row r="2666" spans="1:18">
      <c r="A2666" s="26">
        <v>7059</v>
      </c>
      <c r="B2666" s="27">
        <v>37756</v>
      </c>
      <c r="C2666" s="28" t="s">
        <v>8618</v>
      </c>
      <c r="D2666" s="27">
        <v>37756</v>
      </c>
      <c r="E2666" s="28" t="s">
        <v>8619</v>
      </c>
      <c r="F2666" s="28" t="s">
        <v>8615</v>
      </c>
      <c r="G2666" s="28" t="s">
        <v>20</v>
      </c>
      <c r="H2666" s="28" t="s">
        <v>21</v>
      </c>
      <c r="I2666" s="28" t="s">
        <v>21</v>
      </c>
      <c r="J2666" s="28" t="s">
        <v>8620</v>
      </c>
      <c r="K2666" s="28" t="s">
        <v>8621</v>
      </c>
      <c r="L2666" s="28" t="s">
        <v>4282</v>
      </c>
      <c r="M2666" s="28" t="s">
        <v>314</v>
      </c>
      <c r="O2666" s="92">
        <v>37937</v>
      </c>
      <c r="P2666" s="28" t="s">
        <v>21</v>
      </c>
      <c r="Q2666" s="26" t="b">
        <v>0</v>
      </c>
      <c r="R2666" s="22">
        <f t="shared" si="44"/>
        <v>179</v>
      </c>
    </row>
    <row r="2667" spans="1:18" ht="24">
      <c r="A2667" s="26">
        <v>7060</v>
      </c>
      <c r="B2667" s="27">
        <v>37756</v>
      </c>
      <c r="C2667" s="28" t="s">
        <v>8622</v>
      </c>
      <c r="D2667" s="27">
        <v>37756</v>
      </c>
      <c r="E2667" s="28" t="s">
        <v>8623</v>
      </c>
      <c r="F2667" s="28" t="s">
        <v>3430</v>
      </c>
      <c r="G2667" s="28" t="s">
        <v>20</v>
      </c>
      <c r="H2667" s="28" t="s">
        <v>71</v>
      </c>
      <c r="I2667" s="28" t="s">
        <v>72</v>
      </c>
      <c r="J2667" s="28" t="s">
        <v>8624</v>
      </c>
      <c r="K2667" s="28" t="s">
        <v>5668</v>
      </c>
      <c r="L2667" s="28" t="s">
        <v>314</v>
      </c>
      <c r="M2667" s="28" t="s">
        <v>21</v>
      </c>
      <c r="O2667" s="92">
        <v>37902</v>
      </c>
      <c r="P2667" s="28" t="s">
        <v>21</v>
      </c>
      <c r="Q2667" s="26" t="b">
        <v>0</v>
      </c>
      <c r="R2667" s="22">
        <f t="shared" si="44"/>
        <v>144</v>
      </c>
    </row>
    <row r="2668" spans="1:18">
      <c r="A2668" s="26">
        <v>7071</v>
      </c>
      <c r="B2668" s="27">
        <v>37756</v>
      </c>
      <c r="C2668" s="28" t="s">
        <v>8652</v>
      </c>
      <c r="D2668" s="27">
        <v>37756</v>
      </c>
      <c r="E2668" s="28" t="s">
        <v>3268</v>
      </c>
      <c r="F2668" s="28" t="s">
        <v>3430</v>
      </c>
      <c r="G2668" s="28" t="s">
        <v>20</v>
      </c>
      <c r="H2668" s="28" t="s">
        <v>71</v>
      </c>
      <c r="I2668" s="28" t="s">
        <v>72</v>
      </c>
      <c r="J2668" s="28" t="s">
        <v>5668</v>
      </c>
      <c r="K2668" s="28" t="s">
        <v>8510</v>
      </c>
      <c r="L2668" s="28" t="s">
        <v>314</v>
      </c>
      <c r="M2668" s="28" t="s">
        <v>21</v>
      </c>
      <c r="O2668" s="92">
        <v>37757</v>
      </c>
      <c r="P2668" s="28" t="s">
        <v>21</v>
      </c>
      <c r="Q2668" s="26" t="b">
        <v>0</v>
      </c>
      <c r="R2668" s="22">
        <f t="shared" si="44"/>
        <v>1</v>
      </c>
    </row>
    <row r="2669" spans="1:18">
      <c r="A2669" s="26">
        <v>7064</v>
      </c>
      <c r="B2669" s="27">
        <v>37760</v>
      </c>
      <c r="C2669" s="28" t="s">
        <v>8631</v>
      </c>
      <c r="D2669" s="27">
        <v>37748</v>
      </c>
      <c r="E2669" s="28" t="s">
        <v>8632</v>
      </c>
      <c r="F2669" s="28" t="s">
        <v>124</v>
      </c>
      <c r="G2669" s="28" t="s">
        <v>20</v>
      </c>
      <c r="H2669" s="28" t="s">
        <v>21</v>
      </c>
      <c r="I2669" s="28" t="s">
        <v>21</v>
      </c>
      <c r="J2669" s="28" t="s">
        <v>8633</v>
      </c>
      <c r="K2669" s="28" t="s">
        <v>8634</v>
      </c>
      <c r="L2669" s="28" t="s">
        <v>66</v>
      </c>
      <c r="M2669" s="28" t="s">
        <v>21</v>
      </c>
      <c r="O2669" s="92">
        <v>37943</v>
      </c>
      <c r="P2669" s="28" t="s">
        <v>31</v>
      </c>
      <c r="Q2669" s="26" t="b">
        <v>0</v>
      </c>
      <c r="R2669" s="22">
        <f t="shared" si="44"/>
        <v>181</v>
      </c>
    </row>
    <row r="2670" spans="1:18">
      <c r="A2670" s="26">
        <v>7057</v>
      </c>
      <c r="B2670" s="27">
        <v>37761</v>
      </c>
      <c r="C2670" s="28" t="s">
        <v>8610</v>
      </c>
      <c r="D2670" s="27">
        <v>37761</v>
      </c>
      <c r="E2670" s="28" t="s">
        <v>1432</v>
      </c>
      <c r="F2670" s="28" t="s">
        <v>350</v>
      </c>
      <c r="G2670" s="28" t="s">
        <v>20</v>
      </c>
      <c r="H2670" s="28" t="s">
        <v>21</v>
      </c>
      <c r="I2670" s="28" t="s">
        <v>21</v>
      </c>
      <c r="J2670" s="28" t="s">
        <v>8611</v>
      </c>
      <c r="K2670" s="28" t="s">
        <v>8612</v>
      </c>
      <c r="L2670" s="28" t="s">
        <v>314</v>
      </c>
      <c r="M2670" s="28" t="s">
        <v>21</v>
      </c>
      <c r="O2670" s="92">
        <v>38117</v>
      </c>
      <c r="P2670" s="28" t="s">
        <v>31</v>
      </c>
      <c r="Q2670" s="26" t="b">
        <v>0</v>
      </c>
      <c r="R2670" s="22">
        <f t="shared" si="44"/>
        <v>354</v>
      </c>
    </row>
    <row r="2671" spans="1:18">
      <c r="A2671" s="26">
        <v>7065</v>
      </c>
      <c r="B2671" s="27">
        <v>37761</v>
      </c>
      <c r="C2671" s="28" t="s">
        <v>8635</v>
      </c>
      <c r="D2671" s="27">
        <v>37757</v>
      </c>
      <c r="E2671" s="28" t="s">
        <v>8636</v>
      </c>
      <c r="F2671" s="28" t="s">
        <v>8637</v>
      </c>
      <c r="G2671" s="28" t="s">
        <v>20</v>
      </c>
      <c r="H2671" s="28" t="s">
        <v>71</v>
      </c>
      <c r="I2671" s="28" t="s">
        <v>72</v>
      </c>
      <c r="J2671" s="28" t="s">
        <v>8638</v>
      </c>
      <c r="K2671" s="28" t="s">
        <v>8639</v>
      </c>
      <c r="L2671" s="28" t="s">
        <v>314</v>
      </c>
      <c r="M2671" s="28" t="s">
        <v>21</v>
      </c>
      <c r="O2671" s="92">
        <v>37796</v>
      </c>
      <c r="P2671" s="28" t="s">
        <v>31</v>
      </c>
      <c r="Q2671" s="26" t="b">
        <v>0</v>
      </c>
      <c r="R2671" s="22">
        <f t="shared" si="44"/>
        <v>34</v>
      </c>
    </row>
    <row r="2672" spans="1:18" ht="24">
      <c r="A2672" s="26">
        <v>7061</v>
      </c>
      <c r="B2672" s="27">
        <v>37762</v>
      </c>
      <c r="C2672" s="28" t="s">
        <v>8625</v>
      </c>
      <c r="D2672" s="27">
        <v>37761</v>
      </c>
      <c r="E2672" s="28" t="s">
        <v>4172</v>
      </c>
      <c r="F2672" s="28" t="s">
        <v>8615</v>
      </c>
      <c r="G2672" s="28" t="s">
        <v>20</v>
      </c>
      <c r="H2672" s="28" t="s">
        <v>21</v>
      </c>
      <c r="I2672" s="28" t="s">
        <v>21</v>
      </c>
      <c r="J2672" s="28" t="s">
        <v>8626</v>
      </c>
      <c r="K2672" s="28" t="s">
        <v>8627</v>
      </c>
      <c r="L2672" s="28" t="s">
        <v>4282</v>
      </c>
      <c r="M2672" s="28" t="s">
        <v>21</v>
      </c>
      <c r="O2672" s="92">
        <v>38176</v>
      </c>
      <c r="P2672" s="28" t="s">
        <v>31</v>
      </c>
      <c r="Q2672" s="26" t="b">
        <v>0</v>
      </c>
      <c r="R2672" s="22">
        <f t="shared" si="44"/>
        <v>412</v>
      </c>
    </row>
    <row r="2673" spans="1:18">
      <c r="A2673" s="26">
        <v>7062</v>
      </c>
      <c r="B2673" s="27">
        <v>37762</v>
      </c>
      <c r="C2673" s="28" t="s">
        <v>8628</v>
      </c>
      <c r="D2673" s="27">
        <v>37761</v>
      </c>
      <c r="E2673" s="28" t="s">
        <v>38</v>
      </c>
      <c r="F2673" s="28" t="s">
        <v>52</v>
      </c>
      <c r="G2673" s="28" t="s">
        <v>20</v>
      </c>
      <c r="H2673" s="28" t="s">
        <v>21</v>
      </c>
      <c r="I2673" s="28" t="s">
        <v>21</v>
      </c>
      <c r="J2673" s="28" t="s">
        <v>8629</v>
      </c>
      <c r="K2673" s="28" t="s">
        <v>8630</v>
      </c>
      <c r="L2673" s="28" t="s">
        <v>7577</v>
      </c>
      <c r="M2673" s="28" t="s">
        <v>21</v>
      </c>
      <c r="O2673" s="92">
        <v>37769</v>
      </c>
      <c r="P2673" s="28" t="s">
        <v>31</v>
      </c>
      <c r="Q2673" s="26" t="b">
        <v>0</v>
      </c>
      <c r="R2673" s="22">
        <f t="shared" si="44"/>
        <v>7</v>
      </c>
    </row>
    <row r="2674" spans="1:18">
      <c r="A2674" s="26">
        <v>7066</v>
      </c>
      <c r="B2674" s="27">
        <v>37768</v>
      </c>
      <c r="C2674" s="28" t="s">
        <v>8640</v>
      </c>
      <c r="D2674" s="27">
        <v>37764</v>
      </c>
      <c r="E2674" s="28" t="s">
        <v>38</v>
      </c>
      <c r="F2674" s="28" t="s">
        <v>8641</v>
      </c>
      <c r="G2674" s="28" t="s">
        <v>20</v>
      </c>
      <c r="H2674" s="28" t="s">
        <v>71</v>
      </c>
      <c r="I2674" s="28" t="s">
        <v>72</v>
      </c>
      <c r="J2674" s="28" t="s">
        <v>8642</v>
      </c>
      <c r="K2674" s="28" t="s">
        <v>8643</v>
      </c>
      <c r="L2674" s="28" t="s">
        <v>8318</v>
      </c>
      <c r="M2674" s="28" t="s">
        <v>21</v>
      </c>
      <c r="O2674" s="92">
        <v>37775</v>
      </c>
      <c r="P2674" s="28" t="s">
        <v>21</v>
      </c>
      <c r="Q2674" s="26" t="b">
        <v>0</v>
      </c>
      <c r="R2674" s="22">
        <f t="shared" si="44"/>
        <v>6</v>
      </c>
    </row>
    <row r="2675" spans="1:18">
      <c r="A2675" s="26">
        <v>7067</v>
      </c>
      <c r="B2675" s="27">
        <v>37768</v>
      </c>
      <c r="C2675" s="28" t="s">
        <v>8644</v>
      </c>
      <c r="D2675" s="27">
        <v>37768</v>
      </c>
      <c r="E2675" s="28" t="s">
        <v>8645</v>
      </c>
      <c r="F2675" s="28" t="s">
        <v>3236</v>
      </c>
      <c r="G2675" s="28" t="s">
        <v>20</v>
      </c>
      <c r="H2675" s="28" t="s">
        <v>212</v>
      </c>
      <c r="I2675" s="28" t="s">
        <v>212</v>
      </c>
      <c r="J2675" s="28" t="s">
        <v>8646</v>
      </c>
      <c r="K2675" s="28" t="s">
        <v>21</v>
      </c>
      <c r="L2675" s="28" t="s">
        <v>8647</v>
      </c>
      <c r="M2675" s="28" t="s">
        <v>21</v>
      </c>
      <c r="N2675" s="18"/>
      <c r="O2675" s="92">
        <v>37940</v>
      </c>
      <c r="P2675" s="28" t="s">
        <v>31</v>
      </c>
      <c r="Q2675" s="26" t="b">
        <v>0</v>
      </c>
      <c r="R2675" s="22">
        <f t="shared" si="44"/>
        <v>170</v>
      </c>
    </row>
    <row r="2676" spans="1:18">
      <c r="A2676" s="26">
        <v>7068</v>
      </c>
      <c r="B2676" s="27">
        <v>37769</v>
      </c>
      <c r="C2676" s="28" t="s">
        <v>8648</v>
      </c>
      <c r="D2676" s="27">
        <v>37767</v>
      </c>
      <c r="E2676" s="28" t="s">
        <v>8649</v>
      </c>
      <c r="F2676" s="28" t="s">
        <v>7179</v>
      </c>
      <c r="G2676" s="28" t="s">
        <v>20</v>
      </c>
      <c r="H2676" s="28" t="s">
        <v>71</v>
      </c>
      <c r="I2676" s="28" t="s">
        <v>72</v>
      </c>
      <c r="J2676" s="28" t="s">
        <v>6081</v>
      </c>
      <c r="K2676" s="28" t="s">
        <v>8650</v>
      </c>
      <c r="L2676" s="28" t="s">
        <v>314</v>
      </c>
      <c r="M2676" s="28" t="s">
        <v>21</v>
      </c>
      <c r="O2676" s="92">
        <v>37921</v>
      </c>
      <c r="P2676" s="28" t="s">
        <v>31</v>
      </c>
      <c r="Q2676" s="26" t="b">
        <v>0</v>
      </c>
      <c r="R2676" s="22">
        <f t="shared" si="44"/>
        <v>151</v>
      </c>
    </row>
    <row r="2677" spans="1:18">
      <c r="A2677" s="26">
        <v>7075</v>
      </c>
      <c r="B2677" s="27">
        <v>37771</v>
      </c>
      <c r="C2677" s="28" t="s">
        <v>8655</v>
      </c>
      <c r="D2677" s="27">
        <v>37768</v>
      </c>
      <c r="E2677" s="28" t="s">
        <v>38</v>
      </c>
      <c r="F2677" s="28" t="s">
        <v>741</v>
      </c>
      <c r="G2677" s="28" t="s">
        <v>20</v>
      </c>
      <c r="H2677" s="28" t="s">
        <v>21</v>
      </c>
      <c r="I2677" s="28" t="s">
        <v>21</v>
      </c>
      <c r="J2677" s="28" t="s">
        <v>8656</v>
      </c>
      <c r="K2677" s="28" t="s">
        <v>8657</v>
      </c>
      <c r="L2677" s="28" t="s">
        <v>7577</v>
      </c>
      <c r="M2677" s="28" t="s">
        <v>21</v>
      </c>
      <c r="O2677" s="92">
        <v>37775</v>
      </c>
      <c r="P2677" s="28" t="s">
        <v>31</v>
      </c>
      <c r="Q2677" s="26" t="b">
        <v>0</v>
      </c>
      <c r="R2677" s="22">
        <f t="shared" si="44"/>
        <v>3</v>
      </c>
    </row>
    <row r="2678" spans="1:18">
      <c r="A2678" s="26">
        <v>7077</v>
      </c>
      <c r="B2678" s="27">
        <v>37771</v>
      </c>
      <c r="C2678" s="28" t="s">
        <v>8658</v>
      </c>
      <c r="D2678" s="27">
        <v>37771</v>
      </c>
      <c r="E2678" s="28" t="s">
        <v>38</v>
      </c>
      <c r="F2678" s="28" t="s">
        <v>8637</v>
      </c>
      <c r="G2678" s="28" t="s">
        <v>20</v>
      </c>
      <c r="H2678" s="28" t="s">
        <v>71</v>
      </c>
      <c r="I2678" s="28" t="s">
        <v>72</v>
      </c>
      <c r="J2678" s="28" t="s">
        <v>8659</v>
      </c>
      <c r="K2678" s="28" t="s">
        <v>8660</v>
      </c>
      <c r="L2678" s="28" t="s">
        <v>7577</v>
      </c>
      <c r="M2678" s="28" t="s">
        <v>21</v>
      </c>
      <c r="N2678" s="18"/>
      <c r="O2678" s="92">
        <v>37788</v>
      </c>
      <c r="P2678" s="28" t="s">
        <v>31</v>
      </c>
      <c r="Q2678" s="26" t="b">
        <v>0</v>
      </c>
      <c r="R2678" s="22">
        <f t="shared" si="44"/>
        <v>16</v>
      </c>
    </row>
    <row r="2679" spans="1:18">
      <c r="A2679" s="26">
        <v>7078</v>
      </c>
      <c r="B2679" s="27">
        <v>37774</v>
      </c>
      <c r="C2679" s="28" t="s">
        <v>8661</v>
      </c>
      <c r="D2679" s="27">
        <v>37769</v>
      </c>
      <c r="E2679" s="28" t="s">
        <v>38</v>
      </c>
      <c r="F2679" s="28" t="s">
        <v>371</v>
      </c>
      <c r="G2679" s="28" t="s">
        <v>20</v>
      </c>
      <c r="H2679" s="28" t="s">
        <v>21</v>
      </c>
      <c r="I2679" s="28" t="s">
        <v>21</v>
      </c>
      <c r="J2679" s="28" t="s">
        <v>8662</v>
      </c>
      <c r="K2679" s="28" t="s">
        <v>8663</v>
      </c>
      <c r="L2679" s="28" t="s">
        <v>7577</v>
      </c>
      <c r="M2679" s="28" t="s">
        <v>21</v>
      </c>
      <c r="N2679" s="18"/>
      <c r="O2679" s="92">
        <v>37777</v>
      </c>
      <c r="P2679" s="28" t="s">
        <v>31</v>
      </c>
      <c r="Q2679" s="26" t="b">
        <v>0</v>
      </c>
      <c r="R2679" s="22">
        <f t="shared" si="44"/>
        <v>3</v>
      </c>
    </row>
    <row r="2680" spans="1:18">
      <c r="A2680" s="26">
        <v>7079</v>
      </c>
      <c r="B2680" s="27">
        <v>37774</v>
      </c>
      <c r="C2680" s="28" t="s">
        <v>8664</v>
      </c>
      <c r="D2680" s="27">
        <v>37774</v>
      </c>
      <c r="E2680" s="28" t="s">
        <v>8665</v>
      </c>
      <c r="F2680" s="28" t="s">
        <v>3236</v>
      </c>
      <c r="G2680" s="28" t="s">
        <v>20</v>
      </c>
      <c r="H2680" s="28" t="s">
        <v>212</v>
      </c>
      <c r="I2680" s="28" t="s">
        <v>212</v>
      </c>
      <c r="J2680" s="28" t="s">
        <v>8666</v>
      </c>
      <c r="K2680" s="28" t="s">
        <v>21</v>
      </c>
      <c r="L2680" s="28" t="s">
        <v>8647</v>
      </c>
      <c r="M2680" s="28" t="s">
        <v>21</v>
      </c>
      <c r="O2680" s="92">
        <v>38163</v>
      </c>
      <c r="P2680" s="28" t="s">
        <v>31</v>
      </c>
      <c r="Q2680" s="26" t="b">
        <v>0</v>
      </c>
      <c r="R2680" s="22">
        <f t="shared" si="44"/>
        <v>388</v>
      </c>
    </row>
    <row r="2681" spans="1:18" ht="24">
      <c r="A2681" s="26">
        <v>7084</v>
      </c>
      <c r="B2681" s="27">
        <v>37778</v>
      </c>
      <c r="C2681" s="28" t="s">
        <v>8667</v>
      </c>
      <c r="D2681" s="27">
        <v>37781</v>
      </c>
      <c r="E2681" s="28" t="s">
        <v>8668</v>
      </c>
      <c r="F2681" s="28" t="s">
        <v>4242</v>
      </c>
      <c r="G2681" s="28" t="s">
        <v>20</v>
      </c>
      <c r="H2681" s="28" t="s">
        <v>189</v>
      </c>
      <c r="I2681" s="28" t="s">
        <v>189</v>
      </c>
      <c r="J2681" s="28" t="s">
        <v>8669</v>
      </c>
      <c r="K2681" s="28" t="s">
        <v>21</v>
      </c>
      <c r="L2681" s="28" t="s">
        <v>4282</v>
      </c>
      <c r="M2681" s="28" t="s">
        <v>21</v>
      </c>
      <c r="N2681" s="18"/>
      <c r="O2681" s="92">
        <v>37790</v>
      </c>
      <c r="P2681" s="28" t="s">
        <v>31</v>
      </c>
      <c r="Q2681" s="26" t="b">
        <v>0</v>
      </c>
      <c r="R2681" s="22">
        <f t="shared" si="44"/>
        <v>12</v>
      </c>
    </row>
    <row r="2682" spans="1:18" ht="24">
      <c r="A2682" s="26">
        <v>7085</v>
      </c>
      <c r="B2682" s="27">
        <v>37781</v>
      </c>
      <c r="C2682" s="28" t="s">
        <v>8670</v>
      </c>
      <c r="D2682" s="27">
        <v>37776</v>
      </c>
      <c r="E2682" s="28" t="s">
        <v>8671</v>
      </c>
      <c r="F2682" s="28" t="s">
        <v>3430</v>
      </c>
      <c r="G2682" s="28" t="s">
        <v>20</v>
      </c>
      <c r="H2682" s="28" t="s">
        <v>71</v>
      </c>
      <c r="I2682" s="28" t="s">
        <v>72</v>
      </c>
      <c r="J2682" s="28" t="s">
        <v>8672</v>
      </c>
      <c r="K2682" s="28" t="s">
        <v>21</v>
      </c>
      <c r="L2682" s="28" t="s">
        <v>8511</v>
      </c>
      <c r="M2682" s="28" t="s">
        <v>21</v>
      </c>
      <c r="N2682" s="29">
        <v>38147</v>
      </c>
      <c r="O2682" s="92">
        <v>37875</v>
      </c>
      <c r="P2682" s="28" t="s">
        <v>21</v>
      </c>
      <c r="Q2682" s="26" t="b">
        <v>0</v>
      </c>
      <c r="R2682" s="22">
        <f t="shared" si="44"/>
        <v>93</v>
      </c>
    </row>
    <row r="2683" spans="1:18">
      <c r="A2683" s="26">
        <v>7086</v>
      </c>
      <c r="B2683" s="27">
        <v>37781</v>
      </c>
      <c r="C2683" s="28" t="s">
        <v>8673</v>
      </c>
      <c r="D2683" s="27">
        <v>37777</v>
      </c>
      <c r="E2683" s="28" t="s">
        <v>4172</v>
      </c>
      <c r="F2683" s="28" t="s">
        <v>124</v>
      </c>
      <c r="G2683" s="28" t="s">
        <v>20</v>
      </c>
      <c r="H2683" s="28" t="s">
        <v>21</v>
      </c>
      <c r="I2683" s="28" t="s">
        <v>21</v>
      </c>
      <c r="J2683" s="28" t="s">
        <v>8674</v>
      </c>
      <c r="K2683" s="28" t="s">
        <v>21</v>
      </c>
      <c r="L2683" s="28" t="s">
        <v>8675</v>
      </c>
      <c r="M2683" s="28" t="s">
        <v>21</v>
      </c>
      <c r="N2683" s="18"/>
      <c r="O2683" s="92">
        <v>37851</v>
      </c>
      <c r="P2683" s="28" t="s">
        <v>31</v>
      </c>
      <c r="Q2683" s="26" t="b">
        <v>0</v>
      </c>
      <c r="R2683" s="22">
        <f t="shared" si="44"/>
        <v>69</v>
      </c>
    </row>
    <row r="2684" spans="1:18">
      <c r="A2684" s="26">
        <v>7087</v>
      </c>
      <c r="B2684" s="27">
        <v>37784</v>
      </c>
      <c r="C2684" s="28" t="s">
        <v>8676</v>
      </c>
      <c r="D2684" s="27">
        <v>37750</v>
      </c>
      <c r="E2684" s="28" t="s">
        <v>38</v>
      </c>
      <c r="F2684" s="28" t="s">
        <v>124</v>
      </c>
      <c r="G2684" s="28" t="s">
        <v>20</v>
      </c>
      <c r="H2684" s="28" t="s">
        <v>21</v>
      </c>
      <c r="I2684" s="28" t="s">
        <v>21</v>
      </c>
      <c r="J2684" s="28" t="s">
        <v>8677</v>
      </c>
      <c r="K2684" s="28" t="s">
        <v>8678</v>
      </c>
      <c r="L2684" s="28" t="s">
        <v>314</v>
      </c>
      <c r="M2684" s="28" t="s">
        <v>21</v>
      </c>
      <c r="N2684" s="18"/>
      <c r="O2684" s="92">
        <v>37788</v>
      </c>
      <c r="P2684" s="28" t="s">
        <v>31</v>
      </c>
      <c r="Q2684" s="26" t="b">
        <v>0</v>
      </c>
      <c r="R2684" s="22">
        <f t="shared" si="44"/>
        <v>4</v>
      </c>
    </row>
    <row r="2685" spans="1:18">
      <c r="A2685" s="26">
        <v>7093</v>
      </c>
      <c r="B2685" s="27">
        <v>37784</v>
      </c>
      <c r="C2685" s="28" t="s">
        <v>8681</v>
      </c>
      <c r="D2685" s="27">
        <v>37781</v>
      </c>
      <c r="E2685" s="28" t="s">
        <v>38</v>
      </c>
      <c r="F2685" s="28" t="s">
        <v>371</v>
      </c>
      <c r="G2685" s="28" t="s">
        <v>20</v>
      </c>
      <c r="H2685" s="28" t="s">
        <v>21</v>
      </c>
      <c r="I2685" s="28" t="s">
        <v>21</v>
      </c>
      <c r="J2685" s="28" t="s">
        <v>8682</v>
      </c>
      <c r="K2685" s="28" t="s">
        <v>8683</v>
      </c>
      <c r="L2685" s="28" t="s">
        <v>8684</v>
      </c>
      <c r="M2685" s="28" t="s">
        <v>21</v>
      </c>
      <c r="N2685" s="29">
        <v>37883</v>
      </c>
      <c r="O2685" s="92">
        <v>37798</v>
      </c>
      <c r="P2685" s="28" t="s">
        <v>31</v>
      </c>
      <c r="Q2685" s="26" t="b">
        <v>0</v>
      </c>
      <c r="R2685" s="22">
        <f t="shared" si="44"/>
        <v>14</v>
      </c>
    </row>
    <row r="2686" spans="1:18">
      <c r="A2686" s="26">
        <v>7094</v>
      </c>
      <c r="B2686" s="27">
        <v>37785</v>
      </c>
      <c r="C2686" s="28" t="s">
        <v>8685</v>
      </c>
      <c r="D2686" s="27">
        <v>37784</v>
      </c>
      <c r="E2686" s="28" t="s">
        <v>1432</v>
      </c>
      <c r="F2686" s="28" t="s">
        <v>149</v>
      </c>
      <c r="G2686" s="28" t="s">
        <v>20</v>
      </c>
      <c r="H2686" s="28" t="s">
        <v>21</v>
      </c>
      <c r="I2686" s="28" t="s">
        <v>21</v>
      </c>
      <c r="J2686" s="28" t="s">
        <v>8686</v>
      </c>
      <c r="K2686" s="28" t="s">
        <v>8687</v>
      </c>
      <c r="L2686" s="28" t="s">
        <v>66</v>
      </c>
      <c r="M2686" s="28" t="s">
        <v>21</v>
      </c>
      <c r="N2686" s="18"/>
      <c r="O2686" s="92">
        <v>37994</v>
      </c>
      <c r="P2686" s="28" t="s">
        <v>31</v>
      </c>
      <c r="Q2686" s="26" t="b">
        <v>0</v>
      </c>
      <c r="R2686" s="22">
        <f t="shared" si="44"/>
        <v>207</v>
      </c>
    </row>
    <row r="2687" spans="1:18">
      <c r="A2687" s="26">
        <v>7091</v>
      </c>
      <c r="B2687" s="27">
        <v>37788</v>
      </c>
      <c r="C2687" s="28" t="s">
        <v>8679</v>
      </c>
      <c r="D2687" s="27">
        <v>37788</v>
      </c>
      <c r="E2687" s="28" t="s">
        <v>38</v>
      </c>
      <c r="F2687" s="28" t="s">
        <v>741</v>
      </c>
      <c r="G2687" s="28" t="s">
        <v>20</v>
      </c>
      <c r="H2687" s="28" t="s">
        <v>21</v>
      </c>
      <c r="I2687" s="28" t="s">
        <v>21</v>
      </c>
      <c r="J2687" s="28" t="s">
        <v>6454</v>
      </c>
      <c r="K2687" s="28" t="s">
        <v>8680</v>
      </c>
      <c r="L2687" s="28" t="s">
        <v>7577</v>
      </c>
      <c r="M2687" s="28" t="s">
        <v>21</v>
      </c>
      <c r="N2687" s="27">
        <v>37795</v>
      </c>
      <c r="O2687" s="92">
        <v>37789</v>
      </c>
      <c r="P2687" s="28" t="s">
        <v>31</v>
      </c>
      <c r="Q2687" s="26" t="b">
        <v>0</v>
      </c>
      <c r="R2687" s="22">
        <f t="shared" si="44"/>
        <v>1</v>
      </c>
    </row>
    <row r="2688" spans="1:18">
      <c r="A2688" s="26">
        <v>7095</v>
      </c>
      <c r="B2688" s="27">
        <v>37788</v>
      </c>
      <c r="C2688" s="28" t="s">
        <v>8688</v>
      </c>
      <c r="D2688" s="27">
        <v>37778</v>
      </c>
      <c r="E2688" s="28" t="s">
        <v>8689</v>
      </c>
      <c r="F2688" s="28" t="s">
        <v>350</v>
      </c>
      <c r="G2688" s="28" t="s">
        <v>20</v>
      </c>
      <c r="H2688" s="28" t="s">
        <v>21</v>
      </c>
      <c r="I2688" s="28" t="s">
        <v>21</v>
      </c>
      <c r="J2688" s="28" t="s">
        <v>8690</v>
      </c>
      <c r="K2688" s="28" t="s">
        <v>8691</v>
      </c>
      <c r="L2688" s="28" t="s">
        <v>4579</v>
      </c>
      <c r="M2688" s="28" t="s">
        <v>6955</v>
      </c>
      <c r="N2688" s="27">
        <v>38154</v>
      </c>
      <c r="O2688" s="92">
        <v>39765</v>
      </c>
      <c r="P2688" s="28" t="s">
        <v>21</v>
      </c>
      <c r="Q2688" s="26" t="b">
        <v>0</v>
      </c>
      <c r="R2688" s="22">
        <f t="shared" si="44"/>
        <v>1974</v>
      </c>
    </row>
    <row r="2689" spans="1:18">
      <c r="A2689" s="26">
        <v>7098</v>
      </c>
      <c r="B2689" s="27">
        <v>37788</v>
      </c>
      <c r="C2689" s="28" t="s">
        <v>8692</v>
      </c>
      <c r="D2689" s="27">
        <v>37785</v>
      </c>
      <c r="E2689" s="28" t="s">
        <v>8693</v>
      </c>
      <c r="F2689" s="28" t="s">
        <v>6298</v>
      </c>
      <c r="G2689" s="28" t="s">
        <v>20</v>
      </c>
      <c r="H2689" s="28" t="s">
        <v>71</v>
      </c>
      <c r="I2689" s="28" t="s">
        <v>72</v>
      </c>
      <c r="J2689" s="28" t="s">
        <v>8694</v>
      </c>
      <c r="K2689" s="28" t="s">
        <v>21</v>
      </c>
      <c r="L2689" s="28" t="s">
        <v>8318</v>
      </c>
      <c r="M2689" s="28" t="s">
        <v>21</v>
      </c>
      <c r="N2689" s="18"/>
      <c r="O2689" s="92">
        <v>37790</v>
      </c>
      <c r="P2689" s="28" t="s">
        <v>21</v>
      </c>
      <c r="Q2689" s="26" t="b">
        <v>0</v>
      </c>
      <c r="R2689" s="22">
        <f t="shared" si="44"/>
        <v>2</v>
      </c>
    </row>
    <row r="2690" spans="1:18">
      <c r="A2690" s="26">
        <v>7101</v>
      </c>
      <c r="B2690" s="27">
        <v>37790</v>
      </c>
      <c r="C2690" s="28" t="s">
        <v>8695</v>
      </c>
      <c r="D2690" s="27">
        <v>37785</v>
      </c>
      <c r="E2690" s="28" t="s">
        <v>8696</v>
      </c>
      <c r="F2690" s="28" t="s">
        <v>6580</v>
      </c>
      <c r="G2690" s="28" t="s">
        <v>20</v>
      </c>
      <c r="H2690" s="28" t="s">
        <v>21</v>
      </c>
      <c r="I2690" s="28" t="s">
        <v>21</v>
      </c>
      <c r="J2690" s="28" t="s">
        <v>8697</v>
      </c>
      <c r="K2690" s="28" t="s">
        <v>21</v>
      </c>
      <c r="L2690" s="28" t="s">
        <v>66</v>
      </c>
      <c r="M2690" s="28" t="s">
        <v>21</v>
      </c>
      <c r="N2690" s="27">
        <v>37882</v>
      </c>
      <c r="O2690" s="92">
        <v>37827</v>
      </c>
      <c r="P2690" s="28" t="s">
        <v>31</v>
      </c>
      <c r="Q2690" s="26" t="b">
        <v>0</v>
      </c>
      <c r="R2690" s="22">
        <f t="shared" si="44"/>
        <v>37</v>
      </c>
    </row>
    <row r="2691" spans="1:18">
      <c r="A2691" s="26">
        <v>7102</v>
      </c>
      <c r="B2691" s="27">
        <v>37791</v>
      </c>
      <c r="C2691" s="28" t="s">
        <v>8698</v>
      </c>
      <c r="D2691" s="27">
        <v>37791</v>
      </c>
      <c r="E2691" s="28" t="s">
        <v>38</v>
      </c>
      <c r="F2691" s="28" t="s">
        <v>4596</v>
      </c>
      <c r="G2691" s="28" t="s">
        <v>20</v>
      </c>
      <c r="H2691" s="28" t="s">
        <v>21</v>
      </c>
      <c r="I2691" s="28" t="s">
        <v>21</v>
      </c>
      <c r="J2691" s="28" t="s">
        <v>8699</v>
      </c>
      <c r="K2691" s="28" t="s">
        <v>8700</v>
      </c>
      <c r="L2691" s="28" t="s">
        <v>8318</v>
      </c>
      <c r="M2691" s="28" t="s">
        <v>21</v>
      </c>
      <c r="N2691" s="29">
        <v>37798</v>
      </c>
      <c r="O2691" s="92">
        <v>37795</v>
      </c>
      <c r="P2691" s="28" t="s">
        <v>31</v>
      </c>
      <c r="Q2691" s="26" t="b">
        <v>0</v>
      </c>
      <c r="R2691" s="22">
        <f t="shared" si="44"/>
        <v>4</v>
      </c>
    </row>
    <row r="2692" spans="1:18">
      <c r="A2692" s="26">
        <v>7106</v>
      </c>
      <c r="B2692" s="27">
        <v>37791</v>
      </c>
      <c r="C2692" s="28" t="s">
        <v>8704</v>
      </c>
      <c r="D2692" s="27">
        <v>37788</v>
      </c>
      <c r="E2692" s="28" t="s">
        <v>8705</v>
      </c>
      <c r="F2692" s="28" t="s">
        <v>3519</v>
      </c>
      <c r="G2692" s="28" t="s">
        <v>20</v>
      </c>
      <c r="H2692" s="28" t="s">
        <v>566</v>
      </c>
      <c r="I2692" s="28" t="s">
        <v>566</v>
      </c>
      <c r="J2692" s="28" t="s">
        <v>8706</v>
      </c>
      <c r="K2692" s="28" t="s">
        <v>8707</v>
      </c>
      <c r="L2692" s="28" t="s">
        <v>8684</v>
      </c>
      <c r="M2692" s="28" t="s">
        <v>21</v>
      </c>
      <c r="N2692" s="27">
        <v>37883</v>
      </c>
      <c r="O2692" s="92">
        <v>37825</v>
      </c>
      <c r="P2692" s="28" t="s">
        <v>31</v>
      </c>
      <c r="Q2692" s="26" t="b">
        <v>0</v>
      </c>
      <c r="R2692" s="22">
        <f t="shared" si="44"/>
        <v>34</v>
      </c>
    </row>
    <row r="2693" spans="1:18">
      <c r="A2693" s="26">
        <v>7107</v>
      </c>
      <c r="B2693" s="27">
        <v>37791</v>
      </c>
      <c r="C2693" s="28" t="s">
        <v>8708</v>
      </c>
      <c r="D2693" s="27">
        <v>37791</v>
      </c>
      <c r="E2693" s="28" t="s">
        <v>38</v>
      </c>
      <c r="F2693" s="28" t="s">
        <v>2105</v>
      </c>
      <c r="G2693" s="28" t="s">
        <v>20</v>
      </c>
      <c r="H2693" s="28" t="s">
        <v>189</v>
      </c>
      <c r="I2693" s="28" t="s">
        <v>189</v>
      </c>
      <c r="J2693" s="28" t="s">
        <v>5162</v>
      </c>
      <c r="K2693" s="28" t="s">
        <v>8709</v>
      </c>
      <c r="L2693" s="28" t="s">
        <v>8318</v>
      </c>
      <c r="M2693" s="28" t="s">
        <v>21</v>
      </c>
      <c r="N2693" s="29">
        <v>37798</v>
      </c>
      <c r="O2693" s="92">
        <v>37797</v>
      </c>
      <c r="P2693" s="28" t="s">
        <v>31</v>
      </c>
      <c r="Q2693" s="26" t="b">
        <v>0</v>
      </c>
      <c r="R2693" s="22">
        <f t="shared" si="44"/>
        <v>6</v>
      </c>
    </row>
    <row r="2694" spans="1:18">
      <c r="A2694" s="26">
        <v>7103</v>
      </c>
      <c r="B2694" s="27">
        <v>37795</v>
      </c>
      <c r="C2694" s="28" t="s">
        <v>8701</v>
      </c>
      <c r="D2694" s="27">
        <v>37793</v>
      </c>
      <c r="E2694" s="28" t="s">
        <v>38</v>
      </c>
      <c r="F2694" s="28" t="s">
        <v>145</v>
      </c>
      <c r="G2694" s="28" t="s">
        <v>20</v>
      </c>
      <c r="H2694" s="28" t="s">
        <v>21</v>
      </c>
      <c r="I2694" s="28" t="s">
        <v>21</v>
      </c>
      <c r="J2694" s="28" t="s">
        <v>8702</v>
      </c>
      <c r="K2694" s="28" t="s">
        <v>8703</v>
      </c>
      <c r="L2694" s="28" t="s">
        <v>7577</v>
      </c>
      <c r="M2694" s="28" t="s">
        <v>21</v>
      </c>
      <c r="O2694" s="92">
        <v>37795</v>
      </c>
      <c r="P2694" s="28" t="s">
        <v>31</v>
      </c>
      <c r="Q2694" s="26" t="b">
        <v>0</v>
      </c>
      <c r="R2694" s="22">
        <f t="shared" si="44"/>
        <v>0</v>
      </c>
    </row>
    <row r="2695" spans="1:18">
      <c r="A2695" s="26">
        <v>7125</v>
      </c>
      <c r="B2695" s="27">
        <v>37797</v>
      </c>
      <c r="C2695" s="28" t="s">
        <v>8727</v>
      </c>
      <c r="D2695" s="27">
        <v>37797</v>
      </c>
      <c r="E2695" s="28" t="s">
        <v>3268</v>
      </c>
      <c r="F2695" s="28" t="s">
        <v>5690</v>
      </c>
      <c r="G2695" s="28" t="s">
        <v>20</v>
      </c>
      <c r="H2695" s="28" t="s">
        <v>71</v>
      </c>
      <c r="I2695" s="28" t="s">
        <v>72</v>
      </c>
      <c r="J2695" s="28" t="s">
        <v>8728</v>
      </c>
      <c r="K2695" s="28" t="s">
        <v>5369</v>
      </c>
      <c r="L2695" s="28" t="s">
        <v>314</v>
      </c>
      <c r="M2695" s="28" t="s">
        <v>21</v>
      </c>
      <c r="N2695" s="18"/>
      <c r="O2695" s="92">
        <v>37974</v>
      </c>
      <c r="P2695" s="28" t="s">
        <v>31</v>
      </c>
      <c r="Q2695" s="26" t="b">
        <v>0</v>
      </c>
      <c r="R2695" s="22">
        <f t="shared" si="44"/>
        <v>176</v>
      </c>
    </row>
    <row r="2696" spans="1:18" ht="24">
      <c r="A2696" s="26">
        <v>7108</v>
      </c>
      <c r="B2696" s="27">
        <v>37798</v>
      </c>
      <c r="C2696" s="28" t="s">
        <v>8710</v>
      </c>
      <c r="D2696" s="27">
        <v>37797</v>
      </c>
      <c r="E2696" s="28" t="s">
        <v>8711</v>
      </c>
      <c r="F2696" s="28" t="s">
        <v>6298</v>
      </c>
      <c r="G2696" s="28" t="s">
        <v>20</v>
      </c>
      <c r="H2696" s="28" t="s">
        <v>71</v>
      </c>
      <c r="I2696" s="28" t="s">
        <v>72</v>
      </c>
      <c r="J2696" s="28" t="s">
        <v>8712</v>
      </c>
      <c r="K2696" s="28" t="s">
        <v>21</v>
      </c>
      <c r="L2696" s="28" t="s">
        <v>8318</v>
      </c>
      <c r="M2696" s="28" t="s">
        <v>21</v>
      </c>
      <c r="N2696" s="27">
        <v>38164</v>
      </c>
      <c r="O2696" s="92">
        <v>38607</v>
      </c>
      <c r="P2696" s="28" t="s">
        <v>21</v>
      </c>
      <c r="Q2696" s="26" t="b">
        <v>0</v>
      </c>
      <c r="R2696" s="22">
        <f t="shared" si="44"/>
        <v>807</v>
      </c>
    </row>
    <row r="2697" spans="1:18">
      <c r="A2697" s="26">
        <v>7110</v>
      </c>
      <c r="B2697" s="27">
        <v>37802</v>
      </c>
      <c r="C2697" s="28" t="s">
        <v>8713</v>
      </c>
      <c r="D2697" s="27">
        <v>37796</v>
      </c>
      <c r="E2697" s="28" t="s">
        <v>8714</v>
      </c>
      <c r="F2697" s="28" t="s">
        <v>98</v>
      </c>
      <c r="G2697" s="28" t="s">
        <v>20</v>
      </c>
      <c r="H2697" s="28" t="s">
        <v>21</v>
      </c>
      <c r="I2697" s="28" t="s">
        <v>21</v>
      </c>
      <c r="J2697" s="28" t="s">
        <v>8715</v>
      </c>
      <c r="K2697" s="28" t="s">
        <v>8716</v>
      </c>
      <c r="L2697" s="28" t="s">
        <v>314</v>
      </c>
      <c r="M2697" s="28" t="s">
        <v>21</v>
      </c>
      <c r="N2697" s="27">
        <v>38168</v>
      </c>
      <c r="O2697" s="92">
        <v>38035</v>
      </c>
      <c r="P2697" s="28" t="s">
        <v>31</v>
      </c>
      <c r="Q2697" s="26" t="b">
        <v>0</v>
      </c>
      <c r="R2697" s="22">
        <f t="shared" si="44"/>
        <v>231</v>
      </c>
    </row>
    <row r="2698" spans="1:18" ht="24">
      <c r="A2698" s="26">
        <v>7112</v>
      </c>
      <c r="B2698" s="27">
        <v>37803</v>
      </c>
      <c r="C2698" s="28" t="s">
        <v>8717</v>
      </c>
      <c r="D2698" s="27">
        <v>37799</v>
      </c>
      <c r="E2698" s="28" t="s">
        <v>8718</v>
      </c>
      <c r="F2698" s="28" t="s">
        <v>1939</v>
      </c>
      <c r="G2698" s="28" t="s">
        <v>20</v>
      </c>
      <c r="H2698" s="28" t="s">
        <v>21</v>
      </c>
      <c r="I2698" s="28" t="s">
        <v>21</v>
      </c>
      <c r="J2698" s="28" t="s">
        <v>8719</v>
      </c>
      <c r="K2698" s="28" t="s">
        <v>8720</v>
      </c>
      <c r="L2698" s="28" t="s">
        <v>314</v>
      </c>
      <c r="M2698" s="28" t="s">
        <v>21</v>
      </c>
      <c r="N2698" s="27">
        <v>37895</v>
      </c>
      <c r="O2698" s="92">
        <v>37819</v>
      </c>
      <c r="P2698" s="28" t="s">
        <v>21</v>
      </c>
      <c r="Q2698" s="26" t="b">
        <v>0</v>
      </c>
      <c r="R2698" s="22">
        <f t="shared" si="44"/>
        <v>16</v>
      </c>
    </row>
    <row r="2699" spans="1:18">
      <c r="A2699" s="26">
        <v>7121</v>
      </c>
      <c r="B2699" s="27">
        <v>37803</v>
      </c>
      <c r="C2699" s="28" t="s">
        <v>8721</v>
      </c>
      <c r="D2699" s="27">
        <v>37763</v>
      </c>
      <c r="E2699" s="28" t="s">
        <v>38</v>
      </c>
      <c r="F2699" s="28" t="s">
        <v>133</v>
      </c>
      <c r="G2699" s="28" t="s">
        <v>20</v>
      </c>
      <c r="H2699" s="28" t="s">
        <v>21</v>
      </c>
      <c r="I2699" s="28" t="s">
        <v>21</v>
      </c>
      <c r="J2699" s="28" t="s">
        <v>8722</v>
      </c>
      <c r="K2699" s="28" t="s">
        <v>8723</v>
      </c>
      <c r="L2699" s="28" t="s">
        <v>8724</v>
      </c>
      <c r="M2699" s="28" t="s">
        <v>21</v>
      </c>
      <c r="N2699" s="18"/>
      <c r="O2699" s="92">
        <v>37809</v>
      </c>
      <c r="P2699" s="28" t="s">
        <v>31</v>
      </c>
      <c r="Q2699" s="26" t="b">
        <v>0</v>
      </c>
      <c r="R2699" s="22">
        <f t="shared" si="44"/>
        <v>6</v>
      </c>
    </row>
    <row r="2700" spans="1:18">
      <c r="A2700" s="26">
        <v>7132</v>
      </c>
      <c r="B2700" s="27">
        <v>37804</v>
      </c>
      <c r="C2700" s="28" t="s">
        <v>8742</v>
      </c>
      <c r="D2700" s="27">
        <v>37799</v>
      </c>
      <c r="E2700" s="28" t="s">
        <v>38</v>
      </c>
      <c r="F2700" s="28" t="s">
        <v>124</v>
      </c>
      <c r="G2700" s="28" t="s">
        <v>20</v>
      </c>
      <c r="H2700" s="28" t="s">
        <v>21</v>
      </c>
      <c r="I2700" s="28" t="s">
        <v>21</v>
      </c>
      <c r="J2700" s="28" t="s">
        <v>8743</v>
      </c>
      <c r="K2700" s="28" t="s">
        <v>21</v>
      </c>
      <c r="L2700" s="28" t="s">
        <v>8744</v>
      </c>
      <c r="M2700" s="28" t="s">
        <v>21</v>
      </c>
      <c r="N2700" s="29">
        <v>37812</v>
      </c>
      <c r="O2700" s="92">
        <v>37811</v>
      </c>
      <c r="P2700" s="28" t="s">
        <v>31</v>
      </c>
      <c r="Q2700" s="26" t="b">
        <v>0</v>
      </c>
      <c r="R2700" s="22">
        <f t="shared" si="44"/>
        <v>7</v>
      </c>
    </row>
    <row r="2701" spans="1:18">
      <c r="A2701" s="26">
        <v>7126</v>
      </c>
      <c r="B2701" s="27">
        <v>37809</v>
      </c>
      <c r="C2701" s="28" t="s">
        <v>8729</v>
      </c>
      <c r="D2701" s="27">
        <v>37804</v>
      </c>
      <c r="E2701" s="28" t="s">
        <v>1432</v>
      </c>
      <c r="F2701" s="28" t="s">
        <v>149</v>
      </c>
      <c r="G2701" s="28" t="s">
        <v>20</v>
      </c>
      <c r="H2701" s="28" t="s">
        <v>21</v>
      </c>
      <c r="I2701" s="28" t="s">
        <v>21</v>
      </c>
      <c r="J2701" s="28" t="s">
        <v>8730</v>
      </c>
      <c r="K2701" s="28" t="s">
        <v>8731</v>
      </c>
      <c r="L2701" s="28" t="s">
        <v>4579</v>
      </c>
      <c r="M2701" s="28" t="s">
        <v>66</v>
      </c>
      <c r="N2701" s="18"/>
      <c r="O2701" s="92">
        <v>40141</v>
      </c>
      <c r="P2701" s="28" t="s">
        <v>31</v>
      </c>
      <c r="Q2701" s="26" t="b">
        <v>0</v>
      </c>
      <c r="R2701" s="22">
        <f t="shared" si="44"/>
        <v>2328</v>
      </c>
    </row>
    <row r="2702" spans="1:18">
      <c r="A2702" s="26">
        <v>7124</v>
      </c>
      <c r="B2702" s="27">
        <v>37810</v>
      </c>
      <c r="C2702" s="28" t="s">
        <v>8725</v>
      </c>
      <c r="D2702" s="27">
        <v>37802</v>
      </c>
      <c r="E2702" s="28" t="s">
        <v>3268</v>
      </c>
      <c r="F2702" s="28" t="s">
        <v>39</v>
      </c>
      <c r="G2702" s="28" t="s">
        <v>20</v>
      </c>
      <c r="H2702" s="28" t="s">
        <v>21</v>
      </c>
      <c r="I2702" s="28" t="s">
        <v>21</v>
      </c>
      <c r="J2702" s="28" t="s">
        <v>8726</v>
      </c>
      <c r="K2702" s="28" t="s">
        <v>5369</v>
      </c>
      <c r="L2702" s="28" t="s">
        <v>66</v>
      </c>
      <c r="M2702" s="28" t="s">
        <v>21</v>
      </c>
      <c r="N2702" s="27">
        <v>37855</v>
      </c>
      <c r="O2702" s="92">
        <v>37855</v>
      </c>
      <c r="P2702" s="28" t="s">
        <v>21</v>
      </c>
      <c r="Q2702" s="26" t="b">
        <v>0</v>
      </c>
      <c r="R2702" s="22">
        <f t="shared" si="44"/>
        <v>44</v>
      </c>
    </row>
    <row r="2703" spans="1:18">
      <c r="A2703" s="26">
        <v>7127</v>
      </c>
      <c r="B2703" s="27">
        <v>37810</v>
      </c>
      <c r="C2703" s="28" t="s">
        <v>8732</v>
      </c>
      <c r="D2703" s="27">
        <v>37810</v>
      </c>
      <c r="E2703" s="28" t="s">
        <v>8733</v>
      </c>
      <c r="F2703" s="28" t="s">
        <v>145</v>
      </c>
      <c r="G2703" s="28" t="s">
        <v>20</v>
      </c>
      <c r="H2703" s="28" t="s">
        <v>21</v>
      </c>
      <c r="I2703" s="28" t="s">
        <v>21</v>
      </c>
      <c r="J2703" s="28" t="s">
        <v>8734</v>
      </c>
      <c r="K2703" s="28" t="s">
        <v>21</v>
      </c>
      <c r="L2703" s="28" t="s">
        <v>8318</v>
      </c>
      <c r="M2703" s="28" t="s">
        <v>21</v>
      </c>
      <c r="N2703" s="27">
        <v>37902</v>
      </c>
      <c r="O2703" s="92">
        <v>37816</v>
      </c>
      <c r="P2703" s="28" t="s">
        <v>31</v>
      </c>
      <c r="Q2703" s="26" t="b">
        <v>0</v>
      </c>
      <c r="R2703" s="22">
        <f t="shared" si="44"/>
        <v>6</v>
      </c>
    </row>
    <row r="2704" spans="1:18">
      <c r="A2704" s="26">
        <v>7130</v>
      </c>
      <c r="B2704" s="27">
        <v>37810</v>
      </c>
      <c r="C2704" s="28" t="s">
        <v>8735</v>
      </c>
      <c r="D2704" s="27">
        <v>37810</v>
      </c>
      <c r="E2704" s="28" t="s">
        <v>8736</v>
      </c>
      <c r="F2704" s="28" t="s">
        <v>104</v>
      </c>
      <c r="G2704" s="28" t="s">
        <v>20</v>
      </c>
      <c r="H2704" s="28" t="s">
        <v>21</v>
      </c>
      <c r="I2704" s="28" t="s">
        <v>21</v>
      </c>
      <c r="J2704" s="28" t="s">
        <v>8737</v>
      </c>
      <c r="K2704" s="28" t="s">
        <v>6454</v>
      </c>
      <c r="L2704" s="28" t="s">
        <v>66</v>
      </c>
      <c r="M2704" s="28" t="s">
        <v>21</v>
      </c>
      <c r="N2704" s="27">
        <v>37902</v>
      </c>
      <c r="O2704" s="92">
        <v>37832</v>
      </c>
      <c r="P2704" s="28" t="s">
        <v>31</v>
      </c>
      <c r="Q2704" s="26" t="b">
        <v>0</v>
      </c>
      <c r="R2704" s="22">
        <f t="shared" si="44"/>
        <v>22</v>
      </c>
    </row>
    <row r="2705" spans="1:18" ht="24">
      <c r="A2705" s="26">
        <v>7131</v>
      </c>
      <c r="B2705" s="27">
        <v>37811</v>
      </c>
      <c r="C2705" s="28" t="s">
        <v>8738</v>
      </c>
      <c r="D2705" s="27">
        <v>37811</v>
      </c>
      <c r="E2705" s="28" t="s">
        <v>8739</v>
      </c>
      <c r="F2705" s="28" t="s">
        <v>359</v>
      </c>
      <c r="G2705" s="28" t="s">
        <v>20</v>
      </c>
      <c r="H2705" s="28" t="s">
        <v>21</v>
      </c>
      <c r="I2705" s="28" t="s">
        <v>21</v>
      </c>
      <c r="J2705" s="28" t="s">
        <v>8740</v>
      </c>
      <c r="K2705" s="28" t="s">
        <v>8741</v>
      </c>
      <c r="L2705" s="28" t="s">
        <v>4282</v>
      </c>
      <c r="M2705" s="28" t="s">
        <v>21</v>
      </c>
      <c r="N2705" s="27">
        <v>37990</v>
      </c>
      <c r="O2705" s="92">
        <v>37998</v>
      </c>
      <c r="P2705" s="28" t="s">
        <v>21</v>
      </c>
      <c r="Q2705" s="26" t="b">
        <v>0</v>
      </c>
      <c r="R2705" s="22">
        <f t="shared" si="44"/>
        <v>185</v>
      </c>
    </row>
    <row r="2706" spans="1:18">
      <c r="A2706" s="26">
        <v>7133</v>
      </c>
      <c r="B2706" s="27">
        <v>37812</v>
      </c>
      <c r="C2706" s="28" t="s">
        <v>8745</v>
      </c>
      <c r="D2706" s="27">
        <v>37803</v>
      </c>
      <c r="E2706" s="28" t="s">
        <v>38</v>
      </c>
      <c r="F2706" s="28" t="s">
        <v>124</v>
      </c>
      <c r="G2706" s="28" t="s">
        <v>20</v>
      </c>
      <c r="H2706" s="28" t="s">
        <v>21</v>
      </c>
      <c r="I2706" s="28" t="s">
        <v>21</v>
      </c>
      <c r="J2706" s="28" t="s">
        <v>5184</v>
      </c>
      <c r="K2706" s="28" t="s">
        <v>8503</v>
      </c>
      <c r="L2706" s="28" t="s">
        <v>66</v>
      </c>
      <c r="M2706" s="28" t="s">
        <v>21</v>
      </c>
      <c r="N2706" s="29">
        <v>37819</v>
      </c>
      <c r="O2706" s="92">
        <v>37813</v>
      </c>
      <c r="P2706" s="28" t="s">
        <v>31</v>
      </c>
      <c r="Q2706" s="26" t="b">
        <v>0</v>
      </c>
      <c r="R2706" s="22">
        <f t="shared" si="44"/>
        <v>1</v>
      </c>
    </row>
    <row r="2707" spans="1:18">
      <c r="A2707" s="26">
        <v>7137</v>
      </c>
      <c r="B2707" s="27">
        <v>37816</v>
      </c>
      <c r="C2707" s="28" t="s">
        <v>8748</v>
      </c>
      <c r="D2707" s="27">
        <v>37813</v>
      </c>
      <c r="E2707" s="28" t="s">
        <v>8749</v>
      </c>
      <c r="F2707" s="28" t="s">
        <v>1232</v>
      </c>
      <c r="G2707" s="28" t="s">
        <v>20</v>
      </c>
      <c r="H2707" s="28" t="s">
        <v>189</v>
      </c>
      <c r="I2707" s="28" t="s">
        <v>189</v>
      </c>
      <c r="J2707" s="28" t="s">
        <v>8750</v>
      </c>
      <c r="K2707" s="28" t="s">
        <v>8751</v>
      </c>
      <c r="L2707" s="28" t="s">
        <v>4282</v>
      </c>
      <c r="M2707" s="28" t="s">
        <v>21</v>
      </c>
      <c r="N2707" s="29">
        <v>38182</v>
      </c>
      <c r="O2707" s="92">
        <v>37922</v>
      </c>
      <c r="P2707" s="28" t="s">
        <v>21</v>
      </c>
      <c r="Q2707" s="26" t="b">
        <v>0</v>
      </c>
      <c r="R2707" s="22">
        <f t="shared" si="44"/>
        <v>105</v>
      </c>
    </row>
    <row r="2708" spans="1:18">
      <c r="A2708" s="26">
        <v>7138</v>
      </c>
      <c r="B2708" s="27">
        <v>37816</v>
      </c>
      <c r="C2708" s="28" t="s">
        <v>8752</v>
      </c>
      <c r="D2708" s="27">
        <v>37813</v>
      </c>
      <c r="E2708" s="28" t="s">
        <v>8753</v>
      </c>
      <c r="F2708" s="28" t="s">
        <v>5270</v>
      </c>
      <c r="G2708" s="28" t="s">
        <v>20</v>
      </c>
      <c r="H2708" s="28" t="s">
        <v>21</v>
      </c>
      <c r="I2708" s="28" t="s">
        <v>21</v>
      </c>
      <c r="J2708" s="28" t="s">
        <v>8754</v>
      </c>
      <c r="K2708" s="28" t="s">
        <v>8755</v>
      </c>
      <c r="L2708" s="28" t="s">
        <v>66</v>
      </c>
      <c r="M2708" s="28" t="s">
        <v>21</v>
      </c>
      <c r="N2708" s="29">
        <v>37908</v>
      </c>
      <c r="O2708" s="92">
        <v>37908</v>
      </c>
      <c r="P2708" s="28" t="s">
        <v>31</v>
      </c>
      <c r="Q2708" s="26" t="b">
        <v>0</v>
      </c>
      <c r="R2708" s="22">
        <f t="shared" si="44"/>
        <v>91</v>
      </c>
    </row>
    <row r="2709" spans="1:18">
      <c r="A2709" s="26">
        <v>7136</v>
      </c>
      <c r="B2709" s="27">
        <v>37817</v>
      </c>
      <c r="C2709" s="28" t="s">
        <v>8746</v>
      </c>
      <c r="D2709" s="27">
        <v>37817</v>
      </c>
      <c r="E2709" s="28" t="s">
        <v>3268</v>
      </c>
      <c r="F2709" s="28" t="s">
        <v>56</v>
      </c>
      <c r="G2709" s="28" t="s">
        <v>20</v>
      </c>
      <c r="H2709" s="28" t="s">
        <v>21</v>
      </c>
      <c r="I2709" s="28" t="s">
        <v>21</v>
      </c>
      <c r="J2709" s="28" t="s">
        <v>5668</v>
      </c>
      <c r="K2709" s="28" t="s">
        <v>8747</v>
      </c>
      <c r="L2709" s="28" t="s">
        <v>66</v>
      </c>
      <c r="M2709" s="28" t="s">
        <v>21</v>
      </c>
      <c r="N2709" s="18"/>
      <c r="O2709" s="92">
        <v>37831</v>
      </c>
      <c r="P2709" s="28" t="s">
        <v>21</v>
      </c>
      <c r="Q2709" s="26" t="b">
        <v>0</v>
      </c>
      <c r="R2709" s="22">
        <f t="shared" si="44"/>
        <v>14</v>
      </c>
    </row>
    <row r="2710" spans="1:18">
      <c r="A2710" s="26">
        <v>7151</v>
      </c>
      <c r="B2710" s="27">
        <v>37817</v>
      </c>
      <c r="C2710" s="28" t="s">
        <v>8756</v>
      </c>
      <c r="D2710" s="27">
        <v>37817</v>
      </c>
      <c r="E2710" s="28" t="s">
        <v>8757</v>
      </c>
      <c r="F2710" s="28" t="s">
        <v>371</v>
      </c>
      <c r="G2710" s="28" t="s">
        <v>20</v>
      </c>
      <c r="H2710" s="28" t="s">
        <v>21</v>
      </c>
      <c r="I2710" s="28" t="s">
        <v>21</v>
      </c>
      <c r="J2710" s="28" t="s">
        <v>8758</v>
      </c>
      <c r="K2710" s="28" t="s">
        <v>21</v>
      </c>
      <c r="L2710" s="28" t="s">
        <v>66</v>
      </c>
      <c r="M2710" s="28" t="s">
        <v>21</v>
      </c>
      <c r="N2710" s="27">
        <v>37909</v>
      </c>
      <c r="O2710" s="92">
        <v>37851</v>
      </c>
      <c r="P2710" s="28" t="s">
        <v>31</v>
      </c>
      <c r="Q2710" s="26" t="b">
        <v>0</v>
      </c>
      <c r="R2710" s="22">
        <f t="shared" si="44"/>
        <v>33</v>
      </c>
    </row>
    <row r="2711" spans="1:18">
      <c r="A2711" s="26">
        <v>7153</v>
      </c>
      <c r="B2711" s="27">
        <v>37817</v>
      </c>
      <c r="C2711" s="28" t="s">
        <v>8759</v>
      </c>
      <c r="D2711" s="27">
        <v>37813</v>
      </c>
      <c r="E2711" s="28" t="s">
        <v>38</v>
      </c>
      <c r="F2711" s="28" t="s">
        <v>1830</v>
      </c>
      <c r="G2711" s="28" t="s">
        <v>20</v>
      </c>
      <c r="H2711" s="28" t="s">
        <v>21</v>
      </c>
      <c r="I2711" s="28" t="s">
        <v>21</v>
      </c>
      <c r="J2711" s="28" t="s">
        <v>8760</v>
      </c>
      <c r="K2711" s="28" t="s">
        <v>6025</v>
      </c>
      <c r="L2711" s="28" t="s">
        <v>8318</v>
      </c>
      <c r="M2711" s="28" t="s">
        <v>21</v>
      </c>
      <c r="N2711" s="27">
        <v>37823</v>
      </c>
      <c r="O2711" s="92">
        <v>37819</v>
      </c>
      <c r="P2711" s="28" t="s">
        <v>31</v>
      </c>
      <c r="Q2711" s="26" t="b">
        <v>0</v>
      </c>
      <c r="R2711" s="22">
        <f t="shared" si="44"/>
        <v>2</v>
      </c>
    </row>
    <row r="2712" spans="1:18">
      <c r="A2712" s="26">
        <v>7155</v>
      </c>
      <c r="B2712" s="27">
        <v>37819</v>
      </c>
      <c r="C2712" s="28" t="s">
        <v>8761</v>
      </c>
      <c r="D2712" s="27">
        <v>37816</v>
      </c>
      <c r="E2712" s="28" t="s">
        <v>8762</v>
      </c>
      <c r="F2712" s="28" t="s">
        <v>124</v>
      </c>
      <c r="G2712" s="28" t="s">
        <v>20</v>
      </c>
      <c r="H2712" s="28" t="s">
        <v>21</v>
      </c>
      <c r="I2712" s="28" t="s">
        <v>21</v>
      </c>
      <c r="J2712" s="28" t="s">
        <v>8763</v>
      </c>
      <c r="K2712" s="28" t="s">
        <v>8764</v>
      </c>
      <c r="L2712" s="28" t="s">
        <v>314</v>
      </c>
      <c r="M2712" s="28" t="s">
        <v>21</v>
      </c>
      <c r="N2712" s="27">
        <v>37911</v>
      </c>
      <c r="O2712" s="92">
        <v>37853</v>
      </c>
      <c r="P2712" s="28" t="s">
        <v>31</v>
      </c>
      <c r="Q2712" s="26" t="b">
        <v>0</v>
      </c>
      <c r="R2712" s="22">
        <f t="shared" si="44"/>
        <v>33</v>
      </c>
    </row>
    <row r="2713" spans="1:18">
      <c r="A2713" s="26">
        <v>7157</v>
      </c>
      <c r="B2713" s="27">
        <v>37823</v>
      </c>
      <c r="C2713" s="28" t="s">
        <v>8765</v>
      </c>
      <c r="D2713" s="27">
        <v>37821</v>
      </c>
      <c r="E2713" s="28" t="s">
        <v>38</v>
      </c>
      <c r="F2713" s="28" t="s">
        <v>145</v>
      </c>
      <c r="G2713" s="28" t="s">
        <v>20</v>
      </c>
      <c r="H2713" s="28" t="s">
        <v>21</v>
      </c>
      <c r="I2713" s="28" t="s">
        <v>21</v>
      </c>
      <c r="J2713" s="28" t="s">
        <v>8766</v>
      </c>
      <c r="K2713" s="28" t="s">
        <v>8767</v>
      </c>
      <c r="L2713" s="28" t="s">
        <v>8318</v>
      </c>
      <c r="M2713" s="28" t="s">
        <v>21</v>
      </c>
      <c r="N2713" s="18"/>
      <c r="O2713" s="92">
        <v>37823</v>
      </c>
      <c r="P2713" s="28" t="s">
        <v>31</v>
      </c>
      <c r="Q2713" s="26" t="b">
        <v>0</v>
      </c>
      <c r="R2713" s="22">
        <f t="shared" ref="R2713:R2776" si="45">IF(O2713=" ", " ", INT(YEARFRAC(O2713, B2713)*365))</f>
        <v>0</v>
      </c>
    </row>
    <row r="2714" spans="1:18">
      <c r="A2714" s="26">
        <v>7162</v>
      </c>
      <c r="B2714" s="27">
        <v>37823</v>
      </c>
      <c r="C2714" s="28" t="s">
        <v>8768</v>
      </c>
      <c r="D2714" s="27">
        <v>37822</v>
      </c>
      <c r="E2714" s="28" t="s">
        <v>4172</v>
      </c>
      <c r="F2714" s="28" t="s">
        <v>56</v>
      </c>
      <c r="G2714" s="28" t="s">
        <v>20</v>
      </c>
      <c r="H2714" s="28" t="s">
        <v>21</v>
      </c>
      <c r="I2714" s="28" t="s">
        <v>21</v>
      </c>
      <c r="J2714" s="28" t="s">
        <v>8769</v>
      </c>
      <c r="K2714" s="28" t="s">
        <v>8770</v>
      </c>
      <c r="L2714" s="28" t="s">
        <v>8318</v>
      </c>
      <c r="M2714" s="28" t="s">
        <v>21</v>
      </c>
      <c r="N2714" s="18"/>
      <c r="O2714" s="92">
        <v>37910</v>
      </c>
      <c r="P2714" s="28" t="s">
        <v>31</v>
      </c>
      <c r="Q2714" s="26" t="b">
        <v>0</v>
      </c>
      <c r="R2714" s="22">
        <f t="shared" si="45"/>
        <v>86</v>
      </c>
    </row>
    <row r="2715" spans="1:18">
      <c r="A2715" s="26">
        <v>7169</v>
      </c>
      <c r="B2715" s="27">
        <v>37823</v>
      </c>
      <c r="C2715" s="28" t="s">
        <v>8775</v>
      </c>
      <c r="D2715" s="27">
        <v>37818</v>
      </c>
      <c r="E2715" s="28" t="s">
        <v>38</v>
      </c>
      <c r="F2715" s="28" t="s">
        <v>124</v>
      </c>
      <c r="G2715" s="28" t="s">
        <v>20</v>
      </c>
      <c r="H2715" s="28" t="s">
        <v>21</v>
      </c>
      <c r="I2715" s="28" t="s">
        <v>21</v>
      </c>
      <c r="J2715" s="28" t="s">
        <v>8776</v>
      </c>
      <c r="K2715" s="28" t="s">
        <v>21</v>
      </c>
      <c r="L2715" s="28" t="s">
        <v>8724</v>
      </c>
      <c r="M2715" s="28" t="s">
        <v>21</v>
      </c>
      <c r="N2715" s="27">
        <v>37830</v>
      </c>
      <c r="O2715" s="92">
        <v>37830</v>
      </c>
      <c r="P2715" s="28" t="s">
        <v>31</v>
      </c>
      <c r="Q2715" s="26" t="b">
        <v>0</v>
      </c>
      <c r="R2715" s="22">
        <f t="shared" si="45"/>
        <v>7</v>
      </c>
    </row>
    <row r="2716" spans="1:18" ht="24">
      <c r="A2716" s="26">
        <v>7168</v>
      </c>
      <c r="B2716" s="27">
        <v>37826</v>
      </c>
      <c r="C2716" s="28" t="s">
        <v>8771</v>
      </c>
      <c r="D2716" s="27">
        <v>37826</v>
      </c>
      <c r="E2716" s="28" t="s">
        <v>1432</v>
      </c>
      <c r="F2716" s="28" t="s">
        <v>350</v>
      </c>
      <c r="G2716" s="28" t="s">
        <v>20</v>
      </c>
      <c r="H2716" s="28" t="s">
        <v>21</v>
      </c>
      <c r="I2716" s="28" t="s">
        <v>21</v>
      </c>
      <c r="J2716" s="28" t="s">
        <v>8772</v>
      </c>
      <c r="K2716" s="28" t="s">
        <v>8773</v>
      </c>
      <c r="L2716" s="28" t="s">
        <v>4579</v>
      </c>
      <c r="M2716" s="28" t="s">
        <v>8774</v>
      </c>
      <c r="N2716" s="18"/>
      <c r="O2716" s="92">
        <v>38916</v>
      </c>
      <c r="P2716" s="28" t="s">
        <v>31</v>
      </c>
      <c r="Q2716" s="26" t="b">
        <v>0</v>
      </c>
      <c r="R2716" s="22">
        <f t="shared" si="45"/>
        <v>1088</v>
      </c>
    </row>
    <row r="2717" spans="1:18">
      <c r="A2717" s="26">
        <v>7170</v>
      </c>
      <c r="B2717" s="27">
        <v>37827</v>
      </c>
      <c r="C2717" s="28" t="s">
        <v>8777</v>
      </c>
      <c r="D2717" s="27">
        <v>37824</v>
      </c>
      <c r="E2717" s="28" t="s">
        <v>38</v>
      </c>
      <c r="F2717" s="28" t="s">
        <v>371</v>
      </c>
      <c r="G2717" s="28" t="s">
        <v>20</v>
      </c>
      <c r="H2717" s="28" t="s">
        <v>21</v>
      </c>
      <c r="I2717" s="28" t="s">
        <v>21</v>
      </c>
      <c r="J2717" s="28" t="s">
        <v>8778</v>
      </c>
      <c r="K2717" s="28" t="s">
        <v>21</v>
      </c>
      <c r="L2717" s="28" t="s">
        <v>8318</v>
      </c>
      <c r="M2717" s="28" t="s">
        <v>21</v>
      </c>
      <c r="N2717" s="27">
        <v>37834</v>
      </c>
      <c r="O2717" s="92">
        <v>37830</v>
      </c>
      <c r="P2717" s="28" t="s">
        <v>31</v>
      </c>
      <c r="Q2717" s="26" t="b">
        <v>0</v>
      </c>
      <c r="R2717" s="22">
        <f t="shared" si="45"/>
        <v>3</v>
      </c>
    </row>
    <row r="2718" spans="1:18">
      <c r="A2718" s="26">
        <v>7185</v>
      </c>
      <c r="B2718" s="27">
        <v>37838</v>
      </c>
      <c r="C2718" s="28" t="s">
        <v>8779</v>
      </c>
      <c r="D2718" s="27">
        <v>37838</v>
      </c>
      <c r="E2718" s="28" t="s">
        <v>8780</v>
      </c>
      <c r="F2718" s="28" t="s">
        <v>8395</v>
      </c>
      <c r="G2718" s="28" t="s">
        <v>20</v>
      </c>
      <c r="H2718" s="28" t="s">
        <v>566</v>
      </c>
      <c r="I2718" s="28" t="s">
        <v>566</v>
      </c>
      <c r="J2718" s="28" t="s">
        <v>8781</v>
      </c>
      <c r="K2718" s="28" t="s">
        <v>5248</v>
      </c>
      <c r="L2718" s="28" t="s">
        <v>314</v>
      </c>
      <c r="M2718" s="28" t="s">
        <v>21</v>
      </c>
      <c r="N2718" s="27">
        <v>37930</v>
      </c>
      <c r="O2718" s="92">
        <v>37861</v>
      </c>
      <c r="P2718" s="28" t="s">
        <v>31</v>
      </c>
      <c r="Q2718" s="26" t="b">
        <v>0</v>
      </c>
      <c r="R2718" s="22">
        <f t="shared" si="45"/>
        <v>23</v>
      </c>
    </row>
    <row r="2719" spans="1:18" ht="24">
      <c r="A2719" s="26">
        <v>7197</v>
      </c>
      <c r="B2719" s="27">
        <v>37841</v>
      </c>
      <c r="C2719" s="28" t="s">
        <v>8782</v>
      </c>
      <c r="D2719" s="27">
        <v>37841</v>
      </c>
      <c r="E2719" s="28" t="s">
        <v>8783</v>
      </c>
      <c r="F2719" s="28" t="s">
        <v>2727</v>
      </c>
      <c r="G2719" s="28" t="s">
        <v>20</v>
      </c>
      <c r="H2719" s="28" t="s">
        <v>21</v>
      </c>
      <c r="I2719" s="28" t="s">
        <v>1061</v>
      </c>
      <c r="J2719" s="28" t="s">
        <v>8784</v>
      </c>
      <c r="K2719" s="28" t="s">
        <v>8785</v>
      </c>
      <c r="L2719" s="28" t="s">
        <v>314</v>
      </c>
      <c r="M2719" s="28" t="s">
        <v>21</v>
      </c>
      <c r="N2719" s="29">
        <v>37933</v>
      </c>
      <c r="O2719" s="92">
        <v>37866</v>
      </c>
      <c r="P2719" s="28" t="s">
        <v>31</v>
      </c>
      <c r="Q2719" s="26" t="b">
        <v>0</v>
      </c>
      <c r="R2719" s="22">
        <f t="shared" si="45"/>
        <v>24</v>
      </c>
    </row>
    <row r="2720" spans="1:18">
      <c r="A2720" s="26">
        <v>7199</v>
      </c>
      <c r="B2720" s="27">
        <v>37851</v>
      </c>
      <c r="C2720" s="28" t="s">
        <v>8786</v>
      </c>
      <c r="D2720" s="27">
        <v>37851</v>
      </c>
      <c r="E2720" s="28" t="s">
        <v>8787</v>
      </c>
      <c r="F2720" s="28" t="s">
        <v>70</v>
      </c>
      <c r="G2720" s="28" t="s">
        <v>20</v>
      </c>
      <c r="H2720" s="28" t="s">
        <v>71</v>
      </c>
      <c r="I2720" s="28" t="s">
        <v>72</v>
      </c>
      <c r="J2720" s="28" t="s">
        <v>8788</v>
      </c>
      <c r="K2720" s="28" t="s">
        <v>8789</v>
      </c>
      <c r="L2720" s="28" t="s">
        <v>314</v>
      </c>
      <c r="M2720" s="28" t="s">
        <v>21</v>
      </c>
      <c r="N2720" s="27">
        <v>37943</v>
      </c>
      <c r="O2720" s="92">
        <v>37862</v>
      </c>
      <c r="P2720" s="28" t="s">
        <v>31</v>
      </c>
      <c r="Q2720" s="26" t="b">
        <v>0</v>
      </c>
      <c r="R2720" s="22">
        <f t="shared" si="45"/>
        <v>11</v>
      </c>
    </row>
    <row r="2721" spans="1:18">
      <c r="A2721" s="26">
        <v>7205</v>
      </c>
      <c r="B2721" s="27">
        <v>37853</v>
      </c>
      <c r="C2721" s="28" t="s">
        <v>8790</v>
      </c>
      <c r="D2721" s="27">
        <v>37846</v>
      </c>
      <c r="E2721" s="28" t="s">
        <v>4172</v>
      </c>
      <c r="F2721" s="28" t="s">
        <v>2521</v>
      </c>
      <c r="G2721" s="28" t="s">
        <v>20</v>
      </c>
      <c r="H2721" s="28" t="s">
        <v>21</v>
      </c>
      <c r="I2721" s="28" t="s">
        <v>21</v>
      </c>
      <c r="J2721" s="28" t="s">
        <v>7085</v>
      </c>
      <c r="K2721" s="28" t="s">
        <v>8791</v>
      </c>
      <c r="L2721" s="28" t="s">
        <v>66</v>
      </c>
      <c r="M2721" s="28" t="s">
        <v>21</v>
      </c>
      <c r="N2721" s="27">
        <v>37945</v>
      </c>
      <c r="O2721" s="92">
        <v>37859</v>
      </c>
      <c r="P2721" s="28" t="s">
        <v>21</v>
      </c>
      <c r="Q2721" s="26" t="b">
        <v>0</v>
      </c>
      <c r="R2721" s="22">
        <f t="shared" si="45"/>
        <v>6</v>
      </c>
    </row>
    <row r="2722" spans="1:18">
      <c r="A2722" s="26">
        <v>7217</v>
      </c>
      <c r="B2722" s="27">
        <v>37853</v>
      </c>
      <c r="C2722" s="28" t="s">
        <v>8802</v>
      </c>
      <c r="D2722" s="27">
        <v>37851</v>
      </c>
      <c r="E2722" s="28" t="s">
        <v>8803</v>
      </c>
      <c r="F2722" s="28" t="s">
        <v>3430</v>
      </c>
      <c r="G2722" s="28" t="s">
        <v>20</v>
      </c>
      <c r="H2722" s="28" t="s">
        <v>71</v>
      </c>
      <c r="I2722" s="28" t="s">
        <v>72</v>
      </c>
      <c r="J2722" s="28" t="s">
        <v>8804</v>
      </c>
      <c r="K2722" s="28" t="s">
        <v>5668</v>
      </c>
      <c r="L2722" s="28" t="s">
        <v>8318</v>
      </c>
      <c r="M2722" s="28" t="s">
        <v>21</v>
      </c>
      <c r="N2722" s="27">
        <v>37874</v>
      </c>
      <c r="O2722" s="92">
        <v>37866</v>
      </c>
      <c r="P2722" s="28" t="s">
        <v>21</v>
      </c>
      <c r="Q2722" s="26" t="b">
        <v>0</v>
      </c>
      <c r="R2722" s="22">
        <f t="shared" si="45"/>
        <v>12</v>
      </c>
    </row>
    <row r="2723" spans="1:18">
      <c r="A2723" s="26">
        <v>7208</v>
      </c>
      <c r="B2723" s="27">
        <v>37858</v>
      </c>
      <c r="C2723" s="28" t="s">
        <v>8792</v>
      </c>
      <c r="D2723" s="27">
        <v>37855</v>
      </c>
      <c r="E2723" s="28" t="s">
        <v>8793</v>
      </c>
      <c r="F2723" s="28" t="s">
        <v>228</v>
      </c>
      <c r="G2723" s="28" t="s">
        <v>20</v>
      </c>
      <c r="H2723" s="28" t="s">
        <v>21</v>
      </c>
      <c r="I2723" s="28" t="s">
        <v>21</v>
      </c>
      <c r="J2723" s="28" t="s">
        <v>8794</v>
      </c>
      <c r="K2723" s="28" t="s">
        <v>6081</v>
      </c>
      <c r="L2723" s="28" t="s">
        <v>4282</v>
      </c>
      <c r="M2723" s="28" t="s">
        <v>21</v>
      </c>
      <c r="N2723" s="27">
        <v>37950</v>
      </c>
      <c r="O2723" s="92">
        <v>37930</v>
      </c>
      <c r="P2723" s="28" t="s">
        <v>31</v>
      </c>
      <c r="Q2723" s="26" t="b">
        <v>0</v>
      </c>
      <c r="R2723" s="22">
        <f t="shared" si="45"/>
        <v>70</v>
      </c>
    </row>
    <row r="2724" spans="1:18">
      <c r="A2724" s="26">
        <v>7209</v>
      </c>
      <c r="B2724" s="27">
        <v>37858</v>
      </c>
      <c r="C2724" s="28" t="s">
        <v>8795</v>
      </c>
      <c r="D2724" s="27">
        <v>37855</v>
      </c>
      <c r="E2724" s="28" t="s">
        <v>8796</v>
      </c>
      <c r="F2724" s="28" t="s">
        <v>974</v>
      </c>
      <c r="G2724" s="28" t="s">
        <v>20</v>
      </c>
      <c r="H2724" s="28" t="s">
        <v>212</v>
      </c>
      <c r="I2724" s="28" t="s">
        <v>212</v>
      </c>
      <c r="J2724" s="28" t="s">
        <v>8797</v>
      </c>
      <c r="K2724" s="28" t="s">
        <v>7034</v>
      </c>
      <c r="L2724" s="28" t="s">
        <v>66</v>
      </c>
      <c r="M2724" s="28" t="s">
        <v>21</v>
      </c>
      <c r="N2724" s="27">
        <v>38224</v>
      </c>
      <c r="O2724" s="92">
        <v>37923</v>
      </c>
      <c r="P2724" s="28" t="s">
        <v>31</v>
      </c>
      <c r="Q2724" s="26" t="b">
        <v>0</v>
      </c>
      <c r="R2724" s="22">
        <f t="shared" si="45"/>
        <v>64</v>
      </c>
    </row>
    <row r="2725" spans="1:18" ht="24">
      <c r="A2725" s="26">
        <v>7216</v>
      </c>
      <c r="B2725" s="27">
        <v>37860</v>
      </c>
      <c r="C2725" s="28" t="s">
        <v>8798</v>
      </c>
      <c r="D2725" s="27">
        <v>37853</v>
      </c>
      <c r="E2725" s="28" t="s">
        <v>8799</v>
      </c>
      <c r="F2725" s="28" t="s">
        <v>242</v>
      </c>
      <c r="G2725" s="28" t="s">
        <v>20</v>
      </c>
      <c r="H2725" s="28" t="s">
        <v>21</v>
      </c>
      <c r="I2725" s="28" t="s">
        <v>21</v>
      </c>
      <c r="J2725" s="28" t="s">
        <v>8800</v>
      </c>
      <c r="K2725" s="28" t="s">
        <v>8801</v>
      </c>
      <c r="L2725" s="28" t="s">
        <v>4282</v>
      </c>
      <c r="M2725" s="28" t="s">
        <v>21</v>
      </c>
      <c r="N2725" s="27">
        <v>38226</v>
      </c>
      <c r="O2725" s="92">
        <v>38226</v>
      </c>
      <c r="P2725" s="28" t="s">
        <v>31</v>
      </c>
      <c r="Q2725" s="26" t="b">
        <v>0</v>
      </c>
      <c r="R2725" s="22">
        <f t="shared" si="45"/>
        <v>365</v>
      </c>
    </row>
    <row r="2726" spans="1:18">
      <c r="A2726" s="26">
        <v>7223</v>
      </c>
      <c r="B2726" s="27">
        <v>37868</v>
      </c>
      <c r="C2726" s="28" t="s">
        <v>8808</v>
      </c>
      <c r="D2726" s="27">
        <v>37868</v>
      </c>
      <c r="E2726" s="28" t="s">
        <v>8809</v>
      </c>
      <c r="F2726" s="28" t="s">
        <v>3236</v>
      </c>
      <c r="G2726" s="28" t="s">
        <v>20</v>
      </c>
      <c r="H2726" s="28" t="s">
        <v>212</v>
      </c>
      <c r="I2726" s="28" t="s">
        <v>212</v>
      </c>
      <c r="J2726" s="28" t="s">
        <v>8810</v>
      </c>
      <c r="K2726" s="28" t="s">
        <v>6081</v>
      </c>
      <c r="L2726" s="28" t="s">
        <v>314</v>
      </c>
      <c r="M2726" s="28" t="s">
        <v>21</v>
      </c>
      <c r="N2726" s="27">
        <v>37959</v>
      </c>
      <c r="O2726" s="92">
        <v>37907</v>
      </c>
      <c r="P2726" s="28" t="s">
        <v>31</v>
      </c>
      <c r="Q2726" s="26" t="b">
        <v>0</v>
      </c>
      <c r="R2726" s="22">
        <f t="shared" si="45"/>
        <v>39</v>
      </c>
    </row>
    <row r="2727" spans="1:18" ht="24">
      <c r="A2727" s="26">
        <v>7224</v>
      </c>
      <c r="B2727" s="27">
        <v>37868</v>
      </c>
      <c r="C2727" s="28" t="s">
        <v>8811</v>
      </c>
      <c r="D2727" s="27">
        <v>37868</v>
      </c>
      <c r="E2727" s="28" t="s">
        <v>8812</v>
      </c>
      <c r="F2727" s="28" t="s">
        <v>3236</v>
      </c>
      <c r="G2727" s="28" t="s">
        <v>20</v>
      </c>
      <c r="H2727" s="28" t="s">
        <v>212</v>
      </c>
      <c r="I2727" s="28" t="s">
        <v>212</v>
      </c>
      <c r="J2727" s="28" t="s">
        <v>8813</v>
      </c>
      <c r="K2727" s="28" t="s">
        <v>6081</v>
      </c>
      <c r="L2727" s="28" t="s">
        <v>314</v>
      </c>
      <c r="M2727" s="28" t="s">
        <v>21</v>
      </c>
      <c r="N2727" s="27">
        <v>37959</v>
      </c>
      <c r="O2727" s="92">
        <v>37904</v>
      </c>
      <c r="P2727" s="28" t="s">
        <v>31</v>
      </c>
      <c r="Q2727" s="26" t="b">
        <v>0</v>
      </c>
      <c r="R2727" s="22">
        <f t="shared" si="45"/>
        <v>36</v>
      </c>
    </row>
    <row r="2728" spans="1:18">
      <c r="A2728" s="26">
        <v>7225</v>
      </c>
      <c r="B2728" s="27">
        <v>37872</v>
      </c>
      <c r="C2728" s="28" t="s">
        <v>8814</v>
      </c>
      <c r="D2728" s="27">
        <v>37867</v>
      </c>
      <c r="E2728" s="28" t="s">
        <v>38</v>
      </c>
      <c r="F2728" s="28" t="s">
        <v>124</v>
      </c>
      <c r="G2728" s="28" t="s">
        <v>20</v>
      </c>
      <c r="H2728" s="28" t="s">
        <v>21</v>
      </c>
      <c r="I2728" s="28" t="s">
        <v>21</v>
      </c>
      <c r="J2728" s="28" t="s">
        <v>8815</v>
      </c>
      <c r="K2728" s="28" t="s">
        <v>21</v>
      </c>
      <c r="L2728" s="28" t="s">
        <v>7577</v>
      </c>
      <c r="M2728" s="28" t="s">
        <v>21</v>
      </c>
      <c r="N2728" s="29">
        <v>37879</v>
      </c>
      <c r="O2728" s="92">
        <v>37873</v>
      </c>
      <c r="P2728" s="28" t="s">
        <v>31</v>
      </c>
      <c r="Q2728" s="26" t="b">
        <v>0</v>
      </c>
      <c r="R2728" s="22">
        <f t="shared" si="45"/>
        <v>1</v>
      </c>
    </row>
    <row r="2729" spans="1:18">
      <c r="A2729" s="26">
        <v>7226</v>
      </c>
      <c r="B2729" s="27">
        <v>37872</v>
      </c>
      <c r="C2729" s="28" t="s">
        <v>8816</v>
      </c>
      <c r="D2729" s="27">
        <v>37867</v>
      </c>
      <c r="E2729" s="28" t="s">
        <v>38</v>
      </c>
      <c r="F2729" s="28" t="s">
        <v>124</v>
      </c>
      <c r="G2729" s="28" t="s">
        <v>20</v>
      </c>
      <c r="H2729" s="28" t="s">
        <v>21</v>
      </c>
      <c r="I2729" s="28" t="s">
        <v>21</v>
      </c>
      <c r="J2729" s="28" t="s">
        <v>5182</v>
      </c>
      <c r="K2729" s="28" t="s">
        <v>8817</v>
      </c>
      <c r="L2729" s="28" t="s">
        <v>7577</v>
      </c>
      <c r="M2729" s="28" t="s">
        <v>21</v>
      </c>
      <c r="N2729" s="27">
        <v>37879</v>
      </c>
      <c r="O2729" s="92">
        <v>37873</v>
      </c>
      <c r="P2729" s="28" t="s">
        <v>31</v>
      </c>
      <c r="Q2729" s="26" t="b">
        <v>0</v>
      </c>
      <c r="R2729" s="22">
        <f t="shared" si="45"/>
        <v>1</v>
      </c>
    </row>
    <row r="2730" spans="1:18" ht="24">
      <c r="A2730" s="26">
        <v>7227</v>
      </c>
      <c r="B2730" s="27">
        <v>37875</v>
      </c>
      <c r="C2730" s="28" t="s">
        <v>8818</v>
      </c>
      <c r="D2730" s="27">
        <v>37875</v>
      </c>
      <c r="E2730" s="28" t="s">
        <v>8819</v>
      </c>
      <c r="F2730" s="28" t="s">
        <v>5704</v>
      </c>
      <c r="G2730" s="28" t="s">
        <v>20</v>
      </c>
      <c r="H2730" s="28" t="s">
        <v>21</v>
      </c>
      <c r="I2730" s="28" t="s">
        <v>21</v>
      </c>
      <c r="J2730" s="28" t="s">
        <v>8820</v>
      </c>
      <c r="K2730" s="28" t="s">
        <v>5162</v>
      </c>
      <c r="L2730" s="28" t="s">
        <v>4282</v>
      </c>
      <c r="M2730" s="28" t="s">
        <v>21</v>
      </c>
      <c r="N2730" s="27">
        <v>37966</v>
      </c>
      <c r="O2730" s="92">
        <v>38427</v>
      </c>
      <c r="P2730" s="28" t="s">
        <v>31</v>
      </c>
      <c r="Q2730" s="26" t="b">
        <v>0</v>
      </c>
      <c r="R2730" s="22">
        <f t="shared" si="45"/>
        <v>552</v>
      </c>
    </row>
    <row r="2731" spans="1:18" ht="24">
      <c r="A2731" s="26">
        <v>7228</v>
      </c>
      <c r="B2731" s="27">
        <v>37876</v>
      </c>
      <c r="C2731" s="28" t="s">
        <v>8821</v>
      </c>
      <c r="D2731" s="27">
        <v>37869</v>
      </c>
      <c r="E2731" s="28" t="s">
        <v>8822</v>
      </c>
      <c r="F2731" s="28" t="s">
        <v>149</v>
      </c>
      <c r="G2731" s="28" t="s">
        <v>20</v>
      </c>
      <c r="H2731" s="28" t="s">
        <v>21</v>
      </c>
      <c r="I2731" s="28" t="s">
        <v>21</v>
      </c>
      <c r="J2731" s="28" t="s">
        <v>8823</v>
      </c>
      <c r="K2731" s="28" t="s">
        <v>8824</v>
      </c>
      <c r="L2731" s="28" t="s">
        <v>4282</v>
      </c>
      <c r="M2731" s="28" t="s">
        <v>21</v>
      </c>
      <c r="N2731" s="27">
        <v>38242</v>
      </c>
      <c r="O2731" s="92">
        <v>37971</v>
      </c>
      <c r="P2731" s="28" t="s">
        <v>21</v>
      </c>
      <c r="Q2731" s="26" t="b">
        <v>0</v>
      </c>
      <c r="R2731" s="22">
        <f t="shared" si="45"/>
        <v>95</v>
      </c>
    </row>
    <row r="2732" spans="1:18">
      <c r="A2732" s="26">
        <v>7229</v>
      </c>
      <c r="B2732" s="27">
        <v>37876</v>
      </c>
      <c r="C2732" s="28" t="s">
        <v>8825</v>
      </c>
      <c r="D2732" s="27">
        <v>37875</v>
      </c>
      <c r="E2732" s="28" t="s">
        <v>8826</v>
      </c>
      <c r="F2732" s="28" t="s">
        <v>3430</v>
      </c>
      <c r="G2732" s="28" t="s">
        <v>20</v>
      </c>
      <c r="H2732" s="28" t="s">
        <v>71</v>
      </c>
      <c r="I2732" s="28" t="s">
        <v>72</v>
      </c>
      <c r="J2732" s="28" t="s">
        <v>8827</v>
      </c>
      <c r="K2732" s="28" t="s">
        <v>8828</v>
      </c>
      <c r="L2732" s="28" t="s">
        <v>8511</v>
      </c>
      <c r="M2732" s="28" t="s">
        <v>21</v>
      </c>
      <c r="N2732" s="27">
        <v>37884</v>
      </c>
      <c r="O2732" s="92">
        <v>37938</v>
      </c>
      <c r="P2732" s="28" t="s">
        <v>21</v>
      </c>
      <c r="Q2732" s="26" t="b">
        <v>0</v>
      </c>
      <c r="R2732" s="22">
        <f t="shared" si="45"/>
        <v>61</v>
      </c>
    </row>
    <row r="2733" spans="1:18">
      <c r="A2733" s="26">
        <v>7231</v>
      </c>
      <c r="B2733" s="27">
        <v>37876</v>
      </c>
      <c r="C2733" s="28" t="s">
        <v>8831</v>
      </c>
      <c r="D2733" s="27">
        <v>37876</v>
      </c>
      <c r="E2733" s="28" t="s">
        <v>1432</v>
      </c>
      <c r="F2733" s="28" t="s">
        <v>124</v>
      </c>
      <c r="G2733" s="28" t="s">
        <v>20</v>
      </c>
      <c r="H2733" s="28" t="s">
        <v>21</v>
      </c>
      <c r="I2733" s="28" t="s">
        <v>21</v>
      </c>
      <c r="J2733" s="28" t="s">
        <v>8832</v>
      </c>
      <c r="K2733" s="28" t="s">
        <v>8833</v>
      </c>
      <c r="L2733" s="28" t="s">
        <v>4579</v>
      </c>
      <c r="M2733" s="28" t="s">
        <v>66</v>
      </c>
      <c r="N2733" s="18"/>
      <c r="O2733" s="92">
        <v>39357</v>
      </c>
      <c r="P2733" s="28" t="s">
        <v>31</v>
      </c>
      <c r="Q2733" s="26" t="b">
        <v>0</v>
      </c>
      <c r="R2733" s="22">
        <f t="shared" si="45"/>
        <v>1480</v>
      </c>
    </row>
    <row r="2734" spans="1:18">
      <c r="A2734" s="26">
        <v>7230</v>
      </c>
      <c r="B2734" s="27">
        <v>37882</v>
      </c>
      <c r="C2734" s="28" t="s">
        <v>8829</v>
      </c>
      <c r="D2734" s="27">
        <v>37881</v>
      </c>
      <c r="E2734" s="28" t="s">
        <v>8830</v>
      </c>
      <c r="F2734" s="28" t="s">
        <v>104</v>
      </c>
      <c r="G2734" s="28" t="s">
        <v>20</v>
      </c>
      <c r="H2734" s="28" t="s">
        <v>21</v>
      </c>
      <c r="I2734" s="28" t="s">
        <v>21</v>
      </c>
      <c r="J2734" s="28" t="s">
        <v>2184</v>
      </c>
      <c r="K2734" s="28" t="s">
        <v>8828</v>
      </c>
      <c r="L2734" s="28" t="s">
        <v>4579</v>
      </c>
      <c r="M2734" s="28" t="s">
        <v>66</v>
      </c>
      <c r="N2734" s="27">
        <v>37911</v>
      </c>
      <c r="O2734" s="92">
        <v>38303</v>
      </c>
      <c r="P2734" s="28" t="s">
        <v>31</v>
      </c>
      <c r="Q2734" s="26" t="b">
        <v>0</v>
      </c>
      <c r="R2734" s="22">
        <f t="shared" si="45"/>
        <v>419</v>
      </c>
    </row>
    <row r="2735" spans="1:18">
      <c r="A2735" s="26">
        <v>7232</v>
      </c>
      <c r="B2735" s="27">
        <v>37883</v>
      </c>
      <c r="C2735" s="28" t="s">
        <v>8834</v>
      </c>
      <c r="D2735" s="27">
        <v>37880</v>
      </c>
      <c r="E2735" s="28" t="s">
        <v>8835</v>
      </c>
      <c r="F2735" s="28" t="s">
        <v>124</v>
      </c>
      <c r="G2735" s="28" t="s">
        <v>20</v>
      </c>
      <c r="H2735" s="28" t="s">
        <v>21</v>
      </c>
      <c r="I2735" s="28" t="s">
        <v>21</v>
      </c>
      <c r="J2735" s="28" t="s">
        <v>8836</v>
      </c>
      <c r="K2735" s="28" t="s">
        <v>8837</v>
      </c>
      <c r="L2735" s="28" t="s">
        <v>314</v>
      </c>
      <c r="M2735" s="28" t="s">
        <v>21</v>
      </c>
      <c r="N2735" s="29">
        <v>37974</v>
      </c>
      <c r="O2735" s="92">
        <v>37922</v>
      </c>
      <c r="P2735" s="28" t="s">
        <v>31</v>
      </c>
      <c r="Q2735" s="26" t="b">
        <v>0</v>
      </c>
      <c r="R2735" s="22">
        <f t="shared" si="45"/>
        <v>39</v>
      </c>
    </row>
    <row r="2736" spans="1:18">
      <c r="A2736" s="26">
        <v>7233</v>
      </c>
      <c r="B2736" s="27">
        <v>37888</v>
      </c>
      <c r="C2736" s="28" t="s">
        <v>8838</v>
      </c>
      <c r="D2736" s="27">
        <v>37885</v>
      </c>
      <c r="E2736" s="28" t="s">
        <v>8839</v>
      </c>
      <c r="F2736" s="28" t="s">
        <v>8615</v>
      </c>
      <c r="G2736" s="28" t="s">
        <v>20</v>
      </c>
      <c r="H2736" s="28" t="s">
        <v>21</v>
      </c>
      <c r="I2736" s="28" t="s">
        <v>21</v>
      </c>
      <c r="J2736" s="28" t="s">
        <v>8840</v>
      </c>
      <c r="K2736" s="28" t="s">
        <v>8841</v>
      </c>
      <c r="L2736" s="28" t="s">
        <v>314</v>
      </c>
      <c r="M2736" s="28" t="s">
        <v>21</v>
      </c>
      <c r="N2736" s="27">
        <v>37976</v>
      </c>
      <c r="O2736" s="92">
        <v>37995</v>
      </c>
      <c r="P2736" s="28" t="s">
        <v>31</v>
      </c>
      <c r="Q2736" s="26" t="b">
        <v>0</v>
      </c>
      <c r="R2736" s="22">
        <f t="shared" si="45"/>
        <v>106</v>
      </c>
    </row>
    <row r="2737" spans="1:18">
      <c r="A2737" s="26">
        <v>7234</v>
      </c>
      <c r="B2737" s="27">
        <v>37889</v>
      </c>
      <c r="C2737" s="28" t="s">
        <v>8842</v>
      </c>
      <c r="D2737" s="27">
        <v>37889</v>
      </c>
      <c r="E2737" s="28" t="s">
        <v>8843</v>
      </c>
      <c r="F2737" s="28" t="s">
        <v>56</v>
      </c>
      <c r="G2737" s="28" t="s">
        <v>20</v>
      </c>
      <c r="H2737" s="28" t="s">
        <v>21</v>
      </c>
      <c r="I2737" s="28" t="s">
        <v>21</v>
      </c>
      <c r="J2737" s="28" t="s">
        <v>8844</v>
      </c>
      <c r="K2737" s="28" t="s">
        <v>8836</v>
      </c>
      <c r="L2737" s="28" t="s">
        <v>66</v>
      </c>
      <c r="M2737" s="28" t="s">
        <v>21</v>
      </c>
      <c r="N2737" s="29">
        <v>37980</v>
      </c>
      <c r="O2737" s="92">
        <v>37951</v>
      </c>
      <c r="P2737" s="28" t="s">
        <v>31</v>
      </c>
      <c r="Q2737" s="26" t="b">
        <v>0</v>
      </c>
      <c r="R2737" s="22">
        <f t="shared" si="45"/>
        <v>61</v>
      </c>
    </row>
    <row r="2738" spans="1:18">
      <c r="A2738" s="26">
        <v>7262</v>
      </c>
      <c r="B2738" s="27">
        <v>37893</v>
      </c>
      <c r="C2738" s="28" t="s">
        <v>8908</v>
      </c>
      <c r="D2738" s="27">
        <v>37893</v>
      </c>
      <c r="E2738" s="28" t="s">
        <v>283</v>
      </c>
      <c r="F2738" s="28" t="s">
        <v>56</v>
      </c>
      <c r="G2738" s="28" t="s">
        <v>20</v>
      </c>
      <c r="H2738" s="28" t="s">
        <v>21</v>
      </c>
      <c r="I2738" s="28" t="s">
        <v>21</v>
      </c>
      <c r="J2738" s="28" t="s">
        <v>8909</v>
      </c>
      <c r="K2738" s="28" t="s">
        <v>8910</v>
      </c>
      <c r="L2738" s="28" t="s">
        <v>66</v>
      </c>
      <c r="M2738" s="28" t="s">
        <v>21</v>
      </c>
      <c r="N2738" s="18"/>
      <c r="O2738" s="92">
        <v>38069</v>
      </c>
      <c r="P2738" s="28" t="s">
        <v>21</v>
      </c>
      <c r="Q2738" s="26" t="b">
        <v>0</v>
      </c>
      <c r="R2738" s="22">
        <f t="shared" si="45"/>
        <v>176</v>
      </c>
    </row>
    <row r="2739" spans="1:18">
      <c r="A2739" s="26">
        <v>7236</v>
      </c>
      <c r="B2739" s="27">
        <v>37896</v>
      </c>
      <c r="C2739" s="28" t="s">
        <v>8845</v>
      </c>
      <c r="D2739" s="27">
        <v>37896</v>
      </c>
      <c r="E2739" s="28" t="s">
        <v>38</v>
      </c>
      <c r="F2739" s="28" t="s">
        <v>5704</v>
      </c>
      <c r="G2739" s="28" t="s">
        <v>20</v>
      </c>
      <c r="H2739" s="28" t="s">
        <v>21</v>
      </c>
      <c r="I2739" s="28" t="s">
        <v>21</v>
      </c>
      <c r="J2739" s="28" t="s">
        <v>8846</v>
      </c>
      <c r="K2739" s="28" t="s">
        <v>1629</v>
      </c>
      <c r="L2739" s="28" t="s">
        <v>8318</v>
      </c>
      <c r="M2739" s="28" t="s">
        <v>21</v>
      </c>
      <c r="N2739" s="27">
        <v>37903</v>
      </c>
      <c r="O2739" s="92">
        <v>37897</v>
      </c>
      <c r="P2739" s="28" t="s">
        <v>31</v>
      </c>
      <c r="Q2739" s="26" t="b">
        <v>0</v>
      </c>
      <c r="R2739" s="22">
        <f t="shared" si="45"/>
        <v>1</v>
      </c>
    </row>
    <row r="2740" spans="1:18">
      <c r="A2740" s="26">
        <v>7237</v>
      </c>
      <c r="B2740" s="27">
        <v>37896</v>
      </c>
      <c r="C2740" s="28" t="s">
        <v>8847</v>
      </c>
      <c r="D2740" s="27">
        <v>37895</v>
      </c>
      <c r="E2740" s="28" t="s">
        <v>8848</v>
      </c>
      <c r="F2740" s="28" t="s">
        <v>3430</v>
      </c>
      <c r="G2740" s="28" t="s">
        <v>20</v>
      </c>
      <c r="H2740" s="28" t="s">
        <v>71</v>
      </c>
      <c r="I2740" s="28" t="s">
        <v>72</v>
      </c>
      <c r="J2740" s="28" t="s">
        <v>8849</v>
      </c>
      <c r="K2740" s="28" t="s">
        <v>5668</v>
      </c>
      <c r="L2740" s="28" t="s">
        <v>8318</v>
      </c>
      <c r="M2740" s="28" t="s">
        <v>21</v>
      </c>
      <c r="N2740" s="27">
        <v>38262</v>
      </c>
      <c r="O2740" s="92">
        <v>37902</v>
      </c>
      <c r="P2740" s="28" t="s">
        <v>21</v>
      </c>
      <c r="Q2740" s="26" t="b">
        <v>0</v>
      </c>
      <c r="R2740" s="22">
        <f t="shared" si="45"/>
        <v>6</v>
      </c>
    </row>
    <row r="2741" spans="1:18">
      <c r="A2741" s="26">
        <v>7238</v>
      </c>
      <c r="B2741" s="27">
        <v>37897</v>
      </c>
      <c r="C2741" s="28" t="s">
        <v>8850</v>
      </c>
      <c r="D2741" s="27">
        <v>37897</v>
      </c>
      <c r="E2741" s="28" t="s">
        <v>8851</v>
      </c>
      <c r="F2741" s="28" t="s">
        <v>70</v>
      </c>
      <c r="G2741" s="28" t="s">
        <v>20</v>
      </c>
      <c r="H2741" s="28" t="s">
        <v>71</v>
      </c>
      <c r="I2741" s="28" t="s">
        <v>72</v>
      </c>
      <c r="J2741" s="28" t="s">
        <v>8852</v>
      </c>
      <c r="K2741" s="28" t="s">
        <v>8836</v>
      </c>
      <c r="L2741" s="28" t="s">
        <v>4282</v>
      </c>
      <c r="M2741" s="28" t="s">
        <v>21</v>
      </c>
      <c r="N2741" s="27">
        <v>37989</v>
      </c>
      <c r="O2741" s="92">
        <v>37971</v>
      </c>
      <c r="P2741" s="28" t="s">
        <v>31</v>
      </c>
      <c r="Q2741" s="26" t="b">
        <v>0</v>
      </c>
      <c r="R2741" s="22">
        <f t="shared" si="45"/>
        <v>74</v>
      </c>
    </row>
    <row r="2742" spans="1:18">
      <c r="A2742" s="26">
        <v>7241</v>
      </c>
      <c r="B2742" s="27">
        <v>37897</v>
      </c>
      <c r="C2742" s="28" t="s">
        <v>8856</v>
      </c>
      <c r="D2742" s="27">
        <v>37897</v>
      </c>
      <c r="E2742" s="28" t="s">
        <v>8857</v>
      </c>
      <c r="F2742" s="28" t="s">
        <v>70</v>
      </c>
      <c r="G2742" s="28" t="s">
        <v>20</v>
      </c>
      <c r="H2742" s="28" t="s">
        <v>71</v>
      </c>
      <c r="I2742" s="28" t="s">
        <v>72</v>
      </c>
      <c r="J2742" s="28" t="s">
        <v>8858</v>
      </c>
      <c r="K2742" s="28" t="s">
        <v>8836</v>
      </c>
      <c r="L2742" s="28" t="s">
        <v>66</v>
      </c>
      <c r="M2742" s="28" t="s">
        <v>21</v>
      </c>
      <c r="N2742" s="27">
        <v>37989</v>
      </c>
      <c r="O2742" s="92">
        <v>37923</v>
      </c>
      <c r="P2742" s="28" t="s">
        <v>31</v>
      </c>
      <c r="Q2742" s="26" t="b">
        <v>0</v>
      </c>
      <c r="R2742" s="22">
        <f t="shared" si="45"/>
        <v>26</v>
      </c>
    </row>
    <row r="2743" spans="1:18">
      <c r="A2743" s="26">
        <v>7240</v>
      </c>
      <c r="B2743" s="27">
        <v>37900</v>
      </c>
      <c r="C2743" s="28" t="s">
        <v>8853</v>
      </c>
      <c r="D2743" s="27">
        <v>37900</v>
      </c>
      <c r="E2743" s="28" t="s">
        <v>283</v>
      </c>
      <c r="F2743" s="28" t="s">
        <v>3430</v>
      </c>
      <c r="G2743" s="28" t="s">
        <v>20</v>
      </c>
      <c r="H2743" s="28" t="s">
        <v>71</v>
      </c>
      <c r="I2743" s="28" t="s">
        <v>72</v>
      </c>
      <c r="J2743" s="28" t="s">
        <v>8854</v>
      </c>
      <c r="K2743" s="28" t="s">
        <v>8855</v>
      </c>
      <c r="L2743" s="28" t="s">
        <v>8675</v>
      </c>
      <c r="M2743" s="28" t="s">
        <v>21</v>
      </c>
      <c r="N2743" s="18"/>
      <c r="O2743" s="92">
        <v>37914</v>
      </c>
      <c r="P2743" s="28" t="s">
        <v>21</v>
      </c>
      <c r="Q2743" s="26" t="b">
        <v>0</v>
      </c>
      <c r="R2743" s="22">
        <f t="shared" si="45"/>
        <v>14</v>
      </c>
    </row>
    <row r="2744" spans="1:18">
      <c r="A2744" s="26">
        <v>7242</v>
      </c>
      <c r="B2744" s="27">
        <v>37900</v>
      </c>
      <c r="C2744" s="28" t="s">
        <v>8859</v>
      </c>
      <c r="D2744" s="27">
        <v>37900</v>
      </c>
      <c r="E2744" s="28" t="s">
        <v>8860</v>
      </c>
      <c r="F2744" s="28" t="s">
        <v>8395</v>
      </c>
      <c r="G2744" s="28" t="s">
        <v>20</v>
      </c>
      <c r="H2744" s="28" t="s">
        <v>566</v>
      </c>
      <c r="I2744" s="28" t="s">
        <v>566</v>
      </c>
      <c r="J2744" s="28" t="s">
        <v>8861</v>
      </c>
      <c r="K2744" s="28" t="s">
        <v>6081</v>
      </c>
      <c r="L2744" s="28" t="s">
        <v>314</v>
      </c>
      <c r="M2744" s="28" t="s">
        <v>21</v>
      </c>
      <c r="N2744" s="18"/>
      <c r="O2744" s="92">
        <v>37965</v>
      </c>
      <c r="P2744" s="28" t="s">
        <v>31</v>
      </c>
      <c r="Q2744" s="26" t="b">
        <v>0</v>
      </c>
      <c r="R2744" s="22">
        <f t="shared" si="45"/>
        <v>64</v>
      </c>
    </row>
    <row r="2745" spans="1:18">
      <c r="A2745" s="26">
        <v>7243</v>
      </c>
      <c r="B2745" s="27">
        <v>37902</v>
      </c>
      <c r="C2745" s="28" t="s">
        <v>8862</v>
      </c>
      <c r="D2745" s="27">
        <v>37902</v>
      </c>
      <c r="E2745" s="28" t="s">
        <v>8863</v>
      </c>
      <c r="F2745" s="28" t="s">
        <v>4596</v>
      </c>
      <c r="G2745" s="28" t="s">
        <v>20</v>
      </c>
      <c r="H2745" s="28" t="s">
        <v>189</v>
      </c>
      <c r="I2745" s="28" t="s">
        <v>189</v>
      </c>
      <c r="J2745" s="28" t="s">
        <v>8864</v>
      </c>
      <c r="K2745" s="28" t="s">
        <v>7019</v>
      </c>
      <c r="L2745" s="28" t="s">
        <v>314</v>
      </c>
      <c r="M2745" s="28" t="s">
        <v>21</v>
      </c>
      <c r="N2745" s="27">
        <v>37994</v>
      </c>
      <c r="O2745" s="92">
        <v>37972</v>
      </c>
      <c r="P2745" s="28" t="s">
        <v>31</v>
      </c>
      <c r="Q2745" s="26" t="b">
        <v>0</v>
      </c>
      <c r="R2745" s="22">
        <f t="shared" si="45"/>
        <v>69</v>
      </c>
    </row>
    <row r="2746" spans="1:18">
      <c r="A2746" s="26">
        <v>7245</v>
      </c>
      <c r="B2746" s="27">
        <v>37902</v>
      </c>
      <c r="C2746" s="28" t="s">
        <v>8865</v>
      </c>
      <c r="D2746" s="27">
        <v>37901</v>
      </c>
      <c r="E2746" s="28" t="s">
        <v>8866</v>
      </c>
      <c r="F2746" s="28" t="s">
        <v>3503</v>
      </c>
      <c r="G2746" s="28" t="s">
        <v>20</v>
      </c>
      <c r="H2746" s="28" t="s">
        <v>21</v>
      </c>
      <c r="I2746" s="28" t="s">
        <v>21</v>
      </c>
      <c r="J2746" s="28" t="s">
        <v>8867</v>
      </c>
      <c r="K2746" s="28" t="s">
        <v>7321</v>
      </c>
      <c r="L2746" s="28" t="s">
        <v>66</v>
      </c>
      <c r="M2746" s="28" t="s">
        <v>21</v>
      </c>
      <c r="N2746" s="27">
        <v>38268</v>
      </c>
      <c r="O2746" s="92">
        <v>37916</v>
      </c>
      <c r="P2746" s="28" t="s">
        <v>21</v>
      </c>
      <c r="Q2746" s="26" t="b">
        <v>0</v>
      </c>
      <c r="R2746" s="22">
        <f t="shared" si="45"/>
        <v>14</v>
      </c>
    </row>
    <row r="2747" spans="1:18">
      <c r="A2747" s="26">
        <v>7246</v>
      </c>
      <c r="B2747" s="27">
        <v>37902</v>
      </c>
      <c r="C2747" s="28" t="s">
        <v>8868</v>
      </c>
      <c r="D2747" s="27">
        <v>37900</v>
      </c>
      <c r="E2747" s="28" t="s">
        <v>8869</v>
      </c>
      <c r="F2747" s="28" t="s">
        <v>70</v>
      </c>
      <c r="G2747" s="28" t="s">
        <v>20</v>
      </c>
      <c r="H2747" s="28" t="s">
        <v>71</v>
      </c>
      <c r="I2747" s="28" t="s">
        <v>72</v>
      </c>
      <c r="J2747" s="28" t="s">
        <v>8870</v>
      </c>
      <c r="K2747" s="28" t="s">
        <v>21</v>
      </c>
      <c r="L2747" s="28" t="s">
        <v>4282</v>
      </c>
      <c r="M2747" s="28" t="s">
        <v>21</v>
      </c>
      <c r="N2747" s="27">
        <v>38268</v>
      </c>
      <c r="O2747" s="92">
        <v>37971</v>
      </c>
      <c r="P2747" s="28" t="s">
        <v>21</v>
      </c>
      <c r="Q2747" s="26" t="b">
        <v>0</v>
      </c>
      <c r="R2747" s="22">
        <f t="shared" si="45"/>
        <v>68</v>
      </c>
    </row>
    <row r="2748" spans="1:18">
      <c r="A2748" s="26">
        <v>7261</v>
      </c>
      <c r="B2748" s="27">
        <v>37902</v>
      </c>
      <c r="C2748" s="28" t="s">
        <v>8905</v>
      </c>
      <c r="D2748" s="27">
        <v>37902</v>
      </c>
      <c r="E2748" s="28" t="s">
        <v>283</v>
      </c>
      <c r="F2748" s="28" t="s">
        <v>8522</v>
      </c>
      <c r="G2748" s="28" t="s">
        <v>20</v>
      </c>
      <c r="H2748" s="28" t="s">
        <v>21</v>
      </c>
      <c r="I2748" s="28" t="s">
        <v>21</v>
      </c>
      <c r="J2748" s="28" t="s">
        <v>8906</v>
      </c>
      <c r="K2748" s="28" t="s">
        <v>8907</v>
      </c>
      <c r="L2748" s="28" t="s">
        <v>66</v>
      </c>
      <c r="M2748" s="28" t="s">
        <v>21</v>
      </c>
      <c r="N2748" s="18"/>
      <c r="O2748" s="92">
        <v>38019</v>
      </c>
      <c r="P2748" s="28" t="s">
        <v>21</v>
      </c>
      <c r="Q2748" s="26" t="b">
        <v>0</v>
      </c>
      <c r="R2748" s="22">
        <f t="shared" si="45"/>
        <v>115</v>
      </c>
    </row>
    <row r="2749" spans="1:18">
      <c r="A2749" s="26">
        <v>7347</v>
      </c>
      <c r="B2749" s="27">
        <v>37902</v>
      </c>
      <c r="C2749" s="28" t="s">
        <v>9068</v>
      </c>
      <c r="D2749" s="27">
        <v>37902</v>
      </c>
      <c r="E2749" s="28" t="s">
        <v>9069</v>
      </c>
      <c r="F2749" s="28" t="s">
        <v>129</v>
      </c>
      <c r="G2749" s="28" t="s">
        <v>20</v>
      </c>
      <c r="H2749" s="28" t="s">
        <v>21</v>
      </c>
      <c r="I2749" s="28" t="s">
        <v>21</v>
      </c>
      <c r="J2749" s="28" t="s">
        <v>9070</v>
      </c>
      <c r="K2749" s="28" t="s">
        <v>21</v>
      </c>
      <c r="L2749" s="28" t="s">
        <v>66</v>
      </c>
      <c r="M2749" s="28" t="s">
        <v>21</v>
      </c>
      <c r="N2749" s="18"/>
      <c r="O2749" s="92">
        <v>37958</v>
      </c>
      <c r="P2749" s="28" t="s">
        <v>21</v>
      </c>
      <c r="Q2749" s="26" t="b">
        <v>0</v>
      </c>
      <c r="R2749" s="22">
        <f t="shared" si="45"/>
        <v>55</v>
      </c>
    </row>
    <row r="2750" spans="1:18">
      <c r="A2750" s="26">
        <v>7248</v>
      </c>
      <c r="B2750" s="27">
        <v>37904</v>
      </c>
      <c r="C2750" s="28" t="s">
        <v>8871</v>
      </c>
      <c r="D2750" s="27">
        <v>37904</v>
      </c>
      <c r="E2750" s="28" t="s">
        <v>8872</v>
      </c>
      <c r="F2750" s="28" t="s">
        <v>145</v>
      </c>
      <c r="G2750" s="28" t="s">
        <v>20</v>
      </c>
      <c r="H2750" s="28" t="s">
        <v>21</v>
      </c>
      <c r="I2750" s="28" t="s">
        <v>21</v>
      </c>
      <c r="J2750" s="28" t="s">
        <v>28</v>
      </c>
      <c r="K2750" s="28" t="s">
        <v>8873</v>
      </c>
      <c r="L2750" s="28" t="s">
        <v>4282</v>
      </c>
      <c r="M2750" s="28" t="s">
        <v>21</v>
      </c>
      <c r="N2750" s="27">
        <v>37996</v>
      </c>
      <c r="O2750" s="92">
        <v>37931</v>
      </c>
      <c r="P2750" s="28" t="s">
        <v>31</v>
      </c>
      <c r="Q2750" s="26" t="b">
        <v>0</v>
      </c>
      <c r="R2750" s="22">
        <f t="shared" si="45"/>
        <v>26</v>
      </c>
    </row>
    <row r="2751" spans="1:18" ht="24">
      <c r="A2751" s="26">
        <v>7251</v>
      </c>
      <c r="B2751" s="27">
        <v>37904</v>
      </c>
      <c r="C2751" s="28" t="s">
        <v>8877</v>
      </c>
      <c r="D2751" s="27">
        <v>37904</v>
      </c>
      <c r="E2751" s="28" t="s">
        <v>8878</v>
      </c>
      <c r="F2751" s="28" t="s">
        <v>5620</v>
      </c>
      <c r="G2751" s="28" t="s">
        <v>20</v>
      </c>
      <c r="H2751" s="28" t="s">
        <v>71</v>
      </c>
      <c r="I2751" s="28" t="s">
        <v>72</v>
      </c>
      <c r="J2751" s="28" t="s">
        <v>8879</v>
      </c>
      <c r="K2751" s="28" t="s">
        <v>6081</v>
      </c>
      <c r="L2751" s="28" t="s">
        <v>8318</v>
      </c>
      <c r="M2751" s="28" t="s">
        <v>21</v>
      </c>
      <c r="N2751" s="27">
        <v>37996</v>
      </c>
      <c r="O2751" s="92">
        <v>37918</v>
      </c>
      <c r="P2751" s="28" t="s">
        <v>31</v>
      </c>
      <c r="Q2751" s="26" t="b">
        <v>0</v>
      </c>
      <c r="R2751" s="22">
        <f t="shared" si="45"/>
        <v>14</v>
      </c>
    </row>
    <row r="2752" spans="1:18">
      <c r="A2752" s="26">
        <v>7258</v>
      </c>
      <c r="B2752" s="27">
        <v>37904</v>
      </c>
      <c r="C2752" s="28" t="s">
        <v>8898</v>
      </c>
      <c r="D2752" s="27">
        <v>37904</v>
      </c>
      <c r="E2752" s="28" t="s">
        <v>3268</v>
      </c>
      <c r="F2752" s="28" t="s">
        <v>1686</v>
      </c>
      <c r="G2752" s="28" t="s">
        <v>20</v>
      </c>
      <c r="H2752" s="28" t="s">
        <v>21</v>
      </c>
      <c r="I2752" s="28" t="s">
        <v>21</v>
      </c>
      <c r="J2752" s="28" t="s">
        <v>1928</v>
      </c>
      <c r="K2752" s="28" t="s">
        <v>8899</v>
      </c>
      <c r="L2752" s="28" t="s">
        <v>66</v>
      </c>
      <c r="M2752" s="28" t="s">
        <v>21</v>
      </c>
      <c r="N2752" s="29">
        <v>37938</v>
      </c>
      <c r="O2752" s="92">
        <v>37938</v>
      </c>
      <c r="P2752" s="28" t="s">
        <v>21</v>
      </c>
      <c r="Q2752" s="26" t="b">
        <v>0</v>
      </c>
      <c r="R2752" s="22">
        <f t="shared" si="45"/>
        <v>33</v>
      </c>
    </row>
    <row r="2753" spans="1:18">
      <c r="A2753" s="26">
        <v>7346</v>
      </c>
      <c r="B2753" s="27">
        <v>37904</v>
      </c>
      <c r="C2753" s="28" t="s">
        <v>9067</v>
      </c>
      <c r="D2753" s="27">
        <v>37904</v>
      </c>
      <c r="E2753" s="28" t="s">
        <v>3268</v>
      </c>
      <c r="F2753" s="28" t="s">
        <v>1686</v>
      </c>
      <c r="G2753" s="28" t="s">
        <v>20</v>
      </c>
      <c r="H2753" s="28" t="s">
        <v>21</v>
      </c>
      <c r="I2753" s="28" t="s">
        <v>21</v>
      </c>
      <c r="J2753" s="28" t="s">
        <v>5668</v>
      </c>
      <c r="K2753" s="28" t="s">
        <v>8899</v>
      </c>
      <c r="L2753" s="28" t="s">
        <v>66</v>
      </c>
      <c r="M2753" s="28" t="s">
        <v>21</v>
      </c>
      <c r="N2753" s="29">
        <v>37938</v>
      </c>
      <c r="O2753" s="92">
        <v>37938</v>
      </c>
      <c r="P2753" s="28" t="s">
        <v>21</v>
      </c>
      <c r="Q2753" s="26" t="b">
        <v>0</v>
      </c>
      <c r="R2753" s="22">
        <f t="shared" si="45"/>
        <v>33</v>
      </c>
    </row>
    <row r="2754" spans="1:18">
      <c r="A2754" s="26">
        <v>7249</v>
      </c>
      <c r="B2754" s="27">
        <v>37907</v>
      </c>
      <c r="C2754" s="28" t="s">
        <v>8874</v>
      </c>
      <c r="D2754" s="27">
        <v>37907</v>
      </c>
      <c r="E2754" s="28" t="s">
        <v>8875</v>
      </c>
      <c r="F2754" s="28" t="s">
        <v>8615</v>
      </c>
      <c r="G2754" s="28" t="s">
        <v>20</v>
      </c>
      <c r="H2754" s="28" t="s">
        <v>21</v>
      </c>
      <c r="I2754" s="28" t="s">
        <v>21</v>
      </c>
      <c r="J2754" s="28" t="s">
        <v>6316</v>
      </c>
      <c r="K2754" s="28" t="s">
        <v>8876</v>
      </c>
      <c r="L2754" s="28" t="s">
        <v>8318</v>
      </c>
      <c r="M2754" s="28" t="s">
        <v>21</v>
      </c>
      <c r="N2754" s="29">
        <v>38273</v>
      </c>
      <c r="O2754" s="92">
        <v>37921</v>
      </c>
      <c r="P2754" s="28" t="s">
        <v>21</v>
      </c>
      <c r="Q2754" s="26" t="b">
        <v>0</v>
      </c>
      <c r="R2754" s="22">
        <f t="shared" si="45"/>
        <v>14</v>
      </c>
    </row>
    <row r="2755" spans="1:18" ht="24">
      <c r="A2755" s="26">
        <v>7252</v>
      </c>
      <c r="B2755" s="27">
        <v>37909</v>
      </c>
      <c r="C2755" s="28" t="s">
        <v>8880</v>
      </c>
      <c r="D2755" s="27">
        <v>37908</v>
      </c>
      <c r="E2755" s="28" t="s">
        <v>8881</v>
      </c>
      <c r="F2755" s="28" t="s">
        <v>2296</v>
      </c>
      <c r="G2755" s="28" t="s">
        <v>20</v>
      </c>
      <c r="H2755" s="28" t="s">
        <v>566</v>
      </c>
      <c r="I2755" s="28" t="s">
        <v>566</v>
      </c>
      <c r="J2755" s="28" t="s">
        <v>8882</v>
      </c>
      <c r="K2755" s="28" t="s">
        <v>8883</v>
      </c>
      <c r="L2755" s="28" t="s">
        <v>66</v>
      </c>
      <c r="M2755" s="28" t="s">
        <v>21</v>
      </c>
      <c r="N2755" s="29">
        <v>38001</v>
      </c>
      <c r="O2755" s="92">
        <v>38100</v>
      </c>
      <c r="P2755" s="28" t="s">
        <v>31</v>
      </c>
      <c r="Q2755" s="26" t="b">
        <v>0</v>
      </c>
      <c r="R2755" s="22">
        <f t="shared" si="45"/>
        <v>190</v>
      </c>
    </row>
    <row r="2756" spans="1:18" ht="24">
      <c r="A2756" s="26">
        <v>7253</v>
      </c>
      <c r="B2756" s="27">
        <v>37909</v>
      </c>
      <c r="C2756" s="28" t="s">
        <v>8884</v>
      </c>
      <c r="D2756" s="27">
        <v>37903</v>
      </c>
      <c r="E2756" s="28" t="s">
        <v>8885</v>
      </c>
      <c r="F2756" s="28" t="s">
        <v>455</v>
      </c>
      <c r="G2756" s="28" t="s">
        <v>20</v>
      </c>
      <c r="H2756" s="28" t="s">
        <v>71</v>
      </c>
      <c r="I2756" s="28" t="s">
        <v>72</v>
      </c>
      <c r="J2756" s="28" t="s">
        <v>8886</v>
      </c>
      <c r="K2756" s="28" t="s">
        <v>6081</v>
      </c>
      <c r="L2756" s="28" t="s">
        <v>4282</v>
      </c>
      <c r="M2756" s="28" t="s">
        <v>21</v>
      </c>
      <c r="N2756" s="29">
        <v>38001</v>
      </c>
      <c r="O2756" s="92">
        <v>37925</v>
      </c>
      <c r="P2756" s="28" t="s">
        <v>31</v>
      </c>
      <c r="Q2756" s="26" t="b">
        <v>0</v>
      </c>
      <c r="R2756" s="22">
        <f t="shared" si="45"/>
        <v>16</v>
      </c>
    </row>
    <row r="2757" spans="1:18">
      <c r="A2757" s="26">
        <v>7254</v>
      </c>
      <c r="B2757" s="27">
        <v>37910</v>
      </c>
      <c r="C2757" s="28" t="s">
        <v>8887</v>
      </c>
      <c r="D2757" s="27">
        <v>37910</v>
      </c>
      <c r="E2757" s="28" t="s">
        <v>8888</v>
      </c>
      <c r="F2757" s="28" t="s">
        <v>56</v>
      </c>
      <c r="G2757" s="28" t="s">
        <v>20</v>
      </c>
      <c r="H2757" s="28" t="s">
        <v>21</v>
      </c>
      <c r="I2757" s="28" t="s">
        <v>21</v>
      </c>
      <c r="J2757" s="28" t="s">
        <v>8889</v>
      </c>
      <c r="K2757" s="28" t="s">
        <v>129</v>
      </c>
      <c r="L2757" s="28" t="s">
        <v>8318</v>
      </c>
      <c r="M2757" s="28" t="s">
        <v>21</v>
      </c>
      <c r="N2757" s="27">
        <v>38002</v>
      </c>
      <c r="O2757" s="92">
        <v>37910</v>
      </c>
      <c r="P2757" s="28" t="s">
        <v>31</v>
      </c>
      <c r="Q2757" s="26" t="b">
        <v>0</v>
      </c>
      <c r="R2757" s="22">
        <f t="shared" si="45"/>
        <v>0</v>
      </c>
    </row>
    <row r="2758" spans="1:18">
      <c r="A2758" s="26">
        <v>7255</v>
      </c>
      <c r="B2758" s="27">
        <v>37910</v>
      </c>
      <c r="C2758" s="28" t="s">
        <v>8890</v>
      </c>
      <c r="D2758" s="27">
        <v>37909</v>
      </c>
      <c r="E2758" s="28" t="s">
        <v>8891</v>
      </c>
      <c r="F2758" s="28" t="s">
        <v>3430</v>
      </c>
      <c r="G2758" s="28" t="s">
        <v>20</v>
      </c>
      <c r="H2758" s="28" t="s">
        <v>71</v>
      </c>
      <c r="I2758" s="28" t="s">
        <v>72</v>
      </c>
      <c r="J2758" s="28" t="s">
        <v>8892</v>
      </c>
      <c r="K2758" s="28" t="s">
        <v>5668</v>
      </c>
      <c r="L2758" s="28" t="s">
        <v>8318</v>
      </c>
      <c r="M2758" s="28" t="s">
        <v>21</v>
      </c>
      <c r="N2758" s="27">
        <v>38002</v>
      </c>
      <c r="O2758" s="92">
        <v>38600</v>
      </c>
      <c r="P2758" s="28" t="s">
        <v>21</v>
      </c>
      <c r="Q2758" s="26" t="b">
        <v>0</v>
      </c>
      <c r="R2758" s="22">
        <f t="shared" si="45"/>
        <v>688</v>
      </c>
    </row>
    <row r="2759" spans="1:18">
      <c r="A2759" s="26">
        <v>7256</v>
      </c>
      <c r="B2759" s="27">
        <v>37910</v>
      </c>
      <c r="C2759" s="28" t="s">
        <v>8893</v>
      </c>
      <c r="D2759" s="27">
        <v>37909</v>
      </c>
      <c r="E2759" s="28" t="s">
        <v>8894</v>
      </c>
      <c r="F2759" s="28" t="s">
        <v>733</v>
      </c>
      <c r="G2759" s="28" t="s">
        <v>20</v>
      </c>
      <c r="H2759" s="28" t="s">
        <v>21</v>
      </c>
      <c r="I2759" s="28" t="s">
        <v>21</v>
      </c>
      <c r="J2759" s="28" t="s">
        <v>8895</v>
      </c>
      <c r="K2759" s="28" t="s">
        <v>5668</v>
      </c>
      <c r="L2759" s="28" t="s">
        <v>8318</v>
      </c>
      <c r="M2759" s="28" t="s">
        <v>21</v>
      </c>
      <c r="N2759" s="27">
        <v>38002</v>
      </c>
      <c r="O2759" s="92">
        <v>37923</v>
      </c>
      <c r="P2759" s="28" t="s">
        <v>21</v>
      </c>
      <c r="Q2759" s="26" t="b">
        <v>0</v>
      </c>
      <c r="R2759" s="22">
        <f t="shared" si="45"/>
        <v>13</v>
      </c>
    </row>
    <row r="2760" spans="1:18">
      <c r="A2760" s="26">
        <v>7257</v>
      </c>
      <c r="B2760" s="27">
        <v>37910</v>
      </c>
      <c r="C2760" s="28" t="s">
        <v>8896</v>
      </c>
      <c r="D2760" s="27">
        <v>37909</v>
      </c>
      <c r="E2760" s="28" t="s">
        <v>8897</v>
      </c>
      <c r="F2760" s="28" t="s">
        <v>3236</v>
      </c>
      <c r="G2760" s="28" t="s">
        <v>20</v>
      </c>
      <c r="H2760" s="28" t="s">
        <v>212</v>
      </c>
      <c r="I2760" s="28" t="s">
        <v>212</v>
      </c>
      <c r="J2760" s="28" t="s">
        <v>3581</v>
      </c>
      <c r="K2760" s="28" t="s">
        <v>5630</v>
      </c>
      <c r="L2760" s="28" t="s">
        <v>314</v>
      </c>
      <c r="M2760" s="28" t="s">
        <v>21</v>
      </c>
      <c r="N2760" s="27">
        <v>38002</v>
      </c>
      <c r="O2760" s="92">
        <v>38044</v>
      </c>
      <c r="P2760" s="28" t="s">
        <v>31</v>
      </c>
      <c r="Q2760" s="26" t="b">
        <v>0</v>
      </c>
      <c r="R2760" s="22">
        <f t="shared" si="45"/>
        <v>132</v>
      </c>
    </row>
    <row r="2761" spans="1:18">
      <c r="A2761" s="26">
        <v>7260</v>
      </c>
      <c r="B2761" s="27">
        <v>37911</v>
      </c>
      <c r="C2761" s="28" t="s">
        <v>8903</v>
      </c>
      <c r="D2761" s="27">
        <v>37911</v>
      </c>
      <c r="E2761" s="28" t="s">
        <v>3268</v>
      </c>
      <c r="F2761" s="28" t="s">
        <v>6049</v>
      </c>
      <c r="G2761" s="28" t="s">
        <v>20</v>
      </c>
      <c r="H2761" s="28" t="s">
        <v>21</v>
      </c>
      <c r="I2761" s="28" t="s">
        <v>21</v>
      </c>
      <c r="J2761" s="28" t="s">
        <v>8904</v>
      </c>
      <c r="K2761" s="28" t="s">
        <v>21</v>
      </c>
      <c r="L2761" s="28" t="s">
        <v>7089</v>
      </c>
      <c r="M2761" s="28" t="s">
        <v>21</v>
      </c>
      <c r="O2761" s="92">
        <v>37929</v>
      </c>
      <c r="P2761" s="28" t="s">
        <v>21</v>
      </c>
      <c r="Q2761" s="26" t="b">
        <v>0</v>
      </c>
      <c r="R2761" s="22">
        <f t="shared" si="45"/>
        <v>17</v>
      </c>
    </row>
    <row r="2762" spans="1:18" ht="24">
      <c r="A2762" s="26">
        <v>7269</v>
      </c>
      <c r="B2762" s="27">
        <v>37911</v>
      </c>
      <c r="C2762" s="28" t="s">
        <v>8929</v>
      </c>
      <c r="D2762" s="27">
        <v>37911</v>
      </c>
      <c r="E2762" s="28" t="s">
        <v>38</v>
      </c>
      <c r="F2762" s="28" t="s">
        <v>56</v>
      </c>
      <c r="G2762" s="28" t="s">
        <v>20</v>
      </c>
      <c r="H2762" s="28" t="s">
        <v>21</v>
      </c>
      <c r="I2762" s="28" t="s">
        <v>21</v>
      </c>
      <c r="J2762" s="28" t="s">
        <v>8930</v>
      </c>
      <c r="K2762" s="28" t="s">
        <v>21</v>
      </c>
      <c r="L2762" s="28" t="s">
        <v>8318</v>
      </c>
      <c r="M2762" s="28" t="s">
        <v>21</v>
      </c>
      <c r="N2762" s="18"/>
      <c r="O2762" s="92">
        <v>37914</v>
      </c>
      <c r="P2762" s="28" t="s">
        <v>31</v>
      </c>
      <c r="Q2762" s="26" t="b">
        <v>0</v>
      </c>
      <c r="R2762" s="22">
        <f t="shared" si="45"/>
        <v>3</v>
      </c>
    </row>
    <row r="2763" spans="1:18">
      <c r="A2763" s="26">
        <v>7263</v>
      </c>
      <c r="B2763" s="27">
        <v>37915</v>
      </c>
      <c r="C2763" s="28" t="s">
        <v>8911</v>
      </c>
      <c r="D2763" s="27">
        <v>37915</v>
      </c>
      <c r="E2763" s="28" t="s">
        <v>283</v>
      </c>
      <c r="F2763" s="28" t="s">
        <v>1338</v>
      </c>
      <c r="G2763" s="28" t="s">
        <v>20</v>
      </c>
      <c r="H2763" s="28" t="s">
        <v>21</v>
      </c>
      <c r="I2763" s="28" t="s">
        <v>21</v>
      </c>
      <c r="J2763" s="28" t="s">
        <v>8912</v>
      </c>
      <c r="K2763" s="28" t="s">
        <v>21</v>
      </c>
      <c r="L2763" s="28" t="s">
        <v>66</v>
      </c>
      <c r="M2763" s="28" t="s">
        <v>21</v>
      </c>
      <c r="O2763" s="92">
        <v>38015</v>
      </c>
      <c r="P2763" s="28" t="s">
        <v>31</v>
      </c>
      <c r="Q2763" s="26" t="b">
        <v>0</v>
      </c>
      <c r="R2763" s="22">
        <f t="shared" si="45"/>
        <v>99</v>
      </c>
    </row>
    <row r="2764" spans="1:18">
      <c r="A2764" s="26">
        <v>7259</v>
      </c>
      <c r="B2764" s="27">
        <v>37916</v>
      </c>
      <c r="C2764" s="28" t="s">
        <v>8900</v>
      </c>
      <c r="D2764" s="27">
        <v>37907</v>
      </c>
      <c r="E2764" s="28" t="s">
        <v>8901</v>
      </c>
      <c r="F2764" s="28" t="s">
        <v>104</v>
      </c>
      <c r="G2764" s="28" t="s">
        <v>20</v>
      </c>
      <c r="H2764" s="28" t="s">
        <v>21</v>
      </c>
      <c r="I2764" s="28" t="s">
        <v>21</v>
      </c>
      <c r="J2764" s="28" t="s">
        <v>8902</v>
      </c>
      <c r="K2764" s="28" t="s">
        <v>8503</v>
      </c>
      <c r="L2764" s="28" t="s">
        <v>66</v>
      </c>
      <c r="M2764" s="28" t="s">
        <v>21</v>
      </c>
      <c r="N2764" s="27">
        <v>38008</v>
      </c>
      <c r="O2764" s="92">
        <v>37942</v>
      </c>
      <c r="P2764" s="28" t="s">
        <v>31</v>
      </c>
      <c r="Q2764" s="26" t="b">
        <v>0</v>
      </c>
      <c r="R2764" s="22">
        <f t="shared" si="45"/>
        <v>25</v>
      </c>
    </row>
    <row r="2765" spans="1:18">
      <c r="A2765" s="26">
        <v>7264</v>
      </c>
      <c r="B2765" s="27">
        <v>37916</v>
      </c>
      <c r="C2765" s="28" t="s">
        <v>8913</v>
      </c>
      <c r="D2765" s="27">
        <v>37916</v>
      </c>
      <c r="E2765" s="28" t="s">
        <v>283</v>
      </c>
      <c r="F2765" s="28" t="s">
        <v>4596</v>
      </c>
      <c r="G2765" s="28" t="s">
        <v>20</v>
      </c>
      <c r="H2765" s="28" t="s">
        <v>21</v>
      </c>
      <c r="I2765" s="28" t="s">
        <v>21</v>
      </c>
      <c r="J2765" s="28" t="s">
        <v>8914</v>
      </c>
      <c r="K2765" s="28" t="s">
        <v>21</v>
      </c>
      <c r="L2765" s="28" t="s">
        <v>66</v>
      </c>
      <c r="M2765" s="28" t="s">
        <v>21</v>
      </c>
      <c r="O2765" s="92">
        <v>38015</v>
      </c>
      <c r="P2765" s="28" t="s">
        <v>21</v>
      </c>
      <c r="Q2765" s="26" t="b">
        <v>0</v>
      </c>
      <c r="R2765" s="22">
        <f t="shared" si="45"/>
        <v>98</v>
      </c>
    </row>
    <row r="2766" spans="1:18" ht="24">
      <c r="A2766" s="26">
        <v>7266</v>
      </c>
      <c r="B2766" s="27">
        <v>37916</v>
      </c>
      <c r="C2766" s="28" t="s">
        <v>8917</v>
      </c>
      <c r="D2766" s="27">
        <v>37915</v>
      </c>
      <c r="E2766" s="28" t="s">
        <v>8918</v>
      </c>
      <c r="F2766" s="28" t="s">
        <v>345</v>
      </c>
      <c r="G2766" s="28" t="s">
        <v>20</v>
      </c>
      <c r="H2766" s="28" t="s">
        <v>71</v>
      </c>
      <c r="I2766" s="28" t="s">
        <v>72</v>
      </c>
      <c r="J2766" s="28" t="s">
        <v>8919</v>
      </c>
      <c r="K2766" s="28" t="s">
        <v>8920</v>
      </c>
      <c r="L2766" s="28" t="s">
        <v>8318</v>
      </c>
      <c r="M2766" s="28" t="s">
        <v>21</v>
      </c>
      <c r="N2766" s="27">
        <v>38008</v>
      </c>
      <c r="O2766" s="92">
        <v>37935</v>
      </c>
      <c r="P2766" s="28" t="s">
        <v>31</v>
      </c>
      <c r="Q2766" s="26" t="b">
        <v>0</v>
      </c>
      <c r="R2766" s="22">
        <f t="shared" si="45"/>
        <v>18</v>
      </c>
    </row>
    <row r="2767" spans="1:18">
      <c r="A2767" s="26">
        <v>7267</v>
      </c>
      <c r="B2767" s="27">
        <v>37916</v>
      </c>
      <c r="C2767" s="28" t="s">
        <v>8921</v>
      </c>
      <c r="D2767" s="27">
        <v>37915</v>
      </c>
      <c r="E2767" s="28" t="s">
        <v>8922</v>
      </c>
      <c r="F2767" s="28" t="s">
        <v>5620</v>
      </c>
      <c r="G2767" s="28" t="s">
        <v>20</v>
      </c>
      <c r="H2767" s="28" t="s">
        <v>71</v>
      </c>
      <c r="I2767" s="28" t="s">
        <v>72</v>
      </c>
      <c r="J2767" s="28" t="s">
        <v>8923</v>
      </c>
      <c r="K2767" s="28" t="s">
        <v>8924</v>
      </c>
      <c r="L2767" s="28" t="s">
        <v>8318</v>
      </c>
      <c r="M2767" s="28" t="s">
        <v>21</v>
      </c>
      <c r="N2767" s="27">
        <v>38008</v>
      </c>
      <c r="O2767" s="92">
        <v>37942</v>
      </c>
      <c r="P2767" s="28" t="s">
        <v>31</v>
      </c>
      <c r="Q2767" s="26" t="b">
        <v>0</v>
      </c>
      <c r="R2767" s="22">
        <f t="shared" si="45"/>
        <v>25</v>
      </c>
    </row>
    <row r="2768" spans="1:18">
      <c r="A2768" s="26">
        <v>7265</v>
      </c>
      <c r="B2768" s="27">
        <v>37917</v>
      </c>
      <c r="C2768" s="28" t="s">
        <v>8915</v>
      </c>
      <c r="D2768" s="27">
        <v>37917</v>
      </c>
      <c r="E2768" s="28" t="s">
        <v>38</v>
      </c>
      <c r="F2768" s="28" t="s">
        <v>2565</v>
      </c>
      <c r="G2768" s="28" t="s">
        <v>20</v>
      </c>
      <c r="H2768" s="28" t="s">
        <v>189</v>
      </c>
      <c r="I2768" s="28" t="s">
        <v>189</v>
      </c>
      <c r="J2768" s="28" t="s">
        <v>8916</v>
      </c>
      <c r="K2768" s="28" t="s">
        <v>21</v>
      </c>
      <c r="L2768" s="28" t="s">
        <v>8318</v>
      </c>
      <c r="M2768" s="28" t="s">
        <v>21</v>
      </c>
      <c r="N2768" s="27">
        <v>37924</v>
      </c>
      <c r="O2768" s="92">
        <v>37917</v>
      </c>
      <c r="P2768" s="28" t="s">
        <v>31</v>
      </c>
      <c r="Q2768" s="26" t="b">
        <v>0</v>
      </c>
      <c r="R2768" s="22">
        <f t="shared" si="45"/>
        <v>0</v>
      </c>
    </row>
    <row r="2769" spans="1:18">
      <c r="A2769" s="26">
        <v>7268</v>
      </c>
      <c r="B2769" s="27">
        <v>37917</v>
      </c>
      <c r="C2769" s="28" t="s">
        <v>8925</v>
      </c>
      <c r="D2769" s="27">
        <v>37916</v>
      </c>
      <c r="E2769" s="28" t="s">
        <v>8926</v>
      </c>
      <c r="F2769" s="28" t="s">
        <v>5704</v>
      </c>
      <c r="G2769" s="28" t="s">
        <v>20</v>
      </c>
      <c r="H2769" s="28" t="s">
        <v>21</v>
      </c>
      <c r="I2769" s="28" t="s">
        <v>21</v>
      </c>
      <c r="J2769" s="28" t="s">
        <v>8927</v>
      </c>
      <c r="K2769" s="28" t="s">
        <v>8928</v>
      </c>
      <c r="L2769" s="28" t="s">
        <v>314</v>
      </c>
      <c r="M2769" s="28" t="s">
        <v>21</v>
      </c>
      <c r="N2769" s="27">
        <v>38009</v>
      </c>
      <c r="O2769" s="92">
        <v>37981</v>
      </c>
      <c r="P2769" s="28" t="s">
        <v>31</v>
      </c>
      <c r="Q2769" s="26" t="b">
        <v>0</v>
      </c>
      <c r="R2769" s="22">
        <f t="shared" si="45"/>
        <v>63</v>
      </c>
    </row>
    <row r="2770" spans="1:18" ht="24">
      <c r="A2770" s="26">
        <v>7272</v>
      </c>
      <c r="B2770" s="27">
        <v>37921</v>
      </c>
      <c r="C2770" s="28" t="s">
        <v>8931</v>
      </c>
      <c r="D2770" s="27">
        <v>37921</v>
      </c>
      <c r="E2770" s="28" t="s">
        <v>3268</v>
      </c>
      <c r="F2770" s="28" t="s">
        <v>56</v>
      </c>
      <c r="G2770" s="28" t="s">
        <v>20</v>
      </c>
      <c r="H2770" s="28" t="s">
        <v>21</v>
      </c>
      <c r="I2770" s="28" t="s">
        <v>21</v>
      </c>
      <c r="J2770" s="28" t="s">
        <v>8904</v>
      </c>
      <c r="K2770" s="28" t="s">
        <v>8932</v>
      </c>
      <c r="L2770" s="28" t="s">
        <v>66</v>
      </c>
      <c r="M2770" s="28" t="s">
        <v>21</v>
      </c>
      <c r="N2770" s="29">
        <v>37942</v>
      </c>
      <c r="O2770" s="92">
        <v>37942</v>
      </c>
      <c r="P2770" s="28" t="s">
        <v>21</v>
      </c>
      <c r="Q2770" s="26" t="b">
        <v>0</v>
      </c>
      <c r="R2770" s="22">
        <f t="shared" si="45"/>
        <v>20</v>
      </c>
    </row>
    <row r="2771" spans="1:18" ht="24">
      <c r="A2771" s="26">
        <v>7345</v>
      </c>
      <c r="B2771" s="27">
        <v>37921</v>
      </c>
      <c r="C2771" s="28" t="s">
        <v>9065</v>
      </c>
      <c r="D2771" s="27">
        <v>37921</v>
      </c>
      <c r="E2771" s="28" t="s">
        <v>3268</v>
      </c>
      <c r="F2771" s="28" t="s">
        <v>56</v>
      </c>
      <c r="G2771" s="28" t="s">
        <v>20</v>
      </c>
      <c r="H2771" s="28" t="s">
        <v>21</v>
      </c>
      <c r="I2771" s="28" t="s">
        <v>21</v>
      </c>
      <c r="J2771" s="28" t="s">
        <v>9066</v>
      </c>
      <c r="K2771" s="28" t="s">
        <v>8932</v>
      </c>
      <c r="L2771" s="28" t="s">
        <v>314</v>
      </c>
      <c r="M2771" s="28" t="s">
        <v>21</v>
      </c>
      <c r="N2771" s="27">
        <v>37942</v>
      </c>
      <c r="O2771" s="92">
        <v>37942</v>
      </c>
      <c r="P2771" s="28" t="s">
        <v>21</v>
      </c>
      <c r="Q2771" s="26" t="b">
        <v>0</v>
      </c>
      <c r="R2771" s="22">
        <f t="shared" si="45"/>
        <v>20</v>
      </c>
    </row>
    <row r="2772" spans="1:18" ht="24">
      <c r="A2772" s="26">
        <v>7275</v>
      </c>
      <c r="B2772" s="27">
        <v>37922</v>
      </c>
      <c r="C2772" s="28" t="s">
        <v>8933</v>
      </c>
      <c r="D2772" s="27">
        <v>37917</v>
      </c>
      <c r="E2772" s="28" t="s">
        <v>38</v>
      </c>
      <c r="F2772" s="28" t="s">
        <v>124</v>
      </c>
      <c r="G2772" s="28" t="s">
        <v>20</v>
      </c>
      <c r="H2772" s="28" t="s">
        <v>21</v>
      </c>
      <c r="I2772" s="28" t="s">
        <v>21</v>
      </c>
      <c r="J2772" s="28" t="s">
        <v>8934</v>
      </c>
      <c r="K2772" s="28" t="s">
        <v>21</v>
      </c>
      <c r="L2772" s="28" t="s">
        <v>8318</v>
      </c>
      <c r="M2772" s="28" t="s">
        <v>21</v>
      </c>
      <c r="N2772" s="18"/>
      <c r="O2772" s="92">
        <v>37923</v>
      </c>
      <c r="P2772" s="28" t="s">
        <v>31</v>
      </c>
      <c r="Q2772" s="26" t="b">
        <v>0</v>
      </c>
      <c r="R2772" s="22">
        <f t="shared" si="45"/>
        <v>1</v>
      </c>
    </row>
    <row r="2773" spans="1:18" ht="24">
      <c r="A2773" s="26">
        <v>7276</v>
      </c>
      <c r="B2773" s="27">
        <v>37923</v>
      </c>
      <c r="C2773" s="28" t="s">
        <v>8935</v>
      </c>
      <c r="D2773" s="27">
        <v>37914</v>
      </c>
      <c r="E2773" s="28" t="s">
        <v>8936</v>
      </c>
      <c r="F2773" s="28" t="s">
        <v>27</v>
      </c>
      <c r="G2773" s="28" t="s">
        <v>20</v>
      </c>
      <c r="H2773" s="28" t="s">
        <v>21</v>
      </c>
      <c r="I2773" s="28" t="s">
        <v>21</v>
      </c>
      <c r="J2773" s="28" t="s">
        <v>8937</v>
      </c>
      <c r="K2773" s="28" t="s">
        <v>7085</v>
      </c>
      <c r="L2773" s="28" t="s">
        <v>66</v>
      </c>
      <c r="M2773" s="28" t="s">
        <v>21</v>
      </c>
      <c r="N2773" s="27">
        <v>38289</v>
      </c>
      <c r="O2773" s="92">
        <v>37986</v>
      </c>
      <c r="P2773" s="28" t="s">
        <v>31</v>
      </c>
      <c r="Q2773" s="26" t="b">
        <v>0</v>
      </c>
      <c r="R2773" s="22">
        <f t="shared" si="45"/>
        <v>62</v>
      </c>
    </row>
    <row r="2774" spans="1:18">
      <c r="A2774" s="26">
        <v>7278</v>
      </c>
      <c r="B2774" s="27">
        <v>37923</v>
      </c>
      <c r="C2774" s="28" t="s">
        <v>8938</v>
      </c>
      <c r="D2774" s="27">
        <v>37923</v>
      </c>
      <c r="E2774" s="28" t="s">
        <v>38</v>
      </c>
      <c r="F2774" s="28" t="s">
        <v>8939</v>
      </c>
      <c r="G2774" s="28" t="s">
        <v>20</v>
      </c>
      <c r="H2774" s="28" t="s">
        <v>566</v>
      </c>
      <c r="I2774" s="28" t="s">
        <v>566</v>
      </c>
      <c r="J2774" s="28" t="s">
        <v>8940</v>
      </c>
      <c r="K2774" s="28" t="s">
        <v>8941</v>
      </c>
      <c r="L2774" s="28" t="s">
        <v>8318</v>
      </c>
      <c r="M2774" s="28" t="s">
        <v>21</v>
      </c>
      <c r="N2774" s="18"/>
      <c r="O2774" s="92">
        <v>37924</v>
      </c>
      <c r="P2774" s="28" t="s">
        <v>31</v>
      </c>
      <c r="Q2774" s="26" t="b">
        <v>0</v>
      </c>
      <c r="R2774" s="22">
        <f t="shared" si="45"/>
        <v>1</v>
      </c>
    </row>
    <row r="2775" spans="1:18">
      <c r="A2775" s="26">
        <v>7279</v>
      </c>
      <c r="B2775" s="27">
        <v>37923</v>
      </c>
      <c r="C2775" s="28" t="s">
        <v>8942</v>
      </c>
      <c r="D2775" s="27">
        <v>37920</v>
      </c>
      <c r="E2775" s="28" t="s">
        <v>8943</v>
      </c>
      <c r="F2775" s="28" t="s">
        <v>124</v>
      </c>
      <c r="G2775" s="28" t="s">
        <v>20</v>
      </c>
      <c r="H2775" s="28" t="s">
        <v>21</v>
      </c>
      <c r="I2775" s="28" t="s">
        <v>21</v>
      </c>
      <c r="J2775" s="28" t="s">
        <v>8944</v>
      </c>
      <c r="K2775" s="28" t="s">
        <v>21</v>
      </c>
      <c r="L2775" s="28" t="s">
        <v>314</v>
      </c>
      <c r="M2775" s="28" t="s">
        <v>21</v>
      </c>
      <c r="N2775" s="27">
        <v>38015</v>
      </c>
      <c r="O2775" s="92">
        <v>37960</v>
      </c>
      <c r="P2775" s="28" t="s">
        <v>31</v>
      </c>
      <c r="Q2775" s="26" t="b">
        <v>0</v>
      </c>
      <c r="R2775" s="22">
        <f t="shared" si="45"/>
        <v>36</v>
      </c>
    </row>
    <row r="2776" spans="1:18" ht="24">
      <c r="A2776" s="26">
        <v>7281</v>
      </c>
      <c r="B2776" s="27">
        <v>37923</v>
      </c>
      <c r="C2776" s="28" t="s">
        <v>8945</v>
      </c>
      <c r="D2776" s="27">
        <v>37921</v>
      </c>
      <c r="E2776" s="28" t="s">
        <v>8946</v>
      </c>
      <c r="F2776" s="28" t="s">
        <v>4242</v>
      </c>
      <c r="G2776" s="28" t="s">
        <v>20</v>
      </c>
      <c r="H2776" s="28" t="s">
        <v>189</v>
      </c>
      <c r="I2776" s="28" t="s">
        <v>189</v>
      </c>
      <c r="J2776" s="28" t="s">
        <v>8947</v>
      </c>
      <c r="K2776" s="28" t="s">
        <v>21</v>
      </c>
      <c r="L2776" s="28" t="s">
        <v>7167</v>
      </c>
      <c r="M2776" s="28" t="s">
        <v>7168</v>
      </c>
      <c r="N2776" s="29">
        <v>38287</v>
      </c>
      <c r="O2776" s="92">
        <v>41089</v>
      </c>
      <c r="P2776" s="28" t="s">
        <v>21</v>
      </c>
      <c r="Q2776" s="26" t="b">
        <v>0</v>
      </c>
      <c r="R2776" s="22">
        <f t="shared" si="45"/>
        <v>3163</v>
      </c>
    </row>
    <row r="2777" spans="1:18">
      <c r="A2777" s="26">
        <v>7282</v>
      </c>
      <c r="B2777" s="27">
        <v>37924</v>
      </c>
      <c r="C2777" s="28" t="s">
        <v>8948</v>
      </c>
      <c r="D2777" s="27">
        <v>37923</v>
      </c>
      <c r="E2777" s="28" t="s">
        <v>8949</v>
      </c>
      <c r="F2777" s="28" t="s">
        <v>27</v>
      </c>
      <c r="G2777" s="28" t="s">
        <v>20</v>
      </c>
      <c r="H2777" s="28" t="s">
        <v>21</v>
      </c>
      <c r="I2777" s="28" t="s">
        <v>21</v>
      </c>
      <c r="J2777" s="28" t="s">
        <v>8950</v>
      </c>
      <c r="K2777" s="28" t="s">
        <v>8951</v>
      </c>
      <c r="L2777" s="28" t="s">
        <v>4282</v>
      </c>
      <c r="M2777" s="28" t="s">
        <v>21</v>
      </c>
      <c r="N2777" s="27">
        <v>38289</v>
      </c>
      <c r="O2777" s="92">
        <v>37925</v>
      </c>
      <c r="P2777" s="28" t="s">
        <v>21</v>
      </c>
      <c r="Q2777" s="26" t="b">
        <v>0</v>
      </c>
      <c r="R2777" s="22">
        <f t="shared" ref="R2777:R2840" si="46">IF(O2777=" ", " ", INT(YEARFRAC(O2777, B2777)*365))</f>
        <v>0</v>
      </c>
    </row>
    <row r="2778" spans="1:18">
      <c r="A2778" s="26">
        <v>7283</v>
      </c>
      <c r="B2778" s="27">
        <v>37924</v>
      </c>
      <c r="C2778" s="28" t="s">
        <v>8952</v>
      </c>
      <c r="D2778" s="27">
        <v>37924</v>
      </c>
      <c r="E2778" s="28" t="s">
        <v>8953</v>
      </c>
      <c r="F2778" s="28" t="s">
        <v>124</v>
      </c>
      <c r="G2778" s="28" t="s">
        <v>20</v>
      </c>
      <c r="H2778" s="28" t="s">
        <v>21</v>
      </c>
      <c r="I2778" s="28" t="s">
        <v>21</v>
      </c>
      <c r="J2778" s="28" t="s">
        <v>8954</v>
      </c>
      <c r="K2778" s="28" t="s">
        <v>8955</v>
      </c>
      <c r="L2778" s="28" t="s">
        <v>4282</v>
      </c>
      <c r="M2778" s="28" t="s">
        <v>21</v>
      </c>
      <c r="N2778" s="29">
        <v>38016</v>
      </c>
      <c r="O2778" s="92">
        <v>37951</v>
      </c>
      <c r="P2778" s="28" t="s">
        <v>31</v>
      </c>
      <c r="Q2778" s="26" t="b">
        <v>0</v>
      </c>
      <c r="R2778" s="22">
        <f t="shared" si="46"/>
        <v>26</v>
      </c>
    </row>
    <row r="2779" spans="1:18">
      <c r="A2779" s="26">
        <v>7298</v>
      </c>
      <c r="B2779" s="27">
        <v>37925</v>
      </c>
      <c r="C2779" s="28" t="s">
        <v>8986</v>
      </c>
      <c r="D2779" s="27">
        <v>37925</v>
      </c>
      <c r="E2779" s="28" t="s">
        <v>38</v>
      </c>
      <c r="F2779" s="28" t="s">
        <v>228</v>
      </c>
      <c r="G2779" s="28" t="s">
        <v>20</v>
      </c>
      <c r="H2779" s="28" t="s">
        <v>21</v>
      </c>
      <c r="I2779" s="28" t="s">
        <v>21</v>
      </c>
      <c r="J2779" s="28" t="s">
        <v>8987</v>
      </c>
      <c r="K2779" s="28" t="s">
        <v>8988</v>
      </c>
      <c r="L2779" s="28" t="s">
        <v>8318</v>
      </c>
      <c r="M2779" s="28" t="s">
        <v>21</v>
      </c>
      <c r="N2779" s="18"/>
      <c r="O2779" s="92">
        <v>37925</v>
      </c>
      <c r="P2779" s="28" t="s">
        <v>21</v>
      </c>
      <c r="Q2779" s="26" t="b">
        <v>0</v>
      </c>
      <c r="R2779" s="22">
        <f t="shared" si="46"/>
        <v>0</v>
      </c>
    </row>
    <row r="2780" spans="1:18">
      <c r="A2780" s="26">
        <v>7285</v>
      </c>
      <c r="B2780" s="27">
        <v>37928</v>
      </c>
      <c r="C2780" s="28" t="s">
        <v>8956</v>
      </c>
      <c r="D2780" s="27">
        <v>37927</v>
      </c>
      <c r="E2780" s="28" t="s">
        <v>8957</v>
      </c>
      <c r="F2780" s="28" t="s">
        <v>3236</v>
      </c>
      <c r="G2780" s="28" t="s">
        <v>20</v>
      </c>
      <c r="H2780" s="28" t="s">
        <v>212</v>
      </c>
      <c r="I2780" s="28" t="s">
        <v>212</v>
      </c>
      <c r="J2780" s="28" t="s">
        <v>8958</v>
      </c>
      <c r="K2780" s="28" t="s">
        <v>8959</v>
      </c>
      <c r="L2780" s="28" t="s">
        <v>8318</v>
      </c>
      <c r="M2780" s="28" t="s">
        <v>21</v>
      </c>
      <c r="O2780" s="92">
        <v>37928</v>
      </c>
      <c r="P2780" s="28" t="s">
        <v>31</v>
      </c>
      <c r="Q2780" s="26" t="b">
        <v>0</v>
      </c>
      <c r="R2780" s="22">
        <f t="shared" si="46"/>
        <v>0</v>
      </c>
    </row>
    <row r="2781" spans="1:18">
      <c r="A2781" s="26">
        <v>7286</v>
      </c>
      <c r="B2781" s="27">
        <v>37928</v>
      </c>
      <c r="C2781" s="28" t="s">
        <v>8960</v>
      </c>
      <c r="D2781" s="27">
        <v>37928</v>
      </c>
      <c r="E2781" s="28" t="s">
        <v>8961</v>
      </c>
      <c r="F2781" s="28" t="s">
        <v>145</v>
      </c>
      <c r="G2781" s="28" t="s">
        <v>20</v>
      </c>
      <c r="H2781" s="28" t="s">
        <v>21</v>
      </c>
      <c r="I2781" s="28" t="s">
        <v>21</v>
      </c>
      <c r="J2781" s="28" t="s">
        <v>8962</v>
      </c>
      <c r="K2781" s="28" t="s">
        <v>7085</v>
      </c>
      <c r="L2781" s="28" t="s">
        <v>66</v>
      </c>
      <c r="M2781" s="28" t="s">
        <v>21</v>
      </c>
      <c r="N2781" s="27">
        <v>38020</v>
      </c>
      <c r="O2781" s="92">
        <v>37956</v>
      </c>
      <c r="P2781" s="28" t="s">
        <v>31</v>
      </c>
      <c r="Q2781" s="26" t="b">
        <v>0</v>
      </c>
      <c r="R2781" s="22">
        <f t="shared" si="46"/>
        <v>28</v>
      </c>
    </row>
    <row r="2782" spans="1:18" ht="24">
      <c r="A2782" s="26">
        <v>7287</v>
      </c>
      <c r="B2782" s="27">
        <v>37928</v>
      </c>
      <c r="C2782" s="28" t="s">
        <v>8963</v>
      </c>
      <c r="D2782" s="27">
        <v>37923</v>
      </c>
      <c r="E2782" s="28" t="s">
        <v>8964</v>
      </c>
      <c r="F2782" s="28" t="s">
        <v>104</v>
      </c>
      <c r="G2782" s="28" t="s">
        <v>20</v>
      </c>
      <c r="H2782" s="28" t="s">
        <v>21</v>
      </c>
      <c r="I2782" s="28" t="s">
        <v>21</v>
      </c>
      <c r="J2782" s="28" t="s">
        <v>8965</v>
      </c>
      <c r="K2782" s="28" t="s">
        <v>8966</v>
      </c>
      <c r="L2782" s="28" t="s">
        <v>2205</v>
      </c>
      <c r="M2782" s="28" t="s">
        <v>314</v>
      </c>
      <c r="N2782" s="27">
        <v>38294</v>
      </c>
      <c r="O2782" s="92">
        <v>38695</v>
      </c>
      <c r="P2782" s="28" t="s">
        <v>21</v>
      </c>
      <c r="Q2782" s="26" t="b">
        <v>0</v>
      </c>
      <c r="R2782" s="22">
        <f t="shared" si="46"/>
        <v>766</v>
      </c>
    </row>
    <row r="2783" spans="1:18">
      <c r="A2783" s="26">
        <v>7289</v>
      </c>
      <c r="B2783" s="27">
        <v>37929</v>
      </c>
      <c r="C2783" s="28" t="s">
        <v>8967</v>
      </c>
      <c r="D2783" s="27">
        <v>37929</v>
      </c>
      <c r="E2783" s="28" t="s">
        <v>8968</v>
      </c>
      <c r="F2783" s="28" t="s">
        <v>98</v>
      </c>
      <c r="G2783" s="28" t="s">
        <v>20</v>
      </c>
      <c r="H2783" s="28" t="s">
        <v>21</v>
      </c>
      <c r="I2783" s="28" t="s">
        <v>21</v>
      </c>
      <c r="J2783" s="28" t="s">
        <v>8969</v>
      </c>
      <c r="K2783" s="28" t="s">
        <v>8970</v>
      </c>
      <c r="L2783" s="28" t="s">
        <v>66</v>
      </c>
      <c r="M2783" s="28" t="s">
        <v>21</v>
      </c>
      <c r="N2783" s="27">
        <v>38021</v>
      </c>
      <c r="O2783" s="92">
        <v>37978</v>
      </c>
      <c r="P2783" s="28" t="s">
        <v>31</v>
      </c>
      <c r="Q2783" s="26" t="b">
        <v>0</v>
      </c>
      <c r="R2783" s="22">
        <f t="shared" si="46"/>
        <v>49</v>
      </c>
    </row>
    <row r="2784" spans="1:18">
      <c r="A2784" s="26">
        <v>7293</v>
      </c>
      <c r="B2784" s="27">
        <v>37929</v>
      </c>
      <c r="C2784" s="28" t="s">
        <v>8975</v>
      </c>
      <c r="D2784" s="27">
        <v>37929</v>
      </c>
      <c r="E2784" s="28" t="s">
        <v>8976</v>
      </c>
      <c r="F2784" s="28" t="s">
        <v>39</v>
      </c>
      <c r="G2784" s="28" t="s">
        <v>20</v>
      </c>
      <c r="H2784" s="28" t="s">
        <v>21</v>
      </c>
      <c r="I2784" s="28" t="s">
        <v>21</v>
      </c>
      <c r="J2784" s="28" t="s">
        <v>8977</v>
      </c>
      <c r="K2784" s="28" t="s">
        <v>8978</v>
      </c>
      <c r="L2784" s="28" t="s">
        <v>66</v>
      </c>
      <c r="M2784" s="28" t="s">
        <v>21</v>
      </c>
      <c r="N2784" s="27">
        <v>38021</v>
      </c>
      <c r="O2784" s="92">
        <v>37960</v>
      </c>
      <c r="P2784" s="28" t="s">
        <v>21</v>
      </c>
      <c r="Q2784" s="26" t="b">
        <v>0</v>
      </c>
      <c r="R2784" s="22">
        <f t="shared" si="46"/>
        <v>31</v>
      </c>
    </row>
    <row r="2785" spans="1:18" ht="24">
      <c r="A2785" s="26">
        <v>7296</v>
      </c>
      <c r="B2785" s="27">
        <v>37930</v>
      </c>
      <c r="C2785" s="28" t="s">
        <v>8982</v>
      </c>
      <c r="D2785" s="27">
        <v>37925</v>
      </c>
      <c r="E2785" s="28" t="s">
        <v>8983</v>
      </c>
      <c r="F2785" s="28" t="s">
        <v>1771</v>
      </c>
      <c r="G2785" s="28" t="s">
        <v>20</v>
      </c>
      <c r="H2785" s="28" t="s">
        <v>189</v>
      </c>
      <c r="I2785" s="28" t="s">
        <v>189</v>
      </c>
      <c r="J2785" s="28" t="s">
        <v>8984</v>
      </c>
      <c r="K2785" s="28" t="s">
        <v>8985</v>
      </c>
      <c r="L2785" s="28" t="s">
        <v>4282</v>
      </c>
      <c r="M2785" s="28" t="s">
        <v>21</v>
      </c>
      <c r="N2785" s="27">
        <v>37955</v>
      </c>
      <c r="O2785" s="92">
        <v>37970</v>
      </c>
      <c r="P2785" s="28" t="s">
        <v>21</v>
      </c>
      <c r="Q2785" s="26" t="b">
        <v>0</v>
      </c>
      <c r="R2785" s="22">
        <f t="shared" si="46"/>
        <v>40</v>
      </c>
    </row>
    <row r="2786" spans="1:18" ht="24">
      <c r="A2786" s="26">
        <v>7292</v>
      </c>
      <c r="B2786" s="27">
        <v>37931</v>
      </c>
      <c r="C2786" s="28" t="s">
        <v>8971</v>
      </c>
      <c r="D2786" s="27">
        <v>37931</v>
      </c>
      <c r="E2786" s="28" t="s">
        <v>8972</v>
      </c>
      <c r="F2786" s="28" t="s">
        <v>741</v>
      </c>
      <c r="G2786" s="28" t="s">
        <v>20</v>
      </c>
      <c r="H2786" s="28" t="s">
        <v>21</v>
      </c>
      <c r="I2786" s="28" t="s">
        <v>21</v>
      </c>
      <c r="J2786" s="28" t="s">
        <v>8973</v>
      </c>
      <c r="K2786" s="28" t="s">
        <v>8974</v>
      </c>
      <c r="L2786" s="28" t="s">
        <v>8318</v>
      </c>
      <c r="M2786" s="28" t="s">
        <v>21</v>
      </c>
      <c r="N2786" s="29">
        <v>37658</v>
      </c>
      <c r="O2786" s="92">
        <v>37932</v>
      </c>
      <c r="P2786" s="28" t="s">
        <v>31</v>
      </c>
      <c r="Q2786" s="26" t="b">
        <v>0</v>
      </c>
      <c r="R2786" s="22">
        <f t="shared" si="46"/>
        <v>1</v>
      </c>
    </row>
    <row r="2787" spans="1:18">
      <c r="A2787" s="26">
        <v>7295</v>
      </c>
      <c r="B2787" s="27">
        <v>37931</v>
      </c>
      <c r="C2787" s="28" t="s">
        <v>8979</v>
      </c>
      <c r="D2787" s="27">
        <v>37931</v>
      </c>
      <c r="E2787" s="28" t="s">
        <v>8980</v>
      </c>
      <c r="F2787" s="28" t="s">
        <v>98</v>
      </c>
      <c r="G2787" s="28" t="s">
        <v>20</v>
      </c>
      <c r="H2787" s="28" t="s">
        <v>21</v>
      </c>
      <c r="I2787" s="28" t="s">
        <v>21</v>
      </c>
      <c r="J2787" s="28" t="s">
        <v>8981</v>
      </c>
      <c r="K2787" s="28" t="s">
        <v>405</v>
      </c>
      <c r="L2787" s="28" t="s">
        <v>66</v>
      </c>
      <c r="M2787" s="28" t="s">
        <v>21</v>
      </c>
      <c r="N2787" s="18"/>
      <c r="O2787" s="92">
        <v>37931</v>
      </c>
      <c r="P2787" s="28" t="s">
        <v>21</v>
      </c>
      <c r="Q2787" s="26" t="b">
        <v>0</v>
      </c>
      <c r="R2787" s="22">
        <f t="shared" si="46"/>
        <v>0</v>
      </c>
    </row>
    <row r="2788" spans="1:18">
      <c r="A2788" s="26">
        <v>7310</v>
      </c>
      <c r="B2788" s="27">
        <v>37935</v>
      </c>
      <c r="C2788" s="28" t="s">
        <v>8989</v>
      </c>
      <c r="D2788" s="27">
        <v>37935</v>
      </c>
      <c r="E2788" s="28" t="s">
        <v>8990</v>
      </c>
      <c r="F2788" s="28" t="s">
        <v>6643</v>
      </c>
      <c r="G2788" s="28" t="s">
        <v>20</v>
      </c>
      <c r="H2788" s="28" t="s">
        <v>189</v>
      </c>
      <c r="I2788" s="28" t="s">
        <v>189</v>
      </c>
      <c r="J2788" s="28" t="s">
        <v>8991</v>
      </c>
      <c r="K2788" s="28" t="s">
        <v>8992</v>
      </c>
      <c r="L2788" s="28" t="s">
        <v>66</v>
      </c>
      <c r="M2788" s="28" t="s">
        <v>21</v>
      </c>
      <c r="N2788" s="29">
        <v>37955</v>
      </c>
      <c r="O2788" s="92">
        <v>37951</v>
      </c>
      <c r="P2788" s="28" t="s">
        <v>21</v>
      </c>
      <c r="Q2788" s="26" t="b">
        <v>0</v>
      </c>
      <c r="R2788" s="22">
        <f t="shared" si="46"/>
        <v>16</v>
      </c>
    </row>
    <row r="2789" spans="1:18">
      <c r="A2789" s="26">
        <v>7320</v>
      </c>
      <c r="B2789" s="27">
        <v>37935</v>
      </c>
      <c r="C2789" s="28" t="s">
        <v>8993</v>
      </c>
      <c r="D2789" s="27">
        <v>37935</v>
      </c>
      <c r="E2789" s="28" t="s">
        <v>38</v>
      </c>
      <c r="F2789" s="28" t="s">
        <v>145</v>
      </c>
      <c r="G2789" s="28" t="s">
        <v>20</v>
      </c>
      <c r="H2789" s="28" t="s">
        <v>21</v>
      </c>
      <c r="I2789" s="28" t="s">
        <v>21</v>
      </c>
      <c r="J2789" s="28" t="s">
        <v>8994</v>
      </c>
      <c r="K2789" s="28" t="s">
        <v>8995</v>
      </c>
      <c r="L2789" s="28" t="s">
        <v>8318</v>
      </c>
      <c r="M2789" s="28" t="s">
        <v>21</v>
      </c>
      <c r="O2789" s="92">
        <v>37935</v>
      </c>
      <c r="P2789" s="28" t="s">
        <v>31</v>
      </c>
      <c r="Q2789" s="26" t="b">
        <v>0</v>
      </c>
      <c r="R2789" s="22">
        <f t="shared" si="46"/>
        <v>0</v>
      </c>
    </row>
    <row r="2790" spans="1:18">
      <c r="A2790" s="26">
        <v>7321</v>
      </c>
      <c r="B2790" s="27">
        <v>37937</v>
      </c>
      <c r="C2790" s="28" t="s">
        <v>8996</v>
      </c>
      <c r="D2790" s="27">
        <v>37931</v>
      </c>
      <c r="E2790" s="28" t="s">
        <v>8997</v>
      </c>
      <c r="F2790" s="28" t="s">
        <v>124</v>
      </c>
      <c r="G2790" s="28" t="s">
        <v>20</v>
      </c>
      <c r="H2790" s="28" t="s">
        <v>21</v>
      </c>
      <c r="I2790" s="28" t="s">
        <v>21</v>
      </c>
      <c r="J2790" s="28" t="s">
        <v>8998</v>
      </c>
      <c r="K2790" s="28" t="s">
        <v>8999</v>
      </c>
      <c r="L2790" s="28" t="s">
        <v>8318</v>
      </c>
      <c r="M2790" s="28" t="s">
        <v>21</v>
      </c>
      <c r="N2790" s="29">
        <v>38029</v>
      </c>
      <c r="O2790" s="92">
        <v>37950</v>
      </c>
      <c r="P2790" s="28" t="s">
        <v>31</v>
      </c>
      <c r="Q2790" s="26" t="b">
        <v>0</v>
      </c>
      <c r="R2790" s="22">
        <f t="shared" si="46"/>
        <v>13</v>
      </c>
    </row>
    <row r="2791" spans="1:18">
      <c r="A2791" s="26">
        <v>7322</v>
      </c>
      <c r="B2791" s="27">
        <v>37937</v>
      </c>
      <c r="C2791" s="28" t="s">
        <v>9000</v>
      </c>
      <c r="D2791" s="27">
        <v>37932</v>
      </c>
      <c r="E2791" s="28" t="s">
        <v>9001</v>
      </c>
      <c r="F2791" s="28" t="s">
        <v>6084</v>
      </c>
      <c r="G2791" s="28" t="s">
        <v>20</v>
      </c>
      <c r="H2791" s="28" t="s">
        <v>21</v>
      </c>
      <c r="I2791" s="28" t="s">
        <v>21</v>
      </c>
      <c r="J2791" s="28" t="s">
        <v>9002</v>
      </c>
      <c r="K2791" s="28" t="s">
        <v>9003</v>
      </c>
      <c r="L2791" s="28" t="s">
        <v>4282</v>
      </c>
      <c r="M2791" s="28" t="s">
        <v>21</v>
      </c>
      <c r="N2791" s="29">
        <v>38303</v>
      </c>
      <c r="O2791" s="92">
        <v>38292</v>
      </c>
      <c r="P2791" s="28" t="s">
        <v>21</v>
      </c>
      <c r="Q2791" s="26" t="b">
        <v>0</v>
      </c>
      <c r="R2791" s="22">
        <f t="shared" si="46"/>
        <v>353</v>
      </c>
    </row>
    <row r="2792" spans="1:18">
      <c r="A2792" s="26">
        <v>7324</v>
      </c>
      <c r="B2792" s="27">
        <v>37938</v>
      </c>
      <c r="C2792" s="28" t="s">
        <v>9004</v>
      </c>
      <c r="D2792" s="27">
        <v>37938</v>
      </c>
      <c r="E2792" s="28" t="s">
        <v>9005</v>
      </c>
      <c r="F2792" s="28" t="s">
        <v>27</v>
      </c>
      <c r="G2792" s="28" t="s">
        <v>20</v>
      </c>
      <c r="H2792" s="28" t="s">
        <v>21</v>
      </c>
      <c r="I2792" s="28" t="s">
        <v>21</v>
      </c>
      <c r="J2792" s="28" t="s">
        <v>9006</v>
      </c>
      <c r="K2792" s="28" t="s">
        <v>9007</v>
      </c>
      <c r="L2792" s="28" t="s">
        <v>314</v>
      </c>
      <c r="M2792" s="28" t="s">
        <v>21</v>
      </c>
      <c r="N2792" s="29">
        <v>38304</v>
      </c>
      <c r="O2792" s="92">
        <v>37973</v>
      </c>
      <c r="P2792" s="28" t="s">
        <v>21</v>
      </c>
      <c r="Q2792" s="26" t="b">
        <v>0</v>
      </c>
      <c r="R2792" s="22">
        <f t="shared" si="46"/>
        <v>35</v>
      </c>
    </row>
    <row r="2793" spans="1:18">
      <c r="A2793" s="26">
        <v>7332</v>
      </c>
      <c r="B2793" s="27">
        <v>37938</v>
      </c>
      <c r="C2793" s="28" t="s">
        <v>9031</v>
      </c>
      <c r="D2793" s="27">
        <v>37934</v>
      </c>
      <c r="E2793" s="28" t="s">
        <v>38</v>
      </c>
      <c r="F2793" s="28" t="s">
        <v>124</v>
      </c>
      <c r="G2793" s="28" t="s">
        <v>20</v>
      </c>
      <c r="H2793" s="28" t="s">
        <v>21</v>
      </c>
      <c r="I2793" s="28" t="s">
        <v>21</v>
      </c>
      <c r="J2793" s="28" t="s">
        <v>3443</v>
      </c>
      <c r="K2793" s="28" t="s">
        <v>9032</v>
      </c>
      <c r="L2793" s="28" t="s">
        <v>8318</v>
      </c>
      <c r="M2793" s="28" t="s">
        <v>21</v>
      </c>
      <c r="O2793" s="92">
        <v>37945</v>
      </c>
      <c r="P2793" s="28" t="s">
        <v>31</v>
      </c>
      <c r="Q2793" s="26" t="b">
        <v>0</v>
      </c>
      <c r="R2793" s="22">
        <f t="shared" si="46"/>
        <v>7</v>
      </c>
    </row>
    <row r="2794" spans="1:18">
      <c r="A2794" s="26">
        <v>7325</v>
      </c>
      <c r="B2794" s="27">
        <v>37942</v>
      </c>
      <c r="C2794" s="28" t="s">
        <v>9008</v>
      </c>
      <c r="D2794" s="27">
        <v>37942</v>
      </c>
      <c r="E2794" s="28" t="s">
        <v>9009</v>
      </c>
      <c r="F2794" s="28" t="s">
        <v>3434</v>
      </c>
      <c r="G2794" s="28" t="s">
        <v>20</v>
      </c>
      <c r="H2794" s="28" t="s">
        <v>21</v>
      </c>
      <c r="I2794" s="28" t="s">
        <v>21</v>
      </c>
      <c r="J2794" s="28" t="s">
        <v>9010</v>
      </c>
      <c r="K2794" s="28" t="s">
        <v>9011</v>
      </c>
      <c r="L2794" s="28" t="s">
        <v>314</v>
      </c>
      <c r="M2794" s="28" t="s">
        <v>21</v>
      </c>
      <c r="N2794" s="27">
        <v>37669</v>
      </c>
      <c r="O2794" s="92">
        <v>38008</v>
      </c>
      <c r="P2794" s="28" t="s">
        <v>31</v>
      </c>
      <c r="Q2794" s="26" t="b">
        <v>0</v>
      </c>
      <c r="R2794" s="22">
        <f t="shared" si="46"/>
        <v>65</v>
      </c>
    </row>
    <row r="2795" spans="1:18">
      <c r="A2795" s="26">
        <v>7326</v>
      </c>
      <c r="B2795" s="27">
        <v>37942</v>
      </c>
      <c r="C2795" s="28" t="s">
        <v>9012</v>
      </c>
      <c r="D2795" s="27">
        <v>37937</v>
      </c>
      <c r="E2795" s="28" t="s">
        <v>9013</v>
      </c>
      <c r="F2795" s="28" t="s">
        <v>974</v>
      </c>
      <c r="G2795" s="28" t="s">
        <v>20</v>
      </c>
      <c r="H2795" s="28" t="s">
        <v>212</v>
      </c>
      <c r="I2795" s="28" t="s">
        <v>212</v>
      </c>
      <c r="J2795" s="28" t="s">
        <v>9014</v>
      </c>
      <c r="K2795" s="28" t="s">
        <v>8998</v>
      </c>
      <c r="L2795" s="28" t="s">
        <v>4282</v>
      </c>
      <c r="M2795" s="28" t="s">
        <v>21</v>
      </c>
      <c r="N2795" s="27">
        <v>38034</v>
      </c>
      <c r="O2795" s="92">
        <v>38012</v>
      </c>
      <c r="P2795" s="28" t="s">
        <v>31</v>
      </c>
      <c r="Q2795" s="26" t="b">
        <v>0</v>
      </c>
      <c r="R2795" s="22">
        <f t="shared" si="46"/>
        <v>69</v>
      </c>
    </row>
    <row r="2796" spans="1:18">
      <c r="A2796" s="26">
        <v>7328</v>
      </c>
      <c r="B2796" s="27">
        <v>37942</v>
      </c>
      <c r="C2796" s="28" t="s">
        <v>9018</v>
      </c>
      <c r="D2796" s="27">
        <v>37936</v>
      </c>
      <c r="E2796" s="28" t="s">
        <v>9019</v>
      </c>
      <c r="F2796" s="28" t="s">
        <v>124</v>
      </c>
      <c r="G2796" s="28" t="s">
        <v>20</v>
      </c>
      <c r="H2796" s="28" t="s">
        <v>21</v>
      </c>
      <c r="I2796" s="28" t="s">
        <v>21</v>
      </c>
      <c r="J2796" s="28" t="s">
        <v>8998</v>
      </c>
      <c r="K2796" s="28" t="s">
        <v>9020</v>
      </c>
      <c r="L2796" s="28" t="s">
        <v>4282</v>
      </c>
      <c r="M2796" s="28" t="s">
        <v>21</v>
      </c>
      <c r="N2796" s="29">
        <v>38028</v>
      </c>
      <c r="O2796" s="92">
        <v>37985</v>
      </c>
      <c r="P2796" s="28" t="s">
        <v>31</v>
      </c>
      <c r="Q2796" s="26" t="b">
        <v>0</v>
      </c>
      <c r="R2796" s="22">
        <f t="shared" si="46"/>
        <v>43</v>
      </c>
    </row>
    <row r="2797" spans="1:18" ht="24">
      <c r="A2797" s="26">
        <v>7327</v>
      </c>
      <c r="B2797" s="27">
        <v>37943</v>
      </c>
      <c r="C2797" s="28" t="s">
        <v>9015</v>
      </c>
      <c r="D2797" s="27">
        <v>37943</v>
      </c>
      <c r="E2797" s="28" t="s">
        <v>283</v>
      </c>
      <c r="F2797" s="28" t="s">
        <v>56</v>
      </c>
      <c r="G2797" s="28" t="s">
        <v>20</v>
      </c>
      <c r="H2797" s="28" t="s">
        <v>21</v>
      </c>
      <c r="I2797" s="28" t="s">
        <v>21</v>
      </c>
      <c r="J2797" s="28" t="s">
        <v>9016</v>
      </c>
      <c r="K2797" s="28" t="s">
        <v>9017</v>
      </c>
      <c r="L2797" s="28" t="s">
        <v>66</v>
      </c>
      <c r="M2797" s="28" t="s">
        <v>21</v>
      </c>
      <c r="N2797" s="18"/>
      <c r="O2797" s="92">
        <v>37966</v>
      </c>
      <c r="P2797" s="28" t="s">
        <v>21</v>
      </c>
      <c r="Q2797" s="26" t="b">
        <v>0</v>
      </c>
      <c r="R2797" s="22">
        <f t="shared" si="46"/>
        <v>23</v>
      </c>
    </row>
    <row r="2798" spans="1:18">
      <c r="A2798" s="26">
        <v>7329</v>
      </c>
      <c r="B2798" s="27">
        <v>37943</v>
      </c>
      <c r="C2798" s="28" t="s">
        <v>9021</v>
      </c>
      <c r="D2798" s="27">
        <v>37943</v>
      </c>
      <c r="E2798" s="28" t="s">
        <v>38</v>
      </c>
      <c r="F2798" s="28" t="s">
        <v>1111</v>
      </c>
      <c r="G2798" s="28" t="s">
        <v>20</v>
      </c>
      <c r="H2798" s="28" t="s">
        <v>21</v>
      </c>
      <c r="I2798" s="28" t="s">
        <v>21</v>
      </c>
      <c r="J2798" s="28" t="s">
        <v>9022</v>
      </c>
      <c r="K2798" s="28" t="s">
        <v>9023</v>
      </c>
      <c r="L2798" s="28" t="s">
        <v>66</v>
      </c>
      <c r="M2798" s="28" t="s">
        <v>21</v>
      </c>
      <c r="N2798" s="18"/>
      <c r="O2798" s="92">
        <v>37945</v>
      </c>
      <c r="P2798" s="28" t="s">
        <v>31</v>
      </c>
      <c r="Q2798" s="26" t="b">
        <v>0</v>
      </c>
      <c r="R2798" s="22">
        <f t="shared" si="46"/>
        <v>2</v>
      </c>
    </row>
    <row r="2799" spans="1:18">
      <c r="A2799" s="26">
        <v>7333</v>
      </c>
      <c r="B2799" s="27">
        <v>37943</v>
      </c>
      <c r="C2799" s="28" t="s">
        <v>9033</v>
      </c>
      <c r="D2799" s="27">
        <v>37943</v>
      </c>
      <c r="E2799" s="28" t="s">
        <v>9034</v>
      </c>
      <c r="F2799" s="28" t="s">
        <v>8615</v>
      </c>
      <c r="G2799" s="28" t="s">
        <v>20</v>
      </c>
      <c r="H2799" s="28" t="s">
        <v>21</v>
      </c>
      <c r="I2799" s="28" t="s">
        <v>21</v>
      </c>
      <c r="J2799" s="28" t="s">
        <v>9035</v>
      </c>
      <c r="K2799" s="28" t="s">
        <v>7085</v>
      </c>
      <c r="L2799" s="28" t="s">
        <v>8318</v>
      </c>
      <c r="M2799" s="28" t="s">
        <v>21</v>
      </c>
      <c r="N2799" s="18"/>
      <c r="O2799" s="92">
        <v>37944</v>
      </c>
      <c r="P2799" s="28" t="s">
        <v>21</v>
      </c>
      <c r="Q2799" s="26" t="b">
        <v>0</v>
      </c>
      <c r="R2799" s="22">
        <f t="shared" si="46"/>
        <v>1</v>
      </c>
    </row>
    <row r="2800" spans="1:18">
      <c r="A2800" s="26">
        <v>7330</v>
      </c>
      <c r="B2800" s="27">
        <v>37944</v>
      </c>
      <c r="C2800" s="28" t="s">
        <v>9024</v>
      </c>
      <c r="D2800" s="27">
        <v>37944</v>
      </c>
      <c r="E2800" s="28" t="s">
        <v>9025</v>
      </c>
      <c r="F2800" s="28" t="s">
        <v>6953</v>
      </c>
      <c r="G2800" s="28" t="s">
        <v>20</v>
      </c>
      <c r="H2800" s="28" t="s">
        <v>21</v>
      </c>
      <c r="I2800" s="28" t="s">
        <v>21</v>
      </c>
      <c r="J2800" s="28" t="s">
        <v>9026</v>
      </c>
      <c r="K2800" s="28" t="s">
        <v>9027</v>
      </c>
      <c r="L2800" s="28" t="s">
        <v>66</v>
      </c>
      <c r="M2800" s="28" t="s">
        <v>21</v>
      </c>
      <c r="N2800" s="18"/>
      <c r="O2800" s="92">
        <v>37951</v>
      </c>
      <c r="P2800" s="28" t="s">
        <v>21</v>
      </c>
      <c r="Q2800" s="26" t="b">
        <v>0</v>
      </c>
      <c r="R2800" s="22">
        <f t="shared" si="46"/>
        <v>7</v>
      </c>
    </row>
    <row r="2801" spans="1:18">
      <c r="A2801" s="26">
        <v>7331</v>
      </c>
      <c r="B2801" s="27">
        <v>37944</v>
      </c>
      <c r="C2801" s="28" t="s">
        <v>9028</v>
      </c>
      <c r="D2801" s="27">
        <v>37944</v>
      </c>
      <c r="E2801" s="28" t="s">
        <v>283</v>
      </c>
      <c r="F2801" s="28" t="s">
        <v>741</v>
      </c>
      <c r="G2801" s="28" t="s">
        <v>20</v>
      </c>
      <c r="H2801" s="28" t="s">
        <v>21</v>
      </c>
      <c r="I2801" s="28" t="s">
        <v>21</v>
      </c>
      <c r="J2801" s="28" t="s">
        <v>9029</v>
      </c>
      <c r="K2801" s="28" t="s">
        <v>9030</v>
      </c>
      <c r="L2801" s="28" t="s">
        <v>66</v>
      </c>
      <c r="M2801" s="28" t="s">
        <v>21</v>
      </c>
      <c r="N2801" s="18"/>
      <c r="O2801" s="92">
        <v>38014</v>
      </c>
      <c r="P2801" s="28" t="s">
        <v>21</v>
      </c>
      <c r="Q2801" s="26" t="b">
        <v>0</v>
      </c>
      <c r="R2801" s="22">
        <f t="shared" si="46"/>
        <v>69</v>
      </c>
    </row>
    <row r="2802" spans="1:18">
      <c r="A2802" s="26">
        <v>7334</v>
      </c>
      <c r="B2802" s="27">
        <v>37944</v>
      </c>
      <c r="C2802" s="28" t="s">
        <v>9036</v>
      </c>
      <c r="D2802" s="27">
        <v>37938</v>
      </c>
      <c r="E2802" s="28" t="s">
        <v>4172</v>
      </c>
      <c r="F2802" s="28" t="s">
        <v>5659</v>
      </c>
      <c r="G2802" s="28" t="s">
        <v>20</v>
      </c>
      <c r="H2802" s="28" t="s">
        <v>566</v>
      </c>
      <c r="I2802" s="28" t="s">
        <v>566</v>
      </c>
      <c r="J2802" s="28" t="s">
        <v>9037</v>
      </c>
      <c r="K2802" s="28" t="s">
        <v>5668</v>
      </c>
      <c r="L2802" s="28" t="s">
        <v>314</v>
      </c>
      <c r="M2802" s="28" t="s">
        <v>21</v>
      </c>
      <c r="N2802" s="18"/>
      <c r="O2802" s="92">
        <v>38022</v>
      </c>
      <c r="P2802" s="28" t="s">
        <v>21</v>
      </c>
      <c r="Q2802" s="26" t="b">
        <v>0</v>
      </c>
      <c r="R2802" s="22">
        <f t="shared" si="46"/>
        <v>77</v>
      </c>
    </row>
    <row r="2803" spans="1:18">
      <c r="A2803" s="26">
        <v>7337</v>
      </c>
      <c r="B2803" s="27">
        <v>37946</v>
      </c>
      <c r="C2803" s="28" t="s">
        <v>9042</v>
      </c>
      <c r="D2803" s="27">
        <v>37945</v>
      </c>
      <c r="E2803" s="28" t="s">
        <v>9043</v>
      </c>
      <c r="F2803" s="28" t="s">
        <v>367</v>
      </c>
      <c r="G2803" s="28" t="s">
        <v>20</v>
      </c>
      <c r="H2803" s="28" t="s">
        <v>71</v>
      </c>
      <c r="I2803" s="28" t="s">
        <v>72</v>
      </c>
      <c r="J2803" s="28" t="s">
        <v>9044</v>
      </c>
      <c r="K2803" s="28" t="s">
        <v>9045</v>
      </c>
      <c r="L2803" s="28" t="s">
        <v>314</v>
      </c>
      <c r="M2803" s="28" t="s">
        <v>21</v>
      </c>
      <c r="N2803" s="29">
        <v>38077</v>
      </c>
      <c r="O2803" s="92">
        <v>38069</v>
      </c>
      <c r="P2803" s="28" t="s">
        <v>31</v>
      </c>
      <c r="Q2803" s="26" t="b">
        <v>0</v>
      </c>
      <c r="R2803" s="22">
        <f t="shared" si="46"/>
        <v>123</v>
      </c>
    </row>
    <row r="2804" spans="1:18">
      <c r="A2804" s="26">
        <v>7336</v>
      </c>
      <c r="B2804" s="27">
        <v>37949</v>
      </c>
      <c r="C2804" s="28" t="s">
        <v>9038</v>
      </c>
      <c r="D2804" s="27">
        <v>37948</v>
      </c>
      <c r="E2804" s="28" t="s">
        <v>9039</v>
      </c>
      <c r="F2804" s="28" t="s">
        <v>3434</v>
      </c>
      <c r="G2804" s="28" t="s">
        <v>20</v>
      </c>
      <c r="H2804" s="28" t="s">
        <v>21</v>
      </c>
      <c r="I2804" s="28" t="s">
        <v>21</v>
      </c>
      <c r="J2804" s="28" t="s">
        <v>9040</v>
      </c>
      <c r="K2804" s="28" t="s">
        <v>9041</v>
      </c>
      <c r="L2804" s="28" t="s">
        <v>314</v>
      </c>
      <c r="M2804" s="28" t="s">
        <v>21</v>
      </c>
      <c r="N2804" s="29">
        <v>38040</v>
      </c>
      <c r="O2804" s="92">
        <v>38007</v>
      </c>
      <c r="P2804" s="28" t="s">
        <v>31</v>
      </c>
      <c r="Q2804" s="26" t="b">
        <v>0</v>
      </c>
      <c r="R2804" s="22">
        <f t="shared" si="46"/>
        <v>57</v>
      </c>
    </row>
    <row r="2805" spans="1:18">
      <c r="A2805" s="26">
        <v>7338</v>
      </c>
      <c r="B2805" s="27">
        <v>37950</v>
      </c>
      <c r="C2805" s="28" t="s">
        <v>9046</v>
      </c>
      <c r="D2805" s="27">
        <v>37950</v>
      </c>
      <c r="E2805" s="28" t="s">
        <v>4172</v>
      </c>
      <c r="F2805" s="28" t="s">
        <v>9047</v>
      </c>
      <c r="G2805" s="28" t="s">
        <v>20</v>
      </c>
      <c r="H2805" s="28" t="s">
        <v>71</v>
      </c>
      <c r="I2805" s="28" t="s">
        <v>72</v>
      </c>
      <c r="J2805" s="28" t="s">
        <v>7085</v>
      </c>
      <c r="K2805" s="28" t="s">
        <v>9048</v>
      </c>
      <c r="L2805" s="28" t="s">
        <v>314</v>
      </c>
      <c r="M2805" s="28" t="s">
        <v>21</v>
      </c>
      <c r="O2805" s="92">
        <v>37999</v>
      </c>
      <c r="P2805" s="28" t="s">
        <v>21</v>
      </c>
      <c r="Q2805" s="26" t="b">
        <v>0</v>
      </c>
      <c r="R2805" s="22">
        <f t="shared" si="46"/>
        <v>48</v>
      </c>
    </row>
    <row r="2806" spans="1:18" ht="24">
      <c r="A2806" s="26">
        <v>7339</v>
      </c>
      <c r="B2806" s="27">
        <v>37953</v>
      </c>
      <c r="C2806" s="28" t="s">
        <v>9049</v>
      </c>
      <c r="D2806" s="27">
        <v>37952</v>
      </c>
      <c r="E2806" s="28" t="s">
        <v>9050</v>
      </c>
      <c r="F2806" s="28" t="s">
        <v>984</v>
      </c>
      <c r="G2806" s="28" t="s">
        <v>20</v>
      </c>
      <c r="H2806" s="28" t="s">
        <v>21</v>
      </c>
      <c r="I2806" s="28" t="s">
        <v>21</v>
      </c>
      <c r="J2806" s="28" t="s">
        <v>9051</v>
      </c>
      <c r="K2806" s="28" t="s">
        <v>9052</v>
      </c>
      <c r="L2806" s="28" t="s">
        <v>4282</v>
      </c>
      <c r="M2806" s="28" t="s">
        <v>21</v>
      </c>
      <c r="N2806" s="29">
        <v>38045</v>
      </c>
      <c r="O2806" s="92">
        <v>38162</v>
      </c>
      <c r="P2806" s="28" t="s">
        <v>31</v>
      </c>
      <c r="Q2806" s="26" t="b">
        <v>0</v>
      </c>
      <c r="R2806" s="22">
        <f t="shared" si="46"/>
        <v>208</v>
      </c>
    </row>
    <row r="2807" spans="1:18" ht="24">
      <c r="A2807" s="26">
        <v>7340</v>
      </c>
      <c r="B2807" s="27">
        <v>37953</v>
      </c>
      <c r="C2807" s="28" t="s">
        <v>9053</v>
      </c>
      <c r="D2807" s="27">
        <v>37943</v>
      </c>
      <c r="E2807" s="28" t="s">
        <v>9054</v>
      </c>
      <c r="F2807" s="28" t="s">
        <v>345</v>
      </c>
      <c r="G2807" s="28" t="s">
        <v>20</v>
      </c>
      <c r="H2807" s="28" t="s">
        <v>71</v>
      </c>
      <c r="I2807" s="28" t="s">
        <v>72</v>
      </c>
      <c r="J2807" s="28" t="s">
        <v>9055</v>
      </c>
      <c r="K2807" s="28" t="s">
        <v>9056</v>
      </c>
      <c r="L2807" s="28" t="s">
        <v>66</v>
      </c>
      <c r="M2807" s="28" t="s">
        <v>21</v>
      </c>
      <c r="N2807" s="29">
        <v>38045</v>
      </c>
      <c r="O2807" s="92">
        <v>38113</v>
      </c>
      <c r="P2807" s="28" t="s">
        <v>31</v>
      </c>
      <c r="Q2807" s="26" t="b">
        <v>0</v>
      </c>
      <c r="R2807" s="22">
        <f t="shared" si="46"/>
        <v>160</v>
      </c>
    </row>
    <row r="2808" spans="1:18">
      <c r="A2808" s="26">
        <v>7341</v>
      </c>
      <c r="B2808" s="27">
        <v>37953</v>
      </c>
      <c r="C2808" s="28" t="s">
        <v>9057</v>
      </c>
      <c r="D2808" s="27">
        <v>37953</v>
      </c>
      <c r="E2808" s="28" t="s">
        <v>9058</v>
      </c>
      <c r="F2808" s="28" t="s">
        <v>6298</v>
      </c>
      <c r="G2808" s="28" t="s">
        <v>20</v>
      </c>
      <c r="H2808" s="28" t="s">
        <v>71</v>
      </c>
      <c r="I2808" s="28" t="s">
        <v>72</v>
      </c>
      <c r="J2808" s="28" t="s">
        <v>9059</v>
      </c>
      <c r="K2808" s="28" t="s">
        <v>9060</v>
      </c>
      <c r="L2808" s="28" t="s">
        <v>66</v>
      </c>
      <c r="M2808" s="28" t="s">
        <v>21</v>
      </c>
      <c r="N2808" s="29">
        <v>38045</v>
      </c>
      <c r="O2808" s="92">
        <v>38026</v>
      </c>
      <c r="P2808" s="28" t="s">
        <v>21</v>
      </c>
      <c r="Q2808" s="26" t="b">
        <v>0</v>
      </c>
      <c r="R2808" s="22">
        <f t="shared" si="46"/>
        <v>71</v>
      </c>
    </row>
    <row r="2809" spans="1:18" ht="24">
      <c r="A2809" s="26">
        <v>7342</v>
      </c>
      <c r="B2809" s="27">
        <v>37953</v>
      </c>
      <c r="C2809" s="28" t="s">
        <v>9061</v>
      </c>
      <c r="D2809" s="27">
        <v>37951</v>
      </c>
      <c r="E2809" s="28" t="s">
        <v>9062</v>
      </c>
      <c r="F2809" s="28" t="s">
        <v>984</v>
      </c>
      <c r="G2809" s="28" t="s">
        <v>20</v>
      </c>
      <c r="H2809" s="28" t="s">
        <v>21</v>
      </c>
      <c r="I2809" s="28" t="s">
        <v>21</v>
      </c>
      <c r="J2809" s="28" t="s">
        <v>9063</v>
      </c>
      <c r="K2809" s="28" t="s">
        <v>9064</v>
      </c>
      <c r="L2809" s="28" t="s">
        <v>314</v>
      </c>
      <c r="M2809" s="28" t="s">
        <v>21</v>
      </c>
      <c r="N2809" s="27">
        <v>38045</v>
      </c>
      <c r="O2809" s="92">
        <v>38127</v>
      </c>
      <c r="P2809" s="28" t="s">
        <v>31</v>
      </c>
      <c r="Q2809" s="26" t="b">
        <v>0</v>
      </c>
      <c r="R2809" s="22">
        <f t="shared" si="46"/>
        <v>174</v>
      </c>
    </row>
    <row r="2810" spans="1:18">
      <c r="A2810" s="26">
        <v>7348</v>
      </c>
      <c r="B2810" s="27">
        <v>37957</v>
      </c>
      <c r="C2810" s="28" t="s">
        <v>9071</v>
      </c>
      <c r="D2810" s="27">
        <v>37955</v>
      </c>
      <c r="E2810" s="28" t="s">
        <v>38</v>
      </c>
      <c r="F2810" s="28" t="s">
        <v>124</v>
      </c>
      <c r="G2810" s="28" t="s">
        <v>20</v>
      </c>
      <c r="H2810" s="28" t="s">
        <v>21</v>
      </c>
      <c r="I2810" s="28" t="s">
        <v>21</v>
      </c>
      <c r="J2810" s="28" t="s">
        <v>9072</v>
      </c>
      <c r="K2810" s="28" t="s">
        <v>9073</v>
      </c>
      <c r="L2810" s="28" t="s">
        <v>8318</v>
      </c>
      <c r="M2810" s="28" t="s">
        <v>21</v>
      </c>
      <c r="O2810" s="92">
        <v>37958</v>
      </c>
      <c r="P2810" s="28" t="s">
        <v>31</v>
      </c>
      <c r="Q2810" s="26" t="b">
        <v>0</v>
      </c>
      <c r="R2810" s="22">
        <f t="shared" si="46"/>
        <v>1</v>
      </c>
    </row>
    <row r="2811" spans="1:18">
      <c r="A2811" s="26">
        <v>7349</v>
      </c>
      <c r="B2811" s="27">
        <v>37958</v>
      </c>
      <c r="C2811" s="28" t="s">
        <v>9074</v>
      </c>
      <c r="D2811" s="27">
        <v>37958</v>
      </c>
      <c r="E2811" s="28" t="s">
        <v>38</v>
      </c>
      <c r="F2811" s="28" t="s">
        <v>3434</v>
      </c>
      <c r="G2811" s="28" t="s">
        <v>20</v>
      </c>
      <c r="H2811" s="28" t="s">
        <v>21</v>
      </c>
      <c r="I2811" s="28" t="s">
        <v>21</v>
      </c>
      <c r="J2811" s="28" t="s">
        <v>9076</v>
      </c>
      <c r="K2811" s="28" t="s">
        <v>9077</v>
      </c>
      <c r="L2811" s="28" t="s">
        <v>8318</v>
      </c>
      <c r="M2811" s="28" t="s">
        <v>21</v>
      </c>
      <c r="O2811" s="92">
        <v>37958</v>
      </c>
      <c r="P2811" s="28" t="s">
        <v>31</v>
      </c>
      <c r="Q2811" s="26" t="b">
        <v>0</v>
      </c>
      <c r="R2811" s="22">
        <f t="shared" si="46"/>
        <v>0</v>
      </c>
    </row>
    <row r="2812" spans="1:18" ht="24">
      <c r="A2812" s="26">
        <v>7350</v>
      </c>
      <c r="B2812" s="27">
        <v>37959</v>
      </c>
      <c r="C2812" s="28" t="s">
        <v>9078</v>
      </c>
      <c r="D2812" s="27">
        <v>37959</v>
      </c>
      <c r="E2812" s="28" t="s">
        <v>38</v>
      </c>
      <c r="F2812" s="28" t="s">
        <v>8615</v>
      </c>
      <c r="G2812" s="28" t="s">
        <v>20</v>
      </c>
      <c r="H2812" s="28" t="s">
        <v>21</v>
      </c>
      <c r="I2812" s="28" t="s">
        <v>21</v>
      </c>
      <c r="J2812" s="28" t="s">
        <v>9079</v>
      </c>
      <c r="K2812" s="28" t="s">
        <v>9080</v>
      </c>
      <c r="L2812" s="28" t="s">
        <v>8318</v>
      </c>
      <c r="M2812" s="28" t="s">
        <v>21</v>
      </c>
      <c r="O2812" s="92">
        <v>37959</v>
      </c>
      <c r="P2812" s="28" t="s">
        <v>31</v>
      </c>
      <c r="Q2812" s="26" t="b">
        <v>0</v>
      </c>
      <c r="R2812" s="22">
        <f t="shared" si="46"/>
        <v>0</v>
      </c>
    </row>
    <row r="2813" spans="1:18">
      <c r="A2813" s="26">
        <v>7351</v>
      </c>
      <c r="B2813" s="27">
        <v>37960</v>
      </c>
      <c r="C2813" s="28" t="s">
        <v>9081</v>
      </c>
      <c r="D2813" s="27">
        <v>37958</v>
      </c>
      <c r="E2813" s="28" t="s">
        <v>283</v>
      </c>
      <c r="F2813" s="28" t="s">
        <v>242</v>
      </c>
      <c r="G2813" s="28" t="s">
        <v>20</v>
      </c>
      <c r="H2813" s="28" t="s">
        <v>21</v>
      </c>
      <c r="I2813" s="28" t="s">
        <v>21</v>
      </c>
      <c r="J2813" s="28" t="s">
        <v>9082</v>
      </c>
      <c r="K2813" s="28" t="s">
        <v>9083</v>
      </c>
      <c r="L2813" s="28" t="s">
        <v>66</v>
      </c>
      <c r="M2813" s="28" t="s">
        <v>21</v>
      </c>
      <c r="N2813" s="18"/>
      <c r="O2813" s="92">
        <v>37963</v>
      </c>
      <c r="P2813" s="28" t="s">
        <v>21</v>
      </c>
      <c r="Q2813" s="26" t="b">
        <v>0</v>
      </c>
      <c r="R2813" s="22">
        <f t="shared" si="46"/>
        <v>3</v>
      </c>
    </row>
    <row r="2814" spans="1:18">
      <c r="A2814" s="26">
        <v>7353</v>
      </c>
      <c r="B2814" s="27">
        <v>37960</v>
      </c>
      <c r="C2814" s="28" t="s">
        <v>9084</v>
      </c>
      <c r="D2814" s="27">
        <v>37960</v>
      </c>
      <c r="E2814" s="28" t="s">
        <v>9069</v>
      </c>
      <c r="F2814" s="28" t="s">
        <v>8615</v>
      </c>
      <c r="G2814" s="28" t="s">
        <v>20</v>
      </c>
      <c r="H2814" s="28" t="s">
        <v>21</v>
      </c>
      <c r="I2814" s="28" t="s">
        <v>21</v>
      </c>
      <c r="J2814" s="28" t="s">
        <v>9085</v>
      </c>
      <c r="K2814" s="28" t="s">
        <v>9027</v>
      </c>
      <c r="L2814" s="28" t="s">
        <v>66</v>
      </c>
      <c r="M2814" s="28" t="s">
        <v>21</v>
      </c>
      <c r="O2814" s="92">
        <v>37960</v>
      </c>
      <c r="P2814" s="28" t="s">
        <v>21</v>
      </c>
      <c r="Q2814" s="26" t="b">
        <v>0</v>
      </c>
      <c r="R2814" s="22">
        <f t="shared" si="46"/>
        <v>0</v>
      </c>
    </row>
    <row r="2815" spans="1:18">
      <c r="A2815" s="26">
        <v>7354</v>
      </c>
      <c r="B2815" s="27">
        <v>37963</v>
      </c>
      <c r="C2815" s="28" t="s">
        <v>9086</v>
      </c>
      <c r="D2815" s="27">
        <v>37963</v>
      </c>
      <c r="E2815" s="28" t="s">
        <v>9087</v>
      </c>
      <c r="F2815" s="28" t="s">
        <v>8615</v>
      </c>
      <c r="G2815" s="28" t="s">
        <v>20</v>
      </c>
      <c r="H2815" s="28" t="s">
        <v>21</v>
      </c>
      <c r="I2815" s="28" t="s">
        <v>21</v>
      </c>
      <c r="J2815" s="28" t="s">
        <v>9088</v>
      </c>
      <c r="K2815" s="28" t="s">
        <v>21</v>
      </c>
      <c r="L2815" s="28" t="s">
        <v>66</v>
      </c>
      <c r="M2815" s="28" t="s">
        <v>21</v>
      </c>
      <c r="N2815" s="29">
        <v>38329</v>
      </c>
      <c r="O2815" s="92">
        <v>38089</v>
      </c>
      <c r="P2815" s="28" t="s">
        <v>21</v>
      </c>
      <c r="Q2815" s="26" t="b">
        <v>0</v>
      </c>
      <c r="R2815" s="22">
        <f t="shared" si="46"/>
        <v>125</v>
      </c>
    </row>
    <row r="2816" spans="1:18">
      <c r="A2816" s="26">
        <v>7356</v>
      </c>
      <c r="B2816" s="27">
        <v>37963</v>
      </c>
      <c r="C2816" s="28" t="s">
        <v>9089</v>
      </c>
      <c r="D2816" s="27">
        <v>37956</v>
      </c>
      <c r="E2816" s="28" t="s">
        <v>38</v>
      </c>
      <c r="F2816" s="28" t="s">
        <v>124</v>
      </c>
      <c r="G2816" s="28" t="s">
        <v>20</v>
      </c>
      <c r="H2816" s="28" t="s">
        <v>21</v>
      </c>
      <c r="I2816" s="28" t="s">
        <v>21</v>
      </c>
      <c r="J2816" s="28" t="s">
        <v>9090</v>
      </c>
      <c r="K2816" s="28" t="s">
        <v>9091</v>
      </c>
      <c r="L2816" s="28" t="s">
        <v>8318</v>
      </c>
      <c r="M2816" s="28" t="s">
        <v>21</v>
      </c>
      <c r="N2816" s="18"/>
      <c r="O2816" s="92">
        <v>37981</v>
      </c>
      <c r="P2816" s="28" t="s">
        <v>31</v>
      </c>
      <c r="Q2816" s="26" t="b">
        <v>0</v>
      </c>
      <c r="R2816" s="22">
        <f t="shared" si="46"/>
        <v>18</v>
      </c>
    </row>
    <row r="2817" spans="1:18">
      <c r="A2817" s="26">
        <v>7357</v>
      </c>
      <c r="B2817" s="27">
        <v>37964</v>
      </c>
      <c r="C2817" s="28" t="s">
        <v>9092</v>
      </c>
      <c r="D2817" s="27">
        <v>37960</v>
      </c>
      <c r="E2817" s="28" t="s">
        <v>9093</v>
      </c>
      <c r="F2817" s="28" t="s">
        <v>3434</v>
      </c>
      <c r="G2817" s="28" t="s">
        <v>20</v>
      </c>
      <c r="H2817" s="28" t="s">
        <v>21</v>
      </c>
      <c r="I2817" s="28" t="s">
        <v>21</v>
      </c>
      <c r="J2817" s="28" t="s">
        <v>9075</v>
      </c>
      <c r="K2817" s="28" t="s">
        <v>9094</v>
      </c>
      <c r="L2817" s="28" t="s">
        <v>314</v>
      </c>
      <c r="M2817" s="28" t="s">
        <v>21</v>
      </c>
      <c r="O2817" s="92">
        <v>37977</v>
      </c>
      <c r="P2817" s="28" t="s">
        <v>31</v>
      </c>
      <c r="Q2817" s="26" t="b">
        <v>0</v>
      </c>
      <c r="R2817" s="22">
        <f t="shared" si="46"/>
        <v>13</v>
      </c>
    </row>
    <row r="2818" spans="1:18">
      <c r="A2818" s="26">
        <v>7358</v>
      </c>
      <c r="B2818" s="27">
        <v>37964</v>
      </c>
      <c r="C2818" s="28" t="s">
        <v>9095</v>
      </c>
      <c r="D2818" s="27">
        <v>37960</v>
      </c>
      <c r="E2818" s="28" t="s">
        <v>9096</v>
      </c>
      <c r="F2818" s="28" t="s">
        <v>149</v>
      </c>
      <c r="G2818" s="28" t="s">
        <v>20</v>
      </c>
      <c r="H2818" s="28" t="s">
        <v>21</v>
      </c>
      <c r="I2818" s="28" t="s">
        <v>21</v>
      </c>
      <c r="J2818" s="28" t="s">
        <v>9097</v>
      </c>
      <c r="K2818" s="28" t="s">
        <v>9098</v>
      </c>
      <c r="L2818" s="28" t="s">
        <v>66</v>
      </c>
      <c r="M2818" s="28" t="s">
        <v>21</v>
      </c>
      <c r="O2818" s="92">
        <v>37984</v>
      </c>
      <c r="P2818" s="28" t="s">
        <v>31</v>
      </c>
      <c r="Q2818" s="26" t="b">
        <v>0</v>
      </c>
      <c r="R2818" s="22">
        <f t="shared" si="46"/>
        <v>20</v>
      </c>
    </row>
    <row r="2819" spans="1:18">
      <c r="A2819" s="26">
        <v>7359</v>
      </c>
      <c r="B2819" s="27">
        <v>37966</v>
      </c>
      <c r="C2819" s="28" t="s">
        <v>9099</v>
      </c>
      <c r="D2819" s="27">
        <v>37964</v>
      </c>
      <c r="E2819" s="28" t="s">
        <v>9100</v>
      </c>
      <c r="F2819" s="28" t="s">
        <v>5704</v>
      </c>
      <c r="G2819" s="28" t="s">
        <v>20</v>
      </c>
      <c r="H2819" s="28" t="s">
        <v>21</v>
      </c>
      <c r="I2819" s="28" t="s">
        <v>21</v>
      </c>
      <c r="J2819" s="28" t="s">
        <v>6081</v>
      </c>
      <c r="K2819" s="28" t="s">
        <v>9101</v>
      </c>
      <c r="L2819" s="28" t="s">
        <v>314</v>
      </c>
      <c r="M2819" s="28" t="s">
        <v>8318</v>
      </c>
      <c r="N2819" s="27">
        <v>38057</v>
      </c>
      <c r="O2819" s="92">
        <v>38022</v>
      </c>
      <c r="P2819" s="28" t="s">
        <v>31</v>
      </c>
      <c r="Q2819" s="26" t="b">
        <v>0</v>
      </c>
      <c r="R2819" s="22">
        <f t="shared" si="46"/>
        <v>54</v>
      </c>
    </row>
    <row r="2820" spans="1:18">
      <c r="A2820" s="26">
        <v>7363</v>
      </c>
      <c r="B2820" s="27">
        <v>37967</v>
      </c>
      <c r="C2820" s="28" t="s">
        <v>9104</v>
      </c>
      <c r="D2820" s="27">
        <v>37964</v>
      </c>
      <c r="E2820" s="28" t="s">
        <v>9105</v>
      </c>
      <c r="F2820" s="28" t="s">
        <v>3430</v>
      </c>
      <c r="G2820" s="28" t="s">
        <v>20</v>
      </c>
      <c r="H2820" s="28" t="s">
        <v>71</v>
      </c>
      <c r="I2820" s="28" t="s">
        <v>72</v>
      </c>
      <c r="J2820" s="28" t="s">
        <v>9106</v>
      </c>
      <c r="K2820" s="28" t="s">
        <v>5668</v>
      </c>
      <c r="L2820" s="28" t="s">
        <v>8318</v>
      </c>
      <c r="M2820" s="28" t="s">
        <v>21</v>
      </c>
      <c r="O2820" s="92">
        <v>37977</v>
      </c>
      <c r="P2820" s="28" t="s">
        <v>21</v>
      </c>
      <c r="Q2820" s="26" t="b">
        <v>0</v>
      </c>
      <c r="R2820" s="22">
        <f t="shared" si="46"/>
        <v>10</v>
      </c>
    </row>
    <row r="2821" spans="1:18">
      <c r="A2821" s="26">
        <v>7365</v>
      </c>
      <c r="B2821" s="27">
        <v>37970</v>
      </c>
      <c r="C2821" s="28" t="s">
        <v>9107</v>
      </c>
      <c r="D2821" s="27">
        <v>37970</v>
      </c>
      <c r="E2821" s="28" t="s">
        <v>9108</v>
      </c>
      <c r="F2821" s="28" t="s">
        <v>8615</v>
      </c>
      <c r="G2821" s="28" t="s">
        <v>20</v>
      </c>
      <c r="H2821" s="28" t="s">
        <v>21</v>
      </c>
      <c r="I2821" s="28" t="s">
        <v>21</v>
      </c>
      <c r="J2821" s="28" t="s">
        <v>5686</v>
      </c>
      <c r="K2821" s="28" t="s">
        <v>9109</v>
      </c>
      <c r="L2821" s="28" t="s">
        <v>9110</v>
      </c>
      <c r="M2821" s="28" t="s">
        <v>21</v>
      </c>
      <c r="N2821" s="27">
        <v>38001</v>
      </c>
      <c r="O2821" s="92">
        <v>38026</v>
      </c>
      <c r="P2821" s="28" t="s">
        <v>21</v>
      </c>
      <c r="Q2821" s="26" t="b">
        <v>0</v>
      </c>
      <c r="R2821" s="22">
        <f t="shared" si="46"/>
        <v>54</v>
      </c>
    </row>
    <row r="2822" spans="1:18">
      <c r="A2822" s="26">
        <v>7366</v>
      </c>
      <c r="B2822" s="27">
        <v>37971</v>
      </c>
      <c r="C2822" s="28" t="s">
        <v>9111</v>
      </c>
      <c r="D2822" s="27">
        <v>37971</v>
      </c>
      <c r="E2822" s="28" t="s">
        <v>3268</v>
      </c>
      <c r="F2822" s="28" t="s">
        <v>39</v>
      </c>
      <c r="G2822" s="28" t="s">
        <v>20</v>
      </c>
      <c r="H2822" s="28" t="s">
        <v>21</v>
      </c>
      <c r="I2822" s="28" t="s">
        <v>21</v>
      </c>
      <c r="J2822" s="28" t="s">
        <v>8904</v>
      </c>
      <c r="K2822" s="28" t="s">
        <v>9112</v>
      </c>
      <c r="L2822" s="28" t="s">
        <v>314</v>
      </c>
      <c r="M2822" s="28" t="s">
        <v>21</v>
      </c>
      <c r="O2822" s="92">
        <v>38022</v>
      </c>
      <c r="P2822" s="28" t="s">
        <v>21</v>
      </c>
      <c r="Q2822" s="26" t="b">
        <v>0</v>
      </c>
      <c r="R2822" s="22">
        <f t="shared" si="46"/>
        <v>49</v>
      </c>
    </row>
    <row r="2823" spans="1:18" ht="24">
      <c r="A2823" s="26">
        <v>7367</v>
      </c>
      <c r="B2823" s="27">
        <v>37971</v>
      </c>
      <c r="C2823" s="28" t="s">
        <v>9113</v>
      </c>
      <c r="D2823" s="27">
        <v>37966</v>
      </c>
      <c r="E2823" s="28" t="s">
        <v>9114</v>
      </c>
      <c r="F2823" s="28" t="s">
        <v>455</v>
      </c>
      <c r="G2823" s="28" t="s">
        <v>20</v>
      </c>
      <c r="H2823" s="28" t="s">
        <v>21</v>
      </c>
      <c r="I2823" s="28" t="s">
        <v>21</v>
      </c>
      <c r="J2823" s="28" t="s">
        <v>9115</v>
      </c>
      <c r="K2823" s="28" t="s">
        <v>9116</v>
      </c>
      <c r="L2823" s="28" t="s">
        <v>314</v>
      </c>
      <c r="M2823" s="28" t="s">
        <v>21</v>
      </c>
      <c r="N2823" s="18"/>
      <c r="O2823" s="92">
        <v>37979</v>
      </c>
      <c r="P2823" s="28" t="s">
        <v>21</v>
      </c>
      <c r="Q2823" s="26" t="b">
        <v>0</v>
      </c>
      <c r="R2823" s="22">
        <f t="shared" si="46"/>
        <v>8</v>
      </c>
    </row>
    <row r="2824" spans="1:18">
      <c r="A2824" s="26">
        <v>7369</v>
      </c>
      <c r="B2824" s="27">
        <v>37972</v>
      </c>
      <c r="C2824" s="28" t="s">
        <v>9121</v>
      </c>
      <c r="D2824" s="27">
        <v>37972</v>
      </c>
      <c r="E2824" s="28" t="s">
        <v>9122</v>
      </c>
      <c r="F2824" s="28" t="s">
        <v>3430</v>
      </c>
      <c r="G2824" s="28" t="s">
        <v>20</v>
      </c>
      <c r="H2824" s="28" t="s">
        <v>71</v>
      </c>
      <c r="I2824" s="28" t="s">
        <v>72</v>
      </c>
      <c r="J2824" s="28" t="s">
        <v>9123</v>
      </c>
      <c r="K2824" s="28" t="s">
        <v>9124</v>
      </c>
      <c r="L2824" s="28" t="s">
        <v>8318</v>
      </c>
      <c r="M2824" s="28" t="s">
        <v>21</v>
      </c>
      <c r="N2824" s="18"/>
      <c r="O2824" s="92">
        <v>37973</v>
      </c>
      <c r="P2824" s="28" t="s">
        <v>21</v>
      </c>
      <c r="Q2824" s="26" t="b">
        <v>0</v>
      </c>
      <c r="R2824" s="22">
        <f t="shared" si="46"/>
        <v>1</v>
      </c>
    </row>
    <row r="2825" spans="1:18">
      <c r="A2825" s="26">
        <v>7370</v>
      </c>
      <c r="B2825" s="27">
        <v>37972</v>
      </c>
      <c r="C2825" s="28" t="s">
        <v>9125</v>
      </c>
      <c r="D2825" s="27">
        <v>37972</v>
      </c>
      <c r="E2825" s="28" t="s">
        <v>9126</v>
      </c>
      <c r="F2825" s="28" t="s">
        <v>124</v>
      </c>
      <c r="G2825" s="28" t="s">
        <v>20</v>
      </c>
      <c r="H2825" s="28" t="s">
        <v>21</v>
      </c>
      <c r="I2825" s="28" t="s">
        <v>21</v>
      </c>
      <c r="J2825" s="28" t="s">
        <v>6081</v>
      </c>
      <c r="K2825" s="28" t="s">
        <v>9127</v>
      </c>
      <c r="L2825" s="28" t="s">
        <v>4282</v>
      </c>
      <c r="M2825" s="28" t="s">
        <v>21</v>
      </c>
      <c r="N2825" s="27">
        <v>38063</v>
      </c>
      <c r="O2825" s="92">
        <v>38035</v>
      </c>
      <c r="P2825" s="28" t="s">
        <v>31</v>
      </c>
      <c r="Q2825" s="26" t="b">
        <v>0</v>
      </c>
      <c r="R2825" s="22">
        <f t="shared" si="46"/>
        <v>61</v>
      </c>
    </row>
    <row r="2826" spans="1:18">
      <c r="A2826" s="26">
        <v>7371</v>
      </c>
      <c r="B2826" s="27">
        <v>37972</v>
      </c>
      <c r="C2826" s="28" t="s">
        <v>9128</v>
      </c>
      <c r="D2826" s="27">
        <v>37971</v>
      </c>
      <c r="E2826" s="28" t="s">
        <v>38</v>
      </c>
      <c r="F2826" s="28" t="s">
        <v>124</v>
      </c>
      <c r="G2826" s="28" t="s">
        <v>20</v>
      </c>
      <c r="H2826" s="28" t="s">
        <v>21</v>
      </c>
      <c r="I2826" s="28" t="s">
        <v>21</v>
      </c>
      <c r="J2826" s="28" t="s">
        <v>76</v>
      </c>
      <c r="K2826" s="28" t="s">
        <v>9129</v>
      </c>
      <c r="L2826" s="28" t="s">
        <v>8318</v>
      </c>
      <c r="M2826" s="28" t="s">
        <v>21</v>
      </c>
      <c r="N2826" s="18"/>
      <c r="O2826" s="92">
        <v>37974</v>
      </c>
      <c r="P2826" s="28" t="s">
        <v>31</v>
      </c>
      <c r="Q2826" s="26" t="b">
        <v>0</v>
      </c>
      <c r="R2826" s="22">
        <f t="shared" si="46"/>
        <v>2</v>
      </c>
    </row>
    <row r="2827" spans="1:18" ht="24">
      <c r="A2827" s="26">
        <v>7368</v>
      </c>
      <c r="B2827" s="27">
        <v>37973</v>
      </c>
      <c r="C2827" s="28" t="s">
        <v>9117</v>
      </c>
      <c r="D2827" s="27">
        <v>37967</v>
      </c>
      <c r="E2827" s="28" t="s">
        <v>9118</v>
      </c>
      <c r="F2827" s="28" t="s">
        <v>5704</v>
      </c>
      <c r="G2827" s="28" t="s">
        <v>20</v>
      </c>
      <c r="H2827" s="28" t="s">
        <v>21</v>
      </c>
      <c r="I2827" s="28" t="s">
        <v>21</v>
      </c>
      <c r="J2827" s="28" t="s">
        <v>9119</v>
      </c>
      <c r="K2827" s="28" t="s">
        <v>9120</v>
      </c>
      <c r="L2827" s="28" t="s">
        <v>314</v>
      </c>
      <c r="M2827" s="28" t="s">
        <v>21</v>
      </c>
      <c r="N2827" s="27">
        <v>38064</v>
      </c>
      <c r="O2827" s="92">
        <v>38008</v>
      </c>
      <c r="P2827" s="28" t="s">
        <v>31</v>
      </c>
      <c r="Q2827" s="26" t="b">
        <v>0</v>
      </c>
      <c r="R2827" s="22">
        <f t="shared" si="46"/>
        <v>34</v>
      </c>
    </row>
    <row r="2828" spans="1:18" ht="24">
      <c r="A2828" s="26">
        <v>7375</v>
      </c>
      <c r="B2828" s="27">
        <v>37973</v>
      </c>
      <c r="C2828" s="28" t="s">
        <v>9133</v>
      </c>
      <c r="D2828" s="27">
        <v>37972</v>
      </c>
      <c r="E2828" s="28" t="s">
        <v>9134</v>
      </c>
      <c r="F2828" s="28" t="s">
        <v>6298</v>
      </c>
      <c r="G2828" s="28" t="s">
        <v>20</v>
      </c>
      <c r="H2828" s="28" t="s">
        <v>71</v>
      </c>
      <c r="I2828" s="28" t="s">
        <v>72</v>
      </c>
      <c r="J2828" s="28" t="s">
        <v>9135</v>
      </c>
      <c r="K2828" s="28" t="s">
        <v>6081</v>
      </c>
      <c r="L2828" s="28" t="s">
        <v>4282</v>
      </c>
      <c r="M2828" s="28" t="s">
        <v>21</v>
      </c>
      <c r="N2828" s="29">
        <v>38064</v>
      </c>
      <c r="O2828" s="92">
        <v>38077</v>
      </c>
      <c r="P2828" s="28" t="s">
        <v>31</v>
      </c>
      <c r="Q2828" s="26" t="b">
        <v>0</v>
      </c>
      <c r="R2828" s="22">
        <f t="shared" si="46"/>
        <v>104</v>
      </c>
    </row>
    <row r="2829" spans="1:18">
      <c r="A2829" s="26">
        <v>7376</v>
      </c>
      <c r="B2829" s="27">
        <v>37973</v>
      </c>
      <c r="C2829" s="28" t="s">
        <v>9136</v>
      </c>
      <c r="D2829" s="27">
        <v>37966</v>
      </c>
      <c r="E2829" s="28" t="s">
        <v>9137</v>
      </c>
      <c r="F2829" s="28" t="s">
        <v>5091</v>
      </c>
      <c r="G2829" s="28" t="s">
        <v>20</v>
      </c>
      <c r="H2829" s="28" t="s">
        <v>189</v>
      </c>
      <c r="I2829" s="28" t="s">
        <v>189</v>
      </c>
      <c r="J2829" s="28" t="s">
        <v>9138</v>
      </c>
      <c r="K2829" s="28" t="s">
        <v>9139</v>
      </c>
      <c r="L2829" s="28" t="s">
        <v>66</v>
      </c>
      <c r="M2829" s="28" t="s">
        <v>21</v>
      </c>
      <c r="N2829" s="27">
        <v>38339</v>
      </c>
      <c r="O2829" s="92">
        <v>38079</v>
      </c>
      <c r="P2829" s="28" t="s">
        <v>21</v>
      </c>
      <c r="Q2829" s="26" t="b">
        <v>0</v>
      </c>
      <c r="R2829" s="22">
        <f t="shared" si="46"/>
        <v>105</v>
      </c>
    </row>
    <row r="2830" spans="1:18" ht="24">
      <c r="A2830" s="26">
        <v>7374</v>
      </c>
      <c r="B2830" s="27">
        <v>37974</v>
      </c>
      <c r="C2830" s="28" t="s">
        <v>9130</v>
      </c>
      <c r="D2830" s="27">
        <v>37974</v>
      </c>
      <c r="E2830" s="28" t="s">
        <v>9131</v>
      </c>
      <c r="F2830" s="28" t="s">
        <v>327</v>
      </c>
      <c r="G2830" s="28" t="s">
        <v>20</v>
      </c>
      <c r="H2830" s="28" t="s">
        <v>21</v>
      </c>
      <c r="I2830" s="28" t="s">
        <v>21</v>
      </c>
      <c r="J2830" s="28" t="s">
        <v>3538</v>
      </c>
      <c r="K2830" s="28" t="s">
        <v>7104</v>
      </c>
      <c r="L2830" s="28" t="s">
        <v>3588</v>
      </c>
      <c r="M2830" s="28" t="s">
        <v>9132</v>
      </c>
      <c r="N2830" s="27">
        <v>38340</v>
      </c>
      <c r="O2830" s="92">
        <v>39638</v>
      </c>
      <c r="P2830" s="28" t="s">
        <v>21</v>
      </c>
      <c r="Q2830" s="26" t="b">
        <v>0</v>
      </c>
      <c r="R2830" s="22">
        <f t="shared" si="46"/>
        <v>1662</v>
      </c>
    </row>
    <row r="2831" spans="1:18">
      <c r="A2831" s="26">
        <v>7380</v>
      </c>
      <c r="B2831" s="27">
        <v>37978</v>
      </c>
      <c r="C2831" s="28" t="s">
        <v>9147</v>
      </c>
      <c r="D2831" s="27">
        <v>37972</v>
      </c>
      <c r="E2831" s="28" t="s">
        <v>38</v>
      </c>
      <c r="F2831" s="28" t="s">
        <v>124</v>
      </c>
      <c r="G2831" s="28" t="s">
        <v>20</v>
      </c>
      <c r="H2831" s="28" t="s">
        <v>21</v>
      </c>
      <c r="I2831" s="28" t="s">
        <v>21</v>
      </c>
      <c r="J2831" s="28" t="s">
        <v>9148</v>
      </c>
      <c r="K2831" s="28" t="s">
        <v>9149</v>
      </c>
      <c r="L2831" s="28" t="s">
        <v>66</v>
      </c>
      <c r="M2831" s="28" t="s">
        <v>21</v>
      </c>
      <c r="N2831" s="18"/>
      <c r="O2831" s="92">
        <v>37985</v>
      </c>
      <c r="P2831" s="28" t="s">
        <v>31</v>
      </c>
      <c r="Q2831" s="26" t="b">
        <v>0</v>
      </c>
      <c r="R2831" s="22">
        <f t="shared" si="46"/>
        <v>7</v>
      </c>
    </row>
    <row r="2832" spans="1:18" ht="24">
      <c r="A2832" s="26">
        <v>6675</v>
      </c>
      <c r="B2832" s="27">
        <v>37979</v>
      </c>
      <c r="C2832" s="28" t="s">
        <v>7799</v>
      </c>
      <c r="D2832" s="27">
        <v>37645</v>
      </c>
      <c r="E2832" s="28" t="s">
        <v>283</v>
      </c>
      <c r="F2832" s="28" t="s">
        <v>1830</v>
      </c>
      <c r="G2832" s="28" t="s">
        <v>20</v>
      </c>
      <c r="H2832" s="28" t="s">
        <v>21</v>
      </c>
      <c r="I2832" s="28" t="s">
        <v>21</v>
      </c>
      <c r="J2832" s="28" t="s">
        <v>5576</v>
      </c>
      <c r="K2832" s="28" t="s">
        <v>7800</v>
      </c>
      <c r="L2832" s="28" t="s">
        <v>314</v>
      </c>
      <c r="M2832" s="28" t="s">
        <v>21</v>
      </c>
      <c r="N2832" s="18"/>
      <c r="O2832" s="92">
        <v>37742</v>
      </c>
      <c r="P2832" s="28" t="s">
        <v>21</v>
      </c>
      <c r="Q2832" s="26" t="b">
        <v>0</v>
      </c>
      <c r="R2832" s="22">
        <f t="shared" si="46"/>
        <v>236</v>
      </c>
    </row>
    <row r="2833" spans="1:18">
      <c r="A2833" s="26">
        <v>7377</v>
      </c>
      <c r="B2833" s="27">
        <v>37981</v>
      </c>
      <c r="C2833" s="28" t="s">
        <v>9140</v>
      </c>
      <c r="D2833" s="27">
        <v>37977</v>
      </c>
      <c r="E2833" s="28" t="s">
        <v>9141</v>
      </c>
      <c r="F2833" s="28" t="s">
        <v>861</v>
      </c>
      <c r="G2833" s="28" t="s">
        <v>20</v>
      </c>
      <c r="H2833" s="28" t="s">
        <v>566</v>
      </c>
      <c r="I2833" s="28" t="s">
        <v>566</v>
      </c>
      <c r="J2833" s="28" t="s">
        <v>9142</v>
      </c>
      <c r="K2833" s="28" t="s">
        <v>9143</v>
      </c>
      <c r="L2833" s="28" t="s">
        <v>4282</v>
      </c>
      <c r="M2833" s="28" t="s">
        <v>21</v>
      </c>
      <c r="N2833" s="27">
        <v>38072</v>
      </c>
      <c r="O2833" s="92">
        <v>38372</v>
      </c>
      <c r="P2833" s="28" t="s">
        <v>31</v>
      </c>
      <c r="Q2833" s="26" t="b">
        <v>0</v>
      </c>
      <c r="R2833" s="22">
        <f t="shared" si="46"/>
        <v>389</v>
      </c>
    </row>
    <row r="2834" spans="1:18">
      <c r="A2834" s="26">
        <v>7378</v>
      </c>
      <c r="B2834" s="27">
        <v>37981</v>
      </c>
      <c r="C2834" s="28" t="s">
        <v>9144</v>
      </c>
      <c r="D2834" s="27">
        <v>37977</v>
      </c>
      <c r="E2834" s="28" t="s">
        <v>9145</v>
      </c>
      <c r="F2834" s="28" t="s">
        <v>124</v>
      </c>
      <c r="G2834" s="28" t="s">
        <v>20</v>
      </c>
      <c r="H2834" s="28" t="s">
        <v>21</v>
      </c>
      <c r="I2834" s="28" t="s">
        <v>21</v>
      </c>
      <c r="J2834" s="28" t="s">
        <v>9146</v>
      </c>
      <c r="K2834" s="28" t="s">
        <v>8634</v>
      </c>
      <c r="L2834" s="28" t="s">
        <v>66</v>
      </c>
      <c r="M2834" s="28" t="s">
        <v>21</v>
      </c>
      <c r="N2834" s="29">
        <v>38072</v>
      </c>
      <c r="O2834" s="92">
        <v>38028</v>
      </c>
      <c r="P2834" s="28" t="s">
        <v>31</v>
      </c>
      <c r="Q2834" s="26" t="b">
        <v>0</v>
      </c>
      <c r="R2834" s="22">
        <f t="shared" si="46"/>
        <v>45</v>
      </c>
    </row>
    <row r="2835" spans="1:18">
      <c r="A2835" s="26">
        <v>7381</v>
      </c>
      <c r="B2835" s="27">
        <v>37984</v>
      </c>
      <c r="C2835" s="28" t="s">
        <v>9150</v>
      </c>
      <c r="D2835" s="27">
        <v>37984</v>
      </c>
      <c r="E2835" s="28" t="s">
        <v>9151</v>
      </c>
      <c r="F2835" s="28" t="s">
        <v>8615</v>
      </c>
      <c r="G2835" s="28" t="s">
        <v>20</v>
      </c>
      <c r="H2835" s="28" t="s">
        <v>21</v>
      </c>
      <c r="I2835" s="28" t="s">
        <v>21</v>
      </c>
      <c r="J2835" s="28" t="s">
        <v>9152</v>
      </c>
      <c r="K2835" s="28" t="s">
        <v>9153</v>
      </c>
      <c r="L2835" s="28" t="s">
        <v>66</v>
      </c>
      <c r="M2835" s="28" t="s">
        <v>21</v>
      </c>
      <c r="N2835" s="27">
        <v>38075</v>
      </c>
      <c r="O2835" s="92">
        <v>38089</v>
      </c>
      <c r="P2835" s="28" t="s">
        <v>31</v>
      </c>
      <c r="Q2835" s="26" t="b">
        <v>0</v>
      </c>
      <c r="R2835" s="22">
        <f t="shared" si="46"/>
        <v>104</v>
      </c>
    </row>
    <row r="2836" spans="1:18" ht="24">
      <c r="A2836" s="26">
        <v>7382</v>
      </c>
      <c r="B2836" s="27">
        <v>37984</v>
      </c>
      <c r="C2836" s="28" t="s">
        <v>9154</v>
      </c>
      <c r="D2836" s="27">
        <v>37973</v>
      </c>
      <c r="E2836" s="28" t="s">
        <v>9155</v>
      </c>
      <c r="F2836" s="28" t="s">
        <v>124</v>
      </c>
      <c r="G2836" s="28" t="s">
        <v>20</v>
      </c>
      <c r="H2836" s="28" t="s">
        <v>21</v>
      </c>
      <c r="I2836" s="28" t="s">
        <v>21</v>
      </c>
      <c r="J2836" s="28" t="s">
        <v>6081</v>
      </c>
      <c r="K2836" s="28" t="s">
        <v>9156</v>
      </c>
      <c r="L2836" s="28" t="s">
        <v>314</v>
      </c>
      <c r="M2836" s="28" t="s">
        <v>21</v>
      </c>
      <c r="N2836" s="27">
        <v>38075</v>
      </c>
      <c r="O2836" s="92">
        <v>38057</v>
      </c>
      <c r="P2836" s="28" t="s">
        <v>31</v>
      </c>
      <c r="Q2836" s="26" t="b">
        <v>0</v>
      </c>
      <c r="R2836" s="22">
        <f t="shared" si="46"/>
        <v>73</v>
      </c>
    </row>
    <row r="2837" spans="1:18">
      <c r="A2837" s="26">
        <v>7383</v>
      </c>
      <c r="B2837" s="27">
        <v>37984</v>
      </c>
      <c r="C2837" s="28" t="s">
        <v>9157</v>
      </c>
      <c r="D2837" s="27">
        <v>37981</v>
      </c>
      <c r="E2837" s="28" t="s">
        <v>9158</v>
      </c>
      <c r="F2837" s="28" t="s">
        <v>8615</v>
      </c>
      <c r="G2837" s="28" t="s">
        <v>20</v>
      </c>
      <c r="H2837" s="28" t="s">
        <v>21</v>
      </c>
      <c r="I2837" s="28" t="s">
        <v>21</v>
      </c>
      <c r="J2837" s="28" t="s">
        <v>9159</v>
      </c>
      <c r="K2837" s="28" t="s">
        <v>9160</v>
      </c>
      <c r="L2837" s="28" t="s">
        <v>8318</v>
      </c>
      <c r="M2837" s="28" t="s">
        <v>21</v>
      </c>
      <c r="N2837" s="27">
        <v>38350</v>
      </c>
      <c r="O2837" s="92">
        <v>38035</v>
      </c>
      <c r="P2837" s="28" t="s">
        <v>21</v>
      </c>
      <c r="Q2837" s="26" t="b">
        <v>0</v>
      </c>
      <c r="R2837" s="22">
        <f t="shared" si="46"/>
        <v>49</v>
      </c>
    </row>
    <row r="2838" spans="1:18">
      <c r="A2838" s="26">
        <v>7385</v>
      </c>
      <c r="B2838" s="27">
        <v>37988</v>
      </c>
      <c r="C2838" s="28" t="s">
        <v>9161</v>
      </c>
      <c r="D2838" s="27">
        <v>37985</v>
      </c>
      <c r="E2838" s="28" t="s">
        <v>9162</v>
      </c>
      <c r="F2838" s="28" t="s">
        <v>371</v>
      </c>
      <c r="G2838" s="28" t="s">
        <v>20</v>
      </c>
      <c r="H2838" s="28" t="s">
        <v>21</v>
      </c>
      <c r="I2838" s="28" t="s">
        <v>21</v>
      </c>
      <c r="J2838" s="28" t="s">
        <v>8836</v>
      </c>
      <c r="K2838" s="28" t="s">
        <v>9163</v>
      </c>
      <c r="L2838" s="28" t="s">
        <v>66</v>
      </c>
      <c r="M2838" s="28" t="s">
        <v>21</v>
      </c>
      <c r="N2838" s="27">
        <v>38354</v>
      </c>
      <c r="O2838" s="92">
        <v>38028</v>
      </c>
      <c r="P2838" s="28" t="s">
        <v>31</v>
      </c>
      <c r="Q2838" s="26" t="b">
        <v>0</v>
      </c>
      <c r="R2838" s="22">
        <f t="shared" si="46"/>
        <v>39</v>
      </c>
    </row>
    <row r="2839" spans="1:18">
      <c r="A2839" s="26">
        <v>7386</v>
      </c>
      <c r="B2839" s="27">
        <v>37991</v>
      </c>
      <c r="C2839" s="28" t="s">
        <v>9164</v>
      </c>
      <c r="D2839" s="27">
        <v>37986</v>
      </c>
      <c r="E2839" s="28" t="s">
        <v>9165</v>
      </c>
      <c r="F2839" s="28" t="s">
        <v>3236</v>
      </c>
      <c r="G2839" s="28" t="s">
        <v>20</v>
      </c>
      <c r="H2839" s="28" t="s">
        <v>21</v>
      </c>
      <c r="I2839" s="28" t="s">
        <v>21</v>
      </c>
      <c r="J2839" s="28" t="s">
        <v>9166</v>
      </c>
      <c r="K2839" s="28" t="s">
        <v>9167</v>
      </c>
      <c r="L2839" s="28" t="s">
        <v>314</v>
      </c>
      <c r="M2839" s="28" t="s">
        <v>21</v>
      </c>
      <c r="N2839" s="27">
        <v>38082</v>
      </c>
      <c r="O2839" s="92">
        <v>38012</v>
      </c>
      <c r="P2839" s="28" t="s">
        <v>31</v>
      </c>
      <c r="Q2839" s="26" t="b">
        <v>0</v>
      </c>
      <c r="R2839" s="22">
        <f t="shared" si="46"/>
        <v>21</v>
      </c>
    </row>
    <row r="2840" spans="1:18">
      <c r="A2840" s="26">
        <v>7387</v>
      </c>
      <c r="B2840" s="27">
        <v>37991</v>
      </c>
      <c r="C2840" s="28" t="s">
        <v>9168</v>
      </c>
      <c r="D2840" s="27">
        <v>37991</v>
      </c>
      <c r="E2840" s="28" t="s">
        <v>3268</v>
      </c>
      <c r="F2840" s="28" t="s">
        <v>8615</v>
      </c>
      <c r="G2840" s="28" t="s">
        <v>20</v>
      </c>
      <c r="H2840" s="28" t="s">
        <v>21</v>
      </c>
      <c r="I2840" s="28" t="s">
        <v>21</v>
      </c>
      <c r="J2840" s="28" t="s">
        <v>9169</v>
      </c>
      <c r="K2840" s="28" t="s">
        <v>7071</v>
      </c>
      <c r="L2840" s="28" t="s">
        <v>8318</v>
      </c>
      <c r="M2840" s="28" t="s">
        <v>21</v>
      </c>
      <c r="N2840" s="18"/>
      <c r="O2840" s="92">
        <v>38002</v>
      </c>
      <c r="P2840" s="28" t="s">
        <v>21</v>
      </c>
      <c r="Q2840" s="26" t="b">
        <v>0</v>
      </c>
      <c r="R2840" s="22">
        <f t="shared" si="46"/>
        <v>11</v>
      </c>
    </row>
    <row r="2841" spans="1:18">
      <c r="A2841" s="26">
        <v>7388</v>
      </c>
      <c r="B2841" s="27">
        <v>37992</v>
      </c>
      <c r="C2841" s="28" t="s">
        <v>9170</v>
      </c>
      <c r="D2841" s="27">
        <v>37992</v>
      </c>
      <c r="E2841" s="28" t="s">
        <v>9171</v>
      </c>
      <c r="F2841" s="28" t="s">
        <v>3434</v>
      </c>
      <c r="G2841" s="28" t="s">
        <v>20</v>
      </c>
      <c r="H2841" s="28" t="s">
        <v>21</v>
      </c>
      <c r="I2841" s="28" t="s">
        <v>21</v>
      </c>
      <c r="J2841" s="28" t="s">
        <v>9172</v>
      </c>
      <c r="K2841" s="28" t="s">
        <v>9173</v>
      </c>
      <c r="L2841" s="28" t="s">
        <v>4282</v>
      </c>
      <c r="M2841" s="28" t="s">
        <v>21</v>
      </c>
      <c r="N2841" s="27">
        <v>38083</v>
      </c>
      <c r="O2841" s="92">
        <v>38000</v>
      </c>
      <c r="P2841" s="28" t="s">
        <v>31</v>
      </c>
      <c r="Q2841" s="26" t="b">
        <v>0</v>
      </c>
      <c r="R2841" s="22">
        <f t="shared" ref="R2841:R2904" si="47">IF(O2841=" ", " ", INT(YEARFRAC(O2841, B2841)*365))</f>
        <v>8</v>
      </c>
    </row>
    <row r="2842" spans="1:18">
      <c r="A2842" s="26">
        <v>7389</v>
      </c>
      <c r="B2842" s="27">
        <v>37992</v>
      </c>
      <c r="C2842" s="28" t="s">
        <v>9174</v>
      </c>
      <c r="D2842" s="27">
        <v>37991</v>
      </c>
      <c r="E2842" s="28" t="s">
        <v>9175</v>
      </c>
      <c r="F2842" s="28" t="s">
        <v>733</v>
      </c>
      <c r="G2842" s="28" t="s">
        <v>20</v>
      </c>
      <c r="H2842" s="28" t="s">
        <v>21</v>
      </c>
      <c r="I2842" s="28" t="s">
        <v>21</v>
      </c>
      <c r="J2842" s="28" t="s">
        <v>9176</v>
      </c>
      <c r="K2842" s="28" t="s">
        <v>9177</v>
      </c>
      <c r="L2842" s="28" t="s">
        <v>66</v>
      </c>
      <c r="M2842" s="28" t="s">
        <v>21</v>
      </c>
      <c r="N2842" s="29">
        <v>38083</v>
      </c>
      <c r="O2842" s="92">
        <v>38069</v>
      </c>
      <c r="P2842" s="28" t="s">
        <v>31</v>
      </c>
      <c r="Q2842" s="26" t="b">
        <v>0</v>
      </c>
      <c r="R2842" s="22">
        <f t="shared" si="47"/>
        <v>78</v>
      </c>
    </row>
    <row r="2843" spans="1:18">
      <c r="A2843" s="26">
        <v>7391</v>
      </c>
      <c r="B2843" s="27">
        <v>37992</v>
      </c>
      <c r="C2843" s="28" t="s">
        <v>9178</v>
      </c>
      <c r="D2843" s="27">
        <v>37992</v>
      </c>
      <c r="E2843" s="28" t="s">
        <v>9179</v>
      </c>
      <c r="F2843" s="28" t="s">
        <v>104</v>
      </c>
      <c r="G2843" s="28" t="s">
        <v>20</v>
      </c>
      <c r="H2843" s="28" t="s">
        <v>21</v>
      </c>
      <c r="I2843" s="28" t="s">
        <v>21</v>
      </c>
      <c r="J2843" s="28" t="s">
        <v>9180</v>
      </c>
      <c r="K2843" s="28" t="s">
        <v>9181</v>
      </c>
      <c r="L2843" s="28" t="s">
        <v>314</v>
      </c>
      <c r="M2843" s="28" t="s">
        <v>21</v>
      </c>
      <c r="N2843" s="29">
        <v>38083</v>
      </c>
      <c r="O2843" s="92">
        <v>38001</v>
      </c>
      <c r="P2843" s="28" t="s">
        <v>31</v>
      </c>
      <c r="Q2843" s="26" t="b">
        <v>0</v>
      </c>
      <c r="R2843" s="22">
        <f t="shared" si="47"/>
        <v>9</v>
      </c>
    </row>
    <row r="2844" spans="1:18">
      <c r="A2844" s="26">
        <v>7392</v>
      </c>
      <c r="B2844" s="27">
        <v>37992</v>
      </c>
      <c r="C2844" s="28" t="s">
        <v>9182</v>
      </c>
      <c r="D2844" s="27">
        <v>37991</v>
      </c>
      <c r="E2844" s="28" t="s">
        <v>9183</v>
      </c>
      <c r="F2844" s="28" t="s">
        <v>1232</v>
      </c>
      <c r="G2844" s="28" t="s">
        <v>20</v>
      </c>
      <c r="H2844" s="28" t="s">
        <v>189</v>
      </c>
      <c r="I2844" s="28" t="s">
        <v>189</v>
      </c>
      <c r="J2844" s="28" t="s">
        <v>9184</v>
      </c>
      <c r="K2844" s="28" t="s">
        <v>5369</v>
      </c>
      <c r="L2844" s="28" t="s">
        <v>4282</v>
      </c>
      <c r="M2844" s="28" t="s">
        <v>21</v>
      </c>
      <c r="N2844" s="29">
        <v>38358</v>
      </c>
      <c r="O2844" s="92">
        <v>38008</v>
      </c>
      <c r="P2844" s="28" t="s">
        <v>21</v>
      </c>
      <c r="Q2844" s="26" t="b">
        <v>0</v>
      </c>
      <c r="R2844" s="22">
        <f t="shared" si="47"/>
        <v>16</v>
      </c>
    </row>
    <row r="2845" spans="1:18">
      <c r="A2845" s="26">
        <v>7393</v>
      </c>
      <c r="B2845" s="27">
        <v>37994</v>
      </c>
      <c r="C2845" s="28" t="s">
        <v>9185</v>
      </c>
      <c r="D2845" s="27">
        <v>37993</v>
      </c>
      <c r="E2845" s="28" t="s">
        <v>9186</v>
      </c>
      <c r="F2845" s="28" t="s">
        <v>5704</v>
      </c>
      <c r="G2845" s="28" t="s">
        <v>20</v>
      </c>
      <c r="H2845" s="28" t="s">
        <v>21</v>
      </c>
      <c r="I2845" s="28" t="s">
        <v>21</v>
      </c>
      <c r="J2845" s="28" t="s">
        <v>6081</v>
      </c>
      <c r="K2845" s="28" t="s">
        <v>9187</v>
      </c>
      <c r="L2845" s="28" t="s">
        <v>314</v>
      </c>
      <c r="M2845" s="28" t="s">
        <v>21</v>
      </c>
      <c r="N2845" s="29">
        <v>38085</v>
      </c>
      <c r="O2845" s="92">
        <v>38051</v>
      </c>
      <c r="P2845" s="28" t="s">
        <v>31</v>
      </c>
      <c r="Q2845" s="26" t="b">
        <v>0</v>
      </c>
      <c r="R2845" s="22">
        <f t="shared" si="47"/>
        <v>57</v>
      </c>
    </row>
    <row r="2846" spans="1:18" ht="24">
      <c r="A2846" s="26">
        <v>7394</v>
      </c>
      <c r="B2846" s="27">
        <v>37994</v>
      </c>
      <c r="C2846" s="28" t="s">
        <v>9188</v>
      </c>
      <c r="D2846" s="27">
        <v>37993</v>
      </c>
      <c r="E2846" s="28" t="s">
        <v>9189</v>
      </c>
      <c r="F2846" s="28" t="s">
        <v>5704</v>
      </c>
      <c r="G2846" s="28" t="s">
        <v>20</v>
      </c>
      <c r="H2846" s="28" t="s">
        <v>21</v>
      </c>
      <c r="I2846" s="28" t="s">
        <v>21</v>
      </c>
      <c r="J2846" s="28" t="s">
        <v>9190</v>
      </c>
      <c r="K2846" s="28" t="s">
        <v>9191</v>
      </c>
      <c r="L2846" s="28" t="s">
        <v>314</v>
      </c>
      <c r="M2846" s="28" t="s">
        <v>21</v>
      </c>
      <c r="N2846" s="27">
        <v>38085</v>
      </c>
      <c r="O2846" s="92">
        <v>38014</v>
      </c>
      <c r="P2846" s="28" t="s">
        <v>31</v>
      </c>
      <c r="Q2846" s="26" t="b">
        <v>0</v>
      </c>
      <c r="R2846" s="22">
        <f t="shared" si="47"/>
        <v>20</v>
      </c>
    </row>
    <row r="2847" spans="1:18">
      <c r="A2847" s="26">
        <v>7395</v>
      </c>
      <c r="B2847" s="27">
        <v>37994</v>
      </c>
      <c r="C2847" s="28" t="s">
        <v>9192</v>
      </c>
      <c r="D2847" s="27">
        <v>37993</v>
      </c>
      <c r="E2847" s="28" t="s">
        <v>9193</v>
      </c>
      <c r="F2847" s="28" t="s">
        <v>2413</v>
      </c>
      <c r="G2847" s="28" t="s">
        <v>20</v>
      </c>
      <c r="H2847" s="28" t="s">
        <v>21</v>
      </c>
      <c r="I2847" s="28" t="s">
        <v>21</v>
      </c>
      <c r="J2847" s="28" t="s">
        <v>9194</v>
      </c>
      <c r="K2847" s="28" t="s">
        <v>5986</v>
      </c>
      <c r="L2847" s="28" t="s">
        <v>4282</v>
      </c>
      <c r="M2847" s="28" t="s">
        <v>21</v>
      </c>
      <c r="N2847" s="27">
        <v>38085</v>
      </c>
      <c r="O2847" s="92">
        <v>38007</v>
      </c>
      <c r="P2847" s="28" t="s">
        <v>31</v>
      </c>
      <c r="Q2847" s="26" t="b">
        <v>0</v>
      </c>
      <c r="R2847" s="22">
        <f t="shared" si="47"/>
        <v>13</v>
      </c>
    </row>
    <row r="2848" spans="1:18">
      <c r="A2848" s="26">
        <v>7396</v>
      </c>
      <c r="B2848" s="27">
        <v>37995</v>
      </c>
      <c r="C2848" s="28" t="s">
        <v>9195</v>
      </c>
      <c r="D2848" s="27">
        <v>37995</v>
      </c>
      <c r="E2848" s="28" t="s">
        <v>283</v>
      </c>
      <c r="F2848" s="28" t="s">
        <v>98</v>
      </c>
      <c r="G2848" s="28" t="s">
        <v>20</v>
      </c>
      <c r="H2848" s="28" t="s">
        <v>21</v>
      </c>
      <c r="I2848" s="28" t="s">
        <v>21</v>
      </c>
      <c r="J2848" s="28" t="s">
        <v>9196</v>
      </c>
      <c r="K2848" s="28" t="s">
        <v>2988</v>
      </c>
      <c r="L2848" s="28" t="s">
        <v>66</v>
      </c>
      <c r="M2848" s="28" t="s">
        <v>21</v>
      </c>
      <c r="O2848" s="92">
        <v>38019</v>
      </c>
      <c r="P2848" s="28" t="s">
        <v>21</v>
      </c>
      <c r="Q2848" s="26" t="b">
        <v>0</v>
      </c>
      <c r="R2848" s="22">
        <f t="shared" si="47"/>
        <v>23</v>
      </c>
    </row>
    <row r="2849" spans="1:18">
      <c r="A2849" s="26">
        <v>7400</v>
      </c>
      <c r="B2849" s="27">
        <v>37995</v>
      </c>
      <c r="C2849" s="28" t="s">
        <v>9206</v>
      </c>
      <c r="D2849" s="27">
        <v>37994</v>
      </c>
      <c r="E2849" s="28" t="s">
        <v>9207</v>
      </c>
      <c r="F2849" s="28" t="s">
        <v>5704</v>
      </c>
      <c r="G2849" s="28" t="s">
        <v>20</v>
      </c>
      <c r="H2849" s="28" t="s">
        <v>21</v>
      </c>
      <c r="I2849" s="28" t="s">
        <v>21</v>
      </c>
      <c r="J2849" s="28" t="s">
        <v>9208</v>
      </c>
      <c r="K2849" s="28" t="s">
        <v>9209</v>
      </c>
      <c r="L2849" s="28" t="s">
        <v>314</v>
      </c>
      <c r="M2849" s="28" t="s">
        <v>21</v>
      </c>
      <c r="N2849" s="29">
        <v>38086</v>
      </c>
      <c r="O2849" s="92">
        <v>38023</v>
      </c>
      <c r="P2849" s="28" t="s">
        <v>31</v>
      </c>
      <c r="Q2849" s="26" t="b">
        <v>0</v>
      </c>
      <c r="R2849" s="22">
        <f t="shared" si="47"/>
        <v>27</v>
      </c>
    </row>
    <row r="2850" spans="1:18">
      <c r="A2850" s="26">
        <v>7401</v>
      </c>
      <c r="B2850" s="27">
        <v>37995</v>
      </c>
      <c r="C2850" s="28" t="s">
        <v>9210</v>
      </c>
      <c r="D2850" s="27">
        <v>37990</v>
      </c>
      <c r="E2850" s="28" t="s">
        <v>9211</v>
      </c>
      <c r="F2850" s="28" t="s">
        <v>124</v>
      </c>
      <c r="G2850" s="28" t="s">
        <v>20</v>
      </c>
      <c r="H2850" s="28" t="s">
        <v>21</v>
      </c>
      <c r="I2850" s="28" t="s">
        <v>21</v>
      </c>
      <c r="J2850" s="28" t="s">
        <v>2547</v>
      </c>
      <c r="K2850" s="28" t="s">
        <v>21</v>
      </c>
      <c r="L2850" s="28" t="s">
        <v>66</v>
      </c>
      <c r="M2850" s="28" t="s">
        <v>21</v>
      </c>
      <c r="N2850" s="27">
        <v>38086</v>
      </c>
      <c r="O2850" s="92">
        <v>38019</v>
      </c>
      <c r="P2850" s="28" t="s">
        <v>31</v>
      </c>
      <c r="Q2850" s="26" t="b">
        <v>0</v>
      </c>
      <c r="R2850" s="22">
        <f t="shared" si="47"/>
        <v>23</v>
      </c>
    </row>
    <row r="2851" spans="1:18">
      <c r="A2851" s="26">
        <v>7397</v>
      </c>
      <c r="B2851" s="27">
        <v>37998</v>
      </c>
      <c r="C2851" s="28" t="s">
        <v>9197</v>
      </c>
      <c r="D2851" s="27">
        <v>37998</v>
      </c>
      <c r="E2851" s="28" t="s">
        <v>38</v>
      </c>
      <c r="F2851" s="28" t="s">
        <v>9198</v>
      </c>
      <c r="G2851" s="28" t="s">
        <v>20</v>
      </c>
      <c r="H2851" s="28" t="s">
        <v>21</v>
      </c>
      <c r="I2851" s="28" t="s">
        <v>21</v>
      </c>
      <c r="J2851" s="28" t="s">
        <v>9199</v>
      </c>
      <c r="K2851" s="28" t="s">
        <v>9200</v>
      </c>
      <c r="L2851" s="28" t="s">
        <v>4282</v>
      </c>
      <c r="M2851" s="28" t="s">
        <v>21</v>
      </c>
      <c r="N2851" s="18"/>
      <c r="O2851" s="92">
        <v>37999</v>
      </c>
      <c r="P2851" s="28" t="s">
        <v>21</v>
      </c>
      <c r="Q2851" s="26" t="b">
        <v>0</v>
      </c>
      <c r="R2851" s="22">
        <f t="shared" si="47"/>
        <v>1</v>
      </c>
    </row>
    <row r="2852" spans="1:18">
      <c r="A2852" s="26">
        <v>7398</v>
      </c>
      <c r="B2852" s="27">
        <v>37998</v>
      </c>
      <c r="C2852" s="28" t="s">
        <v>9201</v>
      </c>
      <c r="D2852" s="27">
        <v>37998</v>
      </c>
      <c r="E2852" s="28" t="s">
        <v>38</v>
      </c>
      <c r="F2852" s="28" t="s">
        <v>359</v>
      </c>
      <c r="G2852" s="28" t="s">
        <v>20</v>
      </c>
      <c r="H2852" s="28" t="s">
        <v>21</v>
      </c>
      <c r="I2852" s="28" t="s">
        <v>21</v>
      </c>
      <c r="J2852" s="28" t="s">
        <v>9202</v>
      </c>
      <c r="K2852" s="28" t="s">
        <v>9203</v>
      </c>
      <c r="L2852" s="28" t="s">
        <v>66</v>
      </c>
      <c r="M2852" s="28" t="s">
        <v>21</v>
      </c>
      <c r="O2852" s="92">
        <v>37999</v>
      </c>
      <c r="P2852" s="28" t="s">
        <v>21</v>
      </c>
      <c r="Q2852" s="26" t="b">
        <v>0</v>
      </c>
      <c r="R2852" s="22">
        <f t="shared" si="47"/>
        <v>1</v>
      </c>
    </row>
    <row r="2853" spans="1:18">
      <c r="A2853" s="26">
        <v>7399</v>
      </c>
      <c r="B2853" s="27">
        <v>37998</v>
      </c>
      <c r="C2853" s="28" t="s">
        <v>9204</v>
      </c>
      <c r="D2853" s="27">
        <v>37994</v>
      </c>
      <c r="E2853" s="28" t="s">
        <v>38</v>
      </c>
      <c r="F2853" s="28" t="s">
        <v>124</v>
      </c>
      <c r="G2853" s="28" t="s">
        <v>20</v>
      </c>
      <c r="H2853" s="28" t="s">
        <v>21</v>
      </c>
      <c r="I2853" s="28" t="s">
        <v>21</v>
      </c>
      <c r="J2853" s="28" t="s">
        <v>572</v>
      </c>
      <c r="K2853" s="28" t="s">
        <v>9205</v>
      </c>
      <c r="L2853" s="28" t="s">
        <v>8318</v>
      </c>
      <c r="M2853" s="28" t="s">
        <v>21</v>
      </c>
      <c r="O2853" s="92">
        <v>37998</v>
      </c>
      <c r="P2853" s="28" t="s">
        <v>31</v>
      </c>
      <c r="Q2853" s="26" t="b">
        <v>0</v>
      </c>
      <c r="R2853" s="22">
        <f t="shared" si="47"/>
        <v>0</v>
      </c>
    </row>
    <row r="2854" spans="1:18">
      <c r="A2854" s="26">
        <v>7405</v>
      </c>
      <c r="B2854" s="27">
        <v>37998</v>
      </c>
      <c r="C2854" s="28" t="s">
        <v>9222</v>
      </c>
      <c r="D2854" s="27">
        <v>37985</v>
      </c>
      <c r="E2854" s="28" t="s">
        <v>9223</v>
      </c>
      <c r="F2854" s="28" t="s">
        <v>124</v>
      </c>
      <c r="G2854" s="28" t="s">
        <v>20</v>
      </c>
      <c r="H2854" s="28" t="s">
        <v>21</v>
      </c>
      <c r="I2854" s="28" t="s">
        <v>21</v>
      </c>
      <c r="J2854" s="28" t="s">
        <v>9224</v>
      </c>
      <c r="K2854" s="28" t="s">
        <v>6081</v>
      </c>
      <c r="L2854" s="28" t="s">
        <v>66</v>
      </c>
      <c r="M2854" s="28" t="s">
        <v>21</v>
      </c>
      <c r="N2854" s="29">
        <v>38089</v>
      </c>
      <c r="O2854" s="92">
        <v>38082</v>
      </c>
      <c r="P2854" s="28" t="s">
        <v>31</v>
      </c>
      <c r="Q2854" s="26" t="b">
        <v>0</v>
      </c>
      <c r="R2854" s="22">
        <f t="shared" si="47"/>
        <v>84</v>
      </c>
    </row>
    <row r="2855" spans="1:18">
      <c r="A2855" s="26">
        <v>7402</v>
      </c>
      <c r="B2855" s="27">
        <v>37999</v>
      </c>
      <c r="C2855" s="28" t="s">
        <v>9212</v>
      </c>
      <c r="D2855" s="27">
        <v>37999</v>
      </c>
      <c r="E2855" s="28" t="s">
        <v>38</v>
      </c>
      <c r="F2855" s="28" t="s">
        <v>5704</v>
      </c>
      <c r="G2855" s="28" t="s">
        <v>20</v>
      </c>
      <c r="H2855" s="28" t="s">
        <v>21</v>
      </c>
      <c r="I2855" s="28" t="s">
        <v>21</v>
      </c>
      <c r="J2855" s="28" t="s">
        <v>9213</v>
      </c>
      <c r="K2855" s="28" t="s">
        <v>9214</v>
      </c>
      <c r="L2855" s="28" t="s">
        <v>8318</v>
      </c>
      <c r="M2855" s="28" t="s">
        <v>21</v>
      </c>
      <c r="O2855" s="92">
        <v>37999</v>
      </c>
      <c r="P2855" s="28" t="s">
        <v>31</v>
      </c>
      <c r="Q2855" s="26" t="b">
        <v>0</v>
      </c>
      <c r="R2855" s="22">
        <f t="shared" si="47"/>
        <v>0</v>
      </c>
    </row>
    <row r="2856" spans="1:18" ht="24">
      <c r="A2856" s="26">
        <v>7403</v>
      </c>
      <c r="B2856" s="27">
        <v>38000</v>
      </c>
      <c r="C2856" s="28" t="s">
        <v>9215</v>
      </c>
      <c r="D2856" s="27">
        <v>38000</v>
      </c>
      <c r="E2856" s="28" t="s">
        <v>9216</v>
      </c>
      <c r="F2856" s="28" t="s">
        <v>2838</v>
      </c>
      <c r="G2856" s="28" t="s">
        <v>20</v>
      </c>
      <c r="H2856" s="28" t="s">
        <v>21</v>
      </c>
      <c r="I2856" s="28" t="s">
        <v>21</v>
      </c>
      <c r="J2856" s="28" t="s">
        <v>9217</v>
      </c>
      <c r="K2856" s="28" t="s">
        <v>9218</v>
      </c>
      <c r="L2856" s="28" t="s">
        <v>66</v>
      </c>
      <c r="M2856" s="28" t="s">
        <v>21</v>
      </c>
      <c r="O2856" s="92">
        <v>38002</v>
      </c>
      <c r="P2856" s="28" t="s">
        <v>21</v>
      </c>
      <c r="Q2856" s="26" t="b">
        <v>0</v>
      </c>
      <c r="R2856" s="22">
        <f t="shared" si="47"/>
        <v>2</v>
      </c>
    </row>
    <row r="2857" spans="1:18">
      <c r="A2857" s="26">
        <v>7404</v>
      </c>
      <c r="B2857" s="27">
        <v>38000</v>
      </c>
      <c r="C2857" s="28" t="s">
        <v>9219</v>
      </c>
      <c r="D2857" s="27">
        <v>38000</v>
      </c>
      <c r="E2857" s="28" t="s">
        <v>9220</v>
      </c>
      <c r="F2857" s="28" t="s">
        <v>2565</v>
      </c>
      <c r="G2857" s="28" t="s">
        <v>20</v>
      </c>
      <c r="H2857" s="28" t="s">
        <v>189</v>
      </c>
      <c r="I2857" s="28" t="s">
        <v>189</v>
      </c>
      <c r="J2857" s="28" t="s">
        <v>9014</v>
      </c>
      <c r="K2857" s="28" t="s">
        <v>9221</v>
      </c>
      <c r="L2857" s="28" t="s">
        <v>4282</v>
      </c>
      <c r="M2857" s="28" t="s">
        <v>21</v>
      </c>
      <c r="N2857" s="29">
        <v>38091</v>
      </c>
      <c r="O2857" s="92">
        <v>38012</v>
      </c>
      <c r="P2857" s="28" t="s">
        <v>31</v>
      </c>
      <c r="Q2857" s="26" t="b">
        <v>0</v>
      </c>
      <c r="R2857" s="22">
        <f t="shared" si="47"/>
        <v>12</v>
      </c>
    </row>
    <row r="2858" spans="1:18" ht="24">
      <c r="A2858" s="26">
        <v>7406</v>
      </c>
      <c r="B2858" s="27">
        <v>38001</v>
      </c>
      <c r="C2858" s="28" t="s">
        <v>9225</v>
      </c>
      <c r="D2858" s="27">
        <v>38001</v>
      </c>
      <c r="E2858" s="28" t="s">
        <v>9226</v>
      </c>
      <c r="F2858" s="28" t="s">
        <v>5704</v>
      </c>
      <c r="G2858" s="28" t="s">
        <v>20</v>
      </c>
      <c r="H2858" s="28" t="s">
        <v>21</v>
      </c>
      <c r="I2858" s="28" t="s">
        <v>21</v>
      </c>
      <c r="J2858" s="28" t="s">
        <v>9227</v>
      </c>
      <c r="K2858" s="28" t="s">
        <v>21</v>
      </c>
      <c r="L2858" s="28" t="s">
        <v>314</v>
      </c>
      <c r="M2858" s="28" t="s">
        <v>21</v>
      </c>
      <c r="O2858" s="92">
        <v>38008</v>
      </c>
      <c r="P2858" s="28" t="s">
        <v>21</v>
      </c>
      <c r="Q2858" s="26" t="b">
        <v>0</v>
      </c>
      <c r="R2858" s="22">
        <f t="shared" si="47"/>
        <v>7</v>
      </c>
    </row>
    <row r="2859" spans="1:18">
      <c r="A2859" s="26">
        <v>7407</v>
      </c>
      <c r="B2859" s="27">
        <v>38001</v>
      </c>
      <c r="C2859" s="28" t="s">
        <v>9228</v>
      </c>
      <c r="D2859" s="27">
        <v>38000</v>
      </c>
      <c r="E2859" s="28" t="s">
        <v>4172</v>
      </c>
      <c r="F2859" s="28" t="s">
        <v>6953</v>
      </c>
      <c r="G2859" s="28" t="s">
        <v>20</v>
      </c>
      <c r="H2859" s="28" t="s">
        <v>21</v>
      </c>
      <c r="I2859" s="28" t="s">
        <v>21</v>
      </c>
      <c r="J2859" s="28" t="s">
        <v>9229</v>
      </c>
      <c r="K2859" s="28" t="s">
        <v>9230</v>
      </c>
      <c r="L2859" s="28" t="s">
        <v>314</v>
      </c>
      <c r="M2859" s="28" t="s">
        <v>21</v>
      </c>
      <c r="O2859" s="92">
        <v>38061</v>
      </c>
      <c r="P2859" s="28" t="s">
        <v>31</v>
      </c>
      <c r="Q2859" s="26" t="b">
        <v>0</v>
      </c>
      <c r="R2859" s="22">
        <f t="shared" si="47"/>
        <v>60</v>
      </c>
    </row>
    <row r="2860" spans="1:18">
      <c r="A2860" s="26">
        <v>7408</v>
      </c>
      <c r="B2860" s="27">
        <v>38001</v>
      </c>
      <c r="C2860" s="28" t="s">
        <v>9231</v>
      </c>
      <c r="D2860" s="27">
        <v>38000</v>
      </c>
      <c r="E2860" s="28" t="s">
        <v>4172</v>
      </c>
      <c r="F2860" s="28" t="s">
        <v>27</v>
      </c>
      <c r="G2860" s="28" t="s">
        <v>20</v>
      </c>
      <c r="H2860" s="28" t="s">
        <v>21</v>
      </c>
      <c r="I2860" s="28" t="s">
        <v>21</v>
      </c>
      <c r="J2860" s="28" t="s">
        <v>4690</v>
      </c>
      <c r="K2860" s="28" t="s">
        <v>9232</v>
      </c>
      <c r="L2860" s="28" t="s">
        <v>4282</v>
      </c>
      <c r="M2860" s="28" t="s">
        <v>21</v>
      </c>
      <c r="O2860" s="92">
        <v>38226</v>
      </c>
      <c r="P2860" s="28" t="s">
        <v>21</v>
      </c>
      <c r="Q2860" s="26" t="b">
        <v>0</v>
      </c>
      <c r="R2860" s="22">
        <f t="shared" si="47"/>
        <v>225</v>
      </c>
    </row>
    <row r="2861" spans="1:18">
      <c r="A2861" s="26">
        <v>7410</v>
      </c>
      <c r="B2861" s="27">
        <v>38006</v>
      </c>
      <c r="C2861" s="28" t="s">
        <v>9233</v>
      </c>
      <c r="D2861" s="27">
        <v>38002</v>
      </c>
      <c r="E2861" s="28" t="s">
        <v>9234</v>
      </c>
      <c r="F2861" s="28" t="s">
        <v>5704</v>
      </c>
      <c r="G2861" s="28" t="s">
        <v>20</v>
      </c>
      <c r="H2861" s="28" t="s">
        <v>21</v>
      </c>
      <c r="I2861" s="28" t="s">
        <v>21</v>
      </c>
      <c r="J2861" s="28" t="s">
        <v>9235</v>
      </c>
      <c r="K2861" s="28" t="s">
        <v>9236</v>
      </c>
      <c r="L2861" s="28" t="s">
        <v>314</v>
      </c>
      <c r="M2861" s="28" t="s">
        <v>21</v>
      </c>
      <c r="O2861" s="92">
        <v>38174</v>
      </c>
      <c r="P2861" s="28" t="s">
        <v>21</v>
      </c>
      <c r="Q2861" s="26" t="b">
        <v>0</v>
      </c>
      <c r="R2861" s="22">
        <f t="shared" si="47"/>
        <v>168</v>
      </c>
    </row>
    <row r="2862" spans="1:18">
      <c r="A2862" s="26">
        <v>7424</v>
      </c>
      <c r="B2862" s="27">
        <v>38006</v>
      </c>
      <c r="C2862" s="28" t="s">
        <v>9254</v>
      </c>
      <c r="D2862" s="27">
        <v>38006</v>
      </c>
      <c r="E2862" s="28" t="s">
        <v>9255</v>
      </c>
      <c r="F2862" s="28" t="s">
        <v>3434</v>
      </c>
      <c r="G2862" s="28" t="s">
        <v>20</v>
      </c>
      <c r="H2862" s="28" t="s">
        <v>21</v>
      </c>
      <c r="I2862" s="28" t="s">
        <v>21</v>
      </c>
      <c r="J2862" s="28" t="s">
        <v>9256</v>
      </c>
      <c r="K2862" s="28" t="s">
        <v>9257</v>
      </c>
      <c r="L2862" s="28" t="s">
        <v>8318</v>
      </c>
      <c r="M2862" s="28" t="s">
        <v>21</v>
      </c>
      <c r="O2862" s="92">
        <v>38012</v>
      </c>
      <c r="P2862" s="28" t="s">
        <v>31</v>
      </c>
      <c r="Q2862" s="26" t="b">
        <v>0</v>
      </c>
      <c r="R2862" s="22">
        <f t="shared" si="47"/>
        <v>6</v>
      </c>
    </row>
    <row r="2863" spans="1:18">
      <c r="A2863" s="26">
        <v>7412</v>
      </c>
      <c r="B2863" s="27">
        <v>38007</v>
      </c>
      <c r="C2863" s="28" t="s">
        <v>9237</v>
      </c>
      <c r="D2863" s="27">
        <v>38007</v>
      </c>
      <c r="E2863" s="28" t="s">
        <v>38</v>
      </c>
      <c r="F2863" s="28" t="s">
        <v>2105</v>
      </c>
      <c r="G2863" s="28" t="s">
        <v>20</v>
      </c>
      <c r="H2863" s="28" t="s">
        <v>189</v>
      </c>
      <c r="I2863" s="28" t="s">
        <v>189</v>
      </c>
      <c r="J2863" s="28" t="s">
        <v>9238</v>
      </c>
      <c r="K2863" s="28" t="s">
        <v>9239</v>
      </c>
      <c r="L2863" s="28" t="s">
        <v>8318</v>
      </c>
      <c r="M2863" s="28" t="s">
        <v>21</v>
      </c>
      <c r="O2863" s="92">
        <v>38007</v>
      </c>
      <c r="P2863" s="28" t="s">
        <v>31</v>
      </c>
      <c r="Q2863" s="26" t="b">
        <v>0</v>
      </c>
      <c r="R2863" s="22">
        <f t="shared" si="47"/>
        <v>0</v>
      </c>
    </row>
    <row r="2864" spans="1:18">
      <c r="A2864" s="26">
        <v>7417</v>
      </c>
      <c r="B2864" s="27">
        <v>38007</v>
      </c>
      <c r="C2864" s="28" t="s">
        <v>9240</v>
      </c>
      <c r="D2864" s="27">
        <v>38007</v>
      </c>
      <c r="E2864" s="28" t="s">
        <v>38</v>
      </c>
      <c r="F2864" s="28" t="s">
        <v>8615</v>
      </c>
      <c r="G2864" s="28" t="s">
        <v>20</v>
      </c>
      <c r="H2864" s="28" t="s">
        <v>21</v>
      </c>
      <c r="I2864" s="28" t="s">
        <v>21</v>
      </c>
      <c r="J2864" s="28" t="s">
        <v>9241</v>
      </c>
      <c r="K2864" s="28" t="s">
        <v>7150</v>
      </c>
      <c r="L2864" s="28" t="s">
        <v>8318</v>
      </c>
      <c r="M2864" s="28" t="s">
        <v>21</v>
      </c>
      <c r="O2864" s="92">
        <v>38007</v>
      </c>
      <c r="P2864" s="28" t="s">
        <v>21</v>
      </c>
      <c r="Q2864" s="26" t="b">
        <v>0</v>
      </c>
      <c r="R2864" s="22">
        <f t="shared" si="47"/>
        <v>0</v>
      </c>
    </row>
    <row r="2865" spans="1:18">
      <c r="A2865" s="26">
        <v>7496</v>
      </c>
      <c r="B2865" s="27">
        <v>38007</v>
      </c>
      <c r="C2865" s="28" t="s">
        <v>9420</v>
      </c>
      <c r="D2865" s="27">
        <v>38000</v>
      </c>
      <c r="E2865" s="28" t="s">
        <v>38</v>
      </c>
      <c r="F2865" s="28" t="s">
        <v>9047</v>
      </c>
      <c r="G2865" s="28" t="s">
        <v>20</v>
      </c>
      <c r="H2865" s="28" t="s">
        <v>71</v>
      </c>
      <c r="I2865" s="28" t="s">
        <v>72</v>
      </c>
      <c r="J2865" s="28" t="s">
        <v>9421</v>
      </c>
      <c r="K2865" s="28" t="s">
        <v>5369</v>
      </c>
      <c r="L2865" s="28" t="s">
        <v>8318</v>
      </c>
      <c r="M2865" s="28" t="s">
        <v>21</v>
      </c>
      <c r="O2865" s="92">
        <v>38007</v>
      </c>
      <c r="P2865" s="28" t="s">
        <v>21</v>
      </c>
      <c r="Q2865" s="26" t="b">
        <v>0</v>
      </c>
      <c r="R2865" s="22">
        <f t="shared" si="47"/>
        <v>0</v>
      </c>
    </row>
    <row r="2866" spans="1:18">
      <c r="A2866" s="26">
        <v>7420</v>
      </c>
      <c r="B2866" s="27">
        <v>38008</v>
      </c>
      <c r="C2866" s="28" t="s">
        <v>9242</v>
      </c>
      <c r="D2866" s="27">
        <v>38008</v>
      </c>
      <c r="E2866" s="28" t="s">
        <v>283</v>
      </c>
      <c r="F2866" s="28" t="s">
        <v>1686</v>
      </c>
      <c r="G2866" s="28" t="s">
        <v>20</v>
      </c>
      <c r="H2866" s="28" t="s">
        <v>21</v>
      </c>
      <c r="I2866" s="28" t="s">
        <v>21</v>
      </c>
      <c r="J2866" s="28" t="s">
        <v>9243</v>
      </c>
      <c r="K2866" s="28" t="s">
        <v>9244</v>
      </c>
      <c r="L2866" s="28" t="s">
        <v>4282</v>
      </c>
      <c r="M2866" s="28" t="s">
        <v>21</v>
      </c>
      <c r="N2866" s="18"/>
      <c r="O2866" s="92">
        <v>38168</v>
      </c>
      <c r="P2866" s="28" t="s">
        <v>21</v>
      </c>
      <c r="Q2866" s="26" t="b">
        <v>0</v>
      </c>
      <c r="R2866" s="22">
        <f t="shared" si="47"/>
        <v>160</v>
      </c>
    </row>
    <row r="2867" spans="1:18">
      <c r="A2867" s="26">
        <v>7421</v>
      </c>
      <c r="B2867" s="27">
        <v>38008</v>
      </c>
      <c r="C2867" s="28" t="s">
        <v>9245</v>
      </c>
      <c r="D2867" s="27">
        <v>38008</v>
      </c>
      <c r="E2867" s="28" t="s">
        <v>283</v>
      </c>
      <c r="F2867" s="28" t="s">
        <v>7024</v>
      </c>
      <c r="G2867" s="28" t="s">
        <v>20</v>
      </c>
      <c r="H2867" s="28" t="s">
        <v>21</v>
      </c>
      <c r="I2867" s="28" t="s">
        <v>21</v>
      </c>
      <c r="J2867" s="28" t="s">
        <v>9246</v>
      </c>
      <c r="K2867" s="28" t="s">
        <v>9247</v>
      </c>
      <c r="L2867" s="28" t="s">
        <v>314</v>
      </c>
      <c r="M2867" s="28" t="s">
        <v>21</v>
      </c>
      <c r="N2867" s="18"/>
      <c r="O2867" s="92">
        <v>38168</v>
      </c>
      <c r="P2867" s="28" t="s">
        <v>21</v>
      </c>
      <c r="Q2867" s="26" t="b">
        <v>0</v>
      </c>
      <c r="R2867" s="22">
        <f t="shared" si="47"/>
        <v>160</v>
      </c>
    </row>
    <row r="2868" spans="1:18">
      <c r="A2868" s="26">
        <v>7422</v>
      </c>
      <c r="B2868" s="27">
        <v>38008</v>
      </c>
      <c r="C2868" s="28" t="s">
        <v>9248</v>
      </c>
      <c r="D2868" s="27">
        <v>38008</v>
      </c>
      <c r="E2868" s="28" t="s">
        <v>283</v>
      </c>
      <c r="F2868" s="28" t="s">
        <v>52</v>
      </c>
      <c r="G2868" s="28" t="s">
        <v>20</v>
      </c>
      <c r="H2868" s="28" t="s">
        <v>21</v>
      </c>
      <c r="I2868" s="28" t="s">
        <v>21</v>
      </c>
      <c r="J2868" s="28" t="s">
        <v>9249</v>
      </c>
      <c r="K2868" s="28" t="s">
        <v>9250</v>
      </c>
      <c r="L2868" s="28" t="s">
        <v>4282</v>
      </c>
      <c r="M2868" s="28" t="s">
        <v>21</v>
      </c>
      <c r="N2868" s="18"/>
      <c r="O2868" s="92">
        <v>38107</v>
      </c>
      <c r="P2868" s="28" t="s">
        <v>21</v>
      </c>
      <c r="Q2868" s="26" t="b">
        <v>0</v>
      </c>
      <c r="R2868" s="22">
        <f t="shared" si="47"/>
        <v>99</v>
      </c>
    </row>
    <row r="2869" spans="1:18" ht="24">
      <c r="A2869" s="26">
        <v>7423</v>
      </c>
      <c r="B2869" s="27">
        <v>38009</v>
      </c>
      <c r="C2869" s="28" t="s">
        <v>9251</v>
      </c>
      <c r="D2869" s="27">
        <v>38009</v>
      </c>
      <c r="E2869" s="28" t="s">
        <v>283</v>
      </c>
      <c r="F2869" s="28" t="s">
        <v>741</v>
      </c>
      <c r="G2869" s="28" t="s">
        <v>20</v>
      </c>
      <c r="H2869" s="28" t="s">
        <v>21</v>
      </c>
      <c r="I2869" s="28" t="s">
        <v>21</v>
      </c>
      <c r="J2869" s="28" t="s">
        <v>9252</v>
      </c>
      <c r="K2869" s="28" t="s">
        <v>9253</v>
      </c>
      <c r="L2869" s="28" t="s">
        <v>66</v>
      </c>
      <c r="M2869" s="28" t="s">
        <v>21</v>
      </c>
      <c r="O2869" s="92">
        <v>38092</v>
      </c>
      <c r="P2869" s="28" t="s">
        <v>21</v>
      </c>
      <c r="Q2869" s="26" t="b">
        <v>0</v>
      </c>
      <c r="R2869" s="22">
        <f t="shared" si="47"/>
        <v>83</v>
      </c>
    </row>
    <row r="2870" spans="1:18">
      <c r="A2870" s="26">
        <v>7425</v>
      </c>
      <c r="B2870" s="27">
        <v>38009</v>
      </c>
      <c r="C2870" s="28" t="s">
        <v>9258</v>
      </c>
      <c r="D2870" s="27">
        <v>38009</v>
      </c>
      <c r="E2870" s="28" t="s">
        <v>283</v>
      </c>
      <c r="F2870" s="28" t="s">
        <v>242</v>
      </c>
      <c r="G2870" s="28" t="s">
        <v>20</v>
      </c>
      <c r="H2870" s="28" t="s">
        <v>21</v>
      </c>
      <c r="I2870" s="28" t="s">
        <v>21</v>
      </c>
      <c r="J2870" s="28" t="s">
        <v>9259</v>
      </c>
      <c r="K2870" s="28" t="s">
        <v>9260</v>
      </c>
      <c r="L2870" s="28" t="s">
        <v>4282</v>
      </c>
      <c r="M2870" s="28" t="s">
        <v>21</v>
      </c>
      <c r="O2870" s="92">
        <v>38107</v>
      </c>
      <c r="P2870" s="28" t="s">
        <v>21</v>
      </c>
      <c r="Q2870" s="26" t="b">
        <v>0</v>
      </c>
      <c r="R2870" s="22">
        <f t="shared" si="47"/>
        <v>98</v>
      </c>
    </row>
    <row r="2871" spans="1:18">
      <c r="A2871" s="26">
        <v>7426</v>
      </c>
      <c r="B2871" s="27">
        <v>38009</v>
      </c>
      <c r="C2871" s="28" t="s">
        <v>9261</v>
      </c>
      <c r="D2871" s="27">
        <v>38009</v>
      </c>
      <c r="E2871" s="28" t="s">
        <v>283</v>
      </c>
      <c r="F2871" s="28" t="s">
        <v>242</v>
      </c>
      <c r="G2871" s="28" t="s">
        <v>20</v>
      </c>
      <c r="H2871" s="28" t="s">
        <v>21</v>
      </c>
      <c r="I2871" s="28" t="s">
        <v>21</v>
      </c>
      <c r="J2871" s="28" t="s">
        <v>9262</v>
      </c>
      <c r="K2871" s="28" t="s">
        <v>9263</v>
      </c>
      <c r="L2871" s="28" t="s">
        <v>4282</v>
      </c>
      <c r="M2871" s="28" t="s">
        <v>21</v>
      </c>
      <c r="O2871" s="92">
        <v>38107</v>
      </c>
      <c r="P2871" s="28" t="s">
        <v>21</v>
      </c>
      <c r="Q2871" s="26" t="b">
        <v>0</v>
      </c>
      <c r="R2871" s="22">
        <f t="shared" si="47"/>
        <v>98</v>
      </c>
    </row>
    <row r="2872" spans="1:18">
      <c r="A2872" s="26">
        <v>7427</v>
      </c>
      <c r="B2872" s="27">
        <v>38009</v>
      </c>
      <c r="C2872" s="28" t="s">
        <v>9264</v>
      </c>
      <c r="D2872" s="27">
        <v>38009</v>
      </c>
      <c r="E2872" s="28" t="s">
        <v>283</v>
      </c>
      <c r="F2872" s="28" t="s">
        <v>7024</v>
      </c>
      <c r="G2872" s="28" t="s">
        <v>20</v>
      </c>
      <c r="H2872" s="28" t="s">
        <v>21</v>
      </c>
      <c r="I2872" s="28" t="s">
        <v>21</v>
      </c>
      <c r="J2872" s="28" t="s">
        <v>9265</v>
      </c>
      <c r="K2872" s="28" t="s">
        <v>9266</v>
      </c>
      <c r="L2872" s="28" t="s">
        <v>66</v>
      </c>
      <c r="M2872" s="28" t="s">
        <v>21</v>
      </c>
      <c r="O2872" s="92">
        <v>38092</v>
      </c>
      <c r="P2872" s="28" t="s">
        <v>21</v>
      </c>
      <c r="Q2872" s="26" t="b">
        <v>0</v>
      </c>
      <c r="R2872" s="22">
        <f t="shared" si="47"/>
        <v>83</v>
      </c>
    </row>
    <row r="2873" spans="1:18">
      <c r="A2873" s="26">
        <v>7429</v>
      </c>
      <c r="B2873" s="27">
        <v>38009</v>
      </c>
      <c r="C2873" s="28" t="s">
        <v>9267</v>
      </c>
      <c r="D2873" s="27">
        <v>38009</v>
      </c>
      <c r="E2873" s="28" t="s">
        <v>9268</v>
      </c>
      <c r="F2873" s="28" t="s">
        <v>39</v>
      </c>
      <c r="G2873" s="28" t="s">
        <v>20</v>
      </c>
      <c r="H2873" s="28" t="s">
        <v>21</v>
      </c>
      <c r="I2873" s="28" t="s">
        <v>21</v>
      </c>
      <c r="J2873" s="28" t="s">
        <v>9152</v>
      </c>
      <c r="K2873" s="28" t="s">
        <v>9269</v>
      </c>
      <c r="L2873" s="28" t="s">
        <v>4282</v>
      </c>
      <c r="M2873" s="28" t="s">
        <v>21</v>
      </c>
      <c r="N2873" s="29">
        <v>38100</v>
      </c>
      <c r="O2873" s="92">
        <v>38014</v>
      </c>
      <c r="P2873" s="28" t="s">
        <v>31</v>
      </c>
      <c r="Q2873" s="26" t="b">
        <v>0</v>
      </c>
      <c r="R2873" s="22">
        <f t="shared" si="47"/>
        <v>5</v>
      </c>
    </row>
    <row r="2874" spans="1:18">
      <c r="A2874" s="26">
        <v>7431</v>
      </c>
      <c r="B2874" s="27">
        <v>38012</v>
      </c>
      <c r="C2874" s="28" t="s">
        <v>9270</v>
      </c>
      <c r="D2874" s="27">
        <v>38007</v>
      </c>
      <c r="E2874" s="28" t="s">
        <v>9271</v>
      </c>
      <c r="F2874" s="28" t="s">
        <v>350</v>
      </c>
      <c r="G2874" s="28" t="s">
        <v>20</v>
      </c>
      <c r="H2874" s="28" t="s">
        <v>21</v>
      </c>
      <c r="I2874" s="28" t="s">
        <v>21</v>
      </c>
      <c r="J2874" s="28" t="s">
        <v>9272</v>
      </c>
      <c r="K2874" s="28" t="s">
        <v>9273</v>
      </c>
      <c r="L2874" s="28" t="s">
        <v>66</v>
      </c>
      <c r="M2874" s="28" t="s">
        <v>21</v>
      </c>
      <c r="N2874" s="29">
        <v>38103</v>
      </c>
      <c r="O2874" s="92">
        <v>38022</v>
      </c>
      <c r="P2874" s="28" t="s">
        <v>21</v>
      </c>
      <c r="Q2874" s="26" t="b">
        <v>0</v>
      </c>
      <c r="R2874" s="22">
        <f t="shared" si="47"/>
        <v>9</v>
      </c>
    </row>
    <row r="2875" spans="1:18">
      <c r="A2875" s="26">
        <v>7432</v>
      </c>
      <c r="B2875" s="27">
        <v>38012</v>
      </c>
      <c r="C2875" s="28" t="s">
        <v>9274</v>
      </c>
      <c r="D2875" s="27">
        <v>38008</v>
      </c>
      <c r="E2875" s="28" t="s">
        <v>9275</v>
      </c>
      <c r="F2875" s="28" t="s">
        <v>124</v>
      </c>
      <c r="G2875" s="28" t="s">
        <v>20</v>
      </c>
      <c r="H2875" s="28" t="s">
        <v>21</v>
      </c>
      <c r="I2875" s="28" t="s">
        <v>21</v>
      </c>
      <c r="J2875" s="28" t="s">
        <v>9276</v>
      </c>
      <c r="K2875" s="28" t="s">
        <v>9277</v>
      </c>
      <c r="L2875" s="28" t="s">
        <v>4282</v>
      </c>
      <c r="M2875" s="28" t="s">
        <v>21</v>
      </c>
      <c r="N2875" s="29">
        <v>38103</v>
      </c>
      <c r="O2875" s="92">
        <v>38268</v>
      </c>
      <c r="P2875" s="28" t="s">
        <v>31</v>
      </c>
      <c r="Q2875" s="26" t="b">
        <v>0</v>
      </c>
      <c r="R2875" s="22">
        <f t="shared" si="47"/>
        <v>255</v>
      </c>
    </row>
    <row r="2876" spans="1:18" ht="24">
      <c r="A2876" s="26">
        <v>7433</v>
      </c>
      <c r="B2876" s="27">
        <v>38012</v>
      </c>
      <c r="C2876" s="28" t="s">
        <v>9278</v>
      </c>
      <c r="D2876" s="27">
        <v>38012</v>
      </c>
      <c r="E2876" s="28" t="s">
        <v>283</v>
      </c>
      <c r="F2876" s="28" t="s">
        <v>9279</v>
      </c>
      <c r="G2876" s="28" t="s">
        <v>20</v>
      </c>
      <c r="H2876" s="28" t="s">
        <v>21</v>
      </c>
      <c r="I2876" s="28" t="s">
        <v>21</v>
      </c>
      <c r="J2876" s="28" t="s">
        <v>9280</v>
      </c>
      <c r="K2876" s="28" t="s">
        <v>9281</v>
      </c>
      <c r="L2876" s="28" t="s">
        <v>66</v>
      </c>
      <c r="M2876" s="28" t="s">
        <v>21</v>
      </c>
      <c r="O2876" s="92">
        <v>38099</v>
      </c>
      <c r="P2876" s="28" t="s">
        <v>21</v>
      </c>
      <c r="Q2876" s="26" t="b">
        <v>0</v>
      </c>
      <c r="R2876" s="22">
        <f t="shared" si="47"/>
        <v>87</v>
      </c>
    </row>
    <row r="2877" spans="1:18" ht="24">
      <c r="A2877" s="26">
        <v>7434</v>
      </c>
      <c r="B2877" s="27">
        <v>38012</v>
      </c>
      <c r="C2877" s="28" t="s">
        <v>9282</v>
      </c>
      <c r="D2877" s="27">
        <v>38012</v>
      </c>
      <c r="E2877" s="28" t="s">
        <v>283</v>
      </c>
      <c r="F2877" s="28" t="s">
        <v>3847</v>
      </c>
      <c r="G2877" s="28" t="s">
        <v>20</v>
      </c>
      <c r="H2877" s="28" t="s">
        <v>21</v>
      </c>
      <c r="I2877" s="28" t="s">
        <v>21</v>
      </c>
      <c r="J2877" s="28" t="s">
        <v>9283</v>
      </c>
      <c r="K2877" s="28" t="s">
        <v>9284</v>
      </c>
      <c r="L2877" s="28" t="s">
        <v>66</v>
      </c>
      <c r="M2877" s="28" t="s">
        <v>21</v>
      </c>
      <c r="O2877" s="92">
        <v>38092</v>
      </c>
      <c r="P2877" s="28" t="s">
        <v>21</v>
      </c>
      <c r="Q2877" s="26" t="b">
        <v>0</v>
      </c>
      <c r="R2877" s="22">
        <f t="shared" si="47"/>
        <v>80</v>
      </c>
    </row>
    <row r="2878" spans="1:18">
      <c r="A2878" s="26">
        <v>7435</v>
      </c>
      <c r="B2878" s="27">
        <v>38012</v>
      </c>
      <c r="C2878" s="28" t="s">
        <v>9285</v>
      </c>
      <c r="D2878" s="27">
        <v>38012</v>
      </c>
      <c r="E2878" s="28" t="s">
        <v>283</v>
      </c>
      <c r="F2878" s="28" t="s">
        <v>1338</v>
      </c>
      <c r="G2878" s="28" t="s">
        <v>20</v>
      </c>
      <c r="H2878" s="28" t="s">
        <v>21</v>
      </c>
      <c r="I2878" s="28" t="s">
        <v>21</v>
      </c>
      <c r="J2878" s="28" t="s">
        <v>9286</v>
      </c>
      <c r="K2878" s="28" t="s">
        <v>9287</v>
      </c>
      <c r="L2878" s="28" t="s">
        <v>66</v>
      </c>
      <c r="M2878" s="28" t="s">
        <v>21</v>
      </c>
      <c r="O2878" s="92">
        <v>38092</v>
      </c>
      <c r="P2878" s="28" t="s">
        <v>21</v>
      </c>
      <c r="Q2878" s="26" t="b">
        <v>0</v>
      </c>
      <c r="R2878" s="22">
        <f t="shared" si="47"/>
        <v>80</v>
      </c>
    </row>
    <row r="2879" spans="1:18">
      <c r="A2879" s="26">
        <v>7436</v>
      </c>
      <c r="B2879" s="27">
        <v>38012</v>
      </c>
      <c r="C2879" s="28" t="s">
        <v>9288</v>
      </c>
      <c r="D2879" s="27">
        <v>38012</v>
      </c>
      <c r="E2879" s="28" t="s">
        <v>283</v>
      </c>
      <c r="F2879" s="28" t="s">
        <v>149</v>
      </c>
      <c r="G2879" s="28" t="s">
        <v>20</v>
      </c>
      <c r="H2879" s="28" t="s">
        <v>21</v>
      </c>
      <c r="I2879" s="28" t="s">
        <v>21</v>
      </c>
      <c r="J2879" s="28" t="s">
        <v>9289</v>
      </c>
      <c r="K2879" s="28" t="s">
        <v>9290</v>
      </c>
      <c r="L2879" s="28" t="s">
        <v>66</v>
      </c>
      <c r="M2879" s="28" t="s">
        <v>21</v>
      </c>
      <c r="O2879" s="92">
        <v>38083</v>
      </c>
      <c r="P2879" s="28" t="s">
        <v>21</v>
      </c>
      <c r="Q2879" s="26" t="b">
        <v>0</v>
      </c>
      <c r="R2879" s="22">
        <f t="shared" si="47"/>
        <v>70</v>
      </c>
    </row>
    <row r="2880" spans="1:18">
      <c r="A2880" s="26">
        <v>7437</v>
      </c>
      <c r="B2880" s="27">
        <v>38012</v>
      </c>
      <c r="C2880" s="28" t="s">
        <v>9291</v>
      </c>
      <c r="D2880" s="27">
        <v>38012</v>
      </c>
      <c r="E2880" s="28" t="s">
        <v>283</v>
      </c>
      <c r="F2880" s="28" t="s">
        <v>39</v>
      </c>
      <c r="G2880" s="28" t="s">
        <v>20</v>
      </c>
      <c r="H2880" s="28" t="s">
        <v>21</v>
      </c>
      <c r="I2880" s="28" t="s">
        <v>21</v>
      </c>
      <c r="J2880" s="28" t="s">
        <v>9292</v>
      </c>
      <c r="K2880" s="28" t="s">
        <v>9293</v>
      </c>
      <c r="L2880" s="28" t="s">
        <v>4282</v>
      </c>
      <c r="M2880" s="28" t="s">
        <v>21</v>
      </c>
      <c r="O2880" s="92">
        <v>38166</v>
      </c>
      <c r="P2880" s="28" t="s">
        <v>21</v>
      </c>
      <c r="Q2880" s="26" t="b">
        <v>0</v>
      </c>
      <c r="R2880" s="22">
        <f t="shared" si="47"/>
        <v>154</v>
      </c>
    </row>
    <row r="2881" spans="1:18">
      <c r="A2881" s="26">
        <v>7438</v>
      </c>
      <c r="B2881" s="27">
        <v>38012</v>
      </c>
      <c r="C2881" s="28" t="s">
        <v>9294</v>
      </c>
      <c r="D2881" s="27">
        <v>38012</v>
      </c>
      <c r="E2881" s="28" t="s">
        <v>283</v>
      </c>
      <c r="F2881" s="28" t="s">
        <v>149</v>
      </c>
      <c r="G2881" s="28" t="s">
        <v>20</v>
      </c>
      <c r="H2881" s="28" t="s">
        <v>21</v>
      </c>
      <c r="I2881" s="28" t="s">
        <v>21</v>
      </c>
      <c r="J2881" s="28" t="s">
        <v>9295</v>
      </c>
      <c r="K2881" s="28" t="s">
        <v>9296</v>
      </c>
      <c r="L2881" s="28" t="s">
        <v>4282</v>
      </c>
      <c r="M2881" s="28" t="s">
        <v>21</v>
      </c>
      <c r="O2881" s="92">
        <v>38107</v>
      </c>
      <c r="P2881" s="28" t="s">
        <v>21</v>
      </c>
      <c r="Q2881" s="26" t="b">
        <v>0</v>
      </c>
      <c r="R2881" s="22">
        <f t="shared" si="47"/>
        <v>95</v>
      </c>
    </row>
    <row r="2882" spans="1:18">
      <c r="A2882" s="26">
        <v>7439</v>
      </c>
      <c r="B2882" s="27">
        <v>38012</v>
      </c>
      <c r="C2882" s="28" t="s">
        <v>9297</v>
      </c>
      <c r="D2882" s="27">
        <v>38012</v>
      </c>
      <c r="E2882" s="28" t="s">
        <v>283</v>
      </c>
      <c r="F2882" s="28" t="s">
        <v>149</v>
      </c>
      <c r="G2882" s="28" t="s">
        <v>20</v>
      </c>
      <c r="H2882" s="28" t="s">
        <v>21</v>
      </c>
      <c r="I2882" s="28" t="s">
        <v>21</v>
      </c>
      <c r="J2882" s="28" t="s">
        <v>9298</v>
      </c>
      <c r="K2882" s="28" t="s">
        <v>9299</v>
      </c>
      <c r="L2882" s="28" t="s">
        <v>4282</v>
      </c>
      <c r="M2882" s="28" t="s">
        <v>21</v>
      </c>
      <c r="O2882" s="92">
        <v>38107</v>
      </c>
      <c r="P2882" s="28" t="s">
        <v>21</v>
      </c>
      <c r="Q2882" s="26" t="b">
        <v>0</v>
      </c>
      <c r="R2882" s="22">
        <f t="shared" si="47"/>
        <v>95</v>
      </c>
    </row>
    <row r="2883" spans="1:18">
      <c r="A2883" s="26">
        <v>7440</v>
      </c>
      <c r="B2883" s="27">
        <v>38012</v>
      </c>
      <c r="C2883" s="28" t="s">
        <v>9300</v>
      </c>
      <c r="D2883" s="27">
        <v>38012</v>
      </c>
      <c r="E2883" s="28" t="s">
        <v>283</v>
      </c>
      <c r="F2883" s="28" t="s">
        <v>149</v>
      </c>
      <c r="G2883" s="28" t="s">
        <v>20</v>
      </c>
      <c r="H2883" s="28" t="s">
        <v>21</v>
      </c>
      <c r="I2883" s="28" t="s">
        <v>21</v>
      </c>
      <c r="J2883" s="28" t="s">
        <v>9301</v>
      </c>
      <c r="K2883" s="28" t="s">
        <v>9299</v>
      </c>
      <c r="L2883" s="28" t="s">
        <v>4282</v>
      </c>
      <c r="M2883" s="28" t="s">
        <v>21</v>
      </c>
      <c r="O2883" s="92">
        <v>38107</v>
      </c>
      <c r="P2883" s="28" t="s">
        <v>21</v>
      </c>
      <c r="Q2883" s="26" t="b">
        <v>0</v>
      </c>
      <c r="R2883" s="22">
        <f t="shared" si="47"/>
        <v>95</v>
      </c>
    </row>
    <row r="2884" spans="1:18" ht="24">
      <c r="A2884" s="26">
        <v>7441</v>
      </c>
      <c r="B2884" s="27">
        <v>38012</v>
      </c>
      <c r="C2884" s="28" t="s">
        <v>9302</v>
      </c>
      <c r="D2884" s="27">
        <v>38012</v>
      </c>
      <c r="E2884" s="28" t="s">
        <v>283</v>
      </c>
      <c r="F2884" s="28" t="s">
        <v>94</v>
      </c>
      <c r="G2884" s="28" t="s">
        <v>20</v>
      </c>
      <c r="H2884" s="28" t="s">
        <v>21</v>
      </c>
      <c r="I2884" s="28" t="s">
        <v>21</v>
      </c>
      <c r="J2884" s="28" t="s">
        <v>9303</v>
      </c>
      <c r="K2884" s="28" t="s">
        <v>9304</v>
      </c>
      <c r="L2884" s="28" t="s">
        <v>314</v>
      </c>
      <c r="M2884" s="28" t="s">
        <v>21</v>
      </c>
      <c r="O2884" s="92">
        <v>38100</v>
      </c>
      <c r="P2884" s="28" t="s">
        <v>21</v>
      </c>
      <c r="Q2884" s="26" t="b">
        <v>0</v>
      </c>
      <c r="R2884" s="22">
        <f t="shared" si="47"/>
        <v>88</v>
      </c>
    </row>
    <row r="2885" spans="1:18">
      <c r="A2885" s="26">
        <v>7442</v>
      </c>
      <c r="B2885" s="27">
        <v>38012</v>
      </c>
      <c r="C2885" s="28" t="s">
        <v>9305</v>
      </c>
      <c r="D2885" s="27">
        <v>38012</v>
      </c>
      <c r="E2885" s="28" t="s">
        <v>283</v>
      </c>
      <c r="F2885" s="28" t="s">
        <v>52</v>
      </c>
      <c r="G2885" s="28" t="s">
        <v>20</v>
      </c>
      <c r="H2885" s="28" t="s">
        <v>21</v>
      </c>
      <c r="I2885" s="28" t="s">
        <v>21</v>
      </c>
      <c r="J2885" s="28" t="s">
        <v>9306</v>
      </c>
      <c r="K2885" s="28" t="s">
        <v>9307</v>
      </c>
      <c r="L2885" s="28" t="s">
        <v>66</v>
      </c>
      <c r="M2885" s="28" t="s">
        <v>21</v>
      </c>
      <c r="O2885" s="92">
        <v>38096</v>
      </c>
      <c r="P2885" s="28" t="s">
        <v>21</v>
      </c>
      <c r="Q2885" s="26" t="b">
        <v>0</v>
      </c>
      <c r="R2885" s="22">
        <f t="shared" si="47"/>
        <v>84</v>
      </c>
    </row>
    <row r="2886" spans="1:18">
      <c r="A2886" s="26">
        <v>7443</v>
      </c>
      <c r="B2886" s="27">
        <v>38012</v>
      </c>
      <c r="C2886" s="28" t="s">
        <v>9308</v>
      </c>
      <c r="D2886" s="27">
        <v>38012</v>
      </c>
      <c r="E2886" s="28" t="s">
        <v>283</v>
      </c>
      <c r="F2886" s="28" t="s">
        <v>6953</v>
      </c>
      <c r="G2886" s="28" t="s">
        <v>20</v>
      </c>
      <c r="H2886" s="28" t="s">
        <v>21</v>
      </c>
      <c r="I2886" s="28" t="s">
        <v>21</v>
      </c>
      <c r="J2886" s="28" t="s">
        <v>9309</v>
      </c>
      <c r="K2886" s="28" t="s">
        <v>9310</v>
      </c>
      <c r="L2886" s="28" t="s">
        <v>66</v>
      </c>
      <c r="M2886" s="28" t="s">
        <v>21</v>
      </c>
      <c r="O2886" s="92">
        <v>38083</v>
      </c>
      <c r="P2886" s="28" t="s">
        <v>21</v>
      </c>
      <c r="Q2886" s="26" t="b">
        <v>0</v>
      </c>
      <c r="R2886" s="22">
        <f t="shared" si="47"/>
        <v>70</v>
      </c>
    </row>
    <row r="2887" spans="1:18">
      <c r="A2887" s="26">
        <v>7444</v>
      </c>
      <c r="B2887" s="27">
        <v>38012</v>
      </c>
      <c r="C2887" s="28" t="s">
        <v>9311</v>
      </c>
      <c r="D2887" s="27">
        <v>38012</v>
      </c>
      <c r="E2887" s="28" t="s">
        <v>283</v>
      </c>
      <c r="F2887" s="28" t="s">
        <v>9279</v>
      </c>
      <c r="G2887" s="28" t="s">
        <v>20</v>
      </c>
      <c r="H2887" s="28" t="s">
        <v>21</v>
      </c>
      <c r="I2887" s="28" t="s">
        <v>21</v>
      </c>
      <c r="J2887" s="28" t="s">
        <v>9312</v>
      </c>
      <c r="K2887" s="28" t="s">
        <v>5046</v>
      </c>
      <c r="L2887" s="28" t="s">
        <v>66</v>
      </c>
      <c r="M2887" s="28" t="s">
        <v>21</v>
      </c>
      <c r="O2887" s="92">
        <v>38099</v>
      </c>
      <c r="P2887" s="28" t="s">
        <v>21</v>
      </c>
      <c r="Q2887" s="26" t="b">
        <v>0</v>
      </c>
      <c r="R2887" s="22">
        <f t="shared" si="47"/>
        <v>87</v>
      </c>
    </row>
    <row r="2888" spans="1:18">
      <c r="A2888" s="26">
        <v>7445</v>
      </c>
      <c r="B2888" s="27">
        <v>38012</v>
      </c>
      <c r="C2888" s="28" t="s">
        <v>9313</v>
      </c>
      <c r="D2888" s="27">
        <v>38012</v>
      </c>
      <c r="E2888" s="28" t="s">
        <v>283</v>
      </c>
      <c r="F2888" s="28" t="s">
        <v>1338</v>
      </c>
      <c r="G2888" s="28" t="s">
        <v>20</v>
      </c>
      <c r="H2888" s="28" t="s">
        <v>21</v>
      </c>
      <c r="I2888" s="28" t="s">
        <v>21</v>
      </c>
      <c r="J2888" s="28" t="s">
        <v>9314</v>
      </c>
      <c r="K2888" s="28" t="s">
        <v>9315</v>
      </c>
      <c r="L2888" s="28" t="s">
        <v>66</v>
      </c>
      <c r="M2888" s="28" t="s">
        <v>21</v>
      </c>
      <c r="O2888" s="92">
        <v>38092</v>
      </c>
      <c r="P2888" s="28" t="s">
        <v>21</v>
      </c>
      <c r="Q2888" s="26" t="b">
        <v>0</v>
      </c>
      <c r="R2888" s="22">
        <f t="shared" si="47"/>
        <v>80</v>
      </c>
    </row>
    <row r="2889" spans="1:18" ht="24">
      <c r="A2889" s="26">
        <v>7446</v>
      </c>
      <c r="B2889" s="27">
        <v>38012</v>
      </c>
      <c r="C2889" s="28" t="s">
        <v>9316</v>
      </c>
      <c r="D2889" s="27">
        <v>38012</v>
      </c>
      <c r="E2889" s="28" t="s">
        <v>283</v>
      </c>
      <c r="F2889" s="28" t="s">
        <v>149</v>
      </c>
      <c r="G2889" s="28" t="s">
        <v>20</v>
      </c>
      <c r="H2889" s="28" t="s">
        <v>21</v>
      </c>
      <c r="I2889" s="28" t="s">
        <v>21</v>
      </c>
      <c r="J2889" s="28" t="s">
        <v>9317</v>
      </c>
      <c r="K2889" s="28" t="s">
        <v>9318</v>
      </c>
      <c r="L2889" s="28" t="s">
        <v>66</v>
      </c>
      <c r="M2889" s="28" t="s">
        <v>21</v>
      </c>
      <c r="O2889" s="92">
        <v>38096</v>
      </c>
      <c r="P2889" s="28" t="s">
        <v>21</v>
      </c>
      <c r="Q2889" s="26" t="b">
        <v>0</v>
      </c>
      <c r="R2889" s="22">
        <f t="shared" si="47"/>
        <v>84</v>
      </c>
    </row>
    <row r="2890" spans="1:18" ht="24">
      <c r="A2890" s="26">
        <v>7447</v>
      </c>
      <c r="B2890" s="27">
        <v>38012</v>
      </c>
      <c r="C2890" s="28" t="s">
        <v>9319</v>
      </c>
      <c r="D2890" s="27">
        <v>38012</v>
      </c>
      <c r="E2890" s="28" t="s">
        <v>283</v>
      </c>
      <c r="F2890" s="28" t="s">
        <v>39</v>
      </c>
      <c r="G2890" s="28" t="s">
        <v>20</v>
      </c>
      <c r="H2890" s="28" t="s">
        <v>21</v>
      </c>
      <c r="I2890" s="28" t="s">
        <v>21</v>
      </c>
      <c r="J2890" s="28" t="s">
        <v>9320</v>
      </c>
      <c r="K2890" s="28" t="s">
        <v>9321</v>
      </c>
      <c r="L2890" s="28" t="s">
        <v>66</v>
      </c>
      <c r="M2890" s="28" t="s">
        <v>21</v>
      </c>
      <c r="O2890" s="92">
        <v>38082</v>
      </c>
      <c r="P2890" s="28" t="s">
        <v>21</v>
      </c>
      <c r="Q2890" s="26" t="b">
        <v>0</v>
      </c>
      <c r="R2890" s="22">
        <f t="shared" si="47"/>
        <v>69</v>
      </c>
    </row>
    <row r="2891" spans="1:18">
      <c r="A2891" s="26">
        <v>7448</v>
      </c>
      <c r="B2891" s="27">
        <v>38012</v>
      </c>
      <c r="C2891" s="28" t="s">
        <v>9322</v>
      </c>
      <c r="D2891" s="27">
        <v>38012</v>
      </c>
      <c r="E2891" s="28" t="s">
        <v>283</v>
      </c>
      <c r="F2891" s="28" t="s">
        <v>149</v>
      </c>
      <c r="G2891" s="28" t="s">
        <v>20</v>
      </c>
      <c r="H2891" s="28" t="s">
        <v>21</v>
      </c>
      <c r="I2891" s="28" t="s">
        <v>21</v>
      </c>
      <c r="J2891" s="28" t="s">
        <v>9323</v>
      </c>
      <c r="K2891" s="28" t="s">
        <v>9324</v>
      </c>
      <c r="L2891" s="28" t="s">
        <v>4282</v>
      </c>
      <c r="M2891" s="28" t="s">
        <v>21</v>
      </c>
      <c r="O2891" s="92">
        <v>38107</v>
      </c>
      <c r="P2891" s="28" t="s">
        <v>21</v>
      </c>
      <c r="Q2891" s="26" t="b">
        <v>0</v>
      </c>
      <c r="R2891" s="22">
        <f t="shared" si="47"/>
        <v>95</v>
      </c>
    </row>
    <row r="2892" spans="1:18">
      <c r="A2892" s="26">
        <v>7449</v>
      </c>
      <c r="B2892" s="27">
        <v>38012</v>
      </c>
      <c r="C2892" s="28" t="s">
        <v>9325</v>
      </c>
      <c r="D2892" s="27">
        <v>38012</v>
      </c>
      <c r="E2892" s="28" t="s">
        <v>283</v>
      </c>
      <c r="F2892" s="28" t="s">
        <v>149</v>
      </c>
      <c r="G2892" s="28" t="s">
        <v>20</v>
      </c>
      <c r="H2892" s="28" t="s">
        <v>21</v>
      </c>
      <c r="I2892" s="28" t="s">
        <v>21</v>
      </c>
      <c r="J2892" s="28" t="s">
        <v>9326</v>
      </c>
      <c r="K2892" s="28" t="s">
        <v>9327</v>
      </c>
      <c r="L2892" s="28" t="s">
        <v>4282</v>
      </c>
      <c r="M2892" s="28" t="s">
        <v>21</v>
      </c>
      <c r="O2892" s="92">
        <v>38107</v>
      </c>
      <c r="P2892" s="28" t="s">
        <v>21</v>
      </c>
      <c r="Q2892" s="26" t="b">
        <v>0</v>
      </c>
      <c r="R2892" s="22">
        <f t="shared" si="47"/>
        <v>95</v>
      </c>
    </row>
    <row r="2893" spans="1:18">
      <c r="A2893" s="26">
        <v>7450</v>
      </c>
      <c r="B2893" s="27">
        <v>38012</v>
      </c>
      <c r="C2893" s="28" t="s">
        <v>9328</v>
      </c>
      <c r="D2893" s="27">
        <v>38012</v>
      </c>
      <c r="E2893" s="28" t="s">
        <v>283</v>
      </c>
      <c r="F2893" s="28" t="s">
        <v>2838</v>
      </c>
      <c r="G2893" s="28" t="s">
        <v>20</v>
      </c>
      <c r="H2893" s="28" t="s">
        <v>21</v>
      </c>
      <c r="I2893" s="28" t="s">
        <v>21</v>
      </c>
      <c r="J2893" s="28" t="s">
        <v>9329</v>
      </c>
      <c r="K2893" s="28" t="s">
        <v>9330</v>
      </c>
      <c r="L2893" s="28" t="s">
        <v>314</v>
      </c>
      <c r="M2893" s="28" t="s">
        <v>21</v>
      </c>
      <c r="O2893" s="92">
        <v>38103</v>
      </c>
      <c r="P2893" s="28" t="s">
        <v>21</v>
      </c>
      <c r="Q2893" s="26" t="b">
        <v>0</v>
      </c>
      <c r="R2893" s="22">
        <f t="shared" si="47"/>
        <v>91</v>
      </c>
    </row>
    <row r="2894" spans="1:18">
      <c r="A2894" s="26">
        <v>7451</v>
      </c>
      <c r="B2894" s="27">
        <v>38012</v>
      </c>
      <c r="C2894" s="28" t="s">
        <v>9331</v>
      </c>
      <c r="D2894" s="27">
        <v>38012</v>
      </c>
      <c r="E2894" s="28" t="s">
        <v>283</v>
      </c>
      <c r="F2894" s="28" t="s">
        <v>94</v>
      </c>
      <c r="G2894" s="28" t="s">
        <v>20</v>
      </c>
      <c r="H2894" s="28" t="s">
        <v>21</v>
      </c>
      <c r="I2894" s="28" t="s">
        <v>21</v>
      </c>
      <c r="J2894" s="28" t="s">
        <v>9332</v>
      </c>
      <c r="K2894" s="28" t="s">
        <v>9333</v>
      </c>
      <c r="L2894" s="28" t="s">
        <v>314</v>
      </c>
      <c r="M2894" s="28" t="s">
        <v>21</v>
      </c>
      <c r="O2894" s="92">
        <v>38100</v>
      </c>
      <c r="P2894" s="28" t="s">
        <v>21</v>
      </c>
      <c r="Q2894" s="26" t="b">
        <v>0</v>
      </c>
      <c r="R2894" s="22">
        <f t="shared" si="47"/>
        <v>88</v>
      </c>
    </row>
    <row r="2895" spans="1:18">
      <c r="A2895" s="26">
        <v>7452</v>
      </c>
      <c r="B2895" s="27">
        <v>38012</v>
      </c>
      <c r="C2895" s="28" t="s">
        <v>9334</v>
      </c>
      <c r="D2895" s="27">
        <v>38012</v>
      </c>
      <c r="E2895" s="28" t="s">
        <v>283</v>
      </c>
      <c r="F2895" s="28" t="s">
        <v>149</v>
      </c>
      <c r="G2895" s="28" t="s">
        <v>20</v>
      </c>
      <c r="H2895" s="28" t="s">
        <v>21</v>
      </c>
      <c r="I2895" s="28" t="s">
        <v>21</v>
      </c>
      <c r="J2895" s="28" t="s">
        <v>9335</v>
      </c>
      <c r="K2895" s="28" t="s">
        <v>9336</v>
      </c>
      <c r="L2895" s="28" t="s">
        <v>314</v>
      </c>
      <c r="M2895" s="28" t="s">
        <v>21</v>
      </c>
      <c r="O2895" s="92">
        <v>38113</v>
      </c>
      <c r="P2895" s="28" t="s">
        <v>21</v>
      </c>
      <c r="Q2895" s="26" t="b">
        <v>0</v>
      </c>
      <c r="R2895" s="22">
        <f t="shared" si="47"/>
        <v>101</v>
      </c>
    </row>
    <row r="2896" spans="1:18">
      <c r="A2896" s="26">
        <v>7453</v>
      </c>
      <c r="B2896" s="27">
        <v>38012</v>
      </c>
      <c r="C2896" s="28" t="s">
        <v>9337</v>
      </c>
      <c r="D2896" s="27">
        <v>38012</v>
      </c>
      <c r="E2896" s="28" t="s">
        <v>283</v>
      </c>
      <c r="F2896" s="28" t="s">
        <v>94</v>
      </c>
      <c r="G2896" s="28" t="s">
        <v>20</v>
      </c>
      <c r="H2896" s="28" t="s">
        <v>21</v>
      </c>
      <c r="I2896" s="28" t="s">
        <v>21</v>
      </c>
      <c r="J2896" s="28" t="s">
        <v>9338</v>
      </c>
      <c r="K2896" s="28" t="s">
        <v>9339</v>
      </c>
      <c r="L2896" s="28" t="s">
        <v>314</v>
      </c>
      <c r="M2896" s="28" t="s">
        <v>21</v>
      </c>
      <c r="O2896" s="92">
        <v>38103</v>
      </c>
      <c r="P2896" s="28" t="s">
        <v>21</v>
      </c>
      <c r="Q2896" s="26" t="b">
        <v>0</v>
      </c>
      <c r="R2896" s="22">
        <f t="shared" si="47"/>
        <v>91</v>
      </c>
    </row>
    <row r="2897" spans="1:18">
      <c r="A2897" s="26">
        <v>7459</v>
      </c>
      <c r="B2897" s="27">
        <v>38013</v>
      </c>
      <c r="C2897" s="28" t="s">
        <v>9340</v>
      </c>
      <c r="D2897" s="27">
        <v>38013</v>
      </c>
      <c r="E2897" s="28" t="s">
        <v>283</v>
      </c>
      <c r="F2897" s="28" t="s">
        <v>124</v>
      </c>
      <c r="G2897" s="28" t="s">
        <v>20</v>
      </c>
      <c r="H2897" s="28" t="s">
        <v>21</v>
      </c>
      <c r="I2897" s="28" t="s">
        <v>21</v>
      </c>
      <c r="J2897" s="28" t="s">
        <v>9341</v>
      </c>
      <c r="K2897" s="28" t="s">
        <v>9342</v>
      </c>
      <c r="L2897" s="28" t="s">
        <v>314</v>
      </c>
      <c r="M2897" s="28" t="s">
        <v>21</v>
      </c>
      <c r="O2897" s="92">
        <v>38100</v>
      </c>
      <c r="P2897" s="28" t="s">
        <v>21</v>
      </c>
      <c r="Q2897" s="26" t="b">
        <v>0</v>
      </c>
      <c r="R2897" s="22">
        <f t="shared" si="47"/>
        <v>87</v>
      </c>
    </row>
    <row r="2898" spans="1:18">
      <c r="A2898" s="26">
        <v>7460</v>
      </c>
      <c r="B2898" s="27">
        <v>38013</v>
      </c>
      <c r="C2898" s="28" t="s">
        <v>9343</v>
      </c>
      <c r="D2898" s="27">
        <v>38013</v>
      </c>
      <c r="E2898" s="28" t="s">
        <v>283</v>
      </c>
      <c r="F2898" s="28" t="s">
        <v>6084</v>
      </c>
      <c r="G2898" s="28" t="s">
        <v>20</v>
      </c>
      <c r="H2898" s="28" t="s">
        <v>21</v>
      </c>
      <c r="I2898" s="28" t="s">
        <v>21</v>
      </c>
      <c r="J2898" s="28" t="s">
        <v>9344</v>
      </c>
      <c r="K2898" s="28" t="s">
        <v>5636</v>
      </c>
      <c r="L2898" s="28" t="s">
        <v>4282</v>
      </c>
      <c r="M2898" s="28" t="s">
        <v>21</v>
      </c>
      <c r="O2898" s="92">
        <v>38107</v>
      </c>
      <c r="P2898" s="28" t="s">
        <v>21</v>
      </c>
      <c r="Q2898" s="26" t="b">
        <v>0</v>
      </c>
      <c r="R2898" s="22">
        <f t="shared" si="47"/>
        <v>94</v>
      </c>
    </row>
    <row r="2899" spans="1:18">
      <c r="A2899" s="26">
        <v>7461</v>
      </c>
      <c r="B2899" s="27">
        <v>38013</v>
      </c>
      <c r="C2899" s="28" t="s">
        <v>9345</v>
      </c>
      <c r="D2899" s="27">
        <v>38013</v>
      </c>
      <c r="E2899" s="28" t="s">
        <v>4172</v>
      </c>
      <c r="F2899" s="28" t="s">
        <v>1047</v>
      </c>
      <c r="G2899" s="28" t="s">
        <v>20</v>
      </c>
      <c r="H2899" s="28" t="s">
        <v>71</v>
      </c>
      <c r="I2899" s="28" t="s">
        <v>72</v>
      </c>
      <c r="J2899" s="28" t="s">
        <v>7150</v>
      </c>
      <c r="K2899" s="28" t="s">
        <v>5369</v>
      </c>
      <c r="L2899" s="28" t="s">
        <v>8318</v>
      </c>
      <c r="M2899" s="28" t="s">
        <v>21</v>
      </c>
      <c r="O2899" s="92">
        <v>38022</v>
      </c>
      <c r="P2899" s="28" t="s">
        <v>31</v>
      </c>
      <c r="Q2899" s="26" t="b">
        <v>0</v>
      </c>
      <c r="R2899" s="22">
        <f t="shared" si="47"/>
        <v>8</v>
      </c>
    </row>
    <row r="2900" spans="1:18">
      <c r="A2900" s="26">
        <v>7462</v>
      </c>
      <c r="B2900" s="27">
        <v>38013</v>
      </c>
      <c r="C2900" s="28" t="s">
        <v>9346</v>
      </c>
      <c r="D2900" s="27">
        <v>38013</v>
      </c>
      <c r="E2900" s="28" t="s">
        <v>9347</v>
      </c>
      <c r="F2900" s="28" t="s">
        <v>124</v>
      </c>
      <c r="G2900" s="28" t="s">
        <v>20</v>
      </c>
      <c r="H2900" s="28" t="s">
        <v>21</v>
      </c>
      <c r="I2900" s="28" t="s">
        <v>21</v>
      </c>
      <c r="J2900" s="28" t="s">
        <v>2547</v>
      </c>
      <c r="K2900" s="28" t="s">
        <v>9348</v>
      </c>
      <c r="L2900" s="28" t="s">
        <v>314</v>
      </c>
      <c r="M2900" s="28" t="s">
        <v>21</v>
      </c>
      <c r="O2900" s="92">
        <v>38082</v>
      </c>
      <c r="P2900" s="28" t="s">
        <v>31</v>
      </c>
      <c r="Q2900" s="26" t="b">
        <v>0</v>
      </c>
      <c r="R2900" s="22">
        <f t="shared" si="47"/>
        <v>68</v>
      </c>
    </row>
    <row r="2901" spans="1:18">
      <c r="A2901" s="26">
        <v>7463</v>
      </c>
      <c r="B2901" s="27">
        <v>38013</v>
      </c>
      <c r="C2901" s="28" t="s">
        <v>9349</v>
      </c>
      <c r="D2901" s="27">
        <v>38011</v>
      </c>
      <c r="E2901" s="28" t="s">
        <v>38</v>
      </c>
      <c r="F2901" s="28" t="s">
        <v>124</v>
      </c>
      <c r="G2901" s="28" t="s">
        <v>20</v>
      </c>
      <c r="H2901" s="28" t="s">
        <v>21</v>
      </c>
      <c r="I2901" s="28" t="s">
        <v>21</v>
      </c>
      <c r="J2901" s="28" t="s">
        <v>9350</v>
      </c>
      <c r="K2901" s="28" t="s">
        <v>6025</v>
      </c>
      <c r="L2901" s="28" t="s">
        <v>7577</v>
      </c>
      <c r="M2901" s="28" t="s">
        <v>21</v>
      </c>
      <c r="O2901" s="92">
        <v>38016</v>
      </c>
      <c r="P2901" s="28" t="s">
        <v>31</v>
      </c>
      <c r="Q2901" s="26" t="b">
        <v>0</v>
      </c>
      <c r="R2901" s="22">
        <f t="shared" si="47"/>
        <v>3</v>
      </c>
    </row>
    <row r="2902" spans="1:18">
      <c r="A2902" s="26">
        <v>7464</v>
      </c>
      <c r="B2902" s="27">
        <v>38014</v>
      </c>
      <c r="C2902" s="28" t="s">
        <v>9351</v>
      </c>
      <c r="D2902" s="27">
        <v>38014</v>
      </c>
      <c r="E2902" s="28" t="s">
        <v>283</v>
      </c>
      <c r="F2902" s="28" t="s">
        <v>7024</v>
      </c>
      <c r="G2902" s="28" t="s">
        <v>20</v>
      </c>
      <c r="H2902" s="28" t="s">
        <v>21</v>
      </c>
      <c r="I2902" s="28" t="s">
        <v>21</v>
      </c>
      <c r="J2902" s="28" t="s">
        <v>9352</v>
      </c>
      <c r="K2902" s="28" t="s">
        <v>9353</v>
      </c>
      <c r="L2902" s="28" t="s">
        <v>314</v>
      </c>
      <c r="M2902" s="28" t="s">
        <v>21</v>
      </c>
      <c r="O2902" s="92">
        <v>38103</v>
      </c>
      <c r="P2902" s="28" t="s">
        <v>21</v>
      </c>
      <c r="Q2902" s="26" t="b">
        <v>0</v>
      </c>
      <c r="R2902" s="22">
        <f t="shared" si="47"/>
        <v>89</v>
      </c>
    </row>
    <row r="2903" spans="1:18">
      <c r="A2903" s="26">
        <v>7465</v>
      </c>
      <c r="B2903" s="27">
        <v>38014</v>
      </c>
      <c r="C2903" s="28" t="s">
        <v>9354</v>
      </c>
      <c r="D2903" s="27">
        <v>38014</v>
      </c>
      <c r="E2903" s="28" t="s">
        <v>283</v>
      </c>
      <c r="F2903" s="28" t="s">
        <v>7024</v>
      </c>
      <c r="G2903" s="28" t="s">
        <v>20</v>
      </c>
      <c r="H2903" s="28" t="s">
        <v>21</v>
      </c>
      <c r="I2903" s="28" t="s">
        <v>21</v>
      </c>
      <c r="J2903" s="28" t="s">
        <v>9355</v>
      </c>
      <c r="K2903" s="28" t="s">
        <v>9356</v>
      </c>
      <c r="L2903" s="28" t="s">
        <v>4282</v>
      </c>
      <c r="M2903" s="28" t="s">
        <v>21</v>
      </c>
      <c r="O2903" s="92">
        <v>38107</v>
      </c>
      <c r="P2903" s="28" t="s">
        <v>21</v>
      </c>
      <c r="Q2903" s="26" t="b">
        <v>0</v>
      </c>
      <c r="R2903" s="22">
        <f t="shared" si="47"/>
        <v>93</v>
      </c>
    </row>
    <row r="2904" spans="1:18">
      <c r="A2904" s="26">
        <v>7468</v>
      </c>
      <c r="B2904" s="27">
        <v>38014</v>
      </c>
      <c r="C2904" s="28" t="s">
        <v>9357</v>
      </c>
      <c r="D2904" s="27">
        <v>38014</v>
      </c>
      <c r="E2904" s="28" t="s">
        <v>283</v>
      </c>
      <c r="F2904" s="28" t="s">
        <v>39</v>
      </c>
      <c r="G2904" s="28" t="s">
        <v>20</v>
      </c>
      <c r="H2904" s="28" t="s">
        <v>21</v>
      </c>
      <c r="I2904" s="28" t="s">
        <v>21</v>
      </c>
      <c r="J2904" s="28" t="s">
        <v>9358</v>
      </c>
      <c r="K2904" s="28" t="s">
        <v>9359</v>
      </c>
      <c r="L2904" s="28" t="s">
        <v>4282</v>
      </c>
      <c r="M2904" s="28" t="s">
        <v>66</v>
      </c>
      <c r="O2904" s="92">
        <v>38107</v>
      </c>
      <c r="P2904" s="28" t="s">
        <v>21</v>
      </c>
      <c r="Q2904" s="26" t="b">
        <v>0</v>
      </c>
      <c r="R2904" s="22">
        <f t="shared" si="47"/>
        <v>93</v>
      </c>
    </row>
    <row r="2905" spans="1:18">
      <c r="A2905" s="26">
        <v>7469</v>
      </c>
      <c r="B2905" s="27">
        <v>38014</v>
      </c>
      <c r="C2905" s="28" t="s">
        <v>9360</v>
      </c>
      <c r="D2905" s="27">
        <v>38014</v>
      </c>
      <c r="E2905" s="28" t="s">
        <v>283</v>
      </c>
      <c r="F2905" s="28" t="s">
        <v>124</v>
      </c>
      <c r="G2905" s="28" t="s">
        <v>20</v>
      </c>
      <c r="H2905" s="28" t="s">
        <v>21</v>
      </c>
      <c r="I2905" s="28" t="s">
        <v>21</v>
      </c>
      <c r="J2905" s="28" t="s">
        <v>9361</v>
      </c>
      <c r="K2905" s="28" t="s">
        <v>9362</v>
      </c>
      <c r="L2905" s="28" t="s">
        <v>314</v>
      </c>
      <c r="M2905" s="28" t="s">
        <v>21</v>
      </c>
      <c r="O2905" s="92">
        <v>38100</v>
      </c>
      <c r="P2905" s="28" t="s">
        <v>21</v>
      </c>
      <c r="Q2905" s="26" t="b">
        <v>0</v>
      </c>
      <c r="R2905" s="22">
        <f t="shared" ref="R2905:R2968" si="48">IF(O2905=" ", " ", INT(YEARFRAC(O2905, B2905)*365))</f>
        <v>86</v>
      </c>
    </row>
    <row r="2906" spans="1:18" ht="24">
      <c r="A2906" s="26">
        <v>7470</v>
      </c>
      <c r="B2906" s="27">
        <v>38014</v>
      </c>
      <c r="C2906" s="28" t="s">
        <v>9363</v>
      </c>
      <c r="D2906" s="27">
        <v>38014</v>
      </c>
      <c r="E2906" s="28" t="s">
        <v>283</v>
      </c>
      <c r="F2906" s="28" t="s">
        <v>124</v>
      </c>
      <c r="G2906" s="28" t="s">
        <v>20</v>
      </c>
      <c r="H2906" s="28" t="s">
        <v>21</v>
      </c>
      <c r="I2906" s="28" t="s">
        <v>21</v>
      </c>
      <c r="J2906" s="28" t="s">
        <v>9364</v>
      </c>
      <c r="K2906" s="28" t="s">
        <v>9365</v>
      </c>
      <c r="L2906" s="28" t="s">
        <v>66</v>
      </c>
      <c r="M2906" s="28" t="s">
        <v>21</v>
      </c>
      <c r="O2906" s="92">
        <v>38075</v>
      </c>
      <c r="P2906" s="28" t="s">
        <v>21</v>
      </c>
      <c r="Q2906" s="26" t="b">
        <v>0</v>
      </c>
      <c r="R2906" s="22">
        <f t="shared" si="48"/>
        <v>61</v>
      </c>
    </row>
    <row r="2907" spans="1:18" ht="24">
      <c r="A2907" s="26">
        <v>7472</v>
      </c>
      <c r="B2907" s="27">
        <v>38014</v>
      </c>
      <c r="C2907" s="28" t="s">
        <v>9366</v>
      </c>
      <c r="D2907" s="27">
        <v>38014</v>
      </c>
      <c r="E2907" s="28" t="s">
        <v>283</v>
      </c>
      <c r="F2907" s="28" t="s">
        <v>124</v>
      </c>
      <c r="G2907" s="28" t="s">
        <v>20</v>
      </c>
      <c r="H2907" s="28" t="s">
        <v>21</v>
      </c>
      <c r="I2907" s="28" t="s">
        <v>21</v>
      </c>
      <c r="J2907" s="28" t="s">
        <v>9367</v>
      </c>
      <c r="K2907" s="28" t="s">
        <v>9368</v>
      </c>
      <c r="L2907" s="28" t="s">
        <v>66</v>
      </c>
      <c r="M2907" s="28" t="s">
        <v>21</v>
      </c>
      <c r="O2907" s="92">
        <v>38075</v>
      </c>
      <c r="P2907" s="28" t="s">
        <v>21</v>
      </c>
      <c r="Q2907" s="26" t="b">
        <v>0</v>
      </c>
      <c r="R2907" s="22">
        <f t="shared" si="48"/>
        <v>61</v>
      </c>
    </row>
    <row r="2908" spans="1:18" ht="24">
      <c r="A2908" s="26">
        <v>7473</v>
      </c>
      <c r="B2908" s="27">
        <v>38014</v>
      </c>
      <c r="C2908" s="28" t="s">
        <v>9369</v>
      </c>
      <c r="D2908" s="27">
        <v>38014</v>
      </c>
      <c r="E2908" s="28" t="s">
        <v>283</v>
      </c>
      <c r="F2908" s="28" t="s">
        <v>124</v>
      </c>
      <c r="G2908" s="28" t="s">
        <v>20</v>
      </c>
      <c r="H2908" s="28" t="s">
        <v>21</v>
      </c>
      <c r="I2908" s="28" t="s">
        <v>21</v>
      </c>
      <c r="J2908" s="28" t="s">
        <v>9370</v>
      </c>
      <c r="K2908" s="28" t="s">
        <v>9371</v>
      </c>
      <c r="L2908" s="28" t="s">
        <v>66</v>
      </c>
      <c r="M2908" s="28" t="s">
        <v>21</v>
      </c>
      <c r="O2908" s="92">
        <v>38099</v>
      </c>
      <c r="P2908" s="28" t="s">
        <v>21</v>
      </c>
      <c r="Q2908" s="26" t="b">
        <v>0</v>
      </c>
      <c r="R2908" s="22">
        <f t="shared" si="48"/>
        <v>85</v>
      </c>
    </row>
    <row r="2909" spans="1:18">
      <c r="A2909" s="26">
        <v>7474</v>
      </c>
      <c r="B2909" s="27">
        <v>38014</v>
      </c>
      <c r="C2909" s="28" t="s">
        <v>9372</v>
      </c>
      <c r="D2909" s="27">
        <v>38014</v>
      </c>
      <c r="E2909" s="28" t="s">
        <v>283</v>
      </c>
      <c r="F2909" s="28" t="s">
        <v>27</v>
      </c>
      <c r="G2909" s="28" t="s">
        <v>20</v>
      </c>
      <c r="H2909" s="28" t="s">
        <v>21</v>
      </c>
      <c r="I2909" s="28" t="s">
        <v>21</v>
      </c>
      <c r="J2909" s="28" t="s">
        <v>9373</v>
      </c>
      <c r="K2909" s="28" t="s">
        <v>9374</v>
      </c>
      <c r="L2909" s="28" t="s">
        <v>66</v>
      </c>
      <c r="M2909" s="28" t="s">
        <v>4282</v>
      </c>
      <c r="O2909" s="92">
        <v>38111</v>
      </c>
      <c r="P2909" s="28" t="s">
        <v>21</v>
      </c>
      <c r="Q2909" s="26" t="b">
        <v>0</v>
      </c>
      <c r="R2909" s="22">
        <f t="shared" si="48"/>
        <v>97</v>
      </c>
    </row>
    <row r="2910" spans="1:18" ht="24">
      <c r="A2910" s="26">
        <v>7475</v>
      </c>
      <c r="B2910" s="27">
        <v>38014</v>
      </c>
      <c r="C2910" s="28" t="s">
        <v>9375</v>
      </c>
      <c r="D2910" s="27">
        <v>38014</v>
      </c>
      <c r="E2910" s="28" t="s">
        <v>283</v>
      </c>
      <c r="F2910" s="28" t="s">
        <v>7024</v>
      </c>
      <c r="G2910" s="28" t="s">
        <v>20</v>
      </c>
      <c r="H2910" s="28" t="s">
        <v>21</v>
      </c>
      <c r="I2910" s="28" t="s">
        <v>21</v>
      </c>
      <c r="J2910" s="28" t="s">
        <v>9376</v>
      </c>
      <c r="K2910" s="28" t="s">
        <v>9377</v>
      </c>
      <c r="L2910" s="28" t="s">
        <v>66</v>
      </c>
      <c r="M2910" s="28" t="s">
        <v>21</v>
      </c>
      <c r="O2910" s="92">
        <v>38092</v>
      </c>
      <c r="P2910" s="28" t="s">
        <v>21</v>
      </c>
      <c r="Q2910" s="26" t="b">
        <v>0</v>
      </c>
      <c r="R2910" s="22">
        <f t="shared" si="48"/>
        <v>78</v>
      </c>
    </row>
    <row r="2911" spans="1:18">
      <c r="A2911" s="26">
        <v>7476</v>
      </c>
      <c r="B2911" s="27">
        <v>38014</v>
      </c>
      <c r="C2911" s="28" t="s">
        <v>9378</v>
      </c>
      <c r="D2911" s="27">
        <v>38014</v>
      </c>
      <c r="E2911" s="28" t="s">
        <v>283</v>
      </c>
      <c r="F2911" s="28" t="s">
        <v>1338</v>
      </c>
      <c r="G2911" s="28" t="s">
        <v>20</v>
      </c>
      <c r="H2911" s="28" t="s">
        <v>21</v>
      </c>
      <c r="I2911" s="28" t="s">
        <v>21</v>
      </c>
      <c r="J2911" s="28" t="s">
        <v>9379</v>
      </c>
      <c r="K2911" s="28" t="s">
        <v>9380</v>
      </c>
      <c r="L2911" s="28" t="s">
        <v>66</v>
      </c>
      <c r="M2911" s="28" t="s">
        <v>21</v>
      </c>
      <c r="O2911" s="92">
        <v>38083</v>
      </c>
      <c r="P2911" s="28" t="s">
        <v>21</v>
      </c>
      <c r="Q2911" s="26" t="b">
        <v>0</v>
      </c>
      <c r="R2911" s="22">
        <f t="shared" si="48"/>
        <v>68</v>
      </c>
    </row>
    <row r="2912" spans="1:18">
      <c r="A2912" s="26">
        <v>7477</v>
      </c>
      <c r="B2912" s="27">
        <v>38014</v>
      </c>
      <c r="C2912" s="28" t="s">
        <v>9381</v>
      </c>
      <c r="D2912" s="27">
        <v>38014</v>
      </c>
      <c r="E2912" s="28" t="s">
        <v>283</v>
      </c>
      <c r="F2912" s="28" t="s">
        <v>7024</v>
      </c>
      <c r="G2912" s="28" t="s">
        <v>20</v>
      </c>
      <c r="H2912" s="28" t="s">
        <v>21</v>
      </c>
      <c r="I2912" s="28" t="s">
        <v>21</v>
      </c>
      <c r="J2912" s="28" t="s">
        <v>4773</v>
      </c>
      <c r="K2912" s="28" t="s">
        <v>9382</v>
      </c>
      <c r="L2912" s="28" t="s">
        <v>8318</v>
      </c>
      <c r="M2912" s="28" t="s">
        <v>21</v>
      </c>
      <c r="O2912" s="92">
        <v>38057</v>
      </c>
      <c r="P2912" s="28" t="s">
        <v>21</v>
      </c>
      <c r="Q2912" s="26" t="b">
        <v>0</v>
      </c>
      <c r="R2912" s="22">
        <f t="shared" si="48"/>
        <v>43</v>
      </c>
    </row>
    <row r="2913" spans="1:18" ht="24">
      <c r="A2913" s="26">
        <v>7478</v>
      </c>
      <c r="B2913" s="27">
        <v>38014</v>
      </c>
      <c r="C2913" s="28" t="s">
        <v>9383</v>
      </c>
      <c r="D2913" s="27">
        <v>38014</v>
      </c>
      <c r="E2913" s="28" t="s">
        <v>283</v>
      </c>
      <c r="F2913" s="28" t="s">
        <v>3847</v>
      </c>
      <c r="G2913" s="28" t="s">
        <v>20</v>
      </c>
      <c r="H2913" s="28" t="s">
        <v>21</v>
      </c>
      <c r="I2913" s="28" t="s">
        <v>21</v>
      </c>
      <c r="J2913" s="28" t="s">
        <v>9384</v>
      </c>
      <c r="K2913" s="28" t="s">
        <v>9385</v>
      </c>
      <c r="L2913" s="28" t="s">
        <v>66</v>
      </c>
      <c r="M2913" s="28" t="s">
        <v>21</v>
      </c>
      <c r="O2913" s="92">
        <v>38083</v>
      </c>
      <c r="P2913" s="28" t="s">
        <v>21</v>
      </c>
      <c r="Q2913" s="26" t="b">
        <v>0</v>
      </c>
      <c r="R2913" s="22">
        <f t="shared" si="48"/>
        <v>68</v>
      </c>
    </row>
    <row r="2914" spans="1:18">
      <c r="A2914" s="26">
        <v>7479</v>
      </c>
      <c r="B2914" s="27">
        <v>38014</v>
      </c>
      <c r="C2914" s="28" t="s">
        <v>9386</v>
      </c>
      <c r="D2914" s="27">
        <v>38014</v>
      </c>
      <c r="E2914" s="28" t="s">
        <v>283</v>
      </c>
      <c r="F2914" s="28" t="s">
        <v>39</v>
      </c>
      <c r="G2914" s="28" t="s">
        <v>20</v>
      </c>
      <c r="H2914" s="28" t="s">
        <v>21</v>
      </c>
      <c r="I2914" s="28" t="s">
        <v>21</v>
      </c>
      <c r="J2914" s="28" t="s">
        <v>9387</v>
      </c>
      <c r="K2914" s="28" t="s">
        <v>9388</v>
      </c>
      <c r="L2914" s="28" t="s">
        <v>314</v>
      </c>
      <c r="M2914" s="28" t="s">
        <v>21</v>
      </c>
      <c r="O2914" s="92">
        <v>38100</v>
      </c>
      <c r="P2914" s="28" t="s">
        <v>21</v>
      </c>
      <c r="Q2914" s="26" t="b">
        <v>0</v>
      </c>
      <c r="R2914" s="22">
        <f t="shared" si="48"/>
        <v>86</v>
      </c>
    </row>
    <row r="2915" spans="1:18">
      <c r="A2915" s="26">
        <v>7480</v>
      </c>
      <c r="B2915" s="27">
        <v>38014</v>
      </c>
      <c r="C2915" s="28" t="s">
        <v>9389</v>
      </c>
      <c r="D2915" s="27">
        <v>38014</v>
      </c>
      <c r="E2915" s="28" t="s">
        <v>283</v>
      </c>
      <c r="F2915" s="28" t="s">
        <v>27</v>
      </c>
      <c r="G2915" s="28" t="s">
        <v>20</v>
      </c>
      <c r="H2915" s="28" t="s">
        <v>21</v>
      </c>
      <c r="I2915" s="28" t="s">
        <v>21</v>
      </c>
      <c r="J2915" s="28" t="s">
        <v>9390</v>
      </c>
      <c r="K2915" s="28" t="s">
        <v>9391</v>
      </c>
      <c r="L2915" s="28" t="s">
        <v>66</v>
      </c>
      <c r="M2915" s="28" t="s">
        <v>4282</v>
      </c>
      <c r="O2915" s="92">
        <v>38111</v>
      </c>
      <c r="P2915" s="28" t="s">
        <v>21</v>
      </c>
      <c r="Q2915" s="26" t="b">
        <v>0</v>
      </c>
      <c r="R2915" s="22">
        <f t="shared" si="48"/>
        <v>97</v>
      </c>
    </row>
    <row r="2916" spans="1:18">
      <c r="A2916" s="26">
        <v>7481</v>
      </c>
      <c r="B2916" s="27">
        <v>38014</v>
      </c>
      <c r="C2916" s="28" t="s">
        <v>9392</v>
      </c>
      <c r="D2916" s="27">
        <v>38014</v>
      </c>
      <c r="E2916" s="28" t="s">
        <v>283</v>
      </c>
      <c r="F2916" s="28" t="s">
        <v>242</v>
      </c>
      <c r="G2916" s="28" t="s">
        <v>20</v>
      </c>
      <c r="H2916" s="28" t="s">
        <v>21</v>
      </c>
      <c r="I2916" s="28" t="s">
        <v>21</v>
      </c>
      <c r="J2916" s="28" t="s">
        <v>9393</v>
      </c>
      <c r="K2916" s="28" t="s">
        <v>9394</v>
      </c>
      <c r="L2916" s="28" t="s">
        <v>4282</v>
      </c>
      <c r="M2916" s="28" t="s">
        <v>21</v>
      </c>
      <c r="O2916" s="92">
        <v>38107</v>
      </c>
      <c r="P2916" s="28" t="s">
        <v>21</v>
      </c>
      <c r="Q2916" s="26" t="b">
        <v>0</v>
      </c>
      <c r="R2916" s="22">
        <f t="shared" si="48"/>
        <v>93</v>
      </c>
    </row>
    <row r="2917" spans="1:18">
      <c r="A2917" s="26">
        <v>7483</v>
      </c>
      <c r="B2917" s="27">
        <v>38014</v>
      </c>
      <c r="C2917" s="28" t="s">
        <v>9395</v>
      </c>
      <c r="D2917" s="27">
        <v>38014</v>
      </c>
      <c r="E2917" s="28" t="s">
        <v>283</v>
      </c>
      <c r="F2917" s="28" t="s">
        <v>39</v>
      </c>
      <c r="G2917" s="28" t="s">
        <v>20</v>
      </c>
      <c r="H2917" s="28" t="s">
        <v>21</v>
      </c>
      <c r="I2917" s="28" t="s">
        <v>21</v>
      </c>
      <c r="J2917" s="28" t="s">
        <v>9396</v>
      </c>
      <c r="K2917" s="28" t="s">
        <v>9397</v>
      </c>
      <c r="L2917" s="28" t="s">
        <v>8318</v>
      </c>
      <c r="M2917" s="28" t="s">
        <v>21</v>
      </c>
      <c r="O2917" s="92">
        <v>38168</v>
      </c>
      <c r="P2917" s="28" t="s">
        <v>21</v>
      </c>
      <c r="Q2917" s="26" t="b">
        <v>0</v>
      </c>
      <c r="R2917" s="22">
        <f t="shared" si="48"/>
        <v>154</v>
      </c>
    </row>
    <row r="2918" spans="1:18">
      <c r="A2918" s="26">
        <v>7486</v>
      </c>
      <c r="B2918" s="27">
        <v>38015</v>
      </c>
      <c r="C2918" s="28" t="s">
        <v>9398</v>
      </c>
      <c r="D2918" s="27">
        <v>38015</v>
      </c>
      <c r="E2918" s="28" t="s">
        <v>283</v>
      </c>
      <c r="F2918" s="28" t="s">
        <v>228</v>
      </c>
      <c r="G2918" s="28" t="s">
        <v>20</v>
      </c>
      <c r="H2918" s="28" t="s">
        <v>21</v>
      </c>
      <c r="I2918" s="28" t="s">
        <v>21</v>
      </c>
      <c r="J2918" s="28" t="s">
        <v>9399</v>
      </c>
      <c r="K2918" s="28" t="s">
        <v>9400</v>
      </c>
      <c r="L2918" s="28" t="s">
        <v>4282</v>
      </c>
      <c r="M2918" s="28" t="s">
        <v>21</v>
      </c>
      <c r="O2918" s="92">
        <v>38107</v>
      </c>
      <c r="P2918" s="28" t="s">
        <v>21</v>
      </c>
      <c r="Q2918" s="26" t="b">
        <v>0</v>
      </c>
      <c r="R2918" s="22">
        <f t="shared" si="48"/>
        <v>92</v>
      </c>
    </row>
    <row r="2919" spans="1:18">
      <c r="A2919" s="26">
        <v>7487</v>
      </c>
      <c r="B2919" s="27">
        <v>38015</v>
      </c>
      <c r="C2919" s="28" t="s">
        <v>9401</v>
      </c>
      <c r="D2919" s="27">
        <v>38015</v>
      </c>
      <c r="E2919" s="28" t="s">
        <v>283</v>
      </c>
      <c r="F2919" s="28" t="s">
        <v>9402</v>
      </c>
      <c r="G2919" s="28" t="s">
        <v>20</v>
      </c>
      <c r="H2919" s="28" t="s">
        <v>21</v>
      </c>
      <c r="I2919" s="28" t="s">
        <v>21</v>
      </c>
      <c r="J2919" s="28" t="s">
        <v>9403</v>
      </c>
      <c r="K2919" s="28" t="s">
        <v>9404</v>
      </c>
      <c r="L2919" s="28" t="s">
        <v>66</v>
      </c>
      <c r="M2919" s="28" t="s">
        <v>21</v>
      </c>
      <c r="O2919" s="92">
        <v>38098</v>
      </c>
      <c r="P2919" s="28" t="s">
        <v>21</v>
      </c>
      <c r="Q2919" s="26" t="b">
        <v>0</v>
      </c>
      <c r="R2919" s="22">
        <f t="shared" si="48"/>
        <v>83</v>
      </c>
    </row>
    <row r="2920" spans="1:18">
      <c r="A2920" s="26">
        <v>7489</v>
      </c>
      <c r="B2920" s="27">
        <v>38015</v>
      </c>
      <c r="C2920" s="28" t="s">
        <v>9405</v>
      </c>
      <c r="D2920" s="27">
        <v>38015</v>
      </c>
      <c r="E2920" s="28" t="s">
        <v>283</v>
      </c>
      <c r="F2920" s="28" t="s">
        <v>7024</v>
      </c>
      <c r="G2920" s="28" t="s">
        <v>20</v>
      </c>
      <c r="H2920" s="28" t="s">
        <v>21</v>
      </c>
      <c r="I2920" s="28" t="s">
        <v>21</v>
      </c>
      <c r="J2920" s="28" t="s">
        <v>9406</v>
      </c>
      <c r="K2920" s="28" t="s">
        <v>9407</v>
      </c>
      <c r="L2920" s="28" t="s">
        <v>8318</v>
      </c>
      <c r="M2920" s="28" t="s">
        <v>21</v>
      </c>
      <c r="O2920" s="92">
        <v>38092</v>
      </c>
      <c r="P2920" s="28" t="s">
        <v>21</v>
      </c>
      <c r="Q2920" s="26" t="b">
        <v>0</v>
      </c>
      <c r="R2920" s="22">
        <f t="shared" si="48"/>
        <v>77</v>
      </c>
    </row>
    <row r="2921" spans="1:18">
      <c r="A2921" s="26">
        <v>7490</v>
      </c>
      <c r="B2921" s="27">
        <v>38015</v>
      </c>
      <c r="C2921" s="28" t="s">
        <v>9408</v>
      </c>
      <c r="D2921" s="27">
        <v>38015</v>
      </c>
      <c r="E2921" s="28" t="s">
        <v>283</v>
      </c>
      <c r="F2921" s="28" t="s">
        <v>7024</v>
      </c>
      <c r="G2921" s="28" t="s">
        <v>20</v>
      </c>
      <c r="H2921" s="28" t="s">
        <v>21</v>
      </c>
      <c r="I2921" s="28" t="s">
        <v>21</v>
      </c>
      <c r="J2921" s="28" t="s">
        <v>9409</v>
      </c>
      <c r="K2921" s="28" t="s">
        <v>9410</v>
      </c>
      <c r="L2921" s="28" t="s">
        <v>4282</v>
      </c>
      <c r="M2921" s="28" t="s">
        <v>21</v>
      </c>
      <c r="O2921" s="92">
        <v>38103</v>
      </c>
      <c r="P2921" s="28" t="s">
        <v>21</v>
      </c>
      <c r="Q2921" s="26" t="b">
        <v>0</v>
      </c>
      <c r="R2921" s="22">
        <f t="shared" si="48"/>
        <v>88</v>
      </c>
    </row>
    <row r="2922" spans="1:18">
      <c r="A2922" s="26">
        <v>7492</v>
      </c>
      <c r="B2922" s="27">
        <v>38015</v>
      </c>
      <c r="C2922" s="28" t="s">
        <v>9411</v>
      </c>
      <c r="D2922" s="27">
        <v>38015</v>
      </c>
      <c r="E2922" s="28" t="s">
        <v>283</v>
      </c>
      <c r="F2922" s="28" t="s">
        <v>7024</v>
      </c>
      <c r="G2922" s="28" t="s">
        <v>20</v>
      </c>
      <c r="H2922" s="28" t="s">
        <v>21</v>
      </c>
      <c r="I2922" s="28" t="s">
        <v>21</v>
      </c>
      <c r="J2922" s="28" t="s">
        <v>9412</v>
      </c>
      <c r="K2922" s="28" t="s">
        <v>9413</v>
      </c>
      <c r="L2922" s="28" t="s">
        <v>4282</v>
      </c>
      <c r="M2922" s="28" t="s">
        <v>21</v>
      </c>
      <c r="O2922" s="92">
        <v>38107</v>
      </c>
      <c r="P2922" s="28" t="s">
        <v>21</v>
      </c>
      <c r="Q2922" s="26" t="b">
        <v>0</v>
      </c>
      <c r="R2922" s="22">
        <f t="shared" si="48"/>
        <v>92</v>
      </c>
    </row>
    <row r="2923" spans="1:18" ht="24">
      <c r="A2923" s="26">
        <v>7494</v>
      </c>
      <c r="B2923" s="27">
        <v>38015</v>
      </c>
      <c r="C2923" s="28" t="s">
        <v>9414</v>
      </c>
      <c r="D2923" s="27">
        <v>38015</v>
      </c>
      <c r="E2923" s="28" t="s">
        <v>283</v>
      </c>
      <c r="F2923" s="28" t="s">
        <v>3847</v>
      </c>
      <c r="G2923" s="28" t="s">
        <v>20</v>
      </c>
      <c r="H2923" s="28" t="s">
        <v>21</v>
      </c>
      <c r="I2923" s="28" t="s">
        <v>21</v>
      </c>
      <c r="J2923" s="28" t="s">
        <v>9415</v>
      </c>
      <c r="K2923" s="28" t="s">
        <v>9416</v>
      </c>
      <c r="L2923" s="28" t="s">
        <v>66</v>
      </c>
      <c r="M2923" s="28" t="s">
        <v>21</v>
      </c>
      <c r="O2923" s="92">
        <v>38083</v>
      </c>
      <c r="P2923" s="28" t="s">
        <v>21</v>
      </c>
      <c r="Q2923" s="26" t="b">
        <v>0</v>
      </c>
      <c r="R2923" s="22">
        <f t="shared" si="48"/>
        <v>67</v>
      </c>
    </row>
    <row r="2924" spans="1:18">
      <c r="A2924" s="26">
        <v>7495</v>
      </c>
      <c r="B2924" s="27">
        <v>38015</v>
      </c>
      <c r="C2924" s="28" t="s">
        <v>9417</v>
      </c>
      <c r="D2924" s="27">
        <v>38015</v>
      </c>
      <c r="E2924" s="28" t="s">
        <v>283</v>
      </c>
      <c r="F2924" s="28" t="s">
        <v>52</v>
      </c>
      <c r="G2924" s="28" t="s">
        <v>20</v>
      </c>
      <c r="H2924" s="28" t="s">
        <v>21</v>
      </c>
      <c r="I2924" s="28" t="s">
        <v>21</v>
      </c>
      <c r="J2924" s="28" t="s">
        <v>9418</v>
      </c>
      <c r="K2924" s="28" t="s">
        <v>9419</v>
      </c>
      <c r="L2924" s="28" t="s">
        <v>314</v>
      </c>
      <c r="M2924" s="28" t="s">
        <v>21</v>
      </c>
      <c r="O2924" s="92">
        <v>38103</v>
      </c>
      <c r="P2924" s="28" t="s">
        <v>21</v>
      </c>
      <c r="Q2924" s="26" t="b">
        <v>0</v>
      </c>
      <c r="R2924" s="22">
        <f t="shared" si="48"/>
        <v>88</v>
      </c>
    </row>
    <row r="2925" spans="1:18">
      <c r="A2925" s="26">
        <v>7506</v>
      </c>
      <c r="B2925" s="27">
        <v>38015</v>
      </c>
      <c r="C2925" s="28" t="s">
        <v>9445</v>
      </c>
      <c r="D2925" s="27">
        <v>38015</v>
      </c>
      <c r="E2925" s="28" t="s">
        <v>283</v>
      </c>
      <c r="F2925" s="28" t="s">
        <v>124</v>
      </c>
      <c r="G2925" s="28" t="s">
        <v>20</v>
      </c>
      <c r="H2925" s="28" t="s">
        <v>21</v>
      </c>
      <c r="I2925" s="28" t="s">
        <v>21</v>
      </c>
      <c r="J2925" s="28" t="s">
        <v>9446</v>
      </c>
      <c r="K2925" s="28" t="s">
        <v>9447</v>
      </c>
      <c r="L2925" s="28" t="s">
        <v>66</v>
      </c>
      <c r="M2925" s="28" t="s">
        <v>21</v>
      </c>
      <c r="O2925" s="92">
        <v>38092</v>
      </c>
      <c r="P2925" s="28" t="s">
        <v>21</v>
      </c>
      <c r="Q2925" s="26" t="b">
        <v>0</v>
      </c>
      <c r="R2925" s="22">
        <f t="shared" si="48"/>
        <v>77</v>
      </c>
    </row>
    <row r="2926" spans="1:18">
      <c r="A2926" s="26">
        <v>7584</v>
      </c>
      <c r="B2926" s="27">
        <v>38015</v>
      </c>
      <c r="C2926" s="28" t="s">
        <v>9593</v>
      </c>
      <c r="D2926" s="27">
        <v>38015</v>
      </c>
      <c r="E2926" s="28" t="s">
        <v>38</v>
      </c>
      <c r="F2926" s="28" t="s">
        <v>3434</v>
      </c>
      <c r="G2926" s="28" t="s">
        <v>20</v>
      </c>
      <c r="H2926" s="28" t="s">
        <v>21</v>
      </c>
      <c r="I2926" s="28" t="s">
        <v>21</v>
      </c>
      <c r="J2926" s="28" t="s">
        <v>9594</v>
      </c>
      <c r="K2926" s="28" t="s">
        <v>7286</v>
      </c>
      <c r="L2926" s="28" t="s">
        <v>8318</v>
      </c>
      <c r="M2926" s="28" t="s">
        <v>21</v>
      </c>
      <c r="O2926" s="92">
        <v>38037</v>
      </c>
      <c r="P2926" s="28" t="s">
        <v>31</v>
      </c>
      <c r="Q2926" s="26" t="b">
        <v>0</v>
      </c>
      <c r="R2926" s="22">
        <f t="shared" si="48"/>
        <v>21</v>
      </c>
    </row>
    <row r="2927" spans="1:18">
      <c r="A2927" s="26">
        <v>7585</v>
      </c>
      <c r="B2927" s="27">
        <v>38015</v>
      </c>
      <c r="C2927" s="28" t="s">
        <v>9595</v>
      </c>
      <c r="D2927" s="27">
        <v>38015</v>
      </c>
      <c r="E2927" s="28" t="s">
        <v>38</v>
      </c>
      <c r="F2927" s="28" t="s">
        <v>3434</v>
      </c>
      <c r="G2927" s="28" t="s">
        <v>20</v>
      </c>
      <c r="H2927" s="28" t="s">
        <v>21</v>
      </c>
      <c r="I2927" s="28" t="s">
        <v>21</v>
      </c>
      <c r="J2927" s="28" t="s">
        <v>9596</v>
      </c>
      <c r="K2927" s="28" t="s">
        <v>9597</v>
      </c>
      <c r="L2927" s="28" t="s">
        <v>8318</v>
      </c>
      <c r="M2927" s="28" t="s">
        <v>21</v>
      </c>
      <c r="O2927" s="92">
        <v>38037</v>
      </c>
      <c r="P2927" s="28" t="s">
        <v>31</v>
      </c>
      <c r="Q2927" s="26" t="b">
        <v>0</v>
      </c>
      <c r="R2927" s="22">
        <f t="shared" si="48"/>
        <v>21</v>
      </c>
    </row>
    <row r="2928" spans="1:18" ht="24">
      <c r="A2928" s="26">
        <v>7497</v>
      </c>
      <c r="B2928" s="27">
        <v>38016</v>
      </c>
      <c r="C2928" s="28" t="s">
        <v>9422</v>
      </c>
      <c r="D2928" s="27">
        <v>38016</v>
      </c>
      <c r="E2928" s="28" t="s">
        <v>283</v>
      </c>
      <c r="F2928" s="28" t="s">
        <v>1338</v>
      </c>
      <c r="G2928" s="28" t="s">
        <v>20</v>
      </c>
      <c r="H2928" s="28" t="s">
        <v>21</v>
      </c>
      <c r="I2928" s="28" t="s">
        <v>21</v>
      </c>
      <c r="J2928" s="28" t="s">
        <v>9423</v>
      </c>
      <c r="K2928" s="28" t="s">
        <v>9424</v>
      </c>
      <c r="L2928" s="28" t="s">
        <v>66</v>
      </c>
      <c r="M2928" s="28" t="s">
        <v>21</v>
      </c>
      <c r="O2928" s="92">
        <v>38083</v>
      </c>
      <c r="P2928" s="28" t="s">
        <v>21</v>
      </c>
      <c r="Q2928" s="26" t="b">
        <v>0</v>
      </c>
      <c r="R2928" s="22">
        <f t="shared" si="48"/>
        <v>66</v>
      </c>
    </row>
    <row r="2929" spans="1:18" ht="24">
      <c r="A2929" s="26">
        <v>7498</v>
      </c>
      <c r="B2929" s="27">
        <v>38016</v>
      </c>
      <c r="C2929" s="28" t="s">
        <v>9425</v>
      </c>
      <c r="D2929" s="27">
        <v>38016</v>
      </c>
      <c r="E2929" s="28" t="s">
        <v>283</v>
      </c>
      <c r="F2929" s="28" t="s">
        <v>7024</v>
      </c>
      <c r="G2929" s="28" t="s">
        <v>20</v>
      </c>
      <c r="H2929" s="28" t="s">
        <v>21</v>
      </c>
      <c r="I2929" s="28" t="s">
        <v>21</v>
      </c>
      <c r="J2929" s="28" t="s">
        <v>9426</v>
      </c>
      <c r="K2929" s="28" t="s">
        <v>9427</v>
      </c>
      <c r="L2929" s="28" t="s">
        <v>66</v>
      </c>
      <c r="M2929" s="28" t="s">
        <v>21</v>
      </c>
      <c r="O2929" s="92">
        <v>38092</v>
      </c>
      <c r="P2929" s="28" t="s">
        <v>21</v>
      </c>
      <c r="Q2929" s="26" t="b">
        <v>0</v>
      </c>
      <c r="R2929" s="22">
        <f t="shared" si="48"/>
        <v>76</v>
      </c>
    </row>
    <row r="2930" spans="1:18">
      <c r="A2930" s="26">
        <v>7500</v>
      </c>
      <c r="B2930" s="27">
        <v>38016</v>
      </c>
      <c r="C2930" s="28" t="s">
        <v>9428</v>
      </c>
      <c r="D2930" s="27">
        <v>38016</v>
      </c>
      <c r="E2930" s="28" t="s">
        <v>283</v>
      </c>
      <c r="F2930" s="28" t="s">
        <v>149</v>
      </c>
      <c r="G2930" s="28" t="s">
        <v>20</v>
      </c>
      <c r="H2930" s="28" t="s">
        <v>21</v>
      </c>
      <c r="I2930" s="28" t="s">
        <v>21</v>
      </c>
      <c r="J2930" s="28" t="s">
        <v>9429</v>
      </c>
      <c r="K2930" s="28" t="s">
        <v>9430</v>
      </c>
      <c r="L2930" s="28" t="s">
        <v>4282</v>
      </c>
      <c r="M2930" s="28" t="s">
        <v>21</v>
      </c>
      <c r="O2930" s="92">
        <v>38107</v>
      </c>
      <c r="P2930" s="28" t="s">
        <v>21</v>
      </c>
      <c r="Q2930" s="26" t="b">
        <v>0</v>
      </c>
      <c r="R2930" s="22">
        <f t="shared" si="48"/>
        <v>91</v>
      </c>
    </row>
    <row r="2931" spans="1:18">
      <c r="A2931" s="26">
        <v>7501</v>
      </c>
      <c r="B2931" s="27">
        <v>38016</v>
      </c>
      <c r="C2931" s="28" t="s">
        <v>9431</v>
      </c>
      <c r="D2931" s="27">
        <v>38016</v>
      </c>
      <c r="E2931" s="28" t="s">
        <v>283</v>
      </c>
      <c r="F2931" s="28" t="s">
        <v>39</v>
      </c>
      <c r="G2931" s="28" t="s">
        <v>20</v>
      </c>
      <c r="H2931" s="28" t="s">
        <v>21</v>
      </c>
      <c r="I2931" s="28" t="s">
        <v>21</v>
      </c>
      <c r="J2931" s="28" t="s">
        <v>9432</v>
      </c>
      <c r="K2931" s="28" t="s">
        <v>9433</v>
      </c>
      <c r="L2931" s="28" t="s">
        <v>314</v>
      </c>
      <c r="M2931" s="28" t="s">
        <v>21</v>
      </c>
      <c r="O2931" s="92">
        <v>38100</v>
      </c>
      <c r="P2931" s="28" t="s">
        <v>21</v>
      </c>
      <c r="Q2931" s="26" t="b">
        <v>0</v>
      </c>
      <c r="R2931" s="22">
        <f t="shared" si="48"/>
        <v>84</v>
      </c>
    </row>
    <row r="2932" spans="1:18" ht="24">
      <c r="A2932" s="26">
        <v>7502</v>
      </c>
      <c r="B2932" s="27">
        <v>38016</v>
      </c>
      <c r="C2932" s="28" t="s">
        <v>9434</v>
      </c>
      <c r="D2932" s="27">
        <v>38016</v>
      </c>
      <c r="E2932" s="28" t="s">
        <v>283</v>
      </c>
      <c r="F2932" s="28" t="s">
        <v>6084</v>
      </c>
      <c r="G2932" s="28" t="s">
        <v>20</v>
      </c>
      <c r="H2932" s="28" t="s">
        <v>21</v>
      </c>
      <c r="I2932" s="28" t="s">
        <v>21</v>
      </c>
      <c r="J2932" s="28" t="s">
        <v>9435</v>
      </c>
      <c r="K2932" s="28" t="s">
        <v>9436</v>
      </c>
      <c r="L2932" s="28" t="s">
        <v>4282</v>
      </c>
      <c r="M2932" s="28" t="s">
        <v>21</v>
      </c>
      <c r="O2932" s="92">
        <v>38107</v>
      </c>
      <c r="P2932" s="28" t="s">
        <v>21</v>
      </c>
      <c r="Q2932" s="26" t="b">
        <v>0</v>
      </c>
      <c r="R2932" s="22">
        <f t="shared" si="48"/>
        <v>91</v>
      </c>
    </row>
    <row r="2933" spans="1:18">
      <c r="A2933" s="26">
        <v>7503</v>
      </c>
      <c r="B2933" s="27">
        <v>38016</v>
      </c>
      <c r="C2933" s="28" t="s">
        <v>9437</v>
      </c>
      <c r="D2933" s="27">
        <v>38016</v>
      </c>
      <c r="E2933" s="28" t="s">
        <v>283</v>
      </c>
      <c r="F2933" s="28" t="s">
        <v>242</v>
      </c>
      <c r="G2933" s="28" t="s">
        <v>20</v>
      </c>
      <c r="H2933" s="28" t="s">
        <v>21</v>
      </c>
      <c r="I2933" s="28" t="s">
        <v>21</v>
      </c>
      <c r="J2933" s="28" t="s">
        <v>9438</v>
      </c>
      <c r="K2933" s="28" t="s">
        <v>6920</v>
      </c>
      <c r="L2933" s="28" t="s">
        <v>314</v>
      </c>
      <c r="M2933" s="28" t="s">
        <v>21</v>
      </c>
      <c r="O2933" s="92">
        <v>38100</v>
      </c>
      <c r="P2933" s="28" t="s">
        <v>21</v>
      </c>
      <c r="Q2933" s="26" t="b">
        <v>0</v>
      </c>
      <c r="R2933" s="22">
        <f t="shared" si="48"/>
        <v>84</v>
      </c>
    </row>
    <row r="2934" spans="1:18">
      <c r="A2934" s="26">
        <v>7504</v>
      </c>
      <c r="B2934" s="27">
        <v>38016</v>
      </c>
      <c r="C2934" s="28" t="s">
        <v>9439</v>
      </c>
      <c r="D2934" s="27">
        <v>38016</v>
      </c>
      <c r="E2934" s="28" t="s">
        <v>283</v>
      </c>
      <c r="F2934" s="28" t="s">
        <v>6953</v>
      </c>
      <c r="G2934" s="28" t="s">
        <v>20</v>
      </c>
      <c r="H2934" s="28" t="s">
        <v>21</v>
      </c>
      <c r="I2934" s="28" t="s">
        <v>21</v>
      </c>
      <c r="J2934" s="28" t="s">
        <v>9440</v>
      </c>
      <c r="K2934" s="28" t="s">
        <v>9441</v>
      </c>
      <c r="L2934" s="28" t="s">
        <v>314</v>
      </c>
      <c r="M2934" s="28" t="s">
        <v>21</v>
      </c>
      <c r="O2934" s="92">
        <v>38103</v>
      </c>
      <c r="P2934" s="28" t="s">
        <v>21</v>
      </c>
      <c r="Q2934" s="26" t="b">
        <v>0</v>
      </c>
      <c r="R2934" s="22">
        <f t="shared" si="48"/>
        <v>87</v>
      </c>
    </row>
    <row r="2935" spans="1:18">
      <c r="A2935" s="26">
        <v>7505</v>
      </c>
      <c r="B2935" s="27">
        <v>38016</v>
      </c>
      <c r="C2935" s="28" t="s">
        <v>9442</v>
      </c>
      <c r="D2935" s="27">
        <v>38016</v>
      </c>
      <c r="E2935" s="28" t="s">
        <v>283</v>
      </c>
      <c r="F2935" s="28" t="s">
        <v>6084</v>
      </c>
      <c r="G2935" s="28" t="s">
        <v>20</v>
      </c>
      <c r="H2935" s="28" t="s">
        <v>21</v>
      </c>
      <c r="I2935" s="28" t="s">
        <v>21</v>
      </c>
      <c r="J2935" s="28" t="s">
        <v>9443</v>
      </c>
      <c r="K2935" s="28" t="s">
        <v>9444</v>
      </c>
      <c r="L2935" s="28" t="s">
        <v>4282</v>
      </c>
      <c r="M2935" s="28" t="s">
        <v>21</v>
      </c>
      <c r="O2935" s="92">
        <v>38107</v>
      </c>
      <c r="P2935" s="28" t="s">
        <v>21</v>
      </c>
      <c r="Q2935" s="26" t="b">
        <v>0</v>
      </c>
      <c r="R2935" s="22">
        <f t="shared" si="48"/>
        <v>91</v>
      </c>
    </row>
    <row r="2936" spans="1:18" ht="24">
      <c r="A2936" s="26">
        <v>7507</v>
      </c>
      <c r="B2936" s="27">
        <v>38016</v>
      </c>
      <c r="C2936" s="28" t="s">
        <v>9448</v>
      </c>
      <c r="D2936" s="27">
        <v>38016</v>
      </c>
      <c r="E2936" s="28" t="s">
        <v>283</v>
      </c>
      <c r="F2936" s="28" t="s">
        <v>8522</v>
      </c>
      <c r="G2936" s="28" t="s">
        <v>20</v>
      </c>
      <c r="H2936" s="28" t="s">
        <v>21</v>
      </c>
      <c r="I2936" s="28" t="s">
        <v>21</v>
      </c>
      <c r="J2936" s="28" t="s">
        <v>9449</v>
      </c>
      <c r="K2936" s="28" t="s">
        <v>9450</v>
      </c>
      <c r="L2936" s="28" t="s">
        <v>66</v>
      </c>
      <c r="M2936" s="28" t="s">
        <v>21</v>
      </c>
      <c r="O2936" s="92">
        <v>38057</v>
      </c>
      <c r="P2936" s="28" t="s">
        <v>21</v>
      </c>
      <c r="Q2936" s="26" t="b">
        <v>0</v>
      </c>
      <c r="R2936" s="22">
        <f t="shared" si="48"/>
        <v>41</v>
      </c>
    </row>
    <row r="2937" spans="1:18" ht="24">
      <c r="A2937" s="26">
        <v>7509</v>
      </c>
      <c r="B2937" s="27">
        <v>38016</v>
      </c>
      <c r="C2937" s="28" t="s">
        <v>9454</v>
      </c>
      <c r="D2937" s="27">
        <v>38016</v>
      </c>
      <c r="E2937" s="28" t="s">
        <v>283</v>
      </c>
      <c r="F2937" s="28" t="s">
        <v>2838</v>
      </c>
      <c r="G2937" s="28" t="s">
        <v>20</v>
      </c>
      <c r="H2937" s="28" t="s">
        <v>21</v>
      </c>
      <c r="I2937" s="28" t="s">
        <v>21</v>
      </c>
      <c r="J2937" s="28" t="s">
        <v>9455</v>
      </c>
      <c r="K2937" s="28" t="s">
        <v>9456</v>
      </c>
      <c r="L2937" s="28" t="s">
        <v>4282</v>
      </c>
      <c r="M2937" s="28" t="s">
        <v>21</v>
      </c>
      <c r="O2937" s="92">
        <v>38166</v>
      </c>
      <c r="P2937" s="28" t="s">
        <v>21</v>
      </c>
      <c r="Q2937" s="26" t="b">
        <v>0</v>
      </c>
      <c r="R2937" s="22">
        <f t="shared" si="48"/>
        <v>150</v>
      </c>
    </row>
    <row r="2938" spans="1:18" ht="24">
      <c r="A2938" s="26">
        <v>7511</v>
      </c>
      <c r="B2938" s="27">
        <v>38016</v>
      </c>
      <c r="C2938" s="28" t="s">
        <v>9457</v>
      </c>
      <c r="D2938" s="27">
        <v>38016</v>
      </c>
      <c r="E2938" s="28" t="s">
        <v>283</v>
      </c>
      <c r="F2938" s="28" t="s">
        <v>27</v>
      </c>
      <c r="G2938" s="28" t="s">
        <v>20</v>
      </c>
      <c r="H2938" s="28" t="s">
        <v>21</v>
      </c>
      <c r="I2938" s="28" t="s">
        <v>21</v>
      </c>
      <c r="J2938" s="28" t="s">
        <v>9458</v>
      </c>
      <c r="K2938" s="28" t="s">
        <v>9459</v>
      </c>
      <c r="L2938" s="28" t="s">
        <v>66</v>
      </c>
      <c r="M2938" s="28" t="s">
        <v>21</v>
      </c>
      <c r="O2938" s="92">
        <v>38057</v>
      </c>
      <c r="P2938" s="28" t="s">
        <v>21</v>
      </c>
      <c r="Q2938" s="26" t="b">
        <v>0</v>
      </c>
      <c r="R2938" s="22">
        <f t="shared" si="48"/>
        <v>41</v>
      </c>
    </row>
    <row r="2939" spans="1:18" ht="24">
      <c r="A2939" s="26">
        <v>7512</v>
      </c>
      <c r="B2939" s="27">
        <v>38016</v>
      </c>
      <c r="C2939" s="28" t="s">
        <v>9460</v>
      </c>
      <c r="D2939" s="27">
        <v>38016</v>
      </c>
      <c r="E2939" s="28" t="s">
        <v>283</v>
      </c>
      <c r="F2939" s="28" t="s">
        <v>98</v>
      </c>
      <c r="G2939" s="28" t="s">
        <v>20</v>
      </c>
      <c r="H2939" s="28" t="s">
        <v>21</v>
      </c>
      <c r="I2939" s="28" t="s">
        <v>21</v>
      </c>
      <c r="J2939" s="28" t="s">
        <v>9461</v>
      </c>
      <c r="K2939" s="28" t="s">
        <v>9462</v>
      </c>
      <c r="L2939" s="28" t="s">
        <v>66</v>
      </c>
      <c r="M2939" s="28" t="s">
        <v>21</v>
      </c>
      <c r="O2939" s="92">
        <v>38098</v>
      </c>
      <c r="P2939" s="28" t="s">
        <v>21</v>
      </c>
      <c r="Q2939" s="26" t="b">
        <v>0</v>
      </c>
      <c r="R2939" s="22">
        <f t="shared" si="48"/>
        <v>82</v>
      </c>
    </row>
    <row r="2940" spans="1:18" ht="24">
      <c r="A2940" s="26">
        <v>7513</v>
      </c>
      <c r="B2940" s="27">
        <v>38016</v>
      </c>
      <c r="C2940" s="28" t="s">
        <v>9463</v>
      </c>
      <c r="D2940" s="27">
        <v>38016</v>
      </c>
      <c r="E2940" s="28" t="s">
        <v>283</v>
      </c>
      <c r="F2940" s="28" t="s">
        <v>242</v>
      </c>
      <c r="G2940" s="28" t="s">
        <v>20</v>
      </c>
      <c r="H2940" s="28" t="s">
        <v>21</v>
      </c>
      <c r="I2940" s="28" t="s">
        <v>21</v>
      </c>
      <c r="J2940" s="28" t="s">
        <v>9464</v>
      </c>
      <c r="K2940" s="28" t="s">
        <v>9465</v>
      </c>
      <c r="L2940" s="28" t="s">
        <v>4282</v>
      </c>
      <c r="M2940" s="28" t="s">
        <v>21</v>
      </c>
      <c r="O2940" s="92">
        <v>38107</v>
      </c>
      <c r="P2940" s="28" t="s">
        <v>21</v>
      </c>
      <c r="Q2940" s="26" t="b">
        <v>0</v>
      </c>
      <c r="R2940" s="22">
        <f t="shared" si="48"/>
        <v>91</v>
      </c>
    </row>
    <row r="2941" spans="1:18">
      <c r="A2941" s="26">
        <v>7517</v>
      </c>
      <c r="B2941" s="27">
        <v>38016</v>
      </c>
      <c r="C2941" s="28" t="s">
        <v>9475</v>
      </c>
      <c r="D2941" s="27">
        <v>38016</v>
      </c>
      <c r="E2941" s="28" t="s">
        <v>9476</v>
      </c>
      <c r="F2941" s="28" t="s">
        <v>194</v>
      </c>
      <c r="G2941" s="28" t="s">
        <v>20</v>
      </c>
      <c r="H2941" s="28" t="s">
        <v>71</v>
      </c>
      <c r="I2941" s="28" t="s">
        <v>72</v>
      </c>
      <c r="J2941" s="28" t="s">
        <v>9477</v>
      </c>
      <c r="K2941" s="28" t="s">
        <v>1675</v>
      </c>
      <c r="L2941" s="28" t="s">
        <v>4579</v>
      </c>
      <c r="M2941" s="28" t="s">
        <v>66</v>
      </c>
      <c r="O2941" s="92">
        <v>38296</v>
      </c>
      <c r="P2941" s="28" t="s">
        <v>21</v>
      </c>
      <c r="Q2941" s="26" t="b">
        <v>0</v>
      </c>
      <c r="R2941" s="22">
        <f t="shared" si="48"/>
        <v>278</v>
      </c>
    </row>
    <row r="2942" spans="1:18">
      <c r="A2942" s="26">
        <v>7576</v>
      </c>
      <c r="B2942" s="27">
        <v>38016</v>
      </c>
      <c r="C2942" s="28" t="s">
        <v>9583</v>
      </c>
      <c r="D2942" s="27">
        <v>38016</v>
      </c>
      <c r="E2942" s="28" t="s">
        <v>9584</v>
      </c>
      <c r="F2942" s="28" t="s">
        <v>1111</v>
      </c>
      <c r="G2942" s="28" t="s">
        <v>20</v>
      </c>
      <c r="H2942" s="28" t="s">
        <v>21</v>
      </c>
      <c r="I2942" s="28" t="s">
        <v>21</v>
      </c>
      <c r="J2942" s="28" t="s">
        <v>6081</v>
      </c>
      <c r="K2942" s="28" t="s">
        <v>9585</v>
      </c>
      <c r="L2942" s="28" t="s">
        <v>8318</v>
      </c>
      <c r="M2942" s="28" t="s">
        <v>21</v>
      </c>
      <c r="O2942" s="92">
        <v>38068</v>
      </c>
      <c r="P2942" s="28" t="s">
        <v>31</v>
      </c>
      <c r="Q2942" s="26" t="b">
        <v>0</v>
      </c>
      <c r="R2942" s="22">
        <f t="shared" si="48"/>
        <v>52</v>
      </c>
    </row>
    <row r="2943" spans="1:18" ht="24">
      <c r="A2943" s="26">
        <v>7508</v>
      </c>
      <c r="B2943" s="27">
        <v>38019</v>
      </c>
      <c r="C2943" s="28" t="s">
        <v>9451</v>
      </c>
      <c r="D2943" s="27">
        <v>38019</v>
      </c>
      <c r="E2943" s="28" t="s">
        <v>283</v>
      </c>
      <c r="F2943" s="28" t="s">
        <v>8522</v>
      </c>
      <c r="G2943" s="28" t="s">
        <v>20</v>
      </c>
      <c r="H2943" s="28" t="s">
        <v>21</v>
      </c>
      <c r="I2943" s="28" t="s">
        <v>21</v>
      </c>
      <c r="J2943" s="28" t="s">
        <v>9452</v>
      </c>
      <c r="K2943" s="28" t="s">
        <v>9453</v>
      </c>
      <c r="L2943" s="28" t="s">
        <v>66</v>
      </c>
      <c r="M2943" s="28" t="s">
        <v>21</v>
      </c>
      <c r="O2943" s="92">
        <v>38057</v>
      </c>
      <c r="P2943" s="28" t="s">
        <v>21</v>
      </c>
      <c r="Q2943" s="26" t="b">
        <v>0</v>
      </c>
      <c r="R2943" s="22">
        <f t="shared" si="48"/>
        <v>39</v>
      </c>
    </row>
    <row r="2944" spans="1:18" ht="24">
      <c r="A2944" s="26">
        <v>7514</v>
      </c>
      <c r="B2944" s="27">
        <v>38019</v>
      </c>
      <c r="C2944" s="28" t="s">
        <v>9466</v>
      </c>
      <c r="D2944" s="27">
        <v>38019</v>
      </c>
      <c r="E2944" s="28" t="s">
        <v>283</v>
      </c>
      <c r="F2944" s="28" t="s">
        <v>7024</v>
      </c>
      <c r="G2944" s="28" t="s">
        <v>20</v>
      </c>
      <c r="H2944" s="28" t="s">
        <v>21</v>
      </c>
      <c r="I2944" s="28" t="s">
        <v>21</v>
      </c>
      <c r="J2944" s="28" t="s">
        <v>9467</v>
      </c>
      <c r="K2944" s="28" t="s">
        <v>9468</v>
      </c>
      <c r="L2944" s="28" t="s">
        <v>66</v>
      </c>
      <c r="M2944" s="28" t="s">
        <v>21</v>
      </c>
      <c r="O2944" s="92">
        <v>38084</v>
      </c>
      <c r="P2944" s="28" t="s">
        <v>21</v>
      </c>
      <c r="Q2944" s="26" t="b">
        <v>0</v>
      </c>
      <c r="R2944" s="22">
        <f t="shared" si="48"/>
        <v>65</v>
      </c>
    </row>
    <row r="2945" spans="1:18" ht="24">
      <c r="A2945" s="26">
        <v>7515</v>
      </c>
      <c r="B2945" s="27">
        <v>38019</v>
      </c>
      <c r="C2945" s="28" t="s">
        <v>9469</v>
      </c>
      <c r="D2945" s="27">
        <v>38019</v>
      </c>
      <c r="E2945" s="28" t="s">
        <v>283</v>
      </c>
      <c r="F2945" s="28" t="s">
        <v>7024</v>
      </c>
      <c r="G2945" s="28" t="s">
        <v>20</v>
      </c>
      <c r="H2945" s="28" t="s">
        <v>21</v>
      </c>
      <c r="I2945" s="28" t="s">
        <v>21</v>
      </c>
      <c r="J2945" s="28" t="s">
        <v>9470</v>
      </c>
      <c r="K2945" s="28" t="s">
        <v>9471</v>
      </c>
      <c r="L2945" s="28" t="s">
        <v>66</v>
      </c>
      <c r="M2945" s="28" t="s">
        <v>21</v>
      </c>
      <c r="O2945" s="92">
        <v>38083</v>
      </c>
      <c r="P2945" s="28" t="s">
        <v>21</v>
      </c>
      <c r="Q2945" s="26" t="b">
        <v>0</v>
      </c>
      <c r="R2945" s="22">
        <f t="shared" si="48"/>
        <v>64</v>
      </c>
    </row>
    <row r="2946" spans="1:18" ht="24">
      <c r="A2946" s="26">
        <v>7516</v>
      </c>
      <c r="B2946" s="27">
        <v>38019</v>
      </c>
      <c r="C2946" s="28" t="s">
        <v>9472</v>
      </c>
      <c r="D2946" s="27">
        <v>38019</v>
      </c>
      <c r="E2946" s="28" t="s">
        <v>283</v>
      </c>
      <c r="F2946" s="28" t="s">
        <v>39</v>
      </c>
      <c r="G2946" s="28" t="s">
        <v>20</v>
      </c>
      <c r="H2946" s="28" t="s">
        <v>21</v>
      </c>
      <c r="I2946" s="28" t="s">
        <v>21</v>
      </c>
      <c r="J2946" s="28" t="s">
        <v>9473</v>
      </c>
      <c r="K2946" s="28" t="s">
        <v>9474</v>
      </c>
      <c r="L2946" s="28" t="s">
        <v>4282</v>
      </c>
      <c r="M2946" s="28" t="s">
        <v>21</v>
      </c>
      <c r="O2946" s="92">
        <v>38107</v>
      </c>
      <c r="P2946" s="28" t="s">
        <v>21</v>
      </c>
      <c r="Q2946" s="26" t="b">
        <v>0</v>
      </c>
      <c r="R2946" s="22">
        <f t="shared" si="48"/>
        <v>89</v>
      </c>
    </row>
    <row r="2947" spans="1:18">
      <c r="A2947" s="26">
        <v>7518</v>
      </c>
      <c r="B2947" s="27">
        <v>38019</v>
      </c>
      <c r="C2947" s="28" t="s">
        <v>9478</v>
      </c>
      <c r="D2947" s="27">
        <v>38019</v>
      </c>
      <c r="E2947" s="28" t="s">
        <v>283</v>
      </c>
      <c r="F2947" s="28" t="s">
        <v>149</v>
      </c>
      <c r="G2947" s="28" t="s">
        <v>20</v>
      </c>
      <c r="H2947" s="28" t="s">
        <v>21</v>
      </c>
      <c r="I2947" s="28" t="s">
        <v>21</v>
      </c>
      <c r="J2947" s="28" t="s">
        <v>9479</v>
      </c>
      <c r="K2947" s="28" t="s">
        <v>8120</v>
      </c>
      <c r="L2947" s="28" t="s">
        <v>314</v>
      </c>
      <c r="M2947" s="28" t="s">
        <v>21</v>
      </c>
      <c r="O2947" s="92">
        <v>38114</v>
      </c>
      <c r="P2947" s="28" t="s">
        <v>21</v>
      </c>
      <c r="Q2947" s="26" t="b">
        <v>0</v>
      </c>
      <c r="R2947" s="22">
        <f t="shared" si="48"/>
        <v>96</v>
      </c>
    </row>
    <row r="2948" spans="1:18" ht="24">
      <c r="A2948" s="26">
        <v>7519</v>
      </c>
      <c r="B2948" s="27">
        <v>38019</v>
      </c>
      <c r="C2948" s="28" t="s">
        <v>9480</v>
      </c>
      <c r="D2948" s="27">
        <v>38019</v>
      </c>
      <c r="E2948" s="28" t="s">
        <v>283</v>
      </c>
      <c r="F2948" s="28" t="s">
        <v>984</v>
      </c>
      <c r="G2948" s="28" t="s">
        <v>20</v>
      </c>
      <c r="H2948" s="28" t="s">
        <v>21</v>
      </c>
      <c r="I2948" s="28" t="s">
        <v>21</v>
      </c>
      <c r="J2948" s="28" t="s">
        <v>9481</v>
      </c>
      <c r="K2948" s="28" t="s">
        <v>9482</v>
      </c>
      <c r="L2948" s="28" t="s">
        <v>66</v>
      </c>
      <c r="M2948" s="28" t="s">
        <v>21</v>
      </c>
      <c r="O2948" s="92">
        <v>38098</v>
      </c>
      <c r="P2948" s="28" t="s">
        <v>21</v>
      </c>
      <c r="Q2948" s="26" t="b">
        <v>0</v>
      </c>
      <c r="R2948" s="22">
        <f t="shared" si="48"/>
        <v>80</v>
      </c>
    </row>
    <row r="2949" spans="1:18" ht="24">
      <c r="A2949" s="26">
        <v>7520</v>
      </c>
      <c r="B2949" s="27">
        <v>38019</v>
      </c>
      <c r="C2949" s="28" t="s">
        <v>9483</v>
      </c>
      <c r="D2949" s="27">
        <v>38019</v>
      </c>
      <c r="E2949" s="28" t="s">
        <v>283</v>
      </c>
      <c r="F2949" s="28" t="s">
        <v>124</v>
      </c>
      <c r="G2949" s="28" t="s">
        <v>20</v>
      </c>
      <c r="H2949" s="28" t="s">
        <v>21</v>
      </c>
      <c r="I2949" s="28" t="s">
        <v>21</v>
      </c>
      <c r="J2949" s="28" t="s">
        <v>9484</v>
      </c>
      <c r="K2949" s="28" t="s">
        <v>9485</v>
      </c>
      <c r="L2949" s="28" t="s">
        <v>66</v>
      </c>
      <c r="M2949" s="28" t="s">
        <v>21</v>
      </c>
      <c r="O2949" s="92">
        <v>38168</v>
      </c>
      <c r="P2949" s="28" t="s">
        <v>21</v>
      </c>
      <c r="Q2949" s="26" t="b">
        <v>0</v>
      </c>
      <c r="R2949" s="22">
        <f t="shared" si="48"/>
        <v>150</v>
      </c>
    </row>
    <row r="2950" spans="1:18" ht="24">
      <c r="A2950" s="26">
        <v>7521</v>
      </c>
      <c r="B2950" s="27">
        <v>38019</v>
      </c>
      <c r="C2950" s="28" t="s">
        <v>9486</v>
      </c>
      <c r="D2950" s="27">
        <v>38019</v>
      </c>
      <c r="E2950" s="28" t="s">
        <v>283</v>
      </c>
      <c r="F2950" s="28" t="s">
        <v>149</v>
      </c>
      <c r="G2950" s="28" t="s">
        <v>20</v>
      </c>
      <c r="H2950" s="28" t="s">
        <v>21</v>
      </c>
      <c r="I2950" s="28" t="s">
        <v>21</v>
      </c>
      <c r="J2950" s="28" t="s">
        <v>9487</v>
      </c>
      <c r="K2950" s="28" t="s">
        <v>9488</v>
      </c>
      <c r="L2950" s="28" t="s">
        <v>314</v>
      </c>
      <c r="M2950" s="28" t="s">
        <v>21</v>
      </c>
      <c r="O2950" s="92">
        <v>38100</v>
      </c>
      <c r="P2950" s="28" t="s">
        <v>21</v>
      </c>
      <c r="Q2950" s="26" t="b">
        <v>0</v>
      </c>
      <c r="R2950" s="22">
        <f t="shared" si="48"/>
        <v>82</v>
      </c>
    </row>
    <row r="2951" spans="1:18">
      <c r="A2951" s="26">
        <v>7522</v>
      </c>
      <c r="B2951" s="27">
        <v>38019</v>
      </c>
      <c r="C2951" s="28" t="s">
        <v>9489</v>
      </c>
      <c r="D2951" s="27">
        <v>38019</v>
      </c>
      <c r="E2951" s="28" t="s">
        <v>283</v>
      </c>
      <c r="F2951" s="28" t="s">
        <v>27</v>
      </c>
      <c r="G2951" s="28" t="s">
        <v>20</v>
      </c>
      <c r="H2951" s="28" t="s">
        <v>21</v>
      </c>
      <c r="I2951" s="28" t="s">
        <v>21</v>
      </c>
      <c r="J2951" s="28" t="s">
        <v>9490</v>
      </c>
      <c r="K2951" s="28" t="s">
        <v>9491</v>
      </c>
      <c r="L2951" s="28" t="s">
        <v>66</v>
      </c>
      <c r="M2951" s="28" t="s">
        <v>4282</v>
      </c>
      <c r="O2951" s="92">
        <v>38057</v>
      </c>
      <c r="P2951" s="28" t="s">
        <v>21</v>
      </c>
      <c r="Q2951" s="26" t="b">
        <v>0</v>
      </c>
      <c r="R2951" s="22">
        <f t="shared" si="48"/>
        <v>39</v>
      </c>
    </row>
    <row r="2952" spans="1:18" ht="24">
      <c r="A2952" s="26">
        <v>7523</v>
      </c>
      <c r="B2952" s="27">
        <v>38019</v>
      </c>
      <c r="C2952" s="28" t="s">
        <v>9492</v>
      </c>
      <c r="D2952" s="27">
        <v>38019</v>
      </c>
      <c r="E2952" s="28" t="s">
        <v>283</v>
      </c>
      <c r="F2952" s="28" t="s">
        <v>242</v>
      </c>
      <c r="G2952" s="28" t="s">
        <v>20</v>
      </c>
      <c r="H2952" s="28" t="s">
        <v>21</v>
      </c>
      <c r="I2952" s="28" t="s">
        <v>21</v>
      </c>
      <c r="J2952" s="28" t="s">
        <v>9493</v>
      </c>
      <c r="K2952" s="28" t="s">
        <v>9494</v>
      </c>
      <c r="L2952" s="28" t="s">
        <v>4282</v>
      </c>
      <c r="M2952" s="28" t="s">
        <v>21</v>
      </c>
      <c r="O2952" s="92">
        <v>38107</v>
      </c>
      <c r="P2952" s="28" t="s">
        <v>21</v>
      </c>
      <c r="Q2952" s="26" t="b">
        <v>0</v>
      </c>
      <c r="R2952" s="22">
        <f t="shared" si="48"/>
        <v>89</v>
      </c>
    </row>
    <row r="2953" spans="1:18">
      <c r="A2953" s="26">
        <v>7524</v>
      </c>
      <c r="B2953" s="27">
        <v>38019</v>
      </c>
      <c r="C2953" s="28" t="s">
        <v>9495</v>
      </c>
      <c r="D2953" s="27">
        <v>38019</v>
      </c>
      <c r="E2953" s="28" t="s">
        <v>283</v>
      </c>
      <c r="F2953" s="28" t="s">
        <v>27</v>
      </c>
      <c r="G2953" s="28" t="s">
        <v>20</v>
      </c>
      <c r="H2953" s="28" t="s">
        <v>21</v>
      </c>
      <c r="I2953" s="28" t="s">
        <v>21</v>
      </c>
      <c r="J2953" s="28" t="s">
        <v>9496</v>
      </c>
      <c r="K2953" s="28" t="s">
        <v>9497</v>
      </c>
      <c r="L2953" s="28" t="s">
        <v>66</v>
      </c>
      <c r="M2953" s="28" t="s">
        <v>21</v>
      </c>
      <c r="O2953" s="92">
        <v>38057</v>
      </c>
      <c r="P2953" s="28" t="s">
        <v>21</v>
      </c>
      <c r="Q2953" s="26" t="b">
        <v>0</v>
      </c>
      <c r="R2953" s="22">
        <f t="shared" si="48"/>
        <v>39</v>
      </c>
    </row>
    <row r="2954" spans="1:18">
      <c r="A2954" s="26">
        <v>7525</v>
      </c>
      <c r="B2954" s="27">
        <v>38019</v>
      </c>
      <c r="C2954" s="28" t="s">
        <v>9498</v>
      </c>
      <c r="D2954" s="27">
        <v>38019</v>
      </c>
      <c r="E2954" s="28" t="s">
        <v>283</v>
      </c>
      <c r="F2954" s="28" t="s">
        <v>98</v>
      </c>
      <c r="G2954" s="28" t="s">
        <v>20</v>
      </c>
      <c r="H2954" s="28" t="s">
        <v>21</v>
      </c>
      <c r="I2954" s="28" t="s">
        <v>21</v>
      </c>
      <c r="J2954" s="28" t="s">
        <v>4764</v>
      </c>
      <c r="K2954" s="28" t="s">
        <v>9499</v>
      </c>
      <c r="L2954" s="28" t="s">
        <v>66</v>
      </c>
      <c r="M2954" s="28" t="s">
        <v>21</v>
      </c>
      <c r="O2954" s="92">
        <v>38098</v>
      </c>
      <c r="P2954" s="28" t="s">
        <v>21</v>
      </c>
      <c r="Q2954" s="26" t="b">
        <v>0</v>
      </c>
      <c r="R2954" s="22">
        <f t="shared" si="48"/>
        <v>80</v>
      </c>
    </row>
    <row r="2955" spans="1:18" ht="24">
      <c r="A2955" s="26">
        <v>7526</v>
      </c>
      <c r="B2955" s="27">
        <v>38019</v>
      </c>
      <c r="C2955" s="28" t="s">
        <v>9500</v>
      </c>
      <c r="D2955" s="27">
        <v>38019</v>
      </c>
      <c r="E2955" s="28" t="s">
        <v>283</v>
      </c>
      <c r="F2955" s="28" t="s">
        <v>2838</v>
      </c>
      <c r="G2955" s="28" t="s">
        <v>20</v>
      </c>
      <c r="H2955" s="28" t="s">
        <v>21</v>
      </c>
      <c r="I2955" s="28" t="s">
        <v>21</v>
      </c>
      <c r="J2955" s="28" t="s">
        <v>9501</v>
      </c>
      <c r="K2955" s="28" t="s">
        <v>9502</v>
      </c>
      <c r="L2955" s="28" t="s">
        <v>4282</v>
      </c>
      <c r="M2955" s="28" t="s">
        <v>21</v>
      </c>
      <c r="O2955" s="92">
        <v>38107</v>
      </c>
      <c r="P2955" s="28" t="s">
        <v>21</v>
      </c>
      <c r="Q2955" s="26" t="b">
        <v>0</v>
      </c>
      <c r="R2955" s="22">
        <f t="shared" si="48"/>
        <v>89</v>
      </c>
    </row>
    <row r="2956" spans="1:18" ht="24">
      <c r="A2956" s="26">
        <v>7527</v>
      </c>
      <c r="B2956" s="27">
        <v>38019</v>
      </c>
      <c r="C2956" s="28" t="s">
        <v>9503</v>
      </c>
      <c r="D2956" s="27">
        <v>38019</v>
      </c>
      <c r="E2956" s="28" t="s">
        <v>283</v>
      </c>
      <c r="F2956" s="28" t="s">
        <v>124</v>
      </c>
      <c r="G2956" s="28" t="s">
        <v>20</v>
      </c>
      <c r="H2956" s="28" t="s">
        <v>21</v>
      </c>
      <c r="I2956" s="28" t="s">
        <v>21</v>
      </c>
      <c r="J2956" s="28" t="s">
        <v>9504</v>
      </c>
      <c r="K2956" s="28" t="s">
        <v>9505</v>
      </c>
      <c r="L2956" s="28" t="s">
        <v>314</v>
      </c>
      <c r="M2956" s="28" t="s">
        <v>21</v>
      </c>
      <c r="N2956" s="18"/>
      <c r="O2956" s="92">
        <v>38114</v>
      </c>
      <c r="P2956" s="28" t="s">
        <v>21</v>
      </c>
      <c r="Q2956" s="26" t="b">
        <v>0</v>
      </c>
      <c r="R2956" s="22">
        <f t="shared" si="48"/>
        <v>96</v>
      </c>
    </row>
    <row r="2957" spans="1:18">
      <c r="A2957" s="26">
        <v>7528</v>
      </c>
      <c r="B2957" s="27">
        <v>38019</v>
      </c>
      <c r="C2957" s="28" t="s">
        <v>9506</v>
      </c>
      <c r="D2957" s="27">
        <v>38019</v>
      </c>
      <c r="E2957" s="28" t="s">
        <v>283</v>
      </c>
      <c r="F2957" s="28" t="s">
        <v>27</v>
      </c>
      <c r="G2957" s="28" t="s">
        <v>20</v>
      </c>
      <c r="H2957" s="28" t="s">
        <v>21</v>
      </c>
      <c r="I2957" s="28" t="s">
        <v>21</v>
      </c>
      <c r="J2957" s="28" t="s">
        <v>9507</v>
      </c>
      <c r="K2957" s="28" t="s">
        <v>9508</v>
      </c>
      <c r="L2957" s="28" t="s">
        <v>66</v>
      </c>
      <c r="M2957" s="28" t="s">
        <v>21</v>
      </c>
      <c r="N2957" s="18"/>
      <c r="O2957" s="92">
        <v>38057</v>
      </c>
      <c r="P2957" s="28" t="s">
        <v>21</v>
      </c>
      <c r="Q2957" s="26" t="b">
        <v>0</v>
      </c>
      <c r="R2957" s="22">
        <f t="shared" si="48"/>
        <v>39</v>
      </c>
    </row>
    <row r="2958" spans="1:18">
      <c r="A2958" s="26">
        <v>7529</v>
      </c>
      <c r="B2958" s="27">
        <v>38019</v>
      </c>
      <c r="C2958" s="28" t="s">
        <v>9509</v>
      </c>
      <c r="D2958" s="27">
        <v>38019</v>
      </c>
      <c r="E2958" s="28" t="s">
        <v>283</v>
      </c>
      <c r="F2958" s="28" t="s">
        <v>27</v>
      </c>
      <c r="G2958" s="28" t="s">
        <v>20</v>
      </c>
      <c r="H2958" s="28" t="s">
        <v>21</v>
      </c>
      <c r="I2958" s="28" t="s">
        <v>21</v>
      </c>
      <c r="J2958" s="28" t="s">
        <v>9510</v>
      </c>
      <c r="K2958" s="28" t="s">
        <v>9508</v>
      </c>
      <c r="L2958" s="28" t="s">
        <v>66</v>
      </c>
      <c r="M2958" s="28" t="s">
        <v>21</v>
      </c>
      <c r="O2958" s="92">
        <v>38057</v>
      </c>
      <c r="P2958" s="28" t="s">
        <v>21</v>
      </c>
      <c r="Q2958" s="26" t="b">
        <v>0</v>
      </c>
      <c r="R2958" s="22">
        <f t="shared" si="48"/>
        <v>39</v>
      </c>
    </row>
    <row r="2959" spans="1:18" ht="24">
      <c r="A2959" s="26">
        <v>7531</v>
      </c>
      <c r="B2959" s="27">
        <v>38019</v>
      </c>
      <c r="C2959" s="28" t="s">
        <v>9511</v>
      </c>
      <c r="D2959" s="27">
        <v>38019</v>
      </c>
      <c r="E2959" s="28" t="s">
        <v>283</v>
      </c>
      <c r="F2959" s="28" t="s">
        <v>359</v>
      </c>
      <c r="G2959" s="28" t="s">
        <v>20</v>
      </c>
      <c r="H2959" s="28" t="s">
        <v>21</v>
      </c>
      <c r="I2959" s="28" t="s">
        <v>21</v>
      </c>
      <c r="J2959" s="28" t="s">
        <v>9512</v>
      </c>
      <c r="K2959" s="28" t="s">
        <v>9513</v>
      </c>
      <c r="L2959" s="28" t="s">
        <v>4282</v>
      </c>
      <c r="M2959" s="28" t="s">
        <v>66</v>
      </c>
      <c r="O2959" s="92">
        <v>38107</v>
      </c>
      <c r="P2959" s="28" t="s">
        <v>21</v>
      </c>
      <c r="Q2959" s="26" t="b">
        <v>0</v>
      </c>
      <c r="R2959" s="22">
        <f t="shared" si="48"/>
        <v>89</v>
      </c>
    </row>
    <row r="2960" spans="1:18">
      <c r="A2960" s="26">
        <v>7532</v>
      </c>
      <c r="B2960" s="27">
        <v>38019</v>
      </c>
      <c r="C2960" s="28" t="s">
        <v>9514</v>
      </c>
      <c r="D2960" s="27">
        <v>38019</v>
      </c>
      <c r="E2960" s="28" t="s">
        <v>283</v>
      </c>
      <c r="F2960" s="28" t="s">
        <v>85</v>
      </c>
      <c r="G2960" s="28" t="s">
        <v>20</v>
      </c>
      <c r="H2960" s="28" t="s">
        <v>21</v>
      </c>
      <c r="I2960" s="28" t="s">
        <v>21</v>
      </c>
      <c r="J2960" s="28" t="s">
        <v>9515</v>
      </c>
      <c r="K2960" s="28" t="s">
        <v>9516</v>
      </c>
      <c r="L2960" s="28" t="s">
        <v>4282</v>
      </c>
      <c r="M2960" s="28" t="s">
        <v>21</v>
      </c>
      <c r="O2960" s="92">
        <v>38107</v>
      </c>
      <c r="P2960" s="28" t="s">
        <v>21</v>
      </c>
      <c r="Q2960" s="26" t="b">
        <v>0</v>
      </c>
      <c r="R2960" s="22">
        <f t="shared" si="48"/>
        <v>89</v>
      </c>
    </row>
    <row r="2961" spans="1:18">
      <c r="A2961" s="26">
        <v>7533</v>
      </c>
      <c r="B2961" s="27">
        <v>38019</v>
      </c>
      <c r="C2961" s="28" t="s">
        <v>9517</v>
      </c>
      <c r="D2961" s="27">
        <v>38019</v>
      </c>
      <c r="E2961" s="28" t="s">
        <v>283</v>
      </c>
      <c r="F2961" s="28" t="s">
        <v>52</v>
      </c>
      <c r="G2961" s="28" t="s">
        <v>20</v>
      </c>
      <c r="H2961" s="28" t="s">
        <v>21</v>
      </c>
      <c r="I2961" s="28" t="s">
        <v>21</v>
      </c>
      <c r="J2961" s="28" t="s">
        <v>9518</v>
      </c>
      <c r="K2961" s="28" t="s">
        <v>9519</v>
      </c>
      <c r="L2961" s="28" t="s">
        <v>66</v>
      </c>
      <c r="M2961" s="28" t="s">
        <v>21</v>
      </c>
      <c r="O2961" s="92">
        <v>38166</v>
      </c>
      <c r="P2961" s="28" t="s">
        <v>21</v>
      </c>
      <c r="Q2961" s="26" t="b">
        <v>0</v>
      </c>
      <c r="R2961" s="22">
        <f t="shared" si="48"/>
        <v>148</v>
      </c>
    </row>
    <row r="2962" spans="1:18">
      <c r="A2962" s="26">
        <v>7535</v>
      </c>
      <c r="B2962" s="27">
        <v>38019</v>
      </c>
      <c r="C2962" s="28" t="s">
        <v>9520</v>
      </c>
      <c r="D2962" s="27">
        <v>38019</v>
      </c>
      <c r="E2962" s="28" t="s">
        <v>283</v>
      </c>
      <c r="F2962" s="28" t="s">
        <v>39</v>
      </c>
      <c r="G2962" s="28" t="s">
        <v>20</v>
      </c>
      <c r="H2962" s="28" t="s">
        <v>21</v>
      </c>
      <c r="I2962" s="28" t="s">
        <v>21</v>
      </c>
      <c r="J2962" s="28" t="s">
        <v>9521</v>
      </c>
      <c r="K2962" s="28" t="s">
        <v>9522</v>
      </c>
      <c r="L2962" s="28" t="s">
        <v>314</v>
      </c>
      <c r="M2962" s="28" t="s">
        <v>21</v>
      </c>
      <c r="O2962" s="92">
        <v>38103</v>
      </c>
      <c r="P2962" s="28" t="s">
        <v>21</v>
      </c>
      <c r="Q2962" s="26" t="b">
        <v>0</v>
      </c>
      <c r="R2962" s="22">
        <f t="shared" si="48"/>
        <v>85</v>
      </c>
    </row>
    <row r="2963" spans="1:18" ht="24">
      <c r="A2963" s="26">
        <v>7536</v>
      </c>
      <c r="B2963" s="27">
        <v>38019</v>
      </c>
      <c r="C2963" s="28" t="s">
        <v>9523</v>
      </c>
      <c r="D2963" s="27">
        <v>38019</v>
      </c>
      <c r="E2963" s="28" t="s">
        <v>283</v>
      </c>
      <c r="F2963" s="28" t="s">
        <v>2838</v>
      </c>
      <c r="G2963" s="28" t="s">
        <v>20</v>
      </c>
      <c r="H2963" s="28" t="s">
        <v>21</v>
      </c>
      <c r="I2963" s="28" t="s">
        <v>21</v>
      </c>
      <c r="J2963" s="28" t="s">
        <v>9524</v>
      </c>
      <c r="K2963" s="28" t="s">
        <v>9525</v>
      </c>
      <c r="L2963" s="28" t="s">
        <v>314</v>
      </c>
      <c r="M2963" s="28" t="s">
        <v>21</v>
      </c>
      <c r="O2963" s="92">
        <v>38103</v>
      </c>
      <c r="P2963" s="28" t="s">
        <v>21</v>
      </c>
      <c r="Q2963" s="26" t="b">
        <v>0</v>
      </c>
      <c r="R2963" s="22">
        <f t="shared" si="48"/>
        <v>85</v>
      </c>
    </row>
    <row r="2964" spans="1:18" ht="24">
      <c r="A2964" s="26">
        <v>7537</v>
      </c>
      <c r="B2964" s="27">
        <v>38019</v>
      </c>
      <c r="C2964" s="28" t="s">
        <v>9526</v>
      </c>
      <c r="D2964" s="27">
        <v>38019</v>
      </c>
      <c r="E2964" s="28" t="s">
        <v>283</v>
      </c>
      <c r="F2964" s="28" t="s">
        <v>2838</v>
      </c>
      <c r="G2964" s="28" t="s">
        <v>20</v>
      </c>
      <c r="H2964" s="28" t="s">
        <v>21</v>
      </c>
      <c r="I2964" s="28" t="s">
        <v>21</v>
      </c>
      <c r="J2964" s="28" t="s">
        <v>9527</v>
      </c>
      <c r="K2964" s="28" t="s">
        <v>9528</v>
      </c>
      <c r="L2964" s="28" t="s">
        <v>314</v>
      </c>
      <c r="M2964" s="28" t="s">
        <v>21</v>
      </c>
      <c r="O2964" s="92">
        <v>38103</v>
      </c>
      <c r="P2964" s="28" t="s">
        <v>21</v>
      </c>
      <c r="Q2964" s="26" t="b">
        <v>0</v>
      </c>
      <c r="R2964" s="22">
        <f t="shared" si="48"/>
        <v>85</v>
      </c>
    </row>
    <row r="2965" spans="1:18" ht="24">
      <c r="A2965" s="26">
        <v>7538</v>
      </c>
      <c r="B2965" s="27">
        <v>38019</v>
      </c>
      <c r="C2965" s="28" t="s">
        <v>9529</v>
      </c>
      <c r="D2965" s="27">
        <v>38019</v>
      </c>
      <c r="E2965" s="28" t="s">
        <v>9530</v>
      </c>
      <c r="F2965" s="28" t="s">
        <v>6953</v>
      </c>
      <c r="G2965" s="28" t="s">
        <v>20</v>
      </c>
      <c r="H2965" s="28" t="s">
        <v>21</v>
      </c>
      <c r="I2965" s="28" t="s">
        <v>21</v>
      </c>
      <c r="J2965" s="28" t="s">
        <v>9531</v>
      </c>
      <c r="K2965" s="28" t="s">
        <v>21</v>
      </c>
      <c r="L2965" s="28" t="s">
        <v>4282</v>
      </c>
      <c r="M2965" s="28" t="s">
        <v>21</v>
      </c>
      <c r="N2965" s="29">
        <v>38046</v>
      </c>
      <c r="O2965" s="92">
        <v>38030</v>
      </c>
      <c r="P2965" s="28" t="s">
        <v>21</v>
      </c>
      <c r="Q2965" s="26" t="b">
        <v>0</v>
      </c>
      <c r="R2965" s="22">
        <f t="shared" si="48"/>
        <v>11</v>
      </c>
    </row>
    <row r="2966" spans="1:18" ht="24">
      <c r="A2966" s="26">
        <v>7539</v>
      </c>
      <c r="B2966" s="27">
        <v>38019</v>
      </c>
      <c r="C2966" s="28" t="s">
        <v>9532</v>
      </c>
      <c r="D2966" s="27">
        <v>38019</v>
      </c>
      <c r="E2966" s="28" t="s">
        <v>9533</v>
      </c>
      <c r="F2966" s="28" t="s">
        <v>533</v>
      </c>
      <c r="G2966" s="28" t="s">
        <v>20</v>
      </c>
      <c r="H2966" s="28" t="s">
        <v>21</v>
      </c>
      <c r="I2966" s="28" t="s">
        <v>21</v>
      </c>
      <c r="J2966" s="28" t="s">
        <v>9534</v>
      </c>
      <c r="K2966" s="28" t="s">
        <v>9535</v>
      </c>
      <c r="L2966" s="28" t="s">
        <v>314</v>
      </c>
      <c r="M2966" s="28" t="s">
        <v>21</v>
      </c>
      <c r="N2966" s="29">
        <v>38385</v>
      </c>
      <c r="O2966" s="92">
        <v>38037</v>
      </c>
      <c r="P2966" s="28" t="s">
        <v>21</v>
      </c>
      <c r="Q2966" s="26" t="b">
        <v>0</v>
      </c>
      <c r="R2966" s="22">
        <f t="shared" si="48"/>
        <v>18</v>
      </c>
    </row>
    <row r="2967" spans="1:18" ht="24">
      <c r="A2967" s="26">
        <v>7541</v>
      </c>
      <c r="B2967" s="27">
        <v>38020</v>
      </c>
      <c r="C2967" s="28" t="s">
        <v>9536</v>
      </c>
      <c r="D2967" s="27">
        <v>38020</v>
      </c>
      <c r="E2967" s="28" t="s">
        <v>283</v>
      </c>
      <c r="F2967" s="28" t="s">
        <v>359</v>
      </c>
      <c r="G2967" s="28" t="s">
        <v>20</v>
      </c>
      <c r="H2967" s="28" t="s">
        <v>21</v>
      </c>
      <c r="I2967" s="28" t="s">
        <v>21</v>
      </c>
      <c r="J2967" s="28" t="s">
        <v>9537</v>
      </c>
      <c r="K2967" s="28" t="s">
        <v>9538</v>
      </c>
      <c r="L2967" s="28" t="s">
        <v>4282</v>
      </c>
      <c r="M2967" s="28" t="s">
        <v>66</v>
      </c>
      <c r="O2967" s="92">
        <v>38168</v>
      </c>
      <c r="P2967" s="28" t="s">
        <v>21</v>
      </c>
      <c r="Q2967" s="26" t="b">
        <v>0</v>
      </c>
      <c r="R2967" s="22">
        <f t="shared" si="48"/>
        <v>149</v>
      </c>
    </row>
    <row r="2968" spans="1:18">
      <c r="A2968" s="26">
        <v>7549</v>
      </c>
      <c r="B2968" s="27">
        <v>38020</v>
      </c>
      <c r="C2968" s="28" t="s">
        <v>9553</v>
      </c>
      <c r="D2968" s="27">
        <v>38020</v>
      </c>
      <c r="E2968" s="28" t="s">
        <v>9554</v>
      </c>
      <c r="F2968" s="28" t="s">
        <v>85</v>
      </c>
      <c r="G2968" s="28" t="s">
        <v>20</v>
      </c>
      <c r="H2968" s="28" t="s">
        <v>21</v>
      </c>
      <c r="I2968" s="28" t="s">
        <v>21</v>
      </c>
      <c r="J2968" s="28" t="s">
        <v>9555</v>
      </c>
      <c r="K2968" s="28" t="s">
        <v>9556</v>
      </c>
      <c r="L2968" s="28" t="s">
        <v>3271</v>
      </c>
      <c r="M2968" s="28" t="s">
        <v>21</v>
      </c>
      <c r="O2968" s="92">
        <v>38028</v>
      </c>
      <c r="P2968" s="28" t="s">
        <v>31</v>
      </c>
      <c r="Q2968" s="26" t="b">
        <v>0</v>
      </c>
      <c r="R2968" s="22">
        <f t="shared" si="48"/>
        <v>8</v>
      </c>
    </row>
    <row r="2969" spans="1:18">
      <c r="A2969" s="26">
        <v>7571</v>
      </c>
      <c r="B2969" s="27">
        <v>38020</v>
      </c>
      <c r="C2969" s="28" t="s">
        <v>9573</v>
      </c>
      <c r="D2969" s="27">
        <v>38020</v>
      </c>
      <c r="E2969" s="28" t="s">
        <v>9574</v>
      </c>
      <c r="F2969" s="28" t="s">
        <v>56</v>
      </c>
      <c r="G2969" s="28" t="s">
        <v>20</v>
      </c>
      <c r="H2969" s="28" t="s">
        <v>21</v>
      </c>
      <c r="I2969" s="28" t="s">
        <v>21</v>
      </c>
      <c r="J2969" s="28" t="s">
        <v>9575</v>
      </c>
      <c r="K2969" s="28" t="s">
        <v>9576</v>
      </c>
      <c r="L2969" s="28" t="s">
        <v>66</v>
      </c>
      <c r="M2969" s="28" t="s">
        <v>21</v>
      </c>
      <c r="O2969" s="92">
        <v>38160</v>
      </c>
      <c r="P2969" s="28" t="s">
        <v>31</v>
      </c>
      <c r="Q2969" s="26" t="b">
        <v>0</v>
      </c>
      <c r="R2969" s="22">
        <f t="shared" ref="R2969:R3032" si="49">IF(O2969=" ", " ", INT(YEARFRAC(O2969, B2969)*365))</f>
        <v>140</v>
      </c>
    </row>
    <row r="2970" spans="1:18" ht="24">
      <c r="A2970" s="26">
        <v>7544</v>
      </c>
      <c r="B2970" s="27">
        <v>38022</v>
      </c>
      <c r="C2970" s="28" t="s">
        <v>9539</v>
      </c>
      <c r="D2970" s="27">
        <v>38022</v>
      </c>
      <c r="E2970" s="28" t="s">
        <v>283</v>
      </c>
      <c r="F2970" s="28" t="s">
        <v>56</v>
      </c>
      <c r="G2970" s="28" t="s">
        <v>20</v>
      </c>
      <c r="H2970" s="28" t="s">
        <v>21</v>
      </c>
      <c r="I2970" s="28" t="s">
        <v>21</v>
      </c>
      <c r="J2970" s="28" t="s">
        <v>9540</v>
      </c>
      <c r="K2970" s="28" t="s">
        <v>9541</v>
      </c>
      <c r="L2970" s="28" t="s">
        <v>8318</v>
      </c>
      <c r="M2970" s="28" t="s">
        <v>21</v>
      </c>
      <c r="O2970" s="92">
        <v>38096</v>
      </c>
      <c r="P2970" s="28" t="s">
        <v>21</v>
      </c>
      <c r="Q2970" s="26" t="b">
        <v>0</v>
      </c>
      <c r="R2970" s="22">
        <f t="shared" si="49"/>
        <v>75</v>
      </c>
    </row>
    <row r="2971" spans="1:18" ht="24">
      <c r="A2971" s="26">
        <v>7545</v>
      </c>
      <c r="B2971" s="27">
        <v>38022</v>
      </c>
      <c r="C2971" s="28" t="s">
        <v>9542</v>
      </c>
      <c r="D2971" s="27">
        <v>38022</v>
      </c>
      <c r="E2971" s="28" t="s">
        <v>283</v>
      </c>
      <c r="F2971" s="28" t="s">
        <v>56</v>
      </c>
      <c r="G2971" s="28" t="s">
        <v>20</v>
      </c>
      <c r="H2971" s="28" t="s">
        <v>21</v>
      </c>
      <c r="I2971" s="28" t="s">
        <v>21</v>
      </c>
      <c r="J2971" s="28" t="s">
        <v>9543</v>
      </c>
      <c r="K2971" s="28" t="s">
        <v>9544</v>
      </c>
      <c r="L2971" s="28" t="s">
        <v>8318</v>
      </c>
      <c r="M2971" s="28" t="s">
        <v>21</v>
      </c>
      <c r="O2971" s="92">
        <v>38120</v>
      </c>
      <c r="P2971" s="28" t="s">
        <v>21</v>
      </c>
      <c r="Q2971" s="26" t="b">
        <v>0</v>
      </c>
      <c r="R2971" s="22">
        <f t="shared" si="49"/>
        <v>99</v>
      </c>
    </row>
    <row r="2972" spans="1:18" ht="24">
      <c r="A2972" s="26">
        <v>7546</v>
      </c>
      <c r="B2972" s="27">
        <v>38022</v>
      </c>
      <c r="C2972" s="28" t="s">
        <v>9545</v>
      </c>
      <c r="D2972" s="27">
        <v>38022</v>
      </c>
      <c r="E2972" s="28" t="s">
        <v>283</v>
      </c>
      <c r="F2972" s="28" t="s">
        <v>242</v>
      </c>
      <c r="G2972" s="28" t="s">
        <v>20</v>
      </c>
      <c r="H2972" s="28" t="s">
        <v>21</v>
      </c>
      <c r="I2972" s="28" t="s">
        <v>21</v>
      </c>
      <c r="J2972" s="28" t="s">
        <v>9546</v>
      </c>
      <c r="K2972" s="28" t="s">
        <v>9547</v>
      </c>
      <c r="L2972" s="28" t="s">
        <v>4282</v>
      </c>
      <c r="M2972" s="28" t="s">
        <v>21</v>
      </c>
      <c r="O2972" s="92">
        <v>38107</v>
      </c>
      <c r="P2972" s="28" t="s">
        <v>21</v>
      </c>
      <c r="Q2972" s="26" t="b">
        <v>0</v>
      </c>
      <c r="R2972" s="22">
        <f t="shared" si="49"/>
        <v>86</v>
      </c>
    </row>
    <row r="2973" spans="1:18">
      <c r="A2973" s="26">
        <v>7547</v>
      </c>
      <c r="B2973" s="27">
        <v>38022</v>
      </c>
      <c r="C2973" s="28" t="s">
        <v>9548</v>
      </c>
      <c r="D2973" s="27">
        <v>38022</v>
      </c>
      <c r="E2973" s="28" t="s">
        <v>283</v>
      </c>
      <c r="F2973" s="28" t="s">
        <v>283</v>
      </c>
      <c r="G2973" s="28" t="s">
        <v>20</v>
      </c>
      <c r="H2973" s="28" t="s">
        <v>21</v>
      </c>
      <c r="I2973" s="28" t="s">
        <v>21</v>
      </c>
      <c r="J2973" s="28" t="s">
        <v>9549</v>
      </c>
      <c r="K2973" s="28" t="s">
        <v>9550</v>
      </c>
      <c r="L2973" s="28" t="s">
        <v>8318</v>
      </c>
      <c r="M2973" s="28" t="s">
        <v>21</v>
      </c>
      <c r="O2973" s="92">
        <v>38096</v>
      </c>
      <c r="P2973" s="28" t="s">
        <v>21</v>
      </c>
      <c r="Q2973" s="26" t="b">
        <v>0</v>
      </c>
      <c r="R2973" s="22">
        <f t="shared" si="49"/>
        <v>75</v>
      </c>
    </row>
    <row r="2974" spans="1:18">
      <c r="A2974" s="26">
        <v>7548</v>
      </c>
      <c r="B2974" s="27">
        <v>38022</v>
      </c>
      <c r="C2974" s="28" t="s">
        <v>9551</v>
      </c>
      <c r="D2974" s="27">
        <v>38022</v>
      </c>
      <c r="E2974" s="28" t="s">
        <v>283</v>
      </c>
      <c r="F2974" s="28" t="s">
        <v>283</v>
      </c>
      <c r="G2974" s="28" t="s">
        <v>20</v>
      </c>
      <c r="H2974" s="28" t="s">
        <v>21</v>
      </c>
      <c r="I2974" s="28" t="s">
        <v>21</v>
      </c>
      <c r="J2974" s="28" t="s">
        <v>9552</v>
      </c>
      <c r="K2974" s="28" t="s">
        <v>9550</v>
      </c>
      <c r="L2974" s="28" t="s">
        <v>8318</v>
      </c>
      <c r="M2974" s="28" t="s">
        <v>21</v>
      </c>
      <c r="O2974" s="92">
        <v>38096</v>
      </c>
      <c r="P2974" s="28" t="s">
        <v>21</v>
      </c>
      <c r="Q2974" s="26" t="b">
        <v>0</v>
      </c>
      <c r="R2974" s="22">
        <f t="shared" si="49"/>
        <v>75</v>
      </c>
    </row>
    <row r="2975" spans="1:18">
      <c r="A2975" s="26">
        <v>7550</v>
      </c>
      <c r="B2975" s="27">
        <v>38023</v>
      </c>
      <c r="C2975" s="28" t="s">
        <v>9557</v>
      </c>
      <c r="D2975" s="27">
        <v>38023</v>
      </c>
      <c r="E2975" s="28" t="s">
        <v>283</v>
      </c>
      <c r="F2975" s="28" t="s">
        <v>1111</v>
      </c>
      <c r="G2975" s="28" t="s">
        <v>20</v>
      </c>
      <c r="H2975" s="28" t="s">
        <v>21</v>
      </c>
      <c r="I2975" s="28" t="s">
        <v>21</v>
      </c>
      <c r="J2975" s="28" t="s">
        <v>9558</v>
      </c>
      <c r="K2975" s="28" t="s">
        <v>9559</v>
      </c>
      <c r="L2975" s="28" t="s">
        <v>66</v>
      </c>
      <c r="M2975" s="28" t="s">
        <v>21</v>
      </c>
      <c r="O2975" s="92">
        <v>38092</v>
      </c>
      <c r="P2975" s="28" t="s">
        <v>21</v>
      </c>
      <c r="Q2975" s="26" t="b">
        <v>0</v>
      </c>
      <c r="R2975" s="22">
        <f t="shared" si="49"/>
        <v>69</v>
      </c>
    </row>
    <row r="2976" spans="1:18">
      <c r="A2976" s="26">
        <v>7569</v>
      </c>
      <c r="B2976" s="27">
        <v>38023</v>
      </c>
      <c r="C2976" s="28" t="s">
        <v>9571</v>
      </c>
      <c r="D2976" s="27">
        <v>38023</v>
      </c>
      <c r="E2976" s="28" t="s">
        <v>38</v>
      </c>
      <c r="F2976" s="28" t="s">
        <v>8615</v>
      </c>
      <c r="G2976" s="28" t="s">
        <v>20</v>
      </c>
      <c r="H2976" s="28" t="s">
        <v>21</v>
      </c>
      <c r="I2976" s="28" t="s">
        <v>21</v>
      </c>
      <c r="J2976" s="28" t="s">
        <v>9572</v>
      </c>
      <c r="K2976" s="28" t="s">
        <v>2240</v>
      </c>
      <c r="L2976" s="28" t="s">
        <v>8318</v>
      </c>
      <c r="M2976" s="28" t="s">
        <v>21</v>
      </c>
      <c r="O2976" s="92">
        <v>38027</v>
      </c>
      <c r="P2976" s="28" t="s">
        <v>21</v>
      </c>
      <c r="Q2976" s="26" t="b">
        <v>0</v>
      </c>
      <c r="R2976" s="22">
        <f t="shared" si="49"/>
        <v>4</v>
      </c>
    </row>
    <row r="2977" spans="1:18">
      <c r="A2977" s="26">
        <v>7551</v>
      </c>
      <c r="B2977" s="27">
        <v>38026</v>
      </c>
      <c r="C2977" s="28" t="s">
        <v>9560</v>
      </c>
      <c r="D2977" s="27">
        <v>38025</v>
      </c>
      <c r="E2977" s="28" t="s">
        <v>9561</v>
      </c>
      <c r="F2977" s="28" t="s">
        <v>2565</v>
      </c>
      <c r="G2977" s="28" t="s">
        <v>20</v>
      </c>
      <c r="H2977" s="28" t="s">
        <v>189</v>
      </c>
      <c r="I2977" s="28" t="s">
        <v>189</v>
      </c>
      <c r="J2977" s="28" t="s">
        <v>9562</v>
      </c>
      <c r="K2977" s="28" t="s">
        <v>9563</v>
      </c>
      <c r="L2977" s="28" t="s">
        <v>4282</v>
      </c>
      <c r="M2977" s="28" t="s">
        <v>21</v>
      </c>
      <c r="O2977" s="92">
        <v>38037</v>
      </c>
      <c r="P2977" s="28" t="s">
        <v>31</v>
      </c>
      <c r="Q2977" s="26" t="b">
        <v>0</v>
      </c>
      <c r="R2977" s="22">
        <f t="shared" si="49"/>
        <v>11</v>
      </c>
    </row>
    <row r="2978" spans="1:18" ht="24">
      <c r="A2978" s="26">
        <v>7552</v>
      </c>
      <c r="B2978" s="27">
        <v>38026</v>
      </c>
      <c r="C2978" s="28" t="s">
        <v>9564</v>
      </c>
      <c r="D2978" s="27">
        <v>38026</v>
      </c>
      <c r="E2978" s="28" t="s">
        <v>3268</v>
      </c>
      <c r="F2978" s="28" t="s">
        <v>27</v>
      </c>
      <c r="G2978" s="28" t="s">
        <v>20</v>
      </c>
      <c r="H2978" s="28" t="s">
        <v>21</v>
      </c>
      <c r="I2978" s="28" t="s">
        <v>21</v>
      </c>
      <c r="J2978" s="28" t="s">
        <v>9565</v>
      </c>
      <c r="K2978" s="28" t="s">
        <v>9566</v>
      </c>
      <c r="L2978" s="28" t="s">
        <v>66</v>
      </c>
      <c r="M2978" s="28" t="s">
        <v>21</v>
      </c>
      <c r="O2978" s="92">
        <v>38119</v>
      </c>
      <c r="P2978" s="28" t="s">
        <v>21</v>
      </c>
      <c r="Q2978" s="26" t="b">
        <v>0</v>
      </c>
      <c r="R2978" s="22">
        <f t="shared" si="49"/>
        <v>94</v>
      </c>
    </row>
    <row r="2979" spans="1:18">
      <c r="A2979" s="26">
        <v>7565</v>
      </c>
      <c r="B2979" s="27">
        <v>38026</v>
      </c>
      <c r="C2979" s="28" t="s">
        <v>9569</v>
      </c>
      <c r="D2979" s="27">
        <v>38022</v>
      </c>
      <c r="E2979" s="28" t="s">
        <v>9570</v>
      </c>
      <c r="F2979" s="28" t="s">
        <v>124</v>
      </c>
      <c r="G2979" s="28" t="s">
        <v>20</v>
      </c>
      <c r="H2979" s="28" t="s">
        <v>21</v>
      </c>
      <c r="I2979" s="28" t="s">
        <v>21</v>
      </c>
      <c r="J2979" s="28" t="s">
        <v>272</v>
      </c>
      <c r="K2979" s="28" t="s">
        <v>6081</v>
      </c>
      <c r="L2979" s="28" t="s">
        <v>314</v>
      </c>
      <c r="M2979" s="28" t="s">
        <v>21</v>
      </c>
      <c r="O2979" s="92">
        <v>38124</v>
      </c>
      <c r="P2979" s="28" t="s">
        <v>31</v>
      </c>
      <c r="Q2979" s="26" t="b">
        <v>0</v>
      </c>
      <c r="R2979" s="22">
        <f t="shared" si="49"/>
        <v>99</v>
      </c>
    </row>
    <row r="2980" spans="1:18">
      <c r="A2980" s="26">
        <v>7558</v>
      </c>
      <c r="B2980" s="27">
        <v>38027</v>
      </c>
      <c r="C2980" s="28" t="s">
        <v>9567</v>
      </c>
      <c r="D2980" s="27">
        <v>38027</v>
      </c>
      <c r="E2980" s="28" t="s">
        <v>283</v>
      </c>
      <c r="F2980" s="28" t="s">
        <v>3847</v>
      </c>
      <c r="G2980" s="28" t="s">
        <v>20</v>
      </c>
      <c r="H2980" s="28" t="s">
        <v>21</v>
      </c>
      <c r="I2980" s="28" t="s">
        <v>21</v>
      </c>
      <c r="J2980" s="28" t="s">
        <v>9568</v>
      </c>
      <c r="K2980" s="28" t="s">
        <v>5338</v>
      </c>
      <c r="L2980" s="28" t="s">
        <v>314</v>
      </c>
      <c r="M2980" s="28" t="s">
        <v>21</v>
      </c>
      <c r="O2980" s="92">
        <v>38142</v>
      </c>
      <c r="P2980" s="28" t="s">
        <v>21</v>
      </c>
      <c r="Q2980" s="26" t="b">
        <v>0</v>
      </c>
      <c r="R2980" s="22">
        <f t="shared" si="49"/>
        <v>115</v>
      </c>
    </row>
    <row r="2981" spans="1:18">
      <c r="A2981" s="26">
        <v>7580</v>
      </c>
      <c r="B2981" s="27">
        <v>38028</v>
      </c>
      <c r="C2981" s="28" t="s">
        <v>9586</v>
      </c>
      <c r="D2981" s="27">
        <v>38028</v>
      </c>
      <c r="E2981" s="28" t="s">
        <v>4172</v>
      </c>
      <c r="F2981" s="28" t="s">
        <v>145</v>
      </c>
      <c r="G2981" s="28" t="s">
        <v>20</v>
      </c>
      <c r="H2981" s="28" t="s">
        <v>21</v>
      </c>
      <c r="I2981" s="28" t="s">
        <v>21</v>
      </c>
      <c r="J2981" s="28" t="s">
        <v>9587</v>
      </c>
      <c r="K2981" s="28" t="s">
        <v>9588</v>
      </c>
      <c r="L2981" s="28" t="s">
        <v>8318</v>
      </c>
      <c r="M2981" s="28" t="s">
        <v>21</v>
      </c>
      <c r="O2981" s="92">
        <v>39253</v>
      </c>
      <c r="P2981" s="28" t="s">
        <v>31</v>
      </c>
      <c r="Q2981" s="26" t="b">
        <v>0</v>
      </c>
      <c r="R2981" s="22">
        <f t="shared" si="49"/>
        <v>1225</v>
      </c>
    </row>
    <row r="2982" spans="1:18">
      <c r="A2982" s="26">
        <v>7586</v>
      </c>
      <c r="B2982" s="27">
        <v>38030</v>
      </c>
      <c r="C2982" s="28" t="s">
        <v>9598</v>
      </c>
      <c r="D2982" s="27">
        <v>38030</v>
      </c>
      <c r="E2982" s="28" t="s">
        <v>38</v>
      </c>
      <c r="F2982" s="28" t="s">
        <v>3434</v>
      </c>
      <c r="G2982" s="28" t="s">
        <v>20</v>
      </c>
      <c r="H2982" s="28" t="s">
        <v>21</v>
      </c>
      <c r="I2982" s="28" t="s">
        <v>21</v>
      </c>
      <c r="J2982" s="28" t="s">
        <v>6316</v>
      </c>
      <c r="K2982" s="28" t="s">
        <v>9599</v>
      </c>
      <c r="L2982" s="28" t="s">
        <v>8318</v>
      </c>
      <c r="M2982" s="28" t="s">
        <v>21</v>
      </c>
      <c r="O2982" s="92">
        <v>38037</v>
      </c>
      <c r="P2982" s="28" t="s">
        <v>31</v>
      </c>
      <c r="Q2982" s="26" t="b">
        <v>0</v>
      </c>
      <c r="R2982" s="22">
        <f t="shared" si="49"/>
        <v>7</v>
      </c>
    </row>
    <row r="2983" spans="1:18">
      <c r="A2983" s="26">
        <v>7572</v>
      </c>
      <c r="B2983" s="27">
        <v>38034</v>
      </c>
      <c r="C2983" s="28" t="s">
        <v>9577</v>
      </c>
      <c r="D2983" s="27">
        <v>38034</v>
      </c>
      <c r="E2983" s="28" t="s">
        <v>283</v>
      </c>
      <c r="F2983" s="28" t="s">
        <v>8522</v>
      </c>
      <c r="G2983" s="28" t="s">
        <v>20</v>
      </c>
      <c r="H2983" s="28" t="s">
        <v>21</v>
      </c>
      <c r="I2983" s="28" t="s">
        <v>21</v>
      </c>
      <c r="J2983" s="28" t="s">
        <v>9578</v>
      </c>
      <c r="K2983" s="28" t="s">
        <v>9579</v>
      </c>
      <c r="L2983" s="28" t="s">
        <v>66</v>
      </c>
      <c r="M2983" s="28" t="s">
        <v>314</v>
      </c>
      <c r="O2983" s="92">
        <v>38092</v>
      </c>
      <c r="P2983" s="28" t="s">
        <v>21</v>
      </c>
      <c r="Q2983" s="26" t="b">
        <v>0</v>
      </c>
      <c r="R2983" s="22">
        <f t="shared" si="49"/>
        <v>58</v>
      </c>
    </row>
    <row r="2984" spans="1:18">
      <c r="A2984" s="26">
        <v>7574</v>
      </c>
      <c r="B2984" s="27">
        <v>38034</v>
      </c>
      <c r="C2984" s="28" t="s">
        <v>9580</v>
      </c>
      <c r="D2984" s="27">
        <v>38034</v>
      </c>
      <c r="E2984" s="28" t="s">
        <v>283</v>
      </c>
      <c r="F2984" s="28" t="s">
        <v>8522</v>
      </c>
      <c r="G2984" s="28" t="s">
        <v>20</v>
      </c>
      <c r="H2984" s="28" t="s">
        <v>21</v>
      </c>
      <c r="I2984" s="28" t="s">
        <v>21</v>
      </c>
      <c r="J2984" s="28" t="s">
        <v>9581</v>
      </c>
      <c r="K2984" s="28" t="s">
        <v>9582</v>
      </c>
      <c r="L2984" s="28" t="s">
        <v>66</v>
      </c>
      <c r="M2984" s="28" t="s">
        <v>21</v>
      </c>
      <c r="O2984" s="92">
        <v>38106</v>
      </c>
      <c r="P2984" s="28" t="s">
        <v>21</v>
      </c>
      <c r="Q2984" s="26" t="b">
        <v>0</v>
      </c>
      <c r="R2984" s="22">
        <f t="shared" si="49"/>
        <v>73</v>
      </c>
    </row>
    <row r="2985" spans="1:18">
      <c r="A2985" s="26">
        <v>7581</v>
      </c>
      <c r="B2985" s="27">
        <v>38036</v>
      </c>
      <c r="C2985" s="28" t="s">
        <v>9589</v>
      </c>
      <c r="D2985" s="27">
        <v>38035</v>
      </c>
      <c r="E2985" s="28" t="s">
        <v>9590</v>
      </c>
      <c r="F2985" s="28" t="s">
        <v>4596</v>
      </c>
      <c r="G2985" s="28" t="s">
        <v>20</v>
      </c>
      <c r="H2985" s="28" t="s">
        <v>21</v>
      </c>
      <c r="I2985" s="28" t="s">
        <v>21</v>
      </c>
      <c r="J2985" s="28" t="s">
        <v>9591</v>
      </c>
      <c r="K2985" s="28" t="s">
        <v>9592</v>
      </c>
      <c r="L2985" s="28" t="s">
        <v>66</v>
      </c>
      <c r="M2985" s="28" t="s">
        <v>21</v>
      </c>
      <c r="O2985" s="92">
        <v>38114</v>
      </c>
      <c r="P2985" s="28" t="s">
        <v>31</v>
      </c>
      <c r="Q2985" s="26" t="b">
        <v>0</v>
      </c>
      <c r="R2985" s="22">
        <f t="shared" si="49"/>
        <v>79</v>
      </c>
    </row>
    <row r="2986" spans="1:18">
      <c r="A2986" s="26">
        <v>7587</v>
      </c>
      <c r="B2986" s="27">
        <v>38037</v>
      </c>
      <c r="C2986" s="28" t="s">
        <v>9600</v>
      </c>
      <c r="D2986" s="27">
        <v>38036</v>
      </c>
      <c r="E2986" s="28" t="s">
        <v>9601</v>
      </c>
      <c r="F2986" s="28" t="s">
        <v>5704</v>
      </c>
      <c r="G2986" s="28" t="s">
        <v>20</v>
      </c>
      <c r="H2986" s="28" t="s">
        <v>21</v>
      </c>
      <c r="I2986" s="28" t="s">
        <v>21</v>
      </c>
      <c r="J2986" s="28" t="s">
        <v>9602</v>
      </c>
      <c r="K2986" s="28" t="s">
        <v>9603</v>
      </c>
      <c r="L2986" s="28" t="s">
        <v>314</v>
      </c>
      <c r="M2986" s="28" t="s">
        <v>21</v>
      </c>
      <c r="O2986" s="92">
        <v>38063</v>
      </c>
      <c r="P2986" s="28" t="s">
        <v>31</v>
      </c>
      <c r="Q2986" s="26" t="b">
        <v>0</v>
      </c>
      <c r="R2986" s="22">
        <f t="shared" si="49"/>
        <v>27</v>
      </c>
    </row>
    <row r="2987" spans="1:18">
      <c r="A2987" s="26">
        <v>7589</v>
      </c>
      <c r="B2987" s="27">
        <v>38037</v>
      </c>
      <c r="C2987" s="28" t="s">
        <v>9604</v>
      </c>
      <c r="D2987" s="27">
        <v>38037</v>
      </c>
      <c r="E2987" s="28" t="s">
        <v>9605</v>
      </c>
      <c r="F2987" s="28" t="s">
        <v>5704</v>
      </c>
      <c r="G2987" s="28" t="s">
        <v>20</v>
      </c>
      <c r="H2987" s="28" t="s">
        <v>21</v>
      </c>
      <c r="I2987" s="28" t="s">
        <v>21</v>
      </c>
      <c r="J2987" s="28" t="s">
        <v>9606</v>
      </c>
      <c r="K2987" s="28" t="s">
        <v>9607</v>
      </c>
      <c r="L2987" s="28" t="s">
        <v>8318</v>
      </c>
      <c r="M2987" s="28" t="s">
        <v>21</v>
      </c>
      <c r="O2987" s="92">
        <v>38037</v>
      </c>
      <c r="P2987" s="28" t="s">
        <v>31</v>
      </c>
      <c r="Q2987" s="26" t="b">
        <v>0</v>
      </c>
      <c r="R2987" s="22">
        <f t="shared" si="49"/>
        <v>0</v>
      </c>
    </row>
    <row r="2988" spans="1:18">
      <c r="A2988" s="26">
        <v>7590</v>
      </c>
      <c r="B2988" s="27">
        <v>38037</v>
      </c>
      <c r="C2988" s="28" t="s">
        <v>9608</v>
      </c>
      <c r="D2988" s="27">
        <v>38033</v>
      </c>
      <c r="E2988" s="28" t="s">
        <v>4172</v>
      </c>
      <c r="F2988" s="28" t="s">
        <v>5690</v>
      </c>
      <c r="G2988" s="28" t="s">
        <v>20</v>
      </c>
      <c r="H2988" s="28" t="s">
        <v>71</v>
      </c>
      <c r="I2988" s="28" t="s">
        <v>72</v>
      </c>
      <c r="J2988" s="28" t="s">
        <v>9609</v>
      </c>
      <c r="K2988" s="28" t="s">
        <v>5668</v>
      </c>
      <c r="L2988" s="28" t="s">
        <v>314</v>
      </c>
      <c r="M2988" s="28" t="s">
        <v>21</v>
      </c>
      <c r="O2988" s="92">
        <v>38078</v>
      </c>
      <c r="P2988" s="28" t="s">
        <v>31</v>
      </c>
      <c r="Q2988" s="26" t="b">
        <v>0</v>
      </c>
      <c r="R2988" s="22">
        <f t="shared" si="49"/>
        <v>41</v>
      </c>
    </row>
    <row r="2989" spans="1:18">
      <c r="A2989" s="26">
        <v>7594</v>
      </c>
      <c r="B2989" s="27">
        <v>38042</v>
      </c>
      <c r="C2989" s="28" t="s">
        <v>9610</v>
      </c>
      <c r="D2989" s="27">
        <v>38042</v>
      </c>
      <c r="E2989" s="28" t="s">
        <v>38</v>
      </c>
      <c r="F2989" s="28" t="s">
        <v>5704</v>
      </c>
      <c r="G2989" s="28" t="s">
        <v>20</v>
      </c>
      <c r="H2989" s="28" t="s">
        <v>21</v>
      </c>
      <c r="I2989" s="28" t="s">
        <v>21</v>
      </c>
      <c r="J2989" s="28" t="s">
        <v>9611</v>
      </c>
      <c r="K2989" s="28" t="s">
        <v>9612</v>
      </c>
      <c r="L2989" s="28" t="s">
        <v>8318</v>
      </c>
      <c r="M2989" s="28" t="s">
        <v>21</v>
      </c>
      <c r="O2989" s="92">
        <v>38042</v>
      </c>
      <c r="P2989" s="28" t="s">
        <v>31</v>
      </c>
      <c r="Q2989" s="26" t="b">
        <v>0</v>
      </c>
      <c r="R2989" s="22">
        <f t="shared" si="49"/>
        <v>0</v>
      </c>
    </row>
    <row r="2990" spans="1:18">
      <c r="A2990" s="26">
        <v>7602</v>
      </c>
      <c r="B2990" s="27">
        <v>38042</v>
      </c>
      <c r="C2990" s="28" t="s">
        <v>9631</v>
      </c>
      <c r="D2990" s="27">
        <v>38042</v>
      </c>
      <c r="E2990" s="28" t="s">
        <v>9632</v>
      </c>
      <c r="F2990" s="28" t="s">
        <v>1047</v>
      </c>
      <c r="G2990" s="28" t="s">
        <v>20</v>
      </c>
      <c r="H2990" s="28" t="s">
        <v>71</v>
      </c>
      <c r="I2990" s="28" t="s">
        <v>72</v>
      </c>
      <c r="J2990" s="28" t="s">
        <v>9633</v>
      </c>
      <c r="K2990" s="28" t="s">
        <v>9634</v>
      </c>
      <c r="L2990" s="28" t="s">
        <v>66</v>
      </c>
      <c r="M2990" s="28" t="s">
        <v>21</v>
      </c>
      <c r="N2990" s="29">
        <v>38047</v>
      </c>
      <c r="O2990" s="92">
        <v>38047</v>
      </c>
      <c r="P2990" s="28" t="s">
        <v>21</v>
      </c>
      <c r="Q2990" s="26" t="b">
        <v>0</v>
      </c>
      <c r="R2990" s="22">
        <f t="shared" si="49"/>
        <v>6</v>
      </c>
    </row>
    <row r="2991" spans="1:18">
      <c r="A2991" s="26">
        <v>7612</v>
      </c>
      <c r="B2991" s="27">
        <v>38042</v>
      </c>
      <c r="C2991" s="28" t="s">
        <v>9658</v>
      </c>
      <c r="D2991" s="27">
        <v>38040</v>
      </c>
      <c r="E2991" s="28" t="s">
        <v>9659</v>
      </c>
      <c r="F2991" s="28" t="s">
        <v>350</v>
      </c>
      <c r="G2991" s="28" t="s">
        <v>20</v>
      </c>
      <c r="H2991" s="28" t="s">
        <v>21</v>
      </c>
      <c r="I2991" s="28" t="s">
        <v>21</v>
      </c>
      <c r="J2991" s="28" t="s">
        <v>9660</v>
      </c>
      <c r="K2991" s="28" t="s">
        <v>9661</v>
      </c>
      <c r="L2991" s="28" t="s">
        <v>4282</v>
      </c>
      <c r="M2991" s="28" t="s">
        <v>21</v>
      </c>
      <c r="N2991" s="18"/>
      <c r="O2991" s="92">
        <v>38057</v>
      </c>
      <c r="P2991" s="28" t="s">
        <v>31</v>
      </c>
      <c r="Q2991" s="26" t="b">
        <v>0</v>
      </c>
      <c r="R2991" s="22">
        <f t="shared" si="49"/>
        <v>16</v>
      </c>
    </row>
    <row r="2992" spans="1:18">
      <c r="A2992" s="26">
        <v>7613</v>
      </c>
      <c r="B2992" s="27">
        <v>38042</v>
      </c>
      <c r="C2992" s="28" t="s">
        <v>9662</v>
      </c>
      <c r="D2992" s="27">
        <v>38035</v>
      </c>
      <c r="E2992" s="28" t="s">
        <v>9663</v>
      </c>
      <c r="F2992" s="28" t="s">
        <v>124</v>
      </c>
      <c r="G2992" s="28" t="s">
        <v>20</v>
      </c>
      <c r="H2992" s="28" t="s">
        <v>21</v>
      </c>
      <c r="I2992" s="28" t="s">
        <v>21</v>
      </c>
      <c r="J2992" s="28" t="s">
        <v>9664</v>
      </c>
      <c r="K2992" s="28" t="s">
        <v>21</v>
      </c>
      <c r="L2992" s="28" t="s">
        <v>66</v>
      </c>
      <c r="M2992" s="28" t="s">
        <v>21</v>
      </c>
      <c r="O2992" s="92">
        <v>38096</v>
      </c>
      <c r="P2992" s="28" t="s">
        <v>31</v>
      </c>
      <c r="Q2992" s="26" t="b">
        <v>0</v>
      </c>
      <c r="R2992" s="22">
        <f t="shared" si="49"/>
        <v>54</v>
      </c>
    </row>
    <row r="2993" spans="1:18">
      <c r="A2993" s="26">
        <v>7595</v>
      </c>
      <c r="B2993" s="27">
        <v>38043</v>
      </c>
      <c r="C2993" s="28" t="s">
        <v>9613</v>
      </c>
      <c r="D2993" s="27">
        <v>38043</v>
      </c>
      <c r="E2993" s="28" t="s">
        <v>283</v>
      </c>
      <c r="F2993" s="28" t="s">
        <v>39</v>
      </c>
      <c r="G2993" s="28" t="s">
        <v>20</v>
      </c>
      <c r="H2993" s="28" t="s">
        <v>21</v>
      </c>
      <c r="I2993" s="28" t="s">
        <v>21</v>
      </c>
      <c r="J2993" s="28" t="s">
        <v>9614</v>
      </c>
      <c r="K2993" s="28" t="s">
        <v>9615</v>
      </c>
      <c r="L2993" s="28" t="s">
        <v>66</v>
      </c>
      <c r="M2993" s="28" t="s">
        <v>21</v>
      </c>
      <c r="O2993" s="92">
        <v>38111</v>
      </c>
      <c r="P2993" s="28" t="s">
        <v>21</v>
      </c>
      <c r="Q2993" s="26" t="b">
        <v>0</v>
      </c>
      <c r="R2993" s="22">
        <f t="shared" si="49"/>
        <v>68</v>
      </c>
    </row>
    <row r="2994" spans="1:18">
      <c r="A2994" s="26">
        <v>7596</v>
      </c>
      <c r="B2994" s="27">
        <v>38043</v>
      </c>
      <c r="C2994" s="28" t="s">
        <v>9616</v>
      </c>
      <c r="D2994" s="27">
        <v>38043</v>
      </c>
      <c r="E2994" s="28" t="s">
        <v>283</v>
      </c>
      <c r="F2994" s="28" t="s">
        <v>39</v>
      </c>
      <c r="G2994" s="28" t="s">
        <v>20</v>
      </c>
      <c r="H2994" s="28" t="s">
        <v>21</v>
      </c>
      <c r="I2994" s="28" t="s">
        <v>21</v>
      </c>
      <c r="J2994" s="28" t="s">
        <v>9617</v>
      </c>
      <c r="K2994" s="28" t="s">
        <v>9615</v>
      </c>
      <c r="L2994" s="28" t="s">
        <v>66</v>
      </c>
      <c r="M2994" s="28" t="s">
        <v>21</v>
      </c>
      <c r="O2994" s="92">
        <v>38111</v>
      </c>
      <c r="P2994" s="28" t="s">
        <v>21</v>
      </c>
      <c r="Q2994" s="26" t="b">
        <v>0</v>
      </c>
      <c r="R2994" s="22">
        <f t="shared" si="49"/>
        <v>68</v>
      </c>
    </row>
    <row r="2995" spans="1:18">
      <c r="A2995" s="26">
        <v>7597</v>
      </c>
      <c r="B2995" s="27">
        <v>38043</v>
      </c>
      <c r="C2995" s="28" t="s">
        <v>9618</v>
      </c>
      <c r="D2995" s="27">
        <v>38043</v>
      </c>
      <c r="E2995" s="28" t="s">
        <v>283</v>
      </c>
      <c r="F2995" s="28" t="s">
        <v>39</v>
      </c>
      <c r="G2995" s="28" t="s">
        <v>20</v>
      </c>
      <c r="H2995" s="28" t="s">
        <v>21</v>
      </c>
      <c r="I2995" s="28" t="s">
        <v>21</v>
      </c>
      <c r="J2995" s="28" t="s">
        <v>9619</v>
      </c>
      <c r="K2995" s="28" t="s">
        <v>9620</v>
      </c>
      <c r="L2995" s="28" t="s">
        <v>66</v>
      </c>
      <c r="M2995" s="28" t="s">
        <v>21</v>
      </c>
      <c r="O2995" s="92">
        <v>38168</v>
      </c>
      <c r="P2995" s="28" t="s">
        <v>21</v>
      </c>
      <c r="Q2995" s="26" t="b">
        <v>0</v>
      </c>
      <c r="R2995" s="22">
        <f t="shared" si="49"/>
        <v>125</v>
      </c>
    </row>
    <row r="2996" spans="1:18">
      <c r="A2996" s="26">
        <v>7598</v>
      </c>
      <c r="B2996" s="27">
        <v>38043</v>
      </c>
      <c r="C2996" s="28" t="s">
        <v>9621</v>
      </c>
      <c r="D2996" s="27">
        <v>38043</v>
      </c>
      <c r="E2996" s="28" t="s">
        <v>283</v>
      </c>
      <c r="F2996" s="28" t="s">
        <v>39</v>
      </c>
      <c r="G2996" s="28" t="s">
        <v>20</v>
      </c>
      <c r="H2996" s="28" t="s">
        <v>21</v>
      </c>
      <c r="I2996" s="28" t="s">
        <v>21</v>
      </c>
      <c r="J2996" s="28" t="s">
        <v>9622</v>
      </c>
      <c r="K2996" s="28" t="s">
        <v>9623</v>
      </c>
      <c r="L2996" s="28" t="s">
        <v>66</v>
      </c>
      <c r="M2996" s="28" t="s">
        <v>21</v>
      </c>
      <c r="O2996" s="92">
        <v>38111</v>
      </c>
      <c r="P2996" s="28" t="s">
        <v>21</v>
      </c>
      <c r="Q2996" s="26" t="b">
        <v>0</v>
      </c>
      <c r="R2996" s="22">
        <f t="shared" si="49"/>
        <v>68</v>
      </c>
    </row>
    <row r="2997" spans="1:18">
      <c r="A2997" s="26">
        <v>7599</v>
      </c>
      <c r="B2997" s="27">
        <v>38044</v>
      </c>
      <c r="C2997" s="28" t="s">
        <v>9624</v>
      </c>
      <c r="D2997" s="27">
        <v>38044</v>
      </c>
      <c r="E2997" s="28" t="s">
        <v>283</v>
      </c>
      <c r="F2997" s="28" t="s">
        <v>39</v>
      </c>
      <c r="G2997" s="28" t="s">
        <v>20</v>
      </c>
      <c r="H2997" s="28" t="s">
        <v>21</v>
      </c>
      <c r="I2997" s="28" t="s">
        <v>21</v>
      </c>
      <c r="J2997" s="28" t="s">
        <v>9625</v>
      </c>
      <c r="K2997" s="28" t="s">
        <v>9626</v>
      </c>
      <c r="L2997" s="28" t="s">
        <v>66</v>
      </c>
      <c r="M2997" s="28" t="s">
        <v>21</v>
      </c>
      <c r="O2997" s="92">
        <v>38099</v>
      </c>
      <c r="P2997" s="28" t="s">
        <v>21</v>
      </c>
      <c r="Q2997" s="26" t="b">
        <v>0</v>
      </c>
      <c r="R2997" s="22">
        <f t="shared" si="49"/>
        <v>55</v>
      </c>
    </row>
    <row r="2998" spans="1:18">
      <c r="A2998" s="26">
        <v>7600</v>
      </c>
      <c r="B2998" s="27">
        <v>38044</v>
      </c>
      <c r="C2998" s="28" t="s">
        <v>9627</v>
      </c>
      <c r="D2998" s="27">
        <v>38044</v>
      </c>
      <c r="E2998" s="28" t="s">
        <v>283</v>
      </c>
      <c r="F2998" s="28" t="s">
        <v>9198</v>
      </c>
      <c r="G2998" s="28" t="s">
        <v>20</v>
      </c>
      <c r="H2998" s="28" t="s">
        <v>21</v>
      </c>
      <c r="I2998" s="28" t="s">
        <v>21</v>
      </c>
      <c r="J2998" s="28" t="s">
        <v>5364</v>
      </c>
      <c r="K2998" s="28" t="s">
        <v>8194</v>
      </c>
      <c r="L2998" s="28" t="s">
        <v>8318</v>
      </c>
      <c r="M2998" s="28" t="s">
        <v>21</v>
      </c>
      <c r="O2998" s="92">
        <v>38096</v>
      </c>
      <c r="P2998" s="28" t="s">
        <v>21</v>
      </c>
      <c r="Q2998" s="26" t="b">
        <v>0</v>
      </c>
      <c r="R2998" s="22">
        <f t="shared" si="49"/>
        <v>52</v>
      </c>
    </row>
    <row r="2999" spans="1:18">
      <c r="A2999" s="26">
        <v>7601</v>
      </c>
      <c r="B2999" s="27">
        <v>38044</v>
      </c>
      <c r="C2999" s="28" t="s">
        <v>9628</v>
      </c>
      <c r="D2999" s="27">
        <v>38044</v>
      </c>
      <c r="E2999" s="28" t="s">
        <v>283</v>
      </c>
      <c r="F2999" s="28" t="s">
        <v>9198</v>
      </c>
      <c r="G2999" s="28" t="s">
        <v>20</v>
      </c>
      <c r="H2999" s="28" t="s">
        <v>21</v>
      </c>
      <c r="I2999" s="28" t="s">
        <v>21</v>
      </c>
      <c r="J2999" s="28" t="s">
        <v>9629</v>
      </c>
      <c r="K2999" s="28" t="s">
        <v>9630</v>
      </c>
      <c r="L2999" s="28" t="s">
        <v>8318</v>
      </c>
      <c r="M2999" s="28" t="s">
        <v>21</v>
      </c>
      <c r="O2999" s="92">
        <v>38096</v>
      </c>
      <c r="P2999" s="28" t="s">
        <v>21</v>
      </c>
      <c r="Q2999" s="26" t="b">
        <v>0</v>
      </c>
      <c r="R2999" s="22">
        <f t="shared" si="49"/>
        <v>52</v>
      </c>
    </row>
    <row r="3000" spans="1:18" ht="24">
      <c r="A3000" s="26">
        <v>7637</v>
      </c>
      <c r="B3000" s="27">
        <v>38045</v>
      </c>
      <c r="C3000" s="28" t="s">
        <v>9704</v>
      </c>
      <c r="D3000" s="27">
        <v>38045</v>
      </c>
      <c r="E3000" s="28" t="s">
        <v>38</v>
      </c>
      <c r="F3000" s="28" t="s">
        <v>4233</v>
      </c>
      <c r="G3000" s="28" t="s">
        <v>20</v>
      </c>
      <c r="H3000" s="28" t="s">
        <v>21</v>
      </c>
      <c r="I3000" s="28" t="s">
        <v>21</v>
      </c>
      <c r="J3000" s="28" t="s">
        <v>9705</v>
      </c>
      <c r="K3000" s="28" t="s">
        <v>9706</v>
      </c>
      <c r="L3000" s="28" t="s">
        <v>8318</v>
      </c>
      <c r="M3000" s="28" t="s">
        <v>21</v>
      </c>
      <c r="O3000" s="92">
        <v>38055</v>
      </c>
      <c r="P3000" s="28" t="s">
        <v>31</v>
      </c>
      <c r="Q3000" s="26" t="b">
        <v>0</v>
      </c>
      <c r="R3000" s="22">
        <f t="shared" si="49"/>
        <v>11</v>
      </c>
    </row>
    <row r="3001" spans="1:18">
      <c r="A3001" s="26">
        <v>7631</v>
      </c>
      <c r="B3001" s="27">
        <v>38046</v>
      </c>
      <c r="C3001" s="28" t="s">
        <v>9702</v>
      </c>
      <c r="D3001" s="27">
        <v>38046</v>
      </c>
      <c r="E3001" s="28" t="s">
        <v>38</v>
      </c>
      <c r="F3001" s="28" t="s">
        <v>39</v>
      </c>
      <c r="G3001" s="28" t="s">
        <v>20</v>
      </c>
      <c r="H3001" s="28" t="s">
        <v>21</v>
      </c>
      <c r="I3001" s="28" t="s">
        <v>21</v>
      </c>
      <c r="J3001" s="28" t="s">
        <v>9703</v>
      </c>
      <c r="K3001" s="28" t="s">
        <v>9269</v>
      </c>
      <c r="L3001" s="28" t="s">
        <v>8318</v>
      </c>
      <c r="M3001" s="28" t="s">
        <v>21</v>
      </c>
      <c r="O3001" s="92">
        <v>38055</v>
      </c>
      <c r="P3001" s="28" t="s">
        <v>31</v>
      </c>
      <c r="Q3001" s="26" t="b">
        <v>0</v>
      </c>
      <c r="R3001" s="22">
        <f t="shared" si="49"/>
        <v>9</v>
      </c>
    </row>
    <row r="3002" spans="1:18" ht="24">
      <c r="A3002" s="26">
        <v>7603</v>
      </c>
      <c r="B3002" s="27">
        <v>38047</v>
      </c>
      <c r="C3002" s="28" t="s">
        <v>9635</v>
      </c>
      <c r="D3002" s="27">
        <v>38047</v>
      </c>
      <c r="E3002" s="28" t="s">
        <v>283</v>
      </c>
      <c r="F3002" s="28" t="s">
        <v>9198</v>
      </c>
      <c r="G3002" s="28" t="s">
        <v>20</v>
      </c>
      <c r="H3002" s="28" t="s">
        <v>21</v>
      </c>
      <c r="I3002" s="28" t="s">
        <v>21</v>
      </c>
      <c r="J3002" s="28" t="s">
        <v>9636</v>
      </c>
      <c r="K3002" s="28" t="s">
        <v>9637</v>
      </c>
      <c r="L3002" s="28" t="s">
        <v>8318</v>
      </c>
      <c r="M3002" s="28" t="s">
        <v>21</v>
      </c>
      <c r="O3002" s="92">
        <v>38120</v>
      </c>
      <c r="P3002" s="28" t="s">
        <v>21</v>
      </c>
      <c r="Q3002" s="26" t="b">
        <v>0</v>
      </c>
      <c r="R3002" s="22">
        <f t="shared" si="49"/>
        <v>73</v>
      </c>
    </row>
    <row r="3003" spans="1:18">
      <c r="A3003" s="26">
        <v>7638</v>
      </c>
      <c r="B3003" s="27">
        <v>38047</v>
      </c>
      <c r="C3003" s="28" t="s">
        <v>9707</v>
      </c>
      <c r="D3003" s="27">
        <v>38047</v>
      </c>
      <c r="E3003" s="28" t="s">
        <v>38</v>
      </c>
      <c r="F3003" s="28" t="s">
        <v>3434</v>
      </c>
      <c r="G3003" s="28" t="s">
        <v>20</v>
      </c>
      <c r="H3003" s="28" t="s">
        <v>21</v>
      </c>
      <c r="I3003" s="28" t="s">
        <v>21</v>
      </c>
      <c r="J3003" s="28" t="s">
        <v>9708</v>
      </c>
      <c r="K3003" s="28" t="s">
        <v>9709</v>
      </c>
      <c r="L3003" s="28" t="s">
        <v>8318</v>
      </c>
      <c r="M3003" s="28" t="s">
        <v>21</v>
      </c>
      <c r="O3003" s="92">
        <v>38055</v>
      </c>
      <c r="P3003" s="28" t="s">
        <v>31</v>
      </c>
      <c r="Q3003" s="26" t="b">
        <v>0</v>
      </c>
      <c r="R3003" s="22">
        <f t="shared" si="49"/>
        <v>8</v>
      </c>
    </row>
    <row r="3004" spans="1:18">
      <c r="A3004" s="26">
        <v>7605</v>
      </c>
      <c r="B3004" s="27">
        <v>38048</v>
      </c>
      <c r="C3004" s="28" t="s">
        <v>9638</v>
      </c>
      <c r="D3004" s="27">
        <v>38048</v>
      </c>
      <c r="E3004" s="28" t="s">
        <v>283</v>
      </c>
      <c r="F3004" s="28" t="s">
        <v>52</v>
      </c>
      <c r="G3004" s="28" t="s">
        <v>20</v>
      </c>
      <c r="H3004" s="28" t="s">
        <v>21</v>
      </c>
      <c r="I3004" s="28" t="s">
        <v>21</v>
      </c>
      <c r="J3004" s="28" t="s">
        <v>9639</v>
      </c>
      <c r="K3004" s="28" t="s">
        <v>9640</v>
      </c>
      <c r="L3004" s="28" t="s">
        <v>66</v>
      </c>
      <c r="M3004" s="28" t="s">
        <v>21</v>
      </c>
      <c r="O3004" s="92">
        <v>38168</v>
      </c>
      <c r="P3004" s="28" t="s">
        <v>21</v>
      </c>
      <c r="Q3004" s="26" t="b">
        <v>0</v>
      </c>
      <c r="R3004" s="22">
        <f t="shared" si="49"/>
        <v>119</v>
      </c>
    </row>
    <row r="3005" spans="1:18" ht="24">
      <c r="A3005" s="26">
        <v>7606</v>
      </c>
      <c r="B3005" s="27">
        <v>38048</v>
      </c>
      <c r="C3005" s="28" t="s">
        <v>9641</v>
      </c>
      <c r="D3005" s="27">
        <v>38048</v>
      </c>
      <c r="E3005" s="28" t="s">
        <v>283</v>
      </c>
      <c r="F3005" s="28" t="s">
        <v>98</v>
      </c>
      <c r="G3005" s="28" t="s">
        <v>20</v>
      </c>
      <c r="H3005" s="28" t="s">
        <v>21</v>
      </c>
      <c r="I3005" s="28" t="s">
        <v>21</v>
      </c>
      <c r="J3005" s="28" t="s">
        <v>9642</v>
      </c>
      <c r="K3005" s="28" t="s">
        <v>9643</v>
      </c>
      <c r="L3005" s="28" t="s">
        <v>314</v>
      </c>
      <c r="M3005" s="28" t="s">
        <v>21</v>
      </c>
      <c r="O3005" s="92">
        <v>38114</v>
      </c>
      <c r="P3005" s="28" t="s">
        <v>21</v>
      </c>
      <c r="Q3005" s="26" t="b">
        <v>0</v>
      </c>
      <c r="R3005" s="22">
        <f t="shared" si="49"/>
        <v>65</v>
      </c>
    </row>
    <row r="3006" spans="1:18" ht="24">
      <c r="A3006" s="26">
        <v>7607</v>
      </c>
      <c r="B3006" s="27">
        <v>38048</v>
      </c>
      <c r="C3006" s="28" t="s">
        <v>9644</v>
      </c>
      <c r="D3006" s="27">
        <v>38048</v>
      </c>
      <c r="E3006" s="28" t="s">
        <v>283</v>
      </c>
      <c r="F3006" s="28" t="s">
        <v>98</v>
      </c>
      <c r="G3006" s="28" t="s">
        <v>20</v>
      </c>
      <c r="H3006" s="28" t="s">
        <v>21</v>
      </c>
      <c r="I3006" s="28" t="s">
        <v>21</v>
      </c>
      <c r="J3006" s="28" t="s">
        <v>9645</v>
      </c>
      <c r="K3006" s="28" t="s">
        <v>9646</v>
      </c>
      <c r="L3006" s="28" t="s">
        <v>314</v>
      </c>
      <c r="M3006" s="28" t="s">
        <v>21</v>
      </c>
      <c r="O3006" s="92">
        <v>38103</v>
      </c>
      <c r="P3006" s="28" t="s">
        <v>21</v>
      </c>
      <c r="Q3006" s="26" t="b">
        <v>0</v>
      </c>
      <c r="R3006" s="22">
        <f t="shared" si="49"/>
        <v>54</v>
      </c>
    </row>
    <row r="3007" spans="1:18">
      <c r="A3007" s="26">
        <v>7608</v>
      </c>
      <c r="B3007" s="27">
        <v>38048</v>
      </c>
      <c r="C3007" s="28" t="s">
        <v>9647</v>
      </c>
      <c r="D3007" s="27">
        <v>38048</v>
      </c>
      <c r="E3007" s="28" t="s">
        <v>283</v>
      </c>
      <c r="F3007" s="28" t="s">
        <v>149</v>
      </c>
      <c r="G3007" s="28" t="s">
        <v>20</v>
      </c>
      <c r="H3007" s="28" t="s">
        <v>21</v>
      </c>
      <c r="I3007" s="28" t="s">
        <v>21</v>
      </c>
      <c r="J3007" s="28" t="s">
        <v>9648</v>
      </c>
      <c r="K3007" s="28" t="s">
        <v>9649</v>
      </c>
      <c r="L3007" s="28" t="s">
        <v>314</v>
      </c>
      <c r="M3007" s="28" t="s">
        <v>21</v>
      </c>
      <c r="O3007" s="92">
        <v>38114</v>
      </c>
      <c r="P3007" s="28" t="s">
        <v>21</v>
      </c>
      <c r="Q3007" s="26" t="b">
        <v>0</v>
      </c>
      <c r="R3007" s="22">
        <f t="shared" si="49"/>
        <v>65</v>
      </c>
    </row>
    <row r="3008" spans="1:18">
      <c r="A3008" s="26">
        <v>7609</v>
      </c>
      <c r="B3008" s="27">
        <v>38048</v>
      </c>
      <c r="C3008" s="28" t="s">
        <v>9650</v>
      </c>
      <c r="D3008" s="27">
        <v>38048</v>
      </c>
      <c r="E3008" s="28" t="s">
        <v>283</v>
      </c>
      <c r="F3008" s="28" t="s">
        <v>149</v>
      </c>
      <c r="G3008" s="28" t="s">
        <v>20</v>
      </c>
      <c r="H3008" s="28" t="s">
        <v>21</v>
      </c>
      <c r="I3008" s="28" t="s">
        <v>21</v>
      </c>
      <c r="J3008" s="28" t="s">
        <v>9651</v>
      </c>
      <c r="K3008" s="28" t="s">
        <v>9652</v>
      </c>
      <c r="L3008" s="28" t="s">
        <v>314</v>
      </c>
      <c r="M3008" s="28" t="s">
        <v>21</v>
      </c>
      <c r="O3008" s="92">
        <v>38114</v>
      </c>
      <c r="P3008" s="28" t="s">
        <v>21</v>
      </c>
      <c r="Q3008" s="26" t="b">
        <v>0</v>
      </c>
      <c r="R3008" s="22">
        <f t="shared" si="49"/>
        <v>65</v>
      </c>
    </row>
    <row r="3009" spans="1:18" ht="24">
      <c r="A3009" s="26">
        <v>7610</v>
      </c>
      <c r="B3009" s="27">
        <v>38048</v>
      </c>
      <c r="C3009" s="28" t="s">
        <v>9653</v>
      </c>
      <c r="D3009" s="27">
        <v>38048</v>
      </c>
      <c r="E3009" s="28" t="s">
        <v>283</v>
      </c>
      <c r="F3009" s="28" t="s">
        <v>52</v>
      </c>
      <c r="G3009" s="28" t="s">
        <v>20</v>
      </c>
      <c r="H3009" s="28" t="s">
        <v>21</v>
      </c>
      <c r="I3009" s="28" t="s">
        <v>21</v>
      </c>
      <c r="J3009" s="28" t="s">
        <v>9654</v>
      </c>
      <c r="K3009" s="28" t="s">
        <v>9655</v>
      </c>
      <c r="L3009" s="28" t="s">
        <v>66</v>
      </c>
      <c r="M3009" s="28" t="s">
        <v>21</v>
      </c>
      <c r="O3009" s="92">
        <v>38111</v>
      </c>
      <c r="P3009" s="28" t="s">
        <v>21</v>
      </c>
      <c r="Q3009" s="26" t="b">
        <v>0</v>
      </c>
      <c r="R3009" s="22">
        <f t="shared" si="49"/>
        <v>62</v>
      </c>
    </row>
    <row r="3010" spans="1:18">
      <c r="A3010" s="26">
        <v>7611</v>
      </c>
      <c r="B3010" s="27">
        <v>38048</v>
      </c>
      <c r="C3010" s="28" t="s">
        <v>9656</v>
      </c>
      <c r="D3010" s="27">
        <v>38048</v>
      </c>
      <c r="E3010" s="28" t="s">
        <v>283</v>
      </c>
      <c r="F3010" s="28" t="s">
        <v>149</v>
      </c>
      <c r="G3010" s="28" t="s">
        <v>20</v>
      </c>
      <c r="H3010" s="28" t="s">
        <v>21</v>
      </c>
      <c r="I3010" s="28" t="s">
        <v>21</v>
      </c>
      <c r="J3010" s="28" t="s">
        <v>9657</v>
      </c>
      <c r="K3010" s="28" t="s">
        <v>8148</v>
      </c>
      <c r="L3010" s="28" t="s">
        <v>4282</v>
      </c>
      <c r="M3010" s="28" t="s">
        <v>21</v>
      </c>
      <c r="O3010" s="92">
        <v>38168</v>
      </c>
      <c r="P3010" s="28" t="s">
        <v>21</v>
      </c>
      <c r="Q3010" s="26" t="b">
        <v>0</v>
      </c>
      <c r="R3010" s="22">
        <f t="shared" si="49"/>
        <v>119</v>
      </c>
    </row>
    <row r="3011" spans="1:18">
      <c r="A3011" s="26">
        <v>7614</v>
      </c>
      <c r="B3011" s="27">
        <v>38049</v>
      </c>
      <c r="C3011" s="28" t="s">
        <v>9665</v>
      </c>
      <c r="D3011" s="27">
        <v>38049</v>
      </c>
      <c r="E3011" s="28" t="s">
        <v>283</v>
      </c>
      <c r="F3011" s="28" t="s">
        <v>3847</v>
      </c>
      <c r="G3011" s="28" t="s">
        <v>20</v>
      </c>
      <c r="H3011" s="28" t="s">
        <v>21</v>
      </c>
      <c r="I3011" s="28" t="s">
        <v>21</v>
      </c>
      <c r="J3011" s="28" t="s">
        <v>9666</v>
      </c>
      <c r="K3011" s="28" t="s">
        <v>9667</v>
      </c>
      <c r="L3011" s="28" t="s">
        <v>8318</v>
      </c>
      <c r="M3011" s="28" t="s">
        <v>21</v>
      </c>
      <c r="O3011" s="92">
        <v>38120</v>
      </c>
      <c r="P3011" s="28" t="s">
        <v>21</v>
      </c>
      <c r="Q3011" s="26" t="b">
        <v>0</v>
      </c>
      <c r="R3011" s="22">
        <f t="shared" si="49"/>
        <v>70</v>
      </c>
    </row>
    <row r="3012" spans="1:18">
      <c r="A3012" s="26">
        <v>7615</v>
      </c>
      <c r="B3012" s="27">
        <v>38050</v>
      </c>
      <c r="C3012" s="28" t="s">
        <v>9668</v>
      </c>
      <c r="D3012" s="27">
        <v>38049</v>
      </c>
      <c r="E3012" s="28" t="s">
        <v>9669</v>
      </c>
      <c r="F3012" s="28" t="s">
        <v>2882</v>
      </c>
      <c r="G3012" s="28" t="s">
        <v>20</v>
      </c>
      <c r="H3012" s="28" t="s">
        <v>566</v>
      </c>
      <c r="I3012" s="28" t="s">
        <v>566</v>
      </c>
      <c r="J3012" s="28" t="s">
        <v>9670</v>
      </c>
      <c r="K3012" s="28" t="s">
        <v>9671</v>
      </c>
      <c r="L3012" s="28" t="s">
        <v>314</v>
      </c>
      <c r="M3012" s="28" t="s">
        <v>21</v>
      </c>
      <c r="O3012" s="92">
        <v>38098</v>
      </c>
      <c r="P3012" s="28" t="s">
        <v>31</v>
      </c>
      <c r="Q3012" s="26" t="b">
        <v>0</v>
      </c>
      <c r="R3012" s="22">
        <f t="shared" si="49"/>
        <v>47</v>
      </c>
    </row>
    <row r="3013" spans="1:18">
      <c r="A3013" s="26">
        <v>7616</v>
      </c>
      <c r="B3013" s="27">
        <v>38050</v>
      </c>
      <c r="C3013" s="28" t="s">
        <v>9672</v>
      </c>
      <c r="D3013" s="27">
        <v>38050</v>
      </c>
      <c r="E3013" s="28" t="s">
        <v>9673</v>
      </c>
      <c r="F3013" s="28" t="s">
        <v>104</v>
      </c>
      <c r="G3013" s="28" t="s">
        <v>20</v>
      </c>
      <c r="H3013" s="28" t="s">
        <v>21</v>
      </c>
      <c r="I3013" s="28" t="s">
        <v>21</v>
      </c>
      <c r="J3013" s="28" t="s">
        <v>9674</v>
      </c>
      <c r="K3013" s="28" t="s">
        <v>9675</v>
      </c>
      <c r="L3013" s="28" t="s">
        <v>66</v>
      </c>
      <c r="M3013" s="28" t="s">
        <v>21</v>
      </c>
      <c r="O3013" s="92">
        <v>38078</v>
      </c>
      <c r="P3013" s="28" t="s">
        <v>31</v>
      </c>
      <c r="Q3013" s="26" t="b">
        <v>0</v>
      </c>
      <c r="R3013" s="22">
        <f t="shared" si="49"/>
        <v>27</v>
      </c>
    </row>
    <row r="3014" spans="1:18">
      <c r="A3014" s="26">
        <v>7617</v>
      </c>
      <c r="B3014" s="27">
        <v>38051</v>
      </c>
      <c r="C3014" s="28" t="s">
        <v>9676</v>
      </c>
      <c r="D3014" s="27">
        <v>38051</v>
      </c>
      <c r="E3014" s="28" t="s">
        <v>3268</v>
      </c>
      <c r="F3014" s="28" t="s">
        <v>367</v>
      </c>
      <c r="G3014" s="28" t="s">
        <v>20</v>
      </c>
      <c r="H3014" s="28" t="s">
        <v>71</v>
      </c>
      <c r="I3014" s="28" t="s">
        <v>72</v>
      </c>
      <c r="J3014" s="28" t="s">
        <v>5369</v>
      </c>
      <c r="K3014" s="28" t="s">
        <v>8904</v>
      </c>
      <c r="L3014" s="28" t="s">
        <v>314</v>
      </c>
      <c r="M3014" s="28" t="s">
        <v>21</v>
      </c>
      <c r="O3014" s="92">
        <v>38188</v>
      </c>
      <c r="P3014" s="28" t="s">
        <v>21</v>
      </c>
      <c r="Q3014" s="26" t="b">
        <v>0</v>
      </c>
      <c r="R3014" s="22">
        <f t="shared" si="49"/>
        <v>136</v>
      </c>
    </row>
    <row r="3015" spans="1:18">
      <c r="A3015" s="26">
        <v>7618</v>
      </c>
      <c r="B3015" s="27">
        <v>38055</v>
      </c>
      <c r="C3015" s="28" t="s">
        <v>9677</v>
      </c>
      <c r="D3015" s="27">
        <v>38055</v>
      </c>
      <c r="E3015" s="28" t="s">
        <v>283</v>
      </c>
      <c r="F3015" s="28" t="s">
        <v>149</v>
      </c>
      <c r="G3015" s="28" t="s">
        <v>20</v>
      </c>
      <c r="H3015" s="28" t="s">
        <v>21</v>
      </c>
      <c r="I3015" s="28" t="s">
        <v>21</v>
      </c>
      <c r="J3015" s="28" t="s">
        <v>9678</v>
      </c>
      <c r="K3015" s="28" t="s">
        <v>9679</v>
      </c>
      <c r="L3015" s="28" t="s">
        <v>4282</v>
      </c>
      <c r="M3015" s="28" t="s">
        <v>21</v>
      </c>
      <c r="O3015" s="92">
        <v>38168</v>
      </c>
      <c r="P3015" s="28" t="s">
        <v>21</v>
      </c>
      <c r="Q3015" s="26" t="b">
        <v>0</v>
      </c>
      <c r="R3015" s="22">
        <f t="shared" si="49"/>
        <v>112</v>
      </c>
    </row>
    <row r="3016" spans="1:18">
      <c r="A3016" s="26">
        <v>7619</v>
      </c>
      <c r="B3016" s="27">
        <v>38055</v>
      </c>
      <c r="C3016" s="28" t="s">
        <v>9680</v>
      </c>
      <c r="D3016" s="27">
        <v>38054</v>
      </c>
      <c r="E3016" s="28" t="s">
        <v>9681</v>
      </c>
      <c r="F3016" s="28" t="s">
        <v>1019</v>
      </c>
      <c r="G3016" s="28" t="s">
        <v>20</v>
      </c>
      <c r="H3016" s="28" t="s">
        <v>21</v>
      </c>
      <c r="I3016" s="28" t="s">
        <v>21</v>
      </c>
      <c r="J3016" s="28" t="s">
        <v>9682</v>
      </c>
      <c r="K3016" s="28" t="s">
        <v>9683</v>
      </c>
      <c r="L3016" s="28" t="s">
        <v>4282</v>
      </c>
      <c r="M3016" s="28" t="s">
        <v>21</v>
      </c>
      <c r="O3016" s="92">
        <v>38160</v>
      </c>
      <c r="P3016" s="28" t="s">
        <v>31</v>
      </c>
      <c r="Q3016" s="26" t="b">
        <v>0</v>
      </c>
      <c r="R3016" s="22">
        <f t="shared" si="49"/>
        <v>104</v>
      </c>
    </row>
    <row r="3017" spans="1:18">
      <c r="A3017" s="26">
        <v>7622</v>
      </c>
      <c r="B3017" s="27">
        <v>38056</v>
      </c>
      <c r="C3017" s="28" t="s">
        <v>9684</v>
      </c>
      <c r="D3017" s="27">
        <v>38044</v>
      </c>
      <c r="E3017" s="28" t="s">
        <v>9685</v>
      </c>
      <c r="F3017" s="28" t="s">
        <v>8939</v>
      </c>
      <c r="G3017" s="28" t="s">
        <v>20</v>
      </c>
      <c r="H3017" s="28" t="s">
        <v>566</v>
      </c>
      <c r="I3017" s="28" t="s">
        <v>566</v>
      </c>
      <c r="J3017" s="28" t="s">
        <v>9686</v>
      </c>
      <c r="K3017" s="28" t="s">
        <v>4693</v>
      </c>
      <c r="L3017" s="28" t="s">
        <v>4579</v>
      </c>
      <c r="M3017" s="28" t="s">
        <v>66</v>
      </c>
      <c r="O3017" s="92">
        <v>38882</v>
      </c>
      <c r="P3017" s="28" t="s">
        <v>21</v>
      </c>
      <c r="Q3017" s="26" t="b">
        <v>0</v>
      </c>
      <c r="R3017" s="22">
        <f t="shared" si="49"/>
        <v>825</v>
      </c>
    </row>
    <row r="3018" spans="1:18">
      <c r="A3018" s="26">
        <v>7627</v>
      </c>
      <c r="B3018" s="27">
        <v>38057</v>
      </c>
      <c r="C3018" s="28" t="s">
        <v>9693</v>
      </c>
      <c r="D3018" s="27">
        <v>38056</v>
      </c>
      <c r="E3018" s="28" t="s">
        <v>9694</v>
      </c>
      <c r="F3018" s="28" t="s">
        <v>94</v>
      </c>
      <c r="G3018" s="28" t="s">
        <v>20</v>
      </c>
      <c r="H3018" s="28" t="s">
        <v>21</v>
      </c>
      <c r="I3018" s="28" t="s">
        <v>21</v>
      </c>
      <c r="J3018" s="28" t="s">
        <v>8091</v>
      </c>
      <c r="K3018" s="28" t="s">
        <v>9695</v>
      </c>
      <c r="L3018" s="28" t="s">
        <v>4579</v>
      </c>
      <c r="M3018" s="28" t="s">
        <v>66</v>
      </c>
      <c r="O3018" s="92">
        <v>38229</v>
      </c>
      <c r="P3018" s="28" t="s">
        <v>31</v>
      </c>
      <c r="Q3018" s="26" t="b">
        <v>0</v>
      </c>
      <c r="R3018" s="22">
        <f t="shared" si="49"/>
        <v>171</v>
      </c>
    </row>
    <row r="3019" spans="1:18">
      <c r="A3019" s="26">
        <v>7628</v>
      </c>
      <c r="B3019" s="27">
        <v>38058</v>
      </c>
      <c r="C3019" s="28" t="s">
        <v>9696</v>
      </c>
      <c r="D3019" s="27">
        <v>38049</v>
      </c>
      <c r="E3019" s="28" t="s">
        <v>9697</v>
      </c>
      <c r="F3019" s="28" t="s">
        <v>124</v>
      </c>
      <c r="G3019" s="28" t="s">
        <v>20</v>
      </c>
      <c r="H3019" s="28" t="s">
        <v>21</v>
      </c>
      <c r="I3019" s="28" t="s">
        <v>21</v>
      </c>
      <c r="J3019" s="28" t="s">
        <v>1717</v>
      </c>
      <c r="K3019" s="28" t="s">
        <v>9698</v>
      </c>
      <c r="L3019" s="28" t="s">
        <v>314</v>
      </c>
      <c r="M3019" s="28" t="s">
        <v>21</v>
      </c>
      <c r="O3019" s="92">
        <v>38127</v>
      </c>
      <c r="P3019" s="28" t="s">
        <v>31</v>
      </c>
      <c r="Q3019" s="26" t="b">
        <v>0</v>
      </c>
      <c r="R3019" s="22">
        <f t="shared" si="49"/>
        <v>68</v>
      </c>
    </row>
    <row r="3020" spans="1:18">
      <c r="A3020" s="26">
        <v>7623</v>
      </c>
      <c r="B3020" s="27">
        <v>38061</v>
      </c>
      <c r="C3020" s="28" t="s">
        <v>9687</v>
      </c>
      <c r="D3020" s="27">
        <v>38061</v>
      </c>
      <c r="E3020" s="28" t="s">
        <v>283</v>
      </c>
      <c r="F3020" s="28" t="s">
        <v>984</v>
      </c>
      <c r="G3020" s="28" t="s">
        <v>20</v>
      </c>
      <c r="H3020" s="28" t="s">
        <v>21</v>
      </c>
      <c r="I3020" s="28" t="s">
        <v>21</v>
      </c>
      <c r="J3020" s="28" t="s">
        <v>9688</v>
      </c>
      <c r="K3020" s="28" t="s">
        <v>9689</v>
      </c>
      <c r="L3020" s="28" t="s">
        <v>66</v>
      </c>
      <c r="M3020" s="28" t="s">
        <v>21</v>
      </c>
      <c r="O3020" s="92">
        <v>38107</v>
      </c>
      <c r="P3020" s="28" t="s">
        <v>21</v>
      </c>
      <c r="Q3020" s="26" t="b">
        <v>0</v>
      </c>
      <c r="R3020" s="22">
        <f t="shared" si="49"/>
        <v>45</v>
      </c>
    </row>
    <row r="3021" spans="1:18">
      <c r="A3021" s="26">
        <v>7625</v>
      </c>
      <c r="B3021" s="27">
        <v>38061</v>
      </c>
      <c r="C3021" s="28" t="s">
        <v>9690</v>
      </c>
      <c r="D3021" s="27">
        <v>38061</v>
      </c>
      <c r="E3021" s="28" t="s">
        <v>4172</v>
      </c>
      <c r="F3021" s="28" t="s">
        <v>5704</v>
      </c>
      <c r="G3021" s="28" t="s">
        <v>20</v>
      </c>
      <c r="H3021" s="28" t="s">
        <v>21</v>
      </c>
      <c r="I3021" s="28" t="s">
        <v>21</v>
      </c>
      <c r="J3021" s="28" t="s">
        <v>9691</v>
      </c>
      <c r="K3021" s="28" t="s">
        <v>9692</v>
      </c>
      <c r="L3021" s="28" t="s">
        <v>8318</v>
      </c>
      <c r="M3021" s="28" t="s">
        <v>21</v>
      </c>
      <c r="O3021" s="92">
        <v>38062</v>
      </c>
      <c r="P3021" s="28" t="s">
        <v>31</v>
      </c>
      <c r="Q3021" s="26" t="b">
        <v>0</v>
      </c>
      <c r="R3021" s="22">
        <f t="shared" si="49"/>
        <v>1</v>
      </c>
    </row>
    <row r="3022" spans="1:18">
      <c r="A3022" s="26">
        <v>7629</v>
      </c>
      <c r="B3022" s="27">
        <v>38065</v>
      </c>
      <c r="C3022" s="28" t="s">
        <v>9699</v>
      </c>
      <c r="D3022" s="27">
        <v>38065</v>
      </c>
      <c r="E3022" s="28" t="s">
        <v>9700</v>
      </c>
      <c r="F3022" s="28" t="s">
        <v>8395</v>
      </c>
      <c r="G3022" s="28" t="s">
        <v>20</v>
      </c>
      <c r="H3022" s="28" t="s">
        <v>566</v>
      </c>
      <c r="I3022" s="28" t="s">
        <v>566</v>
      </c>
      <c r="J3022" s="28" t="s">
        <v>9701</v>
      </c>
      <c r="K3022" s="28" t="s">
        <v>6081</v>
      </c>
      <c r="L3022" s="28" t="s">
        <v>314</v>
      </c>
      <c r="M3022" s="28" t="s">
        <v>21</v>
      </c>
      <c r="O3022" s="92">
        <v>38168</v>
      </c>
      <c r="P3022" s="28" t="s">
        <v>31</v>
      </c>
      <c r="Q3022" s="26" t="b">
        <v>0</v>
      </c>
      <c r="R3022" s="22">
        <f t="shared" si="49"/>
        <v>102</v>
      </c>
    </row>
    <row r="3023" spans="1:18">
      <c r="A3023" s="26">
        <v>7646</v>
      </c>
      <c r="B3023" s="27">
        <v>38068</v>
      </c>
      <c r="C3023" s="28" t="s">
        <v>9710</v>
      </c>
      <c r="D3023" s="27">
        <v>38068</v>
      </c>
      <c r="E3023" s="28" t="s">
        <v>38</v>
      </c>
      <c r="F3023" s="28" t="s">
        <v>27</v>
      </c>
      <c r="G3023" s="28" t="s">
        <v>20</v>
      </c>
      <c r="H3023" s="28" t="s">
        <v>21</v>
      </c>
      <c r="I3023" s="28" t="s">
        <v>21</v>
      </c>
      <c r="J3023" s="28" t="s">
        <v>9711</v>
      </c>
      <c r="K3023" s="28" t="s">
        <v>21</v>
      </c>
      <c r="L3023" s="28" t="s">
        <v>66</v>
      </c>
      <c r="M3023" s="28" t="s">
        <v>21</v>
      </c>
      <c r="O3023" s="92">
        <v>38068</v>
      </c>
      <c r="P3023" s="28" t="s">
        <v>21</v>
      </c>
      <c r="Q3023" s="26" t="b">
        <v>0</v>
      </c>
      <c r="R3023" s="22">
        <f t="shared" si="49"/>
        <v>0</v>
      </c>
    </row>
    <row r="3024" spans="1:18">
      <c r="A3024" s="26">
        <v>7648</v>
      </c>
      <c r="B3024" s="27">
        <v>38070</v>
      </c>
      <c r="C3024" s="28" t="s">
        <v>9712</v>
      </c>
      <c r="D3024" s="27">
        <v>38070</v>
      </c>
      <c r="E3024" s="28" t="s">
        <v>3268</v>
      </c>
      <c r="F3024" s="28" t="s">
        <v>98</v>
      </c>
      <c r="G3024" s="28" t="s">
        <v>20</v>
      </c>
      <c r="H3024" s="28" t="s">
        <v>21</v>
      </c>
      <c r="I3024" s="28" t="s">
        <v>21</v>
      </c>
      <c r="J3024" s="28" t="s">
        <v>9713</v>
      </c>
      <c r="K3024" s="28" t="s">
        <v>9714</v>
      </c>
      <c r="L3024" s="28" t="s">
        <v>8318</v>
      </c>
      <c r="M3024" s="28" t="s">
        <v>21</v>
      </c>
      <c r="O3024" s="92">
        <v>38084</v>
      </c>
      <c r="P3024" s="28" t="s">
        <v>21</v>
      </c>
      <c r="Q3024" s="26" t="b">
        <v>0</v>
      </c>
      <c r="R3024" s="22">
        <f t="shared" si="49"/>
        <v>13</v>
      </c>
    </row>
    <row r="3025" spans="1:18">
      <c r="A3025" s="26">
        <v>7649</v>
      </c>
      <c r="B3025" s="27">
        <v>38070</v>
      </c>
      <c r="C3025" s="28" t="s">
        <v>9715</v>
      </c>
      <c r="D3025" s="27">
        <v>38070</v>
      </c>
      <c r="E3025" s="28" t="s">
        <v>3268</v>
      </c>
      <c r="F3025" s="28" t="s">
        <v>98</v>
      </c>
      <c r="G3025" s="28" t="s">
        <v>20</v>
      </c>
      <c r="H3025" s="28" t="s">
        <v>21</v>
      </c>
      <c r="I3025" s="28" t="s">
        <v>21</v>
      </c>
      <c r="J3025" s="28" t="s">
        <v>9716</v>
      </c>
      <c r="K3025" s="28" t="s">
        <v>9714</v>
      </c>
      <c r="L3025" s="28" t="s">
        <v>8318</v>
      </c>
      <c r="M3025" s="28" t="s">
        <v>21</v>
      </c>
      <c r="O3025" s="92">
        <v>38084</v>
      </c>
      <c r="P3025" s="28" t="s">
        <v>21</v>
      </c>
      <c r="Q3025" s="26" t="b">
        <v>0</v>
      </c>
      <c r="R3025" s="22">
        <f t="shared" si="49"/>
        <v>13</v>
      </c>
    </row>
    <row r="3026" spans="1:18">
      <c r="A3026" s="26">
        <v>7652</v>
      </c>
      <c r="B3026" s="27">
        <v>38071</v>
      </c>
      <c r="C3026" s="28" t="s">
        <v>9717</v>
      </c>
      <c r="D3026" s="27">
        <v>38071</v>
      </c>
      <c r="E3026" s="28" t="s">
        <v>283</v>
      </c>
      <c r="F3026" s="28" t="s">
        <v>39</v>
      </c>
      <c r="G3026" s="28" t="s">
        <v>20</v>
      </c>
      <c r="H3026" s="28" t="s">
        <v>21</v>
      </c>
      <c r="I3026" s="28" t="s">
        <v>21</v>
      </c>
      <c r="J3026" s="28" t="s">
        <v>9718</v>
      </c>
      <c r="K3026" s="28" t="s">
        <v>9719</v>
      </c>
      <c r="L3026" s="28" t="s">
        <v>66</v>
      </c>
      <c r="M3026" s="28" t="s">
        <v>21</v>
      </c>
      <c r="O3026" s="92">
        <v>38104</v>
      </c>
      <c r="P3026" s="28" t="s">
        <v>21</v>
      </c>
      <c r="Q3026" s="26" t="b">
        <v>0</v>
      </c>
      <c r="R3026" s="22">
        <f t="shared" si="49"/>
        <v>32</v>
      </c>
    </row>
    <row r="3027" spans="1:18">
      <c r="A3027" s="26">
        <v>7653</v>
      </c>
      <c r="B3027" s="27">
        <v>38075</v>
      </c>
      <c r="C3027" s="28" t="s">
        <v>9720</v>
      </c>
      <c r="D3027" s="27">
        <v>38075</v>
      </c>
      <c r="E3027" s="28" t="s">
        <v>283</v>
      </c>
      <c r="F3027" s="28" t="s">
        <v>39</v>
      </c>
      <c r="G3027" s="28" t="s">
        <v>20</v>
      </c>
      <c r="H3027" s="28" t="s">
        <v>21</v>
      </c>
      <c r="I3027" s="28" t="s">
        <v>21</v>
      </c>
      <c r="J3027" s="28" t="s">
        <v>9721</v>
      </c>
      <c r="K3027" s="28" t="s">
        <v>9722</v>
      </c>
      <c r="L3027" s="28" t="s">
        <v>66</v>
      </c>
      <c r="M3027" s="28" t="s">
        <v>21</v>
      </c>
      <c r="O3027" s="92">
        <v>38104</v>
      </c>
      <c r="P3027" s="28" t="s">
        <v>21</v>
      </c>
      <c r="Q3027" s="26" t="b">
        <v>0</v>
      </c>
      <c r="R3027" s="22">
        <f t="shared" si="49"/>
        <v>28</v>
      </c>
    </row>
    <row r="3028" spans="1:18">
      <c r="A3028" s="26">
        <v>7654</v>
      </c>
      <c r="B3028" s="27">
        <v>38075</v>
      </c>
      <c r="C3028" s="28" t="s">
        <v>9723</v>
      </c>
      <c r="D3028" s="27">
        <v>38075</v>
      </c>
      <c r="E3028" s="28" t="s">
        <v>3268</v>
      </c>
      <c r="F3028" s="28" t="s">
        <v>137</v>
      </c>
      <c r="G3028" s="28" t="s">
        <v>20</v>
      </c>
      <c r="H3028" s="28" t="s">
        <v>71</v>
      </c>
      <c r="I3028" s="28" t="s">
        <v>72</v>
      </c>
      <c r="J3028" s="28" t="s">
        <v>8904</v>
      </c>
      <c r="K3028" s="28" t="s">
        <v>9724</v>
      </c>
      <c r="L3028" s="28" t="s">
        <v>66</v>
      </c>
      <c r="M3028" s="28" t="s">
        <v>21</v>
      </c>
      <c r="O3028" s="92">
        <v>38085</v>
      </c>
      <c r="P3028" s="28" t="s">
        <v>21</v>
      </c>
      <c r="Q3028" s="26" t="b">
        <v>0</v>
      </c>
      <c r="R3028" s="22">
        <f t="shared" si="49"/>
        <v>9</v>
      </c>
    </row>
    <row r="3029" spans="1:18">
      <c r="A3029" s="26">
        <v>7655</v>
      </c>
      <c r="B3029" s="27">
        <v>38075</v>
      </c>
      <c r="C3029" s="28" t="s">
        <v>9725</v>
      </c>
      <c r="D3029" s="27">
        <v>38075</v>
      </c>
      <c r="E3029" s="28" t="s">
        <v>9726</v>
      </c>
      <c r="F3029" s="28" t="s">
        <v>52</v>
      </c>
      <c r="G3029" s="28" t="s">
        <v>20</v>
      </c>
      <c r="H3029" s="28" t="s">
        <v>21</v>
      </c>
      <c r="I3029" s="28" t="s">
        <v>21</v>
      </c>
      <c r="J3029" s="28" t="s">
        <v>9727</v>
      </c>
      <c r="K3029" s="28" t="s">
        <v>9728</v>
      </c>
      <c r="L3029" s="28" t="s">
        <v>4282</v>
      </c>
      <c r="M3029" s="28" t="s">
        <v>21</v>
      </c>
      <c r="O3029" s="92">
        <v>38190</v>
      </c>
      <c r="P3029" s="28" t="s">
        <v>31</v>
      </c>
      <c r="Q3029" s="26" t="b">
        <v>0</v>
      </c>
      <c r="R3029" s="22">
        <f t="shared" si="49"/>
        <v>114</v>
      </c>
    </row>
    <row r="3030" spans="1:18">
      <c r="A3030" s="26">
        <v>7656</v>
      </c>
      <c r="B3030" s="27">
        <v>38075</v>
      </c>
      <c r="C3030" s="28" t="s">
        <v>9729</v>
      </c>
      <c r="D3030" s="27">
        <v>38071</v>
      </c>
      <c r="E3030" s="28" t="s">
        <v>9730</v>
      </c>
      <c r="F3030" s="28" t="s">
        <v>345</v>
      </c>
      <c r="G3030" s="28" t="s">
        <v>20</v>
      </c>
      <c r="H3030" s="28" t="s">
        <v>71</v>
      </c>
      <c r="I3030" s="28" t="s">
        <v>72</v>
      </c>
      <c r="J3030" s="28" t="s">
        <v>9731</v>
      </c>
      <c r="K3030" s="28" t="s">
        <v>9732</v>
      </c>
      <c r="L3030" s="28" t="s">
        <v>314</v>
      </c>
      <c r="M3030" s="28" t="s">
        <v>21</v>
      </c>
      <c r="O3030" s="92">
        <v>38131</v>
      </c>
      <c r="P3030" s="28" t="s">
        <v>21</v>
      </c>
      <c r="Q3030" s="26" t="b">
        <v>0</v>
      </c>
      <c r="R3030" s="22">
        <f t="shared" si="49"/>
        <v>55</v>
      </c>
    </row>
    <row r="3031" spans="1:18">
      <c r="A3031" s="26">
        <v>7657</v>
      </c>
      <c r="B3031" s="27">
        <v>38075</v>
      </c>
      <c r="C3031" s="28" t="s">
        <v>9733</v>
      </c>
      <c r="D3031" s="27">
        <v>38075</v>
      </c>
      <c r="E3031" s="28" t="s">
        <v>3268</v>
      </c>
      <c r="F3031" s="28" t="s">
        <v>56</v>
      </c>
      <c r="G3031" s="28" t="s">
        <v>20</v>
      </c>
      <c r="H3031" s="28" t="s">
        <v>21</v>
      </c>
      <c r="I3031" s="28" t="s">
        <v>21</v>
      </c>
      <c r="J3031" s="28" t="s">
        <v>8904</v>
      </c>
      <c r="K3031" s="28" t="s">
        <v>9734</v>
      </c>
      <c r="L3031" s="28" t="s">
        <v>314</v>
      </c>
      <c r="M3031" s="28" t="s">
        <v>21</v>
      </c>
      <c r="N3031" s="18"/>
      <c r="O3031" s="92">
        <v>38105</v>
      </c>
      <c r="P3031" s="28" t="s">
        <v>21</v>
      </c>
      <c r="Q3031" s="26" t="b">
        <v>0</v>
      </c>
      <c r="R3031" s="22">
        <f t="shared" si="49"/>
        <v>29</v>
      </c>
    </row>
    <row r="3032" spans="1:18">
      <c r="A3032" s="26">
        <v>7659</v>
      </c>
      <c r="B3032" s="27">
        <v>38075</v>
      </c>
      <c r="C3032" s="28" t="s">
        <v>9737</v>
      </c>
      <c r="D3032" s="27">
        <v>38072</v>
      </c>
      <c r="E3032" s="28" t="s">
        <v>9738</v>
      </c>
      <c r="F3032" s="28" t="s">
        <v>27</v>
      </c>
      <c r="G3032" s="28" t="s">
        <v>20</v>
      </c>
      <c r="H3032" s="28" t="s">
        <v>21</v>
      </c>
      <c r="I3032" s="28" t="s">
        <v>21</v>
      </c>
      <c r="J3032" s="28" t="s">
        <v>6752</v>
      </c>
      <c r="K3032" s="28" t="s">
        <v>9739</v>
      </c>
      <c r="L3032" s="28" t="s">
        <v>8318</v>
      </c>
      <c r="M3032" s="28" t="s">
        <v>21</v>
      </c>
      <c r="O3032" s="92">
        <v>38076</v>
      </c>
      <c r="P3032" s="28" t="s">
        <v>21</v>
      </c>
      <c r="Q3032" s="26" t="b">
        <v>0</v>
      </c>
      <c r="R3032" s="22">
        <f t="shared" si="49"/>
        <v>1</v>
      </c>
    </row>
    <row r="3033" spans="1:18">
      <c r="A3033" s="26">
        <v>7684</v>
      </c>
      <c r="B3033" s="27">
        <v>38075</v>
      </c>
      <c r="C3033" s="28" t="s">
        <v>9797</v>
      </c>
      <c r="D3033" s="27">
        <v>38075</v>
      </c>
      <c r="E3033" s="28" t="s">
        <v>38</v>
      </c>
      <c r="F3033" s="28" t="s">
        <v>7574</v>
      </c>
      <c r="G3033" s="28" t="s">
        <v>20</v>
      </c>
      <c r="H3033" s="28" t="s">
        <v>21</v>
      </c>
      <c r="I3033" s="28" t="s">
        <v>21</v>
      </c>
      <c r="J3033" s="28" t="s">
        <v>9798</v>
      </c>
      <c r="K3033" s="28" t="s">
        <v>8828</v>
      </c>
      <c r="L3033" s="28" t="s">
        <v>8318</v>
      </c>
      <c r="M3033" s="28" t="s">
        <v>21</v>
      </c>
      <c r="O3033" s="92">
        <v>38097</v>
      </c>
      <c r="P3033" s="28" t="s">
        <v>31</v>
      </c>
      <c r="Q3033" s="26" t="b">
        <v>0</v>
      </c>
      <c r="R3033" s="22">
        <f t="shared" ref="R3033:R3096" si="50">IF(O3033=" ", " ", INT(YEARFRAC(O3033, B3033)*365))</f>
        <v>21</v>
      </c>
    </row>
    <row r="3034" spans="1:18">
      <c r="A3034" s="26">
        <v>7658</v>
      </c>
      <c r="B3034" s="27">
        <v>38076</v>
      </c>
      <c r="C3034" s="28" t="s">
        <v>9735</v>
      </c>
      <c r="D3034" s="27">
        <v>38076</v>
      </c>
      <c r="E3034" s="28" t="s">
        <v>3268</v>
      </c>
      <c r="F3034" s="28" t="s">
        <v>70</v>
      </c>
      <c r="G3034" s="28" t="s">
        <v>20</v>
      </c>
      <c r="H3034" s="28" t="s">
        <v>71</v>
      </c>
      <c r="I3034" s="28" t="s">
        <v>72</v>
      </c>
      <c r="J3034" s="28" t="s">
        <v>8904</v>
      </c>
      <c r="K3034" s="28" t="s">
        <v>9736</v>
      </c>
      <c r="L3034" s="28" t="s">
        <v>4282</v>
      </c>
      <c r="M3034" s="28" t="s">
        <v>21</v>
      </c>
      <c r="O3034" s="92">
        <v>38135</v>
      </c>
      <c r="P3034" s="28" t="s">
        <v>21</v>
      </c>
      <c r="Q3034" s="26" t="b">
        <v>0</v>
      </c>
      <c r="R3034" s="22">
        <f t="shared" si="50"/>
        <v>58</v>
      </c>
    </row>
    <row r="3035" spans="1:18">
      <c r="A3035" s="26">
        <v>7676</v>
      </c>
      <c r="B3035" s="27">
        <v>38076</v>
      </c>
      <c r="C3035" s="28" t="s">
        <v>9768</v>
      </c>
      <c r="D3035" s="27">
        <v>38071</v>
      </c>
      <c r="E3035" s="28" t="s">
        <v>9769</v>
      </c>
      <c r="F3035" s="28" t="s">
        <v>52</v>
      </c>
      <c r="G3035" s="28" t="s">
        <v>20</v>
      </c>
      <c r="H3035" s="28" t="s">
        <v>21</v>
      </c>
      <c r="I3035" s="28" t="s">
        <v>21</v>
      </c>
      <c r="J3035" s="28" t="s">
        <v>7457</v>
      </c>
      <c r="K3035" s="28" t="s">
        <v>9770</v>
      </c>
      <c r="L3035" s="28" t="s">
        <v>4282</v>
      </c>
      <c r="M3035" s="28" t="s">
        <v>21</v>
      </c>
      <c r="O3035" s="92">
        <v>39685</v>
      </c>
      <c r="P3035" s="28" t="s">
        <v>21</v>
      </c>
      <c r="Q3035" s="26" t="b">
        <v>0</v>
      </c>
      <c r="R3035" s="22">
        <f t="shared" si="50"/>
        <v>1607</v>
      </c>
    </row>
    <row r="3036" spans="1:18">
      <c r="A3036" s="26">
        <v>7661</v>
      </c>
      <c r="B3036" s="27">
        <v>38077</v>
      </c>
      <c r="C3036" s="28" t="s">
        <v>9740</v>
      </c>
      <c r="D3036" s="27">
        <v>38076</v>
      </c>
      <c r="E3036" s="28" t="s">
        <v>38</v>
      </c>
      <c r="F3036" s="28" t="s">
        <v>145</v>
      </c>
      <c r="G3036" s="28" t="s">
        <v>20</v>
      </c>
      <c r="H3036" s="28" t="s">
        <v>21</v>
      </c>
      <c r="I3036" s="28" t="s">
        <v>21</v>
      </c>
      <c r="J3036" s="28" t="s">
        <v>9741</v>
      </c>
      <c r="K3036" s="28" t="s">
        <v>9742</v>
      </c>
      <c r="L3036" s="28" t="s">
        <v>8318</v>
      </c>
      <c r="M3036" s="28" t="s">
        <v>21</v>
      </c>
      <c r="O3036" s="92">
        <v>38077</v>
      </c>
      <c r="P3036" s="28" t="s">
        <v>21</v>
      </c>
      <c r="Q3036" s="26" t="b">
        <v>0</v>
      </c>
      <c r="R3036" s="22">
        <f t="shared" si="50"/>
        <v>0</v>
      </c>
    </row>
    <row r="3037" spans="1:18">
      <c r="A3037" s="26">
        <v>7666</v>
      </c>
      <c r="B3037" s="27">
        <v>38079</v>
      </c>
      <c r="C3037" s="28" t="s">
        <v>9743</v>
      </c>
      <c r="D3037" s="27">
        <v>38078</v>
      </c>
      <c r="E3037" s="28" t="s">
        <v>9744</v>
      </c>
      <c r="F3037" s="28" t="s">
        <v>3430</v>
      </c>
      <c r="G3037" s="28" t="s">
        <v>20</v>
      </c>
      <c r="H3037" s="28" t="s">
        <v>71</v>
      </c>
      <c r="I3037" s="28" t="s">
        <v>72</v>
      </c>
      <c r="J3037" s="28" t="s">
        <v>9745</v>
      </c>
      <c r="K3037" s="28" t="s">
        <v>9746</v>
      </c>
      <c r="L3037" s="28" t="s">
        <v>4282</v>
      </c>
      <c r="M3037" s="28" t="s">
        <v>21</v>
      </c>
      <c r="O3037" s="92">
        <v>38455</v>
      </c>
      <c r="P3037" s="28" t="s">
        <v>21</v>
      </c>
      <c r="Q3037" s="26" t="b">
        <v>0</v>
      </c>
      <c r="R3037" s="22">
        <f t="shared" si="50"/>
        <v>376</v>
      </c>
    </row>
    <row r="3038" spans="1:18">
      <c r="A3038" s="26">
        <v>7667</v>
      </c>
      <c r="B3038" s="27">
        <v>38083</v>
      </c>
      <c r="C3038" s="28" t="s">
        <v>9747</v>
      </c>
      <c r="D3038" s="27">
        <v>38082</v>
      </c>
      <c r="E3038" s="28" t="s">
        <v>9748</v>
      </c>
      <c r="F3038" s="28" t="s">
        <v>861</v>
      </c>
      <c r="G3038" s="28" t="s">
        <v>20</v>
      </c>
      <c r="H3038" s="28" t="s">
        <v>566</v>
      </c>
      <c r="I3038" s="28" t="s">
        <v>566</v>
      </c>
      <c r="J3038" s="28" t="s">
        <v>8836</v>
      </c>
      <c r="K3038" s="28" t="s">
        <v>9749</v>
      </c>
      <c r="L3038" s="28" t="s">
        <v>66</v>
      </c>
      <c r="M3038" s="28" t="s">
        <v>21</v>
      </c>
      <c r="O3038" s="92">
        <v>38114</v>
      </c>
      <c r="P3038" s="28" t="s">
        <v>31</v>
      </c>
      <c r="Q3038" s="26" t="b">
        <v>0</v>
      </c>
      <c r="R3038" s="22">
        <f t="shared" si="50"/>
        <v>31</v>
      </c>
    </row>
    <row r="3039" spans="1:18">
      <c r="A3039" s="26">
        <v>7668</v>
      </c>
      <c r="B3039" s="27">
        <v>38083</v>
      </c>
      <c r="C3039" s="28" t="s">
        <v>9750</v>
      </c>
      <c r="D3039" s="27">
        <v>38083</v>
      </c>
      <c r="E3039" s="28" t="s">
        <v>283</v>
      </c>
      <c r="F3039" s="28" t="s">
        <v>9751</v>
      </c>
      <c r="G3039" s="28" t="s">
        <v>20</v>
      </c>
      <c r="H3039" s="28" t="s">
        <v>21</v>
      </c>
      <c r="I3039" s="28" t="s">
        <v>21</v>
      </c>
      <c r="J3039" s="28" t="s">
        <v>9752</v>
      </c>
      <c r="K3039" s="28" t="s">
        <v>9753</v>
      </c>
      <c r="L3039" s="28" t="s">
        <v>66</v>
      </c>
      <c r="M3039" s="28" t="s">
        <v>21</v>
      </c>
      <c r="N3039" s="29">
        <v>38093</v>
      </c>
      <c r="O3039" s="92">
        <v>38084</v>
      </c>
      <c r="P3039" s="28" t="s">
        <v>21</v>
      </c>
      <c r="Q3039" s="26" t="b">
        <v>0</v>
      </c>
      <c r="R3039" s="22">
        <f t="shared" si="50"/>
        <v>1</v>
      </c>
    </row>
    <row r="3040" spans="1:18">
      <c r="A3040" s="26">
        <v>7669</v>
      </c>
      <c r="B3040" s="27">
        <v>38084</v>
      </c>
      <c r="C3040" s="28" t="s">
        <v>9754</v>
      </c>
      <c r="D3040" s="27">
        <v>38084</v>
      </c>
      <c r="E3040" s="28" t="s">
        <v>9755</v>
      </c>
      <c r="F3040" s="28" t="s">
        <v>8406</v>
      </c>
      <c r="G3040" s="28" t="s">
        <v>20</v>
      </c>
      <c r="H3040" s="28" t="s">
        <v>71</v>
      </c>
      <c r="I3040" s="28" t="s">
        <v>72</v>
      </c>
      <c r="J3040" s="28" t="s">
        <v>8828</v>
      </c>
      <c r="K3040" s="28" t="s">
        <v>9756</v>
      </c>
      <c r="L3040" s="28" t="s">
        <v>4282</v>
      </c>
      <c r="M3040" s="28" t="s">
        <v>21</v>
      </c>
      <c r="O3040" s="92">
        <v>38371</v>
      </c>
      <c r="P3040" s="28" t="s">
        <v>31</v>
      </c>
      <c r="Q3040" s="26" t="b">
        <v>0</v>
      </c>
      <c r="R3040" s="22">
        <f t="shared" si="50"/>
        <v>285</v>
      </c>
    </row>
    <row r="3041" spans="1:18">
      <c r="A3041" s="26">
        <v>7670</v>
      </c>
      <c r="B3041" s="27">
        <v>38085</v>
      </c>
      <c r="C3041" s="28" t="s">
        <v>9757</v>
      </c>
      <c r="D3041" s="27">
        <v>38085</v>
      </c>
      <c r="E3041" s="28" t="s">
        <v>9758</v>
      </c>
      <c r="F3041" s="28" t="s">
        <v>70</v>
      </c>
      <c r="G3041" s="28" t="s">
        <v>20</v>
      </c>
      <c r="H3041" s="28" t="s">
        <v>71</v>
      </c>
      <c r="I3041" s="28" t="s">
        <v>72</v>
      </c>
      <c r="J3041" s="28" t="s">
        <v>9759</v>
      </c>
      <c r="K3041" s="28" t="s">
        <v>3639</v>
      </c>
      <c r="L3041" s="28" t="s">
        <v>314</v>
      </c>
      <c r="M3041" s="28" t="s">
        <v>21</v>
      </c>
      <c r="O3041" s="92">
        <v>38124</v>
      </c>
      <c r="P3041" s="28" t="s">
        <v>31</v>
      </c>
      <c r="Q3041" s="26" t="b">
        <v>0</v>
      </c>
      <c r="R3041" s="22">
        <f t="shared" si="50"/>
        <v>39</v>
      </c>
    </row>
    <row r="3042" spans="1:18">
      <c r="A3042" s="26">
        <v>7671</v>
      </c>
      <c r="B3042" s="27">
        <v>38085</v>
      </c>
      <c r="C3042" s="28" t="s">
        <v>9760</v>
      </c>
      <c r="D3042" s="27">
        <v>38085</v>
      </c>
      <c r="E3042" s="28" t="s">
        <v>9761</v>
      </c>
      <c r="F3042" s="28" t="s">
        <v>3333</v>
      </c>
      <c r="G3042" s="28" t="s">
        <v>189</v>
      </c>
      <c r="H3042" s="28" t="s">
        <v>189</v>
      </c>
      <c r="I3042" s="28" t="s">
        <v>189</v>
      </c>
      <c r="J3042" s="28" t="s">
        <v>9762</v>
      </c>
      <c r="K3042" s="28" t="s">
        <v>9763</v>
      </c>
      <c r="L3042" s="28" t="s">
        <v>314</v>
      </c>
      <c r="M3042" s="28" t="s">
        <v>21</v>
      </c>
      <c r="O3042" s="92">
        <v>38128</v>
      </c>
      <c r="P3042" s="28" t="s">
        <v>31</v>
      </c>
      <c r="Q3042" s="26" t="b">
        <v>0</v>
      </c>
      <c r="R3042" s="22">
        <f t="shared" si="50"/>
        <v>43</v>
      </c>
    </row>
    <row r="3043" spans="1:18">
      <c r="A3043" s="26">
        <v>7672</v>
      </c>
      <c r="B3043" s="27">
        <v>38085</v>
      </c>
      <c r="C3043" s="28" t="s">
        <v>9764</v>
      </c>
      <c r="D3043" s="27">
        <v>38085</v>
      </c>
      <c r="E3043" s="28" t="s">
        <v>9765</v>
      </c>
      <c r="F3043" s="28" t="s">
        <v>39</v>
      </c>
      <c r="G3043" s="28" t="s">
        <v>20</v>
      </c>
      <c r="H3043" s="28" t="s">
        <v>21</v>
      </c>
      <c r="I3043" s="28" t="s">
        <v>21</v>
      </c>
      <c r="J3043" s="28" t="s">
        <v>9766</v>
      </c>
      <c r="K3043" s="28" t="s">
        <v>9767</v>
      </c>
      <c r="L3043" s="28" t="s">
        <v>66</v>
      </c>
      <c r="M3043" s="28" t="s">
        <v>21</v>
      </c>
      <c r="O3043" s="92">
        <v>38147</v>
      </c>
      <c r="P3043" s="28" t="s">
        <v>21</v>
      </c>
      <c r="Q3043" s="26" t="b">
        <v>0</v>
      </c>
      <c r="R3043" s="22">
        <f t="shared" si="50"/>
        <v>61</v>
      </c>
    </row>
    <row r="3044" spans="1:18" ht="24">
      <c r="A3044" s="26">
        <v>7677</v>
      </c>
      <c r="B3044" s="27">
        <v>38089</v>
      </c>
      <c r="C3044" s="28" t="s">
        <v>9771</v>
      </c>
      <c r="D3044" s="27">
        <v>38089</v>
      </c>
      <c r="E3044" s="28" t="s">
        <v>9772</v>
      </c>
      <c r="F3044" s="28" t="s">
        <v>9773</v>
      </c>
      <c r="G3044" s="28" t="s">
        <v>20</v>
      </c>
      <c r="H3044" s="28" t="s">
        <v>189</v>
      </c>
      <c r="I3044" s="28" t="s">
        <v>189</v>
      </c>
      <c r="J3044" s="28" t="s">
        <v>4570</v>
      </c>
      <c r="K3044" s="28" t="s">
        <v>21</v>
      </c>
      <c r="L3044" s="28" t="s">
        <v>3588</v>
      </c>
      <c r="M3044" s="28" t="s">
        <v>9774</v>
      </c>
      <c r="O3044" s="92">
        <v>39602</v>
      </c>
      <c r="P3044" s="28" t="s">
        <v>21</v>
      </c>
      <c r="Q3044" s="26" t="b">
        <v>0</v>
      </c>
      <c r="R3044" s="22">
        <f t="shared" si="50"/>
        <v>1511</v>
      </c>
    </row>
    <row r="3045" spans="1:18">
      <c r="A3045" s="26">
        <v>7678</v>
      </c>
      <c r="B3045" s="27">
        <v>38090</v>
      </c>
      <c r="C3045" s="28" t="s">
        <v>9775</v>
      </c>
      <c r="D3045" s="27">
        <v>38090</v>
      </c>
      <c r="E3045" s="28" t="s">
        <v>283</v>
      </c>
      <c r="F3045" s="28" t="s">
        <v>3847</v>
      </c>
      <c r="G3045" s="28" t="s">
        <v>20</v>
      </c>
      <c r="H3045" s="28" t="s">
        <v>21</v>
      </c>
      <c r="I3045" s="28" t="s">
        <v>21</v>
      </c>
      <c r="J3045" s="28" t="s">
        <v>9776</v>
      </c>
      <c r="K3045" s="28" t="s">
        <v>9777</v>
      </c>
      <c r="L3045" s="28" t="s">
        <v>8318</v>
      </c>
      <c r="M3045" s="28" t="s">
        <v>21</v>
      </c>
      <c r="O3045" s="92">
        <v>38120</v>
      </c>
      <c r="P3045" s="28" t="s">
        <v>21</v>
      </c>
      <c r="Q3045" s="26" t="b">
        <v>0</v>
      </c>
      <c r="R3045" s="22">
        <f t="shared" si="50"/>
        <v>30</v>
      </c>
    </row>
    <row r="3046" spans="1:18">
      <c r="A3046" s="26">
        <v>7679</v>
      </c>
      <c r="B3046" s="27">
        <v>38092</v>
      </c>
      <c r="C3046" s="28" t="s">
        <v>9778</v>
      </c>
      <c r="D3046" s="27">
        <v>38092</v>
      </c>
      <c r="E3046" s="28" t="s">
        <v>38</v>
      </c>
      <c r="F3046" s="28" t="s">
        <v>3430</v>
      </c>
      <c r="G3046" s="28" t="s">
        <v>20</v>
      </c>
      <c r="H3046" s="28" t="s">
        <v>71</v>
      </c>
      <c r="I3046" s="28" t="s">
        <v>72</v>
      </c>
      <c r="J3046" s="28" t="s">
        <v>9779</v>
      </c>
      <c r="K3046" s="28" t="s">
        <v>9780</v>
      </c>
      <c r="L3046" s="28" t="s">
        <v>8318</v>
      </c>
      <c r="M3046" s="28" t="s">
        <v>21</v>
      </c>
      <c r="O3046" s="92">
        <v>38093</v>
      </c>
      <c r="P3046" s="28" t="s">
        <v>21</v>
      </c>
      <c r="Q3046" s="26" t="b">
        <v>0</v>
      </c>
      <c r="R3046" s="22">
        <f t="shared" si="50"/>
        <v>1</v>
      </c>
    </row>
    <row r="3047" spans="1:18">
      <c r="A3047" s="26">
        <v>7680</v>
      </c>
      <c r="B3047" s="27">
        <v>38092</v>
      </c>
      <c r="C3047" s="28" t="s">
        <v>9781</v>
      </c>
      <c r="D3047" s="27">
        <v>38092</v>
      </c>
      <c r="E3047" s="28" t="s">
        <v>9782</v>
      </c>
      <c r="F3047" s="28" t="s">
        <v>149</v>
      </c>
      <c r="G3047" s="28" t="s">
        <v>20</v>
      </c>
      <c r="H3047" s="28" t="s">
        <v>21</v>
      </c>
      <c r="I3047" s="28" t="s">
        <v>21</v>
      </c>
      <c r="J3047" s="28" t="s">
        <v>9783</v>
      </c>
      <c r="K3047" s="28" t="s">
        <v>9784</v>
      </c>
      <c r="L3047" s="28" t="s">
        <v>66</v>
      </c>
      <c r="M3047" s="28" t="s">
        <v>21</v>
      </c>
      <c r="O3047" s="92">
        <v>38135</v>
      </c>
      <c r="P3047" s="28" t="s">
        <v>31</v>
      </c>
      <c r="Q3047" s="26" t="b">
        <v>0</v>
      </c>
      <c r="R3047" s="22">
        <f t="shared" si="50"/>
        <v>43</v>
      </c>
    </row>
    <row r="3048" spans="1:18" ht="24">
      <c r="A3048" s="26">
        <v>7681</v>
      </c>
      <c r="B3048" s="27">
        <v>38093</v>
      </c>
      <c r="C3048" s="28" t="s">
        <v>9785</v>
      </c>
      <c r="D3048" s="27">
        <v>38092</v>
      </c>
      <c r="E3048" s="28" t="s">
        <v>9786</v>
      </c>
      <c r="F3048" s="28" t="s">
        <v>9787</v>
      </c>
      <c r="G3048" s="28" t="s">
        <v>20</v>
      </c>
      <c r="H3048" s="28" t="s">
        <v>189</v>
      </c>
      <c r="I3048" s="28" t="s">
        <v>189</v>
      </c>
      <c r="J3048" s="28" t="s">
        <v>8828</v>
      </c>
      <c r="K3048" s="28" t="s">
        <v>9788</v>
      </c>
      <c r="L3048" s="28" t="s">
        <v>314</v>
      </c>
      <c r="M3048" s="28" t="s">
        <v>21</v>
      </c>
      <c r="O3048" s="92">
        <v>38182</v>
      </c>
      <c r="P3048" s="28" t="s">
        <v>182</v>
      </c>
      <c r="Q3048" s="26" t="b">
        <v>0</v>
      </c>
      <c r="R3048" s="22">
        <f t="shared" si="50"/>
        <v>89</v>
      </c>
    </row>
    <row r="3049" spans="1:18" ht="24">
      <c r="A3049" s="26">
        <v>7682</v>
      </c>
      <c r="B3049" s="27">
        <v>38096</v>
      </c>
      <c r="C3049" s="28" t="s">
        <v>9789</v>
      </c>
      <c r="D3049" s="27">
        <v>38096</v>
      </c>
      <c r="E3049" s="28" t="s">
        <v>9790</v>
      </c>
      <c r="F3049" s="28" t="s">
        <v>359</v>
      </c>
      <c r="G3049" s="28" t="s">
        <v>20</v>
      </c>
      <c r="H3049" s="28" t="s">
        <v>21</v>
      </c>
      <c r="I3049" s="28" t="s">
        <v>21</v>
      </c>
      <c r="J3049" s="28" t="s">
        <v>9791</v>
      </c>
      <c r="K3049" s="28" t="s">
        <v>9792</v>
      </c>
      <c r="L3049" s="28" t="s">
        <v>2205</v>
      </c>
      <c r="M3049" s="28" t="s">
        <v>4282</v>
      </c>
      <c r="O3049" s="92">
        <v>38454</v>
      </c>
      <c r="P3049" s="28" t="s">
        <v>31</v>
      </c>
      <c r="Q3049" s="26" t="b">
        <v>0</v>
      </c>
      <c r="R3049" s="22">
        <f t="shared" si="50"/>
        <v>357</v>
      </c>
    </row>
    <row r="3050" spans="1:18">
      <c r="A3050" s="26">
        <v>7683</v>
      </c>
      <c r="B3050" s="27">
        <v>38096</v>
      </c>
      <c r="C3050" s="28" t="s">
        <v>9793</v>
      </c>
      <c r="D3050" s="27">
        <v>38096</v>
      </c>
      <c r="E3050" s="28" t="s">
        <v>9794</v>
      </c>
      <c r="F3050" s="28" t="s">
        <v>345</v>
      </c>
      <c r="G3050" s="28" t="s">
        <v>20</v>
      </c>
      <c r="H3050" s="28" t="s">
        <v>71</v>
      </c>
      <c r="I3050" s="28" t="s">
        <v>72</v>
      </c>
      <c r="J3050" s="28" t="s">
        <v>9795</v>
      </c>
      <c r="K3050" s="28" t="s">
        <v>9796</v>
      </c>
      <c r="L3050" s="28" t="s">
        <v>66</v>
      </c>
      <c r="M3050" s="28" t="s">
        <v>21</v>
      </c>
      <c r="O3050" s="92">
        <v>38162</v>
      </c>
      <c r="P3050" s="28" t="s">
        <v>31</v>
      </c>
      <c r="Q3050" s="26" t="b">
        <v>0</v>
      </c>
      <c r="R3050" s="22">
        <f t="shared" si="50"/>
        <v>65</v>
      </c>
    </row>
    <row r="3051" spans="1:18">
      <c r="A3051" s="26">
        <v>7685</v>
      </c>
      <c r="B3051" s="27">
        <v>38096</v>
      </c>
      <c r="C3051" s="28" t="s">
        <v>9799</v>
      </c>
      <c r="D3051" s="27">
        <v>38089</v>
      </c>
      <c r="E3051" s="28" t="s">
        <v>9800</v>
      </c>
      <c r="F3051" s="28" t="s">
        <v>149</v>
      </c>
      <c r="G3051" s="28" t="s">
        <v>20</v>
      </c>
      <c r="H3051" s="28" t="s">
        <v>21</v>
      </c>
      <c r="I3051" s="28" t="s">
        <v>21</v>
      </c>
      <c r="J3051" s="28" t="s">
        <v>9801</v>
      </c>
      <c r="K3051" s="28" t="s">
        <v>9802</v>
      </c>
      <c r="L3051" s="28" t="s">
        <v>66</v>
      </c>
      <c r="M3051" s="28" t="s">
        <v>21</v>
      </c>
      <c r="O3051" s="92">
        <v>38113</v>
      </c>
      <c r="P3051" s="28" t="s">
        <v>31</v>
      </c>
      <c r="Q3051" s="26" t="b">
        <v>0</v>
      </c>
      <c r="R3051" s="22">
        <f t="shared" si="50"/>
        <v>17</v>
      </c>
    </row>
    <row r="3052" spans="1:18">
      <c r="A3052" s="26">
        <v>7686</v>
      </c>
      <c r="B3052" s="27">
        <v>38098</v>
      </c>
      <c r="C3052" s="28" t="s">
        <v>9803</v>
      </c>
      <c r="D3052" s="27">
        <v>38096</v>
      </c>
      <c r="E3052" s="28" t="s">
        <v>9804</v>
      </c>
      <c r="F3052" s="28" t="s">
        <v>124</v>
      </c>
      <c r="G3052" s="28" t="s">
        <v>20</v>
      </c>
      <c r="H3052" s="28" t="s">
        <v>21</v>
      </c>
      <c r="I3052" s="28" t="s">
        <v>21</v>
      </c>
      <c r="J3052" s="28" t="s">
        <v>9805</v>
      </c>
      <c r="K3052" s="28" t="s">
        <v>9806</v>
      </c>
      <c r="L3052" s="28" t="s">
        <v>314</v>
      </c>
      <c r="M3052" s="28" t="s">
        <v>21</v>
      </c>
      <c r="O3052" s="92">
        <v>38169</v>
      </c>
      <c r="P3052" s="28" t="s">
        <v>31</v>
      </c>
      <c r="Q3052" s="26" t="b">
        <v>0</v>
      </c>
      <c r="R3052" s="22">
        <f t="shared" si="50"/>
        <v>70</v>
      </c>
    </row>
    <row r="3053" spans="1:18">
      <c r="A3053" s="26">
        <v>7687</v>
      </c>
      <c r="B3053" s="27">
        <v>38103</v>
      </c>
      <c r="C3053" s="28" t="s">
        <v>9807</v>
      </c>
      <c r="D3053" s="27">
        <v>38103</v>
      </c>
      <c r="E3053" s="28" t="s">
        <v>38</v>
      </c>
      <c r="F3053" s="28" t="s">
        <v>3171</v>
      </c>
      <c r="G3053" s="28" t="s">
        <v>20</v>
      </c>
      <c r="H3053" s="28" t="s">
        <v>566</v>
      </c>
      <c r="I3053" s="28" t="s">
        <v>566</v>
      </c>
      <c r="J3053" s="28" t="s">
        <v>9808</v>
      </c>
      <c r="K3053" s="28" t="s">
        <v>9809</v>
      </c>
      <c r="L3053" s="28" t="s">
        <v>8318</v>
      </c>
      <c r="M3053" s="28" t="s">
        <v>21</v>
      </c>
      <c r="O3053" s="92">
        <v>38103</v>
      </c>
      <c r="P3053" s="28" t="s">
        <v>31</v>
      </c>
      <c r="Q3053" s="26" t="b">
        <v>0</v>
      </c>
      <c r="R3053" s="22">
        <f t="shared" si="50"/>
        <v>0</v>
      </c>
    </row>
    <row r="3054" spans="1:18">
      <c r="A3054" s="26">
        <v>7689</v>
      </c>
      <c r="B3054" s="27">
        <v>38103</v>
      </c>
      <c r="C3054" s="28" t="s">
        <v>9813</v>
      </c>
      <c r="D3054" s="27">
        <v>38100</v>
      </c>
      <c r="E3054" s="28" t="s">
        <v>9814</v>
      </c>
      <c r="F3054" s="28" t="s">
        <v>359</v>
      </c>
      <c r="G3054" s="28" t="s">
        <v>20</v>
      </c>
      <c r="H3054" s="28" t="s">
        <v>21</v>
      </c>
      <c r="I3054" s="28" t="s">
        <v>21</v>
      </c>
      <c r="J3054" s="28" t="s">
        <v>9815</v>
      </c>
      <c r="K3054" s="28" t="s">
        <v>9816</v>
      </c>
      <c r="L3054" s="28" t="s">
        <v>2205</v>
      </c>
      <c r="M3054" s="28" t="s">
        <v>4282</v>
      </c>
      <c r="O3054" s="92">
        <v>38454</v>
      </c>
      <c r="P3054" s="28" t="s">
        <v>21</v>
      </c>
      <c r="Q3054" s="26" t="b">
        <v>0</v>
      </c>
      <c r="R3054" s="22">
        <f t="shared" si="50"/>
        <v>350</v>
      </c>
    </row>
    <row r="3055" spans="1:18">
      <c r="A3055" s="26">
        <v>7688</v>
      </c>
      <c r="B3055" s="27">
        <v>38104</v>
      </c>
      <c r="C3055" s="28" t="s">
        <v>9810</v>
      </c>
      <c r="D3055" s="27">
        <v>38103</v>
      </c>
      <c r="E3055" s="28" t="s">
        <v>9811</v>
      </c>
      <c r="F3055" s="28" t="s">
        <v>145</v>
      </c>
      <c r="G3055" s="28" t="s">
        <v>20</v>
      </c>
      <c r="H3055" s="28" t="s">
        <v>21</v>
      </c>
      <c r="I3055" s="28" t="s">
        <v>21</v>
      </c>
      <c r="J3055" s="28" t="s">
        <v>6081</v>
      </c>
      <c r="K3055" s="28" t="s">
        <v>9812</v>
      </c>
      <c r="L3055" s="28" t="s">
        <v>4282</v>
      </c>
      <c r="M3055" s="28" t="s">
        <v>21</v>
      </c>
      <c r="O3055" s="92">
        <v>38187</v>
      </c>
      <c r="P3055" s="28" t="s">
        <v>21</v>
      </c>
      <c r="Q3055" s="26" t="b">
        <v>0</v>
      </c>
      <c r="R3055" s="22">
        <f t="shared" si="50"/>
        <v>83</v>
      </c>
    </row>
    <row r="3056" spans="1:18">
      <c r="A3056" s="26">
        <v>7690</v>
      </c>
      <c r="B3056" s="27">
        <v>38106</v>
      </c>
      <c r="C3056" s="28" t="s">
        <v>9817</v>
      </c>
      <c r="D3056" s="27">
        <v>38106</v>
      </c>
      <c r="E3056" s="28" t="s">
        <v>283</v>
      </c>
      <c r="F3056" s="28" t="s">
        <v>145</v>
      </c>
      <c r="G3056" s="28" t="s">
        <v>20</v>
      </c>
      <c r="H3056" s="28" t="s">
        <v>21</v>
      </c>
      <c r="I3056" s="28" t="s">
        <v>21</v>
      </c>
      <c r="J3056" s="28" t="s">
        <v>9818</v>
      </c>
      <c r="K3056" s="28" t="s">
        <v>9753</v>
      </c>
      <c r="L3056" s="28" t="s">
        <v>66</v>
      </c>
      <c r="M3056" s="28" t="s">
        <v>21</v>
      </c>
      <c r="O3056" s="92">
        <v>38107</v>
      </c>
      <c r="P3056" s="28" t="s">
        <v>21</v>
      </c>
      <c r="Q3056" s="26" t="b">
        <v>0</v>
      </c>
      <c r="R3056" s="22">
        <f t="shared" si="50"/>
        <v>1</v>
      </c>
    </row>
    <row r="3057" spans="1:18">
      <c r="A3057" s="26">
        <v>7712</v>
      </c>
      <c r="B3057" s="27">
        <v>38106</v>
      </c>
      <c r="C3057" s="28" t="s">
        <v>9888</v>
      </c>
      <c r="D3057" s="27">
        <v>38104</v>
      </c>
      <c r="E3057" s="28" t="s">
        <v>9889</v>
      </c>
      <c r="F3057" s="28" t="s">
        <v>52</v>
      </c>
      <c r="G3057" s="28" t="s">
        <v>20</v>
      </c>
      <c r="H3057" s="28" t="s">
        <v>21</v>
      </c>
      <c r="I3057" s="28" t="s">
        <v>21</v>
      </c>
      <c r="J3057" s="28" t="s">
        <v>9890</v>
      </c>
      <c r="K3057" s="28" t="s">
        <v>9891</v>
      </c>
      <c r="L3057" s="28" t="s">
        <v>314</v>
      </c>
      <c r="M3057" s="28" t="s">
        <v>21</v>
      </c>
      <c r="O3057" s="92">
        <v>38139</v>
      </c>
      <c r="P3057" s="28" t="s">
        <v>21</v>
      </c>
      <c r="Q3057" s="26" t="b">
        <v>0</v>
      </c>
      <c r="R3057" s="22">
        <f t="shared" si="50"/>
        <v>32</v>
      </c>
    </row>
    <row r="3058" spans="1:18">
      <c r="A3058" s="26">
        <v>7691</v>
      </c>
      <c r="B3058" s="27">
        <v>38107</v>
      </c>
      <c r="C3058" s="28" t="s">
        <v>9819</v>
      </c>
      <c r="D3058" s="27">
        <v>38107</v>
      </c>
      <c r="E3058" s="28" t="s">
        <v>9820</v>
      </c>
      <c r="F3058" s="28" t="s">
        <v>6084</v>
      </c>
      <c r="G3058" s="28" t="s">
        <v>20</v>
      </c>
      <c r="H3058" s="28" t="s">
        <v>21</v>
      </c>
      <c r="I3058" s="28" t="s">
        <v>21</v>
      </c>
      <c r="J3058" s="28" t="s">
        <v>9292</v>
      </c>
      <c r="K3058" s="28" t="s">
        <v>9821</v>
      </c>
      <c r="L3058" s="28" t="s">
        <v>8318</v>
      </c>
      <c r="M3058" s="28" t="s">
        <v>21</v>
      </c>
      <c r="O3058" s="92">
        <v>38107</v>
      </c>
      <c r="P3058" s="28" t="s">
        <v>21</v>
      </c>
      <c r="Q3058" s="26" t="b">
        <v>0</v>
      </c>
      <c r="R3058" s="22">
        <f t="shared" si="50"/>
        <v>0</v>
      </c>
    </row>
    <row r="3059" spans="1:18">
      <c r="A3059" s="26">
        <v>7692</v>
      </c>
      <c r="B3059" s="27">
        <v>38112</v>
      </c>
      <c r="C3059" s="28" t="s">
        <v>9822</v>
      </c>
      <c r="D3059" s="27">
        <v>38112</v>
      </c>
      <c r="E3059" s="28" t="s">
        <v>9823</v>
      </c>
      <c r="F3059" s="28" t="s">
        <v>1111</v>
      </c>
      <c r="G3059" s="28" t="s">
        <v>20</v>
      </c>
      <c r="H3059" s="28" t="s">
        <v>21</v>
      </c>
      <c r="I3059" s="28" t="s">
        <v>21</v>
      </c>
      <c r="J3059" s="28" t="s">
        <v>9824</v>
      </c>
      <c r="K3059" s="28" t="s">
        <v>8828</v>
      </c>
      <c r="L3059" s="28" t="s">
        <v>8318</v>
      </c>
      <c r="M3059" s="28" t="s">
        <v>21</v>
      </c>
      <c r="O3059" s="92">
        <v>38112</v>
      </c>
      <c r="P3059" s="28" t="s">
        <v>21</v>
      </c>
      <c r="Q3059" s="26" t="b">
        <v>0</v>
      </c>
      <c r="R3059" s="22">
        <f t="shared" si="50"/>
        <v>0</v>
      </c>
    </row>
    <row r="3060" spans="1:18">
      <c r="A3060" s="26">
        <v>7693</v>
      </c>
      <c r="B3060" s="27">
        <v>38112</v>
      </c>
      <c r="C3060" s="28" t="s">
        <v>9825</v>
      </c>
      <c r="D3060" s="27">
        <v>38112</v>
      </c>
      <c r="E3060" s="28" t="s">
        <v>9826</v>
      </c>
      <c r="F3060" s="28" t="s">
        <v>733</v>
      </c>
      <c r="G3060" s="28" t="s">
        <v>20</v>
      </c>
      <c r="H3060" s="28" t="s">
        <v>21</v>
      </c>
      <c r="I3060" s="28" t="s">
        <v>21</v>
      </c>
      <c r="J3060" s="28" t="s">
        <v>9827</v>
      </c>
      <c r="K3060" s="28" t="s">
        <v>9828</v>
      </c>
      <c r="L3060" s="28" t="s">
        <v>8318</v>
      </c>
      <c r="M3060" s="28" t="s">
        <v>21</v>
      </c>
      <c r="O3060" s="92">
        <v>38128</v>
      </c>
      <c r="P3060" s="28" t="s">
        <v>31</v>
      </c>
      <c r="Q3060" s="26" t="b">
        <v>0</v>
      </c>
      <c r="R3060" s="22">
        <f t="shared" si="50"/>
        <v>16</v>
      </c>
    </row>
    <row r="3061" spans="1:18">
      <c r="A3061" s="26">
        <v>7694</v>
      </c>
      <c r="B3061" s="27">
        <v>38113</v>
      </c>
      <c r="C3061" s="28" t="s">
        <v>9829</v>
      </c>
      <c r="D3061" s="27">
        <v>38109</v>
      </c>
      <c r="E3061" s="28" t="s">
        <v>9830</v>
      </c>
      <c r="F3061" s="28" t="s">
        <v>8522</v>
      </c>
      <c r="G3061" s="28" t="s">
        <v>20</v>
      </c>
      <c r="H3061" s="28" t="s">
        <v>21</v>
      </c>
      <c r="I3061" s="28" t="s">
        <v>21</v>
      </c>
      <c r="J3061" s="28" t="s">
        <v>9831</v>
      </c>
      <c r="K3061" s="28" t="s">
        <v>9832</v>
      </c>
      <c r="L3061" s="28" t="s">
        <v>314</v>
      </c>
      <c r="M3061" s="28" t="s">
        <v>21</v>
      </c>
      <c r="O3061" s="92">
        <v>38131</v>
      </c>
      <c r="P3061" s="28" t="s">
        <v>21</v>
      </c>
      <c r="Q3061" s="26" t="b">
        <v>0</v>
      </c>
      <c r="R3061" s="22">
        <f t="shared" si="50"/>
        <v>18</v>
      </c>
    </row>
    <row r="3062" spans="1:18">
      <c r="A3062" s="26">
        <v>7696</v>
      </c>
      <c r="B3062" s="27">
        <v>38117</v>
      </c>
      <c r="C3062" s="28" t="s">
        <v>9833</v>
      </c>
      <c r="D3062" s="27">
        <v>38117</v>
      </c>
      <c r="E3062" s="28" t="s">
        <v>9834</v>
      </c>
      <c r="F3062" s="28" t="s">
        <v>5704</v>
      </c>
      <c r="G3062" s="28" t="s">
        <v>20</v>
      </c>
      <c r="H3062" s="28" t="s">
        <v>71</v>
      </c>
      <c r="I3062" s="28" t="s">
        <v>72</v>
      </c>
      <c r="J3062" s="28" t="s">
        <v>9835</v>
      </c>
      <c r="K3062" s="28" t="s">
        <v>9836</v>
      </c>
      <c r="L3062" s="28" t="s">
        <v>314</v>
      </c>
      <c r="M3062" s="28" t="s">
        <v>21</v>
      </c>
      <c r="O3062" s="92">
        <v>38166</v>
      </c>
      <c r="P3062" s="28" t="s">
        <v>31</v>
      </c>
      <c r="Q3062" s="26" t="b">
        <v>0</v>
      </c>
      <c r="R3062" s="22">
        <f t="shared" si="50"/>
        <v>48</v>
      </c>
    </row>
    <row r="3063" spans="1:18">
      <c r="A3063" s="26">
        <v>7697</v>
      </c>
      <c r="B3063" s="27">
        <v>38119</v>
      </c>
      <c r="C3063" s="28" t="s">
        <v>9837</v>
      </c>
      <c r="D3063" s="27">
        <v>38119</v>
      </c>
      <c r="E3063" s="28" t="s">
        <v>283</v>
      </c>
      <c r="F3063" s="28" t="s">
        <v>5530</v>
      </c>
      <c r="G3063" s="28" t="s">
        <v>20</v>
      </c>
      <c r="H3063" s="28" t="s">
        <v>21</v>
      </c>
      <c r="I3063" s="28" t="s">
        <v>21</v>
      </c>
      <c r="J3063" s="28" t="s">
        <v>9838</v>
      </c>
      <c r="K3063" s="28" t="s">
        <v>9753</v>
      </c>
      <c r="L3063" s="28" t="s">
        <v>66</v>
      </c>
      <c r="M3063" s="28" t="s">
        <v>21</v>
      </c>
      <c r="O3063" s="92">
        <v>38124</v>
      </c>
      <c r="P3063" s="28" t="s">
        <v>21</v>
      </c>
      <c r="Q3063" s="26" t="b">
        <v>0</v>
      </c>
      <c r="R3063" s="22">
        <f t="shared" si="50"/>
        <v>5</v>
      </c>
    </row>
    <row r="3064" spans="1:18">
      <c r="A3064" s="26">
        <v>7698</v>
      </c>
      <c r="B3064" s="27">
        <v>38120</v>
      </c>
      <c r="C3064" s="28" t="s">
        <v>9839</v>
      </c>
      <c r="D3064" s="27">
        <v>38119</v>
      </c>
      <c r="E3064" s="28" t="s">
        <v>9840</v>
      </c>
      <c r="F3064" s="28" t="s">
        <v>1678</v>
      </c>
      <c r="G3064" s="28" t="s">
        <v>20</v>
      </c>
      <c r="H3064" s="28" t="s">
        <v>566</v>
      </c>
      <c r="I3064" s="28" t="s">
        <v>566</v>
      </c>
      <c r="J3064" s="28" t="s">
        <v>9841</v>
      </c>
      <c r="K3064" s="28" t="s">
        <v>9842</v>
      </c>
      <c r="L3064" s="28" t="s">
        <v>314</v>
      </c>
      <c r="M3064" s="28" t="s">
        <v>21</v>
      </c>
      <c r="O3064" s="92">
        <v>38273</v>
      </c>
      <c r="P3064" s="28" t="s">
        <v>21</v>
      </c>
      <c r="Q3064" s="26" t="b">
        <v>0</v>
      </c>
      <c r="R3064" s="22">
        <f t="shared" si="50"/>
        <v>152</v>
      </c>
    </row>
    <row r="3065" spans="1:18">
      <c r="A3065" s="26">
        <v>7699</v>
      </c>
      <c r="B3065" s="27">
        <v>38125</v>
      </c>
      <c r="C3065" s="28" t="s">
        <v>9843</v>
      </c>
      <c r="D3065" s="27">
        <v>38125</v>
      </c>
      <c r="E3065" s="28" t="s">
        <v>9844</v>
      </c>
      <c r="F3065" s="28" t="s">
        <v>5704</v>
      </c>
      <c r="G3065" s="28" t="s">
        <v>20</v>
      </c>
      <c r="H3065" s="28" t="s">
        <v>21</v>
      </c>
      <c r="I3065" s="28" t="s">
        <v>21</v>
      </c>
      <c r="J3065" s="28" t="s">
        <v>9845</v>
      </c>
      <c r="K3065" s="28" t="s">
        <v>9846</v>
      </c>
      <c r="L3065" s="28" t="s">
        <v>66</v>
      </c>
      <c r="M3065" s="28" t="s">
        <v>21</v>
      </c>
      <c r="O3065" s="92">
        <v>38145</v>
      </c>
      <c r="P3065" s="28" t="s">
        <v>31</v>
      </c>
      <c r="Q3065" s="26" t="b">
        <v>0</v>
      </c>
      <c r="R3065" s="22">
        <f t="shared" si="50"/>
        <v>19</v>
      </c>
    </row>
    <row r="3066" spans="1:18">
      <c r="A3066" s="26">
        <v>7701</v>
      </c>
      <c r="B3066" s="27">
        <v>38126</v>
      </c>
      <c r="C3066" s="28" t="s">
        <v>9847</v>
      </c>
      <c r="D3066" s="27">
        <v>38126</v>
      </c>
      <c r="E3066" s="28" t="s">
        <v>9848</v>
      </c>
      <c r="F3066" s="28" t="s">
        <v>52</v>
      </c>
      <c r="G3066" s="28" t="s">
        <v>20</v>
      </c>
      <c r="H3066" s="28" t="s">
        <v>21</v>
      </c>
      <c r="I3066" s="28" t="s">
        <v>21</v>
      </c>
      <c r="J3066" s="28" t="s">
        <v>9849</v>
      </c>
      <c r="K3066" s="28" t="s">
        <v>9850</v>
      </c>
      <c r="L3066" s="28" t="s">
        <v>66</v>
      </c>
      <c r="M3066" s="28" t="s">
        <v>21</v>
      </c>
      <c r="O3066" s="92">
        <v>38168</v>
      </c>
      <c r="P3066" s="28" t="s">
        <v>182</v>
      </c>
      <c r="Q3066" s="26" t="b">
        <v>0</v>
      </c>
      <c r="R3066" s="22">
        <f t="shared" si="50"/>
        <v>41</v>
      </c>
    </row>
    <row r="3067" spans="1:18">
      <c r="A3067" s="26">
        <v>7702</v>
      </c>
      <c r="B3067" s="27">
        <v>38127</v>
      </c>
      <c r="C3067" s="28" t="s">
        <v>9851</v>
      </c>
      <c r="D3067" s="27">
        <v>38127</v>
      </c>
      <c r="E3067" s="28" t="s">
        <v>3268</v>
      </c>
      <c r="F3067" s="28" t="s">
        <v>9852</v>
      </c>
      <c r="G3067" s="28" t="s">
        <v>20</v>
      </c>
      <c r="H3067" s="28" t="s">
        <v>21</v>
      </c>
      <c r="I3067" s="28" t="s">
        <v>21</v>
      </c>
      <c r="J3067" s="28" t="s">
        <v>9853</v>
      </c>
      <c r="K3067" s="28" t="s">
        <v>9854</v>
      </c>
      <c r="L3067" s="28" t="s">
        <v>8318</v>
      </c>
      <c r="M3067" s="28" t="s">
        <v>21</v>
      </c>
      <c r="O3067" s="92">
        <v>38254</v>
      </c>
      <c r="P3067" s="28" t="s">
        <v>21</v>
      </c>
      <c r="Q3067" s="26" t="b">
        <v>0</v>
      </c>
      <c r="R3067" s="22">
        <f t="shared" si="50"/>
        <v>125</v>
      </c>
    </row>
    <row r="3068" spans="1:18">
      <c r="A3068" s="26">
        <v>7703</v>
      </c>
      <c r="B3068" s="27">
        <v>38127</v>
      </c>
      <c r="C3068" s="28" t="s">
        <v>9855</v>
      </c>
      <c r="D3068" s="27">
        <v>38126</v>
      </c>
      <c r="E3068" s="28" t="s">
        <v>9856</v>
      </c>
      <c r="F3068" s="28" t="s">
        <v>7179</v>
      </c>
      <c r="G3068" s="28" t="s">
        <v>20</v>
      </c>
      <c r="H3068" s="28" t="s">
        <v>71</v>
      </c>
      <c r="I3068" s="28" t="s">
        <v>72</v>
      </c>
      <c r="J3068" s="28" t="s">
        <v>9857</v>
      </c>
      <c r="K3068" s="28" t="s">
        <v>9858</v>
      </c>
      <c r="L3068" s="28" t="s">
        <v>66</v>
      </c>
      <c r="M3068" s="28" t="s">
        <v>21</v>
      </c>
      <c r="O3068" s="92">
        <v>38146</v>
      </c>
      <c r="P3068" s="28" t="s">
        <v>31</v>
      </c>
      <c r="Q3068" s="26" t="b">
        <v>0</v>
      </c>
      <c r="R3068" s="22">
        <f t="shared" si="50"/>
        <v>18</v>
      </c>
    </row>
    <row r="3069" spans="1:18">
      <c r="A3069" s="26">
        <v>7704</v>
      </c>
      <c r="B3069" s="27">
        <v>38131</v>
      </c>
      <c r="C3069" s="28" t="s">
        <v>9859</v>
      </c>
      <c r="D3069" s="27">
        <v>38121</v>
      </c>
      <c r="E3069" s="28" t="s">
        <v>38</v>
      </c>
      <c r="F3069" s="28" t="s">
        <v>8605</v>
      </c>
      <c r="G3069" s="28" t="s">
        <v>20</v>
      </c>
      <c r="H3069" s="28" t="s">
        <v>212</v>
      </c>
      <c r="I3069" s="28" t="s">
        <v>212</v>
      </c>
      <c r="J3069" s="28" t="s">
        <v>9860</v>
      </c>
      <c r="K3069" s="28" t="s">
        <v>9861</v>
      </c>
      <c r="L3069" s="28" t="s">
        <v>8318</v>
      </c>
      <c r="M3069" s="28" t="s">
        <v>21</v>
      </c>
      <c r="O3069" s="92">
        <v>38132</v>
      </c>
      <c r="P3069" s="28" t="s">
        <v>21</v>
      </c>
      <c r="Q3069" s="26" t="b">
        <v>0</v>
      </c>
      <c r="R3069" s="22">
        <f t="shared" si="50"/>
        <v>1</v>
      </c>
    </row>
    <row r="3070" spans="1:18">
      <c r="A3070" s="26">
        <v>7705</v>
      </c>
      <c r="B3070" s="27">
        <v>38131</v>
      </c>
      <c r="C3070" s="28" t="s">
        <v>9862</v>
      </c>
      <c r="D3070" s="27">
        <v>38131</v>
      </c>
      <c r="E3070" s="28" t="s">
        <v>9863</v>
      </c>
      <c r="F3070" s="28" t="s">
        <v>85</v>
      </c>
      <c r="G3070" s="28" t="s">
        <v>20</v>
      </c>
      <c r="H3070" s="28" t="s">
        <v>21</v>
      </c>
      <c r="I3070" s="28" t="s">
        <v>21</v>
      </c>
      <c r="J3070" s="28" t="s">
        <v>9864</v>
      </c>
      <c r="K3070" s="28" t="s">
        <v>9865</v>
      </c>
      <c r="L3070" s="28" t="s">
        <v>314</v>
      </c>
      <c r="M3070" s="28" t="s">
        <v>21</v>
      </c>
      <c r="O3070" s="92">
        <v>38307</v>
      </c>
      <c r="P3070" s="28" t="s">
        <v>31</v>
      </c>
      <c r="Q3070" s="26" t="b">
        <v>0</v>
      </c>
      <c r="R3070" s="22">
        <f t="shared" si="50"/>
        <v>174</v>
      </c>
    </row>
    <row r="3071" spans="1:18">
      <c r="A3071" s="26">
        <v>7706</v>
      </c>
      <c r="B3071" s="27">
        <v>38131</v>
      </c>
      <c r="C3071" s="28" t="s">
        <v>9866</v>
      </c>
      <c r="D3071" s="27">
        <v>38127</v>
      </c>
      <c r="E3071" s="28" t="s">
        <v>9867</v>
      </c>
      <c r="F3071" s="28" t="s">
        <v>145</v>
      </c>
      <c r="G3071" s="28" t="s">
        <v>20</v>
      </c>
      <c r="H3071" s="28" t="s">
        <v>21</v>
      </c>
      <c r="I3071" s="28" t="s">
        <v>21</v>
      </c>
      <c r="J3071" s="28" t="s">
        <v>9868</v>
      </c>
      <c r="K3071" s="28" t="s">
        <v>6081</v>
      </c>
      <c r="L3071" s="28" t="s">
        <v>4282</v>
      </c>
      <c r="M3071" s="28" t="s">
        <v>21</v>
      </c>
      <c r="O3071" s="92">
        <v>38187</v>
      </c>
      <c r="P3071" s="28" t="s">
        <v>21</v>
      </c>
      <c r="Q3071" s="26" t="b">
        <v>0</v>
      </c>
      <c r="R3071" s="22">
        <f t="shared" si="50"/>
        <v>55</v>
      </c>
    </row>
    <row r="3072" spans="1:18">
      <c r="A3072" s="26">
        <v>7707</v>
      </c>
      <c r="B3072" s="27">
        <v>38133</v>
      </c>
      <c r="C3072" s="28" t="s">
        <v>9869</v>
      </c>
      <c r="D3072" s="27">
        <v>38133</v>
      </c>
      <c r="E3072" s="28" t="s">
        <v>9870</v>
      </c>
      <c r="F3072" s="28" t="s">
        <v>5704</v>
      </c>
      <c r="G3072" s="28" t="s">
        <v>20</v>
      </c>
      <c r="H3072" s="28" t="s">
        <v>21</v>
      </c>
      <c r="I3072" s="28" t="s">
        <v>21</v>
      </c>
      <c r="J3072" s="28" t="s">
        <v>9871</v>
      </c>
      <c r="K3072" s="28" t="s">
        <v>9872</v>
      </c>
      <c r="L3072" s="28" t="s">
        <v>8318</v>
      </c>
      <c r="M3072" s="28" t="s">
        <v>21</v>
      </c>
      <c r="O3072" s="92">
        <v>38133</v>
      </c>
      <c r="P3072" s="28" t="s">
        <v>31</v>
      </c>
      <c r="Q3072" s="26" t="b">
        <v>0</v>
      </c>
      <c r="R3072" s="22">
        <f t="shared" si="50"/>
        <v>0</v>
      </c>
    </row>
    <row r="3073" spans="1:18">
      <c r="A3073" s="26">
        <v>7708</v>
      </c>
      <c r="B3073" s="27">
        <v>38133</v>
      </c>
      <c r="C3073" s="28" t="s">
        <v>9873</v>
      </c>
      <c r="D3073" s="27">
        <v>38133</v>
      </c>
      <c r="E3073" s="28" t="s">
        <v>9874</v>
      </c>
      <c r="F3073" s="28" t="s">
        <v>8615</v>
      </c>
      <c r="G3073" s="28" t="s">
        <v>20</v>
      </c>
      <c r="H3073" s="28" t="s">
        <v>21</v>
      </c>
      <c r="I3073" s="28" t="s">
        <v>21</v>
      </c>
      <c r="J3073" s="28" t="s">
        <v>9875</v>
      </c>
      <c r="K3073" s="28" t="s">
        <v>9876</v>
      </c>
      <c r="L3073" s="28" t="s">
        <v>8318</v>
      </c>
      <c r="M3073" s="28" t="s">
        <v>21</v>
      </c>
      <c r="N3073" s="18"/>
      <c r="O3073" s="92">
        <v>38133</v>
      </c>
      <c r="P3073" s="28" t="s">
        <v>21</v>
      </c>
      <c r="Q3073" s="26" t="b">
        <v>0</v>
      </c>
      <c r="R3073" s="22">
        <f t="shared" si="50"/>
        <v>0</v>
      </c>
    </row>
    <row r="3074" spans="1:18">
      <c r="A3074" s="26">
        <v>7709</v>
      </c>
      <c r="B3074" s="27">
        <v>38134</v>
      </c>
      <c r="C3074" s="28" t="s">
        <v>9877</v>
      </c>
      <c r="D3074" s="27">
        <v>38134</v>
      </c>
      <c r="E3074" s="28" t="s">
        <v>9878</v>
      </c>
      <c r="F3074" s="28" t="s">
        <v>3430</v>
      </c>
      <c r="G3074" s="28" t="s">
        <v>20</v>
      </c>
      <c r="H3074" s="28" t="s">
        <v>71</v>
      </c>
      <c r="I3074" s="28" t="s">
        <v>72</v>
      </c>
      <c r="J3074" s="28" t="s">
        <v>9879</v>
      </c>
      <c r="K3074" s="28" t="s">
        <v>9880</v>
      </c>
      <c r="L3074" s="28" t="s">
        <v>4282</v>
      </c>
      <c r="M3074" s="28" t="s">
        <v>21</v>
      </c>
      <c r="O3074" s="92">
        <v>38140</v>
      </c>
      <c r="P3074" s="28" t="s">
        <v>31</v>
      </c>
      <c r="Q3074" s="26" t="b">
        <v>0</v>
      </c>
      <c r="R3074" s="22">
        <f t="shared" si="50"/>
        <v>5</v>
      </c>
    </row>
    <row r="3075" spans="1:18" ht="24">
      <c r="A3075" s="26">
        <v>7710</v>
      </c>
      <c r="B3075" s="27">
        <v>38134</v>
      </c>
      <c r="C3075" s="28" t="s">
        <v>9881</v>
      </c>
      <c r="D3075" s="27">
        <v>38134</v>
      </c>
      <c r="E3075" s="28" t="s">
        <v>9882</v>
      </c>
      <c r="F3075" s="28" t="s">
        <v>5704</v>
      </c>
      <c r="G3075" s="28" t="s">
        <v>20</v>
      </c>
      <c r="H3075" s="28" t="s">
        <v>21</v>
      </c>
      <c r="I3075" s="28" t="s">
        <v>21</v>
      </c>
      <c r="J3075" s="28" t="s">
        <v>9883</v>
      </c>
      <c r="K3075" s="28" t="s">
        <v>9884</v>
      </c>
      <c r="L3075" s="28" t="s">
        <v>8318</v>
      </c>
      <c r="M3075" s="28" t="s">
        <v>21</v>
      </c>
      <c r="O3075" s="92">
        <v>38135</v>
      </c>
      <c r="P3075" s="28" t="s">
        <v>31</v>
      </c>
      <c r="Q3075" s="26" t="b">
        <v>0</v>
      </c>
      <c r="R3075" s="22">
        <f t="shared" si="50"/>
        <v>1</v>
      </c>
    </row>
    <row r="3076" spans="1:18">
      <c r="A3076" s="26">
        <v>7711</v>
      </c>
      <c r="B3076" s="27">
        <v>38135</v>
      </c>
      <c r="C3076" s="28" t="s">
        <v>9885</v>
      </c>
      <c r="D3076" s="27">
        <v>38135</v>
      </c>
      <c r="E3076" s="28" t="s">
        <v>9886</v>
      </c>
      <c r="F3076" s="28" t="s">
        <v>3430</v>
      </c>
      <c r="G3076" s="28" t="s">
        <v>20</v>
      </c>
      <c r="H3076" s="28" t="s">
        <v>71</v>
      </c>
      <c r="I3076" s="28" t="s">
        <v>72</v>
      </c>
      <c r="J3076" s="28" t="s">
        <v>9887</v>
      </c>
      <c r="K3076" s="28" t="s">
        <v>9218</v>
      </c>
      <c r="L3076" s="28" t="s">
        <v>8318</v>
      </c>
      <c r="M3076" s="28" t="s">
        <v>21</v>
      </c>
      <c r="O3076" s="92">
        <v>38135</v>
      </c>
      <c r="P3076" s="28" t="s">
        <v>21</v>
      </c>
      <c r="Q3076" s="26" t="b">
        <v>0</v>
      </c>
      <c r="R3076" s="22">
        <f t="shared" si="50"/>
        <v>0</v>
      </c>
    </row>
    <row r="3077" spans="1:18">
      <c r="A3077" s="26">
        <v>7717</v>
      </c>
      <c r="B3077" s="27">
        <v>38139</v>
      </c>
      <c r="C3077" s="28" t="s">
        <v>9902</v>
      </c>
      <c r="D3077" s="27">
        <v>38139</v>
      </c>
      <c r="E3077" s="28" t="s">
        <v>9903</v>
      </c>
      <c r="F3077" s="28" t="s">
        <v>27</v>
      </c>
      <c r="G3077" s="28" t="s">
        <v>20</v>
      </c>
      <c r="H3077" s="28" t="s">
        <v>21</v>
      </c>
      <c r="I3077" s="28" t="s">
        <v>21</v>
      </c>
      <c r="J3077" s="28" t="s">
        <v>9904</v>
      </c>
      <c r="K3077" s="28" t="s">
        <v>9905</v>
      </c>
      <c r="L3077" s="28" t="s">
        <v>4282</v>
      </c>
      <c r="M3077" s="28" t="s">
        <v>21</v>
      </c>
      <c r="O3077" s="92">
        <v>38156</v>
      </c>
      <c r="P3077" s="28" t="s">
        <v>21</v>
      </c>
      <c r="Q3077" s="26" t="b">
        <v>0</v>
      </c>
      <c r="R3077" s="22">
        <f t="shared" si="50"/>
        <v>17</v>
      </c>
    </row>
    <row r="3078" spans="1:18">
      <c r="A3078" s="26">
        <v>7718</v>
      </c>
      <c r="B3078" s="27">
        <v>38139</v>
      </c>
      <c r="C3078" s="28" t="s">
        <v>9906</v>
      </c>
      <c r="D3078" s="27">
        <v>38139</v>
      </c>
      <c r="E3078" s="28" t="s">
        <v>1432</v>
      </c>
      <c r="F3078" s="28" t="s">
        <v>124</v>
      </c>
      <c r="G3078" s="28" t="s">
        <v>20</v>
      </c>
      <c r="H3078" s="28" t="s">
        <v>21</v>
      </c>
      <c r="I3078" s="28" t="s">
        <v>21</v>
      </c>
      <c r="J3078" s="28" t="s">
        <v>9907</v>
      </c>
      <c r="K3078" s="28" t="s">
        <v>9908</v>
      </c>
      <c r="L3078" s="28" t="s">
        <v>4282</v>
      </c>
      <c r="M3078" s="28" t="s">
        <v>21</v>
      </c>
      <c r="O3078" s="92">
        <v>38421</v>
      </c>
      <c r="P3078" s="28" t="s">
        <v>31</v>
      </c>
      <c r="Q3078" s="26" t="b">
        <v>0</v>
      </c>
      <c r="R3078" s="22">
        <f t="shared" si="50"/>
        <v>282</v>
      </c>
    </row>
    <row r="3079" spans="1:18">
      <c r="A3079" s="26">
        <v>7714</v>
      </c>
      <c r="B3079" s="27">
        <v>38140</v>
      </c>
      <c r="C3079" s="28" t="s">
        <v>9892</v>
      </c>
      <c r="D3079" s="27">
        <v>38140</v>
      </c>
      <c r="E3079" s="28" t="s">
        <v>9893</v>
      </c>
      <c r="F3079" s="28" t="s">
        <v>124</v>
      </c>
      <c r="G3079" s="28" t="s">
        <v>20</v>
      </c>
      <c r="H3079" s="28" t="s">
        <v>21</v>
      </c>
      <c r="I3079" s="28" t="s">
        <v>21</v>
      </c>
      <c r="J3079" s="28" t="s">
        <v>9894</v>
      </c>
      <c r="K3079" s="28" t="s">
        <v>9895</v>
      </c>
      <c r="L3079" s="28" t="s">
        <v>66</v>
      </c>
      <c r="M3079" s="28" t="s">
        <v>21</v>
      </c>
      <c r="O3079" s="92">
        <v>38145</v>
      </c>
      <c r="P3079" s="28" t="s">
        <v>31</v>
      </c>
      <c r="Q3079" s="26" t="b">
        <v>0</v>
      </c>
      <c r="R3079" s="22">
        <f t="shared" si="50"/>
        <v>5</v>
      </c>
    </row>
    <row r="3080" spans="1:18">
      <c r="A3080" s="26">
        <v>7715</v>
      </c>
      <c r="B3080" s="27">
        <v>38140</v>
      </c>
      <c r="C3080" s="28" t="s">
        <v>9896</v>
      </c>
      <c r="D3080" s="27">
        <v>38140</v>
      </c>
      <c r="E3080" s="28" t="s">
        <v>9897</v>
      </c>
      <c r="F3080" s="28" t="s">
        <v>5704</v>
      </c>
      <c r="G3080" s="28" t="s">
        <v>20</v>
      </c>
      <c r="H3080" s="28" t="s">
        <v>21</v>
      </c>
      <c r="I3080" s="28" t="s">
        <v>21</v>
      </c>
      <c r="J3080" s="28" t="s">
        <v>9898</v>
      </c>
      <c r="K3080" s="28" t="s">
        <v>9899</v>
      </c>
      <c r="L3080" s="28" t="s">
        <v>4282</v>
      </c>
      <c r="M3080" s="28" t="s">
        <v>21</v>
      </c>
      <c r="O3080" s="92">
        <v>38166</v>
      </c>
      <c r="P3080" s="28" t="s">
        <v>21</v>
      </c>
      <c r="Q3080" s="26" t="b">
        <v>0</v>
      </c>
      <c r="R3080" s="22">
        <f t="shared" si="50"/>
        <v>26</v>
      </c>
    </row>
    <row r="3081" spans="1:18">
      <c r="A3081" s="26">
        <v>7716</v>
      </c>
      <c r="B3081" s="27">
        <v>38141</v>
      </c>
      <c r="C3081" s="28" t="s">
        <v>9900</v>
      </c>
      <c r="D3081" s="27">
        <v>38141</v>
      </c>
      <c r="E3081" s="28" t="s">
        <v>3268</v>
      </c>
      <c r="F3081" s="28" t="s">
        <v>52</v>
      </c>
      <c r="G3081" s="28" t="s">
        <v>20</v>
      </c>
      <c r="H3081" s="28" t="s">
        <v>21</v>
      </c>
      <c r="I3081" s="28" t="s">
        <v>21</v>
      </c>
      <c r="J3081" s="28" t="s">
        <v>8904</v>
      </c>
      <c r="K3081" s="28" t="s">
        <v>9901</v>
      </c>
      <c r="L3081" s="28" t="s">
        <v>8318</v>
      </c>
      <c r="M3081" s="28" t="s">
        <v>314</v>
      </c>
      <c r="N3081" s="29">
        <v>38156</v>
      </c>
      <c r="O3081" s="92">
        <v>38156</v>
      </c>
      <c r="P3081" s="28" t="s">
        <v>21</v>
      </c>
      <c r="Q3081" s="26" t="b">
        <v>0</v>
      </c>
      <c r="R3081" s="22">
        <f t="shared" si="50"/>
        <v>15</v>
      </c>
    </row>
    <row r="3082" spans="1:18">
      <c r="A3082" s="26">
        <v>7726</v>
      </c>
      <c r="B3082" s="27">
        <v>38142</v>
      </c>
      <c r="C3082" s="28" t="s">
        <v>9928</v>
      </c>
      <c r="D3082" s="27">
        <v>38142</v>
      </c>
      <c r="E3082" s="28" t="s">
        <v>3268</v>
      </c>
      <c r="F3082" s="28" t="s">
        <v>7024</v>
      </c>
      <c r="G3082" s="28" t="s">
        <v>20</v>
      </c>
      <c r="H3082" s="28" t="s">
        <v>21</v>
      </c>
      <c r="I3082" s="28" t="s">
        <v>21</v>
      </c>
      <c r="J3082" s="28" t="s">
        <v>9929</v>
      </c>
      <c r="K3082" s="28" t="s">
        <v>9930</v>
      </c>
      <c r="L3082" s="28" t="s">
        <v>314</v>
      </c>
      <c r="M3082" s="28" t="s">
        <v>21</v>
      </c>
      <c r="N3082" s="29">
        <v>38204</v>
      </c>
      <c r="O3082" s="92">
        <v>38204</v>
      </c>
      <c r="P3082" s="28" t="s">
        <v>21</v>
      </c>
      <c r="Q3082" s="26" t="b">
        <v>0</v>
      </c>
      <c r="R3082" s="22">
        <f t="shared" si="50"/>
        <v>61</v>
      </c>
    </row>
    <row r="3083" spans="1:18">
      <c r="A3083" s="26">
        <v>7719</v>
      </c>
      <c r="B3083" s="27">
        <v>38146</v>
      </c>
      <c r="C3083" s="28" t="s">
        <v>9909</v>
      </c>
      <c r="D3083" s="27">
        <v>38146</v>
      </c>
      <c r="E3083" s="28" t="s">
        <v>9910</v>
      </c>
      <c r="F3083" s="28" t="s">
        <v>5704</v>
      </c>
      <c r="G3083" s="28" t="s">
        <v>20</v>
      </c>
      <c r="H3083" s="28" t="s">
        <v>21</v>
      </c>
      <c r="I3083" s="28" t="s">
        <v>21</v>
      </c>
      <c r="J3083" s="28" t="s">
        <v>9911</v>
      </c>
      <c r="K3083" s="28" t="s">
        <v>6081</v>
      </c>
      <c r="L3083" s="28" t="s">
        <v>314</v>
      </c>
      <c r="M3083" s="28" t="s">
        <v>21</v>
      </c>
      <c r="N3083" s="18"/>
      <c r="O3083" s="92">
        <v>38182</v>
      </c>
      <c r="P3083" s="28" t="s">
        <v>31</v>
      </c>
      <c r="Q3083" s="26" t="b">
        <v>0</v>
      </c>
      <c r="R3083" s="22">
        <f t="shared" si="50"/>
        <v>36</v>
      </c>
    </row>
    <row r="3084" spans="1:18">
      <c r="A3084" s="26">
        <v>7720</v>
      </c>
      <c r="B3084" s="27">
        <v>38147</v>
      </c>
      <c r="C3084" s="28" t="s">
        <v>9912</v>
      </c>
      <c r="D3084" s="27">
        <v>38147</v>
      </c>
      <c r="E3084" s="28" t="s">
        <v>9913</v>
      </c>
      <c r="F3084" s="28" t="s">
        <v>27</v>
      </c>
      <c r="G3084" s="28" t="s">
        <v>20</v>
      </c>
      <c r="H3084" s="28" t="s">
        <v>21</v>
      </c>
      <c r="I3084" s="28" t="s">
        <v>21</v>
      </c>
      <c r="J3084" s="28" t="s">
        <v>9914</v>
      </c>
      <c r="K3084" s="28" t="s">
        <v>7369</v>
      </c>
      <c r="L3084" s="28" t="s">
        <v>66</v>
      </c>
      <c r="M3084" s="28" t="s">
        <v>21</v>
      </c>
      <c r="O3084" s="92">
        <v>38177</v>
      </c>
      <c r="P3084" s="28" t="s">
        <v>31</v>
      </c>
      <c r="Q3084" s="26" t="b">
        <v>0</v>
      </c>
      <c r="R3084" s="22">
        <f t="shared" si="50"/>
        <v>30</v>
      </c>
    </row>
    <row r="3085" spans="1:18">
      <c r="A3085" s="26">
        <v>7721</v>
      </c>
      <c r="B3085" s="27">
        <v>38148</v>
      </c>
      <c r="C3085" s="28" t="s">
        <v>9915</v>
      </c>
      <c r="D3085" s="27">
        <v>38148</v>
      </c>
      <c r="E3085" s="28" t="s">
        <v>9916</v>
      </c>
      <c r="F3085" s="28" t="s">
        <v>3236</v>
      </c>
      <c r="G3085" s="28" t="s">
        <v>20</v>
      </c>
      <c r="H3085" s="28" t="s">
        <v>212</v>
      </c>
      <c r="I3085" s="28" t="s">
        <v>212</v>
      </c>
      <c r="J3085" s="28" t="s">
        <v>9917</v>
      </c>
      <c r="K3085" s="28" t="s">
        <v>9918</v>
      </c>
      <c r="L3085" s="28" t="s">
        <v>314</v>
      </c>
      <c r="M3085" s="28" t="s">
        <v>21</v>
      </c>
      <c r="O3085" s="92">
        <v>38170</v>
      </c>
      <c r="P3085" s="28" t="s">
        <v>31</v>
      </c>
      <c r="Q3085" s="26" t="b">
        <v>0</v>
      </c>
      <c r="R3085" s="22">
        <f t="shared" si="50"/>
        <v>22</v>
      </c>
    </row>
    <row r="3086" spans="1:18">
      <c r="A3086" s="26">
        <v>7722</v>
      </c>
      <c r="B3086" s="27">
        <v>38153</v>
      </c>
      <c r="C3086" s="28" t="s">
        <v>9919</v>
      </c>
      <c r="D3086" s="27">
        <v>38153</v>
      </c>
      <c r="E3086" s="28" t="s">
        <v>38</v>
      </c>
      <c r="F3086" s="28" t="s">
        <v>70</v>
      </c>
      <c r="G3086" s="28" t="s">
        <v>20</v>
      </c>
      <c r="H3086" s="28" t="s">
        <v>71</v>
      </c>
      <c r="I3086" s="28" t="s">
        <v>72</v>
      </c>
      <c r="J3086" s="28" t="s">
        <v>9920</v>
      </c>
      <c r="K3086" s="28" t="s">
        <v>9921</v>
      </c>
      <c r="L3086" s="28" t="s">
        <v>314</v>
      </c>
      <c r="M3086" s="28" t="s">
        <v>21</v>
      </c>
      <c r="O3086" s="92">
        <v>38160</v>
      </c>
      <c r="P3086" s="28" t="s">
        <v>31</v>
      </c>
      <c r="Q3086" s="26" t="b">
        <v>0</v>
      </c>
      <c r="R3086" s="22">
        <f t="shared" si="50"/>
        <v>7</v>
      </c>
    </row>
    <row r="3087" spans="1:18">
      <c r="A3087" s="26">
        <v>7723</v>
      </c>
      <c r="B3087" s="27">
        <v>38153</v>
      </c>
      <c r="C3087" s="28" t="s">
        <v>9922</v>
      </c>
      <c r="D3087" s="27">
        <v>38150</v>
      </c>
      <c r="E3087" s="28" t="s">
        <v>4172</v>
      </c>
      <c r="F3087" s="28" t="s">
        <v>5690</v>
      </c>
      <c r="G3087" s="28" t="s">
        <v>20</v>
      </c>
      <c r="H3087" s="28" t="s">
        <v>71</v>
      </c>
      <c r="I3087" s="28" t="s">
        <v>72</v>
      </c>
      <c r="J3087" s="28" t="s">
        <v>7369</v>
      </c>
      <c r="K3087" s="28" t="s">
        <v>9923</v>
      </c>
      <c r="L3087" s="28" t="s">
        <v>4282</v>
      </c>
      <c r="M3087" s="28" t="s">
        <v>21</v>
      </c>
      <c r="O3087" s="92">
        <v>38209</v>
      </c>
      <c r="P3087" s="28" t="s">
        <v>31</v>
      </c>
      <c r="Q3087" s="26" t="b">
        <v>0</v>
      </c>
      <c r="R3087" s="22">
        <f t="shared" si="50"/>
        <v>55</v>
      </c>
    </row>
    <row r="3088" spans="1:18">
      <c r="A3088" s="26">
        <v>7724</v>
      </c>
      <c r="B3088" s="27">
        <v>38154</v>
      </c>
      <c r="C3088" s="28" t="s">
        <v>9924</v>
      </c>
      <c r="D3088" s="27">
        <v>38153</v>
      </c>
      <c r="E3088" s="28" t="s">
        <v>9925</v>
      </c>
      <c r="F3088" s="28" t="s">
        <v>6298</v>
      </c>
      <c r="G3088" s="28" t="s">
        <v>20</v>
      </c>
      <c r="H3088" s="28" t="s">
        <v>71</v>
      </c>
      <c r="I3088" s="28" t="s">
        <v>72</v>
      </c>
      <c r="J3088" s="28" t="s">
        <v>9926</v>
      </c>
      <c r="K3088" s="28" t="s">
        <v>6111</v>
      </c>
      <c r="L3088" s="28" t="s">
        <v>314</v>
      </c>
      <c r="M3088" s="28" t="s">
        <v>21</v>
      </c>
      <c r="O3088" s="92">
        <v>38168</v>
      </c>
      <c r="P3088" s="28" t="s">
        <v>31</v>
      </c>
      <c r="Q3088" s="26" t="b">
        <v>0</v>
      </c>
      <c r="R3088" s="22">
        <f t="shared" si="50"/>
        <v>14</v>
      </c>
    </row>
    <row r="3089" spans="1:18">
      <c r="A3089" s="26">
        <v>7725</v>
      </c>
      <c r="B3089" s="27">
        <v>38154</v>
      </c>
      <c r="C3089" s="28" t="s">
        <v>9927</v>
      </c>
      <c r="D3089" s="27">
        <v>38154</v>
      </c>
      <c r="E3089" s="28" t="s">
        <v>3268</v>
      </c>
      <c r="F3089" s="28" t="s">
        <v>2413</v>
      </c>
      <c r="G3089" s="28" t="s">
        <v>20</v>
      </c>
      <c r="H3089" s="28" t="s">
        <v>21</v>
      </c>
      <c r="I3089" s="28" t="s">
        <v>21</v>
      </c>
      <c r="J3089" s="28" t="s">
        <v>9853</v>
      </c>
      <c r="K3089" s="28" t="s">
        <v>21</v>
      </c>
      <c r="L3089" s="28" t="s">
        <v>4282</v>
      </c>
      <c r="M3089" s="28" t="s">
        <v>21</v>
      </c>
      <c r="O3089" s="92">
        <v>38198</v>
      </c>
      <c r="P3089" s="28" t="s">
        <v>21</v>
      </c>
      <c r="Q3089" s="26" t="b">
        <v>0</v>
      </c>
      <c r="R3089" s="22">
        <f t="shared" si="50"/>
        <v>44</v>
      </c>
    </row>
    <row r="3090" spans="1:18">
      <c r="A3090" s="26">
        <v>7727</v>
      </c>
      <c r="B3090" s="27">
        <v>38154</v>
      </c>
      <c r="C3090" s="28" t="s">
        <v>9931</v>
      </c>
      <c r="D3090" s="27">
        <v>38154</v>
      </c>
      <c r="E3090" s="28" t="s">
        <v>3268</v>
      </c>
      <c r="F3090" s="28" t="s">
        <v>104</v>
      </c>
      <c r="G3090" s="28" t="s">
        <v>20</v>
      </c>
      <c r="H3090" s="28" t="s">
        <v>21</v>
      </c>
      <c r="I3090" s="28" t="s">
        <v>21</v>
      </c>
      <c r="J3090" s="28" t="s">
        <v>9932</v>
      </c>
      <c r="K3090" s="28" t="s">
        <v>9933</v>
      </c>
      <c r="L3090" s="28" t="s">
        <v>314</v>
      </c>
      <c r="M3090" s="28" t="s">
        <v>21</v>
      </c>
      <c r="O3090" s="92">
        <v>38379</v>
      </c>
      <c r="P3090" s="28" t="s">
        <v>21</v>
      </c>
      <c r="Q3090" s="26" t="b">
        <v>0</v>
      </c>
      <c r="R3090" s="22">
        <f t="shared" si="50"/>
        <v>224</v>
      </c>
    </row>
    <row r="3091" spans="1:18">
      <c r="A3091" s="26">
        <v>7728</v>
      </c>
      <c r="B3091" s="27">
        <v>38159</v>
      </c>
      <c r="C3091" s="28" t="s">
        <v>9934</v>
      </c>
      <c r="D3091" s="27">
        <v>38159</v>
      </c>
      <c r="E3091" s="28" t="s">
        <v>3268</v>
      </c>
      <c r="F3091" s="28" t="s">
        <v>9935</v>
      </c>
      <c r="G3091" s="28" t="s">
        <v>20</v>
      </c>
      <c r="H3091" s="28" t="s">
        <v>566</v>
      </c>
      <c r="I3091" s="28" t="s">
        <v>566</v>
      </c>
      <c r="J3091" s="28" t="s">
        <v>8904</v>
      </c>
      <c r="K3091" s="28" t="s">
        <v>21</v>
      </c>
      <c r="L3091" s="28" t="s">
        <v>314</v>
      </c>
      <c r="M3091" s="28" t="s">
        <v>21</v>
      </c>
      <c r="O3091" s="92">
        <v>38223</v>
      </c>
      <c r="P3091" s="28" t="s">
        <v>21</v>
      </c>
      <c r="Q3091" s="26" t="b">
        <v>0</v>
      </c>
      <c r="R3091" s="22">
        <f t="shared" si="50"/>
        <v>63</v>
      </c>
    </row>
    <row r="3092" spans="1:18">
      <c r="A3092" s="26">
        <v>7729</v>
      </c>
      <c r="B3092" s="27">
        <v>38159</v>
      </c>
      <c r="C3092" s="28" t="s">
        <v>9936</v>
      </c>
      <c r="D3092" s="27">
        <v>38159</v>
      </c>
      <c r="E3092" s="28" t="s">
        <v>3268</v>
      </c>
      <c r="F3092" s="28" t="s">
        <v>9937</v>
      </c>
      <c r="G3092" s="28" t="s">
        <v>20</v>
      </c>
      <c r="H3092" s="28" t="s">
        <v>21</v>
      </c>
      <c r="I3092" s="28" t="s">
        <v>21</v>
      </c>
      <c r="J3092" s="28" t="s">
        <v>9932</v>
      </c>
      <c r="K3092" s="28" t="s">
        <v>9938</v>
      </c>
      <c r="L3092" s="28" t="s">
        <v>9939</v>
      </c>
      <c r="M3092" s="28" t="s">
        <v>21</v>
      </c>
      <c r="O3092" s="92">
        <v>38275</v>
      </c>
      <c r="P3092" s="28" t="s">
        <v>31</v>
      </c>
      <c r="Q3092" s="26" t="b">
        <v>0</v>
      </c>
      <c r="R3092" s="22">
        <f t="shared" si="50"/>
        <v>115</v>
      </c>
    </row>
    <row r="3093" spans="1:18">
      <c r="A3093" s="26">
        <v>7730</v>
      </c>
      <c r="B3093" s="27">
        <v>38162</v>
      </c>
      <c r="C3093" s="28" t="s">
        <v>9940</v>
      </c>
      <c r="D3093" s="27">
        <v>38162</v>
      </c>
      <c r="E3093" s="28" t="s">
        <v>38</v>
      </c>
      <c r="F3093" s="28" t="s">
        <v>145</v>
      </c>
      <c r="G3093" s="28" t="s">
        <v>20</v>
      </c>
      <c r="H3093" s="28" t="s">
        <v>21</v>
      </c>
      <c r="I3093" s="28" t="s">
        <v>21</v>
      </c>
      <c r="J3093" s="28" t="s">
        <v>9941</v>
      </c>
      <c r="K3093" s="28" t="s">
        <v>9942</v>
      </c>
      <c r="L3093" s="28" t="s">
        <v>8318</v>
      </c>
      <c r="M3093" s="28" t="s">
        <v>21</v>
      </c>
      <c r="O3093" s="92">
        <v>38162</v>
      </c>
      <c r="P3093" s="28" t="s">
        <v>21</v>
      </c>
      <c r="Q3093" s="26" t="b">
        <v>0</v>
      </c>
      <c r="R3093" s="22">
        <f t="shared" si="50"/>
        <v>0</v>
      </c>
    </row>
    <row r="3094" spans="1:18">
      <c r="A3094" s="26">
        <v>7731</v>
      </c>
      <c r="B3094" s="27">
        <v>38166</v>
      </c>
      <c r="C3094" s="28" t="s">
        <v>9943</v>
      </c>
      <c r="D3094" s="27">
        <v>38166</v>
      </c>
      <c r="E3094" s="28" t="s">
        <v>38</v>
      </c>
      <c r="F3094" s="28" t="s">
        <v>124</v>
      </c>
      <c r="G3094" s="28" t="s">
        <v>20</v>
      </c>
      <c r="H3094" s="28" t="s">
        <v>21</v>
      </c>
      <c r="I3094" s="28" t="s">
        <v>21</v>
      </c>
      <c r="J3094" s="28" t="s">
        <v>5182</v>
      </c>
      <c r="K3094" s="28" t="s">
        <v>9944</v>
      </c>
      <c r="L3094" s="28" t="s">
        <v>8318</v>
      </c>
      <c r="M3094" s="28" t="s">
        <v>21</v>
      </c>
      <c r="O3094" s="92">
        <v>38166</v>
      </c>
      <c r="P3094" s="28" t="s">
        <v>31</v>
      </c>
      <c r="Q3094" s="26" t="b">
        <v>0</v>
      </c>
      <c r="R3094" s="22">
        <f t="shared" si="50"/>
        <v>0</v>
      </c>
    </row>
    <row r="3095" spans="1:18">
      <c r="A3095" s="26">
        <v>7733</v>
      </c>
      <c r="B3095" s="27">
        <v>38167</v>
      </c>
      <c r="C3095" s="28" t="s">
        <v>9945</v>
      </c>
      <c r="D3095" s="27">
        <v>38167</v>
      </c>
      <c r="E3095" s="28" t="s">
        <v>38</v>
      </c>
      <c r="F3095" s="28" t="s">
        <v>124</v>
      </c>
      <c r="G3095" s="28" t="s">
        <v>20</v>
      </c>
      <c r="H3095" s="28" t="s">
        <v>21</v>
      </c>
      <c r="I3095" s="28" t="s">
        <v>21</v>
      </c>
      <c r="J3095" s="28" t="s">
        <v>9946</v>
      </c>
      <c r="K3095" s="28" t="s">
        <v>7245</v>
      </c>
      <c r="L3095" s="28" t="s">
        <v>66</v>
      </c>
      <c r="M3095" s="28" t="s">
        <v>21</v>
      </c>
      <c r="O3095" s="92">
        <v>38168</v>
      </c>
      <c r="P3095" s="28" t="s">
        <v>31</v>
      </c>
      <c r="Q3095" s="26" t="b">
        <v>0</v>
      </c>
      <c r="R3095" s="22">
        <f t="shared" si="50"/>
        <v>1</v>
      </c>
    </row>
    <row r="3096" spans="1:18">
      <c r="A3096" s="26">
        <v>7734</v>
      </c>
      <c r="B3096" s="27">
        <v>38167</v>
      </c>
      <c r="C3096" s="28" t="s">
        <v>9947</v>
      </c>
      <c r="D3096" s="27">
        <v>38167</v>
      </c>
      <c r="E3096" s="28" t="s">
        <v>38</v>
      </c>
      <c r="F3096" s="28" t="s">
        <v>3430</v>
      </c>
      <c r="G3096" s="28" t="s">
        <v>20</v>
      </c>
      <c r="H3096" s="28" t="s">
        <v>71</v>
      </c>
      <c r="I3096" s="28" t="s">
        <v>72</v>
      </c>
      <c r="J3096" s="28" t="s">
        <v>9948</v>
      </c>
      <c r="K3096" s="28" t="s">
        <v>9949</v>
      </c>
      <c r="L3096" s="28" t="s">
        <v>66</v>
      </c>
      <c r="M3096" s="28" t="s">
        <v>21</v>
      </c>
      <c r="O3096" s="92">
        <v>38168</v>
      </c>
      <c r="P3096" s="28" t="s">
        <v>21</v>
      </c>
      <c r="Q3096" s="26" t="b">
        <v>0</v>
      </c>
      <c r="R3096" s="22">
        <f t="shared" si="50"/>
        <v>1</v>
      </c>
    </row>
    <row r="3097" spans="1:18">
      <c r="A3097" s="26">
        <v>7735</v>
      </c>
      <c r="B3097" s="27">
        <v>38169</v>
      </c>
      <c r="C3097" s="28" t="s">
        <v>9950</v>
      </c>
      <c r="D3097" s="27">
        <v>38168</v>
      </c>
      <c r="E3097" s="28" t="s">
        <v>38</v>
      </c>
      <c r="F3097" s="28" t="s">
        <v>52</v>
      </c>
      <c r="G3097" s="28" t="s">
        <v>20</v>
      </c>
      <c r="H3097" s="28" t="s">
        <v>21</v>
      </c>
      <c r="I3097" s="28" t="s">
        <v>21</v>
      </c>
      <c r="J3097" s="28" t="s">
        <v>9849</v>
      </c>
      <c r="K3097" s="28" t="s">
        <v>9951</v>
      </c>
      <c r="L3097" s="28" t="s">
        <v>8318</v>
      </c>
      <c r="M3097" s="28" t="s">
        <v>21</v>
      </c>
      <c r="O3097" s="92">
        <v>38169</v>
      </c>
      <c r="P3097" s="28" t="s">
        <v>21</v>
      </c>
      <c r="Q3097" s="26" t="b">
        <v>0</v>
      </c>
      <c r="R3097" s="22">
        <f t="shared" ref="R3097:R3160" si="51">IF(O3097=" ", " ", INT(YEARFRAC(O3097, B3097)*365))</f>
        <v>0</v>
      </c>
    </row>
    <row r="3098" spans="1:18">
      <c r="A3098" s="26">
        <v>7736</v>
      </c>
      <c r="B3098" s="27">
        <v>38170</v>
      </c>
      <c r="C3098" s="28" t="s">
        <v>9952</v>
      </c>
      <c r="D3098" s="27">
        <v>38164</v>
      </c>
      <c r="E3098" s="28" t="s">
        <v>38</v>
      </c>
      <c r="F3098" s="28" t="s">
        <v>52</v>
      </c>
      <c r="G3098" s="28" t="s">
        <v>20</v>
      </c>
      <c r="H3098" s="28" t="s">
        <v>21</v>
      </c>
      <c r="I3098" s="28" t="s">
        <v>21</v>
      </c>
      <c r="J3098" s="28" t="s">
        <v>9953</v>
      </c>
      <c r="K3098" s="28" t="s">
        <v>9954</v>
      </c>
      <c r="L3098" s="28" t="s">
        <v>7577</v>
      </c>
      <c r="M3098" s="28" t="s">
        <v>21</v>
      </c>
      <c r="O3098" s="92">
        <v>38175</v>
      </c>
      <c r="P3098" s="28" t="s">
        <v>31</v>
      </c>
      <c r="Q3098" s="26" t="b">
        <v>0</v>
      </c>
      <c r="R3098" s="22">
        <f t="shared" si="51"/>
        <v>5</v>
      </c>
    </row>
    <row r="3099" spans="1:18">
      <c r="A3099" s="26">
        <v>7737</v>
      </c>
      <c r="B3099" s="27">
        <v>38174</v>
      </c>
      <c r="C3099" s="28" t="s">
        <v>9955</v>
      </c>
      <c r="D3099" s="27">
        <v>38166</v>
      </c>
      <c r="E3099" s="28" t="s">
        <v>38</v>
      </c>
      <c r="F3099" s="28" t="s">
        <v>124</v>
      </c>
      <c r="G3099" s="28" t="s">
        <v>20</v>
      </c>
      <c r="H3099" s="28" t="s">
        <v>21</v>
      </c>
      <c r="I3099" s="28" t="s">
        <v>21</v>
      </c>
      <c r="J3099" s="28" t="s">
        <v>6025</v>
      </c>
      <c r="K3099" s="28" t="s">
        <v>21</v>
      </c>
      <c r="L3099" s="28" t="s">
        <v>7577</v>
      </c>
      <c r="M3099" s="28" t="s">
        <v>21</v>
      </c>
      <c r="O3099" s="92">
        <v>38175</v>
      </c>
      <c r="P3099" s="28" t="s">
        <v>31</v>
      </c>
      <c r="Q3099" s="26" t="b">
        <v>0</v>
      </c>
      <c r="R3099" s="22">
        <f t="shared" si="51"/>
        <v>1</v>
      </c>
    </row>
    <row r="3100" spans="1:18">
      <c r="A3100" s="26">
        <v>7738</v>
      </c>
      <c r="B3100" s="27">
        <v>38175</v>
      </c>
      <c r="C3100" s="28" t="s">
        <v>9956</v>
      </c>
      <c r="D3100" s="27">
        <v>38175</v>
      </c>
      <c r="E3100" s="28" t="s">
        <v>9957</v>
      </c>
      <c r="F3100" s="28" t="s">
        <v>3430</v>
      </c>
      <c r="G3100" s="28" t="s">
        <v>20</v>
      </c>
      <c r="H3100" s="28" t="s">
        <v>71</v>
      </c>
      <c r="I3100" s="28" t="s">
        <v>72</v>
      </c>
      <c r="J3100" s="28" t="s">
        <v>9958</v>
      </c>
      <c r="K3100" s="28" t="s">
        <v>9959</v>
      </c>
      <c r="L3100" s="28" t="s">
        <v>8318</v>
      </c>
      <c r="M3100" s="28" t="s">
        <v>21</v>
      </c>
      <c r="O3100" s="92">
        <v>38175</v>
      </c>
      <c r="P3100" s="28" t="s">
        <v>21</v>
      </c>
      <c r="Q3100" s="26" t="b">
        <v>0</v>
      </c>
      <c r="R3100" s="22">
        <f t="shared" si="51"/>
        <v>0</v>
      </c>
    </row>
    <row r="3101" spans="1:18">
      <c r="A3101" s="26">
        <v>7739</v>
      </c>
      <c r="B3101" s="27">
        <v>38175</v>
      </c>
      <c r="C3101" s="28" t="s">
        <v>9960</v>
      </c>
      <c r="D3101" s="27">
        <v>38174</v>
      </c>
      <c r="E3101" s="28" t="s">
        <v>9961</v>
      </c>
      <c r="F3101" s="28" t="s">
        <v>211</v>
      </c>
      <c r="G3101" s="28" t="s">
        <v>20</v>
      </c>
      <c r="H3101" s="28" t="s">
        <v>212</v>
      </c>
      <c r="I3101" s="28" t="s">
        <v>212</v>
      </c>
      <c r="J3101" s="28" t="s">
        <v>9962</v>
      </c>
      <c r="K3101" s="28" t="s">
        <v>9963</v>
      </c>
      <c r="L3101" s="28" t="s">
        <v>314</v>
      </c>
      <c r="M3101" s="28" t="s">
        <v>21</v>
      </c>
      <c r="O3101" s="92">
        <v>38232</v>
      </c>
      <c r="P3101" s="28" t="s">
        <v>31</v>
      </c>
      <c r="Q3101" s="26" t="b">
        <v>0</v>
      </c>
      <c r="R3101" s="22">
        <f t="shared" si="51"/>
        <v>55</v>
      </c>
    </row>
    <row r="3102" spans="1:18">
      <c r="A3102" s="26">
        <v>7740</v>
      </c>
      <c r="B3102" s="27">
        <v>38177</v>
      </c>
      <c r="C3102" s="28" t="s">
        <v>9964</v>
      </c>
      <c r="D3102" s="27">
        <v>38177</v>
      </c>
      <c r="E3102" s="28" t="s">
        <v>9965</v>
      </c>
      <c r="F3102" s="28" t="s">
        <v>8615</v>
      </c>
      <c r="G3102" s="28" t="s">
        <v>20</v>
      </c>
      <c r="H3102" s="28" t="s">
        <v>21</v>
      </c>
      <c r="I3102" s="28" t="s">
        <v>21</v>
      </c>
      <c r="J3102" s="28" t="s">
        <v>9079</v>
      </c>
      <c r="K3102" s="28" t="s">
        <v>9966</v>
      </c>
      <c r="L3102" s="28" t="s">
        <v>8318</v>
      </c>
      <c r="M3102" s="28" t="s">
        <v>21</v>
      </c>
      <c r="O3102" s="92">
        <v>38223</v>
      </c>
      <c r="P3102" s="28" t="s">
        <v>31</v>
      </c>
      <c r="Q3102" s="26" t="b">
        <v>0</v>
      </c>
      <c r="R3102" s="22">
        <f t="shared" si="51"/>
        <v>45</v>
      </c>
    </row>
    <row r="3103" spans="1:18">
      <c r="A3103" s="26">
        <v>7741</v>
      </c>
      <c r="B3103" s="27">
        <v>38177</v>
      </c>
      <c r="C3103" s="28" t="s">
        <v>9967</v>
      </c>
      <c r="D3103" s="27">
        <v>38177</v>
      </c>
      <c r="E3103" s="28" t="s">
        <v>9968</v>
      </c>
      <c r="F3103" s="28" t="s">
        <v>8615</v>
      </c>
      <c r="G3103" s="28" t="s">
        <v>20</v>
      </c>
      <c r="H3103" s="28" t="s">
        <v>21</v>
      </c>
      <c r="I3103" s="28" t="s">
        <v>21</v>
      </c>
      <c r="J3103" s="28" t="s">
        <v>9969</v>
      </c>
      <c r="K3103" s="28" t="s">
        <v>9970</v>
      </c>
      <c r="L3103" s="28" t="s">
        <v>8318</v>
      </c>
      <c r="M3103" s="28" t="s">
        <v>21</v>
      </c>
      <c r="O3103" s="92">
        <v>38223</v>
      </c>
      <c r="P3103" s="28" t="s">
        <v>31</v>
      </c>
      <c r="Q3103" s="26" t="b">
        <v>0</v>
      </c>
      <c r="R3103" s="22">
        <f t="shared" si="51"/>
        <v>45</v>
      </c>
    </row>
    <row r="3104" spans="1:18">
      <c r="A3104" s="26">
        <v>7742</v>
      </c>
      <c r="B3104" s="27">
        <v>38181</v>
      </c>
      <c r="C3104" s="28" t="s">
        <v>9971</v>
      </c>
      <c r="D3104" s="27">
        <v>38181</v>
      </c>
      <c r="E3104" s="28" t="s">
        <v>38</v>
      </c>
      <c r="F3104" s="28" t="s">
        <v>5704</v>
      </c>
      <c r="G3104" s="28" t="s">
        <v>20</v>
      </c>
      <c r="H3104" s="28" t="s">
        <v>21</v>
      </c>
      <c r="I3104" s="28" t="s">
        <v>21</v>
      </c>
      <c r="J3104" s="28" t="s">
        <v>9972</v>
      </c>
      <c r="K3104" s="28" t="s">
        <v>9973</v>
      </c>
      <c r="L3104" s="28" t="s">
        <v>4282</v>
      </c>
      <c r="M3104" s="28" t="s">
        <v>21</v>
      </c>
      <c r="O3104" s="92">
        <v>38182</v>
      </c>
      <c r="P3104" s="28" t="s">
        <v>31</v>
      </c>
      <c r="Q3104" s="26" t="b">
        <v>0</v>
      </c>
      <c r="R3104" s="22">
        <f t="shared" si="51"/>
        <v>1</v>
      </c>
    </row>
    <row r="3105" spans="1:18">
      <c r="A3105" s="26">
        <v>7743</v>
      </c>
      <c r="B3105" s="27">
        <v>38183</v>
      </c>
      <c r="C3105" s="28" t="s">
        <v>9974</v>
      </c>
      <c r="D3105" s="27">
        <v>38183</v>
      </c>
      <c r="E3105" s="28" t="s">
        <v>9975</v>
      </c>
      <c r="F3105" s="28" t="s">
        <v>5704</v>
      </c>
      <c r="G3105" s="28" t="s">
        <v>20</v>
      </c>
      <c r="H3105" s="28" t="s">
        <v>21</v>
      </c>
      <c r="I3105" s="28" t="s">
        <v>21</v>
      </c>
      <c r="J3105" s="28" t="s">
        <v>9976</v>
      </c>
      <c r="K3105" s="28" t="s">
        <v>9607</v>
      </c>
      <c r="L3105" s="28" t="s">
        <v>314</v>
      </c>
      <c r="M3105" s="28" t="s">
        <v>21</v>
      </c>
      <c r="O3105" s="92">
        <v>38188</v>
      </c>
      <c r="P3105" s="28" t="s">
        <v>31</v>
      </c>
      <c r="Q3105" s="26" t="b">
        <v>0</v>
      </c>
      <c r="R3105" s="22">
        <f t="shared" si="51"/>
        <v>5</v>
      </c>
    </row>
    <row r="3106" spans="1:18">
      <c r="A3106" s="26">
        <v>7744</v>
      </c>
      <c r="B3106" s="27">
        <v>38183</v>
      </c>
      <c r="C3106" s="28" t="s">
        <v>9977</v>
      </c>
      <c r="D3106" s="27">
        <v>38183</v>
      </c>
      <c r="E3106" s="28" t="s">
        <v>9978</v>
      </c>
      <c r="F3106" s="28" t="s">
        <v>8615</v>
      </c>
      <c r="G3106" s="28" t="s">
        <v>20</v>
      </c>
      <c r="H3106" s="28" t="s">
        <v>21</v>
      </c>
      <c r="I3106" s="28" t="s">
        <v>21</v>
      </c>
      <c r="J3106" s="28" t="s">
        <v>9979</v>
      </c>
      <c r="K3106" s="28" t="s">
        <v>8507</v>
      </c>
      <c r="L3106" s="28" t="s">
        <v>8318</v>
      </c>
      <c r="M3106" s="28" t="s">
        <v>21</v>
      </c>
      <c r="O3106" s="92">
        <v>38223</v>
      </c>
      <c r="P3106" s="28" t="s">
        <v>31</v>
      </c>
      <c r="Q3106" s="26" t="b">
        <v>0</v>
      </c>
      <c r="R3106" s="22">
        <f t="shared" si="51"/>
        <v>39</v>
      </c>
    </row>
    <row r="3107" spans="1:18">
      <c r="A3107" s="26">
        <v>7746</v>
      </c>
      <c r="B3107" s="27">
        <v>38188</v>
      </c>
      <c r="C3107" s="28" t="s">
        <v>9980</v>
      </c>
      <c r="D3107" s="27">
        <v>38187</v>
      </c>
      <c r="E3107" s="28" t="s">
        <v>9981</v>
      </c>
      <c r="F3107" s="28" t="s">
        <v>5704</v>
      </c>
      <c r="G3107" s="28" t="s">
        <v>20</v>
      </c>
      <c r="H3107" s="28" t="s">
        <v>21</v>
      </c>
      <c r="I3107" s="28" t="s">
        <v>21</v>
      </c>
      <c r="J3107" s="28" t="s">
        <v>9982</v>
      </c>
      <c r="K3107" s="28" t="s">
        <v>9983</v>
      </c>
      <c r="L3107" s="28" t="s">
        <v>314</v>
      </c>
      <c r="M3107" s="28" t="s">
        <v>21</v>
      </c>
      <c r="O3107" s="92">
        <v>38188</v>
      </c>
      <c r="P3107" s="28" t="s">
        <v>31</v>
      </c>
      <c r="Q3107" s="26" t="b">
        <v>0</v>
      </c>
      <c r="R3107" s="22">
        <f t="shared" si="51"/>
        <v>0</v>
      </c>
    </row>
    <row r="3108" spans="1:18">
      <c r="A3108" s="26">
        <v>7747</v>
      </c>
      <c r="B3108" s="27">
        <v>38188</v>
      </c>
      <c r="C3108" s="28" t="s">
        <v>9984</v>
      </c>
      <c r="D3108" s="27">
        <v>38184</v>
      </c>
      <c r="E3108" s="28" t="s">
        <v>9985</v>
      </c>
      <c r="F3108" s="28" t="s">
        <v>8615</v>
      </c>
      <c r="G3108" s="28" t="s">
        <v>20</v>
      </c>
      <c r="H3108" s="28" t="s">
        <v>21</v>
      </c>
      <c r="I3108" s="28" t="s">
        <v>21</v>
      </c>
      <c r="J3108" s="28" t="s">
        <v>9986</v>
      </c>
      <c r="K3108" s="28" t="s">
        <v>9079</v>
      </c>
      <c r="L3108" s="28" t="s">
        <v>8318</v>
      </c>
      <c r="M3108" s="28" t="s">
        <v>21</v>
      </c>
      <c r="O3108" s="92">
        <v>38223</v>
      </c>
      <c r="P3108" s="28" t="s">
        <v>31</v>
      </c>
      <c r="Q3108" s="26" t="b">
        <v>0</v>
      </c>
      <c r="R3108" s="22">
        <f t="shared" si="51"/>
        <v>34</v>
      </c>
    </row>
    <row r="3109" spans="1:18" ht="24">
      <c r="A3109" s="26">
        <v>7748</v>
      </c>
      <c r="B3109" s="27">
        <v>38191</v>
      </c>
      <c r="C3109" s="28" t="s">
        <v>9987</v>
      </c>
      <c r="D3109" s="27">
        <v>38190</v>
      </c>
      <c r="E3109" s="28" t="s">
        <v>9988</v>
      </c>
      <c r="F3109" s="28" t="s">
        <v>8615</v>
      </c>
      <c r="G3109" s="28" t="s">
        <v>20</v>
      </c>
      <c r="H3109" s="28" t="s">
        <v>21</v>
      </c>
      <c r="I3109" s="28" t="s">
        <v>21</v>
      </c>
      <c r="J3109" s="28" t="s">
        <v>9989</v>
      </c>
      <c r="K3109" s="28" t="s">
        <v>9990</v>
      </c>
      <c r="L3109" s="28" t="s">
        <v>8318</v>
      </c>
      <c r="M3109" s="28" t="s">
        <v>21</v>
      </c>
      <c r="O3109" s="92">
        <v>38223</v>
      </c>
      <c r="P3109" s="28" t="s">
        <v>31</v>
      </c>
      <c r="Q3109" s="26" t="b">
        <v>0</v>
      </c>
      <c r="R3109" s="22">
        <f t="shared" si="51"/>
        <v>31</v>
      </c>
    </row>
    <row r="3110" spans="1:18">
      <c r="A3110" s="26">
        <v>7750</v>
      </c>
      <c r="B3110" s="27">
        <v>38191</v>
      </c>
      <c r="C3110" s="28" t="s">
        <v>9991</v>
      </c>
      <c r="D3110" s="27">
        <v>38188</v>
      </c>
      <c r="E3110" s="28" t="s">
        <v>9992</v>
      </c>
      <c r="F3110" s="28" t="s">
        <v>228</v>
      </c>
      <c r="G3110" s="28" t="s">
        <v>20</v>
      </c>
      <c r="H3110" s="28" t="s">
        <v>21</v>
      </c>
      <c r="I3110" s="28" t="s">
        <v>21</v>
      </c>
      <c r="J3110" s="28" t="s">
        <v>9993</v>
      </c>
      <c r="K3110" s="28" t="s">
        <v>9994</v>
      </c>
      <c r="L3110" s="28" t="s">
        <v>4282</v>
      </c>
      <c r="M3110" s="28" t="s">
        <v>21</v>
      </c>
      <c r="O3110" s="92">
        <v>38209</v>
      </c>
      <c r="P3110" s="28" t="s">
        <v>21</v>
      </c>
      <c r="Q3110" s="26" t="b">
        <v>0</v>
      </c>
      <c r="R3110" s="22">
        <f t="shared" si="51"/>
        <v>17</v>
      </c>
    </row>
    <row r="3111" spans="1:18">
      <c r="A3111" s="26">
        <v>7751</v>
      </c>
      <c r="B3111" s="27">
        <v>38195</v>
      </c>
      <c r="C3111" s="28" t="s">
        <v>9995</v>
      </c>
      <c r="D3111" s="27">
        <v>38194</v>
      </c>
      <c r="E3111" s="28" t="s">
        <v>38</v>
      </c>
      <c r="F3111" s="28" t="s">
        <v>5704</v>
      </c>
      <c r="G3111" s="28" t="s">
        <v>20</v>
      </c>
      <c r="H3111" s="28" t="s">
        <v>21</v>
      </c>
      <c r="I3111" s="28" t="s">
        <v>21</v>
      </c>
      <c r="J3111" s="28" t="s">
        <v>9996</v>
      </c>
      <c r="K3111" s="28" t="s">
        <v>9997</v>
      </c>
      <c r="L3111" s="28" t="s">
        <v>314</v>
      </c>
      <c r="M3111" s="28" t="s">
        <v>21</v>
      </c>
      <c r="O3111" s="92">
        <v>38233</v>
      </c>
      <c r="P3111" s="28" t="s">
        <v>31</v>
      </c>
      <c r="Q3111" s="26" t="b">
        <v>0</v>
      </c>
      <c r="R3111" s="22">
        <f t="shared" si="51"/>
        <v>36</v>
      </c>
    </row>
    <row r="3112" spans="1:18">
      <c r="A3112" s="26">
        <v>7752</v>
      </c>
      <c r="B3112" s="27">
        <v>38195</v>
      </c>
      <c r="C3112" s="28" t="s">
        <v>9998</v>
      </c>
      <c r="D3112" s="27">
        <v>38195</v>
      </c>
      <c r="E3112" s="28" t="s">
        <v>9999</v>
      </c>
      <c r="F3112" s="28" t="s">
        <v>104</v>
      </c>
      <c r="G3112" s="28" t="s">
        <v>189</v>
      </c>
      <c r="H3112" s="28" t="s">
        <v>10000</v>
      </c>
      <c r="I3112" s="28" t="s">
        <v>21</v>
      </c>
      <c r="J3112" s="28" t="s">
        <v>10001</v>
      </c>
      <c r="K3112" s="28" t="s">
        <v>9079</v>
      </c>
      <c r="L3112" s="28" t="s">
        <v>8318</v>
      </c>
      <c r="M3112" s="28" t="s">
        <v>21</v>
      </c>
      <c r="O3112" s="92">
        <v>39253</v>
      </c>
      <c r="P3112" s="28" t="s">
        <v>31</v>
      </c>
      <c r="Q3112" s="26" t="b">
        <v>0</v>
      </c>
      <c r="R3112" s="22">
        <f t="shared" si="51"/>
        <v>1057</v>
      </c>
    </row>
    <row r="3113" spans="1:18">
      <c r="A3113" s="26">
        <v>7753</v>
      </c>
      <c r="B3113" s="27">
        <v>38201</v>
      </c>
      <c r="C3113" s="28" t="s">
        <v>10002</v>
      </c>
      <c r="D3113" s="27">
        <v>38201</v>
      </c>
      <c r="E3113" s="28" t="s">
        <v>6493</v>
      </c>
      <c r="F3113" s="28" t="s">
        <v>5704</v>
      </c>
      <c r="G3113" s="28" t="s">
        <v>20</v>
      </c>
      <c r="H3113" s="28" t="s">
        <v>21</v>
      </c>
      <c r="I3113" s="28" t="s">
        <v>21</v>
      </c>
      <c r="J3113" s="28" t="s">
        <v>10003</v>
      </c>
      <c r="K3113" s="28" t="s">
        <v>9996</v>
      </c>
      <c r="L3113" s="28" t="s">
        <v>3271</v>
      </c>
      <c r="M3113" s="28" t="s">
        <v>21</v>
      </c>
      <c r="O3113" s="92">
        <v>38201</v>
      </c>
      <c r="P3113" s="28" t="s">
        <v>31</v>
      </c>
      <c r="Q3113" s="26" t="b">
        <v>0</v>
      </c>
      <c r="R3113" s="22">
        <f t="shared" si="51"/>
        <v>0</v>
      </c>
    </row>
    <row r="3114" spans="1:18">
      <c r="A3114" s="26">
        <v>7754</v>
      </c>
      <c r="B3114" s="27">
        <v>38202</v>
      </c>
      <c r="C3114" s="28" t="s">
        <v>10004</v>
      </c>
      <c r="D3114" s="27">
        <v>38202</v>
      </c>
      <c r="E3114" s="28" t="s">
        <v>6493</v>
      </c>
      <c r="F3114" s="28" t="s">
        <v>104</v>
      </c>
      <c r="G3114" s="28" t="s">
        <v>20</v>
      </c>
      <c r="H3114" s="28" t="s">
        <v>21</v>
      </c>
      <c r="I3114" s="28" t="s">
        <v>21</v>
      </c>
      <c r="J3114" s="28" t="s">
        <v>10005</v>
      </c>
      <c r="K3114" s="28" t="s">
        <v>10006</v>
      </c>
      <c r="L3114" s="28" t="s">
        <v>8744</v>
      </c>
      <c r="M3114" s="28" t="s">
        <v>21</v>
      </c>
      <c r="N3114" s="18"/>
      <c r="O3114" s="92">
        <v>38202</v>
      </c>
      <c r="P3114" s="28" t="s">
        <v>31</v>
      </c>
      <c r="Q3114" s="26" t="b">
        <v>0</v>
      </c>
      <c r="R3114" s="22">
        <f t="shared" si="51"/>
        <v>0</v>
      </c>
    </row>
    <row r="3115" spans="1:18">
      <c r="A3115" s="26">
        <v>7755</v>
      </c>
      <c r="B3115" s="27">
        <v>38202</v>
      </c>
      <c r="C3115" s="28" t="s">
        <v>10007</v>
      </c>
      <c r="D3115" s="27">
        <v>38198</v>
      </c>
      <c r="E3115" s="28" t="s">
        <v>10008</v>
      </c>
      <c r="F3115" s="28" t="s">
        <v>149</v>
      </c>
      <c r="G3115" s="28" t="s">
        <v>20</v>
      </c>
      <c r="H3115" s="28" t="s">
        <v>21</v>
      </c>
      <c r="I3115" s="28" t="s">
        <v>21</v>
      </c>
      <c r="J3115" s="28" t="s">
        <v>10009</v>
      </c>
      <c r="K3115" s="28" t="s">
        <v>10010</v>
      </c>
      <c r="L3115" s="28" t="s">
        <v>4579</v>
      </c>
      <c r="M3115" s="28" t="s">
        <v>21</v>
      </c>
      <c r="O3115" s="92">
        <v>38413</v>
      </c>
      <c r="P3115" s="28" t="s">
        <v>31</v>
      </c>
      <c r="Q3115" s="26" t="b">
        <v>0</v>
      </c>
      <c r="R3115" s="22">
        <f t="shared" si="51"/>
        <v>211</v>
      </c>
    </row>
    <row r="3116" spans="1:18">
      <c r="A3116" s="26">
        <v>7756</v>
      </c>
      <c r="B3116" s="27">
        <v>38204</v>
      </c>
      <c r="C3116" s="28" t="s">
        <v>10011</v>
      </c>
      <c r="D3116" s="27">
        <v>38204</v>
      </c>
      <c r="E3116" s="28" t="s">
        <v>10012</v>
      </c>
      <c r="F3116" s="28" t="s">
        <v>52</v>
      </c>
      <c r="G3116" s="28" t="s">
        <v>20</v>
      </c>
      <c r="H3116" s="28" t="s">
        <v>21</v>
      </c>
      <c r="I3116" s="28" t="s">
        <v>21</v>
      </c>
      <c r="J3116" s="28" t="s">
        <v>9849</v>
      </c>
      <c r="K3116" s="28" t="s">
        <v>10013</v>
      </c>
      <c r="L3116" s="28" t="s">
        <v>314</v>
      </c>
      <c r="M3116" s="28" t="s">
        <v>21</v>
      </c>
      <c r="O3116" s="92">
        <v>38317</v>
      </c>
      <c r="P3116" s="28" t="s">
        <v>31</v>
      </c>
      <c r="Q3116" s="26" t="b">
        <v>0</v>
      </c>
      <c r="R3116" s="22">
        <f t="shared" si="51"/>
        <v>112</v>
      </c>
    </row>
    <row r="3117" spans="1:18">
      <c r="A3117" s="26">
        <v>7757</v>
      </c>
      <c r="B3117" s="27">
        <v>38204</v>
      </c>
      <c r="C3117" s="28" t="s">
        <v>10014</v>
      </c>
      <c r="D3117" s="27">
        <v>38204</v>
      </c>
      <c r="E3117" s="28" t="s">
        <v>10015</v>
      </c>
      <c r="F3117" s="28" t="s">
        <v>52</v>
      </c>
      <c r="G3117" s="28" t="s">
        <v>20</v>
      </c>
      <c r="H3117" s="28" t="s">
        <v>21</v>
      </c>
      <c r="I3117" s="28" t="s">
        <v>21</v>
      </c>
      <c r="J3117" s="28" t="s">
        <v>10016</v>
      </c>
      <c r="K3117" s="28" t="s">
        <v>10017</v>
      </c>
      <c r="L3117" s="28" t="s">
        <v>8318</v>
      </c>
      <c r="M3117" s="28" t="s">
        <v>21</v>
      </c>
      <c r="O3117" s="92">
        <v>38246</v>
      </c>
      <c r="P3117" s="28" t="s">
        <v>21</v>
      </c>
      <c r="Q3117" s="26" t="b">
        <v>0</v>
      </c>
      <c r="R3117" s="22">
        <f t="shared" si="51"/>
        <v>41</v>
      </c>
    </row>
    <row r="3118" spans="1:18">
      <c r="A3118" s="26">
        <v>7758</v>
      </c>
      <c r="B3118" s="27">
        <v>38210</v>
      </c>
      <c r="C3118" s="28" t="s">
        <v>10018</v>
      </c>
      <c r="D3118" s="27">
        <v>38204</v>
      </c>
      <c r="E3118" s="28" t="s">
        <v>38</v>
      </c>
      <c r="F3118" s="28" t="s">
        <v>6580</v>
      </c>
      <c r="G3118" s="28" t="s">
        <v>20</v>
      </c>
      <c r="H3118" s="28" t="s">
        <v>21</v>
      </c>
      <c r="I3118" s="28" t="s">
        <v>21</v>
      </c>
      <c r="J3118" s="28" t="s">
        <v>8998</v>
      </c>
      <c r="K3118" s="28" t="s">
        <v>10019</v>
      </c>
      <c r="L3118" s="28" t="s">
        <v>8318</v>
      </c>
      <c r="M3118" s="28" t="s">
        <v>21</v>
      </c>
      <c r="O3118" s="92">
        <v>38211</v>
      </c>
      <c r="P3118" s="28" t="s">
        <v>31</v>
      </c>
      <c r="Q3118" s="26" t="b">
        <v>0</v>
      </c>
      <c r="R3118" s="22">
        <f t="shared" si="51"/>
        <v>1</v>
      </c>
    </row>
    <row r="3119" spans="1:18">
      <c r="A3119" s="26">
        <v>7759</v>
      </c>
      <c r="B3119" s="27">
        <v>38210</v>
      </c>
      <c r="C3119" s="28" t="s">
        <v>10020</v>
      </c>
      <c r="D3119" s="27">
        <v>38210</v>
      </c>
      <c r="E3119" s="28" t="s">
        <v>10021</v>
      </c>
      <c r="F3119" s="28" t="s">
        <v>39</v>
      </c>
      <c r="G3119" s="28" t="s">
        <v>20</v>
      </c>
      <c r="H3119" s="28" t="s">
        <v>21</v>
      </c>
      <c r="I3119" s="28" t="s">
        <v>21</v>
      </c>
      <c r="J3119" s="28" t="s">
        <v>10022</v>
      </c>
      <c r="K3119" s="28" t="s">
        <v>10023</v>
      </c>
      <c r="L3119" s="28" t="s">
        <v>8318</v>
      </c>
      <c r="M3119" s="28" t="s">
        <v>21</v>
      </c>
      <c r="O3119" s="92">
        <v>38216</v>
      </c>
      <c r="P3119" s="28" t="s">
        <v>21</v>
      </c>
      <c r="Q3119" s="26" t="b">
        <v>0</v>
      </c>
      <c r="R3119" s="22">
        <f t="shared" si="51"/>
        <v>6</v>
      </c>
    </row>
    <row r="3120" spans="1:18" ht="24">
      <c r="A3120" s="26">
        <v>7761</v>
      </c>
      <c r="B3120" s="27">
        <v>38215</v>
      </c>
      <c r="C3120" s="28" t="s">
        <v>10024</v>
      </c>
      <c r="D3120" s="27">
        <v>38215</v>
      </c>
      <c r="E3120" s="28" t="s">
        <v>3268</v>
      </c>
      <c r="F3120" s="28" t="s">
        <v>52</v>
      </c>
      <c r="G3120" s="28" t="s">
        <v>20</v>
      </c>
      <c r="H3120" s="28" t="s">
        <v>21</v>
      </c>
      <c r="I3120" s="28" t="s">
        <v>21</v>
      </c>
      <c r="J3120" s="28" t="s">
        <v>10025</v>
      </c>
      <c r="K3120" s="28" t="s">
        <v>10026</v>
      </c>
      <c r="L3120" s="28" t="s">
        <v>8318</v>
      </c>
      <c r="M3120" s="28" t="s">
        <v>21</v>
      </c>
      <c r="N3120" s="29">
        <v>38245</v>
      </c>
      <c r="O3120" s="92">
        <v>38245</v>
      </c>
      <c r="P3120" s="28" t="s">
        <v>21</v>
      </c>
      <c r="Q3120" s="26" t="b">
        <v>0</v>
      </c>
      <c r="R3120" s="22">
        <f t="shared" si="51"/>
        <v>29</v>
      </c>
    </row>
    <row r="3121" spans="1:18">
      <c r="A3121" s="26">
        <v>7764</v>
      </c>
      <c r="B3121" s="27">
        <v>38215</v>
      </c>
      <c r="C3121" s="28" t="s">
        <v>10027</v>
      </c>
      <c r="D3121" s="27">
        <v>38211</v>
      </c>
      <c r="E3121" s="28" t="s">
        <v>10028</v>
      </c>
      <c r="F3121" s="28" t="s">
        <v>27</v>
      </c>
      <c r="G3121" s="28" t="s">
        <v>20</v>
      </c>
      <c r="H3121" s="28" t="s">
        <v>21</v>
      </c>
      <c r="I3121" s="28" t="s">
        <v>21</v>
      </c>
      <c r="J3121" s="28" t="s">
        <v>10029</v>
      </c>
      <c r="K3121" s="28" t="s">
        <v>10030</v>
      </c>
      <c r="L3121" s="28" t="s">
        <v>4282</v>
      </c>
      <c r="M3121" s="28" t="s">
        <v>21</v>
      </c>
      <c r="N3121" s="18"/>
      <c r="O3121" s="92">
        <v>38224</v>
      </c>
      <c r="P3121" s="28" t="s">
        <v>31</v>
      </c>
      <c r="Q3121" s="26" t="b">
        <v>0</v>
      </c>
      <c r="R3121" s="22">
        <f t="shared" si="51"/>
        <v>9</v>
      </c>
    </row>
    <row r="3122" spans="1:18">
      <c r="A3122" s="26">
        <v>7765</v>
      </c>
      <c r="B3122" s="27">
        <v>38215</v>
      </c>
      <c r="C3122" s="28" t="s">
        <v>10031</v>
      </c>
      <c r="D3122" s="27">
        <v>38213</v>
      </c>
      <c r="E3122" s="28" t="s">
        <v>10032</v>
      </c>
      <c r="F3122" s="28" t="s">
        <v>371</v>
      </c>
      <c r="G3122" s="28" t="s">
        <v>20</v>
      </c>
      <c r="H3122" s="28" t="s">
        <v>21</v>
      </c>
      <c r="I3122" s="28" t="s">
        <v>21</v>
      </c>
      <c r="J3122" s="28" t="s">
        <v>10033</v>
      </c>
      <c r="K3122" s="28" t="s">
        <v>10034</v>
      </c>
      <c r="L3122" s="28" t="s">
        <v>2205</v>
      </c>
      <c r="M3122" s="28" t="s">
        <v>6955</v>
      </c>
      <c r="N3122" s="18"/>
      <c r="O3122" s="92">
        <v>38491</v>
      </c>
      <c r="P3122" s="28" t="s">
        <v>31</v>
      </c>
      <c r="Q3122" s="26" t="b">
        <v>0</v>
      </c>
      <c r="R3122" s="22">
        <f t="shared" si="51"/>
        <v>276</v>
      </c>
    </row>
    <row r="3123" spans="1:18">
      <c r="A3123" s="26">
        <v>7770</v>
      </c>
      <c r="B3123" s="27">
        <v>38216</v>
      </c>
      <c r="C3123" s="28" t="s">
        <v>10041</v>
      </c>
      <c r="D3123" s="27">
        <v>38216</v>
      </c>
      <c r="E3123" s="28" t="s">
        <v>283</v>
      </c>
      <c r="F3123" s="28" t="s">
        <v>39</v>
      </c>
      <c r="G3123" s="28" t="s">
        <v>20</v>
      </c>
      <c r="H3123" s="28" t="s">
        <v>21</v>
      </c>
      <c r="I3123" s="28" t="s">
        <v>21</v>
      </c>
      <c r="J3123" s="28" t="s">
        <v>10042</v>
      </c>
      <c r="K3123" s="28" t="s">
        <v>10043</v>
      </c>
      <c r="L3123" s="28" t="s">
        <v>1946</v>
      </c>
      <c r="M3123" s="28" t="s">
        <v>10044</v>
      </c>
      <c r="N3123" s="18"/>
      <c r="O3123" s="92">
        <v>38555</v>
      </c>
      <c r="P3123" s="28" t="s">
        <v>21</v>
      </c>
      <c r="Q3123" s="26" t="b">
        <v>0</v>
      </c>
      <c r="R3123" s="22">
        <f t="shared" si="51"/>
        <v>339</v>
      </c>
    </row>
    <row r="3124" spans="1:18">
      <c r="A3124" s="26">
        <v>7792</v>
      </c>
      <c r="B3124" s="27">
        <v>38216</v>
      </c>
      <c r="C3124" s="28" t="s">
        <v>10105</v>
      </c>
      <c r="D3124" s="27">
        <v>38216</v>
      </c>
      <c r="E3124" s="28" t="s">
        <v>3268</v>
      </c>
      <c r="F3124" s="28" t="s">
        <v>10106</v>
      </c>
      <c r="G3124" s="28" t="s">
        <v>20</v>
      </c>
      <c r="H3124" s="28" t="s">
        <v>21</v>
      </c>
      <c r="I3124" s="28" t="s">
        <v>21</v>
      </c>
      <c r="J3124" s="28" t="s">
        <v>10107</v>
      </c>
      <c r="K3124" s="28" t="s">
        <v>10108</v>
      </c>
      <c r="L3124" s="28" t="s">
        <v>8318</v>
      </c>
      <c r="M3124" s="28" t="s">
        <v>21</v>
      </c>
      <c r="O3124" s="92">
        <v>38309</v>
      </c>
      <c r="P3124" s="28" t="s">
        <v>182</v>
      </c>
      <c r="Q3124" s="26" t="b">
        <v>0</v>
      </c>
      <c r="R3124" s="22">
        <f t="shared" si="51"/>
        <v>92</v>
      </c>
    </row>
    <row r="3125" spans="1:18">
      <c r="A3125" s="26">
        <v>7766</v>
      </c>
      <c r="B3125" s="27">
        <v>38217</v>
      </c>
      <c r="C3125" s="28" t="s">
        <v>10035</v>
      </c>
      <c r="D3125" s="27">
        <v>38217</v>
      </c>
      <c r="E3125" s="28" t="s">
        <v>4172</v>
      </c>
      <c r="F3125" s="28" t="s">
        <v>52</v>
      </c>
      <c r="G3125" s="28" t="s">
        <v>20</v>
      </c>
      <c r="H3125" s="28" t="s">
        <v>21</v>
      </c>
      <c r="I3125" s="28" t="s">
        <v>21</v>
      </c>
      <c r="J3125" s="28" t="s">
        <v>10036</v>
      </c>
      <c r="K3125" s="28" t="s">
        <v>10037</v>
      </c>
      <c r="L3125" s="28" t="s">
        <v>8318</v>
      </c>
      <c r="M3125" s="28" t="s">
        <v>21</v>
      </c>
      <c r="O3125" s="92">
        <v>38217</v>
      </c>
      <c r="P3125" s="28" t="s">
        <v>21</v>
      </c>
      <c r="Q3125" s="26" t="b">
        <v>0</v>
      </c>
      <c r="R3125" s="22">
        <f t="shared" si="51"/>
        <v>0</v>
      </c>
    </row>
    <row r="3126" spans="1:18">
      <c r="A3126" s="26">
        <v>7768</v>
      </c>
      <c r="B3126" s="27">
        <v>38218</v>
      </c>
      <c r="C3126" s="28" t="s">
        <v>10038</v>
      </c>
      <c r="D3126" s="27">
        <v>38217</v>
      </c>
      <c r="E3126" s="28" t="s">
        <v>1432</v>
      </c>
      <c r="F3126" s="28" t="s">
        <v>5704</v>
      </c>
      <c r="G3126" s="28" t="s">
        <v>20</v>
      </c>
      <c r="H3126" s="28" t="s">
        <v>21</v>
      </c>
      <c r="I3126" s="28" t="s">
        <v>21</v>
      </c>
      <c r="J3126" s="28" t="s">
        <v>10039</v>
      </c>
      <c r="K3126" s="28" t="s">
        <v>10040</v>
      </c>
      <c r="L3126" s="28" t="s">
        <v>4282</v>
      </c>
      <c r="M3126" s="28" t="s">
        <v>8318</v>
      </c>
      <c r="O3126" s="92">
        <v>39437</v>
      </c>
      <c r="P3126" s="28" t="s">
        <v>31</v>
      </c>
      <c r="Q3126" s="26" t="b">
        <v>0</v>
      </c>
      <c r="R3126" s="22">
        <f t="shared" si="51"/>
        <v>1218</v>
      </c>
    </row>
    <row r="3127" spans="1:18">
      <c r="A3127" s="26">
        <v>7780</v>
      </c>
      <c r="B3127" s="27">
        <v>38224</v>
      </c>
      <c r="C3127" s="28" t="s">
        <v>10064</v>
      </c>
      <c r="D3127" s="27">
        <v>38223</v>
      </c>
      <c r="E3127" s="28" t="s">
        <v>38</v>
      </c>
      <c r="F3127" s="28" t="s">
        <v>3236</v>
      </c>
      <c r="G3127" s="28" t="s">
        <v>20</v>
      </c>
      <c r="H3127" s="28" t="s">
        <v>21</v>
      </c>
      <c r="I3127" s="28" t="s">
        <v>21</v>
      </c>
      <c r="J3127" s="28" t="s">
        <v>10065</v>
      </c>
      <c r="K3127" s="28" t="s">
        <v>10066</v>
      </c>
      <c r="L3127" s="28" t="s">
        <v>314</v>
      </c>
      <c r="M3127" s="28" t="s">
        <v>21</v>
      </c>
      <c r="O3127" s="92">
        <v>38232</v>
      </c>
      <c r="P3127" s="28" t="s">
        <v>31</v>
      </c>
      <c r="Q3127" s="26" t="b">
        <v>0</v>
      </c>
      <c r="R3127" s="22">
        <f t="shared" si="51"/>
        <v>7</v>
      </c>
    </row>
    <row r="3128" spans="1:18">
      <c r="A3128" s="26">
        <v>7775</v>
      </c>
      <c r="B3128" s="27">
        <v>38225</v>
      </c>
      <c r="C3128" s="28" t="s">
        <v>10048</v>
      </c>
      <c r="D3128" s="27">
        <v>38224</v>
      </c>
      <c r="E3128" s="28" t="s">
        <v>10049</v>
      </c>
      <c r="F3128" s="28" t="s">
        <v>149</v>
      </c>
      <c r="G3128" s="28" t="s">
        <v>20</v>
      </c>
      <c r="H3128" s="28" t="s">
        <v>21</v>
      </c>
      <c r="I3128" s="28" t="s">
        <v>21</v>
      </c>
      <c r="J3128" s="28" t="s">
        <v>10050</v>
      </c>
      <c r="K3128" s="28" t="s">
        <v>10051</v>
      </c>
      <c r="L3128" s="28" t="s">
        <v>4282</v>
      </c>
      <c r="M3128" s="28" t="s">
        <v>21</v>
      </c>
      <c r="N3128" s="29">
        <v>38409</v>
      </c>
      <c r="O3128" s="92">
        <v>38310</v>
      </c>
      <c r="P3128" s="28" t="s">
        <v>31</v>
      </c>
      <c r="Q3128" s="26" t="b">
        <v>0</v>
      </c>
      <c r="R3128" s="22">
        <f t="shared" si="51"/>
        <v>84</v>
      </c>
    </row>
    <row r="3129" spans="1:18">
      <c r="A3129" s="26">
        <v>7774</v>
      </c>
      <c r="B3129" s="27">
        <v>38226</v>
      </c>
      <c r="C3129" s="28" t="s">
        <v>10045</v>
      </c>
      <c r="D3129" s="27">
        <v>38226</v>
      </c>
      <c r="E3129" s="28" t="s">
        <v>10046</v>
      </c>
      <c r="F3129" s="28" t="s">
        <v>1409</v>
      </c>
      <c r="G3129" s="28" t="s">
        <v>20</v>
      </c>
      <c r="H3129" s="28" t="s">
        <v>21</v>
      </c>
      <c r="I3129" s="28" t="s">
        <v>21</v>
      </c>
      <c r="J3129" s="28" t="s">
        <v>2695</v>
      </c>
      <c r="K3129" s="28" t="s">
        <v>10047</v>
      </c>
      <c r="L3129" s="28" t="s">
        <v>8318</v>
      </c>
      <c r="M3129" s="28" t="s">
        <v>21</v>
      </c>
      <c r="O3129" s="92">
        <v>38226</v>
      </c>
      <c r="P3129" s="28" t="s">
        <v>31</v>
      </c>
      <c r="Q3129" s="26" t="b">
        <v>0</v>
      </c>
      <c r="R3129" s="22">
        <f t="shared" si="51"/>
        <v>0</v>
      </c>
    </row>
    <row r="3130" spans="1:18">
      <c r="A3130" s="26">
        <v>7776</v>
      </c>
      <c r="B3130" s="27">
        <v>38229</v>
      </c>
      <c r="C3130" s="28" t="s">
        <v>10052</v>
      </c>
      <c r="D3130" s="27">
        <v>38226</v>
      </c>
      <c r="E3130" s="28" t="s">
        <v>10053</v>
      </c>
      <c r="F3130" s="28" t="s">
        <v>228</v>
      </c>
      <c r="G3130" s="28" t="s">
        <v>20</v>
      </c>
      <c r="H3130" s="28" t="s">
        <v>21</v>
      </c>
      <c r="I3130" s="28" t="s">
        <v>21</v>
      </c>
      <c r="J3130" s="28" t="s">
        <v>10054</v>
      </c>
      <c r="K3130" s="28" t="s">
        <v>10055</v>
      </c>
      <c r="L3130" s="28" t="s">
        <v>4579</v>
      </c>
      <c r="M3130" s="28" t="s">
        <v>21</v>
      </c>
      <c r="N3130" s="29">
        <v>38412</v>
      </c>
      <c r="O3130" s="92">
        <v>38258</v>
      </c>
      <c r="P3130" s="28" t="s">
        <v>31</v>
      </c>
      <c r="Q3130" s="26" t="b">
        <v>0</v>
      </c>
      <c r="R3130" s="22">
        <f t="shared" si="51"/>
        <v>28</v>
      </c>
    </row>
    <row r="3131" spans="1:18">
      <c r="A3131" s="26">
        <v>7777</v>
      </c>
      <c r="B3131" s="27">
        <v>38229</v>
      </c>
      <c r="C3131" s="28" t="s">
        <v>10056</v>
      </c>
      <c r="D3131" s="27">
        <v>38229</v>
      </c>
      <c r="E3131" s="28" t="s">
        <v>10057</v>
      </c>
      <c r="F3131" s="28" t="s">
        <v>228</v>
      </c>
      <c r="G3131" s="28" t="s">
        <v>20</v>
      </c>
      <c r="H3131" s="28" t="s">
        <v>21</v>
      </c>
      <c r="I3131" s="28" t="s">
        <v>21</v>
      </c>
      <c r="J3131" s="28" t="s">
        <v>10054</v>
      </c>
      <c r="K3131" s="28" t="s">
        <v>10055</v>
      </c>
      <c r="L3131" s="28" t="s">
        <v>4579</v>
      </c>
      <c r="M3131" s="28" t="s">
        <v>21</v>
      </c>
      <c r="N3131" s="29">
        <v>38412</v>
      </c>
      <c r="O3131" s="92">
        <v>38258</v>
      </c>
      <c r="P3131" s="28" t="s">
        <v>31</v>
      </c>
      <c r="Q3131" s="26" t="b">
        <v>0</v>
      </c>
      <c r="R3131" s="22">
        <f t="shared" si="51"/>
        <v>28</v>
      </c>
    </row>
    <row r="3132" spans="1:18">
      <c r="A3132" s="26">
        <v>7778</v>
      </c>
      <c r="B3132" s="27">
        <v>38229</v>
      </c>
      <c r="C3132" s="28" t="s">
        <v>10058</v>
      </c>
      <c r="D3132" s="27">
        <v>38229</v>
      </c>
      <c r="E3132" s="28" t="s">
        <v>10059</v>
      </c>
      <c r="F3132" s="28" t="s">
        <v>984</v>
      </c>
      <c r="G3132" s="28" t="s">
        <v>20</v>
      </c>
      <c r="H3132" s="28" t="s">
        <v>21</v>
      </c>
      <c r="I3132" s="28" t="s">
        <v>21</v>
      </c>
      <c r="J3132" s="28" t="s">
        <v>7150</v>
      </c>
      <c r="K3132" s="28" t="s">
        <v>9218</v>
      </c>
      <c r="L3132" s="28" t="s">
        <v>314</v>
      </c>
      <c r="M3132" s="28" t="s">
        <v>21</v>
      </c>
      <c r="O3132" s="92">
        <v>38231</v>
      </c>
      <c r="P3132" s="28" t="s">
        <v>31</v>
      </c>
      <c r="Q3132" s="26" t="b">
        <v>0</v>
      </c>
      <c r="R3132" s="22">
        <f t="shared" si="51"/>
        <v>1</v>
      </c>
    </row>
    <row r="3133" spans="1:18">
      <c r="A3133" s="26">
        <v>7779</v>
      </c>
      <c r="B3133" s="27">
        <v>38229</v>
      </c>
      <c r="C3133" s="28" t="s">
        <v>10060</v>
      </c>
      <c r="D3133" s="27">
        <v>38229</v>
      </c>
      <c r="E3133" s="28" t="s">
        <v>10061</v>
      </c>
      <c r="F3133" s="28" t="s">
        <v>984</v>
      </c>
      <c r="G3133" s="28" t="s">
        <v>20</v>
      </c>
      <c r="H3133" s="28" t="s">
        <v>21</v>
      </c>
      <c r="I3133" s="28" t="s">
        <v>21</v>
      </c>
      <c r="J3133" s="28" t="s">
        <v>10062</v>
      </c>
      <c r="K3133" s="28" t="s">
        <v>10063</v>
      </c>
      <c r="L3133" s="28" t="s">
        <v>314</v>
      </c>
      <c r="M3133" s="28" t="s">
        <v>21</v>
      </c>
      <c r="O3133" s="92">
        <v>38309</v>
      </c>
      <c r="P3133" s="28" t="s">
        <v>31</v>
      </c>
      <c r="Q3133" s="26" t="b">
        <v>0</v>
      </c>
      <c r="R3133" s="22">
        <f t="shared" si="51"/>
        <v>79</v>
      </c>
    </row>
    <row r="3134" spans="1:18">
      <c r="A3134" s="26">
        <v>7791</v>
      </c>
      <c r="B3134" s="27">
        <v>38244</v>
      </c>
      <c r="C3134" s="28" t="s">
        <v>10103</v>
      </c>
      <c r="D3134" s="27">
        <v>38244</v>
      </c>
      <c r="E3134" s="28" t="s">
        <v>3268</v>
      </c>
      <c r="F3134" s="28" t="s">
        <v>56</v>
      </c>
      <c r="G3134" s="28" t="s">
        <v>20</v>
      </c>
      <c r="H3134" s="28" t="s">
        <v>21</v>
      </c>
      <c r="I3134" s="28" t="s">
        <v>21</v>
      </c>
      <c r="J3134" s="28" t="s">
        <v>7071</v>
      </c>
      <c r="K3134" s="28" t="s">
        <v>10104</v>
      </c>
      <c r="L3134" s="28" t="s">
        <v>8318</v>
      </c>
      <c r="M3134" s="28" t="s">
        <v>21</v>
      </c>
      <c r="O3134" s="92">
        <v>38288</v>
      </c>
      <c r="P3134" s="28" t="s">
        <v>182</v>
      </c>
      <c r="Q3134" s="26" t="b">
        <v>0</v>
      </c>
      <c r="R3134" s="22">
        <f t="shared" si="51"/>
        <v>44</v>
      </c>
    </row>
    <row r="3135" spans="1:18">
      <c r="A3135" s="26">
        <v>7781</v>
      </c>
      <c r="B3135" s="27">
        <v>38246</v>
      </c>
      <c r="C3135" s="28" t="s">
        <v>10067</v>
      </c>
      <c r="D3135" s="27">
        <v>38229</v>
      </c>
      <c r="E3135" s="28" t="s">
        <v>10068</v>
      </c>
      <c r="F3135" s="28" t="s">
        <v>10069</v>
      </c>
      <c r="G3135" s="28" t="s">
        <v>20</v>
      </c>
      <c r="H3135" s="28" t="s">
        <v>21</v>
      </c>
      <c r="I3135" s="28" t="s">
        <v>10070</v>
      </c>
      <c r="J3135" s="28" t="s">
        <v>10071</v>
      </c>
      <c r="K3135" s="28" t="s">
        <v>10072</v>
      </c>
      <c r="L3135" s="28" t="s">
        <v>314</v>
      </c>
      <c r="M3135" s="28" t="s">
        <v>21</v>
      </c>
      <c r="O3135" s="92">
        <v>38273</v>
      </c>
      <c r="P3135" s="28" t="s">
        <v>31</v>
      </c>
      <c r="Q3135" s="26" t="b">
        <v>0</v>
      </c>
      <c r="R3135" s="22">
        <f t="shared" si="51"/>
        <v>27</v>
      </c>
    </row>
    <row r="3136" spans="1:18">
      <c r="A3136" s="26">
        <v>7782</v>
      </c>
      <c r="B3136" s="27">
        <v>38246</v>
      </c>
      <c r="C3136" s="28" t="s">
        <v>10073</v>
      </c>
      <c r="D3136" s="27">
        <v>38232</v>
      </c>
      <c r="E3136" s="28" t="s">
        <v>10074</v>
      </c>
      <c r="F3136" s="28" t="s">
        <v>85</v>
      </c>
      <c r="G3136" s="28" t="s">
        <v>20</v>
      </c>
      <c r="H3136" s="28" t="s">
        <v>21</v>
      </c>
      <c r="I3136" s="28" t="s">
        <v>21</v>
      </c>
      <c r="J3136" s="28" t="s">
        <v>10075</v>
      </c>
      <c r="K3136" s="28" t="s">
        <v>10076</v>
      </c>
      <c r="L3136" s="28" t="s">
        <v>4579</v>
      </c>
      <c r="M3136" s="28" t="s">
        <v>21</v>
      </c>
      <c r="O3136" s="92">
        <v>38469</v>
      </c>
      <c r="P3136" s="28" t="s">
        <v>21</v>
      </c>
      <c r="Q3136" s="26" t="b">
        <v>0</v>
      </c>
      <c r="R3136" s="22">
        <f t="shared" si="51"/>
        <v>224</v>
      </c>
    </row>
    <row r="3137" spans="1:18">
      <c r="A3137" s="26">
        <v>7784</v>
      </c>
      <c r="B3137" s="27">
        <v>38246</v>
      </c>
      <c r="C3137" s="28" t="s">
        <v>10077</v>
      </c>
      <c r="D3137" s="27">
        <v>38230</v>
      </c>
      <c r="E3137" s="28" t="s">
        <v>10078</v>
      </c>
      <c r="F3137" s="28" t="s">
        <v>10079</v>
      </c>
      <c r="G3137" s="28" t="s">
        <v>20</v>
      </c>
      <c r="H3137" s="28" t="s">
        <v>21</v>
      </c>
      <c r="I3137" s="28" t="s">
        <v>21</v>
      </c>
      <c r="J3137" s="28" t="s">
        <v>5240</v>
      </c>
      <c r="K3137" s="28" t="s">
        <v>10080</v>
      </c>
      <c r="L3137" s="28" t="s">
        <v>8318</v>
      </c>
      <c r="M3137" s="28" t="s">
        <v>21</v>
      </c>
      <c r="O3137" s="92">
        <v>38246</v>
      </c>
      <c r="P3137" s="28" t="s">
        <v>31</v>
      </c>
      <c r="Q3137" s="26" t="b">
        <v>0</v>
      </c>
      <c r="R3137" s="22">
        <f t="shared" si="51"/>
        <v>0</v>
      </c>
    </row>
    <row r="3138" spans="1:18">
      <c r="A3138" s="26">
        <v>7785</v>
      </c>
      <c r="B3138" s="27">
        <v>38246</v>
      </c>
      <c r="C3138" s="28" t="s">
        <v>10081</v>
      </c>
      <c r="D3138" s="27">
        <v>38232</v>
      </c>
      <c r="E3138" s="28" t="s">
        <v>38</v>
      </c>
      <c r="F3138" s="28" t="s">
        <v>8615</v>
      </c>
      <c r="G3138" s="28" t="s">
        <v>20</v>
      </c>
      <c r="H3138" s="28" t="s">
        <v>21</v>
      </c>
      <c r="I3138" s="28" t="s">
        <v>21</v>
      </c>
      <c r="J3138" s="28" t="s">
        <v>10082</v>
      </c>
      <c r="K3138" s="28" t="s">
        <v>10083</v>
      </c>
      <c r="L3138" s="28" t="s">
        <v>8318</v>
      </c>
      <c r="M3138" s="28" t="s">
        <v>21</v>
      </c>
      <c r="O3138" s="92">
        <v>38233</v>
      </c>
      <c r="P3138" s="28" t="s">
        <v>31</v>
      </c>
      <c r="Q3138" s="26" t="b">
        <v>0</v>
      </c>
      <c r="R3138" s="22">
        <f t="shared" si="51"/>
        <v>13</v>
      </c>
    </row>
    <row r="3139" spans="1:18">
      <c r="A3139" s="26">
        <v>7786</v>
      </c>
      <c r="B3139" s="27">
        <v>38246</v>
      </c>
      <c r="C3139" s="28" t="s">
        <v>10084</v>
      </c>
      <c r="D3139" s="27">
        <v>38245</v>
      </c>
      <c r="E3139" s="28" t="s">
        <v>10085</v>
      </c>
      <c r="F3139" s="28" t="s">
        <v>371</v>
      </c>
      <c r="G3139" s="28" t="s">
        <v>20</v>
      </c>
      <c r="H3139" s="28" t="s">
        <v>21</v>
      </c>
      <c r="I3139" s="28" t="s">
        <v>21</v>
      </c>
      <c r="J3139" s="28" t="s">
        <v>10086</v>
      </c>
      <c r="K3139" s="28" t="s">
        <v>10034</v>
      </c>
      <c r="L3139" s="28" t="s">
        <v>314</v>
      </c>
      <c r="M3139" s="28" t="s">
        <v>21</v>
      </c>
      <c r="O3139" s="92">
        <v>38294</v>
      </c>
      <c r="P3139" s="28" t="s">
        <v>31</v>
      </c>
      <c r="Q3139" s="26" t="b">
        <v>0</v>
      </c>
      <c r="R3139" s="22">
        <f t="shared" si="51"/>
        <v>47</v>
      </c>
    </row>
    <row r="3140" spans="1:18" ht="24">
      <c r="A3140" s="26">
        <v>7787</v>
      </c>
      <c r="B3140" s="27">
        <v>38257</v>
      </c>
      <c r="C3140" s="28" t="s">
        <v>10087</v>
      </c>
      <c r="D3140" s="27">
        <v>38257</v>
      </c>
      <c r="E3140" s="28" t="s">
        <v>3268</v>
      </c>
      <c r="F3140" s="28" t="s">
        <v>10088</v>
      </c>
      <c r="G3140" s="28" t="s">
        <v>20</v>
      </c>
      <c r="H3140" s="28" t="s">
        <v>21</v>
      </c>
      <c r="I3140" s="28" t="s">
        <v>21</v>
      </c>
      <c r="J3140" s="28" t="s">
        <v>10089</v>
      </c>
      <c r="K3140" s="28" t="s">
        <v>10090</v>
      </c>
      <c r="L3140" s="28" t="s">
        <v>8318</v>
      </c>
      <c r="M3140" s="28" t="s">
        <v>21</v>
      </c>
      <c r="O3140" s="92">
        <v>38282</v>
      </c>
      <c r="P3140" s="28" t="s">
        <v>31</v>
      </c>
      <c r="Q3140" s="26" t="b">
        <v>0</v>
      </c>
      <c r="R3140" s="22">
        <f t="shared" si="51"/>
        <v>25</v>
      </c>
    </row>
    <row r="3141" spans="1:18">
      <c r="A3141" s="26">
        <v>7788</v>
      </c>
      <c r="B3141" s="27">
        <v>38264</v>
      </c>
      <c r="C3141" s="28" t="s">
        <v>10091</v>
      </c>
      <c r="D3141" s="27">
        <v>38261</v>
      </c>
      <c r="E3141" s="28" t="s">
        <v>10092</v>
      </c>
      <c r="F3141" s="28" t="s">
        <v>3430</v>
      </c>
      <c r="G3141" s="28" t="s">
        <v>20</v>
      </c>
      <c r="H3141" s="28" t="s">
        <v>21</v>
      </c>
      <c r="I3141" s="28" t="s">
        <v>21</v>
      </c>
      <c r="J3141" s="28" t="s">
        <v>10093</v>
      </c>
      <c r="K3141" s="28" t="s">
        <v>10094</v>
      </c>
      <c r="L3141" s="28" t="s">
        <v>4282</v>
      </c>
      <c r="M3141" s="28" t="s">
        <v>21</v>
      </c>
      <c r="O3141" s="92">
        <v>38287</v>
      </c>
      <c r="P3141" s="28" t="s">
        <v>182</v>
      </c>
      <c r="Q3141" s="26" t="b">
        <v>0</v>
      </c>
      <c r="R3141" s="22">
        <f t="shared" si="51"/>
        <v>23</v>
      </c>
    </row>
    <row r="3142" spans="1:18" ht="24">
      <c r="A3142" s="26">
        <v>7789</v>
      </c>
      <c r="B3142" s="27">
        <v>38271</v>
      </c>
      <c r="C3142" s="28" t="s">
        <v>10095</v>
      </c>
      <c r="D3142" s="27">
        <v>38257</v>
      </c>
      <c r="E3142" s="28" t="s">
        <v>10096</v>
      </c>
      <c r="F3142" s="28" t="s">
        <v>10097</v>
      </c>
      <c r="G3142" s="28" t="s">
        <v>20</v>
      </c>
      <c r="H3142" s="28" t="s">
        <v>566</v>
      </c>
      <c r="I3142" s="28" t="s">
        <v>10098</v>
      </c>
      <c r="J3142" s="28" t="s">
        <v>9759</v>
      </c>
      <c r="K3142" s="28" t="s">
        <v>10099</v>
      </c>
      <c r="L3142" s="28" t="s">
        <v>4579</v>
      </c>
      <c r="M3142" s="28" t="s">
        <v>21</v>
      </c>
      <c r="O3142" s="92">
        <v>38457</v>
      </c>
      <c r="P3142" s="28" t="s">
        <v>31</v>
      </c>
      <c r="Q3142" s="26" t="b">
        <v>0</v>
      </c>
      <c r="R3142" s="22">
        <f t="shared" si="51"/>
        <v>186</v>
      </c>
    </row>
    <row r="3143" spans="1:18" ht="36">
      <c r="A3143" s="26">
        <v>7790</v>
      </c>
      <c r="B3143" s="27">
        <v>38272</v>
      </c>
      <c r="C3143" s="28" t="s">
        <v>10100</v>
      </c>
      <c r="D3143" s="27">
        <v>38272</v>
      </c>
      <c r="E3143" s="28" t="s">
        <v>3268</v>
      </c>
      <c r="F3143" s="28" t="s">
        <v>3971</v>
      </c>
      <c r="G3143" s="28" t="s">
        <v>20</v>
      </c>
      <c r="H3143" s="28" t="s">
        <v>21</v>
      </c>
      <c r="I3143" s="28" t="s">
        <v>21</v>
      </c>
      <c r="J3143" s="28" t="s">
        <v>10101</v>
      </c>
      <c r="K3143" s="28" t="s">
        <v>10102</v>
      </c>
      <c r="L3143" s="28" t="s">
        <v>8318</v>
      </c>
      <c r="M3143" s="28" t="s">
        <v>21</v>
      </c>
      <c r="O3143" s="92">
        <v>38322</v>
      </c>
      <c r="P3143" s="28" t="s">
        <v>182</v>
      </c>
      <c r="Q3143" s="26" t="b">
        <v>0</v>
      </c>
      <c r="R3143" s="22">
        <f t="shared" si="51"/>
        <v>49</v>
      </c>
    </row>
    <row r="3144" spans="1:18">
      <c r="A3144" s="26">
        <v>7793</v>
      </c>
      <c r="B3144" s="27">
        <v>38280</v>
      </c>
      <c r="C3144" s="28" t="s">
        <v>10109</v>
      </c>
      <c r="D3144" s="27">
        <v>38274</v>
      </c>
      <c r="E3144" s="28" t="s">
        <v>283</v>
      </c>
      <c r="F3144" s="28" t="s">
        <v>10110</v>
      </c>
      <c r="G3144" s="28" t="s">
        <v>20</v>
      </c>
      <c r="H3144" s="28" t="s">
        <v>21</v>
      </c>
      <c r="I3144" s="28" t="s">
        <v>21</v>
      </c>
      <c r="J3144" s="28" t="s">
        <v>5668</v>
      </c>
      <c r="K3144" s="28" t="s">
        <v>10111</v>
      </c>
      <c r="L3144" s="28" t="s">
        <v>1946</v>
      </c>
      <c r="M3144" s="28" t="s">
        <v>10044</v>
      </c>
      <c r="O3144" s="92">
        <v>38555</v>
      </c>
      <c r="P3144" s="28" t="s">
        <v>31</v>
      </c>
      <c r="Q3144" s="26" t="b">
        <v>0</v>
      </c>
      <c r="R3144" s="22">
        <f t="shared" si="51"/>
        <v>275</v>
      </c>
    </row>
    <row r="3145" spans="1:18">
      <c r="A3145" s="26">
        <v>7794</v>
      </c>
      <c r="B3145" s="27">
        <v>38282</v>
      </c>
      <c r="C3145" s="28" t="s">
        <v>10112</v>
      </c>
      <c r="D3145" s="27">
        <v>38281</v>
      </c>
      <c r="E3145" s="28" t="s">
        <v>10113</v>
      </c>
      <c r="F3145" s="28" t="s">
        <v>10114</v>
      </c>
      <c r="G3145" s="28" t="s">
        <v>20</v>
      </c>
      <c r="H3145" s="28" t="s">
        <v>21</v>
      </c>
      <c r="I3145" s="28" t="s">
        <v>21</v>
      </c>
      <c r="J3145" s="28" t="s">
        <v>10115</v>
      </c>
      <c r="K3145" s="28" t="s">
        <v>10116</v>
      </c>
      <c r="L3145" s="28" t="s">
        <v>2205</v>
      </c>
      <c r="M3145" s="28" t="s">
        <v>10117</v>
      </c>
      <c r="O3145" s="92">
        <v>38491</v>
      </c>
      <c r="P3145" s="28" t="s">
        <v>31</v>
      </c>
      <c r="Q3145" s="26" t="b">
        <v>0</v>
      </c>
      <c r="R3145" s="22">
        <f t="shared" si="51"/>
        <v>209</v>
      </c>
    </row>
    <row r="3146" spans="1:18" ht="24">
      <c r="A3146" s="26">
        <v>7795</v>
      </c>
      <c r="B3146" s="27">
        <v>38286</v>
      </c>
      <c r="C3146" s="28" t="s">
        <v>10118</v>
      </c>
      <c r="D3146" s="27">
        <v>38282</v>
      </c>
      <c r="E3146" s="28" t="s">
        <v>10119</v>
      </c>
      <c r="F3146" s="28" t="s">
        <v>974</v>
      </c>
      <c r="G3146" s="28" t="s">
        <v>20</v>
      </c>
      <c r="H3146" s="28" t="s">
        <v>212</v>
      </c>
      <c r="I3146" s="28" t="s">
        <v>10120</v>
      </c>
      <c r="J3146" s="28" t="s">
        <v>10121</v>
      </c>
      <c r="K3146" s="28" t="s">
        <v>4690</v>
      </c>
      <c r="L3146" s="28" t="s">
        <v>4579</v>
      </c>
      <c r="M3146" s="28" t="s">
        <v>21</v>
      </c>
      <c r="O3146" s="92">
        <v>38413</v>
      </c>
      <c r="P3146" s="28" t="s">
        <v>31</v>
      </c>
      <c r="Q3146" s="26" t="b">
        <v>0</v>
      </c>
      <c r="R3146" s="22">
        <f t="shared" si="51"/>
        <v>127</v>
      </c>
    </row>
    <row r="3147" spans="1:18">
      <c r="A3147" s="26">
        <v>7796</v>
      </c>
      <c r="B3147" s="27">
        <v>38292</v>
      </c>
      <c r="C3147" s="28" t="s">
        <v>10122</v>
      </c>
      <c r="D3147" s="27">
        <v>38268</v>
      </c>
      <c r="E3147" s="28" t="s">
        <v>10123</v>
      </c>
      <c r="F3147" s="28" t="s">
        <v>56</v>
      </c>
      <c r="G3147" s="28" t="s">
        <v>20</v>
      </c>
      <c r="H3147" s="28" t="s">
        <v>21</v>
      </c>
      <c r="I3147" s="28" t="s">
        <v>21</v>
      </c>
      <c r="J3147" s="28" t="s">
        <v>10124</v>
      </c>
      <c r="K3147" s="28" t="s">
        <v>10125</v>
      </c>
      <c r="L3147" s="28" t="s">
        <v>4579</v>
      </c>
      <c r="M3147" s="28" t="s">
        <v>21</v>
      </c>
      <c r="O3147" s="92">
        <v>38372</v>
      </c>
      <c r="P3147" s="28" t="s">
        <v>182</v>
      </c>
      <c r="Q3147" s="26" t="b">
        <v>0</v>
      </c>
      <c r="R3147" s="22">
        <f t="shared" si="51"/>
        <v>80</v>
      </c>
    </row>
    <row r="3148" spans="1:18">
      <c r="A3148" s="26">
        <v>7797</v>
      </c>
      <c r="B3148" s="27">
        <v>38292</v>
      </c>
      <c r="C3148" s="28" t="s">
        <v>10126</v>
      </c>
      <c r="D3148" s="27">
        <v>38286</v>
      </c>
      <c r="E3148" s="28" t="s">
        <v>10127</v>
      </c>
      <c r="F3148" s="28" t="s">
        <v>129</v>
      </c>
      <c r="G3148" s="28" t="s">
        <v>20</v>
      </c>
      <c r="H3148" s="28" t="s">
        <v>21</v>
      </c>
      <c r="I3148" s="28" t="s">
        <v>21</v>
      </c>
      <c r="J3148" s="28" t="s">
        <v>10128</v>
      </c>
      <c r="K3148" s="28" t="s">
        <v>10129</v>
      </c>
      <c r="L3148" s="28" t="s">
        <v>2205</v>
      </c>
      <c r="M3148" s="28" t="s">
        <v>314</v>
      </c>
      <c r="O3148" s="92">
        <v>38413</v>
      </c>
      <c r="P3148" s="28" t="s">
        <v>31</v>
      </c>
      <c r="Q3148" s="26" t="b">
        <v>0</v>
      </c>
      <c r="R3148" s="22">
        <f t="shared" si="51"/>
        <v>122</v>
      </c>
    </row>
    <row r="3149" spans="1:18" ht="24">
      <c r="A3149" s="26">
        <v>7798</v>
      </c>
      <c r="B3149" s="27">
        <v>38292</v>
      </c>
      <c r="C3149" s="28" t="s">
        <v>10130</v>
      </c>
      <c r="D3149" s="27">
        <v>38282</v>
      </c>
      <c r="E3149" s="28" t="s">
        <v>10131</v>
      </c>
      <c r="F3149" s="28" t="s">
        <v>10132</v>
      </c>
      <c r="G3149" s="28" t="s">
        <v>20</v>
      </c>
      <c r="H3149" s="28" t="s">
        <v>212</v>
      </c>
      <c r="I3149" s="28" t="s">
        <v>10120</v>
      </c>
      <c r="J3149" s="28" t="s">
        <v>10133</v>
      </c>
      <c r="K3149" s="28" t="s">
        <v>10134</v>
      </c>
      <c r="L3149" s="28" t="s">
        <v>4579</v>
      </c>
      <c r="M3149" s="28" t="s">
        <v>21</v>
      </c>
      <c r="O3149" s="92">
        <v>38310</v>
      </c>
      <c r="P3149" s="28" t="s">
        <v>31</v>
      </c>
      <c r="Q3149" s="26" t="b">
        <v>0</v>
      </c>
      <c r="R3149" s="22">
        <f t="shared" si="51"/>
        <v>18</v>
      </c>
    </row>
    <row r="3150" spans="1:18">
      <c r="A3150" s="26">
        <v>7799</v>
      </c>
      <c r="B3150" s="27">
        <v>38292</v>
      </c>
      <c r="C3150" s="28" t="s">
        <v>10135</v>
      </c>
      <c r="D3150" s="27">
        <v>38288</v>
      </c>
      <c r="E3150" s="28" t="s">
        <v>3268</v>
      </c>
      <c r="F3150" s="28" t="s">
        <v>52</v>
      </c>
      <c r="G3150" s="28" t="s">
        <v>20</v>
      </c>
      <c r="H3150" s="28" t="s">
        <v>21</v>
      </c>
      <c r="I3150" s="28" t="s">
        <v>21</v>
      </c>
      <c r="J3150" s="28" t="s">
        <v>10136</v>
      </c>
      <c r="K3150" s="28" t="s">
        <v>10137</v>
      </c>
      <c r="L3150" s="28" t="s">
        <v>314</v>
      </c>
      <c r="M3150" s="28" t="s">
        <v>21</v>
      </c>
      <c r="O3150" s="92">
        <v>38288</v>
      </c>
      <c r="P3150" s="28" t="s">
        <v>182</v>
      </c>
      <c r="Q3150" s="26" t="b">
        <v>0</v>
      </c>
      <c r="R3150" s="22">
        <f t="shared" si="51"/>
        <v>3</v>
      </c>
    </row>
    <row r="3151" spans="1:18">
      <c r="A3151" s="26">
        <v>7800</v>
      </c>
      <c r="B3151" s="27">
        <v>38292</v>
      </c>
      <c r="C3151" s="28" t="s">
        <v>10138</v>
      </c>
      <c r="D3151" s="29">
        <v>38289</v>
      </c>
      <c r="E3151" s="28" t="s">
        <v>10139</v>
      </c>
      <c r="F3151" s="28" t="s">
        <v>5704</v>
      </c>
      <c r="G3151" s="28" t="s">
        <v>20</v>
      </c>
      <c r="H3151" s="28" t="s">
        <v>21</v>
      </c>
      <c r="I3151" s="28" t="s">
        <v>21</v>
      </c>
      <c r="J3151" s="28" t="s">
        <v>9918</v>
      </c>
      <c r="K3151" s="28" t="s">
        <v>10140</v>
      </c>
      <c r="L3151" s="28" t="s">
        <v>8318</v>
      </c>
      <c r="M3151" s="28" t="s">
        <v>21</v>
      </c>
      <c r="O3151" s="92">
        <v>38289</v>
      </c>
      <c r="P3151" s="28" t="s">
        <v>31</v>
      </c>
      <c r="Q3151" s="26" t="b">
        <v>0</v>
      </c>
      <c r="R3151" s="22">
        <f t="shared" si="51"/>
        <v>2</v>
      </c>
    </row>
    <row r="3152" spans="1:18">
      <c r="A3152" s="26">
        <v>7801</v>
      </c>
      <c r="B3152" s="27">
        <v>38292</v>
      </c>
      <c r="C3152" s="28" t="s">
        <v>10141</v>
      </c>
      <c r="D3152" s="27">
        <v>38292</v>
      </c>
      <c r="E3152" s="28" t="s">
        <v>10142</v>
      </c>
      <c r="F3152" s="28" t="s">
        <v>8395</v>
      </c>
      <c r="G3152" s="28" t="s">
        <v>20</v>
      </c>
      <c r="H3152" s="28" t="s">
        <v>566</v>
      </c>
      <c r="I3152" s="28" t="s">
        <v>10070</v>
      </c>
      <c r="J3152" s="28" t="s">
        <v>10143</v>
      </c>
      <c r="K3152" s="28" t="s">
        <v>10144</v>
      </c>
      <c r="L3152" s="28" t="s">
        <v>314</v>
      </c>
      <c r="M3152" s="28" t="s">
        <v>21</v>
      </c>
      <c r="O3152" s="92">
        <v>38324</v>
      </c>
      <c r="P3152" s="28" t="s">
        <v>31</v>
      </c>
      <c r="Q3152" s="26" t="b">
        <v>0</v>
      </c>
      <c r="R3152" s="22">
        <f t="shared" si="51"/>
        <v>32</v>
      </c>
    </row>
    <row r="3153" spans="1:18" ht="24">
      <c r="A3153" s="26">
        <v>7802</v>
      </c>
      <c r="B3153" s="27">
        <v>38292</v>
      </c>
      <c r="C3153" s="28" t="s">
        <v>10145</v>
      </c>
      <c r="D3153" s="27">
        <v>38247</v>
      </c>
      <c r="E3153" s="28" t="s">
        <v>10146</v>
      </c>
      <c r="F3153" s="28" t="s">
        <v>6643</v>
      </c>
      <c r="G3153" s="28" t="s">
        <v>20</v>
      </c>
      <c r="H3153" s="28" t="s">
        <v>189</v>
      </c>
      <c r="I3153" s="28" t="s">
        <v>10147</v>
      </c>
      <c r="J3153" s="28" t="s">
        <v>10148</v>
      </c>
      <c r="K3153" s="28" t="s">
        <v>10149</v>
      </c>
      <c r="L3153" s="28" t="s">
        <v>1946</v>
      </c>
      <c r="M3153" s="28" t="s">
        <v>21</v>
      </c>
      <c r="O3153" s="92">
        <v>38252</v>
      </c>
      <c r="P3153" s="28" t="s">
        <v>21</v>
      </c>
      <c r="Q3153" s="26" t="b">
        <v>0</v>
      </c>
      <c r="R3153" s="22">
        <f t="shared" si="51"/>
        <v>39</v>
      </c>
    </row>
    <row r="3154" spans="1:18" ht="24">
      <c r="A3154" s="26">
        <v>7803</v>
      </c>
      <c r="B3154" s="27">
        <v>38292</v>
      </c>
      <c r="C3154" s="28" t="s">
        <v>10150</v>
      </c>
      <c r="D3154" s="27">
        <v>38247</v>
      </c>
      <c r="E3154" s="28" t="s">
        <v>10151</v>
      </c>
      <c r="F3154" s="28" t="s">
        <v>10152</v>
      </c>
      <c r="G3154" s="28" t="s">
        <v>20</v>
      </c>
      <c r="H3154" s="28" t="s">
        <v>21</v>
      </c>
      <c r="I3154" s="28" t="s">
        <v>21</v>
      </c>
      <c r="J3154" s="28" t="s">
        <v>10153</v>
      </c>
      <c r="K3154" s="28" t="s">
        <v>10154</v>
      </c>
      <c r="L3154" s="28" t="s">
        <v>314</v>
      </c>
      <c r="M3154" s="28" t="s">
        <v>21</v>
      </c>
      <c r="O3154" s="92">
        <v>38253</v>
      </c>
      <c r="P3154" s="28" t="s">
        <v>21</v>
      </c>
      <c r="Q3154" s="26" t="b">
        <v>0</v>
      </c>
      <c r="R3154" s="22">
        <f t="shared" si="51"/>
        <v>38</v>
      </c>
    </row>
    <row r="3155" spans="1:18">
      <c r="A3155" s="26">
        <v>7804</v>
      </c>
      <c r="B3155" s="27">
        <v>38292</v>
      </c>
      <c r="C3155" s="28" t="s">
        <v>10155</v>
      </c>
      <c r="D3155" s="27">
        <v>38280</v>
      </c>
      <c r="E3155" s="28" t="s">
        <v>38</v>
      </c>
      <c r="F3155" s="28" t="s">
        <v>1111</v>
      </c>
      <c r="G3155" s="28" t="s">
        <v>20</v>
      </c>
      <c r="H3155" s="28" t="s">
        <v>21</v>
      </c>
      <c r="I3155" s="28" t="s">
        <v>21</v>
      </c>
      <c r="J3155" s="28" t="s">
        <v>10156</v>
      </c>
      <c r="K3155" s="28" t="s">
        <v>10157</v>
      </c>
      <c r="L3155" s="28" t="s">
        <v>8318</v>
      </c>
      <c r="M3155" s="28" t="s">
        <v>21</v>
      </c>
      <c r="O3155" s="92">
        <v>38282</v>
      </c>
      <c r="P3155" s="28" t="s">
        <v>21</v>
      </c>
      <c r="Q3155" s="26" t="b">
        <v>0</v>
      </c>
      <c r="R3155" s="22">
        <f t="shared" si="51"/>
        <v>9</v>
      </c>
    </row>
    <row r="3156" spans="1:18">
      <c r="A3156" s="26">
        <v>7813</v>
      </c>
      <c r="B3156" s="27">
        <v>38292</v>
      </c>
      <c r="C3156" s="28" t="s">
        <v>10175</v>
      </c>
      <c r="D3156" s="27">
        <v>38292</v>
      </c>
      <c r="E3156" s="28" t="s">
        <v>3268</v>
      </c>
      <c r="F3156" s="28" t="s">
        <v>10176</v>
      </c>
      <c r="G3156" s="28" t="s">
        <v>20</v>
      </c>
      <c r="H3156" s="28" t="s">
        <v>21</v>
      </c>
      <c r="I3156" s="28" t="s">
        <v>21</v>
      </c>
      <c r="J3156" s="28" t="s">
        <v>7071</v>
      </c>
      <c r="K3156" s="28" t="s">
        <v>10177</v>
      </c>
      <c r="L3156" s="28" t="s">
        <v>8318</v>
      </c>
      <c r="M3156" s="28" t="s">
        <v>21</v>
      </c>
      <c r="O3156" s="92">
        <v>38323</v>
      </c>
      <c r="P3156" s="28" t="s">
        <v>182</v>
      </c>
      <c r="Q3156" s="26" t="b">
        <v>0</v>
      </c>
      <c r="R3156" s="22">
        <f t="shared" si="51"/>
        <v>31</v>
      </c>
    </row>
    <row r="3157" spans="1:18">
      <c r="A3157" s="26">
        <v>7805</v>
      </c>
      <c r="B3157" s="27">
        <v>38296</v>
      </c>
      <c r="C3157" s="28" t="s">
        <v>10158</v>
      </c>
      <c r="D3157" s="27">
        <v>38281</v>
      </c>
      <c r="E3157" s="28" t="s">
        <v>38</v>
      </c>
      <c r="F3157" s="28" t="s">
        <v>104</v>
      </c>
      <c r="G3157" s="28" t="s">
        <v>20</v>
      </c>
      <c r="H3157" s="28" t="s">
        <v>21</v>
      </c>
      <c r="I3157" s="28" t="s">
        <v>21</v>
      </c>
      <c r="J3157" s="28" t="s">
        <v>10159</v>
      </c>
      <c r="K3157" s="28" t="s">
        <v>8828</v>
      </c>
      <c r="L3157" s="28" t="s">
        <v>8318</v>
      </c>
      <c r="M3157" s="28" t="s">
        <v>21</v>
      </c>
      <c r="O3157" s="92">
        <v>38282</v>
      </c>
      <c r="P3157" s="28" t="s">
        <v>31</v>
      </c>
      <c r="Q3157" s="26" t="b">
        <v>0</v>
      </c>
      <c r="R3157" s="22">
        <f t="shared" si="51"/>
        <v>13</v>
      </c>
    </row>
    <row r="3158" spans="1:18">
      <c r="A3158" s="26">
        <v>7807</v>
      </c>
      <c r="B3158" s="27">
        <v>38296</v>
      </c>
      <c r="C3158" s="28" t="s">
        <v>10160</v>
      </c>
      <c r="D3158" s="18"/>
      <c r="E3158" s="28" t="s">
        <v>38</v>
      </c>
      <c r="F3158" s="28" t="s">
        <v>10161</v>
      </c>
      <c r="G3158" s="28" t="s">
        <v>20</v>
      </c>
      <c r="H3158" s="28" t="s">
        <v>21</v>
      </c>
      <c r="I3158" s="28" t="s">
        <v>21</v>
      </c>
      <c r="J3158" s="28" t="s">
        <v>10162</v>
      </c>
      <c r="K3158" s="28" t="s">
        <v>21</v>
      </c>
      <c r="L3158" s="28" t="s">
        <v>8318</v>
      </c>
      <c r="M3158" s="28" t="s">
        <v>21</v>
      </c>
      <c r="O3158" s="92">
        <v>38257</v>
      </c>
      <c r="P3158" s="28" t="s">
        <v>31</v>
      </c>
      <c r="Q3158" s="26" t="b">
        <v>0</v>
      </c>
      <c r="R3158" s="22">
        <f t="shared" si="51"/>
        <v>38</v>
      </c>
    </row>
    <row r="3159" spans="1:18">
      <c r="A3159" s="26">
        <v>7808</v>
      </c>
      <c r="B3159" s="27">
        <v>38296</v>
      </c>
      <c r="C3159" s="28" t="s">
        <v>10163</v>
      </c>
      <c r="D3159" s="27">
        <v>38250</v>
      </c>
      <c r="E3159" s="28" t="s">
        <v>38</v>
      </c>
      <c r="F3159" s="28" t="s">
        <v>124</v>
      </c>
      <c r="G3159" s="28" t="s">
        <v>20</v>
      </c>
      <c r="H3159" s="28" t="s">
        <v>21</v>
      </c>
      <c r="I3159" s="28" t="s">
        <v>21</v>
      </c>
      <c r="J3159" s="28" t="s">
        <v>5182</v>
      </c>
      <c r="K3159" s="28" t="s">
        <v>10164</v>
      </c>
      <c r="L3159" s="28" t="s">
        <v>8318</v>
      </c>
      <c r="M3159" s="28" t="s">
        <v>21</v>
      </c>
      <c r="O3159" s="92">
        <v>38257</v>
      </c>
      <c r="P3159" s="28" t="s">
        <v>31</v>
      </c>
      <c r="Q3159" s="26" t="b">
        <v>0</v>
      </c>
      <c r="R3159" s="22">
        <f t="shared" si="51"/>
        <v>38</v>
      </c>
    </row>
    <row r="3160" spans="1:18">
      <c r="A3160" s="26">
        <v>7809</v>
      </c>
      <c r="B3160" s="27">
        <v>38296</v>
      </c>
      <c r="C3160" s="28" t="s">
        <v>10165</v>
      </c>
      <c r="D3160" s="27">
        <v>38190</v>
      </c>
      <c r="E3160" s="28" t="s">
        <v>38</v>
      </c>
      <c r="F3160" s="28" t="s">
        <v>10166</v>
      </c>
      <c r="G3160" s="28" t="s">
        <v>20</v>
      </c>
      <c r="H3160" s="28" t="s">
        <v>21</v>
      </c>
      <c r="I3160" s="28" t="s">
        <v>21</v>
      </c>
      <c r="J3160" s="28" t="s">
        <v>10167</v>
      </c>
      <c r="K3160" s="28" t="s">
        <v>10168</v>
      </c>
      <c r="L3160" s="28" t="s">
        <v>314</v>
      </c>
      <c r="M3160" s="28" t="s">
        <v>21</v>
      </c>
      <c r="O3160" s="92">
        <v>38233</v>
      </c>
      <c r="P3160" s="28" t="s">
        <v>31</v>
      </c>
      <c r="Q3160" s="26" t="b">
        <v>0</v>
      </c>
      <c r="R3160" s="22">
        <f t="shared" si="51"/>
        <v>62</v>
      </c>
    </row>
    <row r="3161" spans="1:18">
      <c r="A3161" s="26">
        <v>7811</v>
      </c>
      <c r="B3161" s="27">
        <v>38296</v>
      </c>
      <c r="C3161" s="28" t="s">
        <v>10169</v>
      </c>
      <c r="D3161" s="27">
        <v>38279</v>
      </c>
      <c r="E3161" s="28" t="s">
        <v>38</v>
      </c>
      <c r="F3161" s="28" t="s">
        <v>741</v>
      </c>
      <c r="G3161" s="28" t="s">
        <v>20</v>
      </c>
      <c r="H3161" s="28" t="s">
        <v>21</v>
      </c>
      <c r="I3161" s="28" t="s">
        <v>21</v>
      </c>
      <c r="J3161" s="28" t="s">
        <v>10170</v>
      </c>
      <c r="K3161" s="28" t="s">
        <v>10171</v>
      </c>
      <c r="L3161" s="28" t="s">
        <v>8318</v>
      </c>
      <c r="M3161" s="28" t="s">
        <v>21</v>
      </c>
      <c r="O3161" s="92">
        <v>38282</v>
      </c>
      <c r="P3161" s="28" t="s">
        <v>31</v>
      </c>
      <c r="Q3161" s="26" t="b">
        <v>0</v>
      </c>
      <c r="R3161" s="22">
        <f t="shared" ref="R3161:R3224" si="52">IF(O3161=" ", " ", INT(YEARFRAC(O3161, B3161)*365))</f>
        <v>13</v>
      </c>
    </row>
    <row r="3162" spans="1:18">
      <c r="A3162" s="26">
        <v>7812</v>
      </c>
      <c r="B3162" s="27">
        <v>38296</v>
      </c>
      <c r="C3162" s="28" t="s">
        <v>10172</v>
      </c>
      <c r="D3162" s="27">
        <v>38271</v>
      </c>
      <c r="E3162" s="28" t="s">
        <v>38</v>
      </c>
      <c r="F3162" s="28" t="s">
        <v>149</v>
      </c>
      <c r="G3162" s="28" t="s">
        <v>20</v>
      </c>
      <c r="H3162" s="28" t="s">
        <v>21</v>
      </c>
      <c r="I3162" s="28" t="s">
        <v>21</v>
      </c>
      <c r="J3162" s="28" t="s">
        <v>10173</v>
      </c>
      <c r="K3162" s="28" t="s">
        <v>10174</v>
      </c>
      <c r="L3162" s="28" t="s">
        <v>314</v>
      </c>
      <c r="M3162" s="28" t="s">
        <v>21</v>
      </c>
      <c r="O3162" s="92">
        <v>38271</v>
      </c>
      <c r="P3162" s="28" t="s">
        <v>31</v>
      </c>
      <c r="Q3162" s="26" t="b">
        <v>0</v>
      </c>
      <c r="R3162" s="22">
        <f t="shared" si="52"/>
        <v>24</v>
      </c>
    </row>
    <row r="3163" spans="1:18">
      <c r="A3163" s="26">
        <v>7814</v>
      </c>
      <c r="B3163" s="27">
        <v>38296</v>
      </c>
      <c r="C3163" s="28" t="s">
        <v>10178</v>
      </c>
      <c r="D3163" s="27">
        <v>38287</v>
      </c>
      <c r="E3163" s="28" t="s">
        <v>10179</v>
      </c>
      <c r="F3163" s="28" t="s">
        <v>124</v>
      </c>
      <c r="G3163" s="28" t="s">
        <v>20</v>
      </c>
      <c r="H3163" s="28" t="s">
        <v>21</v>
      </c>
      <c r="I3163" s="28" t="s">
        <v>21</v>
      </c>
      <c r="J3163" s="28" t="s">
        <v>10180</v>
      </c>
      <c r="K3163" s="28" t="s">
        <v>10181</v>
      </c>
      <c r="L3163" s="28" t="s">
        <v>4579</v>
      </c>
      <c r="M3163" s="28" t="s">
        <v>21</v>
      </c>
      <c r="O3163" s="92">
        <v>38308</v>
      </c>
      <c r="P3163" s="28" t="s">
        <v>31</v>
      </c>
      <c r="Q3163" s="26" t="b">
        <v>0</v>
      </c>
      <c r="R3163" s="22">
        <f t="shared" si="52"/>
        <v>12</v>
      </c>
    </row>
    <row r="3164" spans="1:18">
      <c r="A3164" s="26">
        <v>7816</v>
      </c>
      <c r="B3164" s="27">
        <v>38296</v>
      </c>
      <c r="C3164" s="28" t="s">
        <v>10187</v>
      </c>
      <c r="D3164" s="27">
        <v>38293</v>
      </c>
      <c r="E3164" s="28" t="s">
        <v>10188</v>
      </c>
      <c r="F3164" s="28" t="s">
        <v>211</v>
      </c>
      <c r="G3164" s="28" t="s">
        <v>20</v>
      </c>
      <c r="H3164" s="28" t="s">
        <v>212</v>
      </c>
      <c r="I3164" s="28" t="s">
        <v>10120</v>
      </c>
      <c r="J3164" s="28" t="s">
        <v>10189</v>
      </c>
      <c r="K3164" s="28" t="s">
        <v>3639</v>
      </c>
      <c r="L3164" s="28" t="s">
        <v>4579</v>
      </c>
      <c r="M3164" s="28" t="s">
        <v>21</v>
      </c>
      <c r="O3164" s="92">
        <v>38426</v>
      </c>
      <c r="P3164" s="28" t="s">
        <v>31</v>
      </c>
      <c r="Q3164" s="26" t="b">
        <v>0</v>
      </c>
      <c r="R3164" s="22">
        <f t="shared" si="52"/>
        <v>131</v>
      </c>
    </row>
    <row r="3165" spans="1:18">
      <c r="A3165" s="26">
        <v>7815</v>
      </c>
      <c r="B3165" s="27">
        <v>38299</v>
      </c>
      <c r="C3165" s="28" t="s">
        <v>10182</v>
      </c>
      <c r="D3165" s="27">
        <v>38289</v>
      </c>
      <c r="E3165" s="28" t="s">
        <v>10183</v>
      </c>
      <c r="F3165" s="28" t="s">
        <v>10184</v>
      </c>
      <c r="G3165" s="28" t="s">
        <v>20</v>
      </c>
      <c r="H3165" s="28" t="s">
        <v>21</v>
      </c>
      <c r="I3165" s="28" t="s">
        <v>21</v>
      </c>
      <c r="J3165" s="28" t="s">
        <v>10185</v>
      </c>
      <c r="K3165" s="28" t="s">
        <v>10186</v>
      </c>
      <c r="L3165" s="28" t="s">
        <v>314</v>
      </c>
      <c r="M3165" s="28" t="s">
        <v>21</v>
      </c>
      <c r="O3165" s="92">
        <v>38334</v>
      </c>
      <c r="P3165" s="28" t="s">
        <v>31</v>
      </c>
      <c r="Q3165" s="26" t="b">
        <v>0</v>
      </c>
      <c r="R3165" s="22">
        <f t="shared" si="52"/>
        <v>35</v>
      </c>
    </row>
    <row r="3166" spans="1:18" ht="36">
      <c r="A3166" s="26">
        <v>7817</v>
      </c>
      <c r="B3166" s="27">
        <v>38299</v>
      </c>
      <c r="C3166" s="28" t="s">
        <v>10190</v>
      </c>
      <c r="D3166" s="27">
        <v>38292</v>
      </c>
      <c r="E3166" s="28" t="s">
        <v>10191</v>
      </c>
      <c r="F3166" s="28" t="s">
        <v>741</v>
      </c>
      <c r="G3166" s="28" t="s">
        <v>20</v>
      </c>
      <c r="H3166" s="28" t="s">
        <v>21</v>
      </c>
      <c r="I3166" s="28" t="s">
        <v>21</v>
      </c>
      <c r="J3166" s="28" t="s">
        <v>10170</v>
      </c>
      <c r="K3166" s="28" t="s">
        <v>10192</v>
      </c>
      <c r="L3166" s="28" t="s">
        <v>4282</v>
      </c>
      <c r="M3166" s="28" t="s">
        <v>1946</v>
      </c>
      <c r="O3166" s="92">
        <v>38471</v>
      </c>
      <c r="P3166" s="28" t="s">
        <v>31</v>
      </c>
      <c r="Q3166" s="26" t="b">
        <v>0</v>
      </c>
      <c r="R3166" s="22">
        <f t="shared" si="52"/>
        <v>173</v>
      </c>
    </row>
    <row r="3167" spans="1:18">
      <c r="A3167" s="26">
        <v>7818</v>
      </c>
      <c r="B3167" s="27">
        <v>38301</v>
      </c>
      <c r="C3167" s="28" t="s">
        <v>10193</v>
      </c>
      <c r="D3167" s="27">
        <v>38287</v>
      </c>
      <c r="E3167" s="28" t="s">
        <v>10194</v>
      </c>
      <c r="F3167" s="28" t="s">
        <v>10195</v>
      </c>
      <c r="G3167" s="28" t="s">
        <v>20</v>
      </c>
      <c r="H3167" s="28" t="s">
        <v>21</v>
      </c>
      <c r="I3167" s="28" t="s">
        <v>21</v>
      </c>
      <c r="J3167" s="28" t="s">
        <v>10196</v>
      </c>
      <c r="K3167" s="28" t="s">
        <v>10197</v>
      </c>
      <c r="L3167" s="28" t="s">
        <v>1946</v>
      </c>
      <c r="M3167" s="28" t="s">
        <v>21</v>
      </c>
      <c r="O3167" s="92">
        <v>38301</v>
      </c>
      <c r="P3167" s="28" t="s">
        <v>21</v>
      </c>
      <c r="Q3167" s="26" t="b">
        <v>0</v>
      </c>
      <c r="R3167" s="22">
        <f t="shared" si="52"/>
        <v>0</v>
      </c>
    </row>
    <row r="3168" spans="1:18">
      <c r="A3168" s="26">
        <v>7819</v>
      </c>
      <c r="B3168" s="27">
        <v>38306</v>
      </c>
      <c r="C3168" s="28" t="s">
        <v>10198</v>
      </c>
      <c r="D3168" s="27">
        <v>38299</v>
      </c>
      <c r="E3168" s="28" t="s">
        <v>10199</v>
      </c>
      <c r="F3168" s="28" t="s">
        <v>145</v>
      </c>
      <c r="G3168" s="28" t="s">
        <v>20</v>
      </c>
      <c r="H3168" s="28" t="s">
        <v>21</v>
      </c>
      <c r="I3168" s="28" t="s">
        <v>21</v>
      </c>
      <c r="J3168" s="28" t="s">
        <v>10200</v>
      </c>
      <c r="K3168" s="28" t="s">
        <v>10201</v>
      </c>
      <c r="L3168" s="28" t="s">
        <v>4282</v>
      </c>
      <c r="M3168" s="28" t="s">
        <v>21</v>
      </c>
      <c r="O3168" s="92">
        <v>38357</v>
      </c>
      <c r="P3168" s="28" t="s">
        <v>21</v>
      </c>
      <c r="Q3168" s="26" t="b">
        <v>0</v>
      </c>
      <c r="R3168" s="22">
        <f t="shared" si="52"/>
        <v>50</v>
      </c>
    </row>
    <row r="3169" spans="1:18" ht="24">
      <c r="A3169" s="26">
        <v>7821</v>
      </c>
      <c r="B3169" s="27">
        <v>38309</v>
      </c>
      <c r="C3169" s="28" t="s">
        <v>10206</v>
      </c>
      <c r="D3169" s="27">
        <v>38309</v>
      </c>
      <c r="E3169" s="28" t="s">
        <v>3268</v>
      </c>
      <c r="F3169" s="28" t="s">
        <v>7574</v>
      </c>
      <c r="G3169" s="28" t="s">
        <v>20</v>
      </c>
      <c r="H3169" s="28" t="s">
        <v>21</v>
      </c>
      <c r="I3169" s="28" t="s">
        <v>21</v>
      </c>
      <c r="J3169" s="28" t="s">
        <v>10207</v>
      </c>
      <c r="K3169" s="28" t="s">
        <v>10208</v>
      </c>
      <c r="L3169" s="28" t="s">
        <v>4282</v>
      </c>
      <c r="M3169" s="28" t="s">
        <v>8318</v>
      </c>
      <c r="O3169" s="92">
        <v>38355</v>
      </c>
      <c r="P3169" s="28" t="s">
        <v>31</v>
      </c>
      <c r="Q3169" s="26" t="b">
        <v>0</v>
      </c>
      <c r="R3169" s="22">
        <f t="shared" si="52"/>
        <v>45</v>
      </c>
    </row>
    <row r="3170" spans="1:18">
      <c r="A3170" s="26">
        <v>7826</v>
      </c>
      <c r="B3170" s="27">
        <v>38309</v>
      </c>
      <c r="C3170" s="28" t="s">
        <v>10206</v>
      </c>
      <c r="D3170" s="27">
        <v>38309</v>
      </c>
      <c r="E3170" s="28" t="s">
        <v>3268</v>
      </c>
      <c r="F3170" s="28" t="s">
        <v>7574</v>
      </c>
      <c r="G3170" s="28" t="s">
        <v>20</v>
      </c>
      <c r="H3170" s="28" t="s">
        <v>21</v>
      </c>
      <c r="I3170" s="28" t="s">
        <v>21</v>
      </c>
      <c r="J3170" s="28" t="s">
        <v>10218</v>
      </c>
      <c r="K3170" s="28" t="s">
        <v>10219</v>
      </c>
      <c r="L3170" s="28" t="s">
        <v>8318</v>
      </c>
      <c r="M3170" s="28" t="s">
        <v>21</v>
      </c>
      <c r="O3170" s="92">
        <v>38335</v>
      </c>
      <c r="P3170" s="28" t="s">
        <v>182</v>
      </c>
      <c r="Q3170" s="26" t="b">
        <v>0</v>
      </c>
      <c r="R3170" s="22">
        <f t="shared" si="52"/>
        <v>26</v>
      </c>
    </row>
    <row r="3171" spans="1:18">
      <c r="A3171" s="26">
        <v>7820</v>
      </c>
      <c r="B3171" s="27">
        <v>38313</v>
      </c>
      <c r="C3171" s="28" t="s">
        <v>10202</v>
      </c>
      <c r="D3171" s="27">
        <v>38292</v>
      </c>
      <c r="E3171" s="28" t="s">
        <v>38</v>
      </c>
      <c r="F3171" s="28" t="s">
        <v>1830</v>
      </c>
      <c r="G3171" s="28" t="s">
        <v>20</v>
      </c>
      <c r="H3171" s="28" t="s">
        <v>21</v>
      </c>
      <c r="I3171" s="28" t="s">
        <v>21</v>
      </c>
      <c r="J3171" s="28" t="s">
        <v>10203</v>
      </c>
      <c r="K3171" s="28" t="s">
        <v>10204</v>
      </c>
      <c r="L3171" s="28" t="s">
        <v>10205</v>
      </c>
      <c r="M3171" s="28" t="s">
        <v>21</v>
      </c>
      <c r="O3171" s="92">
        <v>38334</v>
      </c>
      <c r="P3171" s="28" t="s">
        <v>31</v>
      </c>
      <c r="Q3171" s="26" t="b">
        <v>0</v>
      </c>
      <c r="R3171" s="22">
        <f t="shared" si="52"/>
        <v>21</v>
      </c>
    </row>
    <row r="3172" spans="1:18" ht="24">
      <c r="A3172" s="26">
        <v>7824</v>
      </c>
      <c r="B3172" s="27">
        <v>38314</v>
      </c>
      <c r="C3172" s="28" t="s">
        <v>10209</v>
      </c>
      <c r="D3172" s="27">
        <v>38314</v>
      </c>
      <c r="E3172" s="28" t="s">
        <v>10210</v>
      </c>
      <c r="F3172" s="28" t="s">
        <v>10211</v>
      </c>
      <c r="G3172" s="28" t="s">
        <v>20</v>
      </c>
      <c r="H3172" s="28" t="s">
        <v>21</v>
      </c>
      <c r="I3172" s="28" t="s">
        <v>21</v>
      </c>
      <c r="J3172" s="28" t="s">
        <v>10212</v>
      </c>
      <c r="K3172" s="28" t="s">
        <v>10213</v>
      </c>
      <c r="L3172" s="28" t="s">
        <v>4579</v>
      </c>
      <c r="M3172" s="28" t="s">
        <v>21</v>
      </c>
      <c r="O3172" s="92">
        <v>38335</v>
      </c>
      <c r="P3172" s="28" t="s">
        <v>21</v>
      </c>
      <c r="Q3172" s="26" t="b">
        <v>0</v>
      </c>
      <c r="R3172" s="22">
        <f t="shared" si="52"/>
        <v>21</v>
      </c>
    </row>
    <row r="3173" spans="1:18">
      <c r="A3173" s="26">
        <v>7825</v>
      </c>
      <c r="B3173" s="27">
        <v>38320</v>
      </c>
      <c r="C3173" s="28" t="s">
        <v>10214</v>
      </c>
      <c r="D3173" s="27">
        <v>38308</v>
      </c>
      <c r="E3173" s="28" t="s">
        <v>10215</v>
      </c>
      <c r="F3173" s="28" t="s">
        <v>984</v>
      </c>
      <c r="G3173" s="28" t="s">
        <v>20</v>
      </c>
      <c r="H3173" s="28" t="s">
        <v>21</v>
      </c>
      <c r="I3173" s="28" t="s">
        <v>21</v>
      </c>
      <c r="J3173" s="28" t="s">
        <v>10216</v>
      </c>
      <c r="K3173" s="28" t="s">
        <v>10217</v>
      </c>
      <c r="L3173" s="28" t="s">
        <v>4282</v>
      </c>
      <c r="M3173" s="28" t="s">
        <v>21</v>
      </c>
      <c r="O3173" s="92">
        <v>38327</v>
      </c>
      <c r="P3173" s="28" t="s">
        <v>31</v>
      </c>
      <c r="Q3173" s="26" t="b">
        <v>0</v>
      </c>
      <c r="R3173" s="22">
        <f t="shared" si="52"/>
        <v>7</v>
      </c>
    </row>
    <row r="3174" spans="1:18">
      <c r="A3174" s="26">
        <v>7827</v>
      </c>
      <c r="B3174" s="27">
        <v>38321</v>
      </c>
      <c r="C3174" s="28" t="s">
        <v>10220</v>
      </c>
      <c r="D3174" s="27">
        <v>38313</v>
      </c>
      <c r="E3174" s="28" t="s">
        <v>10221</v>
      </c>
      <c r="F3174" s="28" t="s">
        <v>27</v>
      </c>
      <c r="G3174" s="28" t="s">
        <v>20</v>
      </c>
      <c r="H3174" s="28" t="s">
        <v>21</v>
      </c>
      <c r="I3174" s="28" t="s">
        <v>21</v>
      </c>
      <c r="J3174" s="28" t="s">
        <v>10029</v>
      </c>
      <c r="K3174" s="28" t="s">
        <v>10222</v>
      </c>
      <c r="L3174" s="28" t="s">
        <v>4282</v>
      </c>
      <c r="M3174" s="28" t="s">
        <v>21</v>
      </c>
      <c r="O3174" s="92">
        <v>38357</v>
      </c>
      <c r="P3174" s="28" t="s">
        <v>31</v>
      </c>
      <c r="Q3174" s="26" t="b">
        <v>0</v>
      </c>
      <c r="R3174" s="22">
        <f t="shared" si="52"/>
        <v>35</v>
      </c>
    </row>
    <row r="3175" spans="1:18">
      <c r="A3175" s="26">
        <v>7828</v>
      </c>
      <c r="B3175" s="27">
        <v>38321</v>
      </c>
      <c r="C3175" s="28" t="s">
        <v>10223</v>
      </c>
      <c r="D3175" s="27">
        <v>38306</v>
      </c>
      <c r="E3175" s="28" t="s">
        <v>10224</v>
      </c>
      <c r="F3175" s="28" t="s">
        <v>5704</v>
      </c>
      <c r="G3175" s="28" t="s">
        <v>20</v>
      </c>
      <c r="H3175" s="28" t="s">
        <v>21</v>
      </c>
      <c r="I3175" s="28" t="s">
        <v>21</v>
      </c>
      <c r="J3175" s="28" t="s">
        <v>10225</v>
      </c>
      <c r="K3175" s="28" t="s">
        <v>21</v>
      </c>
      <c r="L3175" s="28" t="s">
        <v>4579</v>
      </c>
      <c r="M3175" s="28" t="s">
        <v>21</v>
      </c>
      <c r="O3175" s="92">
        <v>38387</v>
      </c>
      <c r="P3175" s="28" t="s">
        <v>31</v>
      </c>
      <c r="Q3175" s="26" t="b">
        <v>0</v>
      </c>
      <c r="R3175" s="22">
        <f t="shared" si="52"/>
        <v>64</v>
      </c>
    </row>
    <row r="3176" spans="1:18">
      <c r="A3176" s="26">
        <v>7829</v>
      </c>
      <c r="B3176" s="27">
        <v>38322</v>
      </c>
      <c r="C3176" s="28" t="s">
        <v>10226</v>
      </c>
      <c r="D3176" s="27">
        <v>38307</v>
      </c>
      <c r="E3176" s="28" t="s">
        <v>38</v>
      </c>
      <c r="F3176" s="28" t="s">
        <v>10227</v>
      </c>
      <c r="G3176" s="28" t="s">
        <v>20</v>
      </c>
      <c r="H3176" s="28" t="s">
        <v>21</v>
      </c>
      <c r="I3176" s="28" t="s">
        <v>10070</v>
      </c>
      <c r="J3176" s="28" t="s">
        <v>10228</v>
      </c>
      <c r="K3176" s="28" t="s">
        <v>10229</v>
      </c>
      <c r="L3176" s="28" t="s">
        <v>8318</v>
      </c>
      <c r="M3176" s="28" t="s">
        <v>21</v>
      </c>
      <c r="O3176" s="92">
        <v>38315</v>
      </c>
      <c r="P3176" s="28" t="s">
        <v>31</v>
      </c>
      <c r="Q3176" s="26" t="b">
        <v>0</v>
      </c>
      <c r="R3176" s="22">
        <f t="shared" si="52"/>
        <v>7</v>
      </c>
    </row>
    <row r="3177" spans="1:18">
      <c r="A3177" s="26">
        <v>7830</v>
      </c>
      <c r="B3177" s="27">
        <v>38322</v>
      </c>
      <c r="C3177" s="28" t="s">
        <v>10230</v>
      </c>
      <c r="D3177" s="27">
        <v>38315</v>
      </c>
      <c r="E3177" s="28" t="s">
        <v>38</v>
      </c>
      <c r="F3177" s="28" t="s">
        <v>3430</v>
      </c>
      <c r="G3177" s="28" t="s">
        <v>20</v>
      </c>
      <c r="H3177" s="28" t="s">
        <v>21</v>
      </c>
      <c r="I3177" s="28" t="s">
        <v>72</v>
      </c>
      <c r="J3177" s="28" t="s">
        <v>10231</v>
      </c>
      <c r="K3177" s="28" t="s">
        <v>10232</v>
      </c>
      <c r="L3177" s="28" t="s">
        <v>8318</v>
      </c>
      <c r="M3177" s="28" t="s">
        <v>21</v>
      </c>
      <c r="O3177" s="92">
        <v>38315</v>
      </c>
      <c r="P3177" s="28" t="s">
        <v>31</v>
      </c>
      <c r="Q3177" s="26" t="b">
        <v>0</v>
      </c>
      <c r="R3177" s="22">
        <f t="shared" si="52"/>
        <v>7</v>
      </c>
    </row>
    <row r="3178" spans="1:18">
      <c r="A3178" s="26">
        <v>7831</v>
      </c>
      <c r="B3178" s="27">
        <v>38327</v>
      </c>
      <c r="C3178" s="28" t="s">
        <v>10233</v>
      </c>
      <c r="D3178" s="27">
        <v>38321</v>
      </c>
      <c r="E3178" s="28" t="s">
        <v>10234</v>
      </c>
      <c r="F3178" s="28" t="s">
        <v>70</v>
      </c>
      <c r="G3178" s="28" t="s">
        <v>20</v>
      </c>
      <c r="H3178" s="28" t="s">
        <v>21</v>
      </c>
      <c r="I3178" s="28" t="s">
        <v>21</v>
      </c>
      <c r="J3178" s="28" t="s">
        <v>6147</v>
      </c>
      <c r="K3178" s="28" t="s">
        <v>10235</v>
      </c>
      <c r="L3178" s="28" t="s">
        <v>4282</v>
      </c>
      <c r="M3178" s="28" t="s">
        <v>21</v>
      </c>
      <c r="O3178" s="92">
        <v>38642</v>
      </c>
      <c r="P3178" s="28" t="s">
        <v>21</v>
      </c>
      <c r="Q3178" s="26" t="b">
        <v>0</v>
      </c>
      <c r="R3178" s="22">
        <f t="shared" si="52"/>
        <v>315</v>
      </c>
    </row>
    <row r="3179" spans="1:18">
      <c r="A3179" s="26">
        <v>7832</v>
      </c>
      <c r="B3179" s="27">
        <v>38327</v>
      </c>
      <c r="C3179" s="28" t="s">
        <v>10236</v>
      </c>
      <c r="D3179" s="27">
        <v>38320</v>
      </c>
      <c r="E3179" s="28" t="s">
        <v>10237</v>
      </c>
      <c r="F3179" s="28" t="s">
        <v>455</v>
      </c>
      <c r="G3179" s="28" t="s">
        <v>20</v>
      </c>
      <c r="H3179" s="28" t="s">
        <v>21</v>
      </c>
      <c r="I3179" s="28" t="s">
        <v>21</v>
      </c>
      <c r="J3179" s="28" t="s">
        <v>10238</v>
      </c>
      <c r="K3179" s="28" t="s">
        <v>6540</v>
      </c>
      <c r="L3179" s="28" t="s">
        <v>4579</v>
      </c>
      <c r="M3179" s="28" t="s">
        <v>21</v>
      </c>
      <c r="O3179" s="92">
        <v>38471</v>
      </c>
      <c r="P3179" s="28" t="s">
        <v>31</v>
      </c>
      <c r="Q3179" s="26" t="b">
        <v>0</v>
      </c>
      <c r="R3179" s="22">
        <f t="shared" si="52"/>
        <v>144</v>
      </c>
    </row>
    <row r="3180" spans="1:18" ht="24">
      <c r="A3180" s="26">
        <v>7833</v>
      </c>
      <c r="B3180" s="27">
        <v>38328</v>
      </c>
      <c r="C3180" s="28" t="s">
        <v>10239</v>
      </c>
      <c r="D3180" s="27">
        <v>38327</v>
      </c>
      <c r="E3180" s="28" t="s">
        <v>10240</v>
      </c>
      <c r="F3180" s="28" t="s">
        <v>1232</v>
      </c>
      <c r="G3180" s="28" t="s">
        <v>20</v>
      </c>
      <c r="H3180" s="28" t="s">
        <v>189</v>
      </c>
      <c r="I3180" s="28" t="s">
        <v>10147</v>
      </c>
      <c r="J3180" s="28" t="s">
        <v>10241</v>
      </c>
      <c r="K3180" s="28" t="s">
        <v>10242</v>
      </c>
      <c r="L3180" s="28" t="s">
        <v>8318</v>
      </c>
      <c r="M3180" s="28" t="s">
        <v>21</v>
      </c>
      <c r="O3180" s="92">
        <v>38331</v>
      </c>
      <c r="P3180" s="28" t="s">
        <v>21</v>
      </c>
      <c r="Q3180" s="26" t="b">
        <v>0</v>
      </c>
      <c r="R3180" s="22">
        <f t="shared" si="52"/>
        <v>3</v>
      </c>
    </row>
    <row r="3181" spans="1:18">
      <c r="A3181" s="26">
        <v>7834</v>
      </c>
      <c r="B3181" s="27">
        <v>38334</v>
      </c>
      <c r="C3181" s="28" t="s">
        <v>10243</v>
      </c>
      <c r="D3181" s="27">
        <v>38329</v>
      </c>
      <c r="E3181" s="28" t="s">
        <v>10244</v>
      </c>
      <c r="F3181" s="28" t="s">
        <v>10132</v>
      </c>
      <c r="G3181" s="28" t="s">
        <v>20</v>
      </c>
      <c r="H3181" s="28" t="s">
        <v>212</v>
      </c>
      <c r="I3181" s="28" t="s">
        <v>10120</v>
      </c>
      <c r="J3181" s="28" t="s">
        <v>10245</v>
      </c>
      <c r="K3181" s="28" t="s">
        <v>10246</v>
      </c>
      <c r="L3181" s="28" t="s">
        <v>4579</v>
      </c>
      <c r="M3181" s="28" t="s">
        <v>21</v>
      </c>
      <c r="O3181" s="92">
        <v>38364</v>
      </c>
      <c r="P3181" s="28" t="s">
        <v>21</v>
      </c>
      <c r="Q3181" s="26" t="b">
        <v>0</v>
      </c>
      <c r="R3181" s="22">
        <f t="shared" si="52"/>
        <v>29</v>
      </c>
    </row>
    <row r="3182" spans="1:18">
      <c r="A3182" s="26">
        <v>7835</v>
      </c>
      <c r="B3182" s="27">
        <v>38334</v>
      </c>
      <c r="C3182" s="28" t="s">
        <v>10247</v>
      </c>
      <c r="D3182" s="27">
        <v>38334</v>
      </c>
      <c r="E3182" s="28" t="s">
        <v>4172</v>
      </c>
      <c r="F3182" s="28" t="s">
        <v>741</v>
      </c>
      <c r="G3182" s="28" t="s">
        <v>20</v>
      </c>
      <c r="H3182" s="28" t="s">
        <v>21</v>
      </c>
      <c r="I3182" s="28" t="s">
        <v>21</v>
      </c>
      <c r="J3182" s="28" t="s">
        <v>10248</v>
      </c>
      <c r="K3182" s="28" t="s">
        <v>10249</v>
      </c>
      <c r="L3182" s="28" t="s">
        <v>4282</v>
      </c>
      <c r="M3182" s="28" t="s">
        <v>21</v>
      </c>
      <c r="O3182" s="92">
        <v>38378</v>
      </c>
      <c r="P3182" s="28" t="s">
        <v>21</v>
      </c>
      <c r="Q3182" s="26" t="b">
        <v>0</v>
      </c>
      <c r="R3182" s="22">
        <f t="shared" si="52"/>
        <v>43</v>
      </c>
    </row>
    <row r="3183" spans="1:18">
      <c r="A3183" s="26">
        <v>7836</v>
      </c>
      <c r="B3183" s="27">
        <v>38336</v>
      </c>
      <c r="C3183" s="28" t="s">
        <v>10250</v>
      </c>
      <c r="D3183" s="27">
        <v>38330</v>
      </c>
      <c r="E3183" s="28" t="s">
        <v>10251</v>
      </c>
      <c r="F3183" s="28" t="s">
        <v>350</v>
      </c>
      <c r="G3183" s="28" t="s">
        <v>20</v>
      </c>
      <c r="H3183" s="28" t="s">
        <v>21</v>
      </c>
      <c r="I3183" s="28" t="s">
        <v>21</v>
      </c>
      <c r="J3183" s="28" t="s">
        <v>10252</v>
      </c>
      <c r="K3183" s="28" t="s">
        <v>10253</v>
      </c>
      <c r="L3183" s="28" t="s">
        <v>1946</v>
      </c>
      <c r="M3183" s="28" t="s">
        <v>21</v>
      </c>
      <c r="O3183" s="92">
        <v>38512</v>
      </c>
      <c r="P3183" s="28" t="s">
        <v>31</v>
      </c>
      <c r="Q3183" s="26" t="b">
        <v>0</v>
      </c>
      <c r="R3183" s="22">
        <f t="shared" si="52"/>
        <v>176</v>
      </c>
    </row>
    <row r="3184" spans="1:18">
      <c r="A3184" s="26">
        <v>7838</v>
      </c>
      <c r="B3184" s="27">
        <v>38341</v>
      </c>
      <c r="C3184" s="28" t="s">
        <v>10254</v>
      </c>
      <c r="D3184" s="27">
        <v>38337</v>
      </c>
      <c r="E3184" s="28" t="s">
        <v>1928</v>
      </c>
      <c r="F3184" s="28" t="s">
        <v>1232</v>
      </c>
      <c r="G3184" s="28" t="s">
        <v>20</v>
      </c>
      <c r="H3184" s="28" t="s">
        <v>189</v>
      </c>
      <c r="I3184" s="28" t="s">
        <v>189</v>
      </c>
      <c r="J3184" s="28" t="s">
        <v>10255</v>
      </c>
      <c r="K3184" s="28" t="s">
        <v>10256</v>
      </c>
      <c r="L3184" s="28" t="s">
        <v>8744</v>
      </c>
      <c r="M3184" s="28" t="s">
        <v>21</v>
      </c>
      <c r="O3184" s="92">
        <v>38337</v>
      </c>
      <c r="P3184" s="28" t="s">
        <v>31</v>
      </c>
      <c r="Q3184" s="26" t="b">
        <v>0</v>
      </c>
      <c r="R3184" s="22">
        <f t="shared" si="52"/>
        <v>4</v>
      </c>
    </row>
    <row r="3185" spans="1:18">
      <c r="A3185" s="26">
        <v>7839</v>
      </c>
      <c r="B3185" s="27">
        <v>38341</v>
      </c>
      <c r="C3185" s="28" t="s">
        <v>10257</v>
      </c>
      <c r="D3185" s="27">
        <v>38333</v>
      </c>
      <c r="E3185" s="28" t="s">
        <v>10258</v>
      </c>
      <c r="F3185" s="28" t="s">
        <v>1232</v>
      </c>
      <c r="G3185" s="28" t="s">
        <v>20</v>
      </c>
      <c r="H3185" s="28" t="s">
        <v>189</v>
      </c>
      <c r="I3185" s="28" t="s">
        <v>189</v>
      </c>
      <c r="J3185" s="28" t="s">
        <v>9218</v>
      </c>
      <c r="K3185" s="28" t="s">
        <v>10259</v>
      </c>
      <c r="L3185" s="28" t="s">
        <v>4282</v>
      </c>
      <c r="M3185" s="28" t="s">
        <v>21</v>
      </c>
      <c r="O3185" s="92">
        <v>38378</v>
      </c>
      <c r="P3185" s="28" t="s">
        <v>31</v>
      </c>
      <c r="Q3185" s="26" t="b">
        <v>0</v>
      </c>
      <c r="R3185" s="22">
        <f t="shared" si="52"/>
        <v>36</v>
      </c>
    </row>
    <row r="3186" spans="1:18">
      <c r="A3186" s="26">
        <v>7840</v>
      </c>
      <c r="B3186" s="27">
        <v>38341</v>
      </c>
      <c r="C3186" s="28" t="s">
        <v>10260</v>
      </c>
      <c r="D3186" s="27">
        <v>38338</v>
      </c>
      <c r="E3186" s="28" t="s">
        <v>10261</v>
      </c>
      <c r="F3186" s="28" t="s">
        <v>5704</v>
      </c>
      <c r="G3186" s="28" t="s">
        <v>20</v>
      </c>
      <c r="H3186" s="28" t="s">
        <v>21</v>
      </c>
      <c r="I3186" s="28" t="s">
        <v>21</v>
      </c>
      <c r="J3186" s="28" t="s">
        <v>10262</v>
      </c>
      <c r="K3186" s="28" t="s">
        <v>10263</v>
      </c>
      <c r="L3186" s="28" t="s">
        <v>4579</v>
      </c>
      <c r="M3186" s="28" t="s">
        <v>21</v>
      </c>
      <c r="O3186" s="92">
        <v>38391</v>
      </c>
      <c r="P3186" s="28" t="s">
        <v>31</v>
      </c>
      <c r="Q3186" s="26" t="b">
        <v>0</v>
      </c>
      <c r="R3186" s="22">
        <f t="shared" si="52"/>
        <v>48</v>
      </c>
    </row>
    <row r="3187" spans="1:18">
      <c r="A3187" s="26">
        <v>7841</v>
      </c>
      <c r="B3187" s="27">
        <v>38341</v>
      </c>
      <c r="C3187" s="28" t="s">
        <v>10264</v>
      </c>
      <c r="D3187" s="29">
        <v>38341</v>
      </c>
      <c r="E3187" s="28" t="s">
        <v>10265</v>
      </c>
      <c r="F3187" s="28" t="s">
        <v>8615</v>
      </c>
      <c r="G3187" s="28" t="s">
        <v>20</v>
      </c>
      <c r="H3187" s="28" t="s">
        <v>21</v>
      </c>
      <c r="I3187" s="28" t="s">
        <v>21</v>
      </c>
      <c r="J3187" s="28" t="s">
        <v>10266</v>
      </c>
      <c r="K3187" s="28" t="s">
        <v>21</v>
      </c>
      <c r="L3187" s="28" t="s">
        <v>4579</v>
      </c>
      <c r="M3187" s="28" t="s">
        <v>21</v>
      </c>
      <c r="O3187" s="92">
        <v>38364</v>
      </c>
      <c r="P3187" s="28" t="s">
        <v>21</v>
      </c>
      <c r="Q3187" s="26" t="b">
        <v>0</v>
      </c>
      <c r="R3187" s="22">
        <f t="shared" si="52"/>
        <v>22</v>
      </c>
    </row>
    <row r="3188" spans="1:18">
      <c r="A3188" s="26">
        <v>7842</v>
      </c>
      <c r="B3188" s="27">
        <v>38351</v>
      </c>
      <c r="C3188" s="28" t="s">
        <v>17277</v>
      </c>
      <c r="D3188" s="27"/>
      <c r="E3188" s="28" t="s">
        <v>17278</v>
      </c>
      <c r="F3188" s="28" t="s">
        <v>974</v>
      </c>
      <c r="G3188" s="28" t="s">
        <v>20</v>
      </c>
      <c r="H3188" s="28"/>
      <c r="I3188" s="28"/>
      <c r="J3188" s="28" t="s">
        <v>17279</v>
      </c>
      <c r="K3188" s="28" t="s">
        <v>17280</v>
      </c>
      <c r="L3188" s="28" t="s">
        <v>1946</v>
      </c>
      <c r="M3188" s="28"/>
      <c r="O3188" s="92">
        <v>38457</v>
      </c>
      <c r="P3188" s="28"/>
      <c r="Q3188" s="26" t="b">
        <v>0</v>
      </c>
      <c r="R3188" s="22">
        <f t="shared" si="52"/>
        <v>106</v>
      </c>
    </row>
    <row r="3189" spans="1:18">
      <c r="A3189" s="26">
        <v>7843</v>
      </c>
      <c r="B3189" s="27">
        <v>38351</v>
      </c>
      <c r="C3189" s="28" t="s">
        <v>17281</v>
      </c>
      <c r="D3189" s="18"/>
      <c r="E3189" s="28" t="s">
        <v>17282</v>
      </c>
      <c r="F3189" s="28" t="s">
        <v>1232</v>
      </c>
      <c r="G3189" s="28" t="s">
        <v>20</v>
      </c>
      <c r="H3189" s="28" t="s">
        <v>21</v>
      </c>
      <c r="I3189" s="28" t="s">
        <v>21</v>
      </c>
      <c r="J3189" s="28" t="s">
        <v>17283</v>
      </c>
      <c r="K3189" s="28" t="s">
        <v>17284</v>
      </c>
      <c r="L3189" s="28" t="s">
        <v>4579</v>
      </c>
      <c r="M3189" s="28" t="s">
        <v>21</v>
      </c>
      <c r="O3189" s="92">
        <v>38427</v>
      </c>
      <c r="P3189" s="28" t="s">
        <v>21</v>
      </c>
      <c r="Q3189" s="26" t="b">
        <v>0</v>
      </c>
      <c r="R3189" s="22">
        <f t="shared" si="52"/>
        <v>77</v>
      </c>
    </row>
    <row r="3190" spans="1:18">
      <c r="A3190" s="26">
        <v>7844</v>
      </c>
      <c r="B3190" s="27">
        <v>38351</v>
      </c>
      <c r="C3190" s="28" t="s">
        <v>10267</v>
      </c>
      <c r="D3190" s="27">
        <v>38343</v>
      </c>
      <c r="E3190" s="28" t="s">
        <v>10268</v>
      </c>
      <c r="F3190" s="28" t="s">
        <v>1232</v>
      </c>
      <c r="G3190" s="28" t="s">
        <v>20</v>
      </c>
      <c r="H3190" s="28" t="s">
        <v>189</v>
      </c>
      <c r="I3190" s="28" t="s">
        <v>189</v>
      </c>
      <c r="J3190" s="28" t="s">
        <v>10269</v>
      </c>
      <c r="K3190" s="28" t="s">
        <v>10270</v>
      </c>
      <c r="L3190" s="28" t="s">
        <v>4579</v>
      </c>
      <c r="M3190" s="28" t="s">
        <v>21</v>
      </c>
      <c r="O3190" s="92">
        <v>38429</v>
      </c>
      <c r="P3190" s="28" t="s">
        <v>31</v>
      </c>
      <c r="Q3190" s="26" t="b">
        <v>0</v>
      </c>
      <c r="R3190" s="22">
        <f t="shared" si="52"/>
        <v>79</v>
      </c>
    </row>
    <row r="3191" spans="1:18" ht="24">
      <c r="A3191" s="26">
        <v>7845</v>
      </c>
      <c r="B3191" s="27">
        <v>38351</v>
      </c>
      <c r="C3191" s="28" t="s">
        <v>10271</v>
      </c>
      <c r="D3191" s="27">
        <v>38344</v>
      </c>
      <c r="E3191" s="28" t="s">
        <v>10272</v>
      </c>
      <c r="F3191" s="28" t="s">
        <v>1409</v>
      </c>
      <c r="G3191" s="28" t="s">
        <v>20</v>
      </c>
      <c r="H3191" s="28" t="s">
        <v>189</v>
      </c>
      <c r="I3191" s="28" t="s">
        <v>10147</v>
      </c>
      <c r="J3191" s="28" t="s">
        <v>10273</v>
      </c>
      <c r="K3191" s="28" t="s">
        <v>10274</v>
      </c>
      <c r="L3191" s="28" t="s">
        <v>7167</v>
      </c>
      <c r="M3191" s="28" t="s">
        <v>10275</v>
      </c>
      <c r="O3191" s="92">
        <v>41089</v>
      </c>
      <c r="P3191" s="28" t="s">
        <v>31</v>
      </c>
      <c r="Q3191" s="26" t="b">
        <v>0</v>
      </c>
      <c r="R3191" s="22">
        <f t="shared" si="52"/>
        <v>2736</v>
      </c>
    </row>
    <row r="3192" spans="1:18">
      <c r="A3192" s="26">
        <v>7847</v>
      </c>
      <c r="B3192" s="27">
        <v>38357</v>
      </c>
      <c r="C3192" s="28" t="s">
        <v>10276</v>
      </c>
      <c r="D3192" s="27">
        <v>38324</v>
      </c>
      <c r="E3192" s="28" t="s">
        <v>10199</v>
      </c>
      <c r="F3192" s="28" t="s">
        <v>104</v>
      </c>
      <c r="G3192" s="28" t="s">
        <v>20</v>
      </c>
      <c r="H3192" s="28" t="s">
        <v>21</v>
      </c>
      <c r="I3192" s="28" t="s">
        <v>21</v>
      </c>
      <c r="J3192" s="28" t="s">
        <v>10277</v>
      </c>
      <c r="K3192" s="28" t="s">
        <v>10278</v>
      </c>
      <c r="L3192" s="28" t="s">
        <v>4282</v>
      </c>
      <c r="M3192" s="28" t="s">
        <v>21</v>
      </c>
      <c r="O3192" s="92">
        <v>38387</v>
      </c>
      <c r="P3192" s="28" t="s">
        <v>21</v>
      </c>
      <c r="Q3192" s="26" t="b">
        <v>0</v>
      </c>
      <c r="R3192" s="22">
        <f t="shared" si="52"/>
        <v>29</v>
      </c>
    </row>
    <row r="3193" spans="1:18">
      <c r="A3193" s="26">
        <v>7848</v>
      </c>
      <c r="B3193" s="27">
        <v>38357</v>
      </c>
      <c r="C3193" s="28" t="s">
        <v>10279</v>
      </c>
      <c r="D3193" s="27">
        <v>38324</v>
      </c>
      <c r="E3193" s="28" t="s">
        <v>10280</v>
      </c>
      <c r="F3193" s="28" t="s">
        <v>104</v>
      </c>
      <c r="G3193" s="28" t="s">
        <v>20</v>
      </c>
      <c r="H3193" s="28" t="s">
        <v>21</v>
      </c>
      <c r="I3193" s="28" t="s">
        <v>21</v>
      </c>
      <c r="J3193" s="28" t="s">
        <v>10277</v>
      </c>
      <c r="K3193" s="28" t="s">
        <v>1559</v>
      </c>
      <c r="L3193" s="28" t="s">
        <v>4282</v>
      </c>
      <c r="M3193" s="28" t="s">
        <v>21</v>
      </c>
      <c r="O3193" s="92">
        <v>38365</v>
      </c>
      <c r="P3193" s="28" t="s">
        <v>21</v>
      </c>
      <c r="Q3193" s="26" t="b">
        <v>0</v>
      </c>
      <c r="R3193" s="22">
        <f t="shared" si="52"/>
        <v>8</v>
      </c>
    </row>
    <row r="3194" spans="1:18">
      <c r="A3194" s="26">
        <v>7849</v>
      </c>
      <c r="B3194" s="27">
        <v>38359</v>
      </c>
      <c r="C3194" s="28" t="s">
        <v>10281</v>
      </c>
      <c r="D3194" s="27">
        <v>38357</v>
      </c>
      <c r="E3194" s="28" t="s">
        <v>10282</v>
      </c>
      <c r="F3194" s="28" t="s">
        <v>27</v>
      </c>
      <c r="G3194" s="28" t="s">
        <v>20</v>
      </c>
      <c r="H3194" s="28" t="s">
        <v>21</v>
      </c>
      <c r="I3194" s="28" t="s">
        <v>21</v>
      </c>
      <c r="J3194" s="28" t="s">
        <v>10283</v>
      </c>
      <c r="K3194" s="28" t="s">
        <v>8828</v>
      </c>
      <c r="L3194" s="28" t="s">
        <v>4579</v>
      </c>
      <c r="M3194" s="28" t="s">
        <v>21</v>
      </c>
      <c r="O3194" s="92">
        <v>38357</v>
      </c>
      <c r="P3194" s="28" t="s">
        <v>31</v>
      </c>
      <c r="Q3194" s="26" t="b">
        <v>0</v>
      </c>
      <c r="R3194" s="22">
        <f t="shared" si="52"/>
        <v>2</v>
      </c>
    </row>
    <row r="3195" spans="1:18">
      <c r="A3195" s="26">
        <v>7850</v>
      </c>
      <c r="B3195" s="27">
        <v>38359</v>
      </c>
      <c r="C3195" s="28" t="s">
        <v>10284</v>
      </c>
      <c r="E3195" s="28" t="s">
        <v>10285</v>
      </c>
      <c r="F3195" s="28" t="s">
        <v>52</v>
      </c>
      <c r="G3195" s="28" t="s">
        <v>20</v>
      </c>
      <c r="H3195" s="28" t="s">
        <v>21</v>
      </c>
      <c r="I3195" s="28" t="s">
        <v>21</v>
      </c>
      <c r="J3195" s="28" t="s">
        <v>10286</v>
      </c>
      <c r="K3195" s="28" t="s">
        <v>21</v>
      </c>
      <c r="L3195" s="28" t="s">
        <v>4579</v>
      </c>
      <c r="M3195" s="28" t="s">
        <v>21</v>
      </c>
      <c r="O3195" s="92">
        <v>38457</v>
      </c>
      <c r="P3195" s="28" t="s">
        <v>31</v>
      </c>
      <c r="Q3195" s="26" t="b">
        <v>0</v>
      </c>
      <c r="R3195" s="22">
        <f t="shared" si="52"/>
        <v>99</v>
      </c>
    </row>
    <row r="3196" spans="1:18">
      <c r="A3196" s="26">
        <v>7853</v>
      </c>
      <c r="B3196" s="27">
        <v>38364</v>
      </c>
      <c r="C3196" s="28" t="s">
        <v>10287</v>
      </c>
      <c r="D3196" s="27">
        <v>38363</v>
      </c>
      <c r="E3196" s="28" t="s">
        <v>10288</v>
      </c>
      <c r="F3196" s="28" t="s">
        <v>85</v>
      </c>
      <c r="G3196" s="28" t="s">
        <v>20</v>
      </c>
      <c r="H3196" s="28" t="s">
        <v>21</v>
      </c>
      <c r="I3196" s="28" t="s">
        <v>21</v>
      </c>
      <c r="J3196" s="28" t="s">
        <v>6080</v>
      </c>
      <c r="K3196" s="28" t="s">
        <v>10289</v>
      </c>
      <c r="L3196" s="28" t="s">
        <v>4579</v>
      </c>
      <c r="M3196" s="28" t="s">
        <v>21</v>
      </c>
      <c r="O3196" s="92">
        <v>38457</v>
      </c>
      <c r="P3196" s="28" t="s">
        <v>31</v>
      </c>
      <c r="Q3196" s="26" t="b">
        <v>0</v>
      </c>
      <c r="R3196" s="22">
        <f t="shared" si="52"/>
        <v>94</v>
      </c>
    </row>
    <row r="3197" spans="1:18">
      <c r="A3197" s="26">
        <v>7854</v>
      </c>
      <c r="B3197" s="27">
        <v>38365</v>
      </c>
      <c r="C3197" s="28" t="s">
        <v>10290</v>
      </c>
      <c r="D3197" s="27">
        <v>38341</v>
      </c>
      <c r="E3197" s="28" t="s">
        <v>10291</v>
      </c>
      <c r="F3197" s="28" t="s">
        <v>1830</v>
      </c>
      <c r="G3197" s="28" t="s">
        <v>20</v>
      </c>
      <c r="H3197" s="28" t="s">
        <v>21</v>
      </c>
      <c r="I3197" s="28" t="s">
        <v>21</v>
      </c>
      <c r="J3197" s="28" t="s">
        <v>10292</v>
      </c>
      <c r="K3197" s="28" t="s">
        <v>10293</v>
      </c>
      <c r="L3197" s="28" t="s">
        <v>2205</v>
      </c>
      <c r="M3197" s="28" t="s">
        <v>21</v>
      </c>
      <c r="O3197" s="92">
        <v>38405</v>
      </c>
      <c r="P3197" s="28" t="s">
        <v>31</v>
      </c>
      <c r="Q3197" s="26" t="b">
        <v>0</v>
      </c>
      <c r="R3197" s="22">
        <f t="shared" si="52"/>
        <v>39</v>
      </c>
    </row>
    <row r="3198" spans="1:18">
      <c r="A3198" s="26">
        <v>7855</v>
      </c>
      <c r="B3198" s="27">
        <v>38365</v>
      </c>
      <c r="C3198" s="28" t="s">
        <v>10294</v>
      </c>
      <c r="D3198" s="27">
        <v>38358</v>
      </c>
      <c r="E3198" s="28" t="s">
        <v>10295</v>
      </c>
      <c r="F3198" s="28" t="s">
        <v>974</v>
      </c>
      <c r="G3198" s="28" t="s">
        <v>20</v>
      </c>
      <c r="H3198" s="28" t="s">
        <v>21</v>
      </c>
      <c r="I3198" s="28" t="s">
        <v>21</v>
      </c>
      <c r="J3198" s="28" t="s">
        <v>5668</v>
      </c>
      <c r="K3198" s="28" t="s">
        <v>4690</v>
      </c>
      <c r="L3198" s="28" t="s">
        <v>4579</v>
      </c>
      <c r="M3198" s="28" t="s">
        <v>21</v>
      </c>
      <c r="O3198" s="92">
        <v>38469</v>
      </c>
      <c r="P3198" s="28" t="s">
        <v>31</v>
      </c>
      <c r="Q3198" s="26" t="b">
        <v>0</v>
      </c>
      <c r="R3198" s="22">
        <f t="shared" si="52"/>
        <v>105</v>
      </c>
    </row>
    <row r="3199" spans="1:18">
      <c r="A3199" s="26">
        <v>7856</v>
      </c>
      <c r="B3199" s="27">
        <v>38370</v>
      </c>
      <c r="C3199" s="28" t="s">
        <v>10296</v>
      </c>
      <c r="D3199" s="29">
        <v>38233</v>
      </c>
      <c r="E3199" s="28" t="s">
        <v>10297</v>
      </c>
      <c r="F3199" s="28" t="s">
        <v>52</v>
      </c>
      <c r="G3199" s="28" t="s">
        <v>20</v>
      </c>
      <c r="H3199" s="28" t="s">
        <v>21</v>
      </c>
      <c r="I3199" s="28" t="s">
        <v>21</v>
      </c>
      <c r="J3199" s="28" t="s">
        <v>9849</v>
      </c>
      <c r="K3199" s="28" t="s">
        <v>10298</v>
      </c>
      <c r="L3199" s="28" t="s">
        <v>4282</v>
      </c>
      <c r="M3199" s="28" t="s">
        <v>21</v>
      </c>
      <c r="O3199" s="92">
        <v>38622</v>
      </c>
      <c r="P3199" s="28" t="s">
        <v>31</v>
      </c>
      <c r="Q3199" s="26" t="b">
        <v>0</v>
      </c>
      <c r="R3199" s="22">
        <f t="shared" si="52"/>
        <v>252</v>
      </c>
    </row>
    <row r="3200" spans="1:18">
      <c r="A3200" s="26">
        <v>7857</v>
      </c>
      <c r="B3200" s="27">
        <v>38370</v>
      </c>
      <c r="C3200" s="28" t="s">
        <v>10299</v>
      </c>
      <c r="D3200" s="29">
        <v>38364</v>
      </c>
      <c r="E3200" s="28" t="s">
        <v>10300</v>
      </c>
      <c r="F3200" s="28" t="s">
        <v>124</v>
      </c>
      <c r="G3200" s="28" t="s">
        <v>20</v>
      </c>
      <c r="H3200" s="28" t="s">
        <v>21</v>
      </c>
      <c r="I3200" s="28" t="s">
        <v>21</v>
      </c>
      <c r="J3200" s="28" t="s">
        <v>10301</v>
      </c>
      <c r="K3200" s="28" t="s">
        <v>10302</v>
      </c>
      <c r="L3200" s="28" t="s">
        <v>1946</v>
      </c>
      <c r="M3200" s="28" t="s">
        <v>21</v>
      </c>
      <c r="O3200" s="92">
        <v>38456</v>
      </c>
      <c r="P3200" s="28" t="s">
        <v>31</v>
      </c>
      <c r="Q3200" s="26" t="b">
        <v>0</v>
      </c>
      <c r="R3200" s="22">
        <f t="shared" si="52"/>
        <v>87</v>
      </c>
    </row>
    <row r="3201" spans="1:18">
      <c r="A3201" s="26">
        <v>8048</v>
      </c>
      <c r="B3201" s="27">
        <v>38372</v>
      </c>
      <c r="C3201" s="28" t="s">
        <v>10720</v>
      </c>
      <c r="D3201" s="29">
        <v>38372</v>
      </c>
      <c r="E3201" s="28" t="s">
        <v>3268</v>
      </c>
      <c r="F3201" s="28" t="s">
        <v>124</v>
      </c>
      <c r="G3201" s="28" t="s">
        <v>20</v>
      </c>
      <c r="H3201" s="28" t="s">
        <v>21</v>
      </c>
      <c r="I3201" s="28" t="s">
        <v>21</v>
      </c>
      <c r="J3201" s="28" t="s">
        <v>8904</v>
      </c>
      <c r="K3201" s="28" t="s">
        <v>10721</v>
      </c>
      <c r="L3201" s="28" t="s">
        <v>10722</v>
      </c>
      <c r="M3201" s="28" t="s">
        <v>21</v>
      </c>
      <c r="O3201" s="92">
        <v>39357</v>
      </c>
      <c r="P3201" s="28" t="s">
        <v>21</v>
      </c>
      <c r="Q3201" s="26" t="b">
        <v>0</v>
      </c>
      <c r="R3201" s="22">
        <f t="shared" si="52"/>
        <v>985</v>
      </c>
    </row>
    <row r="3202" spans="1:18">
      <c r="A3202" s="26">
        <v>8228</v>
      </c>
      <c r="B3202" s="27">
        <v>38372</v>
      </c>
      <c r="C3202" s="28" t="s">
        <v>11198</v>
      </c>
      <c r="D3202" s="29">
        <v>38645</v>
      </c>
      <c r="E3202" s="28" t="s">
        <v>10942</v>
      </c>
      <c r="F3202" s="28" t="s">
        <v>8522</v>
      </c>
      <c r="G3202" s="28" t="s">
        <v>20</v>
      </c>
      <c r="H3202" s="28" t="s">
        <v>71</v>
      </c>
      <c r="I3202" s="28" t="s">
        <v>72</v>
      </c>
      <c r="J3202" s="28" t="s">
        <v>11199</v>
      </c>
      <c r="K3202" s="28" t="s">
        <v>11200</v>
      </c>
      <c r="L3202" s="28" t="s">
        <v>4282</v>
      </c>
      <c r="M3202" s="28" t="s">
        <v>21</v>
      </c>
      <c r="N3202" s="29">
        <v>38737</v>
      </c>
      <c r="O3202" s="92">
        <v>38845</v>
      </c>
      <c r="P3202" s="28" t="s">
        <v>21</v>
      </c>
      <c r="Q3202" s="26" t="b">
        <v>0</v>
      </c>
      <c r="R3202" s="22">
        <f t="shared" si="52"/>
        <v>474</v>
      </c>
    </row>
    <row r="3203" spans="1:18">
      <c r="A3203" s="26">
        <v>7858</v>
      </c>
      <c r="B3203" s="27">
        <v>38373</v>
      </c>
      <c r="C3203" s="28" t="s">
        <v>10303</v>
      </c>
      <c r="D3203" s="29">
        <v>38371</v>
      </c>
      <c r="E3203" s="28" t="s">
        <v>10304</v>
      </c>
      <c r="F3203" s="28" t="s">
        <v>5704</v>
      </c>
      <c r="G3203" s="28" t="s">
        <v>20</v>
      </c>
      <c r="H3203" s="28" t="s">
        <v>21</v>
      </c>
      <c r="I3203" s="28" t="s">
        <v>21</v>
      </c>
      <c r="J3203" s="28" t="s">
        <v>6454</v>
      </c>
      <c r="K3203" s="28" t="s">
        <v>10305</v>
      </c>
      <c r="L3203" s="28" t="s">
        <v>4282</v>
      </c>
      <c r="M3203" s="28" t="s">
        <v>21</v>
      </c>
      <c r="O3203" s="92">
        <v>38387</v>
      </c>
      <c r="P3203" s="28" t="s">
        <v>31</v>
      </c>
      <c r="Q3203" s="26" t="b">
        <v>0</v>
      </c>
      <c r="R3203" s="22">
        <f t="shared" si="52"/>
        <v>13</v>
      </c>
    </row>
    <row r="3204" spans="1:18">
      <c r="A3204" s="26">
        <v>7859</v>
      </c>
      <c r="B3204" s="27">
        <v>38377</v>
      </c>
      <c r="C3204" s="28" t="s">
        <v>10306</v>
      </c>
      <c r="D3204" s="27">
        <v>38373</v>
      </c>
      <c r="E3204" s="28" t="s">
        <v>10307</v>
      </c>
      <c r="F3204" s="28" t="s">
        <v>367</v>
      </c>
      <c r="G3204" s="28" t="s">
        <v>20</v>
      </c>
      <c r="H3204" s="28" t="s">
        <v>21</v>
      </c>
      <c r="I3204" s="28" t="s">
        <v>21</v>
      </c>
      <c r="J3204" s="28" t="s">
        <v>10308</v>
      </c>
      <c r="K3204" s="28" t="s">
        <v>9027</v>
      </c>
      <c r="L3204" s="28" t="s">
        <v>8318</v>
      </c>
      <c r="M3204" s="28" t="s">
        <v>21</v>
      </c>
      <c r="O3204" s="92">
        <v>38376</v>
      </c>
      <c r="P3204" s="28" t="s">
        <v>21</v>
      </c>
      <c r="Q3204" s="26" t="b">
        <v>0</v>
      </c>
      <c r="R3204" s="22">
        <f t="shared" si="52"/>
        <v>1</v>
      </c>
    </row>
    <row r="3205" spans="1:18" ht="24">
      <c r="A3205" s="26">
        <v>7860</v>
      </c>
      <c r="B3205" s="27">
        <v>38377</v>
      </c>
      <c r="C3205" s="28" t="s">
        <v>10309</v>
      </c>
      <c r="D3205" s="18"/>
      <c r="E3205" s="28" t="s">
        <v>283</v>
      </c>
      <c r="F3205" s="28" t="s">
        <v>242</v>
      </c>
      <c r="G3205" s="28" t="s">
        <v>20</v>
      </c>
      <c r="H3205" s="28" t="s">
        <v>21</v>
      </c>
      <c r="I3205" s="28" t="s">
        <v>21</v>
      </c>
      <c r="J3205" s="28" t="s">
        <v>10310</v>
      </c>
      <c r="K3205" s="28" t="s">
        <v>10311</v>
      </c>
      <c r="L3205" s="28" t="s">
        <v>4579</v>
      </c>
      <c r="M3205" s="28" t="s">
        <v>21</v>
      </c>
      <c r="O3205" s="92">
        <v>38518</v>
      </c>
      <c r="P3205" s="28" t="s">
        <v>31</v>
      </c>
      <c r="Q3205" s="26" t="b">
        <v>0</v>
      </c>
      <c r="R3205" s="22">
        <f t="shared" si="52"/>
        <v>141</v>
      </c>
    </row>
    <row r="3206" spans="1:18">
      <c r="A3206" s="26">
        <v>7861</v>
      </c>
      <c r="B3206" s="27">
        <v>38377</v>
      </c>
      <c r="C3206" s="28" t="s">
        <v>10312</v>
      </c>
      <c r="D3206" s="27">
        <v>38372</v>
      </c>
      <c r="E3206" s="28" t="s">
        <v>38</v>
      </c>
      <c r="F3206" s="28" t="s">
        <v>1251</v>
      </c>
      <c r="G3206" s="28" t="s">
        <v>20</v>
      </c>
      <c r="H3206" s="28" t="s">
        <v>21</v>
      </c>
      <c r="I3206" s="28" t="s">
        <v>21</v>
      </c>
      <c r="J3206" s="28" t="s">
        <v>10313</v>
      </c>
      <c r="K3206" s="28" t="s">
        <v>21</v>
      </c>
      <c r="L3206" s="28" t="s">
        <v>8318</v>
      </c>
      <c r="M3206" s="28" t="s">
        <v>21</v>
      </c>
      <c r="O3206" s="92">
        <v>38377</v>
      </c>
      <c r="P3206" s="28" t="s">
        <v>21</v>
      </c>
      <c r="Q3206" s="26" t="b">
        <v>0</v>
      </c>
      <c r="R3206" s="22">
        <f t="shared" si="52"/>
        <v>0</v>
      </c>
    </row>
    <row r="3207" spans="1:18">
      <c r="A3207" s="26">
        <v>7862</v>
      </c>
      <c r="B3207" s="27">
        <v>38377</v>
      </c>
      <c r="C3207" s="28" t="s">
        <v>10314</v>
      </c>
      <c r="D3207" s="27">
        <v>38365</v>
      </c>
      <c r="E3207" s="28" t="s">
        <v>10315</v>
      </c>
      <c r="F3207" s="28" t="s">
        <v>124</v>
      </c>
      <c r="G3207" s="28" t="s">
        <v>20</v>
      </c>
      <c r="H3207" s="28" t="s">
        <v>21</v>
      </c>
      <c r="I3207" s="28" t="s">
        <v>21</v>
      </c>
      <c r="J3207" s="28" t="s">
        <v>10316</v>
      </c>
      <c r="K3207" s="28" t="s">
        <v>10317</v>
      </c>
      <c r="L3207" s="28" t="s">
        <v>1946</v>
      </c>
      <c r="M3207" s="28" t="s">
        <v>21</v>
      </c>
      <c r="O3207" s="92">
        <v>38512</v>
      </c>
      <c r="P3207" s="28" t="s">
        <v>31</v>
      </c>
      <c r="Q3207" s="26" t="b">
        <v>0</v>
      </c>
      <c r="R3207" s="22">
        <f t="shared" si="52"/>
        <v>135</v>
      </c>
    </row>
    <row r="3208" spans="1:18" ht="24">
      <c r="A3208" s="26">
        <v>7863</v>
      </c>
      <c r="B3208" s="27">
        <v>38377</v>
      </c>
      <c r="C3208" s="28" t="s">
        <v>10318</v>
      </c>
      <c r="D3208" s="27">
        <v>38370</v>
      </c>
      <c r="E3208" s="28" t="s">
        <v>10319</v>
      </c>
      <c r="F3208" s="28" t="s">
        <v>2296</v>
      </c>
      <c r="G3208" s="28" t="s">
        <v>20</v>
      </c>
      <c r="H3208" s="28" t="s">
        <v>566</v>
      </c>
      <c r="I3208" s="28" t="s">
        <v>10070</v>
      </c>
      <c r="J3208" s="28" t="s">
        <v>10320</v>
      </c>
      <c r="K3208" s="28" t="s">
        <v>10321</v>
      </c>
      <c r="L3208" s="28" t="s">
        <v>4282</v>
      </c>
      <c r="M3208" s="28" t="s">
        <v>21</v>
      </c>
      <c r="O3208" s="92">
        <v>38408</v>
      </c>
      <c r="P3208" s="28" t="s">
        <v>21</v>
      </c>
      <c r="Q3208" s="26" t="b">
        <v>0</v>
      </c>
      <c r="R3208" s="22">
        <f t="shared" si="52"/>
        <v>30</v>
      </c>
    </row>
    <row r="3209" spans="1:18" ht="24">
      <c r="A3209" s="26">
        <v>7864</v>
      </c>
      <c r="B3209" s="27">
        <v>38377</v>
      </c>
      <c r="C3209" s="28" t="s">
        <v>10322</v>
      </c>
      <c r="D3209" s="18"/>
      <c r="E3209" s="28" t="s">
        <v>283</v>
      </c>
      <c r="F3209" s="28" t="s">
        <v>10184</v>
      </c>
      <c r="G3209" s="28" t="s">
        <v>20</v>
      </c>
      <c r="H3209" s="28" t="s">
        <v>21</v>
      </c>
      <c r="I3209" s="28" t="s">
        <v>21</v>
      </c>
      <c r="J3209" s="28" t="s">
        <v>10323</v>
      </c>
      <c r="K3209" s="28" t="s">
        <v>10324</v>
      </c>
      <c r="L3209" s="28" t="s">
        <v>4282</v>
      </c>
      <c r="M3209" s="28" t="s">
        <v>21</v>
      </c>
      <c r="O3209" s="92">
        <v>38505</v>
      </c>
      <c r="P3209" s="28" t="s">
        <v>21</v>
      </c>
      <c r="Q3209" s="26" t="b">
        <v>0</v>
      </c>
      <c r="R3209" s="22">
        <f t="shared" si="52"/>
        <v>128</v>
      </c>
    </row>
    <row r="3210" spans="1:18" ht="24">
      <c r="A3210" s="26">
        <v>7865</v>
      </c>
      <c r="B3210" s="27">
        <v>38377</v>
      </c>
      <c r="C3210" s="28" t="s">
        <v>10325</v>
      </c>
      <c r="D3210" s="18"/>
      <c r="E3210" s="28" t="s">
        <v>283</v>
      </c>
      <c r="F3210" s="28" t="s">
        <v>124</v>
      </c>
      <c r="G3210" s="28" t="s">
        <v>20</v>
      </c>
      <c r="H3210" s="28" t="s">
        <v>21</v>
      </c>
      <c r="I3210" s="28" t="s">
        <v>21</v>
      </c>
      <c r="J3210" s="28" t="s">
        <v>10326</v>
      </c>
      <c r="K3210" s="28" t="s">
        <v>10327</v>
      </c>
      <c r="L3210" s="28" t="s">
        <v>1946</v>
      </c>
      <c r="M3210" s="28" t="s">
        <v>21</v>
      </c>
      <c r="O3210" s="92">
        <v>38519</v>
      </c>
      <c r="P3210" s="28" t="s">
        <v>21</v>
      </c>
      <c r="Q3210" s="26" t="b">
        <v>0</v>
      </c>
      <c r="R3210" s="22">
        <f t="shared" si="52"/>
        <v>142</v>
      </c>
    </row>
    <row r="3211" spans="1:18">
      <c r="A3211" s="26">
        <v>7867</v>
      </c>
      <c r="B3211" s="27">
        <v>38377</v>
      </c>
      <c r="C3211" s="28" t="s">
        <v>10328</v>
      </c>
      <c r="D3211" s="18"/>
      <c r="E3211" s="28" t="s">
        <v>283</v>
      </c>
      <c r="F3211" s="28" t="s">
        <v>3847</v>
      </c>
      <c r="G3211" s="28" t="s">
        <v>20</v>
      </c>
      <c r="H3211" s="28" t="s">
        <v>21</v>
      </c>
      <c r="I3211" s="28" t="s">
        <v>21</v>
      </c>
      <c r="J3211" s="28" t="s">
        <v>10329</v>
      </c>
      <c r="K3211" s="28" t="s">
        <v>10330</v>
      </c>
      <c r="L3211" s="28" t="s">
        <v>8318</v>
      </c>
      <c r="M3211" s="28" t="s">
        <v>21</v>
      </c>
      <c r="O3211" s="92">
        <v>38470</v>
      </c>
      <c r="P3211" s="28" t="s">
        <v>21</v>
      </c>
      <c r="Q3211" s="26" t="b">
        <v>0</v>
      </c>
      <c r="R3211" s="22">
        <f t="shared" si="52"/>
        <v>94</v>
      </c>
    </row>
    <row r="3212" spans="1:18">
      <c r="A3212" s="26">
        <v>7868</v>
      </c>
      <c r="B3212" s="27">
        <v>38377</v>
      </c>
      <c r="C3212" s="28" t="s">
        <v>10331</v>
      </c>
      <c r="D3212" s="18"/>
      <c r="E3212" s="28" t="s">
        <v>283</v>
      </c>
      <c r="F3212" s="28" t="s">
        <v>3847</v>
      </c>
      <c r="G3212" s="28" t="s">
        <v>20</v>
      </c>
      <c r="H3212" s="28" t="s">
        <v>21</v>
      </c>
      <c r="I3212" s="28" t="s">
        <v>21</v>
      </c>
      <c r="J3212" s="28" t="s">
        <v>10332</v>
      </c>
      <c r="K3212" s="28" t="s">
        <v>10333</v>
      </c>
      <c r="L3212" s="28" t="s">
        <v>8318</v>
      </c>
      <c r="M3212" s="28" t="s">
        <v>21</v>
      </c>
      <c r="O3212" s="92">
        <v>38470</v>
      </c>
      <c r="P3212" s="28" t="s">
        <v>21</v>
      </c>
      <c r="Q3212" s="26" t="b">
        <v>0</v>
      </c>
      <c r="R3212" s="22">
        <f t="shared" si="52"/>
        <v>94</v>
      </c>
    </row>
    <row r="3213" spans="1:18">
      <c r="A3213" s="26">
        <v>7869</v>
      </c>
      <c r="B3213" s="27">
        <v>38378</v>
      </c>
      <c r="C3213" s="28" t="s">
        <v>10334</v>
      </c>
      <c r="D3213" s="18"/>
      <c r="E3213" s="28" t="s">
        <v>283</v>
      </c>
      <c r="F3213" s="28" t="s">
        <v>216</v>
      </c>
      <c r="G3213" s="28" t="s">
        <v>20</v>
      </c>
      <c r="H3213" s="28" t="s">
        <v>21</v>
      </c>
      <c r="I3213" s="28" t="s">
        <v>21</v>
      </c>
      <c r="J3213" s="28" t="s">
        <v>10335</v>
      </c>
      <c r="K3213" s="28" t="s">
        <v>9689</v>
      </c>
      <c r="L3213" s="28" t="s">
        <v>2205</v>
      </c>
      <c r="M3213" s="28" t="s">
        <v>21</v>
      </c>
      <c r="O3213" s="92">
        <v>38518</v>
      </c>
      <c r="P3213" s="28" t="s">
        <v>21</v>
      </c>
      <c r="Q3213" s="26" t="b">
        <v>0</v>
      </c>
      <c r="R3213" s="22">
        <f t="shared" si="52"/>
        <v>140</v>
      </c>
    </row>
    <row r="3214" spans="1:18" ht="24">
      <c r="A3214" s="26">
        <v>7870</v>
      </c>
      <c r="B3214" s="27">
        <v>38378</v>
      </c>
      <c r="C3214" s="28" t="s">
        <v>10336</v>
      </c>
      <c r="D3214" s="27">
        <v>38371</v>
      </c>
      <c r="E3214" s="28" t="s">
        <v>283</v>
      </c>
      <c r="F3214" s="28" t="s">
        <v>149</v>
      </c>
      <c r="G3214" s="28" t="s">
        <v>20</v>
      </c>
      <c r="H3214" s="28" t="s">
        <v>21</v>
      </c>
      <c r="I3214" s="28" t="s">
        <v>21</v>
      </c>
      <c r="J3214" s="28" t="s">
        <v>10337</v>
      </c>
      <c r="K3214" s="28" t="s">
        <v>10338</v>
      </c>
      <c r="L3214" s="28" t="s">
        <v>4579</v>
      </c>
      <c r="M3214" s="28" t="s">
        <v>21</v>
      </c>
      <c r="O3214" s="92">
        <v>38518</v>
      </c>
      <c r="P3214" s="28" t="s">
        <v>21</v>
      </c>
      <c r="Q3214" s="26" t="b">
        <v>0</v>
      </c>
      <c r="R3214" s="22">
        <f t="shared" si="52"/>
        <v>140</v>
      </c>
    </row>
    <row r="3215" spans="1:18">
      <c r="A3215" s="26">
        <v>7871</v>
      </c>
      <c r="B3215" s="27">
        <v>38378</v>
      </c>
      <c r="C3215" s="28" t="s">
        <v>10339</v>
      </c>
      <c r="D3215" s="27">
        <v>38376</v>
      </c>
      <c r="E3215" s="28" t="s">
        <v>283</v>
      </c>
      <c r="F3215" s="28" t="s">
        <v>216</v>
      </c>
      <c r="G3215" s="28" t="s">
        <v>20</v>
      </c>
      <c r="H3215" s="28" t="s">
        <v>21</v>
      </c>
      <c r="I3215" s="28" t="s">
        <v>21</v>
      </c>
      <c r="J3215" s="28" t="s">
        <v>10340</v>
      </c>
      <c r="K3215" s="28" t="s">
        <v>9689</v>
      </c>
      <c r="L3215" s="28" t="s">
        <v>2205</v>
      </c>
      <c r="M3215" s="28" t="s">
        <v>21</v>
      </c>
      <c r="O3215" s="92">
        <v>38518</v>
      </c>
      <c r="P3215" s="28" t="s">
        <v>21</v>
      </c>
      <c r="Q3215" s="26" t="b">
        <v>0</v>
      </c>
      <c r="R3215" s="22">
        <f t="shared" si="52"/>
        <v>140</v>
      </c>
    </row>
    <row r="3216" spans="1:18">
      <c r="A3216" s="26">
        <v>8003</v>
      </c>
      <c r="B3216" s="27">
        <v>38378</v>
      </c>
      <c r="C3216" s="28" t="s">
        <v>10599</v>
      </c>
      <c r="D3216" s="27">
        <v>38378</v>
      </c>
      <c r="E3216" s="28" t="s">
        <v>3268</v>
      </c>
      <c r="F3216" s="28" t="s">
        <v>6647</v>
      </c>
      <c r="G3216" s="28" t="s">
        <v>20</v>
      </c>
      <c r="H3216" s="28" t="s">
        <v>189</v>
      </c>
      <c r="I3216" s="28" t="s">
        <v>189</v>
      </c>
      <c r="J3216" s="28" t="s">
        <v>7071</v>
      </c>
      <c r="K3216" s="28" t="s">
        <v>10600</v>
      </c>
      <c r="L3216" s="28" t="s">
        <v>8318</v>
      </c>
      <c r="M3216" s="28" t="s">
        <v>21</v>
      </c>
      <c r="O3216" s="92">
        <v>38433</v>
      </c>
      <c r="P3216" s="28" t="s">
        <v>21</v>
      </c>
      <c r="Q3216" s="26" t="b">
        <v>0</v>
      </c>
      <c r="R3216" s="22">
        <f t="shared" si="52"/>
        <v>56</v>
      </c>
    </row>
    <row r="3217" spans="1:18">
      <c r="A3217" s="26">
        <v>7874</v>
      </c>
      <c r="B3217" s="27">
        <v>38379</v>
      </c>
      <c r="C3217" s="28" t="s">
        <v>10341</v>
      </c>
      <c r="D3217" s="27">
        <v>38376</v>
      </c>
      <c r="E3217" s="28" t="s">
        <v>283</v>
      </c>
      <c r="F3217" s="28" t="s">
        <v>3847</v>
      </c>
      <c r="G3217" s="28" t="s">
        <v>20</v>
      </c>
      <c r="H3217" s="28" t="s">
        <v>21</v>
      </c>
      <c r="I3217" s="28" t="s">
        <v>21</v>
      </c>
      <c r="J3217" s="28" t="s">
        <v>10342</v>
      </c>
      <c r="K3217" s="28" t="s">
        <v>10343</v>
      </c>
      <c r="L3217" s="28" t="s">
        <v>4579</v>
      </c>
      <c r="M3217" s="28" t="s">
        <v>21</v>
      </c>
      <c r="O3217" s="92">
        <v>38518</v>
      </c>
      <c r="P3217" s="28" t="s">
        <v>21</v>
      </c>
      <c r="Q3217" s="26" t="b">
        <v>0</v>
      </c>
      <c r="R3217" s="22">
        <f t="shared" si="52"/>
        <v>139</v>
      </c>
    </row>
    <row r="3218" spans="1:18">
      <c r="A3218" s="26">
        <v>7875</v>
      </c>
      <c r="B3218" s="27">
        <v>38379</v>
      </c>
      <c r="C3218" s="28" t="s">
        <v>10344</v>
      </c>
      <c r="D3218" s="27">
        <v>38376</v>
      </c>
      <c r="E3218" s="28" t="s">
        <v>283</v>
      </c>
      <c r="F3218" s="28" t="s">
        <v>3847</v>
      </c>
      <c r="G3218" s="28" t="s">
        <v>20</v>
      </c>
      <c r="H3218" s="28" t="s">
        <v>21</v>
      </c>
      <c r="I3218" s="28" t="s">
        <v>21</v>
      </c>
      <c r="J3218" s="28" t="s">
        <v>10345</v>
      </c>
      <c r="K3218" s="28" t="s">
        <v>10343</v>
      </c>
      <c r="L3218" s="28" t="s">
        <v>4579</v>
      </c>
      <c r="M3218" s="28" t="s">
        <v>21</v>
      </c>
      <c r="O3218" s="92">
        <v>38518</v>
      </c>
      <c r="P3218" s="28" t="s">
        <v>21</v>
      </c>
      <c r="Q3218" s="26" t="b">
        <v>0</v>
      </c>
      <c r="R3218" s="22">
        <f t="shared" si="52"/>
        <v>139</v>
      </c>
    </row>
    <row r="3219" spans="1:18">
      <c r="A3219" s="26">
        <v>7876</v>
      </c>
      <c r="B3219" s="27">
        <v>38379</v>
      </c>
      <c r="C3219" s="28" t="s">
        <v>10346</v>
      </c>
      <c r="D3219" s="27">
        <v>38371</v>
      </c>
      <c r="E3219" s="28" t="s">
        <v>283</v>
      </c>
      <c r="F3219" s="28" t="s">
        <v>149</v>
      </c>
      <c r="G3219" s="28" t="s">
        <v>20</v>
      </c>
      <c r="H3219" s="28" t="s">
        <v>21</v>
      </c>
      <c r="I3219" s="28" t="s">
        <v>21</v>
      </c>
      <c r="J3219" s="28" t="s">
        <v>10347</v>
      </c>
      <c r="K3219" s="28" t="s">
        <v>10348</v>
      </c>
      <c r="L3219" s="28" t="s">
        <v>4282</v>
      </c>
      <c r="M3219" s="28" t="s">
        <v>21</v>
      </c>
      <c r="O3219" s="92">
        <v>38505</v>
      </c>
      <c r="P3219" s="28" t="s">
        <v>21</v>
      </c>
      <c r="Q3219" s="26" t="b">
        <v>0</v>
      </c>
      <c r="R3219" s="22">
        <f t="shared" si="52"/>
        <v>126</v>
      </c>
    </row>
    <row r="3220" spans="1:18">
      <c r="A3220" s="26">
        <v>7877</v>
      </c>
      <c r="B3220" s="27">
        <v>38379</v>
      </c>
      <c r="C3220" s="28" t="s">
        <v>10349</v>
      </c>
      <c r="D3220" s="27">
        <v>38376</v>
      </c>
      <c r="E3220" s="28" t="s">
        <v>283</v>
      </c>
      <c r="F3220" s="28" t="s">
        <v>149</v>
      </c>
      <c r="G3220" s="28" t="s">
        <v>20</v>
      </c>
      <c r="H3220" s="28" t="s">
        <v>21</v>
      </c>
      <c r="I3220" s="28" t="s">
        <v>21</v>
      </c>
      <c r="J3220" s="28" t="s">
        <v>10350</v>
      </c>
      <c r="K3220" s="28" t="s">
        <v>10348</v>
      </c>
      <c r="L3220" s="28" t="s">
        <v>4282</v>
      </c>
      <c r="M3220" s="28" t="s">
        <v>21</v>
      </c>
      <c r="O3220" s="92">
        <v>38512</v>
      </c>
      <c r="P3220" s="28" t="s">
        <v>21</v>
      </c>
      <c r="Q3220" s="26" t="b">
        <v>0</v>
      </c>
      <c r="R3220" s="22">
        <f t="shared" si="52"/>
        <v>133</v>
      </c>
    </row>
    <row r="3221" spans="1:18">
      <c r="A3221" s="26">
        <v>7878</v>
      </c>
      <c r="B3221" s="27">
        <v>38379</v>
      </c>
      <c r="C3221" s="28" t="s">
        <v>10351</v>
      </c>
      <c r="D3221" s="27">
        <v>38373</v>
      </c>
      <c r="E3221" s="28" t="s">
        <v>283</v>
      </c>
      <c r="F3221" s="28" t="s">
        <v>52</v>
      </c>
      <c r="G3221" s="28" t="s">
        <v>20</v>
      </c>
      <c r="H3221" s="28" t="s">
        <v>21</v>
      </c>
      <c r="I3221" s="28" t="s">
        <v>21</v>
      </c>
      <c r="J3221" s="28" t="s">
        <v>10352</v>
      </c>
      <c r="K3221" s="28" t="s">
        <v>10353</v>
      </c>
      <c r="L3221" s="28" t="s">
        <v>2205</v>
      </c>
      <c r="M3221" s="28" t="s">
        <v>21</v>
      </c>
      <c r="O3221" s="92">
        <v>38518</v>
      </c>
      <c r="P3221" s="28" t="s">
        <v>21</v>
      </c>
      <c r="Q3221" s="26" t="b">
        <v>0</v>
      </c>
      <c r="R3221" s="22">
        <f t="shared" si="52"/>
        <v>139</v>
      </c>
    </row>
    <row r="3222" spans="1:18">
      <c r="A3222" s="26">
        <v>7879</v>
      </c>
      <c r="B3222" s="27">
        <v>38379</v>
      </c>
      <c r="C3222" s="28" t="s">
        <v>10354</v>
      </c>
      <c r="D3222" s="27">
        <v>38376</v>
      </c>
      <c r="E3222" s="28" t="s">
        <v>283</v>
      </c>
      <c r="F3222" s="28" t="s">
        <v>228</v>
      </c>
      <c r="G3222" s="28" t="s">
        <v>20</v>
      </c>
      <c r="H3222" s="28" t="s">
        <v>21</v>
      </c>
      <c r="I3222" s="28" t="s">
        <v>21</v>
      </c>
      <c r="J3222" s="28" t="s">
        <v>10355</v>
      </c>
      <c r="K3222" s="28" t="s">
        <v>10356</v>
      </c>
      <c r="L3222" s="28" t="s">
        <v>4282</v>
      </c>
      <c r="M3222" s="28" t="s">
        <v>21</v>
      </c>
      <c r="O3222" s="92">
        <v>38380</v>
      </c>
      <c r="P3222" s="28" t="s">
        <v>21</v>
      </c>
      <c r="Q3222" s="26" t="b">
        <v>0</v>
      </c>
      <c r="R3222" s="22">
        <f t="shared" si="52"/>
        <v>1</v>
      </c>
    </row>
    <row r="3223" spans="1:18">
      <c r="A3223" s="26">
        <v>7880</v>
      </c>
      <c r="B3223" s="27">
        <v>38379</v>
      </c>
      <c r="C3223" s="28" t="s">
        <v>10357</v>
      </c>
      <c r="D3223" s="27">
        <v>38376</v>
      </c>
      <c r="E3223" s="28" t="s">
        <v>283</v>
      </c>
      <c r="F3223" s="28" t="s">
        <v>52</v>
      </c>
      <c r="G3223" s="28" t="s">
        <v>20</v>
      </c>
      <c r="H3223" s="28" t="s">
        <v>21</v>
      </c>
      <c r="I3223" s="28" t="s">
        <v>21</v>
      </c>
      <c r="J3223" s="28" t="s">
        <v>10358</v>
      </c>
      <c r="K3223" s="28" t="s">
        <v>10353</v>
      </c>
      <c r="L3223" s="28" t="s">
        <v>2205</v>
      </c>
      <c r="M3223" s="28" t="s">
        <v>21</v>
      </c>
      <c r="O3223" s="92">
        <v>38518</v>
      </c>
      <c r="P3223" s="28" t="s">
        <v>21</v>
      </c>
      <c r="Q3223" s="26" t="b">
        <v>0</v>
      </c>
      <c r="R3223" s="22">
        <f t="shared" si="52"/>
        <v>139</v>
      </c>
    </row>
    <row r="3224" spans="1:18">
      <c r="A3224" s="26">
        <v>7881</v>
      </c>
      <c r="B3224" s="27">
        <v>38379</v>
      </c>
      <c r="C3224" s="28" t="s">
        <v>10359</v>
      </c>
      <c r="D3224" s="27">
        <v>38376</v>
      </c>
      <c r="E3224" s="28" t="s">
        <v>283</v>
      </c>
      <c r="F3224" s="28" t="s">
        <v>56</v>
      </c>
      <c r="G3224" s="28" t="s">
        <v>20</v>
      </c>
      <c r="H3224" s="28" t="s">
        <v>21</v>
      </c>
      <c r="I3224" s="28" t="s">
        <v>21</v>
      </c>
      <c r="J3224" s="28" t="s">
        <v>10360</v>
      </c>
      <c r="K3224" s="28" t="s">
        <v>696</v>
      </c>
      <c r="L3224" s="28" t="s">
        <v>1946</v>
      </c>
      <c r="M3224" s="28" t="s">
        <v>21</v>
      </c>
      <c r="O3224" s="92">
        <v>38538</v>
      </c>
      <c r="P3224" s="28" t="s">
        <v>21</v>
      </c>
      <c r="Q3224" s="26" t="b">
        <v>0</v>
      </c>
      <c r="R3224" s="22">
        <f t="shared" si="52"/>
        <v>160</v>
      </c>
    </row>
    <row r="3225" spans="1:18">
      <c r="A3225" s="26">
        <v>7884</v>
      </c>
      <c r="B3225" s="27">
        <v>38379</v>
      </c>
      <c r="C3225" s="28" t="s">
        <v>10361</v>
      </c>
      <c r="D3225" s="27">
        <v>38376</v>
      </c>
      <c r="E3225" s="28" t="s">
        <v>283</v>
      </c>
      <c r="F3225" s="28" t="s">
        <v>98</v>
      </c>
      <c r="G3225" s="28" t="s">
        <v>20</v>
      </c>
      <c r="H3225" s="28" t="s">
        <v>21</v>
      </c>
      <c r="I3225" s="28" t="s">
        <v>21</v>
      </c>
      <c r="J3225" s="28" t="s">
        <v>10362</v>
      </c>
      <c r="K3225" s="28" t="s">
        <v>7850</v>
      </c>
      <c r="L3225" s="28" t="s">
        <v>4282</v>
      </c>
      <c r="M3225" s="28" t="s">
        <v>21</v>
      </c>
      <c r="O3225" s="92">
        <v>38505</v>
      </c>
      <c r="P3225" s="28" t="s">
        <v>21</v>
      </c>
      <c r="Q3225" s="26" t="b">
        <v>0</v>
      </c>
      <c r="R3225" s="22">
        <f t="shared" ref="R3225:R3288" si="53">IF(O3225=" ", " ", INT(YEARFRAC(O3225, B3225)*365))</f>
        <v>126</v>
      </c>
    </row>
    <row r="3226" spans="1:18">
      <c r="A3226" s="26">
        <v>7887</v>
      </c>
      <c r="B3226" s="27">
        <v>38379</v>
      </c>
      <c r="C3226" s="28" t="s">
        <v>10363</v>
      </c>
      <c r="D3226" s="27">
        <v>38371</v>
      </c>
      <c r="E3226" s="28" t="s">
        <v>283</v>
      </c>
      <c r="F3226" s="28" t="s">
        <v>19</v>
      </c>
      <c r="G3226" s="28" t="s">
        <v>20</v>
      </c>
      <c r="H3226" s="28" t="s">
        <v>21</v>
      </c>
      <c r="I3226" s="28" t="s">
        <v>21</v>
      </c>
      <c r="J3226" s="28" t="s">
        <v>10364</v>
      </c>
      <c r="K3226" s="28" t="s">
        <v>7617</v>
      </c>
      <c r="L3226" s="28" t="s">
        <v>4579</v>
      </c>
      <c r="M3226" s="28" t="s">
        <v>21</v>
      </c>
      <c r="O3226" s="92">
        <v>38518</v>
      </c>
      <c r="P3226" s="28" t="s">
        <v>21</v>
      </c>
      <c r="Q3226" s="26" t="b">
        <v>0</v>
      </c>
      <c r="R3226" s="22">
        <f t="shared" si="53"/>
        <v>139</v>
      </c>
    </row>
    <row r="3227" spans="1:18">
      <c r="A3227" s="26">
        <v>7888</v>
      </c>
      <c r="B3227" s="27">
        <v>38379</v>
      </c>
      <c r="C3227" s="28" t="s">
        <v>10365</v>
      </c>
      <c r="D3227" s="27">
        <v>38373</v>
      </c>
      <c r="E3227" s="28" t="s">
        <v>283</v>
      </c>
      <c r="F3227" s="28" t="s">
        <v>52</v>
      </c>
      <c r="G3227" s="28" t="s">
        <v>20</v>
      </c>
      <c r="H3227" s="28" t="s">
        <v>21</v>
      </c>
      <c r="I3227" s="28" t="s">
        <v>21</v>
      </c>
      <c r="J3227" s="28" t="s">
        <v>10366</v>
      </c>
      <c r="K3227" s="28" t="s">
        <v>10367</v>
      </c>
      <c r="L3227" s="28" t="s">
        <v>4282</v>
      </c>
      <c r="M3227" s="28" t="s">
        <v>21</v>
      </c>
      <c r="O3227" s="92">
        <v>38505</v>
      </c>
      <c r="P3227" s="28" t="s">
        <v>21</v>
      </c>
      <c r="Q3227" s="26" t="b">
        <v>0</v>
      </c>
      <c r="R3227" s="22">
        <f t="shared" si="53"/>
        <v>126</v>
      </c>
    </row>
    <row r="3228" spans="1:18">
      <c r="A3228" s="26">
        <v>7889</v>
      </c>
      <c r="B3228" s="27">
        <v>38379</v>
      </c>
      <c r="C3228" s="28" t="s">
        <v>10368</v>
      </c>
      <c r="D3228" s="27">
        <v>38376</v>
      </c>
      <c r="E3228" s="28" t="s">
        <v>283</v>
      </c>
      <c r="F3228" s="28" t="s">
        <v>145</v>
      </c>
      <c r="G3228" s="28" t="s">
        <v>20</v>
      </c>
      <c r="H3228" s="28" t="s">
        <v>21</v>
      </c>
      <c r="I3228" s="28" t="s">
        <v>21</v>
      </c>
      <c r="J3228" s="28" t="s">
        <v>10369</v>
      </c>
      <c r="K3228" s="28" t="s">
        <v>10370</v>
      </c>
      <c r="L3228" s="28" t="s">
        <v>1946</v>
      </c>
      <c r="M3228" s="28" t="s">
        <v>21</v>
      </c>
      <c r="O3228" s="92">
        <v>38523</v>
      </c>
      <c r="P3228" s="28" t="s">
        <v>21</v>
      </c>
      <c r="Q3228" s="26" t="b">
        <v>0</v>
      </c>
      <c r="R3228" s="22">
        <f t="shared" si="53"/>
        <v>144</v>
      </c>
    </row>
    <row r="3229" spans="1:18">
      <c r="A3229" s="26">
        <v>7890</v>
      </c>
      <c r="B3229" s="27">
        <v>38379</v>
      </c>
      <c r="C3229" s="28" t="s">
        <v>10371</v>
      </c>
      <c r="D3229" s="27">
        <v>38376</v>
      </c>
      <c r="E3229" s="28" t="s">
        <v>283</v>
      </c>
      <c r="F3229" s="28" t="s">
        <v>145</v>
      </c>
      <c r="G3229" s="28" t="s">
        <v>20</v>
      </c>
      <c r="H3229" s="28" t="s">
        <v>21</v>
      </c>
      <c r="I3229" s="28" t="s">
        <v>21</v>
      </c>
      <c r="J3229" s="28" t="s">
        <v>10372</v>
      </c>
      <c r="K3229" s="28" t="s">
        <v>10370</v>
      </c>
      <c r="L3229" s="28" t="s">
        <v>1946</v>
      </c>
      <c r="M3229" s="28" t="s">
        <v>21</v>
      </c>
      <c r="O3229" s="92">
        <v>38519</v>
      </c>
      <c r="P3229" s="28" t="s">
        <v>21</v>
      </c>
      <c r="Q3229" s="26" t="b">
        <v>0</v>
      </c>
      <c r="R3229" s="22">
        <f t="shared" si="53"/>
        <v>140</v>
      </c>
    </row>
    <row r="3230" spans="1:18">
      <c r="A3230" s="26">
        <v>7893</v>
      </c>
      <c r="B3230" s="27">
        <v>38380</v>
      </c>
      <c r="C3230" s="28" t="s">
        <v>10373</v>
      </c>
      <c r="D3230" s="27">
        <v>38371</v>
      </c>
      <c r="E3230" s="28" t="s">
        <v>283</v>
      </c>
      <c r="F3230" s="28" t="s">
        <v>149</v>
      </c>
      <c r="G3230" s="28" t="s">
        <v>20</v>
      </c>
      <c r="H3230" s="28" t="s">
        <v>21</v>
      </c>
      <c r="I3230" s="28" t="s">
        <v>21</v>
      </c>
      <c r="J3230" s="28" t="s">
        <v>10374</v>
      </c>
      <c r="K3230" s="28" t="s">
        <v>10375</v>
      </c>
      <c r="L3230" s="28" t="s">
        <v>4282</v>
      </c>
      <c r="M3230" s="28" t="s">
        <v>21</v>
      </c>
      <c r="O3230" s="92">
        <v>38505</v>
      </c>
      <c r="P3230" s="28" t="s">
        <v>21</v>
      </c>
      <c r="Q3230" s="26" t="b">
        <v>0</v>
      </c>
      <c r="R3230" s="22">
        <f t="shared" si="53"/>
        <v>125</v>
      </c>
    </row>
    <row r="3231" spans="1:18">
      <c r="A3231" s="26">
        <v>7894</v>
      </c>
      <c r="B3231" s="27">
        <v>38380</v>
      </c>
      <c r="C3231" s="28" t="s">
        <v>10376</v>
      </c>
      <c r="D3231" s="27">
        <v>38372</v>
      </c>
      <c r="E3231" s="28" t="s">
        <v>283</v>
      </c>
      <c r="F3231" s="28" t="s">
        <v>9198</v>
      </c>
      <c r="G3231" s="28" t="s">
        <v>20</v>
      </c>
      <c r="H3231" s="28" t="s">
        <v>21</v>
      </c>
      <c r="I3231" s="28" t="s">
        <v>21</v>
      </c>
      <c r="J3231" s="28" t="s">
        <v>10377</v>
      </c>
      <c r="K3231" s="28" t="s">
        <v>10378</v>
      </c>
      <c r="L3231" s="28" t="s">
        <v>1946</v>
      </c>
      <c r="M3231" s="28" t="s">
        <v>21</v>
      </c>
      <c r="O3231" s="92">
        <v>38538</v>
      </c>
      <c r="P3231" s="28" t="s">
        <v>21</v>
      </c>
      <c r="Q3231" s="26" t="b">
        <v>0</v>
      </c>
      <c r="R3231" s="22">
        <f t="shared" si="53"/>
        <v>159</v>
      </c>
    </row>
    <row r="3232" spans="1:18">
      <c r="A3232" s="26">
        <v>7896</v>
      </c>
      <c r="B3232" s="27">
        <v>38380</v>
      </c>
      <c r="C3232" s="28" t="s">
        <v>10379</v>
      </c>
      <c r="D3232" s="27">
        <v>38373</v>
      </c>
      <c r="E3232" s="28" t="s">
        <v>283</v>
      </c>
      <c r="F3232" s="28" t="s">
        <v>39</v>
      </c>
      <c r="G3232" s="28" t="s">
        <v>20</v>
      </c>
      <c r="H3232" s="28" t="s">
        <v>21</v>
      </c>
      <c r="I3232" s="28" t="s">
        <v>21</v>
      </c>
      <c r="J3232" s="28" t="s">
        <v>10380</v>
      </c>
      <c r="K3232" s="28" t="s">
        <v>10381</v>
      </c>
      <c r="L3232" s="28" t="s">
        <v>2205</v>
      </c>
      <c r="M3232" s="28" t="s">
        <v>21</v>
      </c>
      <c r="O3232" s="92">
        <v>38518</v>
      </c>
      <c r="P3232" s="28" t="s">
        <v>21</v>
      </c>
      <c r="Q3232" s="26" t="b">
        <v>0</v>
      </c>
      <c r="R3232" s="22">
        <f t="shared" si="53"/>
        <v>138</v>
      </c>
    </row>
    <row r="3233" spans="1:18" ht="24">
      <c r="A3233" s="26">
        <v>7897</v>
      </c>
      <c r="B3233" s="27">
        <v>38380</v>
      </c>
      <c r="C3233" s="28" t="s">
        <v>10382</v>
      </c>
      <c r="D3233" s="29">
        <v>38371</v>
      </c>
      <c r="E3233" s="28" t="s">
        <v>283</v>
      </c>
      <c r="F3233" s="28" t="s">
        <v>104</v>
      </c>
      <c r="G3233" s="28" t="s">
        <v>20</v>
      </c>
      <c r="H3233" s="28" t="s">
        <v>21</v>
      </c>
      <c r="I3233" s="28" t="s">
        <v>21</v>
      </c>
      <c r="J3233" s="28" t="s">
        <v>10383</v>
      </c>
      <c r="K3233" s="28" t="s">
        <v>10384</v>
      </c>
      <c r="L3233" s="28" t="s">
        <v>4579</v>
      </c>
      <c r="M3233" s="28" t="s">
        <v>21</v>
      </c>
      <c r="O3233" s="92">
        <v>38518</v>
      </c>
      <c r="P3233" s="28" t="s">
        <v>21</v>
      </c>
      <c r="Q3233" s="26" t="b">
        <v>0</v>
      </c>
      <c r="R3233" s="22">
        <f t="shared" si="53"/>
        <v>138</v>
      </c>
    </row>
    <row r="3234" spans="1:18">
      <c r="A3234" s="26">
        <v>7898</v>
      </c>
      <c r="B3234" s="27">
        <v>38380</v>
      </c>
      <c r="C3234" s="28" t="s">
        <v>10385</v>
      </c>
      <c r="D3234" s="27">
        <v>38371</v>
      </c>
      <c r="E3234" s="28" t="s">
        <v>283</v>
      </c>
      <c r="F3234" s="28" t="s">
        <v>98</v>
      </c>
      <c r="G3234" s="28" t="s">
        <v>20</v>
      </c>
      <c r="H3234" s="28" t="s">
        <v>21</v>
      </c>
      <c r="I3234" s="28" t="s">
        <v>21</v>
      </c>
      <c r="J3234" s="28" t="s">
        <v>10386</v>
      </c>
      <c r="K3234" s="28" t="s">
        <v>10387</v>
      </c>
      <c r="L3234" s="28" t="s">
        <v>1946</v>
      </c>
      <c r="M3234" s="28" t="s">
        <v>21</v>
      </c>
      <c r="O3234" s="92">
        <v>38538</v>
      </c>
      <c r="P3234" s="28" t="s">
        <v>21</v>
      </c>
      <c r="Q3234" s="26" t="b">
        <v>0</v>
      </c>
      <c r="R3234" s="22">
        <f t="shared" si="53"/>
        <v>159</v>
      </c>
    </row>
    <row r="3235" spans="1:18">
      <c r="A3235" s="26">
        <v>7899</v>
      </c>
      <c r="B3235" s="27">
        <v>38380</v>
      </c>
      <c r="C3235" s="28" t="s">
        <v>10388</v>
      </c>
      <c r="D3235" s="27">
        <v>38371</v>
      </c>
      <c r="E3235" s="28" t="s">
        <v>283</v>
      </c>
      <c r="F3235" s="28" t="s">
        <v>98</v>
      </c>
      <c r="G3235" s="28" t="s">
        <v>20</v>
      </c>
      <c r="H3235" s="28" t="s">
        <v>21</v>
      </c>
      <c r="I3235" s="28" t="s">
        <v>21</v>
      </c>
      <c r="J3235" s="28" t="s">
        <v>10389</v>
      </c>
      <c r="K3235" s="28" t="s">
        <v>10387</v>
      </c>
      <c r="L3235" s="28" t="s">
        <v>1946</v>
      </c>
      <c r="M3235" s="28" t="s">
        <v>21</v>
      </c>
      <c r="O3235" s="92">
        <v>38519</v>
      </c>
      <c r="P3235" s="28" t="s">
        <v>21</v>
      </c>
      <c r="Q3235" s="26" t="b">
        <v>0</v>
      </c>
      <c r="R3235" s="22">
        <f t="shared" si="53"/>
        <v>139</v>
      </c>
    </row>
    <row r="3236" spans="1:18">
      <c r="A3236" s="26">
        <v>7900</v>
      </c>
      <c r="B3236" s="27">
        <v>38380</v>
      </c>
      <c r="C3236" s="28" t="s">
        <v>10390</v>
      </c>
      <c r="D3236" s="29">
        <v>38378</v>
      </c>
      <c r="E3236" s="28" t="s">
        <v>4172</v>
      </c>
      <c r="F3236" s="28" t="s">
        <v>974</v>
      </c>
      <c r="G3236" s="28" t="s">
        <v>20</v>
      </c>
      <c r="H3236" s="28" t="s">
        <v>212</v>
      </c>
      <c r="I3236" s="28" t="s">
        <v>10120</v>
      </c>
      <c r="J3236" s="28" t="s">
        <v>10391</v>
      </c>
      <c r="K3236" s="28" t="s">
        <v>10392</v>
      </c>
      <c r="L3236" s="28" t="s">
        <v>2205</v>
      </c>
      <c r="M3236" s="28" t="s">
        <v>4579</v>
      </c>
      <c r="O3236" s="92">
        <v>38457</v>
      </c>
      <c r="P3236" s="28" t="s">
        <v>31</v>
      </c>
      <c r="Q3236" s="26" t="b">
        <v>0</v>
      </c>
      <c r="R3236" s="22">
        <f t="shared" si="53"/>
        <v>78</v>
      </c>
    </row>
    <row r="3237" spans="1:18">
      <c r="A3237" s="26">
        <v>7901</v>
      </c>
      <c r="B3237" s="27">
        <v>38380</v>
      </c>
      <c r="C3237" s="28" t="s">
        <v>10393</v>
      </c>
      <c r="D3237" s="29">
        <v>38377</v>
      </c>
      <c r="E3237" s="28" t="s">
        <v>1432</v>
      </c>
      <c r="F3237" s="28" t="s">
        <v>10394</v>
      </c>
      <c r="G3237" s="28" t="s">
        <v>20</v>
      </c>
      <c r="H3237" s="28" t="s">
        <v>212</v>
      </c>
      <c r="I3237" s="28" t="s">
        <v>10120</v>
      </c>
      <c r="J3237" s="28" t="s">
        <v>10395</v>
      </c>
      <c r="K3237" s="28" t="s">
        <v>10396</v>
      </c>
      <c r="L3237" s="28" t="s">
        <v>4282</v>
      </c>
      <c r="M3237" s="28" t="s">
        <v>10397</v>
      </c>
      <c r="O3237" s="92">
        <v>38903</v>
      </c>
      <c r="P3237" s="28" t="s">
        <v>31</v>
      </c>
      <c r="Q3237" s="26" t="b">
        <v>0</v>
      </c>
      <c r="R3237" s="22">
        <f t="shared" si="53"/>
        <v>524</v>
      </c>
    </row>
    <row r="3238" spans="1:18" ht="24">
      <c r="A3238" s="26">
        <v>7903</v>
      </c>
      <c r="B3238" s="27">
        <v>38380</v>
      </c>
      <c r="C3238" s="28" t="s">
        <v>10398</v>
      </c>
      <c r="D3238" s="27">
        <v>38378</v>
      </c>
      <c r="E3238" s="28" t="s">
        <v>283</v>
      </c>
      <c r="F3238" s="28" t="s">
        <v>3847</v>
      </c>
      <c r="G3238" s="28" t="s">
        <v>20</v>
      </c>
      <c r="H3238" s="28" t="s">
        <v>21</v>
      </c>
      <c r="I3238" s="28" t="s">
        <v>21</v>
      </c>
      <c r="J3238" s="28" t="s">
        <v>10399</v>
      </c>
      <c r="K3238" s="28" t="s">
        <v>10400</v>
      </c>
      <c r="L3238" s="28" t="s">
        <v>2205</v>
      </c>
      <c r="M3238" s="28" t="s">
        <v>21</v>
      </c>
      <c r="O3238" s="92">
        <v>38518</v>
      </c>
      <c r="P3238" s="28" t="s">
        <v>21</v>
      </c>
      <c r="Q3238" s="26" t="b">
        <v>0</v>
      </c>
      <c r="R3238" s="22">
        <f t="shared" si="53"/>
        <v>138</v>
      </c>
    </row>
    <row r="3239" spans="1:18">
      <c r="A3239" s="26">
        <v>7904</v>
      </c>
      <c r="B3239" s="27">
        <v>38380</v>
      </c>
      <c r="C3239" s="28" t="s">
        <v>10401</v>
      </c>
      <c r="D3239" s="27">
        <v>38376</v>
      </c>
      <c r="E3239" s="28" t="s">
        <v>283</v>
      </c>
      <c r="F3239" s="28" t="s">
        <v>3847</v>
      </c>
      <c r="G3239" s="28" t="s">
        <v>20</v>
      </c>
      <c r="H3239" s="28" t="s">
        <v>21</v>
      </c>
      <c r="I3239" s="28" t="s">
        <v>21</v>
      </c>
      <c r="J3239" s="28" t="s">
        <v>10402</v>
      </c>
      <c r="K3239" s="28" t="s">
        <v>10343</v>
      </c>
      <c r="L3239" s="28" t="s">
        <v>4579</v>
      </c>
      <c r="M3239" s="28" t="s">
        <v>21</v>
      </c>
      <c r="O3239" s="92">
        <v>38518</v>
      </c>
      <c r="P3239" s="28" t="s">
        <v>21</v>
      </c>
      <c r="Q3239" s="26" t="b">
        <v>0</v>
      </c>
      <c r="R3239" s="22">
        <f t="shared" si="53"/>
        <v>138</v>
      </c>
    </row>
    <row r="3240" spans="1:18">
      <c r="A3240" s="26">
        <v>7905</v>
      </c>
      <c r="B3240" s="27">
        <v>38380</v>
      </c>
      <c r="C3240" s="28" t="s">
        <v>10403</v>
      </c>
      <c r="D3240" s="27">
        <v>38376</v>
      </c>
      <c r="E3240" s="28" t="s">
        <v>283</v>
      </c>
      <c r="F3240" s="28" t="s">
        <v>149</v>
      </c>
      <c r="G3240" s="28" t="s">
        <v>20</v>
      </c>
      <c r="H3240" s="28" t="s">
        <v>21</v>
      </c>
      <c r="I3240" s="28" t="s">
        <v>21</v>
      </c>
      <c r="J3240" s="28" t="s">
        <v>4758</v>
      </c>
      <c r="K3240" s="28" t="s">
        <v>10370</v>
      </c>
      <c r="L3240" s="28" t="s">
        <v>1946</v>
      </c>
      <c r="M3240" s="28" t="s">
        <v>21</v>
      </c>
      <c r="O3240" s="92">
        <v>38519</v>
      </c>
      <c r="P3240" s="28" t="s">
        <v>21</v>
      </c>
      <c r="Q3240" s="26" t="b">
        <v>0</v>
      </c>
      <c r="R3240" s="22">
        <f t="shared" si="53"/>
        <v>139</v>
      </c>
    </row>
    <row r="3241" spans="1:18">
      <c r="A3241" s="26">
        <v>7906</v>
      </c>
      <c r="B3241" s="27">
        <v>38380</v>
      </c>
      <c r="C3241" s="28" t="s">
        <v>10404</v>
      </c>
      <c r="D3241" s="27">
        <v>38376</v>
      </c>
      <c r="E3241" s="28" t="s">
        <v>283</v>
      </c>
      <c r="F3241" s="28" t="s">
        <v>6953</v>
      </c>
      <c r="G3241" s="28" t="s">
        <v>20</v>
      </c>
      <c r="H3241" s="28" t="s">
        <v>21</v>
      </c>
      <c r="I3241" s="28" t="s">
        <v>21</v>
      </c>
      <c r="J3241" s="28" t="s">
        <v>10405</v>
      </c>
      <c r="K3241" s="28" t="s">
        <v>10406</v>
      </c>
      <c r="L3241" s="28" t="s">
        <v>4579</v>
      </c>
      <c r="M3241" s="28" t="s">
        <v>21</v>
      </c>
      <c r="O3241" s="92">
        <v>38518</v>
      </c>
      <c r="P3241" s="28" t="s">
        <v>21</v>
      </c>
      <c r="Q3241" s="26" t="b">
        <v>0</v>
      </c>
      <c r="R3241" s="22">
        <f t="shared" si="53"/>
        <v>138</v>
      </c>
    </row>
    <row r="3242" spans="1:18">
      <c r="A3242" s="26">
        <v>7907</v>
      </c>
      <c r="B3242" s="27">
        <v>38380</v>
      </c>
      <c r="C3242" s="28" t="s">
        <v>10407</v>
      </c>
      <c r="D3242" s="27">
        <v>38376</v>
      </c>
      <c r="E3242" s="28" t="s">
        <v>283</v>
      </c>
      <c r="F3242" s="28" t="s">
        <v>3847</v>
      </c>
      <c r="G3242" s="28" t="s">
        <v>20</v>
      </c>
      <c r="H3242" s="28" t="s">
        <v>21</v>
      </c>
      <c r="I3242" s="28" t="s">
        <v>21</v>
      </c>
      <c r="J3242" s="28" t="s">
        <v>10408</v>
      </c>
      <c r="K3242" s="28" t="s">
        <v>10409</v>
      </c>
      <c r="L3242" s="28" t="s">
        <v>2205</v>
      </c>
      <c r="M3242" s="28" t="s">
        <v>21</v>
      </c>
      <c r="O3242" s="92">
        <v>38518</v>
      </c>
      <c r="P3242" s="28" t="s">
        <v>21</v>
      </c>
      <c r="Q3242" s="26" t="b">
        <v>0</v>
      </c>
      <c r="R3242" s="22">
        <f t="shared" si="53"/>
        <v>138</v>
      </c>
    </row>
    <row r="3243" spans="1:18" ht="24">
      <c r="A3243" s="26">
        <v>7908</v>
      </c>
      <c r="B3243" s="27">
        <v>38380</v>
      </c>
      <c r="C3243" s="28" t="s">
        <v>10410</v>
      </c>
      <c r="D3243" s="27">
        <v>38376</v>
      </c>
      <c r="E3243" s="28" t="s">
        <v>283</v>
      </c>
      <c r="F3243" s="28" t="s">
        <v>56</v>
      </c>
      <c r="G3243" s="28" t="s">
        <v>20</v>
      </c>
      <c r="H3243" s="28" t="s">
        <v>21</v>
      </c>
      <c r="I3243" s="28" t="s">
        <v>21</v>
      </c>
      <c r="J3243" s="28" t="s">
        <v>10411</v>
      </c>
      <c r="K3243" s="28" t="s">
        <v>684</v>
      </c>
      <c r="L3243" s="28" t="s">
        <v>1946</v>
      </c>
      <c r="M3243" s="28" t="s">
        <v>21</v>
      </c>
      <c r="O3243" s="92">
        <v>38538</v>
      </c>
      <c r="P3243" s="28" t="s">
        <v>21</v>
      </c>
      <c r="Q3243" s="26" t="b">
        <v>0</v>
      </c>
      <c r="R3243" s="22">
        <f t="shared" si="53"/>
        <v>159</v>
      </c>
    </row>
    <row r="3244" spans="1:18" ht="24">
      <c r="A3244" s="26">
        <v>7909</v>
      </c>
      <c r="B3244" s="27">
        <v>38380</v>
      </c>
      <c r="C3244" s="28" t="s">
        <v>10412</v>
      </c>
      <c r="D3244" s="18"/>
      <c r="E3244" s="28" t="s">
        <v>10413</v>
      </c>
      <c r="F3244" s="28" t="s">
        <v>10414</v>
      </c>
      <c r="G3244" s="28" t="s">
        <v>20</v>
      </c>
      <c r="H3244" s="28" t="s">
        <v>189</v>
      </c>
      <c r="I3244" s="28" t="s">
        <v>10147</v>
      </c>
      <c r="J3244" s="28" t="s">
        <v>10415</v>
      </c>
      <c r="K3244" s="28" t="s">
        <v>10416</v>
      </c>
      <c r="L3244" s="28" t="s">
        <v>4579</v>
      </c>
      <c r="M3244" s="28" t="s">
        <v>21</v>
      </c>
      <c r="O3244" s="92">
        <v>38429</v>
      </c>
      <c r="P3244" s="28" t="s">
        <v>21</v>
      </c>
      <c r="Q3244" s="26" t="b">
        <v>0</v>
      </c>
      <c r="R3244" s="22">
        <f t="shared" si="53"/>
        <v>50</v>
      </c>
    </row>
    <row r="3245" spans="1:18">
      <c r="A3245" s="26">
        <v>7910</v>
      </c>
      <c r="B3245" s="27">
        <v>38383</v>
      </c>
      <c r="C3245" s="28" t="s">
        <v>10417</v>
      </c>
      <c r="D3245" s="27">
        <v>38377</v>
      </c>
      <c r="E3245" s="28" t="s">
        <v>10418</v>
      </c>
      <c r="F3245" s="28" t="s">
        <v>974</v>
      </c>
      <c r="G3245" s="28" t="s">
        <v>20</v>
      </c>
      <c r="H3245" s="28" t="s">
        <v>212</v>
      </c>
      <c r="I3245" s="28" t="s">
        <v>10120</v>
      </c>
      <c r="J3245" s="28" t="s">
        <v>10419</v>
      </c>
      <c r="K3245" s="28" t="s">
        <v>21</v>
      </c>
      <c r="L3245" s="28" t="s">
        <v>2205</v>
      </c>
      <c r="M3245" s="28" t="s">
        <v>4579</v>
      </c>
      <c r="O3245" s="92">
        <v>38414</v>
      </c>
      <c r="P3245" s="28" t="s">
        <v>31</v>
      </c>
      <c r="Q3245" s="26" t="b">
        <v>0</v>
      </c>
      <c r="R3245" s="22">
        <f t="shared" si="53"/>
        <v>33</v>
      </c>
    </row>
    <row r="3246" spans="1:18">
      <c r="A3246" s="26">
        <v>7911</v>
      </c>
      <c r="B3246" s="27">
        <v>38383</v>
      </c>
      <c r="C3246" s="28" t="s">
        <v>10420</v>
      </c>
      <c r="D3246" s="27">
        <v>38380</v>
      </c>
      <c r="E3246" s="28" t="s">
        <v>10421</v>
      </c>
      <c r="F3246" s="28" t="s">
        <v>10422</v>
      </c>
      <c r="G3246" s="28" t="s">
        <v>20</v>
      </c>
      <c r="H3246" s="28" t="s">
        <v>212</v>
      </c>
      <c r="I3246" s="28" t="s">
        <v>10120</v>
      </c>
      <c r="J3246" s="28" t="s">
        <v>8969</v>
      </c>
      <c r="K3246" s="28" t="s">
        <v>21</v>
      </c>
      <c r="L3246" s="28" t="s">
        <v>2205</v>
      </c>
      <c r="M3246" s="28" t="s">
        <v>21</v>
      </c>
      <c r="O3246" s="92">
        <v>38408</v>
      </c>
      <c r="P3246" s="28" t="s">
        <v>21</v>
      </c>
      <c r="Q3246" s="26" t="b">
        <v>0</v>
      </c>
      <c r="R3246" s="22">
        <f t="shared" si="53"/>
        <v>25</v>
      </c>
    </row>
    <row r="3247" spans="1:18" ht="24">
      <c r="A3247" s="26">
        <v>7956</v>
      </c>
      <c r="B3247" s="27">
        <v>38383</v>
      </c>
      <c r="C3247" s="28" t="s">
        <v>10525</v>
      </c>
      <c r="D3247" s="29">
        <v>38379</v>
      </c>
      <c r="E3247" s="28" t="s">
        <v>283</v>
      </c>
      <c r="F3247" s="28" t="s">
        <v>10424</v>
      </c>
      <c r="G3247" s="28" t="s">
        <v>20</v>
      </c>
      <c r="H3247" s="28" t="s">
        <v>21</v>
      </c>
      <c r="I3247" s="28" t="s">
        <v>21</v>
      </c>
      <c r="J3247" s="28" t="s">
        <v>10526</v>
      </c>
      <c r="K3247" s="28" t="s">
        <v>10527</v>
      </c>
      <c r="L3247" s="28" t="s">
        <v>2205</v>
      </c>
      <c r="M3247" s="28" t="s">
        <v>21</v>
      </c>
      <c r="O3247" s="92">
        <v>38518</v>
      </c>
      <c r="P3247" s="28" t="s">
        <v>21</v>
      </c>
      <c r="Q3247" s="26" t="b">
        <v>0</v>
      </c>
      <c r="R3247" s="22">
        <f t="shared" si="53"/>
        <v>136</v>
      </c>
    </row>
    <row r="3248" spans="1:18" ht="24">
      <c r="A3248" s="26">
        <v>7957</v>
      </c>
      <c r="B3248" s="27">
        <v>38383</v>
      </c>
      <c r="C3248" s="28" t="s">
        <v>10469</v>
      </c>
      <c r="D3248" s="29">
        <v>38379</v>
      </c>
      <c r="E3248" s="28" t="s">
        <v>283</v>
      </c>
      <c r="F3248" s="28" t="s">
        <v>39</v>
      </c>
      <c r="G3248" s="28" t="s">
        <v>20</v>
      </c>
      <c r="H3248" s="28" t="s">
        <v>21</v>
      </c>
      <c r="I3248" s="28" t="s">
        <v>21</v>
      </c>
      <c r="J3248" s="28" t="s">
        <v>10528</v>
      </c>
      <c r="K3248" s="28" t="s">
        <v>10494</v>
      </c>
      <c r="L3248" s="28" t="s">
        <v>2205</v>
      </c>
      <c r="M3248" s="28" t="s">
        <v>21</v>
      </c>
      <c r="O3248" s="92">
        <v>38555</v>
      </c>
      <c r="P3248" s="28" t="s">
        <v>21</v>
      </c>
      <c r="Q3248" s="26" t="b">
        <v>0</v>
      </c>
      <c r="R3248" s="22">
        <f t="shared" si="53"/>
        <v>174</v>
      </c>
    </row>
    <row r="3249" spans="1:18">
      <c r="A3249" s="26">
        <v>7912</v>
      </c>
      <c r="B3249" s="27">
        <v>38384</v>
      </c>
      <c r="C3249" s="28" t="s">
        <v>10423</v>
      </c>
      <c r="E3249" s="28" t="s">
        <v>283</v>
      </c>
      <c r="F3249" s="28" t="s">
        <v>10424</v>
      </c>
      <c r="G3249" s="28" t="s">
        <v>20</v>
      </c>
      <c r="H3249" s="28" t="s">
        <v>21</v>
      </c>
      <c r="I3249" s="28" t="s">
        <v>21</v>
      </c>
      <c r="J3249" s="28" t="s">
        <v>10425</v>
      </c>
      <c r="K3249" s="28" t="s">
        <v>9388</v>
      </c>
      <c r="L3249" s="28" t="s">
        <v>2205</v>
      </c>
      <c r="M3249" s="28" t="s">
        <v>21</v>
      </c>
      <c r="O3249" s="92">
        <v>38518</v>
      </c>
      <c r="P3249" s="28" t="s">
        <v>21</v>
      </c>
      <c r="Q3249" s="26" t="b">
        <v>0</v>
      </c>
      <c r="R3249" s="22">
        <f t="shared" si="53"/>
        <v>135</v>
      </c>
    </row>
    <row r="3250" spans="1:18">
      <c r="A3250" s="26">
        <v>7913</v>
      </c>
      <c r="B3250" s="27">
        <v>38384</v>
      </c>
      <c r="C3250" s="28" t="s">
        <v>10426</v>
      </c>
      <c r="E3250" s="28" t="s">
        <v>283</v>
      </c>
      <c r="F3250" s="28" t="s">
        <v>10424</v>
      </c>
      <c r="G3250" s="28" t="s">
        <v>20</v>
      </c>
      <c r="H3250" s="28" t="s">
        <v>21</v>
      </c>
      <c r="I3250" s="28" t="s">
        <v>21</v>
      </c>
      <c r="J3250" s="28" t="s">
        <v>10427</v>
      </c>
      <c r="K3250" s="28" t="s">
        <v>9388</v>
      </c>
      <c r="L3250" s="28" t="s">
        <v>2205</v>
      </c>
      <c r="M3250" s="28" t="s">
        <v>21</v>
      </c>
      <c r="O3250" s="92">
        <v>38518</v>
      </c>
      <c r="P3250" s="28" t="s">
        <v>21</v>
      </c>
      <c r="Q3250" s="26" t="b">
        <v>0</v>
      </c>
      <c r="R3250" s="22">
        <f t="shared" si="53"/>
        <v>135</v>
      </c>
    </row>
    <row r="3251" spans="1:18">
      <c r="A3251" s="26">
        <v>7914</v>
      </c>
      <c r="B3251" s="27">
        <v>38384</v>
      </c>
      <c r="C3251" s="28" t="s">
        <v>10428</v>
      </c>
      <c r="D3251" s="27">
        <v>38379</v>
      </c>
      <c r="E3251" s="28" t="s">
        <v>283</v>
      </c>
      <c r="F3251" s="28" t="s">
        <v>6953</v>
      </c>
      <c r="G3251" s="28" t="s">
        <v>20</v>
      </c>
      <c r="H3251" s="28" t="s">
        <v>21</v>
      </c>
      <c r="I3251" s="28" t="s">
        <v>21</v>
      </c>
      <c r="J3251" s="28" t="s">
        <v>10429</v>
      </c>
      <c r="K3251" s="28" t="s">
        <v>10430</v>
      </c>
      <c r="L3251" s="28" t="s">
        <v>4579</v>
      </c>
      <c r="M3251" s="28" t="s">
        <v>21</v>
      </c>
      <c r="O3251" s="92">
        <v>38518</v>
      </c>
      <c r="P3251" s="28" t="s">
        <v>21</v>
      </c>
      <c r="Q3251" s="26" t="b">
        <v>0</v>
      </c>
      <c r="R3251" s="22">
        <f t="shared" si="53"/>
        <v>135</v>
      </c>
    </row>
    <row r="3252" spans="1:18" ht="24">
      <c r="A3252" s="26">
        <v>7915</v>
      </c>
      <c r="B3252" s="27">
        <v>38384</v>
      </c>
      <c r="C3252" s="28" t="s">
        <v>10431</v>
      </c>
      <c r="D3252" s="29">
        <v>38379</v>
      </c>
      <c r="E3252" s="28" t="s">
        <v>283</v>
      </c>
      <c r="F3252" s="28" t="s">
        <v>10424</v>
      </c>
      <c r="G3252" s="28" t="s">
        <v>20</v>
      </c>
      <c r="H3252" s="28" t="s">
        <v>21</v>
      </c>
      <c r="I3252" s="28" t="s">
        <v>21</v>
      </c>
      <c r="J3252" s="28" t="s">
        <v>10432</v>
      </c>
      <c r="K3252" s="28" t="s">
        <v>10433</v>
      </c>
      <c r="L3252" s="28" t="s">
        <v>4282</v>
      </c>
      <c r="M3252" s="28" t="s">
        <v>21</v>
      </c>
      <c r="O3252" s="92">
        <v>38512</v>
      </c>
      <c r="P3252" s="28" t="s">
        <v>21</v>
      </c>
      <c r="Q3252" s="26" t="b">
        <v>0</v>
      </c>
      <c r="R3252" s="22">
        <f t="shared" si="53"/>
        <v>129</v>
      </c>
    </row>
    <row r="3253" spans="1:18">
      <c r="A3253" s="26">
        <v>7916</v>
      </c>
      <c r="B3253" s="27">
        <v>38384</v>
      </c>
      <c r="C3253" s="28" t="s">
        <v>10434</v>
      </c>
      <c r="D3253" s="29">
        <v>38379</v>
      </c>
      <c r="E3253" s="28" t="s">
        <v>283</v>
      </c>
      <c r="F3253" s="28" t="s">
        <v>10424</v>
      </c>
      <c r="G3253" s="28" t="s">
        <v>20</v>
      </c>
      <c r="H3253" s="28" t="s">
        <v>21</v>
      </c>
      <c r="I3253" s="28" t="s">
        <v>21</v>
      </c>
      <c r="J3253" s="28" t="s">
        <v>10435</v>
      </c>
      <c r="K3253" s="28" t="s">
        <v>8148</v>
      </c>
      <c r="L3253" s="28" t="s">
        <v>4282</v>
      </c>
      <c r="M3253" s="28" t="s">
        <v>21</v>
      </c>
      <c r="O3253" s="92">
        <v>38505</v>
      </c>
      <c r="P3253" s="28" t="s">
        <v>21</v>
      </c>
      <c r="Q3253" s="26" t="b">
        <v>0</v>
      </c>
      <c r="R3253" s="22">
        <f t="shared" si="53"/>
        <v>122</v>
      </c>
    </row>
    <row r="3254" spans="1:18">
      <c r="A3254" s="26">
        <v>7917</v>
      </c>
      <c r="B3254" s="27">
        <v>38384</v>
      </c>
      <c r="C3254" s="28" t="s">
        <v>10436</v>
      </c>
      <c r="D3254" s="27">
        <v>38379</v>
      </c>
      <c r="E3254" s="28" t="s">
        <v>283</v>
      </c>
      <c r="F3254" s="28" t="s">
        <v>52</v>
      </c>
      <c r="G3254" s="28" t="s">
        <v>20</v>
      </c>
      <c r="H3254" s="28" t="s">
        <v>21</v>
      </c>
      <c r="I3254" s="28" t="s">
        <v>21</v>
      </c>
      <c r="J3254" s="28" t="s">
        <v>7907</v>
      </c>
      <c r="K3254" s="28" t="s">
        <v>10437</v>
      </c>
      <c r="L3254" s="28" t="s">
        <v>4579</v>
      </c>
      <c r="M3254" s="28" t="s">
        <v>21</v>
      </c>
      <c r="O3254" s="92">
        <v>38518</v>
      </c>
      <c r="P3254" s="28" t="s">
        <v>21</v>
      </c>
      <c r="Q3254" s="26" t="b">
        <v>0</v>
      </c>
      <c r="R3254" s="22">
        <f t="shared" si="53"/>
        <v>135</v>
      </c>
    </row>
    <row r="3255" spans="1:18">
      <c r="A3255" s="26">
        <v>7918</v>
      </c>
      <c r="B3255" s="27">
        <v>38384</v>
      </c>
      <c r="C3255" s="28" t="s">
        <v>10438</v>
      </c>
      <c r="D3255" s="27">
        <v>38379</v>
      </c>
      <c r="E3255" s="28" t="s">
        <v>283</v>
      </c>
      <c r="F3255" s="28" t="s">
        <v>10424</v>
      </c>
      <c r="G3255" s="28" t="s">
        <v>20</v>
      </c>
      <c r="H3255" s="28" t="s">
        <v>21</v>
      </c>
      <c r="I3255" s="28" t="s">
        <v>21</v>
      </c>
      <c r="J3255" s="28" t="s">
        <v>10439</v>
      </c>
      <c r="K3255" s="28" t="s">
        <v>8221</v>
      </c>
      <c r="L3255" s="28" t="s">
        <v>2205</v>
      </c>
      <c r="M3255" s="28" t="s">
        <v>21</v>
      </c>
      <c r="O3255" s="92">
        <v>38518</v>
      </c>
      <c r="P3255" s="28" t="s">
        <v>21</v>
      </c>
      <c r="Q3255" s="26" t="b">
        <v>0</v>
      </c>
      <c r="R3255" s="22">
        <f t="shared" si="53"/>
        <v>135</v>
      </c>
    </row>
    <row r="3256" spans="1:18">
      <c r="A3256" s="26">
        <v>7919</v>
      </c>
      <c r="B3256" s="27">
        <v>38384</v>
      </c>
      <c r="C3256" s="28" t="s">
        <v>10440</v>
      </c>
      <c r="D3256" s="27">
        <v>38379</v>
      </c>
      <c r="E3256" s="28" t="s">
        <v>283</v>
      </c>
      <c r="F3256" s="28" t="s">
        <v>149</v>
      </c>
      <c r="G3256" s="28" t="s">
        <v>20</v>
      </c>
      <c r="H3256" s="28" t="s">
        <v>21</v>
      </c>
      <c r="I3256" s="28" t="s">
        <v>21</v>
      </c>
      <c r="J3256" s="28" t="s">
        <v>10441</v>
      </c>
      <c r="K3256" s="28" t="s">
        <v>10111</v>
      </c>
      <c r="L3256" s="28" t="s">
        <v>4282</v>
      </c>
      <c r="M3256" s="28" t="s">
        <v>21</v>
      </c>
      <c r="O3256" s="92">
        <v>38505</v>
      </c>
      <c r="P3256" s="28" t="s">
        <v>21</v>
      </c>
      <c r="Q3256" s="26" t="b">
        <v>0</v>
      </c>
      <c r="R3256" s="22">
        <f t="shared" si="53"/>
        <v>122</v>
      </c>
    </row>
    <row r="3257" spans="1:18">
      <c r="A3257" s="26">
        <v>7920</v>
      </c>
      <c r="B3257" s="27">
        <v>38384</v>
      </c>
      <c r="C3257" s="28" t="s">
        <v>10442</v>
      </c>
      <c r="D3257" s="27">
        <v>38378</v>
      </c>
      <c r="E3257" s="28" t="s">
        <v>283</v>
      </c>
      <c r="F3257" s="28" t="s">
        <v>283</v>
      </c>
      <c r="G3257" s="28" t="s">
        <v>20</v>
      </c>
      <c r="H3257" s="28" t="s">
        <v>21</v>
      </c>
      <c r="I3257" s="28" t="s">
        <v>21</v>
      </c>
      <c r="J3257" s="28" t="s">
        <v>10443</v>
      </c>
      <c r="K3257" s="28" t="s">
        <v>10444</v>
      </c>
      <c r="L3257" s="28" t="s">
        <v>8318</v>
      </c>
      <c r="M3257" s="28" t="s">
        <v>21</v>
      </c>
      <c r="O3257" s="92">
        <v>38470</v>
      </c>
      <c r="P3257" s="28" t="s">
        <v>21</v>
      </c>
      <c r="Q3257" s="26" t="b">
        <v>0</v>
      </c>
      <c r="R3257" s="22">
        <f t="shared" si="53"/>
        <v>88</v>
      </c>
    </row>
    <row r="3258" spans="1:18">
      <c r="A3258" s="26">
        <v>7921</v>
      </c>
      <c r="B3258" s="27">
        <v>38384</v>
      </c>
      <c r="C3258" s="28" t="s">
        <v>10445</v>
      </c>
      <c r="D3258" s="27">
        <v>38378</v>
      </c>
      <c r="E3258" s="28" t="s">
        <v>283</v>
      </c>
      <c r="F3258" s="28" t="s">
        <v>10424</v>
      </c>
      <c r="G3258" s="28" t="s">
        <v>20</v>
      </c>
      <c r="H3258" s="28" t="s">
        <v>21</v>
      </c>
      <c r="I3258" s="28" t="s">
        <v>21</v>
      </c>
      <c r="J3258" s="28" t="s">
        <v>10446</v>
      </c>
      <c r="K3258" s="28" t="s">
        <v>10447</v>
      </c>
      <c r="L3258" s="28" t="s">
        <v>4579</v>
      </c>
      <c r="M3258" s="28" t="s">
        <v>21</v>
      </c>
      <c r="O3258" s="92">
        <v>38518</v>
      </c>
      <c r="P3258" s="28" t="s">
        <v>21</v>
      </c>
      <c r="Q3258" s="26" t="b">
        <v>0</v>
      </c>
      <c r="R3258" s="22">
        <f t="shared" si="53"/>
        <v>135</v>
      </c>
    </row>
    <row r="3259" spans="1:18">
      <c r="A3259" s="26">
        <v>7922</v>
      </c>
      <c r="B3259" s="27">
        <v>38384</v>
      </c>
      <c r="C3259" s="28" t="s">
        <v>10448</v>
      </c>
      <c r="D3259" s="27">
        <v>38378</v>
      </c>
      <c r="E3259" s="28" t="s">
        <v>283</v>
      </c>
      <c r="F3259" s="28" t="s">
        <v>149</v>
      </c>
      <c r="G3259" s="28" t="s">
        <v>20</v>
      </c>
      <c r="H3259" s="28" t="s">
        <v>21</v>
      </c>
      <c r="I3259" s="28" t="s">
        <v>21</v>
      </c>
      <c r="J3259" s="28" t="s">
        <v>10449</v>
      </c>
      <c r="K3259" s="28" t="s">
        <v>10450</v>
      </c>
      <c r="L3259" s="28" t="s">
        <v>4282</v>
      </c>
      <c r="M3259" s="28" t="s">
        <v>21</v>
      </c>
      <c r="O3259" s="92">
        <v>38505</v>
      </c>
      <c r="P3259" s="28" t="s">
        <v>21</v>
      </c>
      <c r="Q3259" s="26" t="b">
        <v>0</v>
      </c>
      <c r="R3259" s="22">
        <f t="shared" si="53"/>
        <v>122</v>
      </c>
    </row>
    <row r="3260" spans="1:18" ht="24">
      <c r="A3260" s="26">
        <v>7923</v>
      </c>
      <c r="B3260" s="27">
        <v>38384</v>
      </c>
      <c r="C3260" s="28" t="s">
        <v>10451</v>
      </c>
      <c r="E3260" s="28" t="s">
        <v>283</v>
      </c>
      <c r="F3260" s="28" t="s">
        <v>242</v>
      </c>
      <c r="G3260" s="28" t="s">
        <v>20</v>
      </c>
      <c r="H3260" s="28" t="s">
        <v>21</v>
      </c>
      <c r="I3260" s="28" t="s">
        <v>21</v>
      </c>
      <c r="J3260" s="28" t="s">
        <v>10452</v>
      </c>
      <c r="K3260" s="28" t="s">
        <v>10453</v>
      </c>
      <c r="L3260" s="28" t="s">
        <v>1946</v>
      </c>
      <c r="M3260" s="28" t="s">
        <v>21</v>
      </c>
      <c r="O3260" s="92">
        <v>38538</v>
      </c>
      <c r="P3260" s="28" t="s">
        <v>21</v>
      </c>
      <c r="Q3260" s="26" t="b">
        <v>0</v>
      </c>
      <c r="R3260" s="22">
        <f t="shared" si="53"/>
        <v>156</v>
      </c>
    </row>
    <row r="3261" spans="1:18">
      <c r="A3261" s="26">
        <v>7924</v>
      </c>
      <c r="B3261" s="27">
        <v>38384</v>
      </c>
      <c r="C3261" s="28" t="s">
        <v>10454</v>
      </c>
      <c r="D3261" s="18"/>
      <c r="E3261" s="28" t="s">
        <v>283</v>
      </c>
      <c r="F3261" s="28" t="s">
        <v>10424</v>
      </c>
      <c r="G3261" s="28" t="s">
        <v>20</v>
      </c>
      <c r="H3261" s="28" t="s">
        <v>21</v>
      </c>
      <c r="I3261" s="28" t="s">
        <v>21</v>
      </c>
      <c r="J3261" s="28" t="s">
        <v>8217</v>
      </c>
      <c r="K3261" s="28" t="s">
        <v>7765</v>
      </c>
      <c r="L3261" s="28" t="s">
        <v>4579</v>
      </c>
      <c r="M3261" s="28" t="s">
        <v>21</v>
      </c>
      <c r="O3261" s="92">
        <v>38518</v>
      </c>
      <c r="P3261" s="28" t="s">
        <v>21</v>
      </c>
      <c r="Q3261" s="26" t="b">
        <v>0</v>
      </c>
      <c r="R3261" s="22">
        <f t="shared" si="53"/>
        <v>135</v>
      </c>
    </row>
    <row r="3262" spans="1:18">
      <c r="A3262" s="26">
        <v>7925</v>
      </c>
      <c r="B3262" s="27">
        <v>38384</v>
      </c>
      <c r="C3262" s="28" t="s">
        <v>10455</v>
      </c>
      <c r="D3262" s="18"/>
      <c r="E3262" s="28" t="s">
        <v>283</v>
      </c>
      <c r="F3262" s="28" t="s">
        <v>10424</v>
      </c>
      <c r="G3262" s="28" t="s">
        <v>20</v>
      </c>
      <c r="H3262" s="28" t="s">
        <v>21</v>
      </c>
      <c r="I3262" s="28" t="s">
        <v>21</v>
      </c>
      <c r="J3262" s="28" t="s">
        <v>10456</v>
      </c>
      <c r="K3262" s="28" t="s">
        <v>10457</v>
      </c>
      <c r="L3262" s="28" t="s">
        <v>4579</v>
      </c>
      <c r="M3262" s="28" t="s">
        <v>21</v>
      </c>
      <c r="O3262" s="92">
        <v>38518</v>
      </c>
      <c r="P3262" s="28" t="s">
        <v>21</v>
      </c>
      <c r="Q3262" s="26" t="b">
        <v>0</v>
      </c>
      <c r="R3262" s="22">
        <f t="shared" si="53"/>
        <v>135</v>
      </c>
    </row>
    <row r="3263" spans="1:18">
      <c r="A3263" s="26">
        <v>7926</v>
      </c>
      <c r="B3263" s="27">
        <v>38384</v>
      </c>
      <c r="C3263" s="28" t="s">
        <v>10458</v>
      </c>
      <c r="D3263" s="18"/>
      <c r="E3263" s="28" t="s">
        <v>283</v>
      </c>
      <c r="F3263" s="28" t="s">
        <v>7024</v>
      </c>
      <c r="G3263" s="28" t="s">
        <v>20</v>
      </c>
      <c r="H3263" s="28" t="s">
        <v>21</v>
      </c>
      <c r="I3263" s="28" t="s">
        <v>21</v>
      </c>
      <c r="J3263" s="28" t="s">
        <v>10459</v>
      </c>
      <c r="K3263" s="28" t="s">
        <v>10457</v>
      </c>
      <c r="L3263" s="28" t="s">
        <v>4579</v>
      </c>
      <c r="M3263" s="28" t="s">
        <v>21</v>
      </c>
      <c r="O3263" s="92">
        <v>38518</v>
      </c>
      <c r="P3263" s="28" t="s">
        <v>21</v>
      </c>
      <c r="Q3263" s="26" t="b">
        <v>0</v>
      </c>
      <c r="R3263" s="22">
        <f t="shared" si="53"/>
        <v>135</v>
      </c>
    </row>
    <row r="3264" spans="1:18">
      <c r="A3264" s="26">
        <v>7927</v>
      </c>
      <c r="B3264" s="27">
        <v>38384</v>
      </c>
      <c r="C3264" s="28" t="s">
        <v>10460</v>
      </c>
      <c r="D3264" s="27">
        <v>38377</v>
      </c>
      <c r="E3264" s="28" t="s">
        <v>283</v>
      </c>
      <c r="F3264" s="28" t="s">
        <v>98</v>
      </c>
      <c r="G3264" s="28" t="s">
        <v>20</v>
      </c>
      <c r="H3264" s="28" t="s">
        <v>21</v>
      </c>
      <c r="I3264" s="28" t="s">
        <v>21</v>
      </c>
      <c r="J3264" s="28" t="s">
        <v>10461</v>
      </c>
      <c r="K3264" s="28" t="s">
        <v>7850</v>
      </c>
      <c r="L3264" s="28" t="s">
        <v>4282</v>
      </c>
      <c r="M3264" s="28" t="s">
        <v>21</v>
      </c>
      <c r="O3264" s="92">
        <v>38505</v>
      </c>
      <c r="P3264" s="28" t="s">
        <v>21</v>
      </c>
      <c r="Q3264" s="26" t="b">
        <v>0</v>
      </c>
      <c r="R3264" s="22">
        <f t="shared" si="53"/>
        <v>122</v>
      </c>
    </row>
    <row r="3265" spans="1:18">
      <c r="A3265" s="26">
        <v>7928</v>
      </c>
      <c r="B3265" s="27">
        <v>38384</v>
      </c>
      <c r="C3265" s="28" t="s">
        <v>10462</v>
      </c>
      <c r="D3265" s="18"/>
      <c r="E3265" s="28" t="s">
        <v>283</v>
      </c>
      <c r="F3265" s="28" t="s">
        <v>145</v>
      </c>
      <c r="G3265" s="28" t="s">
        <v>20</v>
      </c>
      <c r="H3265" s="28" t="s">
        <v>21</v>
      </c>
      <c r="I3265" s="28" t="s">
        <v>21</v>
      </c>
      <c r="J3265" s="28" t="s">
        <v>10463</v>
      </c>
      <c r="K3265" s="28" t="s">
        <v>10464</v>
      </c>
      <c r="L3265" s="28" t="s">
        <v>1946</v>
      </c>
      <c r="M3265" s="28" t="s">
        <v>21</v>
      </c>
      <c r="O3265" s="92">
        <v>38519</v>
      </c>
      <c r="P3265" s="28" t="s">
        <v>21</v>
      </c>
      <c r="Q3265" s="26" t="b">
        <v>0</v>
      </c>
      <c r="R3265" s="22">
        <f t="shared" si="53"/>
        <v>136</v>
      </c>
    </row>
    <row r="3266" spans="1:18">
      <c r="A3266" s="26">
        <v>7930</v>
      </c>
      <c r="B3266" s="27">
        <v>38384</v>
      </c>
      <c r="C3266" s="28" t="s">
        <v>10465</v>
      </c>
      <c r="D3266" s="18"/>
      <c r="E3266" s="28" t="s">
        <v>283</v>
      </c>
      <c r="F3266" s="28" t="s">
        <v>70</v>
      </c>
      <c r="G3266" s="28" t="s">
        <v>20</v>
      </c>
      <c r="H3266" s="28" t="s">
        <v>71</v>
      </c>
      <c r="I3266" s="28" t="s">
        <v>10466</v>
      </c>
      <c r="J3266" s="28" t="s">
        <v>10467</v>
      </c>
      <c r="K3266" s="28" t="s">
        <v>10468</v>
      </c>
      <c r="L3266" s="28" t="s">
        <v>1946</v>
      </c>
      <c r="M3266" s="28" t="s">
        <v>21</v>
      </c>
      <c r="O3266" s="92">
        <v>38538</v>
      </c>
      <c r="P3266" s="28" t="s">
        <v>21</v>
      </c>
      <c r="Q3266" s="26" t="b">
        <v>0</v>
      </c>
      <c r="R3266" s="22">
        <f t="shared" si="53"/>
        <v>156</v>
      </c>
    </row>
    <row r="3267" spans="1:18">
      <c r="A3267" s="26">
        <v>7931</v>
      </c>
      <c r="B3267" s="27">
        <v>38384</v>
      </c>
      <c r="C3267" s="28" t="s">
        <v>10469</v>
      </c>
      <c r="D3267" s="27">
        <v>38379</v>
      </c>
      <c r="E3267" s="28" t="s">
        <v>283</v>
      </c>
      <c r="F3267" s="28" t="s">
        <v>10424</v>
      </c>
      <c r="G3267" s="28" t="s">
        <v>20</v>
      </c>
      <c r="H3267" s="28" t="s">
        <v>21</v>
      </c>
      <c r="I3267" s="28" t="s">
        <v>21</v>
      </c>
      <c r="J3267" s="28" t="s">
        <v>10470</v>
      </c>
      <c r="K3267" s="28" t="s">
        <v>10471</v>
      </c>
      <c r="L3267" s="28" t="s">
        <v>4579</v>
      </c>
      <c r="M3267" s="28" t="s">
        <v>21</v>
      </c>
      <c r="O3267" s="92">
        <v>38518</v>
      </c>
      <c r="P3267" s="28" t="s">
        <v>21</v>
      </c>
      <c r="Q3267" s="26" t="b">
        <v>0</v>
      </c>
      <c r="R3267" s="22">
        <f t="shared" si="53"/>
        <v>135</v>
      </c>
    </row>
    <row r="3268" spans="1:18">
      <c r="A3268" s="26">
        <v>7933</v>
      </c>
      <c r="B3268" s="27">
        <v>38384</v>
      </c>
      <c r="C3268" s="28" t="s">
        <v>10472</v>
      </c>
      <c r="D3268" s="27">
        <v>38377</v>
      </c>
      <c r="E3268" s="28" t="s">
        <v>283</v>
      </c>
      <c r="F3268" s="28" t="s">
        <v>10424</v>
      </c>
      <c r="G3268" s="28" t="s">
        <v>20</v>
      </c>
      <c r="H3268" s="28" t="s">
        <v>21</v>
      </c>
      <c r="I3268" s="28" t="s">
        <v>21</v>
      </c>
      <c r="J3268" s="28" t="s">
        <v>10473</v>
      </c>
      <c r="K3268" s="28" t="s">
        <v>10474</v>
      </c>
      <c r="L3268" s="28" t="s">
        <v>2205</v>
      </c>
      <c r="M3268" s="28" t="s">
        <v>21</v>
      </c>
      <c r="O3268" s="92">
        <v>38518</v>
      </c>
      <c r="P3268" s="28" t="s">
        <v>21</v>
      </c>
      <c r="Q3268" s="26" t="b">
        <v>0</v>
      </c>
      <c r="R3268" s="22">
        <f t="shared" si="53"/>
        <v>135</v>
      </c>
    </row>
    <row r="3269" spans="1:18">
      <c r="A3269" s="26">
        <v>7934</v>
      </c>
      <c r="B3269" s="27">
        <v>38384</v>
      </c>
      <c r="C3269" s="28" t="s">
        <v>10475</v>
      </c>
      <c r="D3269" s="27">
        <v>38379</v>
      </c>
      <c r="E3269" s="28" t="s">
        <v>283</v>
      </c>
      <c r="F3269" s="28" t="s">
        <v>10424</v>
      </c>
      <c r="G3269" s="28" t="s">
        <v>20</v>
      </c>
      <c r="H3269" s="28" t="s">
        <v>21</v>
      </c>
      <c r="I3269" s="28" t="s">
        <v>21</v>
      </c>
      <c r="J3269" s="28" t="s">
        <v>7797</v>
      </c>
      <c r="K3269" s="28" t="s">
        <v>8148</v>
      </c>
      <c r="L3269" s="28" t="s">
        <v>4282</v>
      </c>
      <c r="M3269" s="28" t="s">
        <v>21</v>
      </c>
      <c r="O3269" s="92">
        <v>38505</v>
      </c>
      <c r="P3269" s="28" t="s">
        <v>21</v>
      </c>
      <c r="Q3269" s="26" t="b">
        <v>0</v>
      </c>
      <c r="R3269" s="22">
        <f t="shared" si="53"/>
        <v>122</v>
      </c>
    </row>
    <row r="3270" spans="1:18">
      <c r="A3270" s="26">
        <v>7935</v>
      </c>
      <c r="B3270" s="27">
        <v>38384</v>
      </c>
      <c r="C3270" s="28" t="s">
        <v>10476</v>
      </c>
      <c r="D3270" s="27">
        <v>38379</v>
      </c>
      <c r="E3270" s="28" t="s">
        <v>283</v>
      </c>
      <c r="F3270" s="28" t="s">
        <v>52</v>
      </c>
      <c r="G3270" s="28" t="s">
        <v>20</v>
      </c>
      <c r="H3270" s="28" t="s">
        <v>21</v>
      </c>
      <c r="I3270" s="28" t="s">
        <v>21</v>
      </c>
      <c r="J3270" s="28" t="s">
        <v>10477</v>
      </c>
      <c r="K3270" s="28" t="s">
        <v>10478</v>
      </c>
      <c r="L3270" s="28" t="s">
        <v>4579</v>
      </c>
      <c r="M3270" s="28" t="s">
        <v>21</v>
      </c>
      <c r="O3270" s="92">
        <v>38555</v>
      </c>
      <c r="P3270" s="28" t="s">
        <v>21</v>
      </c>
      <c r="Q3270" s="26" t="b">
        <v>0</v>
      </c>
      <c r="R3270" s="22">
        <f t="shared" si="53"/>
        <v>173</v>
      </c>
    </row>
    <row r="3271" spans="1:18">
      <c r="A3271" s="26">
        <v>7955</v>
      </c>
      <c r="B3271" s="27">
        <v>38384</v>
      </c>
      <c r="C3271" s="28" t="s">
        <v>10522</v>
      </c>
      <c r="D3271" s="27">
        <v>38371</v>
      </c>
      <c r="E3271" s="28" t="s">
        <v>283</v>
      </c>
      <c r="F3271" s="28" t="s">
        <v>242</v>
      </c>
      <c r="G3271" s="28" t="s">
        <v>20</v>
      </c>
      <c r="H3271" s="28" t="s">
        <v>21</v>
      </c>
      <c r="I3271" s="28" t="s">
        <v>21</v>
      </c>
      <c r="J3271" s="28" t="s">
        <v>10523</v>
      </c>
      <c r="K3271" s="28" t="s">
        <v>10524</v>
      </c>
      <c r="L3271" s="28" t="s">
        <v>4282</v>
      </c>
      <c r="M3271" s="28" t="s">
        <v>21</v>
      </c>
      <c r="O3271" s="92">
        <v>38505</v>
      </c>
      <c r="P3271" s="28" t="s">
        <v>21</v>
      </c>
      <c r="Q3271" s="26" t="b">
        <v>0</v>
      </c>
      <c r="R3271" s="22">
        <f t="shared" si="53"/>
        <v>122</v>
      </c>
    </row>
    <row r="3272" spans="1:18">
      <c r="A3272" s="26">
        <v>7958</v>
      </c>
      <c r="B3272" s="27">
        <v>38384</v>
      </c>
      <c r="C3272" s="28" t="s">
        <v>10529</v>
      </c>
      <c r="D3272" s="27">
        <v>38378</v>
      </c>
      <c r="E3272" s="28" t="s">
        <v>283</v>
      </c>
      <c r="F3272" s="28" t="s">
        <v>149</v>
      </c>
      <c r="G3272" s="28" t="s">
        <v>20</v>
      </c>
      <c r="H3272" s="28" t="s">
        <v>21</v>
      </c>
      <c r="I3272" s="28" t="s">
        <v>21</v>
      </c>
      <c r="J3272" s="28" t="s">
        <v>10530</v>
      </c>
      <c r="K3272" s="28" t="s">
        <v>10531</v>
      </c>
      <c r="L3272" s="28" t="s">
        <v>2205</v>
      </c>
      <c r="M3272" s="28" t="s">
        <v>21</v>
      </c>
      <c r="O3272" s="92">
        <v>38518</v>
      </c>
      <c r="P3272" s="28" t="s">
        <v>21</v>
      </c>
      <c r="Q3272" s="26" t="b">
        <v>0</v>
      </c>
      <c r="R3272" s="22">
        <f t="shared" si="53"/>
        <v>135</v>
      </c>
    </row>
    <row r="3273" spans="1:18">
      <c r="A3273" s="26">
        <v>7959</v>
      </c>
      <c r="B3273" s="27">
        <v>38384</v>
      </c>
      <c r="C3273" s="28" t="s">
        <v>10532</v>
      </c>
      <c r="D3273" s="27">
        <v>38378</v>
      </c>
      <c r="E3273" s="28" t="s">
        <v>283</v>
      </c>
      <c r="F3273" s="28" t="s">
        <v>104</v>
      </c>
      <c r="G3273" s="28" t="s">
        <v>20</v>
      </c>
      <c r="H3273" s="28" t="s">
        <v>21</v>
      </c>
      <c r="I3273" s="28" t="s">
        <v>21</v>
      </c>
      <c r="J3273" s="28" t="s">
        <v>10533</v>
      </c>
      <c r="K3273" s="28" t="s">
        <v>10534</v>
      </c>
      <c r="L3273" s="28" t="s">
        <v>4579</v>
      </c>
      <c r="M3273" s="28" t="s">
        <v>21</v>
      </c>
      <c r="O3273" s="92">
        <v>38518</v>
      </c>
      <c r="P3273" s="28" t="s">
        <v>21</v>
      </c>
      <c r="Q3273" s="26" t="b">
        <v>0</v>
      </c>
      <c r="R3273" s="22">
        <f t="shared" si="53"/>
        <v>135</v>
      </c>
    </row>
    <row r="3274" spans="1:18">
      <c r="A3274" s="26">
        <v>7972</v>
      </c>
      <c r="B3274" s="27">
        <v>38384</v>
      </c>
      <c r="C3274" s="28" t="s">
        <v>10544</v>
      </c>
      <c r="D3274" s="27">
        <v>38379</v>
      </c>
      <c r="E3274" s="28" t="s">
        <v>283</v>
      </c>
      <c r="F3274" s="28" t="s">
        <v>1771</v>
      </c>
      <c r="G3274" s="28" t="s">
        <v>20</v>
      </c>
      <c r="H3274" s="28" t="s">
        <v>21</v>
      </c>
      <c r="I3274" s="28" t="s">
        <v>21</v>
      </c>
      <c r="J3274" s="28" t="s">
        <v>10545</v>
      </c>
      <c r="K3274" s="28" t="s">
        <v>10546</v>
      </c>
      <c r="L3274" s="28" t="s">
        <v>4282</v>
      </c>
      <c r="M3274" s="28" t="s">
        <v>21</v>
      </c>
      <c r="O3274" s="92">
        <v>38512</v>
      </c>
      <c r="P3274" s="28" t="s">
        <v>21</v>
      </c>
      <c r="Q3274" s="26" t="b">
        <v>0</v>
      </c>
      <c r="R3274" s="22">
        <f t="shared" si="53"/>
        <v>129</v>
      </c>
    </row>
    <row r="3275" spans="1:18">
      <c r="A3275" s="26">
        <v>7978</v>
      </c>
      <c r="B3275" s="27">
        <v>38384</v>
      </c>
      <c r="C3275" s="28" t="s">
        <v>10550</v>
      </c>
      <c r="D3275" s="27">
        <v>38379</v>
      </c>
      <c r="E3275" s="28" t="s">
        <v>283</v>
      </c>
      <c r="F3275" s="28" t="s">
        <v>98</v>
      </c>
      <c r="G3275" s="28" t="s">
        <v>20</v>
      </c>
      <c r="H3275" s="28" t="s">
        <v>21</v>
      </c>
      <c r="I3275" s="28" t="s">
        <v>21</v>
      </c>
      <c r="J3275" s="28" t="s">
        <v>10551</v>
      </c>
      <c r="K3275" s="28" t="s">
        <v>10552</v>
      </c>
      <c r="L3275" s="28" t="s">
        <v>4282</v>
      </c>
      <c r="M3275" s="28" t="s">
        <v>21</v>
      </c>
      <c r="O3275" s="92">
        <v>38505</v>
      </c>
      <c r="P3275" s="28" t="s">
        <v>21</v>
      </c>
      <c r="Q3275" s="26" t="b">
        <v>0</v>
      </c>
      <c r="R3275" s="22">
        <f t="shared" si="53"/>
        <v>122</v>
      </c>
    </row>
    <row r="3276" spans="1:18">
      <c r="A3276" s="26">
        <v>7938</v>
      </c>
      <c r="B3276" s="27">
        <v>38385</v>
      </c>
      <c r="C3276" s="28" t="s">
        <v>10479</v>
      </c>
      <c r="D3276" s="27">
        <v>38379</v>
      </c>
      <c r="E3276" s="28" t="s">
        <v>283</v>
      </c>
      <c r="F3276" s="28" t="s">
        <v>10424</v>
      </c>
      <c r="G3276" s="28" t="s">
        <v>20</v>
      </c>
      <c r="H3276" s="28" t="s">
        <v>21</v>
      </c>
      <c r="I3276" s="28" t="s">
        <v>21</v>
      </c>
      <c r="J3276" s="28" t="s">
        <v>10480</v>
      </c>
      <c r="K3276" s="28" t="s">
        <v>10481</v>
      </c>
      <c r="L3276" s="28" t="s">
        <v>1946</v>
      </c>
      <c r="M3276" s="28" t="s">
        <v>21</v>
      </c>
      <c r="O3276" s="92">
        <v>38519</v>
      </c>
      <c r="P3276" s="28" t="s">
        <v>21</v>
      </c>
      <c r="Q3276" s="26" t="b">
        <v>0</v>
      </c>
      <c r="R3276" s="22">
        <f t="shared" si="53"/>
        <v>135</v>
      </c>
    </row>
    <row r="3277" spans="1:18">
      <c r="A3277" s="26">
        <v>7939</v>
      </c>
      <c r="B3277" s="27">
        <v>38385</v>
      </c>
      <c r="C3277" s="28" t="s">
        <v>10482</v>
      </c>
      <c r="D3277" s="27">
        <v>38379</v>
      </c>
      <c r="E3277" s="28" t="s">
        <v>283</v>
      </c>
      <c r="F3277" s="28" t="s">
        <v>10424</v>
      </c>
      <c r="G3277" s="28" t="s">
        <v>20</v>
      </c>
      <c r="H3277" s="28" t="s">
        <v>21</v>
      </c>
      <c r="I3277" s="28" t="s">
        <v>21</v>
      </c>
      <c r="J3277" s="28" t="s">
        <v>10483</v>
      </c>
      <c r="K3277" s="28" t="s">
        <v>10484</v>
      </c>
      <c r="L3277" s="28" t="s">
        <v>2205</v>
      </c>
      <c r="M3277" s="28" t="s">
        <v>21</v>
      </c>
      <c r="O3277" s="92">
        <v>38518</v>
      </c>
      <c r="P3277" s="28" t="s">
        <v>21</v>
      </c>
      <c r="Q3277" s="26" t="b">
        <v>0</v>
      </c>
      <c r="R3277" s="22">
        <f t="shared" si="53"/>
        <v>134</v>
      </c>
    </row>
    <row r="3278" spans="1:18" ht="24">
      <c r="A3278" s="26">
        <v>7940</v>
      </c>
      <c r="B3278" s="27">
        <v>38385</v>
      </c>
      <c r="C3278" s="28" t="s">
        <v>10485</v>
      </c>
      <c r="D3278" s="18"/>
      <c r="E3278" s="28" t="s">
        <v>283</v>
      </c>
      <c r="F3278" s="28" t="s">
        <v>10424</v>
      </c>
      <c r="G3278" s="28" t="s">
        <v>20</v>
      </c>
      <c r="H3278" s="28" t="s">
        <v>21</v>
      </c>
      <c r="I3278" s="28" t="s">
        <v>21</v>
      </c>
      <c r="J3278" s="28" t="s">
        <v>10486</v>
      </c>
      <c r="K3278" s="28" t="s">
        <v>10487</v>
      </c>
      <c r="L3278" s="28" t="s">
        <v>2205</v>
      </c>
      <c r="M3278" s="28" t="s">
        <v>21</v>
      </c>
      <c r="O3278" s="92">
        <v>38518</v>
      </c>
      <c r="P3278" s="28" t="s">
        <v>21</v>
      </c>
      <c r="Q3278" s="26" t="b">
        <v>0</v>
      </c>
      <c r="R3278" s="22">
        <f t="shared" si="53"/>
        <v>134</v>
      </c>
    </row>
    <row r="3279" spans="1:18">
      <c r="A3279" s="26">
        <v>7941</v>
      </c>
      <c r="B3279" s="27">
        <v>38385</v>
      </c>
      <c r="C3279" s="28" t="s">
        <v>10488</v>
      </c>
      <c r="D3279" s="27">
        <v>38379</v>
      </c>
      <c r="E3279" s="28" t="s">
        <v>283</v>
      </c>
      <c r="F3279" s="28" t="s">
        <v>10424</v>
      </c>
      <c r="G3279" s="28" t="s">
        <v>20</v>
      </c>
      <c r="H3279" s="28" t="s">
        <v>21</v>
      </c>
      <c r="I3279" s="28" t="s">
        <v>21</v>
      </c>
      <c r="J3279" s="28" t="s">
        <v>8226</v>
      </c>
      <c r="K3279" s="28" t="s">
        <v>10489</v>
      </c>
      <c r="L3279" s="28" t="s">
        <v>2205</v>
      </c>
      <c r="M3279" s="28" t="s">
        <v>21</v>
      </c>
      <c r="O3279" s="92">
        <v>38518</v>
      </c>
      <c r="P3279" s="28" t="s">
        <v>21</v>
      </c>
      <c r="Q3279" s="26" t="b">
        <v>0</v>
      </c>
      <c r="R3279" s="22">
        <f t="shared" si="53"/>
        <v>134</v>
      </c>
    </row>
    <row r="3280" spans="1:18">
      <c r="A3280" s="26">
        <v>7942</v>
      </c>
      <c r="B3280" s="27">
        <v>38385</v>
      </c>
      <c r="C3280" s="28" t="s">
        <v>10490</v>
      </c>
      <c r="D3280" s="27">
        <v>38379</v>
      </c>
      <c r="E3280" s="28" t="s">
        <v>283</v>
      </c>
      <c r="F3280" s="28" t="s">
        <v>984</v>
      </c>
      <c r="G3280" s="28" t="s">
        <v>20</v>
      </c>
      <c r="H3280" s="28" t="s">
        <v>21</v>
      </c>
      <c r="I3280" s="28" t="s">
        <v>21</v>
      </c>
      <c r="J3280" s="28" t="s">
        <v>8084</v>
      </c>
      <c r="K3280" s="28" t="s">
        <v>10491</v>
      </c>
      <c r="L3280" s="28" t="s">
        <v>2205</v>
      </c>
      <c r="M3280" s="28" t="s">
        <v>21</v>
      </c>
      <c r="O3280" s="92">
        <v>38518</v>
      </c>
      <c r="P3280" s="28" t="s">
        <v>21</v>
      </c>
      <c r="Q3280" s="26" t="b">
        <v>0</v>
      </c>
      <c r="R3280" s="22">
        <f t="shared" si="53"/>
        <v>134</v>
      </c>
    </row>
    <row r="3281" spans="1:18">
      <c r="A3281" s="26">
        <v>7944</v>
      </c>
      <c r="B3281" s="27">
        <v>38385</v>
      </c>
      <c r="C3281" s="28" t="s">
        <v>10492</v>
      </c>
      <c r="D3281" s="27">
        <v>38377</v>
      </c>
      <c r="E3281" s="28" t="s">
        <v>283</v>
      </c>
      <c r="F3281" s="28" t="s">
        <v>39</v>
      </c>
      <c r="G3281" s="28" t="s">
        <v>20</v>
      </c>
      <c r="H3281" s="28" t="s">
        <v>21</v>
      </c>
      <c r="I3281" s="28" t="s">
        <v>21</v>
      </c>
      <c r="J3281" s="28" t="s">
        <v>10493</v>
      </c>
      <c r="K3281" s="28" t="s">
        <v>10494</v>
      </c>
      <c r="L3281" s="28" t="s">
        <v>2205</v>
      </c>
      <c r="M3281" s="28" t="s">
        <v>21</v>
      </c>
      <c r="O3281" s="92">
        <v>38518</v>
      </c>
      <c r="P3281" s="28" t="s">
        <v>21</v>
      </c>
      <c r="Q3281" s="26" t="b">
        <v>0</v>
      </c>
      <c r="R3281" s="22">
        <f t="shared" si="53"/>
        <v>134</v>
      </c>
    </row>
    <row r="3282" spans="1:18" ht="24">
      <c r="A3282" s="26">
        <v>7945</v>
      </c>
      <c r="B3282" s="27">
        <v>38385</v>
      </c>
      <c r="C3282" s="28" t="s">
        <v>10495</v>
      </c>
      <c r="D3282" s="27">
        <v>38379</v>
      </c>
      <c r="E3282" s="28" t="s">
        <v>283</v>
      </c>
      <c r="F3282" s="28" t="s">
        <v>10424</v>
      </c>
      <c r="G3282" s="28" t="s">
        <v>20</v>
      </c>
      <c r="H3282" s="28" t="s">
        <v>21</v>
      </c>
      <c r="I3282" s="28" t="s">
        <v>21</v>
      </c>
      <c r="J3282" s="28" t="s">
        <v>10496</v>
      </c>
      <c r="K3282" s="28" t="s">
        <v>10497</v>
      </c>
      <c r="L3282" s="28" t="s">
        <v>2205</v>
      </c>
      <c r="M3282" s="28" t="s">
        <v>21</v>
      </c>
      <c r="O3282" s="92">
        <v>38518</v>
      </c>
      <c r="P3282" s="28" t="s">
        <v>21</v>
      </c>
      <c r="Q3282" s="26" t="b">
        <v>0</v>
      </c>
      <c r="R3282" s="22">
        <f t="shared" si="53"/>
        <v>134</v>
      </c>
    </row>
    <row r="3283" spans="1:18" ht="24">
      <c r="A3283" s="26">
        <v>7946</v>
      </c>
      <c r="B3283" s="27">
        <v>38385</v>
      </c>
      <c r="C3283" s="28" t="s">
        <v>10498</v>
      </c>
      <c r="D3283" s="27">
        <v>38379</v>
      </c>
      <c r="E3283" s="28" t="s">
        <v>283</v>
      </c>
      <c r="F3283" s="28" t="s">
        <v>242</v>
      </c>
      <c r="G3283" s="28" t="s">
        <v>20</v>
      </c>
      <c r="H3283" s="28" t="s">
        <v>21</v>
      </c>
      <c r="I3283" s="28" t="s">
        <v>21</v>
      </c>
      <c r="J3283" s="28" t="s">
        <v>10499</v>
      </c>
      <c r="K3283" s="28" t="s">
        <v>10311</v>
      </c>
      <c r="L3283" s="28" t="s">
        <v>4579</v>
      </c>
      <c r="M3283" s="28" t="s">
        <v>21</v>
      </c>
      <c r="O3283" s="92">
        <v>38518</v>
      </c>
      <c r="P3283" s="28" t="s">
        <v>21</v>
      </c>
      <c r="Q3283" s="26" t="b">
        <v>0</v>
      </c>
      <c r="R3283" s="22">
        <f t="shared" si="53"/>
        <v>134</v>
      </c>
    </row>
    <row r="3284" spans="1:18" ht="24">
      <c r="A3284" s="26">
        <v>7947</v>
      </c>
      <c r="B3284" s="27">
        <v>38385</v>
      </c>
      <c r="C3284" s="28" t="s">
        <v>10500</v>
      </c>
      <c r="D3284" s="27">
        <v>38379</v>
      </c>
      <c r="E3284" s="28" t="s">
        <v>283</v>
      </c>
      <c r="F3284" s="28" t="s">
        <v>10424</v>
      </c>
      <c r="G3284" s="28" t="s">
        <v>20</v>
      </c>
      <c r="H3284" s="28" t="s">
        <v>21</v>
      </c>
      <c r="I3284" s="28" t="s">
        <v>21</v>
      </c>
      <c r="J3284" s="28" t="s">
        <v>10501</v>
      </c>
      <c r="K3284" s="28" t="s">
        <v>10502</v>
      </c>
      <c r="L3284" s="28" t="s">
        <v>1946</v>
      </c>
      <c r="M3284" s="28" t="s">
        <v>21</v>
      </c>
      <c r="O3284" s="92">
        <v>38519</v>
      </c>
      <c r="P3284" s="28" t="s">
        <v>21</v>
      </c>
      <c r="Q3284" s="26" t="b">
        <v>0</v>
      </c>
      <c r="R3284" s="22">
        <f t="shared" si="53"/>
        <v>135</v>
      </c>
    </row>
    <row r="3285" spans="1:18" ht="24">
      <c r="A3285" s="26">
        <v>7948</v>
      </c>
      <c r="B3285" s="27">
        <v>38385</v>
      </c>
      <c r="C3285" s="28" t="s">
        <v>10503</v>
      </c>
      <c r="D3285" s="27">
        <v>38379</v>
      </c>
      <c r="E3285" s="28" t="s">
        <v>283</v>
      </c>
      <c r="F3285" s="28" t="s">
        <v>10424</v>
      </c>
      <c r="G3285" s="28" t="s">
        <v>20</v>
      </c>
      <c r="H3285" s="28" t="s">
        <v>21</v>
      </c>
      <c r="I3285" s="28" t="s">
        <v>21</v>
      </c>
      <c r="J3285" s="28" t="s">
        <v>10504</v>
      </c>
      <c r="K3285" s="28" t="s">
        <v>10502</v>
      </c>
      <c r="L3285" s="28" t="s">
        <v>1946</v>
      </c>
      <c r="M3285" s="28" t="s">
        <v>21</v>
      </c>
      <c r="O3285" s="92">
        <v>38538</v>
      </c>
      <c r="P3285" s="28" t="s">
        <v>21</v>
      </c>
      <c r="Q3285" s="26" t="b">
        <v>0</v>
      </c>
      <c r="R3285" s="22">
        <f t="shared" si="53"/>
        <v>155</v>
      </c>
    </row>
    <row r="3286" spans="1:18" ht="24">
      <c r="A3286" s="26">
        <v>7949</v>
      </c>
      <c r="B3286" s="27">
        <v>38385</v>
      </c>
      <c r="C3286" s="28" t="s">
        <v>10505</v>
      </c>
      <c r="D3286" s="27">
        <v>38379</v>
      </c>
      <c r="E3286" s="28" t="s">
        <v>283</v>
      </c>
      <c r="F3286" s="28" t="s">
        <v>10424</v>
      </c>
      <c r="G3286" s="28" t="s">
        <v>20</v>
      </c>
      <c r="H3286" s="28" t="s">
        <v>21</v>
      </c>
      <c r="I3286" s="28" t="s">
        <v>21</v>
      </c>
      <c r="J3286" s="28" t="s">
        <v>10506</v>
      </c>
      <c r="K3286" s="28" t="s">
        <v>10507</v>
      </c>
      <c r="L3286" s="28" t="s">
        <v>2205</v>
      </c>
      <c r="M3286" s="28" t="s">
        <v>21</v>
      </c>
      <c r="O3286" s="92">
        <v>38518</v>
      </c>
      <c r="P3286" s="28" t="s">
        <v>21</v>
      </c>
      <c r="Q3286" s="26" t="b">
        <v>0</v>
      </c>
      <c r="R3286" s="22">
        <f t="shared" si="53"/>
        <v>134</v>
      </c>
    </row>
    <row r="3287" spans="1:18">
      <c r="A3287" s="26">
        <v>7950</v>
      </c>
      <c r="B3287" s="27">
        <v>38385</v>
      </c>
      <c r="C3287" s="28" t="s">
        <v>10508</v>
      </c>
      <c r="D3287" s="27">
        <v>38379</v>
      </c>
      <c r="E3287" s="28" t="s">
        <v>283</v>
      </c>
      <c r="F3287" s="28" t="s">
        <v>19</v>
      </c>
      <c r="G3287" s="28" t="s">
        <v>20</v>
      </c>
      <c r="H3287" s="28" t="s">
        <v>21</v>
      </c>
      <c r="I3287" s="28" t="s">
        <v>21</v>
      </c>
      <c r="J3287" s="28" t="s">
        <v>10509</v>
      </c>
      <c r="K3287" s="28" t="s">
        <v>10510</v>
      </c>
      <c r="L3287" s="28" t="s">
        <v>4579</v>
      </c>
      <c r="M3287" s="28" t="s">
        <v>21</v>
      </c>
      <c r="O3287" s="92">
        <v>38518</v>
      </c>
      <c r="P3287" s="28" t="s">
        <v>21</v>
      </c>
      <c r="Q3287" s="26" t="b">
        <v>0</v>
      </c>
      <c r="R3287" s="22">
        <f t="shared" si="53"/>
        <v>134</v>
      </c>
    </row>
    <row r="3288" spans="1:18" ht="24">
      <c r="A3288" s="26">
        <v>7951</v>
      </c>
      <c r="B3288" s="27">
        <v>38385</v>
      </c>
      <c r="C3288" s="28" t="s">
        <v>10511</v>
      </c>
      <c r="D3288" s="27">
        <v>38379</v>
      </c>
      <c r="E3288" s="28" t="s">
        <v>283</v>
      </c>
      <c r="F3288" s="28" t="s">
        <v>10424</v>
      </c>
      <c r="G3288" s="28" t="s">
        <v>20</v>
      </c>
      <c r="H3288" s="28" t="s">
        <v>21</v>
      </c>
      <c r="I3288" s="28" t="s">
        <v>21</v>
      </c>
      <c r="J3288" s="28" t="s">
        <v>10512</v>
      </c>
      <c r="K3288" s="28" t="s">
        <v>10513</v>
      </c>
      <c r="L3288" s="28" t="s">
        <v>1946</v>
      </c>
      <c r="M3288" s="28" t="s">
        <v>21</v>
      </c>
      <c r="O3288" s="92">
        <v>38538</v>
      </c>
      <c r="P3288" s="28" t="s">
        <v>21</v>
      </c>
      <c r="Q3288" s="26" t="b">
        <v>0</v>
      </c>
      <c r="R3288" s="22">
        <f t="shared" si="53"/>
        <v>155</v>
      </c>
    </row>
    <row r="3289" spans="1:18" ht="24">
      <c r="A3289" s="26">
        <v>7952</v>
      </c>
      <c r="B3289" s="27">
        <v>38385</v>
      </c>
      <c r="C3289" s="28" t="s">
        <v>10514</v>
      </c>
      <c r="D3289" s="27">
        <v>38379</v>
      </c>
      <c r="E3289" s="28" t="s">
        <v>283</v>
      </c>
      <c r="F3289" s="28" t="s">
        <v>10424</v>
      </c>
      <c r="G3289" s="28" t="s">
        <v>20</v>
      </c>
      <c r="H3289" s="28" t="s">
        <v>21</v>
      </c>
      <c r="I3289" s="28" t="s">
        <v>21</v>
      </c>
      <c r="J3289" s="28" t="s">
        <v>10515</v>
      </c>
      <c r="K3289" s="28" t="s">
        <v>10516</v>
      </c>
      <c r="L3289" s="28" t="s">
        <v>4579</v>
      </c>
      <c r="M3289" s="28" t="s">
        <v>21</v>
      </c>
      <c r="O3289" s="92">
        <v>38518</v>
      </c>
      <c r="P3289" s="28" t="s">
        <v>21</v>
      </c>
      <c r="Q3289" s="26" t="b">
        <v>0</v>
      </c>
      <c r="R3289" s="22">
        <f t="shared" ref="R3289:R3352" si="54">IF(O3289=" ", " ", INT(YEARFRAC(O3289, B3289)*365))</f>
        <v>134</v>
      </c>
    </row>
    <row r="3290" spans="1:18">
      <c r="A3290" s="26">
        <v>7953</v>
      </c>
      <c r="B3290" s="27">
        <v>38385</v>
      </c>
      <c r="C3290" s="28" t="s">
        <v>10517</v>
      </c>
      <c r="D3290" s="27">
        <v>38379</v>
      </c>
      <c r="E3290" s="28" t="s">
        <v>283</v>
      </c>
      <c r="F3290" s="28" t="s">
        <v>10424</v>
      </c>
      <c r="G3290" s="28" t="s">
        <v>20</v>
      </c>
      <c r="H3290" s="28" t="s">
        <v>21</v>
      </c>
      <c r="I3290" s="28" t="s">
        <v>21</v>
      </c>
      <c r="J3290" s="28" t="s">
        <v>10518</v>
      </c>
      <c r="K3290" s="28" t="s">
        <v>10519</v>
      </c>
      <c r="L3290" s="28" t="s">
        <v>4579</v>
      </c>
      <c r="M3290" s="28" t="s">
        <v>21</v>
      </c>
      <c r="O3290" s="92">
        <v>38518</v>
      </c>
      <c r="P3290" s="28" t="s">
        <v>21</v>
      </c>
      <c r="Q3290" s="26" t="b">
        <v>0</v>
      </c>
      <c r="R3290" s="22">
        <f t="shared" si="54"/>
        <v>134</v>
      </c>
    </row>
    <row r="3291" spans="1:18" ht="24">
      <c r="A3291" s="26">
        <v>7954</v>
      </c>
      <c r="B3291" s="27">
        <v>38385</v>
      </c>
      <c r="C3291" s="28" t="s">
        <v>10458</v>
      </c>
      <c r="D3291" s="27">
        <v>38379</v>
      </c>
      <c r="E3291" s="28" t="s">
        <v>283</v>
      </c>
      <c r="F3291" s="28" t="s">
        <v>10424</v>
      </c>
      <c r="G3291" s="28" t="s">
        <v>20</v>
      </c>
      <c r="H3291" s="28" t="s">
        <v>21</v>
      </c>
      <c r="I3291" s="28" t="s">
        <v>21</v>
      </c>
      <c r="J3291" s="28" t="s">
        <v>10520</v>
      </c>
      <c r="K3291" s="28" t="s">
        <v>10521</v>
      </c>
      <c r="L3291" s="28" t="s">
        <v>4579</v>
      </c>
      <c r="M3291" s="28" t="s">
        <v>21</v>
      </c>
      <c r="O3291" s="92">
        <v>38518</v>
      </c>
      <c r="P3291" s="28" t="s">
        <v>21</v>
      </c>
      <c r="Q3291" s="26" t="b">
        <v>0</v>
      </c>
      <c r="R3291" s="22">
        <f t="shared" si="54"/>
        <v>134</v>
      </c>
    </row>
    <row r="3292" spans="1:18">
      <c r="A3292" s="26">
        <v>7962</v>
      </c>
      <c r="B3292" s="27">
        <v>38385</v>
      </c>
      <c r="C3292" s="28" t="s">
        <v>10535</v>
      </c>
      <c r="D3292" s="27">
        <v>38379</v>
      </c>
      <c r="E3292" s="28" t="s">
        <v>283</v>
      </c>
      <c r="F3292" s="28" t="s">
        <v>3847</v>
      </c>
      <c r="G3292" s="28" t="s">
        <v>20</v>
      </c>
      <c r="H3292" s="28" t="s">
        <v>21</v>
      </c>
      <c r="I3292" s="28" t="s">
        <v>21</v>
      </c>
      <c r="J3292" s="28" t="s">
        <v>10536</v>
      </c>
      <c r="K3292" s="28" t="s">
        <v>10537</v>
      </c>
      <c r="L3292" s="28" t="s">
        <v>4282</v>
      </c>
      <c r="M3292" s="28" t="s">
        <v>21</v>
      </c>
      <c r="O3292" s="92">
        <v>38505</v>
      </c>
      <c r="P3292" s="28" t="s">
        <v>21</v>
      </c>
      <c r="Q3292" s="26" t="b">
        <v>0</v>
      </c>
      <c r="R3292" s="22">
        <f t="shared" si="54"/>
        <v>121</v>
      </c>
    </row>
    <row r="3293" spans="1:18">
      <c r="A3293" s="26">
        <v>7965</v>
      </c>
      <c r="B3293" s="27">
        <v>38385</v>
      </c>
      <c r="C3293" s="28" t="s">
        <v>10541</v>
      </c>
      <c r="D3293" s="27">
        <v>38379</v>
      </c>
      <c r="E3293" s="28" t="s">
        <v>283</v>
      </c>
      <c r="F3293" s="28" t="s">
        <v>52</v>
      </c>
      <c r="G3293" s="28" t="s">
        <v>20</v>
      </c>
      <c r="H3293" s="28" t="s">
        <v>21</v>
      </c>
      <c r="I3293" s="28" t="s">
        <v>21</v>
      </c>
      <c r="J3293" s="28" t="s">
        <v>10542</v>
      </c>
      <c r="K3293" s="28" t="s">
        <v>10543</v>
      </c>
      <c r="L3293" s="28" t="s">
        <v>4579</v>
      </c>
      <c r="M3293" s="28" t="s">
        <v>21</v>
      </c>
      <c r="O3293" s="92">
        <v>38518</v>
      </c>
      <c r="P3293" s="28" t="s">
        <v>21</v>
      </c>
      <c r="Q3293" s="26" t="b">
        <v>0</v>
      </c>
      <c r="R3293" s="22">
        <f t="shared" si="54"/>
        <v>134</v>
      </c>
    </row>
    <row r="3294" spans="1:18">
      <c r="A3294" s="26">
        <v>7976</v>
      </c>
      <c r="B3294" s="27">
        <v>38385</v>
      </c>
      <c r="C3294" s="28" t="s">
        <v>10547</v>
      </c>
      <c r="D3294" s="27">
        <v>38379</v>
      </c>
      <c r="E3294" s="28" t="s">
        <v>283</v>
      </c>
      <c r="F3294" s="28" t="s">
        <v>149</v>
      </c>
      <c r="G3294" s="28" t="s">
        <v>20</v>
      </c>
      <c r="H3294" s="28" t="s">
        <v>21</v>
      </c>
      <c r="I3294" s="28" t="s">
        <v>21</v>
      </c>
      <c r="J3294" s="28" t="s">
        <v>10548</v>
      </c>
      <c r="K3294" s="28" t="s">
        <v>10549</v>
      </c>
      <c r="L3294" s="28" t="s">
        <v>4579</v>
      </c>
      <c r="M3294" s="28" t="s">
        <v>21</v>
      </c>
      <c r="O3294" s="92">
        <v>38518</v>
      </c>
      <c r="P3294" s="28" t="s">
        <v>21</v>
      </c>
      <c r="Q3294" s="26" t="b">
        <v>0</v>
      </c>
      <c r="R3294" s="22">
        <f t="shared" si="54"/>
        <v>134</v>
      </c>
    </row>
    <row r="3295" spans="1:18">
      <c r="A3295" s="26">
        <v>7979</v>
      </c>
      <c r="B3295" s="27">
        <v>38385</v>
      </c>
      <c r="C3295" s="28" t="s">
        <v>10553</v>
      </c>
      <c r="D3295" s="27">
        <v>38376</v>
      </c>
      <c r="E3295" s="28" t="s">
        <v>283</v>
      </c>
      <c r="F3295" s="28" t="s">
        <v>98</v>
      </c>
      <c r="G3295" s="28" t="s">
        <v>20</v>
      </c>
      <c r="H3295" s="28" t="s">
        <v>21</v>
      </c>
      <c r="I3295" s="28" t="s">
        <v>21</v>
      </c>
      <c r="J3295" s="28" t="s">
        <v>10554</v>
      </c>
      <c r="K3295" s="28" t="s">
        <v>10555</v>
      </c>
      <c r="L3295" s="28" t="s">
        <v>2205</v>
      </c>
      <c r="M3295" s="28" t="s">
        <v>21</v>
      </c>
      <c r="O3295" s="92">
        <v>38518</v>
      </c>
      <c r="P3295" s="28" t="s">
        <v>21</v>
      </c>
      <c r="Q3295" s="26" t="b">
        <v>0</v>
      </c>
      <c r="R3295" s="22">
        <f t="shared" si="54"/>
        <v>134</v>
      </c>
    </row>
    <row r="3296" spans="1:18">
      <c r="A3296" s="26">
        <v>7981</v>
      </c>
      <c r="B3296" s="27">
        <v>38385</v>
      </c>
      <c r="C3296" s="28" t="s">
        <v>10556</v>
      </c>
      <c r="D3296" s="27">
        <v>38376</v>
      </c>
      <c r="E3296" s="28" t="s">
        <v>283</v>
      </c>
      <c r="F3296" s="28" t="s">
        <v>149</v>
      </c>
      <c r="G3296" s="28" t="s">
        <v>20</v>
      </c>
      <c r="H3296" s="28" t="s">
        <v>21</v>
      </c>
      <c r="I3296" s="28" t="s">
        <v>21</v>
      </c>
      <c r="J3296" s="28" t="s">
        <v>10557</v>
      </c>
      <c r="K3296" s="28" t="s">
        <v>1604</v>
      </c>
      <c r="L3296" s="28" t="s">
        <v>1946</v>
      </c>
      <c r="M3296" s="28" t="s">
        <v>21</v>
      </c>
      <c r="O3296" s="92">
        <v>38538</v>
      </c>
      <c r="P3296" s="28" t="s">
        <v>21</v>
      </c>
      <c r="Q3296" s="26" t="b">
        <v>0</v>
      </c>
      <c r="R3296" s="22">
        <f t="shared" si="54"/>
        <v>155</v>
      </c>
    </row>
    <row r="3297" spans="1:18">
      <c r="A3297" s="26">
        <v>7982</v>
      </c>
      <c r="B3297" s="27">
        <v>38385</v>
      </c>
      <c r="C3297" s="28" t="s">
        <v>10558</v>
      </c>
      <c r="D3297" s="27">
        <v>38376</v>
      </c>
      <c r="E3297" s="28" t="s">
        <v>283</v>
      </c>
      <c r="F3297" s="28" t="s">
        <v>98</v>
      </c>
      <c r="G3297" s="28" t="s">
        <v>20</v>
      </c>
      <c r="H3297" s="28" t="s">
        <v>21</v>
      </c>
      <c r="I3297" s="28" t="s">
        <v>21</v>
      </c>
      <c r="J3297" s="28" t="s">
        <v>10559</v>
      </c>
      <c r="K3297" s="28" t="s">
        <v>10560</v>
      </c>
      <c r="L3297" s="28" t="s">
        <v>2205</v>
      </c>
      <c r="M3297" s="28" t="s">
        <v>21</v>
      </c>
      <c r="O3297" s="92">
        <v>38846</v>
      </c>
      <c r="P3297" s="28" t="s">
        <v>21</v>
      </c>
      <c r="Q3297" s="26" t="b">
        <v>0</v>
      </c>
      <c r="R3297" s="22">
        <f t="shared" si="54"/>
        <v>463</v>
      </c>
    </row>
    <row r="3298" spans="1:18" ht="24">
      <c r="A3298" s="26">
        <v>7963</v>
      </c>
      <c r="B3298" s="27">
        <v>38386</v>
      </c>
      <c r="C3298" s="28" t="s">
        <v>10538</v>
      </c>
      <c r="D3298" s="27">
        <v>38386</v>
      </c>
      <c r="E3298" s="28" t="s">
        <v>3268</v>
      </c>
      <c r="F3298" s="28" t="s">
        <v>6953</v>
      </c>
      <c r="G3298" s="28" t="s">
        <v>20</v>
      </c>
      <c r="H3298" s="28" t="s">
        <v>21</v>
      </c>
      <c r="I3298" s="28" t="s">
        <v>21</v>
      </c>
      <c r="J3298" s="28" t="s">
        <v>10539</v>
      </c>
      <c r="K3298" s="28" t="s">
        <v>10540</v>
      </c>
      <c r="L3298" s="28" t="s">
        <v>8318</v>
      </c>
      <c r="M3298" s="28" t="s">
        <v>21</v>
      </c>
      <c r="O3298" s="92">
        <v>38033</v>
      </c>
      <c r="P3298" s="28" t="s">
        <v>21</v>
      </c>
      <c r="Q3298" s="26" t="b">
        <v>0</v>
      </c>
      <c r="R3298" s="22">
        <f t="shared" si="54"/>
        <v>351</v>
      </c>
    </row>
    <row r="3299" spans="1:18">
      <c r="A3299" s="26">
        <v>7984</v>
      </c>
      <c r="B3299" s="27">
        <v>38386</v>
      </c>
      <c r="C3299" s="28" t="s">
        <v>10561</v>
      </c>
      <c r="D3299" s="27">
        <v>38379</v>
      </c>
      <c r="E3299" s="28" t="s">
        <v>283</v>
      </c>
      <c r="F3299" s="28" t="s">
        <v>52</v>
      </c>
      <c r="G3299" s="28" t="s">
        <v>20</v>
      </c>
      <c r="H3299" s="28" t="s">
        <v>21</v>
      </c>
      <c r="I3299" s="28" t="s">
        <v>21</v>
      </c>
      <c r="J3299" s="28" t="s">
        <v>10562</v>
      </c>
      <c r="K3299" s="28" t="s">
        <v>8074</v>
      </c>
      <c r="L3299" s="28" t="s">
        <v>4579</v>
      </c>
      <c r="M3299" s="28" t="s">
        <v>21</v>
      </c>
      <c r="O3299" s="92">
        <v>38518</v>
      </c>
      <c r="P3299" s="28" t="s">
        <v>21</v>
      </c>
      <c r="Q3299" s="26" t="b">
        <v>0</v>
      </c>
      <c r="R3299" s="22">
        <f t="shared" si="54"/>
        <v>133</v>
      </c>
    </row>
    <row r="3300" spans="1:18">
      <c r="A3300" s="26">
        <v>7986</v>
      </c>
      <c r="B3300" s="27">
        <v>38386</v>
      </c>
      <c r="C3300" s="28" t="s">
        <v>10563</v>
      </c>
      <c r="D3300" s="27">
        <v>38376</v>
      </c>
      <c r="E3300" s="28" t="s">
        <v>283</v>
      </c>
      <c r="F3300" s="28" t="s">
        <v>98</v>
      </c>
      <c r="G3300" s="28" t="s">
        <v>20</v>
      </c>
      <c r="H3300" s="28" t="s">
        <v>21</v>
      </c>
      <c r="I3300" s="28" t="s">
        <v>21</v>
      </c>
      <c r="J3300" s="28" t="s">
        <v>10564</v>
      </c>
      <c r="K3300" s="28" t="s">
        <v>10565</v>
      </c>
      <c r="L3300" s="28" t="s">
        <v>1946</v>
      </c>
      <c r="M3300" s="28" t="s">
        <v>21</v>
      </c>
      <c r="O3300" s="92">
        <v>38519</v>
      </c>
      <c r="P3300" s="28" t="s">
        <v>21</v>
      </c>
      <c r="Q3300" s="26" t="b">
        <v>0</v>
      </c>
      <c r="R3300" s="22">
        <f t="shared" si="54"/>
        <v>134</v>
      </c>
    </row>
    <row r="3301" spans="1:18">
      <c r="A3301" s="26">
        <v>7987</v>
      </c>
      <c r="B3301" s="27">
        <v>38386</v>
      </c>
      <c r="C3301" s="28" t="s">
        <v>10566</v>
      </c>
      <c r="D3301" s="27">
        <v>38376</v>
      </c>
      <c r="E3301" s="28" t="s">
        <v>283</v>
      </c>
      <c r="F3301" s="28" t="s">
        <v>98</v>
      </c>
      <c r="G3301" s="28" t="s">
        <v>20</v>
      </c>
      <c r="H3301" s="28" t="s">
        <v>21</v>
      </c>
      <c r="I3301" s="28" t="s">
        <v>21</v>
      </c>
      <c r="J3301" s="28" t="s">
        <v>10567</v>
      </c>
      <c r="K3301" s="28" t="s">
        <v>10568</v>
      </c>
      <c r="L3301" s="28" t="s">
        <v>1946</v>
      </c>
      <c r="M3301" s="28" t="s">
        <v>21</v>
      </c>
      <c r="O3301" s="92">
        <v>38538</v>
      </c>
      <c r="P3301" s="28" t="s">
        <v>21</v>
      </c>
      <c r="Q3301" s="26" t="b">
        <v>0</v>
      </c>
      <c r="R3301" s="22">
        <f t="shared" si="54"/>
        <v>154</v>
      </c>
    </row>
    <row r="3302" spans="1:18">
      <c r="A3302" s="26">
        <v>7991</v>
      </c>
      <c r="B3302" s="27">
        <v>38386</v>
      </c>
      <c r="C3302" s="28" t="s">
        <v>10569</v>
      </c>
      <c r="D3302" s="27">
        <v>38376</v>
      </c>
      <c r="E3302" s="28" t="s">
        <v>283</v>
      </c>
      <c r="F3302" s="28" t="s">
        <v>98</v>
      </c>
      <c r="G3302" s="28" t="s">
        <v>20</v>
      </c>
      <c r="H3302" s="28" t="s">
        <v>21</v>
      </c>
      <c r="I3302" s="28" t="s">
        <v>21</v>
      </c>
      <c r="J3302" s="28" t="s">
        <v>10570</v>
      </c>
      <c r="K3302" s="28" t="s">
        <v>10571</v>
      </c>
      <c r="L3302" s="28" t="s">
        <v>1946</v>
      </c>
      <c r="M3302" s="28" t="s">
        <v>21</v>
      </c>
      <c r="O3302" s="92">
        <v>38538</v>
      </c>
      <c r="P3302" s="28" t="s">
        <v>21</v>
      </c>
      <c r="Q3302" s="26" t="b">
        <v>0</v>
      </c>
      <c r="R3302" s="22">
        <f t="shared" si="54"/>
        <v>154</v>
      </c>
    </row>
    <row r="3303" spans="1:18">
      <c r="A3303" s="26">
        <v>7993</v>
      </c>
      <c r="B3303" s="27">
        <v>38386</v>
      </c>
      <c r="C3303" s="28" t="s">
        <v>10572</v>
      </c>
      <c r="D3303" s="27">
        <v>38376</v>
      </c>
      <c r="E3303" s="28" t="s">
        <v>283</v>
      </c>
      <c r="F3303" s="28" t="s">
        <v>98</v>
      </c>
      <c r="G3303" s="28" t="s">
        <v>20</v>
      </c>
      <c r="H3303" s="28" t="s">
        <v>21</v>
      </c>
      <c r="I3303" s="28" t="s">
        <v>21</v>
      </c>
      <c r="J3303" s="28" t="s">
        <v>10573</v>
      </c>
      <c r="K3303" s="28" t="s">
        <v>10565</v>
      </c>
      <c r="L3303" s="28" t="s">
        <v>1946</v>
      </c>
      <c r="M3303" s="28" t="s">
        <v>21</v>
      </c>
      <c r="O3303" s="92">
        <v>38538</v>
      </c>
      <c r="P3303" s="28" t="s">
        <v>21</v>
      </c>
      <c r="Q3303" s="26" t="b">
        <v>0</v>
      </c>
      <c r="R3303" s="22">
        <f t="shared" si="54"/>
        <v>154</v>
      </c>
    </row>
    <row r="3304" spans="1:18">
      <c r="A3304" s="26">
        <v>7994</v>
      </c>
      <c r="B3304" s="27">
        <v>38386</v>
      </c>
      <c r="C3304" s="28" t="s">
        <v>10574</v>
      </c>
      <c r="D3304" s="29">
        <v>38376</v>
      </c>
      <c r="E3304" s="28" t="s">
        <v>283</v>
      </c>
      <c r="F3304" s="28" t="s">
        <v>98</v>
      </c>
      <c r="G3304" s="28" t="s">
        <v>20</v>
      </c>
      <c r="H3304" s="28" t="s">
        <v>21</v>
      </c>
      <c r="I3304" s="28" t="s">
        <v>21</v>
      </c>
      <c r="J3304" s="28" t="s">
        <v>10575</v>
      </c>
      <c r="K3304" s="28" t="s">
        <v>10555</v>
      </c>
      <c r="L3304" s="28" t="s">
        <v>2205</v>
      </c>
      <c r="M3304" s="28" t="s">
        <v>21</v>
      </c>
      <c r="O3304" s="92">
        <v>38518</v>
      </c>
      <c r="P3304" s="28" t="s">
        <v>21</v>
      </c>
      <c r="Q3304" s="26" t="b">
        <v>0</v>
      </c>
      <c r="R3304" s="22">
        <f t="shared" si="54"/>
        <v>133</v>
      </c>
    </row>
    <row r="3305" spans="1:18">
      <c r="A3305" s="26">
        <v>7995</v>
      </c>
      <c r="B3305" s="27">
        <v>38386</v>
      </c>
      <c r="C3305" s="28" t="s">
        <v>10576</v>
      </c>
      <c r="D3305" s="27">
        <v>38376</v>
      </c>
      <c r="E3305" s="28" t="s">
        <v>283</v>
      </c>
      <c r="F3305" s="28" t="s">
        <v>39</v>
      </c>
      <c r="G3305" s="28" t="s">
        <v>20</v>
      </c>
      <c r="H3305" s="28" t="s">
        <v>21</v>
      </c>
      <c r="I3305" s="28" t="s">
        <v>21</v>
      </c>
      <c r="J3305" s="28" t="s">
        <v>10577</v>
      </c>
      <c r="K3305" s="28" t="s">
        <v>10578</v>
      </c>
      <c r="L3305" s="28" t="s">
        <v>2205</v>
      </c>
      <c r="M3305" s="28" t="s">
        <v>21</v>
      </c>
      <c r="O3305" s="92">
        <v>38518</v>
      </c>
      <c r="P3305" s="28" t="s">
        <v>21</v>
      </c>
      <c r="Q3305" s="26" t="b">
        <v>0</v>
      </c>
      <c r="R3305" s="22">
        <f t="shared" si="54"/>
        <v>133</v>
      </c>
    </row>
    <row r="3306" spans="1:18">
      <c r="A3306" s="26">
        <v>7996</v>
      </c>
      <c r="B3306" s="27">
        <v>38386</v>
      </c>
      <c r="C3306" s="28" t="s">
        <v>10579</v>
      </c>
      <c r="D3306" s="29">
        <v>38376</v>
      </c>
      <c r="E3306" s="28" t="s">
        <v>283</v>
      </c>
      <c r="F3306" s="28" t="s">
        <v>98</v>
      </c>
      <c r="G3306" s="28" t="s">
        <v>20</v>
      </c>
      <c r="H3306" s="28" t="s">
        <v>21</v>
      </c>
      <c r="I3306" s="28" t="s">
        <v>21</v>
      </c>
      <c r="J3306" s="28" t="s">
        <v>10580</v>
      </c>
      <c r="K3306" s="28" t="s">
        <v>10560</v>
      </c>
      <c r="L3306" s="28" t="s">
        <v>2205</v>
      </c>
      <c r="M3306" s="28" t="s">
        <v>21</v>
      </c>
      <c r="O3306" s="92">
        <v>38518</v>
      </c>
      <c r="P3306" s="28" t="s">
        <v>21</v>
      </c>
      <c r="Q3306" s="26" t="b">
        <v>0</v>
      </c>
      <c r="R3306" s="22">
        <f t="shared" si="54"/>
        <v>133</v>
      </c>
    </row>
    <row r="3307" spans="1:18">
      <c r="A3307" s="26">
        <v>7997</v>
      </c>
      <c r="B3307" s="27">
        <v>38386</v>
      </c>
      <c r="C3307" s="28" t="s">
        <v>10581</v>
      </c>
      <c r="D3307" s="27">
        <v>38372</v>
      </c>
      <c r="E3307" s="28" t="s">
        <v>283</v>
      </c>
      <c r="F3307" s="28" t="s">
        <v>10424</v>
      </c>
      <c r="G3307" s="28" t="s">
        <v>20</v>
      </c>
      <c r="H3307" s="28" t="s">
        <v>21</v>
      </c>
      <c r="I3307" s="28" t="s">
        <v>21</v>
      </c>
      <c r="J3307" s="28" t="s">
        <v>10582</v>
      </c>
      <c r="K3307" s="28" t="s">
        <v>10583</v>
      </c>
      <c r="L3307" s="28" t="s">
        <v>8318</v>
      </c>
      <c r="M3307" s="28" t="s">
        <v>21</v>
      </c>
      <c r="O3307" s="92">
        <v>38555</v>
      </c>
      <c r="P3307" s="28" t="s">
        <v>21</v>
      </c>
      <c r="Q3307" s="26" t="b">
        <v>0</v>
      </c>
      <c r="R3307" s="22">
        <f t="shared" si="54"/>
        <v>171</v>
      </c>
    </row>
    <row r="3308" spans="1:18" ht="24">
      <c r="A3308" s="26">
        <v>7998</v>
      </c>
      <c r="B3308" s="27">
        <v>38391</v>
      </c>
      <c r="C3308" s="28" t="s">
        <v>10584</v>
      </c>
      <c r="D3308" s="27">
        <v>38385</v>
      </c>
      <c r="E3308" s="28" t="s">
        <v>10585</v>
      </c>
      <c r="F3308" s="28" t="s">
        <v>104</v>
      </c>
      <c r="G3308" s="28" t="s">
        <v>20</v>
      </c>
      <c r="H3308" s="28" t="s">
        <v>21</v>
      </c>
      <c r="I3308" s="28" t="s">
        <v>21</v>
      </c>
      <c r="J3308" s="28" t="s">
        <v>10586</v>
      </c>
      <c r="K3308" s="28" t="s">
        <v>10587</v>
      </c>
      <c r="L3308" s="28" t="s">
        <v>8318</v>
      </c>
      <c r="M3308" s="28" t="s">
        <v>21</v>
      </c>
      <c r="O3308" s="92">
        <v>38392</v>
      </c>
      <c r="P3308" s="28" t="s">
        <v>31</v>
      </c>
      <c r="Q3308" s="26" t="b">
        <v>0</v>
      </c>
      <c r="R3308" s="22">
        <f t="shared" si="54"/>
        <v>1</v>
      </c>
    </row>
    <row r="3309" spans="1:18">
      <c r="A3309" s="26">
        <v>7999</v>
      </c>
      <c r="B3309" s="27">
        <v>38391</v>
      </c>
      <c r="C3309" s="28" t="s">
        <v>10588</v>
      </c>
      <c r="D3309" s="27">
        <v>38376</v>
      </c>
      <c r="E3309" s="28" t="s">
        <v>283</v>
      </c>
      <c r="F3309" s="28" t="s">
        <v>10424</v>
      </c>
      <c r="G3309" s="28" t="s">
        <v>20</v>
      </c>
      <c r="H3309" s="28" t="s">
        <v>21</v>
      </c>
      <c r="I3309" s="28" t="s">
        <v>21</v>
      </c>
      <c r="J3309" s="28" t="s">
        <v>7718</v>
      </c>
      <c r="K3309" s="28" t="s">
        <v>10589</v>
      </c>
      <c r="L3309" s="28" t="s">
        <v>1946</v>
      </c>
      <c r="M3309" s="28" t="s">
        <v>21</v>
      </c>
      <c r="O3309" s="92">
        <v>38519</v>
      </c>
      <c r="P3309" s="28" t="s">
        <v>21</v>
      </c>
      <c r="Q3309" s="26" t="b">
        <v>0</v>
      </c>
      <c r="R3309" s="22">
        <f t="shared" si="54"/>
        <v>129</v>
      </c>
    </row>
    <row r="3310" spans="1:18" ht="24">
      <c r="A3310" s="26">
        <v>8000</v>
      </c>
      <c r="B3310" s="27">
        <v>38391</v>
      </c>
      <c r="C3310" s="28" t="s">
        <v>10590</v>
      </c>
      <c r="D3310" s="27">
        <v>38378</v>
      </c>
      <c r="E3310" s="28" t="s">
        <v>283</v>
      </c>
      <c r="F3310" s="28" t="s">
        <v>10424</v>
      </c>
      <c r="G3310" s="28" t="s">
        <v>20</v>
      </c>
      <c r="H3310" s="28" t="s">
        <v>21</v>
      </c>
      <c r="I3310" s="28" t="s">
        <v>21</v>
      </c>
      <c r="J3310" s="28" t="s">
        <v>10591</v>
      </c>
      <c r="K3310" s="28" t="s">
        <v>10592</v>
      </c>
      <c r="L3310" s="28" t="s">
        <v>2205</v>
      </c>
      <c r="M3310" s="28" t="s">
        <v>21</v>
      </c>
      <c r="O3310" s="92">
        <v>38518</v>
      </c>
      <c r="P3310" s="28" t="s">
        <v>21</v>
      </c>
      <c r="Q3310" s="26" t="b">
        <v>0</v>
      </c>
      <c r="R3310" s="22">
        <f t="shared" si="54"/>
        <v>128</v>
      </c>
    </row>
    <row r="3311" spans="1:18">
      <c r="A3311" s="26">
        <v>8001</v>
      </c>
      <c r="B3311" s="27">
        <v>38391</v>
      </c>
      <c r="C3311" s="28" t="s">
        <v>10593</v>
      </c>
      <c r="D3311" s="27">
        <v>38379</v>
      </c>
      <c r="E3311" s="28" t="s">
        <v>283</v>
      </c>
      <c r="F3311" s="28" t="s">
        <v>10424</v>
      </c>
      <c r="G3311" s="28" t="s">
        <v>20</v>
      </c>
      <c r="H3311" s="28" t="s">
        <v>21</v>
      </c>
      <c r="I3311" s="28" t="s">
        <v>21</v>
      </c>
      <c r="J3311" s="28" t="s">
        <v>10594</v>
      </c>
      <c r="K3311" s="28" t="s">
        <v>10595</v>
      </c>
      <c r="L3311" s="28" t="s">
        <v>1946</v>
      </c>
      <c r="M3311" s="28" t="s">
        <v>21</v>
      </c>
      <c r="O3311" s="92">
        <v>38538</v>
      </c>
      <c r="P3311" s="28" t="s">
        <v>21</v>
      </c>
      <c r="Q3311" s="26" t="b">
        <v>0</v>
      </c>
      <c r="R3311" s="22">
        <f t="shared" si="54"/>
        <v>149</v>
      </c>
    </row>
    <row r="3312" spans="1:18">
      <c r="A3312" s="26">
        <v>8002</v>
      </c>
      <c r="B3312" s="27">
        <v>38391</v>
      </c>
      <c r="C3312" s="28" t="s">
        <v>10596</v>
      </c>
      <c r="D3312" s="27">
        <v>38379</v>
      </c>
      <c r="E3312" s="28" t="s">
        <v>283</v>
      </c>
      <c r="F3312" s="28" t="s">
        <v>10424</v>
      </c>
      <c r="G3312" s="28" t="s">
        <v>20</v>
      </c>
      <c r="H3312" s="28" t="s">
        <v>21</v>
      </c>
      <c r="I3312" s="28" t="s">
        <v>21</v>
      </c>
      <c r="J3312" s="28" t="s">
        <v>10597</v>
      </c>
      <c r="K3312" s="28" t="s">
        <v>10598</v>
      </c>
      <c r="L3312" s="28" t="s">
        <v>1946</v>
      </c>
      <c r="M3312" s="28" t="s">
        <v>21</v>
      </c>
      <c r="O3312" s="92">
        <v>38519</v>
      </c>
      <c r="P3312" s="28" t="s">
        <v>21</v>
      </c>
      <c r="Q3312" s="26" t="b">
        <v>0</v>
      </c>
      <c r="R3312" s="22">
        <f t="shared" si="54"/>
        <v>129</v>
      </c>
    </row>
    <row r="3313" spans="1:18">
      <c r="A3313" s="26">
        <v>8004</v>
      </c>
      <c r="B3313" s="27">
        <v>38391</v>
      </c>
      <c r="C3313" s="28" t="s">
        <v>10601</v>
      </c>
      <c r="D3313" s="29">
        <v>38377</v>
      </c>
      <c r="E3313" s="28" t="s">
        <v>283</v>
      </c>
      <c r="F3313" s="28" t="s">
        <v>10424</v>
      </c>
      <c r="G3313" s="28" t="s">
        <v>20</v>
      </c>
      <c r="H3313" s="28" t="s">
        <v>21</v>
      </c>
      <c r="I3313" s="28" t="s">
        <v>21</v>
      </c>
      <c r="J3313" s="28" t="s">
        <v>10602</v>
      </c>
      <c r="K3313" s="28" t="s">
        <v>10603</v>
      </c>
      <c r="L3313" s="28" t="s">
        <v>4282</v>
      </c>
      <c r="M3313" s="28" t="s">
        <v>21</v>
      </c>
      <c r="O3313" s="92">
        <v>38505</v>
      </c>
      <c r="P3313" s="28" t="s">
        <v>21</v>
      </c>
      <c r="Q3313" s="26" t="b">
        <v>0</v>
      </c>
      <c r="R3313" s="22">
        <f t="shared" si="54"/>
        <v>115</v>
      </c>
    </row>
    <row r="3314" spans="1:18">
      <c r="A3314" s="26">
        <v>8005</v>
      </c>
      <c r="B3314" s="27">
        <v>38392</v>
      </c>
      <c r="C3314" s="28" t="s">
        <v>10604</v>
      </c>
      <c r="E3314" s="28" t="s">
        <v>10605</v>
      </c>
      <c r="F3314" s="28" t="s">
        <v>974</v>
      </c>
      <c r="G3314" s="28" t="s">
        <v>20</v>
      </c>
      <c r="H3314" s="28" t="s">
        <v>212</v>
      </c>
      <c r="I3314" s="28" t="s">
        <v>10120</v>
      </c>
      <c r="J3314" s="28" t="s">
        <v>10606</v>
      </c>
      <c r="K3314" s="28" t="s">
        <v>8621</v>
      </c>
      <c r="L3314" s="28" t="s">
        <v>8318</v>
      </c>
      <c r="M3314" s="28" t="s">
        <v>21</v>
      </c>
      <c r="O3314" s="92">
        <v>38391</v>
      </c>
      <c r="P3314" s="28" t="s">
        <v>21</v>
      </c>
      <c r="Q3314" s="26" t="b">
        <v>0</v>
      </c>
      <c r="R3314" s="22">
        <f t="shared" si="54"/>
        <v>1</v>
      </c>
    </row>
    <row r="3315" spans="1:18">
      <c r="A3315" s="26">
        <v>8006</v>
      </c>
      <c r="B3315" s="27">
        <v>38392</v>
      </c>
      <c r="C3315" s="28" t="s">
        <v>10607</v>
      </c>
      <c r="D3315" s="27">
        <v>38378</v>
      </c>
      <c r="E3315" s="28" t="s">
        <v>283</v>
      </c>
      <c r="F3315" s="28" t="s">
        <v>10424</v>
      </c>
      <c r="G3315" s="28" t="s">
        <v>20</v>
      </c>
      <c r="H3315" s="28" t="s">
        <v>21</v>
      </c>
      <c r="I3315" s="28" t="s">
        <v>21</v>
      </c>
      <c r="J3315" s="28" t="s">
        <v>10608</v>
      </c>
      <c r="K3315" s="28" t="s">
        <v>10609</v>
      </c>
      <c r="L3315" s="28" t="s">
        <v>2205</v>
      </c>
      <c r="M3315" s="28" t="s">
        <v>21</v>
      </c>
      <c r="O3315" s="92">
        <v>38518</v>
      </c>
      <c r="P3315" s="28" t="s">
        <v>21</v>
      </c>
      <c r="Q3315" s="26" t="b">
        <v>0</v>
      </c>
      <c r="R3315" s="22">
        <f t="shared" si="54"/>
        <v>127</v>
      </c>
    </row>
    <row r="3316" spans="1:18">
      <c r="A3316" s="26">
        <v>8007</v>
      </c>
      <c r="B3316" s="27">
        <v>38393</v>
      </c>
      <c r="C3316" s="28" t="s">
        <v>10610</v>
      </c>
      <c r="D3316" s="18"/>
      <c r="E3316" s="28" t="s">
        <v>10611</v>
      </c>
      <c r="F3316" s="28" t="s">
        <v>19</v>
      </c>
      <c r="G3316" s="28" t="s">
        <v>20</v>
      </c>
      <c r="H3316" s="28" t="s">
        <v>21</v>
      </c>
      <c r="I3316" s="28" t="s">
        <v>21</v>
      </c>
      <c r="J3316" s="28" t="s">
        <v>10612</v>
      </c>
      <c r="K3316" s="28" t="s">
        <v>10613</v>
      </c>
      <c r="L3316" s="28" t="s">
        <v>2205</v>
      </c>
      <c r="M3316" s="28" t="s">
        <v>21</v>
      </c>
      <c r="O3316" s="92">
        <v>38440</v>
      </c>
      <c r="P3316" s="28" t="s">
        <v>31</v>
      </c>
      <c r="Q3316" s="26" t="b">
        <v>0</v>
      </c>
      <c r="R3316" s="22">
        <f t="shared" si="54"/>
        <v>49</v>
      </c>
    </row>
    <row r="3317" spans="1:18">
      <c r="A3317" s="26">
        <v>8008</v>
      </c>
      <c r="B3317" s="27">
        <v>38393</v>
      </c>
      <c r="C3317" s="28" t="s">
        <v>10614</v>
      </c>
      <c r="D3317" s="27">
        <v>38387</v>
      </c>
      <c r="E3317" s="28" t="s">
        <v>10615</v>
      </c>
      <c r="F3317" s="28" t="s">
        <v>19</v>
      </c>
      <c r="G3317" s="28" t="s">
        <v>20</v>
      </c>
      <c r="H3317" s="28" t="s">
        <v>21</v>
      </c>
      <c r="I3317" s="28" t="s">
        <v>21</v>
      </c>
      <c r="J3317" s="28" t="s">
        <v>10616</v>
      </c>
      <c r="K3317" s="28" t="s">
        <v>2916</v>
      </c>
      <c r="L3317" s="28" t="s">
        <v>2205</v>
      </c>
      <c r="M3317" s="28" t="s">
        <v>21</v>
      </c>
      <c r="O3317" s="92">
        <v>38440</v>
      </c>
      <c r="P3317" s="28" t="s">
        <v>21</v>
      </c>
      <c r="Q3317" s="26" t="b">
        <v>0</v>
      </c>
      <c r="R3317" s="22">
        <f t="shared" si="54"/>
        <v>49</v>
      </c>
    </row>
    <row r="3318" spans="1:18">
      <c r="A3318" s="26">
        <v>8009</v>
      </c>
      <c r="B3318" s="27">
        <v>38393</v>
      </c>
      <c r="C3318" s="28" t="s">
        <v>10617</v>
      </c>
      <c r="D3318" s="27">
        <v>38385</v>
      </c>
      <c r="E3318" s="28" t="s">
        <v>10618</v>
      </c>
      <c r="F3318" s="28" t="s">
        <v>104</v>
      </c>
      <c r="G3318" s="28" t="s">
        <v>20</v>
      </c>
      <c r="H3318" s="28" t="s">
        <v>21</v>
      </c>
      <c r="I3318" s="28" t="s">
        <v>21</v>
      </c>
      <c r="J3318" s="28" t="s">
        <v>7104</v>
      </c>
      <c r="K3318" s="28" t="s">
        <v>10619</v>
      </c>
      <c r="L3318" s="28" t="s">
        <v>8318</v>
      </c>
      <c r="M3318" s="28" t="s">
        <v>21</v>
      </c>
      <c r="O3318" s="92">
        <v>39253</v>
      </c>
      <c r="P3318" s="28" t="s">
        <v>21</v>
      </c>
      <c r="Q3318" s="26" t="b">
        <v>0</v>
      </c>
      <c r="R3318" s="22">
        <f t="shared" si="54"/>
        <v>861</v>
      </c>
    </row>
    <row r="3319" spans="1:18">
      <c r="A3319" s="26">
        <v>8010</v>
      </c>
      <c r="B3319" s="27">
        <v>38393</v>
      </c>
      <c r="C3319" s="28" t="s">
        <v>10620</v>
      </c>
      <c r="D3319" s="27">
        <v>38376</v>
      </c>
      <c r="E3319" s="28" t="s">
        <v>283</v>
      </c>
      <c r="F3319" s="28" t="s">
        <v>56</v>
      </c>
      <c r="G3319" s="28" t="s">
        <v>20</v>
      </c>
      <c r="H3319" s="28" t="s">
        <v>21</v>
      </c>
      <c r="I3319" s="28" t="s">
        <v>21</v>
      </c>
      <c r="J3319" s="28" t="s">
        <v>10621</v>
      </c>
      <c r="K3319" s="28" t="s">
        <v>10622</v>
      </c>
      <c r="L3319" s="28" t="s">
        <v>2205</v>
      </c>
      <c r="M3319" s="28" t="s">
        <v>21</v>
      </c>
      <c r="O3319" s="92">
        <v>38533</v>
      </c>
      <c r="P3319" s="28" t="s">
        <v>21</v>
      </c>
      <c r="Q3319" s="26" t="b">
        <v>0</v>
      </c>
      <c r="R3319" s="22">
        <f t="shared" si="54"/>
        <v>141</v>
      </c>
    </row>
    <row r="3320" spans="1:18">
      <c r="A3320" s="26">
        <v>8011</v>
      </c>
      <c r="B3320" s="27">
        <v>38393</v>
      </c>
      <c r="C3320" s="28" t="s">
        <v>10623</v>
      </c>
      <c r="D3320" s="27">
        <v>38376</v>
      </c>
      <c r="E3320" s="28" t="s">
        <v>283</v>
      </c>
      <c r="F3320" s="28" t="s">
        <v>10424</v>
      </c>
      <c r="G3320" s="28" t="s">
        <v>20</v>
      </c>
      <c r="H3320" s="28" t="s">
        <v>21</v>
      </c>
      <c r="I3320" s="28" t="s">
        <v>21</v>
      </c>
      <c r="J3320" s="28" t="s">
        <v>10624</v>
      </c>
      <c r="K3320" s="28" t="s">
        <v>10622</v>
      </c>
      <c r="L3320" s="28" t="s">
        <v>2205</v>
      </c>
      <c r="M3320" s="28" t="s">
        <v>21</v>
      </c>
      <c r="O3320" s="92">
        <v>38518</v>
      </c>
      <c r="P3320" s="28" t="s">
        <v>21</v>
      </c>
      <c r="Q3320" s="26" t="b">
        <v>0</v>
      </c>
      <c r="R3320" s="22">
        <f t="shared" si="54"/>
        <v>126</v>
      </c>
    </row>
    <row r="3321" spans="1:18">
      <c r="A3321" s="26">
        <v>8012</v>
      </c>
      <c r="B3321" s="27">
        <v>38393</v>
      </c>
      <c r="C3321" s="28" t="s">
        <v>10625</v>
      </c>
      <c r="D3321" s="29">
        <v>38376</v>
      </c>
      <c r="E3321" s="28" t="s">
        <v>283</v>
      </c>
      <c r="F3321" s="28" t="s">
        <v>10424</v>
      </c>
      <c r="G3321" s="28" t="s">
        <v>20</v>
      </c>
      <c r="H3321" s="28" t="s">
        <v>21</v>
      </c>
      <c r="I3321" s="28" t="s">
        <v>21</v>
      </c>
      <c r="J3321" s="28" t="s">
        <v>10626</v>
      </c>
      <c r="K3321" s="28" t="s">
        <v>10627</v>
      </c>
      <c r="L3321" s="28" t="s">
        <v>1946</v>
      </c>
      <c r="M3321" s="28" t="s">
        <v>21</v>
      </c>
      <c r="O3321" s="92">
        <v>38519</v>
      </c>
      <c r="P3321" s="28" t="s">
        <v>21</v>
      </c>
      <c r="Q3321" s="26" t="b">
        <v>0</v>
      </c>
      <c r="R3321" s="22">
        <f t="shared" si="54"/>
        <v>127</v>
      </c>
    </row>
    <row r="3322" spans="1:18">
      <c r="A3322" s="26">
        <v>8013</v>
      </c>
      <c r="B3322" s="27">
        <v>38393</v>
      </c>
      <c r="C3322" s="28" t="s">
        <v>10628</v>
      </c>
      <c r="D3322" s="27">
        <v>38376</v>
      </c>
      <c r="E3322" s="28" t="s">
        <v>283</v>
      </c>
      <c r="F3322" s="28" t="s">
        <v>10424</v>
      </c>
      <c r="G3322" s="28" t="s">
        <v>20</v>
      </c>
      <c r="H3322" s="28" t="s">
        <v>21</v>
      </c>
      <c r="I3322" s="28" t="s">
        <v>21</v>
      </c>
      <c r="J3322" s="28" t="s">
        <v>10629</v>
      </c>
      <c r="K3322" s="28" t="s">
        <v>10627</v>
      </c>
      <c r="L3322" s="28" t="s">
        <v>1946</v>
      </c>
      <c r="M3322" s="28" t="s">
        <v>21</v>
      </c>
      <c r="O3322" s="92">
        <v>38538</v>
      </c>
      <c r="P3322" s="28" t="s">
        <v>21</v>
      </c>
      <c r="Q3322" s="26" t="b">
        <v>0</v>
      </c>
      <c r="R3322" s="22">
        <f t="shared" si="54"/>
        <v>147</v>
      </c>
    </row>
    <row r="3323" spans="1:18">
      <c r="A3323" s="26">
        <v>8014</v>
      </c>
      <c r="B3323" s="27">
        <v>38394</v>
      </c>
      <c r="C3323" s="28" t="s">
        <v>10630</v>
      </c>
      <c r="D3323" s="18"/>
      <c r="E3323" s="28" t="s">
        <v>10631</v>
      </c>
      <c r="F3323" s="28" t="s">
        <v>6953</v>
      </c>
      <c r="G3323" s="28" t="s">
        <v>20</v>
      </c>
      <c r="H3323" s="28" t="s">
        <v>21</v>
      </c>
      <c r="I3323" s="28" t="s">
        <v>21</v>
      </c>
      <c r="J3323" s="28" t="s">
        <v>10632</v>
      </c>
      <c r="K3323" s="28" t="s">
        <v>1817</v>
      </c>
      <c r="L3323" s="28" t="s">
        <v>4579</v>
      </c>
      <c r="M3323" s="28" t="s">
        <v>21</v>
      </c>
      <c r="O3323" s="92">
        <v>38394</v>
      </c>
      <c r="P3323" s="28" t="s">
        <v>21</v>
      </c>
      <c r="Q3323" s="26" t="b">
        <v>0</v>
      </c>
      <c r="R3323" s="22">
        <f t="shared" si="54"/>
        <v>0</v>
      </c>
    </row>
    <row r="3324" spans="1:18">
      <c r="A3324" s="26">
        <v>8015</v>
      </c>
      <c r="B3324" s="27">
        <v>38397</v>
      </c>
      <c r="C3324" s="28" t="s">
        <v>10633</v>
      </c>
      <c r="D3324" s="18"/>
      <c r="E3324" s="28" t="s">
        <v>10634</v>
      </c>
      <c r="F3324" s="28" t="s">
        <v>974</v>
      </c>
      <c r="G3324" s="28" t="s">
        <v>20</v>
      </c>
      <c r="H3324" s="28" t="s">
        <v>212</v>
      </c>
      <c r="I3324" s="28" t="s">
        <v>10120</v>
      </c>
      <c r="J3324" s="28" t="s">
        <v>10635</v>
      </c>
      <c r="K3324" s="28" t="s">
        <v>10636</v>
      </c>
      <c r="L3324" s="28" t="s">
        <v>8318</v>
      </c>
      <c r="M3324" s="28" t="s">
        <v>21</v>
      </c>
      <c r="O3324" s="92">
        <v>38393</v>
      </c>
      <c r="P3324" s="28" t="s">
        <v>21</v>
      </c>
      <c r="Q3324" s="26" t="b">
        <v>0</v>
      </c>
      <c r="R3324" s="22">
        <f t="shared" si="54"/>
        <v>4</v>
      </c>
    </row>
    <row r="3325" spans="1:18" ht="24">
      <c r="A3325" s="26">
        <v>8016</v>
      </c>
      <c r="B3325" s="27">
        <v>38397</v>
      </c>
      <c r="C3325" s="28" t="s">
        <v>10637</v>
      </c>
      <c r="D3325" s="27">
        <v>38390</v>
      </c>
      <c r="E3325" s="28" t="s">
        <v>38</v>
      </c>
      <c r="F3325" s="28" t="s">
        <v>1232</v>
      </c>
      <c r="G3325" s="28" t="s">
        <v>20</v>
      </c>
      <c r="H3325" s="28" t="s">
        <v>189</v>
      </c>
      <c r="I3325" s="28" t="s">
        <v>10147</v>
      </c>
      <c r="J3325" s="28" t="s">
        <v>10638</v>
      </c>
      <c r="K3325" s="28" t="s">
        <v>10639</v>
      </c>
      <c r="L3325" s="28" t="s">
        <v>2205</v>
      </c>
      <c r="M3325" s="28" t="s">
        <v>21</v>
      </c>
      <c r="O3325" s="92">
        <v>38398</v>
      </c>
      <c r="P3325" s="28" t="s">
        <v>31</v>
      </c>
      <c r="Q3325" s="26" t="b">
        <v>0</v>
      </c>
      <c r="R3325" s="22">
        <f t="shared" si="54"/>
        <v>1</v>
      </c>
    </row>
    <row r="3326" spans="1:18">
      <c r="A3326" s="26">
        <v>8017</v>
      </c>
      <c r="B3326" s="27">
        <v>38397</v>
      </c>
      <c r="C3326" s="28" t="s">
        <v>10640</v>
      </c>
      <c r="D3326" s="27">
        <v>38385</v>
      </c>
      <c r="E3326" s="28" t="s">
        <v>10641</v>
      </c>
      <c r="F3326" s="28" t="s">
        <v>124</v>
      </c>
      <c r="G3326" s="28" t="s">
        <v>20</v>
      </c>
      <c r="H3326" s="28" t="s">
        <v>21</v>
      </c>
      <c r="I3326" s="28" t="s">
        <v>21</v>
      </c>
      <c r="J3326" s="28" t="s">
        <v>3043</v>
      </c>
      <c r="K3326" s="28" t="s">
        <v>10642</v>
      </c>
      <c r="L3326" s="28" t="s">
        <v>4579</v>
      </c>
      <c r="M3326" s="28" t="s">
        <v>21</v>
      </c>
      <c r="O3326" s="92">
        <v>38413</v>
      </c>
      <c r="P3326" s="28" t="s">
        <v>31</v>
      </c>
      <c r="Q3326" s="26" t="b">
        <v>0</v>
      </c>
      <c r="R3326" s="22">
        <f t="shared" si="54"/>
        <v>18</v>
      </c>
    </row>
    <row r="3327" spans="1:18">
      <c r="A3327" s="26">
        <v>8018</v>
      </c>
      <c r="B3327" s="27">
        <v>38397</v>
      </c>
      <c r="C3327" s="28" t="s">
        <v>10643</v>
      </c>
      <c r="D3327" s="27">
        <v>38385</v>
      </c>
      <c r="E3327" s="28" t="s">
        <v>38</v>
      </c>
      <c r="F3327" s="28" t="s">
        <v>124</v>
      </c>
      <c r="G3327" s="28" t="s">
        <v>20</v>
      </c>
      <c r="H3327" s="28" t="s">
        <v>21</v>
      </c>
      <c r="I3327" s="28" t="s">
        <v>21</v>
      </c>
      <c r="J3327" s="28" t="s">
        <v>10644</v>
      </c>
      <c r="K3327" s="28" t="s">
        <v>10645</v>
      </c>
      <c r="L3327" s="28" t="s">
        <v>4282</v>
      </c>
      <c r="M3327" s="28" t="s">
        <v>21</v>
      </c>
      <c r="O3327" s="92">
        <v>38400</v>
      </c>
      <c r="P3327" s="28" t="s">
        <v>21</v>
      </c>
      <c r="Q3327" s="26" t="b">
        <v>0</v>
      </c>
      <c r="R3327" s="22">
        <f t="shared" si="54"/>
        <v>3</v>
      </c>
    </row>
    <row r="3328" spans="1:18">
      <c r="A3328" s="26">
        <v>8019</v>
      </c>
      <c r="B3328" s="27">
        <v>38397</v>
      </c>
      <c r="C3328" s="28" t="s">
        <v>10646</v>
      </c>
      <c r="D3328" s="27">
        <v>38376</v>
      </c>
      <c r="E3328" s="28" t="s">
        <v>283</v>
      </c>
      <c r="F3328" s="28" t="s">
        <v>10424</v>
      </c>
      <c r="G3328" s="28" t="s">
        <v>20</v>
      </c>
      <c r="H3328" s="28" t="s">
        <v>21</v>
      </c>
      <c r="I3328" s="28" t="s">
        <v>21</v>
      </c>
      <c r="J3328" s="28" t="s">
        <v>10647</v>
      </c>
      <c r="K3328" s="28" t="s">
        <v>10648</v>
      </c>
      <c r="L3328" s="28" t="s">
        <v>4282</v>
      </c>
      <c r="M3328" s="28" t="s">
        <v>21</v>
      </c>
      <c r="O3328" s="92">
        <v>38505</v>
      </c>
      <c r="P3328" s="28" t="s">
        <v>21</v>
      </c>
      <c r="Q3328" s="26" t="b">
        <v>0</v>
      </c>
      <c r="R3328" s="22">
        <f t="shared" si="54"/>
        <v>109</v>
      </c>
    </row>
    <row r="3329" spans="1:18">
      <c r="A3329" s="26">
        <v>8020</v>
      </c>
      <c r="B3329" s="27">
        <v>38398</v>
      </c>
      <c r="C3329" s="28" t="s">
        <v>10649</v>
      </c>
      <c r="D3329" s="27">
        <v>38394</v>
      </c>
      <c r="E3329" s="28" t="s">
        <v>10650</v>
      </c>
      <c r="F3329" s="28" t="s">
        <v>52</v>
      </c>
      <c r="G3329" s="28" t="s">
        <v>20</v>
      </c>
      <c r="H3329" s="28" t="s">
        <v>21</v>
      </c>
      <c r="I3329" s="28" t="s">
        <v>21</v>
      </c>
      <c r="J3329" s="28" t="s">
        <v>8074</v>
      </c>
      <c r="K3329" s="28" t="s">
        <v>10651</v>
      </c>
      <c r="L3329" s="28" t="s">
        <v>1946</v>
      </c>
      <c r="M3329" s="28" t="s">
        <v>21</v>
      </c>
      <c r="O3329" s="92">
        <v>38512</v>
      </c>
      <c r="P3329" s="28" t="s">
        <v>21</v>
      </c>
      <c r="Q3329" s="26" t="b">
        <v>0</v>
      </c>
      <c r="R3329" s="22">
        <f t="shared" si="54"/>
        <v>115</v>
      </c>
    </row>
    <row r="3330" spans="1:18">
      <c r="A3330" s="26">
        <v>8022</v>
      </c>
      <c r="B3330" s="27">
        <v>38408</v>
      </c>
      <c r="C3330" s="28" t="s">
        <v>10652</v>
      </c>
      <c r="D3330" s="27">
        <v>38406</v>
      </c>
      <c r="E3330" s="28" t="s">
        <v>10653</v>
      </c>
      <c r="F3330" s="28" t="s">
        <v>52</v>
      </c>
      <c r="G3330" s="28" t="s">
        <v>20</v>
      </c>
      <c r="H3330" s="28" t="s">
        <v>21</v>
      </c>
      <c r="I3330" s="28" t="s">
        <v>21</v>
      </c>
      <c r="J3330" s="28" t="s">
        <v>10654</v>
      </c>
      <c r="K3330" s="28" t="s">
        <v>10655</v>
      </c>
      <c r="L3330" s="28" t="s">
        <v>2205</v>
      </c>
      <c r="M3330" s="28" t="s">
        <v>21</v>
      </c>
      <c r="O3330" s="92">
        <v>38441</v>
      </c>
      <c r="P3330" s="28" t="s">
        <v>31</v>
      </c>
      <c r="Q3330" s="26" t="b">
        <v>0</v>
      </c>
      <c r="R3330" s="22">
        <f t="shared" si="54"/>
        <v>35</v>
      </c>
    </row>
    <row r="3331" spans="1:18" ht="24">
      <c r="A3331" s="26">
        <v>8023</v>
      </c>
      <c r="B3331" s="27">
        <v>38413</v>
      </c>
      <c r="C3331" s="28" t="s">
        <v>10656</v>
      </c>
      <c r="D3331" s="18"/>
      <c r="E3331" s="28" t="s">
        <v>283</v>
      </c>
      <c r="F3331" s="28" t="s">
        <v>10424</v>
      </c>
      <c r="G3331" s="28" t="s">
        <v>20</v>
      </c>
      <c r="H3331" s="28" t="s">
        <v>21</v>
      </c>
      <c r="I3331" s="28" t="s">
        <v>21</v>
      </c>
      <c r="J3331" s="28" t="s">
        <v>10657</v>
      </c>
      <c r="K3331" s="28" t="s">
        <v>10658</v>
      </c>
      <c r="L3331" s="28" t="s">
        <v>1946</v>
      </c>
      <c r="M3331" s="28" t="s">
        <v>21</v>
      </c>
      <c r="O3331" s="92">
        <v>38519</v>
      </c>
      <c r="P3331" s="28" t="s">
        <v>21</v>
      </c>
      <c r="Q3331" s="26" t="b">
        <v>0</v>
      </c>
      <c r="R3331" s="22">
        <f t="shared" si="54"/>
        <v>105</v>
      </c>
    </row>
    <row r="3332" spans="1:18" ht="24">
      <c r="A3332" s="26">
        <v>8024</v>
      </c>
      <c r="B3332" s="27">
        <v>38413</v>
      </c>
      <c r="C3332" s="28" t="s">
        <v>10659</v>
      </c>
      <c r="D3332" s="27">
        <v>38400</v>
      </c>
      <c r="E3332" s="28" t="s">
        <v>10660</v>
      </c>
      <c r="F3332" s="28" t="s">
        <v>124</v>
      </c>
      <c r="G3332" s="28" t="s">
        <v>20</v>
      </c>
      <c r="H3332" s="28" t="s">
        <v>21</v>
      </c>
      <c r="I3332" s="28" t="s">
        <v>21</v>
      </c>
      <c r="J3332" s="28" t="s">
        <v>10661</v>
      </c>
      <c r="K3332" s="28" t="s">
        <v>21</v>
      </c>
      <c r="L3332" s="28" t="s">
        <v>4579</v>
      </c>
      <c r="M3332" s="28" t="s">
        <v>21</v>
      </c>
      <c r="O3332" s="92">
        <v>38504</v>
      </c>
      <c r="P3332" s="28" t="s">
        <v>21</v>
      </c>
      <c r="Q3332" s="26" t="b">
        <v>0</v>
      </c>
      <c r="R3332" s="22">
        <f t="shared" si="54"/>
        <v>90</v>
      </c>
    </row>
    <row r="3333" spans="1:18">
      <c r="A3333" s="26">
        <v>8025</v>
      </c>
      <c r="B3333" s="27">
        <v>38413</v>
      </c>
      <c r="C3333" s="28" t="s">
        <v>10662</v>
      </c>
      <c r="D3333" s="29">
        <v>38411</v>
      </c>
      <c r="E3333" s="28" t="s">
        <v>38</v>
      </c>
      <c r="F3333" s="28" t="s">
        <v>7574</v>
      </c>
      <c r="G3333" s="28" t="s">
        <v>20</v>
      </c>
      <c r="H3333" s="28" t="s">
        <v>21</v>
      </c>
      <c r="I3333" s="28" t="s">
        <v>21</v>
      </c>
      <c r="J3333" s="28" t="s">
        <v>10663</v>
      </c>
      <c r="K3333" s="28" t="s">
        <v>10664</v>
      </c>
      <c r="L3333" s="28" t="s">
        <v>3271</v>
      </c>
      <c r="M3333" s="28" t="s">
        <v>21</v>
      </c>
      <c r="O3333" s="92">
        <v>38411</v>
      </c>
      <c r="P3333" s="28" t="s">
        <v>31</v>
      </c>
      <c r="Q3333" s="26" t="b">
        <v>0</v>
      </c>
      <c r="R3333" s="22">
        <f t="shared" si="54"/>
        <v>2</v>
      </c>
    </row>
    <row r="3334" spans="1:18">
      <c r="A3334" s="26">
        <v>8026</v>
      </c>
      <c r="B3334" s="27">
        <v>38413</v>
      </c>
      <c r="C3334" s="28" t="s">
        <v>10665</v>
      </c>
      <c r="D3334" s="27">
        <v>38408</v>
      </c>
      <c r="E3334" s="28" t="s">
        <v>10666</v>
      </c>
      <c r="F3334" s="28" t="s">
        <v>104</v>
      </c>
      <c r="G3334" s="28" t="s">
        <v>20</v>
      </c>
      <c r="H3334" s="28" t="s">
        <v>21</v>
      </c>
      <c r="I3334" s="28" t="s">
        <v>21</v>
      </c>
      <c r="J3334" s="28" t="s">
        <v>10667</v>
      </c>
      <c r="K3334" s="28" t="s">
        <v>10668</v>
      </c>
      <c r="L3334" s="28" t="s">
        <v>2205</v>
      </c>
      <c r="M3334" s="28" t="s">
        <v>21</v>
      </c>
      <c r="O3334" s="92">
        <v>38412</v>
      </c>
      <c r="P3334" s="28" t="s">
        <v>31</v>
      </c>
      <c r="Q3334" s="26" t="b">
        <v>0</v>
      </c>
      <c r="R3334" s="22">
        <f t="shared" si="54"/>
        <v>1</v>
      </c>
    </row>
    <row r="3335" spans="1:18">
      <c r="A3335" s="26">
        <v>8027</v>
      </c>
      <c r="B3335" s="27">
        <v>38413</v>
      </c>
      <c r="C3335" s="28" t="s">
        <v>10669</v>
      </c>
      <c r="D3335" s="27">
        <v>38405</v>
      </c>
      <c r="E3335" s="28" t="s">
        <v>38</v>
      </c>
      <c r="F3335" s="28" t="s">
        <v>104</v>
      </c>
      <c r="G3335" s="28" t="s">
        <v>20</v>
      </c>
      <c r="H3335" s="28" t="s">
        <v>21</v>
      </c>
      <c r="I3335" s="28" t="s">
        <v>21</v>
      </c>
      <c r="J3335" s="28" t="s">
        <v>10670</v>
      </c>
      <c r="K3335" s="28" t="s">
        <v>10671</v>
      </c>
      <c r="L3335" s="28" t="s">
        <v>8318</v>
      </c>
      <c r="M3335" s="28" t="s">
        <v>21</v>
      </c>
      <c r="O3335" s="92">
        <v>38413</v>
      </c>
      <c r="P3335" s="28" t="s">
        <v>21</v>
      </c>
      <c r="Q3335" s="26" t="b">
        <v>0</v>
      </c>
      <c r="R3335" s="22">
        <f t="shared" si="54"/>
        <v>0</v>
      </c>
    </row>
    <row r="3336" spans="1:18">
      <c r="A3336" s="26">
        <v>8028</v>
      </c>
      <c r="B3336" s="27">
        <v>38414</v>
      </c>
      <c r="C3336" s="28" t="s">
        <v>10672</v>
      </c>
      <c r="D3336" s="27">
        <v>38385</v>
      </c>
      <c r="E3336" s="28" t="s">
        <v>38</v>
      </c>
      <c r="F3336" s="28" t="s">
        <v>10424</v>
      </c>
      <c r="G3336" s="28" t="s">
        <v>20</v>
      </c>
      <c r="H3336" s="28" t="s">
        <v>21</v>
      </c>
      <c r="I3336" s="28" t="s">
        <v>21</v>
      </c>
      <c r="J3336" s="28" t="s">
        <v>10673</v>
      </c>
      <c r="K3336" s="28" t="s">
        <v>10674</v>
      </c>
      <c r="L3336" s="28" t="s">
        <v>8318</v>
      </c>
      <c r="M3336" s="28" t="s">
        <v>21</v>
      </c>
      <c r="O3336" s="92">
        <v>38414</v>
      </c>
      <c r="P3336" s="28" t="s">
        <v>31</v>
      </c>
      <c r="Q3336" s="26" t="b">
        <v>0</v>
      </c>
      <c r="R3336" s="22">
        <f t="shared" si="54"/>
        <v>0</v>
      </c>
    </row>
    <row r="3337" spans="1:18">
      <c r="A3337" s="26">
        <v>8029</v>
      </c>
      <c r="B3337" s="27">
        <v>38415</v>
      </c>
      <c r="C3337" s="28" t="s">
        <v>10675</v>
      </c>
      <c r="D3337" s="27">
        <v>38401</v>
      </c>
      <c r="E3337" s="28" t="s">
        <v>10676</v>
      </c>
      <c r="F3337" s="28" t="s">
        <v>990</v>
      </c>
      <c r="G3337" s="28" t="s">
        <v>20</v>
      </c>
      <c r="H3337" s="28" t="s">
        <v>21</v>
      </c>
      <c r="I3337" s="28" t="s">
        <v>21</v>
      </c>
      <c r="J3337" s="28" t="s">
        <v>10677</v>
      </c>
      <c r="K3337" s="28" t="s">
        <v>21</v>
      </c>
      <c r="L3337" s="28" t="s">
        <v>4282</v>
      </c>
      <c r="M3337" s="28" t="s">
        <v>21</v>
      </c>
      <c r="O3337" s="92">
        <v>38420</v>
      </c>
      <c r="P3337" s="28" t="s">
        <v>31</v>
      </c>
      <c r="Q3337" s="26" t="b">
        <v>0</v>
      </c>
      <c r="R3337" s="22">
        <f t="shared" si="54"/>
        <v>5</v>
      </c>
    </row>
    <row r="3338" spans="1:18">
      <c r="A3338" s="26">
        <v>8030</v>
      </c>
      <c r="B3338" s="27">
        <v>38418</v>
      </c>
      <c r="C3338" s="28" t="s">
        <v>10678</v>
      </c>
      <c r="D3338" s="27">
        <v>38412</v>
      </c>
      <c r="E3338" s="28" t="s">
        <v>10679</v>
      </c>
      <c r="F3338" s="28" t="s">
        <v>10680</v>
      </c>
      <c r="G3338" s="28" t="s">
        <v>20</v>
      </c>
      <c r="H3338" s="28" t="s">
        <v>21</v>
      </c>
      <c r="I3338" s="28" t="s">
        <v>21</v>
      </c>
      <c r="J3338" s="28" t="s">
        <v>10681</v>
      </c>
      <c r="K3338" s="28" t="s">
        <v>10682</v>
      </c>
      <c r="L3338" s="28" t="s">
        <v>2205</v>
      </c>
      <c r="M3338" s="28" t="s">
        <v>21</v>
      </c>
      <c r="O3338" s="92">
        <v>38421</v>
      </c>
      <c r="P3338" s="28" t="s">
        <v>21</v>
      </c>
      <c r="Q3338" s="26" t="b">
        <v>0</v>
      </c>
      <c r="R3338" s="22">
        <f t="shared" si="54"/>
        <v>3</v>
      </c>
    </row>
    <row r="3339" spans="1:18">
      <c r="A3339" s="26">
        <v>8031</v>
      </c>
      <c r="B3339" s="27">
        <v>38418</v>
      </c>
      <c r="C3339" s="28" t="s">
        <v>10683</v>
      </c>
      <c r="D3339" s="27">
        <v>38405</v>
      </c>
      <c r="E3339" s="28" t="s">
        <v>10684</v>
      </c>
      <c r="F3339" s="28" t="s">
        <v>8395</v>
      </c>
      <c r="G3339" s="28" t="s">
        <v>20</v>
      </c>
      <c r="H3339" s="28" t="s">
        <v>566</v>
      </c>
      <c r="I3339" s="28" t="s">
        <v>10070</v>
      </c>
      <c r="J3339" s="28" t="s">
        <v>7157</v>
      </c>
      <c r="K3339" s="28" t="s">
        <v>10685</v>
      </c>
      <c r="L3339" s="28" t="s">
        <v>1946</v>
      </c>
      <c r="M3339" s="28" t="s">
        <v>21</v>
      </c>
      <c r="O3339" s="92">
        <v>38512</v>
      </c>
      <c r="P3339" s="28" t="s">
        <v>21</v>
      </c>
      <c r="Q3339" s="26" t="b">
        <v>0</v>
      </c>
      <c r="R3339" s="22">
        <f t="shared" si="54"/>
        <v>93</v>
      </c>
    </row>
    <row r="3340" spans="1:18">
      <c r="A3340" s="26">
        <v>8032</v>
      </c>
      <c r="B3340" s="27">
        <v>38419</v>
      </c>
      <c r="C3340" s="28" t="s">
        <v>10686</v>
      </c>
      <c r="D3340" s="27">
        <v>38405</v>
      </c>
      <c r="E3340" s="28" t="s">
        <v>4172</v>
      </c>
      <c r="F3340" s="28" t="s">
        <v>367</v>
      </c>
      <c r="G3340" s="28" t="s">
        <v>20</v>
      </c>
      <c r="H3340" s="28" t="s">
        <v>21</v>
      </c>
      <c r="I3340" s="28" t="s">
        <v>21</v>
      </c>
      <c r="J3340" s="28" t="s">
        <v>10687</v>
      </c>
      <c r="K3340" s="28" t="s">
        <v>4690</v>
      </c>
      <c r="L3340" s="28" t="s">
        <v>8318</v>
      </c>
      <c r="M3340" s="28" t="s">
        <v>21</v>
      </c>
      <c r="O3340" s="92">
        <v>38471</v>
      </c>
      <c r="P3340" s="28" t="s">
        <v>21</v>
      </c>
      <c r="Q3340" s="26" t="b">
        <v>0</v>
      </c>
      <c r="R3340" s="22">
        <f t="shared" si="54"/>
        <v>51</v>
      </c>
    </row>
    <row r="3341" spans="1:18">
      <c r="A3341" s="26">
        <v>8033</v>
      </c>
      <c r="B3341" s="27">
        <v>38419</v>
      </c>
      <c r="C3341" s="28" t="s">
        <v>10688</v>
      </c>
      <c r="D3341" s="27">
        <v>38414</v>
      </c>
      <c r="E3341" s="28" t="s">
        <v>38</v>
      </c>
      <c r="F3341" s="28" t="s">
        <v>124</v>
      </c>
      <c r="G3341" s="28" t="s">
        <v>20</v>
      </c>
      <c r="H3341" s="28" t="s">
        <v>21</v>
      </c>
      <c r="I3341" s="28" t="s">
        <v>21</v>
      </c>
      <c r="J3341" s="28" t="s">
        <v>10689</v>
      </c>
      <c r="K3341" s="28" t="s">
        <v>10690</v>
      </c>
      <c r="L3341" s="28" t="s">
        <v>8318</v>
      </c>
      <c r="M3341" s="28" t="s">
        <v>21</v>
      </c>
      <c r="O3341" s="92">
        <v>38419</v>
      </c>
      <c r="P3341" s="28" t="s">
        <v>21</v>
      </c>
      <c r="Q3341" s="26" t="b">
        <v>0</v>
      </c>
      <c r="R3341" s="22">
        <f t="shared" si="54"/>
        <v>0</v>
      </c>
    </row>
    <row r="3342" spans="1:18">
      <c r="A3342" s="26">
        <v>8034</v>
      </c>
      <c r="B3342" s="27">
        <v>38419</v>
      </c>
      <c r="C3342" s="28" t="s">
        <v>10691</v>
      </c>
      <c r="D3342" s="27">
        <v>38412</v>
      </c>
      <c r="E3342" s="28" t="s">
        <v>10692</v>
      </c>
      <c r="F3342" s="28" t="s">
        <v>211</v>
      </c>
      <c r="G3342" s="28" t="s">
        <v>20</v>
      </c>
      <c r="H3342" s="28" t="s">
        <v>212</v>
      </c>
      <c r="I3342" s="28" t="s">
        <v>10120</v>
      </c>
      <c r="J3342" s="28" t="s">
        <v>10693</v>
      </c>
      <c r="K3342" s="28" t="s">
        <v>10694</v>
      </c>
      <c r="L3342" s="28" t="s">
        <v>4579</v>
      </c>
      <c r="M3342" s="28" t="s">
        <v>21</v>
      </c>
      <c r="O3342" s="92">
        <v>38510</v>
      </c>
      <c r="P3342" s="28" t="s">
        <v>31</v>
      </c>
      <c r="Q3342" s="26" t="b">
        <v>0</v>
      </c>
      <c r="R3342" s="22">
        <f t="shared" si="54"/>
        <v>90</v>
      </c>
    </row>
    <row r="3343" spans="1:18">
      <c r="A3343" s="26">
        <v>8037</v>
      </c>
      <c r="B3343" s="27">
        <v>38421</v>
      </c>
      <c r="C3343" s="28" t="s">
        <v>10698</v>
      </c>
      <c r="D3343" s="27">
        <v>38419</v>
      </c>
      <c r="E3343" s="28" t="s">
        <v>10699</v>
      </c>
      <c r="F3343" s="28" t="s">
        <v>39</v>
      </c>
      <c r="G3343" s="28" t="s">
        <v>20</v>
      </c>
      <c r="H3343" s="28" t="s">
        <v>21</v>
      </c>
      <c r="I3343" s="28" t="s">
        <v>21</v>
      </c>
      <c r="J3343" s="28" t="s">
        <v>10700</v>
      </c>
      <c r="K3343" s="28" t="s">
        <v>10701</v>
      </c>
      <c r="L3343" s="28" t="s">
        <v>2205</v>
      </c>
      <c r="M3343" s="28" t="s">
        <v>21</v>
      </c>
      <c r="O3343" s="92">
        <v>38442</v>
      </c>
      <c r="P3343" s="28" t="s">
        <v>21</v>
      </c>
      <c r="Q3343" s="26" t="b">
        <v>0</v>
      </c>
      <c r="R3343" s="22">
        <f t="shared" si="54"/>
        <v>21</v>
      </c>
    </row>
    <row r="3344" spans="1:18" ht="24">
      <c r="A3344" s="26">
        <v>8036</v>
      </c>
      <c r="B3344" s="27">
        <v>38422</v>
      </c>
      <c r="C3344" s="28" t="s">
        <v>10695</v>
      </c>
      <c r="D3344" s="18"/>
      <c r="E3344" s="28" t="s">
        <v>10696</v>
      </c>
      <c r="F3344" s="28" t="s">
        <v>124</v>
      </c>
      <c r="G3344" s="28" t="s">
        <v>20</v>
      </c>
      <c r="H3344" s="28" t="s">
        <v>21</v>
      </c>
      <c r="I3344" s="28" t="s">
        <v>21</v>
      </c>
      <c r="J3344" s="28" t="s">
        <v>10697</v>
      </c>
      <c r="K3344" s="28" t="s">
        <v>21</v>
      </c>
      <c r="L3344" s="28" t="s">
        <v>4282</v>
      </c>
      <c r="M3344" s="28" t="s">
        <v>21</v>
      </c>
      <c r="O3344" s="92">
        <v>38489</v>
      </c>
      <c r="P3344" s="28" t="s">
        <v>31</v>
      </c>
      <c r="Q3344" s="26" t="b">
        <v>0</v>
      </c>
      <c r="R3344" s="22">
        <f t="shared" si="54"/>
        <v>66</v>
      </c>
    </row>
    <row r="3345" spans="1:18" ht="24">
      <c r="A3345" s="26">
        <v>8039</v>
      </c>
      <c r="B3345" s="27">
        <v>38425</v>
      </c>
      <c r="C3345" s="28" t="s">
        <v>10702</v>
      </c>
      <c r="D3345" s="27">
        <v>38421</v>
      </c>
      <c r="E3345" s="28" t="s">
        <v>10703</v>
      </c>
      <c r="F3345" s="28" t="s">
        <v>1232</v>
      </c>
      <c r="G3345" s="28" t="s">
        <v>20</v>
      </c>
      <c r="H3345" s="28" t="s">
        <v>189</v>
      </c>
      <c r="I3345" s="28" t="s">
        <v>10147</v>
      </c>
      <c r="J3345" s="28" t="s">
        <v>10704</v>
      </c>
      <c r="K3345" s="28" t="s">
        <v>10705</v>
      </c>
      <c r="L3345" s="28" t="s">
        <v>8318</v>
      </c>
      <c r="M3345" s="28" t="s">
        <v>21</v>
      </c>
      <c r="O3345" s="92">
        <v>38597</v>
      </c>
      <c r="P3345" s="28" t="s">
        <v>21</v>
      </c>
      <c r="Q3345" s="26" t="b">
        <v>0</v>
      </c>
      <c r="R3345" s="22">
        <f t="shared" si="54"/>
        <v>170</v>
      </c>
    </row>
    <row r="3346" spans="1:18">
      <c r="A3346" s="26">
        <v>8040</v>
      </c>
      <c r="B3346" s="27">
        <v>38425</v>
      </c>
      <c r="C3346" s="28" t="s">
        <v>10706</v>
      </c>
      <c r="D3346" s="27">
        <v>38418</v>
      </c>
      <c r="E3346" s="28" t="s">
        <v>1928</v>
      </c>
      <c r="F3346" s="28" t="s">
        <v>56</v>
      </c>
      <c r="G3346" s="28" t="s">
        <v>20</v>
      </c>
      <c r="H3346" s="28" t="s">
        <v>21</v>
      </c>
      <c r="I3346" s="28" t="s">
        <v>21</v>
      </c>
      <c r="J3346" s="28" t="s">
        <v>10707</v>
      </c>
      <c r="K3346" s="28" t="s">
        <v>10708</v>
      </c>
      <c r="L3346" s="28" t="s">
        <v>10205</v>
      </c>
      <c r="M3346" s="28" t="s">
        <v>21</v>
      </c>
      <c r="O3346" s="92">
        <v>38496</v>
      </c>
      <c r="P3346" s="28" t="s">
        <v>21</v>
      </c>
      <c r="Q3346" s="26" t="b">
        <v>0</v>
      </c>
      <c r="R3346" s="22">
        <f t="shared" si="54"/>
        <v>70</v>
      </c>
    </row>
    <row r="3347" spans="1:18">
      <c r="A3347" s="26">
        <v>8041</v>
      </c>
      <c r="B3347" s="27">
        <v>38427</v>
      </c>
      <c r="C3347" s="28" t="s">
        <v>10709</v>
      </c>
      <c r="D3347" s="27">
        <v>38417</v>
      </c>
      <c r="E3347" s="28" t="s">
        <v>38</v>
      </c>
      <c r="F3347" s="28" t="s">
        <v>974</v>
      </c>
      <c r="G3347" s="28" t="s">
        <v>20</v>
      </c>
      <c r="H3347" s="28" t="s">
        <v>212</v>
      </c>
      <c r="I3347" s="28" t="s">
        <v>10120</v>
      </c>
      <c r="J3347" s="28" t="s">
        <v>10419</v>
      </c>
      <c r="K3347" s="28" t="s">
        <v>5668</v>
      </c>
      <c r="L3347" s="28" t="s">
        <v>8318</v>
      </c>
      <c r="M3347" s="28" t="s">
        <v>21</v>
      </c>
      <c r="O3347" s="92">
        <v>38426</v>
      </c>
      <c r="P3347" s="28" t="s">
        <v>21</v>
      </c>
      <c r="Q3347" s="26" t="b">
        <v>0</v>
      </c>
      <c r="R3347" s="22">
        <f t="shared" si="54"/>
        <v>1</v>
      </c>
    </row>
    <row r="3348" spans="1:18">
      <c r="A3348" s="26">
        <v>8042</v>
      </c>
      <c r="B3348" s="27">
        <v>38427</v>
      </c>
      <c r="C3348" s="28" t="s">
        <v>10710</v>
      </c>
      <c r="D3348" s="27">
        <v>38427</v>
      </c>
      <c r="E3348" s="28" t="s">
        <v>10711</v>
      </c>
      <c r="F3348" s="28" t="s">
        <v>9047</v>
      </c>
      <c r="G3348" s="28" t="s">
        <v>20</v>
      </c>
      <c r="H3348" s="28" t="s">
        <v>21</v>
      </c>
      <c r="I3348" s="28" t="s">
        <v>21</v>
      </c>
      <c r="J3348" s="28" t="s">
        <v>9276</v>
      </c>
      <c r="K3348" s="28" t="s">
        <v>10712</v>
      </c>
      <c r="L3348" s="28" t="s">
        <v>2205</v>
      </c>
      <c r="M3348" s="28" t="s">
        <v>21</v>
      </c>
      <c r="O3348" s="92">
        <v>38498</v>
      </c>
      <c r="P3348" s="28" t="s">
        <v>31</v>
      </c>
      <c r="Q3348" s="26" t="b">
        <v>0</v>
      </c>
      <c r="R3348" s="22">
        <f t="shared" si="54"/>
        <v>70</v>
      </c>
    </row>
    <row r="3349" spans="1:18">
      <c r="A3349" s="26">
        <v>8045</v>
      </c>
      <c r="B3349" s="27">
        <v>38427</v>
      </c>
      <c r="C3349" s="28" t="s">
        <v>10713</v>
      </c>
      <c r="D3349" s="27">
        <v>38427</v>
      </c>
      <c r="E3349" s="28" t="s">
        <v>38</v>
      </c>
      <c r="F3349" s="28" t="s">
        <v>5690</v>
      </c>
      <c r="G3349" s="28" t="s">
        <v>20</v>
      </c>
      <c r="H3349" s="28" t="s">
        <v>21</v>
      </c>
      <c r="I3349" s="28" t="s">
        <v>21</v>
      </c>
      <c r="J3349" s="28" t="s">
        <v>10714</v>
      </c>
      <c r="K3349" s="28" t="s">
        <v>10715</v>
      </c>
      <c r="L3349" s="28" t="s">
        <v>8318</v>
      </c>
      <c r="M3349" s="28" t="s">
        <v>21</v>
      </c>
      <c r="O3349" s="92">
        <v>38428</v>
      </c>
      <c r="P3349" s="28" t="s">
        <v>21</v>
      </c>
      <c r="Q3349" s="26" t="b">
        <v>0</v>
      </c>
      <c r="R3349" s="22">
        <f t="shared" si="54"/>
        <v>1</v>
      </c>
    </row>
    <row r="3350" spans="1:18">
      <c r="A3350" s="26">
        <v>8061</v>
      </c>
      <c r="B3350" s="27">
        <v>38429</v>
      </c>
      <c r="C3350" s="28" t="s">
        <v>10761</v>
      </c>
      <c r="D3350" s="27">
        <v>38429</v>
      </c>
      <c r="E3350" s="28" t="s">
        <v>283</v>
      </c>
      <c r="F3350" s="28" t="s">
        <v>94</v>
      </c>
      <c r="G3350" s="28" t="s">
        <v>20</v>
      </c>
      <c r="H3350" s="28" t="s">
        <v>21</v>
      </c>
      <c r="I3350" s="28" t="s">
        <v>21</v>
      </c>
      <c r="J3350" s="28" t="s">
        <v>10762</v>
      </c>
      <c r="K3350" s="28" t="s">
        <v>10763</v>
      </c>
      <c r="L3350" s="28" t="s">
        <v>2205</v>
      </c>
      <c r="M3350" s="28" t="s">
        <v>21</v>
      </c>
      <c r="O3350" s="92">
        <v>38518</v>
      </c>
      <c r="P3350" s="28" t="s">
        <v>21</v>
      </c>
      <c r="Q3350" s="26" t="b">
        <v>0</v>
      </c>
      <c r="R3350" s="22">
        <f t="shared" si="54"/>
        <v>88</v>
      </c>
    </row>
    <row r="3351" spans="1:18" ht="24">
      <c r="A3351" s="26">
        <v>8047</v>
      </c>
      <c r="B3351" s="27">
        <v>38432</v>
      </c>
      <c r="C3351" s="28" t="s">
        <v>10716</v>
      </c>
      <c r="D3351" s="27">
        <v>38429</v>
      </c>
      <c r="E3351" s="28" t="s">
        <v>3268</v>
      </c>
      <c r="F3351" s="28" t="s">
        <v>10717</v>
      </c>
      <c r="G3351" s="28" t="s">
        <v>20</v>
      </c>
      <c r="H3351" s="28" t="s">
        <v>21</v>
      </c>
      <c r="I3351" s="28" t="s">
        <v>21</v>
      </c>
      <c r="J3351" s="28" t="s">
        <v>10718</v>
      </c>
      <c r="K3351" s="28" t="s">
        <v>10719</v>
      </c>
      <c r="L3351" s="28" t="s">
        <v>8318</v>
      </c>
      <c r="M3351" s="28" t="s">
        <v>21</v>
      </c>
      <c r="O3351" s="92">
        <v>38489</v>
      </c>
      <c r="P3351" s="28" t="s">
        <v>21</v>
      </c>
      <c r="Q3351" s="26" t="b">
        <v>0</v>
      </c>
      <c r="R3351" s="22">
        <f t="shared" si="54"/>
        <v>56</v>
      </c>
    </row>
    <row r="3352" spans="1:18">
      <c r="A3352" s="26">
        <v>8049</v>
      </c>
      <c r="B3352" s="27">
        <v>38432</v>
      </c>
      <c r="C3352" s="28" t="s">
        <v>10723</v>
      </c>
      <c r="D3352" s="27">
        <v>38432</v>
      </c>
      <c r="E3352" s="28" t="s">
        <v>10724</v>
      </c>
      <c r="F3352" s="28" t="s">
        <v>10725</v>
      </c>
      <c r="G3352" s="28" t="s">
        <v>20</v>
      </c>
      <c r="H3352" s="28" t="s">
        <v>21</v>
      </c>
      <c r="I3352" s="28" t="s">
        <v>21</v>
      </c>
      <c r="J3352" s="28" t="s">
        <v>10726</v>
      </c>
      <c r="K3352" s="28" t="s">
        <v>10727</v>
      </c>
      <c r="L3352" s="28" t="s">
        <v>4282</v>
      </c>
      <c r="M3352" s="28" t="s">
        <v>21</v>
      </c>
      <c r="O3352" s="92">
        <v>38504</v>
      </c>
      <c r="P3352" s="28" t="s">
        <v>21</v>
      </c>
      <c r="Q3352" s="26" t="b">
        <v>0</v>
      </c>
      <c r="R3352" s="22">
        <f t="shared" si="54"/>
        <v>70</v>
      </c>
    </row>
    <row r="3353" spans="1:18">
      <c r="A3353" s="26">
        <v>8050</v>
      </c>
      <c r="B3353" s="27">
        <v>38434</v>
      </c>
      <c r="C3353" s="28" t="s">
        <v>10728</v>
      </c>
      <c r="D3353" s="27">
        <v>38434</v>
      </c>
      <c r="E3353" s="28" t="s">
        <v>10729</v>
      </c>
      <c r="F3353" s="28" t="s">
        <v>10730</v>
      </c>
      <c r="G3353" s="28" t="s">
        <v>20</v>
      </c>
      <c r="H3353" s="28" t="s">
        <v>21</v>
      </c>
      <c r="I3353" s="28" t="s">
        <v>21</v>
      </c>
      <c r="J3353" s="28" t="s">
        <v>10731</v>
      </c>
      <c r="K3353" s="28" t="s">
        <v>21</v>
      </c>
      <c r="L3353" s="28" t="s">
        <v>1946</v>
      </c>
      <c r="M3353" s="28" t="s">
        <v>21</v>
      </c>
      <c r="O3353" s="92">
        <v>38885</v>
      </c>
      <c r="P3353" s="28" t="s">
        <v>21</v>
      </c>
      <c r="Q3353" s="26" t="b">
        <v>0</v>
      </c>
      <c r="R3353" s="22">
        <f t="shared" ref="R3353:R3416" si="55">IF(O3353=" ", " ", INT(YEARFRAC(O3353, B3353)*365))</f>
        <v>450</v>
      </c>
    </row>
    <row r="3354" spans="1:18">
      <c r="A3354" s="26">
        <v>8077</v>
      </c>
      <c r="B3354" s="27">
        <v>38434</v>
      </c>
      <c r="C3354" s="28" t="s">
        <v>10813</v>
      </c>
      <c r="D3354" s="27">
        <v>38426</v>
      </c>
      <c r="E3354" s="28" t="s">
        <v>1432</v>
      </c>
      <c r="F3354" s="28" t="s">
        <v>124</v>
      </c>
      <c r="G3354" s="28" t="s">
        <v>20</v>
      </c>
      <c r="H3354" s="28" t="s">
        <v>21</v>
      </c>
      <c r="I3354" s="28" t="s">
        <v>21</v>
      </c>
      <c r="J3354" s="28" t="s">
        <v>10814</v>
      </c>
      <c r="K3354" s="28" t="s">
        <v>10815</v>
      </c>
      <c r="L3354" s="28" t="s">
        <v>10816</v>
      </c>
      <c r="M3354" s="28" t="s">
        <v>10205</v>
      </c>
      <c r="O3354" s="92">
        <v>38903</v>
      </c>
      <c r="P3354" s="28" t="s">
        <v>31</v>
      </c>
      <c r="Q3354" s="26" t="b">
        <v>0</v>
      </c>
      <c r="R3354" s="22">
        <f t="shared" si="55"/>
        <v>468</v>
      </c>
    </row>
    <row r="3355" spans="1:18" ht="24">
      <c r="A3355" s="26">
        <v>8051</v>
      </c>
      <c r="B3355" s="27">
        <v>38439</v>
      </c>
      <c r="C3355" s="28" t="s">
        <v>10732</v>
      </c>
      <c r="D3355" s="27">
        <v>38439</v>
      </c>
      <c r="E3355" s="28" t="s">
        <v>10733</v>
      </c>
      <c r="F3355" s="28" t="s">
        <v>10734</v>
      </c>
      <c r="G3355" s="28" t="s">
        <v>20</v>
      </c>
      <c r="H3355" s="28" t="s">
        <v>21</v>
      </c>
      <c r="I3355" s="28" t="s">
        <v>21</v>
      </c>
      <c r="J3355" s="28" t="s">
        <v>10735</v>
      </c>
      <c r="K3355" s="28" t="s">
        <v>21</v>
      </c>
      <c r="L3355" s="28" t="s">
        <v>4579</v>
      </c>
      <c r="M3355" s="28" t="s">
        <v>21</v>
      </c>
      <c r="O3355" s="92">
        <v>38707</v>
      </c>
      <c r="P3355" s="28" t="s">
        <v>31</v>
      </c>
      <c r="Q3355" s="26" t="b">
        <v>0</v>
      </c>
      <c r="R3355" s="22">
        <f t="shared" si="55"/>
        <v>266</v>
      </c>
    </row>
    <row r="3356" spans="1:18">
      <c r="A3356" s="26">
        <v>8052</v>
      </c>
      <c r="B3356" s="27">
        <v>38439</v>
      </c>
      <c r="C3356" s="28" t="s">
        <v>10736</v>
      </c>
      <c r="D3356" s="27">
        <v>38435</v>
      </c>
      <c r="E3356" s="28" t="s">
        <v>10737</v>
      </c>
      <c r="F3356" s="28" t="s">
        <v>104</v>
      </c>
      <c r="G3356" s="28" t="s">
        <v>20</v>
      </c>
      <c r="H3356" s="28" t="s">
        <v>21</v>
      </c>
      <c r="I3356" s="28" t="s">
        <v>21</v>
      </c>
      <c r="J3356" s="28" t="s">
        <v>10738</v>
      </c>
      <c r="K3356" s="28" t="s">
        <v>21</v>
      </c>
      <c r="L3356" s="28" t="s">
        <v>4579</v>
      </c>
      <c r="M3356" s="28" t="s">
        <v>21</v>
      </c>
      <c r="O3356" s="92">
        <v>38447</v>
      </c>
      <c r="P3356" s="28" t="s">
        <v>31</v>
      </c>
      <c r="Q3356" s="26" t="b">
        <v>0</v>
      </c>
      <c r="R3356" s="22">
        <f t="shared" si="55"/>
        <v>7</v>
      </c>
    </row>
    <row r="3357" spans="1:18" ht="24">
      <c r="A3357" s="26">
        <v>8058</v>
      </c>
      <c r="B3357" s="27">
        <v>38439</v>
      </c>
      <c r="C3357" s="28" t="s">
        <v>10754</v>
      </c>
      <c r="D3357" s="27">
        <v>38435</v>
      </c>
      <c r="E3357" s="28" t="s">
        <v>3268</v>
      </c>
      <c r="F3357" s="28" t="s">
        <v>10755</v>
      </c>
      <c r="G3357" s="28" t="s">
        <v>20</v>
      </c>
      <c r="H3357" s="28" t="s">
        <v>20</v>
      </c>
      <c r="I3357" s="28" t="s">
        <v>21</v>
      </c>
      <c r="J3357" s="28" t="s">
        <v>10756</v>
      </c>
      <c r="K3357" s="28" t="s">
        <v>10757</v>
      </c>
      <c r="L3357" s="28" t="s">
        <v>8318</v>
      </c>
      <c r="M3357" s="28" t="s">
        <v>21</v>
      </c>
      <c r="O3357" s="92">
        <v>38630</v>
      </c>
      <c r="P3357" s="28" t="s">
        <v>21</v>
      </c>
      <c r="Q3357" s="26" t="b">
        <v>0</v>
      </c>
      <c r="R3357" s="22">
        <f t="shared" si="55"/>
        <v>189</v>
      </c>
    </row>
    <row r="3358" spans="1:18" ht="24">
      <c r="A3358" s="26">
        <v>8059</v>
      </c>
      <c r="B3358" s="27">
        <v>38440</v>
      </c>
      <c r="C3358" s="28" t="s">
        <v>10758</v>
      </c>
      <c r="D3358" s="27">
        <v>38440</v>
      </c>
      <c r="E3358" s="28" t="s">
        <v>3268</v>
      </c>
      <c r="F3358" s="28" t="s">
        <v>5690</v>
      </c>
      <c r="G3358" s="28" t="s">
        <v>20</v>
      </c>
      <c r="H3358" s="28" t="s">
        <v>21</v>
      </c>
      <c r="I3358" s="28" t="s">
        <v>21</v>
      </c>
      <c r="J3358" s="28" t="s">
        <v>10759</v>
      </c>
      <c r="K3358" s="28" t="s">
        <v>10760</v>
      </c>
      <c r="L3358" s="28" t="s">
        <v>8318</v>
      </c>
      <c r="M3358" s="28" t="s">
        <v>21</v>
      </c>
      <c r="O3358" s="92">
        <v>38587</v>
      </c>
      <c r="P3358" s="28" t="s">
        <v>21</v>
      </c>
      <c r="Q3358" s="26" t="b">
        <v>0</v>
      </c>
      <c r="R3358" s="22">
        <f t="shared" si="55"/>
        <v>146</v>
      </c>
    </row>
    <row r="3359" spans="1:18">
      <c r="A3359" s="26">
        <v>8053</v>
      </c>
      <c r="B3359" s="27">
        <v>38441</v>
      </c>
      <c r="C3359" s="28" t="s">
        <v>10739</v>
      </c>
      <c r="D3359" s="27">
        <v>38441</v>
      </c>
      <c r="E3359" s="28" t="s">
        <v>10740</v>
      </c>
      <c r="F3359" s="28" t="s">
        <v>5690</v>
      </c>
      <c r="G3359" s="28" t="s">
        <v>20</v>
      </c>
      <c r="H3359" s="28" t="s">
        <v>21</v>
      </c>
      <c r="I3359" s="28" t="s">
        <v>21</v>
      </c>
      <c r="J3359" s="28" t="s">
        <v>10741</v>
      </c>
      <c r="K3359" s="28" t="s">
        <v>21</v>
      </c>
      <c r="L3359" s="28" t="s">
        <v>2205</v>
      </c>
      <c r="M3359" s="28" t="s">
        <v>21</v>
      </c>
      <c r="O3359" s="92">
        <v>38447</v>
      </c>
      <c r="P3359" s="28" t="s">
        <v>21</v>
      </c>
      <c r="Q3359" s="26" t="b">
        <v>0</v>
      </c>
      <c r="R3359" s="22">
        <f t="shared" si="55"/>
        <v>5</v>
      </c>
    </row>
    <row r="3360" spans="1:18" ht="24">
      <c r="A3360" s="26">
        <v>8054</v>
      </c>
      <c r="B3360" s="27">
        <v>38441</v>
      </c>
      <c r="C3360" s="28" t="s">
        <v>10742</v>
      </c>
      <c r="D3360" s="27">
        <v>38442</v>
      </c>
      <c r="E3360" s="28" t="s">
        <v>10743</v>
      </c>
      <c r="F3360" s="28" t="s">
        <v>104</v>
      </c>
      <c r="G3360" s="28" t="s">
        <v>20</v>
      </c>
      <c r="H3360" s="28" t="s">
        <v>21</v>
      </c>
      <c r="I3360" s="28" t="s">
        <v>21</v>
      </c>
      <c r="J3360" s="28" t="s">
        <v>10744</v>
      </c>
      <c r="K3360" s="28" t="s">
        <v>10745</v>
      </c>
      <c r="L3360" s="28" t="s">
        <v>4579</v>
      </c>
      <c r="M3360" s="28" t="s">
        <v>21</v>
      </c>
      <c r="O3360" s="92">
        <v>38475</v>
      </c>
      <c r="P3360" s="28" t="s">
        <v>21</v>
      </c>
      <c r="Q3360" s="26" t="b">
        <v>0</v>
      </c>
      <c r="R3360" s="22">
        <f t="shared" si="55"/>
        <v>33</v>
      </c>
    </row>
    <row r="3361" spans="1:18">
      <c r="A3361" s="26">
        <v>8056</v>
      </c>
      <c r="B3361" s="27">
        <v>38441</v>
      </c>
      <c r="C3361" s="28" t="s">
        <v>10749</v>
      </c>
      <c r="D3361" s="27">
        <v>38441</v>
      </c>
      <c r="E3361" s="28" t="s">
        <v>10750</v>
      </c>
      <c r="F3361" s="28" t="s">
        <v>5259</v>
      </c>
      <c r="G3361" s="28" t="s">
        <v>20</v>
      </c>
      <c r="H3361" s="28" t="s">
        <v>21</v>
      </c>
      <c r="I3361" s="28" t="s">
        <v>21</v>
      </c>
      <c r="J3361" s="28" t="s">
        <v>10751</v>
      </c>
      <c r="K3361" s="28" t="s">
        <v>10741</v>
      </c>
      <c r="L3361" s="28" t="s">
        <v>2205</v>
      </c>
      <c r="M3361" s="28" t="s">
        <v>21</v>
      </c>
      <c r="O3361" s="92">
        <v>38455</v>
      </c>
      <c r="P3361" s="28" t="s">
        <v>31</v>
      </c>
      <c r="Q3361" s="26" t="b">
        <v>0</v>
      </c>
      <c r="R3361" s="22">
        <f t="shared" si="55"/>
        <v>13</v>
      </c>
    </row>
    <row r="3362" spans="1:18">
      <c r="A3362" s="26">
        <v>8055</v>
      </c>
      <c r="B3362" s="27">
        <v>38442</v>
      </c>
      <c r="C3362" s="28" t="s">
        <v>10746</v>
      </c>
      <c r="D3362" s="27">
        <v>38442</v>
      </c>
      <c r="E3362" s="28" t="s">
        <v>10747</v>
      </c>
      <c r="F3362" s="28" t="s">
        <v>149</v>
      </c>
      <c r="G3362" s="28" t="s">
        <v>20</v>
      </c>
      <c r="H3362" s="28" t="s">
        <v>21</v>
      </c>
      <c r="I3362" s="28" t="s">
        <v>21</v>
      </c>
      <c r="J3362" s="28" t="s">
        <v>10748</v>
      </c>
      <c r="K3362" s="28" t="s">
        <v>10741</v>
      </c>
      <c r="L3362" s="28" t="s">
        <v>1946</v>
      </c>
      <c r="M3362" s="28" t="s">
        <v>21</v>
      </c>
      <c r="O3362" s="92">
        <v>38558</v>
      </c>
      <c r="P3362" s="28" t="s">
        <v>21</v>
      </c>
      <c r="Q3362" s="26" t="b">
        <v>0</v>
      </c>
      <c r="R3362" s="22">
        <f t="shared" si="55"/>
        <v>116</v>
      </c>
    </row>
    <row r="3363" spans="1:18">
      <c r="A3363" s="26">
        <v>8057</v>
      </c>
      <c r="B3363" s="27">
        <v>38442</v>
      </c>
      <c r="C3363" s="28" t="s">
        <v>10752</v>
      </c>
      <c r="D3363" s="27">
        <v>38442</v>
      </c>
      <c r="E3363" s="28" t="s">
        <v>3268</v>
      </c>
      <c r="F3363" s="28" t="s">
        <v>1366</v>
      </c>
      <c r="G3363" s="28" t="s">
        <v>20</v>
      </c>
      <c r="H3363" s="28" t="s">
        <v>212</v>
      </c>
      <c r="I3363" s="28" t="s">
        <v>21</v>
      </c>
      <c r="J3363" s="28" t="s">
        <v>7071</v>
      </c>
      <c r="K3363" s="28" t="s">
        <v>10753</v>
      </c>
      <c r="L3363" s="28" t="s">
        <v>8318</v>
      </c>
      <c r="M3363" s="28" t="s">
        <v>21</v>
      </c>
      <c r="O3363" s="92">
        <v>38443</v>
      </c>
      <c r="P3363" s="28" t="s">
        <v>21</v>
      </c>
      <c r="Q3363" s="26" t="b">
        <v>0</v>
      </c>
      <c r="R3363" s="22">
        <f t="shared" si="55"/>
        <v>1</v>
      </c>
    </row>
    <row r="3364" spans="1:18">
      <c r="A3364" s="26">
        <v>8064</v>
      </c>
      <c r="B3364" s="27">
        <v>38446</v>
      </c>
      <c r="C3364" s="28" t="s">
        <v>10767</v>
      </c>
      <c r="D3364" s="27">
        <v>38437</v>
      </c>
      <c r="E3364" s="28" t="s">
        <v>10768</v>
      </c>
      <c r="F3364" s="28" t="s">
        <v>34</v>
      </c>
      <c r="G3364" s="28" t="s">
        <v>20</v>
      </c>
      <c r="H3364" s="28" t="s">
        <v>21</v>
      </c>
      <c r="I3364" s="28" t="s">
        <v>21</v>
      </c>
      <c r="J3364" s="28" t="s">
        <v>10769</v>
      </c>
      <c r="K3364" s="28" t="s">
        <v>10770</v>
      </c>
      <c r="L3364" s="28" t="s">
        <v>2205</v>
      </c>
      <c r="M3364" s="28" t="s">
        <v>4282</v>
      </c>
      <c r="O3364" s="92">
        <v>38489</v>
      </c>
      <c r="P3364" s="28" t="s">
        <v>21</v>
      </c>
      <c r="Q3364" s="26" t="b">
        <v>0</v>
      </c>
      <c r="R3364" s="22">
        <f t="shared" si="55"/>
        <v>43</v>
      </c>
    </row>
    <row r="3365" spans="1:18" ht="24">
      <c r="A3365" s="26">
        <v>8066</v>
      </c>
      <c r="B3365" s="27">
        <v>38447</v>
      </c>
      <c r="C3365" s="28" t="s">
        <v>10775</v>
      </c>
      <c r="D3365" s="27">
        <v>38447</v>
      </c>
      <c r="E3365" s="28" t="s">
        <v>38</v>
      </c>
      <c r="F3365" s="28" t="s">
        <v>242</v>
      </c>
      <c r="G3365" s="28" t="s">
        <v>20</v>
      </c>
      <c r="H3365" s="28" t="s">
        <v>21</v>
      </c>
      <c r="I3365" s="28" t="s">
        <v>21</v>
      </c>
      <c r="J3365" s="28" t="s">
        <v>10776</v>
      </c>
      <c r="K3365" s="28" t="s">
        <v>10777</v>
      </c>
      <c r="L3365" s="28" t="s">
        <v>8318</v>
      </c>
      <c r="M3365" s="28" t="s">
        <v>21</v>
      </c>
      <c r="O3365" s="92">
        <v>38447</v>
      </c>
      <c r="P3365" s="28" t="s">
        <v>21</v>
      </c>
      <c r="Q3365" s="26" t="b">
        <v>0</v>
      </c>
      <c r="R3365" s="22">
        <f t="shared" si="55"/>
        <v>0</v>
      </c>
    </row>
    <row r="3366" spans="1:18">
      <c r="A3366" s="26">
        <v>8065</v>
      </c>
      <c r="B3366" s="27">
        <v>38448</v>
      </c>
      <c r="C3366" s="28" t="s">
        <v>10771</v>
      </c>
      <c r="D3366" s="27">
        <v>38448</v>
      </c>
      <c r="E3366" s="28" t="s">
        <v>10772</v>
      </c>
      <c r="F3366" s="28" t="s">
        <v>283</v>
      </c>
      <c r="G3366" s="28" t="s">
        <v>20</v>
      </c>
      <c r="H3366" s="28" t="s">
        <v>21</v>
      </c>
      <c r="I3366" s="28" t="s">
        <v>21</v>
      </c>
      <c r="J3366" s="28" t="s">
        <v>10773</v>
      </c>
      <c r="K3366" s="28" t="s">
        <v>10774</v>
      </c>
      <c r="L3366" s="28" t="s">
        <v>8318</v>
      </c>
      <c r="M3366" s="28" t="s">
        <v>21</v>
      </c>
      <c r="O3366" s="92">
        <v>38448</v>
      </c>
      <c r="P3366" s="28" t="s">
        <v>21</v>
      </c>
      <c r="Q3366" s="26" t="b">
        <v>0</v>
      </c>
      <c r="R3366" s="22">
        <f t="shared" si="55"/>
        <v>0</v>
      </c>
    </row>
    <row r="3367" spans="1:18">
      <c r="A3367" s="26">
        <v>8068</v>
      </c>
      <c r="B3367" s="27">
        <v>38448</v>
      </c>
      <c r="C3367" s="28" t="s">
        <v>10781</v>
      </c>
      <c r="D3367" s="27">
        <v>38447</v>
      </c>
      <c r="E3367" s="28" t="s">
        <v>10782</v>
      </c>
      <c r="F3367" s="28" t="s">
        <v>5704</v>
      </c>
      <c r="G3367" s="28" t="s">
        <v>20</v>
      </c>
      <c r="H3367" s="28" t="s">
        <v>21</v>
      </c>
      <c r="I3367" s="28" t="s">
        <v>21</v>
      </c>
      <c r="J3367" s="28" t="s">
        <v>10783</v>
      </c>
      <c r="K3367" s="28" t="s">
        <v>10784</v>
      </c>
      <c r="L3367" s="28" t="s">
        <v>1946</v>
      </c>
      <c r="M3367" s="28" t="s">
        <v>21</v>
      </c>
      <c r="O3367" s="92">
        <v>38559</v>
      </c>
      <c r="P3367" s="28" t="s">
        <v>31</v>
      </c>
      <c r="Q3367" s="26" t="b">
        <v>0</v>
      </c>
      <c r="R3367" s="22">
        <f t="shared" si="55"/>
        <v>111</v>
      </c>
    </row>
    <row r="3368" spans="1:18">
      <c r="A3368" s="26">
        <v>8069</v>
      </c>
      <c r="B3368" s="27">
        <v>38448</v>
      </c>
      <c r="C3368" s="28" t="s">
        <v>10785</v>
      </c>
      <c r="D3368" s="27">
        <v>38446</v>
      </c>
      <c r="E3368" s="28" t="s">
        <v>10786</v>
      </c>
      <c r="F3368" s="28" t="s">
        <v>10787</v>
      </c>
      <c r="G3368" s="28" t="s">
        <v>20</v>
      </c>
      <c r="H3368" s="28" t="s">
        <v>21</v>
      </c>
      <c r="I3368" s="28" t="s">
        <v>21</v>
      </c>
      <c r="J3368" s="28" t="s">
        <v>10788</v>
      </c>
      <c r="K3368" s="28" t="s">
        <v>10789</v>
      </c>
      <c r="L3368" s="28" t="s">
        <v>4282</v>
      </c>
      <c r="M3368" s="28" t="s">
        <v>21</v>
      </c>
      <c r="O3368" s="92">
        <v>38471</v>
      </c>
      <c r="P3368" s="28" t="s">
        <v>21</v>
      </c>
      <c r="Q3368" s="26" t="b">
        <v>0</v>
      </c>
      <c r="R3368" s="22">
        <f t="shared" si="55"/>
        <v>23</v>
      </c>
    </row>
    <row r="3369" spans="1:18">
      <c r="A3369" s="26">
        <v>8067</v>
      </c>
      <c r="B3369" s="27">
        <v>38449</v>
      </c>
      <c r="C3369" s="28" t="s">
        <v>10778</v>
      </c>
      <c r="D3369" s="27">
        <v>38441</v>
      </c>
      <c r="E3369" s="28" t="s">
        <v>10779</v>
      </c>
      <c r="F3369" s="28" t="s">
        <v>242</v>
      </c>
      <c r="G3369" s="28" t="s">
        <v>20</v>
      </c>
      <c r="H3369" s="28" t="s">
        <v>21</v>
      </c>
      <c r="I3369" s="28" t="s">
        <v>21</v>
      </c>
      <c r="J3369" s="28" t="s">
        <v>10780</v>
      </c>
      <c r="K3369" s="28" t="s">
        <v>8828</v>
      </c>
      <c r="L3369" s="28" t="s">
        <v>1946</v>
      </c>
      <c r="M3369" s="28" t="s">
        <v>21</v>
      </c>
      <c r="O3369" s="92">
        <v>38558</v>
      </c>
      <c r="P3369" s="28" t="s">
        <v>21</v>
      </c>
      <c r="Q3369" s="26" t="b">
        <v>0</v>
      </c>
      <c r="R3369" s="22">
        <f t="shared" si="55"/>
        <v>109</v>
      </c>
    </row>
    <row r="3370" spans="1:18">
      <c r="A3370" s="26">
        <v>8070</v>
      </c>
      <c r="B3370" s="27">
        <v>38449</v>
      </c>
      <c r="C3370" s="28" t="s">
        <v>10790</v>
      </c>
      <c r="D3370" s="27">
        <v>38449</v>
      </c>
      <c r="E3370" s="28" t="s">
        <v>10791</v>
      </c>
      <c r="F3370" s="28" t="s">
        <v>1232</v>
      </c>
      <c r="G3370" s="28" t="s">
        <v>20</v>
      </c>
      <c r="H3370" s="28" t="s">
        <v>189</v>
      </c>
      <c r="I3370" s="28" t="s">
        <v>21</v>
      </c>
      <c r="J3370" s="28" t="s">
        <v>10792</v>
      </c>
      <c r="K3370" s="28" t="s">
        <v>10793</v>
      </c>
      <c r="L3370" s="28" t="s">
        <v>4579</v>
      </c>
      <c r="M3370" s="28" t="s">
        <v>21</v>
      </c>
      <c r="O3370" s="92">
        <v>38469</v>
      </c>
      <c r="P3370" s="28" t="s">
        <v>31</v>
      </c>
      <c r="Q3370" s="26" t="b">
        <v>0</v>
      </c>
      <c r="R3370" s="22">
        <f t="shared" si="55"/>
        <v>20</v>
      </c>
    </row>
    <row r="3371" spans="1:18">
      <c r="A3371" s="26">
        <v>8063</v>
      </c>
      <c r="B3371" s="27">
        <v>38450</v>
      </c>
      <c r="C3371" s="28" t="s">
        <v>10764</v>
      </c>
      <c r="D3371" s="27">
        <v>38450</v>
      </c>
      <c r="E3371" s="28" t="s">
        <v>10765</v>
      </c>
      <c r="F3371" s="28" t="s">
        <v>7054</v>
      </c>
      <c r="G3371" s="28" t="s">
        <v>20</v>
      </c>
      <c r="H3371" s="28" t="s">
        <v>212</v>
      </c>
      <c r="I3371" s="28" t="s">
        <v>21</v>
      </c>
      <c r="J3371" s="28" t="s">
        <v>9014</v>
      </c>
      <c r="K3371" s="28" t="s">
        <v>10766</v>
      </c>
      <c r="L3371" s="28" t="s">
        <v>2205</v>
      </c>
      <c r="M3371" s="28" t="s">
        <v>21</v>
      </c>
      <c r="O3371" s="92">
        <v>38454</v>
      </c>
      <c r="P3371" s="28" t="s">
        <v>182</v>
      </c>
      <c r="Q3371" s="26" t="b">
        <v>0</v>
      </c>
      <c r="R3371" s="22">
        <f t="shared" si="55"/>
        <v>4</v>
      </c>
    </row>
    <row r="3372" spans="1:18">
      <c r="A3372" s="26">
        <v>8090</v>
      </c>
      <c r="B3372" s="27">
        <v>38452</v>
      </c>
      <c r="C3372" s="28" t="s">
        <v>10797</v>
      </c>
      <c r="D3372" s="27">
        <v>38452</v>
      </c>
      <c r="E3372" s="28" t="s">
        <v>38</v>
      </c>
      <c r="F3372" s="28" t="s">
        <v>98</v>
      </c>
      <c r="G3372" s="28" t="s">
        <v>20</v>
      </c>
      <c r="H3372" s="28" t="s">
        <v>21</v>
      </c>
      <c r="I3372" s="28" t="s">
        <v>21</v>
      </c>
      <c r="J3372" s="28" t="s">
        <v>10840</v>
      </c>
      <c r="K3372" s="28" t="s">
        <v>10841</v>
      </c>
      <c r="L3372" s="28" t="s">
        <v>8318</v>
      </c>
      <c r="M3372" s="28" t="s">
        <v>21</v>
      </c>
      <c r="N3372" s="18"/>
      <c r="O3372" s="92">
        <v>38453</v>
      </c>
      <c r="P3372" s="28" t="s">
        <v>21</v>
      </c>
      <c r="Q3372" s="26" t="b">
        <v>0</v>
      </c>
      <c r="R3372" s="22">
        <f t="shared" si="55"/>
        <v>1</v>
      </c>
    </row>
    <row r="3373" spans="1:18" ht="24">
      <c r="A3373" s="26">
        <v>8071</v>
      </c>
      <c r="B3373" s="27">
        <v>38455</v>
      </c>
      <c r="C3373" s="28" t="s">
        <v>10794</v>
      </c>
      <c r="D3373" s="27">
        <v>38426</v>
      </c>
      <c r="E3373" s="28" t="s">
        <v>3268</v>
      </c>
      <c r="F3373" s="28" t="s">
        <v>52</v>
      </c>
      <c r="G3373" s="28" t="s">
        <v>20</v>
      </c>
      <c r="H3373" s="28" t="s">
        <v>21</v>
      </c>
      <c r="I3373" s="28" t="s">
        <v>21</v>
      </c>
      <c r="J3373" s="28" t="s">
        <v>10795</v>
      </c>
      <c r="K3373" s="28" t="s">
        <v>10796</v>
      </c>
      <c r="L3373" s="28" t="s">
        <v>8318</v>
      </c>
      <c r="M3373" s="28" t="s">
        <v>21</v>
      </c>
      <c r="O3373" s="92">
        <v>38481</v>
      </c>
      <c r="P3373" s="28" t="s">
        <v>21</v>
      </c>
      <c r="Q3373" s="26" t="b">
        <v>0</v>
      </c>
      <c r="R3373" s="22">
        <f t="shared" si="55"/>
        <v>26</v>
      </c>
    </row>
    <row r="3374" spans="1:18">
      <c r="A3374" s="26">
        <v>8072</v>
      </c>
      <c r="B3374" s="27">
        <v>38455</v>
      </c>
      <c r="C3374" s="28" t="s">
        <v>10797</v>
      </c>
      <c r="D3374" s="27">
        <v>38453</v>
      </c>
      <c r="E3374" s="28" t="s">
        <v>1928</v>
      </c>
      <c r="F3374" s="28" t="s">
        <v>283</v>
      </c>
      <c r="G3374" s="28" t="s">
        <v>20</v>
      </c>
      <c r="H3374" s="28" t="s">
        <v>21</v>
      </c>
      <c r="I3374" s="28" t="s">
        <v>21</v>
      </c>
      <c r="J3374" s="28" t="s">
        <v>10798</v>
      </c>
      <c r="K3374" s="28" t="s">
        <v>10799</v>
      </c>
      <c r="L3374" s="28" t="s">
        <v>8744</v>
      </c>
      <c r="M3374" s="28" t="s">
        <v>21</v>
      </c>
      <c r="O3374" s="92">
        <v>38453</v>
      </c>
      <c r="P3374" s="28" t="s">
        <v>21</v>
      </c>
      <c r="Q3374" s="26" t="b">
        <v>0</v>
      </c>
      <c r="R3374" s="22">
        <f t="shared" si="55"/>
        <v>2</v>
      </c>
    </row>
    <row r="3375" spans="1:18">
      <c r="A3375" s="26">
        <v>8073</v>
      </c>
      <c r="B3375" s="27">
        <v>38455</v>
      </c>
      <c r="C3375" s="28" t="s">
        <v>10800</v>
      </c>
      <c r="D3375" s="27">
        <v>38453</v>
      </c>
      <c r="E3375" s="28" t="s">
        <v>10801</v>
      </c>
      <c r="F3375" s="28" t="s">
        <v>19</v>
      </c>
      <c r="G3375" s="28" t="s">
        <v>20</v>
      </c>
      <c r="H3375" s="28" t="s">
        <v>21</v>
      </c>
      <c r="I3375" s="28" t="s">
        <v>21</v>
      </c>
      <c r="J3375" s="28" t="s">
        <v>10802</v>
      </c>
      <c r="K3375" s="28" t="s">
        <v>10803</v>
      </c>
      <c r="L3375" s="28" t="s">
        <v>4579</v>
      </c>
      <c r="M3375" s="28" t="s">
        <v>21</v>
      </c>
      <c r="O3375" s="92">
        <v>38568</v>
      </c>
      <c r="P3375" s="28" t="s">
        <v>21</v>
      </c>
      <c r="Q3375" s="26" t="b">
        <v>0</v>
      </c>
      <c r="R3375" s="22">
        <f t="shared" si="55"/>
        <v>112</v>
      </c>
    </row>
    <row r="3376" spans="1:18">
      <c r="A3376" s="26">
        <v>8074</v>
      </c>
      <c r="B3376" s="27">
        <v>38455</v>
      </c>
      <c r="C3376" s="28" t="s">
        <v>10804</v>
      </c>
      <c r="D3376" s="27">
        <v>38447</v>
      </c>
      <c r="E3376" s="28" t="s">
        <v>10805</v>
      </c>
      <c r="F3376" s="28" t="s">
        <v>974</v>
      </c>
      <c r="G3376" s="28" t="s">
        <v>20</v>
      </c>
      <c r="H3376" s="28" t="s">
        <v>212</v>
      </c>
      <c r="I3376" s="28" t="s">
        <v>212</v>
      </c>
      <c r="J3376" s="28" t="s">
        <v>6523</v>
      </c>
      <c r="K3376" s="28" t="s">
        <v>10806</v>
      </c>
      <c r="L3376" s="28" t="s">
        <v>2205</v>
      </c>
      <c r="M3376" s="28" t="s">
        <v>21</v>
      </c>
      <c r="O3376" s="92">
        <v>38455</v>
      </c>
      <c r="P3376" s="28" t="s">
        <v>31</v>
      </c>
      <c r="Q3376" s="26" t="b">
        <v>0</v>
      </c>
      <c r="R3376" s="22">
        <f t="shared" si="55"/>
        <v>0</v>
      </c>
    </row>
    <row r="3377" spans="1:18">
      <c r="A3377" s="26">
        <v>8075</v>
      </c>
      <c r="B3377" s="27">
        <v>38455</v>
      </c>
      <c r="C3377" s="28" t="s">
        <v>10807</v>
      </c>
      <c r="D3377" s="27">
        <v>38455</v>
      </c>
      <c r="E3377" s="28" t="s">
        <v>10808</v>
      </c>
      <c r="F3377" s="28" t="s">
        <v>974</v>
      </c>
      <c r="G3377" s="28" t="s">
        <v>20</v>
      </c>
      <c r="H3377" s="28" t="s">
        <v>212</v>
      </c>
      <c r="I3377" s="28" t="s">
        <v>212</v>
      </c>
      <c r="J3377" s="28" t="s">
        <v>10809</v>
      </c>
      <c r="K3377" s="28" t="s">
        <v>21</v>
      </c>
      <c r="L3377" s="28" t="s">
        <v>8318</v>
      </c>
      <c r="M3377" s="28" t="s">
        <v>21</v>
      </c>
      <c r="N3377" s="18"/>
      <c r="O3377" s="92">
        <v>38455</v>
      </c>
      <c r="P3377" s="28" t="s">
        <v>21</v>
      </c>
      <c r="Q3377" s="26" t="b">
        <v>0</v>
      </c>
      <c r="R3377" s="22">
        <f t="shared" si="55"/>
        <v>0</v>
      </c>
    </row>
    <row r="3378" spans="1:18">
      <c r="A3378" s="26">
        <v>8076</v>
      </c>
      <c r="B3378" s="27">
        <v>38456</v>
      </c>
      <c r="C3378" s="28" t="s">
        <v>10810</v>
      </c>
      <c r="D3378" s="27">
        <v>38454</v>
      </c>
      <c r="E3378" s="28" t="s">
        <v>10811</v>
      </c>
      <c r="F3378" s="28" t="s">
        <v>1232</v>
      </c>
      <c r="G3378" s="28" t="s">
        <v>20</v>
      </c>
      <c r="H3378" s="28" t="s">
        <v>189</v>
      </c>
      <c r="I3378" s="28" t="s">
        <v>189</v>
      </c>
      <c r="J3378" s="28" t="s">
        <v>10812</v>
      </c>
      <c r="K3378" s="28" t="s">
        <v>8621</v>
      </c>
      <c r="L3378" s="28" t="s">
        <v>4579</v>
      </c>
      <c r="M3378" s="28" t="s">
        <v>21</v>
      </c>
      <c r="O3378" s="92">
        <v>38469</v>
      </c>
      <c r="P3378" s="28" t="s">
        <v>21</v>
      </c>
      <c r="Q3378" s="26" t="b">
        <v>0</v>
      </c>
      <c r="R3378" s="22">
        <f t="shared" si="55"/>
        <v>13</v>
      </c>
    </row>
    <row r="3379" spans="1:18">
      <c r="A3379" s="26">
        <v>8080</v>
      </c>
      <c r="B3379" s="27">
        <v>38464</v>
      </c>
      <c r="C3379" s="28" t="s">
        <v>10817</v>
      </c>
      <c r="D3379" s="27">
        <v>38462</v>
      </c>
      <c r="E3379" s="28" t="s">
        <v>10818</v>
      </c>
      <c r="F3379" s="28" t="s">
        <v>1830</v>
      </c>
      <c r="G3379" s="28" t="s">
        <v>20</v>
      </c>
      <c r="H3379" s="28" t="s">
        <v>21</v>
      </c>
      <c r="I3379" s="28" t="s">
        <v>21</v>
      </c>
      <c r="J3379" s="28" t="s">
        <v>10819</v>
      </c>
      <c r="K3379" s="28" t="s">
        <v>10820</v>
      </c>
      <c r="L3379" s="28" t="s">
        <v>1946</v>
      </c>
      <c r="M3379" s="28" t="s">
        <v>21</v>
      </c>
      <c r="O3379" s="92">
        <v>38512</v>
      </c>
      <c r="P3379" s="28" t="s">
        <v>21</v>
      </c>
      <c r="Q3379" s="26" t="b">
        <v>0</v>
      </c>
      <c r="R3379" s="22">
        <f t="shared" si="55"/>
        <v>47</v>
      </c>
    </row>
    <row r="3380" spans="1:18">
      <c r="A3380" s="26">
        <v>8082</v>
      </c>
      <c r="B3380" s="27">
        <v>38468</v>
      </c>
      <c r="C3380" s="28" t="s">
        <v>10817</v>
      </c>
      <c r="D3380" s="27">
        <v>38464</v>
      </c>
      <c r="E3380" s="28" t="s">
        <v>10821</v>
      </c>
      <c r="F3380" s="28" t="s">
        <v>10755</v>
      </c>
      <c r="G3380" s="28" t="s">
        <v>20</v>
      </c>
      <c r="H3380" s="28" t="s">
        <v>189</v>
      </c>
      <c r="I3380" s="28" t="s">
        <v>21</v>
      </c>
      <c r="J3380" s="28" t="s">
        <v>1411</v>
      </c>
      <c r="K3380" s="28" t="s">
        <v>2694</v>
      </c>
      <c r="L3380" s="28" t="s">
        <v>4282</v>
      </c>
      <c r="M3380" s="28" t="s">
        <v>21</v>
      </c>
      <c r="O3380" s="92">
        <v>38470</v>
      </c>
      <c r="P3380" s="28" t="s">
        <v>21</v>
      </c>
      <c r="Q3380" s="26" t="b">
        <v>0</v>
      </c>
      <c r="R3380" s="22">
        <f t="shared" si="55"/>
        <v>2</v>
      </c>
    </row>
    <row r="3381" spans="1:18">
      <c r="A3381" s="26">
        <v>8084</v>
      </c>
      <c r="B3381" s="27">
        <v>38469</v>
      </c>
      <c r="C3381" s="28" t="s">
        <v>10825</v>
      </c>
      <c r="D3381" s="27">
        <v>38468</v>
      </c>
      <c r="E3381" s="28" t="s">
        <v>10826</v>
      </c>
      <c r="F3381" s="28" t="s">
        <v>149</v>
      </c>
      <c r="G3381" s="28" t="s">
        <v>20</v>
      </c>
      <c r="H3381" s="28" t="s">
        <v>21</v>
      </c>
      <c r="I3381" s="28" t="s">
        <v>21</v>
      </c>
      <c r="J3381" s="28" t="s">
        <v>10827</v>
      </c>
      <c r="K3381" s="28" t="s">
        <v>10828</v>
      </c>
      <c r="L3381" s="28" t="s">
        <v>4579</v>
      </c>
      <c r="M3381" s="28" t="s">
        <v>21</v>
      </c>
      <c r="N3381" s="29">
        <v>38560</v>
      </c>
      <c r="O3381" s="92">
        <v>38489</v>
      </c>
      <c r="P3381" s="28" t="s">
        <v>21</v>
      </c>
      <c r="Q3381" s="26" t="b">
        <v>0</v>
      </c>
      <c r="R3381" s="22">
        <f t="shared" si="55"/>
        <v>20</v>
      </c>
    </row>
    <row r="3382" spans="1:18" ht="24">
      <c r="A3382" s="26">
        <v>8083</v>
      </c>
      <c r="B3382" s="27">
        <v>38470</v>
      </c>
      <c r="C3382" s="28" t="s">
        <v>10822</v>
      </c>
      <c r="D3382" s="27">
        <v>38455</v>
      </c>
      <c r="E3382" s="28" t="s">
        <v>10823</v>
      </c>
      <c r="F3382" s="28" t="s">
        <v>1232</v>
      </c>
      <c r="G3382" s="28" t="s">
        <v>20</v>
      </c>
      <c r="H3382" s="28" t="s">
        <v>189</v>
      </c>
      <c r="I3382" s="28" t="s">
        <v>21</v>
      </c>
      <c r="J3382" s="28" t="s">
        <v>10824</v>
      </c>
      <c r="K3382" s="28" t="s">
        <v>21</v>
      </c>
      <c r="L3382" s="28" t="s">
        <v>2205</v>
      </c>
      <c r="M3382" s="28" t="s">
        <v>21</v>
      </c>
      <c r="O3382" s="92">
        <v>38596</v>
      </c>
      <c r="P3382" s="28" t="s">
        <v>21</v>
      </c>
      <c r="Q3382" s="26" t="b">
        <v>0</v>
      </c>
      <c r="R3382" s="22">
        <f t="shared" si="55"/>
        <v>124</v>
      </c>
    </row>
    <row r="3383" spans="1:18">
      <c r="A3383" s="26">
        <v>8086</v>
      </c>
      <c r="B3383" s="27">
        <v>38471</v>
      </c>
      <c r="C3383" s="28" t="s">
        <v>10829</v>
      </c>
      <c r="D3383" s="27">
        <v>38471</v>
      </c>
      <c r="E3383" s="28" t="s">
        <v>10830</v>
      </c>
      <c r="F3383" s="28" t="s">
        <v>6351</v>
      </c>
      <c r="G3383" s="28" t="s">
        <v>20</v>
      </c>
      <c r="H3383" s="28" t="s">
        <v>21</v>
      </c>
      <c r="I3383" s="28" t="s">
        <v>21</v>
      </c>
      <c r="J3383" s="28" t="s">
        <v>10831</v>
      </c>
      <c r="K3383" s="28" t="s">
        <v>10832</v>
      </c>
      <c r="L3383" s="28" t="s">
        <v>4579</v>
      </c>
      <c r="M3383" s="28" t="s">
        <v>21</v>
      </c>
      <c r="O3383" s="92">
        <v>38504</v>
      </c>
      <c r="P3383" s="28" t="s">
        <v>21</v>
      </c>
      <c r="Q3383" s="26" t="b">
        <v>0</v>
      </c>
      <c r="R3383" s="22">
        <f t="shared" si="55"/>
        <v>32</v>
      </c>
    </row>
    <row r="3384" spans="1:18" ht="48">
      <c r="A3384" s="26">
        <v>8087</v>
      </c>
      <c r="B3384" s="27">
        <v>38471</v>
      </c>
      <c r="C3384" s="28" t="s">
        <v>10833</v>
      </c>
      <c r="D3384" s="27">
        <v>38471</v>
      </c>
      <c r="E3384" s="28" t="s">
        <v>10834</v>
      </c>
      <c r="F3384" s="28" t="s">
        <v>52</v>
      </c>
      <c r="G3384" s="28" t="s">
        <v>20</v>
      </c>
      <c r="H3384" s="28" t="s">
        <v>71</v>
      </c>
      <c r="I3384" s="28" t="s">
        <v>21</v>
      </c>
      <c r="J3384" s="28" t="s">
        <v>6426</v>
      </c>
      <c r="K3384" s="28" t="s">
        <v>10835</v>
      </c>
      <c r="L3384" s="28" t="s">
        <v>4282</v>
      </c>
      <c r="M3384" s="28" t="s">
        <v>21</v>
      </c>
      <c r="O3384" s="92">
        <v>38572</v>
      </c>
      <c r="P3384" s="28" t="s">
        <v>21</v>
      </c>
      <c r="Q3384" s="26" t="b">
        <v>0</v>
      </c>
      <c r="R3384" s="22">
        <f t="shared" si="55"/>
        <v>100</v>
      </c>
    </row>
    <row r="3385" spans="1:18">
      <c r="A3385" s="26">
        <v>8088</v>
      </c>
      <c r="B3385" s="27">
        <v>38471</v>
      </c>
      <c r="C3385" s="28" t="s">
        <v>10836</v>
      </c>
      <c r="D3385" s="27">
        <v>38471</v>
      </c>
      <c r="E3385" s="28" t="s">
        <v>10837</v>
      </c>
      <c r="F3385" s="28" t="s">
        <v>10838</v>
      </c>
      <c r="G3385" s="28" t="s">
        <v>20</v>
      </c>
      <c r="H3385" s="28" t="s">
        <v>21</v>
      </c>
      <c r="I3385" s="28" t="s">
        <v>21</v>
      </c>
      <c r="J3385" s="28" t="s">
        <v>10170</v>
      </c>
      <c r="K3385" s="28" t="s">
        <v>10839</v>
      </c>
      <c r="L3385" s="28" t="s">
        <v>4282</v>
      </c>
      <c r="M3385" s="28" t="s">
        <v>21</v>
      </c>
      <c r="O3385" s="92">
        <v>40666</v>
      </c>
      <c r="P3385" s="28" t="s">
        <v>31</v>
      </c>
      <c r="Q3385" s="26" t="b">
        <v>0</v>
      </c>
      <c r="R3385" s="22">
        <f t="shared" si="55"/>
        <v>2194</v>
      </c>
    </row>
    <row r="3386" spans="1:18">
      <c r="A3386" s="26">
        <v>8092</v>
      </c>
      <c r="B3386" s="27">
        <v>38471</v>
      </c>
      <c r="C3386" s="28" t="s">
        <v>10842</v>
      </c>
      <c r="D3386" s="27">
        <v>38471</v>
      </c>
      <c r="E3386" s="28" t="s">
        <v>10843</v>
      </c>
      <c r="F3386" s="28" t="s">
        <v>39</v>
      </c>
      <c r="G3386" s="28" t="s">
        <v>20</v>
      </c>
      <c r="H3386" s="28" t="s">
        <v>21</v>
      </c>
      <c r="I3386" s="28" t="s">
        <v>21</v>
      </c>
      <c r="J3386" s="28" t="s">
        <v>10844</v>
      </c>
      <c r="K3386" s="28" t="s">
        <v>10845</v>
      </c>
      <c r="L3386" s="28" t="s">
        <v>4282</v>
      </c>
      <c r="M3386" s="28" t="s">
        <v>21</v>
      </c>
      <c r="N3386" s="29">
        <v>38487</v>
      </c>
      <c r="O3386" s="92">
        <v>38504</v>
      </c>
      <c r="P3386" s="28" t="s">
        <v>21</v>
      </c>
      <c r="Q3386" s="26" t="b">
        <v>0</v>
      </c>
      <c r="R3386" s="22">
        <f t="shared" si="55"/>
        <v>32</v>
      </c>
    </row>
    <row r="3387" spans="1:18">
      <c r="A3387" s="26">
        <v>8093</v>
      </c>
      <c r="B3387" s="27">
        <v>38471</v>
      </c>
      <c r="C3387" s="28" t="s">
        <v>10842</v>
      </c>
      <c r="D3387" s="27">
        <v>38471</v>
      </c>
      <c r="E3387" s="28" t="s">
        <v>10846</v>
      </c>
      <c r="F3387" s="28" t="s">
        <v>283</v>
      </c>
      <c r="G3387" s="28" t="s">
        <v>20</v>
      </c>
      <c r="H3387" s="28" t="s">
        <v>21</v>
      </c>
      <c r="I3387" s="28" t="s">
        <v>21</v>
      </c>
      <c r="J3387" s="28" t="s">
        <v>10847</v>
      </c>
      <c r="K3387" s="28" t="s">
        <v>10143</v>
      </c>
      <c r="L3387" s="28" t="s">
        <v>8318</v>
      </c>
      <c r="M3387" s="28" t="s">
        <v>21</v>
      </c>
      <c r="O3387" s="92">
        <v>38504</v>
      </c>
      <c r="P3387" s="28" t="s">
        <v>21</v>
      </c>
      <c r="Q3387" s="26" t="b">
        <v>0</v>
      </c>
      <c r="R3387" s="22">
        <f t="shared" si="55"/>
        <v>32</v>
      </c>
    </row>
    <row r="3388" spans="1:18">
      <c r="A3388" s="26">
        <v>8094</v>
      </c>
      <c r="B3388" s="27">
        <v>38474</v>
      </c>
      <c r="C3388" s="28" t="s">
        <v>10848</v>
      </c>
      <c r="D3388" s="27">
        <v>38474</v>
      </c>
      <c r="E3388" s="28" t="s">
        <v>10849</v>
      </c>
      <c r="F3388" s="28" t="s">
        <v>283</v>
      </c>
      <c r="G3388" s="28" t="s">
        <v>20</v>
      </c>
      <c r="H3388" s="28" t="s">
        <v>21</v>
      </c>
      <c r="I3388" s="28" t="s">
        <v>21</v>
      </c>
      <c r="J3388" s="28" t="s">
        <v>10850</v>
      </c>
      <c r="K3388" s="28" t="s">
        <v>10851</v>
      </c>
      <c r="L3388" s="28" t="s">
        <v>8318</v>
      </c>
      <c r="M3388" s="28" t="s">
        <v>21</v>
      </c>
      <c r="O3388" s="92">
        <v>38489</v>
      </c>
      <c r="P3388" s="28" t="s">
        <v>31</v>
      </c>
      <c r="Q3388" s="26" t="b">
        <v>0</v>
      </c>
      <c r="R3388" s="22">
        <f t="shared" si="55"/>
        <v>15</v>
      </c>
    </row>
    <row r="3389" spans="1:18">
      <c r="A3389" s="26">
        <v>8511</v>
      </c>
      <c r="B3389" s="27">
        <v>38474</v>
      </c>
      <c r="C3389" s="28" t="s">
        <v>11746</v>
      </c>
      <c r="D3389" s="27">
        <v>38839</v>
      </c>
      <c r="E3389" s="28" t="s">
        <v>11747</v>
      </c>
      <c r="F3389" s="28" t="s">
        <v>8395</v>
      </c>
      <c r="G3389" s="28" t="s">
        <v>20</v>
      </c>
      <c r="H3389" s="28" t="s">
        <v>566</v>
      </c>
      <c r="I3389" s="28" t="s">
        <v>566</v>
      </c>
      <c r="J3389" s="28" t="s">
        <v>11748</v>
      </c>
      <c r="K3389" s="28" t="s">
        <v>11749</v>
      </c>
      <c r="L3389" s="28" t="s">
        <v>4579</v>
      </c>
      <c r="M3389" s="28" t="s">
        <v>21</v>
      </c>
      <c r="N3389" s="29">
        <v>38931</v>
      </c>
      <c r="O3389" s="92">
        <v>38847</v>
      </c>
      <c r="P3389" s="28" t="s">
        <v>31</v>
      </c>
      <c r="Q3389" s="26" t="b">
        <v>1</v>
      </c>
      <c r="R3389" s="22">
        <f t="shared" si="55"/>
        <v>373</v>
      </c>
    </row>
    <row r="3390" spans="1:18" ht="24">
      <c r="A3390" s="26">
        <v>8095</v>
      </c>
      <c r="B3390" s="27">
        <v>38475</v>
      </c>
      <c r="C3390" s="28" t="s">
        <v>10852</v>
      </c>
      <c r="D3390" s="27">
        <v>38475</v>
      </c>
      <c r="E3390" s="28" t="s">
        <v>10853</v>
      </c>
      <c r="F3390" s="28" t="s">
        <v>104</v>
      </c>
      <c r="G3390" s="28" t="s">
        <v>20</v>
      </c>
      <c r="H3390" s="28" t="s">
        <v>71</v>
      </c>
      <c r="I3390" s="28" t="s">
        <v>71</v>
      </c>
      <c r="J3390" s="28" t="s">
        <v>10744</v>
      </c>
      <c r="K3390" s="28" t="s">
        <v>10854</v>
      </c>
      <c r="L3390" s="28" t="s">
        <v>4579</v>
      </c>
      <c r="M3390" s="28" t="s">
        <v>21</v>
      </c>
      <c r="O3390" s="92">
        <v>38475</v>
      </c>
      <c r="P3390" s="28" t="s">
        <v>21</v>
      </c>
      <c r="Q3390" s="26" t="b">
        <v>0</v>
      </c>
      <c r="R3390" s="22">
        <f t="shared" si="55"/>
        <v>0</v>
      </c>
    </row>
    <row r="3391" spans="1:18">
      <c r="A3391" s="26">
        <v>8097</v>
      </c>
      <c r="B3391" s="27">
        <v>38475</v>
      </c>
      <c r="C3391" s="28" t="s">
        <v>10858</v>
      </c>
      <c r="D3391" s="27">
        <v>38468</v>
      </c>
      <c r="E3391" s="28" t="s">
        <v>38</v>
      </c>
      <c r="F3391" s="28" t="s">
        <v>124</v>
      </c>
      <c r="G3391" s="28" t="s">
        <v>20</v>
      </c>
      <c r="H3391" s="28" t="s">
        <v>566</v>
      </c>
      <c r="I3391" s="28" t="s">
        <v>566</v>
      </c>
      <c r="J3391" s="28" t="s">
        <v>10859</v>
      </c>
      <c r="K3391" s="28" t="s">
        <v>21</v>
      </c>
      <c r="L3391" s="28" t="s">
        <v>8318</v>
      </c>
      <c r="M3391" s="28" t="s">
        <v>21</v>
      </c>
      <c r="O3391" s="92">
        <v>38477</v>
      </c>
      <c r="P3391" s="28" t="s">
        <v>31</v>
      </c>
      <c r="Q3391" s="26" t="b">
        <v>0</v>
      </c>
      <c r="R3391" s="22">
        <f t="shared" si="55"/>
        <v>2</v>
      </c>
    </row>
    <row r="3392" spans="1:18">
      <c r="A3392" s="26">
        <v>8096</v>
      </c>
      <c r="B3392" s="27">
        <v>38477</v>
      </c>
      <c r="C3392" s="28" t="s">
        <v>10855</v>
      </c>
      <c r="D3392" s="27">
        <v>38473</v>
      </c>
      <c r="E3392" s="28" t="s">
        <v>10856</v>
      </c>
      <c r="F3392" s="28" t="s">
        <v>10725</v>
      </c>
      <c r="G3392" s="28" t="s">
        <v>20</v>
      </c>
      <c r="H3392" s="28" t="s">
        <v>566</v>
      </c>
      <c r="I3392" s="28" t="s">
        <v>566</v>
      </c>
      <c r="J3392" s="28" t="s">
        <v>5513</v>
      </c>
      <c r="K3392" s="28" t="s">
        <v>10857</v>
      </c>
      <c r="L3392" s="28" t="s">
        <v>4282</v>
      </c>
      <c r="M3392" s="28" t="s">
        <v>21</v>
      </c>
      <c r="O3392" s="92">
        <v>38555</v>
      </c>
      <c r="P3392" s="28" t="s">
        <v>21</v>
      </c>
      <c r="Q3392" s="26" t="b">
        <v>0</v>
      </c>
      <c r="R3392" s="22">
        <f t="shared" si="55"/>
        <v>78</v>
      </c>
    </row>
    <row r="3393" spans="1:18">
      <c r="A3393" s="26">
        <v>8098</v>
      </c>
      <c r="B3393" s="27">
        <v>38478</v>
      </c>
      <c r="C3393" s="28" t="s">
        <v>10860</v>
      </c>
      <c r="D3393" s="27">
        <v>38478</v>
      </c>
      <c r="E3393" s="28" t="s">
        <v>10861</v>
      </c>
      <c r="F3393" s="28" t="s">
        <v>6298</v>
      </c>
      <c r="G3393" s="28" t="s">
        <v>20</v>
      </c>
      <c r="H3393" s="28" t="s">
        <v>71</v>
      </c>
      <c r="I3393" s="28" t="s">
        <v>21</v>
      </c>
      <c r="J3393" s="28" t="s">
        <v>10862</v>
      </c>
      <c r="K3393" s="28" t="s">
        <v>10863</v>
      </c>
      <c r="L3393" s="28" t="s">
        <v>8318</v>
      </c>
      <c r="M3393" s="28" t="s">
        <v>21</v>
      </c>
      <c r="O3393" s="92">
        <v>38573</v>
      </c>
      <c r="P3393" s="28" t="s">
        <v>31</v>
      </c>
      <c r="Q3393" s="26" t="b">
        <v>0</v>
      </c>
      <c r="R3393" s="22">
        <f t="shared" si="55"/>
        <v>94</v>
      </c>
    </row>
    <row r="3394" spans="1:18">
      <c r="A3394" s="26">
        <v>8101</v>
      </c>
      <c r="B3394" s="27">
        <v>38484</v>
      </c>
      <c r="C3394" s="28" t="s">
        <v>10864</v>
      </c>
      <c r="D3394" s="27">
        <v>38481</v>
      </c>
      <c r="E3394" s="28" t="s">
        <v>10865</v>
      </c>
      <c r="F3394" s="28" t="s">
        <v>104</v>
      </c>
      <c r="G3394" s="28" t="s">
        <v>20</v>
      </c>
      <c r="H3394" s="28" t="s">
        <v>71</v>
      </c>
      <c r="I3394" s="28" t="s">
        <v>21</v>
      </c>
      <c r="J3394" s="28" t="s">
        <v>5601</v>
      </c>
      <c r="K3394" s="28" t="s">
        <v>10866</v>
      </c>
      <c r="L3394" s="28" t="s">
        <v>4579</v>
      </c>
      <c r="M3394" s="28" t="s">
        <v>1946</v>
      </c>
      <c r="N3394" s="18"/>
      <c r="O3394" s="92">
        <v>39905</v>
      </c>
      <c r="P3394" s="28" t="s">
        <v>21</v>
      </c>
      <c r="Q3394" s="26" t="b">
        <v>0</v>
      </c>
      <c r="R3394" s="22">
        <f t="shared" si="55"/>
        <v>1419</v>
      </c>
    </row>
    <row r="3395" spans="1:18">
      <c r="A3395" s="26">
        <v>8104</v>
      </c>
      <c r="B3395" s="27">
        <v>38488</v>
      </c>
      <c r="C3395" s="28" t="s">
        <v>10874</v>
      </c>
      <c r="D3395" s="27">
        <v>38484</v>
      </c>
      <c r="E3395" s="28" t="s">
        <v>10875</v>
      </c>
      <c r="F3395" s="28" t="s">
        <v>760</v>
      </c>
      <c r="G3395" s="28" t="s">
        <v>20</v>
      </c>
      <c r="H3395" s="28" t="s">
        <v>212</v>
      </c>
      <c r="I3395" s="28" t="s">
        <v>10120</v>
      </c>
      <c r="J3395" s="28" t="s">
        <v>10876</v>
      </c>
      <c r="K3395" s="28" t="s">
        <v>10877</v>
      </c>
      <c r="L3395" s="28" t="s">
        <v>4579</v>
      </c>
      <c r="M3395" s="28" t="s">
        <v>21</v>
      </c>
      <c r="O3395" s="92">
        <v>38520</v>
      </c>
      <c r="P3395" s="28" t="s">
        <v>21</v>
      </c>
      <c r="Q3395" s="26" t="b">
        <v>0</v>
      </c>
      <c r="R3395" s="22">
        <f t="shared" si="55"/>
        <v>31</v>
      </c>
    </row>
    <row r="3396" spans="1:18">
      <c r="A3396" s="26">
        <v>8102</v>
      </c>
      <c r="B3396" s="27">
        <v>38489</v>
      </c>
      <c r="C3396" s="28" t="s">
        <v>10867</v>
      </c>
      <c r="D3396" s="27">
        <v>38483</v>
      </c>
      <c r="E3396" s="28" t="s">
        <v>10868</v>
      </c>
      <c r="F3396" s="28" t="s">
        <v>974</v>
      </c>
      <c r="G3396" s="28" t="s">
        <v>20</v>
      </c>
      <c r="H3396" s="28" t="s">
        <v>212</v>
      </c>
      <c r="I3396" s="28" t="s">
        <v>212</v>
      </c>
      <c r="J3396" s="28" t="s">
        <v>10869</v>
      </c>
      <c r="K3396" s="28" t="s">
        <v>10870</v>
      </c>
      <c r="L3396" s="28" t="s">
        <v>10871</v>
      </c>
      <c r="M3396" s="28" t="s">
        <v>2205</v>
      </c>
      <c r="O3396" s="92">
        <v>38898</v>
      </c>
      <c r="P3396" s="28" t="s">
        <v>21</v>
      </c>
      <c r="Q3396" s="26" t="b">
        <v>0</v>
      </c>
      <c r="R3396" s="22">
        <f t="shared" si="55"/>
        <v>408</v>
      </c>
    </row>
    <row r="3397" spans="1:18">
      <c r="A3397" s="26">
        <v>8103</v>
      </c>
      <c r="B3397" s="27">
        <v>38491</v>
      </c>
      <c r="C3397" s="28" t="s">
        <v>10872</v>
      </c>
      <c r="D3397" s="27">
        <v>38490</v>
      </c>
      <c r="E3397" s="28" t="s">
        <v>10873</v>
      </c>
      <c r="F3397" s="28" t="s">
        <v>283</v>
      </c>
      <c r="G3397" s="28" t="s">
        <v>20</v>
      </c>
      <c r="H3397" s="28" t="s">
        <v>71</v>
      </c>
      <c r="I3397" s="28" t="s">
        <v>21</v>
      </c>
      <c r="J3397" s="28" t="s">
        <v>10850</v>
      </c>
      <c r="K3397" s="28" t="s">
        <v>21</v>
      </c>
      <c r="L3397" s="28" t="s">
        <v>8318</v>
      </c>
      <c r="M3397" s="28" t="s">
        <v>21</v>
      </c>
      <c r="O3397" s="92">
        <v>38517</v>
      </c>
      <c r="P3397" s="28" t="s">
        <v>31</v>
      </c>
      <c r="Q3397" s="26" t="b">
        <v>0</v>
      </c>
      <c r="R3397" s="22">
        <f t="shared" si="55"/>
        <v>25</v>
      </c>
    </row>
    <row r="3398" spans="1:18">
      <c r="A3398" s="26">
        <v>8107</v>
      </c>
      <c r="B3398" s="27">
        <v>38495</v>
      </c>
      <c r="C3398" s="28" t="s">
        <v>10880</v>
      </c>
      <c r="D3398" s="29">
        <v>38486</v>
      </c>
      <c r="E3398" s="28" t="s">
        <v>10881</v>
      </c>
      <c r="F3398" s="28" t="s">
        <v>98</v>
      </c>
      <c r="G3398" s="28" t="s">
        <v>20</v>
      </c>
      <c r="H3398" s="28" t="s">
        <v>21</v>
      </c>
      <c r="I3398" s="28" t="s">
        <v>21</v>
      </c>
      <c r="J3398" s="28" t="s">
        <v>10882</v>
      </c>
      <c r="K3398" s="28" t="s">
        <v>10883</v>
      </c>
      <c r="L3398" s="28" t="s">
        <v>4282</v>
      </c>
      <c r="M3398" s="28" t="s">
        <v>21</v>
      </c>
      <c r="O3398" s="92">
        <v>38555</v>
      </c>
      <c r="P3398" s="28" t="s">
        <v>21</v>
      </c>
      <c r="Q3398" s="26" t="b">
        <v>0</v>
      </c>
      <c r="R3398" s="22">
        <f t="shared" si="55"/>
        <v>59</v>
      </c>
    </row>
    <row r="3399" spans="1:18">
      <c r="A3399" s="26">
        <v>8106</v>
      </c>
      <c r="B3399" s="27">
        <v>38496</v>
      </c>
      <c r="C3399" s="28" t="s">
        <v>10878</v>
      </c>
      <c r="D3399" s="27">
        <v>38496</v>
      </c>
      <c r="E3399" s="28" t="s">
        <v>10879</v>
      </c>
      <c r="F3399" s="28" t="s">
        <v>70</v>
      </c>
      <c r="G3399" s="28" t="s">
        <v>20</v>
      </c>
      <c r="H3399" s="28" t="s">
        <v>71</v>
      </c>
      <c r="I3399" s="28" t="s">
        <v>21</v>
      </c>
      <c r="J3399" s="28" t="s">
        <v>3639</v>
      </c>
      <c r="K3399" s="28" t="s">
        <v>3616</v>
      </c>
      <c r="L3399" s="28" t="s">
        <v>4579</v>
      </c>
      <c r="M3399" s="28" t="s">
        <v>21</v>
      </c>
      <c r="N3399" s="18"/>
      <c r="O3399" s="92">
        <v>38538</v>
      </c>
      <c r="P3399" s="28" t="s">
        <v>31</v>
      </c>
      <c r="Q3399" s="26" t="b">
        <v>0</v>
      </c>
      <c r="R3399" s="22">
        <f t="shared" si="55"/>
        <v>41</v>
      </c>
    </row>
    <row r="3400" spans="1:18">
      <c r="A3400" s="26">
        <v>8108</v>
      </c>
      <c r="B3400" s="27">
        <v>38497</v>
      </c>
      <c r="C3400" s="28" t="s">
        <v>10884</v>
      </c>
      <c r="D3400" s="27">
        <v>38498</v>
      </c>
      <c r="E3400" s="28" t="s">
        <v>10885</v>
      </c>
      <c r="F3400" s="28" t="s">
        <v>104</v>
      </c>
      <c r="G3400" s="28" t="s">
        <v>20</v>
      </c>
      <c r="H3400" s="28" t="s">
        <v>71</v>
      </c>
      <c r="I3400" s="28" t="s">
        <v>72</v>
      </c>
      <c r="J3400" s="28" t="s">
        <v>10886</v>
      </c>
      <c r="K3400" s="28" t="s">
        <v>21</v>
      </c>
      <c r="L3400" s="28" t="s">
        <v>4579</v>
      </c>
      <c r="M3400" s="28" t="s">
        <v>21</v>
      </c>
      <c r="N3400" s="18"/>
      <c r="O3400" s="92">
        <v>38593</v>
      </c>
      <c r="P3400" s="28" t="s">
        <v>21</v>
      </c>
      <c r="Q3400" s="26" t="b">
        <v>0</v>
      </c>
      <c r="R3400" s="22">
        <f t="shared" si="55"/>
        <v>95</v>
      </c>
    </row>
    <row r="3401" spans="1:18" ht="24">
      <c r="A3401" s="26">
        <v>8109</v>
      </c>
      <c r="B3401" s="27">
        <v>38504</v>
      </c>
      <c r="C3401" s="28" t="s">
        <v>10887</v>
      </c>
      <c r="D3401" s="27">
        <v>38503</v>
      </c>
      <c r="E3401" s="28" t="s">
        <v>10888</v>
      </c>
      <c r="F3401" s="28" t="s">
        <v>10889</v>
      </c>
      <c r="G3401" s="28" t="s">
        <v>20</v>
      </c>
      <c r="H3401" s="28" t="s">
        <v>212</v>
      </c>
      <c r="I3401" s="28" t="s">
        <v>212</v>
      </c>
      <c r="J3401" s="28" t="s">
        <v>10890</v>
      </c>
      <c r="K3401" s="28" t="s">
        <v>21</v>
      </c>
      <c r="L3401" s="28" t="s">
        <v>2205</v>
      </c>
      <c r="M3401" s="28" t="s">
        <v>21</v>
      </c>
      <c r="O3401" s="92">
        <v>38504</v>
      </c>
      <c r="P3401" s="28" t="s">
        <v>21</v>
      </c>
      <c r="Q3401" s="26" t="b">
        <v>0</v>
      </c>
      <c r="R3401" s="22">
        <f t="shared" si="55"/>
        <v>0</v>
      </c>
    </row>
    <row r="3402" spans="1:18">
      <c r="A3402" s="26">
        <v>8110</v>
      </c>
      <c r="B3402" s="27">
        <v>38504</v>
      </c>
      <c r="C3402" s="28" t="s">
        <v>10878</v>
      </c>
      <c r="D3402" s="27">
        <v>38492</v>
      </c>
      <c r="E3402" s="28" t="s">
        <v>10891</v>
      </c>
      <c r="F3402" s="28" t="s">
        <v>27</v>
      </c>
      <c r="G3402" s="28" t="s">
        <v>20</v>
      </c>
      <c r="H3402" s="28" t="s">
        <v>71</v>
      </c>
      <c r="I3402" s="28" t="s">
        <v>72</v>
      </c>
      <c r="J3402" s="28" t="s">
        <v>9966</v>
      </c>
      <c r="K3402" s="28" t="s">
        <v>21</v>
      </c>
      <c r="L3402" s="28" t="s">
        <v>8318</v>
      </c>
      <c r="M3402" s="28" t="s">
        <v>21</v>
      </c>
      <c r="N3402" s="18"/>
      <c r="O3402" s="92">
        <v>38504</v>
      </c>
      <c r="P3402" s="28" t="s">
        <v>21</v>
      </c>
      <c r="Q3402" s="26" t="b">
        <v>0</v>
      </c>
      <c r="R3402" s="22">
        <f t="shared" si="55"/>
        <v>0</v>
      </c>
    </row>
    <row r="3403" spans="1:18" ht="24">
      <c r="A3403" s="26">
        <v>8111</v>
      </c>
      <c r="B3403" s="27">
        <v>38504</v>
      </c>
      <c r="C3403" s="28" t="s">
        <v>10892</v>
      </c>
      <c r="D3403" s="27">
        <v>38495</v>
      </c>
      <c r="E3403" s="28" t="s">
        <v>3268</v>
      </c>
      <c r="F3403" s="28" t="s">
        <v>10893</v>
      </c>
      <c r="G3403" s="28" t="s">
        <v>20</v>
      </c>
      <c r="H3403" s="28" t="s">
        <v>189</v>
      </c>
      <c r="I3403" s="28" t="s">
        <v>189</v>
      </c>
      <c r="J3403" s="28" t="s">
        <v>10894</v>
      </c>
      <c r="K3403" s="28" t="s">
        <v>10895</v>
      </c>
      <c r="L3403" s="28" t="s">
        <v>8318</v>
      </c>
      <c r="M3403" s="28" t="s">
        <v>21</v>
      </c>
      <c r="O3403" s="92">
        <v>38531</v>
      </c>
      <c r="P3403" s="28" t="s">
        <v>21</v>
      </c>
      <c r="Q3403" s="26" t="b">
        <v>0</v>
      </c>
      <c r="R3403" s="22">
        <f t="shared" si="55"/>
        <v>27</v>
      </c>
    </row>
    <row r="3404" spans="1:18">
      <c r="A3404" s="26">
        <v>8112</v>
      </c>
      <c r="B3404" s="27">
        <v>38505</v>
      </c>
      <c r="C3404" s="28" t="s">
        <v>10892</v>
      </c>
      <c r="D3404" s="27">
        <v>38500</v>
      </c>
      <c r="E3404" s="28" t="s">
        <v>10896</v>
      </c>
      <c r="F3404" s="28" t="s">
        <v>1149</v>
      </c>
      <c r="G3404" s="28" t="s">
        <v>20</v>
      </c>
      <c r="H3404" s="28" t="s">
        <v>71</v>
      </c>
      <c r="I3404" s="28" t="s">
        <v>72</v>
      </c>
      <c r="J3404" s="28" t="s">
        <v>10897</v>
      </c>
      <c r="K3404" s="28" t="s">
        <v>21</v>
      </c>
      <c r="L3404" s="28" t="s">
        <v>2205</v>
      </c>
      <c r="M3404" s="28" t="s">
        <v>21</v>
      </c>
      <c r="N3404" s="29">
        <v>38537</v>
      </c>
      <c r="O3404" s="92">
        <v>38524</v>
      </c>
      <c r="P3404" s="28" t="s">
        <v>31</v>
      </c>
      <c r="Q3404" s="26" t="b">
        <v>0</v>
      </c>
      <c r="R3404" s="22">
        <f t="shared" si="55"/>
        <v>19</v>
      </c>
    </row>
    <row r="3405" spans="1:18">
      <c r="A3405" s="26">
        <v>8114</v>
      </c>
      <c r="B3405" s="27">
        <v>38509</v>
      </c>
      <c r="C3405" s="28" t="s">
        <v>10898</v>
      </c>
      <c r="D3405" s="29">
        <v>38505</v>
      </c>
      <c r="E3405" s="28" t="s">
        <v>10899</v>
      </c>
      <c r="F3405" s="28" t="s">
        <v>124</v>
      </c>
      <c r="G3405" s="28" t="s">
        <v>20</v>
      </c>
      <c r="H3405" s="28" t="s">
        <v>71</v>
      </c>
      <c r="I3405" s="28" t="s">
        <v>72</v>
      </c>
      <c r="J3405" s="28" t="s">
        <v>6080</v>
      </c>
      <c r="K3405" s="28" t="s">
        <v>21</v>
      </c>
      <c r="L3405" s="28" t="s">
        <v>2205</v>
      </c>
      <c r="M3405" s="28" t="s">
        <v>21</v>
      </c>
      <c r="N3405" s="18"/>
      <c r="O3405" s="92">
        <v>38505</v>
      </c>
      <c r="P3405" s="28" t="s">
        <v>31</v>
      </c>
      <c r="Q3405" s="26" t="b">
        <v>0</v>
      </c>
      <c r="R3405" s="22">
        <f t="shared" si="55"/>
        <v>4</v>
      </c>
    </row>
    <row r="3406" spans="1:18">
      <c r="A3406" s="26">
        <v>8115</v>
      </c>
      <c r="B3406" s="27">
        <v>38509</v>
      </c>
      <c r="C3406" s="28" t="s">
        <v>10900</v>
      </c>
      <c r="D3406" s="29">
        <v>38497</v>
      </c>
      <c r="E3406" s="28" t="s">
        <v>38</v>
      </c>
      <c r="F3406" s="28" t="s">
        <v>10901</v>
      </c>
      <c r="G3406" s="28" t="s">
        <v>20</v>
      </c>
      <c r="H3406" s="28" t="s">
        <v>189</v>
      </c>
      <c r="I3406" s="28" t="s">
        <v>189</v>
      </c>
      <c r="J3406" s="28" t="s">
        <v>10902</v>
      </c>
      <c r="K3406" s="28" t="s">
        <v>21</v>
      </c>
      <c r="L3406" s="28" t="s">
        <v>8318</v>
      </c>
      <c r="M3406" s="28" t="s">
        <v>21</v>
      </c>
      <c r="N3406" s="18"/>
      <c r="O3406" s="92">
        <v>38505</v>
      </c>
      <c r="P3406" s="28" t="s">
        <v>31</v>
      </c>
      <c r="Q3406" s="26" t="b">
        <v>0</v>
      </c>
      <c r="R3406" s="22">
        <f t="shared" si="55"/>
        <v>4</v>
      </c>
    </row>
    <row r="3407" spans="1:18">
      <c r="A3407" s="26">
        <v>8116</v>
      </c>
      <c r="B3407" s="27">
        <v>38510</v>
      </c>
      <c r="C3407" s="28" t="s">
        <v>10903</v>
      </c>
      <c r="D3407" s="27">
        <v>38412</v>
      </c>
      <c r="E3407" s="28" t="s">
        <v>10904</v>
      </c>
      <c r="F3407" s="28" t="s">
        <v>211</v>
      </c>
      <c r="G3407" s="28" t="s">
        <v>20</v>
      </c>
      <c r="H3407" s="28" t="s">
        <v>212</v>
      </c>
      <c r="I3407" s="28" t="s">
        <v>212</v>
      </c>
      <c r="J3407" s="28" t="s">
        <v>10693</v>
      </c>
      <c r="K3407" s="28" t="s">
        <v>10905</v>
      </c>
      <c r="L3407" s="28" t="s">
        <v>4579</v>
      </c>
      <c r="M3407" s="28" t="s">
        <v>21</v>
      </c>
      <c r="O3407" s="92">
        <v>38883</v>
      </c>
      <c r="P3407" s="28" t="s">
        <v>31</v>
      </c>
      <c r="Q3407" s="26" t="b">
        <v>0</v>
      </c>
      <c r="R3407" s="22">
        <f t="shared" si="55"/>
        <v>373</v>
      </c>
    </row>
    <row r="3408" spans="1:18" ht="72">
      <c r="A3408" s="26">
        <v>8119</v>
      </c>
      <c r="B3408" s="27">
        <v>38516</v>
      </c>
      <c r="C3408" s="28" t="s">
        <v>10906</v>
      </c>
      <c r="D3408" s="18"/>
      <c r="E3408" s="28" t="s">
        <v>3268</v>
      </c>
      <c r="F3408" s="28" t="s">
        <v>27</v>
      </c>
      <c r="G3408" s="28" t="s">
        <v>20</v>
      </c>
      <c r="H3408" s="28" t="s">
        <v>10907</v>
      </c>
      <c r="I3408" s="28" t="s">
        <v>1061</v>
      </c>
      <c r="J3408" s="28" t="s">
        <v>10908</v>
      </c>
      <c r="K3408" s="28" t="s">
        <v>10909</v>
      </c>
      <c r="L3408" s="28" t="s">
        <v>8318</v>
      </c>
      <c r="M3408" s="28" t="s">
        <v>21</v>
      </c>
      <c r="O3408" s="92">
        <v>38560</v>
      </c>
      <c r="P3408" s="28" t="s">
        <v>21</v>
      </c>
      <c r="Q3408" s="26" t="b">
        <v>0</v>
      </c>
      <c r="R3408" s="22">
        <f t="shared" si="55"/>
        <v>44</v>
      </c>
    </row>
    <row r="3409" spans="1:18">
      <c r="A3409" s="26">
        <v>8120</v>
      </c>
      <c r="B3409" s="27">
        <v>38518</v>
      </c>
      <c r="C3409" s="28" t="s">
        <v>10910</v>
      </c>
      <c r="D3409" s="27">
        <v>38509</v>
      </c>
      <c r="E3409" s="28" t="s">
        <v>10911</v>
      </c>
      <c r="F3409" s="28" t="s">
        <v>10912</v>
      </c>
      <c r="G3409" s="28" t="s">
        <v>20</v>
      </c>
      <c r="H3409" s="28" t="s">
        <v>71</v>
      </c>
      <c r="I3409" s="28" t="s">
        <v>72</v>
      </c>
      <c r="J3409" s="28" t="s">
        <v>10913</v>
      </c>
      <c r="K3409" s="28" t="s">
        <v>21</v>
      </c>
      <c r="L3409" s="28" t="s">
        <v>4579</v>
      </c>
      <c r="M3409" s="28" t="s">
        <v>21</v>
      </c>
      <c r="N3409" s="29">
        <v>38541</v>
      </c>
      <c r="O3409" s="92">
        <v>38530</v>
      </c>
      <c r="P3409" s="28" t="s">
        <v>21</v>
      </c>
      <c r="Q3409" s="26" t="b">
        <v>0</v>
      </c>
      <c r="R3409" s="22">
        <f t="shared" si="55"/>
        <v>12</v>
      </c>
    </row>
    <row r="3410" spans="1:18">
      <c r="A3410" s="26">
        <v>8121</v>
      </c>
      <c r="B3410" s="27">
        <v>38518</v>
      </c>
      <c r="C3410" s="28" t="s">
        <v>10914</v>
      </c>
      <c r="D3410" s="27">
        <v>38517</v>
      </c>
      <c r="E3410" s="28" t="s">
        <v>4172</v>
      </c>
      <c r="F3410" s="28" t="s">
        <v>7054</v>
      </c>
      <c r="G3410" s="28" t="s">
        <v>20</v>
      </c>
      <c r="H3410" s="28" t="s">
        <v>212</v>
      </c>
      <c r="I3410" s="28" t="s">
        <v>212</v>
      </c>
      <c r="J3410" s="28" t="s">
        <v>10915</v>
      </c>
      <c r="K3410" s="28" t="s">
        <v>7150</v>
      </c>
      <c r="L3410" s="28" t="s">
        <v>4282</v>
      </c>
      <c r="M3410" s="28" t="s">
        <v>21</v>
      </c>
      <c r="N3410" s="29">
        <v>38609</v>
      </c>
      <c r="O3410" s="92">
        <v>38685</v>
      </c>
      <c r="P3410" s="28" t="s">
        <v>21</v>
      </c>
      <c r="Q3410" s="26" t="b">
        <v>0</v>
      </c>
      <c r="R3410" s="22">
        <f t="shared" si="55"/>
        <v>166</v>
      </c>
    </row>
    <row r="3411" spans="1:18">
      <c r="A3411" s="26">
        <v>8122</v>
      </c>
      <c r="B3411" s="27">
        <v>38519</v>
      </c>
      <c r="C3411" s="28" t="s">
        <v>10916</v>
      </c>
      <c r="D3411" s="27">
        <v>38509</v>
      </c>
      <c r="E3411" s="28" t="s">
        <v>38</v>
      </c>
      <c r="F3411" s="28" t="s">
        <v>974</v>
      </c>
      <c r="G3411" s="28" t="s">
        <v>20</v>
      </c>
      <c r="H3411" s="28" t="s">
        <v>212</v>
      </c>
      <c r="I3411" s="28" t="s">
        <v>212</v>
      </c>
      <c r="J3411" s="28" t="s">
        <v>23</v>
      </c>
      <c r="K3411" s="28" t="s">
        <v>10917</v>
      </c>
      <c r="L3411" s="28" t="s">
        <v>1946</v>
      </c>
      <c r="M3411" s="28" t="s">
        <v>21</v>
      </c>
      <c r="N3411" s="18"/>
      <c r="O3411" s="92">
        <v>41060</v>
      </c>
      <c r="P3411" s="28" t="s">
        <v>21</v>
      </c>
      <c r="Q3411" s="26" t="b">
        <v>0</v>
      </c>
      <c r="R3411" s="22">
        <f t="shared" si="55"/>
        <v>2539</v>
      </c>
    </row>
    <row r="3412" spans="1:18">
      <c r="A3412" s="26">
        <v>8123</v>
      </c>
      <c r="B3412" s="27">
        <v>38519</v>
      </c>
      <c r="C3412" s="28" t="s">
        <v>10914</v>
      </c>
      <c r="D3412" s="27">
        <v>38517</v>
      </c>
      <c r="E3412" s="28" t="s">
        <v>10918</v>
      </c>
      <c r="F3412" s="28" t="s">
        <v>124</v>
      </c>
      <c r="G3412" s="28" t="s">
        <v>20</v>
      </c>
      <c r="H3412" s="28" t="s">
        <v>189</v>
      </c>
      <c r="I3412" s="28" t="s">
        <v>189</v>
      </c>
      <c r="J3412" s="28" t="s">
        <v>3883</v>
      </c>
      <c r="K3412" s="28" t="s">
        <v>10919</v>
      </c>
      <c r="L3412" s="28" t="s">
        <v>4579</v>
      </c>
      <c r="M3412" s="28" t="s">
        <v>21</v>
      </c>
      <c r="N3412" s="27">
        <v>38609</v>
      </c>
      <c r="O3412" s="92">
        <v>38552</v>
      </c>
      <c r="P3412" s="28" t="s">
        <v>182</v>
      </c>
      <c r="Q3412" s="26" t="b">
        <v>0</v>
      </c>
      <c r="R3412" s="22">
        <f t="shared" si="55"/>
        <v>33</v>
      </c>
    </row>
    <row r="3413" spans="1:18">
      <c r="A3413" s="26">
        <v>8124</v>
      </c>
      <c r="B3413" s="27">
        <v>38519</v>
      </c>
      <c r="C3413" s="28" t="s">
        <v>10920</v>
      </c>
      <c r="D3413" s="27">
        <v>38517</v>
      </c>
      <c r="E3413" s="28" t="s">
        <v>1432</v>
      </c>
      <c r="F3413" s="28" t="s">
        <v>974</v>
      </c>
      <c r="G3413" s="28" t="s">
        <v>20</v>
      </c>
      <c r="H3413" s="28" t="s">
        <v>212</v>
      </c>
      <c r="I3413" s="28" t="s">
        <v>212</v>
      </c>
      <c r="J3413" s="28" t="s">
        <v>10921</v>
      </c>
      <c r="K3413" s="28" t="s">
        <v>21</v>
      </c>
      <c r="L3413" s="28" t="s">
        <v>10922</v>
      </c>
      <c r="M3413" s="28" t="s">
        <v>21</v>
      </c>
      <c r="N3413" s="18"/>
      <c r="O3413" s="92">
        <v>38898</v>
      </c>
      <c r="P3413" s="28" t="s">
        <v>31</v>
      </c>
      <c r="Q3413" s="26" t="b">
        <v>0</v>
      </c>
      <c r="R3413" s="22">
        <f t="shared" si="55"/>
        <v>379</v>
      </c>
    </row>
    <row r="3414" spans="1:18" ht="24">
      <c r="A3414" s="26">
        <v>8125</v>
      </c>
      <c r="B3414" s="27">
        <v>38519</v>
      </c>
      <c r="C3414" s="28" t="s">
        <v>10923</v>
      </c>
      <c r="D3414" s="27">
        <v>38258</v>
      </c>
      <c r="E3414" s="28" t="s">
        <v>1432</v>
      </c>
      <c r="F3414" s="28" t="s">
        <v>10924</v>
      </c>
      <c r="G3414" s="28" t="s">
        <v>20</v>
      </c>
      <c r="H3414" s="28" t="s">
        <v>71</v>
      </c>
      <c r="I3414" s="28" t="s">
        <v>72</v>
      </c>
      <c r="J3414" s="28" t="s">
        <v>10925</v>
      </c>
      <c r="K3414" s="28" t="s">
        <v>21</v>
      </c>
      <c r="L3414" s="28" t="s">
        <v>10871</v>
      </c>
      <c r="M3414" s="28" t="s">
        <v>10816</v>
      </c>
      <c r="N3414" s="18"/>
      <c r="O3414" s="92">
        <v>38897</v>
      </c>
      <c r="P3414" s="28" t="s">
        <v>31</v>
      </c>
      <c r="Q3414" s="26" t="b">
        <v>0</v>
      </c>
      <c r="R3414" s="22">
        <f t="shared" si="55"/>
        <v>378</v>
      </c>
    </row>
    <row r="3415" spans="1:18">
      <c r="A3415" s="26">
        <v>8126</v>
      </c>
      <c r="B3415" s="27">
        <v>38523</v>
      </c>
      <c r="C3415" s="28" t="s">
        <v>10926</v>
      </c>
      <c r="D3415" s="18"/>
      <c r="E3415" s="28" t="s">
        <v>10927</v>
      </c>
      <c r="F3415" s="28" t="s">
        <v>10928</v>
      </c>
      <c r="G3415" s="28" t="s">
        <v>20</v>
      </c>
      <c r="H3415" s="28" t="s">
        <v>21</v>
      </c>
      <c r="I3415" s="28" t="s">
        <v>21</v>
      </c>
      <c r="J3415" s="28" t="s">
        <v>10929</v>
      </c>
      <c r="K3415" s="28" t="s">
        <v>10930</v>
      </c>
      <c r="L3415" s="28" t="s">
        <v>4579</v>
      </c>
      <c r="M3415" s="28" t="s">
        <v>21</v>
      </c>
      <c r="N3415" s="27">
        <v>38615</v>
      </c>
      <c r="O3415" s="92">
        <v>38590</v>
      </c>
      <c r="P3415" s="28" t="s">
        <v>31</v>
      </c>
      <c r="Q3415" s="26" t="b">
        <v>0</v>
      </c>
      <c r="R3415" s="22">
        <f t="shared" si="55"/>
        <v>66</v>
      </c>
    </row>
    <row r="3416" spans="1:18">
      <c r="A3416" s="26">
        <v>8127</v>
      </c>
      <c r="B3416" s="27">
        <v>38523</v>
      </c>
      <c r="C3416" s="28" t="s">
        <v>10931</v>
      </c>
      <c r="D3416" s="18"/>
      <c r="E3416" s="28" t="s">
        <v>10932</v>
      </c>
      <c r="F3416" s="28" t="s">
        <v>10928</v>
      </c>
      <c r="G3416" s="28" t="s">
        <v>20</v>
      </c>
      <c r="H3416" s="28" t="s">
        <v>21</v>
      </c>
      <c r="I3416" s="28" t="s">
        <v>21</v>
      </c>
      <c r="J3416" s="28" t="s">
        <v>10929</v>
      </c>
      <c r="K3416" s="28" t="s">
        <v>10933</v>
      </c>
      <c r="L3416" s="28" t="s">
        <v>4579</v>
      </c>
      <c r="M3416" s="28" t="s">
        <v>21</v>
      </c>
      <c r="N3416" s="27">
        <v>38553</v>
      </c>
      <c r="O3416" s="92">
        <v>38538</v>
      </c>
      <c r="P3416" s="28" t="s">
        <v>21</v>
      </c>
      <c r="Q3416" s="26" t="b">
        <v>0</v>
      </c>
      <c r="R3416" s="22">
        <f t="shared" si="55"/>
        <v>15</v>
      </c>
    </row>
    <row r="3417" spans="1:18" ht="24">
      <c r="A3417" s="26">
        <v>8128</v>
      </c>
      <c r="B3417" s="27">
        <v>38523</v>
      </c>
      <c r="C3417" s="28" t="s">
        <v>10934</v>
      </c>
      <c r="D3417" s="27">
        <v>38520</v>
      </c>
      <c r="E3417" s="28" t="s">
        <v>1432</v>
      </c>
      <c r="F3417" s="28" t="s">
        <v>974</v>
      </c>
      <c r="G3417" s="28" t="s">
        <v>20</v>
      </c>
      <c r="H3417" s="28" t="s">
        <v>212</v>
      </c>
      <c r="I3417" s="28" t="s">
        <v>212</v>
      </c>
      <c r="J3417" s="28" t="s">
        <v>10935</v>
      </c>
      <c r="K3417" s="28" t="s">
        <v>10936</v>
      </c>
      <c r="L3417" s="28" t="s">
        <v>4579</v>
      </c>
      <c r="M3417" s="28" t="s">
        <v>10937</v>
      </c>
      <c r="N3417" s="18"/>
      <c r="O3417" s="92">
        <v>40141</v>
      </c>
      <c r="P3417" s="28" t="s">
        <v>21</v>
      </c>
      <c r="Q3417" s="26" t="b">
        <v>0</v>
      </c>
      <c r="R3417" s="22">
        <f t="shared" ref="R3417:R3480" si="56">IF(O3417=" ", " ", INT(YEARFRAC(O3417, B3417)*365))</f>
        <v>1616</v>
      </c>
    </row>
    <row r="3418" spans="1:18">
      <c r="A3418" s="26">
        <v>8129</v>
      </c>
      <c r="B3418" s="27">
        <v>38525</v>
      </c>
      <c r="C3418" s="28" t="s">
        <v>10938</v>
      </c>
      <c r="D3418" s="27">
        <v>38525</v>
      </c>
      <c r="E3418" s="28" t="s">
        <v>3268</v>
      </c>
      <c r="F3418" s="28" t="s">
        <v>3503</v>
      </c>
      <c r="G3418" s="28" t="s">
        <v>20</v>
      </c>
      <c r="H3418" s="28" t="s">
        <v>21</v>
      </c>
      <c r="I3418" s="28" t="s">
        <v>21</v>
      </c>
      <c r="J3418" s="28" t="s">
        <v>10939</v>
      </c>
      <c r="K3418" s="28" t="s">
        <v>10940</v>
      </c>
      <c r="L3418" s="28" t="s">
        <v>8318</v>
      </c>
      <c r="M3418" s="28" t="s">
        <v>21</v>
      </c>
      <c r="N3418" s="18"/>
      <c r="O3418" s="92">
        <v>38558</v>
      </c>
      <c r="P3418" s="28" t="s">
        <v>21</v>
      </c>
      <c r="Q3418" s="26" t="b">
        <v>0</v>
      </c>
      <c r="R3418" s="22">
        <f t="shared" si="56"/>
        <v>33</v>
      </c>
    </row>
    <row r="3419" spans="1:18">
      <c r="A3419" s="26">
        <v>8130</v>
      </c>
      <c r="B3419" s="27">
        <v>38526</v>
      </c>
      <c r="C3419" s="28" t="s">
        <v>10941</v>
      </c>
      <c r="D3419" s="27">
        <v>38526</v>
      </c>
      <c r="E3419" s="28" t="s">
        <v>10942</v>
      </c>
      <c r="F3419" s="28" t="s">
        <v>10912</v>
      </c>
      <c r="G3419" s="28" t="s">
        <v>20</v>
      </c>
      <c r="H3419" s="28" t="s">
        <v>71</v>
      </c>
      <c r="I3419" s="28" t="s">
        <v>72</v>
      </c>
      <c r="J3419" s="28" t="s">
        <v>10943</v>
      </c>
      <c r="K3419" s="28" t="s">
        <v>10944</v>
      </c>
      <c r="L3419" s="28" t="s">
        <v>2205</v>
      </c>
      <c r="M3419" s="28" t="s">
        <v>21</v>
      </c>
      <c r="N3419" s="18"/>
      <c r="O3419" s="92">
        <v>38526</v>
      </c>
      <c r="P3419" s="28" t="s">
        <v>21</v>
      </c>
      <c r="Q3419" s="26" t="b">
        <v>0</v>
      </c>
      <c r="R3419" s="22">
        <f t="shared" si="56"/>
        <v>0</v>
      </c>
    </row>
    <row r="3420" spans="1:18">
      <c r="A3420" s="26">
        <v>8131</v>
      </c>
      <c r="B3420" s="27">
        <v>38526</v>
      </c>
      <c r="C3420" s="28" t="s">
        <v>10945</v>
      </c>
      <c r="D3420" s="27">
        <v>38526</v>
      </c>
      <c r="E3420" s="28" t="s">
        <v>10942</v>
      </c>
      <c r="F3420" s="28" t="s">
        <v>8615</v>
      </c>
      <c r="G3420" s="28" t="s">
        <v>20</v>
      </c>
      <c r="H3420" s="28" t="s">
        <v>71</v>
      </c>
      <c r="I3420" s="28" t="s">
        <v>72</v>
      </c>
      <c r="J3420" s="28" t="s">
        <v>10946</v>
      </c>
      <c r="K3420" s="28" t="s">
        <v>10947</v>
      </c>
      <c r="L3420" s="28" t="s">
        <v>4579</v>
      </c>
      <c r="M3420" s="28" t="s">
        <v>21</v>
      </c>
      <c r="N3420" s="18"/>
      <c r="O3420" s="92">
        <v>40297</v>
      </c>
      <c r="P3420" s="28" t="s">
        <v>31</v>
      </c>
      <c r="Q3420" s="26" t="b">
        <v>0</v>
      </c>
      <c r="R3420" s="22">
        <f t="shared" si="56"/>
        <v>1770</v>
      </c>
    </row>
    <row r="3421" spans="1:18">
      <c r="A3421" s="26">
        <v>8132</v>
      </c>
      <c r="B3421" s="27">
        <v>38527</v>
      </c>
      <c r="C3421" s="28" t="s">
        <v>10948</v>
      </c>
      <c r="D3421" s="27">
        <v>38525</v>
      </c>
      <c r="E3421" s="28" t="s">
        <v>10949</v>
      </c>
      <c r="F3421" s="28" t="s">
        <v>5690</v>
      </c>
      <c r="G3421" s="28" t="s">
        <v>20</v>
      </c>
      <c r="H3421" s="28" t="s">
        <v>71</v>
      </c>
      <c r="I3421" s="28" t="s">
        <v>72</v>
      </c>
      <c r="J3421" s="28" t="s">
        <v>10950</v>
      </c>
      <c r="K3421" s="28" t="s">
        <v>21</v>
      </c>
      <c r="L3421" s="28" t="s">
        <v>1946</v>
      </c>
      <c r="M3421" s="28" t="s">
        <v>21</v>
      </c>
      <c r="N3421" s="29">
        <v>38558</v>
      </c>
      <c r="O3421" s="92">
        <v>38559</v>
      </c>
      <c r="P3421" s="28" t="s">
        <v>31</v>
      </c>
      <c r="Q3421" s="26" t="b">
        <v>0</v>
      </c>
      <c r="R3421" s="22">
        <f t="shared" si="56"/>
        <v>32</v>
      </c>
    </row>
    <row r="3422" spans="1:18">
      <c r="A3422" s="26">
        <v>8133</v>
      </c>
      <c r="B3422" s="27">
        <v>38527</v>
      </c>
      <c r="C3422" s="28" t="s">
        <v>10951</v>
      </c>
      <c r="D3422" s="27">
        <v>38527</v>
      </c>
      <c r="E3422" s="28" t="s">
        <v>10952</v>
      </c>
      <c r="F3422" s="28" t="s">
        <v>7054</v>
      </c>
      <c r="G3422" s="28" t="s">
        <v>20</v>
      </c>
      <c r="H3422" s="28" t="s">
        <v>212</v>
      </c>
      <c r="I3422" s="28" t="s">
        <v>212</v>
      </c>
      <c r="J3422" s="28" t="s">
        <v>10953</v>
      </c>
      <c r="K3422" s="28" t="s">
        <v>21</v>
      </c>
      <c r="L3422" s="28" t="s">
        <v>1946</v>
      </c>
      <c r="M3422" s="28" t="s">
        <v>21</v>
      </c>
      <c r="N3422" s="27">
        <v>38558</v>
      </c>
      <c r="O3422" s="92">
        <v>38590</v>
      </c>
      <c r="P3422" s="28" t="s">
        <v>31</v>
      </c>
      <c r="Q3422" s="26" t="b">
        <v>0</v>
      </c>
      <c r="R3422" s="22">
        <f t="shared" si="56"/>
        <v>62</v>
      </c>
    </row>
    <row r="3423" spans="1:18" ht="24">
      <c r="A3423" s="26">
        <v>8134</v>
      </c>
      <c r="B3423" s="27">
        <v>38531</v>
      </c>
      <c r="C3423" s="28" t="s">
        <v>10954</v>
      </c>
      <c r="D3423" s="27">
        <v>38530</v>
      </c>
      <c r="E3423" s="28" t="s">
        <v>10955</v>
      </c>
      <c r="F3423" s="28" t="s">
        <v>974</v>
      </c>
      <c r="G3423" s="28" t="s">
        <v>20</v>
      </c>
      <c r="H3423" s="28" t="s">
        <v>212</v>
      </c>
      <c r="I3423" s="28" t="s">
        <v>212</v>
      </c>
      <c r="J3423" s="28" t="s">
        <v>10956</v>
      </c>
      <c r="K3423" s="28" t="s">
        <v>10957</v>
      </c>
      <c r="L3423" s="28" t="s">
        <v>10871</v>
      </c>
      <c r="M3423" s="28" t="s">
        <v>2205</v>
      </c>
      <c r="N3423" s="29">
        <v>38561</v>
      </c>
      <c r="O3423" s="92">
        <v>38898</v>
      </c>
      <c r="P3423" s="28" t="s">
        <v>31</v>
      </c>
      <c r="Q3423" s="26" t="b">
        <v>0</v>
      </c>
      <c r="R3423" s="22">
        <f t="shared" si="56"/>
        <v>367</v>
      </c>
    </row>
    <row r="3424" spans="1:18" ht="36">
      <c r="A3424" s="26">
        <v>8135</v>
      </c>
      <c r="B3424" s="27">
        <v>38532</v>
      </c>
      <c r="C3424" s="28" t="s">
        <v>10958</v>
      </c>
      <c r="D3424" s="27">
        <v>38531</v>
      </c>
      <c r="E3424" s="28" t="s">
        <v>10959</v>
      </c>
      <c r="F3424" s="28" t="s">
        <v>10960</v>
      </c>
      <c r="G3424" s="28" t="s">
        <v>20</v>
      </c>
      <c r="H3424" s="28" t="s">
        <v>71</v>
      </c>
      <c r="I3424" s="28" t="s">
        <v>72</v>
      </c>
      <c r="J3424" s="28" t="s">
        <v>10961</v>
      </c>
      <c r="K3424" s="28" t="s">
        <v>1683</v>
      </c>
      <c r="L3424" s="28" t="s">
        <v>4579</v>
      </c>
      <c r="M3424" s="28" t="s">
        <v>21</v>
      </c>
      <c r="N3424" s="27">
        <v>38561</v>
      </c>
      <c r="O3424" s="92">
        <v>38544</v>
      </c>
      <c r="P3424" s="28" t="s">
        <v>21</v>
      </c>
      <c r="Q3424" s="26" t="b">
        <v>0</v>
      </c>
      <c r="R3424" s="22">
        <f t="shared" si="56"/>
        <v>12</v>
      </c>
    </row>
    <row r="3425" spans="1:18">
      <c r="A3425" s="26">
        <v>8136</v>
      </c>
      <c r="B3425" s="27">
        <v>38532</v>
      </c>
      <c r="C3425" s="28" t="s">
        <v>10962</v>
      </c>
      <c r="D3425" s="27">
        <v>38524</v>
      </c>
      <c r="E3425" s="28" t="s">
        <v>10963</v>
      </c>
      <c r="F3425" s="28" t="s">
        <v>3430</v>
      </c>
      <c r="G3425" s="28" t="s">
        <v>20</v>
      </c>
      <c r="H3425" s="28" t="s">
        <v>71</v>
      </c>
      <c r="I3425" s="28" t="s">
        <v>72</v>
      </c>
      <c r="J3425" s="28" t="s">
        <v>10964</v>
      </c>
      <c r="K3425" s="28" t="s">
        <v>21</v>
      </c>
      <c r="L3425" s="28" t="s">
        <v>1946</v>
      </c>
      <c r="M3425" s="28" t="s">
        <v>21</v>
      </c>
      <c r="N3425" s="29">
        <v>38623</v>
      </c>
      <c r="O3425" s="92">
        <v>38558</v>
      </c>
      <c r="P3425" s="28" t="s">
        <v>21</v>
      </c>
      <c r="Q3425" s="26" t="b">
        <v>0</v>
      </c>
      <c r="R3425" s="22">
        <f t="shared" si="56"/>
        <v>26</v>
      </c>
    </row>
    <row r="3426" spans="1:18" ht="24">
      <c r="A3426" s="26">
        <v>8137</v>
      </c>
      <c r="B3426" s="27">
        <v>38533</v>
      </c>
      <c r="C3426" s="28" t="s">
        <v>10965</v>
      </c>
      <c r="D3426" s="27">
        <v>38532</v>
      </c>
      <c r="E3426" s="28" t="s">
        <v>10966</v>
      </c>
      <c r="F3426" s="28" t="s">
        <v>10967</v>
      </c>
      <c r="G3426" s="28" t="s">
        <v>20</v>
      </c>
      <c r="H3426" s="28" t="s">
        <v>71</v>
      </c>
      <c r="I3426" s="28" t="s">
        <v>72</v>
      </c>
      <c r="J3426" s="28" t="s">
        <v>10968</v>
      </c>
      <c r="K3426" s="28" t="s">
        <v>10969</v>
      </c>
      <c r="L3426" s="28" t="s">
        <v>2205</v>
      </c>
      <c r="M3426" s="28" t="s">
        <v>21</v>
      </c>
      <c r="N3426" s="27">
        <v>38624</v>
      </c>
      <c r="O3426" s="92">
        <v>38533</v>
      </c>
      <c r="P3426" s="28" t="s">
        <v>21</v>
      </c>
      <c r="Q3426" s="26" t="b">
        <v>0</v>
      </c>
      <c r="R3426" s="22">
        <f t="shared" si="56"/>
        <v>0</v>
      </c>
    </row>
    <row r="3427" spans="1:18" ht="24">
      <c r="A3427" s="26">
        <v>8138</v>
      </c>
      <c r="B3427" s="27">
        <v>38533</v>
      </c>
      <c r="C3427" s="28" t="s">
        <v>10970</v>
      </c>
      <c r="D3427" s="27">
        <v>38530</v>
      </c>
      <c r="E3427" s="28" t="s">
        <v>10971</v>
      </c>
      <c r="F3427" s="28" t="s">
        <v>984</v>
      </c>
      <c r="G3427" s="28" t="s">
        <v>20</v>
      </c>
      <c r="H3427" s="28" t="s">
        <v>71</v>
      </c>
      <c r="I3427" s="28" t="s">
        <v>72</v>
      </c>
      <c r="J3427" s="28" t="s">
        <v>7025</v>
      </c>
      <c r="K3427" s="28" t="s">
        <v>10972</v>
      </c>
      <c r="L3427" s="28" t="s">
        <v>3588</v>
      </c>
      <c r="M3427" s="28" t="s">
        <v>10973</v>
      </c>
      <c r="N3427" s="27">
        <v>38625</v>
      </c>
      <c r="O3427" s="92">
        <v>39611</v>
      </c>
      <c r="P3427" s="28" t="s">
        <v>21</v>
      </c>
      <c r="Q3427" s="26" t="b">
        <v>0</v>
      </c>
      <c r="R3427" s="22">
        <f t="shared" si="56"/>
        <v>1076</v>
      </c>
    </row>
    <row r="3428" spans="1:18">
      <c r="A3428" s="26">
        <v>8139</v>
      </c>
      <c r="B3428" s="27">
        <v>38538</v>
      </c>
      <c r="C3428" s="28" t="s">
        <v>10974</v>
      </c>
      <c r="D3428" s="27">
        <v>38532</v>
      </c>
      <c r="E3428" s="28" t="s">
        <v>10975</v>
      </c>
      <c r="F3428" s="28" t="s">
        <v>10976</v>
      </c>
      <c r="G3428" s="28" t="s">
        <v>20</v>
      </c>
      <c r="H3428" s="28" t="s">
        <v>71</v>
      </c>
      <c r="I3428" s="28" t="s">
        <v>72</v>
      </c>
      <c r="J3428" s="28" t="s">
        <v>10977</v>
      </c>
      <c r="K3428" s="28" t="s">
        <v>6242</v>
      </c>
      <c r="L3428" s="28" t="s">
        <v>4282</v>
      </c>
      <c r="M3428" s="28" t="s">
        <v>21</v>
      </c>
      <c r="N3428" s="27">
        <v>38630</v>
      </c>
      <c r="O3428" s="92">
        <v>38586</v>
      </c>
      <c r="P3428" s="28" t="s">
        <v>21</v>
      </c>
      <c r="Q3428" s="26" t="b">
        <v>0</v>
      </c>
      <c r="R3428" s="22">
        <f t="shared" si="56"/>
        <v>47</v>
      </c>
    </row>
    <row r="3429" spans="1:18">
      <c r="A3429" s="26">
        <v>8140</v>
      </c>
      <c r="B3429" s="27">
        <v>38538</v>
      </c>
      <c r="C3429" s="28" t="s">
        <v>10978</v>
      </c>
      <c r="D3429" s="27">
        <v>38538</v>
      </c>
      <c r="E3429" s="28" t="s">
        <v>10979</v>
      </c>
      <c r="F3429" s="28" t="s">
        <v>149</v>
      </c>
      <c r="G3429" s="28" t="s">
        <v>20</v>
      </c>
      <c r="H3429" s="28" t="s">
        <v>71</v>
      </c>
      <c r="I3429" s="28" t="s">
        <v>72</v>
      </c>
      <c r="J3429" s="28" t="s">
        <v>10980</v>
      </c>
      <c r="K3429" s="28" t="s">
        <v>10981</v>
      </c>
      <c r="L3429" s="28" t="s">
        <v>4579</v>
      </c>
      <c r="M3429" s="28" t="s">
        <v>21</v>
      </c>
      <c r="N3429" s="27">
        <v>38569</v>
      </c>
      <c r="O3429" s="92">
        <v>38544</v>
      </c>
      <c r="P3429" s="28" t="s">
        <v>21</v>
      </c>
      <c r="Q3429" s="26" t="b">
        <v>0</v>
      </c>
      <c r="R3429" s="22">
        <f t="shared" si="56"/>
        <v>6</v>
      </c>
    </row>
    <row r="3430" spans="1:18">
      <c r="A3430" s="26">
        <v>8141</v>
      </c>
      <c r="B3430" s="27">
        <v>38538</v>
      </c>
      <c r="C3430" s="28" t="s">
        <v>10982</v>
      </c>
      <c r="D3430" s="27">
        <v>38532</v>
      </c>
      <c r="E3430" s="28" t="s">
        <v>38</v>
      </c>
      <c r="F3430" s="28" t="s">
        <v>7574</v>
      </c>
      <c r="G3430" s="28" t="s">
        <v>20</v>
      </c>
      <c r="H3430" s="28" t="s">
        <v>71</v>
      </c>
      <c r="I3430" s="28" t="s">
        <v>72</v>
      </c>
      <c r="J3430" s="28" t="s">
        <v>9703</v>
      </c>
      <c r="K3430" s="28" t="s">
        <v>10983</v>
      </c>
      <c r="L3430" s="28" t="s">
        <v>8318</v>
      </c>
      <c r="M3430" s="28" t="s">
        <v>21</v>
      </c>
      <c r="N3430" s="27">
        <v>38624</v>
      </c>
      <c r="O3430" s="92">
        <v>38538</v>
      </c>
      <c r="P3430" s="28" t="s">
        <v>31</v>
      </c>
      <c r="Q3430" s="26" t="b">
        <v>0</v>
      </c>
      <c r="R3430" s="22">
        <f t="shared" si="56"/>
        <v>0</v>
      </c>
    </row>
    <row r="3431" spans="1:18">
      <c r="A3431" s="26">
        <v>8142</v>
      </c>
      <c r="B3431" s="27">
        <v>38544</v>
      </c>
      <c r="C3431" s="28" t="s">
        <v>10984</v>
      </c>
      <c r="D3431" s="27">
        <v>38534</v>
      </c>
      <c r="E3431" s="28" t="s">
        <v>10985</v>
      </c>
      <c r="F3431" s="28" t="s">
        <v>85</v>
      </c>
      <c r="G3431" s="28" t="s">
        <v>20</v>
      </c>
      <c r="H3431" s="28" t="s">
        <v>71</v>
      </c>
      <c r="I3431" s="28" t="s">
        <v>72</v>
      </c>
      <c r="J3431" s="28" t="s">
        <v>10986</v>
      </c>
      <c r="K3431" s="28" t="s">
        <v>21</v>
      </c>
      <c r="L3431" s="28" t="s">
        <v>8318</v>
      </c>
      <c r="M3431" s="28" t="s">
        <v>21</v>
      </c>
      <c r="N3431" s="18"/>
      <c r="O3431" s="92">
        <v>38540</v>
      </c>
      <c r="P3431" s="28" t="s">
        <v>31</v>
      </c>
      <c r="Q3431" s="26" t="b">
        <v>0</v>
      </c>
      <c r="R3431" s="22">
        <f t="shared" si="56"/>
        <v>4</v>
      </c>
    </row>
    <row r="3432" spans="1:18" ht="24">
      <c r="A3432" s="26">
        <v>8143</v>
      </c>
      <c r="B3432" s="27">
        <v>38545</v>
      </c>
      <c r="C3432" s="28" t="s">
        <v>10987</v>
      </c>
      <c r="D3432" s="27">
        <v>38541</v>
      </c>
      <c r="E3432" s="28" t="s">
        <v>10988</v>
      </c>
      <c r="F3432" s="28" t="s">
        <v>124</v>
      </c>
      <c r="G3432" s="28" t="s">
        <v>20</v>
      </c>
      <c r="H3432" s="28" t="s">
        <v>71</v>
      </c>
      <c r="I3432" s="28" t="s">
        <v>72</v>
      </c>
      <c r="J3432" s="28" t="s">
        <v>7245</v>
      </c>
      <c r="K3432" s="28" t="s">
        <v>10989</v>
      </c>
      <c r="L3432" s="28" t="s">
        <v>4579</v>
      </c>
      <c r="M3432" s="28" t="s">
        <v>2205</v>
      </c>
      <c r="N3432" s="27">
        <v>38635</v>
      </c>
      <c r="O3432" s="92">
        <v>40555</v>
      </c>
      <c r="P3432" s="28" t="s">
        <v>31</v>
      </c>
      <c r="Q3432" s="26" t="b">
        <v>0</v>
      </c>
      <c r="R3432" s="22">
        <f t="shared" si="56"/>
        <v>2007</v>
      </c>
    </row>
    <row r="3433" spans="1:18">
      <c r="A3433" s="26">
        <v>8144</v>
      </c>
      <c r="B3433" s="27">
        <v>38546</v>
      </c>
      <c r="C3433" s="28" t="s">
        <v>10990</v>
      </c>
      <c r="D3433" s="27">
        <v>38545</v>
      </c>
      <c r="E3433" s="28" t="s">
        <v>1928</v>
      </c>
      <c r="F3433" s="28" t="s">
        <v>8637</v>
      </c>
      <c r="G3433" s="28" t="s">
        <v>20</v>
      </c>
      <c r="H3433" s="28" t="s">
        <v>71</v>
      </c>
      <c r="I3433" s="28" t="s">
        <v>72</v>
      </c>
      <c r="J3433" s="28" t="s">
        <v>10991</v>
      </c>
      <c r="K3433" s="28" t="s">
        <v>10992</v>
      </c>
      <c r="L3433" s="28" t="s">
        <v>8744</v>
      </c>
      <c r="M3433" s="28" t="s">
        <v>21</v>
      </c>
      <c r="O3433" s="92">
        <v>38545</v>
      </c>
      <c r="P3433" s="28" t="s">
        <v>21</v>
      </c>
      <c r="Q3433" s="26" t="b">
        <v>0</v>
      </c>
      <c r="R3433" s="22">
        <f t="shared" si="56"/>
        <v>1</v>
      </c>
    </row>
    <row r="3434" spans="1:18">
      <c r="A3434" s="26">
        <v>8145</v>
      </c>
      <c r="B3434" s="27">
        <v>38546</v>
      </c>
      <c r="C3434" s="28" t="s">
        <v>10993</v>
      </c>
      <c r="D3434" s="27">
        <v>38539</v>
      </c>
      <c r="E3434" s="28" t="s">
        <v>10994</v>
      </c>
      <c r="F3434" s="28" t="s">
        <v>39</v>
      </c>
      <c r="G3434" s="28" t="s">
        <v>20</v>
      </c>
      <c r="H3434" s="28" t="s">
        <v>71</v>
      </c>
      <c r="I3434" s="28" t="s">
        <v>72</v>
      </c>
      <c r="J3434" s="28" t="s">
        <v>10995</v>
      </c>
      <c r="K3434" s="28" t="s">
        <v>10996</v>
      </c>
      <c r="L3434" s="28" t="s">
        <v>4282</v>
      </c>
      <c r="M3434" s="28" t="s">
        <v>21</v>
      </c>
      <c r="N3434" s="29">
        <v>38638</v>
      </c>
      <c r="O3434" s="92">
        <v>38861</v>
      </c>
      <c r="P3434" s="28" t="s">
        <v>31</v>
      </c>
      <c r="Q3434" s="26" t="b">
        <v>0</v>
      </c>
      <c r="R3434" s="22">
        <f t="shared" si="56"/>
        <v>315</v>
      </c>
    </row>
    <row r="3435" spans="1:18" ht="24">
      <c r="A3435" s="26">
        <v>8146</v>
      </c>
      <c r="B3435" s="27">
        <v>38547</v>
      </c>
      <c r="C3435" s="28" t="s">
        <v>10997</v>
      </c>
      <c r="D3435" s="27">
        <v>38547</v>
      </c>
      <c r="E3435" s="28" t="s">
        <v>10998</v>
      </c>
      <c r="F3435" s="28" t="s">
        <v>10999</v>
      </c>
      <c r="G3435" s="28" t="s">
        <v>20</v>
      </c>
      <c r="H3435" s="28" t="s">
        <v>71</v>
      </c>
      <c r="I3435" s="28" t="s">
        <v>72</v>
      </c>
      <c r="J3435" s="28" t="s">
        <v>11000</v>
      </c>
      <c r="K3435" s="28" t="s">
        <v>11001</v>
      </c>
      <c r="L3435" s="28" t="s">
        <v>4282</v>
      </c>
      <c r="M3435" s="28" t="s">
        <v>21</v>
      </c>
      <c r="O3435" s="92">
        <v>38593</v>
      </c>
      <c r="P3435" s="28" t="s">
        <v>21</v>
      </c>
      <c r="Q3435" s="26" t="b">
        <v>0</v>
      </c>
      <c r="R3435" s="22">
        <f t="shared" si="56"/>
        <v>45</v>
      </c>
    </row>
    <row r="3436" spans="1:18">
      <c r="A3436" s="26">
        <v>8148</v>
      </c>
      <c r="B3436" s="27">
        <v>38552</v>
      </c>
      <c r="C3436" s="28" t="s">
        <v>11002</v>
      </c>
      <c r="D3436" s="27">
        <v>38544</v>
      </c>
      <c r="E3436" s="28" t="s">
        <v>11003</v>
      </c>
      <c r="F3436" s="28" t="s">
        <v>5690</v>
      </c>
      <c r="G3436" s="28" t="s">
        <v>20</v>
      </c>
      <c r="H3436" s="28" t="s">
        <v>71</v>
      </c>
      <c r="I3436" s="28" t="s">
        <v>72</v>
      </c>
      <c r="J3436" s="28" t="s">
        <v>11004</v>
      </c>
      <c r="K3436" s="28" t="s">
        <v>11005</v>
      </c>
      <c r="L3436" s="28" t="s">
        <v>8318</v>
      </c>
      <c r="M3436" s="28" t="s">
        <v>21</v>
      </c>
      <c r="N3436" s="27">
        <v>38636</v>
      </c>
      <c r="O3436" s="92">
        <v>38567</v>
      </c>
      <c r="P3436" s="28" t="s">
        <v>21</v>
      </c>
      <c r="Q3436" s="26" t="b">
        <v>0</v>
      </c>
      <c r="R3436" s="22">
        <f t="shared" si="56"/>
        <v>14</v>
      </c>
    </row>
    <row r="3437" spans="1:18">
      <c r="A3437" s="26">
        <v>8149</v>
      </c>
      <c r="B3437" s="27">
        <v>38552</v>
      </c>
      <c r="C3437" s="28" t="s">
        <v>11006</v>
      </c>
      <c r="D3437" s="27">
        <v>38546</v>
      </c>
      <c r="E3437" s="28" t="s">
        <v>11007</v>
      </c>
      <c r="F3437" s="28" t="s">
        <v>5690</v>
      </c>
      <c r="G3437" s="28" t="s">
        <v>20</v>
      </c>
      <c r="H3437" s="28" t="s">
        <v>71</v>
      </c>
      <c r="I3437" s="28" t="s">
        <v>72</v>
      </c>
      <c r="J3437" s="28" t="s">
        <v>11008</v>
      </c>
      <c r="K3437" s="28" t="s">
        <v>11009</v>
      </c>
      <c r="L3437" s="28" t="s">
        <v>2205</v>
      </c>
      <c r="M3437" s="28" t="s">
        <v>21</v>
      </c>
      <c r="N3437" s="29">
        <v>38642</v>
      </c>
      <c r="O3437" s="92">
        <v>38559</v>
      </c>
      <c r="P3437" s="28" t="s">
        <v>21</v>
      </c>
      <c r="Q3437" s="26" t="b">
        <v>0</v>
      </c>
      <c r="R3437" s="22">
        <f t="shared" si="56"/>
        <v>7</v>
      </c>
    </row>
    <row r="3438" spans="1:18">
      <c r="A3438" s="26">
        <v>8150</v>
      </c>
      <c r="B3438" s="27">
        <v>38552</v>
      </c>
      <c r="C3438" s="28" t="s">
        <v>11010</v>
      </c>
      <c r="D3438" s="27">
        <v>38551</v>
      </c>
      <c r="E3438" s="28" t="s">
        <v>11011</v>
      </c>
      <c r="F3438" s="28" t="s">
        <v>5690</v>
      </c>
      <c r="G3438" s="28" t="s">
        <v>20</v>
      </c>
      <c r="H3438" s="28" t="s">
        <v>71</v>
      </c>
      <c r="I3438" s="28" t="s">
        <v>72</v>
      </c>
      <c r="J3438" s="28" t="s">
        <v>11012</v>
      </c>
      <c r="K3438" s="28" t="s">
        <v>1629</v>
      </c>
      <c r="L3438" s="28" t="s">
        <v>8318</v>
      </c>
      <c r="M3438" s="28" t="s">
        <v>21</v>
      </c>
      <c r="N3438" s="27">
        <v>38643</v>
      </c>
      <c r="O3438" s="92">
        <v>38609</v>
      </c>
      <c r="P3438" s="28" t="s">
        <v>21</v>
      </c>
      <c r="Q3438" s="26" t="b">
        <v>0</v>
      </c>
      <c r="R3438" s="22">
        <f t="shared" si="56"/>
        <v>55</v>
      </c>
    </row>
    <row r="3439" spans="1:18" ht="36">
      <c r="A3439" s="26">
        <v>8151</v>
      </c>
      <c r="B3439" s="27">
        <v>38553</v>
      </c>
      <c r="C3439" s="28" t="s">
        <v>11013</v>
      </c>
      <c r="D3439" s="27">
        <v>38545</v>
      </c>
      <c r="E3439" s="28" t="s">
        <v>11014</v>
      </c>
      <c r="F3439" s="28" t="s">
        <v>3430</v>
      </c>
      <c r="G3439" s="28" t="s">
        <v>20</v>
      </c>
      <c r="H3439" s="28" t="s">
        <v>71</v>
      </c>
      <c r="I3439" s="28" t="s">
        <v>72</v>
      </c>
      <c r="J3439" s="28" t="s">
        <v>11015</v>
      </c>
      <c r="K3439" s="28" t="s">
        <v>11016</v>
      </c>
      <c r="L3439" s="28" t="s">
        <v>8318</v>
      </c>
      <c r="M3439" s="28" t="s">
        <v>21</v>
      </c>
      <c r="N3439" s="27">
        <v>38637</v>
      </c>
      <c r="O3439" s="92">
        <v>38572</v>
      </c>
      <c r="P3439" s="28" t="s">
        <v>21</v>
      </c>
      <c r="Q3439" s="26" t="b">
        <v>0</v>
      </c>
      <c r="R3439" s="22">
        <f t="shared" si="56"/>
        <v>18</v>
      </c>
    </row>
    <row r="3440" spans="1:18">
      <c r="A3440" s="26">
        <v>8154</v>
      </c>
      <c r="B3440" s="27">
        <v>38559</v>
      </c>
      <c r="C3440" s="28" t="s">
        <v>11017</v>
      </c>
      <c r="D3440" s="27">
        <v>38558</v>
      </c>
      <c r="E3440" s="28" t="s">
        <v>11018</v>
      </c>
      <c r="F3440" s="28" t="s">
        <v>283</v>
      </c>
      <c r="G3440" s="28" t="s">
        <v>20</v>
      </c>
      <c r="H3440" s="28" t="s">
        <v>71</v>
      </c>
      <c r="I3440" s="28" t="s">
        <v>72</v>
      </c>
      <c r="J3440" s="28" t="s">
        <v>11019</v>
      </c>
      <c r="K3440" s="28" t="s">
        <v>11020</v>
      </c>
      <c r="L3440" s="28" t="s">
        <v>1946</v>
      </c>
      <c r="M3440" s="28" t="s">
        <v>21</v>
      </c>
      <c r="N3440" s="29">
        <v>38651</v>
      </c>
      <c r="O3440" s="92">
        <v>38588</v>
      </c>
      <c r="P3440" s="28" t="s">
        <v>21</v>
      </c>
      <c r="Q3440" s="26" t="b">
        <v>0</v>
      </c>
      <c r="R3440" s="22">
        <f t="shared" si="56"/>
        <v>28</v>
      </c>
    </row>
    <row r="3441" spans="1:18">
      <c r="A3441" s="26">
        <v>8155</v>
      </c>
      <c r="B3441" s="27">
        <v>38559</v>
      </c>
      <c r="C3441" s="28" t="s">
        <v>11021</v>
      </c>
      <c r="D3441" s="27">
        <v>38551</v>
      </c>
      <c r="E3441" s="28" t="s">
        <v>11022</v>
      </c>
      <c r="F3441" s="28" t="s">
        <v>11023</v>
      </c>
      <c r="G3441" s="28" t="s">
        <v>20</v>
      </c>
      <c r="H3441" s="28" t="s">
        <v>71</v>
      </c>
      <c r="I3441" s="28" t="s">
        <v>72</v>
      </c>
      <c r="J3441" s="28" t="s">
        <v>11024</v>
      </c>
      <c r="K3441" s="28" t="s">
        <v>11025</v>
      </c>
      <c r="L3441" s="28" t="s">
        <v>4579</v>
      </c>
      <c r="M3441" s="28" t="s">
        <v>21</v>
      </c>
      <c r="N3441" s="29">
        <v>38586</v>
      </c>
      <c r="O3441" s="92">
        <v>38709</v>
      </c>
      <c r="P3441" s="28" t="s">
        <v>31</v>
      </c>
      <c r="Q3441" s="26" t="b">
        <v>0</v>
      </c>
      <c r="R3441" s="22">
        <f t="shared" si="56"/>
        <v>149</v>
      </c>
    </row>
    <row r="3442" spans="1:18">
      <c r="A3442" s="26">
        <v>8156</v>
      </c>
      <c r="B3442" s="27">
        <v>38559</v>
      </c>
      <c r="C3442" s="28" t="s">
        <v>11026</v>
      </c>
      <c r="D3442" s="27">
        <v>38554</v>
      </c>
      <c r="E3442" s="28" t="s">
        <v>10942</v>
      </c>
      <c r="F3442" s="28" t="s">
        <v>5690</v>
      </c>
      <c r="G3442" s="28" t="s">
        <v>20</v>
      </c>
      <c r="H3442" s="28" t="s">
        <v>71</v>
      </c>
      <c r="I3442" s="28" t="s">
        <v>72</v>
      </c>
      <c r="J3442" s="28" t="s">
        <v>11027</v>
      </c>
      <c r="K3442" s="28" t="s">
        <v>11028</v>
      </c>
      <c r="L3442" s="28" t="s">
        <v>2205</v>
      </c>
      <c r="M3442" s="28" t="s">
        <v>21</v>
      </c>
      <c r="N3442" s="27">
        <v>38646</v>
      </c>
      <c r="O3442" s="92">
        <v>38566</v>
      </c>
      <c r="P3442" s="28" t="s">
        <v>21</v>
      </c>
      <c r="Q3442" s="26" t="b">
        <v>0</v>
      </c>
      <c r="R3442" s="22">
        <f t="shared" si="56"/>
        <v>6</v>
      </c>
    </row>
    <row r="3443" spans="1:18">
      <c r="A3443" s="26">
        <v>8157</v>
      </c>
      <c r="B3443" s="27">
        <v>38559</v>
      </c>
      <c r="C3443" s="28" t="s">
        <v>11029</v>
      </c>
      <c r="D3443" s="27">
        <v>38559</v>
      </c>
      <c r="E3443" s="28" t="s">
        <v>11030</v>
      </c>
      <c r="F3443" s="28" t="s">
        <v>350</v>
      </c>
      <c r="G3443" s="28" t="s">
        <v>20</v>
      </c>
      <c r="H3443" s="28" t="s">
        <v>71</v>
      </c>
      <c r="I3443" s="28" t="s">
        <v>72</v>
      </c>
      <c r="J3443" s="28" t="s">
        <v>11031</v>
      </c>
      <c r="K3443" s="28" t="s">
        <v>11032</v>
      </c>
      <c r="L3443" s="28" t="s">
        <v>8318</v>
      </c>
      <c r="M3443" s="28" t="s">
        <v>21</v>
      </c>
      <c r="N3443" s="18"/>
      <c r="O3443" s="92">
        <v>38597</v>
      </c>
      <c r="P3443" s="28" t="s">
        <v>21</v>
      </c>
      <c r="Q3443" s="26" t="b">
        <v>0</v>
      </c>
      <c r="R3443" s="22">
        <f t="shared" si="56"/>
        <v>36</v>
      </c>
    </row>
    <row r="3444" spans="1:18" ht="24">
      <c r="A3444" s="26">
        <v>8158</v>
      </c>
      <c r="B3444" s="27">
        <v>38560</v>
      </c>
      <c r="C3444" s="28" t="s">
        <v>11033</v>
      </c>
      <c r="D3444" s="27">
        <v>38555</v>
      </c>
      <c r="E3444" s="28" t="s">
        <v>11034</v>
      </c>
      <c r="F3444" s="28" t="s">
        <v>11035</v>
      </c>
      <c r="G3444" s="28" t="s">
        <v>20</v>
      </c>
      <c r="H3444" s="28" t="s">
        <v>71</v>
      </c>
      <c r="I3444" s="28" t="s">
        <v>72</v>
      </c>
      <c r="J3444" s="28" t="s">
        <v>11036</v>
      </c>
      <c r="K3444" s="28" t="s">
        <v>21</v>
      </c>
      <c r="L3444" s="28" t="s">
        <v>2205</v>
      </c>
      <c r="M3444" s="28" t="s">
        <v>21</v>
      </c>
      <c r="N3444" s="18"/>
      <c r="O3444" s="92">
        <v>38559</v>
      </c>
      <c r="P3444" s="28" t="s">
        <v>31</v>
      </c>
      <c r="Q3444" s="26" t="b">
        <v>0</v>
      </c>
      <c r="R3444" s="22">
        <f t="shared" si="56"/>
        <v>1</v>
      </c>
    </row>
    <row r="3445" spans="1:18" ht="24">
      <c r="A3445" s="26">
        <v>8159</v>
      </c>
      <c r="B3445" s="27">
        <v>38560</v>
      </c>
      <c r="C3445" s="28" t="s">
        <v>11037</v>
      </c>
      <c r="D3445" s="27">
        <v>38560</v>
      </c>
      <c r="E3445" s="28" t="s">
        <v>11030</v>
      </c>
      <c r="F3445" s="28" t="s">
        <v>6298</v>
      </c>
      <c r="G3445" s="28" t="s">
        <v>20</v>
      </c>
      <c r="H3445" s="28" t="s">
        <v>71</v>
      </c>
      <c r="I3445" s="28" t="s">
        <v>72</v>
      </c>
      <c r="J3445" s="28" t="s">
        <v>11038</v>
      </c>
      <c r="K3445" s="28" t="s">
        <v>11039</v>
      </c>
      <c r="L3445" s="28" t="s">
        <v>8318</v>
      </c>
      <c r="M3445" s="28" t="s">
        <v>21</v>
      </c>
      <c r="N3445" s="18"/>
      <c r="O3445" s="92">
        <v>38587</v>
      </c>
      <c r="P3445" s="28" t="s">
        <v>21</v>
      </c>
      <c r="Q3445" s="26" t="b">
        <v>0</v>
      </c>
      <c r="R3445" s="22">
        <f t="shared" si="56"/>
        <v>26</v>
      </c>
    </row>
    <row r="3446" spans="1:18">
      <c r="A3446" s="26">
        <v>8161</v>
      </c>
      <c r="B3446" s="27">
        <v>38562</v>
      </c>
      <c r="C3446" s="28" t="s">
        <v>11040</v>
      </c>
      <c r="D3446" s="27">
        <v>38551</v>
      </c>
      <c r="E3446" s="28" t="s">
        <v>11041</v>
      </c>
      <c r="F3446" s="28" t="s">
        <v>760</v>
      </c>
      <c r="G3446" s="28" t="s">
        <v>20</v>
      </c>
      <c r="H3446" s="28" t="s">
        <v>212</v>
      </c>
      <c r="I3446" s="28" t="s">
        <v>212</v>
      </c>
      <c r="J3446" s="28" t="s">
        <v>11042</v>
      </c>
      <c r="K3446" s="28" t="s">
        <v>21</v>
      </c>
      <c r="L3446" s="28" t="s">
        <v>2205</v>
      </c>
      <c r="M3446" s="28" t="s">
        <v>21</v>
      </c>
      <c r="N3446" s="27">
        <v>38596</v>
      </c>
      <c r="O3446" s="92">
        <v>38596</v>
      </c>
      <c r="P3446" s="28" t="s">
        <v>31</v>
      </c>
      <c r="Q3446" s="26" t="b">
        <v>0</v>
      </c>
      <c r="R3446" s="22">
        <f t="shared" si="56"/>
        <v>32</v>
      </c>
    </row>
    <row r="3447" spans="1:18">
      <c r="A3447" s="26">
        <v>8162</v>
      </c>
      <c r="B3447" s="27">
        <v>38565</v>
      </c>
      <c r="C3447" s="28" t="s">
        <v>11043</v>
      </c>
      <c r="D3447" s="27">
        <v>38562</v>
      </c>
      <c r="E3447" s="28" t="s">
        <v>10985</v>
      </c>
      <c r="F3447" s="28" t="s">
        <v>11044</v>
      </c>
      <c r="G3447" s="28" t="s">
        <v>20</v>
      </c>
      <c r="H3447" s="28" t="s">
        <v>71</v>
      </c>
      <c r="I3447" s="28" t="s">
        <v>72</v>
      </c>
      <c r="J3447" s="28" t="s">
        <v>6080</v>
      </c>
      <c r="K3447" s="28" t="s">
        <v>11045</v>
      </c>
      <c r="L3447" s="28" t="s">
        <v>8318</v>
      </c>
      <c r="M3447" s="28" t="s">
        <v>21</v>
      </c>
      <c r="N3447" s="18"/>
      <c r="O3447" s="92">
        <v>38562</v>
      </c>
      <c r="P3447" s="28" t="s">
        <v>31</v>
      </c>
      <c r="Q3447" s="26" t="b">
        <v>0</v>
      </c>
      <c r="R3447" s="22">
        <f t="shared" si="56"/>
        <v>2</v>
      </c>
    </row>
    <row r="3448" spans="1:18">
      <c r="A3448" s="26">
        <v>8163</v>
      </c>
      <c r="B3448" s="27">
        <v>38565</v>
      </c>
      <c r="C3448" s="28" t="s">
        <v>11046</v>
      </c>
      <c r="D3448" s="27">
        <v>38536</v>
      </c>
      <c r="E3448" s="28" t="s">
        <v>11047</v>
      </c>
      <c r="F3448" s="28" t="s">
        <v>371</v>
      </c>
      <c r="G3448" s="28" t="s">
        <v>20</v>
      </c>
      <c r="H3448" s="28" t="s">
        <v>71</v>
      </c>
      <c r="I3448" s="28" t="s">
        <v>72</v>
      </c>
      <c r="J3448" s="28" t="s">
        <v>1712</v>
      </c>
      <c r="K3448" s="28" t="s">
        <v>21</v>
      </c>
      <c r="L3448" s="28" t="s">
        <v>4282</v>
      </c>
      <c r="M3448" s="28" t="s">
        <v>21</v>
      </c>
      <c r="N3448" s="27">
        <v>38593</v>
      </c>
      <c r="O3448" s="92">
        <v>38686</v>
      </c>
      <c r="P3448" s="28" t="s">
        <v>31</v>
      </c>
      <c r="Q3448" s="26" t="b">
        <v>0</v>
      </c>
      <c r="R3448" s="22">
        <f t="shared" si="56"/>
        <v>120</v>
      </c>
    </row>
    <row r="3449" spans="1:18">
      <c r="A3449" s="26">
        <v>8165</v>
      </c>
      <c r="B3449" s="27">
        <v>38567</v>
      </c>
      <c r="C3449" s="28" t="s">
        <v>11048</v>
      </c>
      <c r="D3449" s="27">
        <v>38567</v>
      </c>
      <c r="E3449" s="28" t="s">
        <v>11049</v>
      </c>
      <c r="F3449" s="28" t="s">
        <v>11050</v>
      </c>
      <c r="G3449" s="28" t="s">
        <v>20</v>
      </c>
      <c r="H3449" s="28" t="s">
        <v>71</v>
      </c>
      <c r="I3449" s="28" t="s">
        <v>72</v>
      </c>
      <c r="J3449" s="28" t="s">
        <v>11051</v>
      </c>
      <c r="K3449" s="28" t="s">
        <v>11052</v>
      </c>
      <c r="L3449" s="28" t="s">
        <v>4579</v>
      </c>
      <c r="M3449" s="28" t="s">
        <v>2205</v>
      </c>
      <c r="N3449" s="27">
        <v>38659</v>
      </c>
      <c r="O3449" s="92">
        <v>38754</v>
      </c>
      <c r="P3449" s="28" t="s">
        <v>21</v>
      </c>
      <c r="Q3449" s="26" t="b">
        <v>0</v>
      </c>
      <c r="R3449" s="22">
        <f t="shared" si="56"/>
        <v>185</v>
      </c>
    </row>
    <row r="3450" spans="1:18" ht="24">
      <c r="A3450" s="26">
        <v>8166</v>
      </c>
      <c r="B3450" s="27">
        <v>38568</v>
      </c>
      <c r="C3450" s="28" t="s">
        <v>11053</v>
      </c>
      <c r="D3450" s="27">
        <v>38562</v>
      </c>
      <c r="E3450" s="28" t="s">
        <v>11054</v>
      </c>
      <c r="F3450" s="28" t="s">
        <v>5690</v>
      </c>
      <c r="G3450" s="28" t="s">
        <v>20</v>
      </c>
      <c r="H3450" s="28" t="s">
        <v>71</v>
      </c>
      <c r="I3450" s="28" t="s">
        <v>72</v>
      </c>
      <c r="J3450" s="28" t="s">
        <v>11004</v>
      </c>
      <c r="K3450" s="28" t="s">
        <v>11055</v>
      </c>
      <c r="L3450" s="28" t="s">
        <v>8318</v>
      </c>
      <c r="M3450" s="28" t="s">
        <v>21</v>
      </c>
      <c r="O3450" s="92">
        <v>38567</v>
      </c>
      <c r="P3450" s="28" t="s">
        <v>21</v>
      </c>
      <c r="Q3450" s="26" t="b">
        <v>0</v>
      </c>
      <c r="R3450" s="22">
        <f t="shared" si="56"/>
        <v>1</v>
      </c>
    </row>
    <row r="3451" spans="1:18">
      <c r="A3451" s="26">
        <v>8167</v>
      </c>
      <c r="B3451" s="27">
        <v>38572</v>
      </c>
      <c r="C3451" s="28" t="s">
        <v>11056</v>
      </c>
      <c r="D3451" s="27">
        <v>38560</v>
      </c>
      <c r="E3451" s="28" t="s">
        <v>11034</v>
      </c>
      <c r="F3451" s="28" t="s">
        <v>5690</v>
      </c>
      <c r="G3451" s="28" t="s">
        <v>20</v>
      </c>
      <c r="H3451" s="28" t="s">
        <v>71</v>
      </c>
      <c r="I3451" s="28" t="s">
        <v>72</v>
      </c>
      <c r="J3451" s="28" t="s">
        <v>11008</v>
      </c>
      <c r="K3451" s="28" t="s">
        <v>11057</v>
      </c>
      <c r="L3451" s="28" t="s">
        <v>2205</v>
      </c>
      <c r="M3451" s="28" t="s">
        <v>21</v>
      </c>
      <c r="N3451" s="18"/>
      <c r="O3451" s="92">
        <v>38587</v>
      </c>
      <c r="P3451" s="28" t="s">
        <v>21</v>
      </c>
      <c r="Q3451" s="26" t="b">
        <v>0</v>
      </c>
      <c r="R3451" s="22">
        <f t="shared" si="56"/>
        <v>15</v>
      </c>
    </row>
    <row r="3452" spans="1:18">
      <c r="A3452" s="26">
        <v>8168</v>
      </c>
      <c r="B3452" s="27">
        <v>38572</v>
      </c>
      <c r="C3452" s="28" t="s">
        <v>11058</v>
      </c>
      <c r="D3452" s="27">
        <v>38569</v>
      </c>
      <c r="E3452" s="28" t="s">
        <v>11059</v>
      </c>
      <c r="F3452" s="28" t="s">
        <v>85</v>
      </c>
      <c r="G3452" s="28" t="s">
        <v>20</v>
      </c>
      <c r="H3452" s="28" t="s">
        <v>71</v>
      </c>
      <c r="I3452" s="28" t="s">
        <v>72</v>
      </c>
      <c r="J3452" s="28" t="s">
        <v>11060</v>
      </c>
      <c r="K3452" s="28" t="s">
        <v>11061</v>
      </c>
      <c r="L3452" s="28" t="s">
        <v>2205</v>
      </c>
      <c r="M3452" s="28" t="s">
        <v>21</v>
      </c>
      <c r="N3452" s="27">
        <v>38600</v>
      </c>
      <c r="O3452" s="92">
        <v>38615</v>
      </c>
      <c r="P3452" s="28" t="s">
        <v>31</v>
      </c>
      <c r="Q3452" s="26" t="b">
        <v>0</v>
      </c>
      <c r="R3452" s="22">
        <f t="shared" si="56"/>
        <v>42</v>
      </c>
    </row>
    <row r="3453" spans="1:18" ht="24">
      <c r="A3453" s="26">
        <v>8169</v>
      </c>
      <c r="B3453" s="27">
        <v>38579</v>
      </c>
      <c r="C3453" s="28" t="s">
        <v>11062</v>
      </c>
      <c r="D3453" s="27">
        <v>38573</v>
      </c>
      <c r="E3453" s="28" t="s">
        <v>11063</v>
      </c>
      <c r="F3453" s="28" t="s">
        <v>5690</v>
      </c>
      <c r="G3453" s="28" t="s">
        <v>20</v>
      </c>
      <c r="H3453" s="28" t="s">
        <v>71</v>
      </c>
      <c r="I3453" s="28" t="s">
        <v>72</v>
      </c>
      <c r="J3453" s="28" t="s">
        <v>11064</v>
      </c>
      <c r="K3453" s="28" t="s">
        <v>11065</v>
      </c>
      <c r="L3453" s="28" t="s">
        <v>1946</v>
      </c>
      <c r="M3453" s="28" t="s">
        <v>21</v>
      </c>
      <c r="N3453" s="29">
        <v>38665</v>
      </c>
      <c r="O3453" s="92">
        <v>38588</v>
      </c>
      <c r="P3453" s="28" t="s">
        <v>21</v>
      </c>
      <c r="Q3453" s="26" t="b">
        <v>0</v>
      </c>
      <c r="R3453" s="22">
        <f t="shared" si="56"/>
        <v>9</v>
      </c>
    </row>
    <row r="3454" spans="1:18">
      <c r="A3454" s="26">
        <v>8170</v>
      </c>
      <c r="B3454" s="27">
        <v>38579</v>
      </c>
      <c r="C3454" s="28" t="s">
        <v>11066</v>
      </c>
      <c r="D3454" s="27">
        <v>38569</v>
      </c>
      <c r="E3454" s="28" t="s">
        <v>11067</v>
      </c>
      <c r="F3454" s="28" t="s">
        <v>124</v>
      </c>
      <c r="G3454" s="28" t="s">
        <v>20</v>
      </c>
      <c r="H3454" s="28" t="s">
        <v>71</v>
      </c>
      <c r="I3454" s="28" t="s">
        <v>72</v>
      </c>
      <c r="J3454" s="28" t="s">
        <v>272</v>
      </c>
      <c r="K3454" s="28" t="s">
        <v>21</v>
      </c>
      <c r="L3454" s="28" t="s">
        <v>4282</v>
      </c>
      <c r="M3454" s="28" t="s">
        <v>21</v>
      </c>
      <c r="N3454" s="27">
        <v>38607</v>
      </c>
      <c r="O3454" s="92">
        <v>38622</v>
      </c>
      <c r="P3454" s="28" t="s">
        <v>31</v>
      </c>
      <c r="Q3454" s="26" t="b">
        <v>0</v>
      </c>
      <c r="R3454" s="22">
        <f t="shared" si="56"/>
        <v>42</v>
      </c>
    </row>
    <row r="3455" spans="1:18">
      <c r="A3455" s="26">
        <v>8171</v>
      </c>
      <c r="B3455" s="27">
        <v>38579</v>
      </c>
      <c r="C3455" s="28" t="s">
        <v>11068</v>
      </c>
      <c r="D3455" s="27">
        <v>38554</v>
      </c>
      <c r="E3455" s="28" t="s">
        <v>10942</v>
      </c>
      <c r="F3455" s="28" t="s">
        <v>11069</v>
      </c>
      <c r="G3455" s="28" t="s">
        <v>20</v>
      </c>
      <c r="H3455" s="28" t="s">
        <v>71</v>
      </c>
      <c r="I3455" s="28" t="s">
        <v>72</v>
      </c>
      <c r="J3455" s="28" t="s">
        <v>11070</v>
      </c>
      <c r="K3455" s="28" t="s">
        <v>21</v>
      </c>
      <c r="L3455" s="28" t="s">
        <v>4282</v>
      </c>
      <c r="M3455" s="28" t="s">
        <v>21</v>
      </c>
      <c r="N3455" s="29">
        <v>38669</v>
      </c>
      <c r="O3455" s="92">
        <v>40260</v>
      </c>
      <c r="P3455" s="28" t="s">
        <v>31</v>
      </c>
      <c r="Q3455" s="26" t="b">
        <v>0</v>
      </c>
      <c r="R3455" s="22">
        <f t="shared" si="56"/>
        <v>1681</v>
      </c>
    </row>
    <row r="3456" spans="1:18">
      <c r="A3456" s="26">
        <v>8172</v>
      </c>
      <c r="B3456" s="27">
        <v>38579</v>
      </c>
      <c r="C3456" s="28" t="s">
        <v>11071</v>
      </c>
      <c r="D3456" s="27">
        <v>38562</v>
      </c>
      <c r="E3456" s="28" t="s">
        <v>11072</v>
      </c>
      <c r="F3456" s="28" t="s">
        <v>8605</v>
      </c>
      <c r="G3456" s="28" t="s">
        <v>20</v>
      </c>
      <c r="H3456" s="28" t="s">
        <v>212</v>
      </c>
      <c r="I3456" s="28" t="s">
        <v>212</v>
      </c>
      <c r="J3456" s="28" t="s">
        <v>11073</v>
      </c>
      <c r="K3456" s="28" t="s">
        <v>21</v>
      </c>
      <c r="L3456" s="28" t="s">
        <v>4579</v>
      </c>
      <c r="M3456" s="28" t="s">
        <v>21</v>
      </c>
      <c r="N3456" s="29">
        <v>38656</v>
      </c>
      <c r="O3456" s="92">
        <v>38713</v>
      </c>
      <c r="P3456" s="28" t="s">
        <v>21</v>
      </c>
      <c r="Q3456" s="26" t="b">
        <v>0</v>
      </c>
      <c r="R3456" s="22">
        <f t="shared" si="56"/>
        <v>133</v>
      </c>
    </row>
    <row r="3457" spans="1:18">
      <c r="A3457" s="26">
        <v>8173</v>
      </c>
      <c r="B3457" s="27">
        <v>38581</v>
      </c>
      <c r="C3457" s="28" t="s">
        <v>11074</v>
      </c>
      <c r="D3457" s="27">
        <v>38580</v>
      </c>
      <c r="E3457" s="28" t="s">
        <v>11075</v>
      </c>
      <c r="F3457" s="28" t="s">
        <v>104</v>
      </c>
      <c r="G3457" s="28" t="s">
        <v>20</v>
      </c>
      <c r="H3457" s="28" t="s">
        <v>71</v>
      </c>
      <c r="I3457" s="28" t="s">
        <v>72</v>
      </c>
      <c r="J3457" s="28" t="s">
        <v>11076</v>
      </c>
      <c r="K3457" s="28" t="s">
        <v>21</v>
      </c>
      <c r="L3457" s="28" t="s">
        <v>1946</v>
      </c>
      <c r="M3457" s="28" t="s">
        <v>21</v>
      </c>
      <c r="N3457" s="29">
        <v>38611</v>
      </c>
      <c r="O3457" s="92">
        <v>38716</v>
      </c>
      <c r="P3457" s="28" t="s">
        <v>31</v>
      </c>
      <c r="Q3457" s="26" t="b">
        <v>0</v>
      </c>
      <c r="R3457" s="22">
        <f t="shared" si="56"/>
        <v>134</v>
      </c>
    </row>
    <row r="3458" spans="1:18">
      <c r="A3458" s="26">
        <v>8174</v>
      </c>
      <c r="B3458" s="27">
        <v>38581</v>
      </c>
      <c r="C3458" s="28" t="s">
        <v>11077</v>
      </c>
      <c r="D3458" s="27">
        <v>38580</v>
      </c>
      <c r="E3458" s="28" t="s">
        <v>11078</v>
      </c>
      <c r="F3458" s="28" t="s">
        <v>149</v>
      </c>
      <c r="G3458" s="28" t="s">
        <v>20</v>
      </c>
      <c r="H3458" s="28" t="s">
        <v>189</v>
      </c>
      <c r="I3458" s="28" t="s">
        <v>189</v>
      </c>
      <c r="J3458" s="28" t="s">
        <v>11079</v>
      </c>
      <c r="K3458" s="28" t="s">
        <v>11080</v>
      </c>
      <c r="L3458" s="28" t="s">
        <v>2205</v>
      </c>
      <c r="M3458" s="28" t="s">
        <v>21</v>
      </c>
      <c r="N3458" s="29">
        <v>38611</v>
      </c>
      <c r="O3458" s="92">
        <v>38692</v>
      </c>
      <c r="P3458" s="28" t="s">
        <v>31</v>
      </c>
      <c r="Q3458" s="26" t="b">
        <v>0</v>
      </c>
      <c r="R3458" s="22">
        <f t="shared" si="56"/>
        <v>110</v>
      </c>
    </row>
    <row r="3459" spans="1:18">
      <c r="A3459" s="26">
        <v>8175</v>
      </c>
      <c r="B3459" s="27">
        <v>38581</v>
      </c>
      <c r="C3459" s="28" t="s">
        <v>11081</v>
      </c>
      <c r="D3459" s="27">
        <v>38580</v>
      </c>
      <c r="E3459" s="28" t="s">
        <v>11082</v>
      </c>
      <c r="F3459" s="28" t="s">
        <v>5690</v>
      </c>
      <c r="G3459" s="28" t="s">
        <v>20</v>
      </c>
      <c r="H3459" s="28" t="s">
        <v>71</v>
      </c>
      <c r="I3459" s="28" t="s">
        <v>72</v>
      </c>
      <c r="J3459" s="28" t="s">
        <v>11083</v>
      </c>
      <c r="K3459" s="28" t="s">
        <v>11084</v>
      </c>
      <c r="L3459" s="28" t="s">
        <v>8318</v>
      </c>
      <c r="M3459" s="28" t="s">
        <v>21</v>
      </c>
      <c r="N3459" s="27">
        <v>38672</v>
      </c>
      <c r="O3459" s="92">
        <v>38663</v>
      </c>
      <c r="P3459" s="28" t="s">
        <v>21</v>
      </c>
      <c r="Q3459" s="26" t="b">
        <v>0</v>
      </c>
      <c r="R3459" s="22">
        <f t="shared" si="56"/>
        <v>81</v>
      </c>
    </row>
    <row r="3460" spans="1:18" ht="24">
      <c r="A3460" s="26">
        <v>8176</v>
      </c>
      <c r="B3460" s="27">
        <v>38582</v>
      </c>
      <c r="C3460" s="28" t="s">
        <v>11085</v>
      </c>
      <c r="D3460" s="27">
        <v>38582</v>
      </c>
      <c r="E3460" s="28" t="s">
        <v>11030</v>
      </c>
      <c r="F3460" s="28" t="s">
        <v>11086</v>
      </c>
      <c r="G3460" s="28" t="s">
        <v>20</v>
      </c>
      <c r="H3460" s="28" t="s">
        <v>71</v>
      </c>
      <c r="I3460" s="28" t="s">
        <v>72</v>
      </c>
      <c r="J3460" s="28" t="s">
        <v>11087</v>
      </c>
      <c r="K3460" s="28" t="s">
        <v>11088</v>
      </c>
      <c r="L3460" s="28" t="s">
        <v>11089</v>
      </c>
      <c r="M3460" s="28" t="s">
        <v>21</v>
      </c>
      <c r="O3460" s="92">
        <v>38632</v>
      </c>
      <c r="P3460" s="28" t="s">
        <v>21</v>
      </c>
      <c r="Q3460" s="26" t="b">
        <v>0</v>
      </c>
      <c r="R3460" s="22">
        <f t="shared" si="56"/>
        <v>49</v>
      </c>
    </row>
    <row r="3461" spans="1:18" ht="24">
      <c r="A3461" s="26">
        <v>8177</v>
      </c>
      <c r="B3461" s="27">
        <v>38586</v>
      </c>
      <c r="C3461" s="28" t="s">
        <v>11090</v>
      </c>
      <c r="D3461" s="27">
        <v>38581</v>
      </c>
      <c r="E3461" s="28" t="s">
        <v>11091</v>
      </c>
      <c r="F3461" s="28" t="s">
        <v>4242</v>
      </c>
      <c r="G3461" s="28" t="s">
        <v>20</v>
      </c>
      <c r="H3461" s="28" t="s">
        <v>189</v>
      </c>
      <c r="I3461" s="28" t="s">
        <v>189</v>
      </c>
      <c r="J3461" s="28" t="s">
        <v>11092</v>
      </c>
      <c r="K3461" s="28" t="s">
        <v>21</v>
      </c>
      <c r="L3461" s="28" t="s">
        <v>4579</v>
      </c>
      <c r="M3461" s="28" t="s">
        <v>21</v>
      </c>
      <c r="N3461" s="29">
        <v>38612</v>
      </c>
      <c r="O3461" s="92">
        <v>38596</v>
      </c>
      <c r="P3461" s="28" t="s">
        <v>21</v>
      </c>
      <c r="Q3461" s="26" t="b">
        <v>0</v>
      </c>
      <c r="R3461" s="22">
        <f t="shared" si="56"/>
        <v>9</v>
      </c>
    </row>
    <row r="3462" spans="1:18">
      <c r="A3462" s="26">
        <v>8178</v>
      </c>
      <c r="B3462" s="27">
        <v>38586</v>
      </c>
      <c r="C3462" s="28" t="s">
        <v>11093</v>
      </c>
      <c r="D3462" s="27">
        <v>38586</v>
      </c>
      <c r="E3462" s="28" t="s">
        <v>11094</v>
      </c>
      <c r="F3462" s="28" t="s">
        <v>5690</v>
      </c>
      <c r="G3462" s="28" t="s">
        <v>20</v>
      </c>
      <c r="H3462" s="28" t="s">
        <v>71</v>
      </c>
      <c r="I3462" s="28" t="s">
        <v>72</v>
      </c>
      <c r="J3462" s="28" t="s">
        <v>11095</v>
      </c>
      <c r="K3462" s="28" t="s">
        <v>11096</v>
      </c>
      <c r="L3462" s="28" t="s">
        <v>4282</v>
      </c>
      <c r="M3462" s="28" t="s">
        <v>21</v>
      </c>
      <c r="N3462" s="29">
        <v>38678</v>
      </c>
      <c r="O3462" s="92">
        <v>38604</v>
      </c>
      <c r="P3462" s="28" t="s">
        <v>21</v>
      </c>
      <c r="Q3462" s="26" t="b">
        <v>0</v>
      </c>
      <c r="R3462" s="22">
        <f t="shared" si="56"/>
        <v>17</v>
      </c>
    </row>
    <row r="3463" spans="1:18">
      <c r="A3463" s="26">
        <v>8179</v>
      </c>
      <c r="B3463" s="27">
        <v>38587</v>
      </c>
      <c r="C3463" s="28" t="s">
        <v>11097</v>
      </c>
      <c r="D3463" s="27">
        <v>38572</v>
      </c>
      <c r="E3463" s="28" t="s">
        <v>10985</v>
      </c>
      <c r="F3463" s="28" t="s">
        <v>1251</v>
      </c>
      <c r="G3463" s="28" t="s">
        <v>20</v>
      </c>
      <c r="H3463" s="28" t="s">
        <v>71</v>
      </c>
      <c r="I3463" s="28" t="s">
        <v>72</v>
      </c>
      <c r="J3463" s="28" t="s">
        <v>11098</v>
      </c>
      <c r="K3463" s="28" t="s">
        <v>21</v>
      </c>
      <c r="L3463" s="28" t="s">
        <v>1946</v>
      </c>
      <c r="M3463" s="28" t="s">
        <v>21</v>
      </c>
      <c r="O3463" s="92">
        <v>38597</v>
      </c>
      <c r="P3463" s="28" t="s">
        <v>31</v>
      </c>
      <c r="Q3463" s="26" t="b">
        <v>0</v>
      </c>
      <c r="R3463" s="22">
        <f t="shared" si="56"/>
        <v>9</v>
      </c>
    </row>
    <row r="3464" spans="1:18">
      <c r="A3464" s="26">
        <v>8180</v>
      </c>
      <c r="B3464" s="27">
        <v>38587</v>
      </c>
      <c r="C3464" s="28" t="s">
        <v>11099</v>
      </c>
      <c r="D3464" s="27">
        <v>38586</v>
      </c>
      <c r="E3464" s="28" t="s">
        <v>4172</v>
      </c>
      <c r="F3464" s="28" t="s">
        <v>4596</v>
      </c>
      <c r="G3464" s="28" t="s">
        <v>20</v>
      </c>
      <c r="H3464" s="28" t="s">
        <v>189</v>
      </c>
      <c r="I3464" s="28" t="s">
        <v>189</v>
      </c>
      <c r="J3464" s="28" t="s">
        <v>7019</v>
      </c>
      <c r="K3464" s="28" t="s">
        <v>11100</v>
      </c>
      <c r="L3464" s="28" t="s">
        <v>4579</v>
      </c>
      <c r="M3464" s="28" t="s">
        <v>21</v>
      </c>
      <c r="N3464" s="29">
        <v>38678</v>
      </c>
      <c r="O3464" s="92">
        <v>38596</v>
      </c>
      <c r="P3464" s="28" t="s">
        <v>31</v>
      </c>
      <c r="Q3464" s="26" t="b">
        <v>0</v>
      </c>
      <c r="R3464" s="22">
        <f t="shared" si="56"/>
        <v>8</v>
      </c>
    </row>
    <row r="3465" spans="1:18">
      <c r="A3465" s="26">
        <v>8181</v>
      </c>
      <c r="B3465" s="27">
        <v>38588</v>
      </c>
      <c r="C3465" s="28" t="s">
        <v>11101</v>
      </c>
      <c r="D3465" s="27">
        <v>38579</v>
      </c>
      <c r="E3465" s="28" t="s">
        <v>11102</v>
      </c>
      <c r="F3465" s="28" t="s">
        <v>11103</v>
      </c>
      <c r="G3465" s="28" t="s">
        <v>20</v>
      </c>
      <c r="H3465" s="28" t="s">
        <v>71</v>
      </c>
      <c r="I3465" s="28" t="s">
        <v>72</v>
      </c>
      <c r="J3465" s="28" t="s">
        <v>11104</v>
      </c>
      <c r="K3465" s="28" t="s">
        <v>21</v>
      </c>
      <c r="L3465" s="28" t="s">
        <v>8318</v>
      </c>
      <c r="M3465" s="28" t="s">
        <v>21</v>
      </c>
      <c r="O3465" s="92">
        <v>38582</v>
      </c>
      <c r="P3465" s="28" t="s">
        <v>31</v>
      </c>
      <c r="Q3465" s="26" t="b">
        <v>0</v>
      </c>
      <c r="R3465" s="22">
        <f t="shared" si="56"/>
        <v>6</v>
      </c>
    </row>
    <row r="3466" spans="1:18">
      <c r="A3466" s="26">
        <v>8182</v>
      </c>
      <c r="B3466" s="27">
        <v>38588</v>
      </c>
      <c r="C3466" s="28" t="s">
        <v>11105</v>
      </c>
      <c r="D3466" s="27">
        <v>38586</v>
      </c>
      <c r="E3466" s="28" t="s">
        <v>38</v>
      </c>
      <c r="F3466" s="28" t="s">
        <v>11103</v>
      </c>
      <c r="G3466" s="28" t="s">
        <v>20</v>
      </c>
      <c r="H3466" s="28" t="s">
        <v>71</v>
      </c>
      <c r="I3466" s="28" t="s">
        <v>72</v>
      </c>
      <c r="J3466" s="28" t="s">
        <v>11106</v>
      </c>
      <c r="K3466" s="28" t="s">
        <v>11107</v>
      </c>
      <c r="L3466" s="28" t="s">
        <v>8318</v>
      </c>
      <c r="M3466" s="28" t="s">
        <v>21</v>
      </c>
      <c r="N3466" s="18"/>
      <c r="O3466" s="92">
        <v>38586</v>
      </c>
      <c r="P3466" s="28" t="s">
        <v>31</v>
      </c>
      <c r="Q3466" s="26" t="b">
        <v>0</v>
      </c>
      <c r="R3466" s="22">
        <f t="shared" si="56"/>
        <v>2</v>
      </c>
    </row>
    <row r="3467" spans="1:18">
      <c r="A3467" s="26">
        <v>8183</v>
      </c>
      <c r="B3467" s="27">
        <v>38593</v>
      </c>
      <c r="C3467" s="28" t="s">
        <v>11108</v>
      </c>
      <c r="D3467" s="27">
        <v>38588</v>
      </c>
      <c r="E3467" s="28" t="s">
        <v>11109</v>
      </c>
      <c r="F3467" s="28" t="s">
        <v>10912</v>
      </c>
      <c r="G3467" s="28" t="s">
        <v>20</v>
      </c>
      <c r="H3467" s="28" t="s">
        <v>71</v>
      </c>
      <c r="I3467" s="28" t="s">
        <v>72</v>
      </c>
      <c r="J3467" s="28" t="s">
        <v>11110</v>
      </c>
      <c r="K3467" s="28" t="s">
        <v>21</v>
      </c>
      <c r="L3467" s="28" t="s">
        <v>1946</v>
      </c>
      <c r="M3467" s="28" t="s">
        <v>21</v>
      </c>
      <c r="N3467" s="18"/>
      <c r="O3467" s="92">
        <v>38589</v>
      </c>
      <c r="P3467" s="28" t="s">
        <v>21</v>
      </c>
      <c r="Q3467" s="26" t="b">
        <v>0</v>
      </c>
      <c r="R3467" s="22">
        <f t="shared" si="56"/>
        <v>4</v>
      </c>
    </row>
    <row r="3468" spans="1:18">
      <c r="A3468" s="26">
        <v>8184</v>
      </c>
      <c r="B3468" s="27">
        <v>38601</v>
      </c>
      <c r="C3468" s="28" t="s">
        <v>11111</v>
      </c>
      <c r="D3468" s="27">
        <v>38594</v>
      </c>
      <c r="E3468" s="28" t="s">
        <v>38</v>
      </c>
      <c r="F3468" s="28" t="s">
        <v>11112</v>
      </c>
      <c r="G3468" s="28" t="s">
        <v>20</v>
      </c>
      <c r="H3468" s="28" t="s">
        <v>71</v>
      </c>
      <c r="I3468" s="28" t="s">
        <v>72</v>
      </c>
      <c r="J3468" s="28" t="s">
        <v>11113</v>
      </c>
      <c r="K3468" s="28" t="s">
        <v>21</v>
      </c>
      <c r="L3468" s="28" t="s">
        <v>8318</v>
      </c>
      <c r="M3468" s="28" t="s">
        <v>21</v>
      </c>
      <c r="N3468" s="18"/>
      <c r="O3468" s="92">
        <v>38594</v>
      </c>
      <c r="P3468" s="28" t="s">
        <v>21</v>
      </c>
      <c r="Q3468" s="26" t="b">
        <v>0</v>
      </c>
      <c r="R3468" s="22">
        <f t="shared" si="56"/>
        <v>6</v>
      </c>
    </row>
    <row r="3469" spans="1:18">
      <c r="A3469" s="26">
        <v>8185</v>
      </c>
      <c r="B3469" s="27">
        <v>38604</v>
      </c>
      <c r="C3469" s="28" t="s">
        <v>11114</v>
      </c>
      <c r="D3469" s="27">
        <v>38603</v>
      </c>
      <c r="E3469" s="28" t="s">
        <v>10942</v>
      </c>
      <c r="F3469" s="28" t="s">
        <v>8522</v>
      </c>
      <c r="G3469" s="28" t="s">
        <v>20</v>
      </c>
      <c r="H3469" s="28" t="s">
        <v>71</v>
      </c>
      <c r="I3469" s="28" t="s">
        <v>72</v>
      </c>
      <c r="J3469" s="28" t="s">
        <v>11115</v>
      </c>
      <c r="K3469" s="28" t="s">
        <v>11116</v>
      </c>
      <c r="L3469" s="28" t="s">
        <v>4282</v>
      </c>
      <c r="M3469" s="28" t="s">
        <v>21</v>
      </c>
      <c r="N3469" s="27">
        <v>38695</v>
      </c>
      <c r="O3469" s="92">
        <v>38835</v>
      </c>
      <c r="P3469" s="28" t="s">
        <v>31</v>
      </c>
      <c r="Q3469" s="26" t="b">
        <v>0</v>
      </c>
      <c r="R3469" s="22">
        <f t="shared" si="56"/>
        <v>232</v>
      </c>
    </row>
    <row r="3470" spans="1:18" ht="24">
      <c r="A3470" s="26">
        <v>8186</v>
      </c>
      <c r="B3470" s="27">
        <v>38604</v>
      </c>
      <c r="C3470" s="28" t="s">
        <v>11117</v>
      </c>
      <c r="D3470" s="27">
        <v>38597</v>
      </c>
      <c r="E3470" s="28" t="s">
        <v>10998</v>
      </c>
      <c r="F3470" s="28" t="s">
        <v>11118</v>
      </c>
      <c r="G3470" s="28" t="s">
        <v>20</v>
      </c>
      <c r="H3470" s="28" t="s">
        <v>71</v>
      </c>
      <c r="I3470" s="28" t="s">
        <v>72</v>
      </c>
      <c r="J3470" s="28" t="s">
        <v>11119</v>
      </c>
      <c r="K3470" s="28" t="s">
        <v>11120</v>
      </c>
      <c r="L3470" s="28" t="s">
        <v>4282</v>
      </c>
      <c r="M3470" s="28" t="s">
        <v>21</v>
      </c>
      <c r="N3470" s="18"/>
      <c r="O3470" s="92">
        <v>38619</v>
      </c>
      <c r="P3470" s="28" t="s">
        <v>21</v>
      </c>
      <c r="Q3470" s="26" t="b">
        <v>0</v>
      </c>
      <c r="R3470" s="22">
        <f t="shared" si="56"/>
        <v>15</v>
      </c>
    </row>
    <row r="3471" spans="1:18">
      <c r="A3471" s="26">
        <v>8187</v>
      </c>
      <c r="B3471" s="27">
        <v>38604</v>
      </c>
      <c r="C3471" s="28" t="s">
        <v>11121</v>
      </c>
      <c r="D3471" s="27">
        <v>38597</v>
      </c>
      <c r="E3471" s="28" t="s">
        <v>10998</v>
      </c>
      <c r="F3471" s="28" t="s">
        <v>19</v>
      </c>
      <c r="G3471" s="28" t="s">
        <v>20</v>
      </c>
      <c r="H3471" s="28" t="s">
        <v>71</v>
      </c>
      <c r="I3471" s="28" t="s">
        <v>72</v>
      </c>
      <c r="J3471" s="28" t="s">
        <v>11122</v>
      </c>
      <c r="K3471" s="28" t="s">
        <v>11123</v>
      </c>
      <c r="L3471" s="28" t="s">
        <v>8318</v>
      </c>
      <c r="M3471" s="28" t="s">
        <v>21</v>
      </c>
      <c r="N3471" s="18"/>
      <c r="O3471" s="92">
        <v>38626</v>
      </c>
      <c r="P3471" s="28" t="s">
        <v>21</v>
      </c>
      <c r="Q3471" s="26" t="b">
        <v>0</v>
      </c>
      <c r="R3471" s="22">
        <f t="shared" si="56"/>
        <v>22</v>
      </c>
    </row>
    <row r="3472" spans="1:18">
      <c r="A3472" s="26">
        <v>8188</v>
      </c>
      <c r="B3472" s="27">
        <v>38604</v>
      </c>
      <c r="C3472" s="28" t="s">
        <v>11124</v>
      </c>
      <c r="D3472" s="27">
        <v>38597</v>
      </c>
      <c r="E3472" s="28" t="s">
        <v>38</v>
      </c>
      <c r="F3472" s="28" t="s">
        <v>10106</v>
      </c>
      <c r="G3472" s="28" t="s">
        <v>20</v>
      </c>
      <c r="H3472" s="28" t="s">
        <v>71</v>
      </c>
      <c r="I3472" s="28" t="s">
        <v>72</v>
      </c>
      <c r="J3472" s="28" t="s">
        <v>2226</v>
      </c>
      <c r="K3472" s="28" t="s">
        <v>21</v>
      </c>
      <c r="L3472" s="28" t="s">
        <v>4579</v>
      </c>
      <c r="M3472" s="28" t="s">
        <v>21</v>
      </c>
      <c r="N3472" s="18"/>
      <c r="O3472" s="92">
        <v>38601</v>
      </c>
      <c r="P3472" s="28" t="s">
        <v>21</v>
      </c>
      <c r="Q3472" s="26" t="b">
        <v>0</v>
      </c>
      <c r="R3472" s="22">
        <f t="shared" si="56"/>
        <v>3</v>
      </c>
    </row>
    <row r="3473" spans="1:18">
      <c r="A3473" s="26">
        <v>8189</v>
      </c>
      <c r="B3473" s="27">
        <v>38614</v>
      </c>
      <c r="C3473" s="28" t="s">
        <v>11125</v>
      </c>
      <c r="D3473" s="27">
        <v>38610</v>
      </c>
      <c r="E3473" s="28" t="s">
        <v>38</v>
      </c>
      <c r="F3473" s="28" t="s">
        <v>5690</v>
      </c>
      <c r="G3473" s="28" t="s">
        <v>20</v>
      </c>
      <c r="H3473" s="28" t="s">
        <v>71</v>
      </c>
      <c r="I3473" s="28" t="s">
        <v>72</v>
      </c>
      <c r="J3473" s="28" t="s">
        <v>11126</v>
      </c>
      <c r="K3473" s="28" t="s">
        <v>11127</v>
      </c>
      <c r="L3473" s="28" t="s">
        <v>8318</v>
      </c>
      <c r="M3473" s="28" t="s">
        <v>21</v>
      </c>
      <c r="N3473" s="18"/>
      <c r="O3473" s="92">
        <v>38610</v>
      </c>
      <c r="P3473" s="28" t="s">
        <v>21</v>
      </c>
      <c r="Q3473" s="26" t="b">
        <v>0</v>
      </c>
      <c r="R3473" s="22">
        <f t="shared" si="56"/>
        <v>4</v>
      </c>
    </row>
    <row r="3474" spans="1:18" ht="24">
      <c r="A3474" s="26">
        <v>8190</v>
      </c>
      <c r="B3474" s="27">
        <v>38614</v>
      </c>
      <c r="C3474" s="28" t="s">
        <v>11128</v>
      </c>
      <c r="D3474" s="27">
        <v>38603</v>
      </c>
      <c r="E3474" s="28" t="s">
        <v>11034</v>
      </c>
      <c r="F3474" s="28" t="s">
        <v>242</v>
      </c>
      <c r="G3474" s="28" t="s">
        <v>20</v>
      </c>
      <c r="H3474" s="28" t="s">
        <v>71</v>
      </c>
      <c r="I3474" s="28" t="s">
        <v>72</v>
      </c>
      <c r="J3474" s="28" t="s">
        <v>11129</v>
      </c>
      <c r="K3474" s="28" t="s">
        <v>11130</v>
      </c>
      <c r="L3474" s="28" t="s">
        <v>1946</v>
      </c>
      <c r="M3474" s="28" t="s">
        <v>21</v>
      </c>
      <c r="N3474" s="18"/>
      <c r="O3474" s="92">
        <v>38604</v>
      </c>
      <c r="P3474" s="28" t="s">
        <v>21</v>
      </c>
      <c r="Q3474" s="26" t="b">
        <v>0</v>
      </c>
      <c r="R3474" s="22">
        <f t="shared" si="56"/>
        <v>10</v>
      </c>
    </row>
    <row r="3475" spans="1:18">
      <c r="A3475" s="26">
        <v>8191</v>
      </c>
      <c r="B3475" s="27">
        <v>38615</v>
      </c>
      <c r="C3475" s="28" t="s">
        <v>11131</v>
      </c>
      <c r="D3475" s="27">
        <v>38614</v>
      </c>
      <c r="E3475" s="28" t="s">
        <v>1928</v>
      </c>
      <c r="F3475" s="28" t="s">
        <v>11132</v>
      </c>
      <c r="G3475" s="28" t="s">
        <v>20</v>
      </c>
      <c r="H3475" s="28" t="s">
        <v>212</v>
      </c>
      <c r="I3475" s="28" t="s">
        <v>212</v>
      </c>
      <c r="J3475" s="28" t="s">
        <v>11133</v>
      </c>
      <c r="K3475" s="28" t="s">
        <v>11134</v>
      </c>
      <c r="L3475" s="28" t="s">
        <v>8318</v>
      </c>
      <c r="M3475" s="28" t="s">
        <v>21</v>
      </c>
      <c r="N3475" s="18"/>
      <c r="O3475" s="92">
        <v>38614</v>
      </c>
      <c r="P3475" s="28" t="s">
        <v>31</v>
      </c>
      <c r="Q3475" s="26" t="b">
        <v>0</v>
      </c>
      <c r="R3475" s="22">
        <f t="shared" si="56"/>
        <v>1</v>
      </c>
    </row>
    <row r="3476" spans="1:18" ht="24">
      <c r="A3476" s="26">
        <v>8192</v>
      </c>
      <c r="B3476" s="27">
        <v>38617</v>
      </c>
      <c r="C3476" s="28" t="s">
        <v>11135</v>
      </c>
      <c r="D3476" s="27">
        <v>38616</v>
      </c>
      <c r="E3476" s="28" t="s">
        <v>11136</v>
      </c>
      <c r="F3476" s="28" t="s">
        <v>98</v>
      </c>
      <c r="G3476" s="28" t="s">
        <v>20</v>
      </c>
      <c r="H3476" s="28" t="s">
        <v>71</v>
      </c>
      <c r="I3476" s="28" t="s">
        <v>72</v>
      </c>
      <c r="J3476" s="28" t="s">
        <v>11137</v>
      </c>
      <c r="K3476" s="28" t="s">
        <v>5668</v>
      </c>
      <c r="L3476" s="28" t="s">
        <v>2205</v>
      </c>
      <c r="M3476" s="28" t="s">
        <v>21</v>
      </c>
      <c r="N3476" s="27">
        <v>38707</v>
      </c>
      <c r="O3476" s="92">
        <v>38631</v>
      </c>
      <c r="P3476" s="28" t="s">
        <v>31</v>
      </c>
      <c r="Q3476" s="26" t="b">
        <v>0</v>
      </c>
      <c r="R3476" s="22">
        <f t="shared" si="56"/>
        <v>14</v>
      </c>
    </row>
    <row r="3477" spans="1:18">
      <c r="A3477" s="26">
        <v>8193</v>
      </c>
      <c r="B3477" s="27">
        <v>38617</v>
      </c>
      <c r="C3477" s="28" t="s">
        <v>11138</v>
      </c>
      <c r="D3477" s="27">
        <v>38616</v>
      </c>
      <c r="E3477" s="28" t="s">
        <v>11139</v>
      </c>
      <c r="F3477" s="28" t="s">
        <v>216</v>
      </c>
      <c r="G3477" s="28" t="s">
        <v>20</v>
      </c>
      <c r="H3477" s="28" t="s">
        <v>71</v>
      </c>
      <c r="I3477" s="28" t="s">
        <v>72</v>
      </c>
      <c r="J3477" s="28" t="s">
        <v>11140</v>
      </c>
      <c r="K3477" s="28" t="s">
        <v>11141</v>
      </c>
      <c r="L3477" s="28" t="s">
        <v>4579</v>
      </c>
      <c r="M3477" s="28" t="s">
        <v>21</v>
      </c>
      <c r="N3477" s="29">
        <v>38707</v>
      </c>
      <c r="O3477" s="92">
        <v>38631</v>
      </c>
      <c r="P3477" s="28" t="s">
        <v>31</v>
      </c>
      <c r="Q3477" s="26" t="b">
        <v>0</v>
      </c>
      <c r="R3477" s="22">
        <f t="shared" si="56"/>
        <v>14</v>
      </c>
    </row>
    <row r="3478" spans="1:18">
      <c r="A3478" s="26">
        <v>8194</v>
      </c>
      <c r="B3478" s="27">
        <v>38617</v>
      </c>
      <c r="C3478" s="28" t="s">
        <v>11142</v>
      </c>
      <c r="D3478" s="27">
        <v>38615</v>
      </c>
      <c r="E3478" s="28" t="s">
        <v>11143</v>
      </c>
      <c r="F3478" s="28" t="s">
        <v>11144</v>
      </c>
      <c r="G3478" s="28" t="s">
        <v>20</v>
      </c>
      <c r="H3478" s="28" t="s">
        <v>189</v>
      </c>
      <c r="I3478" s="28" t="s">
        <v>189</v>
      </c>
      <c r="J3478" s="28" t="s">
        <v>11145</v>
      </c>
      <c r="K3478" s="28" t="s">
        <v>21</v>
      </c>
      <c r="L3478" s="28" t="s">
        <v>4282</v>
      </c>
      <c r="M3478" s="28" t="s">
        <v>21</v>
      </c>
      <c r="N3478" s="29">
        <v>38706</v>
      </c>
      <c r="O3478" s="92">
        <v>38666</v>
      </c>
      <c r="P3478" s="28" t="s">
        <v>31</v>
      </c>
      <c r="Q3478" s="26" t="b">
        <v>0</v>
      </c>
      <c r="R3478" s="22">
        <f t="shared" si="56"/>
        <v>48</v>
      </c>
    </row>
    <row r="3479" spans="1:18">
      <c r="A3479" s="26">
        <v>8195</v>
      </c>
      <c r="B3479" s="27">
        <v>38618</v>
      </c>
      <c r="C3479" s="28" t="s">
        <v>11146</v>
      </c>
      <c r="D3479" s="27">
        <v>38611</v>
      </c>
      <c r="E3479" s="28" t="s">
        <v>11147</v>
      </c>
      <c r="F3479" s="28" t="s">
        <v>984</v>
      </c>
      <c r="G3479" s="28" t="s">
        <v>20</v>
      </c>
      <c r="H3479" s="28" t="s">
        <v>71</v>
      </c>
      <c r="I3479" s="28" t="s">
        <v>72</v>
      </c>
      <c r="J3479" s="28" t="s">
        <v>11140</v>
      </c>
      <c r="K3479" s="28" t="s">
        <v>21</v>
      </c>
      <c r="L3479" s="28" t="s">
        <v>1946</v>
      </c>
      <c r="M3479" s="28" t="s">
        <v>21</v>
      </c>
      <c r="N3479" s="29">
        <v>38707</v>
      </c>
      <c r="O3479" s="92">
        <v>38784</v>
      </c>
      <c r="P3479" s="28" t="s">
        <v>31</v>
      </c>
      <c r="Q3479" s="26" t="b">
        <v>0</v>
      </c>
      <c r="R3479" s="22">
        <f t="shared" si="56"/>
        <v>167</v>
      </c>
    </row>
    <row r="3480" spans="1:18">
      <c r="A3480" s="26">
        <v>8196</v>
      </c>
      <c r="B3480" s="27">
        <v>38618</v>
      </c>
      <c r="C3480" s="28" t="s">
        <v>11148</v>
      </c>
      <c r="D3480" s="27">
        <v>38611</v>
      </c>
      <c r="E3480" s="28" t="s">
        <v>11149</v>
      </c>
      <c r="F3480" s="28" t="s">
        <v>283</v>
      </c>
      <c r="G3480" s="28" t="s">
        <v>20</v>
      </c>
      <c r="H3480" s="28" t="s">
        <v>71</v>
      </c>
      <c r="I3480" s="28" t="s">
        <v>72</v>
      </c>
      <c r="J3480" s="28" t="s">
        <v>11150</v>
      </c>
      <c r="K3480" s="28" t="s">
        <v>11151</v>
      </c>
      <c r="L3480" s="28" t="s">
        <v>1946</v>
      </c>
      <c r="M3480" s="28" t="s">
        <v>21</v>
      </c>
      <c r="N3480" s="27">
        <v>38646</v>
      </c>
      <c r="O3480" s="92">
        <v>38723</v>
      </c>
      <c r="P3480" s="28" t="s">
        <v>31</v>
      </c>
      <c r="Q3480" s="26" t="b">
        <v>0</v>
      </c>
      <c r="R3480" s="22">
        <f t="shared" si="56"/>
        <v>104</v>
      </c>
    </row>
    <row r="3481" spans="1:18">
      <c r="A3481" s="26">
        <v>8197</v>
      </c>
      <c r="B3481" s="27">
        <v>38621</v>
      </c>
      <c r="C3481" s="28" t="s">
        <v>11152</v>
      </c>
      <c r="D3481" s="27">
        <v>38621</v>
      </c>
      <c r="E3481" s="28" t="s">
        <v>11153</v>
      </c>
      <c r="F3481" s="28" t="s">
        <v>124</v>
      </c>
      <c r="G3481" s="28" t="s">
        <v>20</v>
      </c>
      <c r="H3481" s="28" t="s">
        <v>71</v>
      </c>
      <c r="I3481" s="28" t="s">
        <v>72</v>
      </c>
      <c r="J3481" s="28" t="s">
        <v>11154</v>
      </c>
      <c r="K3481" s="28" t="s">
        <v>900</v>
      </c>
      <c r="L3481" s="28" t="s">
        <v>11155</v>
      </c>
      <c r="M3481" s="28" t="s">
        <v>4579</v>
      </c>
      <c r="N3481" s="29">
        <v>38651</v>
      </c>
      <c r="O3481" s="92">
        <v>40666</v>
      </c>
      <c r="P3481" s="28" t="s">
        <v>21</v>
      </c>
      <c r="Q3481" s="26" t="b">
        <v>0</v>
      </c>
      <c r="R3481" s="22">
        <f t="shared" ref="R3481:R3544" si="57">IF(O3481=" ", " ", INT(YEARFRAC(O3481, B3481)*365))</f>
        <v>2045</v>
      </c>
    </row>
    <row r="3482" spans="1:18">
      <c r="A3482" s="26">
        <v>8198</v>
      </c>
      <c r="B3482" s="27">
        <v>38622</v>
      </c>
      <c r="C3482" s="28" t="s">
        <v>11156</v>
      </c>
      <c r="D3482" s="27">
        <v>38618</v>
      </c>
      <c r="E3482" s="28" t="s">
        <v>11157</v>
      </c>
      <c r="F3482" s="28" t="s">
        <v>52</v>
      </c>
      <c r="G3482" s="28" t="s">
        <v>20</v>
      </c>
      <c r="H3482" s="28" t="s">
        <v>71</v>
      </c>
      <c r="I3482" s="28" t="s">
        <v>72</v>
      </c>
      <c r="J3482" s="28" t="s">
        <v>11158</v>
      </c>
      <c r="K3482" s="28" t="s">
        <v>21</v>
      </c>
      <c r="L3482" s="28" t="s">
        <v>2205</v>
      </c>
      <c r="M3482" s="28" t="s">
        <v>21</v>
      </c>
      <c r="N3482" s="29">
        <v>38713</v>
      </c>
      <c r="O3482" s="92">
        <v>38624</v>
      </c>
      <c r="P3482" s="28" t="s">
        <v>31</v>
      </c>
      <c r="Q3482" s="26" t="b">
        <v>0</v>
      </c>
      <c r="R3482" s="22">
        <f t="shared" si="57"/>
        <v>2</v>
      </c>
    </row>
    <row r="3483" spans="1:18">
      <c r="A3483" s="26">
        <v>8199</v>
      </c>
      <c r="B3483" s="27">
        <v>38623</v>
      </c>
      <c r="C3483" s="28" t="s">
        <v>11159</v>
      </c>
      <c r="D3483" s="27">
        <v>38622</v>
      </c>
      <c r="E3483" s="28" t="s">
        <v>11160</v>
      </c>
      <c r="F3483" s="28" t="s">
        <v>11161</v>
      </c>
      <c r="G3483" s="28" t="s">
        <v>20</v>
      </c>
      <c r="H3483" s="28" t="s">
        <v>71</v>
      </c>
      <c r="I3483" s="28" t="s">
        <v>72</v>
      </c>
      <c r="J3483" s="28" t="s">
        <v>11162</v>
      </c>
      <c r="K3483" s="28" t="s">
        <v>21</v>
      </c>
      <c r="L3483" s="28" t="s">
        <v>1946</v>
      </c>
      <c r="M3483" s="28" t="s">
        <v>21</v>
      </c>
      <c r="N3483" s="27">
        <v>38713</v>
      </c>
      <c r="O3483" s="92">
        <v>38790</v>
      </c>
      <c r="P3483" s="28" t="s">
        <v>31</v>
      </c>
      <c r="Q3483" s="26" t="b">
        <v>0</v>
      </c>
      <c r="R3483" s="22">
        <f t="shared" si="57"/>
        <v>168</v>
      </c>
    </row>
    <row r="3484" spans="1:18">
      <c r="A3484" s="26">
        <v>8200</v>
      </c>
      <c r="B3484" s="27">
        <v>38623</v>
      </c>
      <c r="C3484" s="28" t="s">
        <v>11163</v>
      </c>
      <c r="D3484" s="27">
        <v>38617</v>
      </c>
      <c r="E3484" s="28" t="s">
        <v>11164</v>
      </c>
      <c r="F3484" s="28" t="s">
        <v>11069</v>
      </c>
      <c r="G3484" s="28" t="s">
        <v>20</v>
      </c>
      <c r="H3484" s="28" t="s">
        <v>71</v>
      </c>
      <c r="I3484" s="28" t="s">
        <v>72</v>
      </c>
      <c r="J3484" s="28" t="s">
        <v>11165</v>
      </c>
      <c r="K3484" s="28" t="s">
        <v>21</v>
      </c>
      <c r="L3484" s="28" t="s">
        <v>4579</v>
      </c>
      <c r="M3484" s="28" t="s">
        <v>21</v>
      </c>
      <c r="N3484" s="27">
        <v>38713</v>
      </c>
      <c r="O3484" s="92">
        <v>38688</v>
      </c>
      <c r="P3484" s="28" t="s">
        <v>21</v>
      </c>
      <c r="Q3484" s="26" t="b">
        <v>0</v>
      </c>
      <c r="R3484" s="22">
        <f t="shared" si="57"/>
        <v>64</v>
      </c>
    </row>
    <row r="3485" spans="1:18">
      <c r="A3485" s="26">
        <v>8201</v>
      </c>
      <c r="B3485" s="27">
        <v>38628</v>
      </c>
      <c r="C3485" s="28" t="s">
        <v>11166</v>
      </c>
      <c r="D3485" s="27">
        <v>38623</v>
      </c>
      <c r="E3485" s="28" t="s">
        <v>11167</v>
      </c>
      <c r="F3485" s="28" t="s">
        <v>27</v>
      </c>
      <c r="G3485" s="28" t="s">
        <v>20</v>
      </c>
      <c r="H3485" s="28" t="s">
        <v>71</v>
      </c>
      <c r="I3485" s="28" t="s">
        <v>72</v>
      </c>
      <c r="J3485" s="28" t="s">
        <v>8904</v>
      </c>
      <c r="K3485" s="28" t="s">
        <v>11168</v>
      </c>
      <c r="L3485" s="28" t="s">
        <v>1946</v>
      </c>
      <c r="M3485" s="28" t="s">
        <v>21</v>
      </c>
      <c r="N3485" s="29">
        <v>38672</v>
      </c>
      <c r="O3485" s="92">
        <v>38686</v>
      </c>
      <c r="P3485" s="28" t="s">
        <v>21</v>
      </c>
      <c r="Q3485" s="26" t="b">
        <v>0</v>
      </c>
      <c r="R3485" s="22">
        <f t="shared" si="57"/>
        <v>57</v>
      </c>
    </row>
    <row r="3486" spans="1:18">
      <c r="A3486" s="26">
        <v>8202</v>
      </c>
      <c r="B3486" s="27">
        <v>38628</v>
      </c>
      <c r="C3486" s="28" t="s">
        <v>11169</v>
      </c>
      <c r="D3486" s="27">
        <v>38623</v>
      </c>
      <c r="E3486" s="28" t="s">
        <v>11167</v>
      </c>
      <c r="F3486" s="28" t="s">
        <v>19</v>
      </c>
      <c r="G3486" s="28" t="s">
        <v>20</v>
      </c>
      <c r="H3486" s="28" t="s">
        <v>71</v>
      </c>
      <c r="I3486" s="28" t="s">
        <v>72</v>
      </c>
      <c r="J3486" s="28" t="s">
        <v>8904</v>
      </c>
      <c r="K3486" s="28" t="s">
        <v>11170</v>
      </c>
      <c r="L3486" s="28" t="s">
        <v>4282</v>
      </c>
      <c r="M3486" s="28" t="s">
        <v>21</v>
      </c>
      <c r="N3486" s="29">
        <v>38670</v>
      </c>
      <c r="O3486" s="92">
        <v>38674</v>
      </c>
      <c r="P3486" s="28" t="s">
        <v>21</v>
      </c>
      <c r="Q3486" s="26" t="b">
        <v>0</v>
      </c>
      <c r="R3486" s="22">
        <f t="shared" si="57"/>
        <v>45</v>
      </c>
    </row>
    <row r="3487" spans="1:18" ht="24">
      <c r="A3487" s="26">
        <v>8203</v>
      </c>
      <c r="B3487" s="27">
        <v>38628</v>
      </c>
      <c r="C3487" s="28" t="s">
        <v>11171</v>
      </c>
      <c r="D3487" s="27">
        <v>38611</v>
      </c>
      <c r="E3487" s="28" t="s">
        <v>10985</v>
      </c>
      <c r="F3487" s="28" t="s">
        <v>741</v>
      </c>
      <c r="G3487" s="28" t="s">
        <v>20</v>
      </c>
      <c r="H3487" s="28" t="s">
        <v>71</v>
      </c>
      <c r="I3487" s="28" t="s">
        <v>72</v>
      </c>
      <c r="J3487" s="28" t="s">
        <v>11172</v>
      </c>
      <c r="K3487" s="28" t="s">
        <v>21</v>
      </c>
      <c r="L3487" s="28" t="s">
        <v>8318</v>
      </c>
      <c r="M3487" s="28" t="s">
        <v>21</v>
      </c>
      <c r="N3487" s="18"/>
      <c r="O3487" s="92">
        <v>38623</v>
      </c>
      <c r="P3487" s="28" t="s">
        <v>21</v>
      </c>
      <c r="Q3487" s="26" t="b">
        <v>0</v>
      </c>
      <c r="R3487" s="22">
        <f t="shared" si="57"/>
        <v>5</v>
      </c>
    </row>
    <row r="3488" spans="1:18" ht="24">
      <c r="A3488" s="26">
        <v>8204</v>
      </c>
      <c r="B3488" s="27">
        <v>38628</v>
      </c>
      <c r="C3488" s="28" t="s">
        <v>11173</v>
      </c>
      <c r="D3488" s="27">
        <v>38617</v>
      </c>
      <c r="E3488" s="28" t="s">
        <v>38</v>
      </c>
      <c r="F3488" s="28" t="s">
        <v>1232</v>
      </c>
      <c r="G3488" s="28" t="s">
        <v>20</v>
      </c>
      <c r="H3488" s="28" t="s">
        <v>189</v>
      </c>
      <c r="I3488" s="28" t="s">
        <v>189</v>
      </c>
      <c r="J3488" s="28" t="s">
        <v>11174</v>
      </c>
      <c r="K3488" s="28" t="s">
        <v>21</v>
      </c>
      <c r="L3488" s="28" t="s">
        <v>8318</v>
      </c>
      <c r="M3488" s="28" t="s">
        <v>21</v>
      </c>
      <c r="N3488" s="18"/>
      <c r="O3488" s="92">
        <v>38623</v>
      </c>
      <c r="P3488" s="28" t="s">
        <v>21</v>
      </c>
      <c r="Q3488" s="26" t="b">
        <v>0</v>
      </c>
      <c r="R3488" s="22">
        <f t="shared" si="57"/>
        <v>5</v>
      </c>
    </row>
    <row r="3489" spans="1:18">
      <c r="A3489" s="26">
        <v>8205</v>
      </c>
      <c r="B3489" s="27">
        <v>38628</v>
      </c>
      <c r="C3489" s="28" t="s">
        <v>11175</v>
      </c>
      <c r="D3489" s="27">
        <v>38628</v>
      </c>
      <c r="E3489" s="28" t="s">
        <v>1928</v>
      </c>
      <c r="F3489" s="28" t="s">
        <v>149</v>
      </c>
      <c r="G3489" s="28" t="s">
        <v>20</v>
      </c>
      <c r="H3489" s="28" t="s">
        <v>71</v>
      </c>
      <c r="I3489" s="28" t="s">
        <v>72</v>
      </c>
      <c r="J3489" s="28" t="s">
        <v>11176</v>
      </c>
      <c r="K3489" s="28" t="s">
        <v>21</v>
      </c>
      <c r="L3489" s="28" t="s">
        <v>10816</v>
      </c>
      <c r="M3489" s="28" t="s">
        <v>21</v>
      </c>
      <c r="N3489" s="18"/>
      <c r="O3489" s="92">
        <v>38628</v>
      </c>
      <c r="P3489" s="28" t="s">
        <v>21</v>
      </c>
      <c r="Q3489" s="26" t="b">
        <v>0</v>
      </c>
      <c r="R3489" s="22">
        <f t="shared" si="57"/>
        <v>0</v>
      </c>
    </row>
    <row r="3490" spans="1:18">
      <c r="A3490" s="26">
        <v>8211</v>
      </c>
      <c r="B3490" s="27">
        <v>38630</v>
      </c>
      <c r="C3490" s="28" t="s">
        <v>11177</v>
      </c>
      <c r="D3490" s="27">
        <v>38628</v>
      </c>
      <c r="E3490" s="28" t="s">
        <v>11030</v>
      </c>
      <c r="F3490" s="28" t="s">
        <v>11178</v>
      </c>
      <c r="G3490" s="28" t="s">
        <v>20</v>
      </c>
      <c r="H3490" s="28" t="s">
        <v>566</v>
      </c>
      <c r="I3490" s="28" t="s">
        <v>566</v>
      </c>
      <c r="J3490" s="28" t="s">
        <v>11179</v>
      </c>
      <c r="K3490" s="28" t="s">
        <v>11180</v>
      </c>
      <c r="L3490" s="28" t="s">
        <v>8318</v>
      </c>
      <c r="M3490" s="28" t="s">
        <v>21</v>
      </c>
      <c r="N3490" s="27">
        <v>38673</v>
      </c>
      <c r="O3490" s="92">
        <v>38673</v>
      </c>
      <c r="P3490" s="28" t="s">
        <v>21</v>
      </c>
      <c r="Q3490" s="26" t="b">
        <v>0</v>
      </c>
      <c r="R3490" s="22">
        <f t="shared" si="57"/>
        <v>42</v>
      </c>
    </row>
    <row r="3491" spans="1:18">
      <c r="A3491" s="26">
        <v>8212</v>
      </c>
      <c r="B3491" s="27">
        <v>38630</v>
      </c>
      <c r="C3491" s="28" t="s">
        <v>11181</v>
      </c>
      <c r="D3491" s="27">
        <v>38610</v>
      </c>
      <c r="E3491" s="28" t="s">
        <v>38</v>
      </c>
      <c r="F3491" s="28" t="s">
        <v>145</v>
      </c>
      <c r="G3491" s="28" t="s">
        <v>20</v>
      </c>
      <c r="H3491" s="28" t="s">
        <v>71</v>
      </c>
      <c r="I3491" s="28" t="s">
        <v>72</v>
      </c>
      <c r="J3491" s="28" t="s">
        <v>11182</v>
      </c>
      <c r="K3491" s="28" t="s">
        <v>7217</v>
      </c>
      <c r="L3491" s="28" t="s">
        <v>8318</v>
      </c>
      <c r="M3491" s="28" t="s">
        <v>21</v>
      </c>
      <c r="N3491" s="18"/>
      <c r="O3491" s="92">
        <v>38628</v>
      </c>
      <c r="P3491" s="28" t="s">
        <v>21</v>
      </c>
      <c r="Q3491" s="26" t="b">
        <v>0</v>
      </c>
      <c r="R3491" s="22">
        <f t="shared" si="57"/>
        <v>2</v>
      </c>
    </row>
    <row r="3492" spans="1:18">
      <c r="A3492" s="26">
        <v>8213</v>
      </c>
      <c r="B3492" s="27">
        <v>38630</v>
      </c>
      <c r="C3492" s="28" t="s">
        <v>11183</v>
      </c>
      <c r="D3492" s="27">
        <v>38623</v>
      </c>
      <c r="E3492" s="28" t="s">
        <v>11184</v>
      </c>
      <c r="F3492" s="28" t="s">
        <v>5690</v>
      </c>
      <c r="G3492" s="28" t="s">
        <v>20</v>
      </c>
      <c r="H3492" s="28" t="s">
        <v>71</v>
      </c>
      <c r="I3492" s="28" t="s">
        <v>72</v>
      </c>
      <c r="J3492" s="28" t="s">
        <v>11185</v>
      </c>
      <c r="K3492" s="28" t="s">
        <v>11008</v>
      </c>
      <c r="L3492" s="28" t="s">
        <v>8318</v>
      </c>
      <c r="M3492" s="28" t="s">
        <v>21</v>
      </c>
      <c r="N3492" s="18"/>
      <c r="O3492" s="92">
        <v>38628</v>
      </c>
      <c r="P3492" s="28" t="s">
        <v>21</v>
      </c>
      <c r="Q3492" s="26" t="b">
        <v>0</v>
      </c>
      <c r="R3492" s="22">
        <f t="shared" si="57"/>
        <v>2</v>
      </c>
    </row>
    <row r="3493" spans="1:18">
      <c r="A3493" s="26">
        <v>8216</v>
      </c>
      <c r="B3493" s="27">
        <v>38631</v>
      </c>
      <c r="C3493" s="28" t="s">
        <v>11186</v>
      </c>
      <c r="D3493" s="27">
        <v>38630</v>
      </c>
      <c r="E3493" s="28" t="s">
        <v>11187</v>
      </c>
      <c r="F3493" s="28" t="s">
        <v>10912</v>
      </c>
      <c r="G3493" s="28" t="s">
        <v>20</v>
      </c>
      <c r="H3493" s="28" t="s">
        <v>71</v>
      </c>
      <c r="I3493" s="28" t="s">
        <v>72</v>
      </c>
      <c r="J3493" s="28" t="s">
        <v>11188</v>
      </c>
      <c r="K3493" s="28" t="s">
        <v>11189</v>
      </c>
      <c r="L3493" s="28" t="s">
        <v>8318</v>
      </c>
      <c r="M3493" s="28" t="s">
        <v>21</v>
      </c>
      <c r="N3493" s="27">
        <v>38723</v>
      </c>
      <c r="O3493" s="92">
        <v>38632</v>
      </c>
      <c r="P3493" s="28" t="s">
        <v>21</v>
      </c>
      <c r="Q3493" s="26" t="b">
        <v>0</v>
      </c>
      <c r="R3493" s="22">
        <f t="shared" si="57"/>
        <v>1</v>
      </c>
    </row>
    <row r="3494" spans="1:18" ht="24">
      <c r="A3494" s="26">
        <v>8220</v>
      </c>
      <c r="B3494" s="27">
        <v>38636</v>
      </c>
      <c r="C3494" s="28" t="s">
        <v>11190</v>
      </c>
      <c r="D3494" s="27">
        <v>38636</v>
      </c>
      <c r="E3494" s="28" t="s">
        <v>11030</v>
      </c>
      <c r="F3494" s="28" t="s">
        <v>1686</v>
      </c>
      <c r="G3494" s="28" t="s">
        <v>20</v>
      </c>
      <c r="H3494" s="28" t="s">
        <v>71</v>
      </c>
      <c r="I3494" s="28" t="s">
        <v>72</v>
      </c>
      <c r="J3494" s="28" t="s">
        <v>11191</v>
      </c>
      <c r="K3494" s="28" t="s">
        <v>11192</v>
      </c>
      <c r="L3494" s="28" t="s">
        <v>4282</v>
      </c>
      <c r="M3494" s="28" t="s">
        <v>21</v>
      </c>
      <c r="N3494" s="29">
        <v>38650</v>
      </c>
      <c r="O3494" s="92">
        <v>38650</v>
      </c>
      <c r="P3494" s="28" t="s">
        <v>21</v>
      </c>
      <c r="Q3494" s="26" t="b">
        <v>0</v>
      </c>
      <c r="R3494" s="22">
        <f t="shared" si="57"/>
        <v>14</v>
      </c>
    </row>
    <row r="3495" spans="1:18" ht="24">
      <c r="A3495" s="26">
        <v>8225</v>
      </c>
      <c r="B3495" s="27">
        <v>38639</v>
      </c>
      <c r="C3495" s="28" t="s">
        <v>11193</v>
      </c>
      <c r="D3495" s="27">
        <v>38639</v>
      </c>
      <c r="E3495" s="28" t="s">
        <v>1432</v>
      </c>
      <c r="F3495" s="28" t="s">
        <v>3430</v>
      </c>
      <c r="G3495" s="28" t="s">
        <v>20</v>
      </c>
      <c r="H3495" s="28" t="s">
        <v>71</v>
      </c>
      <c r="I3495" s="28" t="s">
        <v>72</v>
      </c>
      <c r="J3495" s="28" t="s">
        <v>11194</v>
      </c>
      <c r="K3495" s="28" t="s">
        <v>21</v>
      </c>
      <c r="L3495" s="28" t="s">
        <v>4579</v>
      </c>
      <c r="M3495" s="28" t="s">
        <v>21</v>
      </c>
      <c r="N3495" s="18"/>
      <c r="O3495" s="92">
        <v>39721</v>
      </c>
      <c r="P3495" s="28" t="s">
        <v>31</v>
      </c>
      <c r="Q3495" s="26" t="b">
        <v>0</v>
      </c>
      <c r="R3495" s="22">
        <f t="shared" si="57"/>
        <v>1080</v>
      </c>
    </row>
    <row r="3496" spans="1:18">
      <c r="A3496" s="26">
        <v>8227</v>
      </c>
      <c r="B3496" s="27">
        <v>38645</v>
      </c>
      <c r="C3496" s="28" t="s">
        <v>11195</v>
      </c>
      <c r="D3496" s="27">
        <v>38644</v>
      </c>
      <c r="E3496" s="28" t="s">
        <v>38</v>
      </c>
      <c r="F3496" s="28" t="s">
        <v>5690</v>
      </c>
      <c r="G3496" s="28" t="s">
        <v>20</v>
      </c>
      <c r="H3496" s="28" t="s">
        <v>71</v>
      </c>
      <c r="I3496" s="28" t="s">
        <v>72</v>
      </c>
      <c r="J3496" s="28" t="s">
        <v>11196</v>
      </c>
      <c r="K3496" s="28" t="s">
        <v>11197</v>
      </c>
      <c r="L3496" s="28" t="s">
        <v>8318</v>
      </c>
      <c r="M3496" s="28" t="s">
        <v>21</v>
      </c>
      <c r="O3496" s="92">
        <v>38644</v>
      </c>
      <c r="P3496" s="28" t="s">
        <v>182</v>
      </c>
      <c r="Q3496" s="26" t="b">
        <v>0</v>
      </c>
      <c r="R3496" s="22">
        <f t="shared" si="57"/>
        <v>1</v>
      </c>
    </row>
    <row r="3497" spans="1:18">
      <c r="A3497" s="26">
        <v>8235</v>
      </c>
      <c r="B3497" s="27">
        <v>38646</v>
      </c>
      <c r="C3497" s="28" t="s">
        <v>11220</v>
      </c>
      <c r="D3497" s="27">
        <v>38645</v>
      </c>
      <c r="E3497" s="28" t="s">
        <v>11221</v>
      </c>
      <c r="F3497" s="28" t="s">
        <v>4242</v>
      </c>
      <c r="G3497" s="28" t="s">
        <v>20</v>
      </c>
      <c r="H3497" s="28" t="s">
        <v>189</v>
      </c>
      <c r="I3497" s="28" t="s">
        <v>189</v>
      </c>
      <c r="J3497" s="28" t="s">
        <v>11222</v>
      </c>
      <c r="K3497" s="28" t="s">
        <v>11189</v>
      </c>
      <c r="L3497" s="28" t="s">
        <v>8318</v>
      </c>
      <c r="M3497" s="28" t="s">
        <v>21</v>
      </c>
      <c r="N3497" s="18"/>
      <c r="O3497" s="92">
        <v>38651</v>
      </c>
      <c r="P3497" s="28" t="s">
        <v>21</v>
      </c>
      <c r="Q3497" s="26" t="b">
        <v>0</v>
      </c>
      <c r="R3497" s="22">
        <f t="shared" si="57"/>
        <v>5</v>
      </c>
    </row>
    <row r="3498" spans="1:18">
      <c r="A3498" s="26">
        <v>8229</v>
      </c>
      <c r="B3498" s="27">
        <v>38649</v>
      </c>
      <c r="C3498" s="28" t="s">
        <v>11201</v>
      </c>
      <c r="D3498" s="27">
        <v>38642</v>
      </c>
      <c r="E3498" s="28" t="s">
        <v>11202</v>
      </c>
      <c r="F3498" s="28" t="s">
        <v>1771</v>
      </c>
      <c r="G3498" s="28" t="s">
        <v>20</v>
      </c>
      <c r="H3498" s="28" t="s">
        <v>189</v>
      </c>
      <c r="I3498" s="28" t="s">
        <v>189</v>
      </c>
      <c r="J3498" s="28" t="s">
        <v>11203</v>
      </c>
      <c r="K3498" s="28" t="s">
        <v>11204</v>
      </c>
      <c r="L3498" s="28" t="s">
        <v>4282</v>
      </c>
      <c r="M3498" s="28" t="s">
        <v>21</v>
      </c>
      <c r="N3498" s="27">
        <v>38741</v>
      </c>
      <c r="O3498" s="92">
        <v>40275</v>
      </c>
      <c r="P3498" s="28" t="s">
        <v>21</v>
      </c>
      <c r="Q3498" s="26" t="b">
        <v>0</v>
      </c>
      <c r="R3498" s="22">
        <f t="shared" si="57"/>
        <v>1625</v>
      </c>
    </row>
    <row r="3499" spans="1:18">
      <c r="A3499" s="26">
        <v>8230</v>
      </c>
      <c r="B3499" s="27">
        <v>38649</v>
      </c>
      <c r="C3499" s="28" t="s">
        <v>11205</v>
      </c>
      <c r="D3499" s="27">
        <v>38645</v>
      </c>
      <c r="E3499" s="28" t="s">
        <v>11206</v>
      </c>
      <c r="F3499" s="28" t="s">
        <v>11207</v>
      </c>
      <c r="G3499" s="28" t="s">
        <v>20</v>
      </c>
      <c r="H3499" s="28" t="s">
        <v>71</v>
      </c>
      <c r="I3499" s="28" t="s">
        <v>72</v>
      </c>
      <c r="J3499" s="28" t="s">
        <v>11208</v>
      </c>
      <c r="K3499" s="28" t="s">
        <v>21</v>
      </c>
      <c r="L3499" s="28" t="s">
        <v>4579</v>
      </c>
      <c r="M3499" s="28" t="s">
        <v>21</v>
      </c>
      <c r="N3499" s="27">
        <v>38677</v>
      </c>
      <c r="O3499" s="92">
        <v>39517</v>
      </c>
      <c r="P3499" s="28" t="s">
        <v>31</v>
      </c>
      <c r="Q3499" s="26" t="b">
        <v>0</v>
      </c>
      <c r="R3499" s="22">
        <f t="shared" si="57"/>
        <v>867</v>
      </c>
    </row>
    <row r="3500" spans="1:18">
      <c r="A3500" s="26">
        <v>8231</v>
      </c>
      <c r="B3500" s="27">
        <v>38649</v>
      </c>
      <c r="C3500" s="28" t="s">
        <v>11209</v>
      </c>
      <c r="D3500" s="27">
        <v>38645</v>
      </c>
      <c r="E3500" s="28" t="s">
        <v>11210</v>
      </c>
      <c r="F3500" s="28" t="s">
        <v>984</v>
      </c>
      <c r="G3500" s="28" t="s">
        <v>20</v>
      </c>
      <c r="H3500" s="28" t="s">
        <v>71</v>
      </c>
      <c r="I3500" s="28" t="s">
        <v>72</v>
      </c>
      <c r="J3500" s="28" t="s">
        <v>11208</v>
      </c>
      <c r="K3500" s="28" t="s">
        <v>21</v>
      </c>
      <c r="L3500" s="28" t="s">
        <v>3588</v>
      </c>
      <c r="M3500" s="28" t="s">
        <v>11211</v>
      </c>
      <c r="N3500" s="27">
        <v>38677</v>
      </c>
      <c r="O3500" s="92">
        <v>39694</v>
      </c>
      <c r="P3500" s="28" t="s">
        <v>31</v>
      </c>
      <c r="Q3500" s="26" t="b">
        <v>0</v>
      </c>
      <c r="R3500" s="22">
        <f t="shared" si="57"/>
        <v>1043</v>
      </c>
    </row>
    <row r="3501" spans="1:18">
      <c r="A3501" s="26">
        <v>8232</v>
      </c>
      <c r="B3501" s="27">
        <v>38649</v>
      </c>
      <c r="C3501" s="28" t="s">
        <v>11212</v>
      </c>
      <c r="D3501" s="27">
        <v>38645</v>
      </c>
      <c r="E3501" s="28" t="s">
        <v>11213</v>
      </c>
      <c r="F3501" s="28" t="s">
        <v>4596</v>
      </c>
      <c r="G3501" s="28" t="s">
        <v>20</v>
      </c>
      <c r="H3501" s="28" t="s">
        <v>71</v>
      </c>
      <c r="I3501" s="28" t="s">
        <v>72</v>
      </c>
      <c r="J3501" s="28" t="s">
        <v>11208</v>
      </c>
      <c r="K3501" s="28" t="s">
        <v>21</v>
      </c>
      <c r="L3501" s="28" t="s">
        <v>4579</v>
      </c>
      <c r="M3501" s="28" t="s">
        <v>21</v>
      </c>
      <c r="N3501" s="27">
        <v>38677</v>
      </c>
      <c r="O3501" s="92">
        <v>38663</v>
      </c>
      <c r="P3501" s="28" t="s">
        <v>31</v>
      </c>
      <c r="Q3501" s="26" t="b">
        <v>0</v>
      </c>
      <c r="R3501" s="22">
        <f t="shared" si="57"/>
        <v>13</v>
      </c>
    </row>
    <row r="3502" spans="1:18">
      <c r="A3502" s="26">
        <v>8233</v>
      </c>
      <c r="B3502" s="27">
        <v>38649</v>
      </c>
      <c r="C3502" s="28" t="s">
        <v>11214</v>
      </c>
      <c r="D3502" s="27">
        <v>38645</v>
      </c>
      <c r="E3502" s="28" t="s">
        <v>11215</v>
      </c>
      <c r="F3502" s="28" t="s">
        <v>228</v>
      </c>
      <c r="G3502" s="28" t="s">
        <v>20</v>
      </c>
      <c r="H3502" s="28" t="s">
        <v>71</v>
      </c>
      <c r="I3502" s="28" t="s">
        <v>72</v>
      </c>
      <c r="J3502" s="28" t="s">
        <v>11216</v>
      </c>
      <c r="K3502" s="28" t="s">
        <v>5182</v>
      </c>
      <c r="L3502" s="28" t="s">
        <v>2205</v>
      </c>
      <c r="M3502" s="28" t="s">
        <v>21</v>
      </c>
      <c r="N3502" s="29">
        <v>38677</v>
      </c>
      <c r="O3502" s="92">
        <v>38651</v>
      </c>
      <c r="P3502" s="28" t="s">
        <v>31</v>
      </c>
      <c r="Q3502" s="26" t="b">
        <v>0</v>
      </c>
      <c r="R3502" s="22">
        <f t="shared" si="57"/>
        <v>2</v>
      </c>
    </row>
    <row r="3503" spans="1:18">
      <c r="A3503" s="26">
        <v>8234</v>
      </c>
      <c r="B3503" s="27">
        <v>38650</v>
      </c>
      <c r="C3503" s="28" t="s">
        <v>11217</v>
      </c>
      <c r="D3503" s="27">
        <v>38645</v>
      </c>
      <c r="E3503" s="28" t="s">
        <v>11218</v>
      </c>
      <c r="F3503" s="28" t="s">
        <v>104</v>
      </c>
      <c r="G3503" s="28" t="s">
        <v>20</v>
      </c>
      <c r="H3503" s="28" t="s">
        <v>71</v>
      </c>
      <c r="I3503" s="28" t="s">
        <v>72</v>
      </c>
      <c r="J3503" s="28" t="s">
        <v>11219</v>
      </c>
      <c r="K3503" s="28" t="s">
        <v>21</v>
      </c>
      <c r="L3503" s="28" t="s">
        <v>1946</v>
      </c>
      <c r="M3503" s="28" t="s">
        <v>21</v>
      </c>
      <c r="N3503" s="27">
        <v>38681</v>
      </c>
      <c r="O3503" s="92">
        <v>38953</v>
      </c>
      <c r="P3503" s="28" t="s">
        <v>21</v>
      </c>
      <c r="Q3503" s="26" t="b">
        <v>0</v>
      </c>
      <c r="R3503" s="22">
        <f t="shared" si="57"/>
        <v>303</v>
      </c>
    </row>
    <row r="3504" spans="1:18">
      <c r="A3504" s="26">
        <v>8236</v>
      </c>
      <c r="B3504" s="27">
        <v>38650</v>
      </c>
      <c r="C3504" s="28" t="s">
        <v>11223</v>
      </c>
      <c r="D3504" s="27">
        <v>38649</v>
      </c>
      <c r="E3504" s="28" t="s">
        <v>11224</v>
      </c>
      <c r="F3504" s="28" t="s">
        <v>1771</v>
      </c>
      <c r="G3504" s="28" t="s">
        <v>20</v>
      </c>
      <c r="H3504" s="28" t="s">
        <v>189</v>
      </c>
      <c r="I3504" s="28" t="s">
        <v>189</v>
      </c>
      <c r="J3504" s="28" t="s">
        <v>11225</v>
      </c>
      <c r="K3504" s="28" t="s">
        <v>2890</v>
      </c>
      <c r="L3504" s="28" t="s">
        <v>2205</v>
      </c>
      <c r="M3504" s="28" t="s">
        <v>21</v>
      </c>
      <c r="N3504" s="27">
        <v>38681</v>
      </c>
      <c r="O3504" s="92">
        <v>38678</v>
      </c>
      <c r="P3504" s="28" t="s">
        <v>31</v>
      </c>
      <c r="Q3504" s="26" t="b">
        <v>0</v>
      </c>
      <c r="R3504" s="22">
        <f t="shared" si="57"/>
        <v>27</v>
      </c>
    </row>
    <row r="3505" spans="1:18">
      <c r="A3505" s="26">
        <v>8237</v>
      </c>
      <c r="B3505" s="27">
        <v>38651</v>
      </c>
      <c r="C3505" s="28" t="s">
        <v>11226</v>
      </c>
      <c r="D3505" s="27">
        <v>38645</v>
      </c>
      <c r="E3505" s="28" t="s">
        <v>10985</v>
      </c>
      <c r="F3505" s="28" t="s">
        <v>4242</v>
      </c>
      <c r="G3505" s="28" t="s">
        <v>20</v>
      </c>
      <c r="H3505" s="28" t="s">
        <v>189</v>
      </c>
      <c r="I3505" s="28" t="s">
        <v>189</v>
      </c>
      <c r="J3505" s="28" t="s">
        <v>11227</v>
      </c>
      <c r="K3505" s="28" t="s">
        <v>2783</v>
      </c>
      <c r="L3505" s="28" t="s">
        <v>8318</v>
      </c>
      <c r="M3505" s="28" t="s">
        <v>21</v>
      </c>
      <c r="N3505" s="18"/>
      <c r="O3505" s="92">
        <v>38649</v>
      </c>
      <c r="P3505" s="28" t="s">
        <v>21</v>
      </c>
      <c r="Q3505" s="26" t="b">
        <v>0</v>
      </c>
      <c r="R3505" s="22">
        <f t="shared" si="57"/>
        <v>2</v>
      </c>
    </row>
    <row r="3506" spans="1:18">
      <c r="A3506" s="26">
        <v>8238</v>
      </c>
      <c r="B3506" s="27">
        <v>38651</v>
      </c>
      <c r="C3506" s="28" t="s">
        <v>11228</v>
      </c>
      <c r="D3506" s="27">
        <v>38650</v>
      </c>
      <c r="E3506" s="28" t="s">
        <v>10998</v>
      </c>
      <c r="F3506" s="28" t="s">
        <v>11229</v>
      </c>
      <c r="G3506" s="28" t="s">
        <v>20</v>
      </c>
      <c r="H3506" s="28" t="s">
        <v>71</v>
      </c>
      <c r="I3506" s="28" t="s">
        <v>72</v>
      </c>
      <c r="J3506" s="28" t="s">
        <v>11230</v>
      </c>
      <c r="K3506" s="28" t="s">
        <v>21</v>
      </c>
      <c r="L3506" s="28" t="s">
        <v>8318</v>
      </c>
      <c r="M3506" s="28" t="s">
        <v>21</v>
      </c>
      <c r="N3506" s="27">
        <v>38722</v>
      </c>
      <c r="O3506" s="92">
        <v>38722</v>
      </c>
      <c r="P3506" s="28" t="s">
        <v>21</v>
      </c>
      <c r="Q3506" s="26" t="b">
        <v>0</v>
      </c>
      <c r="R3506" s="22">
        <f t="shared" si="57"/>
        <v>69</v>
      </c>
    </row>
    <row r="3507" spans="1:18">
      <c r="A3507" s="26">
        <v>8239</v>
      </c>
      <c r="B3507" s="27">
        <v>38652</v>
      </c>
      <c r="C3507" s="28" t="s">
        <v>11231</v>
      </c>
      <c r="D3507" s="27">
        <v>38649</v>
      </c>
      <c r="E3507" s="28" t="s">
        <v>11232</v>
      </c>
      <c r="F3507" s="28" t="s">
        <v>3430</v>
      </c>
      <c r="G3507" s="28" t="s">
        <v>20</v>
      </c>
      <c r="H3507" s="28" t="s">
        <v>71</v>
      </c>
      <c r="I3507" s="28" t="s">
        <v>72</v>
      </c>
      <c r="J3507" s="28" t="s">
        <v>11233</v>
      </c>
      <c r="K3507" s="28" t="s">
        <v>11234</v>
      </c>
      <c r="L3507" s="28" t="s">
        <v>8318</v>
      </c>
      <c r="M3507" s="28" t="s">
        <v>21</v>
      </c>
      <c r="N3507" s="27">
        <v>38741</v>
      </c>
      <c r="O3507" s="92">
        <v>38656</v>
      </c>
      <c r="P3507" s="28" t="s">
        <v>21</v>
      </c>
      <c r="Q3507" s="26" t="b">
        <v>0</v>
      </c>
      <c r="R3507" s="22">
        <f t="shared" si="57"/>
        <v>4</v>
      </c>
    </row>
    <row r="3508" spans="1:18">
      <c r="A3508" s="26">
        <v>8240</v>
      </c>
      <c r="B3508" s="27">
        <v>38656</v>
      </c>
      <c r="C3508" s="28" t="s">
        <v>11235</v>
      </c>
      <c r="D3508" s="27">
        <v>38653</v>
      </c>
      <c r="E3508" s="28" t="s">
        <v>11236</v>
      </c>
      <c r="F3508" s="28" t="s">
        <v>3430</v>
      </c>
      <c r="G3508" s="28" t="s">
        <v>20</v>
      </c>
      <c r="H3508" s="28" t="s">
        <v>71</v>
      </c>
      <c r="I3508" s="28" t="s">
        <v>72</v>
      </c>
      <c r="J3508" s="28" t="s">
        <v>11237</v>
      </c>
      <c r="K3508" s="28" t="s">
        <v>21</v>
      </c>
      <c r="L3508" s="28" t="s">
        <v>8318</v>
      </c>
      <c r="M3508" s="28" t="s">
        <v>21</v>
      </c>
      <c r="N3508" s="27">
        <v>38899</v>
      </c>
      <c r="O3508" s="92">
        <v>38677</v>
      </c>
      <c r="P3508" s="28" t="s">
        <v>21</v>
      </c>
      <c r="Q3508" s="26" t="b">
        <v>0</v>
      </c>
      <c r="R3508" s="22">
        <f t="shared" si="57"/>
        <v>21</v>
      </c>
    </row>
    <row r="3509" spans="1:18">
      <c r="A3509" s="26">
        <v>8241</v>
      </c>
      <c r="B3509" s="27">
        <v>38663</v>
      </c>
      <c r="C3509" s="28" t="s">
        <v>11238</v>
      </c>
      <c r="D3509" s="27">
        <v>38657</v>
      </c>
      <c r="E3509" s="28" t="s">
        <v>11239</v>
      </c>
      <c r="F3509" s="28" t="s">
        <v>5690</v>
      </c>
      <c r="G3509" s="28" t="s">
        <v>20</v>
      </c>
      <c r="H3509" s="28" t="s">
        <v>71</v>
      </c>
      <c r="I3509" s="28" t="s">
        <v>72</v>
      </c>
      <c r="J3509" s="28" t="s">
        <v>11065</v>
      </c>
      <c r="K3509" s="28" t="s">
        <v>9199</v>
      </c>
      <c r="L3509" s="28" t="s">
        <v>4282</v>
      </c>
      <c r="M3509" s="28" t="s">
        <v>21</v>
      </c>
      <c r="N3509" s="27">
        <v>38719</v>
      </c>
      <c r="O3509" s="92">
        <v>38737</v>
      </c>
      <c r="P3509" s="28" t="s">
        <v>31</v>
      </c>
      <c r="Q3509" s="26" t="b">
        <v>1</v>
      </c>
      <c r="R3509" s="22">
        <f t="shared" si="57"/>
        <v>74</v>
      </c>
    </row>
    <row r="3510" spans="1:18">
      <c r="A3510" s="26">
        <v>8242</v>
      </c>
      <c r="B3510" s="27">
        <v>38664</v>
      </c>
      <c r="C3510" s="28" t="s">
        <v>11240</v>
      </c>
      <c r="D3510" s="27">
        <v>38657</v>
      </c>
      <c r="E3510" s="28" t="s">
        <v>11241</v>
      </c>
      <c r="F3510" s="28" t="s">
        <v>8522</v>
      </c>
      <c r="G3510" s="28" t="s">
        <v>20</v>
      </c>
      <c r="H3510" s="28" t="s">
        <v>71</v>
      </c>
      <c r="I3510" s="28" t="s">
        <v>72</v>
      </c>
      <c r="J3510" s="28" t="s">
        <v>11242</v>
      </c>
      <c r="K3510" s="28" t="s">
        <v>11243</v>
      </c>
      <c r="L3510" s="28" t="s">
        <v>2205</v>
      </c>
      <c r="M3510" s="28" t="s">
        <v>21</v>
      </c>
      <c r="N3510" s="27">
        <v>38687</v>
      </c>
      <c r="O3510" s="92">
        <v>38806</v>
      </c>
      <c r="P3510" s="28" t="s">
        <v>21</v>
      </c>
      <c r="Q3510" s="26" t="b">
        <v>0</v>
      </c>
      <c r="R3510" s="22">
        <f t="shared" si="57"/>
        <v>143</v>
      </c>
    </row>
    <row r="3511" spans="1:18">
      <c r="A3511" s="26">
        <v>8243</v>
      </c>
      <c r="B3511" s="27">
        <v>38664</v>
      </c>
      <c r="C3511" s="28" t="s">
        <v>11244</v>
      </c>
      <c r="D3511" s="27">
        <v>38637</v>
      </c>
      <c r="E3511" s="28" t="s">
        <v>10942</v>
      </c>
      <c r="F3511" s="28" t="s">
        <v>11245</v>
      </c>
      <c r="G3511" s="28" t="s">
        <v>20</v>
      </c>
      <c r="H3511" s="28" t="s">
        <v>71</v>
      </c>
      <c r="I3511" s="28" t="s">
        <v>72</v>
      </c>
      <c r="J3511" s="28" t="s">
        <v>11246</v>
      </c>
      <c r="K3511" s="28" t="s">
        <v>11004</v>
      </c>
      <c r="L3511" s="28" t="s">
        <v>8318</v>
      </c>
      <c r="M3511" s="28" t="s">
        <v>21</v>
      </c>
      <c r="O3511" s="92">
        <v>38657</v>
      </c>
      <c r="P3511" s="28" t="s">
        <v>21</v>
      </c>
      <c r="Q3511" s="26" t="b">
        <v>0</v>
      </c>
      <c r="R3511" s="22">
        <f t="shared" si="57"/>
        <v>7</v>
      </c>
    </row>
    <row r="3512" spans="1:18">
      <c r="A3512" s="26">
        <v>8248</v>
      </c>
      <c r="B3512" s="27">
        <v>38666</v>
      </c>
      <c r="C3512" s="28" t="s">
        <v>11247</v>
      </c>
      <c r="D3512" s="27">
        <v>38659</v>
      </c>
      <c r="E3512" s="28" t="s">
        <v>11248</v>
      </c>
      <c r="F3512" s="28" t="s">
        <v>4382</v>
      </c>
      <c r="G3512" s="28" t="s">
        <v>20</v>
      </c>
      <c r="H3512" s="28" t="s">
        <v>71</v>
      </c>
      <c r="I3512" s="28" t="s">
        <v>72</v>
      </c>
      <c r="J3512" s="28" t="s">
        <v>11249</v>
      </c>
      <c r="K3512" s="28" t="s">
        <v>11250</v>
      </c>
      <c r="L3512" s="28" t="s">
        <v>1946</v>
      </c>
      <c r="M3512" s="28" t="s">
        <v>21</v>
      </c>
      <c r="N3512" s="27">
        <v>38691</v>
      </c>
      <c r="O3512" s="92">
        <v>38777</v>
      </c>
      <c r="P3512" s="28" t="s">
        <v>31</v>
      </c>
      <c r="Q3512" s="26" t="b">
        <v>0</v>
      </c>
      <c r="R3512" s="22">
        <f t="shared" si="57"/>
        <v>112</v>
      </c>
    </row>
    <row r="3513" spans="1:18">
      <c r="A3513" s="26">
        <v>8249</v>
      </c>
      <c r="B3513" s="27">
        <v>38666</v>
      </c>
      <c r="C3513" s="28" t="s">
        <v>11251</v>
      </c>
      <c r="D3513" s="27">
        <v>38664</v>
      </c>
      <c r="E3513" s="28" t="s">
        <v>11252</v>
      </c>
      <c r="F3513" s="28" t="s">
        <v>11253</v>
      </c>
      <c r="G3513" s="28" t="s">
        <v>20</v>
      </c>
      <c r="H3513" s="28" t="s">
        <v>71</v>
      </c>
      <c r="I3513" s="28" t="s">
        <v>72</v>
      </c>
      <c r="J3513" s="28" t="s">
        <v>11254</v>
      </c>
      <c r="K3513" s="28" t="s">
        <v>11255</v>
      </c>
      <c r="L3513" s="28" t="s">
        <v>1946</v>
      </c>
      <c r="M3513" s="28" t="s">
        <v>21</v>
      </c>
      <c r="N3513" s="27">
        <v>38694</v>
      </c>
      <c r="O3513" s="92">
        <v>38953</v>
      </c>
      <c r="P3513" s="28" t="s">
        <v>31</v>
      </c>
      <c r="Q3513" s="26" t="b">
        <v>0</v>
      </c>
      <c r="R3513" s="22">
        <f t="shared" si="57"/>
        <v>287</v>
      </c>
    </row>
    <row r="3514" spans="1:18">
      <c r="A3514" s="26">
        <v>8262</v>
      </c>
      <c r="B3514" s="27">
        <v>38666</v>
      </c>
      <c r="C3514" s="28" t="s">
        <v>11296</v>
      </c>
      <c r="D3514" s="27">
        <v>38666</v>
      </c>
      <c r="E3514" s="28" t="s">
        <v>11297</v>
      </c>
      <c r="F3514" s="28" t="s">
        <v>974</v>
      </c>
      <c r="G3514" s="28" t="s">
        <v>189</v>
      </c>
      <c r="H3514" s="28" t="s">
        <v>212</v>
      </c>
      <c r="I3514" s="28" t="s">
        <v>11261</v>
      </c>
      <c r="J3514" s="28" t="s">
        <v>11298</v>
      </c>
      <c r="K3514" s="28" t="s">
        <v>21</v>
      </c>
      <c r="L3514" s="28" t="s">
        <v>8318</v>
      </c>
      <c r="M3514" s="28" t="s">
        <v>21</v>
      </c>
      <c r="N3514" s="27">
        <v>38758</v>
      </c>
      <c r="O3514" s="92">
        <v>38695</v>
      </c>
      <c r="P3514" s="28" t="s">
        <v>31</v>
      </c>
      <c r="Q3514" s="26" t="b">
        <v>0</v>
      </c>
      <c r="R3514" s="22">
        <f t="shared" si="57"/>
        <v>29</v>
      </c>
    </row>
    <row r="3515" spans="1:18">
      <c r="A3515" s="26">
        <v>8250</v>
      </c>
      <c r="B3515" s="27">
        <v>38670</v>
      </c>
      <c r="C3515" s="28" t="s">
        <v>11256</v>
      </c>
      <c r="D3515" s="27">
        <v>38666</v>
      </c>
      <c r="E3515" s="28" t="s">
        <v>11257</v>
      </c>
      <c r="F3515" s="28" t="s">
        <v>5690</v>
      </c>
      <c r="G3515" s="28" t="s">
        <v>20</v>
      </c>
      <c r="H3515" s="28" t="s">
        <v>71</v>
      </c>
      <c r="I3515" s="28" t="s">
        <v>72</v>
      </c>
      <c r="J3515" s="28" t="s">
        <v>11258</v>
      </c>
      <c r="K3515" s="28" t="s">
        <v>5513</v>
      </c>
      <c r="L3515" s="28" t="s">
        <v>8318</v>
      </c>
      <c r="M3515" s="28" t="s">
        <v>21</v>
      </c>
      <c r="N3515" s="29">
        <v>38758</v>
      </c>
      <c r="O3515" s="92">
        <v>39264</v>
      </c>
      <c r="P3515" s="28" t="s">
        <v>21</v>
      </c>
      <c r="Q3515" s="26" t="b">
        <v>0</v>
      </c>
      <c r="R3515" s="22">
        <f t="shared" si="57"/>
        <v>595</v>
      </c>
    </row>
    <row r="3516" spans="1:18">
      <c r="A3516" s="26">
        <v>8251</v>
      </c>
      <c r="B3516" s="27">
        <v>38670</v>
      </c>
      <c r="C3516" s="28" t="s">
        <v>11259</v>
      </c>
      <c r="D3516" s="27">
        <v>38666</v>
      </c>
      <c r="E3516" s="28" t="s">
        <v>11260</v>
      </c>
      <c r="F3516" s="28" t="s">
        <v>974</v>
      </c>
      <c r="G3516" s="28" t="s">
        <v>20</v>
      </c>
      <c r="H3516" s="28" t="s">
        <v>212</v>
      </c>
      <c r="I3516" s="28" t="s">
        <v>11261</v>
      </c>
      <c r="J3516" s="28" t="s">
        <v>11262</v>
      </c>
      <c r="K3516" s="28" t="s">
        <v>11263</v>
      </c>
      <c r="L3516" s="28" t="s">
        <v>8318</v>
      </c>
      <c r="M3516" s="28" t="s">
        <v>21</v>
      </c>
      <c r="N3516" s="27">
        <v>38758</v>
      </c>
      <c r="O3516" s="92">
        <v>39264</v>
      </c>
      <c r="P3516" s="28" t="s">
        <v>31</v>
      </c>
      <c r="Q3516" s="26" t="b">
        <v>0</v>
      </c>
      <c r="R3516" s="22">
        <f t="shared" si="57"/>
        <v>595</v>
      </c>
    </row>
    <row r="3517" spans="1:18">
      <c r="A3517" s="26">
        <v>8252</v>
      </c>
      <c r="B3517" s="27">
        <v>38670</v>
      </c>
      <c r="C3517" s="28" t="s">
        <v>11264</v>
      </c>
      <c r="D3517" s="27">
        <v>38666</v>
      </c>
      <c r="E3517" s="28" t="s">
        <v>11265</v>
      </c>
      <c r="F3517" s="28" t="s">
        <v>974</v>
      </c>
      <c r="G3517" s="28" t="s">
        <v>20</v>
      </c>
      <c r="H3517" s="28" t="s">
        <v>212</v>
      </c>
      <c r="I3517" s="28" t="s">
        <v>11261</v>
      </c>
      <c r="J3517" s="28" t="s">
        <v>11262</v>
      </c>
      <c r="K3517" s="28" t="s">
        <v>11266</v>
      </c>
      <c r="L3517" s="28" t="s">
        <v>8318</v>
      </c>
      <c r="M3517" s="28" t="s">
        <v>21</v>
      </c>
      <c r="N3517" s="27">
        <v>38758</v>
      </c>
      <c r="O3517" s="92">
        <v>39264</v>
      </c>
      <c r="P3517" s="28" t="s">
        <v>31</v>
      </c>
      <c r="Q3517" s="26" t="b">
        <v>0</v>
      </c>
      <c r="R3517" s="22">
        <f t="shared" si="57"/>
        <v>595</v>
      </c>
    </row>
    <row r="3518" spans="1:18">
      <c r="A3518" s="26">
        <v>8254</v>
      </c>
      <c r="B3518" s="27">
        <v>38670</v>
      </c>
      <c r="C3518" s="28" t="s">
        <v>11267</v>
      </c>
      <c r="D3518" s="27">
        <v>38658</v>
      </c>
      <c r="E3518" s="28" t="s">
        <v>11268</v>
      </c>
      <c r="F3518" s="28" t="s">
        <v>974</v>
      </c>
      <c r="G3518" s="28" t="s">
        <v>20</v>
      </c>
      <c r="H3518" s="28" t="s">
        <v>212</v>
      </c>
      <c r="I3518" s="28" t="s">
        <v>11261</v>
      </c>
      <c r="J3518" s="28" t="s">
        <v>11269</v>
      </c>
      <c r="K3518" s="28" t="s">
        <v>11270</v>
      </c>
      <c r="L3518" s="28" t="s">
        <v>8318</v>
      </c>
      <c r="M3518" s="28" t="s">
        <v>11271</v>
      </c>
      <c r="N3518" s="27">
        <v>38758</v>
      </c>
      <c r="O3518" s="92">
        <v>39199</v>
      </c>
      <c r="P3518" s="28" t="s">
        <v>31</v>
      </c>
      <c r="Q3518" s="26" t="b">
        <v>0</v>
      </c>
      <c r="R3518" s="22">
        <f t="shared" si="57"/>
        <v>530</v>
      </c>
    </row>
    <row r="3519" spans="1:18">
      <c r="A3519" s="26">
        <v>8255</v>
      </c>
      <c r="B3519" s="27">
        <v>38670</v>
      </c>
      <c r="C3519" s="28" t="s">
        <v>11272</v>
      </c>
      <c r="D3519" s="27">
        <v>38659</v>
      </c>
      <c r="E3519" s="28" t="s">
        <v>11273</v>
      </c>
      <c r="F3519" s="28" t="s">
        <v>5270</v>
      </c>
      <c r="G3519" s="28" t="s">
        <v>20</v>
      </c>
      <c r="H3519" s="28" t="s">
        <v>71</v>
      </c>
      <c r="I3519" s="28" t="s">
        <v>72</v>
      </c>
      <c r="J3519" s="28" t="s">
        <v>11274</v>
      </c>
      <c r="K3519" s="28" t="s">
        <v>11275</v>
      </c>
      <c r="L3519" s="28" t="s">
        <v>10871</v>
      </c>
      <c r="M3519" s="28" t="s">
        <v>11276</v>
      </c>
      <c r="N3519" s="29">
        <v>38700</v>
      </c>
      <c r="O3519" s="92">
        <v>38848</v>
      </c>
      <c r="P3519" s="28" t="s">
        <v>31</v>
      </c>
      <c r="Q3519" s="26" t="b">
        <v>0</v>
      </c>
      <c r="R3519" s="22">
        <f t="shared" si="57"/>
        <v>179</v>
      </c>
    </row>
    <row r="3520" spans="1:18">
      <c r="A3520" s="26">
        <v>8256</v>
      </c>
      <c r="B3520" s="27">
        <v>38670</v>
      </c>
      <c r="C3520" s="28" t="s">
        <v>11277</v>
      </c>
      <c r="D3520" s="27">
        <v>38664</v>
      </c>
      <c r="E3520" s="28" t="s">
        <v>11278</v>
      </c>
      <c r="F3520" s="28" t="s">
        <v>8358</v>
      </c>
      <c r="G3520" s="28" t="s">
        <v>20</v>
      </c>
      <c r="H3520" s="28" t="s">
        <v>71</v>
      </c>
      <c r="I3520" s="28" t="s">
        <v>72</v>
      </c>
      <c r="J3520" s="28" t="s">
        <v>11279</v>
      </c>
      <c r="K3520" s="28" t="s">
        <v>21</v>
      </c>
      <c r="L3520" s="28" t="s">
        <v>2205</v>
      </c>
      <c r="M3520" s="28" t="s">
        <v>21</v>
      </c>
      <c r="N3520" s="27">
        <v>38698</v>
      </c>
      <c r="O3520" s="92">
        <v>38678</v>
      </c>
      <c r="P3520" s="28" t="s">
        <v>31</v>
      </c>
      <c r="Q3520" s="26" t="b">
        <v>0</v>
      </c>
      <c r="R3520" s="22">
        <f t="shared" si="57"/>
        <v>8</v>
      </c>
    </row>
    <row r="3521" spans="1:18" ht="24">
      <c r="A3521" s="26">
        <v>8257</v>
      </c>
      <c r="B3521" s="27">
        <v>38672</v>
      </c>
      <c r="C3521" s="28" t="s">
        <v>11280</v>
      </c>
      <c r="D3521" s="27">
        <v>38665</v>
      </c>
      <c r="E3521" s="28" t="s">
        <v>38</v>
      </c>
      <c r="F3521" s="28" t="s">
        <v>11281</v>
      </c>
      <c r="G3521" s="28" t="s">
        <v>20</v>
      </c>
      <c r="H3521" s="28" t="s">
        <v>71</v>
      </c>
      <c r="I3521" s="28" t="s">
        <v>72</v>
      </c>
      <c r="J3521" s="28" t="s">
        <v>11282</v>
      </c>
      <c r="K3521" s="28" t="s">
        <v>21</v>
      </c>
      <c r="L3521" s="28" t="s">
        <v>4579</v>
      </c>
      <c r="M3521" s="28" t="s">
        <v>21</v>
      </c>
      <c r="N3521" s="18"/>
      <c r="O3521" s="92">
        <v>38671</v>
      </c>
      <c r="P3521" s="28" t="s">
        <v>31</v>
      </c>
      <c r="Q3521" s="26" t="b">
        <v>0</v>
      </c>
      <c r="R3521" s="22">
        <f t="shared" si="57"/>
        <v>1</v>
      </c>
    </row>
    <row r="3522" spans="1:18">
      <c r="A3522" s="26">
        <v>8258</v>
      </c>
      <c r="B3522" s="27">
        <v>38672</v>
      </c>
      <c r="C3522" s="28" t="s">
        <v>11283</v>
      </c>
      <c r="D3522" s="27">
        <v>38671</v>
      </c>
      <c r="E3522" s="28" t="s">
        <v>11284</v>
      </c>
      <c r="F3522" s="28" t="s">
        <v>6953</v>
      </c>
      <c r="G3522" s="28" t="s">
        <v>20</v>
      </c>
      <c r="H3522" s="28" t="s">
        <v>71</v>
      </c>
      <c r="I3522" s="28" t="s">
        <v>72</v>
      </c>
      <c r="J3522" s="28" t="s">
        <v>11285</v>
      </c>
      <c r="K3522" s="28" t="s">
        <v>21</v>
      </c>
      <c r="L3522" s="28" t="s">
        <v>8318</v>
      </c>
      <c r="M3522" s="28" t="s">
        <v>21</v>
      </c>
      <c r="N3522" s="29">
        <v>38763</v>
      </c>
      <c r="O3522" s="92">
        <v>38678</v>
      </c>
      <c r="P3522" s="28" t="s">
        <v>21</v>
      </c>
      <c r="Q3522" s="26" t="b">
        <v>0</v>
      </c>
      <c r="R3522" s="22">
        <f t="shared" si="57"/>
        <v>6</v>
      </c>
    </row>
    <row r="3523" spans="1:18" ht="24">
      <c r="A3523" s="26">
        <v>8259</v>
      </c>
      <c r="B3523" s="27">
        <v>38672</v>
      </c>
      <c r="C3523" s="28" t="s">
        <v>11286</v>
      </c>
      <c r="D3523" s="27">
        <v>38671</v>
      </c>
      <c r="E3523" s="28" t="s">
        <v>11287</v>
      </c>
      <c r="F3523" s="28" t="s">
        <v>27</v>
      </c>
      <c r="G3523" s="28" t="s">
        <v>20</v>
      </c>
      <c r="H3523" s="28" t="s">
        <v>189</v>
      </c>
      <c r="I3523" s="28" t="s">
        <v>189</v>
      </c>
      <c r="J3523" s="28" t="s">
        <v>11288</v>
      </c>
      <c r="K3523" s="28" t="s">
        <v>11289</v>
      </c>
      <c r="L3523" s="28" t="s">
        <v>4282</v>
      </c>
      <c r="M3523" s="28" t="s">
        <v>21</v>
      </c>
      <c r="N3523" s="29">
        <v>38764</v>
      </c>
      <c r="O3523" s="92">
        <v>38722</v>
      </c>
      <c r="P3523" s="28" t="s">
        <v>21</v>
      </c>
      <c r="Q3523" s="26" t="b">
        <v>0</v>
      </c>
      <c r="R3523" s="22">
        <f t="shared" si="57"/>
        <v>49</v>
      </c>
    </row>
    <row r="3524" spans="1:18">
      <c r="A3524" s="26">
        <v>8260</v>
      </c>
      <c r="B3524" s="27">
        <v>38674</v>
      </c>
      <c r="C3524" s="28" t="s">
        <v>11290</v>
      </c>
      <c r="D3524" s="27">
        <v>38674</v>
      </c>
      <c r="E3524" s="28" t="s">
        <v>11291</v>
      </c>
      <c r="F3524" s="28" t="s">
        <v>1232</v>
      </c>
      <c r="G3524" s="28" t="s">
        <v>20</v>
      </c>
      <c r="H3524" s="28" t="s">
        <v>189</v>
      </c>
      <c r="I3524" s="28" t="s">
        <v>189</v>
      </c>
      <c r="J3524" s="28" t="s">
        <v>11292</v>
      </c>
      <c r="K3524" s="28" t="s">
        <v>21</v>
      </c>
      <c r="L3524" s="28" t="s">
        <v>4282</v>
      </c>
      <c r="M3524" s="28" t="s">
        <v>4579</v>
      </c>
      <c r="N3524" s="29">
        <v>38766</v>
      </c>
      <c r="O3524" s="92">
        <v>38847</v>
      </c>
      <c r="P3524" s="28" t="s">
        <v>31</v>
      </c>
      <c r="Q3524" s="26" t="b">
        <v>0</v>
      </c>
      <c r="R3524" s="22">
        <f t="shared" si="57"/>
        <v>174</v>
      </c>
    </row>
    <row r="3525" spans="1:18">
      <c r="A3525" s="26">
        <v>8261</v>
      </c>
      <c r="B3525" s="27">
        <v>38678</v>
      </c>
      <c r="C3525" s="28" t="s">
        <v>11293</v>
      </c>
      <c r="D3525" s="27">
        <v>38674</v>
      </c>
      <c r="E3525" s="28" t="s">
        <v>38</v>
      </c>
      <c r="F3525" s="28" t="s">
        <v>52</v>
      </c>
      <c r="G3525" s="28" t="s">
        <v>20</v>
      </c>
      <c r="H3525" s="28" t="s">
        <v>71</v>
      </c>
      <c r="I3525" s="28" t="s">
        <v>72</v>
      </c>
      <c r="J3525" s="28" t="s">
        <v>11294</v>
      </c>
      <c r="K3525" s="28" t="s">
        <v>11295</v>
      </c>
      <c r="L3525" s="28" t="s">
        <v>8318</v>
      </c>
      <c r="M3525" s="28" t="s">
        <v>21</v>
      </c>
      <c r="N3525" s="18"/>
      <c r="O3525" s="92">
        <v>38677</v>
      </c>
      <c r="P3525" s="28" t="s">
        <v>31</v>
      </c>
      <c r="Q3525" s="26" t="b">
        <v>0</v>
      </c>
      <c r="R3525" s="22">
        <f t="shared" si="57"/>
        <v>1</v>
      </c>
    </row>
    <row r="3526" spans="1:18" ht="24">
      <c r="A3526" s="26">
        <v>8263</v>
      </c>
      <c r="B3526" s="27">
        <v>38686</v>
      </c>
      <c r="C3526" s="28" t="s">
        <v>11299</v>
      </c>
      <c r="D3526" s="27">
        <v>38678</v>
      </c>
      <c r="E3526" s="28" t="s">
        <v>11300</v>
      </c>
      <c r="F3526" s="28" t="s">
        <v>211</v>
      </c>
      <c r="G3526" s="28" t="s">
        <v>20</v>
      </c>
      <c r="H3526" s="28" t="s">
        <v>212</v>
      </c>
      <c r="I3526" s="28" t="s">
        <v>11261</v>
      </c>
      <c r="J3526" s="28" t="s">
        <v>11301</v>
      </c>
      <c r="K3526" s="28" t="s">
        <v>21</v>
      </c>
      <c r="L3526" s="28" t="s">
        <v>4579</v>
      </c>
      <c r="M3526" s="28" t="s">
        <v>21</v>
      </c>
      <c r="N3526" s="27">
        <v>38716</v>
      </c>
      <c r="O3526" s="92">
        <v>38727</v>
      </c>
      <c r="P3526" s="28" t="s">
        <v>21</v>
      </c>
      <c r="Q3526" s="26" t="b">
        <v>0</v>
      </c>
      <c r="R3526" s="22">
        <f t="shared" si="57"/>
        <v>40</v>
      </c>
    </row>
    <row r="3527" spans="1:18" ht="24">
      <c r="A3527" s="26">
        <v>8264</v>
      </c>
      <c r="B3527" s="27">
        <v>38688</v>
      </c>
      <c r="C3527" s="28" t="s">
        <v>11302</v>
      </c>
      <c r="D3527" s="27">
        <v>38685</v>
      </c>
      <c r="E3527" s="28" t="s">
        <v>11303</v>
      </c>
      <c r="F3527" s="28" t="s">
        <v>6298</v>
      </c>
      <c r="G3527" s="28" t="s">
        <v>20</v>
      </c>
      <c r="H3527" s="28" t="s">
        <v>71</v>
      </c>
      <c r="I3527" s="28" t="s">
        <v>72</v>
      </c>
      <c r="J3527" s="28" t="s">
        <v>11304</v>
      </c>
      <c r="K3527" s="28" t="s">
        <v>21</v>
      </c>
      <c r="L3527" s="28" t="s">
        <v>3588</v>
      </c>
      <c r="M3527" s="28" t="s">
        <v>11305</v>
      </c>
      <c r="N3527" s="29">
        <v>38778</v>
      </c>
      <c r="O3527" s="92">
        <v>39792</v>
      </c>
      <c r="P3527" s="28" t="s">
        <v>21</v>
      </c>
      <c r="Q3527" s="26" t="b">
        <v>1</v>
      </c>
      <c r="R3527" s="22">
        <f t="shared" si="57"/>
        <v>1103</v>
      </c>
    </row>
    <row r="3528" spans="1:18">
      <c r="A3528" s="26">
        <v>8265</v>
      </c>
      <c r="B3528" s="27">
        <v>38688</v>
      </c>
      <c r="C3528" s="28" t="s">
        <v>11306</v>
      </c>
      <c r="D3528" s="27">
        <v>38685</v>
      </c>
      <c r="E3528" s="28" t="s">
        <v>38</v>
      </c>
      <c r="F3528" s="28" t="s">
        <v>5690</v>
      </c>
      <c r="G3528" s="28" t="s">
        <v>20</v>
      </c>
      <c r="H3528" s="28" t="s">
        <v>71</v>
      </c>
      <c r="I3528" s="28" t="s">
        <v>72</v>
      </c>
      <c r="J3528" s="28" t="s">
        <v>11307</v>
      </c>
      <c r="K3528" s="28" t="s">
        <v>2226</v>
      </c>
      <c r="L3528" s="28" t="s">
        <v>8318</v>
      </c>
      <c r="M3528" s="28" t="s">
        <v>21</v>
      </c>
      <c r="O3528" s="92">
        <v>38688</v>
      </c>
      <c r="P3528" s="28" t="s">
        <v>31</v>
      </c>
      <c r="Q3528" s="26" t="b">
        <v>1</v>
      </c>
      <c r="R3528" s="22">
        <f t="shared" si="57"/>
        <v>0</v>
      </c>
    </row>
    <row r="3529" spans="1:18" ht="24">
      <c r="A3529" s="26">
        <v>8266</v>
      </c>
      <c r="B3529" s="27">
        <v>38688</v>
      </c>
      <c r="C3529" s="28" t="s">
        <v>11308</v>
      </c>
      <c r="D3529" s="27">
        <v>38686</v>
      </c>
      <c r="E3529" s="28" t="s">
        <v>11309</v>
      </c>
      <c r="F3529" s="28" t="s">
        <v>27</v>
      </c>
      <c r="G3529" s="28" t="s">
        <v>20</v>
      </c>
      <c r="H3529" s="28" t="s">
        <v>71</v>
      </c>
      <c r="I3529" s="28" t="s">
        <v>72</v>
      </c>
      <c r="J3529" s="28" t="s">
        <v>11310</v>
      </c>
      <c r="K3529" s="28" t="s">
        <v>21</v>
      </c>
      <c r="L3529" s="28" t="s">
        <v>4579</v>
      </c>
      <c r="M3529" s="28" t="s">
        <v>4282</v>
      </c>
      <c r="N3529" s="27">
        <v>38778</v>
      </c>
      <c r="O3529" s="92">
        <v>40562</v>
      </c>
      <c r="P3529" s="28" t="s">
        <v>21</v>
      </c>
      <c r="Q3529" s="26" t="b">
        <v>0</v>
      </c>
      <c r="R3529" s="22">
        <f t="shared" si="57"/>
        <v>1872</v>
      </c>
    </row>
    <row r="3530" spans="1:18">
      <c r="A3530" s="26">
        <v>8267</v>
      </c>
      <c r="B3530" s="27">
        <v>38688</v>
      </c>
      <c r="C3530" s="28" t="s">
        <v>11311</v>
      </c>
      <c r="D3530" s="27">
        <v>38687</v>
      </c>
      <c r="E3530" s="28" t="s">
        <v>11312</v>
      </c>
      <c r="F3530" s="28" t="s">
        <v>1232</v>
      </c>
      <c r="G3530" s="28" t="s">
        <v>20</v>
      </c>
      <c r="H3530" s="28" t="s">
        <v>189</v>
      </c>
      <c r="I3530" s="28" t="s">
        <v>189</v>
      </c>
      <c r="J3530" s="28" t="s">
        <v>11313</v>
      </c>
      <c r="K3530" s="28" t="s">
        <v>9958</v>
      </c>
      <c r="L3530" s="28" t="s">
        <v>4579</v>
      </c>
      <c r="M3530" s="28" t="s">
        <v>21</v>
      </c>
      <c r="N3530" s="27">
        <v>38778</v>
      </c>
      <c r="O3530" s="92">
        <v>38695</v>
      </c>
      <c r="P3530" s="28" t="s">
        <v>21</v>
      </c>
      <c r="Q3530" s="26" t="b">
        <v>0</v>
      </c>
      <c r="R3530" s="22">
        <f t="shared" si="57"/>
        <v>7</v>
      </c>
    </row>
    <row r="3531" spans="1:18">
      <c r="A3531" s="26">
        <v>8268</v>
      </c>
      <c r="B3531" s="27">
        <v>38688</v>
      </c>
      <c r="C3531" s="28" t="s">
        <v>11314</v>
      </c>
      <c r="D3531" s="27">
        <v>38688</v>
      </c>
      <c r="E3531" s="28" t="s">
        <v>1432</v>
      </c>
      <c r="F3531" s="28" t="s">
        <v>974</v>
      </c>
      <c r="G3531" s="28" t="s">
        <v>20</v>
      </c>
      <c r="H3531" s="28" t="s">
        <v>212</v>
      </c>
      <c r="I3531" s="28" t="s">
        <v>11261</v>
      </c>
      <c r="J3531" s="28" t="s">
        <v>11315</v>
      </c>
      <c r="K3531" s="28" t="s">
        <v>21</v>
      </c>
      <c r="L3531" s="28" t="s">
        <v>4579</v>
      </c>
      <c r="M3531" s="28" t="s">
        <v>11316</v>
      </c>
      <c r="N3531" s="18"/>
      <c r="O3531" s="92">
        <v>40512</v>
      </c>
      <c r="P3531" s="28" t="s">
        <v>31</v>
      </c>
      <c r="Q3531" s="26" t="b">
        <v>1</v>
      </c>
      <c r="R3531" s="22">
        <f t="shared" si="57"/>
        <v>1822</v>
      </c>
    </row>
    <row r="3532" spans="1:18">
      <c r="A3532" s="26">
        <v>8269</v>
      </c>
      <c r="B3532" s="27">
        <v>38691</v>
      </c>
      <c r="C3532" s="28" t="s">
        <v>11317</v>
      </c>
      <c r="D3532" s="27">
        <v>38686</v>
      </c>
      <c r="E3532" s="28" t="s">
        <v>11318</v>
      </c>
      <c r="F3532" s="28" t="s">
        <v>11319</v>
      </c>
      <c r="G3532" s="28" t="s">
        <v>20</v>
      </c>
      <c r="H3532" s="28" t="s">
        <v>71</v>
      </c>
      <c r="I3532" s="28" t="s">
        <v>72</v>
      </c>
      <c r="J3532" s="28" t="s">
        <v>11320</v>
      </c>
      <c r="K3532" s="28" t="s">
        <v>11321</v>
      </c>
      <c r="L3532" s="28" t="s">
        <v>8318</v>
      </c>
      <c r="M3532" s="28" t="s">
        <v>21</v>
      </c>
      <c r="N3532" s="18"/>
      <c r="O3532" s="92">
        <v>38688</v>
      </c>
      <c r="P3532" s="28" t="s">
        <v>182</v>
      </c>
      <c r="Q3532" s="26" t="b">
        <v>0</v>
      </c>
      <c r="R3532" s="22">
        <f t="shared" si="57"/>
        <v>3</v>
      </c>
    </row>
    <row r="3533" spans="1:18" ht="24">
      <c r="A3533" s="26">
        <v>8271</v>
      </c>
      <c r="B3533" s="27">
        <v>38692</v>
      </c>
      <c r="C3533" s="28" t="s">
        <v>11322</v>
      </c>
      <c r="D3533" s="27">
        <v>38691</v>
      </c>
      <c r="E3533" s="28" t="s">
        <v>11323</v>
      </c>
      <c r="F3533" s="28" t="s">
        <v>5690</v>
      </c>
      <c r="G3533" s="28" t="s">
        <v>20</v>
      </c>
      <c r="H3533" s="28" t="s">
        <v>71</v>
      </c>
      <c r="I3533" s="28" t="s">
        <v>72</v>
      </c>
      <c r="J3533" s="28" t="s">
        <v>11324</v>
      </c>
      <c r="K3533" s="28" t="s">
        <v>21</v>
      </c>
      <c r="L3533" s="28" t="s">
        <v>4282</v>
      </c>
      <c r="M3533" s="28" t="s">
        <v>21</v>
      </c>
      <c r="N3533" s="18"/>
      <c r="O3533" s="92">
        <v>38695</v>
      </c>
      <c r="P3533" s="28" t="s">
        <v>21</v>
      </c>
      <c r="Q3533" s="26" t="b">
        <v>1</v>
      </c>
      <c r="R3533" s="22">
        <f t="shared" si="57"/>
        <v>3</v>
      </c>
    </row>
    <row r="3534" spans="1:18">
      <c r="A3534" s="26">
        <v>8272</v>
      </c>
      <c r="B3534" s="27">
        <v>38695</v>
      </c>
      <c r="C3534" s="28" t="s">
        <v>11325</v>
      </c>
      <c r="D3534" s="27">
        <v>38691</v>
      </c>
      <c r="E3534" s="28" t="s">
        <v>11326</v>
      </c>
      <c r="F3534" s="28" t="s">
        <v>8615</v>
      </c>
      <c r="G3534" s="28" t="s">
        <v>20</v>
      </c>
      <c r="H3534" s="28" t="s">
        <v>566</v>
      </c>
      <c r="I3534" s="28" t="s">
        <v>212</v>
      </c>
      <c r="J3534" s="28" t="s">
        <v>11327</v>
      </c>
      <c r="K3534" s="28" t="s">
        <v>11328</v>
      </c>
      <c r="L3534" s="28" t="s">
        <v>2205</v>
      </c>
      <c r="M3534" s="28" t="s">
        <v>21</v>
      </c>
      <c r="N3534" s="29">
        <v>38782</v>
      </c>
      <c r="O3534" s="92">
        <v>38700</v>
      </c>
      <c r="P3534" s="28" t="s">
        <v>31</v>
      </c>
      <c r="Q3534" s="26" t="b">
        <v>1</v>
      </c>
      <c r="R3534" s="22">
        <f t="shared" si="57"/>
        <v>5</v>
      </c>
    </row>
    <row r="3535" spans="1:18">
      <c r="A3535" s="26">
        <v>8273</v>
      </c>
      <c r="B3535" s="27">
        <v>38695</v>
      </c>
      <c r="C3535" s="28" t="s">
        <v>11329</v>
      </c>
      <c r="D3535" s="27">
        <v>38693</v>
      </c>
      <c r="E3535" s="28" t="s">
        <v>11330</v>
      </c>
      <c r="F3535" s="28" t="s">
        <v>27</v>
      </c>
      <c r="G3535" s="28" t="s">
        <v>20</v>
      </c>
      <c r="H3535" s="28" t="s">
        <v>71</v>
      </c>
      <c r="I3535" s="28" t="s">
        <v>72</v>
      </c>
      <c r="J3535" s="28" t="s">
        <v>11331</v>
      </c>
      <c r="K3535" s="28" t="s">
        <v>21</v>
      </c>
      <c r="L3535" s="28" t="s">
        <v>1946</v>
      </c>
      <c r="M3535" s="28" t="s">
        <v>21</v>
      </c>
      <c r="N3535" s="27">
        <v>38726</v>
      </c>
      <c r="O3535" s="92">
        <v>38953</v>
      </c>
      <c r="P3535" s="28" t="s">
        <v>31</v>
      </c>
      <c r="Q3535" s="26" t="b">
        <v>1</v>
      </c>
      <c r="R3535" s="22">
        <f t="shared" si="57"/>
        <v>258</v>
      </c>
    </row>
    <row r="3536" spans="1:18">
      <c r="A3536" s="26">
        <v>8274</v>
      </c>
      <c r="B3536" s="27">
        <v>38698</v>
      </c>
      <c r="C3536" s="28" t="s">
        <v>11332</v>
      </c>
      <c r="D3536" s="27">
        <v>38665</v>
      </c>
      <c r="E3536" s="28" t="s">
        <v>10998</v>
      </c>
      <c r="F3536" s="28" t="s">
        <v>27</v>
      </c>
      <c r="G3536" s="28" t="s">
        <v>20</v>
      </c>
      <c r="H3536" s="28" t="s">
        <v>71</v>
      </c>
      <c r="I3536" s="28" t="s">
        <v>72</v>
      </c>
      <c r="J3536" s="28" t="s">
        <v>11333</v>
      </c>
      <c r="K3536" s="28" t="s">
        <v>11334</v>
      </c>
      <c r="L3536" s="28" t="s">
        <v>11276</v>
      </c>
      <c r="M3536" s="28" t="s">
        <v>21</v>
      </c>
      <c r="N3536" s="18"/>
      <c r="O3536" s="92">
        <v>38729</v>
      </c>
      <c r="P3536" s="28" t="s">
        <v>21</v>
      </c>
      <c r="Q3536" s="26" t="b">
        <v>0</v>
      </c>
      <c r="R3536" s="22">
        <f t="shared" si="57"/>
        <v>30</v>
      </c>
    </row>
    <row r="3537" spans="1:18">
      <c r="A3537" s="26">
        <v>8275</v>
      </c>
      <c r="B3537" s="27">
        <v>38698</v>
      </c>
      <c r="C3537" s="28" t="s">
        <v>11335</v>
      </c>
      <c r="D3537" s="27">
        <v>38665</v>
      </c>
      <c r="E3537" s="28" t="s">
        <v>11030</v>
      </c>
      <c r="F3537" s="28" t="s">
        <v>27</v>
      </c>
      <c r="G3537" s="28" t="s">
        <v>20</v>
      </c>
      <c r="H3537" s="28" t="s">
        <v>71</v>
      </c>
      <c r="I3537" s="28" t="s">
        <v>72</v>
      </c>
      <c r="J3537" s="28" t="s">
        <v>11336</v>
      </c>
      <c r="K3537" s="28" t="s">
        <v>11334</v>
      </c>
      <c r="L3537" s="28" t="s">
        <v>11276</v>
      </c>
      <c r="M3537" s="28" t="s">
        <v>21</v>
      </c>
      <c r="N3537" s="18"/>
      <c r="O3537" s="92">
        <v>38729</v>
      </c>
      <c r="P3537" s="28" t="s">
        <v>21</v>
      </c>
      <c r="Q3537" s="26" t="b">
        <v>0</v>
      </c>
      <c r="R3537" s="22">
        <f t="shared" si="57"/>
        <v>30</v>
      </c>
    </row>
    <row r="3538" spans="1:18">
      <c r="A3538" s="26">
        <v>8277</v>
      </c>
      <c r="B3538" s="27">
        <v>38699</v>
      </c>
      <c r="C3538" s="28" t="s">
        <v>11337</v>
      </c>
      <c r="D3538" s="27">
        <v>38698</v>
      </c>
      <c r="E3538" s="28" t="s">
        <v>11338</v>
      </c>
      <c r="F3538" s="28" t="s">
        <v>5690</v>
      </c>
      <c r="G3538" s="28" t="s">
        <v>20</v>
      </c>
      <c r="H3538" s="28" t="s">
        <v>71</v>
      </c>
      <c r="I3538" s="28" t="s">
        <v>72</v>
      </c>
      <c r="J3538" s="28" t="s">
        <v>11339</v>
      </c>
      <c r="K3538" s="28" t="s">
        <v>6523</v>
      </c>
      <c r="L3538" s="28" t="s">
        <v>2205</v>
      </c>
      <c r="M3538" s="28" t="s">
        <v>21</v>
      </c>
      <c r="N3538" s="27">
        <v>38789</v>
      </c>
      <c r="O3538" s="92">
        <v>38699</v>
      </c>
      <c r="P3538" s="28" t="s">
        <v>31</v>
      </c>
      <c r="Q3538" s="26" t="b">
        <v>1</v>
      </c>
      <c r="R3538" s="22">
        <f t="shared" si="57"/>
        <v>0</v>
      </c>
    </row>
    <row r="3539" spans="1:18" ht="24">
      <c r="A3539" s="26">
        <v>8278</v>
      </c>
      <c r="B3539" s="27">
        <v>38699</v>
      </c>
      <c r="C3539" s="28" t="s">
        <v>11340</v>
      </c>
      <c r="D3539" s="27">
        <v>38695</v>
      </c>
      <c r="E3539" s="28" t="s">
        <v>11341</v>
      </c>
      <c r="F3539" s="28" t="s">
        <v>124</v>
      </c>
      <c r="G3539" s="28" t="s">
        <v>20</v>
      </c>
      <c r="H3539" s="28" t="s">
        <v>71</v>
      </c>
      <c r="I3539" s="28" t="s">
        <v>72</v>
      </c>
      <c r="J3539" s="28" t="s">
        <v>11342</v>
      </c>
      <c r="K3539" s="28" t="s">
        <v>21</v>
      </c>
      <c r="L3539" s="28" t="s">
        <v>2205</v>
      </c>
      <c r="M3539" s="28" t="s">
        <v>21</v>
      </c>
      <c r="N3539" s="27">
        <v>38730</v>
      </c>
      <c r="O3539" s="92">
        <v>38729</v>
      </c>
      <c r="P3539" s="28" t="s">
        <v>31</v>
      </c>
      <c r="Q3539" s="26" t="b">
        <v>1</v>
      </c>
      <c r="R3539" s="22">
        <f t="shared" si="57"/>
        <v>29</v>
      </c>
    </row>
    <row r="3540" spans="1:18">
      <c r="A3540" s="26">
        <v>8279</v>
      </c>
      <c r="B3540" s="27">
        <v>38700</v>
      </c>
      <c r="C3540" s="28" t="s">
        <v>11343</v>
      </c>
      <c r="D3540" s="27">
        <v>38699</v>
      </c>
      <c r="E3540" s="28" t="s">
        <v>11344</v>
      </c>
      <c r="F3540" s="28" t="s">
        <v>10967</v>
      </c>
      <c r="G3540" s="28" t="s">
        <v>20</v>
      </c>
      <c r="H3540" s="28" t="s">
        <v>71</v>
      </c>
      <c r="I3540" s="28" t="s">
        <v>72</v>
      </c>
      <c r="J3540" s="28" t="s">
        <v>11345</v>
      </c>
      <c r="K3540" s="28" t="s">
        <v>21</v>
      </c>
      <c r="L3540" s="28" t="s">
        <v>2205</v>
      </c>
      <c r="M3540" s="28" t="s">
        <v>21</v>
      </c>
      <c r="N3540" s="27">
        <v>38730</v>
      </c>
      <c r="O3540" s="92">
        <v>38715</v>
      </c>
      <c r="P3540" s="28" t="s">
        <v>31</v>
      </c>
      <c r="Q3540" s="26" t="b">
        <v>1</v>
      </c>
      <c r="R3540" s="22">
        <f t="shared" si="57"/>
        <v>15</v>
      </c>
    </row>
    <row r="3541" spans="1:18">
      <c r="A3541" s="26">
        <v>8280</v>
      </c>
      <c r="B3541" s="27">
        <v>38701</v>
      </c>
      <c r="C3541" s="28" t="s">
        <v>11346</v>
      </c>
      <c r="D3541" s="27">
        <v>38700</v>
      </c>
      <c r="E3541" s="28" t="s">
        <v>11347</v>
      </c>
      <c r="F3541" s="28" t="s">
        <v>8615</v>
      </c>
      <c r="G3541" s="28" t="s">
        <v>20</v>
      </c>
      <c r="H3541" s="28" t="s">
        <v>71</v>
      </c>
      <c r="I3541" s="28" t="s">
        <v>72</v>
      </c>
      <c r="J3541" s="28" t="s">
        <v>11348</v>
      </c>
      <c r="K3541" s="28" t="s">
        <v>21</v>
      </c>
      <c r="L3541" s="28" t="s">
        <v>1946</v>
      </c>
      <c r="M3541" s="28" t="s">
        <v>21</v>
      </c>
      <c r="N3541" s="27">
        <v>38790</v>
      </c>
      <c r="O3541" s="92">
        <v>38901</v>
      </c>
      <c r="P3541" s="28" t="s">
        <v>31</v>
      </c>
      <c r="Q3541" s="26" t="b">
        <v>1</v>
      </c>
      <c r="R3541" s="22">
        <f t="shared" si="57"/>
        <v>200</v>
      </c>
    </row>
    <row r="3542" spans="1:18">
      <c r="A3542" s="26">
        <v>8281</v>
      </c>
      <c r="B3542" s="27">
        <v>38706</v>
      </c>
      <c r="C3542" s="28" t="s">
        <v>11349</v>
      </c>
      <c r="D3542" s="27">
        <v>38702</v>
      </c>
      <c r="E3542" s="28" t="s">
        <v>11350</v>
      </c>
      <c r="F3542" s="28" t="s">
        <v>52</v>
      </c>
      <c r="G3542" s="28" t="s">
        <v>20</v>
      </c>
      <c r="H3542" s="28" t="s">
        <v>71</v>
      </c>
      <c r="I3542" s="28" t="s">
        <v>72</v>
      </c>
      <c r="J3542" s="28" t="s">
        <v>272</v>
      </c>
      <c r="K3542" s="28" t="s">
        <v>11351</v>
      </c>
      <c r="L3542" s="28" t="s">
        <v>2205</v>
      </c>
      <c r="M3542" s="28" t="s">
        <v>21</v>
      </c>
      <c r="N3542" s="27">
        <v>38737</v>
      </c>
      <c r="O3542" s="92">
        <v>38783</v>
      </c>
      <c r="P3542" s="28" t="s">
        <v>31</v>
      </c>
      <c r="Q3542" s="26" t="b">
        <v>1</v>
      </c>
      <c r="R3542" s="22">
        <f t="shared" si="57"/>
        <v>78</v>
      </c>
    </row>
    <row r="3543" spans="1:18">
      <c r="A3543" s="26">
        <v>8282</v>
      </c>
      <c r="B3543" s="27">
        <v>38707</v>
      </c>
      <c r="C3543" s="28" t="s">
        <v>11352</v>
      </c>
      <c r="D3543" s="27">
        <v>38698</v>
      </c>
      <c r="E3543" s="28" t="s">
        <v>38</v>
      </c>
      <c r="F3543" s="28" t="s">
        <v>104</v>
      </c>
      <c r="G3543" s="28" t="s">
        <v>20</v>
      </c>
      <c r="H3543" s="28" t="s">
        <v>189</v>
      </c>
      <c r="I3543" s="28" t="s">
        <v>189</v>
      </c>
      <c r="J3543" s="28" t="s">
        <v>11353</v>
      </c>
      <c r="K3543" s="28" t="s">
        <v>991</v>
      </c>
      <c r="L3543" s="28" t="s">
        <v>8318</v>
      </c>
      <c r="M3543" s="28" t="s">
        <v>21</v>
      </c>
      <c r="O3543" s="92">
        <v>38707</v>
      </c>
      <c r="P3543" s="28" t="s">
        <v>31</v>
      </c>
      <c r="Q3543" s="26" t="b">
        <v>1</v>
      </c>
      <c r="R3543" s="22">
        <f t="shared" si="57"/>
        <v>0</v>
      </c>
    </row>
    <row r="3544" spans="1:18" ht="24">
      <c r="A3544" s="26">
        <v>8283</v>
      </c>
      <c r="B3544" s="27">
        <v>38707</v>
      </c>
      <c r="C3544" s="28" t="s">
        <v>11354</v>
      </c>
      <c r="D3544" s="27">
        <v>38700</v>
      </c>
      <c r="E3544" s="28" t="s">
        <v>11347</v>
      </c>
      <c r="F3544" s="28" t="s">
        <v>98</v>
      </c>
      <c r="G3544" s="28" t="s">
        <v>20</v>
      </c>
      <c r="H3544" s="28" t="s">
        <v>71</v>
      </c>
      <c r="I3544" s="28" t="s">
        <v>72</v>
      </c>
      <c r="J3544" s="28" t="s">
        <v>5686</v>
      </c>
      <c r="K3544" s="28" t="s">
        <v>11355</v>
      </c>
      <c r="L3544" s="28" t="s">
        <v>3588</v>
      </c>
      <c r="M3544" s="28" t="s">
        <v>11356</v>
      </c>
      <c r="N3544" s="27">
        <v>38790</v>
      </c>
      <c r="O3544" s="92">
        <v>39671</v>
      </c>
      <c r="P3544" s="28" t="s">
        <v>31</v>
      </c>
      <c r="Q3544" s="26" t="b">
        <v>1</v>
      </c>
      <c r="R3544" s="22">
        <f t="shared" si="57"/>
        <v>963</v>
      </c>
    </row>
    <row r="3545" spans="1:18">
      <c r="A3545" s="26">
        <v>8284</v>
      </c>
      <c r="B3545" s="27">
        <v>38707</v>
      </c>
      <c r="C3545" s="28" t="s">
        <v>11357</v>
      </c>
      <c r="D3545" s="27">
        <v>38706</v>
      </c>
      <c r="E3545" s="28" t="s">
        <v>11358</v>
      </c>
      <c r="F3545" s="28" t="s">
        <v>1232</v>
      </c>
      <c r="G3545" s="28" t="s">
        <v>20</v>
      </c>
      <c r="H3545" s="28" t="s">
        <v>189</v>
      </c>
      <c r="I3545" s="28" t="s">
        <v>189</v>
      </c>
      <c r="J3545" s="28" t="s">
        <v>11359</v>
      </c>
      <c r="K3545" s="28" t="s">
        <v>21</v>
      </c>
      <c r="L3545" s="28" t="s">
        <v>4579</v>
      </c>
      <c r="M3545" s="28" t="s">
        <v>21</v>
      </c>
      <c r="N3545" s="27">
        <v>38796</v>
      </c>
      <c r="O3545" s="92">
        <v>38727</v>
      </c>
      <c r="P3545" s="28" t="s">
        <v>31</v>
      </c>
      <c r="Q3545" s="26" t="b">
        <v>1</v>
      </c>
      <c r="R3545" s="22">
        <f t="shared" ref="R3545:R3608" si="58">IF(O3545=" ", " ", INT(YEARFRAC(O3545, B3545)*365))</f>
        <v>19</v>
      </c>
    </row>
    <row r="3546" spans="1:18">
      <c r="A3546" s="26">
        <v>8285</v>
      </c>
      <c r="B3546" s="27">
        <v>38707</v>
      </c>
      <c r="C3546" s="28" t="s">
        <v>11360</v>
      </c>
      <c r="D3546" s="27">
        <v>38699</v>
      </c>
      <c r="E3546" s="28" t="s">
        <v>11361</v>
      </c>
      <c r="F3546" s="28" t="s">
        <v>1232</v>
      </c>
      <c r="G3546" s="28" t="s">
        <v>20</v>
      </c>
      <c r="H3546" s="28" t="s">
        <v>189</v>
      </c>
      <c r="I3546" s="28" t="s">
        <v>189</v>
      </c>
      <c r="J3546" s="28" t="s">
        <v>11313</v>
      </c>
      <c r="K3546" s="28" t="s">
        <v>21</v>
      </c>
      <c r="L3546" s="28" t="s">
        <v>4579</v>
      </c>
      <c r="M3546" s="28" t="s">
        <v>21</v>
      </c>
      <c r="N3546" s="29">
        <v>38789</v>
      </c>
      <c r="O3546" s="92">
        <v>38727</v>
      </c>
      <c r="P3546" s="28" t="s">
        <v>21</v>
      </c>
      <c r="Q3546" s="26" t="b">
        <v>0</v>
      </c>
      <c r="R3546" s="22">
        <f t="shared" si="58"/>
        <v>19</v>
      </c>
    </row>
    <row r="3547" spans="1:18" ht="36">
      <c r="A3547" s="26">
        <v>8286</v>
      </c>
      <c r="B3547" s="27">
        <v>38707</v>
      </c>
      <c r="C3547" s="28" t="s">
        <v>11362</v>
      </c>
      <c r="D3547" s="27">
        <v>38706</v>
      </c>
      <c r="E3547" s="28" t="s">
        <v>11350</v>
      </c>
      <c r="F3547" s="28" t="s">
        <v>34</v>
      </c>
      <c r="G3547" s="28" t="s">
        <v>20</v>
      </c>
      <c r="H3547" s="28" t="s">
        <v>71</v>
      </c>
      <c r="I3547" s="28" t="s">
        <v>72</v>
      </c>
      <c r="J3547" s="28" t="s">
        <v>11363</v>
      </c>
      <c r="K3547" s="28" t="s">
        <v>21</v>
      </c>
      <c r="L3547" s="28" t="s">
        <v>1946</v>
      </c>
      <c r="M3547" s="28" t="s">
        <v>21</v>
      </c>
      <c r="N3547" s="29">
        <v>38737</v>
      </c>
      <c r="O3547" s="92">
        <v>39624</v>
      </c>
      <c r="P3547" s="28" t="s">
        <v>31</v>
      </c>
      <c r="Q3547" s="26" t="b">
        <v>1</v>
      </c>
      <c r="R3547" s="22">
        <f t="shared" si="58"/>
        <v>916</v>
      </c>
    </row>
    <row r="3548" spans="1:18" ht="24">
      <c r="A3548" s="26">
        <v>8287</v>
      </c>
      <c r="B3548" s="27">
        <v>38708</v>
      </c>
      <c r="C3548" s="28" t="s">
        <v>11364</v>
      </c>
      <c r="D3548" s="27">
        <v>38701</v>
      </c>
      <c r="E3548" s="28" t="s">
        <v>11365</v>
      </c>
      <c r="F3548" s="28" t="s">
        <v>5690</v>
      </c>
      <c r="G3548" s="28" t="s">
        <v>20</v>
      </c>
      <c r="H3548" s="28" t="s">
        <v>71</v>
      </c>
      <c r="I3548" s="28" t="s">
        <v>72</v>
      </c>
      <c r="J3548" s="28" t="s">
        <v>7369</v>
      </c>
      <c r="K3548" s="28" t="s">
        <v>11366</v>
      </c>
      <c r="L3548" s="28" t="s">
        <v>8318</v>
      </c>
      <c r="M3548" s="28" t="s">
        <v>21</v>
      </c>
      <c r="N3548" s="29">
        <v>38791</v>
      </c>
      <c r="O3548" s="92">
        <v>38761</v>
      </c>
      <c r="P3548" s="28" t="s">
        <v>21</v>
      </c>
      <c r="Q3548" s="26" t="b">
        <v>0</v>
      </c>
      <c r="R3548" s="22">
        <f t="shared" si="58"/>
        <v>51</v>
      </c>
    </row>
    <row r="3549" spans="1:18">
      <c r="A3549" s="26">
        <v>8288</v>
      </c>
      <c r="B3549" s="27">
        <v>38709</v>
      </c>
      <c r="C3549" s="28" t="s">
        <v>11367</v>
      </c>
      <c r="D3549" s="27">
        <v>38708</v>
      </c>
      <c r="E3549" s="28" t="s">
        <v>11368</v>
      </c>
      <c r="F3549" s="28" t="s">
        <v>11369</v>
      </c>
      <c r="G3549" s="28" t="s">
        <v>20</v>
      </c>
      <c r="H3549" s="28" t="s">
        <v>71</v>
      </c>
      <c r="I3549" s="28" t="s">
        <v>72</v>
      </c>
      <c r="J3549" s="28" t="s">
        <v>6331</v>
      </c>
      <c r="K3549" s="28" t="s">
        <v>11370</v>
      </c>
      <c r="L3549" s="28" t="s">
        <v>4282</v>
      </c>
      <c r="M3549" s="28" t="s">
        <v>21</v>
      </c>
      <c r="N3549" s="27">
        <v>38740</v>
      </c>
      <c r="O3549" s="92">
        <v>38804</v>
      </c>
      <c r="P3549" s="28" t="s">
        <v>31</v>
      </c>
      <c r="Q3549" s="26" t="b">
        <v>1</v>
      </c>
      <c r="R3549" s="22">
        <f t="shared" si="58"/>
        <v>96</v>
      </c>
    </row>
    <row r="3550" spans="1:18">
      <c r="A3550" s="26">
        <v>8289</v>
      </c>
      <c r="B3550" s="27">
        <v>38714</v>
      </c>
      <c r="C3550" s="28" t="s">
        <v>11371</v>
      </c>
      <c r="D3550" s="27">
        <v>38709</v>
      </c>
      <c r="E3550" s="28" t="s">
        <v>11372</v>
      </c>
      <c r="F3550" s="28" t="s">
        <v>124</v>
      </c>
      <c r="G3550" s="28" t="s">
        <v>20</v>
      </c>
      <c r="H3550" s="28" t="s">
        <v>71</v>
      </c>
      <c r="I3550" s="28" t="s">
        <v>72</v>
      </c>
      <c r="J3550" s="28" t="s">
        <v>9276</v>
      </c>
      <c r="K3550" s="28" t="s">
        <v>21</v>
      </c>
      <c r="L3550" s="28" t="s">
        <v>1946</v>
      </c>
      <c r="M3550" s="28" t="s">
        <v>21</v>
      </c>
      <c r="N3550" s="27">
        <v>38740</v>
      </c>
      <c r="O3550" s="92">
        <v>38714</v>
      </c>
      <c r="P3550" s="28" t="s">
        <v>31</v>
      </c>
      <c r="Q3550" s="26" t="b">
        <v>1</v>
      </c>
      <c r="R3550" s="22">
        <f t="shared" si="58"/>
        <v>0</v>
      </c>
    </row>
    <row r="3551" spans="1:18" ht="24">
      <c r="A3551" s="26">
        <v>8290</v>
      </c>
      <c r="B3551" s="27">
        <v>38714</v>
      </c>
      <c r="C3551" s="28" t="s">
        <v>11373</v>
      </c>
      <c r="D3551" s="27">
        <v>38713</v>
      </c>
      <c r="E3551" s="28" t="s">
        <v>11374</v>
      </c>
      <c r="F3551" s="28" t="s">
        <v>11375</v>
      </c>
      <c r="G3551" s="28" t="s">
        <v>20</v>
      </c>
      <c r="H3551" s="28" t="s">
        <v>71</v>
      </c>
      <c r="I3551" s="28" t="s">
        <v>72</v>
      </c>
      <c r="J3551" s="28" t="s">
        <v>11376</v>
      </c>
      <c r="K3551" s="28" t="s">
        <v>11377</v>
      </c>
      <c r="L3551" s="28" t="s">
        <v>2205</v>
      </c>
      <c r="M3551" s="28" t="s">
        <v>21</v>
      </c>
      <c r="N3551" s="27">
        <v>38803</v>
      </c>
      <c r="O3551" s="92">
        <v>38720</v>
      </c>
      <c r="P3551" s="28" t="s">
        <v>21</v>
      </c>
      <c r="Q3551" s="26" t="b">
        <v>0</v>
      </c>
      <c r="R3551" s="22">
        <f t="shared" si="58"/>
        <v>5</v>
      </c>
    </row>
    <row r="3552" spans="1:18">
      <c r="A3552" s="26">
        <v>8291</v>
      </c>
      <c r="B3552" s="27">
        <v>38715</v>
      </c>
      <c r="C3552" s="28" t="s">
        <v>11378</v>
      </c>
      <c r="D3552" s="27">
        <v>38709</v>
      </c>
      <c r="E3552" s="28" t="s">
        <v>11379</v>
      </c>
      <c r="F3552" s="28" t="s">
        <v>5690</v>
      </c>
      <c r="G3552" s="28" t="s">
        <v>20</v>
      </c>
      <c r="H3552" s="28" t="s">
        <v>71</v>
      </c>
      <c r="I3552" s="28" t="s">
        <v>72</v>
      </c>
      <c r="J3552" s="28" t="s">
        <v>11380</v>
      </c>
      <c r="K3552" s="28" t="s">
        <v>11381</v>
      </c>
      <c r="L3552" s="28" t="s">
        <v>8318</v>
      </c>
      <c r="M3552" s="28" t="s">
        <v>21</v>
      </c>
      <c r="N3552" s="18"/>
      <c r="O3552" s="92">
        <v>38714</v>
      </c>
      <c r="P3552" s="28" t="s">
        <v>21</v>
      </c>
      <c r="Q3552" s="26" t="b">
        <v>0</v>
      </c>
      <c r="R3552" s="22">
        <f t="shared" si="58"/>
        <v>1</v>
      </c>
    </row>
    <row r="3553" spans="1:18">
      <c r="A3553" s="26">
        <v>8294</v>
      </c>
      <c r="B3553" s="27">
        <v>38726</v>
      </c>
      <c r="C3553" s="28" t="s">
        <v>11385</v>
      </c>
      <c r="D3553" s="27">
        <v>38726</v>
      </c>
      <c r="E3553" s="28" t="s">
        <v>11386</v>
      </c>
      <c r="F3553" s="28" t="s">
        <v>1771</v>
      </c>
      <c r="G3553" s="28" t="s">
        <v>20</v>
      </c>
      <c r="H3553" s="28" t="s">
        <v>189</v>
      </c>
      <c r="I3553" s="28" t="s">
        <v>21</v>
      </c>
      <c r="J3553" s="28" t="s">
        <v>11387</v>
      </c>
      <c r="K3553" s="28" t="s">
        <v>11388</v>
      </c>
      <c r="L3553" s="28" t="s">
        <v>8318</v>
      </c>
      <c r="M3553" s="28" t="s">
        <v>21</v>
      </c>
      <c r="N3553" s="29">
        <v>38757</v>
      </c>
      <c r="O3553" s="92">
        <v>38741</v>
      </c>
      <c r="P3553" s="28" t="s">
        <v>31</v>
      </c>
      <c r="Q3553" s="26" t="b">
        <v>0</v>
      </c>
      <c r="R3553" s="22">
        <f t="shared" si="58"/>
        <v>15</v>
      </c>
    </row>
    <row r="3554" spans="1:18">
      <c r="A3554" s="26">
        <v>8292</v>
      </c>
      <c r="B3554" s="27">
        <v>38727</v>
      </c>
      <c r="C3554" s="28" t="s">
        <v>11382</v>
      </c>
      <c r="D3554" s="27">
        <v>38723</v>
      </c>
      <c r="E3554" s="28" t="s">
        <v>11383</v>
      </c>
      <c r="F3554" s="28" t="s">
        <v>52</v>
      </c>
      <c r="G3554" s="28" t="s">
        <v>20</v>
      </c>
      <c r="H3554" s="28" t="s">
        <v>71</v>
      </c>
      <c r="I3554" s="28" t="s">
        <v>72</v>
      </c>
      <c r="J3554" s="28" t="s">
        <v>11384</v>
      </c>
      <c r="K3554" s="28" t="s">
        <v>11189</v>
      </c>
      <c r="L3554" s="28" t="s">
        <v>4579</v>
      </c>
      <c r="M3554" s="28" t="s">
        <v>4282</v>
      </c>
      <c r="N3554" s="29">
        <v>38824</v>
      </c>
      <c r="O3554" s="92">
        <v>40562</v>
      </c>
      <c r="P3554" s="28" t="s">
        <v>21</v>
      </c>
      <c r="Q3554" s="26" t="b">
        <v>0</v>
      </c>
      <c r="R3554" s="22">
        <f t="shared" si="58"/>
        <v>1834</v>
      </c>
    </row>
    <row r="3555" spans="1:18">
      <c r="A3555" s="26">
        <v>8295</v>
      </c>
      <c r="B3555" s="27">
        <v>38727</v>
      </c>
      <c r="C3555" s="28" t="s">
        <v>11389</v>
      </c>
      <c r="D3555" s="27">
        <v>38723</v>
      </c>
      <c r="E3555" s="28" t="s">
        <v>11390</v>
      </c>
      <c r="F3555" s="28" t="s">
        <v>7054</v>
      </c>
      <c r="G3555" s="28" t="s">
        <v>20</v>
      </c>
      <c r="H3555" s="28" t="s">
        <v>212</v>
      </c>
      <c r="I3555" s="28" t="s">
        <v>11261</v>
      </c>
      <c r="J3555" s="28" t="s">
        <v>11391</v>
      </c>
      <c r="K3555" s="28" t="s">
        <v>21</v>
      </c>
      <c r="L3555" s="28" t="s">
        <v>8318</v>
      </c>
      <c r="M3555" s="28" t="s">
        <v>21</v>
      </c>
      <c r="O3555" s="92">
        <v>38726</v>
      </c>
      <c r="P3555" s="28" t="s">
        <v>31</v>
      </c>
      <c r="Q3555" s="26" t="b">
        <v>1</v>
      </c>
      <c r="R3555" s="22">
        <f t="shared" si="58"/>
        <v>1</v>
      </c>
    </row>
    <row r="3556" spans="1:18">
      <c r="A3556" s="26">
        <v>8296</v>
      </c>
      <c r="B3556" s="27">
        <v>38727</v>
      </c>
      <c r="C3556" s="28" t="s">
        <v>11392</v>
      </c>
      <c r="D3556" s="27">
        <v>38726</v>
      </c>
      <c r="E3556" s="28" t="s">
        <v>38</v>
      </c>
      <c r="F3556" s="28" t="s">
        <v>11393</v>
      </c>
      <c r="G3556" s="28" t="s">
        <v>20</v>
      </c>
      <c r="H3556" s="28" t="s">
        <v>71</v>
      </c>
      <c r="I3556" s="28" t="s">
        <v>72</v>
      </c>
      <c r="J3556" s="28" t="s">
        <v>11394</v>
      </c>
      <c r="K3556" s="28" t="s">
        <v>21</v>
      </c>
      <c r="L3556" s="28" t="s">
        <v>8318</v>
      </c>
      <c r="M3556" s="28" t="s">
        <v>21</v>
      </c>
      <c r="O3556" s="92">
        <v>38727</v>
      </c>
      <c r="P3556" s="28" t="s">
        <v>31</v>
      </c>
      <c r="Q3556" s="26" t="b">
        <v>1</v>
      </c>
      <c r="R3556" s="22">
        <f t="shared" si="58"/>
        <v>0</v>
      </c>
    </row>
    <row r="3557" spans="1:18">
      <c r="A3557" s="26">
        <v>8298</v>
      </c>
      <c r="B3557" s="27">
        <v>38734</v>
      </c>
      <c r="C3557" s="28" t="s">
        <v>11395</v>
      </c>
      <c r="D3557" s="27">
        <v>38728</v>
      </c>
      <c r="E3557" s="28" t="s">
        <v>11396</v>
      </c>
      <c r="F3557" s="28" t="s">
        <v>2359</v>
      </c>
      <c r="G3557" s="28" t="s">
        <v>20</v>
      </c>
      <c r="H3557" s="28" t="s">
        <v>71</v>
      </c>
      <c r="I3557" s="28" t="s">
        <v>72</v>
      </c>
      <c r="J3557" s="28" t="s">
        <v>11397</v>
      </c>
      <c r="K3557" s="28" t="s">
        <v>11398</v>
      </c>
      <c r="L3557" s="28" t="s">
        <v>8318</v>
      </c>
      <c r="M3557" s="28" t="s">
        <v>21</v>
      </c>
      <c r="O3557" s="92">
        <v>38730</v>
      </c>
      <c r="P3557" s="28" t="s">
        <v>21</v>
      </c>
      <c r="Q3557" s="26" t="b">
        <v>0</v>
      </c>
      <c r="R3557" s="22">
        <f t="shared" si="58"/>
        <v>4</v>
      </c>
    </row>
    <row r="3558" spans="1:18">
      <c r="A3558" s="26">
        <v>8299</v>
      </c>
      <c r="B3558" s="27">
        <v>38734</v>
      </c>
      <c r="C3558" s="28" t="s">
        <v>11399</v>
      </c>
      <c r="D3558" s="27">
        <v>38728</v>
      </c>
      <c r="E3558" s="28" t="s">
        <v>11400</v>
      </c>
      <c r="F3558" s="28" t="s">
        <v>283</v>
      </c>
      <c r="G3558" s="28" t="s">
        <v>20</v>
      </c>
      <c r="H3558" s="28" t="s">
        <v>71</v>
      </c>
      <c r="I3558" s="28" t="s">
        <v>72</v>
      </c>
      <c r="J3558" s="28" t="s">
        <v>11401</v>
      </c>
      <c r="K3558" s="28" t="s">
        <v>21</v>
      </c>
      <c r="L3558" s="28" t="s">
        <v>8318</v>
      </c>
      <c r="M3558" s="28" t="s">
        <v>21</v>
      </c>
      <c r="N3558" s="29">
        <v>38759</v>
      </c>
      <c r="O3558" s="92">
        <v>38751</v>
      </c>
      <c r="P3558" s="28" t="s">
        <v>21</v>
      </c>
      <c r="Q3558" s="26" t="b">
        <v>0</v>
      </c>
      <c r="R3558" s="22">
        <f t="shared" si="58"/>
        <v>16</v>
      </c>
    </row>
    <row r="3559" spans="1:18">
      <c r="A3559" s="26">
        <v>8300</v>
      </c>
      <c r="B3559" s="27">
        <v>38735</v>
      </c>
      <c r="C3559" s="28" t="s">
        <v>11402</v>
      </c>
      <c r="D3559" s="27">
        <v>38728</v>
      </c>
      <c r="E3559" s="28" t="s">
        <v>11403</v>
      </c>
      <c r="F3559" s="28" t="s">
        <v>1771</v>
      </c>
      <c r="G3559" s="28" t="s">
        <v>20</v>
      </c>
      <c r="H3559" s="28" t="s">
        <v>189</v>
      </c>
      <c r="I3559" s="28" t="s">
        <v>189</v>
      </c>
      <c r="J3559" s="28" t="s">
        <v>11404</v>
      </c>
      <c r="K3559" s="28" t="s">
        <v>2783</v>
      </c>
      <c r="L3559" s="28" t="s">
        <v>4579</v>
      </c>
      <c r="M3559" s="28" t="s">
        <v>1946</v>
      </c>
      <c r="N3559" s="29">
        <v>38825</v>
      </c>
      <c r="O3559" s="92">
        <v>39289</v>
      </c>
      <c r="P3559" s="28" t="s">
        <v>21</v>
      </c>
      <c r="Q3559" s="26" t="b">
        <v>0</v>
      </c>
      <c r="R3559" s="22">
        <f t="shared" si="58"/>
        <v>555</v>
      </c>
    </row>
    <row r="3560" spans="1:18">
      <c r="A3560" s="26">
        <v>8301</v>
      </c>
      <c r="B3560" s="27">
        <v>38736</v>
      </c>
      <c r="C3560" s="28" t="s">
        <v>11405</v>
      </c>
      <c r="D3560" s="27">
        <v>38736</v>
      </c>
      <c r="E3560" s="28" t="s">
        <v>11406</v>
      </c>
      <c r="F3560" s="28" t="s">
        <v>5270</v>
      </c>
      <c r="G3560" s="28" t="s">
        <v>20</v>
      </c>
      <c r="H3560" s="28" t="s">
        <v>71</v>
      </c>
      <c r="I3560" s="28" t="s">
        <v>72</v>
      </c>
      <c r="J3560" s="28" t="s">
        <v>11407</v>
      </c>
      <c r="K3560" s="28" t="s">
        <v>21</v>
      </c>
      <c r="L3560" s="28" t="s">
        <v>8318</v>
      </c>
      <c r="M3560" s="28" t="s">
        <v>21</v>
      </c>
      <c r="N3560" s="29">
        <v>38768</v>
      </c>
      <c r="O3560" s="92">
        <v>38772</v>
      </c>
      <c r="P3560" s="28" t="s">
        <v>31</v>
      </c>
      <c r="Q3560" s="26" t="b">
        <v>1</v>
      </c>
      <c r="R3560" s="22">
        <f t="shared" si="58"/>
        <v>35</v>
      </c>
    </row>
    <row r="3561" spans="1:18">
      <c r="A3561" s="26">
        <v>8302</v>
      </c>
      <c r="B3561" s="27">
        <v>38736</v>
      </c>
      <c r="C3561" s="28" t="s">
        <v>11408</v>
      </c>
      <c r="D3561" s="27">
        <v>38735</v>
      </c>
      <c r="E3561" s="28" t="s">
        <v>11409</v>
      </c>
      <c r="F3561" s="28" t="s">
        <v>149</v>
      </c>
      <c r="G3561" s="28" t="s">
        <v>20</v>
      </c>
      <c r="H3561" s="28" t="s">
        <v>189</v>
      </c>
      <c r="I3561" s="28" t="s">
        <v>189</v>
      </c>
      <c r="J3561" s="28" t="s">
        <v>11410</v>
      </c>
      <c r="K3561" s="28" t="s">
        <v>11411</v>
      </c>
      <c r="L3561" s="28" t="s">
        <v>4282</v>
      </c>
      <c r="M3561" s="28" t="s">
        <v>21</v>
      </c>
      <c r="N3561" s="29">
        <v>38768</v>
      </c>
      <c r="O3561" s="92">
        <v>38799</v>
      </c>
      <c r="P3561" s="28" t="s">
        <v>31</v>
      </c>
      <c r="Q3561" s="26" t="b">
        <v>1</v>
      </c>
      <c r="R3561" s="22">
        <f t="shared" si="58"/>
        <v>64</v>
      </c>
    </row>
    <row r="3562" spans="1:18">
      <c r="A3562" s="26">
        <v>8306</v>
      </c>
      <c r="B3562" s="27">
        <v>38740</v>
      </c>
      <c r="C3562" s="28" t="s">
        <v>11412</v>
      </c>
      <c r="D3562" s="27">
        <v>38737</v>
      </c>
      <c r="E3562" s="28" t="s">
        <v>283</v>
      </c>
      <c r="F3562" s="28" t="s">
        <v>11069</v>
      </c>
      <c r="G3562" s="28" t="s">
        <v>20</v>
      </c>
      <c r="H3562" s="28" t="s">
        <v>71</v>
      </c>
      <c r="I3562" s="28" t="s">
        <v>72</v>
      </c>
      <c r="J3562" s="28" t="s">
        <v>11413</v>
      </c>
      <c r="K3562" s="28" t="s">
        <v>11414</v>
      </c>
      <c r="L3562" s="28" t="s">
        <v>4579</v>
      </c>
      <c r="M3562" s="28" t="s">
        <v>21</v>
      </c>
      <c r="O3562" s="92">
        <v>38883</v>
      </c>
      <c r="P3562" s="28" t="s">
        <v>21</v>
      </c>
      <c r="Q3562" s="26" t="b">
        <v>0</v>
      </c>
      <c r="R3562" s="22">
        <f t="shared" si="58"/>
        <v>143</v>
      </c>
    </row>
    <row r="3563" spans="1:18">
      <c r="A3563" s="26">
        <v>8307</v>
      </c>
      <c r="B3563" s="27">
        <v>38740</v>
      </c>
      <c r="C3563" s="28" t="s">
        <v>11415</v>
      </c>
      <c r="D3563" s="27">
        <v>38737</v>
      </c>
      <c r="E3563" s="28" t="s">
        <v>283</v>
      </c>
      <c r="F3563" s="28" t="s">
        <v>27</v>
      </c>
      <c r="G3563" s="28" t="s">
        <v>20</v>
      </c>
      <c r="H3563" s="28" t="s">
        <v>71</v>
      </c>
      <c r="I3563" s="28" t="s">
        <v>72</v>
      </c>
      <c r="J3563" s="28" t="s">
        <v>11416</v>
      </c>
      <c r="K3563" s="28" t="s">
        <v>11417</v>
      </c>
      <c r="L3563" s="28" t="s">
        <v>10871</v>
      </c>
      <c r="M3563" s="28" t="s">
        <v>2205</v>
      </c>
      <c r="O3563" s="92">
        <v>38845</v>
      </c>
      <c r="P3563" s="28" t="s">
        <v>21</v>
      </c>
      <c r="Q3563" s="26" t="b">
        <v>0</v>
      </c>
      <c r="R3563" s="22">
        <f t="shared" si="58"/>
        <v>106</v>
      </c>
    </row>
    <row r="3564" spans="1:18">
      <c r="A3564" s="26">
        <v>8308</v>
      </c>
      <c r="B3564" s="27">
        <v>38741</v>
      </c>
      <c r="C3564" s="28" t="s">
        <v>11418</v>
      </c>
      <c r="D3564" s="27">
        <v>38740</v>
      </c>
      <c r="E3564" s="28" t="s">
        <v>283</v>
      </c>
      <c r="F3564" s="28" t="s">
        <v>27</v>
      </c>
      <c r="G3564" s="28" t="s">
        <v>20</v>
      </c>
      <c r="H3564" s="28" t="s">
        <v>71</v>
      </c>
      <c r="I3564" s="28" t="s">
        <v>72</v>
      </c>
      <c r="J3564" s="28" t="s">
        <v>11419</v>
      </c>
      <c r="K3564" s="28" t="s">
        <v>11420</v>
      </c>
      <c r="L3564" s="28" t="s">
        <v>4579</v>
      </c>
      <c r="M3564" s="28" t="s">
        <v>21</v>
      </c>
      <c r="O3564" s="92">
        <v>38845</v>
      </c>
      <c r="P3564" s="28" t="s">
        <v>21</v>
      </c>
      <c r="Q3564" s="26" t="b">
        <v>0</v>
      </c>
      <c r="R3564" s="22">
        <f t="shared" si="58"/>
        <v>105</v>
      </c>
    </row>
    <row r="3565" spans="1:18">
      <c r="A3565" s="26">
        <v>8309</v>
      </c>
      <c r="B3565" s="27">
        <v>38741</v>
      </c>
      <c r="C3565" s="28" t="s">
        <v>11421</v>
      </c>
      <c r="D3565" s="27">
        <v>38740</v>
      </c>
      <c r="E3565" s="28" t="s">
        <v>283</v>
      </c>
      <c r="F3565" s="28" t="s">
        <v>5690</v>
      </c>
      <c r="G3565" s="28" t="s">
        <v>20</v>
      </c>
      <c r="H3565" s="28" t="s">
        <v>71</v>
      </c>
      <c r="I3565" s="28" t="s">
        <v>72</v>
      </c>
      <c r="J3565" s="28" t="s">
        <v>11422</v>
      </c>
      <c r="K3565" s="28" t="s">
        <v>11423</v>
      </c>
      <c r="L3565" s="28" t="s">
        <v>4579</v>
      </c>
      <c r="M3565" s="28" t="s">
        <v>21</v>
      </c>
      <c r="O3565" s="92">
        <v>38842</v>
      </c>
      <c r="P3565" s="28" t="s">
        <v>21</v>
      </c>
      <c r="Q3565" s="26" t="b">
        <v>0</v>
      </c>
      <c r="R3565" s="22">
        <f t="shared" si="58"/>
        <v>102</v>
      </c>
    </row>
    <row r="3566" spans="1:18">
      <c r="A3566" s="26">
        <v>8312</v>
      </c>
      <c r="B3566" s="27">
        <v>38741</v>
      </c>
      <c r="C3566" s="28" t="s">
        <v>11424</v>
      </c>
      <c r="D3566" s="27">
        <v>38740</v>
      </c>
      <c r="E3566" s="28" t="s">
        <v>283</v>
      </c>
      <c r="F3566" s="28" t="s">
        <v>1149</v>
      </c>
      <c r="G3566" s="28" t="s">
        <v>20</v>
      </c>
      <c r="H3566" s="28" t="s">
        <v>10907</v>
      </c>
      <c r="I3566" s="28" t="s">
        <v>1061</v>
      </c>
      <c r="J3566" s="28" t="s">
        <v>11425</v>
      </c>
      <c r="K3566" s="28" t="s">
        <v>11426</v>
      </c>
      <c r="L3566" s="28" t="s">
        <v>4282</v>
      </c>
      <c r="M3566" s="28" t="s">
        <v>21</v>
      </c>
      <c r="O3566" s="92">
        <v>38898</v>
      </c>
      <c r="P3566" s="28" t="s">
        <v>21</v>
      </c>
      <c r="Q3566" s="26" t="b">
        <v>0</v>
      </c>
      <c r="R3566" s="22">
        <f t="shared" si="58"/>
        <v>158</v>
      </c>
    </row>
    <row r="3567" spans="1:18">
      <c r="A3567" s="26">
        <v>8313</v>
      </c>
      <c r="B3567" s="27">
        <v>38741</v>
      </c>
      <c r="C3567" s="28" t="s">
        <v>11427</v>
      </c>
      <c r="D3567" s="27">
        <v>38740</v>
      </c>
      <c r="E3567" s="28" t="s">
        <v>283</v>
      </c>
      <c r="F3567" s="28" t="s">
        <v>283</v>
      </c>
      <c r="G3567" s="28" t="s">
        <v>20</v>
      </c>
      <c r="H3567" s="28" t="s">
        <v>71</v>
      </c>
      <c r="I3567" s="28" t="s">
        <v>72</v>
      </c>
      <c r="J3567" s="28" t="s">
        <v>11428</v>
      </c>
      <c r="K3567" s="28" t="s">
        <v>11429</v>
      </c>
      <c r="L3567" s="28" t="s">
        <v>4579</v>
      </c>
      <c r="M3567" s="28" t="s">
        <v>21</v>
      </c>
      <c r="O3567" s="92">
        <v>38842</v>
      </c>
      <c r="P3567" s="28" t="s">
        <v>21</v>
      </c>
      <c r="Q3567" s="26" t="b">
        <v>0</v>
      </c>
      <c r="R3567" s="22">
        <f t="shared" si="58"/>
        <v>102</v>
      </c>
    </row>
    <row r="3568" spans="1:18">
      <c r="A3568" s="26">
        <v>8314</v>
      </c>
      <c r="B3568" s="27">
        <v>38741</v>
      </c>
      <c r="C3568" s="28" t="s">
        <v>11430</v>
      </c>
      <c r="D3568" s="27">
        <v>38740</v>
      </c>
      <c r="E3568" s="28" t="s">
        <v>283</v>
      </c>
      <c r="F3568" s="28" t="s">
        <v>98</v>
      </c>
      <c r="G3568" s="28" t="s">
        <v>20</v>
      </c>
      <c r="H3568" s="28" t="s">
        <v>71</v>
      </c>
      <c r="I3568" s="28" t="s">
        <v>72</v>
      </c>
      <c r="J3568" s="28" t="s">
        <v>11431</v>
      </c>
      <c r="K3568" s="28" t="s">
        <v>11432</v>
      </c>
      <c r="L3568" s="28" t="s">
        <v>10871</v>
      </c>
      <c r="M3568" s="28" t="s">
        <v>2205</v>
      </c>
      <c r="O3568" s="92">
        <v>38846</v>
      </c>
      <c r="P3568" s="28" t="s">
        <v>21</v>
      </c>
      <c r="Q3568" s="26" t="b">
        <v>0</v>
      </c>
      <c r="R3568" s="22">
        <f t="shared" si="58"/>
        <v>106</v>
      </c>
    </row>
    <row r="3569" spans="1:18">
      <c r="A3569" s="26">
        <v>8316</v>
      </c>
      <c r="B3569" s="27">
        <v>38741</v>
      </c>
      <c r="C3569" s="28" t="s">
        <v>11433</v>
      </c>
      <c r="D3569" s="27">
        <v>38741</v>
      </c>
      <c r="E3569" s="28" t="s">
        <v>283</v>
      </c>
      <c r="F3569" s="28" t="s">
        <v>98</v>
      </c>
      <c r="G3569" s="28" t="s">
        <v>20</v>
      </c>
      <c r="H3569" s="28" t="s">
        <v>71</v>
      </c>
      <c r="I3569" s="28" t="s">
        <v>72</v>
      </c>
      <c r="J3569" s="28" t="s">
        <v>11434</v>
      </c>
      <c r="K3569" s="28" t="s">
        <v>11435</v>
      </c>
      <c r="L3569" s="28" t="s">
        <v>1946</v>
      </c>
      <c r="M3569" s="28" t="s">
        <v>21</v>
      </c>
      <c r="O3569" s="92">
        <v>38846</v>
      </c>
      <c r="P3569" s="28" t="s">
        <v>21</v>
      </c>
      <c r="Q3569" s="26" t="b">
        <v>0</v>
      </c>
      <c r="R3569" s="22">
        <f t="shared" si="58"/>
        <v>106</v>
      </c>
    </row>
    <row r="3570" spans="1:18">
      <c r="A3570" s="26">
        <v>8317</v>
      </c>
      <c r="B3570" s="27">
        <v>38741</v>
      </c>
      <c r="C3570" s="28" t="s">
        <v>11436</v>
      </c>
      <c r="D3570" s="27">
        <v>38741</v>
      </c>
      <c r="E3570" s="28" t="s">
        <v>283</v>
      </c>
      <c r="F3570" s="28" t="s">
        <v>56</v>
      </c>
      <c r="G3570" s="28" t="s">
        <v>20</v>
      </c>
      <c r="H3570" s="28" t="s">
        <v>71</v>
      </c>
      <c r="I3570" s="28" t="s">
        <v>72</v>
      </c>
      <c r="J3570" s="28" t="s">
        <v>11437</v>
      </c>
      <c r="K3570" s="28" t="s">
        <v>11438</v>
      </c>
      <c r="L3570" s="28" t="s">
        <v>4282</v>
      </c>
      <c r="M3570" s="28" t="s">
        <v>21</v>
      </c>
      <c r="N3570" s="18"/>
      <c r="O3570" s="92">
        <v>38898</v>
      </c>
      <c r="P3570" s="28" t="s">
        <v>21</v>
      </c>
      <c r="Q3570" s="26" t="b">
        <v>0</v>
      </c>
      <c r="R3570" s="22">
        <f t="shared" si="58"/>
        <v>158</v>
      </c>
    </row>
    <row r="3571" spans="1:18" ht="24">
      <c r="A3571" s="26">
        <v>8325</v>
      </c>
      <c r="B3571" s="27">
        <v>38743</v>
      </c>
      <c r="C3571" s="28" t="s">
        <v>11439</v>
      </c>
      <c r="D3571" s="27">
        <v>38743</v>
      </c>
      <c r="E3571" s="28" t="s">
        <v>283</v>
      </c>
      <c r="F3571" s="28" t="s">
        <v>228</v>
      </c>
      <c r="G3571" s="28" t="s">
        <v>20</v>
      </c>
      <c r="H3571" s="28" t="s">
        <v>71</v>
      </c>
      <c r="I3571" s="28" t="s">
        <v>72</v>
      </c>
      <c r="J3571" s="28" t="s">
        <v>11440</v>
      </c>
      <c r="K3571" s="28" t="s">
        <v>11441</v>
      </c>
      <c r="L3571" s="28" t="s">
        <v>4282</v>
      </c>
      <c r="M3571" s="28" t="s">
        <v>21</v>
      </c>
      <c r="O3571" s="92">
        <v>38898</v>
      </c>
      <c r="P3571" s="28" t="s">
        <v>21</v>
      </c>
      <c r="Q3571" s="26" t="b">
        <v>0</v>
      </c>
      <c r="R3571" s="22">
        <f t="shared" si="58"/>
        <v>156</v>
      </c>
    </row>
    <row r="3572" spans="1:18">
      <c r="A3572" s="26">
        <v>8331</v>
      </c>
      <c r="B3572" s="27">
        <v>38743</v>
      </c>
      <c r="C3572" s="28" t="s">
        <v>11442</v>
      </c>
      <c r="D3572" s="27">
        <v>38743</v>
      </c>
      <c r="E3572" s="28" t="s">
        <v>283</v>
      </c>
      <c r="F3572" s="28" t="s">
        <v>5690</v>
      </c>
      <c r="G3572" s="28" t="s">
        <v>20</v>
      </c>
      <c r="H3572" s="28" t="s">
        <v>71</v>
      </c>
      <c r="I3572" s="28" t="s">
        <v>72</v>
      </c>
      <c r="J3572" s="28" t="s">
        <v>11443</v>
      </c>
      <c r="K3572" s="28" t="s">
        <v>11444</v>
      </c>
      <c r="L3572" s="28" t="s">
        <v>4579</v>
      </c>
      <c r="M3572" s="28" t="s">
        <v>21</v>
      </c>
      <c r="O3572" s="92">
        <v>38845</v>
      </c>
      <c r="P3572" s="28" t="s">
        <v>21</v>
      </c>
      <c r="Q3572" s="26" t="b">
        <v>0</v>
      </c>
      <c r="R3572" s="22">
        <f t="shared" si="58"/>
        <v>103</v>
      </c>
    </row>
    <row r="3573" spans="1:18">
      <c r="A3573" s="26">
        <v>8332</v>
      </c>
      <c r="B3573" s="27">
        <v>38743</v>
      </c>
      <c r="C3573" s="28" t="s">
        <v>11445</v>
      </c>
      <c r="D3573" s="27">
        <v>38743</v>
      </c>
      <c r="E3573" s="28" t="s">
        <v>283</v>
      </c>
      <c r="F3573" s="28" t="s">
        <v>11446</v>
      </c>
      <c r="G3573" s="28" t="s">
        <v>20</v>
      </c>
      <c r="H3573" s="28" t="s">
        <v>71</v>
      </c>
      <c r="I3573" s="28" t="s">
        <v>72</v>
      </c>
      <c r="J3573" s="28" t="s">
        <v>11447</v>
      </c>
      <c r="K3573" s="28" t="s">
        <v>11448</v>
      </c>
      <c r="L3573" s="28" t="s">
        <v>10871</v>
      </c>
      <c r="M3573" s="28" t="s">
        <v>2205</v>
      </c>
      <c r="O3573" s="92">
        <v>38845</v>
      </c>
      <c r="P3573" s="28" t="s">
        <v>21</v>
      </c>
      <c r="Q3573" s="26" t="b">
        <v>0</v>
      </c>
      <c r="R3573" s="22">
        <f t="shared" si="58"/>
        <v>103</v>
      </c>
    </row>
    <row r="3574" spans="1:18" ht="24">
      <c r="A3574" s="26">
        <v>8334</v>
      </c>
      <c r="B3574" s="27">
        <v>38743</v>
      </c>
      <c r="C3574" s="28" t="s">
        <v>11449</v>
      </c>
      <c r="D3574" s="27">
        <v>38743</v>
      </c>
      <c r="E3574" s="28" t="s">
        <v>283</v>
      </c>
      <c r="F3574" s="28" t="s">
        <v>98</v>
      </c>
      <c r="G3574" s="28" t="s">
        <v>20</v>
      </c>
      <c r="H3574" s="28" t="s">
        <v>71</v>
      </c>
      <c r="I3574" s="28" t="s">
        <v>72</v>
      </c>
      <c r="J3574" s="28" t="s">
        <v>11450</v>
      </c>
      <c r="K3574" s="28" t="s">
        <v>11451</v>
      </c>
      <c r="L3574" s="28" t="s">
        <v>4282</v>
      </c>
      <c r="M3574" s="28" t="s">
        <v>21</v>
      </c>
      <c r="O3574" s="92">
        <v>38898</v>
      </c>
      <c r="P3574" s="28" t="s">
        <v>21</v>
      </c>
      <c r="Q3574" s="26" t="b">
        <v>0</v>
      </c>
      <c r="R3574" s="22">
        <f t="shared" si="58"/>
        <v>156</v>
      </c>
    </row>
    <row r="3575" spans="1:18">
      <c r="A3575" s="26">
        <v>8335</v>
      </c>
      <c r="B3575" s="27">
        <v>38743</v>
      </c>
      <c r="C3575" s="28" t="s">
        <v>11452</v>
      </c>
      <c r="D3575" s="27">
        <v>38743</v>
      </c>
      <c r="E3575" s="28" t="s">
        <v>283</v>
      </c>
      <c r="F3575" s="28" t="s">
        <v>149</v>
      </c>
      <c r="G3575" s="28" t="s">
        <v>20</v>
      </c>
      <c r="H3575" s="28" t="s">
        <v>71</v>
      </c>
      <c r="I3575" s="28" t="s">
        <v>72</v>
      </c>
      <c r="J3575" s="28" t="s">
        <v>11453</v>
      </c>
      <c r="K3575" s="28" t="s">
        <v>11454</v>
      </c>
      <c r="L3575" s="28" t="s">
        <v>1946</v>
      </c>
      <c r="M3575" s="28" t="s">
        <v>21</v>
      </c>
      <c r="O3575" s="92">
        <v>38846</v>
      </c>
      <c r="P3575" s="28" t="s">
        <v>21</v>
      </c>
      <c r="Q3575" s="26" t="b">
        <v>0</v>
      </c>
      <c r="R3575" s="22">
        <f t="shared" si="58"/>
        <v>104</v>
      </c>
    </row>
    <row r="3576" spans="1:18" ht="24">
      <c r="A3576" s="26">
        <v>8340</v>
      </c>
      <c r="B3576" s="27">
        <v>38747</v>
      </c>
      <c r="C3576" s="28" t="s">
        <v>8294</v>
      </c>
      <c r="D3576" s="27">
        <v>38747</v>
      </c>
      <c r="E3576" s="28" t="s">
        <v>283</v>
      </c>
      <c r="F3576" s="28" t="s">
        <v>11455</v>
      </c>
      <c r="G3576" s="28" t="s">
        <v>20</v>
      </c>
      <c r="H3576" s="28" t="s">
        <v>71</v>
      </c>
      <c r="I3576" s="28" t="s">
        <v>72</v>
      </c>
      <c r="J3576" s="28" t="s">
        <v>11456</v>
      </c>
      <c r="K3576" s="28" t="s">
        <v>11457</v>
      </c>
      <c r="L3576" s="28" t="s">
        <v>1946</v>
      </c>
      <c r="M3576" s="28" t="s">
        <v>21</v>
      </c>
      <c r="O3576" s="92">
        <v>38846</v>
      </c>
      <c r="P3576" s="28" t="s">
        <v>21</v>
      </c>
      <c r="Q3576" s="26" t="b">
        <v>0</v>
      </c>
      <c r="R3576" s="22">
        <f t="shared" si="58"/>
        <v>100</v>
      </c>
    </row>
    <row r="3577" spans="1:18">
      <c r="A3577" s="26">
        <v>8345</v>
      </c>
      <c r="B3577" s="27">
        <v>38748</v>
      </c>
      <c r="C3577" s="28" t="s">
        <v>11458</v>
      </c>
      <c r="D3577" s="27">
        <v>38747</v>
      </c>
      <c r="E3577" s="28" t="s">
        <v>283</v>
      </c>
      <c r="F3577" s="28" t="s">
        <v>27</v>
      </c>
      <c r="G3577" s="28" t="s">
        <v>20</v>
      </c>
      <c r="H3577" s="28" t="s">
        <v>71</v>
      </c>
      <c r="I3577" s="28" t="s">
        <v>72</v>
      </c>
      <c r="J3577" s="28" t="s">
        <v>11459</v>
      </c>
      <c r="K3577" s="28" t="s">
        <v>11460</v>
      </c>
      <c r="L3577" s="28" t="s">
        <v>1946</v>
      </c>
      <c r="M3577" s="28" t="s">
        <v>21</v>
      </c>
      <c r="O3577" s="92">
        <v>38846</v>
      </c>
      <c r="P3577" s="28" t="s">
        <v>21</v>
      </c>
      <c r="Q3577" s="26" t="b">
        <v>0</v>
      </c>
      <c r="R3577" s="22">
        <f t="shared" si="58"/>
        <v>100</v>
      </c>
    </row>
    <row r="3578" spans="1:18">
      <c r="A3578" s="26">
        <v>8346</v>
      </c>
      <c r="B3578" s="27">
        <v>38748</v>
      </c>
      <c r="C3578" s="28" t="s">
        <v>11461</v>
      </c>
      <c r="D3578" s="27">
        <v>38747</v>
      </c>
      <c r="E3578" s="28" t="s">
        <v>283</v>
      </c>
      <c r="F3578" s="28" t="s">
        <v>8522</v>
      </c>
      <c r="G3578" s="28" t="s">
        <v>20</v>
      </c>
      <c r="H3578" s="28" t="s">
        <v>71</v>
      </c>
      <c r="I3578" s="28" t="s">
        <v>72</v>
      </c>
      <c r="J3578" s="28" t="s">
        <v>11462</v>
      </c>
      <c r="K3578" s="28" t="s">
        <v>11463</v>
      </c>
      <c r="L3578" s="28" t="s">
        <v>4282</v>
      </c>
      <c r="M3578" s="28" t="s">
        <v>21</v>
      </c>
      <c r="O3578" s="92">
        <v>38898</v>
      </c>
      <c r="P3578" s="28" t="s">
        <v>21</v>
      </c>
      <c r="Q3578" s="26" t="b">
        <v>0</v>
      </c>
      <c r="R3578" s="22">
        <f t="shared" si="58"/>
        <v>152</v>
      </c>
    </row>
    <row r="3579" spans="1:18">
      <c r="A3579" s="26">
        <v>8358</v>
      </c>
      <c r="B3579" s="27">
        <v>38748</v>
      </c>
      <c r="C3579" s="28" t="s">
        <v>11464</v>
      </c>
      <c r="D3579" s="27">
        <v>38740</v>
      </c>
      <c r="E3579" s="28" t="s">
        <v>11465</v>
      </c>
      <c r="F3579" s="28" t="s">
        <v>11369</v>
      </c>
      <c r="G3579" s="28" t="s">
        <v>20</v>
      </c>
      <c r="H3579" s="28" t="s">
        <v>71</v>
      </c>
      <c r="I3579" s="28" t="s">
        <v>72</v>
      </c>
      <c r="J3579" s="28" t="s">
        <v>11466</v>
      </c>
      <c r="K3579" s="28" t="s">
        <v>11467</v>
      </c>
      <c r="L3579" s="28" t="s">
        <v>4579</v>
      </c>
      <c r="M3579" s="28" t="s">
        <v>21</v>
      </c>
      <c r="N3579" s="29">
        <v>38776</v>
      </c>
      <c r="O3579" s="92">
        <v>38860</v>
      </c>
      <c r="P3579" s="28" t="s">
        <v>31</v>
      </c>
      <c r="Q3579" s="26" t="b">
        <v>0</v>
      </c>
      <c r="R3579" s="22">
        <f t="shared" si="58"/>
        <v>114</v>
      </c>
    </row>
    <row r="3580" spans="1:18">
      <c r="A3580" s="26">
        <v>8363</v>
      </c>
      <c r="B3580" s="27">
        <v>38749</v>
      </c>
      <c r="C3580" s="28" t="s">
        <v>11468</v>
      </c>
      <c r="D3580" s="27">
        <v>38749</v>
      </c>
      <c r="E3580" s="28" t="s">
        <v>283</v>
      </c>
      <c r="F3580" s="28" t="s">
        <v>27</v>
      </c>
      <c r="G3580" s="28" t="s">
        <v>20</v>
      </c>
      <c r="H3580" s="28" t="s">
        <v>71</v>
      </c>
      <c r="I3580" s="28" t="s">
        <v>72</v>
      </c>
      <c r="J3580" s="28" t="s">
        <v>11469</v>
      </c>
      <c r="K3580" s="28" t="s">
        <v>11460</v>
      </c>
      <c r="L3580" s="28" t="s">
        <v>1946</v>
      </c>
      <c r="M3580" s="28" t="s">
        <v>21</v>
      </c>
      <c r="O3580" s="92">
        <v>38846</v>
      </c>
      <c r="P3580" s="28" t="s">
        <v>21</v>
      </c>
      <c r="Q3580" s="26" t="b">
        <v>0</v>
      </c>
      <c r="R3580" s="22">
        <f t="shared" si="58"/>
        <v>99</v>
      </c>
    </row>
    <row r="3581" spans="1:18">
      <c r="A3581" s="26">
        <v>8364</v>
      </c>
      <c r="B3581" s="27">
        <v>38750</v>
      </c>
      <c r="C3581" s="28" t="s">
        <v>11470</v>
      </c>
      <c r="D3581" s="27">
        <v>38749</v>
      </c>
      <c r="E3581" s="28" t="s">
        <v>11471</v>
      </c>
      <c r="F3581" s="28" t="s">
        <v>211</v>
      </c>
      <c r="G3581" s="28" t="s">
        <v>20</v>
      </c>
      <c r="H3581" s="28" t="s">
        <v>212</v>
      </c>
      <c r="I3581" s="28" t="s">
        <v>11261</v>
      </c>
      <c r="J3581" s="28" t="s">
        <v>11472</v>
      </c>
      <c r="K3581" s="28" t="s">
        <v>21</v>
      </c>
      <c r="L3581" s="28" t="s">
        <v>2205</v>
      </c>
      <c r="M3581" s="28" t="s">
        <v>21</v>
      </c>
      <c r="N3581" s="18"/>
      <c r="O3581" s="92">
        <v>38749</v>
      </c>
      <c r="P3581" s="28" t="s">
        <v>21</v>
      </c>
      <c r="Q3581" s="26" t="b">
        <v>0</v>
      </c>
      <c r="R3581" s="22">
        <f t="shared" si="58"/>
        <v>1</v>
      </c>
    </row>
    <row r="3582" spans="1:18">
      <c r="A3582" s="26">
        <v>8365</v>
      </c>
      <c r="B3582" s="27">
        <v>38750</v>
      </c>
      <c r="C3582" s="28" t="s">
        <v>11473</v>
      </c>
      <c r="D3582" s="27">
        <v>38749</v>
      </c>
      <c r="E3582" s="28" t="s">
        <v>1432</v>
      </c>
      <c r="F3582" s="28" t="s">
        <v>10725</v>
      </c>
      <c r="G3582" s="28" t="s">
        <v>20</v>
      </c>
      <c r="H3582" s="28" t="s">
        <v>566</v>
      </c>
      <c r="I3582" s="28" t="s">
        <v>11474</v>
      </c>
      <c r="J3582" s="28" t="s">
        <v>11475</v>
      </c>
      <c r="K3582" s="28" t="s">
        <v>11476</v>
      </c>
      <c r="L3582" s="28" t="s">
        <v>4282</v>
      </c>
      <c r="M3582" s="28" t="s">
        <v>21</v>
      </c>
      <c r="N3582" s="18"/>
      <c r="O3582" s="92">
        <v>40512</v>
      </c>
      <c r="P3582" s="28" t="s">
        <v>21</v>
      </c>
      <c r="Q3582" s="26" t="b">
        <v>0</v>
      </c>
      <c r="R3582" s="22">
        <f t="shared" si="58"/>
        <v>1762</v>
      </c>
    </row>
    <row r="3583" spans="1:18">
      <c r="A3583" s="26">
        <v>8372</v>
      </c>
      <c r="B3583" s="27">
        <v>38751</v>
      </c>
      <c r="C3583" s="28" t="s">
        <v>11477</v>
      </c>
      <c r="D3583" s="27">
        <v>38749</v>
      </c>
      <c r="E3583" s="28" t="s">
        <v>283</v>
      </c>
      <c r="F3583" s="28" t="s">
        <v>19</v>
      </c>
      <c r="G3583" s="28" t="s">
        <v>20</v>
      </c>
      <c r="H3583" s="28" t="s">
        <v>71</v>
      </c>
      <c r="I3583" s="28" t="s">
        <v>72</v>
      </c>
      <c r="J3583" s="28" t="s">
        <v>11478</v>
      </c>
      <c r="K3583" s="28" t="s">
        <v>11479</v>
      </c>
      <c r="L3583" s="28" t="s">
        <v>4579</v>
      </c>
      <c r="M3583" s="28" t="s">
        <v>21</v>
      </c>
      <c r="N3583" s="18"/>
      <c r="O3583" s="92">
        <v>38845</v>
      </c>
      <c r="P3583" s="28" t="s">
        <v>21</v>
      </c>
      <c r="Q3583" s="26" t="b">
        <v>0</v>
      </c>
      <c r="R3583" s="22">
        <f t="shared" si="58"/>
        <v>96</v>
      </c>
    </row>
    <row r="3584" spans="1:18">
      <c r="A3584" s="26">
        <v>8376</v>
      </c>
      <c r="B3584" s="27">
        <v>38754</v>
      </c>
      <c r="C3584" s="28" t="s">
        <v>11480</v>
      </c>
      <c r="D3584" s="27">
        <v>38751</v>
      </c>
      <c r="E3584" s="28" t="s">
        <v>283</v>
      </c>
      <c r="F3584" s="28" t="s">
        <v>98</v>
      </c>
      <c r="G3584" s="28" t="s">
        <v>20</v>
      </c>
      <c r="H3584" s="28" t="s">
        <v>71</v>
      </c>
      <c r="I3584" s="28" t="s">
        <v>72</v>
      </c>
      <c r="J3584" s="28" t="s">
        <v>11481</v>
      </c>
      <c r="K3584" s="28" t="s">
        <v>10560</v>
      </c>
      <c r="L3584" s="28" t="s">
        <v>10871</v>
      </c>
      <c r="M3584" s="28" t="s">
        <v>2205</v>
      </c>
      <c r="N3584" s="18"/>
      <c r="O3584" s="92">
        <v>38845</v>
      </c>
      <c r="P3584" s="28" t="s">
        <v>21</v>
      </c>
      <c r="Q3584" s="26" t="b">
        <v>0</v>
      </c>
      <c r="R3584" s="22">
        <f t="shared" si="58"/>
        <v>93</v>
      </c>
    </row>
    <row r="3585" spans="1:18">
      <c r="A3585" s="26">
        <v>8377</v>
      </c>
      <c r="B3585" s="27">
        <v>38754</v>
      </c>
      <c r="C3585" s="28" t="s">
        <v>11482</v>
      </c>
      <c r="D3585" s="27">
        <v>38751</v>
      </c>
      <c r="E3585" s="28" t="s">
        <v>283</v>
      </c>
      <c r="F3585" s="28" t="s">
        <v>98</v>
      </c>
      <c r="G3585" s="28" t="s">
        <v>20</v>
      </c>
      <c r="H3585" s="28" t="s">
        <v>71</v>
      </c>
      <c r="I3585" s="28" t="s">
        <v>72</v>
      </c>
      <c r="J3585" s="28" t="s">
        <v>11483</v>
      </c>
      <c r="K3585" s="28" t="s">
        <v>10560</v>
      </c>
      <c r="L3585" s="28" t="s">
        <v>10871</v>
      </c>
      <c r="M3585" s="28" t="s">
        <v>2205</v>
      </c>
      <c r="N3585" s="18"/>
      <c r="O3585" s="92">
        <v>38846</v>
      </c>
      <c r="P3585" s="28" t="s">
        <v>21</v>
      </c>
      <c r="Q3585" s="26" t="b">
        <v>0</v>
      </c>
      <c r="R3585" s="22">
        <f t="shared" si="58"/>
        <v>94</v>
      </c>
    </row>
    <row r="3586" spans="1:18">
      <c r="A3586" s="26">
        <v>8379</v>
      </c>
      <c r="B3586" s="27">
        <v>38754</v>
      </c>
      <c r="C3586" s="28" t="s">
        <v>11484</v>
      </c>
      <c r="D3586" s="27">
        <v>38754</v>
      </c>
      <c r="E3586" s="28" t="s">
        <v>10998</v>
      </c>
      <c r="F3586" s="28" t="s">
        <v>9047</v>
      </c>
      <c r="G3586" s="28" t="s">
        <v>20</v>
      </c>
      <c r="H3586" s="28" t="s">
        <v>71</v>
      </c>
      <c r="I3586" s="28" t="s">
        <v>72</v>
      </c>
      <c r="J3586" s="28" t="s">
        <v>8904</v>
      </c>
      <c r="K3586" s="28" t="s">
        <v>11485</v>
      </c>
      <c r="L3586" s="28" t="s">
        <v>4282</v>
      </c>
      <c r="M3586" s="28" t="s">
        <v>21</v>
      </c>
      <c r="N3586" s="18"/>
      <c r="O3586" s="92">
        <v>38758</v>
      </c>
      <c r="P3586" s="28" t="s">
        <v>21</v>
      </c>
      <c r="Q3586" s="26" t="b">
        <v>0</v>
      </c>
      <c r="R3586" s="22">
        <f t="shared" si="58"/>
        <v>4</v>
      </c>
    </row>
    <row r="3587" spans="1:18">
      <c r="A3587" s="26">
        <v>8390</v>
      </c>
      <c r="B3587" s="27">
        <v>38755</v>
      </c>
      <c r="C3587" s="28" t="s">
        <v>11486</v>
      </c>
      <c r="D3587" s="27">
        <v>38754</v>
      </c>
      <c r="E3587" s="28" t="s">
        <v>283</v>
      </c>
      <c r="F3587" s="28" t="s">
        <v>19</v>
      </c>
      <c r="G3587" s="28" t="s">
        <v>20</v>
      </c>
      <c r="H3587" s="28" t="s">
        <v>71</v>
      </c>
      <c r="I3587" s="28" t="s">
        <v>72</v>
      </c>
      <c r="J3587" s="28" t="s">
        <v>11487</v>
      </c>
      <c r="K3587" s="28" t="s">
        <v>11488</v>
      </c>
      <c r="L3587" s="28" t="s">
        <v>4579</v>
      </c>
      <c r="M3587" s="28" t="s">
        <v>21</v>
      </c>
      <c r="N3587" s="18"/>
      <c r="O3587" s="92">
        <v>38845</v>
      </c>
      <c r="P3587" s="28" t="s">
        <v>21</v>
      </c>
      <c r="Q3587" s="26" t="b">
        <v>0</v>
      </c>
      <c r="R3587" s="22">
        <f t="shared" si="58"/>
        <v>92</v>
      </c>
    </row>
    <row r="3588" spans="1:18" ht="24">
      <c r="A3588" s="26">
        <v>8392</v>
      </c>
      <c r="B3588" s="27">
        <v>38755</v>
      </c>
      <c r="C3588" s="28" t="s">
        <v>11489</v>
      </c>
      <c r="D3588" s="27">
        <v>38751</v>
      </c>
      <c r="E3588" s="28" t="s">
        <v>283</v>
      </c>
      <c r="F3588" s="28" t="s">
        <v>98</v>
      </c>
      <c r="G3588" s="28" t="s">
        <v>20</v>
      </c>
      <c r="H3588" s="28" t="s">
        <v>71</v>
      </c>
      <c r="I3588" s="28" t="s">
        <v>72</v>
      </c>
      <c r="J3588" s="28" t="s">
        <v>11490</v>
      </c>
      <c r="K3588" s="28" t="s">
        <v>11491</v>
      </c>
      <c r="L3588" s="28" t="s">
        <v>1946</v>
      </c>
      <c r="M3588" s="28" t="s">
        <v>21</v>
      </c>
      <c r="N3588" s="18"/>
      <c r="O3588" s="92">
        <v>38846</v>
      </c>
      <c r="P3588" s="28" t="s">
        <v>21</v>
      </c>
      <c r="Q3588" s="26" t="b">
        <v>0</v>
      </c>
      <c r="R3588" s="22">
        <f t="shared" si="58"/>
        <v>93</v>
      </c>
    </row>
    <row r="3589" spans="1:18">
      <c r="A3589" s="26">
        <v>8396</v>
      </c>
      <c r="B3589" s="27">
        <v>38755</v>
      </c>
      <c r="C3589" s="28" t="s">
        <v>11492</v>
      </c>
      <c r="D3589" s="27">
        <v>38754</v>
      </c>
      <c r="E3589" s="28" t="s">
        <v>283</v>
      </c>
      <c r="F3589" s="28" t="s">
        <v>98</v>
      </c>
      <c r="G3589" s="28" t="s">
        <v>20</v>
      </c>
      <c r="H3589" s="28" t="s">
        <v>71</v>
      </c>
      <c r="I3589" s="28" t="s">
        <v>72</v>
      </c>
      <c r="J3589" s="28" t="s">
        <v>11493</v>
      </c>
      <c r="K3589" s="28" t="s">
        <v>11494</v>
      </c>
      <c r="L3589" s="28" t="s">
        <v>10871</v>
      </c>
      <c r="M3589" s="28" t="s">
        <v>2205</v>
      </c>
      <c r="N3589" s="18"/>
      <c r="O3589" s="92">
        <v>38845</v>
      </c>
      <c r="P3589" s="28" t="s">
        <v>21</v>
      </c>
      <c r="Q3589" s="26" t="b">
        <v>0</v>
      </c>
      <c r="R3589" s="22">
        <f t="shared" si="58"/>
        <v>92</v>
      </c>
    </row>
    <row r="3590" spans="1:18">
      <c r="A3590" s="26">
        <v>8404</v>
      </c>
      <c r="B3590" s="27">
        <v>38756</v>
      </c>
      <c r="C3590" s="28" t="s">
        <v>11495</v>
      </c>
      <c r="D3590" s="27">
        <v>38742</v>
      </c>
      <c r="E3590" s="28" t="s">
        <v>11496</v>
      </c>
      <c r="F3590" s="28" t="s">
        <v>11375</v>
      </c>
      <c r="G3590" s="28" t="s">
        <v>20</v>
      </c>
      <c r="H3590" s="28" t="s">
        <v>71</v>
      </c>
      <c r="I3590" s="28" t="s">
        <v>72</v>
      </c>
      <c r="J3590" s="28" t="s">
        <v>11497</v>
      </c>
      <c r="K3590" s="28" t="s">
        <v>21</v>
      </c>
      <c r="L3590" s="28" t="s">
        <v>2205</v>
      </c>
      <c r="M3590" s="28" t="s">
        <v>21</v>
      </c>
      <c r="N3590" s="27">
        <v>38784</v>
      </c>
      <c r="O3590" s="92">
        <v>38791</v>
      </c>
      <c r="P3590" s="28" t="s">
        <v>31</v>
      </c>
      <c r="Q3590" s="26" t="b">
        <v>1</v>
      </c>
      <c r="R3590" s="22">
        <f t="shared" si="58"/>
        <v>37</v>
      </c>
    </row>
    <row r="3591" spans="1:18">
      <c r="A3591" s="26">
        <v>8405</v>
      </c>
      <c r="B3591" s="27">
        <v>38756</v>
      </c>
      <c r="C3591" s="28" t="s">
        <v>11498</v>
      </c>
      <c r="D3591" s="27">
        <v>38747</v>
      </c>
      <c r="E3591" s="28" t="s">
        <v>11499</v>
      </c>
      <c r="F3591" s="28" t="s">
        <v>1771</v>
      </c>
      <c r="G3591" s="28" t="s">
        <v>20</v>
      </c>
      <c r="H3591" s="28" t="s">
        <v>189</v>
      </c>
      <c r="I3591" s="28" t="s">
        <v>189</v>
      </c>
      <c r="J3591" s="28" t="s">
        <v>11500</v>
      </c>
      <c r="K3591" s="28" t="s">
        <v>11501</v>
      </c>
      <c r="L3591" s="28" t="s">
        <v>1946</v>
      </c>
      <c r="M3591" s="28" t="s">
        <v>21</v>
      </c>
      <c r="N3591" s="27">
        <v>38845</v>
      </c>
      <c r="O3591" s="92">
        <v>38966</v>
      </c>
      <c r="P3591" s="28" t="s">
        <v>31</v>
      </c>
      <c r="Q3591" s="26" t="b">
        <v>1</v>
      </c>
      <c r="R3591" s="22">
        <f t="shared" si="58"/>
        <v>210</v>
      </c>
    </row>
    <row r="3592" spans="1:18">
      <c r="A3592" s="26">
        <v>8406</v>
      </c>
      <c r="B3592" s="27">
        <v>38756</v>
      </c>
      <c r="C3592" s="28" t="s">
        <v>11502</v>
      </c>
      <c r="D3592" s="27">
        <v>38747</v>
      </c>
      <c r="E3592" s="28" t="s">
        <v>11503</v>
      </c>
      <c r="F3592" s="28" t="s">
        <v>124</v>
      </c>
      <c r="G3592" s="28" t="s">
        <v>20</v>
      </c>
      <c r="H3592" s="28" t="s">
        <v>566</v>
      </c>
      <c r="I3592" s="28" t="s">
        <v>11474</v>
      </c>
      <c r="J3592" s="28" t="s">
        <v>11504</v>
      </c>
      <c r="K3592" s="28" t="s">
        <v>11505</v>
      </c>
      <c r="L3592" s="28" t="s">
        <v>4579</v>
      </c>
      <c r="M3592" s="28" t="s">
        <v>21</v>
      </c>
      <c r="N3592" s="27">
        <v>38784</v>
      </c>
      <c r="O3592" s="92">
        <v>38789</v>
      </c>
      <c r="P3592" s="28" t="s">
        <v>31</v>
      </c>
      <c r="Q3592" s="26" t="b">
        <v>1</v>
      </c>
      <c r="R3592" s="22">
        <f t="shared" si="58"/>
        <v>35</v>
      </c>
    </row>
    <row r="3593" spans="1:18">
      <c r="A3593" s="26">
        <v>8408</v>
      </c>
      <c r="B3593" s="27">
        <v>38756</v>
      </c>
      <c r="C3593" s="28" t="s">
        <v>11506</v>
      </c>
      <c r="D3593" s="27">
        <v>38749</v>
      </c>
      <c r="E3593" s="28" t="s">
        <v>11507</v>
      </c>
      <c r="F3593" s="28" t="s">
        <v>194</v>
      </c>
      <c r="G3593" s="28" t="s">
        <v>20</v>
      </c>
      <c r="H3593" s="28" t="s">
        <v>71</v>
      </c>
      <c r="I3593" s="28" t="s">
        <v>72</v>
      </c>
      <c r="J3593" s="28" t="s">
        <v>11508</v>
      </c>
      <c r="K3593" s="28" t="s">
        <v>11509</v>
      </c>
      <c r="L3593" s="28" t="s">
        <v>4282</v>
      </c>
      <c r="M3593" s="28" t="s">
        <v>21</v>
      </c>
      <c r="N3593" s="27">
        <v>38845</v>
      </c>
      <c r="O3593" s="92">
        <v>39213</v>
      </c>
      <c r="P3593" s="28" t="s">
        <v>21</v>
      </c>
      <c r="Q3593" s="26" t="b">
        <v>0</v>
      </c>
      <c r="R3593" s="22">
        <f t="shared" si="58"/>
        <v>459</v>
      </c>
    </row>
    <row r="3594" spans="1:18">
      <c r="A3594" s="26">
        <v>8409</v>
      </c>
      <c r="B3594" s="27">
        <v>38756</v>
      </c>
      <c r="C3594" s="28" t="s">
        <v>11510</v>
      </c>
      <c r="D3594" s="27">
        <v>38754</v>
      </c>
      <c r="E3594" s="28" t="s">
        <v>11511</v>
      </c>
      <c r="F3594" s="28" t="s">
        <v>2359</v>
      </c>
      <c r="G3594" s="28" t="s">
        <v>20</v>
      </c>
      <c r="H3594" s="28" t="s">
        <v>71</v>
      </c>
      <c r="I3594" s="28" t="s">
        <v>72</v>
      </c>
      <c r="J3594" s="28" t="s">
        <v>11512</v>
      </c>
      <c r="K3594" s="28" t="s">
        <v>11513</v>
      </c>
      <c r="L3594" s="28" t="s">
        <v>1946</v>
      </c>
      <c r="M3594" s="28" t="s">
        <v>21</v>
      </c>
      <c r="N3594" s="27">
        <v>38845</v>
      </c>
      <c r="O3594" s="92">
        <v>38777</v>
      </c>
      <c r="P3594" s="28" t="s">
        <v>21</v>
      </c>
      <c r="Q3594" s="26" t="b">
        <v>0</v>
      </c>
      <c r="R3594" s="22">
        <f t="shared" si="58"/>
        <v>23</v>
      </c>
    </row>
    <row r="3595" spans="1:18">
      <c r="A3595" s="26">
        <v>8410</v>
      </c>
      <c r="B3595" s="27">
        <v>38756</v>
      </c>
      <c r="C3595" s="28" t="s">
        <v>11514</v>
      </c>
      <c r="D3595" s="27">
        <v>38754</v>
      </c>
      <c r="E3595" s="28" t="s">
        <v>11515</v>
      </c>
      <c r="F3595" s="28" t="s">
        <v>27</v>
      </c>
      <c r="G3595" s="28" t="s">
        <v>20</v>
      </c>
      <c r="H3595" s="28" t="s">
        <v>71</v>
      </c>
      <c r="I3595" s="28" t="s">
        <v>72</v>
      </c>
      <c r="J3595" s="28" t="s">
        <v>1243</v>
      </c>
      <c r="K3595" s="28" t="s">
        <v>21</v>
      </c>
      <c r="L3595" s="28" t="s">
        <v>10871</v>
      </c>
      <c r="M3595" s="28" t="s">
        <v>2205</v>
      </c>
      <c r="N3595" s="29">
        <v>38845</v>
      </c>
      <c r="O3595" s="92">
        <v>39000</v>
      </c>
      <c r="P3595" s="28" t="s">
        <v>21</v>
      </c>
      <c r="Q3595" s="26" t="b">
        <v>0</v>
      </c>
      <c r="R3595" s="22">
        <f t="shared" si="58"/>
        <v>245</v>
      </c>
    </row>
    <row r="3596" spans="1:18">
      <c r="A3596" s="26">
        <v>8422</v>
      </c>
      <c r="B3596" s="27">
        <v>38757</v>
      </c>
      <c r="C3596" s="28" t="s">
        <v>11516</v>
      </c>
      <c r="D3596" s="27">
        <v>38755</v>
      </c>
      <c r="E3596" s="28" t="s">
        <v>11517</v>
      </c>
      <c r="F3596" s="28" t="s">
        <v>8358</v>
      </c>
      <c r="G3596" s="28" t="s">
        <v>20</v>
      </c>
      <c r="H3596" s="28" t="s">
        <v>71</v>
      </c>
      <c r="I3596" s="28" t="s">
        <v>72</v>
      </c>
      <c r="J3596" s="28" t="s">
        <v>11518</v>
      </c>
      <c r="K3596" s="28" t="s">
        <v>1817</v>
      </c>
      <c r="L3596" s="28" t="s">
        <v>4282</v>
      </c>
      <c r="M3596" s="28" t="s">
        <v>21</v>
      </c>
      <c r="N3596" s="27">
        <v>38845</v>
      </c>
      <c r="O3596" s="92">
        <v>38776</v>
      </c>
      <c r="P3596" s="28" t="s">
        <v>21</v>
      </c>
      <c r="Q3596" s="26" t="b">
        <v>0</v>
      </c>
      <c r="R3596" s="22">
        <f t="shared" si="58"/>
        <v>19</v>
      </c>
    </row>
    <row r="3597" spans="1:18">
      <c r="A3597" s="26">
        <v>8423</v>
      </c>
      <c r="B3597" s="27">
        <v>38757</v>
      </c>
      <c r="C3597" s="28" t="s">
        <v>11519</v>
      </c>
      <c r="D3597" s="27">
        <v>38755</v>
      </c>
      <c r="E3597" s="28" t="s">
        <v>11520</v>
      </c>
      <c r="F3597" s="28" t="s">
        <v>8358</v>
      </c>
      <c r="G3597" s="28" t="s">
        <v>20</v>
      </c>
      <c r="H3597" s="28" t="s">
        <v>71</v>
      </c>
      <c r="I3597" s="28" t="s">
        <v>72</v>
      </c>
      <c r="J3597" s="28" t="s">
        <v>11521</v>
      </c>
      <c r="K3597" s="28" t="s">
        <v>1817</v>
      </c>
      <c r="L3597" s="28" t="s">
        <v>4282</v>
      </c>
      <c r="M3597" s="28" t="s">
        <v>21</v>
      </c>
      <c r="N3597" s="27">
        <v>38845</v>
      </c>
      <c r="O3597" s="92">
        <v>38776</v>
      </c>
      <c r="P3597" s="28" t="s">
        <v>21</v>
      </c>
      <c r="Q3597" s="26" t="b">
        <v>0</v>
      </c>
      <c r="R3597" s="22">
        <f t="shared" si="58"/>
        <v>19</v>
      </c>
    </row>
    <row r="3598" spans="1:18">
      <c r="A3598" s="26">
        <v>8424</v>
      </c>
      <c r="B3598" s="27">
        <v>38758</v>
      </c>
      <c r="C3598" s="28" t="s">
        <v>11522</v>
      </c>
      <c r="D3598" s="27">
        <v>38756</v>
      </c>
      <c r="E3598" s="28" t="s">
        <v>11523</v>
      </c>
      <c r="F3598" s="28" t="s">
        <v>211</v>
      </c>
      <c r="G3598" s="28" t="s">
        <v>20</v>
      </c>
      <c r="H3598" s="28" t="s">
        <v>212</v>
      </c>
      <c r="I3598" s="28" t="s">
        <v>11261</v>
      </c>
      <c r="J3598" s="28" t="s">
        <v>11524</v>
      </c>
      <c r="K3598" s="28" t="s">
        <v>11525</v>
      </c>
      <c r="L3598" s="28" t="s">
        <v>4579</v>
      </c>
      <c r="M3598" s="28" t="s">
        <v>21</v>
      </c>
      <c r="N3598" s="27">
        <v>38845</v>
      </c>
      <c r="O3598" s="92">
        <v>38770</v>
      </c>
      <c r="P3598" s="28" t="s">
        <v>31</v>
      </c>
      <c r="Q3598" s="26" t="b">
        <v>1</v>
      </c>
      <c r="R3598" s="22">
        <f t="shared" si="58"/>
        <v>12</v>
      </c>
    </row>
    <row r="3599" spans="1:18">
      <c r="A3599" s="26">
        <v>8425</v>
      </c>
      <c r="B3599" s="27">
        <v>38758</v>
      </c>
      <c r="C3599" s="28" t="s">
        <v>11526</v>
      </c>
      <c r="D3599" s="27">
        <v>38757</v>
      </c>
      <c r="E3599" s="28" t="s">
        <v>11527</v>
      </c>
      <c r="F3599" s="28" t="s">
        <v>2359</v>
      </c>
      <c r="G3599" s="28" t="s">
        <v>20</v>
      </c>
      <c r="H3599" s="28" t="s">
        <v>71</v>
      </c>
      <c r="I3599" s="28" t="s">
        <v>72</v>
      </c>
      <c r="J3599" s="28" t="s">
        <v>11528</v>
      </c>
      <c r="K3599" s="28" t="s">
        <v>11529</v>
      </c>
      <c r="L3599" s="28" t="s">
        <v>4579</v>
      </c>
      <c r="M3599" s="28" t="s">
        <v>21</v>
      </c>
      <c r="N3599" s="27">
        <v>38846</v>
      </c>
      <c r="O3599" s="92">
        <v>38765</v>
      </c>
      <c r="P3599" s="28" t="s">
        <v>21</v>
      </c>
      <c r="Q3599" s="26" t="b">
        <v>1</v>
      </c>
      <c r="R3599" s="22">
        <f t="shared" si="58"/>
        <v>7</v>
      </c>
    </row>
    <row r="3600" spans="1:18" ht="24">
      <c r="A3600" s="26">
        <v>8429</v>
      </c>
      <c r="B3600" s="27">
        <v>38763</v>
      </c>
      <c r="C3600" s="28" t="s">
        <v>11530</v>
      </c>
      <c r="D3600" s="27">
        <v>38758</v>
      </c>
      <c r="E3600" s="28" t="s">
        <v>11531</v>
      </c>
      <c r="F3600" s="28" t="s">
        <v>11532</v>
      </c>
      <c r="G3600" s="28" t="s">
        <v>20</v>
      </c>
      <c r="H3600" s="28" t="s">
        <v>189</v>
      </c>
      <c r="I3600" s="28" t="s">
        <v>189</v>
      </c>
      <c r="J3600" s="28" t="s">
        <v>11533</v>
      </c>
      <c r="K3600" s="28" t="s">
        <v>21</v>
      </c>
      <c r="L3600" s="28" t="s">
        <v>4579</v>
      </c>
      <c r="M3600" s="28" t="s">
        <v>21</v>
      </c>
      <c r="N3600" s="27">
        <v>38791</v>
      </c>
      <c r="O3600" s="92">
        <v>38778</v>
      </c>
      <c r="P3600" s="28" t="s">
        <v>31</v>
      </c>
      <c r="Q3600" s="26" t="b">
        <v>1</v>
      </c>
      <c r="R3600" s="22">
        <f t="shared" si="58"/>
        <v>17</v>
      </c>
    </row>
    <row r="3601" spans="1:18">
      <c r="A3601" s="26">
        <v>8430</v>
      </c>
      <c r="B3601" s="27">
        <v>38763</v>
      </c>
      <c r="C3601" s="28" t="s">
        <v>11534</v>
      </c>
      <c r="D3601" s="27">
        <v>38762</v>
      </c>
      <c r="E3601" s="28" t="s">
        <v>11535</v>
      </c>
      <c r="F3601" s="28" t="s">
        <v>367</v>
      </c>
      <c r="G3601" s="28" t="s">
        <v>20</v>
      </c>
      <c r="H3601" s="28" t="s">
        <v>71</v>
      </c>
      <c r="I3601" s="28" t="s">
        <v>72</v>
      </c>
      <c r="J3601" s="28" t="s">
        <v>11536</v>
      </c>
      <c r="K3601" s="28" t="s">
        <v>21</v>
      </c>
      <c r="L3601" s="28" t="s">
        <v>1946</v>
      </c>
      <c r="M3601" s="28" t="s">
        <v>21</v>
      </c>
      <c r="N3601" s="27">
        <v>38852</v>
      </c>
      <c r="O3601" s="92">
        <v>40556</v>
      </c>
      <c r="P3601" s="28" t="s">
        <v>31</v>
      </c>
      <c r="Q3601" s="26" t="b">
        <v>0</v>
      </c>
      <c r="R3601" s="22">
        <f t="shared" si="58"/>
        <v>1792</v>
      </c>
    </row>
    <row r="3602" spans="1:18">
      <c r="A3602" s="26">
        <v>8431</v>
      </c>
      <c r="B3602" s="27">
        <v>38763</v>
      </c>
      <c r="C3602" s="28" t="s">
        <v>11537</v>
      </c>
      <c r="D3602" s="27">
        <v>38763</v>
      </c>
      <c r="E3602" s="28" t="s">
        <v>11538</v>
      </c>
      <c r="F3602" s="28" t="s">
        <v>8615</v>
      </c>
      <c r="G3602" s="28" t="s">
        <v>20</v>
      </c>
      <c r="H3602" s="28" t="s">
        <v>71</v>
      </c>
      <c r="I3602" s="28" t="s">
        <v>72</v>
      </c>
      <c r="J3602" s="28" t="s">
        <v>11539</v>
      </c>
      <c r="K3602" s="28" t="s">
        <v>21</v>
      </c>
      <c r="L3602" s="28" t="s">
        <v>4282</v>
      </c>
      <c r="M3602" s="28" t="s">
        <v>21</v>
      </c>
      <c r="N3602" s="27">
        <v>38852</v>
      </c>
      <c r="O3602" s="92">
        <v>38799</v>
      </c>
      <c r="P3602" s="28" t="s">
        <v>31</v>
      </c>
      <c r="Q3602" s="26" t="b">
        <v>1</v>
      </c>
      <c r="R3602" s="22">
        <f t="shared" si="58"/>
        <v>38</v>
      </c>
    </row>
    <row r="3603" spans="1:18" ht="24">
      <c r="A3603" s="26">
        <v>8432</v>
      </c>
      <c r="B3603" s="27">
        <v>38765</v>
      </c>
      <c r="C3603" s="28" t="s">
        <v>11540</v>
      </c>
      <c r="D3603" s="27">
        <v>38764</v>
      </c>
      <c r="E3603" s="28" t="s">
        <v>11541</v>
      </c>
      <c r="F3603" s="28" t="s">
        <v>4596</v>
      </c>
      <c r="G3603" s="28" t="s">
        <v>20</v>
      </c>
      <c r="H3603" s="28" t="s">
        <v>189</v>
      </c>
      <c r="I3603" s="28" t="s">
        <v>212</v>
      </c>
      <c r="J3603" s="28" t="s">
        <v>7019</v>
      </c>
      <c r="K3603" s="28" t="s">
        <v>11542</v>
      </c>
      <c r="L3603" s="28" t="s">
        <v>4579</v>
      </c>
      <c r="M3603" s="28" t="s">
        <v>21</v>
      </c>
      <c r="N3603" s="27">
        <v>38792</v>
      </c>
      <c r="O3603" s="92">
        <v>38778</v>
      </c>
      <c r="P3603" s="28" t="s">
        <v>31</v>
      </c>
      <c r="Q3603" s="26" t="b">
        <v>1</v>
      </c>
      <c r="R3603" s="22">
        <f t="shared" si="58"/>
        <v>15</v>
      </c>
    </row>
    <row r="3604" spans="1:18">
      <c r="A3604" s="26">
        <v>8434</v>
      </c>
      <c r="B3604" s="27">
        <v>38765</v>
      </c>
      <c r="C3604" s="28" t="s">
        <v>11543</v>
      </c>
      <c r="D3604" s="27">
        <v>38764</v>
      </c>
      <c r="E3604" s="28" t="s">
        <v>38</v>
      </c>
      <c r="F3604" s="28" t="s">
        <v>11544</v>
      </c>
      <c r="G3604" s="28" t="s">
        <v>20</v>
      </c>
      <c r="H3604" s="28" t="s">
        <v>71</v>
      </c>
      <c r="I3604" s="28" t="s">
        <v>72</v>
      </c>
      <c r="J3604" s="28" t="s">
        <v>6025</v>
      </c>
      <c r="K3604" s="28" t="s">
        <v>21</v>
      </c>
      <c r="L3604" s="28" t="s">
        <v>8318</v>
      </c>
      <c r="M3604" s="28" t="s">
        <v>21</v>
      </c>
      <c r="N3604" s="18"/>
      <c r="O3604" s="92">
        <v>38765</v>
      </c>
      <c r="P3604" s="28" t="s">
        <v>31</v>
      </c>
      <c r="Q3604" s="26" t="b">
        <v>0</v>
      </c>
      <c r="R3604" s="22">
        <f t="shared" si="58"/>
        <v>0</v>
      </c>
    </row>
    <row r="3605" spans="1:18">
      <c r="A3605" s="26">
        <v>8435</v>
      </c>
      <c r="B3605" s="27">
        <v>38769</v>
      </c>
      <c r="C3605" s="28" t="s">
        <v>11545</v>
      </c>
      <c r="D3605" s="27">
        <v>38766</v>
      </c>
      <c r="E3605" s="28" t="s">
        <v>11546</v>
      </c>
      <c r="F3605" s="28" t="s">
        <v>8615</v>
      </c>
      <c r="G3605" s="28" t="s">
        <v>20</v>
      </c>
      <c r="H3605" s="28" t="s">
        <v>71</v>
      </c>
      <c r="I3605" s="28" t="s">
        <v>72</v>
      </c>
      <c r="J3605" s="28" t="s">
        <v>11547</v>
      </c>
      <c r="K3605" s="28" t="s">
        <v>11538</v>
      </c>
      <c r="L3605" s="28" t="s">
        <v>4282</v>
      </c>
      <c r="M3605" s="28" t="s">
        <v>21</v>
      </c>
      <c r="N3605" s="27">
        <v>38855</v>
      </c>
      <c r="O3605" s="92">
        <v>38799</v>
      </c>
      <c r="P3605" s="28" t="s">
        <v>31</v>
      </c>
      <c r="Q3605" s="26" t="b">
        <v>1</v>
      </c>
      <c r="R3605" s="22">
        <f t="shared" si="58"/>
        <v>32</v>
      </c>
    </row>
    <row r="3606" spans="1:18">
      <c r="A3606" s="26">
        <v>8436</v>
      </c>
      <c r="B3606" s="27">
        <v>38769</v>
      </c>
      <c r="C3606" s="28" t="s">
        <v>11548</v>
      </c>
      <c r="D3606" s="27">
        <v>38765</v>
      </c>
      <c r="E3606" s="28" t="s">
        <v>11549</v>
      </c>
      <c r="F3606" s="28" t="s">
        <v>27</v>
      </c>
      <c r="G3606" s="28" t="s">
        <v>20</v>
      </c>
      <c r="H3606" s="28" t="s">
        <v>71</v>
      </c>
      <c r="I3606" s="28" t="s">
        <v>72</v>
      </c>
      <c r="J3606" s="28" t="s">
        <v>11550</v>
      </c>
      <c r="K3606" s="28" t="s">
        <v>11551</v>
      </c>
      <c r="L3606" s="28" t="s">
        <v>4282</v>
      </c>
      <c r="M3606" s="28" t="s">
        <v>21</v>
      </c>
      <c r="N3606" s="27">
        <v>38854</v>
      </c>
      <c r="O3606" s="92">
        <v>38988</v>
      </c>
      <c r="P3606" s="28" t="s">
        <v>21</v>
      </c>
      <c r="Q3606" s="26" t="b">
        <v>0</v>
      </c>
      <c r="R3606" s="22">
        <f t="shared" si="58"/>
        <v>220</v>
      </c>
    </row>
    <row r="3607" spans="1:18">
      <c r="A3607" s="26">
        <v>8438</v>
      </c>
      <c r="B3607" s="27">
        <v>38770</v>
      </c>
      <c r="C3607" s="28" t="s">
        <v>11552</v>
      </c>
      <c r="D3607" s="27">
        <v>38763</v>
      </c>
      <c r="E3607" s="28" t="s">
        <v>11553</v>
      </c>
      <c r="F3607" s="28" t="s">
        <v>5690</v>
      </c>
      <c r="G3607" s="28" t="s">
        <v>20</v>
      </c>
      <c r="H3607" s="28" t="s">
        <v>71</v>
      </c>
      <c r="I3607" s="28" t="s">
        <v>72</v>
      </c>
      <c r="J3607" s="28" t="s">
        <v>11554</v>
      </c>
      <c r="K3607" s="28" t="s">
        <v>11555</v>
      </c>
      <c r="L3607" s="28" t="s">
        <v>10871</v>
      </c>
      <c r="M3607" s="28" t="s">
        <v>2205</v>
      </c>
      <c r="N3607" s="27">
        <v>38859</v>
      </c>
      <c r="O3607" s="92">
        <v>38854</v>
      </c>
      <c r="P3607" s="28" t="s">
        <v>21</v>
      </c>
      <c r="Q3607" s="26" t="b">
        <v>0</v>
      </c>
      <c r="R3607" s="22">
        <f t="shared" si="58"/>
        <v>86</v>
      </c>
    </row>
    <row r="3608" spans="1:18">
      <c r="A3608" s="26">
        <v>8439</v>
      </c>
      <c r="B3608" s="27">
        <v>38770</v>
      </c>
      <c r="C3608" s="28" t="s">
        <v>11556</v>
      </c>
      <c r="D3608" s="27">
        <v>38769</v>
      </c>
      <c r="E3608" s="28" t="s">
        <v>11557</v>
      </c>
      <c r="F3608" s="28" t="s">
        <v>124</v>
      </c>
      <c r="G3608" s="28" t="s">
        <v>20</v>
      </c>
      <c r="H3608" s="28" t="s">
        <v>71</v>
      </c>
      <c r="I3608" s="28" t="s">
        <v>72</v>
      </c>
      <c r="J3608" s="28" t="s">
        <v>11558</v>
      </c>
      <c r="K3608" s="28" t="s">
        <v>21</v>
      </c>
      <c r="L3608" s="28" t="s">
        <v>4579</v>
      </c>
      <c r="M3608" s="28" t="s">
        <v>21</v>
      </c>
      <c r="N3608" s="29">
        <v>38798</v>
      </c>
      <c r="O3608" s="92">
        <v>38898</v>
      </c>
      <c r="P3608" s="28" t="s">
        <v>31</v>
      </c>
      <c r="Q3608" s="26" t="b">
        <v>1</v>
      </c>
      <c r="R3608" s="22">
        <f t="shared" si="58"/>
        <v>129</v>
      </c>
    </row>
    <row r="3609" spans="1:18">
      <c r="A3609" s="26">
        <v>8440</v>
      </c>
      <c r="B3609" s="27">
        <v>38771</v>
      </c>
      <c r="C3609" s="28" t="s">
        <v>11559</v>
      </c>
      <c r="D3609" s="27">
        <v>38765</v>
      </c>
      <c r="E3609" s="28" t="s">
        <v>11560</v>
      </c>
      <c r="F3609" s="28" t="s">
        <v>2146</v>
      </c>
      <c r="G3609" s="28" t="s">
        <v>20</v>
      </c>
      <c r="H3609" s="28" t="s">
        <v>71</v>
      </c>
      <c r="I3609" s="28" t="s">
        <v>72</v>
      </c>
      <c r="J3609" s="28" t="s">
        <v>11561</v>
      </c>
      <c r="K3609" s="28" t="s">
        <v>8828</v>
      </c>
      <c r="L3609" s="28" t="s">
        <v>4282</v>
      </c>
      <c r="M3609" s="28" t="s">
        <v>21</v>
      </c>
      <c r="N3609" s="27">
        <v>38860</v>
      </c>
      <c r="O3609" s="92">
        <v>38911</v>
      </c>
      <c r="P3609" s="28" t="s">
        <v>21</v>
      </c>
      <c r="Q3609" s="26" t="b">
        <v>0</v>
      </c>
      <c r="R3609" s="22">
        <f t="shared" ref="R3609:R3672" si="59">IF(O3609=" ", " ", INT(YEARFRAC(O3609, B3609)*365))</f>
        <v>141</v>
      </c>
    </row>
    <row r="3610" spans="1:18">
      <c r="A3610" s="26">
        <v>8443</v>
      </c>
      <c r="B3610" s="27">
        <v>38771</v>
      </c>
      <c r="C3610" s="28" t="s">
        <v>11556</v>
      </c>
      <c r="D3610" s="27">
        <v>38769</v>
      </c>
      <c r="E3610" s="28" t="s">
        <v>11562</v>
      </c>
      <c r="F3610" s="28" t="s">
        <v>27</v>
      </c>
      <c r="G3610" s="28" t="s">
        <v>20</v>
      </c>
      <c r="H3610" s="28" t="s">
        <v>71</v>
      </c>
      <c r="I3610" s="28" t="s">
        <v>72</v>
      </c>
      <c r="J3610" s="28" t="s">
        <v>11563</v>
      </c>
      <c r="K3610" s="28" t="s">
        <v>11564</v>
      </c>
      <c r="L3610" s="28" t="s">
        <v>1946</v>
      </c>
      <c r="M3610" s="28" t="s">
        <v>21</v>
      </c>
      <c r="N3610" s="27">
        <v>38799</v>
      </c>
      <c r="O3610" s="92">
        <v>38953</v>
      </c>
      <c r="P3610" s="28" t="s">
        <v>31</v>
      </c>
      <c r="Q3610" s="26" t="b">
        <v>1</v>
      </c>
      <c r="R3610" s="22">
        <f t="shared" si="59"/>
        <v>183</v>
      </c>
    </row>
    <row r="3611" spans="1:18">
      <c r="A3611" s="26">
        <v>8445</v>
      </c>
      <c r="B3611" s="27">
        <v>38775</v>
      </c>
      <c r="C3611" s="28" t="s">
        <v>11565</v>
      </c>
      <c r="D3611" s="27">
        <v>38772</v>
      </c>
      <c r="E3611" s="28" t="s">
        <v>11566</v>
      </c>
      <c r="F3611" s="28" t="s">
        <v>19</v>
      </c>
      <c r="G3611" s="28" t="s">
        <v>20</v>
      </c>
      <c r="H3611" s="28" t="s">
        <v>71</v>
      </c>
      <c r="I3611" s="28" t="s">
        <v>72</v>
      </c>
      <c r="J3611" s="28" t="s">
        <v>11567</v>
      </c>
      <c r="K3611" s="28" t="s">
        <v>11568</v>
      </c>
      <c r="L3611" s="28" t="s">
        <v>4579</v>
      </c>
      <c r="M3611" s="28" t="s">
        <v>21</v>
      </c>
      <c r="N3611" s="29">
        <v>38866</v>
      </c>
      <c r="O3611" s="92">
        <v>38901</v>
      </c>
      <c r="P3611" s="28" t="s">
        <v>21</v>
      </c>
      <c r="Q3611" s="26" t="b">
        <v>0</v>
      </c>
      <c r="R3611" s="22">
        <f t="shared" si="59"/>
        <v>127</v>
      </c>
    </row>
    <row r="3612" spans="1:18">
      <c r="A3612" s="26">
        <v>8446</v>
      </c>
      <c r="B3612" s="27">
        <v>38775</v>
      </c>
      <c r="C3612" s="28" t="s">
        <v>11569</v>
      </c>
      <c r="D3612" s="27">
        <v>38772</v>
      </c>
      <c r="E3612" s="28" t="s">
        <v>11570</v>
      </c>
      <c r="F3612" s="28" t="s">
        <v>10725</v>
      </c>
      <c r="G3612" s="28" t="s">
        <v>20</v>
      </c>
      <c r="H3612" s="28" t="s">
        <v>566</v>
      </c>
      <c r="I3612" s="28" t="s">
        <v>11571</v>
      </c>
      <c r="J3612" s="28" t="s">
        <v>11572</v>
      </c>
      <c r="K3612" s="28" t="s">
        <v>11573</v>
      </c>
      <c r="L3612" s="28" t="s">
        <v>10871</v>
      </c>
      <c r="M3612" s="28" t="s">
        <v>2205</v>
      </c>
      <c r="N3612" s="27">
        <v>38866</v>
      </c>
      <c r="O3612" s="92">
        <v>38895</v>
      </c>
      <c r="P3612" s="28" t="s">
        <v>31</v>
      </c>
      <c r="Q3612" s="26" t="b">
        <v>1</v>
      </c>
      <c r="R3612" s="22">
        <f t="shared" si="59"/>
        <v>121</v>
      </c>
    </row>
    <row r="3613" spans="1:18">
      <c r="A3613" s="26">
        <v>8447</v>
      </c>
      <c r="B3613" s="27">
        <v>38776</v>
      </c>
      <c r="C3613" s="28" t="s">
        <v>11574</v>
      </c>
      <c r="D3613" s="27">
        <v>38775</v>
      </c>
      <c r="E3613" s="28" t="s">
        <v>11575</v>
      </c>
      <c r="F3613" s="28" t="s">
        <v>39</v>
      </c>
      <c r="G3613" s="28" t="s">
        <v>20</v>
      </c>
      <c r="H3613" s="28" t="s">
        <v>71</v>
      </c>
      <c r="I3613" s="28" t="s">
        <v>72</v>
      </c>
      <c r="J3613" s="28" t="s">
        <v>11576</v>
      </c>
      <c r="K3613" s="28" t="s">
        <v>11577</v>
      </c>
      <c r="L3613" s="28" t="s">
        <v>4282</v>
      </c>
      <c r="M3613" s="28" t="s">
        <v>21</v>
      </c>
      <c r="N3613" s="29">
        <v>38866</v>
      </c>
      <c r="O3613" s="92">
        <v>38799</v>
      </c>
      <c r="P3613" s="28" t="s">
        <v>21</v>
      </c>
      <c r="Q3613" s="26" t="b">
        <v>0</v>
      </c>
      <c r="R3613" s="22">
        <f t="shared" si="59"/>
        <v>23</v>
      </c>
    </row>
    <row r="3614" spans="1:18">
      <c r="A3614" s="26">
        <v>8448</v>
      </c>
      <c r="B3614" s="27">
        <v>38777</v>
      </c>
      <c r="C3614" s="28" t="s">
        <v>11578</v>
      </c>
      <c r="D3614" s="27">
        <v>38776</v>
      </c>
      <c r="E3614" s="28" t="s">
        <v>11579</v>
      </c>
      <c r="F3614" s="28" t="s">
        <v>10838</v>
      </c>
      <c r="G3614" s="28" t="s">
        <v>20</v>
      </c>
      <c r="H3614" s="28" t="s">
        <v>71</v>
      </c>
      <c r="I3614" s="28" t="s">
        <v>72</v>
      </c>
      <c r="J3614" s="28" t="s">
        <v>11580</v>
      </c>
      <c r="K3614" s="28" t="s">
        <v>11581</v>
      </c>
      <c r="L3614" s="28" t="s">
        <v>1946</v>
      </c>
      <c r="M3614" s="28" t="s">
        <v>21</v>
      </c>
      <c r="N3614" s="29">
        <v>38808</v>
      </c>
      <c r="O3614" s="92">
        <v>38831</v>
      </c>
      <c r="P3614" s="28" t="s">
        <v>21</v>
      </c>
      <c r="Q3614" s="26" t="b">
        <v>0</v>
      </c>
      <c r="R3614" s="22">
        <f t="shared" si="59"/>
        <v>53</v>
      </c>
    </row>
    <row r="3615" spans="1:18">
      <c r="A3615" s="26">
        <v>8452</v>
      </c>
      <c r="B3615" s="27">
        <v>38779</v>
      </c>
      <c r="C3615" s="28" t="s">
        <v>11582</v>
      </c>
      <c r="D3615" s="27">
        <v>38779</v>
      </c>
      <c r="E3615" s="28" t="s">
        <v>11583</v>
      </c>
      <c r="F3615" s="28" t="s">
        <v>10394</v>
      </c>
      <c r="G3615" s="28" t="s">
        <v>20</v>
      </c>
      <c r="H3615" s="28" t="s">
        <v>212</v>
      </c>
      <c r="I3615" s="28" t="s">
        <v>11261</v>
      </c>
      <c r="J3615" s="28" t="s">
        <v>11584</v>
      </c>
      <c r="K3615" s="28" t="s">
        <v>11585</v>
      </c>
      <c r="L3615" s="28" t="s">
        <v>1946</v>
      </c>
      <c r="M3615" s="28" t="s">
        <v>21</v>
      </c>
      <c r="N3615" s="27">
        <v>38810</v>
      </c>
      <c r="O3615" s="92">
        <v>38841</v>
      </c>
      <c r="P3615" s="28" t="s">
        <v>31</v>
      </c>
      <c r="Q3615" s="26" t="b">
        <v>1</v>
      </c>
      <c r="R3615" s="22">
        <f t="shared" si="59"/>
        <v>61</v>
      </c>
    </row>
    <row r="3616" spans="1:18">
      <c r="A3616" s="26">
        <v>8453</v>
      </c>
      <c r="B3616" s="27">
        <v>38782</v>
      </c>
      <c r="C3616" s="28" t="s">
        <v>11586</v>
      </c>
      <c r="D3616" s="27">
        <v>38779</v>
      </c>
      <c r="E3616" s="28" t="s">
        <v>11587</v>
      </c>
      <c r="F3616" s="28" t="s">
        <v>7961</v>
      </c>
      <c r="G3616" s="28" t="s">
        <v>20</v>
      </c>
      <c r="H3616" s="28" t="s">
        <v>189</v>
      </c>
      <c r="I3616" s="28" t="s">
        <v>189</v>
      </c>
      <c r="J3616" s="28" t="s">
        <v>11588</v>
      </c>
      <c r="K3616" s="28" t="s">
        <v>11589</v>
      </c>
      <c r="L3616" s="28" t="s">
        <v>10871</v>
      </c>
      <c r="M3616" s="28" t="s">
        <v>2205</v>
      </c>
      <c r="N3616" s="27">
        <v>38874</v>
      </c>
      <c r="O3616" s="92">
        <v>38841</v>
      </c>
      <c r="P3616" s="28" t="s">
        <v>31</v>
      </c>
      <c r="Q3616" s="26" t="b">
        <v>1</v>
      </c>
      <c r="R3616" s="22">
        <f t="shared" si="59"/>
        <v>58</v>
      </c>
    </row>
    <row r="3617" spans="1:18">
      <c r="A3617" s="26">
        <v>8454</v>
      </c>
      <c r="B3617" s="27">
        <v>38782</v>
      </c>
      <c r="C3617" s="28" t="s">
        <v>11590</v>
      </c>
      <c r="D3617" s="27">
        <v>38782</v>
      </c>
      <c r="E3617" s="28" t="s">
        <v>11591</v>
      </c>
      <c r="F3617" s="28" t="s">
        <v>367</v>
      </c>
      <c r="G3617" s="28" t="s">
        <v>20</v>
      </c>
      <c r="H3617" s="28" t="s">
        <v>71</v>
      </c>
      <c r="I3617" s="28" t="s">
        <v>72</v>
      </c>
      <c r="J3617" s="28" t="s">
        <v>11592</v>
      </c>
      <c r="K3617" s="28" t="s">
        <v>11593</v>
      </c>
      <c r="L3617" s="28" t="s">
        <v>4282</v>
      </c>
      <c r="M3617" s="28" t="s">
        <v>21</v>
      </c>
      <c r="N3617" s="18"/>
      <c r="O3617" s="92">
        <v>38782</v>
      </c>
      <c r="P3617" s="28" t="s">
        <v>21</v>
      </c>
      <c r="Q3617" s="26" t="b">
        <v>0</v>
      </c>
      <c r="R3617" s="22">
        <f t="shared" si="59"/>
        <v>0</v>
      </c>
    </row>
    <row r="3618" spans="1:18">
      <c r="A3618" s="26">
        <v>8469</v>
      </c>
      <c r="B3618" s="27">
        <v>38784</v>
      </c>
      <c r="C3618" s="28" t="s">
        <v>11613</v>
      </c>
      <c r="D3618" s="27">
        <v>38784</v>
      </c>
      <c r="E3618" s="28" t="s">
        <v>11614</v>
      </c>
      <c r="F3618" s="28" t="s">
        <v>1232</v>
      </c>
      <c r="G3618" s="28" t="s">
        <v>20</v>
      </c>
      <c r="H3618" s="28" t="s">
        <v>189</v>
      </c>
      <c r="I3618" s="28" t="s">
        <v>189</v>
      </c>
      <c r="J3618" s="28" t="s">
        <v>11615</v>
      </c>
      <c r="K3618" s="28" t="s">
        <v>11616</v>
      </c>
      <c r="L3618" s="28" t="s">
        <v>4579</v>
      </c>
      <c r="M3618" s="28" t="s">
        <v>21</v>
      </c>
      <c r="N3618" s="27">
        <v>38876</v>
      </c>
      <c r="O3618" s="92">
        <v>38917</v>
      </c>
      <c r="P3618" s="28" t="s">
        <v>31</v>
      </c>
      <c r="Q3618" s="26" t="b">
        <v>0</v>
      </c>
      <c r="R3618" s="22">
        <f t="shared" si="59"/>
        <v>132</v>
      </c>
    </row>
    <row r="3619" spans="1:18">
      <c r="A3619" s="26">
        <v>8456</v>
      </c>
      <c r="B3619" s="27">
        <v>38785</v>
      </c>
      <c r="C3619" s="28" t="s">
        <v>11594</v>
      </c>
      <c r="D3619" s="27">
        <v>38784</v>
      </c>
      <c r="E3619" s="28" t="s">
        <v>11595</v>
      </c>
      <c r="F3619" s="28" t="s">
        <v>98</v>
      </c>
      <c r="G3619" s="28" t="s">
        <v>20</v>
      </c>
      <c r="H3619" s="28" t="s">
        <v>71</v>
      </c>
      <c r="I3619" s="28" t="s">
        <v>72</v>
      </c>
      <c r="J3619" s="28" t="s">
        <v>11572</v>
      </c>
      <c r="K3619" s="28" t="s">
        <v>11573</v>
      </c>
      <c r="L3619" s="28" t="s">
        <v>10871</v>
      </c>
      <c r="M3619" s="28" t="s">
        <v>2205</v>
      </c>
      <c r="N3619" s="27">
        <v>38817</v>
      </c>
      <c r="O3619" s="92">
        <v>38891</v>
      </c>
      <c r="P3619" s="28" t="s">
        <v>31</v>
      </c>
      <c r="Q3619" s="26" t="b">
        <v>0</v>
      </c>
      <c r="R3619" s="22">
        <f t="shared" si="59"/>
        <v>105</v>
      </c>
    </row>
    <row r="3620" spans="1:18">
      <c r="A3620" s="26">
        <v>8457</v>
      </c>
      <c r="B3620" s="27">
        <v>38785</v>
      </c>
      <c r="C3620" s="28" t="s">
        <v>11596</v>
      </c>
      <c r="D3620" s="27">
        <v>38782</v>
      </c>
      <c r="E3620" s="28" t="s">
        <v>11597</v>
      </c>
      <c r="F3620" s="28" t="s">
        <v>7054</v>
      </c>
      <c r="G3620" s="28" t="s">
        <v>20</v>
      </c>
      <c r="H3620" s="28" t="s">
        <v>212</v>
      </c>
      <c r="I3620" s="28" t="s">
        <v>11261</v>
      </c>
      <c r="J3620" s="28" t="s">
        <v>11598</v>
      </c>
      <c r="K3620" s="28" t="s">
        <v>21</v>
      </c>
      <c r="L3620" s="28" t="s">
        <v>2205</v>
      </c>
      <c r="M3620" s="28" t="s">
        <v>21</v>
      </c>
      <c r="N3620" s="27">
        <v>38880</v>
      </c>
      <c r="O3620" s="92">
        <v>38798</v>
      </c>
      <c r="P3620" s="28" t="s">
        <v>21</v>
      </c>
      <c r="Q3620" s="26" t="b">
        <v>0</v>
      </c>
      <c r="R3620" s="22">
        <f t="shared" si="59"/>
        <v>13</v>
      </c>
    </row>
    <row r="3621" spans="1:18">
      <c r="A3621" s="26">
        <v>8470</v>
      </c>
      <c r="B3621" s="27">
        <v>38786</v>
      </c>
      <c r="C3621" s="28" t="s">
        <v>11617</v>
      </c>
      <c r="D3621" s="27">
        <v>38783</v>
      </c>
      <c r="E3621" s="28" t="s">
        <v>11618</v>
      </c>
      <c r="F3621" s="28" t="s">
        <v>27</v>
      </c>
      <c r="G3621" s="28" t="s">
        <v>20</v>
      </c>
      <c r="H3621" s="28" t="s">
        <v>71</v>
      </c>
      <c r="I3621" s="28" t="s">
        <v>72</v>
      </c>
      <c r="J3621" s="28" t="s">
        <v>5917</v>
      </c>
      <c r="K3621" s="28" t="s">
        <v>3538</v>
      </c>
      <c r="L3621" s="28" t="s">
        <v>2205</v>
      </c>
      <c r="M3621" s="28" t="s">
        <v>21</v>
      </c>
      <c r="N3621" s="29">
        <v>38875</v>
      </c>
      <c r="O3621" s="92">
        <v>38798</v>
      </c>
      <c r="P3621" s="28" t="s">
        <v>182</v>
      </c>
      <c r="Q3621" s="26" t="b">
        <v>0</v>
      </c>
      <c r="R3621" s="22">
        <f t="shared" si="59"/>
        <v>12</v>
      </c>
    </row>
    <row r="3622" spans="1:18">
      <c r="A3622" s="26">
        <v>8494</v>
      </c>
      <c r="B3622" s="27">
        <v>38786</v>
      </c>
      <c r="C3622" s="28" t="s">
        <v>11617</v>
      </c>
      <c r="D3622" s="27">
        <v>38786</v>
      </c>
      <c r="E3622" s="28" t="s">
        <v>38</v>
      </c>
      <c r="F3622" s="28" t="s">
        <v>104</v>
      </c>
      <c r="G3622" s="28" t="s">
        <v>20</v>
      </c>
      <c r="H3622" s="28" t="s">
        <v>71</v>
      </c>
      <c r="I3622" s="28" t="s">
        <v>72</v>
      </c>
      <c r="J3622" s="28" t="s">
        <v>11696</v>
      </c>
      <c r="K3622" s="28" t="s">
        <v>6331</v>
      </c>
      <c r="L3622" s="28" t="s">
        <v>8318</v>
      </c>
      <c r="M3622" s="28" t="s">
        <v>21</v>
      </c>
      <c r="O3622" s="92">
        <v>38798</v>
      </c>
      <c r="P3622" s="28" t="s">
        <v>21</v>
      </c>
      <c r="Q3622" s="26" t="b">
        <v>0</v>
      </c>
      <c r="R3622" s="22">
        <f t="shared" si="59"/>
        <v>12</v>
      </c>
    </row>
    <row r="3623" spans="1:18">
      <c r="A3623" s="26">
        <v>8476</v>
      </c>
      <c r="B3623" s="27">
        <v>38789</v>
      </c>
      <c r="C3623" s="28" t="s">
        <v>11636</v>
      </c>
      <c r="D3623" s="27">
        <v>38789</v>
      </c>
      <c r="E3623" s="28" t="s">
        <v>11637</v>
      </c>
      <c r="F3623" s="28" t="s">
        <v>124</v>
      </c>
      <c r="G3623" s="28" t="s">
        <v>20</v>
      </c>
      <c r="H3623" s="28" t="s">
        <v>71</v>
      </c>
      <c r="I3623" s="28" t="s">
        <v>72</v>
      </c>
      <c r="J3623" s="28" t="s">
        <v>11638</v>
      </c>
      <c r="K3623" s="28" t="s">
        <v>21</v>
      </c>
      <c r="L3623" s="28" t="s">
        <v>4579</v>
      </c>
      <c r="M3623" s="28" t="s">
        <v>21</v>
      </c>
      <c r="N3623" s="27">
        <v>38820</v>
      </c>
      <c r="O3623" s="92">
        <v>38807</v>
      </c>
      <c r="P3623" s="28" t="s">
        <v>31</v>
      </c>
      <c r="Q3623" s="26" t="b">
        <v>0</v>
      </c>
      <c r="R3623" s="22">
        <f t="shared" si="59"/>
        <v>18</v>
      </c>
    </row>
    <row r="3624" spans="1:18">
      <c r="A3624" s="26">
        <v>8462</v>
      </c>
      <c r="B3624" s="27">
        <v>38790</v>
      </c>
      <c r="C3624" s="28" t="s">
        <v>11599</v>
      </c>
      <c r="D3624" s="27">
        <v>38789</v>
      </c>
      <c r="E3624" s="28" t="s">
        <v>38</v>
      </c>
      <c r="F3624" s="28" t="s">
        <v>6647</v>
      </c>
      <c r="G3624" s="28" t="s">
        <v>20</v>
      </c>
      <c r="H3624" s="28" t="s">
        <v>189</v>
      </c>
      <c r="I3624" s="28" t="s">
        <v>189</v>
      </c>
      <c r="J3624" s="28" t="s">
        <v>11600</v>
      </c>
      <c r="K3624" s="28" t="s">
        <v>21</v>
      </c>
      <c r="L3624" s="28" t="s">
        <v>8318</v>
      </c>
      <c r="M3624" s="28" t="s">
        <v>21</v>
      </c>
      <c r="N3624" s="18"/>
      <c r="O3624" s="92">
        <v>38789</v>
      </c>
      <c r="P3624" s="28" t="s">
        <v>21</v>
      </c>
      <c r="Q3624" s="26" t="b">
        <v>0</v>
      </c>
      <c r="R3624" s="22">
        <f t="shared" si="59"/>
        <v>1</v>
      </c>
    </row>
    <row r="3625" spans="1:18" ht="24">
      <c r="A3625" s="26">
        <v>8468</v>
      </c>
      <c r="B3625" s="27">
        <v>38790</v>
      </c>
      <c r="C3625" s="28" t="s">
        <v>11609</v>
      </c>
      <c r="D3625" s="27">
        <v>38790</v>
      </c>
      <c r="E3625" s="28" t="s">
        <v>11610</v>
      </c>
      <c r="F3625" s="28" t="s">
        <v>2146</v>
      </c>
      <c r="G3625" s="28" t="s">
        <v>20</v>
      </c>
      <c r="H3625" s="28" t="s">
        <v>189</v>
      </c>
      <c r="I3625" s="28" t="s">
        <v>189</v>
      </c>
      <c r="J3625" s="28" t="s">
        <v>11611</v>
      </c>
      <c r="K3625" s="28" t="s">
        <v>11612</v>
      </c>
      <c r="L3625" s="28" t="s">
        <v>4579</v>
      </c>
      <c r="M3625" s="28" t="s">
        <v>21</v>
      </c>
      <c r="N3625" s="27">
        <v>38821</v>
      </c>
      <c r="O3625" s="92">
        <v>38853</v>
      </c>
      <c r="P3625" s="28" t="s">
        <v>31</v>
      </c>
      <c r="Q3625" s="26" t="b">
        <v>0</v>
      </c>
      <c r="R3625" s="22">
        <f t="shared" si="59"/>
        <v>62</v>
      </c>
    </row>
    <row r="3626" spans="1:18">
      <c r="A3626" s="26">
        <v>8471</v>
      </c>
      <c r="B3626" s="27">
        <v>38790</v>
      </c>
      <c r="C3626" s="28" t="s">
        <v>11619</v>
      </c>
      <c r="D3626" s="27">
        <v>38785</v>
      </c>
      <c r="E3626" s="28" t="s">
        <v>11620</v>
      </c>
      <c r="F3626" s="28" t="s">
        <v>124</v>
      </c>
      <c r="G3626" s="28" t="s">
        <v>20</v>
      </c>
      <c r="H3626" s="28" t="s">
        <v>71</v>
      </c>
      <c r="I3626" s="28" t="s">
        <v>72</v>
      </c>
      <c r="J3626" s="28" t="s">
        <v>11621</v>
      </c>
      <c r="K3626" s="28" t="s">
        <v>11622</v>
      </c>
      <c r="L3626" s="28" t="s">
        <v>4579</v>
      </c>
      <c r="M3626" s="28" t="s">
        <v>21</v>
      </c>
      <c r="N3626" s="27">
        <v>38821</v>
      </c>
      <c r="O3626" s="92">
        <v>38832</v>
      </c>
      <c r="P3626" s="28" t="s">
        <v>31</v>
      </c>
      <c r="Q3626" s="26" t="b">
        <v>1</v>
      </c>
      <c r="R3626" s="22">
        <f t="shared" si="59"/>
        <v>41</v>
      </c>
    </row>
    <row r="3627" spans="1:18">
      <c r="A3627" s="26">
        <v>8478</v>
      </c>
      <c r="B3627" s="27">
        <v>38790</v>
      </c>
      <c r="C3627" s="28" t="s">
        <v>11642</v>
      </c>
      <c r="D3627" s="27">
        <v>38789</v>
      </c>
      <c r="E3627" s="28" t="s">
        <v>11643</v>
      </c>
      <c r="F3627" s="28" t="s">
        <v>124</v>
      </c>
      <c r="G3627" s="28" t="s">
        <v>20</v>
      </c>
      <c r="H3627" s="28" t="s">
        <v>71</v>
      </c>
      <c r="I3627" s="28" t="s">
        <v>72</v>
      </c>
      <c r="J3627" s="28" t="s">
        <v>11644</v>
      </c>
      <c r="K3627" s="28" t="s">
        <v>11645</v>
      </c>
      <c r="L3627" s="28" t="s">
        <v>4579</v>
      </c>
      <c r="M3627" s="28" t="s">
        <v>21</v>
      </c>
      <c r="N3627" s="27">
        <v>38820</v>
      </c>
      <c r="O3627" s="92">
        <v>38820</v>
      </c>
      <c r="P3627" s="28" t="s">
        <v>31</v>
      </c>
      <c r="Q3627" s="26" t="b">
        <v>0</v>
      </c>
      <c r="R3627" s="22">
        <f t="shared" si="59"/>
        <v>29</v>
      </c>
    </row>
    <row r="3628" spans="1:18">
      <c r="A3628" s="26">
        <v>8473</v>
      </c>
      <c r="B3628" s="27">
        <v>38791</v>
      </c>
      <c r="C3628" s="28" t="s">
        <v>11627</v>
      </c>
      <c r="D3628" s="27">
        <v>38791</v>
      </c>
      <c r="E3628" s="28" t="s">
        <v>11628</v>
      </c>
      <c r="F3628" s="28" t="s">
        <v>104</v>
      </c>
      <c r="G3628" s="28" t="s">
        <v>20</v>
      </c>
      <c r="H3628" s="28" t="s">
        <v>71</v>
      </c>
      <c r="I3628" s="28" t="s">
        <v>72</v>
      </c>
      <c r="J3628" s="28" t="s">
        <v>11629</v>
      </c>
      <c r="K3628" s="28" t="s">
        <v>11630</v>
      </c>
      <c r="L3628" s="28" t="s">
        <v>4282</v>
      </c>
      <c r="M3628" s="28" t="s">
        <v>21</v>
      </c>
      <c r="N3628" s="29">
        <v>38883</v>
      </c>
      <c r="O3628" s="92">
        <v>40673</v>
      </c>
      <c r="P3628" s="28" t="s">
        <v>21</v>
      </c>
      <c r="Q3628" s="26" t="b">
        <v>0</v>
      </c>
      <c r="R3628" s="22">
        <f t="shared" si="59"/>
        <v>1880</v>
      </c>
    </row>
    <row r="3629" spans="1:18">
      <c r="A3629" s="26">
        <v>8465</v>
      </c>
      <c r="B3629" s="27">
        <v>38792</v>
      </c>
      <c r="C3629" s="28" t="s">
        <v>11601</v>
      </c>
      <c r="D3629" s="27">
        <v>38792</v>
      </c>
      <c r="E3629" s="28" t="s">
        <v>11602</v>
      </c>
      <c r="F3629" s="28" t="s">
        <v>27</v>
      </c>
      <c r="G3629" s="28" t="s">
        <v>20</v>
      </c>
      <c r="H3629" s="28" t="s">
        <v>71</v>
      </c>
      <c r="I3629" s="28" t="s">
        <v>72</v>
      </c>
      <c r="J3629" s="28" t="s">
        <v>11603</v>
      </c>
      <c r="K3629" s="28" t="s">
        <v>21</v>
      </c>
      <c r="L3629" s="28" t="s">
        <v>2205</v>
      </c>
      <c r="M3629" s="28" t="s">
        <v>21</v>
      </c>
      <c r="N3629" s="29">
        <v>38823</v>
      </c>
      <c r="O3629" s="92">
        <v>38793</v>
      </c>
      <c r="P3629" s="28" t="s">
        <v>31</v>
      </c>
      <c r="Q3629" s="26" t="b">
        <v>0</v>
      </c>
      <c r="R3629" s="22">
        <f t="shared" si="59"/>
        <v>1</v>
      </c>
    </row>
    <row r="3630" spans="1:18" ht="24">
      <c r="A3630" s="26">
        <v>8466</v>
      </c>
      <c r="B3630" s="27">
        <v>38793</v>
      </c>
      <c r="C3630" s="28" t="s">
        <v>11604</v>
      </c>
      <c r="D3630" s="27">
        <v>38791</v>
      </c>
      <c r="E3630" s="28" t="s">
        <v>283</v>
      </c>
      <c r="F3630" s="28" t="s">
        <v>104</v>
      </c>
      <c r="G3630" s="28" t="s">
        <v>20</v>
      </c>
      <c r="H3630" s="28" t="s">
        <v>71</v>
      </c>
      <c r="I3630" s="28" t="s">
        <v>72</v>
      </c>
      <c r="J3630" s="28" t="s">
        <v>11605</v>
      </c>
      <c r="K3630" s="28" t="s">
        <v>11606</v>
      </c>
      <c r="L3630" s="28" t="s">
        <v>4282</v>
      </c>
      <c r="M3630" s="28" t="s">
        <v>1946</v>
      </c>
      <c r="O3630" s="92">
        <v>38898</v>
      </c>
      <c r="P3630" s="28" t="s">
        <v>21</v>
      </c>
      <c r="Q3630" s="26" t="b">
        <v>0</v>
      </c>
      <c r="R3630" s="22">
        <f t="shared" si="59"/>
        <v>104</v>
      </c>
    </row>
    <row r="3631" spans="1:18" ht="24">
      <c r="A3631" s="26">
        <v>8467</v>
      </c>
      <c r="B3631" s="27">
        <v>38793</v>
      </c>
      <c r="C3631" s="28" t="s">
        <v>11607</v>
      </c>
      <c r="D3631" s="27">
        <v>38791</v>
      </c>
      <c r="E3631" s="28" t="s">
        <v>283</v>
      </c>
      <c r="F3631" s="28" t="s">
        <v>104</v>
      </c>
      <c r="G3631" s="28" t="s">
        <v>20</v>
      </c>
      <c r="H3631" s="28" t="s">
        <v>71</v>
      </c>
      <c r="I3631" s="28" t="s">
        <v>72</v>
      </c>
      <c r="J3631" s="28" t="s">
        <v>11608</v>
      </c>
      <c r="K3631" s="28" t="s">
        <v>11606</v>
      </c>
      <c r="L3631" s="28" t="s">
        <v>4282</v>
      </c>
      <c r="M3631" s="28" t="s">
        <v>1946</v>
      </c>
      <c r="O3631" s="92">
        <v>38898</v>
      </c>
      <c r="P3631" s="28" t="s">
        <v>21</v>
      </c>
      <c r="Q3631" s="26" t="b">
        <v>0</v>
      </c>
      <c r="R3631" s="22">
        <f t="shared" si="59"/>
        <v>104</v>
      </c>
    </row>
    <row r="3632" spans="1:18">
      <c r="A3632" s="26">
        <v>8472</v>
      </c>
      <c r="B3632" s="27">
        <v>38793</v>
      </c>
      <c r="C3632" s="28" t="s">
        <v>11623</v>
      </c>
      <c r="D3632" s="27">
        <v>38793</v>
      </c>
      <c r="E3632" s="28" t="s">
        <v>11624</v>
      </c>
      <c r="F3632" s="28" t="s">
        <v>11625</v>
      </c>
      <c r="G3632" s="28" t="s">
        <v>20</v>
      </c>
      <c r="H3632" s="28" t="s">
        <v>71</v>
      </c>
      <c r="I3632" s="28" t="s">
        <v>72</v>
      </c>
      <c r="J3632" s="28" t="s">
        <v>11626</v>
      </c>
      <c r="K3632" s="28" t="s">
        <v>4690</v>
      </c>
      <c r="L3632" s="28" t="s">
        <v>4579</v>
      </c>
      <c r="M3632" s="28" t="s">
        <v>1946</v>
      </c>
      <c r="N3632" s="27">
        <v>38885</v>
      </c>
      <c r="O3632" s="92">
        <v>39967</v>
      </c>
      <c r="P3632" s="28" t="s">
        <v>21</v>
      </c>
      <c r="Q3632" s="26" t="b">
        <v>0</v>
      </c>
      <c r="R3632" s="22">
        <f t="shared" si="59"/>
        <v>1172</v>
      </c>
    </row>
    <row r="3633" spans="1:18">
      <c r="A3633" s="26">
        <v>8477</v>
      </c>
      <c r="B3633" s="27">
        <v>38793</v>
      </c>
      <c r="C3633" s="28" t="s">
        <v>11639</v>
      </c>
      <c r="D3633" s="27">
        <v>38793</v>
      </c>
      <c r="E3633" s="28" t="s">
        <v>11640</v>
      </c>
      <c r="F3633" s="28" t="s">
        <v>124</v>
      </c>
      <c r="G3633" s="28" t="s">
        <v>20</v>
      </c>
      <c r="H3633" s="28" t="s">
        <v>71</v>
      </c>
      <c r="I3633" s="28" t="s">
        <v>72</v>
      </c>
      <c r="J3633" s="28" t="s">
        <v>11641</v>
      </c>
      <c r="K3633" s="28" t="s">
        <v>8634</v>
      </c>
      <c r="L3633" s="28" t="s">
        <v>4282</v>
      </c>
      <c r="M3633" s="28" t="s">
        <v>21</v>
      </c>
      <c r="N3633" s="27">
        <v>38824</v>
      </c>
      <c r="O3633" s="92">
        <v>38814</v>
      </c>
      <c r="P3633" s="28" t="s">
        <v>31</v>
      </c>
      <c r="Q3633" s="26" t="b">
        <v>0</v>
      </c>
      <c r="R3633" s="22">
        <f t="shared" si="59"/>
        <v>20</v>
      </c>
    </row>
    <row r="3634" spans="1:18">
      <c r="A3634" s="26">
        <v>8479</v>
      </c>
      <c r="B3634" s="27">
        <v>38793</v>
      </c>
      <c r="C3634" s="28" t="s">
        <v>11646</v>
      </c>
      <c r="D3634" s="27">
        <v>38789</v>
      </c>
      <c r="E3634" s="28" t="s">
        <v>11647</v>
      </c>
      <c r="F3634" s="28" t="s">
        <v>124</v>
      </c>
      <c r="G3634" s="28" t="s">
        <v>20</v>
      </c>
      <c r="H3634" s="28" t="s">
        <v>71</v>
      </c>
      <c r="I3634" s="28" t="s">
        <v>72</v>
      </c>
      <c r="J3634" s="28" t="s">
        <v>11648</v>
      </c>
      <c r="K3634" s="28" t="s">
        <v>11649</v>
      </c>
      <c r="L3634" s="28" t="s">
        <v>1946</v>
      </c>
      <c r="M3634" s="28" t="s">
        <v>21</v>
      </c>
      <c r="N3634" s="29">
        <v>38824</v>
      </c>
      <c r="O3634" s="92">
        <v>38868</v>
      </c>
      <c r="P3634" s="28" t="s">
        <v>31</v>
      </c>
      <c r="Q3634" s="26" t="b">
        <v>0</v>
      </c>
      <c r="R3634" s="22">
        <f t="shared" si="59"/>
        <v>75</v>
      </c>
    </row>
    <row r="3635" spans="1:18" ht="36">
      <c r="A3635" s="26">
        <v>8474</v>
      </c>
      <c r="B3635" s="27">
        <v>38797</v>
      </c>
      <c r="C3635" s="28" t="s">
        <v>11631</v>
      </c>
      <c r="D3635" s="27">
        <v>38797</v>
      </c>
      <c r="E3635" s="28" t="s">
        <v>283</v>
      </c>
      <c r="F3635" s="28" t="s">
        <v>104</v>
      </c>
      <c r="G3635" s="28" t="s">
        <v>20</v>
      </c>
      <c r="H3635" s="28" t="s">
        <v>71</v>
      </c>
      <c r="I3635" s="28" t="s">
        <v>72</v>
      </c>
      <c r="J3635" s="28" t="s">
        <v>11632</v>
      </c>
      <c r="K3635" s="28" t="s">
        <v>11633</v>
      </c>
      <c r="L3635" s="28" t="s">
        <v>1946</v>
      </c>
      <c r="M3635" s="28" t="s">
        <v>21</v>
      </c>
      <c r="O3635" s="92">
        <v>38898</v>
      </c>
      <c r="P3635" s="28" t="s">
        <v>21</v>
      </c>
      <c r="Q3635" s="26" t="b">
        <v>0</v>
      </c>
      <c r="R3635" s="22">
        <f t="shared" si="59"/>
        <v>100</v>
      </c>
    </row>
    <row r="3636" spans="1:18" ht="36">
      <c r="A3636" s="26">
        <v>8475</v>
      </c>
      <c r="B3636" s="27">
        <v>38797</v>
      </c>
      <c r="C3636" s="28" t="s">
        <v>11634</v>
      </c>
      <c r="D3636" s="27">
        <v>38797</v>
      </c>
      <c r="E3636" s="28" t="s">
        <v>283</v>
      </c>
      <c r="F3636" s="28" t="s">
        <v>104</v>
      </c>
      <c r="G3636" s="28" t="s">
        <v>20</v>
      </c>
      <c r="H3636" s="28" t="s">
        <v>71</v>
      </c>
      <c r="I3636" s="28" t="s">
        <v>72</v>
      </c>
      <c r="J3636" s="28" t="s">
        <v>11635</v>
      </c>
      <c r="K3636" s="28" t="s">
        <v>11633</v>
      </c>
      <c r="L3636" s="28" t="s">
        <v>1946</v>
      </c>
      <c r="M3636" s="28" t="s">
        <v>21</v>
      </c>
      <c r="N3636" s="18"/>
      <c r="O3636" s="92">
        <v>38898</v>
      </c>
      <c r="P3636" s="28" t="s">
        <v>21</v>
      </c>
      <c r="Q3636" s="26" t="b">
        <v>0</v>
      </c>
      <c r="R3636" s="22">
        <f t="shared" si="59"/>
        <v>100</v>
      </c>
    </row>
    <row r="3637" spans="1:18">
      <c r="A3637" s="26">
        <v>8480</v>
      </c>
      <c r="B3637" s="27">
        <v>38797</v>
      </c>
      <c r="C3637" s="28" t="s">
        <v>11650</v>
      </c>
      <c r="D3637" s="27">
        <v>38796</v>
      </c>
      <c r="E3637" s="28" t="s">
        <v>11651</v>
      </c>
      <c r="F3637" s="28" t="s">
        <v>149</v>
      </c>
      <c r="G3637" s="28" t="s">
        <v>20</v>
      </c>
      <c r="H3637" s="28" t="s">
        <v>71</v>
      </c>
      <c r="I3637" s="28" t="s">
        <v>72</v>
      </c>
      <c r="J3637" s="28" t="s">
        <v>11652</v>
      </c>
      <c r="K3637" s="28" t="s">
        <v>21</v>
      </c>
      <c r="L3637" s="28" t="s">
        <v>1946</v>
      </c>
      <c r="M3637" s="28" t="s">
        <v>21</v>
      </c>
      <c r="N3637" s="27">
        <v>38888</v>
      </c>
      <c r="O3637" s="92">
        <v>38930</v>
      </c>
      <c r="P3637" s="28" t="s">
        <v>21</v>
      </c>
      <c r="Q3637" s="26" t="b">
        <v>0</v>
      </c>
      <c r="R3637" s="22">
        <f t="shared" si="59"/>
        <v>131</v>
      </c>
    </row>
    <row r="3638" spans="1:18">
      <c r="A3638" s="26">
        <v>8491</v>
      </c>
      <c r="B3638" s="27">
        <v>38798</v>
      </c>
      <c r="C3638" s="28" t="s">
        <v>11687</v>
      </c>
      <c r="D3638" s="27">
        <v>38798</v>
      </c>
      <c r="E3638" s="28" t="s">
        <v>11688</v>
      </c>
      <c r="F3638" s="28" t="s">
        <v>6647</v>
      </c>
      <c r="G3638" s="28" t="s">
        <v>20</v>
      </c>
      <c r="H3638" s="28" t="s">
        <v>189</v>
      </c>
      <c r="I3638" s="28" t="s">
        <v>212</v>
      </c>
      <c r="J3638" s="28" t="s">
        <v>11689</v>
      </c>
      <c r="K3638" s="28" t="s">
        <v>11690</v>
      </c>
      <c r="L3638" s="28" t="s">
        <v>8318</v>
      </c>
      <c r="M3638" s="28" t="s">
        <v>21</v>
      </c>
      <c r="O3638" s="92">
        <v>38847</v>
      </c>
      <c r="P3638" s="28" t="s">
        <v>21</v>
      </c>
      <c r="Q3638" s="26" t="b">
        <v>0</v>
      </c>
      <c r="R3638" s="22">
        <f t="shared" si="59"/>
        <v>48</v>
      </c>
    </row>
    <row r="3639" spans="1:18">
      <c r="A3639" s="26">
        <v>8492</v>
      </c>
      <c r="B3639" s="27">
        <v>38798</v>
      </c>
      <c r="C3639" s="28" t="s">
        <v>11691</v>
      </c>
      <c r="D3639" s="27">
        <v>38798</v>
      </c>
      <c r="E3639" s="28" t="s">
        <v>11688</v>
      </c>
      <c r="F3639" s="28" t="s">
        <v>6647</v>
      </c>
      <c r="G3639" s="28" t="s">
        <v>20</v>
      </c>
      <c r="H3639" s="28" t="s">
        <v>189</v>
      </c>
      <c r="I3639" s="28" t="s">
        <v>189</v>
      </c>
      <c r="J3639" s="28" t="s">
        <v>11689</v>
      </c>
      <c r="K3639" s="28" t="s">
        <v>11692</v>
      </c>
      <c r="L3639" s="28" t="s">
        <v>8318</v>
      </c>
      <c r="M3639" s="28" t="s">
        <v>21</v>
      </c>
      <c r="O3639" s="92">
        <v>38825</v>
      </c>
      <c r="P3639" s="28" t="s">
        <v>21</v>
      </c>
      <c r="Q3639" s="26" t="b">
        <v>0</v>
      </c>
      <c r="R3639" s="22">
        <f t="shared" si="59"/>
        <v>26</v>
      </c>
    </row>
    <row r="3640" spans="1:18" ht="60">
      <c r="A3640" s="26">
        <v>8481</v>
      </c>
      <c r="B3640" s="27">
        <v>38799</v>
      </c>
      <c r="C3640" s="28" t="s">
        <v>11653</v>
      </c>
      <c r="D3640" s="27">
        <v>38799</v>
      </c>
      <c r="E3640" s="28" t="s">
        <v>283</v>
      </c>
      <c r="F3640" s="28" t="s">
        <v>283</v>
      </c>
      <c r="G3640" s="28" t="s">
        <v>20</v>
      </c>
      <c r="H3640" s="28" t="s">
        <v>71</v>
      </c>
      <c r="I3640" s="28" t="s">
        <v>72</v>
      </c>
      <c r="J3640" s="28" t="s">
        <v>11654</v>
      </c>
      <c r="K3640" s="28" t="s">
        <v>11655</v>
      </c>
      <c r="L3640" s="28" t="s">
        <v>1946</v>
      </c>
      <c r="M3640" s="28" t="s">
        <v>21</v>
      </c>
      <c r="O3640" s="92">
        <v>38898</v>
      </c>
      <c r="P3640" s="28" t="s">
        <v>21</v>
      </c>
      <c r="Q3640" s="26" t="b">
        <v>0</v>
      </c>
      <c r="R3640" s="22">
        <f t="shared" si="59"/>
        <v>98</v>
      </c>
    </row>
    <row r="3641" spans="1:18" ht="60">
      <c r="A3641" s="26">
        <v>8482</v>
      </c>
      <c r="B3641" s="27">
        <v>38799</v>
      </c>
      <c r="C3641" s="28" t="s">
        <v>11656</v>
      </c>
      <c r="D3641" s="27">
        <v>38799</v>
      </c>
      <c r="E3641" s="28" t="s">
        <v>283</v>
      </c>
      <c r="F3641" s="28" t="s">
        <v>283</v>
      </c>
      <c r="G3641" s="28" t="s">
        <v>20</v>
      </c>
      <c r="H3641" s="28" t="s">
        <v>71</v>
      </c>
      <c r="I3641" s="28" t="s">
        <v>72</v>
      </c>
      <c r="J3641" s="28" t="s">
        <v>11657</v>
      </c>
      <c r="K3641" s="28" t="s">
        <v>11655</v>
      </c>
      <c r="L3641" s="28" t="s">
        <v>1946</v>
      </c>
      <c r="M3641" s="28" t="s">
        <v>21</v>
      </c>
      <c r="O3641" s="92">
        <v>38898</v>
      </c>
      <c r="P3641" s="28" t="s">
        <v>21</v>
      </c>
      <c r="Q3641" s="26" t="b">
        <v>0</v>
      </c>
      <c r="R3641" s="22">
        <f t="shared" si="59"/>
        <v>98</v>
      </c>
    </row>
    <row r="3642" spans="1:18" ht="24">
      <c r="A3642" s="26">
        <v>8483</v>
      </c>
      <c r="B3642" s="27">
        <v>38799</v>
      </c>
      <c r="C3642" s="28" t="s">
        <v>11658</v>
      </c>
      <c r="D3642" s="27">
        <v>38798</v>
      </c>
      <c r="E3642" s="28" t="s">
        <v>11659</v>
      </c>
      <c r="F3642" s="28" t="s">
        <v>2359</v>
      </c>
      <c r="G3642" s="28" t="s">
        <v>20</v>
      </c>
      <c r="H3642" s="28" t="s">
        <v>71</v>
      </c>
      <c r="I3642" s="28" t="s">
        <v>72</v>
      </c>
      <c r="J3642" s="28" t="s">
        <v>11660</v>
      </c>
      <c r="K3642" s="28" t="s">
        <v>11661</v>
      </c>
      <c r="L3642" s="28" t="s">
        <v>8318</v>
      </c>
      <c r="M3642" s="28" t="s">
        <v>21</v>
      </c>
      <c r="N3642" s="18"/>
      <c r="O3642" s="92">
        <v>38799</v>
      </c>
      <c r="P3642" s="28" t="s">
        <v>21</v>
      </c>
      <c r="Q3642" s="26" t="b">
        <v>0</v>
      </c>
      <c r="R3642" s="22">
        <f t="shared" si="59"/>
        <v>0</v>
      </c>
    </row>
    <row r="3643" spans="1:18">
      <c r="A3643" s="26">
        <v>8484</v>
      </c>
      <c r="B3643" s="27">
        <v>38799</v>
      </c>
      <c r="C3643" s="28" t="s">
        <v>11662</v>
      </c>
      <c r="D3643" s="27">
        <v>38799</v>
      </c>
      <c r="E3643" s="28" t="s">
        <v>38</v>
      </c>
      <c r="F3643" s="28" t="s">
        <v>124</v>
      </c>
      <c r="G3643" s="28" t="s">
        <v>20</v>
      </c>
      <c r="H3643" s="28" t="s">
        <v>71</v>
      </c>
      <c r="I3643" s="28" t="s">
        <v>72</v>
      </c>
      <c r="J3643" s="28" t="s">
        <v>11663</v>
      </c>
      <c r="K3643" s="28" t="s">
        <v>11661</v>
      </c>
      <c r="L3643" s="28" t="s">
        <v>8318</v>
      </c>
      <c r="M3643" s="28" t="s">
        <v>21</v>
      </c>
      <c r="O3643" s="92">
        <v>38799</v>
      </c>
      <c r="P3643" s="28" t="s">
        <v>21</v>
      </c>
      <c r="Q3643" s="26" t="b">
        <v>0</v>
      </c>
      <c r="R3643" s="22">
        <f t="shared" si="59"/>
        <v>0</v>
      </c>
    </row>
    <row r="3644" spans="1:18">
      <c r="A3644" s="26">
        <v>8485</v>
      </c>
      <c r="B3644" s="27">
        <v>38805</v>
      </c>
      <c r="C3644" s="28" t="s">
        <v>11664</v>
      </c>
      <c r="D3644" s="27">
        <v>38805</v>
      </c>
      <c r="E3644" s="28" t="s">
        <v>11665</v>
      </c>
      <c r="F3644" s="28" t="s">
        <v>10901</v>
      </c>
      <c r="G3644" s="28" t="s">
        <v>20</v>
      </c>
      <c r="H3644" s="28" t="s">
        <v>71</v>
      </c>
      <c r="I3644" s="28" t="s">
        <v>72</v>
      </c>
      <c r="J3644" s="28" t="s">
        <v>11666</v>
      </c>
      <c r="K3644" s="28" t="s">
        <v>11667</v>
      </c>
      <c r="L3644" s="28" t="s">
        <v>4282</v>
      </c>
      <c r="M3644" s="28" t="s">
        <v>21</v>
      </c>
      <c r="N3644" s="27">
        <v>38892</v>
      </c>
      <c r="O3644" s="92">
        <v>38807</v>
      </c>
      <c r="P3644" s="28" t="s">
        <v>21</v>
      </c>
      <c r="Q3644" s="26" t="b">
        <v>0</v>
      </c>
      <c r="R3644" s="22">
        <f t="shared" si="59"/>
        <v>2</v>
      </c>
    </row>
    <row r="3645" spans="1:18">
      <c r="A3645" s="26">
        <v>8486</v>
      </c>
      <c r="B3645" s="27">
        <v>38805</v>
      </c>
      <c r="C3645" s="28" t="s">
        <v>11668</v>
      </c>
      <c r="D3645" s="27">
        <v>38805</v>
      </c>
      <c r="E3645" s="28" t="s">
        <v>11669</v>
      </c>
      <c r="F3645" s="28" t="s">
        <v>98</v>
      </c>
      <c r="G3645" s="28" t="s">
        <v>20</v>
      </c>
      <c r="H3645" s="28" t="s">
        <v>71</v>
      </c>
      <c r="I3645" s="28" t="s">
        <v>72</v>
      </c>
      <c r="J3645" s="28" t="s">
        <v>11670</v>
      </c>
      <c r="K3645" s="28" t="s">
        <v>11671</v>
      </c>
      <c r="L3645" s="28" t="s">
        <v>4579</v>
      </c>
      <c r="M3645" s="28" t="s">
        <v>21</v>
      </c>
      <c r="N3645" s="27">
        <v>38896</v>
      </c>
      <c r="O3645" s="92">
        <v>38819</v>
      </c>
      <c r="P3645" s="28" t="s">
        <v>21</v>
      </c>
      <c r="Q3645" s="26" t="b">
        <v>0</v>
      </c>
      <c r="R3645" s="22">
        <f t="shared" si="59"/>
        <v>13</v>
      </c>
    </row>
    <row r="3646" spans="1:18" ht="24">
      <c r="A3646" s="26">
        <v>8487</v>
      </c>
      <c r="B3646" s="27">
        <v>38805</v>
      </c>
      <c r="C3646" s="28" t="s">
        <v>11672</v>
      </c>
      <c r="D3646" s="27">
        <v>38805</v>
      </c>
      <c r="E3646" s="28" t="s">
        <v>1928</v>
      </c>
      <c r="F3646" s="28" t="s">
        <v>104</v>
      </c>
      <c r="G3646" s="28" t="s">
        <v>20</v>
      </c>
      <c r="H3646" s="28" t="s">
        <v>71</v>
      </c>
      <c r="I3646" s="28" t="s">
        <v>72</v>
      </c>
      <c r="J3646" s="28" t="s">
        <v>11673</v>
      </c>
      <c r="K3646" s="28" t="s">
        <v>11674</v>
      </c>
      <c r="L3646" s="28" t="s">
        <v>11675</v>
      </c>
      <c r="M3646" s="28" t="s">
        <v>21</v>
      </c>
      <c r="N3646" s="18"/>
      <c r="O3646" s="92">
        <v>38805</v>
      </c>
      <c r="P3646" s="28" t="s">
        <v>21</v>
      </c>
      <c r="Q3646" s="26" t="b">
        <v>0</v>
      </c>
      <c r="R3646" s="22">
        <f t="shared" si="59"/>
        <v>0</v>
      </c>
    </row>
    <row r="3647" spans="1:18">
      <c r="A3647" s="26">
        <v>8488</v>
      </c>
      <c r="B3647" s="27">
        <v>38806</v>
      </c>
      <c r="C3647" s="28" t="s">
        <v>11676</v>
      </c>
      <c r="D3647" s="27">
        <v>38806</v>
      </c>
      <c r="E3647" s="28" t="s">
        <v>11677</v>
      </c>
      <c r="F3647" s="28" t="s">
        <v>5690</v>
      </c>
      <c r="G3647" s="28" t="s">
        <v>20</v>
      </c>
      <c r="H3647" s="28" t="s">
        <v>71</v>
      </c>
      <c r="I3647" s="28" t="s">
        <v>72</v>
      </c>
      <c r="J3647" s="28" t="s">
        <v>11083</v>
      </c>
      <c r="K3647" s="28" t="s">
        <v>11678</v>
      </c>
      <c r="L3647" s="28" t="s">
        <v>8318</v>
      </c>
      <c r="M3647" s="28" t="s">
        <v>21</v>
      </c>
      <c r="N3647" s="18"/>
      <c r="O3647" s="92">
        <v>38811</v>
      </c>
      <c r="P3647" s="28" t="s">
        <v>31</v>
      </c>
      <c r="Q3647" s="26" t="b">
        <v>0</v>
      </c>
      <c r="R3647" s="22">
        <f t="shared" si="59"/>
        <v>4</v>
      </c>
    </row>
    <row r="3648" spans="1:18" ht="24">
      <c r="A3648" s="26">
        <v>8493</v>
      </c>
      <c r="B3648" s="27">
        <v>38806</v>
      </c>
      <c r="C3648" s="28" t="s">
        <v>11693</v>
      </c>
      <c r="D3648" s="27">
        <v>38806</v>
      </c>
      <c r="E3648" s="28" t="s">
        <v>38</v>
      </c>
      <c r="F3648" s="28" t="s">
        <v>104</v>
      </c>
      <c r="G3648" s="28" t="s">
        <v>20</v>
      </c>
      <c r="H3648" s="28" t="s">
        <v>71</v>
      </c>
      <c r="I3648" s="28" t="s">
        <v>72</v>
      </c>
      <c r="J3648" s="28" t="s">
        <v>11694</v>
      </c>
      <c r="K3648" s="28" t="s">
        <v>11695</v>
      </c>
      <c r="L3648" s="28" t="s">
        <v>8318</v>
      </c>
      <c r="M3648" s="28" t="s">
        <v>21</v>
      </c>
      <c r="N3648" s="18"/>
      <c r="O3648" s="92">
        <v>38807</v>
      </c>
      <c r="P3648" s="28" t="s">
        <v>21</v>
      </c>
      <c r="Q3648" s="26" t="b">
        <v>0</v>
      </c>
      <c r="R3648" s="22">
        <f t="shared" si="59"/>
        <v>0</v>
      </c>
    </row>
    <row r="3649" spans="1:18">
      <c r="A3649" s="26">
        <v>8490</v>
      </c>
      <c r="B3649" s="27">
        <v>38807</v>
      </c>
      <c r="C3649" s="28" t="s">
        <v>11683</v>
      </c>
      <c r="D3649" s="27">
        <v>38806</v>
      </c>
      <c r="E3649" s="28" t="s">
        <v>11684</v>
      </c>
      <c r="F3649" s="28" t="s">
        <v>11069</v>
      </c>
      <c r="G3649" s="28" t="s">
        <v>20</v>
      </c>
      <c r="H3649" s="28" t="s">
        <v>71</v>
      </c>
      <c r="I3649" s="28" t="s">
        <v>72</v>
      </c>
      <c r="J3649" s="28" t="s">
        <v>11685</v>
      </c>
      <c r="K3649" s="28" t="s">
        <v>4690</v>
      </c>
      <c r="L3649" s="28" t="s">
        <v>4579</v>
      </c>
      <c r="M3649" s="28" t="s">
        <v>11686</v>
      </c>
      <c r="N3649" s="27">
        <v>38898</v>
      </c>
      <c r="O3649" s="92">
        <v>39518</v>
      </c>
      <c r="P3649" s="28" t="s">
        <v>21</v>
      </c>
      <c r="Q3649" s="26" t="b">
        <v>0</v>
      </c>
      <c r="R3649" s="22">
        <f t="shared" si="59"/>
        <v>710</v>
      </c>
    </row>
    <row r="3650" spans="1:18">
      <c r="A3650" s="26">
        <v>8489</v>
      </c>
      <c r="B3650" s="27">
        <v>38812</v>
      </c>
      <c r="C3650" s="28" t="s">
        <v>11679</v>
      </c>
      <c r="D3650" s="27">
        <v>38805</v>
      </c>
      <c r="E3650" s="28" t="s">
        <v>11680</v>
      </c>
      <c r="F3650" s="28" t="s">
        <v>11681</v>
      </c>
      <c r="G3650" s="28" t="s">
        <v>20</v>
      </c>
      <c r="H3650" s="28" t="s">
        <v>71</v>
      </c>
      <c r="I3650" s="28" t="s">
        <v>72</v>
      </c>
      <c r="J3650" s="28" t="s">
        <v>6523</v>
      </c>
      <c r="K3650" s="28" t="s">
        <v>11682</v>
      </c>
      <c r="L3650" s="28" t="s">
        <v>1946</v>
      </c>
      <c r="M3650" s="28" t="s">
        <v>21</v>
      </c>
      <c r="N3650" s="27">
        <v>38897</v>
      </c>
      <c r="O3650" s="92">
        <v>39126</v>
      </c>
      <c r="P3650" s="28" t="s">
        <v>21</v>
      </c>
      <c r="Q3650" s="26" t="b">
        <v>0</v>
      </c>
      <c r="R3650" s="22">
        <f t="shared" si="59"/>
        <v>312</v>
      </c>
    </row>
    <row r="3651" spans="1:18" ht="24">
      <c r="A3651" s="26">
        <v>8495</v>
      </c>
      <c r="B3651" s="27">
        <v>38818</v>
      </c>
      <c r="C3651" s="28" t="s">
        <v>11697</v>
      </c>
      <c r="D3651" s="27">
        <v>38818</v>
      </c>
      <c r="E3651" s="28" t="s">
        <v>11698</v>
      </c>
      <c r="F3651" s="28" t="s">
        <v>6298</v>
      </c>
      <c r="G3651" s="28" t="s">
        <v>20</v>
      </c>
      <c r="H3651" s="28" t="s">
        <v>71</v>
      </c>
      <c r="I3651" s="28" t="s">
        <v>72</v>
      </c>
      <c r="J3651" s="28" t="s">
        <v>11699</v>
      </c>
      <c r="K3651" s="28" t="s">
        <v>11700</v>
      </c>
      <c r="L3651" s="28" t="s">
        <v>8318</v>
      </c>
      <c r="M3651" s="28" t="s">
        <v>21</v>
      </c>
      <c r="N3651" s="27">
        <v>38848</v>
      </c>
      <c r="O3651" s="92">
        <v>39253</v>
      </c>
      <c r="P3651" s="28" t="s">
        <v>21</v>
      </c>
      <c r="Q3651" s="26" t="b">
        <v>0</v>
      </c>
      <c r="R3651" s="22">
        <f t="shared" si="59"/>
        <v>434</v>
      </c>
    </row>
    <row r="3652" spans="1:18">
      <c r="A3652" s="26">
        <v>8508</v>
      </c>
      <c r="B3652" s="27">
        <v>38818</v>
      </c>
      <c r="C3652" s="28" t="s">
        <v>11739</v>
      </c>
      <c r="D3652" s="27">
        <v>38818</v>
      </c>
      <c r="E3652" s="28" t="s">
        <v>11030</v>
      </c>
      <c r="F3652" s="28" t="s">
        <v>1686</v>
      </c>
      <c r="G3652" s="28" t="s">
        <v>20</v>
      </c>
      <c r="H3652" s="28" t="s">
        <v>71</v>
      </c>
      <c r="I3652" s="28" t="s">
        <v>72</v>
      </c>
      <c r="J3652" s="28" t="s">
        <v>7071</v>
      </c>
      <c r="K3652" s="28" t="s">
        <v>11740</v>
      </c>
      <c r="L3652" s="28" t="s">
        <v>8318</v>
      </c>
      <c r="M3652" s="28" t="s">
        <v>21</v>
      </c>
      <c r="N3652" s="18"/>
      <c r="O3652" s="92">
        <v>38870</v>
      </c>
      <c r="P3652" s="28" t="s">
        <v>31</v>
      </c>
      <c r="Q3652" s="26" t="b">
        <v>0</v>
      </c>
      <c r="R3652" s="22">
        <f t="shared" si="59"/>
        <v>51</v>
      </c>
    </row>
    <row r="3653" spans="1:18">
      <c r="A3653" s="26">
        <v>8509</v>
      </c>
      <c r="B3653" s="27">
        <v>38818</v>
      </c>
      <c r="C3653" s="28" t="s">
        <v>11741</v>
      </c>
      <c r="D3653" s="27">
        <v>38818</v>
      </c>
      <c r="E3653" s="28" t="s">
        <v>10998</v>
      </c>
      <c r="F3653" s="28" t="s">
        <v>1686</v>
      </c>
      <c r="G3653" s="28" t="s">
        <v>20</v>
      </c>
      <c r="H3653" s="28" t="s">
        <v>71</v>
      </c>
      <c r="I3653" s="28" t="s">
        <v>72</v>
      </c>
      <c r="J3653" s="28" t="s">
        <v>8904</v>
      </c>
      <c r="K3653" s="28" t="s">
        <v>11740</v>
      </c>
      <c r="L3653" s="28" t="s">
        <v>4282</v>
      </c>
      <c r="M3653" s="28" t="s">
        <v>21</v>
      </c>
      <c r="N3653" s="18"/>
      <c r="O3653" s="92">
        <v>38870</v>
      </c>
      <c r="P3653" s="28" t="s">
        <v>21</v>
      </c>
      <c r="Q3653" s="26" t="b">
        <v>0</v>
      </c>
      <c r="R3653" s="22">
        <f t="shared" si="59"/>
        <v>51</v>
      </c>
    </row>
    <row r="3654" spans="1:18" ht="24">
      <c r="A3654" s="26">
        <v>8496</v>
      </c>
      <c r="B3654" s="27">
        <v>38824</v>
      </c>
      <c r="C3654" s="28" t="s">
        <v>11701</v>
      </c>
      <c r="D3654" s="27">
        <v>38824</v>
      </c>
      <c r="E3654" s="28" t="s">
        <v>1432</v>
      </c>
      <c r="F3654" s="28" t="s">
        <v>6298</v>
      </c>
      <c r="G3654" s="28" t="s">
        <v>20</v>
      </c>
      <c r="H3654" s="28" t="s">
        <v>71</v>
      </c>
      <c r="I3654" s="28" t="s">
        <v>72</v>
      </c>
      <c r="J3654" s="28" t="s">
        <v>11702</v>
      </c>
      <c r="K3654" s="28" t="s">
        <v>21</v>
      </c>
      <c r="L3654" s="28" t="s">
        <v>4579</v>
      </c>
      <c r="M3654" s="28" t="s">
        <v>21</v>
      </c>
      <c r="N3654" s="18"/>
      <c r="O3654" s="92">
        <v>39969</v>
      </c>
      <c r="P3654" s="28" t="s">
        <v>21</v>
      </c>
      <c r="Q3654" s="26" t="b">
        <v>0</v>
      </c>
      <c r="R3654" s="22">
        <f t="shared" si="59"/>
        <v>1143</v>
      </c>
    </row>
    <row r="3655" spans="1:18">
      <c r="A3655" s="26">
        <v>8497</v>
      </c>
      <c r="B3655" s="27">
        <v>38824</v>
      </c>
      <c r="C3655" s="28" t="s">
        <v>11703</v>
      </c>
      <c r="D3655" s="27">
        <v>38824</v>
      </c>
      <c r="E3655" s="28" t="s">
        <v>11704</v>
      </c>
      <c r="F3655" s="28" t="s">
        <v>5690</v>
      </c>
      <c r="G3655" s="28" t="s">
        <v>20</v>
      </c>
      <c r="H3655" s="28" t="s">
        <v>71</v>
      </c>
      <c r="I3655" s="28" t="s">
        <v>72</v>
      </c>
      <c r="J3655" s="28" t="s">
        <v>11705</v>
      </c>
      <c r="K3655" s="28" t="s">
        <v>10793</v>
      </c>
      <c r="L3655" s="28" t="s">
        <v>8318</v>
      </c>
      <c r="M3655" s="28" t="s">
        <v>21</v>
      </c>
      <c r="N3655" s="29">
        <v>39007</v>
      </c>
      <c r="O3655" s="92">
        <v>38840</v>
      </c>
      <c r="P3655" s="28" t="s">
        <v>21</v>
      </c>
      <c r="Q3655" s="26" t="b">
        <v>0</v>
      </c>
      <c r="R3655" s="22">
        <f t="shared" si="59"/>
        <v>16</v>
      </c>
    </row>
    <row r="3656" spans="1:18">
      <c r="A3656" s="26">
        <v>8498</v>
      </c>
      <c r="B3656" s="27">
        <v>38824</v>
      </c>
      <c r="C3656" s="28" t="s">
        <v>11706</v>
      </c>
      <c r="D3656" s="27">
        <v>38818</v>
      </c>
      <c r="E3656" s="28" t="s">
        <v>11707</v>
      </c>
      <c r="F3656" s="28" t="s">
        <v>984</v>
      </c>
      <c r="G3656" s="28" t="s">
        <v>20</v>
      </c>
      <c r="H3656" s="28" t="s">
        <v>71</v>
      </c>
      <c r="I3656" s="28" t="s">
        <v>72</v>
      </c>
      <c r="J3656" s="28" t="s">
        <v>11708</v>
      </c>
      <c r="K3656" s="28" t="s">
        <v>7025</v>
      </c>
      <c r="L3656" s="28" t="s">
        <v>4282</v>
      </c>
      <c r="M3656" s="28" t="s">
        <v>21</v>
      </c>
      <c r="N3656" s="29">
        <v>38915</v>
      </c>
      <c r="O3656" s="92">
        <v>38912</v>
      </c>
      <c r="P3656" s="28" t="s">
        <v>21</v>
      </c>
      <c r="Q3656" s="26" t="b">
        <v>0</v>
      </c>
      <c r="R3656" s="22">
        <f t="shared" si="59"/>
        <v>88</v>
      </c>
    </row>
    <row r="3657" spans="1:18">
      <c r="A3657" s="26">
        <v>8499</v>
      </c>
      <c r="B3657" s="27">
        <v>38824</v>
      </c>
      <c r="C3657" s="28" t="s">
        <v>11709</v>
      </c>
      <c r="D3657" s="27">
        <v>38818</v>
      </c>
      <c r="E3657" s="28" t="s">
        <v>11710</v>
      </c>
      <c r="F3657" s="28" t="s">
        <v>10394</v>
      </c>
      <c r="G3657" s="28" t="s">
        <v>20</v>
      </c>
      <c r="H3657" s="28" t="s">
        <v>212</v>
      </c>
      <c r="I3657" s="28" t="s">
        <v>212</v>
      </c>
      <c r="J3657" s="28" t="s">
        <v>11711</v>
      </c>
      <c r="K3657" s="28" t="s">
        <v>11712</v>
      </c>
      <c r="L3657" s="28" t="s">
        <v>10871</v>
      </c>
      <c r="M3657" s="28" t="s">
        <v>2205</v>
      </c>
      <c r="N3657" s="27">
        <v>38915</v>
      </c>
      <c r="O3657" s="92">
        <v>39015</v>
      </c>
      <c r="P3657" s="28" t="s">
        <v>21</v>
      </c>
      <c r="Q3657" s="26" t="b">
        <v>0</v>
      </c>
      <c r="R3657" s="22">
        <f t="shared" si="59"/>
        <v>190</v>
      </c>
    </row>
    <row r="3658" spans="1:18">
      <c r="A3658" s="26">
        <v>8500</v>
      </c>
      <c r="B3658" s="27">
        <v>38826</v>
      </c>
      <c r="C3658" s="28" t="s">
        <v>11713</v>
      </c>
      <c r="D3658" s="27">
        <v>38800</v>
      </c>
      <c r="E3658" s="28" t="s">
        <v>11714</v>
      </c>
      <c r="F3658" s="28" t="s">
        <v>104</v>
      </c>
      <c r="G3658" s="28" t="s">
        <v>20</v>
      </c>
      <c r="H3658" s="28" t="s">
        <v>71</v>
      </c>
      <c r="I3658" s="28" t="s">
        <v>72</v>
      </c>
      <c r="J3658" s="28" t="s">
        <v>11715</v>
      </c>
      <c r="K3658" s="28" t="s">
        <v>21</v>
      </c>
      <c r="L3658" s="28" t="s">
        <v>8318</v>
      </c>
      <c r="M3658" s="28" t="s">
        <v>21</v>
      </c>
      <c r="N3658" s="27">
        <v>38800</v>
      </c>
      <c r="O3658" s="92">
        <v>38800</v>
      </c>
      <c r="P3658" s="28" t="s">
        <v>21</v>
      </c>
      <c r="Q3658" s="26" t="b">
        <v>0</v>
      </c>
      <c r="R3658" s="22">
        <f t="shared" si="59"/>
        <v>25</v>
      </c>
    </row>
    <row r="3659" spans="1:18" ht="24">
      <c r="A3659" s="26">
        <v>8501</v>
      </c>
      <c r="B3659" s="27">
        <v>38827</v>
      </c>
      <c r="C3659" s="28" t="s">
        <v>11716</v>
      </c>
      <c r="D3659" s="27">
        <v>38826</v>
      </c>
      <c r="E3659" s="28" t="s">
        <v>11717</v>
      </c>
      <c r="F3659" s="28" t="s">
        <v>5690</v>
      </c>
      <c r="G3659" s="28" t="s">
        <v>20</v>
      </c>
      <c r="H3659" s="28" t="s">
        <v>71</v>
      </c>
      <c r="I3659" s="28" t="s">
        <v>72</v>
      </c>
      <c r="J3659" s="28" t="s">
        <v>11718</v>
      </c>
      <c r="K3659" s="28" t="s">
        <v>21</v>
      </c>
      <c r="L3659" s="28" t="s">
        <v>8318</v>
      </c>
      <c r="M3659" s="28" t="s">
        <v>21</v>
      </c>
      <c r="N3659" s="27">
        <v>38834</v>
      </c>
      <c r="O3659" s="92">
        <v>38834</v>
      </c>
      <c r="P3659" s="28" t="s">
        <v>21</v>
      </c>
      <c r="Q3659" s="26" t="b">
        <v>0</v>
      </c>
      <c r="R3659" s="22">
        <f t="shared" si="59"/>
        <v>7</v>
      </c>
    </row>
    <row r="3660" spans="1:18" ht="24">
      <c r="A3660" s="26">
        <v>8502</v>
      </c>
      <c r="B3660" s="27">
        <v>38827</v>
      </c>
      <c r="C3660" s="28" t="s">
        <v>11719</v>
      </c>
      <c r="D3660" s="27">
        <v>38827</v>
      </c>
      <c r="E3660" s="28" t="s">
        <v>11720</v>
      </c>
      <c r="F3660" s="28" t="s">
        <v>6456</v>
      </c>
      <c r="G3660" s="28" t="s">
        <v>20</v>
      </c>
      <c r="H3660" s="28" t="s">
        <v>189</v>
      </c>
      <c r="I3660" s="28" t="s">
        <v>189</v>
      </c>
      <c r="J3660" s="28" t="s">
        <v>11721</v>
      </c>
      <c r="K3660" s="28" t="s">
        <v>11722</v>
      </c>
      <c r="L3660" s="28" t="s">
        <v>4579</v>
      </c>
      <c r="M3660" s="28" t="s">
        <v>21</v>
      </c>
      <c r="N3660" s="27">
        <v>38918</v>
      </c>
      <c r="O3660" s="92">
        <v>38827</v>
      </c>
      <c r="P3660" s="28" t="s">
        <v>21</v>
      </c>
      <c r="Q3660" s="26" t="b">
        <v>0</v>
      </c>
      <c r="R3660" s="22">
        <f t="shared" si="59"/>
        <v>0</v>
      </c>
    </row>
    <row r="3661" spans="1:18">
      <c r="A3661" s="26">
        <v>8503</v>
      </c>
      <c r="B3661" s="27">
        <v>38832</v>
      </c>
      <c r="C3661" s="28" t="s">
        <v>11723</v>
      </c>
      <c r="D3661" s="27">
        <v>38832</v>
      </c>
      <c r="E3661" s="28" t="s">
        <v>11724</v>
      </c>
      <c r="F3661" s="28" t="s">
        <v>149</v>
      </c>
      <c r="G3661" s="28" t="s">
        <v>20</v>
      </c>
      <c r="H3661" s="28" t="s">
        <v>71</v>
      </c>
      <c r="I3661" s="28" t="s">
        <v>72</v>
      </c>
      <c r="J3661" s="28" t="s">
        <v>11725</v>
      </c>
      <c r="K3661" s="28" t="s">
        <v>11726</v>
      </c>
      <c r="L3661" s="28" t="s">
        <v>1946</v>
      </c>
      <c r="M3661" s="28" t="s">
        <v>21</v>
      </c>
      <c r="N3661" s="27">
        <v>38923</v>
      </c>
      <c r="O3661" s="92">
        <v>38953</v>
      </c>
      <c r="P3661" s="28" t="s">
        <v>21</v>
      </c>
      <c r="Q3661" s="26" t="b">
        <v>0</v>
      </c>
      <c r="R3661" s="22">
        <f t="shared" si="59"/>
        <v>120</v>
      </c>
    </row>
    <row r="3662" spans="1:18">
      <c r="A3662" s="26">
        <v>8504</v>
      </c>
      <c r="B3662" s="27">
        <v>38835</v>
      </c>
      <c r="C3662" s="28" t="s">
        <v>11727</v>
      </c>
      <c r="D3662" s="27">
        <v>38834</v>
      </c>
      <c r="E3662" s="28" t="s">
        <v>11728</v>
      </c>
      <c r="F3662" s="28" t="s">
        <v>974</v>
      </c>
      <c r="G3662" s="28" t="s">
        <v>20</v>
      </c>
      <c r="H3662" s="28" t="s">
        <v>212</v>
      </c>
      <c r="I3662" s="28" t="s">
        <v>212</v>
      </c>
      <c r="J3662" s="28" t="s">
        <v>11729</v>
      </c>
      <c r="K3662" s="28" t="s">
        <v>21</v>
      </c>
      <c r="L3662" s="28" t="s">
        <v>1946</v>
      </c>
      <c r="M3662" s="28" t="s">
        <v>21</v>
      </c>
      <c r="N3662" s="27">
        <v>38926</v>
      </c>
      <c r="O3662" s="92">
        <v>40730</v>
      </c>
      <c r="P3662" s="28" t="s">
        <v>21</v>
      </c>
      <c r="Q3662" s="26" t="b">
        <v>0</v>
      </c>
      <c r="R3662" s="22">
        <f t="shared" si="59"/>
        <v>1893</v>
      </c>
    </row>
    <row r="3663" spans="1:18">
      <c r="A3663" s="26">
        <v>8505</v>
      </c>
      <c r="B3663" s="27">
        <v>38835</v>
      </c>
      <c r="C3663" s="28" t="s">
        <v>11730</v>
      </c>
      <c r="D3663" s="27">
        <v>38832</v>
      </c>
      <c r="E3663" s="28" t="s">
        <v>11731</v>
      </c>
      <c r="F3663" s="28" t="s">
        <v>104</v>
      </c>
      <c r="G3663" s="28" t="s">
        <v>20</v>
      </c>
      <c r="H3663" s="28" t="s">
        <v>71</v>
      </c>
      <c r="I3663" s="28" t="s">
        <v>72</v>
      </c>
      <c r="J3663" s="28" t="s">
        <v>2469</v>
      </c>
      <c r="K3663" s="28" t="s">
        <v>11732</v>
      </c>
      <c r="L3663" s="28" t="s">
        <v>4579</v>
      </c>
      <c r="M3663" s="28" t="s">
        <v>21</v>
      </c>
      <c r="N3663" s="27">
        <v>38925</v>
      </c>
      <c r="O3663" s="92">
        <v>39007</v>
      </c>
      <c r="P3663" s="28" t="s">
        <v>21</v>
      </c>
      <c r="Q3663" s="26" t="b">
        <v>0</v>
      </c>
      <c r="R3663" s="22">
        <f t="shared" si="59"/>
        <v>171</v>
      </c>
    </row>
    <row r="3664" spans="1:18">
      <c r="A3664" s="26">
        <v>8506</v>
      </c>
      <c r="B3664" s="27">
        <v>38835</v>
      </c>
      <c r="C3664" s="28" t="s">
        <v>11733</v>
      </c>
      <c r="D3664" s="27">
        <v>38833</v>
      </c>
      <c r="E3664" s="28" t="s">
        <v>11734</v>
      </c>
      <c r="F3664" s="28" t="s">
        <v>11369</v>
      </c>
      <c r="G3664" s="28" t="s">
        <v>20</v>
      </c>
      <c r="H3664" s="28" t="s">
        <v>71</v>
      </c>
      <c r="I3664" s="28" t="s">
        <v>72</v>
      </c>
      <c r="J3664" s="28" t="s">
        <v>11735</v>
      </c>
      <c r="K3664" s="28" t="s">
        <v>11736</v>
      </c>
      <c r="L3664" s="28" t="s">
        <v>4282</v>
      </c>
      <c r="M3664" s="28" t="s">
        <v>21</v>
      </c>
      <c r="N3664" s="27">
        <v>38865</v>
      </c>
      <c r="O3664" s="92">
        <v>40666</v>
      </c>
      <c r="P3664" s="28" t="s">
        <v>31</v>
      </c>
      <c r="Q3664" s="26" t="b">
        <v>0</v>
      </c>
      <c r="R3664" s="22">
        <f t="shared" si="59"/>
        <v>1830</v>
      </c>
    </row>
    <row r="3665" spans="1:18">
      <c r="A3665" s="26">
        <v>8507</v>
      </c>
      <c r="B3665" s="27">
        <v>38838</v>
      </c>
      <c r="C3665" s="28" t="s">
        <v>11737</v>
      </c>
      <c r="D3665" s="27">
        <v>38838</v>
      </c>
      <c r="E3665" s="28" t="s">
        <v>38</v>
      </c>
      <c r="F3665" s="28" t="s">
        <v>124</v>
      </c>
      <c r="G3665" s="28" t="s">
        <v>20</v>
      </c>
      <c r="H3665" s="28" t="s">
        <v>71</v>
      </c>
      <c r="I3665" s="28" t="s">
        <v>72</v>
      </c>
      <c r="J3665" s="28" t="s">
        <v>7245</v>
      </c>
      <c r="K3665" s="28" t="s">
        <v>11738</v>
      </c>
      <c r="L3665" s="28" t="s">
        <v>11155</v>
      </c>
      <c r="M3665" s="28" t="s">
        <v>21</v>
      </c>
      <c r="N3665" s="27">
        <v>38839</v>
      </c>
      <c r="O3665" s="92">
        <v>38839</v>
      </c>
      <c r="P3665" s="28" t="s">
        <v>21</v>
      </c>
      <c r="Q3665" s="26" t="b">
        <v>0</v>
      </c>
      <c r="R3665" s="22">
        <f t="shared" si="59"/>
        <v>1</v>
      </c>
    </row>
    <row r="3666" spans="1:18">
      <c r="A3666" s="26">
        <v>8510</v>
      </c>
      <c r="B3666" s="27">
        <v>38840</v>
      </c>
      <c r="C3666" s="28" t="s">
        <v>11742</v>
      </c>
      <c r="D3666" s="27">
        <v>38840</v>
      </c>
      <c r="E3666" s="28" t="s">
        <v>11743</v>
      </c>
      <c r="F3666" s="28" t="s">
        <v>7241</v>
      </c>
      <c r="G3666" s="28" t="s">
        <v>20</v>
      </c>
      <c r="H3666" s="28" t="s">
        <v>71</v>
      </c>
      <c r="I3666" s="28" t="s">
        <v>72</v>
      </c>
      <c r="J3666" s="28" t="s">
        <v>11744</v>
      </c>
      <c r="K3666" s="28" t="s">
        <v>11745</v>
      </c>
      <c r="L3666" s="28" t="s">
        <v>4282</v>
      </c>
      <c r="M3666" s="28" t="s">
        <v>21</v>
      </c>
      <c r="N3666" s="27">
        <v>38932</v>
      </c>
      <c r="O3666" s="92">
        <v>40673</v>
      </c>
      <c r="P3666" s="28" t="s">
        <v>31</v>
      </c>
      <c r="Q3666" s="26" t="b">
        <v>0</v>
      </c>
      <c r="R3666" s="22">
        <f t="shared" si="59"/>
        <v>1832</v>
      </c>
    </row>
    <row r="3667" spans="1:18">
      <c r="A3667" s="26">
        <v>8512</v>
      </c>
      <c r="B3667" s="27">
        <v>38847</v>
      </c>
      <c r="C3667" s="28" t="s">
        <v>11750</v>
      </c>
      <c r="D3667" s="27">
        <v>38845</v>
      </c>
      <c r="E3667" s="28" t="s">
        <v>11751</v>
      </c>
      <c r="F3667" s="28" t="s">
        <v>11752</v>
      </c>
      <c r="G3667" s="28" t="s">
        <v>20</v>
      </c>
      <c r="H3667" s="28" t="s">
        <v>71</v>
      </c>
      <c r="I3667" s="28" t="s">
        <v>72</v>
      </c>
      <c r="J3667" s="28" t="s">
        <v>11753</v>
      </c>
      <c r="K3667" s="28" t="s">
        <v>11754</v>
      </c>
      <c r="L3667" s="28" t="s">
        <v>4579</v>
      </c>
      <c r="M3667" s="28" t="s">
        <v>21</v>
      </c>
      <c r="N3667" s="27">
        <v>38939</v>
      </c>
      <c r="O3667" s="92">
        <v>38994</v>
      </c>
      <c r="P3667" s="28" t="s">
        <v>21</v>
      </c>
      <c r="Q3667" s="26" t="b">
        <v>1</v>
      </c>
      <c r="R3667" s="22">
        <f t="shared" si="59"/>
        <v>146</v>
      </c>
    </row>
    <row r="3668" spans="1:18">
      <c r="A3668" s="26">
        <v>8513</v>
      </c>
      <c r="B3668" s="27">
        <v>38852</v>
      </c>
      <c r="C3668" s="28" t="s">
        <v>11750</v>
      </c>
      <c r="D3668" s="27">
        <v>38848</v>
      </c>
      <c r="E3668" s="28" t="s">
        <v>11755</v>
      </c>
      <c r="F3668" s="28" t="s">
        <v>11069</v>
      </c>
      <c r="G3668" s="28" t="s">
        <v>20</v>
      </c>
      <c r="H3668" s="28" t="s">
        <v>71</v>
      </c>
      <c r="I3668" s="28" t="s">
        <v>72</v>
      </c>
      <c r="J3668" s="28" t="s">
        <v>11756</v>
      </c>
      <c r="K3668" s="28" t="s">
        <v>11757</v>
      </c>
      <c r="L3668" s="28" t="s">
        <v>4579</v>
      </c>
      <c r="M3668" s="28" t="s">
        <v>21</v>
      </c>
      <c r="N3668" s="27">
        <v>38941</v>
      </c>
      <c r="O3668" s="92">
        <v>38922</v>
      </c>
      <c r="P3668" s="28" t="s">
        <v>21</v>
      </c>
      <c r="Q3668" s="26" t="b">
        <v>1</v>
      </c>
      <c r="R3668" s="22">
        <f t="shared" si="59"/>
        <v>69</v>
      </c>
    </row>
    <row r="3669" spans="1:18" ht="24">
      <c r="A3669" s="26">
        <v>8514</v>
      </c>
      <c r="B3669" s="27">
        <v>38855</v>
      </c>
      <c r="C3669" s="28" t="s">
        <v>11758</v>
      </c>
      <c r="D3669" s="27">
        <v>38848</v>
      </c>
      <c r="E3669" s="28" t="s">
        <v>11759</v>
      </c>
      <c r="F3669" s="28" t="s">
        <v>11760</v>
      </c>
      <c r="G3669" s="28" t="s">
        <v>20</v>
      </c>
      <c r="H3669" s="28" t="s">
        <v>71</v>
      </c>
      <c r="I3669" s="28" t="s">
        <v>72</v>
      </c>
      <c r="J3669" s="28" t="s">
        <v>11761</v>
      </c>
      <c r="K3669" s="28" t="s">
        <v>11762</v>
      </c>
      <c r="L3669" s="28" t="s">
        <v>4579</v>
      </c>
      <c r="M3669" s="28" t="s">
        <v>21</v>
      </c>
      <c r="N3669" s="27">
        <v>38879</v>
      </c>
      <c r="O3669" s="92">
        <v>39133</v>
      </c>
      <c r="P3669" s="28" t="s">
        <v>21</v>
      </c>
      <c r="Q3669" s="26" t="b">
        <v>1</v>
      </c>
      <c r="R3669" s="22">
        <f t="shared" si="59"/>
        <v>275</v>
      </c>
    </row>
    <row r="3670" spans="1:18">
      <c r="A3670" s="26">
        <v>8515</v>
      </c>
      <c r="B3670" s="27">
        <v>38855</v>
      </c>
      <c r="C3670" s="28" t="s">
        <v>11763</v>
      </c>
      <c r="D3670" s="27">
        <v>38852</v>
      </c>
      <c r="E3670" s="28" t="s">
        <v>11764</v>
      </c>
      <c r="F3670" s="28" t="s">
        <v>861</v>
      </c>
      <c r="G3670" s="28" t="s">
        <v>20</v>
      </c>
      <c r="H3670" s="28" t="s">
        <v>6501</v>
      </c>
      <c r="I3670" s="28" t="s">
        <v>566</v>
      </c>
      <c r="J3670" s="28" t="s">
        <v>5243</v>
      </c>
      <c r="K3670" s="28" t="s">
        <v>11765</v>
      </c>
      <c r="L3670" s="28" t="s">
        <v>10871</v>
      </c>
      <c r="M3670" s="28" t="s">
        <v>21</v>
      </c>
      <c r="N3670" s="29">
        <v>38944</v>
      </c>
      <c r="O3670" s="92">
        <v>38873</v>
      </c>
      <c r="P3670" s="28" t="s">
        <v>31</v>
      </c>
      <c r="Q3670" s="26" t="b">
        <v>1</v>
      </c>
      <c r="R3670" s="22">
        <f t="shared" si="59"/>
        <v>17</v>
      </c>
    </row>
    <row r="3671" spans="1:18">
      <c r="A3671" s="26">
        <v>8516</v>
      </c>
      <c r="B3671" s="27">
        <v>38855</v>
      </c>
      <c r="C3671" s="28" t="s">
        <v>11766</v>
      </c>
      <c r="D3671" s="27">
        <v>38852</v>
      </c>
      <c r="E3671" s="28" t="s">
        <v>11767</v>
      </c>
      <c r="F3671" s="28" t="s">
        <v>56</v>
      </c>
      <c r="G3671" s="28" t="s">
        <v>20</v>
      </c>
      <c r="H3671" s="28" t="s">
        <v>71</v>
      </c>
      <c r="I3671" s="28" t="s">
        <v>72</v>
      </c>
      <c r="J3671" s="28" t="s">
        <v>11768</v>
      </c>
      <c r="K3671" s="28" t="s">
        <v>11769</v>
      </c>
      <c r="L3671" s="28" t="s">
        <v>7167</v>
      </c>
      <c r="M3671" s="28" t="s">
        <v>11770</v>
      </c>
      <c r="N3671" s="29">
        <v>38944</v>
      </c>
      <c r="O3671" s="92">
        <v>40996</v>
      </c>
      <c r="P3671" s="28" t="s">
        <v>31</v>
      </c>
      <c r="Q3671" s="26" t="b">
        <v>1</v>
      </c>
      <c r="R3671" s="22">
        <f t="shared" si="59"/>
        <v>2139</v>
      </c>
    </row>
    <row r="3672" spans="1:18">
      <c r="A3672" s="26">
        <v>8517</v>
      </c>
      <c r="B3672" s="27">
        <v>38855</v>
      </c>
      <c r="C3672" s="28" t="s">
        <v>11771</v>
      </c>
      <c r="D3672" s="27">
        <v>38852</v>
      </c>
      <c r="E3672" s="28" t="s">
        <v>11772</v>
      </c>
      <c r="F3672" s="28" t="s">
        <v>10394</v>
      </c>
      <c r="G3672" s="28" t="s">
        <v>20</v>
      </c>
      <c r="H3672" s="28" t="s">
        <v>212</v>
      </c>
      <c r="I3672" s="28" t="s">
        <v>212</v>
      </c>
      <c r="J3672" s="28" t="s">
        <v>11773</v>
      </c>
      <c r="K3672" s="28" t="s">
        <v>11774</v>
      </c>
      <c r="L3672" s="28" t="s">
        <v>4579</v>
      </c>
      <c r="M3672" s="28" t="s">
        <v>1946</v>
      </c>
      <c r="N3672" s="27">
        <v>38944</v>
      </c>
      <c r="O3672" s="92">
        <v>39282</v>
      </c>
      <c r="P3672" s="28" t="s">
        <v>21</v>
      </c>
      <c r="Q3672" s="26" t="b">
        <v>0</v>
      </c>
      <c r="R3672" s="22">
        <f t="shared" si="59"/>
        <v>426</v>
      </c>
    </row>
    <row r="3673" spans="1:18">
      <c r="A3673" s="26">
        <v>8521</v>
      </c>
      <c r="B3673" s="27">
        <v>38856</v>
      </c>
      <c r="C3673" s="28" t="s">
        <v>11786</v>
      </c>
      <c r="D3673" s="27">
        <v>38856</v>
      </c>
      <c r="E3673" s="28" t="s">
        <v>11787</v>
      </c>
      <c r="F3673" s="28" t="s">
        <v>3430</v>
      </c>
      <c r="G3673" s="28" t="s">
        <v>20</v>
      </c>
      <c r="H3673" s="28" t="s">
        <v>71</v>
      </c>
      <c r="I3673" s="28" t="s">
        <v>72</v>
      </c>
      <c r="J3673" s="28" t="s">
        <v>11788</v>
      </c>
      <c r="K3673" s="28" t="s">
        <v>11789</v>
      </c>
      <c r="L3673" s="28" t="s">
        <v>8318</v>
      </c>
      <c r="M3673" s="28" t="s">
        <v>21</v>
      </c>
      <c r="N3673" s="29">
        <v>38948</v>
      </c>
      <c r="O3673" s="92">
        <v>39258</v>
      </c>
      <c r="P3673" s="28" t="s">
        <v>21</v>
      </c>
      <c r="Q3673" s="26" t="b">
        <v>0</v>
      </c>
      <c r="R3673" s="22">
        <f t="shared" ref="R3673:R3736" si="60">IF(O3673=" ", " ", INT(YEARFRAC(O3673, B3673)*365))</f>
        <v>401</v>
      </c>
    </row>
    <row r="3674" spans="1:18">
      <c r="A3674" s="26">
        <v>8518</v>
      </c>
      <c r="B3674" s="27">
        <v>38859</v>
      </c>
      <c r="C3674" s="28" t="s">
        <v>11775</v>
      </c>
      <c r="D3674" s="27">
        <v>38855</v>
      </c>
      <c r="E3674" s="28" t="s">
        <v>11776</v>
      </c>
      <c r="F3674" s="28" t="s">
        <v>3171</v>
      </c>
      <c r="G3674" s="28" t="s">
        <v>20</v>
      </c>
      <c r="H3674" s="28" t="s">
        <v>566</v>
      </c>
      <c r="I3674" s="28" t="s">
        <v>566</v>
      </c>
      <c r="J3674" s="28" t="s">
        <v>11777</v>
      </c>
      <c r="K3674" s="28" t="s">
        <v>11778</v>
      </c>
      <c r="L3674" s="28" t="s">
        <v>8318</v>
      </c>
      <c r="M3674" s="28" t="s">
        <v>21</v>
      </c>
      <c r="N3674" s="27">
        <v>38947</v>
      </c>
      <c r="O3674" s="92">
        <v>38876</v>
      </c>
      <c r="P3674" s="28" t="s">
        <v>21</v>
      </c>
      <c r="Q3674" s="26" t="b">
        <v>1</v>
      </c>
      <c r="R3674" s="22">
        <f t="shared" si="60"/>
        <v>16</v>
      </c>
    </row>
    <row r="3675" spans="1:18">
      <c r="A3675" s="26">
        <v>8519</v>
      </c>
      <c r="B3675" s="27">
        <v>38859</v>
      </c>
      <c r="C3675" s="28" t="s">
        <v>11779</v>
      </c>
      <c r="D3675" s="27">
        <v>38856</v>
      </c>
      <c r="E3675" s="28" t="s">
        <v>11780</v>
      </c>
      <c r="F3675" s="28" t="s">
        <v>70</v>
      </c>
      <c r="G3675" s="28" t="s">
        <v>20</v>
      </c>
      <c r="H3675" s="28" t="s">
        <v>71</v>
      </c>
      <c r="I3675" s="28" t="s">
        <v>72</v>
      </c>
      <c r="J3675" s="28" t="s">
        <v>11781</v>
      </c>
      <c r="K3675" s="28" t="s">
        <v>11782</v>
      </c>
      <c r="L3675" s="28" t="s">
        <v>10871</v>
      </c>
      <c r="M3675" s="28" t="s">
        <v>21</v>
      </c>
      <c r="N3675" s="27">
        <v>38887</v>
      </c>
      <c r="O3675" s="92">
        <v>38897</v>
      </c>
      <c r="P3675" s="28" t="s">
        <v>21</v>
      </c>
      <c r="Q3675" s="26" t="b">
        <v>1</v>
      </c>
      <c r="R3675" s="22">
        <f t="shared" si="60"/>
        <v>37</v>
      </c>
    </row>
    <row r="3676" spans="1:18">
      <c r="A3676" s="26">
        <v>8520</v>
      </c>
      <c r="B3676" s="27">
        <v>38859</v>
      </c>
      <c r="C3676" s="28" t="s">
        <v>11783</v>
      </c>
      <c r="D3676" s="27">
        <v>38856</v>
      </c>
      <c r="E3676" s="28" t="s">
        <v>11784</v>
      </c>
      <c r="F3676" s="28" t="s">
        <v>211</v>
      </c>
      <c r="G3676" s="28" t="s">
        <v>20</v>
      </c>
      <c r="H3676" s="28" t="s">
        <v>212</v>
      </c>
      <c r="I3676" s="28" t="s">
        <v>212</v>
      </c>
      <c r="J3676" s="28" t="s">
        <v>7318</v>
      </c>
      <c r="K3676" s="28" t="s">
        <v>11785</v>
      </c>
      <c r="L3676" s="28" t="s">
        <v>1946</v>
      </c>
      <c r="M3676" s="28" t="s">
        <v>21</v>
      </c>
      <c r="N3676" s="27">
        <v>38948</v>
      </c>
      <c r="O3676" s="92">
        <v>40631</v>
      </c>
      <c r="P3676" s="28" t="s">
        <v>21</v>
      </c>
      <c r="Q3676" s="26" t="b">
        <v>1</v>
      </c>
      <c r="R3676" s="22">
        <f t="shared" si="60"/>
        <v>1771</v>
      </c>
    </row>
    <row r="3677" spans="1:18">
      <c r="A3677" s="26">
        <v>8522</v>
      </c>
      <c r="B3677" s="27">
        <v>38859</v>
      </c>
      <c r="C3677" s="28" t="s">
        <v>11790</v>
      </c>
      <c r="D3677" s="27">
        <v>38859</v>
      </c>
      <c r="E3677" s="28" t="s">
        <v>11791</v>
      </c>
      <c r="F3677" s="28" t="s">
        <v>7961</v>
      </c>
      <c r="G3677" s="28" t="s">
        <v>20</v>
      </c>
      <c r="H3677" s="28" t="s">
        <v>189</v>
      </c>
      <c r="I3677" s="28" t="s">
        <v>189</v>
      </c>
      <c r="J3677" s="28" t="s">
        <v>11792</v>
      </c>
      <c r="K3677" s="28" t="s">
        <v>21</v>
      </c>
      <c r="L3677" s="28" t="s">
        <v>10871</v>
      </c>
      <c r="M3677" s="28" t="s">
        <v>21</v>
      </c>
      <c r="N3677" s="27">
        <v>38951</v>
      </c>
      <c r="O3677" s="92">
        <v>38897</v>
      </c>
      <c r="P3677" s="28" t="s">
        <v>21</v>
      </c>
      <c r="Q3677" s="26" t="b">
        <v>1</v>
      </c>
      <c r="R3677" s="22">
        <f t="shared" si="60"/>
        <v>37</v>
      </c>
    </row>
    <row r="3678" spans="1:18">
      <c r="A3678" s="26">
        <v>8523</v>
      </c>
      <c r="B3678" s="27">
        <v>38869</v>
      </c>
      <c r="C3678" s="28" t="s">
        <v>11793</v>
      </c>
      <c r="D3678" s="27">
        <v>38867</v>
      </c>
      <c r="E3678" s="28" t="s">
        <v>38</v>
      </c>
      <c r="F3678" s="28" t="s">
        <v>104</v>
      </c>
      <c r="G3678" s="28" t="s">
        <v>20</v>
      </c>
      <c r="H3678" s="28" t="s">
        <v>71</v>
      </c>
      <c r="I3678" s="28" t="s">
        <v>72</v>
      </c>
      <c r="J3678" s="28" t="s">
        <v>11794</v>
      </c>
      <c r="K3678" s="28" t="s">
        <v>11795</v>
      </c>
      <c r="L3678" s="28" t="s">
        <v>8318</v>
      </c>
      <c r="M3678" s="28" t="s">
        <v>21</v>
      </c>
      <c r="N3678" s="18"/>
      <c r="O3678" s="92">
        <v>38868</v>
      </c>
      <c r="P3678" s="28" t="s">
        <v>21</v>
      </c>
      <c r="Q3678" s="26" t="b">
        <v>1</v>
      </c>
      <c r="R3678" s="22">
        <f t="shared" si="60"/>
        <v>1</v>
      </c>
    </row>
    <row r="3679" spans="1:18">
      <c r="A3679" s="26">
        <v>8524</v>
      </c>
      <c r="B3679" s="27">
        <v>38869</v>
      </c>
      <c r="C3679" s="28" t="s">
        <v>11796</v>
      </c>
      <c r="D3679" s="27">
        <v>38869</v>
      </c>
      <c r="E3679" s="28" t="s">
        <v>11030</v>
      </c>
      <c r="F3679" s="28" t="s">
        <v>104</v>
      </c>
      <c r="G3679" s="28" t="s">
        <v>20</v>
      </c>
      <c r="H3679" s="28" t="s">
        <v>71</v>
      </c>
      <c r="I3679" s="28" t="s">
        <v>72</v>
      </c>
      <c r="J3679" s="28" t="s">
        <v>11797</v>
      </c>
      <c r="K3679" s="28" t="s">
        <v>11798</v>
      </c>
      <c r="L3679" s="28" t="s">
        <v>8318</v>
      </c>
      <c r="M3679" s="28" t="s">
        <v>21</v>
      </c>
      <c r="N3679" s="18"/>
      <c r="O3679" s="92">
        <v>38953</v>
      </c>
      <c r="P3679" s="28" t="s">
        <v>21</v>
      </c>
      <c r="Q3679" s="26" t="b">
        <v>0</v>
      </c>
      <c r="R3679" s="22">
        <f t="shared" si="60"/>
        <v>84</v>
      </c>
    </row>
    <row r="3680" spans="1:18">
      <c r="A3680" s="26">
        <v>8525</v>
      </c>
      <c r="B3680" s="27">
        <v>38870</v>
      </c>
      <c r="C3680" s="28" t="s">
        <v>11799</v>
      </c>
      <c r="D3680" s="27">
        <v>38868</v>
      </c>
      <c r="E3680" s="28" t="s">
        <v>11800</v>
      </c>
      <c r="F3680" s="28" t="s">
        <v>242</v>
      </c>
      <c r="G3680" s="28" t="s">
        <v>20</v>
      </c>
      <c r="H3680" s="28" t="s">
        <v>71</v>
      </c>
      <c r="I3680" s="28" t="s">
        <v>72</v>
      </c>
      <c r="J3680" s="28" t="s">
        <v>11801</v>
      </c>
      <c r="K3680" s="28" t="s">
        <v>21</v>
      </c>
      <c r="L3680" s="28" t="s">
        <v>10871</v>
      </c>
      <c r="M3680" s="28" t="s">
        <v>21</v>
      </c>
      <c r="N3680" s="27">
        <v>38900</v>
      </c>
      <c r="O3680" s="92">
        <v>38925</v>
      </c>
      <c r="P3680" s="28" t="s">
        <v>21</v>
      </c>
      <c r="Q3680" s="26" t="b">
        <v>0</v>
      </c>
      <c r="R3680" s="22">
        <f t="shared" si="60"/>
        <v>55</v>
      </c>
    </row>
    <row r="3681" spans="1:18">
      <c r="A3681" s="26">
        <v>8526</v>
      </c>
      <c r="B3681" s="27">
        <v>38874</v>
      </c>
      <c r="C3681" s="28" t="s">
        <v>11802</v>
      </c>
      <c r="D3681" s="27">
        <v>38867</v>
      </c>
      <c r="E3681" s="28" t="s">
        <v>38</v>
      </c>
      <c r="F3681" s="28" t="s">
        <v>124</v>
      </c>
      <c r="G3681" s="28" t="s">
        <v>20</v>
      </c>
      <c r="H3681" s="28" t="s">
        <v>71</v>
      </c>
      <c r="I3681" s="28" t="s">
        <v>72</v>
      </c>
      <c r="J3681" s="28" t="s">
        <v>11803</v>
      </c>
      <c r="K3681" s="28" t="s">
        <v>21</v>
      </c>
      <c r="L3681" s="28" t="s">
        <v>8318</v>
      </c>
      <c r="M3681" s="28" t="s">
        <v>21</v>
      </c>
      <c r="N3681" s="18"/>
      <c r="O3681" s="92">
        <v>38876</v>
      </c>
      <c r="P3681" s="28" t="s">
        <v>21</v>
      </c>
      <c r="Q3681" s="26" t="b">
        <v>1</v>
      </c>
      <c r="R3681" s="22">
        <f t="shared" si="60"/>
        <v>2</v>
      </c>
    </row>
    <row r="3682" spans="1:18">
      <c r="A3682" s="26">
        <v>8527</v>
      </c>
      <c r="B3682" s="27">
        <v>38881</v>
      </c>
      <c r="C3682" s="28" t="s">
        <v>11804</v>
      </c>
      <c r="D3682" s="27">
        <v>38875</v>
      </c>
      <c r="E3682" s="28" t="s">
        <v>11805</v>
      </c>
      <c r="F3682" s="28" t="s">
        <v>11806</v>
      </c>
      <c r="G3682" s="28" t="s">
        <v>20</v>
      </c>
      <c r="H3682" s="28" t="s">
        <v>71</v>
      </c>
      <c r="I3682" s="28" t="s">
        <v>72</v>
      </c>
      <c r="J3682" s="28" t="s">
        <v>11807</v>
      </c>
      <c r="K3682" s="28" t="s">
        <v>11808</v>
      </c>
      <c r="L3682" s="28" t="s">
        <v>4579</v>
      </c>
      <c r="M3682" s="28" t="s">
        <v>21</v>
      </c>
      <c r="N3682" s="27">
        <v>38911</v>
      </c>
      <c r="O3682" s="92">
        <v>38931</v>
      </c>
      <c r="P3682" s="28" t="s">
        <v>21</v>
      </c>
      <c r="Q3682" s="26" t="b">
        <v>1</v>
      </c>
      <c r="R3682" s="22">
        <f t="shared" si="60"/>
        <v>49</v>
      </c>
    </row>
    <row r="3683" spans="1:18" ht="24">
      <c r="A3683" s="26">
        <v>8528</v>
      </c>
      <c r="B3683" s="27">
        <v>38884</v>
      </c>
      <c r="C3683" s="28" t="s">
        <v>11809</v>
      </c>
      <c r="D3683" s="27">
        <v>38884</v>
      </c>
      <c r="E3683" s="28" t="s">
        <v>11810</v>
      </c>
      <c r="F3683" s="28" t="s">
        <v>11811</v>
      </c>
      <c r="G3683" s="28" t="s">
        <v>20</v>
      </c>
      <c r="H3683" s="28" t="s">
        <v>212</v>
      </c>
      <c r="I3683" s="28" t="s">
        <v>21</v>
      </c>
      <c r="J3683" s="28" t="s">
        <v>11812</v>
      </c>
      <c r="K3683" s="28" t="s">
        <v>6081</v>
      </c>
      <c r="L3683" s="28" t="s">
        <v>4282</v>
      </c>
      <c r="M3683" s="28" t="s">
        <v>21</v>
      </c>
      <c r="N3683" s="27">
        <v>38914</v>
      </c>
      <c r="O3683" s="92">
        <v>38988</v>
      </c>
      <c r="P3683" s="28" t="s">
        <v>21</v>
      </c>
      <c r="Q3683" s="26" t="b">
        <v>1</v>
      </c>
      <c r="R3683" s="22">
        <f t="shared" si="60"/>
        <v>103</v>
      </c>
    </row>
    <row r="3684" spans="1:18">
      <c r="A3684" s="26">
        <v>8529</v>
      </c>
      <c r="B3684" s="27">
        <v>38888</v>
      </c>
      <c r="C3684" s="28" t="s">
        <v>11813</v>
      </c>
      <c r="D3684" s="27">
        <v>38446</v>
      </c>
      <c r="E3684" s="28" t="s">
        <v>11814</v>
      </c>
      <c r="F3684" s="28" t="s">
        <v>4596</v>
      </c>
      <c r="G3684" s="28" t="s">
        <v>20</v>
      </c>
      <c r="H3684" s="28" t="s">
        <v>71</v>
      </c>
      <c r="I3684" s="28" t="s">
        <v>72</v>
      </c>
      <c r="J3684" s="28" t="s">
        <v>11815</v>
      </c>
      <c r="K3684" s="28" t="s">
        <v>6454</v>
      </c>
      <c r="L3684" s="28" t="s">
        <v>1946</v>
      </c>
      <c r="M3684" s="28" t="s">
        <v>21</v>
      </c>
      <c r="N3684" s="27">
        <v>38476</v>
      </c>
      <c r="O3684" s="92">
        <v>38888</v>
      </c>
      <c r="P3684" s="28" t="s">
        <v>21</v>
      </c>
      <c r="Q3684" s="26" t="b">
        <v>1</v>
      </c>
      <c r="R3684" s="22">
        <f t="shared" si="60"/>
        <v>0</v>
      </c>
    </row>
    <row r="3685" spans="1:18">
      <c r="A3685" s="26">
        <v>8531</v>
      </c>
      <c r="B3685" s="27">
        <v>38890</v>
      </c>
      <c r="C3685" s="28" t="s">
        <v>11816</v>
      </c>
      <c r="D3685" s="27">
        <v>38890</v>
      </c>
      <c r="E3685" s="28" t="s">
        <v>11817</v>
      </c>
      <c r="F3685" s="28" t="s">
        <v>5690</v>
      </c>
      <c r="G3685" s="28" t="s">
        <v>20</v>
      </c>
      <c r="H3685" s="28" t="s">
        <v>71</v>
      </c>
      <c r="I3685" s="28" t="s">
        <v>72</v>
      </c>
      <c r="J3685" s="28" t="s">
        <v>11818</v>
      </c>
      <c r="K3685" s="28" t="s">
        <v>21</v>
      </c>
      <c r="L3685" s="28" t="s">
        <v>8318</v>
      </c>
      <c r="M3685" s="28" t="s">
        <v>21</v>
      </c>
      <c r="N3685" s="27">
        <v>38982</v>
      </c>
      <c r="O3685" s="92">
        <v>38925</v>
      </c>
      <c r="P3685" s="28" t="s">
        <v>21</v>
      </c>
      <c r="Q3685" s="26" t="b">
        <v>0</v>
      </c>
      <c r="R3685" s="22">
        <f t="shared" si="60"/>
        <v>35</v>
      </c>
    </row>
    <row r="3686" spans="1:18">
      <c r="A3686" s="26">
        <v>8532</v>
      </c>
      <c r="B3686" s="27">
        <v>38894</v>
      </c>
      <c r="C3686" s="28" t="s">
        <v>11819</v>
      </c>
      <c r="D3686" s="27">
        <v>38891</v>
      </c>
      <c r="E3686" s="28" t="s">
        <v>11820</v>
      </c>
      <c r="F3686" s="28" t="s">
        <v>8522</v>
      </c>
      <c r="G3686" s="28" t="s">
        <v>20</v>
      </c>
      <c r="H3686" s="28" t="s">
        <v>189</v>
      </c>
      <c r="I3686" s="28" t="s">
        <v>189</v>
      </c>
      <c r="J3686" s="28" t="s">
        <v>4690</v>
      </c>
      <c r="K3686" s="28" t="s">
        <v>11513</v>
      </c>
      <c r="L3686" s="28" t="s">
        <v>4282</v>
      </c>
      <c r="M3686" s="28" t="s">
        <v>21</v>
      </c>
      <c r="N3686" s="27">
        <v>38983</v>
      </c>
      <c r="O3686" s="92">
        <v>39217</v>
      </c>
      <c r="P3686" s="28" t="s">
        <v>21</v>
      </c>
      <c r="Q3686" s="26" t="b">
        <v>1</v>
      </c>
      <c r="R3686" s="22">
        <f t="shared" si="60"/>
        <v>323</v>
      </c>
    </row>
    <row r="3687" spans="1:18">
      <c r="A3687" s="26">
        <v>8533</v>
      </c>
      <c r="B3687" s="27">
        <v>38897</v>
      </c>
      <c r="C3687" s="28" t="s">
        <v>11821</v>
      </c>
      <c r="D3687" s="27">
        <v>38856</v>
      </c>
      <c r="E3687" s="28" t="s">
        <v>11822</v>
      </c>
      <c r="F3687" s="28" t="s">
        <v>70</v>
      </c>
      <c r="G3687" s="28" t="s">
        <v>20</v>
      </c>
      <c r="H3687" s="28" t="s">
        <v>71</v>
      </c>
      <c r="I3687" s="28" t="s">
        <v>72</v>
      </c>
      <c r="J3687" s="28" t="s">
        <v>11781</v>
      </c>
      <c r="K3687" s="28" t="s">
        <v>11782</v>
      </c>
      <c r="L3687" s="28" t="s">
        <v>10871</v>
      </c>
      <c r="M3687" s="28" t="s">
        <v>21</v>
      </c>
      <c r="N3687" s="27">
        <v>38887</v>
      </c>
      <c r="O3687" s="92">
        <v>38911</v>
      </c>
      <c r="P3687" s="28" t="s">
        <v>21</v>
      </c>
      <c r="Q3687" s="26" t="b">
        <v>1</v>
      </c>
      <c r="R3687" s="22">
        <f t="shared" si="60"/>
        <v>14</v>
      </c>
    </row>
    <row r="3688" spans="1:18">
      <c r="A3688" s="26">
        <v>8534</v>
      </c>
      <c r="B3688" s="27">
        <v>38897</v>
      </c>
      <c r="C3688" s="28" t="s">
        <v>11823</v>
      </c>
      <c r="D3688" s="27">
        <v>38859</v>
      </c>
      <c r="E3688" s="28" t="s">
        <v>11824</v>
      </c>
      <c r="F3688" s="28" t="s">
        <v>7961</v>
      </c>
      <c r="G3688" s="28" t="s">
        <v>20</v>
      </c>
      <c r="H3688" s="28" t="s">
        <v>189</v>
      </c>
      <c r="I3688" s="28" t="s">
        <v>189</v>
      </c>
      <c r="J3688" s="28" t="s">
        <v>11792</v>
      </c>
      <c r="K3688" s="28" t="s">
        <v>21</v>
      </c>
      <c r="L3688" s="28" t="s">
        <v>10871</v>
      </c>
      <c r="M3688" s="28" t="s">
        <v>21</v>
      </c>
      <c r="N3688" s="27">
        <v>38951</v>
      </c>
      <c r="O3688" s="92">
        <v>39003</v>
      </c>
      <c r="P3688" s="28" t="s">
        <v>21</v>
      </c>
      <c r="Q3688" s="26" t="b">
        <v>1</v>
      </c>
      <c r="R3688" s="22">
        <f t="shared" si="60"/>
        <v>105</v>
      </c>
    </row>
    <row r="3689" spans="1:18">
      <c r="A3689" s="26">
        <v>8535</v>
      </c>
      <c r="B3689" s="27">
        <v>38897</v>
      </c>
      <c r="C3689" s="28" t="s">
        <v>11825</v>
      </c>
      <c r="D3689" s="27">
        <v>38895</v>
      </c>
      <c r="E3689" s="28" t="s">
        <v>38</v>
      </c>
      <c r="F3689" s="28" t="s">
        <v>345</v>
      </c>
      <c r="G3689" s="28" t="s">
        <v>20</v>
      </c>
      <c r="H3689" s="28" t="s">
        <v>71</v>
      </c>
      <c r="I3689" s="28" t="s">
        <v>72</v>
      </c>
      <c r="J3689" s="28" t="s">
        <v>11826</v>
      </c>
      <c r="K3689" s="28" t="s">
        <v>21</v>
      </c>
      <c r="L3689" s="28" t="s">
        <v>8318</v>
      </c>
      <c r="M3689" s="28" t="s">
        <v>21</v>
      </c>
      <c r="N3689" s="27">
        <v>38927</v>
      </c>
      <c r="O3689" s="92">
        <v>38898</v>
      </c>
      <c r="P3689" s="28" t="s">
        <v>21</v>
      </c>
      <c r="Q3689" s="26" t="b">
        <v>1</v>
      </c>
      <c r="R3689" s="22">
        <f t="shared" si="60"/>
        <v>1</v>
      </c>
    </row>
    <row r="3690" spans="1:18">
      <c r="A3690" s="26">
        <v>8536</v>
      </c>
      <c r="B3690" s="27">
        <v>38898</v>
      </c>
      <c r="C3690" s="28" t="s">
        <v>11827</v>
      </c>
      <c r="D3690" s="27">
        <v>38891</v>
      </c>
      <c r="E3690" s="28" t="s">
        <v>11828</v>
      </c>
      <c r="F3690" s="28" t="s">
        <v>11829</v>
      </c>
      <c r="G3690" s="28" t="s">
        <v>20</v>
      </c>
      <c r="H3690" s="28" t="s">
        <v>566</v>
      </c>
      <c r="I3690" s="28" t="s">
        <v>566</v>
      </c>
      <c r="J3690" s="28" t="s">
        <v>11830</v>
      </c>
      <c r="K3690" s="28" t="s">
        <v>11831</v>
      </c>
      <c r="L3690" s="28" t="s">
        <v>4579</v>
      </c>
      <c r="M3690" s="28" t="s">
        <v>21</v>
      </c>
      <c r="N3690" s="27">
        <v>38990</v>
      </c>
      <c r="O3690" s="92">
        <v>39013</v>
      </c>
      <c r="P3690" s="28" t="s">
        <v>21</v>
      </c>
      <c r="Q3690" s="26" t="b">
        <v>1</v>
      </c>
      <c r="R3690" s="22">
        <f t="shared" si="60"/>
        <v>114</v>
      </c>
    </row>
    <row r="3691" spans="1:18">
      <c r="A3691" s="26">
        <v>8537</v>
      </c>
      <c r="B3691" s="27">
        <v>38898</v>
      </c>
      <c r="C3691" s="28" t="s">
        <v>11832</v>
      </c>
      <c r="D3691" s="27">
        <v>38889</v>
      </c>
      <c r="E3691" s="28" t="s">
        <v>38</v>
      </c>
      <c r="F3691" s="28" t="s">
        <v>85</v>
      </c>
      <c r="G3691" s="28" t="s">
        <v>20</v>
      </c>
      <c r="H3691" s="28" t="s">
        <v>71</v>
      </c>
      <c r="I3691" s="28" t="s">
        <v>72</v>
      </c>
      <c r="J3691" s="28" t="s">
        <v>11833</v>
      </c>
      <c r="K3691" s="28" t="s">
        <v>21</v>
      </c>
      <c r="L3691" s="28" t="s">
        <v>8318</v>
      </c>
      <c r="M3691" s="28" t="s">
        <v>21</v>
      </c>
      <c r="N3691" s="27">
        <v>38898</v>
      </c>
      <c r="O3691" s="92">
        <v>38898</v>
      </c>
      <c r="P3691" s="28" t="s">
        <v>21</v>
      </c>
      <c r="Q3691" s="26" t="b">
        <v>1</v>
      </c>
      <c r="R3691" s="22">
        <f t="shared" si="60"/>
        <v>0</v>
      </c>
    </row>
    <row r="3692" spans="1:18">
      <c r="A3692" s="26">
        <v>8538</v>
      </c>
      <c r="B3692" s="27">
        <v>38901</v>
      </c>
      <c r="C3692" s="28" t="s">
        <v>11834</v>
      </c>
      <c r="D3692" s="27">
        <v>38772</v>
      </c>
      <c r="E3692" s="28" t="s">
        <v>11835</v>
      </c>
      <c r="F3692" s="28" t="s">
        <v>19</v>
      </c>
      <c r="G3692" s="28" t="s">
        <v>189</v>
      </c>
      <c r="H3692" s="28" t="s">
        <v>71</v>
      </c>
      <c r="I3692" s="28" t="s">
        <v>72</v>
      </c>
      <c r="J3692" s="28" t="s">
        <v>11567</v>
      </c>
      <c r="K3692" s="28" t="s">
        <v>11568</v>
      </c>
      <c r="L3692" s="28" t="s">
        <v>4579</v>
      </c>
      <c r="M3692" s="28" t="s">
        <v>21</v>
      </c>
      <c r="N3692" s="27">
        <v>38866</v>
      </c>
      <c r="O3692" s="92">
        <v>38901</v>
      </c>
      <c r="P3692" s="28" t="s">
        <v>21</v>
      </c>
      <c r="Q3692" s="26" t="b">
        <v>0</v>
      </c>
      <c r="R3692" s="22">
        <f t="shared" si="60"/>
        <v>0</v>
      </c>
    </row>
    <row r="3693" spans="1:18">
      <c r="A3693" s="26">
        <v>8539</v>
      </c>
      <c r="B3693" s="27">
        <v>38903</v>
      </c>
      <c r="C3693" s="28" t="s">
        <v>11836</v>
      </c>
      <c r="D3693" s="27">
        <v>38903</v>
      </c>
      <c r="E3693" s="28" t="s">
        <v>11828</v>
      </c>
      <c r="F3693" s="28" t="s">
        <v>8522</v>
      </c>
      <c r="G3693" s="28" t="s">
        <v>20</v>
      </c>
      <c r="H3693" s="28" t="s">
        <v>189</v>
      </c>
      <c r="I3693" s="28" t="s">
        <v>189</v>
      </c>
      <c r="J3693" s="28" t="s">
        <v>11837</v>
      </c>
      <c r="K3693" s="28" t="s">
        <v>11513</v>
      </c>
      <c r="L3693" s="28" t="s">
        <v>4282</v>
      </c>
      <c r="M3693" s="28" t="s">
        <v>21</v>
      </c>
      <c r="N3693" s="27">
        <v>38995</v>
      </c>
      <c r="O3693" s="92">
        <v>39969</v>
      </c>
      <c r="P3693" s="28" t="s">
        <v>21</v>
      </c>
      <c r="Q3693" s="26" t="b">
        <v>1</v>
      </c>
      <c r="R3693" s="22">
        <f t="shared" si="60"/>
        <v>1064</v>
      </c>
    </row>
    <row r="3694" spans="1:18">
      <c r="A3694" s="26">
        <v>8540</v>
      </c>
      <c r="B3694" s="27">
        <v>38904</v>
      </c>
      <c r="C3694" s="28" t="s">
        <v>11838</v>
      </c>
      <c r="D3694" s="27">
        <v>38904</v>
      </c>
      <c r="E3694" s="28" t="s">
        <v>11839</v>
      </c>
      <c r="F3694" s="28" t="s">
        <v>104</v>
      </c>
      <c r="G3694" s="28" t="s">
        <v>20</v>
      </c>
      <c r="H3694" s="28" t="s">
        <v>71</v>
      </c>
      <c r="I3694" s="28" t="s">
        <v>72</v>
      </c>
      <c r="J3694" s="28" t="s">
        <v>11840</v>
      </c>
      <c r="K3694" s="28" t="s">
        <v>21</v>
      </c>
      <c r="L3694" s="28" t="s">
        <v>4579</v>
      </c>
      <c r="M3694" s="28" t="s">
        <v>21</v>
      </c>
      <c r="N3694" s="27">
        <v>38935</v>
      </c>
      <c r="O3694" s="92">
        <v>38924</v>
      </c>
      <c r="P3694" s="28" t="s">
        <v>21</v>
      </c>
      <c r="Q3694" s="26" t="b">
        <v>1</v>
      </c>
      <c r="R3694" s="22">
        <f t="shared" si="60"/>
        <v>20</v>
      </c>
    </row>
    <row r="3695" spans="1:18">
      <c r="A3695" s="26">
        <v>8541</v>
      </c>
      <c r="B3695" s="27">
        <v>38908</v>
      </c>
      <c r="C3695" s="28" t="s">
        <v>11841</v>
      </c>
      <c r="D3695" s="27">
        <v>38904</v>
      </c>
      <c r="E3695" s="28" t="s">
        <v>11842</v>
      </c>
      <c r="F3695" s="28" t="s">
        <v>11843</v>
      </c>
      <c r="G3695" s="28" t="s">
        <v>20</v>
      </c>
      <c r="H3695" s="28" t="s">
        <v>71</v>
      </c>
      <c r="I3695" s="28" t="s">
        <v>72</v>
      </c>
      <c r="J3695" s="28" t="s">
        <v>11844</v>
      </c>
      <c r="K3695" s="28" t="s">
        <v>11845</v>
      </c>
      <c r="L3695" s="28" t="s">
        <v>4579</v>
      </c>
      <c r="M3695" s="28" t="s">
        <v>21</v>
      </c>
      <c r="N3695" s="27">
        <v>38939</v>
      </c>
      <c r="O3695" s="92">
        <v>39072</v>
      </c>
      <c r="P3695" s="28" t="s">
        <v>21</v>
      </c>
      <c r="Q3695" s="26" t="b">
        <v>1</v>
      </c>
      <c r="R3695" s="22">
        <f t="shared" si="60"/>
        <v>163</v>
      </c>
    </row>
    <row r="3696" spans="1:18">
      <c r="A3696" s="26">
        <v>8543</v>
      </c>
      <c r="B3696" s="27">
        <v>38910</v>
      </c>
      <c r="C3696" s="28" t="s">
        <v>11846</v>
      </c>
      <c r="D3696" s="27">
        <v>38909</v>
      </c>
      <c r="E3696" s="28" t="s">
        <v>11847</v>
      </c>
      <c r="F3696" s="28" t="s">
        <v>11848</v>
      </c>
      <c r="G3696" s="28" t="s">
        <v>20</v>
      </c>
      <c r="H3696" s="28" t="s">
        <v>566</v>
      </c>
      <c r="I3696" s="28" t="s">
        <v>566</v>
      </c>
      <c r="J3696" s="28" t="s">
        <v>11849</v>
      </c>
      <c r="K3696" s="28" t="s">
        <v>11850</v>
      </c>
      <c r="L3696" s="28" t="s">
        <v>4579</v>
      </c>
      <c r="M3696" s="28" t="s">
        <v>21</v>
      </c>
      <c r="N3696" s="27">
        <v>38940</v>
      </c>
      <c r="O3696" s="92">
        <v>38972</v>
      </c>
      <c r="P3696" s="28" t="s">
        <v>31</v>
      </c>
      <c r="Q3696" s="26" t="b">
        <v>1</v>
      </c>
      <c r="R3696" s="22">
        <f t="shared" si="60"/>
        <v>60</v>
      </c>
    </row>
    <row r="3697" spans="1:18">
      <c r="A3697" s="26">
        <v>8544</v>
      </c>
      <c r="B3697" s="27">
        <v>38911</v>
      </c>
      <c r="C3697" s="28" t="s">
        <v>11851</v>
      </c>
      <c r="D3697" s="27">
        <v>38907</v>
      </c>
      <c r="E3697" s="28" t="s">
        <v>11852</v>
      </c>
      <c r="F3697" s="28" t="s">
        <v>85</v>
      </c>
      <c r="G3697" s="28" t="s">
        <v>20</v>
      </c>
      <c r="H3697" s="28" t="s">
        <v>71</v>
      </c>
      <c r="I3697" s="28" t="s">
        <v>72</v>
      </c>
      <c r="J3697" s="28" t="s">
        <v>11853</v>
      </c>
      <c r="K3697" s="28" t="s">
        <v>11854</v>
      </c>
      <c r="L3697" s="28" t="s">
        <v>8318</v>
      </c>
      <c r="M3697" s="28" t="s">
        <v>21</v>
      </c>
      <c r="N3697" s="27">
        <v>38940</v>
      </c>
      <c r="O3697" s="92">
        <v>38919</v>
      </c>
      <c r="P3697" s="28" t="s">
        <v>21</v>
      </c>
      <c r="Q3697" s="26" t="b">
        <v>1</v>
      </c>
      <c r="R3697" s="22">
        <f t="shared" si="60"/>
        <v>8</v>
      </c>
    </row>
    <row r="3698" spans="1:18">
      <c r="A3698" s="26">
        <v>8545</v>
      </c>
      <c r="B3698" s="27">
        <v>38912</v>
      </c>
      <c r="C3698" s="28" t="s">
        <v>11855</v>
      </c>
      <c r="D3698" s="27">
        <v>38900</v>
      </c>
      <c r="E3698" s="28" t="s">
        <v>11856</v>
      </c>
      <c r="F3698" s="28" t="s">
        <v>124</v>
      </c>
      <c r="G3698" s="28" t="s">
        <v>20</v>
      </c>
      <c r="H3698" s="28" t="s">
        <v>71</v>
      </c>
      <c r="I3698" s="28" t="s">
        <v>72</v>
      </c>
      <c r="J3698" s="28" t="s">
        <v>11803</v>
      </c>
      <c r="K3698" s="28" t="s">
        <v>21</v>
      </c>
      <c r="L3698" s="28" t="s">
        <v>1946</v>
      </c>
      <c r="M3698" s="28" t="s">
        <v>21</v>
      </c>
      <c r="N3698" s="27">
        <v>38941</v>
      </c>
      <c r="O3698" s="92">
        <v>38916</v>
      </c>
      <c r="P3698" s="28" t="s">
        <v>21</v>
      </c>
      <c r="Q3698" s="26" t="b">
        <v>1</v>
      </c>
      <c r="R3698" s="22">
        <f t="shared" si="60"/>
        <v>4</v>
      </c>
    </row>
    <row r="3699" spans="1:18">
      <c r="A3699" s="26">
        <v>8546</v>
      </c>
      <c r="B3699" s="27">
        <v>38915</v>
      </c>
      <c r="C3699" s="28" t="s">
        <v>11857</v>
      </c>
      <c r="D3699" s="27">
        <v>38910</v>
      </c>
      <c r="E3699" s="28" t="s">
        <v>38</v>
      </c>
      <c r="F3699" s="28" t="s">
        <v>19</v>
      </c>
      <c r="G3699" s="28" t="s">
        <v>20</v>
      </c>
      <c r="H3699" s="28" t="s">
        <v>71</v>
      </c>
      <c r="I3699" s="28" t="s">
        <v>72</v>
      </c>
      <c r="J3699" s="28" t="s">
        <v>11858</v>
      </c>
      <c r="K3699" s="28" t="s">
        <v>11859</v>
      </c>
      <c r="L3699" s="28" t="s">
        <v>8318</v>
      </c>
      <c r="M3699" s="28" t="s">
        <v>21</v>
      </c>
      <c r="N3699" s="27">
        <v>38915</v>
      </c>
      <c r="O3699" s="92">
        <v>38915</v>
      </c>
      <c r="P3699" s="28" t="s">
        <v>21</v>
      </c>
      <c r="Q3699" s="26" t="b">
        <v>0</v>
      </c>
      <c r="R3699" s="22">
        <f t="shared" si="60"/>
        <v>0</v>
      </c>
    </row>
    <row r="3700" spans="1:18">
      <c r="A3700" s="26">
        <v>8547</v>
      </c>
      <c r="B3700" s="27">
        <v>38916</v>
      </c>
      <c r="C3700" s="28" t="s">
        <v>11860</v>
      </c>
      <c r="D3700" s="27">
        <v>38915</v>
      </c>
      <c r="E3700" s="28" t="s">
        <v>38</v>
      </c>
      <c r="F3700" s="28" t="s">
        <v>124</v>
      </c>
      <c r="G3700" s="28" t="s">
        <v>20</v>
      </c>
      <c r="H3700" s="28" t="s">
        <v>71</v>
      </c>
      <c r="I3700" s="28" t="s">
        <v>72</v>
      </c>
      <c r="J3700" s="28" t="s">
        <v>11861</v>
      </c>
      <c r="K3700" s="28" t="s">
        <v>11862</v>
      </c>
      <c r="L3700" s="28" t="s">
        <v>11155</v>
      </c>
      <c r="M3700" s="28" t="s">
        <v>21</v>
      </c>
      <c r="N3700" s="27">
        <v>38916</v>
      </c>
      <c r="O3700" s="92">
        <v>38916</v>
      </c>
      <c r="P3700" s="28" t="s">
        <v>21</v>
      </c>
      <c r="Q3700" s="26" t="b">
        <v>1</v>
      </c>
      <c r="R3700" s="22">
        <f t="shared" si="60"/>
        <v>0</v>
      </c>
    </row>
    <row r="3701" spans="1:18">
      <c r="A3701" s="26">
        <v>8548</v>
      </c>
      <c r="B3701" s="27">
        <v>38916</v>
      </c>
      <c r="C3701" s="28" t="s">
        <v>11863</v>
      </c>
      <c r="D3701" s="27">
        <v>38916</v>
      </c>
      <c r="E3701" s="28" t="s">
        <v>11864</v>
      </c>
      <c r="F3701" s="28" t="s">
        <v>10184</v>
      </c>
      <c r="G3701" s="28" t="s">
        <v>20</v>
      </c>
      <c r="H3701" s="28" t="s">
        <v>71</v>
      </c>
      <c r="I3701" s="28" t="s">
        <v>72</v>
      </c>
      <c r="J3701" s="28" t="s">
        <v>6331</v>
      </c>
      <c r="K3701" s="28" t="s">
        <v>11865</v>
      </c>
      <c r="L3701" s="28" t="s">
        <v>10871</v>
      </c>
      <c r="M3701" s="28" t="s">
        <v>21</v>
      </c>
      <c r="N3701" s="29">
        <v>38964</v>
      </c>
      <c r="O3701" s="92">
        <v>39077</v>
      </c>
      <c r="P3701" s="28" t="s">
        <v>31</v>
      </c>
      <c r="Q3701" s="26" t="b">
        <v>1</v>
      </c>
      <c r="R3701" s="22">
        <f t="shared" si="60"/>
        <v>160</v>
      </c>
    </row>
    <row r="3702" spans="1:18">
      <c r="A3702" s="26">
        <v>8549</v>
      </c>
      <c r="B3702" s="27">
        <v>38916</v>
      </c>
      <c r="C3702" s="28" t="s">
        <v>11866</v>
      </c>
      <c r="D3702" s="27">
        <v>38916</v>
      </c>
      <c r="E3702" s="28" t="s">
        <v>11867</v>
      </c>
      <c r="F3702" s="28" t="s">
        <v>974</v>
      </c>
      <c r="G3702" s="28" t="s">
        <v>20</v>
      </c>
      <c r="H3702" s="28" t="s">
        <v>212</v>
      </c>
      <c r="I3702" s="28" t="s">
        <v>212</v>
      </c>
      <c r="J3702" s="28" t="s">
        <v>11868</v>
      </c>
      <c r="K3702" s="28" t="s">
        <v>11869</v>
      </c>
      <c r="L3702" s="28" t="s">
        <v>1946</v>
      </c>
      <c r="M3702" s="28" t="s">
        <v>21</v>
      </c>
      <c r="N3702" s="29">
        <v>38947</v>
      </c>
      <c r="O3702" s="92">
        <v>38919</v>
      </c>
      <c r="P3702" s="28" t="s">
        <v>31</v>
      </c>
      <c r="Q3702" s="26" t="b">
        <v>1</v>
      </c>
      <c r="R3702" s="22">
        <f t="shared" si="60"/>
        <v>3</v>
      </c>
    </row>
    <row r="3703" spans="1:18">
      <c r="A3703" s="26">
        <v>8550</v>
      </c>
      <c r="B3703" s="27">
        <v>38917</v>
      </c>
      <c r="C3703" s="28" t="s">
        <v>11870</v>
      </c>
      <c r="D3703" s="27">
        <v>38784</v>
      </c>
      <c r="E3703" s="28" t="s">
        <v>11871</v>
      </c>
      <c r="F3703" s="28" t="s">
        <v>1232</v>
      </c>
      <c r="G3703" s="28" t="s">
        <v>20</v>
      </c>
      <c r="H3703" s="28" t="s">
        <v>189</v>
      </c>
      <c r="I3703" s="28" t="s">
        <v>189</v>
      </c>
      <c r="J3703" s="28" t="s">
        <v>11615</v>
      </c>
      <c r="K3703" s="28" t="s">
        <v>11616</v>
      </c>
      <c r="L3703" s="28" t="s">
        <v>4579</v>
      </c>
      <c r="M3703" s="28" t="s">
        <v>21</v>
      </c>
      <c r="N3703" s="29">
        <v>38876</v>
      </c>
      <c r="O3703" s="92">
        <v>38918</v>
      </c>
      <c r="P3703" s="28" t="s">
        <v>31</v>
      </c>
      <c r="Q3703" s="26" t="b">
        <v>0</v>
      </c>
      <c r="R3703" s="22">
        <f t="shared" si="60"/>
        <v>1</v>
      </c>
    </row>
    <row r="3704" spans="1:18">
      <c r="A3704" s="26">
        <v>8551</v>
      </c>
      <c r="B3704" s="27">
        <v>38917</v>
      </c>
      <c r="C3704" s="28" t="s">
        <v>11872</v>
      </c>
      <c r="D3704" s="27">
        <v>38916</v>
      </c>
      <c r="E3704" s="28" t="s">
        <v>11873</v>
      </c>
      <c r="F3704" s="28" t="s">
        <v>11369</v>
      </c>
      <c r="G3704" s="28" t="s">
        <v>20</v>
      </c>
      <c r="H3704" s="28" t="s">
        <v>71</v>
      </c>
      <c r="I3704" s="28" t="s">
        <v>72</v>
      </c>
      <c r="J3704" s="28" t="s">
        <v>11874</v>
      </c>
      <c r="K3704" s="28" t="s">
        <v>11875</v>
      </c>
      <c r="L3704" s="28" t="s">
        <v>4282</v>
      </c>
      <c r="M3704" s="28" t="s">
        <v>21</v>
      </c>
      <c r="N3704" s="27">
        <v>38948</v>
      </c>
      <c r="O3704" s="92">
        <v>40745</v>
      </c>
      <c r="P3704" s="28" t="s">
        <v>31</v>
      </c>
      <c r="Q3704" s="26" t="b">
        <v>1</v>
      </c>
      <c r="R3704" s="22">
        <f t="shared" si="60"/>
        <v>1827</v>
      </c>
    </row>
    <row r="3705" spans="1:18">
      <c r="A3705" s="26">
        <v>8553</v>
      </c>
      <c r="B3705" s="27">
        <v>38918</v>
      </c>
      <c r="C3705" s="28" t="s">
        <v>11876</v>
      </c>
      <c r="D3705" s="27">
        <v>38917</v>
      </c>
      <c r="E3705" s="28" t="s">
        <v>11877</v>
      </c>
      <c r="F3705" s="28" t="s">
        <v>124</v>
      </c>
      <c r="G3705" s="28" t="s">
        <v>20</v>
      </c>
      <c r="H3705" s="28" t="s">
        <v>71</v>
      </c>
      <c r="I3705" s="28" t="s">
        <v>72</v>
      </c>
      <c r="J3705" s="28" t="s">
        <v>11878</v>
      </c>
      <c r="K3705" s="28" t="s">
        <v>11879</v>
      </c>
      <c r="L3705" s="28" t="s">
        <v>4579</v>
      </c>
      <c r="M3705" s="28" t="s">
        <v>21</v>
      </c>
      <c r="N3705" s="27">
        <v>38949</v>
      </c>
      <c r="O3705" s="92">
        <v>39190</v>
      </c>
      <c r="P3705" s="28" t="s">
        <v>31</v>
      </c>
      <c r="Q3705" s="26" t="b">
        <v>1</v>
      </c>
      <c r="R3705" s="22">
        <f t="shared" si="60"/>
        <v>271</v>
      </c>
    </row>
    <row r="3706" spans="1:18">
      <c r="A3706" s="26">
        <v>8554</v>
      </c>
      <c r="B3706" s="27">
        <v>38922</v>
      </c>
      <c r="C3706" s="28" t="s">
        <v>11880</v>
      </c>
      <c r="D3706" s="27">
        <v>38849</v>
      </c>
      <c r="E3706" s="28" t="s">
        <v>11881</v>
      </c>
      <c r="F3706" s="28" t="s">
        <v>11069</v>
      </c>
      <c r="G3706" s="28" t="s">
        <v>20</v>
      </c>
      <c r="H3706" s="28" t="s">
        <v>71</v>
      </c>
      <c r="I3706" s="28" t="s">
        <v>72</v>
      </c>
      <c r="J3706" s="28" t="s">
        <v>11756</v>
      </c>
      <c r="K3706" s="28" t="s">
        <v>11757</v>
      </c>
      <c r="L3706" s="28" t="s">
        <v>4579</v>
      </c>
      <c r="M3706" s="28" t="s">
        <v>21</v>
      </c>
      <c r="N3706" s="29">
        <v>38941</v>
      </c>
      <c r="O3706" s="92">
        <v>38924</v>
      </c>
      <c r="P3706" s="28" t="s">
        <v>21</v>
      </c>
      <c r="Q3706" s="26" t="b">
        <v>1</v>
      </c>
      <c r="R3706" s="22">
        <f t="shared" si="60"/>
        <v>2</v>
      </c>
    </row>
    <row r="3707" spans="1:18">
      <c r="A3707" s="26">
        <v>8556</v>
      </c>
      <c r="B3707" s="27">
        <v>38924</v>
      </c>
      <c r="C3707" s="28" t="s">
        <v>11886</v>
      </c>
      <c r="D3707" s="27">
        <v>38924</v>
      </c>
      <c r="E3707" s="28" t="s">
        <v>11887</v>
      </c>
      <c r="F3707" s="28" t="s">
        <v>7212</v>
      </c>
      <c r="G3707" s="28" t="s">
        <v>20</v>
      </c>
      <c r="H3707" s="28" t="s">
        <v>71</v>
      </c>
      <c r="I3707" s="28" t="s">
        <v>72</v>
      </c>
      <c r="J3707" s="28" t="s">
        <v>11888</v>
      </c>
      <c r="K3707" s="28" t="s">
        <v>21</v>
      </c>
      <c r="L3707" s="28" t="s">
        <v>4282</v>
      </c>
      <c r="M3707" s="28" t="s">
        <v>21</v>
      </c>
      <c r="N3707" s="27">
        <v>38955</v>
      </c>
      <c r="O3707" s="92">
        <v>39043</v>
      </c>
      <c r="P3707" s="28" t="s">
        <v>31</v>
      </c>
      <c r="Q3707" s="26" t="b">
        <v>1</v>
      </c>
      <c r="R3707" s="22">
        <f t="shared" si="60"/>
        <v>117</v>
      </c>
    </row>
    <row r="3708" spans="1:18">
      <c r="A3708" s="26">
        <v>8555</v>
      </c>
      <c r="B3708" s="27">
        <v>38926</v>
      </c>
      <c r="C3708" s="28" t="s">
        <v>11882</v>
      </c>
      <c r="D3708" s="27">
        <v>38905</v>
      </c>
      <c r="E3708" s="28" t="s">
        <v>11883</v>
      </c>
      <c r="F3708" s="28" t="s">
        <v>345</v>
      </c>
      <c r="G3708" s="28" t="s">
        <v>20</v>
      </c>
      <c r="H3708" s="28" t="s">
        <v>71</v>
      </c>
      <c r="I3708" s="28" t="s">
        <v>72</v>
      </c>
      <c r="J3708" s="28" t="s">
        <v>11884</v>
      </c>
      <c r="K3708" s="28" t="s">
        <v>5686</v>
      </c>
      <c r="L3708" s="28" t="s">
        <v>3588</v>
      </c>
      <c r="M3708" s="28" t="s">
        <v>11885</v>
      </c>
      <c r="N3708" s="29">
        <v>39018</v>
      </c>
      <c r="O3708" s="92">
        <v>39693</v>
      </c>
      <c r="P3708" s="28" t="s">
        <v>21</v>
      </c>
      <c r="Q3708" s="26" t="b">
        <v>1</v>
      </c>
      <c r="R3708" s="22">
        <f t="shared" si="60"/>
        <v>764</v>
      </c>
    </row>
    <row r="3709" spans="1:18">
      <c r="A3709" s="26">
        <v>8557</v>
      </c>
      <c r="B3709" s="27">
        <v>38929</v>
      </c>
      <c r="C3709" s="28" t="s">
        <v>11889</v>
      </c>
      <c r="D3709" s="27">
        <v>38929</v>
      </c>
      <c r="E3709" s="28" t="s">
        <v>11890</v>
      </c>
      <c r="F3709" s="28" t="s">
        <v>990</v>
      </c>
      <c r="G3709" s="28" t="s">
        <v>20</v>
      </c>
      <c r="H3709" s="28" t="s">
        <v>71</v>
      </c>
      <c r="I3709" s="28" t="s">
        <v>72</v>
      </c>
      <c r="J3709" s="28" t="s">
        <v>11891</v>
      </c>
      <c r="K3709" s="28" t="s">
        <v>11892</v>
      </c>
      <c r="L3709" s="28" t="s">
        <v>8318</v>
      </c>
      <c r="M3709" s="28" t="s">
        <v>21</v>
      </c>
      <c r="N3709" s="18"/>
      <c r="O3709" s="92">
        <v>38930</v>
      </c>
      <c r="P3709" s="28" t="s">
        <v>21</v>
      </c>
      <c r="Q3709" s="26" t="b">
        <v>1</v>
      </c>
      <c r="R3709" s="22">
        <f t="shared" si="60"/>
        <v>1</v>
      </c>
    </row>
    <row r="3710" spans="1:18">
      <c r="A3710" s="26">
        <v>8559</v>
      </c>
      <c r="B3710" s="27">
        <v>38929</v>
      </c>
      <c r="C3710" s="28" t="s">
        <v>11896</v>
      </c>
      <c r="D3710" s="27">
        <v>38929</v>
      </c>
      <c r="E3710" s="28" t="s">
        <v>11897</v>
      </c>
      <c r="F3710" s="28" t="s">
        <v>3430</v>
      </c>
      <c r="G3710" s="28" t="s">
        <v>20</v>
      </c>
      <c r="H3710" s="28" t="s">
        <v>71</v>
      </c>
      <c r="I3710" s="28" t="s">
        <v>72</v>
      </c>
      <c r="J3710" s="28" t="s">
        <v>11898</v>
      </c>
      <c r="K3710" s="28" t="s">
        <v>4690</v>
      </c>
      <c r="L3710" s="28" t="s">
        <v>8318</v>
      </c>
      <c r="M3710" s="28" t="s">
        <v>21</v>
      </c>
      <c r="O3710" s="92">
        <v>38930</v>
      </c>
      <c r="P3710" s="28" t="s">
        <v>21</v>
      </c>
      <c r="Q3710" s="26" t="b">
        <v>0</v>
      </c>
      <c r="R3710" s="22">
        <f t="shared" si="60"/>
        <v>1</v>
      </c>
    </row>
    <row r="3711" spans="1:18">
      <c r="A3711" s="26">
        <v>8558</v>
      </c>
      <c r="B3711" s="27">
        <v>38930</v>
      </c>
      <c r="C3711" s="28" t="s">
        <v>11893</v>
      </c>
      <c r="D3711" s="27">
        <v>38929</v>
      </c>
      <c r="E3711" s="28" t="s">
        <v>11030</v>
      </c>
      <c r="F3711" s="28" t="s">
        <v>11894</v>
      </c>
      <c r="G3711" s="28" t="s">
        <v>20</v>
      </c>
      <c r="H3711" s="28" t="s">
        <v>71</v>
      </c>
      <c r="I3711" s="28" t="s">
        <v>72</v>
      </c>
      <c r="J3711" s="28" t="s">
        <v>7071</v>
      </c>
      <c r="K3711" s="28" t="s">
        <v>11895</v>
      </c>
      <c r="L3711" s="28" t="s">
        <v>8318</v>
      </c>
      <c r="M3711" s="28" t="s">
        <v>21</v>
      </c>
      <c r="O3711" s="92">
        <v>39003</v>
      </c>
      <c r="P3711" s="28" t="s">
        <v>21</v>
      </c>
      <c r="Q3711" s="26" t="b">
        <v>0</v>
      </c>
      <c r="R3711" s="22">
        <f t="shared" si="60"/>
        <v>73</v>
      </c>
    </row>
    <row r="3712" spans="1:18">
      <c r="A3712" s="26">
        <v>8560</v>
      </c>
      <c r="B3712" s="27">
        <v>38932</v>
      </c>
      <c r="C3712" s="28" t="s">
        <v>11899</v>
      </c>
      <c r="D3712" s="27">
        <v>38927</v>
      </c>
      <c r="E3712" s="28" t="s">
        <v>11900</v>
      </c>
      <c r="F3712" s="28" t="s">
        <v>9198</v>
      </c>
      <c r="G3712" s="28" t="s">
        <v>20</v>
      </c>
      <c r="H3712" s="28" t="s">
        <v>71</v>
      </c>
      <c r="I3712" s="28" t="s">
        <v>72</v>
      </c>
      <c r="J3712" s="28" t="s">
        <v>11901</v>
      </c>
      <c r="K3712" s="28" t="s">
        <v>11902</v>
      </c>
      <c r="L3712" s="28" t="s">
        <v>4579</v>
      </c>
      <c r="M3712" s="28" t="s">
        <v>21</v>
      </c>
      <c r="N3712" s="27">
        <v>38963</v>
      </c>
      <c r="O3712" s="92">
        <v>38943</v>
      </c>
      <c r="P3712" s="28" t="s">
        <v>21</v>
      </c>
      <c r="Q3712" s="26" t="b">
        <v>1</v>
      </c>
      <c r="R3712" s="22">
        <f t="shared" si="60"/>
        <v>11</v>
      </c>
    </row>
    <row r="3713" spans="1:18">
      <c r="A3713" s="26">
        <v>8561</v>
      </c>
      <c r="B3713" s="27">
        <v>38932</v>
      </c>
      <c r="C3713" s="28" t="s">
        <v>11903</v>
      </c>
      <c r="D3713" s="27">
        <v>38921</v>
      </c>
      <c r="E3713" s="28" t="s">
        <v>11904</v>
      </c>
      <c r="F3713" s="28" t="s">
        <v>1232</v>
      </c>
      <c r="G3713" s="28" t="s">
        <v>11905</v>
      </c>
      <c r="H3713" s="28" t="s">
        <v>189</v>
      </c>
      <c r="I3713" s="28" t="s">
        <v>189</v>
      </c>
      <c r="J3713" s="28" t="s">
        <v>11906</v>
      </c>
      <c r="K3713" s="28" t="s">
        <v>21</v>
      </c>
      <c r="L3713" s="28" t="s">
        <v>4579</v>
      </c>
      <c r="M3713" s="28" t="s">
        <v>21</v>
      </c>
      <c r="N3713" s="27">
        <v>39024</v>
      </c>
      <c r="O3713" s="92">
        <v>38954</v>
      </c>
      <c r="P3713" s="28" t="s">
        <v>21</v>
      </c>
      <c r="Q3713" s="26" t="b">
        <v>0</v>
      </c>
      <c r="R3713" s="22">
        <f t="shared" si="60"/>
        <v>22</v>
      </c>
    </row>
    <row r="3714" spans="1:18">
      <c r="A3714" s="26">
        <v>8562</v>
      </c>
      <c r="B3714" s="27">
        <v>38933</v>
      </c>
      <c r="C3714" s="28" t="s">
        <v>11907</v>
      </c>
      <c r="D3714" s="27">
        <v>38933</v>
      </c>
      <c r="E3714" s="28" t="s">
        <v>11908</v>
      </c>
      <c r="F3714" s="28" t="s">
        <v>10838</v>
      </c>
      <c r="G3714" s="28" t="s">
        <v>20</v>
      </c>
      <c r="H3714" s="28" t="s">
        <v>71</v>
      </c>
      <c r="I3714" s="28" t="s">
        <v>72</v>
      </c>
      <c r="J3714" s="28" t="s">
        <v>10249</v>
      </c>
      <c r="K3714" s="28" t="s">
        <v>11909</v>
      </c>
      <c r="L3714" s="28" t="s">
        <v>8318</v>
      </c>
      <c r="M3714" s="28" t="s">
        <v>21</v>
      </c>
      <c r="N3714" s="18"/>
      <c r="O3714" s="92">
        <v>38933</v>
      </c>
      <c r="P3714" s="28" t="s">
        <v>21</v>
      </c>
      <c r="Q3714" s="26" t="b">
        <v>1</v>
      </c>
      <c r="R3714" s="22">
        <f t="shared" si="60"/>
        <v>0</v>
      </c>
    </row>
    <row r="3715" spans="1:18">
      <c r="A3715" s="26">
        <v>8563</v>
      </c>
      <c r="B3715" s="27">
        <v>38938</v>
      </c>
      <c r="C3715" s="28" t="s">
        <v>11910</v>
      </c>
      <c r="D3715" s="27">
        <v>38932</v>
      </c>
      <c r="E3715" s="28" t="s">
        <v>11911</v>
      </c>
      <c r="F3715" s="28" t="s">
        <v>984</v>
      </c>
      <c r="G3715" s="28" t="s">
        <v>20</v>
      </c>
      <c r="H3715" s="28" t="s">
        <v>71</v>
      </c>
      <c r="I3715" s="28" t="s">
        <v>72</v>
      </c>
      <c r="J3715" s="28" t="s">
        <v>11912</v>
      </c>
      <c r="K3715" s="28" t="s">
        <v>21</v>
      </c>
      <c r="L3715" s="28" t="s">
        <v>1946</v>
      </c>
      <c r="M3715" s="28" t="s">
        <v>21</v>
      </c>
      <c r="N3715" s="27">
        <v>38985</v>
      </c>
      <c r="O3715" s="92">
        <v>40361</v>
      </c>
      <c r="P3715" s="28" t="s">
        <v>31</v>
      </c>
      <c r="Q3715" s="26" t="b">
        <v>1</v>
      </c>
      <c r="R3715" s="22">
        <f t="shared" si="60"/>
        <v>1422</v>
      </c>
    </row>
    <row r="3716" spans="1:18">
      <c r="A3716" s="26">
        <v>8565</v>
      </c>
      <c r="B3716" s="27">
        <v>38940</v>
      </c>
      <c r="C3716" s="28" t="s">
        <v>11913</v>
      </c>
      <c r="D3716" s="27">
        <v>38939</v>
      </c>
      <c r="E3716" s="28" t="s">
        <v>11914</v>
      </c>
      <c r="F3716" s="28" t="s">
        <v>11915</v>
      </c>
      <c r="G3716" s="28" t="s">
        <v>11905</v>
      </c>
      <c r="H3716" s="28" t="s">
        <v>71</v>
      </c>
      <c r="I3716" s="28" t="s">
        <v>72</v>
      </c>
      <c r="J3716" s="28" t="s">
        <v>10249</v>
      </c>
      <c r="K3716" s="28" t="s">
        <v>11916</v>
      </c>
      <c r="L3716" s="28" t="s">
        <v>8318</v>
      </c>
      <c r="M3716" s="28" t="s">
        <v>21</v>
      </c>
      <c r="N3716" s="18"/>
      <c r="O3716" s="92">
        <v>38940</v>
      </c>
      <c r="P3716" s="28" t="s">
        <v>21</v>
      </c>
      <c r="Q3716" s="26" t="b">
        <v>0</v>
      </c>
      <c r="R3716" s="22">
        <f t="shared" si="60"/>
        <v>0</v>
      </c>
    </row>
    <row r="3717" spans="1:18">
      <c r="A3717" s="26">
        <v>8566</v>
      </c>
      <c r="B3717" s="27">
        <v>38940</v>
      </c>
      <c r="C3717" s="28" t="s">
        <v>11917</v>
      </c>
      <c r="D3717" s="27">
        <v>38940</v>
      </c>
      <c r="E3717" s="28" t="s">
        <v>11918</v>
      </c>
      <c r="F3717" s="28" t="s">
        <v>8358</v>
      </c>
      <c r="G3717" s="28" t="s">
        <v>20</v>
      </c>
      <c r="H3717" s="28" t="s">
        <v>71</v>
      </c>
      <c r="I3717" s="28" t="s">
        <v>72</v>
      </c>
      <c r="J3717" s="28" t="s">
        <v>11919</v>
      </c>
      <c r="K3717" s="28" t="s">
        <v>8828</v>
      </c>
      <c r="L3717" s="28" t="s">
        <v>4282</v>
      </c>
      <c r="M3717" s="28" t="s">
        <v>21</v>
      </c>
      <c r="N3717" s="27">
        <v>39032</v>
      </c>
      <c r="O3717" s="92">
        <v>39078</v>
      </c>
      <c r="P3717" s="28" t="s">
        <v>21</v>
      </c>
      <c r="Q3717" s="26" t="b">
        <v>0</v>
      </c>
      <c r="R3717" s="22">
        <f t="shared" si="60"/>
        <v>137</v>
      </c>
    </row>
    <row r="3718" spans="1:18">
      <c r="A3718" s="26">
        <v>8567</v>
      </c>
      <c r="B3718" s="27">
        <v>38944</v>
      </c>
      <c r="C3718" s="28" t="s">
        <v>11920</v>
      </c>
      <c r="D3718" s="27">
        <v>38944</v>
      </c>
      <c r="E3718" s="28" t="s">
        <v>11921</v>
      </c>
      <c r="F3718" s="28" t="s">
        <v>4242</v>
      </c>
      <c r="G3718" s="28" t="s">
        <v>20</v>
      </c>
      <c r="H3718" s="28" t="s">
        <v>189</v>
      </c>
      <c r="I3718" s="28" t="s">
        <v>189</v>
      </c>
      <c r="J3718" s="28" t="s">
        <v>11922</v>
      </c>
      <c r="K3718" s="28" t="s">
        <v>11923</v>
      </c>
      <c r="L3718" s="28" t="s">
        <v>11089</v>
      </c>
      <c r="M3718" s="28" t="s">
        <v>21</v>
      </c>
      <c r="O3718" s="92">
        <v>38975</v>
      </c>
      <c r="P3718" s="28" t="s">
        <v>21</v>
      </c>
      <c r="Q3718" s="26" t="b">
        <v>0</v>
      </c>
      <c r="R3718" s="22">
        <f t="shared" si="60"/>
        <v>30</v>
      </c>
    </row>
    <row r="3719" spans="1:18">
      <c r="A3719" s="26">
        <v>8568</v>
      </c>
      <c r="B3719" s="27">
        <v>38944</v>
      </c>
      <c r="C3719" s="28" t="s">
        <v>11924</v>
      </c>
      <c r="D3719" s="27">
        <v>38944</v>
      </c>
      <c r="E3719" s="28" t="s">
        <v>11030</v>
      </c>
      <c r="F3719" s="28" t="s">
        <v>8522</v>
      </c>
      <c r="G3719" s="28" t="s">
        <v>20</v>
      </c>
      <c r="H3719" s="28" t="s">
        <v>189</v>
      </c>
      <c r="I3719" s="28" t="s">
        <v>212</v>
      </c>
      <c r="J3719" s="28" t="s">
        <v>11925</v>
      </c>
      <c r="K3719" s="28" t="s">
        <v>11926</v>
      </c>
      <c r="L3719" s="28" t="s">
        <v>8318</v>
      </c>
      <c r="M3719" s="28" t="s">
        <v>21</v>
      </c>
      <c r="O3719" s="92">
        <v>38944</v>
      </c>
      <c r="P3719" s="28" t="s">
        <v>21</v>
      </c>
      <c r="Q3719" s="26" t="b">
        <v>0</v>
      </c>
      <c r="R3719" s="22">
        <f t="shared" si="60"/>
        <v>0</v>
      </c>
    </row>
    <row r="3720" spans="1:18" ht="24">
      <c r="A3720" s="26">
        <v>8573</v>
      </c>
      <c r="B3720" s="27">
        <v>38945</v>
      </c>
      <c r="C3720" s="28" t="s">
        <v>11939</v>
      </c>
      <c r="D3720" s="27">
        <v>38945</v>
      </c>
      <c r="E3720" s="28" t="s">
        <v>11940</v>
      </c>
      <c r="F3720" s="28" t="s">
        <v>345</v>
      </c>
      <c r="G3720" s="28" t="s">
        <v>20</v>
      </c>
      <c r="H3720" s="28" t="s">
        <v>71</v>
      </c>
      <c r="I3720" s="28" t="s">
        <v>189</v>
      </c>
      <c r="J3720" s="28" t="s">
        <v>11941</v>
      </c>
      <c r="K3720" s="28" t="s">
        <v>11942</v>
      </c>
      <c r="L3720" s="28" t="s">
        <v>8318</v>
      </c>
      <c r="M3720" s="28" t="s">
        <v>21</v>
      </c>
      <c r="N3720" s="27">
        <v>38976</v>
      </c>
      <c r="O3720" s="92">
        <v>38958</v>
      </c>
      <c r="P3720" s="28" t="s">
        <v>21</v>
      </c>
      <c r="Q3720" s="26" t="b">
        <v>0</v>
      </c>
      <c r="R3720" s="22">
        <f t="shared" si="60"/>
        <v>13</v>
      </c>
    </row>
    <row r="3721" spans="1:18">
      <c r="A3721" s="26">
        <v>8569</v>
      </c>
      <c r="B3721" s="27">
        <v>38946</v>
      </c>
      <c r="C3721" s="28" t="s">
        <v>11927</v>
      </c>
      <c r="D3721" s="27">
        <v>38838</v>
      </c>
      <c r="E3721" s="28" t="s">
        <v>11928</v>
      </c>
      <c r="F3721" s="28" t="s">
        <v>974</v>
      </c>
      <c r="G3721" s="28" t="s">
        <v>20</v>
      </c>
      <c r="H3721" s="28" t="s">
        <v>212</v>
      </c>
      <c r="I3721" s="28" t="s">
        <v>212</v>
      </c>
      <c r="J3721" s="28" t="s">
        <v>11729</v>
      </c>
      <c r="K3721" s="28" t="s">
        <v>11929</v>
      </c>
      <c r="L3721" s="28" t="s">
        <v>1946</v>
      </c>
      <c r="M3721" s="28" t="s">
        <v>21</v>
      </c>
      <c r="N3721" s="29">
        <v>38992</v>
      </c>
      <c r="O3721" s="92">
        <v>40731</v>
      </c>
      <c r="P3721" s="28" t="s">
        <v>31</v>
      </c>
      <c r="Q3721" s="26" t="b">
        <v>1</v>
      </c>
      <c r="R3721" s="22">
        <f t="shared" si="60"/>
        <v>1784</v>
      </c>
    </row>
    <row r="3722" spans="1:18">
      <c r="A3722" s="26">
        <v>8571</v>
      </c>
      <c r="B3722" s="27">
        <v>38954</v>
      </c>
      <c r="C3722" s="28" t="s">
        <v>11930</v>
      </c>
      <c r="D3722" s="27">
        <v>38953</v>
      </c>
      <c r="E3722" s="28" t="s">
        <v>11931</v>
      </c>
      <c r="F3722" s="28" t="s">
        <v>11932</v>
      </c>
      <c r="G3722" s="28" t="s">
        <v>20</v>
      </c>
      <c r="H3722" s="28" t="s">
        <v>212</v>
      </c>
      <c r="I3722" s="28" t="s">
        <v>212</v>
      </c>
      <c r="J3722" s="28" t="s">
        <v>11933</v>
      </c>
      <c r="K3722" s="28" t="s">
        <v>11934</v>
      </c>
      <c r="L3722" s="28" t="s">
        <v>1946</v>
      </c>
      <c r="M3722" s="28" t="s">
        <v>21</v>
      </c>
      <c r="N3722" s="27">
        <v>38984</v>
      </c>
      <c r="O3722" s="92">
        <v>39024</v>
      </c>
      <c r="P3722" s="28" t="s">
        <v>31</v>
      </c>
      <c r="Q3722" s="26" t="b">
        <v>1</v>
      </c>
      <c r="R3722" s="22">
        <f t="shared" si="60"/>
        <v>68</v>
      </c>
    </row>
    <row r="3723" spans="1:18">
      <c r="A3723" s="26">
        <v>8572</v>
      </c>
      <c r="B3723" s="27">
        <v>38954</v>
      </c>
      <c r="C3723" s="28" t="s">
        <v>11935</v>
      </c>
      <c r="D3723" s="27">
        <v>38953</v>
      </c>
      <c r="E3723" s="28" t="s">
        <v>11936</v>
      </c>
      <c r="F3723" s="28" t="s">
        <v>974</v>
      </c>
      <c r="G3723" s="28" t="s">
        <v>20</v>
      </c>
      <c r="H3723" s="28" t="s">
        <v>212</v>
      </c>
      <c r="I3723" s="28" t="s">
        <v>212</v>
      </c>
      <c r="J3723" s="28" t="s">
        <v>11937</v>
      </c>
      <c r="K3723" s="28" t="s">
        <v>11938</v>
      </c>
      <c r="L3723" s="28" t="s">
        <v>10871</v>
      </c>
      <c r="M3723" s="28" t="s">
        <v>21</v>
      </c>
      <c r="N3723" s="27">
        <v>38984</v>
      </c>
      <c r="O3723" s="92">
        <v>39071</v>
      </c>
      <c r="P3723" s="28" t="s">
        <v>31</v>
      </c>
      <c r="Q3723" s="26" t="b">
        <v>1</v>
      </c>
      <c r="R3723" s="22">
        <f t="shared" si="60"/>
        <v>116</v>
      </c>
    </row>
    <row r="3724" spans="1:18">
      <c r="A3724" s="26">
        <v>8574</v>
      </c>
      <c r="B3724" s="27">
        <v>38954</v>
      </c>
      <c r="C3724" s="28" t="s">
        <v>11943</v>
      </c>
      <c r="D3724" s="27">
        <v>38954</v>
      </c>
      <c r="E3724" s="28" t="s">
        <v>11944</v>
      </c>
      <c r="F3724" s="28" t="s">
        <v>1047</v>
      </c>
      <c r="G3724" s="28" t="s">
        <v>20</v>
      </c>
      <c r="H3724" s="28" t="s">
        <v>71</v>
      </c>
      <c r="I3724" s="28" t="s">
        <v>72</v>
      </c>
      <c r="J3724" s="28" t="s">
        <v>11945</v>
      </c>
      <c r="K3724" s="28" t="s">
        <v>10416</v>
      </c>
      <c r="L3724" s="28" t="s">
        <v>1946</v>
      </c>
      <c r="M3724" s="28" t="s">
        <v>21</v>
      </c>
      <c r="N3724" s="27">
        <v>39046</v>
      </c>
      <c r="O3724" s="92">
        <v>38974</v>
      </c>
      <c r="P3724" s="28" t="s">
        <v>21</v>
      </c>
      <c r="Q3724" s="26" t="b">
        <v>0</v>
      </c>
      <c r="R3724" s="22">
        <f t="shared" si="60"/>
        <v>19</v>
      </c>
    </row>
    <row r="3725" spans="1:18" ht="24">
      <c r="A3725" s="26">
        <v>8575</v>
      </c>
      <c r="B3725" s="27">
        <v>38954</v>
      </c>
      <c r="C3725" s="28" t="s">
        <v>11946</v>
      </c>
      <c r="D3725" s="27">
        <v>38954</v>
      </c>
      <c r="E3725" s="28" t="s">
        <v>11947</v>
      </c>
      <c r="F3725" s="28" t="s">
        <v>11948</v>
      </c>
      <c r="G3725" s="28" t="s">
        <v>20</v>
      </c>
      <c r="H3725" s="28" t="s">
        <v>71</v>
      </c>
      <c r="I3725" s="28" t="s">
        <v>72</v>
      </c>
      <c r="J3725" s="28" t="s">
        <v>11949</v>
      </c>
      <c r="K3725" s="28" t="s">
        <v>7150</v>
      </c>
      <c r="L3725" s="28" t="s">
        <v>4579</v>
      </c>
      <c r="M3725" s="28" t="s">
        <v>21</v>
      </c>
      <c r="N3725" s="29">
        <v>39046</v>
      </c>
      <c r="O3725" s="92">
        <v>39827</v>
      </c>
      <c r="P3725" s="28" t="s">
        <v>21</v>
      </c>
      <c r="Q3725" s="26" t="b">
        <v>0</v>
      </c>
      <c r="R3725" s="22">
        <f t="shared" si="60"/>
        <v>870</v>
      </c>
    </row>
    <row r="3726" spans="1:18">
      <c r="A3726" s="26">
        <v>8576</v>
      </c>
      <c r="B3726" s="27">
        <v>38958</v>
      </c>
      <c r="C3726" s="28" t="s">
        <v>11950</v>
      </c>
      <c r="D3726" s="27">
        <v>38943</v>
      </c>
      <c r="E3726" s="28" t="s">
        <v>11951</v>
      </c>
      <c r="F3726" s="28" t="s">
        <v>5690</v>
      </c>
      <c r="G3726" s="28" t="s">
        <v>20</v>
      </c>
      <c r="H3726" s="28" t="s">
        <v>71</v>
      </c>
      <c r="I3726" s="28" t="s">
        <v>72</v>
      </c>
      <c r="J3726" s="28" t="s">
        <v>11952</v>
      </c>
      <c r="K3726" s="28" t="s">
        <v>11953</v>
      </c>
      <c r="L3726" s="28" t="s">
        <v>8318</v>
      </c>
      <c r="M3726" s="28" t="s">
        <v>21</v>
      </c>
      <c r="O3726" s="92">
        <v>38943</v>
      </c>
      <c r="P3726" s="28" t="s">
        <v>21</v>
      </c>
      <c r="Q3726" s="26" t="b">
        <v>0</v>
      </c>
      <c r="R3726" s="22">
        <f t="shared" si="60"/>
        <v>15</v>
      </c>
    </row>
    <row r="3727" spans="1:18">
      <c r="A3727" s="26">
        <v>8577</v>
      </c>
      <c r="B3727" s="27">
        <v>38966</v>
      </c>
      <c r="C3727" s="28" t="s">
        <v>11954</v>
      </c>
      <c r="D3727" s="27">
        <v>38964</v>
      </c>
      <c r="E3727" s="28" t="s">
        <v>38</v>
      </c>
      <c r="F3727" s="28" t="s">
        <v>124</v>
      </c>
      <c r="G3727" s="28" t="s">
        <v>20</v>
      </c>
      <c r="H3727" s="28" t="s">
        <v>71</v>
      </c>
      <c r="I3727" s="28" t="s">
        <v>72</v>
      </c>
      <c r="J3727" s="28" t="s">
        <v>11955</v>
      </c>
      <c r="K3727" s="28" t="s">
        <v>11956</v>
      </c>
      <c r="L3727" s="28" t="s">
        <v>11155</v>
      </c>
      <c r="M3727" s="28" t="s">
        <v>21</v>
      </c>
      <c r="O3727" s="92">
        <v>38966</v>
      </c>
      <c r="P3727" s="28" t="s">
        <v>21</v>
      </c>
      <c r="Q3727" s="26" t="b">
        <v>0</v>
      </c>
      <c r="R3727" s="22">
        <f t="shared" si="60"/>
        <v>0</v>
      </c>
    </row>
    <row r="3728" spans="1:18" ht="24">
      <c r="A3728" s="26">
        <v>8579</v>
      </c>
      <c r="B3728" s="27">
        <v>38968</v>
      </c>
      <c r="C3728" s="28" t="s">
        <v>11957</v>
      </c>
      <c r="D3728" s="27">
        <v>38967</v>
      </c>
      <c r="E3728" s="28" t="s">
        <v>11958</v>
      </c>
      <c r="F3728" s="28" t="s">
        <v>52</v>
      </c>
      <c r="G3728" s="28" t="s">
        <v>20</v>
      </c>
      <c r="H3728" s="28" t="s">
        <v>71</v>
      </c>
      <c r="I3728" s="28" t="s">
        <v>72</v>
      </c>
      <c r="J3728" s="28" t="s">
        <v>11959</v>
      </c>
      <c r="K3728" s="28" t="s">
        <v>21</v>
      </c>
      <c r="L3728" s="28" t="s">
        <v>10871</v>
      </c>
      <c r="M3728" s="28" t="s">
        <v>21</v>
      </c>
      <c r="N3728" s="27">
        <v>38997</v>
      </c>
      <c r="O3728" s="92">
        <v>39070</v>
      </c>
      <c r="P3728" s="28" t="s">
        <v>31</v>
      </c>
      <c r="Q3728" s="26" t="b">
        <v>1</v>
      </c>
      <c r="R3728" s="22">
        <f t="shared" si="60"/>
        <v>102</v>
      </c>
    </row>
    <row r="3729" spans="1:18">
      <c r="A3729" s="26">
        <v>8580</v>
      </c>
      <c r="B3729" s="27">
        <v>38971</v>
      </c>
      <c r="C3729" s="28" t="s">
        <v>11960</v>
      </c>
      <c r="D3729" s="27">
        <v>38969</v>
      </c>
      <c r="E3729" s="28" t="s">
        <v>11961</v>
      </c>
      <c r="F3729" s="28" t="s">
        <v>5690</v>
      </c>
      <c r="G3729" s="28" t="s">
        <v>20</v>
      </c>
      <c r="H3729" s="28" t="s">
        <v>71</v>
      </c>
      <c r="I3729" s="28" t="s">
        <v>72</v>
      </c>
      <c r="J3729" s="28" t="s">
        <v>11962</v>
      </c>
      <c r="K3729" s="28" t="s">
        <v>11963</v>
      </c>
      <c r="L3729" s="28" t="s">
        <v>10871</v>
      </c>
      <c r="M3729" s="28" t="s">
        <v>21</v>
      </c>
      <c r="N3729" s="18"/>
      <c r="O3729" s="92">
        <v>38971</v>
      </c>
      <c r="P3729" s="28" t="s">
        <v>31</v>
      </c>
      <c r="Q3729" s="26" t="b">
        <v>1</v>
      </c>
      <c r="R3729" s="22">
        <f t="shared" si="60"/>
        <v>0</v>
      </c>
    </row>
    <row r="3730" spans="1:18">
      <c r="A3730" s="26">
        <v>8581</v>
      </c>
      <c r="B3730" s="27">
        <v>38971</v>
      </c>
      <c r="C3730" s="28" t="s">
        <v>11964</v>
      </c>
      <c r="D3730" s="27">
        <v>38968</v>
      </c>
      <c r="E3730" s="28" t="s">
        <v>11965</v>
      </c>
      <c r="F3730" s="28" t="s">
        <v>149</v>
      </c>
      <c r="G3730" s="28" t="s">
        <v>20</v>
      </c>
      <c r="H3730" s="28" t="s">
        <v>71</v>
      </c>
      <c r="I3730" s="28" t="s">
        <v>72</v>
      </c>
      <c r="J3730" s="28" t="s">
        <v>11966</v>
      </c>
      <c r="K3730" s="28" t="s">
        <v>11967</v>
      </c>
      <c r="L3730" s="28" t="s">
        <v>4579</v>
      </c>
      <c r="M3730" s="28" t="s">
        <v>21</v>
      </c>
      <c r="N3730" s="27">
        <v>39001</v>
      </c>
      <c r="O3730" s="92">
        <v>38985</v>
      </c>
      <c r="P3730" s="28" t="s">
        <v>31</v>
      </c>
      <c r="Q3730" s="26" t="b">
        <v>1</v>
      </c>
      <c r="R3730" s="22">
        <f t="shared" si="60"/>
        <v>14</v>
      </c>
    </row>
    <row r="3731" spans="1:18">
      <c r="A3731" s="26">
        <v>8583</v>
      </c>
      <c r="B3731" s="27">
        <v>38972</v>
      </c>
      <c r="C3731" s="28" t="s">
        <v>11968</v>
      </c>
      <c r="D3731" s="27">
        <v>38959</v>
      </c>
      <c r="E3731" s="28" t="s">
        <v>11969</v>
      </c>
      <c r="F3731" s="28" t="s">
        <v>56</v>
      </c>
      <c r="G3731" s="28" t="s">
        <v>20</v>
      </c>
      <c r="H3731" s="28" t="s">
        <v>71</v>
      </c>
      <c r="I3731" s="28" t="s">
        <v>72</v>
      </c>
      <c r="J3731" s="28" t="s">
        <v>11970</v>
      </c>
      <c r="K3731" s="28" t="s">
        <v>11971</v>
      </c>
      <c r="L3731" s="28" t="s">
        <v>3588</v>
      </c>
      <c r="M3731" s="28" t="s">
        <v>4282</v>
      </c>
      <c r="N3731" s="29">
        <v>39005</v>
      </c>
      <c r="O3731" s="92">
        <v>40956</v>
      </c>
      <c r="P3731" s="28" t="s">
        <v>31</v>
      </c>
      <c r="Q3731" s="26" t="b">
        <v>1</v>
      </c>
      <c r="R3731" s="22">
        <f t="shared" si="60"/>
        <v>1982</v>
      </c>
    </row>
    <row r="3732" spans="1:18">
      <c r="A3732" s="26">
        <v>8584</v>
      </c>
      <c r="B3732" s="27">
        <v>38973</v>
      </c>
      <c r="C3732" s="28" t="s">
        <v>11972</v>
      </c>
      <c r="D3732" s="27">
        <v>38973</v>
      </c>
      <c r="E3732" s="28" t="s">
        <v>11973</v>
      </c>
      <c r="F3732" s="28" t="s">
        <v>6953</v>
      </c>
      <c r="G3732" s="28" t="s">
        <v>20</v>
      </c>
      <c r="H3732" s="28" t="s">
        <v>71</v>
      </c>
      <c r="I3732" s="28" t="s">
        <v>189</v>
      </c>
      <c r="J3732" s="28" t="s">
        <v>11974</v>
      </c>
      <c r="K3732" s="28" t="s">
        <v>4690</v>
      </c>
      <c r="L3732" s="28" t="s">
        <v>3588</v>
      </c>
      <c r="M3732" s="28" t="s">
        <v>11975</v>
      </c>
      <c r="N3732" s="29">
        <v>39018</v>
      </c>
      <c r="O3732" s="92">
        <v>39927</v>
      </c>
      <c r="P3732" s="28" t="s">
        <v>21</v>
      </c>
      <c r="Q3732" s="26" t="b">
        <v>0</v>
      </c>
      <c r="R3732" s="22">
        <f t="shared" si="60"/>
        <v>954</v>
      </c>
    </row>
    <row r="3733" spans="1:18">
      <c r="A3733" s="26">
        <v>8586</v>
      </c>
      <c r="B3733" s="27">
        <v>38973</v>
      </c>
      <c r="C3733" s="28" t="s">
        <v>11978</v>
      </c>
      <c r="D3733" s="27">
        <v>38973</v>
      </c>
      <c r="E3733" s="28" t="s">
        <v>38</v>
      </c>
      <c r="F3733" s="28" t="s">
        <v>11843</v>
      </c>
      <c r="G3733" s="28" t="s">
        <v>20</v>
      </c>
      <c r="H3733" s="28" t="s">
        <v>71</v>
      </c>
      <c r="I3733" s="28" t="s">
        <v>72</v>
      </c>
      <c r="J3733" s="28" t="s">
        <v>11979</v>
      </c>
      <c r="K3733" s="28" t="s">
        <v>21</v>
      </c>
      <c r="L3733" s="28" t="s">
        <v>8318</v>
      </c>
      <c r="M3733" s="28" t="s">
        <v>21</v>
      </c>
      <c r="O3733" s="92">
        <v>38973</v>
      </c>
      <c r="P3733" s="28" t="s">
        <v>21</v>
      </c>
      <c r="Q3733" s="26" t="b">
        <v>0</v>
      </c>
      <c r="R3733" s="22">
        <f t="shared" si="60"/>
        <v>0</v>
      </c>
    </row>
    <row r="3734" spans="1:18">
      <c r="A3734" s="26">
        <v>8585</v>
      </c>
      <c r="B3734" s="27">
        <v>38974</v>
      </c>
      <c r="C3734" s="28" t="s">
        <v>11976</v>
      </c>
      <c r="D3734" s="27">
        <v>38968</v>
      </c>
      <c r="E3734" s="28" t="s">
        <v>11030</v>
      </c>
      <c r="F3734" s="28" t="s">
        <v>11207</v>
      </c>
      <c r="G3734" s="28" t="s">
        <v>20</v>
      </c>
      <c r="H3734" s="28" t="s">
        <v>71</v>
      </c>
      <c r="I3734" s="28" t="s">
        <v>72</v>
      </c>
      <c r="J3734" s="28" t="s">
        <v>7071</v>
      </c>
      <c r="K3734" s="28" t="s">
        <v>11977</v>
      </c>
      <c r="L3734" s="28" t="s">
        <v>8318</v>
      </c>
      <c r="M3734" s="28" t="s">
        <v>21</v>
      </c>
      <c r="N3734" s="18"/>
      <c r="O3734" s="92">
        <v>38980</v>
      </c>
      <c r="P3734" s="28" t="s">
        <v>21</v>
      </c>
      <c r="Q3734" s="26" t="b">
        <v>0</v>
      </c>
      <c r="R3734" s="22">
        <f t="shared" si="60"/>
        <v>6</v>
      </c>
    </row>
    <row r="3735" spans="1:18">
      <c r="A3735" s="26">
        <v>8587</v>
      </c>
      <c r="B3735" s="27">
        <v>38975</v>
      </c>
      <c r="C3735" s="28" t="s">
        <v>11980</v>
      </c>
      <c r="D3735" s="27">
        <v>38975</v>
      </c>
      <c r="E3735" s="28" t="s">
        <v>11030</v>
      </c>
      <c r="F3735" s="28" t="s">
        <v>56</v>
      </c>
      <c r="G3735" s="28" t="s">
        <v>20</v>
      </c>
      <c r="H3735" s="28" t="s">
        <v>71</v>
      </c>
      <c r="I3735" s="28" t="s">
        <v>72</v>
      </c>
      <c r="J3735" s="28" t="s">
        <v>11981</v>
      </c>
      <c r="K3735" s="28" t="s">
        <v>11982</v>
      </c>
      <c r="L3735" s="28" t="s">
        <v>8318</v>
      </c>
      <c r="M3735" s="28" t="s">
        <v>21</v>
      </c>
      <c r="N3735" s="18"/>
      <c r="O3735" s="92">
        <v>39085</v>
      </c>
      <c r="P3735" s="28" t="s">
        <v>31</v>
      </c>
      <c r="Q3735" s="26" t="b">
        <v>0</v>
      </c>
      <c r="R3735" s="22">
        <f t="shared" si="60"/>
        <v>109</v>
      </c>
    </row>
    <row r="3736" spans="1:18">
      <c r="A3736" s="26">
        <v>8589</v>
      </c>
      <c r="B3736" s="27">
        <v>38979</v>
      </c>
      <c r="C3736" s="28" t="s">
        <v>11983</v>
      </c>
      <c r="D3736" s="27">
        <v>38967</v>
      </c>
      <c r="E3736" s="28" t="s">
        <v>11984</v>
      </c>
      <c r="F3736" s="28" t="s">
        <v>124</v>
      </c>
      <c r="G3736" s="28" t="s">
        <v>20</v>
      </c>
      <c r="H3736" s="28" t="s">
        <v>71</v>
      </c>
      <c r="I3736" s="28" t="s">
        <v>72</v>
      </c>
      <c r="J3736" s="28" t="s">
        <v>11985</v>
      </c>
      <c r="K3736" s="28" t="s">
        <v>5248</v>
      </c>
      <c r="L3736" s="28" t="s">
        <v>4282</v>
      </c>
      <c r="M3736" s="28" t="s">
        <v>21</v>
      </c>
      <c r="N3736" s="27">
        <v>39009</v>
      </c>
      <c r="O3736" s="92">
        <v>38988</v>
      </c>
      <c r="P3736" s="28" t="s">
        <v>31</v>
      </c>
      <c r="Q3736" s="26" t="b">
        <v>1</v>
      </c>
      <c r="R3736" s="22">
        <f t="shared" si="60"/>
        <v>9</v>
      </c>
    </row>
    <row r="3737" spans="1:18">
      <c r="A3737" s="26">
        <v>8590</v>
      </c>
      <c r="B3737" s="27">
        <v>38980</v>
      </c>
      <c r="C3737" s="28" t="s">
        <v>11986</v>
      </c>
      <c r="D3737" s="27">
        <v>38978</v>
      </c>
      <c r="E3737" s="28" t="s">
        <v>11987</v>
      </c>
      <c r="F3737" s="28" t="s">
        <v>39</v>
      </c>
      <c r="G3737" s="28" t="s">
        <v>20</v>
      </c>
      <c r="H3737" s="28" t="s">
        <v>71</v>
      </c>
      <c r="I3737" s="28" t="s">
        <v>72</v>
      </c>
      <c r="J3737" s="28" t="s">
        <v>11576</v>
      </c>
      <c r="K3737" s="28" t="s">
        <v>11988</v>
      </c>
      <c r="L3737" s="28" t="s">
        <v>4579</v>
      </c>
      <c r="M3737" s="28" t="s">
        <v>21</v>
      </c>
      <c r="N3737" s="29">
        <v>39070</v>
      </c>
      <c r="O3737" s="92">
        <v>39098</v>
      </c>
      <c r="P3737" s="28" t="s">
        <v>21</v>
      </c>
      <c r="Q3737" s="26" t="b">
        <v>0</v>
      </c>
      <c r="R3737" s="22">
        <f t="shared" ref="R3737:R3800" si="61">IF(O3737=" ", " ", INT(YEARFRAC(O3737, B3737)*365))</f>
        <v>117</v>
      </c>
    </row>
    <row r="3738" spans="1:18">
      <c r="A3738" s="26">
        <v>8591</v>
      </c>
      <c r="B3738" s="27">
        <v>38981</v>
      </c>
      <c r="C3738" s="28" t="s">
        <v>11989</v>
      </c>
      <c r="D3738" s="27">
        <v>38980</v>
      </c>
      <c r="E3738" s="28" t="s">
        <v>11030</v>
      </c>
      <c r="F3738" s="28" t="s">
        <v>11990</v>
      </c>
      <c r="G3738" s="28" t="s">
        <v>20</v>
      </c>
      <c r="H3738" s="28" t="s">
        <v>71</v>
      </c>
      <c r="I3738" s="28" t="s">
        <v>72</v>
      </c>
      <c r="J3738" s="28" t="s">
        <v>11991</v>
      </c>
      <c r="K3738" s="28" t="s">
        <v>11992</v>
      </c>
      <c r="L3738" s="28" t="s">
        <v>8318</v>
      </c>
      <c r="M3738" s="28" t="s">
        <v>21</v>
      </c>
      <c r="N3738" s="27">
        <v>39001</v>
      </c>
      <c r="O3738" s="92">
        <v>39001</v>
      </c>
      <c r="P3738" s="28" t="s">
        <v>21</v>
      </c>
      <c r="Q3738" s="26" t="b">
        <v>0</v>
      </c>
      <c r="R3738" s="22">
        <f t="shared" si="61"/>
        <v>20</v>
      </c>
    </row>
    <row r="3739" spans="1:18">
      <c r="A3739" s="26">
        <v>8592</v>
      </c>
      <c r="B3739" s="27">
        <v>38981</v>
      </c>
      <c r="C3739" s="28" t="s">
        <v>11993</v>
      </c>
      <c r="D3739" s="27">
        <v>38980</v>
      </c>
      <c r="E3739" s="28" t="s">
        <v>38</v>
      </c>
      <c r="F3739" s="28" t="s">
        <v>6372</v>
      </c>
      <c r="G3739" s="28" t="s">
        <v>20</v>
      </c>
      <c r="H3739" s="28" t="s">
        <v>71</v>
      </c>
      <c r="I3739" s="28" t="s">
        <v>72</v>
      </c>
      <c r="J3739" s="28" t="s">
        <v>11994</v>
      </c>
      <c r="K3739" s="28" t="s">
        <v>7494</v>
      </c>
      <c r="L3739" s="28" t="s">
        <v>10871</v>
      </c>
      <c r="M3739" s="28" t="s">
        <v>21</v>
      </c>
      <c r="O3739" s="92">
        <v>38981</v>
      </c>
      <c r="P3739" s="28" t="s">
        <v>31</v>
      </c>
      <c r="Q3739" s="26" t="b">
        <v>1</v>
      </c>
      <c r="R3739" s="22">
        <f t="shared" si="61"/>
        <v>0</v>
      </c>
    </row>
    <row r="3740" spans="1:18">
      <c r="A3740" s="26">
        <v>8593</v>
      </c>
      <c r="B3740" s="27">
        <v>38981</v>
      </c>
      <c r="C3740" s="28" t="s">
        <v>11995</v>
      </c>
      <c r="D3740" s="27">
        <v>38979</v>
      </c>
      <c r="E3740" s="28" t="s">
        <v>11996</v>
      </c>
      <c r="F3740" s="28" t="s">
        <v>52</v>
      </c>
      <c r="G3740" s="28" t="s">
        <v>20</v>
      </c>
      <c r="H3740" s="28" t="s">
        <v>71</v>
      </c>
      <c r="I3740" s="28" t="s">
        <v>72</v>
      </c>
      <c r="J3740" s="28" t="s">
        <v>11997</v>
      </c>
      <c r="K3740" s="28" t="s">
        <v>21</v>
      </c>
      <c r="L3740" s="28" t="s">
        <v>11155</v>
      </c>
      <c r="M3740" s="28" t="s">
        <v>21</v>
      </c>
      <c r="O3740" s="92">
        <v>38981</v>
      </c>
      <c r="P3740" s="28" t="s">
        <v>31</v>
      </c>
      <c r="Q3740" s="26" t="b">
        <v>1</v>
      </c>
      <c r="R3740" s="22">
        <f t="shared" si="61"/>
        <v>0</v>
      </c>
    </row>
    <row r="3741" spans="1:18">
      <c r="A3741" s="26">
        <v>8594</v>
      </c>
      <c r="B3741" s="27">
        <v>38982</v>
      </c>
      <c r="C3741" s="28" t="s">
        <v>11998</v>
      </c>
      <c r="D3741" s="27">
        <v>38978</v>
      </c>
      <c r="E3741" s="28" t="s">
        <v>11999</v>
      </c>
      <c r="F3741" s="28" t="s">
        <v>6953</v>
      </c>
      <c r="G3741" s="28" t="s">
        <v>20</v>
      </c>
      <c r="H3741" s="28" t="s">
        <v>71</v>
      </c>
      <c r="I3741" s="28" t="s">
        <v>72</v>
      </c>
      <c r="J3741" s="28" t="s">
        <v>12000</v>
      </c>
      <c r="K3741" s="28" t="s">
        <v>12001</v>
      </c>
      <c r="L3741" s="28" t="s">
        <v>10871</v>
      </c>
      <c r="M3741" s="28" t="s">
        <v>21</v>
      </c>
      <c r="N3741" s="18"/>
      <c r="O3741" s="92">
        <v>38982</v>
      </c>
      <c r="P3741" s="28" t="s">
        <v>31</v>
      </c>
      <c r="Q3741" s="26" t="b">
        <v>1</v>
      </c>
      <c r="R3741" s="22">
        <f t="shared" si="61"/>
        <v>0</v>
      </c>
    </row>
    <row r="3742" spans="1:18">
      <c r="A3742" s="26">
        <v>8595</v>
      </c>
      <c r="B3742" s="27">
        <v>38985</v>
      </c>
      <c r="C3742" s="28" t="s">
        <v>12002</v>
      </c>
      <c r="D3742" s="27">
        <v>38985</v>
      </c>
      <c r="E3742" s="28" t="s">
        <v>12003</v>
      </c>
      <c r="F3742" s="28" t="s">
        <v>39</v>
      </c>
      <c r="G3742" s="28" t="s">
        <v>11905</v>
      </c>
      <c r="H3742" s="28" t="s">
        <v>71</v>
      </c>
      <c r="I3742" s="28" t="s">
        <v>72</v>
      </c>
      <c r="J3742" s="28" t="s">
        <v>12004</v>
      </c>
      <c r="K3742" s="28" t="s">
        <v>11576</v>
      </c>
      <c r="L3742" s="28" t="s">
        <v>4579</v>
      </c>
      <c r="M3742" s="28" t="s">
        <v>21</v>
      </c>
      <c r="N3742" s="27">
        <v>39031</v>
      </c>
      <c r="O3742" s="92">
        <v>39126</v>
      </c>
      <c r="P3742" s="28" t="s">
        <v>31</v>
      </c>
      <c r="Q3742" s="26" t="b">
        <v>1</v>
      </c>
      <c r="R3742" s="22">
        <f t="shared" si="61"/>
        <v>139</v>
      </c>
    </row>
    <row r="3743" spans="1:18">
      <c r="A3743" s="26">
        <v>8596</v>
      </c>
      <c r="B3743" s="27">
        <v>38987</v>
      </c>
      <c r="C3743" s="28" t="s">
        <v>12005</v>
      </c>
      <c r="D3743" s="27">
        <v>38987</v>
      </c>
      <c r="E3743" s="28" t="s">
        <v>12006</v>
      </c>
      <c r="F3743" s="28" t="s">
        <v>5690</v>
      </c>
      <c r="G3743" s="28" t="s">
        <v>20</v>
      </c>
      <c r="H3743" s="28" t="s">
        <v>71</v>
      </c>
      <c r="I3743" s="28" t="s">
        <v>72</v>
      </c>
      <c r="J3743" s="28" t="s">
        <v>12007</v>
      </c>
      <c r="K3743" s="28" t="s">
        <v>12008</v>
      </c>
      <c r="L3743" s="28" t="s">
        <v>8318</v>
      </c>
      <c r="M3743" s="28" t="s">
        <v>21</v>
      </c>
      <c r="N3743" s="27">
        <v>39078</v>
      </c>
      <c r="O3743" s="92">
        <v>38992</v>
      </c>
      <c r="P3743" s="28" t="s">
        <v>21</v>
      </c>
      <c r="Q3743" s="26" t="b">
        <v>0</v>
      </c>
      <c r="R3743" s="22">
        <f t="shared" si="61"/>
        <v>5</v>
      </c>
    </row>
    <row r="3744" spans="1:18">
      <c r="A3744" s="26">
        <v>8599</v>
      </c>
      <c r="B3744" s="27">
        <v>38988</v>
      </c>
      <c r="C3744" s="28" t="s">
        <v>12016</v>
      </c>
      <c r="D3744" s="27">
        <v>38988</v>
      </c>
      <c r="E3744" s="28" t="s">
        <v>12017</v>
      </c>
      <c r="F3744" s="28" t="s">
        <v>283</v>
      </c>
      <c r="G3744" s="28" t="s">
        <v>20</v>
      </c>
      <c r="H3744" s="28" t="s">
        <v>71</v>
      </c>
      <c r="I3744" s="28" t="s">
        <v>72</v>
      </c>
      <c r="J3744" s="28" t="s">
        <v>11189</v>
      </c>
      <c r="K3744" s="28" t="s">
        <v>8828</v>
      </c>
      <c r="L3744" s="28" t="s">
        <v>4282</v>
      </c>
      <c r="M3744" s="28" t="s">
        <v>21</v>
      </c>
      <c r="N3744" s="27">
        <v>39079</v>
      </c>
      <c r="O3744" s="92">
        <v>39777</v>
      </c>
      <c r="P3744" s="28" t="s">
        <v>21</v>
      </c>
      <c r="Q3744" s="26" t="b">
        <v>0</v>
      </c>
      <c r="R3744" s="22">
        <f t="shared" si="61"/>
        <v>787</v>
      </c>
    </row>
    <row r="3745" spans="1:18" ht="24">
      <c r="A3745" s="26">
        <v>8597</v>
      </c>
      <c r="B3745" s="27">
        <v>38989</v>
      </c>
      <c r="C3745" s="28" t="s">
        <v>12009</v>
      </c>
      <c r="D3745" s="27">
        <v>38989</v>
      </c>
      <c r="E3745" s="28" t="s">
        <v>12010</v>
      </c>
      <c r="F3745" s="28" t="s">
        <v>39</v>
      </c>
      <c r="G3745" s="28" t="s">
        <v>20</v>
      </c>
      <c r="H3745" s="28" t="s">
        <v>71</v>
      </c>
      <c r="I3745" s="28" t="s">
        <v>72</v>
      </c>
      <c r="J3745" s="28" t="s">
        <v>12011</v>
      </c>
      <c r="K3745" s="28" t="s">
        <v>12012</v>
      </c>
      <c r="L3745" s="28" t="s">
        <v>3588</v>
      </c>
      <c r="M3745" s="28" t="s">
        <v>11975</v>
      </c>
      <c r="N3745" s="27">
        <v>39080</v>
      </c>
      <c r="O3745" s="92">
        <v>39699</v>
      </c>
      <c r="P3745" s="28" t="s">
        <v>21</v>
      </c>
      <c r="Q3745" s="26" t="b">
        <v>0</v>
      </c>
      <c r="R3745" s="22">
        <f t="shared" si="61"/>
        <v>708</v>
      </c>
    </row>
    <row r="3746" spans="1:18">
      <c r="A3746" s="26">
        <v>8601</v>
      </c>
      <c r="B3746" s="27">
        <v>38989</v>
      </c>
      <c r="C3746" s="28" t="s">
        <v>12021</v>
      </c>
      <c r="D3746" s="27">
        <v>38981</v>
      </c>
      <c r="E3746" s="28" t="s">
        <v>38</v>
      </c>
      <c r="F3746" s="28" t="s">
        <v>242</v>
      </c>
      <c r="G3746" s="28" t="s">
        <v>20</v>
      </c>
      <c r="H3746" s="28" t="s">
        <v>71</v>
      </c>
      <c r="I3746" s="28" t="s">
        <v>72</v>
      </c>
      <c r="J3746" s="28" t="s">
        <v>12022</v>
      </c>
      <c r="K3746" s="28" t="s">
        <v>9767</v>
      </c>
      <c r="L3746" s="28" t="s">
        <v>8318</v>
      </c>
      <c r="M3746" s="28" t="s">
        <v>21</v>
      </c>
      <c r="O3746" s="92">
        <v>38993</v>
      </c>
      <c r="P3746" s="28" t="s">
        <v>21</v>
      </c>
      <c r="Q3746" s="26" t="b">
        <v>0</v>
      </c>
      <c r="R3746" s="22">
        <f t="shared" si="61"/>
        <v>4</v>
      </c>
    </row>
    <row r="3747" spans="1:18" ht="24">
      <c r="A3747" s="26">
        <v>8598</v>
      </c>
      <c r="B3747" s="27">
        <v>38993</v>
      </c>
      <c r="C3747" s="28" t="s">
        <v>12013</v>
      </c>
      <c r="D3747" s="27">
        <v>38989</v>
      </c>
      <c r="E3747" s="28" t="s">
        <v>38</v>
      </c>
      <c r="F3747" s="28" t="s">
        <v>8615</v>
      </c>
      <c r="G3747" s="28" t="s">
        <v>11905</v>
      </c>
      <c r="H3747" s="28" t="s">
        <v>71</v>
      </c>
      <c r="I3747" s="28" t="s">
        <v>72</v>
      </c>
      <c r="J3747" s="28" t="s">
        <v>12014</v>
      </c>
      <c r="K3747" s="28" t="s">
        <v>12015</v>
      </c>
      <c r="L3747" s="28" t="s">
        <v>8318</v>
      </c>
      <c r="M3747" s="28" t="s">
        <v>21</v>
      </c>
      <c r="N3747" s="18"/>
      <c r="O3747" s="92">
        <v>38992</v>
      </c>
      <c r="P3747" s="28" t="s">
        <v>21</v>
      </c>
      <c r="Q3747" s="26" t="b">
        <v>0</v>
      </c>
      <c r="R3747" s="22">
        <f t="shared" si="61"/>
        <v>1</v>
      </c>
    </row>
    <row r="3748" spans="1:18">
      <c r="A3748" s="26">
        <v>8600</v>
      </c>
      <c r="B3748" s="27">
        <v>38993</v>
      </c>
      <c r="C3748" s="28" t="s">
        <v>12018</v>
      </c>
      <c r="D3748" s="27">
        <v>38992</v>
      </c>
      <c r="E3748" s="28" t="s">
        <v>38</v>
      </c>
      <c r="F3748" s="28" t="s">
        <v>6953</v>
      </c>
      <c r="G3748" s="28" t="s">
        <v>11905</v>
      </c>
      <c r="H3748" s="28" t="s">
        <v>71</v>
      </c>
      <c r="I3748" s="28" t="s">
        <v>72</v>
      </c>
      <c r="J3748" s="28" t="s">
        <v>12019</v>
      </c>
      <c r="K3748" s="28" t="s">
        <v>12020</v>
      </c>
      <c r="L3748" s="28" t="s">
        <v>10871</v>
      </c>
      <c r="M3748" s="28" t="s">
        <v>21</v>
      </c>
      <c r="O3748" s="92">
        <v>38994</v>
      </c>
      <c r="P3748" s="28" t="s">
        <v>31</v>
      </c>
      <c r="Q3748" s="26" t="b">
        <v>1</v>
      </c>
      <c r="R3748" s="22">
        <f t="shared" si="61"/>
        <v>1</v>
      </c>
    </row>
    <row r="3749" spans="1:18">
      <c r="A3749" s="26">
        <v>8602</v>
      </c>
      <c r="B3749" s="27">
        <v>38994</v>
      </c>
      <c r="C3749" s="28" t="s">
        <v>12023</v>
      </c>
      <c r="D3749" s="27">
        <v>38847</v>
      </c>
      <c r="E3749" s="28" t="s">
        <v>12024</v>
      </c>
      <c r="F3749" s="28" t="s">
        <v>11752</v>
      </c>
      <c r="G3749" s="28" t="s">
        <v>20</v>
      </c>
      <c r="H3749" s="28" t="s">
        <v>71</v>
      </c>
      <c r="I3749" s="28" t="s">
        <v>72</v>
      </c>
      <c r="J3749" s="28" t="s">
        <v>11753</v>
      </c>
      <c r="K3749" s="28" t="s">
        <v>11754</v>
      </c>
      <c r="L3749" s="28" t="s">
        <v>4579</v>
      </c>
      <c r="M3749" s="28" t="s">
        <v>21</v>
      </c>
      <c r="N3749" s="27">
        <v>39040</v>
      </c>
      <c r="O3749" s="92">
        <v>38995</v>
      </c>
      <c r="P3749" s="28" t="s">
        <v>31</v>
      </c>
      <c r="Q3749" s="26" t="b">
        <v>1</v>
      </c>
      <c r="R3749" s="22">
        <f t="shared" si="61"/>
        <v>1</v>
      </c>
    </row>
    <row r="3750" spans="1:18">
      <c r="A3750" s="26">
        <v>8603</v>
      </c>
      <c r="B3750" s="27">
        <v>38995</v>
      </c>
      <c r="C3750" s="28" t="s">
        <v>12025</v>
      </c>
      <c r="D3750" s="27">
        <v>38994</v>
      </c>
      <c r="E3750" s="28" t="s">
        <v>12026</v>
      </c>
      <c r="F3750" s="28" t="s">
        <v>3430</v>
      </c>
      <c r="G3750" s="28" t="s">
        <v>20</v>
      </c>
      <c r="H3750" s="28" t="s">
        <v>71</v>
      </c>
      <c r="I3750" s="28" t="s">
        <v>72</v>
      </c>
      <c r="J3750" s="28" t="s">
        <v>12027</v>
      </c>
      <c r="K3750" s="28" t="s">
        <v>12028</v>
      </c>
      <c r="L3750" s="28" t="s">
        <v>8318</v>
      </c>
      <c r="M3750" s="28" t="s">
        <v>21</v>
      </c>
      <c r="N3750" s="27">
        <v>39086</v>
      </c>
      <c r="O3750" s="92">
        <v>38995</v>
      </c>
      <c r="P3750" s="28" t="s">
        <v>21</v>
      </c>
      <c r="Q3750" s="26" t="b">
        <v>0</v>
      </c>
      <c r="R3750" s="22">
        <f t="shared" si="61"/>
        <v>0</v>
      </c>
    </row>
    <row r="3751" spans="1:18">
      <c r="A3751" s="26">
        <v>8604</v>
      </c>
      <c r="B3751" s="27">
        <v>38995</v>
      </c>
      <c r="C3751" s="28" t="s">
        <v>12029</v>
      </c>
      <c r="D3751" s="27">
        <v>38982</v>
      </c>
      <c r="E3751" s="28" t="s">
        <v>12030</v>
      </c>
      <c r="F3751" s="28" t="s">
        <v>1232</v>
      </c>
      <c r="G3751" s="28" t="s">
        <v>20</v>
      </c>
      <c r="H3751" s="28" t="s">
        <v>189</v>
      </c>
      <c r="I3751" s="28" t="s">
        <v>189</v>
      </c>
      <c r="J3751" s="28" t="s">
        <v>1817</v>
      </c>
      <c r="K3751" s="28" t="s">
        <v>554</v>
      </c>
      <c r="L3751" s="28" t="s">
        <v>3588</v>
      </c>
      <c r="M3751" s="28" t="s">
        <v>11885</v>
      </c>
      <c r="N3751" s="29">
        <v>39087</v>
      </c>
      <c r="O3751" s="92">
        <v>39766</v>
      </c>
      <c r="P3751" s="28" t="s">
        <v>21</v>
      </c>
      <c r="Q3751" s="26" t="b">
        <v>1</v>
      </c>
      <c r="R3751" s="22">
        <f t="shared" si="61"/>
        <v>769</v>
      </c>
    </row>
    <row r="3752" spans="1:18">
      <c r="A3752" s="26">
        <v>8605</v>
      </c>
      <c r="B3752" s="27">
        <v>38996</v>
      </c>
      <c r="C3752" s="28" t="s">
        <v>12031</v>
      </c>
      <c r="D3752" s="27">
        <v>38996</v>
      </c>
      <c r="E3752" s="28" t="s">
        <v>12032</v>
      </c>
      <c r="F3752" s="28" t="s">
        <v>6953</v>
      </c>
      <c r="G3752" s="28" t="s">
        <v>20</v>
      </c>
      <c r="H3752" s="28" t="s">
        <v>71</v>
      </c>
      <c r="I3752" s="28" t="s">
        <v>72</v>
      </c>
      <c r="J3752" s="28" t="s">
        <v>12033</v>
      </c>
      <c r="K3752" s="28" t="s">
        <v>7494</v>
      </c>
      <c r="L3752" s="28" t="s">
        <v>10871</v>
      </c>
      <c r="M3752" s="28" t="s">
        <v>21</v>
      </c>
      <c r="N3752" s="29">
        <v>39042</v>
      </c>
      <c r="O3752" s="92">
        <v>39021</v>
      </c>
      <c r="P3752" s="28" t="s">
        <v>31</v>
      </c>
      <c r="Q3752" s="26" t="b">
        <v>1</v>
      </c>
      <c r="R3752" s="22">
        <f t="shared" si="61"/>
        <v>25</v>
      </c>
    </row>
    <row r="3753" spans="1:18">
      <c r="A3753" s="26">
        <v>8606</v>
      </c>
      <c r="B3753" s="27">
        <v>38999</v>
      </c>
      <c r="C3753" s="28" t="s">
        <v>12034</v>
      </c>
      <c r="D3753" s="27">
        <v>38982</v>
      </c>
      <c r="E3753" s="28" t="s">
        <v>12035</v>
      </c>
      <c r="F3753" s="28" t="s">
        <v>10422</v>
      </c>
      <c r="G3753" s="28" t="s">
        <v>20</v>
      </c>
      <c r="H3753" s="28" t="s">
        <v>212</v>
      </c>
      <c r="I3753" s="28" t="s">
        <v>212</v>
      </c>
      <c r="J3753" s="28" t="s">
        <v>12036</v>
      </c>
      <c r="K3753" s="28" t="s">
        <v>12037</v>
      </c>
      <c r="L3753" s="28" t="s">
        <v>8318</v>
      </c>
      <c r="M3753" s="28" t="s">
        <v>21</v>
      </c>
      <c r="N3753" s="27">
        <v>39091</v>
      </c>
      <c r="O3753" s="92">
        <v>38999</v>
      </c>
      <c r="P3753" s="28" t="s">
        <v>31</v>
      </c>
      <c r="Q3753" s="26" t="b">
        <v>1</v>
      </c>
      <c r="R3753" s="22">
        <f t="shared" si="61"/>
        <v>0</v>
      </c>
    </row>
    <row r="3754" spans="1:18">
      <c r="A3754" s="26">
        <v>8607</v>
      </c>
      <c r="B3754" s="27">
        <v>39000</v>
      </c>
      <c r="C3754" s="28" t="s">
        <v>12038</v>
      </c>
      <c r="D3754" s="27">
        <v>38999</v>
      </c>
      <c r="E3754" s="28" t="s">
        <v>38</v>
      </c>
      <c r="F3754" s="28" t="s">
        <v>12039</v>
      </c>
      <c r="G3754" s="28" t="s">
        <v>20</v>
      </c>
      <c r="H3754" s="28" t="s">
        <v>71</v>
      </c>
      <c r="I3754" s="28" t="s">
        <v>72</v>
      </c>
      <c r="J3754" s="28" t="s">
        <v>12040</v>
      </c>
      <c r="K3754" s="28" t="s">
        <v>12041</v>
      </c>
      <c r="L3754" s="28" t="s">
        <v>11155</v>
      </c>
      <c r="M3754" s="28" t="s">
        <v>21</v>
      </c>
      <c r="N3754" s="18"/>
      <c r="O3754" s="92">
        <v>39000</v>
      </c>
      <c r="P3754" s="28" t="s">
        <v>31</v>
      </c>
      <c r="Q3754" s="26" t="b">
        <v>1</v>
      </c>
      <c r="R3754" s="22">
        <f t="shared" si="61"/>
        <v>0</v>
      </c>
    </row>
    <row r="3755" spans="1:18">
      <c r="A3755" s="26">
        <v>8608</v>
      </c>
      <c r="B3755" s="27">
        <v>39000</v>
      </c>
      <c r="C3755" s="28" t="s">
        <v>12042</v>
      </c>
      <c r="D3755" s="27">
        <v>38996</v>
      </c>
      <c r="E3755" s="28" t="s">
        <v>12043</v>
      </c>
      <c r="F3755" s="28" t="s">
        <v>149</v>
      </c>
      <c r="G3755" s="28" t="s">
        <v>20</v>
      </c>
      <c r="H3755" s="28" t="s">
        <v>71</v>
      </c>
      <c r="I3755" s="28" t="s">
        <v>72</v>
      </c>
      <c r="J3755" s="28" t="s">
        <v>272</v>
      </c>
      <c r="K3755" s="28" t="s">
        <v>12044</v>
      </c>
      <c r="L3755" s="28" t="s">
        <v>4282</v>
      </c>
      <c r="M3755" s="28" t="s">
        <v>21</v>
      </c>
      <c r="N3755" s="27">
        <v>39031</v>
      </c>
      <c r="O3755" s="92">
        <v>39051</v>
      </c>
      <c r="P3755" s="28" t="s">
        <v>31</v>
      </c>
      <c r="Q3755" s="26" t="b">
        <v>1</v>
      </c>
      <c r="R3755" s="22">
        <f t="shared" si="61"/>
        <v>50</v>
      </c>
    </row>
    <row r="3756" spans="1:18">
      <c r="A3756" s="26">
        <v>8609</v>
      </c>
      <c r="B3756" s="27">
        <v>39000</v>
      </c>
      <c r="C3756" s="28" t="s">
        <v>12045</v>
      </c>
      <c r="D3756" s="27">
        <v>38993</v>
      </c>
      <c r="E3756" s="28" t="s">
        <v>38</v>
      </c>
      <c r="F3756" s="28" t="s">
        <v>124</v>
      </c>
      <c r="G3756" s="28" t="s">
        <v>20</v>
      </c>
      <c r="H3756" s="28" t="s">
        <v>71</v>
      </c>
      <c r="I3756" s="28" t="s">
        <v>72</v>
      </c>
      <c r="J3756" s="28" t="s">
        <v>272</v>
      </c>
      <c r="K3756" s="28" t="s">
        <v>6081</v>
      </c>
      <c r="L3756" s="28" t="s">
        <v>11155</v>
      </c>
      <c r="M3756" s="28" t="s">
        <v>21</v>
      </c>
      <c r="N3756" s="18"/>
      <c r="O3756" s="92">
        <v>39000</v>
      </c>
      <c r="P3756" s="28" t="s">
        <v>31</v>
      </c>
      <c r="Q3756" s="26" t="b">
        <v>1</v>
      </c>
      <c r="R3756" s="22">
        <f t="shared" si="61"/>
        <v>0</v>
      </c>
    </row>
    <row r="3757" spans="1:18">
      <c r="A3757" s="26">
        <v>8610</v>
      </c>
      <c r="B3757" s="27">
        <v>39000</v>
      </c>
      <c r="C3757" s="28" t="s">
        <v>12046</v>
      </c>
      <c r="D3757" s="27">
        <v>38750</v>
      </c>
      <c r="E3757" s="28" t="s">
        <v>12047</v>
      </c>
      <c r="F3757" s="28" t="s">
        <v>27</v>
      </c>
      <c r="G3757" s="28" t="s">
        <v>20</v>
      </c>
      <c r="H3757" s="28" t="s">
        <v>71</v>
      </c>
      <c r="I3757" s="28" t="s">
        <v>72</v>
      </c>
      <c r="J3757" s="28" t="s">
        <v>1243</v>
      </c>
      <c r="K3757" s="28" t="s">
        <v>21</v>
      </c>
      <c r="L3757" s="28" t="s">
        <v>10871</v>
      </c>
      <c r="M3757" s="28" t="s">
        <v>21</v>
      </c>
      <c r="N3757" s="27">
        <v>38845</v>
      </c>
      <c r="O3757" s="92">
        <v>39008</v>
      </c>
      <c r="P3757" s="28" t="s">
        <v>21</v>
      </c>
      <c r="Q3757" s="26" t="b">
        <v>0</v>
      </c>
      <c r="R3757" s="22">
        <f t="shared" si="61"/>
        <v>8</v>
      </c>
    </row>
    <row r="3758" spans="1:18">
      <c r="A3758" s="26">
        <v>8611</v>
      </c>
      <c r="B3758" s="27">
        <v>39003</v>
      </c>
      <c r="C3758" s="28" t="s">
        <v>12048</v>
      </c>
      <c r="D3758" s="27">
        <v>38859</v>
      </c>
      <c r="E3758" s="28" t="s">
        <v>12049</v>
      </c>
      <c r="F3758" s="28" t="s">
        <v>7961</v>
      </c>
      <c r="G3758" s="28" t="s">
        <v>20</v>
      </c>
      <c r="H3758" s="28" t="s">
        <v>189</v>
      </c>
      <c r="I3758" s="28" t="s">
        <v>189</v>
      </c>
      <c r="J3758" s="28" t="s">
        <v>11792</v>
      </c>
      <c r="K3758" s="28" t="s">
        <v>21</v>
      </c>
      <c r="L3758" s="28" t="s">
        <v>3588</v>
      </c>
      <c r="M3758" s="28" t="s">
        <v>12050</v>
      </c>
      <c r="N3758" s="29">
        <v>39095</v>
      </c>
      <c r="O3758" s="92">
        <v>39778</v>
      </c>
      <c r="P3758" s="28" t="s">
        <v>31</v>
      </c>
      <c r="Q3758" s="26" t="b">
        <v>1</v>
      </c>
      <c r="R3758" s="22">
        <f t="shared" si="61"/>
        <v>773</v>
      </c>
    </row>
    <row r="3759" spans="1:18">
      <c r="A3759" s="26">
        <v>8612</v>
      </c>
      <c r="B3759" s="27">
        <v>39003</v>
      </c>
      <c r="C3759" s="28" t="s">
        <v>12051</v>
      </c>
      <c r="D3759" s="27">
        <v>39003</v>
      </c>
      <c r="E3759" s="28" t="s">
        <v>11030</v>
      </c>
      <c r="F3759" s="28" t="s">
        <v>3430</v>
      </c>
      <c r="G3759" s="28" t="s">
        <v>20</v>
      </c>
      <c r="H3759" s="28" t="s">
        <v>71</v>
      </c>
      <c r="I3759" s="28" t="s">
        <v>72</v>
      </c>
      <c r="J3759" s="28" t="s">
        <v>12052</v>
      </c>
      <c r="K3759" s="28" t="s">
        <v>12053</v>
      </c>
      <c r="L3759" s="28" t="s">
        <v>8318</v>
      </c>
      <c r="M3759" s="28" t="s">
        <v>21</v>
      </c>
      <c r="O3759" s="92">
        <v>39010</v>
      </c>
      <c r="P3759" s="28" t="s">
        <v>21</v>
      </c>
      <c r="Q3759" s="26" t="b">
        <v>0</v>
      </c>
      <c r="R3759" s="22">
        <f t="shared" si="61"/>
        <v>7</v>
      </c>
    </row>
    <row r="3760" spans="1:18">
      <c r="A3760" s="26">
        <v>8613</v>
      </c>
      <c r="B3760" s="27">
        <v>39003</v>
      </c>
      <c r="C3760" s="28" t="s">
        <v>12054</v>
      </c>
      <c r="D3760" s="27">
        <v>39003</v>
      </c>
      <c r="E3760" s="28" t="s">
        <v>10998</v>
      </c>
      <c r="F3760" s="28" t="s">
        <v>52</v>
      </c>
      <c r="G3760" s="28" t="s">
        <v>11905</v>
      </c>
      <c r="H3760" s="28" t="s">
        <v>71</v>
      </c>
      <c r="I3760" s="28" t="s">
        <v>72</v>
      </c>
      <c r="J3760" s="28" t="s">
        <v>12055</v>
      </c>
      <c r="K3760" s="28" t="s">
        <v>12056</v>
      </c>
      <c r="L3760" s="28" t="s">
        <v>8318</v>
      </c>
      <c r="M3760" s="28" t="s">
        <v>21</v>
      </c>
      <c r="N3760" s="18"/>
      <c r="O3760" s="92">
        <v>39030</v>
      </c>
      <c r="P3760" s="28" t="s">
        <v>21</v>
      </c>
      <c r="Q3760" s="26" t="b">
        <v>0</v>
      </c>
      <c r="R3760" s="22">
        <f t="shared" si="61"/>
        <v>26</v>
      </c>
    </row>
    <row r="3761" spans="1:18">
      <c r="A3761" s="26">
        <v>8614</v>
      </c>
      <c r="B3761" s="27">
        <v>39007</v>
      </c>
      <c r="C3761" s="28" t="s">
        <v>12057</v>
      </c>
      <c r="D3761" s="27">
        <v>39003</v>
      </c>
      <c r="E3761" s="28" t="s">
        <v>12058</v>
      </c>
      <c r="F3761" s="28" t="s">
        <v>6953</v>
      </c>
      <c r="G3761" s="28" t="s">
        <v>11905</v>
      </c>
      <c r="H3761" s="28" t="s">
        <v>71</v>
      </c>
      <c r="I3761" s="28" t="s">
        <v>72</v>
      </c>
      <c r="J3761" s="28" t="s">
        <v>12059</v>
      </c>
      <c r="K3761" s="28" t="s">
        <v>6081</v>
      </c>
      <c r="L3761" s="28" t="s">
        <v>10871</v>
      </c>
      <c r="M3761" s="28" t="s">
        <v>21</v>
      </c>
      <c r="N3761" s="27">
        <v>39034</v>
      </c>
      <c r="O3761" s="92">
        <v>39017</v>
      </c>
      <c r="P3761" s="28" t="s">
        <v>31</v>
      </c>
      <c r="Q3761" s="26" t="b">
        <v>1</v>
      </c>
      <c r="R3761" s="22">
        <f t="shared" si="61"/>
        <v>10</v>
      </c>
    </row>
    <row r="3762" spans="1:18">
      <c r="A3762" s="26">
        <v>8615</v>
      </c>
      <c r="B3762" s="27">
        <v>39007</v>
      </c>
      <c r="C3762" s="28" t="s">
        <v>12060</v>
      </c>
      <c r="D3762" s="27">
        <v>39001</v>
      </c>
      <c r="E3762" s="28" t="s">
        <v>12061</v>
      </c>
      <c r="F3762" s="28" t="s">
        <v>52</v>
      </c>
      <c r="G3762" s="28" t="s">
        <v>20</v>
      </c>
      <c r="H3762" s="28" t="s">
        <v>71</v>
      </c>
      <c r="I3762" s="28" t="s">
        <v>72</v>
      </c>
      <c r="J3762" s="28" t="s">
        <v>12062</v>
      </c>
      <c r="K3762" s="28" t="s">
        <v>12063</v>
      </c>
      <c r="L3762" s="28" t="s">
        <v>1946</v>
      </c>
      <c r="M3762" s="28" t="s">
        <v>21</v>
      </c>
      <c r="N3762" s="27">
        <v>39038</v>
      </c>
      <c r="O3762" s="92">
        <v>39114</v>
      </c>
      <c r="P3762" s="28" t="s">
        <v>31</v>
      </c>
      <c r="Q3762" s="26" t="b">
        <v>1</v>
      </c>
      <c r="R3762" s="22">
        <f t="shared" si="61"/>
        <v>105</v>
      </c>
    </row>
    <row r="3763" spans="1:18">
      <c r="A3763" s="26">
        <v>8616</v>
      </c>
      <c r="B3763" s="27">
        <v>39007</v>
      </c>
      <c r="C3763" s="28" t="s">
        <v>12064</v>
      </c>
      <c r="D3763" s="27">
        <v>38834</v>
      </c>
      <c r="E3763" s="28" t="s">
        <v>12065</v>
      </c>
      <c r="F3763" s="28" t="s">
        <v>104</v>
      </c>
      <c r="G3763" s="28" t="s">
        <v>20</v>
      </c>
      <c r="H3763" s="28" t="s">
        <v>71</v>
      </c>
      <c r="I3763" s="28" t="s">
        <v>72</v>
      </c>
      <c r="J3763" s="28" t="s">
        <v>2469</v>
      </c>
      <c r="K3763" s="28" t="s">
        <v>11732</v>
      </c>
      <c r="L3763" s="28" t="s">
        <v>4579</v>
      </c>
      <c r="M3763" s="28" t="s">
        <v>21</v>
      </c>
      <c r="N3763" s="29">
        <v>38925</v>
      </c>
      <c r="O3763" s="92">
        <v>39007</v>
      </c>
      <c r="P3763" s="28" t="s">
        <v>21</v>
      </c>
      <c r="Q3763" s="26" t="b">
        <v>0</v>
      </c>
      <c r="R3763" s="22">
        <f t="shared" si="61"/>
        <v>0</v>
      </c>
    </row>
    <row r="3764" spans="1:18">
      <c r="A3764" s="26">
        <v>8617</v>
      </c>
      <c r="B3764" s="27">
        <v>39013</v>
      </c>
      <c r="C3764" s="28" t="s">
        <v>12066</v>
      </c>
      <c r="D3764" s="27">
        <v>39009</v>
      </c>
      <c r="E3764" s="28" t="s">
        <v>12067</v>
      </c>
      <c r="F3764" s="28" t="s">
        <v>52</v>
      </c>
      <c r="G3764" s="28" t="s">
        <v>20</v>
      </c>
      <c r="H3764" s="28" t="s">
        <v>71</v>
      </c>
      <c r="I3764" s="28" t="s">
        <v>72</v>
      </c>
      <c r="J3764" s="28" t="s">
        <v>12062</v>
      </c>
      <c r="K3764" s="28" t="s">
        <v>12068</v>
      </c>
      <c r="L3764" s="28" t="s">
        <v>1946</v>
      </c>
      <c r="M3764" s="28" t="s">
        <v>21</v>
      </c>
      <c r="N3764" s="27">
        <v>39040</v>
      </c>
      <c r="O3764" s="92">
        <v>39114</v>
      </c>
      <c r="P3764" s="28" t="s">
        <v>31</v>
      </c>
      <c r="Q3764" s="26" t="b">
        <v>1</v>
      </c>
      <c r="R3764" s="22">
        <f t="shared" si="61"/>
        <v>99</v>
      </c>
    </row>
    <row r="3765" spans="1:18">
      <c r="A3765" s="26">
        <v>8618</v>
      </c>
      <c r="B3765" s="27">
        <v>39013</v>
      </c>
      <c r="C3765" s="28" t="s">
        <v>12069</v>
      </c>
      <c r="D3765" s="27">
        <v>39010</v>
      </c>
      <c r="E3765" s="28" t="s">
        <v>12070</v>
      </c>
      <c r="F3765" s="28" t="s">
        <v>52</v>
      </c>
      <c r="G3765" s="28" t="s">
        <v>11905</v>
      </c>
      <c r="H3765" s="28" t="s">
        <v>71</v>
      </c>
      <c r="I3765" s="28" t="s">
        <v>72</v>
      </c>
      <c r="J3765" s="28" t="s">
        <v>12071</v>
      </c>
      <c r="K3765" s="28" t="s">
        <v>21</v>
      </c>
      <c r="L3765" s="28" t="s">
        <v>4282</v>
      </c>
      <c r="M3765" s="28" t="s">
        <v>21</v>
      </c>
      <c r="N3765" s="27">
        <v>39087</v>
      </c>
      <c r="O3765" s="92">
        <v>39078</v>
      </c>
      <c r="P3765" s="28" t="s">
        <v>31</v>
      </c>
      <c r="Q3765" s="26" t="b">
        <v>1</v>
      </c>
      <c r="R3765" s="22">
        <f t="shared" si="61"/>
        <v>64</v>
      </c>
    </row>
    <row r="3766" spans="1:18">
      <c r="A3766" s="26">
        <v>8619</v>
      </c>
      <c r="B3766" s="27">
        <v>39013</v>
      </c>
      <c r="C3766" s="28" t="s">
        <v>12072</v>
      </c>
      <c r="D3766" s="27">
        <v>39008</v>
      </c>
      <c r="E3766" s="28" t="s">
        <v>12073</v>
      </c>
      <c r="F3766" s="28" t="s">
        <v>8522</v>
      </c>
      <c r="G3766" s="28" t="s">
        <v>20</v>
      </c>
      <c r="H3766" s="28" t="s">
        <v>189</v>
      </c>
      <c r="I3766" s="28" t="s">
        <v>12074</v>
      </c>
      <c r="J3766" s="28" t="s">
        <v>12075</v>
      </c>
      <c r="K3766" s="28" t="s">
        <v>12076</v>
      </c>
      <c r="L3766" s="28" t="s">
        <v>8318</v>
      </c>
      <c r="M3766" s="28" t="s">
        <v>21</v>
      </c>
      <c r="N3766" s="18"/>
      <c r="O3766" s="92">
        <v>39013</v>
      </c>
      <c r="P3766" s="28" t="s">
        <v>31</v>
      </c>
      <c r="Q3766" s="26" t="b">
        <v>1</v>
      </c>
      <c r="R3766" s="22">
        <f t="shared" si="61"/>
        <v>0</v>
      </c>
    </row>
    <row r="3767" spans="1:18">
      <c r="A3767" s="26">
        <v>8620</v>
      </c>
      <c r="B3767" s="27">
        <v>39013</v>
      </c>
      <c r="C3767" s="28" t="s">
        <v>12077</v>
      </c>
      <c r="D3767" s="27">
        <v>39008</v>
      </c>
      <c r="E3767" s="28" t="s">
        <v>38</v>
      </c>
      <c r="F3767" s="28" t="s">
        <v>12078</v>
      </c>
      <c r="G3767" s="28" t="s">
        <v>20</v>
      </c>
      <c r="H3767" s="28" t="s">
        <v>566</v>
      </c>
      <c r="I3767" s="28" t="s">
        <v>566</v>
      </c>
      <c r="J3767" s="28" t="s">
        <v>12079</v>
      </c>
      <c r="K3767" s="28" t="s">
        <v>12080</v>
      </c>
      <c r="L3767" s="28" t="s">
        <v>8318</v>
      </c>
      <c r="M3767" s="28" t="s">
        <v>21</v>
      </c>
      <c r="N3767" s="18"/>
      <c r="O3767" s="92">
        <v>39014</v>
      </c>
      <c r="P3767" s="28" t="s">
        <v>31</v>
      </c>
      <c r="Q3767" s="26" t="b">
        <v>1</v>
      </c>
      <c r="R3767" s="22">
        <f t="shared" si="61"/>
        <v>1</v>
      </c>
    </row>
    <row r="3768" spans="1:18">
      <c r="A3768" s="26">
        <v>8621</v>
      </c>
      <c r="B3768" s="27">
        <v>39016</v>
      </c>
      <c r="C3768" s="28" t="s">
        <v>12081</v>
      </c>
      <c r="D3768" s="27">
        <v>39006</v>
      </c>
      <c r="E3768" s="28" t="s">
        <v>12082</v>
      </c>
      <c r="F3768" s="28" t="s">
        <v>124</v>
      </c>
      <c r="G3768" s="28" t="s">
        <v>20</v>
      </c>
      <c r="H3768" s="28" t="s">
        <v>71</v>
      </c>
      <c r="I3768" s="28" t="s">
        <v>72</v>
      </c>
      <c r="J3768" s="28" t="s">
        <v>272</v>
      </c>
      <c r="K3768" s="28" t="s">
        <v>6081</v>
      </c>
      <c r="L3768" s="28" t="s">
        <v>4282</v>
      </c>
      <c r="M3768" s="28" t="s">
        <v>21</v>
      </c>
      <c r="N3768" s="29">
        <v>39044</v>
      </c>
      <c r="O3768" s="92">
        <v>40555</v>
      </c>
      <c r="P3768" s="28" t="s">
        <v>31</v>
      </c>
      <c r="Q3768" s="26" t="b">
        <v>1</v>
      </c>
      <c r="R3768" s="22">
        <f t="shared" si="61"/>
        <v>1537</v>
      </c>
    </row>
    <row r="3769" spans="1:18">
      <c r="A3769" s="26">
        <v>8622</v>
      </c>
      <c r="B3769" s="27">
        <v>39017</v>
      </c>
      <c r="C3769" s="28" t="s">
        <v>12083</v>
      </c>
      <c r="D3769" s="27">
        <v>39003</v>
      </c>
      <c r="E3769" s="28" t="s">
        <v>12084</v>
      </c>
      <c r="F3769" s="28" t="s">
        <v>6953</v>
      </c>
      <c r="G3769" s="28" t="s">
        <v>11905</v>
      </c>
      <c r="H3769" s="28" t="s">
        <v>71</v>
      </c>
      <c r="I3769" s="28" t="s">
        <v>72</v>
      </c>
      <c r="J3769" s="28" t="s">
        <v>12085</v>
      </c>
      <c r="K3769" s="28" t="s">
        <v>6081</v>
      </c>
      <c r="L3769" s="28" t="s">
        <v>10871</v>
      </c>
      <c r="M3769" s="28" t="s">
        <v>21</v>
      </c>
      <c r="N3769" s="29">
        <v>39049</v>
      </c>
      <c r="O3769" s="92">
        <v>39021</v>
      </c>
      <c r="P3769" s="28" t="s">
        <v>31</v>
      </c>
      <c r="Q3769" s="26" t="b">
        <v>1</v>
      </c>
      <c r="R3769" s="22">
        <f t="shared" si="61"/>
        <v>4</v>
      </c>
    </row>
    <row r="3770" spans="1:18" ht="24">
      <c r="A3770" s="26">
        <v>8625</v>
      </c>
      <c r="B3770" s="27">
        <v>39027</v>
      </c>
      <c r="C3770" s="28" t="s">
        <v>12086</v>
      </c>
      <c r="D3770" s="27">
        <v>39013</v>
      </c>
      <c r="E3770" s="28" t="s">
        <v>12087</v>
      </c>
      <c r="F3770" s="28" t="s">
        <v>211</v>
      </c>
      <c r="G3770" s="28" t="s">
        <v>20</v>
      </c>
      <c r="H3770" s="28" t="s">
        <v>212</v>
      </c>
      <c r="I3770" s="28" t="s">
        <v>12088</v>
      </c>
      <c r="J3770" s="28" t="s">
        <v>12089</v>
      </c>
      <c r="K3770" s="28" t="s">
        <v>12090</v>
      </c>
      <c r="L3770" s="28" t="s">
        <v>4282</v>
      </c>
      <c r="M3770" s="28" t="s">
        <v>21</v>
      </c>
      <c r="N3770" s="27">
        <v>39113</v>
      </c>
      <c r="O3770" s="92">
        <v>39164</v>
      </c>
      <c r="P3770" s="28" t="s">
        <v>21</v>
      </c>
      <c r="Q3770" s="26" t="b">
        <v>0</v>
      </c>
      <c r="R3770" s="22">
        <f t="shared" si="61"/>
        <v>138</v>
      </c>
    </row>
    <row r="3771" spans="1:18">
      <c r="A3771" s="26">
        <v>8626</v>
      </c>
      <c r="B3771" s="27">
        <v>39030</v>
      </c>
      <c r="C3771" s="28" t="s">
        <v>12091</v>
      </c>
      <c r="D3771" s="27">
        <v>39029</v>
      </c>
      <c r="E3771" s="28" t="s">
        <v>38</v>
      </c>
      <c r="F3771" s="28" t="s">
        <v>124</v>
      </c>
      <c r="G3771" s="28" t="s">
        <v>20</v>
      </c>
      <c r="H3771" s="28" t="s">
        <v>71</v>
      </c>
      <c r="I3771" s="28" t="s">
        <v>72</v>
      </c>
      <c r="J3771" s="28" t="s">
        <v>12092</v>
      </c>
      <c r="K3771" s="28" t="s">
        <v>21</v>
      </c>
      <c r="L3771" s="28" t="s">
        <v>11155</v>
      </c>
      <c r="M3771" s="28" t="s">
        <v>21</v>
      </c>
      <c r="N3771" s="18"/>
      <c r="O3771" s="92">
        <v>39030</v>
      </c>
      <c r="P3771" s="28" t="s">
        <v>31</v>
      </c>
      <c r="Q3771" s="26" t="b">
        <v>1</v>
      </c>
      <c r="R3771" s="22">
        <f t="shared" si="61"/>
        <v>0</v>
      </c>
    </row>
    <row r="3772" spans="1:18">
      <c r="A3772" s="26">
        <v>8627</v>
      </c>
      <c r="B3772" s="27">
        <v>39030</v>
      </c>
      <c r="C3772" s="28" t="s">
        <v>12093</v>
      </c>
      <c r="D3772" s="27">
        <v>39027</v>
      </c>
      <c r="E3772" s="28" t="s">
        <v>12094</v>
      </c>
      <c r="F3772" s="28" t="s">
        <v>327</v>
      </c>
      <c r="G3772" s="28" t="s">
        <v>20</v>
      </c>
      <c r="H3772" s="28" t="s">
        <v>71</v>
      </c>
      <c r="I3772" s="28" t="s">
        <v>72</v>
      </c>
      <c r="J3772" s="28" t="s">
        <v>12095</v>
      </c>
      <c r="K3772" s="28" t="s">
        <v>12096</v>
      </c>
      <c r="L3772" s="28" t="s">
        <v>1946</v>
      </c>
      <c r="M3772" s="28" t="s">
        <v>4579</v>
      </c>
      <c r="N3772" s="27">
        <v>39072</v>
      </c>
      <c r="O3772" s="92">
        <v>39121</v>
      </c>
      <c r="P3772" s="28" t="s">
        <v>31</v>
      </c>
      <c r="Q3772" s="26" t="b">
        <v>1</v>
      </c>
      <c r="R3772" s="22">
        <f t="shared" si="61"/>
        <v>90</v>
      </c>
    </row>
    <row r="3773" spans="1:18">
      <c r="A3773" s="26">
        <v>8628</v>
      </c>
      <c r="B3773" s="27">
        <v>39030</v>
      </c>
      <c r="C3773" s="28" t="s">
        <v>12097</v>
      </c>
      <c r="D3773" s="27">
        <v>39027</v>
      </c>
      <c r="E3773" s="28" t="s">
        <v>12098</v>
      </c>
      <c r="F3773" s="28" t="s">
        <v>211</v>
      </c>
      <c r="G3773" s="28" t="s">
        <v>20</v>
      </c>
      <c r="H3773" s="28" t="s">
        <v>212</v>
      </c>
      <c r="I3773" s="28" t="s">
        <v>12088</v>
      </c>
      <c r="J3773" s="28" t="s">
        <v>7369</v>
      </c>
      <c r="K3773" s="28" t="s">
        <v>21</v>
      </c>
      <c r="L3773" s="28" t="s">
        <v>3588</v>
      </c>
      <c r="M3773" s="28" t="s">
        <v>12099</v>
      </c>
      <c r="N3773" s="27">
        <v>39072</v>
      </c>
      <c r="O3773" s="92">
        <v>39770</v>
      </c>
      <c r="P3773" s="28" t="s">
        <v>31</v>
      </c>
      <c r="Q3773" s="26" t="b">
        <v>1</v>
      </c>
      <c r="R3773" s="22">
        <f t="shared" si="61"/>
        <v>739</v>
      </c>
    </row>
    <row r="3774" spans="1:18">
      <c r="A3774" s="26">
        <v>8629</v>
      </c>
      <c r="B3774" s="27">
        <v>39030</v>
      </c>
      <c r="C3774" s="28" t="s">
        <v>12100</v>
      </c>
      <c r="D3774" s="27">
        <v>39029</v>
      </c>
      <c r="E3774" s="28" t="s">
        <v>12101</v>
      </c>
      <c r="F3774" s="28" t="s">
        <v>12102</v>
      </c>
      <c r="G3774" s="28" t="s">
        <v>20</v>
      </c>
      <c r="H3774" s="28" t="s">
        <v>71</v>
      </c>
      <c r="I3774" s="28" t="s">
        <v>72</v>
      </c>
      <c r="J3774" s="28" t="s">
        <v>12103</v>
      </c>
      <c r="K3774" s="28" t="s">
        <v>11726</v>
      </c>
      <c r="L3774" s="28" t="s">
        <v>1946</v>
      </c>
      <c r="M3774" s="28" t="s">
        <v>21</v>
      </c>
      <c r="N3774" s="27">
        <v>39059</v>
      </c>
      <c r="O3774" s="92">
        <v>39139</v>
      </c>
      <c r="P3774" s="28" t="s">
        <v>31</v>
      </c>
      <c r="Q3774" s="26" t="b">
        <v>1</v>
      </c>
      <c r="R3774" s="22">
        <f t="shared" si="61"/>
        <v>108</v>
      </c>
    </row>
    <row r="3775" spans="1:18">
      <c r="A3775" s="26">
        <v>8630</v>
      </c>
      <c r="B3775" s="27">
        <v>39037</v>
      </c>
      <c r="C3775" s="28" t="s">
        <v>12104</v>
      </c>
      <c r="D3775" s="27">
        <v>39030</v>
      </c>
      <c r="E3775" s="28" t="s">
        <v>10998</v>
      </c>
      <c r="F3775" s="28" t="s">
        <v>27</v>
      </c>
      <c r="G3775" s="28" t="s">
        <v>11905</v>
      </c>
      <c r="H3775" s="28" t="s">
        <v>71</v>
      </c>
      <c r="I3775" s="28" t="s">
        <v>72</v>
      </c>
      <c r="J3775" s="28" t="s">
        <v>12105</v>
      </c>
      <c r="K3775" s="28" t="s">
        <v>21</v>
      </c>
      <c r="L3775" s="28" t="s">
        <v>4282</v>
      </c>
      <c r="M3775" s="28" t="s">
        <v>21</v>
      </c>
      <c r="N3775" s="27">
        <v>39049</v>
      </c>
      <c r="O3775" s="92">
        <v>39049</v>
      </c>
      <c r="P3775" s="28" t="s">
        <v>21</v>
      </c>
      <c r="Q3775" s="26" t="b">
        <v>0</v>
      </c>
      <c r="R3775" s="22">
        <f t="shared" si="61"/>
        <v>12</v>
      </c>
    </row>
    <row r="3776" spans="1:18">
      <c r="A3776" s="26">
        <v>8631</v>
      </c>
      <c r="B3776" s="27">
        <v>39038</v>
      </c>
      <c r="C3776" s="28" t="s">
        <v>12106</v>
      </c>
      <c r="D3776" s="27">
        <v>39036</v>
      </c>
      <c r="E3776" s="28" t="s">
        <v>38</v>
      </c>
      <c r="F3776" s="28" t="s">
        <v>2413</v>
      </c>
      <c r="G3776" s="28" t="s">
        <v>20</v>
      </c>
      <c r="H3776" s="28" t="s">
        <v>71</v>
      </c>
      <c r="I3776" s="28" t="s">
        <v>72</v>
      </c>
      <c r="J3776" s="28" t="s">
        <v>12107</v>
      </c>
      <c r="K3776" s="28" t="s">
        <v>10316</v>
      </c>
      <c r="L3776" s="28" t="s">
        <v>8318</v>
      </c>
      <c r="M3776" s="28" t="s">
        <v>21</v>
      </c>
      <c r="N3776" s="18"/>
      <c r="O3776" s="92">
        <v>39036</v>
      </c>
      <c r="P3776" s="28" t="s">
        <v>31</v>
      </c>
      <c r="Q3776" s="26" t="b">
        <v>1</v>
      </c>
      <c r="R3776" s="22">
        <f t="shared" si="61"/>
        <v>2</v>
      </c>
    </row>
    <row r="3777" spans="1:18">
      <c r="A3777" s="26">
        <v>8632</v>
      </c>
      <c r="B3777" s="27">
        <v>39041</v>
      </c>
      <c r="C3777" s="28" t="s">
        <v>12108</v>
      </c>
      <c r="D3777" s="27">
        <v>39036</v>
      </c>
      <c r="E3777" s="28" t="s">
        <v>38</v>
      </c>
      <c r="F3777" s="28" t="s">
        <v>129</v>
      </c>
      <c r="G3777" s="28" t="s">
        <v>20</v>
      </c>
      <c r="H3777" s="28" t="s">
        <v>71</v>
      </c>
      <c r="I3777" s="28" t="s">
        <v>72</v>
      </c>
      <c r="J3777" s="28" t="s">
        <v>12109</v>
      </c>
      <c r="K3777" s="28" t="s">
        <v>12110</v>
      </c>
      <c r="L3777" s="28" t="s">
        <v>8318</v>
      </c>
      <c r="M3777" s="28" t="s">
        <v>21</v>
      </c>
      <c r="N3777" s="18"/>
      <c r="O3777" s="92">
        <v>39038</v>
      </c>
      <c r="P3777" s="28" t="s">
        <v>31</v>
      </c>
      <c r="Q3777" s="26" t="b">
        <v>1</v>
      </c>
      <c r="R3777" s="22">
        <f t="shared" si="61"/>
        <v>3</v>
      </c>
    </row>
    <row r="3778" spans="1:18">
      <c r="A3778" s="26">
        <v>8633</v>
      </c>
      <c r="B3778" s="27">
        <v>39041</v>
      </c>
      <c r="C3778" s="28" t="s">
        <v>12111</v>
      </c>
      <c r="D3778" s="27">
        <v>39038</v>
      </c>
      <c r="E3778" s="28" t="s">
        <v>12112</v>
      </c>
      <c r="F3778" s="28" t="s">
        <v>4596</v>
      </c>
      <c r="G3778" s="28" t="s">
        <v>20</v>
      </c>
      <c r="H3778" s="28" t="s">
        <v>566</v>
      </c>
      <c r="I3778" s="28" t="s">
        <v>12113</v>
      </c>
      <c r="J3778" s="28" t="s">
        <v>12114</v>
      </c>
      <c r="K3778" s="28" t="s">
        <v>12115</v>
      </c>
      <c r="L3778" s="28" t="s">
        <v>8318</v>
      </c>
      <c r="M3778" s="28" t="s">
        <v>21</v>
      </c>
      <c r="N3778" s="29">
        <v>39130</v>
      </c>
      <c r="O3778" s="92">
        <v>39049</v>
      </c>
      <c r="P3778" s="28" t="s">
        <v>31</v>
      </c>
      <c r="Q3778" s="26" t="b">
        <v>1</v>
      </c>
      <c r="R3778" s="22">
        <f t="shared" si="61"/>
        <v>8</v>
      </c>
    </row>
    <row r="3779" spans="1:18">
      <c r="A3779" s="26">
        <v>8634</v>
      </c>
      <c r="B3779" s="27">
        <v>39041</v>
      </c>
      <c r="C3779" s="28" t="s">
        <v>12116</v>
      </c>
      <c r="D3779" s="27">
        <v>39037</v>
      </c>
      <c r="E3779" s="28" t="s">
        <v>12117</v>
      </c>
      <c r="F3779" s="28" t="s">
        <v>5690</v>
      </c>
      <c r="G3779" s="28" t="s">
        <v>20</v>
      </c>
      <c r="H3779" s="28" t="s">
        <v>71</v>
      </c>
      <c r="I3779" s="28" t="s">
        <v>72</v>
      </c>
      <c r="J3779" s="28" t="s">
        <v>12118</v>
      </c>
      <c r="K3779" s="28" t="s">
        <v>12119</v>
      </c>
      <c r="L3779" s="28" t="s">
        <v>3588</v>
      </c>
      <c r="M3779" s="28" t="s">
        <v>12120</v>
      </c>
      <c r="N3779" s="27">
        <v>39133</v>
      </c>
      <c r="O3779" s="92">
        <v>39561</v>
      </c>
      <c r="P3779" s="28" t="s">
        <v>21</v>
      </c>
      <c r="Q3779" s="26" t="b">
        <v>0</v>
      </c>
      <c r="R3779" s="22">
        <f t="shared" si="61"/>
        <v>520</v>
      </c>
    </row>
    <row r="3780" spans="1:18">
      <c r="A3780" s="26">
        <v>8635</v>
      </c>
      <c r="B3780" s="27">
        <v>39042</v>
      </c>
      <c r="C3780" s="28" t="s">
        <v>12121</v>
      </c>
      <c r="D3780" s="27">
        <v>39041</v>
      </c>
      <c r="E3780" s="28" t="s">
        <v>12122</v>
      </c>
      <c r="F3780" s="28" t="s">
        <v>124</v>
      </c>
      <c r="G3780" s="28" t="s">
        <v>20</v>
      </c>
      <c r="H3780" s="28" t="s">
        <v>71</v>
      </c>
      <c r="I3780" s="28" t="s">
        <v>72</v>
      </c>
      <c r="J3780" s="28" t="s">
        <v>12123</v>
      </c>
      <c r="K3780" s="28" t="s">
        <v>12124</v>
      </c>
      <c r="L3780" s="28" t="s">
        <v>1946</v>
      </c>
      <c r="M3780" s="28" t="s">
        <v>21</v>
      </c>
      <c r="N3780" s="27">
        <v>39071</v>
      </c>
      <c r="O3780" s="92">
        <v>39126</v>
      </c>
      <c r="P3780" s="28" t="s">
        <v>31</v>
      </c>
      <c r="Q3780" s="26" t="b">
        <v>1</v>
      </c>
      <c r="R3780" s="22">
        <f t="shared" si="61"/>
        <v>83</v>
      </c>
    </row>
    <row r="3781" spans="1:18">
      <c r="A3781" s="26">
        <v>8636</v>
      </c>
      <c r="B3781" s="27">
        <v>39042</v>
      </c>
      <c r="C3781" s="28" t="s">
        <v>12125</v>
      </c>
      <c r="D3781" s="27">
        <v>39041</v>
      </c>
      <c r="E3781" s="28" t="s">
        <v>12126</v>
      </c>
      <c r="F3781" s="28" t="s">
        <v>124</v>
      </c>
      <c r="G3781" s="28" t="s">
        <v>20</v>
      </c>
      <c r="H3781" s="28" t="s">
        <v>71</v>
      </c>
      <c r="I3781" s="28" t="s">
        <v>72</v>
      </c>
      <c r="J3781" s="28" t="s">
        <v>12127</v>
      </c>
      <c r="K3781" s="28" t="s">
        <v>12128</v>
      </c>
      <c r="L3781" s="28" t="s">
        <v>10871</v>
      </c>
      <c r="M3781" s="28" t="s">
        <v>21</v>
      </c>
      <c r="N3781" s="27">
        <v>39072</v>
      </c>
      <c r="O3781" s="92">
        <v>39105</v>
      </c>
      <c r="P3781" s="28" t="s">
        <v>31</v>
      </c>
      <c r="Q3781" s="26" t="b">
        <v>1</v>
      </c>
      <c r="R3781" s="22">
        <f t="shared" si="61"/>
        <v>62</v>
      </c>
    </row>
    <row r="3782" spans="1:18">
      <c r="A3782" s="26">
        <v>8638</v>
      </c>
      <c r="B3782" s="27">
        <v>39043</v>
      </c>
      <c r="C3782" s="28" t="s">
        <v>12129</v>
      </c>
      <c r="D3782" s="27">
        <v>38924</v>
      </c>
      <c r="E3782" s="28" t="s">
        <v>12130</v>
      </c>
      <c r="F3782" s="28" t="s">
        <v>7212</v>
      </c>
      <c r="G3782" s="28" t="s">
        <v>20</v>
      </c>
      <c r="H3782" s="28" t="s">
        <v>71</v>
      </c>
      <c r="I3782" s="28" t="s">
        <v>72</v>
      </c>
      <c r="J3782" s="28" t="s">
        <v>11888</v>
      </c>
      <c r="K3782" s="28" t="s">
        <v>12131</v>
      </c>
      <c r="L3782" s="28" t="s">
        <v>4282</v>
      </c>
      <c r="M3782" s="28" t="s">
        <v>21</v>
      </c>
      <c r="N3782" s="27">
        <v>38971</v>
      </c>
      <c r="O3782" s="92">
        <v>39912</v>
      </c>
      <c r="P3782" s="28" t="s">
        <v>21</v>
      </c>
      <c r="Q3782" s="26" t="b">
        <v>0</v>
      </c>
      <c r="R3782" s="22">
        <f t="shared" si="61"/>
        <v>868</v>
      </c>
    </row>
    <row r="3783" spans="1:18">
      <c r="A3783" s="26">
        <v>8639</v>
      </c>
      <c r="B3783" s="27">
        <v>39049</v>
      </c>
      <c r="C3783" s="28" t="s">
        <v>12132</v>
      </c>
      <c r="D3783" s="27">
        <v>39043</v>
      </c>
      <c r="E3783" s="28" t="s">
        <v>12133</v>
      </c>
      <c r="F3783" s="28" t="s">
        <v>52</v>
      </c>
      <c r="G3783" s="28" t="s">
        <v>20</v>
      </c>
      <c r="H3783" s="28" t="s">
        <v>71</v>
      </c>
      <c r="I3783" s="28" t="s">
        <v>72</v>
      </c>
      <c r="J3783" s="28" t="s">
        <v>12134</v>
      </c>
      <c r="K3783" s="28" t="s">
        <v>12135</v>
      </c>
      <c r="L3783" s="28" t="s">
        <v>4579</v>
      </c>
      <c r="M3783" s="28" t="s">
        <v>21</v>
      </c>
      <c r="N3783" s="29">
        <v>39073</v>
      </c>
      <c r="O3783" s="92">
        <v>39190</v>
      </c>
      <c r="P3783" s="28" t="s">
        <v>31</v>
      </c>
      <c r="Q3783" s="26" t="b">
        <v>1</v>
      </c>
      <c r="R3783" s="22">
        <f t="shared" si="61"/>
        <v>141</v>
      </c>
    </row>
    <row r="3784" spans="1:18">
      <c r="A3784" s="26">
        <v>8640</v>
      </c>
      <c r="B3784" s="27">
        <v>39049</v>
      </c>
      <c r="C3784" s="28" t="s">
        <v>12136</v>
      </c>
      <c r="D3784" s="27">
        <v>39048</v>
      </c>
      <c r="E3784" s="28" t="s">
        <v>12137</v>
      </c>
      <c r="F3784" s="28" t="s">
        <v>1232</v>
      </c>
      <c r="G3784" s="28" t="s">
        <v>20</v>
      </c>
      <c r="H3784" s="28" t="s">
        <v>189</v>
      </c>
      <c r="I3784" s="28" t="s">
        <v>189</v>
      </c>
      <c r="J3784" s="28" t="s">
        <v>12138</v>
      </c>
      <c r="K3784" s="28" t="s">
        <v>12139</v>
      </c>
      <c r="L3784" s="28" t="s">
        <v>8318</v>
      </c>
      <c r="M3784" s="28" t="s">
        <v>21</v>
      </c>
      <c r="N3784" s="27">
        <v>38775</v>
      </c>
      <c r="O3784" s="92">
        <v>39049</v>
      </c>
      <c r="P3784" s="28" t="s">
        <v>31</v>
      </c>
      <c r="Q3784" s="26" t="b">
        <v>1</v>
      </c>
      <c r="R3784" s="22">
        <f t="shared" si="61"/>
        <v>0</v>
      </c>
    </row>
    <row r="3785" spans="1:18">
      <c r="A3785" s="26">
        <v>8641</v>
      </c>
      <c r="B3785" s="27">
        <v>39050</v>
      </c>
      <c r="C3785" s="28" t="s">
        <v>12140</v>
      </c>
      <c r="D3785" s="27">
        <v>39049</v>
      </c>
      <c r="E3785" s="28" t="s">
        <v>11030</v>
      </c>
      <c r="F3785" s="28" t="s">
        <v>5690</v>
      </c>
      <c r="G3785" s="28" t="s">
        <v>20</v>
      </c>
      <c r="H3785" s="28" t="s">
        <v>71</v>
      </c>
      <c r="I3785" s="28" t="s">
        <v>72</v>
      </c>
      <c r="J3785" s="28" t="s">
        <v>12141</v>
      </c>
      <c r="K3785" s="28" t="s">
        <v>12142</v>
      </c>
      <c r="L3785" s="28" t="s">
        <v>8318</v>
      </c>
      <c r="M3785" s="28" t="s">
        <v>21</v>
      </c>
      <c r="N3785" s="27">
        <v>39055</v>
      </c>
      <c r="O3785" s="92">
        <v>39085</v>
      </c>
      <c r="P3785" s="28" t="s">
        <v>21</v>
      </c>
      <c r="Q3785" s="26" t="b">
        <v>0</v>
      </c>
      <c r="R3785" s="22">
        <f t="shared" si="61"/>
        <v>34</v>
      </c>
    </row>
    <row r="3786" spans="1:18">
      <c r="A3786" s="26">
        <v>8642</v>
      </c>
      <c r="B3786" s="27">
        <v>39052</v>
      </c>
      <c r="C3786" s="28" t="s">
        <v>12143</v>
      </c>
      <c r="D3786" s="27">
        <v>39049</v>
      </c>
      <c r="E3786" s="28" t="s">
        <v>12144</v>
      </c>
      <c r="F3786" s="28" t="s">
        <v>10967</v>
      </c>
      <c r="G3786" s="28" t="s">
        <v>20</v>
      </c>
      <c r="H3786" s="28" t="s">
        <v>71</v>
      </c>
      <c r="I3786" s="28" t="s">
        <v>72</v>
      </c>
      <c r="J3786" s="28" t="s">
        <v>12145</v>
      </c>
      <c r="K3786" s="28" t="s">
        <v>21</v>
      </c>
      <c r="L3786" s="28" t="s">
        <v>8318</v>
      </c>
      <c r="M3786" s="28" t="s">
        <v>21</v>
      </c>
      <c r="N3786" s="18"/>
      <c r="O3786" s="92">
        <v>39051</v>
      </c>
      <c r="P3786" s="28" t="s">
        <v>31</v>
      </c>
      <c r="Q3786" s="26" t="b">
        <v>1</v>
      </c>
      <c r="R3786" s="22">
        <f t="shared" si="61"/>
        <v>1</v>
      </c>
    </row>
    <row r="3787" spans="1:18">
      <c r="A3787" s="26">
        <v>8643</v>
      </c>
      <c r="B3787" s="27">
        <v>39052</v>
      </c>
      <c r="C3787" s="28" t="s">
        <v>12146</v>
      </c>
      <c r="D3787" s="27">
        <v>39049</v>
      </c>
      <c r="E3787" s="28" t="s">
        <v>12147</v>
      </c>
      <c r="F3787" s="28" t="s">
        <v>10838</v>
      </c>
      <c r="G3787" s="28" t="s">
        <v>20</v>
      </c>
      <c r="H3787" s="28" t="s">
        <v>71</v>
      </c>
      <c r="I3787" s="28" t="s">
        <v>72</v>
      </c>
      <c r="J3787" s="28" t="s">
        <v>12148</v>
      </c>
      <c r="K3787" s="28" t="s">
        <v>2916</v>
      </c>
      <c r="L3787" s="28" t="s">
        <v>4282</v>
      </c>
      <c r="M3787" s="28" t="s">
        <v>21</v>
      </c>
      <c r="N3787" s="27">
        <v>39095</v>
      </c>
      <c r="O3787" s="92">
        <v>40750</v>
      </c>
      <c r="P3787" s="28" t="s">
        <v>31</v>
      </c>
      <c r="Q3787" s="26" t="b">
        <v>1</v>
      </c>
      <c r="R3787" s="22">
        <f t="shared" si="61"/>
        <v>1698</v>
      </c>
    </row>
    <row r="3788" spans="1:18">
      <c r="A3788" s="26">
        <v>8644</v>
      </c>
      <c r="B3788" s="27">
        <v>39052</v>
      </c>
      <c r="C3788" s="28" t="s">
        <v>12149</v>
      </c>
      <c r="D3788" s="27">
        <v>39045</v>
      </c>
      <c r="E3788" s="28" t="s">
        <v>12150</v>
      </c>
      <c r="F3788" s="28" t="s">
        <v>129</v>
      </c>
      <c r="G3788" s="28" t="s">
        <v>20</v>
      </c>
      <c r="H3788" s="28" t="s">
        <v>71</v>
      </c>
      <c r="I3788" s="28" t="s">
        <v>72</v>
      </c>
      <c r="J3788" s="28" t="s">
        <v>9679</v>
      </c>
      <c r="K3788" s="28" t="s">
        <v>21</v>
      </c>
      <c r="L3788" s="28" t="s">
        <v>8318</v>
      </c>
      <c r="M3788" s="28" t="s">
        <v>21</v>
      </c>
      <c r="N3788" s="29">
        <v>39095</v>
      </c>
      <c r="O3788" s="92">
        <v>39073</v>
      </c>
      <c r="P3788" s="28" t="s">
        <v>31</v>
      </c>
      <c r="Q3788" s="26" t="b">
        <v>1</v>
      </c>
      <c r="R3788" s="22">
        <f t="shared" si="61"/>
        <v>21</v>
      </c>
    </row>
    <row r="3789" spans="1:18">
      <c r="A3789" s="26">
        <v>8645</v>
      </c>
      <c r="B3789" s="27">
        <v>39052</v>
      </c>
      <c r="C3789" s="28" t="s">
        <v>12151</v>
      </c>
      <c r="D3789" s="27">
        <v>39043</v>
      </c>
      <c r="E3789" s="28" t="s">
        <v>12152</v>
      </c>
      <c r="F3789" s="28" t="s">
        <v>242</v>
      </c>
      <c r="G3789" s="28" t="s">
        <v>20</v>
      </c>
      <c r="H3789" s="28" t="s">
        <v>71</v>
      </c>
      <c r="I3789" s="28" t="s">
        <v>72</v>
      </c>
      <c r="J3789" s="28" t="s">
        <v>12153</v>
      </c>
      <c r="K3789" s="28" t="s">
        <v>12154</v>
      </c>
      <c r="L3789" s="28" t="s">
        <v>10871</v>
      </c>
      <c r="M3789" s="28" t="s">
        <v>21</v>
      </c>
      <c r="N3789" s="27">
        <v>39095</v>
      </c>
      <c r="O3789" s="92">
        <v>39246</v>
      </c>
      <c r="P3789" s="28" t="s">
        <v>31</v>
      </c>
      <c r="Q3789" s="26" t="b">
        <v>1</v>
      </c>
      <c r="R3789" s="22">
        <f t="shared" si="61"/>
        <v>194</v>
      </c>
    </row>
    <row r="3790" spans="1:18">
      <c r="A3790" s="26">
        <v>8646</v>
      </c>
      <c r="B3790" s="27">
        <v>39052</v>
      </c>
      <c r="C3790" s="28" t="s">
        <v>12155</v>
      </c>
      <c r="D3790" s="27">
        <v>39037</v>
      </c>
      <c r="E3790" s="28" t="s">
        <v>12156</v>
      </c>
      <c r="F3790" s="28" t="s">
        <v>990</v>
      </c>
      <c r="G3790" s="28" t="s">
        <v>20</v>
      </c>
      <c r="H3790" s="28" t="s">
        <v>71</v>
      </c>
      <c r="I3790" s="28" t="s">
        <v>72</v>
      </c>
      <c r="J3790" s="28" t="s">
        <v>12157</v>
      </c>
      <c r="K3790" s="28" t="s">
        <v>9597</v>
      </c>
      <c r="L3790" s="28" t="s">
        <v>3588</v>
      </c>
      <c r="M3790" s="28" t="s">
        <v>11975</v>
      </c>
      <c r="N3790" s="29">
        <v>39097</v>
      </c>
      <c r="O3790" s="92">
        <v>39708</v>
      </c>
      <c r="P3790" s="28" t="s">
        <v>31</v>
      </c>
      <c r="Q3790" s="26" t="b">
        <v>1</v>
      </c>
      <c r="R3790" s="22">
        <f t="shared" si="61"/>
        <v>654</v>
      </c>
    </row>
    <row r="3791" spans="1:18">
      <c r="A3791" s="26">
        <v>8647</v>
      </c>
      <c r="B3791" s="27">
        <v>39055</v>
      </c>
      <c r="C3791" s="28" t="s">
        <v>12158</v>
      </c>
      <c r="D3791" s="27">
        <v>39050</v>
      </c>
      <c r="E3791" s="28" t="s">
        <v>38</v>
      </c>
      <c r="F3791" s="28" t="s">
        <v>5690</v>
      </c>
      <c r="G3791" s="28" t="s">
        <v>20</v>
      </c>
      <c r="H3791" s="28" t="s">
        <v>71</v>
      </c>
      <c r="I3791" s="28" t="s">
        <v>72</v>
      </c>
      <c r="J3791" s="28" t="s">
        <v>7071</v>
      </c>
      <c r="K3791" s="28" t="s">
        <v>11008</v>
      </c>
      <c r="L3791" s="28" t="s">
        <v>8318</v>
      </c>
      <c r="M3791" s="28" t="s">
        <v>21</v>
      </c>
      <c r="N3791" s="18"/>
      <c r="O3791" s="92">
        <v>39055</v>
      </c>
      <c r="P3791" s="28" t="s">
        <v>21</v>
      </c>
      <c r="Q3791" s="26" t="b">
        <v>0</v>
      </c>
      <c r="R3791" s="22">
        <f t="shared" si="61"/>
        <v>0</v>
      </c>
    </row>
    <row r="3792" spans="1:18">
      <c r="A3792" s="26">
        <v>8648</v>
      </c>
      <c r="B3792" s="27">
        <v>39056</v>
      </c>
      <c r="C3792" s="28" t="s">
        <v>12159</v>
      </c>
      <c r="D3792" s="27">
        <v>39056</v>
      </c>
      <c r="E3792" s="28" t="s">
        <v>12160</v>
      </c>
      <c r="F3792" s="28" t="s">
        <v>1232</v>
      </c>
      <c r="G3792" s="28" t="s">
        <v>20</v>
      </c>
      <c r="H3792" s="28" t="s">
        <v>189</v>
      </c>
      <c r="I3792" s="28" t="s">
        <v>189</v>
      </c>
      <c r="J3792" s="28" t="s">
        <v>12161</v>
      </c>
      <c r="K3792" s="28" t="s">
        <v>11513</v>
      </c>
      <c r="L3792" s="28" t="s">
        <v>4579</v>
      </c>
      <c r="M3792" s="28" t="s">
        <v>8318</v>
      </c>
      <c r="N3792" s="27">
        <v>39112</v>
      </c>
      <c r="O3792" s="92">
        <v>39115</v>
      </c>
      <c r="P3792" s="28" t="s">
        <v>31</v>
      </c>
      <c r="Q3792" s="26" t="b">
        <v>1</v>
      </c>
      <c r="R3792" s="22">
        <f t="shared" si="61"/>
        <v>57</v>
      </c>
    </row>
    <row r="3793" spans="1:18">
      <c r="A3793" s="26">
        <v>8649</v>
      </c>
      <c r="B3793" s="27">
        <v>39065</v>
      </c>
      <c r="C3793" s="28" t="s">
        <v>12162</v>
      </c>
      <c r="D3793" s="27">
        <v>39063</v>
      </c>
      <c r="E3793" s="28" t="s">
        <v>12163</v>
      </c>
      <c r="F3793" s="28" t="s">
        <v>129</v>
      </c>
      <c r="G3793" s="28" t="s">
        <v>20</v>
      </c>
      <c r="H3793" s="28" t="s">
        <v>71</v>
      </c>
      <c r="I3793" s="28" t="s">
        <v>72</v>
      </c>
      <c r="J3793" s="28" t="s">
        <v>11997</v>
      </c>
      <c r="K3793" s="28" t="s">
        <v>21</v>
      </c>
      <c r="L3793" s="28" t="s">
        <v>1946</v>
      </c>
      <c r="M3793" s="28" t="s">
        <v>21</v>
      </c>
      <c r="N3793" s="27">
        <v>39094</v>
      </c>
      <c r="O3793" s="92">
        <v>39114</v>
      </c>
      <c r="P3793" s="28" t="s">
        <v>31</v>
      </c>
      <c r="Q3793" s="26" t="b">
        <v>1</v>
      </c>
      <c r="R3793" s="22">
        <f t="shared" si="61"/>
        <v>47</v>
      </c>
    </row>
    <row r="3794" spans="1:18">
      <c r="A3794" s="26">
        <v>8650</v>
      </c>
      <c r="B3794" s="27">
        <v>39065</v>
      </c>
      <c r="C3794" s="28" t="s">
        <v>12164</v>
      </c>
      <c r="D3794" s="27">
        <v>39058</v>
      </c>
      <c r="E3794" s="28" t="s">
        <v>12165</v>
      </c>
      <c r="F3794" s="28" t="s">
        <v>1232</v>
      </c>
      <c r="G3794" s="28" t="s">
        <v>20</v>
      </c>
      <c r="H3794" s="28" t="s">
        <v>189</v>
      </c>
      <c r="I3794" s="28" t="s">
        <v>189</v>
      </c>
      <c r="J3794" s="28" t="s">
        <v>12166</v>
      </c>
      <c r="K3794" s="28" t="s">
        <v>12167</v>
      </c>
      <c r="L3794" s="28" t="s">
        <v>4579</v>
      </c>
      <c r="M3794" s="28" t="s">
        <v>8318</v>
      </c>
      <c r="N3794" s="29">
        <v>39155</v>
      </c>
      <c r="O3794" s="92">
        <v>39115</v>
      </c>
      <c r="P3794" s="28" t="s">
        <v>21</v>
      </c>
      <c r="Q3794" s="26" t="b">
        <v>0</v>
      </c>
      <c r="R3794" s="22">
        <f t="shared" si="61"/>
        <v>48</v>
      </c>
    </row>
    <row r="3795" spans="1:18">
      <c r="A3795" s="26">
        <v>8651</v>
      </c>
      <c r="B3795" s="27">
        <v>39065</v>
      </c>
      <c r="C3795" s="28" t="s">
        <v>12168</v>
      </c>
      <c r="D3795" s="27">
        <v>39062</v>
      </c>
      <c r="E3795" s="28" t="s">
        <v>12169</v>
      </c>
      <c r="F3795" s="28" t="s">
        <v>1232</v>
      </c>
      <c r="G3795" s="28" t="s">
        <v>20</v>
      </c>
      <c r="H3795" s="28" t="s">
        <v>189</v>
      </c>
      <c r="I3795" s="28" t="s">
        <v>189</v>
      </c>
      <c r="J3795" s="28" t="s">
        <v>12170</v>
      </c>
      <c r="K3795" s="28" t="s">
        <v>11513</v>
      </c>
      <c r="L3795" s="28" t="s">
        <v>4579</v>
      </c>
      <c r="M3795" s="28" t="s">
        <v>8318</v>
      </c>
      <c r="N3795" s="27">
        <v>39152</v>
      </c>
      <c r="O3795" s="92">
        <v>39115</v>
      </c>
      <c r="P3795" s="28" t="s">
        <v>21</v>
      </c>
      <c r="Q3795" s="26" t="b">
        <v>0</v>
      </c>
      <c r="R3795" s="22">
        <f t="shared" si="61"/>
        <v>48</v>
      </c>
    </row>
    <row r="3796" spans="1:18">
      <c r="A3796" s="26">
        <v>8652</v>
      </c>
      <c r="B3796" s="27">
        <v>39069</v>
      </c>
      <c r="C3796" s="28" t="s">
        <v>12171</v>
      </c>
      <c r="D3796" s="27">
        <v>39064</v>
      </c>
      <c r="E3796" s="28" t="s">
        <v>38</v>
      </c>
      <c r="F3796" s="28" t="s">
        <v>1232</v>
      </c>
      <c r="G3796" s="28" t="s">
        <v>20</v>
      </c>
      <c r="H3796" s="28" t="s">
        <v>189</v>
      </c>
      <c r="I3796" s="28" t="s">
        <v>189</v>
      </c>
      <c r="J3796" s="28" t="s">
        <v>12172</v>
      </c>
      <c r="K3796" s="28" t="s">
        <v>12173</v>
      </c>
      <c r="L3796" s="28" t="s">
        <v>8318</v>
      </c>
      <c r="M3796" s="28" t="s">
        <v>21</v>
      </c>
      <c r="N3796" s="18"/>
      <c r="O3796" s="92">
        <v>39066</v>
      </c>
      <c r="P3796" s="28" t="s">
        <v>21</v>
      </c>
      <c r="Q3796" s="26" t="b">
        <v>0</v>
      </c>
      <c r="R3796" s="22">
        <f t="shared" si="61"/>
        <v>3</v>
      </c>
    </row>
    <row r="3797" spans="1:18" ht="24">
      <c r="A3797" s="26">
        <v>8653</v>
      </c>
      <c r="B3797" s="27">
        <v>39079</v>
      </c>
      <c r="C3797" s="28" t="s">
        <v>12174</v>
      </c>
      <c r="D3797" s="27">
        <v>39065</v>
      </c>
      <c r="E3797" s="28" t="s">
        <v>12175</v>
      </c>
      <c r="F3797" s="28" t="s">
        <v>11915</v>
      </c>
      <c r="G3797" s="28" t="s">
        <v>20</v>
      </c>
      <c r="H3797" s="28" t="s">
        <v>71</v>
      </c>
      <c r="I3797" s="28" t="s">
        <v>72</v>
      </c>
      <c r="J3797" s="28" t="s">
        <v>12176</v>
      </c>
      <c r="K3797" s="28" t="s">
        <v>21</v>
      </c>
      <c r="L3797" s="28" t="s">
        <v>8318</v>
      </c>
      <c r="M3797" s="28" t="s">
        <v>21</v>
      </c>
      <c r="N3797" s="27">
        <v>39096</v>
      </c>
      <c r="O3797" s="92">
        <v>39077</v>
      </c>
      <c r="P3797" s="28" t="s">
        <v>21</v>
      </c>
      <c r="Q3797" s="26" t="b">
        <v>0</v>
      </c>
      <c r="R3797" s="22">
        <f t="shared" si="61"/>
        <v>2</v>
      </c>
    </row>
    <row r="3798" spans="1:18">
      <c r="A3798" s="26">
        <v>8654</v>
      </c>
      <c r="B3798" s="27">
        <v>39079</v>
      </c>
      <c r="C3798" s="28" t="s">
        <v>12177</v>
      </c>
      <c r="D3798" s="27">
        <v>39069</v>
      </c>
      <c r="E3798" s="28" t="s">
        <v>38</v>
      </c>
      <c r="F3798" s="28" t="s">
        <v>124</v>
      </c>
      <c r="G3798" s="28" t="s">
        <v>20</v>
      </c>
      <c r="H3798" s="28" t="s">
        <v>71</v>
      </c>
      <c r="I3798" s="28" t="s">
        <v>72</v>
      </c>
      <c r="J3798" s="28" t="s">
        <v>12178</v>
      </c>
      <c r="K3798" s="28" t="s">
        <v>21</v>
      </c>
      <c r="L3798" s="28" t="s">
        <v>8318</v>
      </c>
      <c r="M3798" s="28" t="s">
        <v>21</v>
      </c>
      <c r="N3798" s="18"/>
      <c r="O3798" s="92">
        <v>39077</v>
      </c>
      <c r="P3798" s="28" t="s">
        <v>21</v>
      </c>
      <c r="Q3798" s="26" t="b">
        <v>0</v>
      </c>
      <c r="R3798" s="22">
        <f t="shared" si="61"/>
        <v>2</v>
      </c>
    </row>
    <row r="3799" spans="1:18" ht="24">
      <c r="A3799" s="26">
        <v>8655</v>
      </c>
      <c r="B3799" s="27">
        <v>39079</v>
      </c>
      <c r="C3799" s="28" t="s">
        <v>12179</v>
      </c>
      <c r="D3799" s="27">
        <v>39069</v>
      </c>
      <c r="E3799" s="28" t="s">
        <v>12180</v>
      </c>
      <c r="F3799" s="28" t="s">
        <v>27</v>
      </c>
      <c r="G3799" s="28" t="s">
        <v>11905</v>
      </c>
      <c r="H3799" s="28" t="s">
        <v>71</v>
      </c>
      <c r="I3799" s="28" t="s">
        <v>72</v>
      </c>
      <c r="J3799" s="28" t="s">
        <v>12181</v>
      </c>
      <c r="K3799" s="28" t="s">
        <v>21</v>
      </c>
      <c r="L3799" s="28" t="s">
        <v>1946</v>
      </c>
      <c r="M3799" s="28" t="s">
        <v>21</v>
      </c>
      <c r="N3799" s="27">
        <v>39159</v>
      </c>
      <c r="O3799" s="92">
        <v>39111</v>
      </c>
      <c r="P3799" s="28" t="s">
        <v>31</v>
      </c>
      <c r="Q3799" s="26" t="b">
        <v>1</v>
      </c>
      <c r="R3799" s="22">
        <f t="shared" si="61"/>
        <v>31</v>
      </c>
    </row>
    <row r="3800" spans="1:18">
      <c r="A3800" s="26">
        <v>8656</v>
      </c>
      <c r="B3800" s="27">
        <v>39080</v>
      </c>
      <c r="C3800" s="28" t="s">
        <v>12182</v>
      </c>
      <c r="D3800" s="27">
        <v>39064</v>
      </c>
      <c r="E3800" s="28" t="s">
        <v>12183</v>
      </c>
      <c r="F3800" s="28" t="s">
        <v>10838</v>
      </c>
      <c r="G3800" s="28" t="s">
        <v>20</v>
      </c>
      <c r="H3800" s="28" t="s">
        <v>71</v>
      </c>
      <c r="I3800" s="28" t="s">
        <v>72</v>
      </c>
      <c r="J3800" s="28" t="s">
        <v>9014</v>
      </c>
      <c r="K3800" s="28" t="s">
        <v>21</v>
      </c>
      <c r="L3800" s="28" t="s">
        <v>1946</v>
      </c>
      <c r="M3800" s="28" t="s">
        <v>10871</v>
      </c>
      <c r="N3800" s="29">
        <v>39128</v>
      </c>
      <c r="O3800" s="92">
        <v>39967</v>
      </c>
      <c r="P3800" s="28" t="s">
        <v>31</v>
      </c>
      <c r="Q3800" s="26" t="b">
        <v>1</v>
      </c>
      <c r="R3800" s="22">
        <f t="shared" si="61"/>
        <v>886</v>
      </c>
    </row>
    <row r="3801" spans="1:18">
      <c r="A3801" s="26">
        <v>8657</v>
      </c>
      <c r="B3801" s="27">
        <v>39080</v>
      </c>
      <c r="C3801" s="28" t="s">
        <v>12184</v>
      </c>
      <c r="D3801" s="27">
        <v>39077</v>
      </c>
      <c r="E3801" s="28" t="s">
        <v>12185</v>
      </c>
      <c r="F3801" s="28" t="s">
        <v>10838</v>
      </c>
      <c r="G3801" s="28" t="s">
        <v>20</v>
      </c>
      <c r="H3801" s="28" t="s">
        <v>71</v>
      </c>
      <c r="I3801" s="28" t="s">
        <v>72</v>
      </c>
      <c r="J3801" s="28" t="s">
        <v>10249</v>
      </c>
      <c r="K3801" s="28" t="s">
        <v>12186</v>
      </c>
      <c r="L3801" s="28" t="s">
        <v>1946</v>
      </c>
      <c r="M3801" s="28" t="s">
        <v>10871</v>
      </c>
      <c r="N3801" s="29">
        <v>39128</v>
      </c>
      <c r="O3801" s="92">
        <v>39967</v>
      </c>
      <c r="P3801" s="28" t="s">
        <v>31</v>
      </c>
      <c r="Q3801" s="26" t="b">
        <v>1</v>
      </c>
      <c r="R3801" s="22">
        <f t="shared" ref="R3801:R3864" si="62">IF(O3801=" ", " ", INT(YEARFRAC(O3801, B3801)*365))</f>
        <v>886</v>
      </c>
    </row>
    <row r="3802" spans="1:18">
      <c r="A3802" s="26">
        <v>8658</v>
      </c>
      <c r="B3802" s="27">
        <v>39084</v>
      </c>
      <c r="C3802" s="28" t="s">
        <v>12187</v>
      </c>
      <c r="D3802" s="27">
        <v>39079</v>
      </c>
      <c r="E3802" s="28" t="s">
        <v>10998</v>
      </c>
      <c r="F3802" s="28" t="s">
        <v>1686</v>
      </c>
      <c r="G3802" s="28" t="s">
        <v>20</v>
      </c>
      <c r="H3802" s="28" t="s">
        <v>71</v>
      </c>
      <c r="I3802" s="28" t="s">
        <v>72</v>
      </c>
      <c r="J3802" s="28" t="s">
        <v>12188</v>
      </c>
      <c r="K3802" s="28" t="s">
        <v>12189</v>
      </c>
      <c r="L3802" s="28" t="s">
        <v>4282</v>
      </c>
      <c r="M3802" s="28" t="s">
        <v>21</v>
      </c>
      <c r="O3802" s="92">
        <v>39086</v>
      </c>
      <c r="P3802" s="28" t="s">
        <v>21</v>
      </c>
      <c r="Q3802" s="26" t="b">
        <v>0</v>
      </c>
      <c r="R3802" s="22">
        <f t="shared" si="62"/>
        <v>2</v>
      </c>
    </row>
    <row r="3803" spans="1:18">
      <c r="A3803" s="26">
        <v>8659</v>
      </c>
      <c r="B3803" s="27">
        <v>39086</v>
      </c>
      <c r="C3803" s="28" t="s">
        <v>12190</v>
      </c>
      <c r="D3803" s="27">
        <v>39086</v>
      </c>
      <c r="E3803" s="28" t="s">
        <v>12191</v>
      </c>
      <c r="F3803" s="28" t="s">
        <v>984</v>
      </c>
      <c r="G3803" s="28" t="s">
        <v>20</v>
      </c>
      <c r="H3803" s="28" t="s">
        <v>71</v>
      </c>
      <c r="I3803" s="28" t="s">
        <v>72</v>
      </c>
      <c r="J3803" s="28" t="s">
        <v>12192</v>
      </c>
      <c r="K3803" s="28" t="s">
        <v>12193</v>
      </c>
      <c r="L3803" s="28" t="s">
        <v>4579</v>
      </c>
      <c r="M3803" s="28" t="s">
        <v>21</v>
      </c>
      <c r="N3803" s="29">
        <v>39176</v>
      </c>
      <c r="O3803" s="92">
        <v>39106</v>
      </c>
      <c r="P3803" s="28" t="s">
        <v>21</v>
      </c>
      <c r="Q3803" s="26" t="b">
        <v>1</v>
      </c>
      <c r="R3803" s="22">
        <f t="shared" si="62"/>
        <v>20</v>
      </c>
    </row>
    <row r="3804" spans="1:18">
      <c r="A3804" s="26">
        <v>8660</v>
      </c>
      <c r="B3804" s="27">
        <v>39087</v>
      </c>
      <c r="C3804" s="28" t="s">
        <v>12194</v>
      </c>
      <c r="D3804" s="27">
        <v>39087</v>
      </c>
      <c r="E3804" s="28" t="s">
        <v>12195</v>
      </c>
      <c r="F3804" s="28" t="s">
        <v>350</v>
      </c>
      <c r="G3804" s="28" t="s">
        <v>20</v>
      </c>
      <c r="H3804" s="28" t="s">
        <v>71</v>
      </c>
      <c r="I3804" s="28" t="s">
        <v>72</v>
      </c>
      <c r="J3804" s="28" t="s">
        <v>11997</v>
      </c>
      <c r="K3804" s="28" t="s">
        <v>12196</v>
      </c>
      <c r="L3804" s="28" t="s">
        <v>1946</v>
      </c>
      <c r="M3804" s="28" t="s">
        <v>21</v>
      </c>
      <c r="N3804" s="29">
        <v>39118</v>
      </c>
      <c r="O3804" s="92">
        <v>39114</v>
      </c>
      <c r="P3804" s="28" t="s">
        <v>31</v>
      </c>
      <c r="Q3804" s="26" t="b">
        <v>1</v>
      </c>
      <c r="R3804" s="22">
        <f t="shared" si="62"/>
        <v>26</v>
      </c>
    </row>
    <row r="3805" spans="1:18">
      <c r="A3805" s="26">
        <v>8661</v>
      </c>
      <c r="B3805" s="27">
        <v>39090</v>
      </c>
      <c r="C3805" s="28" t="s">
        <v>12197</v>
      </c>
      <c r="D3805" s="27">
        <v>39090</v>
      </c>
      <c r="E3805" s="28" t="s">
        <v>12198</v>
      </c>
      <c r="F3805" s="28" t="s">
        <v>52</v>
      </c>
      <c r="G3805" s="28" t="s">
        <v>20</v>
      </c>
      <c r="H3805" s="28" t="s">
        <v>71</v>
      </c>
      <c r="I3805" s="28" t="s">
        <v>72</v>
      </c>
      <c r="J3805" s="28" t="s">
        <v>12199</v>
      </c>
      <c r="K3805" s="28" t="s">
        <v>12200</v>
      </c>
      <c r="L3805" s="28" t="s">
        <v>4282</v>
      </c>
      <c r="M3805" s="28" t="s">
        <v>21</v>
      </c>
      <c r="N3805" s="29">
        <v>39121</v>
      </c>
      <c r="O3805" s="92">
        <v>39218</v>
      </c>
      <c r="P3805" s="28" t="s">
        <v>31</v>
      </c>
      <c r="Q3805" s="26" t="b">
        <v>1</v>
      </c>
      <c r="R3805" s="22">
        <f t="shared" si="62"/>
        <v>129</v>
      </c>
    </row>
    <row r="3806" spans="1:18">
      <c r="A3806" s="26">
        <v>8662</v>
      </c>
      <c r="B3806" s="27">
        <v>39090</v>
      </c>
      <c r="C3806" s="28" t="s">
        <v>12201</v>
      </c>
      <c r="D3806" s="27">
        <v>39090</v>
      </c>
      <c r="E3806" s="28" t="s">
        <v>12202</v>
      </c>
      <c r="F3806" s="28" t="s">
        <v>27</v>
      </c>
      <c r="G3806" s="28" t="s">
        <v>20</v>
      </c>
      <c r="H3806" s="28" t="s">
        <v>71</v>
      </c>
      <c r="I3806" s="28" t="s">
        <v>72</v>
      </c>
      <c r="J3806" s="28" t="s">
        <v>12203</v>
      </c>
      <c r="K3806" s="28" t="s">
        <v>12204</v>
      </c>
      <c r="L3806" s="28" t="s">
        <v>4282</v>
      </c>
      <c r="M3806" s="28" t="s">
        <v>21</v>
      </c>
      <c r="N3806" s="29">
        <v>39180</v>
      </c>
      <c r="O3806" s="92">
        <v>39174</v>
      </c>
      <c r="P3806" s="28" t="s">
        <v>31</v>
      </c>
      <c r="Q3806" s="26" t="b">
        <v>1</v>
      </c>
      <c r="R3806" s="22">
        <f t="shared" si="62"/>
        <v>85</v>
      </c>
    </row>
    <row r="3807" spans="1:18">
      <c r="A3807" s="26">
        <v>8663</v>
      </c>
      <c r="B3807" s="27">
        <v>39091</v>
      </c>
      <c r="C3807" s="28" t="s">
        <v>12205</v>
      </c>
      <c r="D3807" s="27">
        <v>39091</v>
      </c>
      <c r="E3807" s="28" t="s">
        <v>12206</v>
      </c>
      <c r="F3807" s="28" t="s">
        <v>5690</v>
      </c>
      <c r="G3807" s="28" t="s">
        <v>20</v>
      </c>
      <c r="H3807" s="28" t="s">
        <v>71</v>
      </c>
      <c r="I3807" s="28" t="s">
        <v>72</v>
      </c>
      <c r="J3807" s="28" t="s">
        <v>12207</v>
      </c>
      <c r="K3807" s="28" t="s">
        <v>12167</v>
      </c>
      <c r="L3807" s="28" t="s">
        <v>8318</v>
      </c>
      <c r="M3807" s="28" t="s">
        <v>21</v>
      </c>
      <c r="N3807" s="29">
        <v>39181</v>
      </c>
      <c r="O3807" s="92">
        <v>39122</v>
      </c>
      <c r="P3807" s="28" t="s">
        <v>21</v>
      </c>
      <c r="Q3807" s="26" t="b">
        <v>0</v>
      </c>
      <c r="R3807" s="22">
        <f t="shared" si="62"/>
        <v>30</v>
      </c>
    </row>
    <row r="3808" spans="1:18" ht="24">
      <c r="A3808" s="26">
        <v>8664</v>
      </c>
      <c r="B3808" s="27">
        <v>39100</v>
      </c>
      <c r="C3808" s="28" t="s">
        <v>12208</v>
      </c>
      <c r="D3808" s="27">
        <v>39100</v>
      </c>
      <c r="E3808" s="28" t="s">
        <v>1928</v>
      </c>
      <c r="F3808" s="28" t="s">
        <v>1232</v>
      </c>
      <c r="G3808" s="28" t="s">
        <v>20</v>
      </c>
      <c r="H3808" s="28" t="s">
        <v>189</v>
      </c>
      <c r="I3808" s="28" t="s">
        <v>189</v>
      </c>
      <c r="J3808" s="28" t="s">
        <v>12209</v>
      </c>
      <c r="K3808" s="28" t="s">
        <v>21</v>
      </c>
      <c r="L3808" s="28" t="s">
        <v>11155</v>
      </c>
      <c r="M3808" s="28" t="s">
        <v>21</v>
      </c>
      <c r="O3808" s="92">
        <v>39100</v>
      </c>
      <c r="P3808" s="28" t="s">
        <v>182</v>
      </c>
      <c r="Q3808" s="26" t="b">
        <v>0</v>
      </c>
      <c r="R3808" s="22">
        <f t="shared" si="62"/>
        <v>0</v>
      </c>
    </row>
    <row r="3809" spans="1:18" ht="24">
      <c r="A3809" s="26">
        <v>8665</v>
      </c>
      <c r="B3809" s="27">
        <v>39100</v>
      </c>
      <c r="C3809" s="28" t="s">
        <v>12210</v>
      </c>
      <c r="D3809" s="27">
        <v>39100</v>
      </c>
      <c r="E3809" s="28" t="s">
        <v>283</v>
      </c>
      <c r="F3809" s="28" t="s">
        <v>52</v>
      </c>
      <c r="G3809" s="28" t="s">
        <v>20</v>
      </c>
      <c r="H3809" s="28" t="s">
        <v>71</v>
      </c>
      <c r="I3809" s="28" t="s">
        <v>72</v>
      </c>
      <c r="J3809" s="28" t="s">
        <v>12211</v>
      </c>
      <c r="K3809" s="28" t="s">
        <v>5483</v>
      </c>
      <c r="L3809" s="28" t="s">
        <v>4579</v>
      </c>
      <c r="M3809" s="28" t="s">
        <v>21</v>
      </c>
      <c r="O3809" s="92">
        <v>39238</v>
      </c>
      <c r="P3809" s="28" t="s">
        <v>21</v>
      </c>
      <c r="Q3809" s="26" t="b">
        <v>0</v>
      </c>
      <c r="R3809" s="22">
        <f t="shared" si="62"/>
        <v>138</v>
      </c>
    </row>
    <row r="3810" spans="1:18" ht="24">
      <c r="A3810" s="26">
        <v>8666</v>
      </c>
      <c r="B3810" s="27">
        <v>39100</v>
      </c>
      <c r="C3810" s="28" t="s">
        <v>12212</v>
      </c>
      <c r="D3810" s="27">
        <v>39100</v>
      </c>
      <c r="E3810" s="28" t="s">
        <v>283</v>
      </c>
      <c r="F3810" s="28" t="s">
        <v>8615</v>
      </c>
      <c r="G3810" s="28" t="s">
        <v>20</v>
      </c>
      <c r="H3810" s="28" t="s">
        <v>71</v>
      </c>
      <c r="I3810" s="28" t="s">
        <v>72</v>
      </c>
      <c r="J3810" s="28" t="s">
        <v>12213</v>
      </c>
      <c r="K3810" s="28" t="s">
        <v>12214</v>
      </c>
      <c r="L3810" s="28" t="s">
        <v>4282</v>
      </c>
      <c r="M3810" s="28" t="s">
        <v>21</v>
      </c>
      <c r="O3810" s="92">
        <v>39238</v>
      </c>
      <c r="P3810" s="28" t="s">
        <v>21</v>
      </c>
      <c r="Q3810" s="26" t="b">
        <v>0</v>
      </c>
      <c r="R3810" s="22">
        <f t="shared" si="62"/>
        <v>138</v>
      </c>
    </row>
    <row r="3811" spans="1:18">
      <c r="A3811" s="26">
        <v>8667</v>
      </c>
      <c r="B3811" s="27">
        <v>39100</v>
      </c>
      <c r="C3811" s="28" t="s">
        <v>12215</v>
      </c>
      <c r="D3811" s="27">
        <v>39100</v>
      </c>
      <c r="E3811" s="28" t="s">
        <v>283</v>
      </c>
      <c r="F3811" s="28" t="s">
        <v>306</v>
      </c>
      <c r="G3811" s="28" t="s">
        <v>20</v>
      </c>
      <c r="H3811" s="28" t="s">
        <v>71</v>
      </c>
      <c r="I3811" s="28" t="s">
        <v>72</v>
      </c>
      <c r="J3811" s="28" t="s">
        <v>12216</v>
      </c>
      <c r="K3811" s="28" t="s">
        <v>12217</v>
      </c>
      <c r="L3811" s="28" t="s">
        <v>1946</v>
      </c>
      <c r="M3811" s="28" t="s">
        <v>21</v>
      </c>
      <c r="N3811" s="18"/>
      <c r="O3811" s="92">
        <v>39238</v>
      </c>
      <c r="P3811" s="28" t="s">
        <v>21</v>
      </c>
      <c r="Q3811" s="26" t="b">
        <v>0</v>
      </c>
      <c r="R3811" s="22">
        <f t="shared" si="62"/>
        <v>138</v>
      </c>
    </row>
    <row r="3812" spans="1:18" ht="24">
      <c r="A3812" s="26">
        <v>8668</v>
      </c>
      <c r="B3812" s="27">
        <v>39100</v>
      </c>
      <c r="C3812" s="28" t="s">
        <v>12218</v>
      </c>
      <c r="D3812" s="27">
        <v>39100</v>
      </c>
      <c r="E3812" s="28" t="s">
        <v>283</v>
      </c>
      <c r="F3812" s="28" t="s">
        <v>242</v>
      </c>
      <c r="G3812" s="28" t="s">
        <v>20</v>
      </c>
      <c r="H3812" s="28" t="s">
        <v>71</v>
      </c>
      <c r="I3812" s="28" t="s">
        <v>72</v>
      </c>
      <c r="J3812" s="28" t="s">
        <v>12219</v>
      </c>
      <c r="K3812" s="28" t="s">
        <v>10311</v>
      </c>
      <c r="L3812" s="28" t="s">
        <v>4579</v>
      </c>
      <c r="M3812" s="28" t="s">
        <v>21</v>
      </c>
      <c r="N3812" s="18"/>
      <c r="O3812" s="92">
        <v>39238</v>
      </c>
      <c r="P3812" s="28" t="s">
        <v>21</v>
      </c>
      <c r="Q3812" s="26" t="b">
        <v>0</v>
      </c>
      <c r="R3812" s="22">
        <f t="shared" si="62"/>
        <v>138</v>
      </c>
    </row>
    <row r="3813" spans="1:18">
      <c r="A3813" s="26">
        <v>8669</v>
      </c>
      <c r="B3813" s="27">
        <v>39100</v>
      </c>
      <c r="C3813" s="28" t="s">
        <v>12220</v>
      </c>
      <c r="D3813" s="27">
        <v>39100</v>
      </c>
      <c r="E3813" s="28" t="s">
        <v>283</v>
      </c>
      <c r="F3813" s="28" t="s">
        <v>85</v>
      </c>
      <c r="G3813" s="28" t="s">
        <v>20</v>
      </c>
      <c r="H3813" s="28" t="s">
        <v>71</v>
      </c>
      <c r="I3813" s="28" t="s">
        <v>72</v>
      </c>
      <c r="J3813" s="28" t="s">
        <v>12221</v>
      </c>
      <c r="K3813" s="28" t="s">
        <v>12222</v>
      </c>
      <c r="L3813" s="28" t="s">
        <v>10871</v>
      </c>
      <c r="M3813" s="28" t="s">
        <v>21</v>
      </c>
      <c r="N3813" s="18"/>
      <c r="O3813" s="92">
        <v>39162</v>
      </c>
      <c r="P3813" s="28" t="s">
        <v>21</v>
      </c>
      <c r="Q3813" s="26" t="b">
        <v>0</v>
      </c>
      <c r="R3813" s="22">
        <f t="shared" si="62"/>
        <v>63</v>
      </c>
    </row>
    <row r="3814" spans="1:18">
      <c r="A3814" s="26">
        <v>8673</v>
      </c>
      <c r="B3814" s="27">
        <v>39100</v>
      </c>
      <c r="C3814" s="28" t="s">
        <v>12223</v>
      </c>
      <c r="D3814" s="27">
        <v>39100</v>
      </c>
      <c r="E3814" s="28" t="s">
        <v>283</v>
      </c>
      <c r="F3814" s="28" t="s">
        <v>12224</v>
      </c>
      <c r="G3814" s="28" t="s">
        <v>20</v>
      </c>
      <c r="H3814" s="28" t="s">
        <v>71</v>
      </c>
      <c r="I3814" s="28" t="s">
        <v>72</v>
      </c>
      <c r="J3814" s="28" t="s">
        <v>12225</v>
      </c>
      <c r="K3814" s="28" t="s">
        <v>12226</v>
      </c>
      <c r="L3814" s="28" t="s">
        <v>4282</v>
      </c>
      <c r="M3814" s="28" t="s">
        <v>21</v>
      </c>
      <c r="N3814" s="18"/>
      <c r="O3814" s="92">
        <v>39162</v>
      </c>
      <c r="P3814" s="28" t="s">
        <v>21</v>
      </c>
      <c r="Q3814" s="26" t="b">
        <v>0</v>
      </c>
      <c r="R3814" s="22">
        <f t="shared" si="62"/>
        <v>63</v>
      </c>
    </row>
    <row r="3815" spans="1:18" ht="24">
      <c r="A3815" s="26">
        <v>8674</v>
      </c>
      <c r="B3815" s="27">
        <v>39100</v>
      </c>
      <c r="C3815" s="28" t="s">
        <v>12227</v>
      </c>
      <c r="D3815" s="27">
        <v>39100</v>
      </c>
      <c r="E3815" s="28" t="s">
        <v>283</v>
      </c>
      <c r="F3815" s="28" t="s">
        <v>52</v>
      </c>
      <c r="G3815" s="28" t="s">
        <v>20</v>
      </c>
      <c r="H3815" s="28" t="s">
        <v>71</v>
      </c>
      <c r="I3815" s="28" t="s">
        <v>72</v>
      </c>
      <c r="J3815" s="28" t="s">
        <v>12228</v>
      </c>
      <c r="K3815" s="28" t="s">
        <v>12229</v>
      </c>
      <c r="L3815" s="28" t="s">
        <v>4579</v>
      </c>
      <c r="M3815" s="28" t="s">
        <v>21</v>
      </c>
      <c r="N3815" s="18"/>
      <c r="O3815" s="92">
        <v>39238</v>
      </c>
      <c r="P3815" s="28" t="s">
        <v>21</v>
      </c>
      <c r="Q3815" s="26" t="b">
        <v>0</v>
      </c>
      <c r="R3815" s="22">
        <f t="shared" si="62"/>
        <v>138</v>
      </c>
    </row>
    <row r="3816" spans="1:18" ht="24">
      <c r="A3816" s="26">
        <v>8676</v>
      </c>
      <c r="B3816" s="27">
        <v>39100</v>
      </c>
      <c r="C3816" s="28" t="s">
        <v>12230</v>
      </c>
      <c r="D3816" s="27">
        <v>39100</v>
      </c>
      <c r="E3816" s="28" t="s">
        <v>283</v>
      </c>
      <c r="F3816" s="28" t="s">
        <v>104</v>
      </c>
      <c r="G3816" s="28" t="s">
        <v>20</v>
      </c>
      <c r="H3816" s="28" t="s">
        <v>71</v>
      </c>
      <c r="I3816" s="28" t="s">
        <v>72</v>
      </c>
      <c r="J3816" s="28" t="s">
        <v>12231</v>
      </c>
      <c r="K3816" s="28" t="s">
        <v>12232</v>
      </c>
      <c r="L3816" s="28" t="s">
        <v>4579</v>
      </c>
      <c r="M3816" s="28" t="s">
        <v>21</v>
      </c>
      <c r="O3816" s="92">
        <v>39162</v>
      </c>
      <c r="P3816" s="28" t="s">
        <v>21</v>
      </c>
      <c r="Q3816" s="26" t="b">
        <v>0</v>
      </c>
      <c r="R3816" s="22">
        <f t="shared" si="62"/>
        <v>63</v>
      </c>
    </row>
    <row r="3817" spans="1:18">
      <c r="A3817" s="26">
        <v>8677</v>
      </c>
      <c r="B3817" s="27">
        <v>39100</v>
      </c>
      <c r="C3817" s="28" t="s">
        <v>12233</v>
      </c>
      <c r="D3817" s="27">
        <v>39100</v>
      </c>
      <c r="E3817" s="28" t="s">
        <v>283</v>
      </c>
      <c r="F3817" s="28" t="s">
        <v>283</v>
      </c>
      <c r="G3817" s="28" t="s">
        <v>20</v>
      </c>
      <c r="H3817" s="28" t="s">
        <v>71</v>
      </c>
      <c r="I3817" s="28" t="s">
        <v>72</v>
      </c>
      <c r="J3817" s="28" t="s">
        <v>12234</v>
      </c>
      <c r="K3817" s="28" t="s">
        <v>12235</v>
      </c>
      <c r="L3817" s="28" t="s">
        <v>10871</v>
      </c>
      <c r="M3817" s="28" t="s">
        <v>21</v>
      </c>
      <c r="N3817" s="18"/>
      <c r="O3817" s="92">
        <v>39210</v>
      </c>
      <c r="P3817" s="28" t="s">
        <v>21</v>
      </c>
      <c r="Q3817" s="26" t="b">
        <v>0</v>
      </c>
      <c r="R3817" s="22">
        <f t="shared" si="62"/>
        <v>111</v>
      </c>
    </row>
    <row r="3818" spans="1:18" ht="24">
      <c r="A3818" s="26">
        <v>8678</v>
      </c>
      <c r="B3818" s="27">
        <v>39100</v>
      </c>
      <c r="C3818" s="28" t="s">
        <v>12236</v>
      </c>
      <c r="D3818" s="27">
        <v>39100</v>
      </c>
      <c r="E3818" s="28" t="s">
        <v>283</v>
      </c>
      <c r="F3818" s="28" t="s">
        <v>104</v>
      </c>
      <c r="G3818" s="28" t="s">
        <v>20</v>
      </c>
      <c r="H3818" s="28" t="s">
        <v>71</v>
      </c>
      <c r="I3818" s="28" t="s">
        <v>72</v>
      </c>
      <c r="J3818" s="28" t="s">
        <v>12237</v>
      </c>
      <c r="K3818" s="28" t="s">
        <v>12214</v>
      </c>
      <c r="L3818" s="28" t="s">
        <v>4282</v>
      </c>
      <c r="M3818" s="28" t="s">
        <v>21</v>
      </c>
      <c r="N3818" s="18"/>
      <c r="O3818" s="92">
        <v>39238</v>
      </c>
      <c r="P3818" s="28" t="s">
        <v>21</v>
      </c>
      <c r="Q3818" s="26" t="b">
        <v>0</v>
      </c>
      <c r="R3818" s="22">
        <f t="shared" si="62"/>
        <v>138</v>
      </c>
    </row>
    <row r="3819" spans="1:18">
      <c r="A3819" s="26">
        <v>8684</v>
      </c>
      <c r="B3819" s="27">
        <v>39104</v>
      </c>
      <c r="C3819" s="28" t="s">
        <v>12238</v>
      </c>
      <c r="D3819" s="27">
        <v>39101</v>
      </c>
      <c r="E3819" s="28" t="s">
        <v>12239</v>
      </c>
      <c r="F3819" s="28" t="s">
        <v>10838</v>
      </c>
      <c r="G3819" s="28" t="s">
        <v>20</v>
      </c>
      <c r="H3819" s="28" t="s">
        <v>71</v>
      </c>
      <c r="I3819" s="28" t="s">
        <v>72</v>
      </c>
      <c r="J3819" s="28" t="s">
        <v>12240</v>
      </c>
      <c r="K3819" s="28" t="s">
        <v>12241</v>
      </c>
      <c r="L3819" s="28" t="s">
        <v>3588</v>
      </c>
      <c r="M3819" s="28" t="s">
        <v>11975</v>
      </c>
      <c r="N3819" s="29">
        <v>39147</v>
      </c>
      <c r="O3819" s="92">
        <v>39864</v>
      </c>
      <c r="P3819" s="28" t="s">
        <v>31</v>
      </c>
      <c r="Q3819" s="26" t="b">
        <v>1</v>
      </c>
      <c r="R3819" s="22">
        <f t="shared" si="62"/>
        <v>758</v>
      </c>
    </row>
    <row r="3820" spans="1:18">
      <c r="A3820" s="26">
        <v>8734</v>
      </c>
      <c r="B3820" s="27">
        <v>39108</v>
      </c>
      <c r="C3820" s="28" t="s">
        <v>12242</v>
      </c>
      <c r="D3820" s="27">
        <v>39108</v>
      </c>
      <c r="E3820" s="28" t="s">
        <v>12243</v>
      </c>
      <c r="F3820" s="28" t="s">
        <v>10184</v>
      </c>
      <c r="G3820" s="28" t="s">
        <v>20</v>
      </c>
      <c r="H3820" s="28" t="s">
        <v>189</v>
      </c>
      <c r="I3820" s="28" t="s">
        <v>12244</v>
      </c>
      <c r="J3820" s="28" t="s">
        <v>12245</v>
      </c>
      <c r="K3820" s="28" t="s">
        <v>21</v>
      </c>
      <c r="L3820" s="28" t="s">
        <v>4579</v>
      </c>
      <c r="M3820" s="28" t="s">
        <v>21</v>
      </c>
      <c r="N3820" s="27">
        <v>39154</v>
      </c>
      <c r="O3820" s="92">
        <v>39182</v>
      </c>
      <c r="P3820" s="28" t="s">
        <v>31</v>
      </c>
      <c r="Q3820" s="26" t="b">
        <v>1</v>
      </c>
      <c r="R3820" s="22">
        <f t="shared" si="62"/>
        <v>75</v>
      </c>
    </row>
    <row r="3821" spans="1:18">
      <c r="A3821" s="26">
        <v>8735</v>
      </c>
      <c r="B3821" s="27">
        <v>39108</v>
      </c>
      <c r="C3821" s="28" t="s">
        <v>12246</v>
      </c>
      <c r="D3821" s="27">
        <v>39108</v>
      </c>
      <c r="E3821" s="28" t="s">
        <v>12247</v>
      </c>
      <c r="F3821" s="28" t="s">
        <v>5690</v>
      </c>
      <c r="G3821" s="28" t="s">
        <v>20</v>
      </c>
      <c r="H3821" s="28" t="s">
        <v>71</v>
      </c>
      <c r="I3821" s="28" t="s">
        <v>72</v>
      </c>
      <c r="J3821" s="28" t="s">
        <v>12248</v>
      </c>
      <c r="K3821" s="28" t="s">
        <v>12249</v>
      </c>
      <c r="L3821" s="28" t="s">
        <v>1946</v>
      </c>
      <c r="M3821" s="28" t="s">
        <v>21</v>
      </c>
      <c r="N3821" s="27">
        <v>39198</v>
      </c>
      <c r="O3821" s="92">
        <v>39276</v>
      </c>
      <c r="P3821" s="28" t="s">
        <v>21</v>
      </c>
      <c r="Q3821" s="26" t="b">
        <v>1</v>
      </c>
      <c r="R3821" s="22">
        <f t="shared" si="62"/>
        <v>169</v>
      </c>
    </row>
    <row r="3822" spans="1:18">
      <c r="A3822" s="26">
        <v>8788</v>
      </c>
      <c r="B3822" s="27">
        <v>39108</v>
      </c>
      <c r="C3822" s="28" t="s">
        <v>12269</v>
      </c>
      <c r="D3822" s="27">
        <v>39108</v>
      </c>
      <c r="E3822" s="28" t="s">
        <v>11030</v>
      </c>
      <c r="F3822" s="28" t="s">
        <v>1232</v>
      </c>
      <c r="G3822" s="28" t="s">
        <v>20</v>
      </c>
      <c r="H3822" s="28" t="s">
        <v>189</v>
      </c>
      <c r="I3822" s="28" t="s">
        <v>189</v>
      </c>
      <c r="J3822" s="28" t="s">
        <v>12270</v>
      </c>
      <c r="K3822" s="28" t="s">
        <v>12271</v>
      </c>
      <c r="L3822" s="28" t="s">
        <v>8318</v>
      </c>
      <c r="M3822" s="28" t="s">
        <v>21</v>
      </c>
      <c r="N3822" s="18"/>
      <c r="O3822" s="92">
        <v>39120</v>
      </c>
      <c r="P3822" s="28" t="s">
        <v>21</v>
      </c>
      <c r="Q3822" s="26" t="b">
        <v>0</v>
      </c>
      <c r="R3822" s="22">
        <f t="shared" si="62"/>
        <v>11</v>
      </c>
    </row>
    <row r="3823" spans="1:18">
      <c r="A3823" s="26">
        <v>8773</v>
      </c>
      <c r="B3823" s="27">
        <v>39114</v>
      </c>
      <c r="C3823" s="28" t="s">
        <v>12250</v>
      </c>
      <c r="D3823" s="27">
        <v>39113</v>
      </c>
      <c r="E3823" s="28" t="s">
        <v>12251</v>
      </c>
      <c r="F3823" s="28" t="s">
        <v>1409</v>
      </c>
      <c r="G3823" s="28" t="s">
        <v>20</v>
      </c>
      <c r="H3823" s="28" t="s">
        <v>71</v>
      </c>
      <c r="I3823" s="28" t="s">
        <v>72</v>
      </c>
      <c r="J3823" s="28" t="s">
        <v>12252</v>
      </c>
      <c r="K3823" s="28" t="s">
        <v>21</v>
      </c>
      <c r="L3823" s="28" t="s">
        <v>10871</v>
      </c>
      <c r="M3823" s="28" t="s">
        <v>21</v>
      </c>
      <c r="N3823" s="27">
        <v>39143</v>
      </c>
      <c r="O3823" s="92">
        <v>39125</v>
      </c>
      <c r="P3823" s="28" t="s">
        <v>21</v>
      </c>
      <c r="Q3823" s="26" t="b">
        <v>0</v>
      </c>
      <c r="R3823" s="22">
        <f t="shared" si="62"/>
        <v>11</v>
      </c>
    </row>
    <row r="3824" spans="1:18">
      <c r="A3824" s="26">
        <v>8778</v>
      </c>
      <c r="B3824" s="27">
        <v>39115</v>
      </c>
      <c r="C3824" s="28" t="s">
        <v>12253</v>
      </c>
      <c r="D3824" s="27">
        <v>39106</v>
      </c>
      <c r="E3824" s="28" t="s">
        <v>12254</v>
      </c>
      <c r="F3824" s="28" t="s">
        <v>12255</v>
      </c>
      <c r="G3824" s="28" t="s">
        <v>20</v>
      </c>
      <c r="H3824" s="28" t="s">
        <v>212</v>
      </c>
      <c r="I3824" s="28" t="s">
        <v>212</v>
      </c>
      <c r="J3824" s="28" t="s">
        <v>12256</v>
      </c>
      <c r="K3824" s="28" t="s">
        <v>12257</v>
      </c>
      <c r="L3824" s="28" t="s">
        <v>10871</v>
      </c>
      <c r="M3824" s="28" t="s">
        <v>21</v>
      </c>
      <c r="N3824" s="27">
        <v>39145</v>
      </c>
      <c r="O3824" s="92">
        <v>39135</v>
      </c>
      <c r="P3824" s="28" t="s">
        <v>31</v>
      </c>
      <c r="Q3824" s="26" t="b">
        <v>1</v>
      </c>
      <c r="R3824" s="22">
        <f t="shared" si="62"/>
        <v>20</v>
      </c>
    </row>
    <row r="3825" spans="1:18" ht="24">
      <c r="A3825" s="26">
        <v>8779</v>
      </c>
      <c r="B3825" s="27">
        <v>39115</v>
      </c>
      <c r="C3825" s="28" t="s">
        <v>12258</v>
      </c>
      <c r="D3825" s="27">
        <v>39112</v>
      </c>
      <c r="E3825" s="28" t="s">
        <v>11030</v>
      </c>
      <c r="F3825" s="28" t="s">
        <v>984</v>
      </c>
      <c r="G3825" s="28" t="s">
        <v>20</v>
      </c>
      <c r="H3825" s="28" t="s">
        <v>71</v>
      </c>
      <c r="I3825" s="28" t="s">
        <v>72</v>
      </c>
      <c r="J3825" s="28" t="s">
        <v>12259</v>
      </c>
      <c r="K3825" s="28" t="s">
        <v>12260</v>
      </c>
      <c r="L3825" s="28" t="s">
        <v>8318</v>
      </c>
      <c r="M3825" s="28" t="s">
        <v>21</v>
      </c>
      <c r="N3825" s="18"/>
      <c r="O3825" s="92">
        <v>39139</v>
      </c>
      <c r="P3825" s="28" t="s">
        <v>21</v>
      </c>
      <c r="Q3825" s="26" t="b">
        <v>0</v>
      </c>
      <c r="R3825" s="22">
        <f t="shared" si="62"/>
        <v>24</v>
      </c>
    </row>
    <row r="3826" spans="1:18">
      <c r="A3826" s="26">
        <v>8780</v>
      </c>
      <c r="B3826" s="27">
        <v>39115</v>
      </c>
      <c r="C3826" s="28" t="s">
        <v>12261</v>
      </c>
      <c r="D3826" s="27">
        <v>39111</v>
      </c>
      <c r="E3826" s="28" t="s">
        <v>12262</v>
      </c>
      <c r="F3826" s="28" t="s">
        <v>27</v>
      </c>
      <c r="G3826" s="28" t="s">
        <v>20</v>
      </c>
      <c r="H3826" s="28" t="s">
        <v>71</v>
      </c>
      <c r="I3826" s="28" t="s">
        <v>72</v>
      </c>
      <c r="J3826" s="28" t="s">
        <v>12263</v>
      </c>
      <c r="K3826" s="28" t="s">
        <v>12264</v>
      </c>
      <c r="L3826" s="28" t="s">
        <v>1946</v>
      </c>
      <c r="M3826" s="28" t="s">
        <v>21</v>
      </c>
      <c r="N3826" s="27">
        <v>39201</v>
      </c>
      <c r="O3826" s="92">
        <v>39184</v>
      </c>
      <c r="P3826" s="28" t="s">
        <v>21</v>
      </c>
      <c r="Q3826" s="26" t="b">
        <v>0</v>
      </c>
      <c r="R3826" s="22">
        <f t="shared" si="62"/>
        <v>70</v>
      </c>
    </row>
    <row r="3827" spans="1:18">
      <c r="A3827" s="26">
        <v>8786</v>
      </c>
      <c r="B3827" s="27">
        <v>39115</v>
      </c>
      <c r="C3827" s="28" t="s">
        <v>12265</v>
      </c>
      <c r="D3827" s="27">
        <v>39112</v>
      </c>
      <c r="E3827" s="28" t="s">
        <v>12266</v>
      </c>
      <c r="F3827" s="28" t="s">
        <v>1686</v>
      </c>
      <c r="G3827" s="28" t="s">
        <v>20</v>
      </c>
      <c r="H3827" s="28" t="s">
        <v>71</v>
      </c>
      <c r="I3827" s="28" t="s">
        <v>72</v>
      </c>
      <c r="J3827" s="28" t="s">
        <v>12267</v>
      </c>
      <c r="K3827" s="28" t="s">
        <v>12268</v>
      </c>
      <c r="L3827" s="28" t="s">
        <v>4579</v>
      </c>
      <c r="M3827" s="28" t="s">
        <v>21</v>
      </c>
      <c r="N3827" s="27">
        <v>39202</v>
      </c>
      <c r="O3827" s="92">
        <v>39206</v>
      </c>
      <c r="P3827" s="28" t="s">
        <v>21</v>
      </c>
      <c r="Q3827" s="26" t="b">
        <v>0</v>
      </c>
      <c r="R3827" s="22">
        <f t="shared" si="62"/>
        <v>93</v>
      </c>
    </row>
    <row r="3828" spans="1:18">
      <c r="A3828" s="26">
        <v>8789</v>
      </c>
      <c r="B3828" s="27">
        <v>39115</v>
      </c>
      <c r="C3828" s="28" t="s">
        <v>12272</v>
      </c>
      <c r="D3828" s="27">
        <v>39115</v>
      </c>
      <c r="E3828" s="28" t="s">
        <v>12273</v>
      </c>
      <c r="F3828" s="28" t="s">
        <v>760</v>
      </c>
      <c r="G3828" s="28" t="s">
        <v>20</v>
      </c>
      <c r="H3828" s="28" t="s">
        <v>212</v>
      </c>
      <c r="I3828" s="28" t="s">
        <v>212</v>
      </c>
      <c r="J3828" s="28" t="s">
        <v>12274</v>
      </c>
      <c r="K3828" s="28" t="s">
        <v>12275</v>
      </c>
      <c r="L3828" s="28" t="s">
        <v>1946</v>
      </c>
      <c r="M3828" s="28" t="s">
        <v>21</v>
      </c>
      <c r="N3828" s="27">
        <v>39171</v>
      </c>
      <c r="O3828" s="92">
        <v>39338</v>
      </c>
      <c r="P3828" s="28" t="s">
        <v>31</v>
      </c>
      <c r="Q3828" s="26" t="b">
        <v>1</v>
      </c>
      <c r="R3828" s="22">
        <f t="shared" si="62"/>
        <v>224</v>
      </c>
    </row>
    <row r="3829" spans="1:18">
      <c r="A3829" s="26">
        <v>8790</v>
      </c>
      <c r="B3829" s="27">
        <v>39118</v>
      </c>
      <c r="C3829" s="28" t="s">
        <v>12276</v>
      </c>
      <c r="D3829" s="27">
        <v>39115</v>
      </c>
      <c r="E3829" s="28" t="s">
        <v>12277</v>
      </c>
      <c r="F3829" s="28" t="s">
        <v>104</v>
      </c>
      <c r="G3829" s="28" t="s">
        <v>20</v>
      </c>
      <c r="H3829" s="28" t="s">
        <v>71</v>
      </c>
      <c r="I3829" s="28" t="s">
        <v>72</v>
      </c>
      <c r="J3829" s="28" t="s">
        <v>12278</v>
      </c>
      <c r="K3829" s="28" t="s">
        <v>21</v>
      </c>
      <c r="L3829" s="28" t="s">
        <v>4282</v>
      </c>
      <c r="M3829" s="28" t="s">
        <v>21</v>
      </c>
      <c r="N3829" s="29">
        <v>39145</v>
      </c>
      <c r="O3829" s="92">
        <v>39217</v>
      </c>
      <c r="P3829" s="28" t="s">
        <v>31</v>
      </c>
      <c r="Q3829" s="26" t="b">
        <v>1</v>
      </c>
      <c r="R3829" s="22">
        <f t="shared" si="62"/>
        <v>101</v>
      </c>
    </row>
    <row r="3830" spans="1:18">
      <c r="A3830" s="26">
        <v>8791</v>
      </c>
      <c r="B3830" s="27">
        <v>39118</v>
      </c>
      <c r="C3830" s="28" t="s">
        <v>12279</v>
      </c>
      <c r="D3830" s="27">
        <v>39114</v>
      </c>
      <c r="E3830" s="28" t="s">
        <v>12280</v>
      </c>
      <c r="F3830" s="28" t="s">
        <v>27</v>
      </c>
      <c r="G3830" s="28" t="s">
        <v>20</v>
      </c>
      <c r="H3830" s="28" t="s">
        <v>71</v>
      </c>
      <c r="I3830" s="28" t="s">
        <v>72</v>
      </c>
      <c r="J3830" s="28" t="s">
        <v>12281</v>
      </c>
      <c r="K3830" s="28" t="s">
        <v>21</v>
      </c>
      <c r="L3830" s="28" t="s">
        <v>4579</v>
      </c>
      <c r="M3830" s="28" t="s">
        <v>21</v>
      </c>
      <c r="N3830" s="29">
        <v>39206</v>
      </c>
      <c r="O3830" s="92">
        <v>39190</v>
      </c>
      <c r="P3830" s="28" t="s">
        <v>21</v>
      </c>
      <c r="Q3830" s="26" t="b">
        <v>0</v>
      </c>
      <c r="R3830" s="22">
        <f t="shared" si="62"/>
        <v>74</v>
      </c>
    </row>
    <row r="3831" spans="1:18">
      <c r="A3831" s="26">
        <v>8793</v>
      </c>
      <c r="B3831" s="27">
        <v>39119</v>
      </c>
      <c r="C3831" s="28" t="s">
        <v>12282</v>
      </c>
      <c r="D3831" s="27">
        <v>39118</v>
      </c>
      <c r="E3831" s="28" t="s">
        <v>12283</v>
      </c>
      <c r="F3831" s="28" t="s">
        <v>6953</v>
      </c>
      <c r="G3831" s="28" t="s">
        <v>20</v>
      </c>
      <c r="H3831" s="28" t="s">
        <v>71</v>
      </c>
      <c r="I3831" s="28" t="s">
        <v>72</v>
      </c>
      <c r="J3831" s="28" t="s">
        <v>12284</v>
      </c>
      <c r="K3831" s="28" t="s">
        <v>12285</v>
      </c>
      <c r="L3831" s="28" t="s">
        <v>4579</v>
      </c>
      <c r="M3831" s="28" t="s">
        <v>21</v>
      </c>
      <c r="N3831" s="29">
        <v>39210</v>
      </c>
      <c r="O3831" s="92">
        <v>39147</v>
      </c>
      <c r="P3831" s="28" t="s">
        <v>21</v>
      </c>
      <c r="Q3831" s="26" t="b">
        <v>0</v>
      </c>
      <c r="R3831" s="22">
        <f t="shared" si="62"/>
        <v>30</v>
      </c>
    </row>
    <row r="3832" spans="1:18">
      <c r="A3832" s="26">
        <v>8803</v>
      </c>
      <c r="B3832" s="27">
        <v>39122</v>
      </c>
      <c r="C3832" s="28" t="s">
        <v>12286</v>
      </c>
      <c r="D3832" s="27">
        <v>39121</v>
      </c>
      <c r="E3832" s="28" t="s">
        <v>12287</v>
      </c>
      <c r="F3832" s="28" t="s">
        <v>12288</v>
      </c>
      <c r="G3832" s="28" t="s">
        <v>20</v>
      </c>
      <c r="H3832" s="28" t="s">
        <v>71</v>
      </c>
      <c r="I3832" s="28" t="s">
        <v>72</v>
      </c>
      <c r="J3832" s="28" t="s">
        <v>12289</v>
      </c>
      <c r="K3832" s="28" t="s">
        <v>12290</v>
      </c>
      <c r="L3832" s="28" t="s">
        <v>1946</v>
      </c>
      <c r="M3832" s="28" t="s">
        <v>21</v>
      </c>
      <c r="N3832" s="27">
        <v>39151</v>
      </c>
      <c r="O3832" s="92">
        <v>39134</v>
      </c>
      <c r="P3832" s="28" t="s">
        <v>31</v>
      </c>
      <c r="Q3832" s="26" t="b">
        <v>1</v>
      </c>
      <c r="R3832" s="22">
        <f t="shared" si="62"/>
        <v>12</v>
      </c>
    </row>
    <row r="3833" spans="1:18">
      <c r="A3833" s="26">
        <v>8805</v>
      </c>
      <c r="B3833" s="27">
        <v>39126</v>
      </c>
      <c r="C3833" s="28" t="s">
        <v>12291</v>
      </c>
      <c r="D3833" s="27">
        <v>39122</v>
      </c>
      <c r="E3833" s="28" t="s">
        <v>12292</v>
      </c>
      <c r="F3833" s="28" t="s">
        <v>39</v>
      </c>
      <c r="G3833" s="28" t="s">
        <v>20</v>
      </c>
      <c r="H3833" s="28" t="s">
        <v>71</v>
      </c>
      <c r="I3833" s="28" t="s">
        <v>72</v>
      </c>
      <c r="J3833" s="28" t="s">
        <v>12293</v>
      </c>
      <c r="K3833" s="28" t="s">
        <v>12294</v>
      </c>
      <c r="L3833" s="28" t="s">
        <v>4282</v>
      </c>
      <c r="M3833" s="28" t="s">
        <v>21</v>
      </c>
      <c r="N3833" s="29">
        <v>39213</v>
      </c>
      <c r="O3833" s="92">
        <v>39185</v>
      </c>
      <c r="P3833" s="28" t="s">
        <v>21</v>
      </c>
      <c r="Q3833" s="26" t="b">
        <v>0</v>
      </c>
      <c r="R3833" s="22">
        <f t="shared" si="62"/>
        <v>60</v>
      </c>
    </row>
    <row r="3834" spans="1:18">
      <c r="A3834" s="26">
        <v>8807</v>
      </c>
      <c r="B3834" s="27">
        <v>39127</v>
      </c>
      <c r="C3834" s="28" t="s">
        <v>12295</v>
      </c>
      <c r="D3834" s="27">
        <v>39122</v>
      </c>
      <c r="E3834" s="28" t="s">
        <v>12296</v>
      </c>
      <c r="F3834" s="28" t="s">
        <v>12297</v>
      </c>
      <c r="G3834" s="28" t="s">
        <v>20</v>
      </c>
      <c r="H3834" s="28" t="s">
        <v>71</v>
      </c>
      <c r="I3834" s="28" t="s">
        <v>72</v>
      </c>
      <c r="J3834" s="28" t="s">
        <v>12298</v>
      </c>
      <c r="K3834" s="28" t="s">
        <v>12299</v>
      </c>
      <c r="L3834" s="28" t="s">
        <v>4579</v>
      </c>
      <c r="M3834" s="28" t="s">
        <v>21</v>
      </c>
      <c r="N3834" s="27">
        <v>39167</v>
      </c>
      <c r="O3834" s="92">
        <v>39133</v>
      </c>
      <c r="P3834" s="28" t="s">
        <v>31</v>
      </c>
      <c r="Q3834" s="26" t="b">
        <v>1</v>
      </c>
      <c r="R3834" s="22">
        <f t="shared" si="62"/>
        <v>6</v>
      </c>
    </row>
    <row r="3835" spans="1:18">
      <c r="A3835" s="26">
        <v>8808</v>
      </c>
      <c r="B3835" s="27">
        <v>39127</v>
      </c>
      <c r="C3835" s="28" t="s">
        <v>12300</v>
      </c>
      <c r="D3835" s="27">
        <v>39126</v>
      </c>
      <c r="E3835" s="28" t="s">
        <v>12301</v>
      </c>
      <c r="F3835" s="28" t="s">
        <v>10184</v>
      </c>
      <c r="G3835" s="28" t="s">
        <v>20</v>
      </c>
      <c r="H3835" s="28" t="s">
        <v>189</v>
      </c>
      <c r="I3835" s="28" t="s">
        <v>12244</v>
      </c>
      <c r="J3835" s="28" t="s">
        <v>12302</v>
      </c>
      <c r="K3835" s="28" t="s">
        <v>12303</v>
      </c>
      <c r="L3835" s="28" t="s">
        <v>4579</v>
      </c>
      <c r="M3835" s="28" t="s">
        <v>21</v>
      </c>
      <c r="N3835" s="27">
        <v>39156</v>
      </c>
      <c r="O3835" s="92">
        <v>39182</v>
      </c>
      <c r="P3835" s="28" t="s">
        <v>31</v>
      </c>
      <c r="Q3835" s="26" t="b">
        <v>1</v>
      </c>
      <c r="R3835" s="22">
        <f t="shared" si="62"/>
        <v>56</v>
      </c>
    </row>
    <row r="3836" spans="1:18" ht="24">
      <c r="A3836" s="26">
        <v>8809</v>
      </c>
      <c r="B3836" s="27">
        <v>39127</v>
      </c>
      <c r="C3836" s="28" t="s">
        <v>12304</v>
      </c>
      <c r="D3836" s="27">
        <v>39126</v>
      </c>
      <c r="E3836" s="28" t="s">
        <v>12305</v>
      </c>
      <c r="F3836" s="28" t="s">
        <v>5690</v>
      </c>
      <c r="G3836" s="28" t="s">
        <v>20</v>
      </c>
      <c r="H3836" s="28" t="s">
        <v>71</v>
      </c>
      <c r="I3836" s="28" t="s">
        <v>72</v>
      </c>
      <c r="J3836" s="28" t="s">
        <v>12306</v>
      </c>
      <c r="K3836" s="28" t="s">
        <v>12307</v>
      </c>
      <c r="L3836" s="28" t="s">
        <v>4579</v>
      </c>
      <c r="M3836" s="28" t="s">
        <v>8318</v>
      </c>
      <c r="N3836" s="27">
        <v>39217</v>
      </c>
      <c r="O3836" s="92">
        <v>39766</v>
      </c>
      <c r="P3836" s="28" t="s">
        <v>21</v>
      </c>
      <c r="Q3836" s="26" t="b">
        <v>0</v>
      </c>
      <c r="R3836" s="22">
        <f t="shared" si="62"/>
        <v>638</v>
      </c>
    </row>
    <row r="3837" spans="1:18">
      <c r="A3837" s="26">
        <v>8811</v>
      </c>
      <c r="B3837" s="27">
        <v>39129</v>
      </c>
      <c r="C3837" s="28" t="s">
        <v>12308</v>
      </c>
      <c r="D3837" s="27">
        <v>39127</v>
      </c>
      <c r="E3837" s="28" t="s">
        <v>12309</v>
      </c>
      <c r="F3837" s="28" t="s">
        <v>149</v>
      </c>
      <c r="G3837" s="28" t="s">
        <v>20</v>
      </c>
      <c r="H3837" s="28" t="s">
        <v>71</v>
      </c>
      <c r="I3837" s="28" t="s">
        <v>72</v>
      </c>
      <c r="J3837" s="28" t="s">
        <v>12310</v>
      </c>
      <c r="K3837" s="28" t="s">
        <v>12311</v>
      </c>
      <c r="L3837" s="28" t="s">
        <v>8318</v>
      </c>
      <c r="M3837" s="28" t="s">
        <v>21</v>
      </c>
      <c r="N3837" s="18"/>
      <c r="O3837" s="92">
        <v>39128</v>
      </c>
      <c r="P3837" s="28" t="s">
        <v>31</v>
      </c>
      <c r="Q3837" s="26" t="b">
        <v>1</v>
      </c>
      <c r="R3837" s="22">
        <f t="shared" si="62"/>
        <v>1</v>
      </c>
    </row>
    <row r="3838" spans="1:18">
      <c r="A3838" s="26">
        <v>8822</v>
      </c>
      <c r="B3838" s="27">
        <v>39135</v>
      </c>
      <c r="C3838" s="28" t="s">
        <v>12312</v>
      </c>
      <c r="D3838" s="27">
        <v>39125</v>
      </c>
      <c r="E3838" s="28" t="s">
        <v>38</v>
      </c>
      <c r="F3838" s="28" t="s">
        <v>371</v>
      </c>
      <c r="G3838" s="28" t="s">
        <v>20</v>
      </c>
      <c r="H3838" s="28" t="s">
        <v>71</v>
      </c>
      <c r="I3838" s="28" t="s">
        <v>72</v>
      </c>
      <c r="J3838" s="28" t="s">
        <v>12313</v>
      </c>
      <c r="K3838" s="28" t="s">
        <v>12314</v>
      </c>
      <c r="L3838" s="28" t="s">
        <v>8318</v>
      </c>
      <c r="M3838" s="28" t="s">
        <v>21</v>
      </c>
      <c r="N3838" s="18"/>
      <c r="O3838" s="92">
        <v>39135</v>
      </c>
      <c r="P3838" s="28" t="s">
        <v>21</v>
      </c>
      <c r="Q3838" s="26" t="b">
        <v>0</v>
      </c>
      <c r="R3838" s="22">
        <f t="shared" si="62"/>
        <v>0</v>
      </c>
    </row>
    <row r="3839" spans="1:18">
      <c r="A3839" s="26">
        <v>8826</v>
      </c>
      <c r="B3839" s="27">
        <v>39140</v>
      </c>
      <c r="C3839" s="28" t="s">
        <v>12315</v>
      </c>
      <c r="D3839" s="27">
        <v>39135</v>
      </c>
      <c r="E3839" s="28" t="s">
        <v>12316</v>
      </c>
      <c r="F3839" s="28" t="s">
        <v>3430</v>
      </c>
      <c r="G3839" s="28" t="s">
        <v>20</v>
      </c>
      <c r="H3839" s="28" t="s">
        <v>71</v>
      </c>
      <c r="I3839" s="28" t="s">
        <v>72</v>
      </c>
      <c r="J3839" s="28" t="s">
        <v>12317</v>
      </c>
      <c r="K3839" s="28" t="s">
        <v>21</v>
      </c>
      <c r="L3839" s="28" t="s">
        <v>8318</v>
      </c>
      <c r="M3839" s="28" t="s">
        <v>21</v>
      </c>
      <c r="N3839" s="18"/>
      <c r="O3839" s="92">
        <v>39139</v>
      </c>
      <c r="P3839" s="28" t="s">
        <v>21</v>
      </c>
      <c r="Q3839" s="26" t="b">
        <v>0</v>
      </c>
      <c r="R3839" s="22">
        <f t="shared" si="62"/>
        <v>1</v>
      </c>
    </row>
    <row r="3840" spans="1:18" ht="24">
      <c r="A3840" s="26">
        <v>8827</v>
      </c>
      <c r="B3840" s="27">
        <v>39142</v>
      </c>
      <c r="C3840" s="28" t="s">
        <v>12318</v>
      </c>
      <c r="D3840" s="27">
        <v>39128</v>
      </c>
      <c r="E3840" s="28" t="s">
        <v>12319</v>
      </c>
      <c r="F3840" s="28" t="s">
        <v>12320</v>
      </c>
      <c r="G3840" s="28" t="s">
        <v>20</v>
      </c>
      <c r="H3840" s="28" t="s">
        <v>71</v>
      </c>
      <c r="I3840" s="28" t="s">
        <v>72</v>
      </c>
      <c r="J3840" s="28" t="s">
        <v>9014</v>
      </c>
      <c r="K3840" s="28" t="s">
        <v>12321</v>
      </c>
      <c r="L3840" s="28" t="s">
        <v>4282</v>
      </c>
      <c r="M3840" s="28" t="s">
        <v>21</v>
      </c>
      <c r="N3840" s="29">
        <v>39181</v>
      </c>
      <c r="O3840" s="92">
        <v>39150</v>
      </c>
      <c r="P3840" s="28" t="s">
        <v>31</v>
      </c>
      <c r="Q3840" s="26" t="b">
        <v>1</v>
      </c>
      <c r="R3840" s="22">
        <f t="shared" si="62"/>
        <v>8</v>
      </c>
    </row>
    <row r="3841" spans="1:18">
      <c r="A3841" s="26">
        <v>8828</v>
      </c>
      <c r="B3841" s="27">
        <v>39143</v>
      </c>
      <c r="C3841" s="28" t="s">
        <v>12322</v>
      </c>
      <c r="D3841" s="27">
        <v>39135</v>
      </c>
      <c r="E3841" s="28" t="s">
        <v>12323</v>
      </c>
      <c r="F3841" s="28" t="s">
        <v>242</v>
      </c>
      <c r="G3841" s="28" t="s">
        <v>20</v>
      </c>
      <c r="H3841" s="28" t="s">
        <v>71</v>
      </c>
      <c r="I3841" s="28" t="s">
        <v>72</v>
      </c>
      <c r="J3841" s="28" t="s">
        <v>12324</v>
      </c>
      <c r="K3841" s="28" t="s">
        <v>12325</v>
      </c>
      <c r="L3841" s="28" t="s">
        <v>8318</v>
      </c>
      <c r="M3841" s="28" t="s">
        <v>21</v>
      </c>
      <c r="O3841" s="92">
        <v>39143</v>
      </c>
      <c r="P3841" s="28" t="s">
        <v>31</v>
      </c>
      <c r="Q3841" s="26" t="b">
        <v>1</v>
      </c>
      <c r="R3841" s="22">
        <f t="shared" si="62"/>
        <v>0</v>
      </c>
    </row>
    <row r="3842" spans="1:18" ht="24">
      <c r="A3842" s="26">
        <v>8845</v>
      </c>
      <c r="B3842" s="27">
        <v>39143</v>
      </c>
      <c r="C3842" s="28" t="s">
        <v>12356</v>
      </c>
      <c r="D3842" s="27">
        <v>39141</v>
      </c>
      <c r="E3842" s="28" t="s">
        <v>12357</v>
      </c>
      <c r="F3842" s="28" t="s">
        <v>27</v>
      </c>
      <c r="G3842" s="28" t="s">
        <v>20</v>
      </c>
      <c r="H3842" s="28" t="s">
        <v>71</v>
      </c>
      <c r="I3842" s="28" t="s">
        <v>189</v>
      </c>
      <c r="J3842" s="28" t="s">
        <v>12358</v>
      </c>
      <c r="K3842" s="28" t="s">
        <v>21</v>
      </c>
      <c r="L3842" s="28" t="s">
        <v>8318</v>
      </c>
      <c r="M3842" s="28" t="s">
        <v>21</v>
      </c>
      <c r="N3842" s="27">
        <v>39235</v>
      </c>
      <c r="O3842" s="92">
        <v>39170</v>
      </c>
      <c r="P3842" s="28" t="s">
        <v>31</v>
      </c>
      <c r="Q3842" s="26" t="b">
        <v>0</v>
      </c>
      <c r="R3842" s="22">
        <f t="shared" si="62"/>
        <v>27</v>
      </c>
    </row>
    <row r="3843" spans="1:18" ht="24">
      <c r="A3843" s="26">
        <v>8830</v>
      </c>
      <c r="B3843" s="27">
        <v>39147</v>
      </c>
      <c r="C3843" s="28" t="s">
        <v>12326</v>
      </c>
      <c r="D3843" s="27">
        <v>39146</v>
      </c>
      <c r="E3843" s="28" t="s">
        <v>12327</v>
      </c>
      <c r="F3843" s="28" t="s">
        <v>3171</v>
      </c>
      <c r="G3843" s="28" t="s">
        <v>20</v>
      </c>
      <c r="H3843" s="28" t="s">
        <v>566</v>
      </c>
      <c r="I3843" s="28" t="s">
        <v>566</v>
      </c>
      <c r="J3843" s="28" t="s">
        <v>12328</v>
      </c>
      <c r="K3843" s="28" t="s">
        <v>7150</v>
      </c>
      <c r="L3843" s="28" t="s">
        <v>1946</v>
      </c>
      <c r="M3843" s="28" t="s">
        <v>21</v>
      </c>
      <c r="N3843" s="27">
        <v>39238</v>
      </c>
      <c r="O3843" s="92">
        <v>39521</v>
      </c>
      <c r="P3843" s="28" t="s">
        <v>21</v>
      </c>
      <c r="Q3843" s="26" t="b">
        <v>0</v>
      </c>
      <c r="R3843" s="22">
        <f t="shared" si="62"/>
        <v>373</v>
      </c>
    </row>
    <row r="3844" spans="1:18">
      <c r="A3844" s="26">
        <v>8832</v>
      </c>
      <c r="B3844" s="27">
        <v>39148</v>
      </c>
      <c r="C3844" s="28" t="s">
        <v>12329</v>
      </c>
      <c r="D3844" s="27">
        <v>39140</v>
      </c>
      <c r="E3844" s="28" t="s">
        <v>12330</v>
      </c>
      <c r="F3844" s="28" t="s">
        <v>283</v>
      </c>
      <c r="G3844" s="28" t="s">
        <v>20</v>
      </c>
      <c r="H3844" s="28" t="s">
        <v>71</v>
      </c>
      <c r="I3844" s="28" t="s">
        <v>72</v>
      </c>
      <c r="J3844" s="28" t="s">
        <v>12331</v>
      </c>
      <c r="K3844" s="28" t="s">
        <v>21</v>
      </c>
      <c r="L3844" s="28" t="s">
        <v>8318</v>
      </c>
      <c r="M3844" s="28" t="s">
        <v>21</v>
      </c>
      <c r="N3844" s="29">
        <v>39174</v>
      </c>
      <c r="O3844" s="92">
        <v>39190</v>
      </c>
      <c r="P3844" s="28" t="s">
        <v>21</v>
      </c>
      <c r="Q3844" s="26" t="b">
        <v>0</v>
      </c>
      <c r="R3844" s="22">
        <f t="shared" si="62"/>
        <v>41</v>
      </c>
    </row>
    <row r="3845" spans="1:18">
      <c r="A3845" s="26">
        <v>8834</v>
      </c>
      <c r="B3845" s="27">
        <v>39149</v>
      </c>
      <c r="C3845" s="28" t="s">
        <v>12332</v>
      </c>
      <c r="D3845" s="27">
        <v>39148</v>
      </c>
      <c r="E3845" s="28" t="s">
        <v>12333</v>
      </c>
      <c r="F3845" s="28" t="s">
        <v>12334</v>
      </c>
      <c r="G3845" s="28" t="s">
        <v>20</v>
      </c>
      <c r="H3845" s="28" t="s">
        <v>189</v>
      </c>
      <c r="I3845" s="28" t="s">
        <v>12244</v>
      </c>
      <c r="J3845" s="28" t="s">
        <v>12335</v>
      </c>
      <c r="K3845" s="28" t="s">
        <v>21</v>
      </c>
      <c r="L3845" s="28" t="s">
        <v>1946</v>
      </c>
      <c r="M3845" s="28" t="s">
        <v>21</v>
      </c>
      <c r="N3845" s="29">
        <v>39179</v>
      </c>
      <c r="O3845" s="92">
        <v>39232</v>
      </c>
      <c r="P3845" s="28" t="s">
        <v>31</v>
      </c>
      <c r="Q3845" s="26" t="b">
        <v>1</v>
      </c>
      <c r="R3845" s="22">
        <f t="shared" si="62"/>
        <v>83</v>
      </c>
    </row>
    <row r="3846" spans="1:18">
      <c r="A3846" s="26">
        <v>8836</v>
      </c>
      <c r="B3846" s="27">
        <v>39156</v>
      </c>
      <c r="C3846" s="28" t="s">
        <v>12336</v>
      </c>
      <c r="D3846" s="27">
        <v>39148</v>
      </c>
      <c r="E3846" s="28" t="s">
        <v>12337</v>
      </c>
      <c r="F3846" s="28" t="s">
        <v>1678</v>
      </c>
      <c r="G3846" s="28" t="s">
        <v>20</v>
      </c>
      <c r="H3846" s="28" t="s">
        <v>566</v>
      </c>
      <c r="I3846" s="28" t="s">
        <v>566</v>
      </c>
      <c r="J3846" s="28" t="s">
        <v>12338</v>
      </c>
      <c r="K3846" s="28" t="s">
        <v>12339</v>
      </c>
      <c r="L3846" s="28" t="s">
        <v>10871</v>
      </c>
      <c r="M3846" s="28" t="s">
        <v>21</v>
      </c>
      <c r="N3846" s="27">
        <v>39241</v>
      </c>
      <c r="O3846" s="92">
        <v>39185</v>
      </c>
      <c r="P3846" s="28" t="s">
        <v>21</v>
      </c>
      <c r="Q3846" s="26" t="b">
        <v>1</v>
      </c>
      <c r="R3846" s="22">
        <f t="shared" si="62"/>
        <v>28</v>
      </c>
    </row>
    <row r="3847" spans="1:18">
      <c r="A3847" s="26">
        <v>8837</v>
      </c>
      <c r="B3847" s="27">
        <v>39156</v>
      </c>
      <c r="C3847" s="28" t="s">
        <v>12340</v>
      </c>
      <c r="D3847" s="27">
        <v>39152</v>
      </c>
      <c r="E3847" s="28" t="s">
        <v>12341</v>
      </c>
      <c r="F3847" s="28" t="s">
        <v>124</v>
      </c>
      <c r="G3847" s="28" t="s">
        <v>20</v>
      </c>
      <c r="H3847" s="28" t="s">
        <v>71</v>
      </c>
      <c r="I3847" s="28" t="s">
        <v>72</v>
      </c>
      <c r="J3847" s="28" t="s">
        <v>12342</v>
      </c>
      <c r="K3847" s="28" t="s">
        <v>12343</v>
      </c>
      <c r="L3847" s="28" t="s">
        <v>4282</v>
      </c>
      <c r="M3847" s="28" t="s">
        <v>21</v>
      </c>
      <c r="N3847" s="29">
        <v>39186</v>
      </c>
      <c r="O3847" s="92">
        <v>39217</v>
      </c>
      <c r="P3847" s="28" t="s">
        <v>31</v>
      </c>
      <c r="Q3847" s="26" t="b">
        <v>1</v>
      </c>
      <c r="R3847" s="22">
        <f t="shared" si="62"/>
        <v>60</v>
      </c>
    </row>
    <row r="3848" spans="1:18">
      <c r="A3848" s="26">
        <v>8839</v>
      </c>
      <c r="B3848" s="27">
        <v>39156</v>
      </c>
      <c r="C3848" s="28" t="s">
        <v>12344</v>
      </c>
      <c r="D3848" s="27">
        <v>39150</v>
      </c>
      <c r="E3848" s="28" t="s">
        <v>12345</v>
      </c>
      <c r="F3848" s="28" t="s">
        <v>1232</v>
      </c>
      <c r="G3848" s="28" t="s">
        <v>20</v>
      </c>
      <c r="H3848" s="28" t="s">
        <v>189</v>
      </c>
      <c r="I3848" s="28" t="s">
        <v>189</v>
      </c>
      <c r="J3848" s="28" t="s">
        <v>12346</v>
      </c>
      <c r="K3848" s="28" t="s">
        <v>12347</v>
      </c>
      <c r="L3848" s="28" t="s">
        <v>8318</v>
      </c>
      <c r="M3848" s="28" t="s">
        <v>21</v>
      </c>
      <c r="N3848" s="29">
        <v>39248</v>
      </c>
      <c r="O3848" s="92">
        <v>39196</v>
      </c>
      <c r="P3848" s="28" t="s">
        <v>21</v>
      </c>
      <c r="Q3848" s="26" t="b">
        <v>0</v>
      </c>
      <c r="R3848" s="22">
        <f t="shared" si="62"/>
        <v>39</v>
      </c>
    </row>
    <row r="3849" spans="1:18">
      <c r="A3849" s="26">
        <v>8842</v>
      </c>
      <c r="B3849" s="27">
        <v>39160</v>
      </c>
      <c r="C3849" s="28" t="s">
        <v>12348</v>
      </c>
      <c r="D3849" s="27">
        <v>39154</v>
      </c>
      <c r="E3849" s="28" t="s">
        <v>12349</v>
      </c>
      <c r="F3849" s="28" t="s">
        <v>327</v>
      </c>
      <c r="G3849" s="28" t="s">
        <v>20</v>
      </c>
      <c r="H3849" s="28" t="s">
        <v>71</v>
      </c>
      <c r="I3849" s="28" t="s">
        <v>72</v>
      </c>
      <c r="J3849" s="28" t="s">
        <v>12350</v>
      </c>
      <c r="K3849" s="28" t="s">
        <v>12351</v>
      </c>
      <c r="L3849" s="28" t="s">
        <v>8318</v>
      </c>
      <c r="M3849" s="28" t="s">
        <v>21</v>
      </c>
      <c r="N3849" s="18"/>
      <c r="O3849" s="92">
        <v>39156</v>
      </c>
      <c r="P3849" s="28" t="s">
        <v>31</v>
      </c>
      <c r="Q3849" s="26" t="b">
        <v>1</v>
      </c>
      <c r="R3849" s="22">
        <f t="shared" si="62"/>
        <v>4</v>
      </c>
    </row>
    <row r="3850" spans="1:18">
      <c r="A3850" s="26">
        <v>8843</v>
      </c>
      <c r="B3850" s="27">
        <v>39164</v>
      </c>
      <c r="C3850" s="28" t="s">
        <v>12352</v>
      </c>
      <c r="D3850" s="27">
        <v>39149</v>
      </c>
      <c r="E3850" s="28" t="s">
        <v>12353</v>
      </c>
      <c r="F3850" s="28" t="s">
        <v>1232</v>
      </c>
      <c r="G3850" s="28" t="s">
        <v>20</v>
      </c>
      <c r="H3850" s="28" t="s">
        <v>71</v>
      </c>
      <c r="I3850" s="28" t="s">
        <v>72</v>
      </c>
      <c r="J3850" s="28" t="s">
        <v>6523</v>
      </c>
      <c r="K3850" s="28" t="s">
        <v>21</v>
      </c>
      <c r="L3850" s="28" t="s">
        <v>8318</v>
      </c>
      <c r="M3850" s="28" t="s">
        <v>21</v>
      </c>
      <c r="N3850" s="18"/>
      <c r="O3850" s="92">
        <v>39149</v>
      </c>
      <c r="P3850" s="28" t="s">
        <v>21</v>
      </c>
      <c r="Q3850" s="26" t="b">
        <v>0</v>
      </c>
      <c r="R3850" s="22">
        <f t="shared" si="62"/>
        <v>15</v>
      </c>
    </row>
    <row r="3851" spans="1:18">
      <c r="A3851" s="26">
        <v>8844</v>
      </c>
      <c r="B3851" s="27">
        <v>39164</v>
      </c>
      <c r="C3851" s="28" t="s">
        <v>12354</v>
      </c>
      <c r="D3851" s="27">
        <v>39162</v>
      </c>
      <c r="E3851" s="28" t="s">
        <v>12355</v>
      </c>
      <c r="F3851" s="28" t="s">
        <v>70</v>
      </c>
      <c r="G3851" s="28" t="s">
        <v>20</v>
      </c>
      <c r="H3851" s="28" t="s">
        <v>71</v>
      </c>
      <c r="I3851" s="28" t="s">
        <v>189</v>
      </c>
      <c r="J3851" s="28" t="s">
        <v>3203</v>
      </c>
      <c r="K3851" s="28" t="s">
        <v>21</v>
      </c>
      <c r="L3851" s="28" t="s">
        <v>8318</v>
      </c>
      <c r="M3851" s="28" t="s">
        <v>21</v>
      </c>
      <c r="N3851" s="27">
        <v>39195</v>
      </c>
      <c r="O3851" s="92">
        <v>39184</v>
      </c>
      <c r="P3851" s="28" t="s">
        <v>21</v>
      </c>
      <c r="Q3851" s="26" t="b">
        <v>0</v>
      </c>
      <c r="R3851" s="22">
        <f t="shared" si="62"/>
        <v>19</v>
      </c>
    </row>
    <row r="3852" spans="1:18">
      <c r="A3852" s="26">
        <v>8846</v>
      </c>
      <c r="B3852" s="27">
        <v>39170</v>
      </c>
      <c r="C3852" s="28" t="s">
        <v>12359</v>
      </c>
      <c r="D3852" s="27">
        <v>38951</v>
      </c>
      <c r="E3852" s="28" t="s">
        <v>38</v>
      </c>
      <c r="F3852" s="28" t="s">
        <v>1232</v>
      </c>
      <c r="G3852" s="28" t="s">
        <v>20</v>
      </c>
      <c r="H3852" s="28" t="s">
        <v>189</v>
      </c>
      <c r="I3852" s="28" t="s">
        <v>189</v>
      </c>
      <c r="J3852" s="28" t="s">
        <v>12360</v>
      </c>
      <c r="K3852" s="28" t="s">
        <v>12361</v>
      </c>
      <c r="L3852" s="28" t="s">
        <v>8318</v>
      </c>
      <c r="M3852" s="28" t="s">
        <v>21</v>
      </c>
      <c r="N3852" s="18"/>
      <c r="O3852" s="92">
        <v>39169</v>
      </c>
      <c r="P3852" s="28" t="s">
        <v>21</v>
      </c>
      <c r="Q3852" s="26" t="b">
        <v>0</v>
      </c>
      <c r="R3852" s="22">
        <f t="shared" si="62"/>
        <v>1</v>
      </c>
    </row>
    <row r="3853" spans="1:18">
      <c r="A3853" s="26">
        <v>8847</v>
      </c>
      <c r="B3853" s="27">
        <v>39170</v>
      </c>
      <c r="C3853" s="28" t="s">
        <v>12362</v>
      </c>
      <c r="D3853" s="27">
        <v>39148</v>
      </c>
      <c r="E3853" s="28" t="s">
        <v>12363</v>
      </c>
      <c r="F3853" s="28" t="s">
        <v>56</v>
      </c>
      <c r="G3853" s="28" t="s">
        <v>20</v>
      </c>
      <c r="H3853" s="28" t="s">
        <v>71</v>
      </c>
      <c r="I3853" s="28" t="s">
        <v>72</v>
      </c>
      <c r="J3853" s="28" t="s">
        <v>12364</v>
      </c>
      <c r="K3853" s="28" t="s">
        <v>12365</v>
      </c>
      <c r="L3853" s="28" t="s">
        <v>8318</v>
      </c>
      <c r="M3853" s="28" t="s">
        <v>21</v>
      </c>
      <c r="N3853" s="18"/>
      <c r="O3853" s="92">
        <v>39156</v>
      </c>
      <c r="P3853" s="28" t="s">
        <v>31</v>
      </c>
      <c r="Q3853" s="26" t="b">
        <v>1</v>
      </c>
      <c r="R3853" s="22">
        <f t="shared" si="62"/>
        <v>14</v>
      </c>
    </row>
    <row r="3854" spans="1:18">
      <c r="A3854" s="26">
        <v>8848</v>
      </c>
      <c r="B3854" s="27">
        <v>39170</v>
      </c>
      <c r="C3854" s="28" t="s">
        <v>12366</v>
      </c>
      <c r="D3854" s="27">
        <v>39164</v>
      </c>
      <c r="E3854" s="28" t="s">
        <v>12367</v>
      </c>
      <c r="F3854" s="28" t="s">
        <v>5690</v>
      </c>
      <c r="G3854" s="28" t="s">
        <v>11905</v>
      </c>
      <c r="H3854" s="28" t="s">
        <v>71</v>
      </c>
      <c r="I3854" s="28" t="s">
        <v>72</v>
      </c>
      <c r="J3854" s="28" t="s">
        <v>12368</v>
      </c>
      <c r="K3854" s="28" t="s">
        <v>12369</v>
      </c>
      <c r="L3854" s="28" t="s">
        <v>4579</v>
      </c>
      <c r="M3854" s="28" t="s">
        <v>4282</v>
      </c>
      <c r="N3854" s="27">
        <v>39210</v>
      </c>
      <c r="O3854" s="92">
        <v>40261</v>
      </c>
      <c r="P3854" s="28" t="s">
        <v>31</v>
      </c>
      <c r="Q3854" s="26" t="b">
        <v>1</v>
      </c>
      <c r="R3854" s="22">
        <f t="shared" si="62"/>
        <v>1089</v>
      </c>
    </row>
    <row r="3855" spans="1:18">
      <c r="A3855" s="26">
        <v>8849</v>
      </c>
      <c r="B3855" s="27">
        <v>39170</v>
      </c>
      <c r="C3855" s="28" t="s">
        <v>12370</v>
      </c>
      <c r="D3855" s="27">
        <v>39156</v>
      </c>
      <c r="E3855" s="28" t="s">
        <v>1432</v>
      </c>
      <c r="F3855" s="28" t="s">
        <v>12371</v>
      </c>
      <c r="G3855" s="28" t="s">
        <v>20</v>
      </c>
      <c r="H3855" s="28" t="s">
        <v>566</v>
      </c>
      <c r="I3855" s="28" t="s">
        <v>566</v>
      </c>
      <c r="J3855" s="28" t="s">
        <v>12372</v>
      </c>
      <c r="K3855" s="28" t="s">
        <v>21</v>
      </c>
      <c r="L3855" s="28" t="s">
        <v>4579</v>
      </c>
      <c r="M3855" s="28" t="s">
        <v>21</v>
      </c>
      <c r="N3855" s="18"/>
      <c r="O3855" s="92">
        <v>39238</v>
      </c>
      <c r="P3855" s="28" t="s">
        <v>21</v>
      </c>
      <c r="Q3855" s="26" t="b">
        <v>0</v>
      </c>
      <c r="R3855" s="22">
        <f t="shared" si="62"/>
        <v>66</v>
      </c>
    </row>
    <row r="3856" spans="1:18">
      <c r="A3856" s="26">
        <v>8850</v>
      </c>
      <c r="B3856" s="27">
        <v>39175</v>
      </c>
      <c r="C3856" s="28" t="s">
        <v>12373</v>
      </c>
      <c r="D3856" s="27">
        <v>39175</v>
      </c>
      <c r="E3856" s="28" t="s">
        <v>1928</v>
      </c>
      <c r="F3856" s="28" t="s">
        <v>19</v>
      </c>
      <c r="G3856" s="28" t="s">
        <v>20</v>
      </c>
      <c r="H3856" s="28" t="s">
        <v>71</v>
      </c>
      <c r="I3856" s="28" t="s">
        <v>72</v>
      </c>
      <c r="J3856" s="28" t="s">
        <v>12374</v>
      </c>
      <c r="K3856" s="28" t="s">
        <v>12375</v>
      </c>
      <c r="L3856" s="28" t="s">
        <v>8318</v>
      </c>
      <c r="M3856" s="28" t="s">
        <v>21</v>
      </c>
      <c r="N3856" s="18"/>
      <c r="O3856" s="92">
        <v>39175</v>
      </c>
      <c r="P3856" s="28" t="s">
        <v>21</v>
      </c>
      <c r="Q3856" s="26" t="b">
        <v>0</v>
      </c>
      <c r="R3856" s="22">
        <f t="shared" si="62"/>
        <v>0</v>
      </c>
    </row>
    <row r="3857" spans="1:18">
      <c r="A3857" s="26">
        <v>8851</v>
      </c>
      <c r="B3857" s="27">
        <v>39183</v>
      </c>
      <c r="C3857" s="28" t="s">
        <v>12376</v>
      </c>
      <c r="D3857" s="27">
        <v>39156</v>
      </c>
      <c r="E3857" s="28" t="s">
        <v>12377</v>
      </c>
      <c r="F3857" s="28" t="s">
        <v>12371</v>
      </c>
      <c r="G3857" s="28" t="s">
        <v>20</v>
      </c>
      <c r="H3857" s="28" t="s">
        <v>566</v>
      </c>
      <c r="I3857" s="28" t="s">
        <v>566</v>
      </c>
      <c r="J3857" s="28" t="s">
        <v>6523</v>
      </c>
      <c r="K3857" s="28" t="s">
        <v>12378</v>
      </c>
      <c r="L3857" s="28" t="s">
        <v>4282</v>
      </c>
      <c r="M3857" s="28" t="s">
        <v>21</v>
      </c>
      <c r="N3857" s="27">
        <v>39252</v>
      </c>
      <c r="O3857" s="92">
        <v>39260</v>
      </c>
      <c r="P3857" s="28" t="s">
        <v>31</v>
      </c>
      <c r="Q3857" s="26" t="b">
        <v>1</v>
      </c>
      <c r="R3857" s="22">
        <f t="shared" si="62"/>
        <v>77</v>
      </c>
    </row>
    <row r="3858" spans="1:18">
      <c r="A3858" s="26">
        <v>8852</v>
      </c>
      <c r="B3858" s="27">
        <v>39184</v>
      </c>
      <c r="C3858" s="28" t="s">
        <v>12379</v>
      </c>
      <c r="D3858" s="27">
        <v>39170</v>
      </c>
      <c r="E3858" s="28" t="s">
        <v>12380</v>
      </c>
      <c r="F3858" s="28" t="s">
        <v>228</v>
      </c>
      <c r="G3858" s="28" t="s">
        <v>20</v>
      </c>
      <c r="H3858" s="28" t="s">
        <v>71</v>
      </c>
      <c r="I3858" s="28" t="s">
        <v>72</v>
      </c>
      <c r="J3858" s="28" t="s">
        <v>12381</v>
      </c>
      <c r="K3858" s="28" t="s">
        <v>21</v>
      </c>
      <c r="L3858" s="28" t="s">
        <v>1946</v>
      </c>
      <c r="M3858" s="28" t="s">
        <v>21</v>
      </c>
      <c r="N3858" s="29">
        <v>39222</v>
      </c>
      <c r="O3858" s="92">
        <v>39295</v>
      </c>
      <c r="P3858" s="28" t="s">
        <v>31</v>
      </c>
      <c r="Q3858" s="26" t="b">
        <v>1</v>
      </c>
      <c r="R3858" s="22">
        <f t="shared" si="62"/>
        <v>110</v>
      </c>
    </row>
    <row r="3859" spans="1:18">
      <c r="A3859" s="26">
        <v>8853</v>
      </c>
      <c r="B3859" s="27">
        <v>39184</v>
      </c>
      <c r="C3859" s="28" t="s">
        <v>12382</v>
      </c>
      <c r="D3859" s="27">
        <v>39170</v>
      </c>
      <c r="E3859" s="28" t="s">
        <v>12383</v>
      </c>
      <c r="F3859" s="28" t="s">
        <v>327</v>
      </c>
      <c r="G3859" s="28" t="s">
        <v>20</v>
      </c>
      <c r="H3859" s="28" t="s">
        <v>71</v>
      </c>
      <c r="I3859" s="28" t="s">
        <v>72</v>
      </c>
      <c r="J3859" s="28" t="s">
        <v>12384</v>
      </c>
      <c r="K3859" s="28" t="s">
        <v>12385</v>
      </c>
      <c r="L3859" s="28" t="s">
        <v>1946</v>
      </c>
      <c r="M3859" s="28" t="s">
        <v>21</v>
      </c>
      <c r="N3859" s="29">
        <v>39222</v>
      </c>
      <c r="O3859" s="92">
        <v>40626</v>
      </c>
      <c r="P3859" s="28" t="s">
        <v>31</v>
      </c>
      <c r="Q3859" s="26" t="b">
        <v>1</v>
      </c>
      <c r="R3859" s="22">
        <f t="shared" si="62"/>
        <v>1441</v>
      </c>
    </row>
    <row r="3860" spans="1:18">
      <c r="A3860" s="26">
        <v>8854</v>
      </c>
      <c r="B3860" s="27">
        <v>39184</v>
      </c>
      <c r="C3860" s="28" t="s">
        <v>12379</v>
      </c>
      <c r="D3860" s="27">
        <v>39174</v>
      </c>
      <c r="E3860" s="28" t="s">
        <v>12386</v>
      </c>
      <c r="F3860" s="28" t="s">
        <v>283</v>
      </c>
      <c r="G3860" s="28" t="s">
        <v>20</v>
      </c>
      <c r="H3860" s="28" t="s">
        <v>71</v>
      </c>
      <c r="I3860" s="28" t="s">
        <v>72</v>
      </c>
      <c r="J3860" s="28" t="s">
        <v>7318</v>
      </c>
      <c r="K3860" s="28" t="s">
        <v>21</v>
      </c>
      <c r="L3860" s="28" t="s">
        <v>8318</v>
      </c>
      <c r="M3860" s="28" t="s">
        <v>21</v>
      </c>
      <c r="N3860" s="29">
        <v>39267</v>
      </c>
      <c r="O3860" s="92">
        <v>39196</v>
      </c>
      <c r="P3860" s="28" t="s">
        <v>21</v>
      </c>
      <c r="Q3860" s="26" t="b">
        <v>0</v>
      </c>
      <c r="R3860" s="22">
        <f t="shared" si="62"/>
        <v>12</v>
      </c>
    </row>
    <row r="3861" spans="1:18">
      <c r="A3861" s="26">
        <v>8855</v>
      </c>
      <c r="B3861" s="27">
        <v>39184</v>
      </c>
      <c r="C3861" s="28" t="s">
        <v>12387</v>
      </c>
      <c r="D3861" s="27">
        <v>39170</v>
      </c>
      <c r="E3861" s="28" t="s">
        <v>12388</v>
      </c>
      <c r="F3861" s="28" t="s">
        <v>70</v>
      </c>
      <c r="G3861" s="28" t="s">
        <v>20</v>
      </c>
      <c r="H3861" s="28" t="s">
        <v>71</v>
      </c>
      <c r="I3861" s="28" t="s">
        <v>72</v>
      </c>
      <c r="J3861" s="28" t="s">
        <v>12389</v>
      </c>
      <c r="K3861" s="28" t="s">
        <v>21</v>
      </c>
      <c r="L3861" s="28" t="s">
        <v>4579</v>
      </c>
      <c r="M3861" s="28" t="s">
        <v>21</v>
      </c>
      <c r="N3861" s="29">
        <v>39222</v>
      </c>
      <c r="O3861" s="92">
        <v>39192</v>
      </c>
      <c r="P3861" s="28" t="s">
        <v>31</v>
      </c>
      <c r="Q3861" s="26" t="b">
        <v>1</v>
      </c>
      <c r="R3861" s="22">
        <f t="shared" si="62"/>
        <v>8</v>
      </c>
    </row>
    <row r="3862" spans="1:18">
      <c r="A3862" s="26">
        <v>8856</v>
      </c>
      <c r="B3862" s="27">
        <v>39184</v>
      </c>
      <c r="C3862" s="28" t="s">
        <v>12390</v>
      </c>
      <c r="D3862" s="27">
        <v>39174</v>
      </c>
      <c r="E3862" s="28" t="s">
        <v>12391</v>
      </c>
      <c r="F3862" s="28" t="s">
        <v>350</v>
      </c>
      <c r="G3862" s="28" t="s">
        <v>20</v>
      </c>
      <c r="H3862" s="28" t="s">
        <v>71</v>
      </c>
      <c r="I3862" s="28" t="s">
        <v>72</v>
      </c>
      <c r="J3862" s="28" t="s">
        <v>12392</v>
      </c>
      <c r="K3862" s="28" t="s">
        <v>12393</v>
      </c>
      <c r="L3862" s="28" t="s">
        <v>4282</v>
      </c>
      <c r="M3862" s="28" t="s">
        <v>21</v>
      </c>
      <c r="N3862" s="27">
        <v>39268</v>
      </c>
      <c r="O3862" s="92">
        <v>39212</v>
      </c>
      <c r="P3862" s="28" t="s">
        <v>31</v>
      </c>
      <c r="Q3862" s="26" t="b">
        <v>1</v>
      </c>
      <c r="R3862" s="22">
        <f t="shared" si="62"/>
        <v>28</v>
      </c>
    </row>
    <row r="3863" spans="1:18">
      <c r="A3863" s="26">
        <v>8857</v>
      </c>
      <c r="B3863" s="27">
        <v>39184</v>
      </c>
      <c r="C3863" s="28" t="s">
        <v>12394</v>
      </c>
      <c r="D3863" s="27">
        <v>39174</v>
      </c>
      <c r="E3863" s="28" t="s">
        <v>12395</v>
      </c>
      <c r="F3863" s="28" t="s">
        <v>70</v>
      </c>
      <c r="G3863" s="28" t="s">
        <v>20</v>
      </c>
      <c r="H3863" s="28" t="s">
        <v>71</v>
      </c>
      <c r="I3863" s="28" t="s">
        <v>72</v>
      </c>
      <c r="J3863" s="28" t="s">
        <v>12396</v>
      </c>
      <c r="K3863" s="28" t="s">
        <v>12397</v>
      </c>
      <c r="L3863" s="28" t="s">
        <v>4579</v>
      </c>
      <c r="M3863" s="28" t="s">
        <v>10871</v>
      </c>
      <c r="N3863" s="27">
        <v>39227</v>
      </c>
      <c r="O3863" s="92">
        <v>39524</v>
      </c>
      <c r="P3863" s="28" t="s">
        <v>31</v>
      </c>
      <c r="Q3863" s="26" t="b">
        <v>1</v>
      </c>
      <c r="R3863" s="22">
        <f t="shared" si="62"/>
        <v>339</v>
      </c>
    </row>
    <row r="3864" spans="1:18">
      <c r="A3864" s="26">
        <v>8858</v>
      </c>
      <c r="B3864" s="27">
        <v>39185</v>
      </c>
      <c r="C3864" s="28" t="s">
        <v>12398</v>
      </c>
      <c r="D3864" s="27">
        <v>39181</v>
      </c>
      <c r="E3864" s="28" t="s">
        <v>12399</v>
      </c>
      <c r="F3864" s="28" t="s">
        <v>124</v>
      </c>
      <c r="G3864" s="28" t="s">
        <v>20</v>
      </c>
      <c r="H3864" s="28" t="s">
        <v>71</v>
      </c>
      <c r="I3864" s="28" t="s">
        <v>72</v>
      </c>
      <c r="J3864" s="28" t="s">
        <v>272</v>
      </c>
      <c r="K3864" s="28" t="s">
        <v>6081</v>
      </c>
      <c r="L3864" s="28" t="s">
        <v>4579</v>
      </c>
      <c r="M3864" s="28" t="s">
        <v>21</v>
      </c>
      <c r="N3864" s="27">
        <v>39214</v>
      </c>
      <c r="O3864" s="92">
        <v>39478</v>
      </c>
      <c r="P3864" s="28" t="s">
        <v>31</v>
      </c>
      <c r="Q3864" s="26" t="b">
        <v>0</v>
      </c>
      <c r="R3864" s="22">
        <f t="shared" si="62"/>
        <v>292</v>
      </c>
    </row>
    <row r="3865" spans="1:18">
      <c r="A3865" s="26">
        <v>8859</v>
      </c>
      <c r="B3865" s="27">
        <v>39185</v>
      </c>
      <c r="C3865" s="28" t="s">
        <v>12400</v>
      </c>
      <c r="D3865" s="27">
        <v>39184</v>
      </c>
      <c r="E3865" s="28" t="s">
        <v>12401</v>
      </c>
      <c r="F3865" s="28" t="s">
        <v>8522</v>
      </c>
      <c r="G3865" s="28" t="s">
        <v>20</v>
      </c>
      <c r="H3865" s="28" t="s">
        <v>189</v>
      </c>
      <c r="I3865" s="28" t="s">
        <v>189</v>
      </c>
      <c r="J3865" s="28" t="s">
        <v>12402</v>
      </c>
      <c r="K3865" s="28" t="s">
        <v>21</v>
      </c>
      <c r="L3865" s="28" t="s">
        <v>8318</v>
      </c>
      <c r="M3865" s="28" t="s">
        <v>21</v>
      </c>
      <c r="N3865" s="27">
        <v>39233</v>
      </c>
      <c r="O3865" s="92">
        <v>39191</v>
      </c>
      <c r="P3865" s="28" t="s">
        <v>31</v>
      </c>
      <c r="Q3865" s="26" t="b">
        <v>1</v>
      </c>
      <c r="R3865" s="22">
        <f t="shared" ref="R3865:R3928" si="63">IF(O3865=" ", " ", INT(YEARFRAC(O3865, B3865)*365))</f>
        <v>6</v>
      </c>
    </row>
    <row r="3866" spans="1:18">
      <c r="A3866" s="26">
        <v>8860</v>
      </c>
      <c r="B3866" s="27">
        <v>39185</v>
      </c>
      <c r="C3866" s="28" t="s">
        <v>12403</v>
      </c>
      <c r="D3866" s="27">
        <v>39184</v>
      </c>
      <c r="E3866" s="28" t="s">
        <v>38</v>
      </c>
      <c r="F3866" s="28" t="s">
        <v>12404</v>
      </c>
      <c r="G3866" s="28" t="s">
        <v>20</v>
      </c>
      <c r="H3866" s="28" t="s">
        <v>71</v>
      </c>
      <c r="I3866" s="28" t="s">
        <v>72</v>
      </c>
      <c r="J3866" s="28" t="s">
        <v>12248</v>
      </c>
      <c r="K3866" s="28" t="s">
        <v>12405</v>
      </c>
      <c r="L3866" s="28" t="s">
        <v>8318</v>
      </c>
      <c r="M3866" s="28" t="s">
        <v>21</v>
      </c>
      <c r="O3866" s="92">
        <v>39184</v>
      </c>
      <c r="P3866" s="28" t="s">
        <v>21</v>
      </c>
      <c r="Q3866" s="26" t="b">
        <v>0</v>
      </c>
      <c r="R3866" s="22">
        <f t="shared" si="63"/>
        <v>1</v>
      </c>
    </row>
    <row r="3867" spans="1:18" ht="24">
      <c r="A3867" s="26">
        <v>8861</v>
      </c>
      <c r="B3867" s="27">
        <v>39189</v>
      </c>
      <c r="C3867" s="28" t="s">
        <v>12406</v>
      </c>
      <c r="D3867" s="27">
        <v>39189</v>
      </c>
      <c r="E3867" s="28" t="s">
        <v>12407</v>
      </c>
      <c r="F3867" s="28" t="s">
        <v>12408</v>
      </c>
      <c r="G3867" s="28" t="s">
        <v>20</v>
      </c>
      <c r="H3867" s="28" t="s">
        <v>71</v>
      </c>
      <c r="I3867" s="28" t="s">
        <v>72</v>
      </c>
      <c r="J3867" s="28" t="s">
        <v>12409</v>
      </c>
      <c r="K3867" s="28" t="s">
        <v>12410</v>
      </c>
      <c r="L3867" s="28" t="s">
        <v>4579</v>
      </c>
      <c r="M3867" s="28" t="s">
        <v>21</v>
      </c>
      <c r="N3867" s="18"/>
      <c r="O3867" s="92">
        <v>39190</v>
      </c>
      <c r="P3867" s="28" t="s">
        <v>21</v>
      </c>
      <c r="Q3867" s="26" t="b">
        <v>0</v>
      </c>
      <c r="R3867" s="22">
        <f t="shared" si="63"/>
        <v>1</v>
      </c>
    </row>
    <row r="3868" spans="1:18">
      <c r="A3868" s="26">
        <v>8862</v>
      </c>
      <c r="B3868" s="27">
        <v>39189</v>
      </c>
      <c r="C3868" s="28" t="s">
        <v>12411</v>
      </c>
      <c r="D3868" s="27">
        <v>39189</v>
      </c>
      <c r="E3868" s="28" t="s">
        <v>12412</v>
      </c>
      <c r="F3868" s="28" t="s">
        <v>52</v>
      </c>
      <c r="G3868" s="28" t="s">
        <v>20</v>
      </c>
      <c r="H3868" s="28" t="s">
        <v>71</v>
      </c>
      <c r="I3868" s="28" t="s">
        <v>72</v>
      </c>
      <c r="J3868" s="28" t="s">
        <v>12413</v>
      </c>
      <c r="K3868" s="28" t="s">
        <v>21</v>
      </c>
      <c r="L3868" s="28" t="s">
        <v>4579</v>
      </c>
      <c r="M3868" s="28" t="s">
        <v>21</v>
      </c>
      <c r="O3868" s="92">
        <v>39190</v>
      </c>
      <c r="P3868" s="28" t="s">
        <v>21</v>
      </c>
      <c r="Q3868" s="26" t="b">
        <v>0</v>
      </c>
      <c r="R3868" s="22">
        <f t="shared" si="63"/>
        <v>1</v>
      </c>
    </row>
    <row r="3869" spans="1:18">
      <c r="A3869" s="26">
        <v>8863</v>
      </c>
      <c r="B3869" s="27">
        <v>39190</v>
      </c>
      <c r="C3869" s="28" t="s">
        <v>12414</v>
      </c>
      <c r="D3869" s="27">
        <v>39182</v>
      </c>
      <c r="E3869" s="28" t="s">
        <v>12415</v>
      </c>
      <c r="F3869" s="28" t="s">
        <v>1232</v>
      </c>
      <c r="G3869" s="28" t="s">
        <v>20</v>
      </c>
      <c r="H3869" s="28" t="s">
        <v>189</v>
      </c>
      <c r="I3869" s="28" t="s">
        <v>189</v>
      </c>
      <c r="J3869" s="28" t="s">
        <v>12416</v>
      </c>
      <c r="K3869" s="28" t="s">
        <v>12417</v>
      </c>
      <c r="L3869" s="28" t="s">
        <v>8318</v>
      </c>
      <c r="M3869" s="28" t="s">
        <v>21</v>
      </c>
      <c r="O3869" s="92">
        <v>39191</v>
      </c>
      <c r="P3869" s="28" t="s">
        <v>21</v>
      </c>
      <c r="Q3869" s="26" t="b">
        <v>0</v>
      </c>
      <c r="R3869" s="22">
        <f t="shared" si="63"/>
        <v>1</v>
      </c>
    </row>
    <row r="3870" spans="1:18">
      <c r="A3870" s="26">
        <v>8864</v>
      </c>
      <c r="B3870" s="27">
        <v>39192</v>
      </c>
      <c r="C3870" s="28" t="s">
        <v>12418</v>
      </c>
      <c r="D3870" s="27">
        <v>39189</v>
      </c>
      <c r="E3870" s="28" t="s">
        <v>12419</v>
      </c>
      <c r="F3870" s="28" t="s">
        <v>12420</v>
      </c>
      <c r="G3870" s="28" t="s">
        <v>20</v>
      </c>
      <c r="H3870" s="28" t="s">
        <v>71</v>
      </c>
      <c r="I3870" s="28" t="s">
        <v>72</v>
      </c>
      <c r="J3870" s="28" t="s">
        <v>12421</v>
      </c>
      <c r="K3870" s="28" t="s">
        <v>6081</v>
      </c>
      <c r="L3870" s="28" t="s">
        <v>1946</v>
      </c>
      <c r="M3870" s="28" t="s">
        <v>21</v>
      </c>
      <c r="N3870" s="27">
        <v>39222</v>
      </c>
      <c r="O3870" s="92">
        <v>39624</v>
      </c>
      <c r="P3870" s="28" t="s">
        <v>31</v>
      </c>
      <c r="Q3870" s="26" t="b">
        <v>1</v>
      </c>
      <c r="R3870" s="22">
        <f t="shared" si="63"/>
        <v>430</v>
      </c>
    </row>
    <row r="3871" spans="1:18">
      <c r="A3871" s="26">
        <v>8865</v>
      </c>
      <c r="B3871" s="27">
        <v>39192</v>
      </c>
      <c r="C3871" s="28" t="s">
        <v>12422</v>
      </c>
      <c r="D3871" s="27">
        <v>39191</v>
      </c>
      <c r="E3871" s="28" t="s">
        <v>12423</v>
      </c>
      <c r="F3871" s="28" t="s">
        <v>104</v>
      </c>
      <c r="G3871" s="28" t="s">
        <v>20</v>
      </c>
      <c r="H3871" s="28" t="s">
        <v>71</v>
      </c>
      <c r="I3871" s="28" t="s">
        <v>72</v>
      </c>
      <c r="J3871" s="28" t="s">
        <v>12278</v>
      </c>
      <c r="K3871" s="28" t="s">
        <v>6081</v>
      </c>
      <c r="L3871" s="28" t="s">
        <v>1946</v>
      </c>
      <c r="M3871" s="28" t="s">
        <v>4282</v>
      </c>
      <c r="N3871" s="29">
        <v>39222</v>
      </c>
      <c r="O3871" s="92">
        <v>39624</v>
      </c>
      <c r="P3871" s="28" t="s">
        <v>31</v>
      </c>
      <c r="Q3871" s="26" t="b">
        <v>1</v>
      </c>
      <c r="R3871" s="22">
        <f t="shared" si="63"/>
        <v>430</v>
      </c>
    </row>
    <row r="3872" spans="1:18">
      <c r="A3872" s="26">
        <v>8866</v>
      </c>
      <c r="B3872" s="27">
        <v>39192</v>
      </c>
      <c r="C3872" s="28" t="s">
        <v>12424</v>
      </c>
      <c r="D3872" s="27">
        <v>39192</v>
      </c>
      <c r="E3872" s="28" t="s">
        <v>12425</v>
      </c>
      <c r="F3872" s="28" t="s">
        <v>12426</v>
      </c>
      <c r="G3872" s="28" t="s">
        <v>20</v>
      </c>
      <c r="H3872" s="28" t="s">
        <v>71</v>
      </c>
      <c r="I3872" s="28" t="s">
        <v>72</v>
      </c>
      <c r="J3872" s="28" t="s">
        <v>12427</v>
      </c>
      <c r="K3872" s="28" t="s">
        <v>12428</v>
      </c>
      <c r="L3872" s="28" t="s">
        <v>10871</v>
      </c>
      <c r="M3872" s="28" t="s">
        <v>21</v>
      </c>
      <c r="N3872" s="29">
        <v>39222</v>
      </c>
      <c r="O3872" s="92">
        <v>39246</v>
      </c>
      <c r="P3872" s="28" t="s">
        <v>31</v>
      </c>
      <c r="Q3872" s="26" t="b">
        <v>1</v>
      </c>
      <c r="R3872" s="22">
        <f t="shared" si="63"/>
        <v>53</v>
      </c>
    </row>
    <row r="3873" spans="1:18">
      <c r="A3873" s="26">
        <v>8867</v>
      </c>
      <c r="B3873" s="27">
        <v>39195</v>
      </c>
      <c r="C3873" s="28" t="s">
        <v>12429</v>
      </c>
      <c r="D3873" s="27">
        <v>39192</v>
      </c>
      <c r="E3873" s="28" t="s">
        <v>12430</v>
      </c>
      <c r="F3873" s="28" t="s">
        <v>104</v>
      </c>
      <c r="G3873" s="28" t="s">
        <v>20</v>
      </c>
      <c r="H3873" s="28" t="s">
        <v>71</v>
      </c>
      <c r="I3873" s="28" t="s">
        <v>72</v>
      </c>
      <c r="J3873" s="28" t="s">
        <v>9918</v>
      </c>
      <c r="K3873" s="28" t="s">
        <v>12431</v>
      </c>
      <c r="L3873" s="28" t="s">
        <v>4579</v>
      </c>
      <c r="M3873" s="28" t="s">
        <v>4282</v>
      </c>
      <c r="N3873" s="29">
        <v>39241</v>
      </c>
      <c r="O3873" s="92">
        <v>40406</v>
      </c>
      <c r="P3873" s="28" t="s">
        <v>31</v>
      </c>
      <c r="Q3873" s="26" t="b">
        <v>1</v>
      </c>
      <c r="R3873" s="22">
        <f t="shared" si="63"/>
        <v>1209</v>
      </c>
    </row>
    <row r="3874" spans="1:18">
      <c r="A3874" s="26">
        <v>8868</v>
      </c>
      <c r="B3874" s="27">
        <v>39198</v>
      </c>
      <c r="C3874" s="28" t="s">
        <v>12432</v>
      </c>
      <c r="D3874" s="27">
        <v>39196</v>
      </c>
      <c r="E3874" s="28" t="s">
        <v>1928</v>
      </c>
      <c r="F3874" s="28" t="s">
        <v>1232</v>
      </c>
      <c r="G3874" s="28" t="s">
        <v>20</v>
      </c>
      <c r="H3874" s="28" t="s">
        <v>189</v>
      </c>
      <c r="I3874" s="28" t="s">
        <v>189</v>
      </c>
      <c r="J3874" s="28" t="s">
        <v>12433</v>
      </c>
      <c r="K3874" s="28" t="s">
        <v>12434</v>
      </c>
      <c r="L3874" s="28" t="s">
        <v>8318</v>
      </c>
      <c r="M3874" s="28" t="s">
        <v>21</v>
      </c>
      <c r="N3874" s="18"/>
      <c r="O3874" s="92">
        <v>39196</v>
      </c>
      <c r="P3874" s="28" t="s">
        <v>21</v>
      </c>
      <c r="Q3874" s="26" t="b">
        <v>0</v>
      </c>
      <c r="R3874" s="22">
        <f t="shared" si="63"/>
        <v>2</v>
      </c>
    </row>
    <row r="3875" spans="1:18" ht="24">
      <c r="A3875" s="26">
        <v>8870</v>
      </c>
      <c r="B3875" s="27">
        <v>39202</v>
      </c>
      <c r="C3875" s="28" t="s">
        <v>12435</v>
      </c>
      <c r="D3875" s="27">
        <v>39202</v>
      </c>
      <c r="E3875" s="28" t="s">
        <v>12436</v>
      </c>
      <c r="F3875" s="28" t="s">
        <v>12437</v>
      </c>
      <c r="G3875" s="28" t="s">
        <v>20</v>
      </c>
      <c r="H3875" s="28" t="s">
        <v>566</v>
      </c>
      <c r="I3875" s="28" t="s">
        <v>566</v>
      </c>
      <c r="J3875" s="28" t="s">
        <v>9218</v>
      </c>
      <c r="K3875" s="28" t="s">
        <v>11243</v>
      </c>
      <c r="L3875" s="28" t="s">
        <v>4579</v>
      </c>
      <c r="M3875" s="28" t="s">
        <v>21</v>
      </c>
      <c r="N3875" s="27">
        <v>39293</v>
      </c>
      <c r="O3875" s="92">
        <v>39205</v>
      </c>
      <c r="P3875" s="28" t="s">
        <v>21</v>
      </c>
      <c r="Q3875" s="26" t="b">
        <v>0</v>
      </c>
      <c r="R3875" s="22">
        <f t="shared" si="63"/>
        <v>3</v>
      </c>
    </row>
    <row r="3876" spans="1:18" ht="24">
      <c r="A3876" s="26">
        <v>8871</v>
      </c>
      <c r="B3876" s="27">
        <v>39202</v>
      </c>
      <c r="C3876" s="28" t="s">
        <v>12438</v>
      </c>
      <c r="D3876" s="27">
        <v>39202</v>
      </c>
      <c r="E3876" s="28" t="s">
        <v>11030</v>
      </c>
      <c r="F3876" s="28" t="s">
        <v>27</v>
      </c>
      <c r="G3876" s="28" t="s">
        <v>20</v>
      </c>
      <c r="H3876" s="28" t="s">
        <v>71</v>
      </c>
      <c r="I3876" s="28" t="s">
        <v>72</v>
      </c>
      <c r="J3876" s="28" t="s">
        <v>12439</v>
      </c>
      <c r="K3876" s="28" t="s">
        <v>12440</v>
      </c>
      <c r="L3876" s="28" t="s">
        <v>4282</v>
      </c>
      <c r="M3876" s="28" t="s">
        <v>21</v>
      </c>
      <c r="O3876" s="92">
        <v>39210</v>
      </c>
      <c r="P3876" s="28" t="s">
        <v>21</v>
      </c>
      <c r="Q3876" s="26" t="b">
        <v>0</v>
      </c>
      <c r="R3876" s="22">
        <f t="shared" si="63"/>
        <v>8</v>
      </c>
    </row>
    <row r="3877" spans="1:18">
      <c r="A3877" s="26">
        <v>8872</v>
      </c>
      <c r="B3877" s="27">
        <v>39202</v>
      </c>
      <c r="C3877" s="28" t="s">
        <v>12441</v>
      </c>
      <c r="D3877" s="27">
        <v>39199</v>
      </c>
      <c r="E3877" s="28" t="s">
        <v>11030</v>
      </c>
      <c r="F3877" s="28" t="s">
        <v>12404</v>
      </c>
      <c r="G3877" s="28" t="s">
        <v>20</v>
      </c>
      <c r="H3877" s="28" t="s">
        <v>71</v>
      </c>
      <c r="I3877" s="28" t="s">
        <v>72</v>
      </c>
      <c r="J3877" s="28" t="s">
        <v>12442</v>
      </c>
      <c r="K3877" s="28" t="s">
        <v>12443</v>
      </c>
      <c r="L3877" s="28" t="s">
        <v>8318</v>
      </c>
      <c r="M3877" s="28" t="s">
        <v>21</v>
      </c>
      <c r="O3877" s="92">
        <v>39235</v>
      </c>
      <c r="P3877" s="28" t="s">
        <v>21</v>
      </c>
      <c r="Q3877" s="26" t="b">
        <v>0</v>
      </c>
      <c r="R3877" s="22">
        <f t="shared" si="63"/>
        <v>32</v>
      </c>
    </row>
    <row r="3878" spans="1:18" ht="24">
      <c r="A3878" s="26">
        <v>8873</v>
      </c>
      <c r="B3878" s="27">
        <v>39202</v>
      </c>
      <c r="C3878" s="28" t="s">
        <v>12444</v>
      </c>
      <c r="D3878" s="27">
        <v>39202</v>
      </c>
      <c r="E3878" s="28" t="s">
        <v>12445</v>
      </c>
      <c r="F3878" s="28" t="s">
        <v>52</v>
      </c>
      <c r="G3878" s="28" t="s">
        <v>20</v>
      </c>
      <c r="H3878" s="28" t="s">
        <v>189</v>
      </c>
      <c r="I3878" s="28" t="s">
        <v>212</v>
      </c>
      <c r="J3878" s="28" t="s">
        <v>12446</v>
      </c>
      <c r="K3878" s="28" t="s">
        <v>12447</v>
      </c>
      <c r="L3878" s="28" t="s">
        <v>8318</v>
      </c>
      <c r="M3878" s="28" t="s">
        <v>21</v>
      </c>
      <c r="N3878" s="27">
        <v>39247</v>
      </c>
      <c r="O3878" s="92">
        <v>39203</v>
      </c>
      <c r="P3878" s="28" t="s">
        <v>21</v>
      </c>
      <c r="Q3878" s="26" t="b">
        <v>0</v>
      </c>
      <c r="R3878" s="22">
        <f t="shared" si="63"/>
        <v>1</v>
      </c>
    </row>
    <row r="3879" spans="1:18">
      <c r="A3879" s="26">
        <v>8874</v>
      </c>
      <c r="B3879" s="27">
        <v>39203</v>
      </c>
      <c r="C3879" s="28" t="s">
        <v>12448</v>
      </c>
      <c r="D3879" s="27">
        <v>39191</v>
      </c>
      <c r="E3879" s="28" t="s">
        <v>12449</v>
      </c>
      <c r="F3879" s="28" t="s">
        <v>533</v>
      </c>
      <c r="G3879" s="28" t="s">
        <v>20</v>
      </c>
      <c r="H3879" s="28" t="s">
        <v>71</v>
      </c>
      <c r="I3879" s="28" t="s">
        <v>72</v>
      </c>
      <c r="J3879" s="28" t="s">
        <v>12450</v>
      </c>
      <c r="K3879" s="28" t="s">
        <v>21</v>
      </c>
      <c r="L3879" s="28" t="s">
        <v>8318</v>
      </c>
      <c r="M3879" s="28" t="s">
        <v>21</v>
      </c>
      <c r="N3879" s="18"/>
      <c r="O3879" s="92">
        <v>39199</v>
      </c>
      <c r="P3879" s="28" t="s">
        <v>31</v>
      </c>
      <c r="Q3879" s="26" t="b">
        <v>1</v>
      </c>
      <c r="R3879" s="22">
        <f t="shared" si="63"/>
        <v>4</v>
      </c>
    </row>
    <row r="3880" spans="1:18">
      <c r="A3880" s="26">
        <v>8875</v>
      </c>
      <c r="B3880" s="27">
        <v>39204</v>
      </c>
      <c r="C3880" s="28" t="s">
        <v>12451</v>
      </c>
      <c r="D3880" s="27">
        <v>39194</v>
      </c>
      <c r="E3880" s="28" t="s">
        <v>1928</v>
      </c>
      <c r="F3880" s="28" t="s">
        <v>124</v>
      </c>
      <c r="G3880" s="28" t="s">
        <v>20</v>
      </c>
      <c r="H3880" s="28" t="s">
        <v>71</v>
      </c>
      <c r="I3880" s="28" t="s">
        <v>72</v>
      </c>
      <c r="J3880" s="28" t="s">
        <v>12452</v>
      </c>
      <c r="K3880" s="28" t="s">
        <v>12453</v>
      </c>
      <c r="L3880" s="28" t="s">
        <v>8318</v>
      </c>
      <c r="M3880" s="28" t="s">
        <v>21</v>
      </c>
      <c r="N3880" s="18"/>
      <c r="O3880" s="92">
        <v>39203</v>
      </c>
      <c r="P3880" s="28" t="s">
        <v>31</v>
      </c>
      <c r="Q3880" s="26" t="b">
        <v>1</v>
      </c>
      <c r="R3880" s="22">
        <f t="shared" si="63"/>
        <v>1</v>
      </c>
    </row>
    <row r="3881" spans="1:18" ht="24">
      <c r="A3881" s="26">
        <v>8878</v>
      </c>
      <c r="B3881" s="27">
        <v>39205</v>
      </c>
      <c r="C3881" s="28" t="s">
        <v>12454</v>
      </c>
      <c r="D3881" s="27">
        <v>39197</v>
      </c>
      <c r="E3881" s="28" t="s">
        <v>3268</v>
      </c>
      <c r="F3881" s="28" t="s">
        <v>5091</v>
      </c>
      <c r="G3881" s="28" t="s">
        <v>20</v>
      </c>
      <c r="H3881" s="28" t="s">
        <v>189</v>
      </c>
      <c r="I3881" s="28" t="s">
        <v>189</v>
      </c>
      <c r="J3881" s="28" t="s">
        <v>12455</v>
      </c>
      <c r="K3881" s="28" t="s">
        <v>12456</v>
      </c>
      <c r="L3881" s="28" t="s">
        <v>8318</v>
      </c>
      <c r="M3881" s="28" t="s">
        <v>21</v>
      </c>
      <c r="O3881" s="92">
        <v>39217</v>
      </c>
      <c r="P3881" s="28" t="s">
        <v>21</v>
      </c>
      <c r="Q3881" s="26" t="b">
        <v>0</v>
      </c>
      <c r="R3881" s="22">
        <f t="shared" si="63"/>
        <v>12</v>
      </c>
    </row>
    <row r="3882" spans="1:18">
      <c r="A3882" s="26">
        <v>8879</v>
      </c>
      <c r="B3882" s="27">
        <v>39206</v>
      </c>
      <c r="C3882" s="28" t="s">
        <v>12457</v>
      </c>
      <c r="D3882" s="27">
        <v>39204</v>
      </c>
      <c r="E3882" s="28" t="s">
        <v>12458</v>
      </c>
      <c r="F3882" s="28" t="s">
        <v>9198</v>
      </c>
      <c r="G3882" s="28" t="s">
        <v>20</v>
      </c>
      <c r="H3882" s="28" t="s">
        <v>71</v>
      </c>
      <c r="I3882" s="28" t="s">
        <v>72</v>
      </c>
      <c r="J3882" s="28" t="s">
        <v>12459</v>
      </c>
      <c r="K3882" s="28" t="s">
        <v>12460</v>
      </c>
      <c r="L3882" s="28" t="s">
        <v>8318</v>
      </c>
      <c r="M3882" s="28" t="s">
        <v>21</v>
      </c>
      <c r="N3882" s="29">
        <v>39253</v>
      </c>
      <c r="O3882" s="92">
        <v>39206</v>
      </c>
      <c r="P3882" s="28" t="s">
        <v>21</v>
      </c>
      <c r="Q3882" s="26" t="b">
        <v>1</v>
      </c>
      <c r="R3882" s="22">
        <f t="shared" si="63"/>
        <v>0</v>
      </c>
    </row>
    <row r="3883" spans="1:18">
      <c r="A3883" s="26">
        <v>8880</v>
      </c>
      <c r="B3883" s="27">
        <v>39206</v>
      </c>
      <c r="C3883" s="28" t="s">
        <v>12461</v>
      </c>
      <c r="D3883" s="27">
        <v>39204</v>
      </c>
      <c r="E3883" s="28" t="s">
        <v>12462</v>
      </c>
      <c r="F3883" s="28" t="s">
        <v>1232</v>
      </c>
      <c r="G3883" s="28" t="s">
        <v>20</v>
      </c>
      <c r="H3883" s="28" t="s">
        <v>189</v>
      </c>
      <c r="I3883" s="28" t="s">
        <v>189</v>
      </c>
      <c r="J3883" s="28" t="s">
        <v>12463</v>
      </c>
      <c r="K3883" s="28" t="s">
        <v>12464</v>
      </c>
      <c r="L3883" s="28" t="s">
        <v>8318</v>
      </c>
      <c r="M3883" s="28" t="s">
        <v>21</v>
      </c>
      <c r="N3883" s="29">
        <v>39298</v>
      </c>
      <c r="O3883" s="92">
        <v>39217</v>
      </c>
      <c r="P3883" s="28" t="s">
        <v>21</v>
      </c>
      <c r="Q3883" s="26" t="b">
        <v>0</v>
      </c>
      <c r="R3883" s="22">
        <f t="shared" si="63"/>
        <v>11</v>
      </c>
    </row>
    <row r="3884" spans="1:18" ht="24">
      <c r="A3884" s="26">
        <v>8881</v>
      </c>
      <c r="B3884" s="27">
        <v>39211</v>
      </c>
      <c r="C3884" s="28" t="s">
        <v>12465</v>
      </c>
      <c r="D3884" s="27">
        <v>39163</v>
      </c>
      <c r="E3884" s="28" t="s">
        <v>12466</v>
      </c>
      <c r="F3884" s="28" t="s">
        <v>12467</v>
      </c>
      <c r="G3884" s="28" t="s">
        <v>20</v>
      </c>
      <c r="H3884" s="28" t="s">
        <v>212</v>
      </c>
      <c r="I3884" s="28" t="s">
        <v>212</v>
      </c>
      <c r="J3884" s="28" t="s">
        <v>6523</v>
      </c>
      <c r="K3884" s="28" t="s">
        <v>21</v>
      </c>
      <c r="L3884" s="28" t="s">
        <v>8318</v>
      </c>
      <c r="M3884" s="28" t="s">
        <v>21</v>
      </c>
      <c r="O3884" s="92">
        <v>39211</v>
      </c>
      <c r="P3884" s="28" t="s">
        <v>31</v>
      </c>
      <c r="Q3884" s="26" t="b">
        <v>1</v>
      </c>
      <c r="R3884" s="22">
        <f t="shared" si="63"/>
        <v>0</v>
      </c>
    </row>
    <row r="3885" spans="1:18">
      <c r="A3885" s="26">
        <v>8882</v>
      </c>
      <c r="B3885" s="27">
        <v>39212</v>
      </c>
      <c r="C3885" s="28" t="s">
        <v>12468</v>
      </c>
      <c r="D3885" s="27">
        <v>39177</v>
      </c>
      <c r="E3885" s="28" t="s">
        <v>12469</v>
      </c>
      <c r="F3885" s="28" t="s">
        <v>350</v>
      </c>
      <c r="G3885" s="28" t="s">
        <v>20</v>
      </c>
      <c r="H3885" s="28" t="s">
        <v>71</v>
      </c>
      <c r="I3885" s="28" t="s">
        <v>72</v>
      </c>
      <c r="J3885" s="28" t="s">
        <v>12392</v>
      </c>
      <c r="K3885" s="28" t="s">
        <v>12393</v>
      </c>
      <c r="L3885" s="28" t="s">
        <v>4282</v>
      </c>
      <c r="M3885" s="28" t="s">
        <v>21</v>
      </c>
      <c r="N3885" s="18"/>
      <c r="O3885" s="92">
        <v>40452</v>
      </c>
      <c r="P3885" s="28" t="s">
        <v>31</v>
      </c>
      <c r="Q3885" s="26" t="b">
        <v>1</v>
      </c>
      <c r="R3885" s="22">
        <f t="shared" si="63"/>
        <v>1237</v>
      </c>
    </row>
    <row r="3886" spans="1:18">
      <c r="A3886" s="26">
        <v>8883</v>
      </c>
      <c r="B3886" s="27">
        <v>39217</v>
      </c>
      <c r="C3886" s="28" t="s">
        <v>12470</v>
      </c>
      <c r="D3886" s="27">
        <v>39213</v>
      </c>
      <c r="E3886" s="28" t="s">
        <v>12471</v>
      </c>
      <c r="F3886" s="28" t="s">
        <v>124</v>
      </c>
      <c r="G3886" s="28" t="s">
        <v>20</v>
      </c>
      <c r="H3886" s="28" t="s">
        <v>71</v>
      </c>
      <c r="I3886" s="28" t="s">
        <v>72</v>
      </c>
      <c r="J3886" s="28" t="s">
        <v>6406</v>
      </c>
      <c r="K3886" s="28" t="s">
        <v>12472</v>
      </c>
      <c r="L3886" s="28" t="s">
        <v>1946</v>
      </c>
      <c r="M3886" s="28" t="s">
        <v>21</v>
      </c>
      <c r="N3886" s="27">
        <v>39264</v>
      </c>
      <c r="O3886" s="92">
        <v>40556</v>
      </c>
      <c r="P3886" s="28" t="s">
        <v>31</v>
      </c>
      <c r="Q3886" s="26" t="b">
        <v>1</v>
      </c>
      <c r="R3886" s="22">
        <f t="shared" si="63"/>
        <v>1336</v>
      </c>
    </row>
    <row r="3887" spans="1:18">
      <c r="A3887" s="26">
        <v>8884</v>
      </c>
      <c r="B3887" s="27">
        <v>39218</v>
      </c>
      <c r="C3887" s="28" t="s">
        <v>12473</v>
      </c>
      <c r="D3887" s="27">
        <v>39217</v>
      </c>
      <c r="E3887" s="28" t="s">
        <v>12474</v>
      </c>
      <c r="F3887" s="28" t="s">
        <v>974</v>
      </c>
      <c r="G3887" s="28" t="s">
        <v>20</v>
      </c>
      <c r="H3887" s="28" t="s">
        <v>212</v>
      </c>
      <c r="I3887" s="28" t="s">
        <v>212</v>
      </c>
      <c r="J3887" s="28" t="s">
        <v>12475</v>
      </c>
      <c r="K3887" s="28" t="s">
        <v>12476</v>
      </c>
      <c r="L3887" s="28" t="s">
        <v>4282</v>
      </c>
      <c r="M3887" s="28" t="s">
        <v>21</v>
      </c>
      <c r="N3887" s="29">
        <v>39309</v>
      </c>
      <c r="O3887" s="92">
        <v>39329</v>
      </c>
      <c r="P3887" s="28" t="s">
        <v>31</v>
      </c>
      <c r="Q3887" s="26" t="b">
        <v>1</v>
      </c>
      <c r="R3887" s="22">
        <f t="shared" si="63"/>
        <v>109</v>
      </c>
    </row>
    <row r="3888" spans="1:18">
      <c r="A3888" s="26">
        <v>8885</v>
      </c>
      <c r="B3888" s="27">
        <v>39224</v>
      </c>
      <c r="C3888" s="28" t="s">
        <v>12477</v>
      </c>
      <c r="D3888" s="27">
        <v>39219</v>
      </c>
      <c r="E3888" s="28" t="s">
        <v>12478</v>
      </c>
      <c r="F3888" s="28" t="s">
        <v>12479</v>
      </c>
      <c r="G3888" s="28" t="s">
        <v>20</v>
      </c>
      <c r="H3888" s="28" t="s">
        <v>71</v>
      </c>
      <c r="I3888" s="28" t="s">
        <v>72</v>
      </c>
      <c r="J3888" s="28" t="s">
        <v>12480</v>
      </c>
      <c r="K3888" s="28" t="s">
        <v>3325</v>
      </c>
      <c r="L3888" s="28" t="s">
        <v>4579</v>
      </c>
      <c r="M3888" s="28" t="s">
        <v>21</v>
      </c>
      <c r="N3888" s="27">
        <v>39266</v>
      </c>
      <c r="O3888" s="92">
        <v>39281</v>
      </c>
      <c r="P3888" s="28" t="s">
        <v>31</v>
      </c>
      <c r="Q3888" s="26" t="b">
        <v>1</v>
      </c>
      <c r="R3888" s="22">
        <f t="shared" si="63"/>
        <v>56</v>
      </c>
    </row>
    <row r="3889" spans="1:18">
      <c r="A3889" s="26">
        <v>8886</v>
      </c>
      <c r="B3889" s="27">
        <v>39224</v>
      </c>
      <c r="C3889" s="28" t="s">
        <v>12481</v>
      </c>
      <c r="D3889" s="27">
        <v>39216</v>
      </c>
      <c r="E3889" s="28" t="s">
        <v>10998</v>
      </c>
      <c r="F3889" s="28" t="s">
        <v>27</v>
      </c>
      <c r="G3889" s="28" t="s">
        <v>20</v>
      </c>
      <c r="H3889" s="28" t="s">
        <v>71</v>
      </c>
      <c r="I3889" s="28" t="s">
        <v>72</v>
      </c>
      <c r="J3889" s="28" t="s">
        <v>12482</v>
      </c>
      <c r="K3889" s="28" t="s">
        <v>8412</v>
      </c>
      <c r="L3889" s="28" t="s">
        <v>4282</v>
      </c>
      <c r="M3889" s="28" t="s">
        <v>21</v>
      </c>
      <c r="N3889" s="18"/>
      <c r="O3889" s="92">
        <v>39232</v>
      </c>
      <c r="P3889" s="28" t="s">
        <v>21</v>
      </c>
      <c r="Q3889" s="26" t="b">
        <v>0</v>
      </c>
      <c r="R3889" s="22">
        <f t="shared" si="63"/>
        <v>8</v>
      </c>
    </row>
    <row r="3890" spans="1:18">
      <c r="A3890" s="26">
        <v>8889</v>
      </c>
      <c r="B3890" s="27">
        <v>39237</v>
      </c>
      <c r="C3890" s="28" t="s">
        <v>12483</v>
      </c>
      <c r="D3890" s="27">
        <v>39234</v>
      </c>
      <c r="E3890" s="28" t="s">
        <v>12484</v>
      </c>
      <c r="F3890" s="28" t="s">
        <v>11319</v>
      </c>
      <c r="G3890" s="28" t="s">
        <v>20</v>
      </c>
      <c r="H3890" s="28" t="s">
        <v>71</v>
      </c>
      <c r="I3890" s="28" t="s">
        <v>72</v>
      </c>
      <c r="J3890" s="28" t="s">
        <v>12485</v>
      </c>
      <c r="K3890" s="28" t="s">
        <v>21</v>
      </c>
      <c r="L3890" s="28" t="s">
        <v>8318</v>
      </c>
      <c r="M3890" s="28" t="s">
        <v>21</v>
      </c>
      <c r="N3890" s="18"/>
      <c r="O3890" s="92">
        <v>39234</v>
      </c>
      <c r="P3890" s="28" t="s">
        <v>31</v>
      </c>
      <c r="Q3890" s="26" t="b">
        <v>1</v>
      </c>
      <c r="R3890" s="22">
        <f t="shared" si="63"/>
        <v>3</v>
      </c>
    </row>
    <row r="3891" spans="1:18">
      <c r="A3891" s="26">
        <v>8891</v>
      </c>
      <c r="B3891" s="27">
        <v>39238</v>
      </c>
      <c r="C3891" s="28" t="s">
        <v>12486</v>
      </c>
      <c r="D3891" s="27">
        <v>39237</v>
      </c>
      <c r="E3891" s="28" t="s">
        <v>12487</v>
      </c>
      <c r="F3891" s="28" t="s">
        <v>12488</v>
      </c>
      <c r="G3891" s="28" t="s">
        <v>20</v>
      </c>
      <c r="H3891" s="28" t="s">
        <v>71</v>
      </c>
      <c r="I3891" s="28" t="s">
        <v>72</v>
      </c>
      <c r="J3891" s="28" t="s">
        <v>12489</v>
      </c>
      <c r="K3891" s="28" t="s">
        <v>10316</v>
      </c>
      <c r="L3891" s="28" t="s">
        <v>8318</v>
      </c>
      <c r="M3891" s="28" t="s">
        <v>21</v>
      </c>
      <c r="O3891" s="92">
        <v>39238</v>
      </c>
      <c r="P3891" s="28" t="s">
        <v>21</v>
      </c>
      <c r="Q3891" s="26" t="b">
        <v>0</v>
      </c>
      <c r="R3891" s="22">
        <f t="shared" si="63"/>
        <v>0</v>
      </c>
    </row>
    <row r="3892" spans="1:18">
      <c r="A3892" s="26">
        <v>8895</v>
      </c>
      <c r="B3892" s="27">
        <v>39247</v>
      </c>
      <c r="C3892" s="28" t="s">
        <v>12490</v>
      </c>
      <c r="D3892" s="27">
        <v>39241</v>
      </c>
      <c r="E3892" s="28" t="s">
        <v>1432</v>
      </c>
      <c r="F3892" s="28" t="s">
        <v>70</v>
      </c>
      <c r="G3892" s="28" t="s">
        <v>20</v>
      </c>
      <c r="H3892" s="28" t="s">
        <v>71</v>
      </c>
      <c r="I3892" s="28" t="s">
        <v>72</v>
      </c>
      <c r="J3892" s="28" t="s">
        <v>12491</v>
      </c>
      <c r="K3892" s="28" t="s">
        <v>21</v>
      </c>
      <c r="L3892" s="28" t="s">
        <v>4579</v>
      </c>
      <c r="M3892" s="28" t="s">
        <v>21</v>
      </c>
      <c r="N3892" s="18"/>
      <c r="O3892" s="92">
        <v>39548</v>
      </c>
      <c r="P3892" s="28" t="s">
        <v>21</v>
      </c>
      <c r="Q3892" s="26" t="b">
        <v>0</v>
      </c>
      <c r="R3892" s="22">
        <f t="shared" si="63"/>
        <v>300</v>
      </c>
    </row>
    <row r="3893" spans="1:18">
      <c r="A3893" s="26">
        <v>8896</v>
      </c>
      <c r="B3893" s="27">
        <v>39251</v>
      </c>
      <c r="C3893" s="28" t="s">
        <v>12492</v>
      </c>
      <c r="D3893" s="27">
        <v>39248</v>
      </c>
      <c r="E3893" s="28" t="s">
        <v>12493</v>
      </c>
      <c r="F3893" s="28" t="s">
        <v>545</v>
      </c>
      <c r="G3893" s="28" t="s">
        <v>20</v>
      </c>
      <c r="H3893" s="28" t="s">
        <v>71</v>
      </c>
      <c r="I3893" s="28" t="s">
        <v>72</v>
      </c>
      <c r="J3893" s="28" t="s">
        <v>12494</v>
      </c>
      <c r="K3893" s="28" t="s">
        <v>21</v>
      </c>
      <c r="L3893" s="28" t="s">
        <v>4282</v>
      </c>
      <c r="M3893" s="28" t="s">
        <v>21</v>
      </c>
      <c r="N3893" s="27">
        <v>39278</v>
      </c>
      <c r="O3893" s="92">
        <v>39259</v>
      </c>
      <c r="P3893" s="28" t="s">
        <v>31</v>
      </c>
      <c r="Q3893" s="26" t="b">
        <v>1</v>
      </c>
      <c r="R3893" s="22">
        <f t="shared" si="63"/>
        <v>8</v>
      </c>
    </row>
    <row r="3894" spans="1:18">
      <c r="A3894" s="26">
        <v>8897</v>
      </c>
      <c r="B3894" s="27">
        <v>39251</v>
      </c>
      <c r="C3894" s="28" t="s">
        <v>12495</v>
      </c>
      <c r="D3894" s="27">
        <v>39248</v>
      </c>
      <c r="E3894" s="28" t="s">
        <v>12496</v>
      </c>
      <c r="F3894" s="28" t="s">
        <v>19</v>
      </c>
      <c r="G3894" s="28" t="s">
        <v>20</v>
      </c>
      <c r="H3894" s="28" t="s">
        <v>71</v>
      </c>
      <c r="I3894" s="28" t="s">
        <v>72</v>
      </c>
      <c r="J3894" s="28" t="s">
        <v>12497</v>
      </c>
      <c r="K3894" s="28" t="s">
        <v>12498</v>
      </c>
      <c r="L3894" s="28" t="s">
        <v>7167</v>
      </c>
      <c r="M3894" s="28" t="s">
        <v>4282</v>
      </c>
      <c r="N3894" s="27">
        <v>39278</v>
      </c>
      <c r="O3894" s="92">
        <v>41037</v>
      </c>
      <c r="P3894" s="28" t="s">
        <v>31</v>
      </c>
      <c r="Q3894" s="26" t="b">
        <v>1</v>
      </c>
      <c r="R3894" s="22">
        <f t="shared" si="63"/>
        <v>1784</v>
      </c>
    </row>
    <row r="3895" spans="1:18">
      <c r="A3895" s="26">
        <v>8898</v>
      </c>
      <c r="B3895" s="27">
        <v>39251</v>
      </c>
      <c r="C3895" s="28" t="s">
        <v>12499</v>
      </c>
      <c r="D3895" s="27">
        <v>39248</v>
      </c>
      <c r="E3895" s="28" t="s">
        <v>38</v>
      </c>
      <c r="F3895" s="28" t="s">
        <v>689</v>
      </c>
      <c r="G3895" s="28" t="s">
        <v>189</v>
      </c>
      <c r="H3895" s="28" t="s">
        <v>212</v>
      </c>
      <c r="I3895" s="28" t="s">
        <v>212</v>
      </c>
      <c r="J3895" s="28" t="s">
        <v>12500</v>
      </c>
      <c r="K3895" s="28" t="s">
        <v>12501</v>
      </c>
      <c r="L3895" s="28" t="s">
        <v>8318</v>
      </c>
      <c r="M3895" s="28" t="s">
        <v>21</v>
      </c>
      <c r="O3895" s="92">
        <v>39258</v>
      </c>
      <c r="P3895" s="28" t="s">
        <v>182</v>
      </c>
      <c r="Q3895" s="26" t="b">
        <v>0</v>
      </c>
      <c r="R3895" s="22">
        <f t="shared" si="63"/>
        <v>7</v>
      </c>
    </row>
    <row r="3896" spans="1:18">
      <c r="A3896" s="26">
        <v>8899</v>
      </c>
      <c r="B3896" s="27">
        <v>39252</v>
      </c>
      <c r="C3896" s="28" t="s">
        <v>12502</v>
      </c>
      <c r="D3896" s="27">
        <v>39252</v>
      </c>
      <c r="E3896" s="28" t="s">
        <v>12503</v>
      </c>
      <c r="F3896" s="28" t="s">
        <v>12504</v>
      </c>
      <c r="G3896" s="28" t="s">
        <v>20</v>
      </c>
      <c r="H3896" s="28" t="s">
        <v>71</v>
      </c>
      <c r="I3896" s="28" t="s">
        <v>72</v>
      </c>
      <c r="J3896" s="28" t="s">
        <v>12505</v>
      </c>
      <c r="K3896" s="28" t="s">
        <v>21</v>
      </c>
      <c r="L3896" s="28" t="s">
        <v>3588</v>
      </c>
      <c r="M3896" s="28" t="s">
        <v>11271</v>
      </c>
      <c r="N3896" s="27">
        <v>39344</v>
      </c>
      <c r="O3896" s="92">
        <v>40185</v>
      </c>
      <c r="P3896" s="28" t="s">
        <v>21</v>
      </c>
      <c r="Q3896" s="26" t="b">
        <v>0</v>
      </c>
      <c r="R3896" s="22">
        <f t="shared" si="63"/>
        <v>930</v>
      </c>
    </row>
    <row r="3897" spans="1:18">
      <c r="A3897" s="26">
        <v>8900</v>
      </c>
      <c r="B3897" s="27">
        <v>39253</v>
      </c>
      <c r="C3897" s="28" t="s">
        <v>12506</v>
      </c>
      <c r="D3897" s="27">
        <v>39253</v>
      </c>
      <c r="E3897" s="28" t="s">
        <v>12507</v>
      </c>
      <c r="F3897" s="28" t="s">
        <v>52</v>
      </c>
      <c r="G3897" s="28" t="s">
        <v>20</v>
      </c>
      <c r="H3897" s="28" t="s">
        <v>71</v>
      </c>
      <c r="I3897" s="28" t="s">
        <v>72</v>
      </c>
      <c r="J3897" s="28" t="s">
        <v>12508</v>
      </c>
      <c r="K3897" s="28" t="s">
        <v>21</v>
      </c>
      <c r="L3897" s="28" t="s">
        <v>4282</v>
      </c>
      <c r="M3897" s="28" t="s">
        <v>21</v>
      </c>
      <c r="N3897" s="27">
        <v>39284</v>
      </c>
      <c r="O3897" s="92">
        <v>39254</v>
      </c>
      <c r="P3897" s="28" t="s">
        <v>31</v>
      </c>
      <c r="Q3897" s="26" t="b">
        <v>1</v>
      </c>
      <c r="R3897" s="22">
        <f t="shared" si="63"/>
        <v>1</v>
      </c>
    </row>
    <row r="3898" spans="1:18">
      <c r="A3898" s="26">
        <v>8901</v>
      </c>
      <c r="B3898" s="27">
        <v>39253</v>
      </c>
      <c r="C3898" s="28" t="s">
        <v>12509</v>
      </c>
      <c r="D3898" s="27">
        <v>39253</v>
      </c>
      <c r="E3898" s="28" t="s">
        <v>12510</v>
      </c>
      <c r="F3898" s="28" t="s">
        <v>12511</v>
      </c>
      <c r="G3898" s="28" t="s">
        <v>20</v>
      </c>
      <c r="H3898" s="28" t="s">
        <v>71</v>
      </c>
      <c r="I3898" s="28" t="s">
        <v>72</v>
      </c>
      <c r="J3898" s="28" t="s">
        <v>12512</v>
      </c>
      <c r="K3898" s="28" t="s">
        <v>12513</v>
      </c>
      <c r="L3898" s="28" t="s">
        <v>1946</v>
      </c>
      <c r="M3898" s="28" t="s">
        <v>21</v>
      </c>
      <c r="N3898" s="27">
        <v>39284</v>
      </c>
      <c r="O3898" s="92">
        <v>39624</v>
      </c>
      <c r="P3898" s="28" t="s">
        <v>31</v>
      </c>
      <c r="Q3898" s="26" t="b">
        <v>1</v>
      </c>
      <c r="R3898" s="22">
        <f t="shared" si="63"/>
        <v>370</v>
      </c>
    </row>
    <row r="3899" spans="1:18" ht="24">
      <c r="A3899" s="26">
        <v>8911</v>
      </c>
      <c r="B3899" s="27">
        <v>39254</v>
      </c>
      <c r="C3899" s="28" t="s">
        <v>12536</v>
      </c>
      <c r="D3899" s="27">
        <v>39238</v>
      </c>
      <c r="E3899" s="28" t="s">
        <v>12537</v>
      </c>
      <c r="F3899" s="28" t="s">
        <v>56</v>
      </c>
      <c r="G3899" s="28" t="s">
        <v>20</v>
      </c>
      <c r="H3899" s="28" t="s">
        <v>71</v>
      </c>
      <c r="I3899" s="28" t="s">
        <v>72</v>
      </c>
      <c r="J3899" s="28" t="s">
        <v>12538</v>
      </c>
      <c r="K3899" s="28" t="s">
        <v>12539</v>
      </c>
      <c r="L3899" s="28" t="s">
        <v>1946</v>
      </c>
      <c r="M3899" s="28" t="s">
        <v>21</v>
      </c>
      <c r="N3899" s="27">
        <v>39284</v>
      </c>
      <c r="O3899" s="92">
        <v>39967</v>
      </c>
      <c r="P3899" s="28" t="s">
        <v>21</v>
      </c>
      <c r="Q3899" s="26" t="b">
        <v>0</v>
      </c>
      <c r="R3899" s="22">
        <f t="shared" si="63"/>
        <v>711</v>
      </c>
    </row>
    <row r="3900" spans="1:18">
      <c r="A3900" s="26">
        <v>8903</v>
      </c>
      <c r="B3900" s="27">
        <v>39259</v>
      </c>
      <c r="C3900" s="28" t="s">
        <v>12514</v>
      </c>
      <c r="D3900" s="27">
        <v>39253</v>
      </c>
      <c r="E3900" s="28" t="s">
        <v>38</v>
      </c>
      <c r="F3900" s="28" t="s">
        <v>689</v>
      </c>
      <c r="G3900" s="28" t="s">
        <v>20</v>
      </c>
      <c r="H3900" s="28" t="s">
        <v>212</v>
      </c>
      <c r="I3900" s="28" t="s">
        <v>212</v>
      </c>
      <c r="J3900" s="28" t="s">
        <v>12515</v>
      </c>
      <c r="K3900" s="28" t="s">
        <v>12501</v>
      </c>
      <c r="L3900" s="28" t="s">
        <v>8318</v>
      </c>
      <c r="M3900" s="28" t="s">
        <v>21</v>
      </c>
      <c r="N3900" s="18"/>
      <c r="O3900" s="92">
        <v>39258</v>
      </c>
      <c r="P3900" s="28" t="s">
        <v>31</v>
      </c>
      <c r="Q3900" s="26" t="b">
        <v>1</v>
      </c>
      <c r="R3900" s="22">
        <f t="shared" si="63"/>
        <v>1</v>
      </c>
    </row>
    <row r="3901" spans="1:18">
      <c r="A3901" s="26">
        <v>8904</v>
      </c>
      <c r="B3901" s="27">
        <v>39259</v>
      </c>
      <c r="C3901" s="28" t="s">
        <v>12516</v>
      </c>
      <c r="D3901" s="27">
        <v>39259</v>
      </c>
      <c r="E3901" s="28" t="s">
        <v>12517</v>
      </c>
      <c r="F3901" s="28" t="s">
        <v>1159</v>
      </c>
      <c r="G3901" s="28" t="s">
        <v>20</v>
      </c>
      <c r="H3901" s="28" t="s">
        <v>71</v>
      </c>
      <c r="I3901" s="28" t="s">
        <v>72</v>
      </c>
      <c r="J3901" s="28" t="s">
        <v>12518</v>
      </c>
      <c r="K3901" s="28" t="s">
        <v>12519</v>
      </c>
      <c r="L3901" s="28" t="s">
        <v>1946</v>
      </c>
      <c r="M3901" s="28" t="s">
        <v>21</v>
      </c>
      <c r="N3901" s="27">
        <v>39289</v>
      </c>
      <c r="O3901" s="92">
        <v>40014</v>
      </c>
      <c r="P3901" s="28" t="s">
        <v>31</v>
      </c>
      <c r="Q3901" s="26" t="b">
        <v>1</v>
      </c>
      <c r="R3901" s="22">
        <f t="shared" si="63"/>
        <v>754</v>
      </c>
    </row>
    <row r="3902" spans="1:18" ht="24">
      <c r="A3902" s="26">
        <v>8905</v>
      </c>
      <c r="B3902" s="27">
        <v>39259</v>
      </c>
      <c r="C3902" s="28" t="s">
        <v>12520</v>
      </c>
      <c r="D3902" s="27">
        <v>39258</v>
      </c>
      <c r="E3902" s="28" t="s">
        <v>12521</v>
      </c>
      <c r="F3902" s="28" t="s">
        <v>27</v>
      </c>
      <c r="G3902" s="28" t="s">
        <v>20</v>
      </c>
      <c r="H3902" s="28" t="s">
        <v>71</v>
      </c>
      <c r="I3902" s="28" t="s">
        <v>72</v>
      </c>
      <c r="J3902" s="28" t="s">
        <v>12522</v>
      </c>
      <c r="K3902" s="28" t="s">
        <v>6081</v>
      </c>
      <c r="L3902" s="28" t="s">
        <v>4282</v>
      </c>
      <c r="M3902" s="28" t="s">
        <v>21</v>
      </c>
      <c r="N3902" s="27">
        <v>39289</v>
      </c>
      <c r="O3902" s="92">
        <v>40555</v>
      </c>
      <c r="P3902" s="28" t="s">
        <v>31</v>
      </c>
      <c r="Q3902" s="26" t="b">
        <v>1</v>
      </c>
      <c r="R3902" s="22">
        <f t="shared" si="63"/>
        <v>1293</v>
      </c>
    </row>
    <row r="3903" spans="1:18">
      <c r="A3903" s="26">
        <v>8906</v>
      </c>
      <c r="B3903" s="27">
        <v>39260</v>
      </c>
      <c r="C3903" s="28" t="s">
        <v>12523</v>
      </c>
      <c r="D3903" s="27">
        <v>39251</v>
      </c>
      <c r="E3903" s="28" t="s">
        <v>12524</v>
      </c>
      <c r="F3903" s="28" t="s">
        <v>12525</v>
      </c>
      <c r="G3903" s="28" t="s">
        <v>189</v>
      </c>
      <c r="H3903" s="28" t="s">
        <v>566</v>
      </c>
      <c r="I3903" s="28" t="s">
        <v>566</v>
      </c>
      <c r="J3903" s="28" t="s">
        <v>12526</v>
      </c>
      <c r="K3903" s="28" t="s">
        <v>12527</v>
      </c>
      <c r="L3903" s="28" t="s">
        <v>4579</v>
      </c>
      <c r="M3903" s="28" t="s">
        <v>21</v>
      </c>
      <c r="N3903" s="27">
        <v>39290</v>
      </c>
      <c r="O3903" s="92">
        <v>39478</v>
      </c>
      <c r="P3903" s="28" t="s">
        <v>21</v>
      </c>
      <c r="Q3903" s="26" t="b">
        <v>0</v>
      </c>
      <c r="R3903" s="22">
        <f t="shared" si="63"/>
        <v>216</v>
      </c>
    </row>
    <row r="3904" spans="1:18">
      <c r="A3904" s="26">
        <v>8912</v>
      </c>
      <c r="B3904" s="27">
        <v>39260</v>
      </c>
      <c r="C3904" s="28" t="s">
        <v>12540</v>
      </c>
      <c r="D3904" s="27">
        <v>39260</v>
      </c>
      <c r="E3904" s="28" t="s">
        <v>12541</v>
      </c>
      <c r="F3904" s="28" t="s">
        <v>104</v>
      </c>
      <c r="G3904" s="28" t="s">
        <v>20</v>
      </c>
      <c r="H3904" s="28" t="s">
        <v>71</v>
      </c>
      <c r="I3904" s="28" t="s">
        <v>72</v>
      </c>
      <c r="J3904" s="28" t="s">
        <v>12542</v>
      </c>
      <c r="K3904" s="28" t="s">
        <v>12543</v>
      </c>
      <c r="L3904" s="28" t="s">
        <v>1946</v>
      </c>
      <c r="M3904" s="28" t="s">
        <v>21</v>
      </c>
      <c r="N3904" s="27">
        <v>39307</v>
      </c>
      <c r="O3904" s="92">
        <v>39624</v>
      </c>
      <c r="P3904" s="28" t="s">
        <v>21</v>
      </c>
      <c r="Q3904" s="26" t="b">
        <v>0</v>
      </c>
      <c r="R3904" s="22">
        <f t="shared" si="63"/>
        <v>362</v>
      </c>
    </row>
    <row r="3905" spans="1:18">
      <c r="A3905" s="26">
        <v>8907</v>
      </c>
      <c r="B3905" s="27">
        <v>39261</v>
      </c>
      <c r="C3905" s="28" t="s">
        <v>12528</v>
      </c>
      <c r="D3905" s="27">
        <v>39261</v>
      </c>
      <c r="E3905" s="28" t="s">
        <v>12529</v>
      </c>
      <c r="F3905" s="28" t="s">
        <v>6953</v>
      </c>
      <c r="G3905" s="28" t="s">
        <v>20</v>
      </c>
      <c r="H3905" s="28" t="s">
        <v>71</v>
      </c>
      <c r="I3905" s="28" t="s">
        <v>72</v>
      </c>
      <c r="J3905" s="28" t="s">
        <v>12530</v>
      </c>
      <c r="K3905" s="28" t="s">
        <v>12531</v>
      </c>
      <c r="L3905" s="28" t="s">
        <v>8318</v>
      </c>
      <c r="M3905" s="28" t="s">
        <v>21</v>
      </c>
      <c r="O3905" s="92">
        <v>39261</v>
      </c>
      <c r="P3905" s="28" t="s">
        <v>21</v>
      </c>
      <c r="Q3905" s="26" t="b">
        <v>0</v>
      </c>
      <c r="R3905" s="22">
        <f t="shared" si="63"/>
        <v>0</v>
      </c>
    </row>
    <row r="3906" spans="1:18">
      <c r="A3906" s="26">
        <v>8915</v>
      </c>
      <c r="B3906" s="27">
        <v>39261</v>
      </c>
      <c r="C3906" s="28" t="s">
        <v>12550</v>
      </c>
      <c r="D3906" s="27">
        <v>39261</v>
      </c>
      <c r="E3906" s="28" t="s">
        <v>12551</v>
      </c>
      <c r="F3906" s="28" t="s">
        <v>3430</v>
      </c>
      <c r="G3906" s="28" t="s">
        <v>20</v>
      </c>
      <c r="H3906" s="28" t="s">
        <v>71</v>
      </c>
      <c r="I3906" s="28" t="s">
        <v>72</v>
      </c>
      <c r="J3906" s="28" t="s">
        <v>12552</v>
      </c>
      <c r="K3906" s="28" t="s">
        <v>21</v>
      </c>
      <c r="L3906" s="28" t="s">
        <v>4579</v>
      </c>
      <c r="M3906" s="28" t="s">
        <v>21</v>
      </c>
      <c r="N3906" s="29">
        <v>39307</v>
      </c>
      <c r="O3906" s="92">
        <v>39275</v>
      </c>
      <c r="P3906" s="28" t="s">
        <v>21</v>
      </c>
      <c r="Q3906" s="26" t="b">
        <v>1</v>
      </c>
      <c r="R3906" s="22">
        <f t="shared" si="63"/>
        <v>14</v>
      </c>
    </row>
    <row r="3907" spans="1:18" ht="24">
      <c r="A3907" s="26">
        <v>8910</v>
      </c>
      <c r="B3907" s="27">
        <v>39262</v>
      </c>
      <c r="C3907" s="28" t="s">
        <v>12532</v>
      </c>
      <c r="D3907" s="27">
        <v>39262</v>
      </c>
      <c r="E3907" s="28" t="s">
        <v>12533</v>
      </c>
      <c r="F3907" s="28" t="s">
        <v>12534</v>
      </c>
      <c r="G3907" s="28" t="s">
        <v>20</v>
      </c>
      <c r="H3907" s="28" t="s">
        <v>71</v>
      </c>
      <c r="I3907" s="28" t="s">
        <v>72</v>
      </c>
      <c r="J3907" s="28" t="s">
        <v>4690</v>
      </c>
      <c r="K3907" s="28" t="s">
        <v>12535</v>
      </c>
      <c r="L3907" s="28" t="s">
        <v>4282</v>
      </c>
      <c r="M3907" s="28" t="s">
        <v>21</v>
      </c>
      <c r="N3907" s="27">
        <v>39309</v>
      </c>
      <c r="O3907" s="92">
        <v>39371</v>
      </c>
      <c r="P3907" s="28" t="s">
        <v>21</v>
      </c>
      <c r="Q3907" s="26" t="b">
        <v>0</v>
      </c>
      <c r="R3907" s="22">
        <f t="shared" si="63"/>
        <v>108</v>
      </c>
    </row>
    <row r="3908" spans="1:18">
      <c r="A3908" s="26">
        <v>8913</v>
      </c>
      <c r="B3908" s="27">
        <v>39262</v>
      </c>
      <c r="C3908" s="28" t="s">
        <v>12544</v>
      </c>
      <c r="D3908" s="27">
        <v>39262</v>
      </c>
      <c r="E3908" s="28" t="s">
        <v>12545</v>
      </c>
      <c r="F3908" s="28" t="s">
        <v>8395</v>
      </c>
      <c r="G3908" s="28" t="s">
        <v>20</v>
      </c>
      <c r="H3908" s="28" t="s">
        <v>566</v>
      </c>
      <c r="I3908" s="28" t="s">
        <v>21</v>
      </c>
      <c r="J3908" s="28" t="s">
        <v>12546</v>
      </c>
      <c r="K3908" s="28" t="s">
        <v>21</v>
      </c>
      <c r="L3908" s="28" t="s">
        <v>1946</v>
      </c>
      <c r="M3908" s="28" t="s">
        <v>21</v>
      </c>
      <c r="N3908" s="29">
        <v>39292</v>
      </c>
      <c r="O3908" s="92">
        <v>39553</v>
      </c>
      <c r="P3908" s="28" t="s">
        <v>21</v>
      </c>
      <c r="Q3908" s="26" t="b">
        <v>0</v>
      </c>
      <c r="R3908" s="22">
        <f t="shared" si="63"/>
        <v>289</v>
      </c>
    </row>
    <row r="3909" spans="1:18">
      <c r="A3909" s="26">
        <v>8914</v>
      </c>
      <c r="B3909" s="27">
        <v>39273</v>
      </c>
      <c r="C3909" s="28" t="s">
        <v>12547</v>
      </c>
      <c r="D3909" s="27">
        <v>39273</v>
      </c>
      <c r="E3909" s="28" t="s">
        <v>12548</v>
      </c>
      <c r="F3909" s="28" t="s">
        <v>1771</v>
      </c>
      <c r="G3909" s="28" t="s">
        <v>20</v>
      </c>
      <c r="H3909" s="28" t="s">
        <v>71</v>
      </c>
      <c r="I3909" s="28" t="s">
        <v>189</v>
      </c>
      <c r="J3909" s="28" t="s">
        <v>12549</v>
      </c>
      <c r="K3909" s="28" t="s">
        <v>21</v>
      </c>
      <c r="L3909" s="28" t="s">
        <v>1946</v>
      </c>
      <c r="M3909" s="28" t="s">
        <v>21</v>
      </c>
      <c r="N3909" s="29">
        <v>39318</v>
      </c>
      <c r="O3909" s="92">
        <v>39307</v>
      </c>
      <c r="P3909" s="28" t="s">
        <v>21</v>
      </c>
      <c r="Q3909" s="26" t="b">
        <v>0</v>
      </c>
      <c r="R3909" s="22">
        <f t="shared" si="63"/>
        <v>33</v>
      </c>
    </row>
    <row r="3910" spans="1:18">
      <c r="A3910" s="26">
        <v>8916</v>
      </c>
      <c r="B3910" s="27">
        <v>39273</v>
      </c>
      <c r="C3910" s="28" t="s">
        <v>12553</v>
      </c>
      <c r="D3910" s="27">
        <v>39269</v>
      </c>
      <c r="E3910" s="28" t="s">
        <v>12554</v>
      </c>
      <c r="F3910" s="28" t="s">
        <v>194</v>
      </c>
      <c r="G3910" s="28" t="s">
        <v>20</v>
      </c>
      <c r="H3910" s="28" t="s">
        <v>71</v>
      </c>
      <c r="I3910" s="28" t="s">
        <v>72</v>
      </c>
      <c r="J3910" s="28" t="s">
        <v>12555</v>
      </c>
      <c r="K3910" s="28" t="s">
        <v>12556</v>
      </c>
      <c r="L3910" s="28" t="s">
        <v>3588</v>
      </c>
      <c r="M3910" s="28" t="s">
        <v>4282</v>
      </c>
      <c r="N3910" s="29">
        <v>39321</v>
      </c>
      <c r="O3910" s="92">
        <v>40687</v>
      </c>
      <c r="P3910" s="28" t="s">
        <v>21</v>
      </c>
      <c r="Q3910" s="26" t="b">
        <v>0</v>
      </c>
      <c r="R3910" s="22">
        <f t="shared" si="63"/>
        <v>1413</v>
      </c>
    </row>
    <row r="3911" spans="1:18">
      <c r="A3911" s="26">
        <v>8917</v>
      </c>
      <c r="B3911" s="27">
        <v>39273</v>
      </c>
      <c r="C3911" s="28" t="s">
        <v>12557</v>
      </c>
      <c r="D3911" s="27">
        <v>39268</v>
      </c>
      <c r="E3911" s="28" t="s">
        <v>12558</v>
      </c>
      <c r="F3911" s="28" t="s">
        <v>861</v>
      </c>
      <c r="G3911" s="28" t="s">
        <v>20</v>
      </c>
      <c r="H3911" s="28" t="s">
        <v>566</v>
      </c>
      <c r="I3911" s="28" t="s">
        <v>566</v>
      </c>
      <c r="J3911" s="28" t="s">
        <v>12559</v>
      </c>
      <c r="K3911" s="28" t="s">
        <v>21</v>
      </c>
      <c r="L3911" s="28" t="s">
        <v>4579</v>
      </c>
      <c r="M3911" s="28" t="s">
        <v>21</v>
      </c>
      <c r="N3911" s="29">
        <v>39304</v>
      </c>
      <c r="O3911" s="92">
        <v>39289</v>
      </c>
      <c r="P3911" s="28" t="s">
        <v>21</v>
      </c>
      <c r="Q3911" s="26" t="b">
        <v>0</v>
      </c>
      <c r="R3911" s="22">
        <f t="shared" si="63"/>
        <v>16</v>
      </c>
    </row>
    <row r="3912" spans="1:18">
      <c r="A3912" s="26">
        <v>8918</v>
      </c>
      <c r="B3912" s="27">
        <v>39279</v>
      </c>
      <c r="C3912" s="28" t="s">
        <v>12560</v>
      </c>
      <c r="D3912" s="27">
        <v>39253</v>
      </c>
      <c r="E3912" s="28" t="s">
        <v>12561</v>
      </c>
      <c r="F3912" s="28" t="s">
        <v>124</v>
      </c>
      <c r="G3912" s="28" t="s">
        <v>20</v>
      </c>
      <c r="H3912" s="28" t="s">
        <v>71</v>
      </c>
      <c r="I3912" s="28" t="s">
        <v>72</v>
      </c>
      <c r="J3912" s="28" t="s">
        <v>3992</v>
      </c>
      <c r="K3912" s="28" t="s">
        <v>21</v>
      </c>
      <c r="L3912" s="28" t="s">
        <v>1946</v>
      </c>
      <c r="M3912" s="28" t="s">
        <v>21</v>
      </c>
      <c r="N3912" s="27">
        <v>39306</v>
      </c>
      <c r="O3912" s="92">
        <v>39989</v>
      </c>
      <c r="P3912" s="28" t="s">
        <v>31</v>
      </c>
      <c r="Q3912" s="26" t="b">
        <v>1</v>
      </c>
      <c r="R3912" s="22">
        <f t="shared" si="63"/>
        <v>708</v>
      </c>
    </row>
    <row r="3913" spans="1:18">
      <c r="A3913" s="26">
        <v>8919</v>
      </c>
      <c r="B3913" s="27">
        <v>39279</v>
      </c>
      <c r="C3913" s="28" t="s">
        <v>12562</v>
      </c>
      <c r="D3913" s="27">
        <v>39276</v>
      </c>
      <c r="E3913" s="28" t="s">
        <v>11030</v>
      </c>
      <c r="F3913" s="28" t="s">
        <v>56</v>
      </c>
      <c r="G3913" s="28" t="s">
        <v>20</v>
      </c>
      <c r="H3913" s="28" t="s">
        <v>71</v>
      </c>
      <c r="I3913" s="28" t="s">
        <v>72</v>
      </c>
      <c r="J3913" s="28" t="s">
        <v>12563</v>
      </c>
      <c r="K3913" s="28" t="s">
        <v>12564</v>
      </c>
      <c r="L3913" s="28" t="s">
        <v>4282</v>
      </c>
      <c r="M3913" s="28" t="s">
        <v>21</v>
      </c>
      <c r="N3913" s="18"/>
      <c r="O3913" s="92">
        <v>39288</v>
      </c>
      <c r="P3913" s="28" t="s">
        <v>21</v>
      </c>
      <c r="Q3913" s="26" t="b">
        <v>0</v>
      </c>
      <c r="R3913" s="22">
        <f t="shared" si="63"/>
        <v>9</v>
      </c>
    </row>
    <row r="3914" spans="1:18">
      <c r="A3914" s="26">
        <v>8921</v>
      </c>
      <c r="B3914" s="27">
        <v>39287</v>
      </c>
      <c r="C3914" s="28" t="s">
        <v>12565</v>
      </c>
      <c r="D3914" s="27">
        <v>39285</v>
      </c>
      <c r="E3914" s="28" t="s">
        <v>38</v>
      </c>
      <c r="F3914" s="28" t="s">
        <v>12566</v>
      </c>
      <c r="G3914" s="28" t="s">
        <v>20</v>
      </c>
      <c r="H3914" s="28" t="s">
        <v>71</v>
      </c>
      <c r="I3914" s="28" t="s">
        <v>72</v>
      </c>
      <c r="J3914" s="28" t="s">
        <v>12567</v>
      </c>
      <c r="K3914" s="28" t="s">
        <v>12568</v>
      </c>
      <c r="L3914" s="28" t="s">
        <v>1946</v>
      </c>
      <c r="M3914" s="28" t="s">
        <v>21</v>
      </c>
      <c r="O3914" s="92">
        <v>39287</v>
      </c>
      <c r="P3914" s="28" t="s">
        <v>21</v>
      </c>
      <c r="Q3914" s="26" t="b">
        <v>0</v>
      </c>
      <c r="R3914" s="22">
        <f t="shared" si="63"/>
        <v>0</v>
      </c>
    </row>
    <row r="3915" spans="1:18">
      <c r="A3915" s="26">
        <v>8922</v>
      </c>
      <c r="B3915" s="27">
        <v>39293</v>
      </c>
      <c r="C3915" s="28" t="s">
        <v>12569</v>
      </c>
      <c r="D3915" s="27">
        <v>39290</v>
      </c>
      <c r="E3915" s="28" t="s">
        <v>12570</v>
      </c>
      <c r="F3915" s="28" t="s">
        <v>12571</v>
      </c>
      <c r="G3915" s="28" t="s">
        <v>20</v>
      </c>
      <c r="H3915" s="28" t="s">
        <v>71</v>
      </c>
      <c r="I3915" s="28" t="s">
        <v>72</v>
      </c>
      <c r="J3915" s="28" t="s">
        <v>12572</v>
      </c>
      <c r="K3915" s="28" t="s">
        <v>21</v>
      </c>
      <c r="L3915" s="28" t="s">
        <v>4579</v>
      </c>
      <c r="M3915" s="28" t="s">
        <v>21</v>
      </c>
      <c r="N3915" s="29">
        <v>39321</v>
      </c>
      <c r="O3915" s="92">
        <v>39325</v>
      </c>
      <c r="P3915" s="28" t="s">
        <v>21</v>
      </c>
      <c r="Q3915" s="26" t="b">
        <v>0</v>
      </c>
      <c r="R3915" s="22">
        <f t="shared" si="63"/>
        <v>30</v>
      </c>
    </row>
    <row r="3916" spans="1:18">
      <c r="A3916" s="26">
        <v>8924</v>
      </c>
      <c r="B3916" s="27">
        <v>39294</v>
      </c>
      <c r="C3916" s="28" t="s">
        <v>12573</v>
      </c>
      <c r="D3916" s="27">
        <v>39289</v>
      </c>
      <c r="E3916" s="28" t="s">
        <v>38</v>
      </c>
      <c r="F3916" s="28" t="s">
        <v>6953</v>
      </c>
      <c r="G3916" s="28" t="s">
        <v>20</v>
      </c>
      <c r="H3916" s="28" t="s">
        <v>71</v>
      </c>
      <c r="I3916" s="28" t="s">
        <v>72</v>
      </c>
      <c r="J3916" s="28" t="s">
        <v>12574</v>
      </c>
      <c r="K3916" s="28" t="s">
        <v>12079</v>
      </c>
      <c r="L3916" s="28" t="s">
        <v>4579</v>
      </c>
      <c r="M3916" s="28" t="s">
        <v>21</v>
      </c>
      <c r="O3916" s="92">
        <v>39294</v>
      </c>
      <c r="P3916" s="28" t="s">
        <v>21</v>
      </c>
      <c r="Q3916" s="26" t="b">
        <v>0</v>
      </c>
      <c r="R3916" s="22">
        <f t="shared" si="63"/>
        <v>0</v>
      </c>
    </row>
    <row r="3917" spans="1:18">
      <c r="A3917" s="26">
        <v>8925</v>
      </c>
      <c r="B3917" s="27">
        <v>39295</v>
      </c>
      <c r="C3917" s="28" t="s">
        <v>12575</v>
      </c>
      <c r="D3917" s="27">
        <v>39290</v>
      </c>
      <c r="E3917" s="28" t="s">
        <v>38</v>
      </c>
      <c r="F3917" s="28" t="s">
        <v>52</v>
      </c>
      <c r="G3917" s="28" t="s">
        <v>20</v>
      </c>
      <c r="H3917" s="28" t="s">
        <v>71</v>
      </c>
      <c r="I3917" s="28" t="s">
        <v>72</v>
      </c>
      <c r="J3917" s="28" t="s">
        <v>12576</v>
      </c>
      <c r="K3917" s="28" t="s">
        <v>12079</v>
      </c>
      <c r="L3917" s="28" t="s">
        <v>4579</v>
      </c>
      <c r="M3917" s="28" t="s">
        <v>21</v>
      </c>
      <c r="N3917" s="18"/>
      <c r="O3917" s="92">
        <v>39295</v>
      </c>
      <c r="P3917" s="28" t="s">
        <v>21</v>
      </c>
      <c r="Q3917" s="26" t="b">
        <v>0</v>
      </c>
      <c r="R3917" s="22">
        <f t="shared" si="63"/>
        <v>0</v>
      </c>
    </row>
    <row r="3918" spans="1:18">
      <c r="A3918" s="26">
        <v>8926</v>
      </c>
      <c r="B3918" s="27">
        <v>39295</v>
      </c>
      <c r="C3918" s="28" t="s">
        <v>12577</v>
      </c>
      <c r="D3918" s="27">
        <v>39286</v>
      </c>
      <c r="E3918" s="28" t="s">
        <v>11030</v>
      </c>
      <c r="F3918" s="28" t="s">
        <v>52</v>
      </c>
      <c r="G3918" s="28" t="s">
        <v>20</v>
      </c>
      <c r="H3918" s="28" t="s">
        <v>71</v>
      </c>
      <c r="I3918" s="28" t="s">
        <v>72</v>
      </c>
      <c r="J3918" s="28" t="s">
        <v>12578</v>
      </c>
      <c r="K3918" s="28" t="s">
        <v>12579</v>
      </c>
      <c r="L3918" s="28" t="s">
        <v>4282</v>
      </c>
      <c r="M3918" s="28" t="s">
        <v>21</v>
      </c>
      <c r="N3918" s="18"/>
      <c r="O3918" s="92">
        <v>39301</v>
      </c>
      <c r="P3918" s="28" t="s">
        <v>21</v>
      </c>
      <c r="Q3918" s="26" t="b">
        <v>0</v>
      </c>
      <c r="R3918" s="22">
        <f t="shared" si="63"/>
        <v>6</v>
      </c>
    </row>
    <row r="3919" spans="1:18">
      <c r="A3919" s="26">
        <v>8927</v>
      </c>
      <c r="B3919" s="27">
        <v>39295</v>
      </c>
      <c r="C3919" s="28" t="s">
        <v>12580</v>
      </c>
      <c r="D3919" s="27">
        <v>39294</v>
      </c>
      <c r="E3919" s="28" t="s">
        <v>12581</v>
      </c>
      <c r="F3919" s="28" t="s">
        <v>5270</v>
      </c>
      <c r="G3919" s="28" t="s">
        <v>20</v>
      </c>
      <c r="H3919" s="28" t="s">
        <v>71</v>
      </c>
      <c r="I3919" s="28" t="s">
        <v>72</v>
      </c>
      <c r="J3919" s="28" t="s">
        <v>12582</v>
      </c>
      <c r="K3919" s="28" t="s">
        <v>12583</v>
      </c>
      <c r="L3919" s="28" t="s">
        <v>4579</v>
      </c>
      <c r="M3919" s="28" t="s">
        <v>21</v>
      </c>
      <c r="N3919" s="18"/>
      <c r="O3919" s="92">
        <v>39303</v>
      </c>
      <c r="P3919" s="28" t="s">
        <v>21</v>
      </c>
      <c r="Q3919" s="26" t="b">
        <v>0</v>
      </c>
      <c r="R3919" s="22">
        <f t="shared" si="63"/>
        <v>8</v>
      </c>
    </row>
    <row r="3920" spans="1:18">
      <c r="A3920" s="26">
        <v>8929</v>
      </c>
      <c r="B3920" s="27">
        <v>39297</v>
      </c>
      <c r="C3920" s="28" t="s">
        <v>12584</v>
      </c>
      <c r="D3920" s="27">
        <v>39296</v>
      </c>
      <c r="E3920" s="28" t="s">
        <v>12585</v>
      </c>
      <c r="F3920" s="28" t="s">
        <v>12586</v>
      </c>
      <c r="G3920" s="28" t="s">
        <v>20</v>
      </c>
      <c r="H3920" s="28" t="s">
        <v>71</v>
      </c>
      <c r="I3920" s="28" t="s">
        <v>72</v>
      </c>
      <c r="J3920" s="28" t="s">
        <v>12587</v>
      </c>
      <c r="K3920" s="28" t="s">
        <v>12588</v>
      </c>
      <c r="L3920" s="28" t="s">
        <v>4579</v>
      </c>
      <c r="M3920" s="28" t="s">
        <v>21</v>
      </c>
      <c r="N3920" s="27">
        <v>39342</v>
      </c>
      <c r="O3920" s="92">
        <v>39335</v>
      </c>
      <c r="P3920" s="28" t="s">
        <v>21</v>
      </c>
      <c r="Q3920" s="26" t="b">
        <v>0</v>
      </c>
      <c r="R3920" s="22">
        <f t="shared" si="63"/>
        <v>37</v>
      </c>
    </row>
    <row r="3921" spans="1:18">
      <c r="A3921" s="26">
        <v>8931</v>
      </c>
      <c r="B3921" s="27">
        <v>39300</v>
      </c>
      <c r="C3921" s="28" t="s">
        <v>12589</v>
      </c>
      <c r="D3921" s="27">
        <v>39298</v>
      </c>
      <c r="E3921" s="28" t="s">
        <v>12590</v>
      </c>
      <c r="F3921" s="28" t="s">
        <v>974</v>
      </c>
      <c r="G3921" s="28" t="s">
        <v>20</v>
      </c>
      <c r="H3921" s="28" t="s">
        <v>212</v>
      </c>
      <c r="I3921" s="28" t="s">
        <v>212</v>
      </c>
      <c r="J3921" s="28" t="s">
        <v>12591</v>
      </c>
      <c r="K3921" s="28" t="s">
        <v>12592</v>
      </c>
      <c r="L3921" s="28" t="s">
        <v>4579</v>
      </c>
      <c r="M3921" s="28" t="s">
        <v>21</v>
      </c>
      <c r="N3921" s="27">
        <v>39392</v>
      </c>
      <c r="O3921" s="92">
        <v>39303</v>
      </c>
      <c r="P3921" s="28" t="s">
        <v>31</v>
      </c>
      <c r="Q3921" s="26" t="b">
        <v>1</v>
      </c>
      <c r="R3921" s="22">
        <f t="shared" si="63"/>
        <v>3</v>
      </c>
    </row>
    <row r="3922" spans="1:18">
      <c r="A3922" s="26">
        <v>8932</v>
      </c>
      <c r="B3922" s="27">
        <v>39301</v>
      </c>
      <c r="C3922" s="28" t="s">
        <v>12593</v>
      </c>
      <c r="D3922" s="27">
        <v>39074</v>
      </c>
      <c r="E3922" s="28" t="s">
        <v>12594</v>
      </c>
      <c r="F3922" s="28" t="s">
        <v>3430</v>
      </c>
      <c r="G3922" s="28" t="s">
        <v>20</v>
      </c>
      <c r="H3922" s="28" t="s">
        <v>71</v>
      </c>
      <c r="I3922" s="28" t="s">
        <v>72</v>
      </c>
      <c r="J3922" s="28" t="s">
        <v>12595</v>
      </c>
      <c r="K3922" s="28" t="s">
        <v>12596</v>
      </c>
      <c r="L3922" s="28" t="s">
        <v>8318</v>
      </c>
      <c r="M3922" s="28" t="s">
        <v>21</v>
      </c>
      <c r="N3922" s="18"/>
      <c r="O3922" s="92">
        <v>39203</v>
      </c>
      <c r="P3922" s="28" t="s">
        <v>21</v>
      </c>
      <c r="Q3922" s="26" t="b">
        <v>0</v>
      </c>
      <c r="R3922" s="22">
        <f t="shared" si="63"/>
        <v>97</v>
      </c>
    </row>
    <row r="3923" spans="1:18">
      <c r="A3923" s="26">
        <v>8933</v>
      </c>
      <c r="B3923" s="27">
        <v>39301</v>
      </c>
      <c r="C3923" s="28" t="s">
        <v>12597</v>
      </c>
      <c r="D3923" s="27">
        <v>39301</v>
      </c>
      <c r="E3923" s="28" t="s">
        <v>12598</v>
      </c>
      <c r="F3923" s="28" t="s">
        <v>974</v>
      </c>
      <c r="G3923" s="28" t="s">
        <v>20</v>
      </c>
      <c r="H3923" s="28" t="s">
        <v>212</v>
      </c>
      <c r="I3923" s="28" t="s">
        <v>212</v>
      </c>
      <c r="J3923" s="28" t="s">
        <v>12075</v>
      </c>
      <c r="K3923" s="28" t="s">
        <v>1510</v>
      </c>
      <c r="L3923" s="28" t="s">
        <v>4282</v>
      </c>
      <c r="M3923" s="28" t="s">
        <v>21</v>
      </c>
      <c r="N3923" s="18"/>
      <c r="O3923" s="92">
        <v>39548</v>
      </c>
      <c r="P3923" s="28" t="s">
        <v>21</v>
      </c>
      <c r="Q3923" s="26" t="b">
        <v>0</v>
      </c>
      <c r="R3923" s="22">
        <f t="shared" si="63"/>
        <v>246</v>
      </c>
    </row>
    <row r="3924" spans="1:18">
      <c r="A3924" s="26">
        <v>8936</v>
      </c>
      <c r="B3924" s="27">
        <v>39302</v>
      </c>
      <c r="C3924" s="28" t="s">
        <v>12599</v>
      </c>
      <c r="D3924" s="27">
        <v>39302</v>
      </c>
      <c r="E3924" s="28" t="s">
        <v>12600</v>
      </c>
      <c r="F3924" s="28" t="s">
        <v>137</v>
      </c>
      <c r="G3924" s="28" t="s">
        <v>20</v>
      </c>
      <c r="H3924" s="28" t="s">
        <v>71</v>
      </c>
      <c r="I3924" s="28" t="s">
        <v>72</v>
      </c>
      <c r="J3924" s="28" t="s">
        <v>12601</v>
      </c>
      <c r="K3924" s="28" t="s">
        <v>12602</v>
      </c>
      <c r="L3924" s="28" t="s">
        <v>1946</v>
      </c>
      <c r="M3924" s="28" t="s">
        <v>21</v>
      </c>
      <c r="O3924" s="92">
        <v>39302</v>
      </c>
      <c r="P3924" s="28" t="s">
        <v>21</v>
      </c>
      <c r="Q3924" s="26" t="b">
        <v>0</v>
      </c>
      <c r="R3924" s="22">
        <f t="shared" si="63"/>
        <v>0</v>
      </c>
    </row>
    <row r="3925" spans="1:18" ht="24">
      <c r="A3925" s="26">
        <v>8937</v>
      </c>
      <c r="B3925" s="27">
        <v>39308</v>
      </c>
      <c r="C3925" s="28" t="s">
        <v>12603</v>
      </c>
      <c r="D3925" s="27">
        <v>39303</v>
      </c>
      <c r="E3925" s="28" t="s">
        <v>12604</v>
      </c>
      <c r="F3925" s="28" t="s">
        <v>12467</v>
      </c>
      <c r="G3925" s="28" t="s">
        <v>20</v>
      </c>
      <c r="H3925" s="28" t="s">
        <v>212</v>
      </c>
      <c r="I3925" s="28" t="s">
        <v>212</v>
      </c>
      <c r="J3925" s="28" t="s">
        <v>12605</v>
      </c>
      <c r="K3925" s="28" t="s">
        <v>12606</v>
      </c>
      <c r="L3925" s="28" t="s">
        <v>4579</v>
      </c>
      <c r="M3925" s="28" t="s">
        <v>21</v>
      </c>
      <c r="N3925" s="29">
        <v>39355</v>
      </c>
      <c r="O3925" s="92">
        <v>39310</v>
      </c>
      <c r="P3925" s="28" t="s">
        <v>21</v>
      </c>
      <c r="Q3925" s="26" t="b">
        <v>1</v>
      </c>
      <c r="R3925" s="22">
        <f t="shared" si="63"/>
        <v>2</v>
      </c>
    </row>
    <row r="3926" spans="1:18">
      <c r="A3926" s="26">
        <v>8938</v>
      </c>
      <c r="B3926" s="27">
        <v>39318</v>
      </c>
      <c r="C3926" s="28" t="s">
        <v>12607</v>
      </c>
      <c r="D3926" s="27">
        <v>39318</v>
      </c>
      <c r="E3926" s="28" t="s">
        <v>12608</v>
      </c>
      <c r="F3926" s="28" t="s">
        <v>11915</v>
      </c>
      <c r="G3926" s="28" t="s">
        <v>20</v>
      </c>
      <c r="H3926" s="28" t="s">
        <v>71</v>
      </c>
      <c r="I3926" s="28" t="s">
        <v>72</v>
      </c>
      <c r="J3926" s="28" t="s">
        <v>12609</v>
      </c>
      <c r="K3926" s="28" t="s">
        <v>12610</v>
      </c>
      <c r="L3926" s="28" t="s">
        <v>1946</v>
      </c>
      <c r="M3926" s="28" t="s">
        <v>21</v>
      </c>
      <c r="N3926" s="27">
        <v>39364</v>
      </c>
      <c r="O3926" s="92">
        <v>40065</v>
      </c>
      <c r="P3926" s="28" t="s">
        <v>31</v>
      </c>
      <c r="Q3926" s="26" t="b">
        <v>1</v>
      </c>
      <c r="R3926" s="22">
        <f t="shared" si="63"/>
        <v>745</v>
      </c>
    </row>
    <row r="3927" spans="1:18">
      <c r="A3927" s="26">
        <v>8939</v>
      </c>
      <c r="B3927" s="27">
        <v>39318</v>
      </c>
      <c r="C3927" s="28" t="s">
        <v>12611</v>
      </c>
      <c r="D3927" s="27">
        <v>39314</v>
      </c>
      <c r="E3927" s="28" t="s">
        <v>12612</v>
      </c>
      <c r="F3927" s="28" t="s">
        <v>2782</v>
      </c>
      <c r="G3927" s="28" t="s">
        <v>20</v>
      </c>
      <c r="H3927" s="28" t="s">
        <v>71</v>
      </c>
      <c r="I3927" s="28" t="s">
        <v>72</v>
      </c>
      <c r="J3927" s="28" t="s">
        <v>12613</v>
      </c>
      <c r="K3927" s="28" t="s">
        <v>21</v>
      </c>
      <c r="L3927" s="28" t="s">
        <v>4282</v>
      </c>
      <c r="M3927" s="28" t="s">
        <v>21</v>
      </c>
      <c r="N3927" s="27">
        <v>39410</v>
      </c>
      <c r="O3927" s="92">
        <v>39358</v>
      </c>
      <c r="P3927" s="28" t="s">
        <v>31</v>
      </c>
      <c r="Q3927" s="26" t="b">
        <v>1</v>
      </c>
      <c r="R3927" s="22">
        <f t="shared" si="63"/>
        <v>39</v>
      </c>
    </row>
    <row r="3928" spans="1:18">
      <c r="A3928" s="26">
        <v>8941</v>
      </c>
      <c r="B3928" s="27">
        <v>39323</v>
      </c>
      <c r="C3928" s="28" t="s">
        <v>12614</v>
      </c>
      <c r="D3928" s="27">
        <v>39321</v>
      </c>
      <c r="E3928" s="28" t="s">
        <v>12615</v>
      </c>
      <c r="F3928" s="28" t="s">
        <v>12616</v>
      </c>
      <c r="G3928" s="28" t="s">
        <v>20</v>
      </c>
      <c r="H3928" s="28" t="s">
        <v>71</v>
      </c>
      <c r="I3928" s="28" t="s">
        <v>72</v>
      </c>
      <c r="J3928" s="28" t="s">
        <v>12617</v>
      </c>
      <c r="K3928" s="28" t="s">
        <v>21</v>
      </c>
      <c r="L3928" s="28" t="s">
        <v>1946</v>
      </c>
      <c r="M3928" s="28" t="s">
        <v>21</v>
      </c>
      <c r="N3928" s="27">
        <v>39354</v>
      </c>
      <c r="O3928" s="92">
        <v>39332</v>
      </c>
      <c r="P3928" s="28" t="s">
        <v>31</v>
      </c>
      <c r="Q3928" s="26" t="b">
        <v>1</v>
      </c>
      <c r="R3928" s="22">
        <f t="shared" si="63"/>
        <v>8</v>
      </c>
    </row>
    <row r="3929" spans="1:18">
      <c r="A3929" s="26">
        <v>8942</v>
      </c>
      <c r="B3929" s="27">
        <v>39323</v>
      </c>
      <c r="C3929" s="28" t="s">
        <v>12618</v>
      </c>
      <c r="D3929" s="27">
        <v>39314</v>
      </c>
      <c r="E3929" s="28" t="s">
        <v>12619</v>
      </c>
      <c r="F3929" s="28" t="s">
        <v>124</v>
      </c>
      <c r="G3929" s="28" t="s">
        <v>20</v>
      </c>
      <c r="H3929" s="28" t="s">
        <v>71</v>
      </c>
      <c r="I3929" s="28" t="s">
        <v>72</v>
      </c>
      <c r="J3929" s="28" t="s">
        <v>12620</v>
      </c>
      <c r="K3929" s="28" t="s">
        <v>21</v>
      </c>
      <c r="L3929" s="28" t="s">
        <v>7167</v>
      </c>
      <c r="M3929" s="28" t="s">
        <v>4282</v>
      </c>
      <c r="N3929" s="27">
        <v>39354</v>
      </c>
      <c r="O3929" s="92">
        <v>41058</v>
      </c>
      <c r="P3929" s="28" t="s">
        <v>31</v>
      </c>
      <c r="Q3929" s="26" t="b">
        <v>1</v>
      </c>
      <c r="R3929" s="22">
        <f t="shared" ref="R3929:R3992" si="64">IF(O3929=" ", " ", INT(YEARFRAC(O3929, B3929)*365))</f>
        <v>1733</v>
      </c>
    </row>
    <row r="3930" spans="1:18">
      <c r="A3930" s="26">
        <v>8943</v>
      </c>
      <c r="B3930" s="27">
        <v>39324</v>
      </c>
      <c r="C3930" s="28" t="s">
        <v>12621</v>
      </c>
      <c r="D3930" s="27">
        <v>39321</v>
      </c>
      <c r="E3930" s="28" t="s">
        <v>12622</v>
      </c>
      <c r="F3930" s="28" t="s">
        <v>9047</v>
      </c>
      <c r="G3930" s="28" t="s">
        <v>20</v>
      </c>
      <c r="H3930" s="28" t="s">
        <v>71</v>
      </c>
      <c r="I3930" s="28" t="s">
        <v>72</v>
      </c>
      <c r="J3930" s="28" t="s">
        <v>12623</v>
      </c>
      <c r="K3930" s="28" t="s">
        <v>21</v>
      </c>
      <c r="L3930" s="28" t="s">
        <v>4579</v>
      </c>
      <c r="M3930" s="28" t="s">
        <v>21</v>
      </c>
      <c r="N3930" s="27">
        <v>39370</v>
      </c>
      <c r="O3930" s="92">
        <v>39461</v>
      </c>
      <c r="P3930" s="28" t="s">
        <v>31</v>
      </c>
      <c r="Q3930" s="26" t="b">
        <v>1</v>
      </c>
      <c r="R3930" s="22">
        <f t="shared" si="64"/>
        <v>135</v>
      </c>
    </row>
    <row r="3931" spans="1:18">
      <c r="A3931" s="26">
        <v>8944</v>
      </c>
      <c r="B3931" s="27">
        <v>39324</v>
      </c>
      <c r="C3931" s="28" t="s">
        <v>12624</v>
      </c>
      <c r="D3931" s="27">
        <v>39324</v>
      </c>
      <c r="E3931" s="28" t="s">
        <v>12625</v>
      </c>
      <c r="F3931" s="28" t="s">
        <v>1232</v>
      </c>
      <c r="G3931" s="28" t="s">
        <v>20</v>
      </c>
      <c r="H3931" s="28" t="s">
        <v>189</v>
      </c>
      <c r="I3931" s="28" t="s">
        <v>189</v>
      </c>
      <c r="J3931" s="28" t="s">
        <v>12626</v>
      </c>
      <c r="K3931" s="28" t="s">
        <v>21</v>
      </c>
      <c r="L3931" s="28" t="s">
        <v>4282</v>
      </c>
      <c r="M3931" s="28" t="s">
        <v>21</v>
      </c>
      <c r="N3931" s="27">
        <v>39370</v>
      </c>
      <c r="O3931" s="92">
        <v>39534</v>
      </c>
      <c r="P3931" s="28" t="s">
        <v>31</v>
      </c>
      <c r="Q3931" s="26" t="b">
        <v>1</v>
      </c>
      <c r="R3931" s="22">
        <f t="shared" si="64"/>
        <v>209</v>
      </c>
    </row>
    <row r="3932" spans="1:18">
      <c r="A3932" s="26">
        <v>8946</v>
      </c>
      <c r="B3932" s="27">
        <v>39329</v>
      </c>
      <c r="C3932" s="28" t="s">
        <v>12627</v>
      </c>
      <c r="D3932" s="27">
        <v>39316</v>
      </c>
      <c r="E3932" s="28" t="s">
        <v>38</v>
      </c>
      <c r="F3932" s="28" t="s">
        <v>6953</v>
      </c>
      <c r="G3932" s="28" t="s">
        <v>20</v>
      </c>
      <c r="H3932" s="28" t="s">
        <v>71</v>
      </c>
      <c r="I3932" s="28" t="s">
        <v>72</v>
      </c>
      <c r="J3932" s="28" t="s">
        <v>12628</v>
      </c>
      <c r="K3932" s="28" t="s">
        <v>21</v>
      </c>
      <c r="L3932" s="28" t="s">
        <v>4579</v>
      </c>
      <c r="M3932" s="28" t="s">
        <v>21</v>
      </c>
      <c r="O3932" s="92">
        <v>39329</v>
      </c>
      <c r="P3932" s="28" t="s">
        <v>21</v>
      </c>
      <c r="Q3932" s="26" t="b">
        <v>0</v>
      </c>
      <c r="R3932" s="22">
        <f t="shared" si="64"/>
        <v>0</v>
      </c>
    </row>
    <row r="3933" spans="1:18">
      <c r="A3933" s="26">
        <v>8947</v>
      </c>
      <c r="B3933" s="27">
        <v>39329</v>
      </c>
      <c r="C3933" s="28" t="s">
        <v>12629</v>
      </c>
      <c r="D3933" s="27">
        <v>39309</v>
      </c>
      <c r="E3933" s="28" t="s">
        <v>38</v>
      </c>
      <c r="F3933" s="28" t="s">
        <v>11069</v>
      </c>
      <c r="G3933" s="28" t="s">
        <v>20</v>
      </c>
      <c r="H3933" s="28" t="s">
        <v>71</v>
      </c>
      <c r="I3933" s="28" t="s">
        <v>72</v>
      </c>
      <c r="J3933" s="28" t="s">
        <v>4690</v>
      </c>
      <c r="K3933" s="28" t="s">
        <v>12630</v>
      </c>
      <c r="L3933" s="28" t="s">
        <v>4579</v>
      </c>
      <c r="M3933" s="28" t="s">
        <v>21</v>
      </c>
      <c r="N3933" s="18"/>
      <c r="O3933" s="92">
        <v>39329</v>
      </c>
      <c r="P3933" s="28" t="s">
        <v>21</v>
      </c>
      <c r="Q3933" s="26" t="b">
        <v>0</v>
      </c>
      <c r="R3933" s="22">
        <f t="shared" si="64"/>
        <v>0</v>
      </c>
    </row>
    <row r="3934" spans="1:18">
      <c r="A3934" s="26">
        <v>8949</v>
      </c>
      <c r="B3934" s="27">
        <v>39331</v>
      </c>
      <c r="C3934" s="28" t="s">
        <v>12631</v>
      </c>
      <c r="D3934" s="27">
        <v>39331</v>
      </c>
      <c r="E3934" s="28" t="s">
        <v>12632</v>
      </c>
      <c r="F3934" s="28" t="s">
        <v>12633</v>
      </c>
      <c r="G3934" s="28" t="s">
        <v>20</v>
      </c>
      <c r="H3934" s="28" t="s">
        <v>71</v>
      </c>
      <c r="I3934" s="28" t="s">
        <v>72</v>
      </c>
      <c r="J3934" s="28" t="s">
        <v>12634</v>
      </c>
      <c r="K3934" s="28" t="s">
        <v>21</v>
      </c>
      <c r="L3934" s="28" t="s">
        <v>3588</v>
      </c>
      <c r="M3934" s="28" t="s">
        <v>1946</v>
      </c>
      <c r="N3934" s="29">
        <v>39376</v>
      </c>
      <c r="O3934" s="92">
        <v>39919</v>
      </c>
      <c r="P3934" s="28" t="s">
        <v>31</v>
      </c>
      <c r="Q3934" s="26" t="b">
        <v>1</v>
      </c>
      <c r="R3934" s="22">
        <f t="shared" si="64"/>
        <v>588</v>
      </c>
    </row>
    <row r="3935" spans="1:18">
      <c r="A3935" s="26">
        <v>8951</v>
      </c>
      <c r="B3935" s="27">
        <v>39332</v>
      </c>
      <c r="C3935" s="28" t="s">
        <v>12635</v>
      </c>
      <c r="D3935" s="27">
        <v>39332</v>
      </c>
      <c r="E3935" s="28" t="s">
        <v>12636</v>
      </c>
      <c r="F3935" s="28" t="s">
        <v>12637</v>
      </c>
      <c r="G3935" s="28" t="s">
        <v>20</v>
      </c>
      <c r="H3935" s="28" t="s">
        <v>71</v>
      </c>
      <c r="I3935" s="28" t="s">
        <v>72</v>
      </c>
      <c r="J3935" s="28" t="s">
        <v>9982</v>
      </c>
      <c r="K3935" s="28" t="s">
        <v>12638</v>
      </c>
      <c r="L3935" s="28" t="s">
        <v>4579</v>
      </c>
      <c r="M3935" s="28" t="s">
        <v>21</v>
      </c>
      <c r="N3935" s="27">
        <v>39423</v>
      </c>
      <c r="O3935" s="92">
        <v>39356</v>
      </c>
      <c r="P3935" s="28" t="s">
        <v>31</v>
      </c>
      <c r="Q3935" s="26" t="b">
        <v>1</v>
      </c>
      <c r="R3935" s="22">
        <f t="shared" si="64"/>
        <v>24</v>
      </c>
    </row>
    <row r="3936" spans="1:18">
      <c r="A3936" s="26">
        <v>8955</v>
      </c>
      <c r="B3936" s="27">
        <v>39336</v>
      </c>
      <c r="C3936" s="28" t="s">
        <v>12639</v>
      </c>
      <c r="D3936" s="27">
        <v>39336</v>
      </c>
      <c r="E3936" s="28" t="s">
        <v>12640</v>
      </c>
      <c r="F3936" s="28" t="s">
        <v>3430</v>
      </c>
      <c r="G3936" s="28" t="s">
        <v>20</v>
      </c>
      <c r="H3936" s="28" t="s">
        <v>71</v>
      </c>
      <c r="I3936" s="28" t="s">
        <v>72</v>
      </c>
      <c r="J3936" s="28" t="s">
        <v>12641</v>
      </c>
      <c r="K3936" s="28" t="s">
        <v>21</v>
      </c>
      <c r="L3936" s="28" t="s">
        <v>4579</v>
      </c>
      <c r="M3936" s="28" t="s">
        <v>4282</v>
      </c>
      <c r="N3936" s="29">
        <v>39427</v>
      </c>
      <c r="O3936" s="92">
        <v>40589</v>
      </c>
      <c r="P3936" s="28" t="s">
        <v>31</v>
      </c>
      <c r="Q3936" s="26" t="b">
        <v>1</v>
      </c>
      <c r="R3936" s="22">
        <f t="shared" si="64"/>
        <v>1251</v>
      </c>
    </row>
    <row r="3937" spans="1:18">
      <c r="A3937" s="26">
        <v>8956</v>
      </c>
      <c r="B3937" s="27">
        <v>39337</v>
      </c>
      <c r="C3937" s="28" t="s">
        <v>12642</v>
      </c>
      <c r="D3937" s="27">
        <v>39337</v>
      </c>
      <c r="E3937" s="28" t="s">
        <v>12643</v>
      </c>
      <c r="F3937" s="28" t="s">
        <v>6953</v>
      </c>
      <c r="G3937" s="28" t="s">
        <v>20</v>
      </c>
      <c r="H3937" s="28" t="s">
        <v>71</v>
      </c>
      <c r="I3937" s="28" t="s">
        <v>72</v>
      </c>
      <c r="J3937" s="28" t="s">
        <v>12644</v>
      </c>
      <c r="K3937" s="28" t="s">
        <v>21</v>
      </c>
      <c r="L3937" s="28" t="s">
        <v>3588</v>
      </c>
      <c r="M3937" s="28" t="s">
        <v>1946</v>
      </c>
      <c r="N3937" s="27">
        <v>39428</v>
      </c>
      <c r="O3937" s="92">
        <v>39919</v>
      </c>
      <c r="P3937" s="28" t="s">
        <v>31</v>
      </c>
      <c r="Q3937" s="26" t="b">
        <v>1</v>
      </c>
      <c r="R3937" s="22">
        <f t="shared" si="64"/>
        <v>581</v>
      </c>
    </row>
    <row r="3938" spans="1:18">
      <c r="A3938" s="26">
        <v>8958</v>
      </c>
      <c r="B3938" s="27">
        <v>39346</v>
      </c>
      <c r="C3938" s="28" t="s">
        <v>12645</v>
      </c>
      <c r="D3938" s="27">
        <v>39343</v>
      </c>
      <c r="E3938" s="28" t="s">
        <v>12646</v>
      </c>
      <c r="F3938" s="28" t="s">
        <v>104</v>
      </c>
      <c r="G3938" s="28" t="s">
        <v>20</v>
      </c>
      <c r="H3938" s="28" t="s">
        <v>71</v>
      </c>
      <c r="I3938" s="28" t="s">
        <v>72</v>
      </c>
      <c r="J3938" s="28" t="s">
        <v>12647</v>
      </c>
      <c r="K3938" s="28" t="s">
        <v>21</v>
      </c>
      <c r="L3938" s="28" t="s">
        <v>1946</v>
      </c>
      <c r="M3938" s="28" t="s">
        <v>21</v>
      </c>
      <c r="N3938" s="27">
        <v>39376</v>
      </c>
      <c r="O3938" s="92">
        <v>40799</v>
      </c>
      <c r="P3938" s="28" t="s">
        <v>31</v>
      </c>
      <c r="Q3938" s="26" t="b">
        <v>1</v>
      </c>
      <c r="R3938" s="22">
        <f t="shared" si="64"/>
        <v>1451</v>
      </c>
    </row>
    <row r="3939" spans="1:18">
      <c r="A3939" s="26">
        <v>8959</v>
      </c>
      <c r="B3939" s="27">
        <v>39349</v>
      </c>
      <c r="C3939" s="28" t="s">
        <v>12648</v>
      </c>
      <c r="D3939" s="27">
        <v>39345</v>
      </c>
      <c r="E3939" s="28" t="s">
        <v>12649</v>
      </c>
      <c r="F3939" s="28" t="s">
        <v>98</v>
      </c>
      <c r="G3939" s="28" t="s">
        <v>20</v>
      </c>
      <c r="H3939" s="28" t="s">
        <v>71</v>
      </c>
      <c r="I3939" s="28" t="s">
        <v>72</v>
      </c>
      <c r="J3939" s="28" t="s">
        <v>1723</v>
      </c>
      <c r="K3939" s="28" t="s">
        <v>12650</v>
      </c>
      <c r="L3939" s="28" t="s">
        <v>4579</v>
      </c>
      <c r="M3939" s="28" t="s">
        <v>4282</v>
      </c>
      <c r="N3939" s="27">
        <v>39390</v>
      </c>
      <c r="O3939" s="92">
        <v>40420</v>
      </c>
      <c r="P3939" s="28" t="s">
        <v>21</v>
      </c>
      <c r="Q3939" s="26" t="b">
        <v>1</v>
      </c>
      <c r="R3939" s="22">
        <f t="shared" si="64"/>
        <v>1070</v>
      </c>
    </row>
    <row r="3940" spans="1:18">
      <c r="A3940" s="26">
        <v>8961</v>
      </c>
      <c r="B3940" s="27">
        <v>39350</v>
      </c>
      <c r="C3940" s="28" t="s">
        <v>12651</v>
      </c>
      <c r="D3940" s="27">
        <v>39349</v>
      </c>
      <c r="E3940" s="28" t="s">
        <v>38</v>
      </c>
      <c r="F3940" s="28" t="s">
        <v>70</v>
      </c>
      <c r="G3940" s="28" t="s">
        <v>20</v>
      </c>
      <c r="H3940" s="28" t="s">
        <v>71</v>
      </c>
      <c r="I3940" s="28" t="s">
        <v>72</v>
      </c>
      <c r="J3940" s="28" t="s">
        <v>12652</v>
      </c>
      <c r="K3940" s="28" t="s">
        <v>9014</v>
      </c>
      <c r="L3940" s="28" t="s">
        <v>4579</v>
      </c>
      <c r="M3940" s="28" t="s">
        <v>21</v>
      </c>
      <c r="N3940" s="18"/>
      <c r="O3940" s="92">
        <v>39351</v>
      </c>
      <c r="P3940" s="28" t="s">
        <v>21</v>
      </c>
      <c r="Q3940" s="26" t="b">
        <v>0</v>
      </c>
      <c r="R3940" s="22">
        <f t="shared" si="64"/>
        <v>1</v>
      </c>
    </row>
    <row r="3941" spans="1:18">
      <c r="A3941" s="26">
        <v>8962</v>
      </c>
      <c r="B3941" s="27">
        <v>39357</v>
      </c>
      <c r="C3941" s="28" t="s">
        <v>12653</v>
      </c>
      <c r="D3941" s="27">
        <v>39353</v>
      </c>
      <c r="E3941" s="28" t="s">
        <v>12654</v>
      </c>
      <c r="F3941" s="28" t="s">
        <v>70</v>
      </c>
      <c r="G3941" s="28" t="s">
        <v>20</v>
      </c>
      <c r="H3941" s="28" t="s">
        <v>71</v>
      </c>
      <c r="I3941" s="28" t="s">
        <v>72</v>
      </c>
      <c r="J3941" s="28" t="s">
        <v>12655</v>
      </c>
      <c r="K3941" s="28" t="s">
        <v>21</v>
      </c>
      <c r="L3941" s="28" t="s">
        <v>1946</v>
      </c>
      <c r="M3941" s="28" t="s">
        <v>21</v>
      </c>
      <c r="N3941" s="27">
        <v>39383</v>
      </c>
      <c r="O3941" s="92">
        <v>39885</v>
      </c>
      <c r="P3941" s="28" t="s">
        <v>31</v>
      </c>
      <c r="Q3941" s="26" t="b">
        <v>1</v>
      </c>
      <c r="R3941" s="22">
        <f t="shared" si="64"/>
        <v>528</v>
      </c>
    </row>
    <row r="3942" spans="1:18">
      <c r="A3942" s="26">
        <v>8965</v>
      </c>
      <c r="B3942" s="27">
        <v>39358</v>
      </c>
      <c r="C3942" s="28" t="s">
        <v>12656</v>
      </c>
      <c r="D3942" s="27">
        <v>39353</v>
      </c>
      <c r="E3942" s="28" t="s">
        <v>38</v>
      </c>
      <c r="F3942" s="28" t="s">
        <v>11319</v>
      </c>
      <c r="G3942" s="28" t="s">
        <v>20</v>
      </c>
      <c r="H3942" s="28" t="s">
        <v>71</v>
      </c>
      <c r="I3942" s="28" t="s">
        <v>72</v>
      </c>
      <c r="J3942" s="28" t="s">
        <v>12657</v>
      </c>
      <c r="K3942" s="28" t="s">
        <v>21</v>
      </c>
      <c r="L3942" s="28" t="s">
        <v>4579</v>
      </c>
      <c r="M3942" s="28" t="s">
        <v>21</v>
      </c>
      <c r="N3942" s="18"/>
      <c r="O3942" s="92">
        <v>39358</v>
      </c>
      <c r="P3942" s="28" t="s">
        <v>182</v>
      </c>
      <c r="Q3942" s="26" t="b">
        <v>0</v>
      </c>
      <c r="R3942" s="22">
        <f t="shared" si="64"/>
        <v>0</v>
      </c>
    </row>
    <row r="3943" spans="1:18" ht="24">
      <c r="A3943" s="26">
        <v>8966</v>
      </c>
      <c r="B3943" s="27">
        <v>39358</v>
      </c>
      <c r="C3943" s="28" t="s">
        <v>12658</v>
      </c>
      <c r="D3943" s="27">
        <v>39357</v>
      </c>
      <c r="E3943" s="28" t="s">
        <v>12659</v>
      </c>
      <c r="F3943" s="28" t="s">
        <v>12660</v>
      </c>
      <c r="G3943" s="28" t="s">
        <v>20</v>
      </c>
      <c r="H3943" s="28" t="s">
        <v>71</v>
      </c>
      <c r="I3943" s="28" t="s">
        <v>72</v>
      </c>
      <c r="J3943" s="28" t="s">
        <v>7321</v>
      </c>
      <c r="K3943" s="28" t="s">
        <v>12661</v>
      </c>
      <c r="L3943" s="28" t="s">
        <v>4579</v>
      </c>
      <c r="M3943" s="28" t="s">
        <v>4282</v>
      </c>
      <c r="N3943" s="27">
        <v>39404</v>
      </c>
      <c r="O3943" s="92">
        <v>40289</v>
      </c>
      <c r="P3943" s="28" t="s">
        <v>31</v>
      </c>
      <c r="Q3943" s="26" t="b">
        <v>1</v>
      </c>
      <c r="R3943" s="22">
        <f t="shared" si="64"/>
        <v>930</v>
      </c>
    </row>
    <row r="3944" spans="1:18" ht="24">
      <c r="A3944" s="26">
        <v>8968</v>
      </c>
      <c r="B3944" s="27">
        <v>39359</v>
      </c>
      <c r="C3944" s="28" t="s">
        <v>12662</v>
      </c>
      <c r="D3944" s="27">
        <v>39359</v>
      </c>
      <c r="E3944" s="28" t="s">
        <v>38</v>
      </c>
      <c r="F3944" s="28" t="s">
        <v>984</v>
      </c>
      <c r="G3944" s="28" t="s">
        <v>20</v>
      </c>
      <c r="H3944" s="28" t="s">
        <v>71</v>
      </c>
      <c r="I3944" s="28" t="s">
        <v>72</v>
      </c>
      <c r="J3944" s="28" t="s">
        <v>12663</v>
      </c>
      <c r="K3944" s="28" t="s">
        <v>21</v>
      </c>
      <c r="L3944" s="28" t="s">
        <v>4579</v>
      </c>
      <c r="M3944" s="28" t="s">
        <v>21</v>
      </c>
      <c r="N3944" s="18"/>
      <c r="O3944" s="92">
        <v>39360</v>
      </c>
      <c r="P3944" s="28" t="s">
        <v>21</v>
      </c>
      <c r="Q3944" s="26" t="b">
        <v>0</v>
      </c>
      <c r="R3944" s="22">
        <f t="shared" si="64"/>
        <v>1</v>
      </c>
    </row>
    <row r="3945" spans="1:18" ht="24">
      <c r="A3945" s="26">
        <v>8969</v>
      </c>
      <c r="B3945" s="27">
        <v>39365</v>
      </c>
      <c r="C3945" s="28" t="s">
        <v>12664</v>
      </c>
      <c r="D3945" s="27">
        <v>39364</v>
      </c>
      <c r="E3945" s="28" t="s">
        <v>12665</v>
      </c>
      <c r="F3945" s="28" t="s">
        <v>12666</v>
      </c>
      <c r="G3945" s="28" t="s">
        <v>20</v>
      </c>
      <c r="H3945" s="28" t="s">
        <v>71</v>
      </c>
      <c r="I3945" s="28" t="s">
        <v>72</v>
      </c>
      <c r="J3945" s="28" t="s">
        <v>12667</v>
      </c>
      <c r="K3945" s="28" t="s">
        <v>12668</v>
      </c>
      <c r="L3945" s="28" t="s">
        <v>4579</v>
      </c>
      <c r="M3945" s="28" t="s">
        <v>21</v>
      </c>
      <c r="N3945" s="27">
        <v>39395</v>
      </c>
      <c r="O3945" s="92">
        <v>39384</v>
      </c>
      <c r="P3945" s="28" t="s">
        <v>21</v>
      </c>
      <c r="Q3945" s="26" t="b">
        <v>0</v>
      </c>
      <c r="R3945" s="22">
        <f t="shared" si="64"/>
        <v>19</v>
      </c>
    </row>
    <row r="3946" spans="1:18">
      <c r="A3946" s="26">
        <v>8970</v>
      </c>
      <c r="B3946" s="27">
        <v>39366</v>
      </c>
      <c r="C3946" s="28" t="s">
        <v>12669</v>
      </c>
      <c r="D3946" s="27">
        <v>39365</v>
      </c>
      <c r="E3946" s="28" t="s">
        <v>12670</v>
      </c>
      <c r="F3946" s="28" t="s">
        <v>12671</v>
      </c>
      <c r="G3946" s="28" t="s">
        <v>20</v>
      </c>
      <c r="H3946" s="28" t="s">
        <v>71</v>
      </c>
      <c r="I3946" s="28" t="s">
        <v>72</v>
      </c>
      <c r="J3946" s="28" t="s">
        <v>12578</v>
      </c>
      <c r="K3946" s="28" t="s">
        <v>12672</v>
      </c>
      <c r="L3946" s="28" t="s">
        <v>4282</v>
      </c>
      <c r="M3946" s="28" t="s">
        <v>21</v>
      </c>
      <c r="N3946" s="29">
        <v>39411</v>
      </c>
      <c r="O3946" s="92">
        <v>40633</v>
      </c>
      <c r="P3946" s="28" t="s">
        <v>31</v>
      </c>
      <c r="Q3946" s="26" t="b">
        <v>1</v>
      </c>
      <c r="R3946" s="22">
        <f t="shared" si="64"/>
        <v>1267</v>
      </c>
    </row>
    <row r="3947" spans="1:18">
      <c r="A3947" s="26">
        <v>8972</v>
      </c>
      <c r="B3947" s="27">
        <v>39370</v>
      </c>
      <c r="C3947" s="28" t="s">
        <v>12673</v>
      </c>
      <c r="D3947" s="27">
        <v>39366</v>
      </c>
      <c r="E3947" s="28" t="s">
        <v>12674</v>
      </c>
      <c r="F3947" s="28" t="s">
        <v>974</v>
      </c>
      <c r="G3947" s="28" t="s">
        <v>20</v>
      </c>
      <c r="H3947" s="28" t="s">
        <v>212</v>
      </c>
      <c r="I3947" s="28" t="s">
        <v>212</v>
      </c>
      <c r="J3947" s="28" t="s">
        <v>12675</v>
      </c>
      <c r="K3947" s="28" t="s">
        <v>21</v>
      </c>
      <c r="L3947" s="28" t="s">
        <v>1946</v>
      </c>
      <c r="M3947" s="28" t="s">
        <v>21</v>
      </c>
      <c r="N3947" s="29">
        <v>39416</v>
      </c>
      <c r="O3947" s="92">
        <v>39598</v>
      </c>
      <c r="P3947" s="28" t="s">
        <v>31</v>
      </c>
      <c r="Q3947" s="26" t="b">
        <v>1</v>
      </c>
      <c r="R3947" s="22">
        <f t="shared" si="64"/>
        <v>228</v>
      </c>
    </row>
    <row r="3948" spans="1:18">
      <c r="A3948" s="26">
        <v>8974</v>
      </c>
      <c r="B3948" s="27">
        <v>39374</v>
      </c>
      <c r="C3948" s="28" t="s">
        <v>12676</v>
      </c>
      <c r="D3948" s="27">
        <v>39372</v>
      </c>
      <c r="E3948" s="28" t="s">
        <v>12677</v>
      </c>
      <c r="F3948" s="28" t="s">
        <v>149</v>
      </c>
      <c r="G3948" s="28" t="s">
        <v>20</v>
      </c>
      <c r="H3948" s="28" t="s">
        <v>71</v>
      </c>
      <c r="I3948" s="28" t="s">
        <v>72</v>
      </c>
      <c r="J3948" s="28" t="s">
        <v>12678</v>
      </c>
      <c r="K3948" s="28" t="s">
        <v>12679</v>
      </c>
      <c r="L3948" s="28" t="s">
        <v>4579</v>
      </c>
      <c r="M3948" s="28" t="s">
        <v>21</v>
      </c>
      <c r="N3948" s="29">
        <v>39403</v>
      </c>
      <c r="O3948" s="92">
        <v>39374</v>
      </c>
      <c r="P3948" s="28" t="s">
        <v>31</v>
      </c>
      <c r="Q3948" s="26" t="b">
        <v>1</v>
      </c>
      <c r="R3948" s="22">
        <f t="shared" si="64"/>
        <v>0</v>
      </c>
    </row>
    <row r="3949" spans="1:18">
      <c r="A3949" s="26">
        <v>8975</v>
      </c>
      <c r="B3949" s="27">
        <v>39374</v>
      </c>
      <c r="C3949" s="28" t="s">
        <v>12680</v>
      </c>
      <c r="D3949" s="27">
        <v>39373</v>
      </c>
      <c r="E3949" s="28" t="s">
        <v>12681</v>
      </c>
      <c r="F3949" s="28" t="s">
        <v>8522</v>
      </c>
      <c r="G3949" s="28" t="s">
        <v>20</v>
      </c>
      <c r="H3949" s="28" t="s">
        <v>189</v>
      </c>
      <c r="I3949" s="28" t="s">
        <v>189</v>
      </c>
      <c r="J3949" s="28" t="s">
        <v>12682</v>
      </c>
      <c r="K3949" s="28" t="s">
        <v>12683</v>
      </c>
      <c r="L3949" s="28" t="s">
        <v>4579</v>
      </c>
      <c r="M3949" s="28" t="s">
        <v>21</v>
      </c>
      <c r="N3949" s="27">
        <v>39418</v>
      </c>
      <c r="O3949" s="92">
        <v>39436</v>
      </c>
      <c r="P3949" s="28" t="s">
        <v>31</v>
      </c>
      <c r="Q3949" s="26" t="b">
        <v>1</v>
      </c>
      <c r="R3949" s="22">
        <f t="shared" si="64"/>
        <v>61</v>
      </c>
    </row>
    <row r="3950" spans="1:18">
      <c r="A3950" s="26">
        <v>8976</v>
      </c>
      <c r="B3950" s="27">
        <v>39374</v>
      </c>
      <c r="C3950" s="28" t="s">
        <v>12685</v>
      </c>
      <c r="D3950" s="27">
        <v>39373</v>
      </c>
      <c r="E3950" s="28" t="s">
        <v>12684</v>
      </c>
      <c r="F3950" s="28" t="s">
        <v>8522</v>
      </c>
      <c r="G3950" s="28" t="s">
        <v>20</v>
      </c>
      <c r="H3950" s="28" t="s">
        <v>189</v>
      </c>
      <c r="I3950" s="28" t="s">
        <v>189</v>
      </c>
      <c r="J3950" s="28" t="s">
        <v>10416</v>
      </c>
      <c r="K3950" s="28" t="s">
        <v>12683</v>
      </c>
      <c r="L3950" s="28" t="s">
        <v>4579</v>
      </c>
      <c r="M3950" s="28" t="s">
        <v>21</v>
      </c>
      <c r="N3950" s="29">
        <v>39418</v>
      </c>
      <c r="O3950" s="92">
        <v>39436</v>
      </c>
      <c r="P3950" s="28" t="s">
        <v>31</v>
      </c>
      <c r="Q3950" s="26" t="b">
        <v>1</v>
      </c>
      <c r="R3950" s="22">
        <f t="shared" si="64"/>
        <v>61</v>
      </c>
    </row>
    <row r="3951" spans="1:18">
      <c r="A3951" s="26">
        <v>8977</v>
      </c>
      <c r="B3951" s="27">
        <v>39377</v>
      </c>
      <c r="C3951" s="28" t="s">
        <v>12686</v>
      </c>
      <c r="D3951" s="27">
        <v>39374</v>
      </c>
      <c r="E3951" s="28" t="s">
        <v>12687</v>
      </c>
      <c r="F3951" s="28" t="s">
        <v>12688</v>
      </c>
      <c r="G3951" s="28" t="s">
        <v>20</v>
      </c>
      <c r="H3951" s="28" t="s">
        <v>566</v>
      </c>
      <c r="I3951" s="28" t="s">
        <v>566</v>
      </c>
      <c r="J3951" s="28" t="s">
        <v>1817</v>
      </c>
      <c r="K3951" s="28" t="s">
        <v>4690</v>
      </c>
      <c r="L3951" s="28" t="s">
        <v>1946</v>
      </c>
      <c r="M3951" s="28" t="s">
        <v>21</v>
      </c>
      <c r="N3951" s="27">
        <v>39423</v>
      </c>
      <c r="O3951" s="92">
        <v>39875</v>
      </c>
      <c r="P3951" s="28" t="s">
        <v>31</v>
      </c>
      <c r="Q3951" s="26" t="b">
        <v>1</v>
      </c>
      <c r="R3951" s="22">
        <f t="shared" si="64"/>
        <v>497</v>
      </c>
    </row>
    <row r="3952" spans="1:18">
      <c r="A3952" s="26">
        <v>8978</v>
      </c>
      <c r="B3952" s="27">
        <v>39380</v>
      </c>
      <c r="C3952" s="28" t="s">
        <v>12689</v>
      </c>
      <c r="D3952" s="27">
        <v>39379</v>
      </c>
      <c r="E3952" s="28" t="s">
        <v>12690</v>
      </c>
      <c r="F3952" s="28" t="s">
        <v>52</v>
      </c>
      <c r="G3952" s="28" t="s">
        <v>20</v>
      </c>
      <c r="H3952" s="28" t="s">
        <v>71</v>
      </c>
      <c r="I3952" s="28" t="s">
        <v>72</v>
      </c>
      <c r="J3952" s="28" t="s">
        <v>12691</v>
      </c>
      <c r="K3952" s="28" t="s">
        <v>12692</v>
      </c>
      <c r="L3952" s="28" t="s">
        <v>1946</v>
      </c>
      <c r="M3952" s="28" t="s">
        <v>21</v>
      </c>
      <c r="N3952" s="27">
        <v>39426</v>
      </c>
      <c r="O3952" s="92">
        <v>39624</v>
      </c>
      <c r="P3952" s="28" t="s">
        <v>31</v>
      </c>
      <c r="Q3952" s="26" t="b">
        <v>1</v>
      </c>
      <c r="R3952" s="22">
        <f t="shared" si="64"/>
        <v>243</v>
      </c>
    </row>
    <row r="3953" spans="1:18">
      <c r="A3953" s="26">
        <v>8979</v>
      </c>
      <c r="B3953" s="27">
        <v>39384</v>
      </c>
      <c r="C3953" s="28" t="s">
        <v>12693</v>
      </c>
      <c r="D3953" s="27">
        <v>39377</v>
      </c>
      <c r="E3953" s="28" t="s">
        <v>12694</v>
      </c>
      <c r="F3953" s="28" t="s">
        <v>974</v>
      </c>
      <c r="G3953" s="28" t="s">
        <v>20</v>
      </c>
      <c r="H3953" s="28" t="s">
        <v>212</v>
      </c>
      <c r="I3953" s="28" t="s">
        <v>212</v>
      </c>
      <c r="J3953" s="28" t="s">
        <v>4690</v>
      </c>
      <c r="K3953" s="28" t="s">
        <v>21</v>
      </c>
      <c r="L3953" s="28" t="s">
        <v>4282</v>
      </c>
      <c r="M3953" s="28" t="s">
        <v>21</v>
      </c>
      <c r="N3953" s="29">
        <v>39426</v>
      </c>
      <c r="O3953" s="92">
        <v>39462</v>
      </c>
      <c r="P3953" s="28" t="s">
        <v>31</v>
      </c>
      <c r="Q3953" s="26" t="b">
        <v>1</v>
      </c>
      <c r="R3953" s="22">
        <f t="shared" si="64"/>
        <v>77</v>
      </c>
    </row>
    <row r="3954" spans="1:18">
      <c r="A3954" s="26">
        <v>8980</v>
      </c>
      <c r="B3954" s="27">
        <v>39394</v>
      </c>
      <c r="C3954" s="28" t="s">
        <v>12695</v>
      </c>
      <c r="D3954" s="27">
        <v>39389</v>
      </c>
      <c r="E3954" s="28" t="s">
        <v>38</v>
      </c>
      <c r="F3954" s="28" t="s">
        <v>12696</v>
      </c>
      <c r="G3954" s="28" t="s">
        <v>20</v>
      </c>
      <c r="H3954" s="28" t="s">
        <v>71</v>
      </c>
      <c r="I3954" s="28" t="s">
        <v>72</v>
      </c>
      <c r="J3954" s="28" t="s">
        <v>12697</v>
      </c>
      <c r="K3954" s="28" t="s">
        <v>21</v>
      </c>
      <c r="L3954" s="28" t="s">
        <v>1946</v>
      </c>
      <c r="M3954" s="28" t="s">
        <v>4579</v>
      </c>
      <c r="O3954" s="92">
        <v>39401</v>
      </c>
      <c r="P3954" s="28" t="s">
        <v>21</v>
      </c>
      <c r="Q3954" s="26" t="b">
        <v>0</v>
      </c>
      <c r="R3954" s="22">
        <f t="shared" si="64"/>
        <v>7</v>
      </c>
    </row>
    <row r="3955" spans="1:18" ht="24">
      <c r="A3955" s="26">
        <v>8981</v>
      </c>
      <c r="B3955" s="27">
        <v>39395</v>
      </c>
      <c r="C3955" s="28" t="s">
        <v>12698</v>
      </c>
      <c r="D3955" s="27">
        <v>39394</v>
      </c>
      <c r="E3955" s="28" t="s">
        <v>38</v>
      </c>
      <c r="F3955" s="28" t="s">
        <v>513</v>
      </c>
      <c r="G3955" s="28" t="s">
        <v>20</v>
      </c>
      <c r="H3955" s="28" t="s">
        <v>71</v>
      </c>
      <c r="I3955" s="28" t="s">
        <v>72</v>
      </c>
      <c r="J3955" s="28" t="s">
        <v>12699</v>
      </c>
      <c r="K3955" s="28" t="s">
        <v>12700</v>
      </c>
      <c r="L3955" s="28" t="s">
        <v>1946</v>
      </c>
      <c r="M3955" s="28" t="s">
        <v>21</v>
      </c>
      <c r="N3955" s="18"/>
      <c r="O3955" s="92">
        <v>39398</v>
      </c>
      <c r="P3955" s="28" t="s">
        <v>21</v>
      </c>
      <c r="Q3955" s="26" t="b">
        <v>0</v>
      </c>
      <c r="R3955" s="22">
        <f t="shared" si="64"/>
        <v>3</v>
      </c>
    </row>
    <row r="3956" spans="1:18">
      <c r="A3956" s="26">
        <v>8982</v>
      </c>
      <c r="B3956" s="27">
        <v>39395</v>
      </c>
      <c r="C3956" s="28" t="s">
        <v>12701</v>
      </c>
      <c r="D3956" s="27">
        <v>39392</v>
      </c>
      <c r="E3956" s="28" t="s">
        <v>12702</v>
      </c>
      <c r="F3956" s="28" t="s">
        <v>52</v>
      </c>
      <c r="G3956" s="28" t="s">
        <v>20</v>
      </c>
      <c r="H3956" s="28" t="s">
        <v>189</v>
      </c>
      <c r="I3956" s="28" t="s">
        <v>189</v>
      </c>
      <c r="J3956" s="28" t="s">
        <v>12703</v>
      </c>
      <c r="K3956" s="28" t="s">
        <v>21</v>
      </c>
      <c r="L3956" s="28" t="s">
        <v>4579</v>
      </c>
      <c r="M3956" s="28" t="s">
        <v>21</v>
      </c>
      <c r="N3956" s="18"/>
      <c r="O3956" s="92">
        <v>39395</v>
      </c>
      <c r="P3956" s="28" t="s">
        <v>21</v>
      </c>
      <c r="Q3956" s="26" t="b">
        <v>0</v>
      </c>
      <c r="R3956" s="22">
        <f t="shared" si="64"/>
        <v>0</v>
      </c>
    </row>
    <row r="3957" spans="1:18">
      <c r="A3957" s="26">
        <v>8983</v>
      </c>
      <c r="B3957" s="27">
        <v>39395</v>
      </c>
      <c r="C3957" s="28" t="s">
        <v>12704</v>
      </c>
      <c r="D3957" s="27">
        <v>39392</v>
      </c>
      <c r="E3957" s="28" t="s">
        <v>12705</v>
      </c>
      <c r="F3957" s="28" t="s">
        <v>12706</v>
      </c>
      <c r="G3957" s="28" t="s">
        <v>20</v>
      </c>
      <c r="H3957" s="28" t="s">
        <v>71</v>
      </c>
      <c r="I3957" s="28" t="s">
        <v>72</v>
      </c>
      <c r="J3957" s="28" t="s">
        <v>12707</v>
      </c>
      <c r="K3957" s="28" t="s">
        <v>12708</v>
      </c>
      <c r="L3957" s="28" t="s">
        <v>1946</v>
      </c>
      <c r="M3957" s="28" t="s">
        <v>21</v>
      </c>
      <c r="N3957" s="27">
        <v>39440</v>
      </c>
      <c r="O3957" s="92">
        <v>39654</v>
      </c>
      <c r="P3957" s="28" t="s">
        <v>31</v>
      </c>
      <c r="Q3957" s="26" t="b">
        <v>1</v>
      </c>
      <c r="R3957" s="22">
        <f t="shared" si="64"/>
        <v>259</v>
      </c>
    </row>
    <row r="3958" spans="1:18">
      <c r="A3958" s="26">
        <v>8984</v>
      </c>
      <c r="B3958" s="27">
        <v>39395</v>
      </c>
      <c r="C3958" s="28" t="s">
        <v>12709</v>
      </c>
      <c r="D3958" s="27">
        <v>39363</v>
      </c>
      <c r="E3958" s="28" t="s">
        <v>11030</v>
      </c>
      <c r="F3958" s="28" t="s">
        <v>7574</v>
      </c>
      <c r="G3958" s="28" t="s">
        <v>20</v>
      </c>
      <c r="H3958" s="28" t="s">
        <v>71</v>
      </c>
      <c r="I3958" s="28" t="s">
        <v>72</v>
      </c>
      <c r="J3958" s="28" t="s">
        <v>12710</v>
      </c>
      <c r="K3958" s="28" t="s">
        <v>21</v>
      </c>
      <c r="L3958" s="28" t="s">
        <v>4282</v>
      </c>
      <c r="M3958" s="28" t="s">
        <v>21</v>
      </c>
      <c r="N3958" s="18"/>
      <c r="O3958" s="92">
        <v>39772</v>
      </c>
      <c r="P3958" s="28" t="s">
        <v>21</v>
      </c>
      <c r="Q3958" s="26" t="b">
        <v>0</v>
      </c>
      <c r="R3958" s="22">
        <f t="shared" si="64"/>
        <v>376</v>
      </c>
    </row>
    <row r="3959" spans="1:18">
      <c r="A3959" s="26">
        <v>8986</v>
      </c>
      <c r="B3959" s="27">
        <v>39405</v>
      </c>
      <c r="C3959" s="28" t="s">
        <v>12711</v>
      </c>
      <c r="D3959" s="27">
        <v>39372</v>
      </c>
      <c r="E3959" s="28" t="s">
        <v>12712</v>
      </c>
      <c r="F3959" s="28" t="s">
        <v>242</v>
      </c>
      <c r="G3959" s="28" t="s">
        <v>20</v>
      </c>
      <c r="H3959" s="28" t="s">
        <v>71</v>
      </c>
      <c r="I3959" s="28" t="s">
        <v>72</v>
      </c>
      <c r="J3959" s="28" t="s">
        <v>7217</v>
      </c>
      <c r="K3959" s="28" t="s">
        <v>21</v>
      </c>
      <c r="L3959" s="28" t="s">
        <v>1946</v>
      </c>
      <c r="M3959" s="28" t="s">
        <v>21</v>
      </c>
      <c r="N3959" s="27">
        <v>39452</v>
      </c>
      <c r="O3959" s="92">
        <v>39427</v>
      </c>
      <c r="P3959" s="28" t="s">
        <v>21</v>
      </c>
      <c r="Q3959" s="26" t="b">
        <v>0</v>
      </c>
      <c r="R3959" s="22">
        <f t="shared" si="64"/>
        <v>22</v>
      </c>
    </row>
    <row r="3960" spans="1:18">
      <c r="A3960" s="26">
        <v>8987</v>
      </c>
      <c r="B3960" s="27">
        <v>39414</v>
      </c>
      <c r="C3960" s="28" t="s">
        <v>12713</v>
      </c>
      <c r="D3960" s="27">
        <v>39406</v>
      </c>
      <c r="E3960" s="28" t="s">
        <v>12714</v>
      </c>
      <c r="F3960" s="28" t="s">
        <v>10422</v>
      </c>
      <c r="G3960" s="28" t="s">
        <v>20</v>
      </c>
      <c r="H3960" s="28" t="s">
        <v>212</v>
      </c>
      <c r="I3960" s="28" t="s">
        <v>212</v>
      </c>
      <c r="J3960" s="28" t="s">
        <v>12715</v>
      </c>
      <c r="K3960" s="28" t="s">
        <v>12716</v>
      </c>
      <c r="L3960" s="28" t="s">
        <v>4579</v>
      </c>
      <c r="M3960" s="28" t="s">
        <v>21</v>
      </c>
      <c r="N3960" s="29">
        <v>39504</v>
      </c>
      <c r="O3960" s="92">
        <v>39497</v>
      </c>
      <c r="P3960" s="28" t="s">
        <v>21</v>
      </c>
      <c r="Q3960" s="26" t="b">
        <v>0</v>
      </c>
      <c r="R3960" s="22">
        <f t="shared" si="64"/>
        <v>82</v>
      </c>
    </row>
    <row r="3961" spans="1:18">
      <c r="A3961" s="26">
        <v>8989</v>
      </c>
      <c r="B3961" s="27">
        <v>39416</v>
      </c>
      <c r="C3961" s="28" t="s">
        <v>12717</v>
      </c>
      <c r="D3961" s="27">
        <v>39414</v>
      </c>
      <c r="E3961" s="28" t="s">
        <v>38</v>
      </c>
      <c r="F3961" s="28" t="s">
        <v>12718</v>
      </c>
      <c r="G3961" s="28" t="s">
        <v>20</v>
      </c>
      <c r="H3961" s="28" t="s">
        <v>71</v>
      </c>
      <c r="I3961" s="28" t="s">
        <v>72</v>
      </c>
      <c r="J3961" s="28" t="s">
        <v>12719</v>
      </c>
      <c r="K3961" s="28" t="s">
        <v>21</v>
      </c>
      <c r="L3961" s="28" t="s">
        <v>1946</v>
      </c>
      <c r="M3961" s="28" t="s">
        <v>21</v>
      </c>
      <c r="O3961" s="92">
        <v>39421</v>
      </c>
      <c r="P3961" s="28" t="s">
        <v>21</v>
      </c>
      <c r="Q3961" s="26" t="b">
        <v>0</v>
      </c>
      <c r="R3961" s="22">
        <f t="shared" si="64"/>
        <v>5</v>
      </c>
    </row>
    <row r="3962" spans="1:18">
      <c r="A3962" s="26">
        <v>8990</v>
      </c>
      <c r="B3962" s="27">
        <v>39416</v>
      </c>
      <c r="C3962" s="28" t="s">
        <v>12720</v>
      </c>
      <c r="D3962" s="27">
        <v>39415</v>
      </c>
      <c r="E3962" s="28" t="s">
        <v>12721</v>
      </c>
      <c r="F3962" s="28" t="s">
        <v>1232</v>
      </c>
      <c r="G3962" s="28" t="s">
        <v>20</v>
      </c>
      <c r="H3962" s="28" t="s">
        <v>189</v>
      </c>
      <c r="I3962" s="28" t="s">
        <v>189</v>
      </c>
      <c r="J3962" s="28" t="s">
        <v>12722</v>
      </c>
      <c r="K3962" s="28" t="s">
        <v>12723</v>
      </c>
      <c r="L3962" s="28" t="s">
        <v>1946</v>
      </c>
      <c r="M3962" s="28" t="s">
        <v>21</v>
      </c>
      <c r="O3962" s="92">
        <v>40997</v>
      </c>
      <c r="P3962" s="28" t="s">
        <v>31</v>
      </c>
      <c r="Q3962" s="26" t="b">
        <v>1</v>
      </c>
      <c r="R3962" s="22">
        <f t="shared" si="64"/>
        <v>1580</v>
      </c>
    </row>
    <row r="3963" spans="1:18">
      <c r="A3963" s="26">
        <v>8991</v>
      </c>
      <c r="B3963" s="27">
        <v>39422</v>
      </c>
      <c r="C3963" s="28" t="s">
        <v>12724</v>
      </c>
      <c r="D3963" s="27">
        <v>39419</v>
      </c>
      <c r="E3963" s="28" t="s">
        <v>12725</v>
      </c>
      <c r="F3963" s="28" t="s">
        <v>4596</v>
      </c>
      <c r="G3963" s="28" t="s">
        <v>20</v>
      </c>
      <c r="H3963" s="28" t="s">
        <v>212</v>
      </c>
      <c r="I3963" s="28" t="s">
        <v>212</v>
      </c>
      <c r="J3963" s="28" t="s">
        <v>12726</v>
      </c>
      <c r="K3963" s="28" t="s">
        <v>12727</v>
      </c>
      <c r="L3963" s="28" t="s">
        <v>4282</v>
      </c>
      <c r="M3963" s="28" t="s">
        <v>21</v>
      </c>
      <c r="N3963" s="29">
        <v>39450</v>
      </c>
      <c r="O3963" s="92">
        <v>39477</v>
      </c>
      <c r="P3963" s="28" t="s">
        <v>31</v>
      </c>
      <c r="Q3963" s="26" t="b">
        <v>1</v>
      </c>
      <c r="R3963" s="22">
        <f t="shared" si="64"/>
        <v>54</v>
      </c>
    </row>
    <row r="3964" spans="1:18">
      <c r="A3964" s="26">
        <v>8992</v>
      </c>
      <c r="B3964" s="27">
        <v>39422</v>
      </c>
      <c r="C3964" s="28" t="s">
        <v>12728</v>
      </c>
      <c r="D3964" s="27">
        <v>39419</v>
      </c>
      <c r="E3964" s="28" t="s">
        <v>12729</v>
      </c>
      <c r="F3964" s="28" t="s">
        <v>149</v>
      </c>
      <c r="G3964" s="28" t="s">
        <v>20</v>
      </c>
      <c r="H3964" s="28" t="s">
        <v>71</v>
      </c>
      <c r="I3964" s="28" t="s">
        <v>72</v>
      </c>
      <c r="J3964" s="28" t="s">
        <v>12730</v>
      </c>
      <c r="K3964" s="28" t="s">
        <v>12731</v>
      </c>
      <c r="L3964" s="28" t="s">
        <v>4579</v>
      </c>
      <c r="M3964" s="28" t="s">
        <v>21</v>
      </c>
      <c r="N3964" s="27">
        <v>39452</v>
      </c>
      <c r="O3964" s="92">
        <v>39490</v>
      </c>
      <c r="P3964" s="28" t="s">
        <v>31</v>
      </c>
      <c r="Q3964" s="26" t="b">
        <v>1</v>
      </c>
      <c r="R3964" s="22">
        <f t="shared" si="64"/>
        <v>66</v>
      </c>
    </row>
    <row r="3965" spans="1:18">
      <c r="A3965" s="26">
        <v>8993</v>
      </c>
      <c r="B3965" s="27">
        <v>39428</v>
      </c>
      <c r="C3965" s="28" t="s">
        <v>12732</v>
      </c>
      <c r="D3965" s="27">
        <v>39426</v>
      </c>
      <c r="E3965" s="28" t="s">
        <v>12733</v>
      </c>
      <c r="F3965" s="28" t="s">
        <v>12404</v>
      </c>
      <c r="G3965" s="28" t="s">
        <v>20</v>
      </c>
      <c r="H3965" s="28" t="s">
        <v>71</v>
      </c>
      <c r="I3965" s="28" t="s">
        <v>72</v>
      </c>
      <c r="J3965" s="28" t="s">
        <v>12734</v>
      </c>
      <c r="K3965" s="28" t="s">
        <v>11513</v>
      </c>
      <c r="L3965" s="28" t="s">
        <v>4282</v>
      </c>
      <c r="M3965" s="28" t="s">
        <v>21</v>
      </c>
      <c r="N3965" s="27">
        <v>39462</v>
      </c>
      <c r="O3965" s="92">
        <v>39504</v>
      </c>
      <c r="P3965" s="28" t="s">
        <v>31</v>
      </c>
      <c r="Q3965" s="26" t="b">
        <v>1</v>
      </c>
      <c r="R3965" s="22">
        <f t="shared" si="64"/>
        <v>75</v>
      </c>
    </row>
    <row r="3966" spans="1:18">
      <c r="A3966" s="26">
        <v>8995</v>
      </c>
      <c r="B3966" s="27">
        <v>39433</v>
      </c>
      <c r="C3966" s="28" t="s">
        <v>12735</v>
      </c>
      <c r="D3966" s="27">
        <v>39428</v>
      </c>
      <c r="E3966" s="28" t="s">
        <v>12736</v>
      </c>
      <c r="F3966" s="28" t="s">
        <v>149</v>
      </c>
      <c r="G3966" s="28" t="s">
        <v>20</v>
      </c>
      <c r="H3966" s="28" t="s">
        <v>71</v>
      </c>
      <c r="I3966" s="28" t="s">
        <v>72</v>
      </c>
      <c r="J3966" s="28" t="s">
        <v>12737</v>
      </c>
      <c r="K3966" s="28" t="s">
        <v>21</v>
      </c>
      <c r="L3966" s="28" t="s">
        <v>3588</v>
      </c>
      <c r="M3966" s="28" t="s">
        <v>1946</v>
      </c>
      <c r="N3966" s="27">
        <v>39521</v>
      </c>
      <c r="O3966" s="92">
        <v>39856</v>
      </c>
      <c r="P3966" s="28" t="s">
        <v>21</v>
      </c>
      <c r="Q3966" s="26" t="b">
        <v>0</v>
      </c>
      <c r="R3966" s="22">
        <f t="shared" si="64"/>
        <v>420</v>
      </c>
    </row>
    <row r="3967" spans="1:18">
      <c r="A3967" s="26">
        <v>8996</v>
      </c>
      <c r="B3967" s="27">
        <v>39436</v>
      </c>
      <c r="C3967" s="28" t="s">
        <v>12738</v>
      </c>
      <c r="D3967" s="27">
        <v>39435</v>
      </c>
      <c r="E3967" s="28" t="s">
        <v>12739</v>
      </c>
      <c r="F3967" s="28" t="s">
        <v>12740</v>
      </c>
      <c r="G3967" s="28" t="s">
        <v>20</v>
      </c>
      <c r="H3967" s="28" t="s">
        <v>71</v>
      </c>
      <c r="I3967" s="28" t="s">
        <v>72</v>
      </c>
      <c r="J3967" s="28" t="s">
        <v>1639</v>
      </c>
      <c r="K3967" s="28" t="s">
        <v>21</v>
      </c>
      <c r="L3967" s="28" t="s">
        <v>4579</v>
      </c>
      <c r="M3967" s="28" t="s">
        <v>21</v>
      </c>
      <c r="N3967" s="29">
        <v>39483</v>
      </c>
      <c r="O3967" s="92">
        <v>39479</v>
      </c>
      <c r="P3967" s="28" t="s">
        <v>31</v>
      </c>
      <c r="Q3967" s="26" t="b">
        <v>1</v>
      </c>
      <c r="R3967" s="22">
        <f t="shared" si="64"/>
        <v>41</v>
      </c>
    </row>
    <row r="3968" spans="1:18">
      <c r="A3968" s="26">
        <v>8998</v>
      </c>
      <c r="B3968" s="27">
        <v>39440</v>
      </c>
      <c r="C3968" s="28" t="s">
        <v>12741</v>
      </c>
      <c r="D3968" s="27">
        <v>39429</v>
      </c>
      <c r="E3968" s="28" t="s">
        <v>12742</v>
      </c>
      <c r="F3968" s="28" t="s">
        <v>12743</v>
      </c>
      <c r="G3968" s="28" t="s">
        <v>20</v>
      </c>
      <c r="H3968" s="28" t="s">
        <v>71</v>
      </c>
      <c r="I3968" s="28" t="s">
        <v>72</v>
      </c>
      <c r="J3968" s="28" t="s">
        <v>6331</v>
      </c>
      <c r="K3968" s="28" t="s">
        <v>21</v>
      </c>
      <c r="L3968" s="28" t="s">
        <v>4282</v>
      </c>
      <c r="M3968" s="28" t="s">
        <v>21</v>
      </c>
      <c r="N3968" s="18"/>
      <c r="O3968" s="92">
        <v>39440</v>
      </c>
      <c r="P3968" s="28" t="s">
        <v>31</v>
      </c>
      <c r="Q3968" s="26" t="b">
        <v>1</v>
      </c>
      <c r="R3968" s="22">
        <f t="shared" si="64"/>
        <v>0</v>
      </c>
    </row>
    <row r="3969" spans="1:18">
      <c r="A3969" s="26">
        <v>9000</v>
      </c>
      <c r="B3969" s="27">
        <v>39450</v>
      </c>
      <c r="C3969" s="28" t="s">
        <v>12744</v>
      </c>
      <c r="D3969" s="27">
        <v>39435</v>
      </c>
      <c r="E3969" s="28" t="s">
        <v>12745</v>
      </c>
      <c r="F3969" s="28" t="s">
        <v>1771</v>
      </c>
      <c r="G3969" s="28" t="s">
        <v>20</v>
      </c>
      <c r="H3969" s="28" t="s">
        <v>189</v>
      </c>
      <c r="I3969" s="28" t="s">
        <v>189</v>
      </c>
      <c r="J3969" s="28" t="s">
        <v>423</v>
      </c>
      <c r="K3969" s="28" t="s">
        <v>21</v>
      </c>
      <c r="L3969" s="28" t="s">
        <v>4282</v>
      </c>
      <c r="M3969" s="28" t="s">
        <v>21</v>
      </c>
      <c r="N3969" s="18"/>
      <c r="O3969" s="92">
        <v>39450</v>
      </c>
      <c r="P3969" s="28" t="s">
        <v>31</v>
      </c>
      <c r="Q3969" s="26" t="b">
        <v>1</v>
      </c>
      <c r="R3969" s="22">
        <f t="shared" si="64"/>
        <v>0</v>
      </c>
    </row>
    <row r="3970" spans="1:18">
      <c r="A3970" s="26">
        <v>9001</v>
      </c>
      <c r="B3970" s="27">
        <v>39450</v>
      </c>
      <c r="C3970" s="28" t="s">
        <v>12746</v>
      </c>
      <c r="D3970" s="27">
        <v>39443</v>
      </c>
      <c r="E3970" s="28" t="s">
        <v>11921</v>
      </c>
      <c r="F3970" s="28" t="s">
        <v>11319</v>
      </c>
      <c r="G3970" s="28" t="s">
        <v>20</v>
      </c>
      <c r="H3970" s="28" t="s">
        <v>566</v>
      </c>
      <c r="I3970" s="28" t="s">
        <v>566</v>
      </c>
      <c r="J3970" s="28" t="s">
        <v>12747</v>
      </c>
      <c r="K3970" s="28" t="s">
        <v>21</v>
      </c>
      <c r="L3970" s="28" t="s">
        <v>4282</v>
      </c>
      <c r="M3970" s="28" t="s">
        <v>21</v>
      </c>
      <c r="N3970" s="18"/>
      <c r="O3970" s="92">
        <v>39772</v>
      </c>
      <c r="P3970" s="28" t="s">
        <v>21</v>
      </c>
      <c r="Q3970" s="26" t="b">
        <v>0</v>
      </c>
      <c r="R3970" s="22">
        <f t="shared" si="64"/>
        <v>321</v>
      </c>
    </row>
    <row r="3971" spans="1:18" ht="24">
      <c r="A3971" s="26">
        <v>9002</v>
      </c>
      <c r="B3971" s="27">
        <v>39450</v>
      </c>
      <c r="C3971" s="28" t="s">
        <v>12748</v>
      </c>
      <c r="D3971" s="27">
        <v>39413</v>
      </c>
      <c r="E3971" s="28" t="s">
        <v>38</v>
      </c>
      <c r="F3971" s="28" t="s">
        <v>12749</v>
      </c>
      <c r="G3971" s="28" t="s">
        <v>20</v>
      </c>
      <c r="H3971" s="28" t="s">
        <v>71</v>
      </c>
      <c r="I3971" s="28" t="s">
        <v>72</v>
      </c>
      <c r="J3971" s="28" t="s">
        <v>12750</v>
      </c>
      <c r="K3971" s="28" t="s">
        <v>21</v>
      </c>
      <c r="L3971" s="28" t="s">
        <v>11155</v>
      </c>
      <c r="M3971" s="28" t="s">
        <v>21</v>
      </c>
      <c r="N3971" s="18"/>
      <c r="O3971" s="92">
        <v>39450</v>
      </c>
      <c r="P3971" s="28" t="s">
        <v>21</v>
      </c>
      <c r="Q3971" s="26" t="b">
        <v>0</v>
      </c>
      <c r="R3971" s="22">
        <f t="shared" si="64"/>
        <v>0</v>
      </c>
    </row>
    <row r="3972" spans="1:18">
      <c r="A3972" s="26">
        <v>9003</v>
      </c>
      <c r="B3972" s="27">
        <v>39454</v>
      </c>
      <c r="C3972" s="28" t="s">
        <v>12751</v>
      </c>
      <c r="D3972" s="27">
        <v>39450</v>
      </c>
      <c r="E3972" s="28" t="s">
        <v>12752</v>
      </c>
      <c r="F3972" s="28" t="s">
        <v>145</v>
      </c>
      <c r="G3972" s="28" t="s">
        <v>20</v>
      </c>
      <c r="H3972" s="28" t="s">
        <v>71</v>
      </c>
      <c r="I3972" s="28" t="s">
        <v>72</v>
      </c>
      <c r="J3972" s="28" t="s">
        <v>12753</v>
      </c>
      <c r="K3972" s="28" t="s">
        <v>21</v>
      </c>
      <c r="L3972" s="28" t="s">
        <v>4579</v>
      </c>
      <c r="M3972" s="28" t="s">
        <v>21</v>
      </c>
      <c r="N3972" s="27">
        <v>39495</v>
      </c>
      <c r="O3972" s="92">
        <v>39457</v>
      </c>
      <c r="P3972" s="28" t="s">
        <v>31</v>
      </c>
      <c r="Q3972" s="26" t="b">
        <v>1</v>
      </c>
      <c r="R3972" s="22">
        <f t="shared" si="64"/>
        <v>3</v>
      </c>
    </row>
    <row r="3973" spans="1:18">
      <c r="A3973" s="26">
        <v>9004</v>
      </c>
      <c r="B3973" s="27">
        <v>39456</v>
      </c>
      <c r="C3973" s="28" t="s">
        <v>12754</v>
      </c>
      <c r="D3973" s="27">
        <v>39450</v>
      </c>
      <c r="E3973" s="28" t="s">
        <v>12755</v>
      </c>
      <c r="F3973" s="28" t="s">
        <v>12756</v>
      </c>
      <c r="G3973" s="28" t="s">
        <v>20</v>
      </c>
      <c r="H3973" s="28" t="s">
        <v>71</v>
      </c>
      <c r="I3973" s="28" t="s">
        <v>72</v>
      </c>
      <c r="J3973" s="28" t="s">
        <v>12757</v>
      </c>
      <c r="K3973" s="28" t="s">
        <v>12758</v>
      </c>
      <c r="L3973" s="28" t="s">
        <v>1946</v>
      </c>
      <c r="M3973" s="28" t="s">
        <v>21</v>
      </c>
      <c r="N3973" s="27">
        <v>39545</v>
      </c>
      <c r="O3973" s="92">
        <v>39464</v>
      </c>
      <c r="P3973" s="28" t="s">
        <v>21</v>
      </c>
      <c r="Q3973" s="26" t="b">
        <v>1</v>
      </c>
      <c r="R3973" s="22">
        <f t="shared" si="64"/>
        <v>8</v>
      </c>
    </row>
    <row r="3974" spans="1:18">
      <c r="A3974" s="26">
        <v>9005</v>
      </c>
      <c r="B3974" s="27">
        <v>39457</v>
      </c>
      <c r="C3974" s="28" t="s">
        <v>12759</v>
      </c>
      <c r="D3974" s="27">
        <v>39451</v>
      </c>
      <c r="E3974" s="28" t="s">
        <v>12760</v>
      </c>
      <c r="F3974" s="28" t="s">
        <v>124</v>
      </c>
      <c r="G3974" s="28" t="s">
        <v>20</v>
      </c>
      <c r="H3974" s="28" t="s">
        <v>71</v>
      </c>
      <c r="I3974" s="28" t="s">
        <v>72</v>
      </c>
      <c r="J3974" s="28" t="s">
        <v>12761</v>
      </c>
      <c r="K3974" s="28" t="s">
        <v>12762</v>
      </c>
      <c r="L3974" s="28" t="s">
        <v>4282</v>
      </c>
      <c r="M3974" s="28" t="s">
        <v>21</v>
      </c>
      <c r="N3974" s="29">
        <v>39501</v>
      </c>
      <c r="O3974" s="92">
        <v>40668</v>
      </c>
      <c r="P3974" s="28" t="s">
        <v>31</v>
      </c>
      <c r="Q3974" s="26" t="b">
        <v>1</v>
      </c>
      <c r="R3974" s="22">
        <f t="shared" si="64"/>
        <v>1211</v>
      </c>
    </row>
    <row r="3975" spans="1:18" ht="24">
      <c r="A3975" s="26">
        <v>9006</v>
      </c>
      <c r="B3975" s="27">
        <v>39462</v>
      </c>
      <c r="C3975" s="28" t="s">
        <v>12763</v>
      </c>
      <c r="D3975" s="27">
        <v>39457</v>
      </c>
      <c r="E3975" s="28" t="s">
        <v>12745</v>
      </c>
      <c r="F3975" s="28" t="s">
        <v>12764</v>
      </c>
      <c r="G3975" s="28" t="s">
        <v>20</v>
      </c>
      <c r="H3975" s="28" t="s">
        <v>71</v>
      </c>
      <c r="I3975" s="28" t="s">
        <v>72</v>
      </c>
      <c r="J3975" s="28" t="s">
        <v>12765</v>
      </c>
      <c r="K3975" s="28" t="s">
        <v>21</v>
      </c>
      <c r="L3975" s="28" t="s">
        <v>4282</v>
      </c>
      <c r="M3975" s="28" t="s">
        <v>21</v>
      </c>
      <c r="N3975" s="18"/>
      <c r="O3975" s="92">
        <v>39462</v>
      </c>
      <c r="P3975" s="28" t="s">
        <v>31</v>
      </c>
      <c r="Q3975" s="26" t="b">
        <v>1</v>
      </c>
      <c r="R3975" s="22">
        <f t="shared" si="64"/>
        <v>0</v>
      </c>
    </row>
    <row r="3976" spans="1:18">
      <c r="A3976" s="26">
        <v>9007</v>
      </c>
      <c r="B3976" s="27">
        <v>39462</v>
      </c>
      <c r="C3976" s="28" t="s">
        <v>12766</v>
      </c>
      <c r="D3976" s="27">
        <v>39437</v>
      </c>
      <c r="E3976" s="28" t="s">
        <v>12767</v>
      </c>
      <c r="F3976" s="28" t="s">
        <v>149</v>
      </c>
      <c r="G3976" s="28" t="s">
        <v>20</v>
      </c>
      <c r="H3976" s="28" t="s">
        <v>71</v>
      </c>
      <c r="I3976" s="28" t="s">
        <v>72</v>
      </c>
      <c r="J3976" s="28" t="s">
        <v>272</v>
      </c>
      <c r="K3976" s="28" t="s">
        <v>21</v>
      </c>
      <c r="L3976" s="28" t="s">
        <v>1946</v>
      </c>
      <c r="M3976" s="28" t="s">
        <v>21</v>
      </c>
      <c r="N3976" s="27">
        <v>39493</v>
      </c>
      <c r="O3976" s="92">
        <v>39483</v>
      </c>
      <c r="P3976" s="28" t="s">
        <v>21</v>
      </c>
      <c r="Q3976" s="26" t="b">
        <v>0</v>
      </c>
      <c r="R3976" s="22">
        <f t="shared" si="64"/>
        <v>20</v>
      </c>
    </row>
    <row r="3977" spans="1:18">
      <c r="A3977" s="26">
        <v>9009</v>
      </c>
      <c r="B3977" s="27">
        <v>39463</v>
      </c>
      <c r="C3977" s="28" t="s">
        <v>12768</v>
      </c>
      <c r="D3977" s="27">
        <v>39444</v>
      </c>
      <c r="E3977" s="28" t="s">
        <v>12769</v>
      </c>
      <c r="F3977" s="28" t="s">
        <v>371</v>
      </c>
      <c r="G3977" s="28" t="s">
        <v>20</v>
      </c>
      <c r="H3977" s="28" t="s">
        <v>71</v>
      </c>
      <c r="I3977" s="28" t="s">
        <v>72</v>
      </c>
      <c r="J3977" s="28" t="s">
        <v>12770</v>
      </c>
      <c r="K3977" s="28" t="s">
        <v>21</v>
      </c>
      <c r="L3977" s="28" t="s">
        <v>4282</v>
      </c>
      <c r="M3977" s="28" t="s">
        <v>21</v>
      </c>
      <c r="N3977" s="27">
        <v>39487</v>
      </c>
      <c r="O3977" s="92">
        <v>40555</v>
      </c>
      <c r="P3977" s="28" t="s">
        <v>31</v>
      </c>
      <c r="Q3977" s="26" t="b">
        <v>1</v>
      </c>
      <c r="R3977" s="22">
        <f t="shared" si="64"/>
        <v>1090</v>
      </c>
    </row>
    <row r="3978" spans="1:18">
      <c r="A3978" s="26">
        <v>9010</v>
      </c>
      <c r="B3978" s="27">
        <v>39463</v>
      </c>
      <c r="C3978" s="28" t="s">
        <v>12771</v>
      </c>
      <c r="D3978" s="27">
        <v>39444</v>
      </c>
      <c r="E3978" s="28" t="s">
        <v>12772</v>
      </c>
      <c r="F3978" s="28" t="s">
        <v>124</v>
      </c>
      <c r="G3978" s="28" t="s">
        <v>20</v>
      </c>
      <c r="H3978" s="28" t="s">
        <v>71</v>
      </c>
      <c r="I3978" s="28" t="s">
        <v>72</v>
      </c>
      <c r="J3978" s="28" t="s">
        <v>4136</v>
      </c>
      <c r="K3978" s="28" t="s">
        <v>21</v>
      </c>
      <c r="L3978" s="28" t="s">
        <v>4282</v>
      </c>
      <c r="M3978" s="28" t="s">
        <v>21</v>
      </c>
      <c r="N3978" s="27">
        <v>39487</v>
      </c>
      <c r="O3978" s="92">
        <v>39548</v>
      </c>
      <c r="P3978" s="28" t="s">
        <v>31</v>
      </c>
      <c r="Q3978" s="26" t="b">
        <v>1</v>
      </c>
      <c r="R3978" s="22">
        <f t="shared" si="64"/>
        <v>85</v>
      </c>
    </row>
    <row r="3979" spans="1:18">
      <c r="A3979" s="26">
        <v>9011</v>
      </c>
      <c r="B3979" s="27">
        <v>39463</v>
      </c>
      <c r="C3979" s="28" t="s">
        <v>12773</v>
      </c>
      <c r="D3979" s="27">
        <v>39444</v>
      </c>
      <c r="E3979" s="28" t="s">
        <v>12774</v>
      </c>
      <c r="F3979" s="28" t="s">
        <v>12775</v>
      </c>
      <c r="G3979" s="28" t="s">
        <v>20</v>
      </c>
      <c r="H3979" s="28" t="s">
        <v>71</v>
      </c>
      <c r="I3979" s="28" t="s">
        <v>72</v>
      </c>
      <c r="J3979" s="28" t="s">
        <v>12776</v>
      </c>
      <c r="K3979" s="28" t="s">
        <v>12777</v>
      </c>
      <c r="L3979" s="28" t="s">
        <v>4282</v>
      </c>
      <c r="M3979" s="28" t="s">
        <v>21</v>
      </c>
      <c r="N3979" s="27">
        <v>39487</v>
      </c>
      <c r="O3979" s="92">
        <v>39548</v>
      </c>
      <c r="P3979" s="28" t="s">
        <v>31</v>
      </c>
      <c r="Q3979" s="26" t="b">
        <v>1</v>
      </c>
      <c r="R3979" s="22">
        <f t="shared" si="64"/>
        <v>85</v>
      </c>
    </row>
    <row r="3980" spans="1:18">
      <c r="A3980" s="26">
        <v>9023</v>
      </c>
      <c r="B3980" s="27">
        <v>39470</v>
      </c>
      <c r="C3980" s="28" t="s">
        <v>12778</v>
      </c>
      <c r="D3980" s="27">
        <v>39465</v>
      </c>
      <c r="E3980" s="28" t="s">
        <v>12779</v>
      </c>
      <c r="F3980" s="28" t="s">
        <v>350</v>
      </c>
      <c r="G3980" s="28" t="s">
        <v>20</v>
      </c>
      <c r="H3980" s="28" t="s">
        <v>71</v>
      </c>
      <c r="I3980" s="28" t="s">
        <v>72</v>
      </c>
      <c r="J3980" s="28" t="s">
        <v>3538</v>
      </c>
      <c r="K3980" s="28" t="s">
        <v>12780</v>
      </c>
      <c r="L3980" s="28" t="s">
        <v>1946</v>
      </c>
      <c r="M3980" s="28" t="s">
        <v>21</v>
      </c>
      <c r="N3980" s="27">
        <v>39560</v>
      </c>
      <c r="O3980" s="92">
        <v>40556</v>
      </c>
      <c r="P3980" s="28" t="s">
        <v>21</v>
      </c>
      <c r="Q3980" s="26" t="b">
        <v>0</v>
      </c>
      <c r="R3980" s="22">
        <f t="shared" si="64"/>
        <v>1084</v>
      </c>
    </row>
    <row r="3981" spans="1:18">
      <c r="A3981" s="26">
        <v>9038</v>
      </c>
      <c r="B3981" s="27">
        <v>39470</v>
      </c>
      <c r="C3981" s="28" t="s">
        <v>12781</v>
      </c>
      <c r="D3981" s="27">
        <v>39466</v>
      </c>
      <c r="E3981" s="28" t="s">
        <v>12782</v>
      </c>
      <c r="F3981" s="28" t="s">
        <v>974</v>
      </c>
      <c r="G3981" s="28" t="s">
        <v>20</v>
      </c>
      <c r="H3981" s="28" t="s">
        <v>212</v>
      </c>
      <c r="I3981" s="28" t="s">
        <v>212</v>
      </c>
      <c r="J3981" s="28" t="s">
        <v>12783</v>
      </c>
      <c r="K3981" s="28" t="s">
        <v>12784</v>
      </c>
      <c r="L3981" s="28" t="s">
        <v>4282</v>
      </c>
      <c r="M3981" s="28" t="s">
        <v>21</v>
      </c>
      <c r="N3981" s="27">
        <v>39517</v>
      </c>
      <c r="O3981" s="92">
        <v>40407</v>
      </c>
      <c r="P3981" s="28" t="s">
        <v>31</v>
      </c>
      <c r="Q3981" s="26" t="b">
        <v>1</v>
      </c>
      <c r="R3981" s="22">
        <f t="shared" si="64"/>
        <v>936</v>
      </c>
    </row>
    <row r="3982" spans="1:18">
      <c r="A3982" s="26">
        <v>9062</v>
      </c>
      <c r="B3982" s="27">
        <v>39472</v>
      </c>
      <c r="C3982" s="28" t="s">
        <v>12785</v>
      </c>
      <c r="D3982" s="27">
        <v>39472</v>
      </c>
      <c r="E3982" s="28" t="s">
        <v>12786</v>
      </c>
      <c r="F3982" s="28" t="s">
        <v>3430</v>
      </c>
      <c r="G3982" s="28" t="s">
        <v>20</v>
      </c>
      <c r="H3982" s="28" t="s">
        <v>71</v>
      </c>
      <c r="I3982" s="28" t="s">
        <v>72</v>
      </c>
      <c r="J3982" s="28" t="s">
        <v>12787</v>
      </c>
      <c r="K3982" s="28" t="s">
        <v>7321</v>
      </c>
      <c r="L3982" s="28" t="s">
        <v>4579</v>
      </c>
      <c r="M3982" s="28" t="s">
        <v>21</v>
      </c>
      <c r="N3982" s="18"/>
      <c r="O3982" s="92">
        <v>39490</v>
      </c>
      <c r="P3982" s="28" t="s">
        <v>21</v>
      </c>
      <c r="Q3982" s="26" t="b">
        <v>0</v>
      </c>
      <c r="R3982" s="22">
        <f t="shared" si="64"/>
        <v>17</v>
      </c>
    </row>
    <row r="3983" spans="1:18">
      <c r="A3983" s="26">
        <v>9095</v>
      </c>
      <c r="B3983" s="27">
        <v>39477</v>
      </c>
      <c r="C3983" s="28" t="s">
        <v>12788</v>
      </c>
      <c r="D3983" s="27">
        <v>39470</v>
      </c>
      <c r="E3983" s="28" t="s">
        <v>12789</v>
      </c>
      <c r="F3983" s="28" t="s">
        <v>1771</v>
      </c>
      <c r="G3983" s="28" t="s">
        <v>20</v>
      </c>
      <c r="H3983" s="28" t="s">
        <v>189</v>
      </c>
      <c r="I3983" s="28" t="s">
        <v>189</v>
      </c>
      <c r="J3983" s="28" t="s">
        <v>12389</v>
      </c>
      <c r="K3983" s="28" t="s">
        <v>1712</v>
      </c>
      <c r="L3983" s="28" t="s">
        <v>7167</v>
      </c>
      <c r="M3983" s="28" t="s">
        <v>4282</v>
      </c>
      <c r="N3983" s="27">
        <v>39493</v>
      </c>
      <c r="O3983" s="92">
        <v>41015</v>
      </c>
      <c r="P3983" s="28" t="s">
        <v>31</v>
      </c>
      <c r="Q3983" s="26" t="b">
        <v>1</v>
      </c>
      <c r="R3983" s="22">
        <f t="shared" si="64"/>
        <v>1537</v>
      </c>
    </row>
    <row r="3984" spans="1:18">
      <c r="A3984" s="26">
        <v>9119</v>
      </c>
      <c r="B3984" s="27">
        <v>39478</v>
      </c>
      <c r="C3984" s="28" t="s">
        <v>12790</v>
      </c>
      <c r="D3984" s="27">
        <v>39475</v>
      </c>
      <c r="E3984" s="28" t="s">
        <v>12774</v>
      </c>
      <c r="F3984" s="28" t="s">
        <v>12791</v>
      </c>
      <c r="G3984" s="28" t="s">
        <v>20</v>
      </c>
      <c r="H3984" s="28" t="s">
        <v>71</v>
      </c>
      <c r="I3984" s="28" t="s">
        <v>72</v>
      </c>
      <c r="J3984" s="28" t="s">
        <v>12792</v>
      </c>
      <c r="K3984" s="28" t="s">
        <v>12793</v>
      </c>
      <c r="L3984" s="28" t="s">
        <v>7167</v>
      </c>
      <c r="M3984" s="28" t="s">
        <v>4282</v>
      </c>
      <c r="N3984" s="27">
        <v>39506</v>
      </c>
      <c r="O3984" s="92">
        <v>41043</v>
      </c>
      <c r="P3984" s="28" t="s">
        <v>31</v>
      </c>
      <c r="Q3984" s="26" t="b">
        <v>1</v>
      </c>
      <c r="R3984" s="22">
        <f t="shared" si="64"/>
        <v>1565</v>
      </c>
    </row>
    <row r="3985" spans="1:19">
      <c r="A3985" s="26">
        <v>9124</v>
      </c>
      <c r="B3985" s="27">
        <v>39479</v>
      </c>
      <c r="C3985" s="28" t="s">
        <v>12794</v>
      </c>
      <c r="D3985" s="27">
        <v>39473</v>
      </c>
      <c r="E3985" s="28" t="s">
        <v>12795</v>
      </c>
      <c r="F3985" s="28" t="s">
        <v>371</v>
      </c>
      <c r="G3985" s="28" t="s">
        <v>20</v>
      </c>
      <c r="H3985" s="28" t="s">
        <v>71</v>
      </c>
      <c r="I3985" s="28" t="s">
        <v>72</v>
      </c>
      <c r="J3985" s="28" t="s">
        <v>12796</v>
      </c>
      <c r="K3985" s="28" t="s">
        <v>12797</v>
      </c>
      <c r="L3985" s="28" t="s">
        <v>3588</v>
      </c>
      <c r="M3985" s="28" t="s">
        <v>1946</v>
      </c>
      <c r="N3985" s="27">
        <v>39508</v>
      </c>
      <c r="O3985" s="92">
        <v>39994</v>
      </c>
      <c r="P3985" s="28" t="s">
        <v>31</v>
      </c>
      <c r="Q3985" s="26" t="b">
        <v>1</v>
      </c>
      <c r="R3985" s="22">
        <f t="shared" si="64"/>
        <v>516</v>
      </c>
    </row>
    <row r="3986" spans="1:19">
      <c r="A3986" s="26">
        <v>9125</v>
      </c>
      <c r="B3986" s="27">
        <v>39479</v>
      </c>
      <c r="C3986" s="28" t="s">
        <v>12798</v>
      </c>
      <c r="D3986" s="27">
        <v>39473</v>
      </c>
      <c r="E3986" s="28" t="s">
        <v>12640</v>
      </c>
      <c r="F3986" s="28" t="s">
        <v>8615</v>
      </c>
      <c r="G3986" s="28" t="s">
        <v>20</v>
      </c>
      <c r="H3986" s="28" t="s">
        <v>71</v>
      </c>
      <c r="I3986" s="28" t="s">
        <v>72</v>
      </c>
      <c r="J3986" s="28" t="s">
        <v>12799</v>
      </c>
      <c r="K3986" s="28" t="s">
        <v>21</v>
      </c>
      <c r="L3986" s="28" t="s">
        <v>4579</v>
      </c>
      <c r="M3986" s="28" t="s">
        <v>21</v>
      </c>
      <c r="N3986" s="29">
        <v>39569</v>
      </c>
      <c r="O3986" s="92">
        <v>39549</v>
      </c>
      <c r="P3986" s="28" t="s">
        <v>31</v>
      </c>
      <c r="Q3986" s="26" t="b">
        <v>1</v>
      </c>
      <c r="R3986" s="22">
        <f t="shared" si="64"/>
        <v>70</v>
      </c>
    </row>
    <row r="3987" spans="1:19" ht="24">
      <c r="A3987" s="26">
        <v>9132</v>
      </c>
      <c r="B3987" s="27">
        <v>39486</v>
      </c>
      <c r="C3987" s="28" t="s">
        <v>12800</v>
      </c>
      <c r="D3987" s="27">
        <v>39476</v>
      </c>
      <c r="E3987" s="28" t="s">
        <v>12801</v>
      </c>
      <c r="F3987" s="28" t="s">
        <v>12802</v>
      </c>
      <c r="G3987" s="28" t="s">
        <v>20</v>
      </c>
      <c r="H3987" s="28" t="s">
        <v>71</v>
      </c>
      <c r="I3987" s="28" t="s">
        <v>72</v>
      </c>
      <c r="J3987" s="28" t="s">
        <v>5248</v>
      </c>
      <c r="K3987" s="28" t="s">
        <v>12803</v>
      </c>
      <c r="L3987" s="28" t="s">
        <v>1946</v>
      </c>
      <c r="M3987" s="28" t="s">
        <v>21</v>
      </c>
      <c r="N3987" s="27">
        <v>39515</v>
      </c>
      <c r="O3987" s="92">
        <v>39895</v>
      </c>
      <c r="P3987" s="28" t="s">
        <v>31</v>
      </c>
      <c r="Q3987" s="26" t="b">
        <v>1</v>
      </c>
      <c r="R3987" s="22">
        <f t="shared" si="64"/>
        <v>410</v>
      </c>
    </row>
    <row r="3988" spans="1:19">
      <c r="A3988" s="26">
        <v>9134</v>
      </c>
      <c r="B3988" s="27">
        <v>39490</v>
      </c>
      <c r="C3988" s="28" t="s">
        <v>12804</v>
      </c>
      <c r="D3988" s="27">
        <v>39484</v>
      </c>
      <c r="E3988" s="28" t="s">
        <v>12801</v>
      </c>
      <c r="F3988" s="28" t="s">
        <v>371</v>
      </c>
      <c r="G3988" s="28" t="s">
        <v>20</v>
      </c>
      <c r="H3988" s="28" t="s">
        <v>71</v>
      </c>
      <c r="I3988" s="28" t="s">
        <v>72</v>
      </c>
      <c r="J3988" s="28" t="s">
        <v>12805</v>
      </c>
      <c r="K3988" s="28" t="s">
        <v>21</v>
      </c>
      <c r="L3988" s="28" t="s">
        <v>3588</v>
      </c>
      <c r="M3988" s="28" t="s">
        <v>4282</v>
      </c>
      <c r="N3988" s="27">
        <v>39518</v>
      </c>
      <c r="O3988" s="92">
        <v>39994</v>
      </c>
      <c r="P3988" s="28" t="s">
        <v>31</v>
      </c>
      <c r="Q3988" s="26" t="b">
        <v>1</v>
      </c>
      <c r="R3988" s="22">
        <f t="shared" si="64"/>
        <v>504</v>
      </c>
    </row>
    <row r="3989" spans="1:19">
      <c r="A3989" s="26">
        <v>9135</v>
      </c>
      <c r="B3989" s="27">
        <v>39490</v>
      </c>
      <c r="C3989" s="28" t="s">
        <v>12806</v>
      </c>
      <c r="D3989" s="27">
        <v>39488</v>
      </c>
      <c r="E3989" s="28" t="s">
        <v>12807</v>
      </c>
      <c r="F3989" s="28" t="s">
        <v>6456</v>
      </c>
      <c r="G3989" s="28" t="s">
        <v>20</v>
      </c>
      <c r="H3989" s="28" t="s">
        <v>189</v>
      </c>
      <c r="I3989" s="28" t="s">
        <v>189</v>
      </c>
      <c r="J3989" s="28" t="s">
        <v>12808</v>
      </c>
      <c r="K3989" s="28" t="s">
        <v>12809</v>
      </c>
      <c r="L3989" s="28" t="s">
        <v>4579</v>
      </c>
      <c r="M3989" s="28" t="s">
        <v>21</v>
      </c>
      <c r="N3989" s="27">
        <v>39518</v>
      </c>
      <c r="O3989" s="92">
        <v>39499</v>
      </c>
      <c r="P3989" s="28" t="s">
        <v>31</v>
      </c>
      <c r="Q3989" s="26" t="b">
        <v>1</v>
      </c>
      <c r="R3989" s="22">
        <f t="shared" si="64"/>
        <v>9</v>
      </c>
    </row>
    <row r="3990" spans="1:19">
      <c r="A3990" s="26">
        <v>9136</v>
      </c>
      <c r="B3990" s="27">
        <v>39490</v>
      </c>
      <c r="C3990" s="28" t="s">
        <v>12810</v>
      </c>
      <c r="D3990" s="27">
        <v>39489</v>
      </c>
      <c r="E3990" s="28" t="s">
        <v>12811</v>
      </c>
      <c r="F3990" s="28" t="s">
        <v>104</v>
      </c>
      <c r="G3990" s="28" t="s">
        <v>20</v>
      </c>
      <c r="H3990" s="28" t="s">
        <v>71</v>
      </c>
      <c r="I3990" s="28" t="s">
        <v>72</v>
      </c>
      <c r="J3990" s="28" t="s">
        <v>12812</v>
      </c>
      <c r="K3990" s="28" t="s">
        <v>21</v>
      </c>
      <c r="L3990" s="28" t="s">
        <v>1946</v>
      </c>
      <c r="M3990" s="28" t="s">
        <v>21</v>
      </c>
      <c r="N3990" s="27">
        <v>39519</v>
      </c>
      <c r="O3990" s="92">
        <v>39624</v>
      </c>
      <c r="P3990" s="28" t="s">
        <v>31</v>
      </c>
      <c r="Q3990" s="26" t="b">
        <v>1</v>
      </c>
      <c r="R3990" s="22">
        <f t="shared" si="64"/>
        <v>134</v>
      </c>
    </row>
    <row r="3991" spans="1:19">
      <c r="A3991" s="26">
        <v>9139</v>
      </c>
      <c r="B3991" s="27">
        <v>39491</v>
      </c>
      <c r="C3991" s="28" t="s">
        <v>12813</v>
      </c>
      <c r="D3991" s="27">
        <v>39491</v>
      </c>
      <c r="E3991" s="28" t="s">
        <v>12814</v>
      </c>
      <c r="F3991" s="28" t="s">
        <v>52</v>
      </c>
      <c r="G3991" s="28" t="s">
        <v>20</v>
      </c>
      <c r="H3991" s="28" t="s">
        <v>71</v>
      </c>
      <c r="I3991" s="28" t="s">
        <v>72</v>
      </c>
      <c r="J3991" s="28" t="s">
        <v>12815</v>
      </c>
      <c r="K3991" s="28" t="s">
        <v>12816</v>
      </c>
      <c r="L3991" s="28" t="s">
        <v>4579</v>
      </c>
      <c r="M3991" s="28" t="s">
        <v>21</v>
      </c>
      <c r="N3991" s="29">
        <v>39520</v>
      </c>
      <c r="O3991" s="92">
        <v>39764</v>
      </c>
      <c r="P3991" s="28" t="s">
        <v>31</v>
      </c>
      <c r="Q3991" s="26" t="b">
        <v>1</v>
      </c>
      <c r="R3991" s="22">
        <f t="shared" si="64"/>
        <v>272</v>
      </c>
    </row>
    <row r="3992" spans="1:19">
      <c r="A3992" s="26">
        <v>9141</v>
      </c>
      <c r="B3992" s="27">
        <v>39493</v>
      </c>
      <c r="C3992" s="28" t="s">
        <v>12817</v>
      </c>
      <c r="D3992" s="27">
        <v>39490</v>
      </c>
      <c r="E3992" s="28" t="s">
        <v>12818</v>
      </c>
      <c r="F3992" s="28" t="s">
        <v>149</v>
      </c>
      <c r="G3992" s="28" t="s">
        <v>20</v>
      </c>
      <c r="H3992" s="28" t="s">
        <v>71</v>
      </c>
      <c r="I3992" s="28" t="s">
        <v>72</v>
      </c>
      <c r="J3992" s="28" t="s">
        <v>12819</v>
      </c>
      <c r="K3992" s="28" t="s">
        <v>12730</v>
      </c>
      <c r="L3992" s="28" t="s">
        <v>4579</v>
      </c>
      <c r="M3992" s="28" t="s">
        <v>21</v>
      </c>
      <c r="N3992" s="29">
        <v>39538</v>
      </c>
      <c r="O3992" s="94">
        <v>39556</v>
      </c>
      <c r="P3992" s="28" t="s">
        <v>31</v>
      </c>
      <c r="Q3992" s="26" t="b">
        <v>1</v>
      </c>
      <c r="R3992" s="22">
        <f t="shared" si="64"/>
        <v>63</v>
      </c>
    </row>
    <row r="3993" spans="1:19" ht="24">
      <c r="A3993" s="26">
        <v>9145</v>
      </c>
      <c r="B3993" s="27">
        <v>39499</v>
      </c>
      <c r="C3993" s="28" t="s">
        <v>12820</v>
      </c>
      <c r="D3993" s="27">
        <v>39496</v>
      </c>
      <c r="E3993" s="28" t="s">
        <v>12821</v>
      </c>
      <c r="F3993" s="28" t="s">
        <v>104</v>
      </c>
      <c r="G3993" s="28" t="s">
        <v>20</v>
      </c>
      <c r="H3993" s="28" t="s">
        <v>71</v>
      </c>
      <c r="I3993" s="28" t="s">
        <v>72</v>
      </c>
      <c r="J3993" s="28" t="s">
        <v>12822</v>
      </c>
      <c r="K3993" s="28" t="s">
        <v>12823</v>
      </c>
      <c r="L3993" s="28" t="s">
        <v>3588</v>
      </c>
      <c r="M3993" s="28" t="s">
        <v>4579</v>
      </c>
      <c r="N3993" s="27">
        <v>39543</v>
      </c>
      <c r="O3993" s="92">
        <v>40239</v>
      </c>
      <c r="P3993" s="28" t="s">
        <v>31</v>
      </c>
      <c r="Q3993" s="26" t="b">
        <v>1</v>
      </c>
      <c r="R3993" s="22">
        <f t="shared" ref="R3993:R4056" si="65">IF(O3993=" ", " ", INT(YEARFRAC(O3993, B3993)*365))</f>
        <v>741</v>
      </c>
    </row>
    <row r="3994" spans="1:19">
      <c r="A3994" s="26">
        <v>9146</v>
      </c>
      <c r="B3994" s="27">
        <v>39499</v>
      </c>
      <c r="C3994" s="28" t="s">
        <v>12824</v>
      </c>
      <c r="D3994" s="27">
        <v>39499</v>
      </c>
      <c r="E3994" s="28" t="s">
        <v>11030</v>
      </c>
      <c r="F3994" s="28" t="s">
        <v>52</v>
      </c>
      <c r="G3994" s="28" t="s">
        <v>20</v>
      </c>
      <c r="H3994" s="28" t="s">
        <v>71</v>
      </c>
      <c r="I3994" s="28" t="s">
        <v>72</v>
      </c>
      <c r="J3994" s="28" t="s">
        <v>12578</v>
      </c>
      <c r="K3994" s="28" t="s">
        <v>12825</v>
      </c>
      <c r="L3994" s="28" t="s">
        <v>4282</v>
      </c>
      <c r="M3994" s="28" t="s">
        <v>21</v>
      </c>
      <c r="N3994" s="18"/>
      <c r="O3994" s="92">
        <v>39772</v>
      </c>
      <c r="P3994" s="28" t="s">
        <v>31</v>
      </c>
      <c r="Q3994" s="26" t="b">
        <v>1</v>
      </c>
      <c r="R3994" s="22">
        <f t="shared" si="65"/>
        <v>272</v>
      </c>
    </row>
    <row r="3995" spans="1:19">
      <c r="A3995" s="26">
        <v>9148</v>
      </c>
      <c r="B3995" s="27">
        <v>39503</v>
      </c>
      <c r="C3995" s="28" t="s">
        <v>12826</v>
      </c>
      <c r="D3995" s="27">
        <v>39499</v>
      </c>
      <c r="E3995" s="28" t="s">
        <v>12827</v>
      </c>
      <c r="F3995" s="28" t="s">
        <v>6456</v>
      </c>
      <c r="G3995" s="28" t="s">
        <v>20</v>
      </c>
      <c r="H3995" s="28" t="s">
        <v>189</v>
      </c>
      <c r="I3995" s="28" t="s">
        <v>189</v>
      </c>
      <c r="J3995" s="28" t="s">
        <v>12828</v>
      </c>
      <c r="K3995" s="28" t="s">
        <v>12829</v>
      </c>
      <c r="L3995" s="28" t="s">
        <v>3588</v>
      </c>
      <c r="M3995" s="28" t="s">
        <v>21</v>
      </c>
      <c r="N3995" s="27">
        <v>39548</v>
      </c>
      <c r="O3995" s="92">
        <v>39542</v>
      </c>
      <c r="P3995" s="28" t="s">
        <v>31</v>
      </c>
      <c r="Q3995" s="26" t="b">
        <v>1</v>
      </c>
      <c r="R3995" s="22">
        <f t="shared" si="65"/>
        <v>39</v>
      </c>
    </row>
    <row r="3996" spans="1:19" ht="24">
      <c r="A3996" s="26">
        <v>9149</v>
      </c>
      <c r="B3996" s="27">
        <v>39503</v>
      </c>
      <c r="C3996" s="28" t="s">
        <v>12830</v>
      </c>
      <c r="D3996" s="27">
        <v>39498</v>
      </c>
      <c r="E3996" s="28" t="s">
        <v>12831</v>
      </c>
      <c r="F3996" s="28" t="s">
        <v>12832</v>
      </c>
      <c r="G3996" s="28" t="s">
        <v>20</v>
      </c>
      <c r="H3996" s="28" t="s">
        <v>71</v>
      </c>
      <c r="I3996" s="28" t="s">
        <v>72</v>
      </c>
      <c r="J3996" s="28" t="s">
        <v>12833</v>
      </c>
      <c r="K3996" s="28" t="s">
        <v>12834</v>
      </c>
      <c r="L3996" s="28" t="s">
        <v>3588</v>
      </c>
      <c r="M3996" s="28" t="s">
        <v>21</v>
      </c>
      <c r="N3996" s="27">
        <v>39593</v>
      </c>
      <c r="O3996" s="92">
        <v>39507</v>
      </c>
      <c r="P3996" s="28" t="s">
        <v>21</v>
      </c>
      <c r="Q3996" s="26" t="b">
        <v>0</v>
      </c>
      <c r="R3996" s="22">
        <f t="shared" si="65"/>
        <v>4</v>
      </c>
    </row>
    <row r="3997" spans="1:19">
      <c r="A3997" s="26">
        <v>9157</v>
      </c>
      <c r="B3997" s="27">
        <v>39505</v>
      </c>
      <c r="C3997" s="28" t="s">
        <v>12835</v>
      </c>
      <c r="D3997" s="27">
        <v>39503</v>
      </c>
      <c r="E3997" s="28" t="s">
        <v>12836</v>
      </c>
      <c r="F3997" s="28" t="s">
        <v>3579</v>
      </c>
      <c r="G3997" s="28" t="s">
        <v>20</v>
      </c>
      <c r="H3997" s="28" t="s">
        <v>71</v>
      </c>
      <c r="I3997" s="28" t="s">
        <v>72</v>
      </c>
      <c r="J3997" s="28" t="s">
        <v>12837</v>
      </c>
      <c r="K3997" s="28" t="s">
        <v>12838</v>
      </c>
      <c r="L3997" s="28" t="s">
        <v>4579</v>
      </c>
      <c r="M3997" s="28" t="s">
        <v>21</v>
      </c>
      <c r="N3997" s="27">
        <v>39550</v>
      </c>
      <c r="O3997" s="92">
        <v>39542</v>
      </c>
      <c r="P3997" s="28" t="s">
        <v>21</v>
      </c>
      <c r="Q3997" s="26" t="b">
        <v>0</v>
      </c>
      <c r="R3997" s="22">
        <f t="shared" si="65"/>
        <v>37</v>
      </c>
    </row>
    <row r="3998" spans="1:19">
      <c r="A3998" s="26">
        <v>9159</v>
      </c>
      <c r="B3998" s="27">
        <v>39506</v>
      </c>
      <c r="C3998" s="28" t="s">
        <v>12839</v>
      </c>
      <c r="D3998" s="27">
        <v>39504</v>
      </c>
      <c r="E3998" s="28" t="s">
        <v>12840</v>
      </c>
      <c r="F3998" s="28" t="s">
        <v>70</v>
      </c>
      <c r="G3998" s="28" t="s">
        <v>20</v>
      </c>
      <c r="H3998" s="28" t="s">
        <v>71</v>
      </c>
      <c r="I3998" s="28" t="s">
        <v>72</v>
      </c>
      <c r="J3998" s="28" t="s">
        <v>12841</v>
      </c>
      <c r="K3998" s="28" t="s">
        <v>21</v>
      </c>
      <c r="L3998" s="28" t="s">
        <v>4579</v>
      </c>
      <c r="M3998" s="28" t="s">
        <v>21</v>
      </c>
      <c r="N3998" s="27">
        <v>39550</v>
      </c>
      <c r="O3998" s="92">
        <v>39738</v>
      </c>
      <c r="P3998" s="28" t="s">
        <v>31</v>
      </c>
      <c r="Q3998" s="26" t="b">
        <v>1</v>
      </c>
      <c r="R3998" s="22">
        <f t="shared" si="65"/>
        <v>232</v>
      </c>
    </row>
    <row r="3999" spans="1:19">
      <c r="A3999" s="26">
        <v>9160</v>
      </c>
      <c r="B3999" s="27">
        <v>39514</v>
      </c>
      <c r="C3999" s="28" t="s">
        <v>12842</v>
      </c>
      <c r="D3999" s="27">
        <v>39506</v>
      </c>
      <c r="E3999" s="28" t="s">
        <v>11921</v>
      </c>
      <c r="F3999" s="28" t="s">
        <v>6277</v>
      </c>
      <c r="G3999" s="28" t="s">
        <v>20</v>
      </c>
      <c r="H3999" s="28" t="s">
        <v>212</v>
      </c>
      <c r="I3999" s="28" t="s">
        <v>212</v>
      </c>
      <c r="J3999" s="28" t="s">
        <v>12843</v>
      </c>
      <c r="K3999" s="28" t="s">
        <v>12844</v>
      </c>
      <c r="L3999" s="28" t="s">
        <v>4282</v>
      </c>
      <c r="M3999" s="28" t="s">
        <v>21</v>
      </c>
      <c r="N3999" s="18"/>
      <c r="O3999" s="92">
        <v>39772</v>
      </c>
      <c r="P3999" s="28" t="s">
        <v>21</v>
      </c>
      <c r="Q3999" s="26" t="b">
        <v>0</v>
      </c>
      <c r="R3999" s="22">
        <f t="shared" si="65"/>
        <v>256</v>
      </c>
    </row>
    <row r="4000" spans="1:19" ht="24">
      <c r="A4000" s="26">
        <v>9163</v>
      </c>
      <c r="B4000" s="27">
        <v>39514</v>
      </c>
      <c r="C4000" s="28" t="s">
        <v>19086</v>
      </c>
      <c r="D4000" s="27">
        <v>39512</v>
      </c>
      <c r="E4000" s="28" t="s">
        <v>1432</v>
      </c>
      <c r="F4000" s="28" t="s">
        <v>3171</v>
      </c>
      <c r="G4000" s="28" t="s">
        <v>20</v>
      </c>
      <c r="H4000" s="28" t="s">
        <v>566</v>
      </c>
      <c r="I4000" s="28" t="s">
        <v>566</v>
      </c>
      <c r="J4000" s="28" t="s">
        <v>12845</v>
      </c>
      <c r="K4000" s="28" t="s">
        <v>12846</v>
      </c>
      <c r="L4000" s="28" t="s">
        <v>7167</v>
      </c>
      <c r="M4000" s="28" t="s">
        <v>12847</v>
      </c>
      <c r="N4000" s="18"/>
      <c r="O4000" s="92">
        <v>42779</v>
      </c>
      <c r="P4000" s="28" t="s">
        <v>21</v>
      </c>
      <c r="Q4000" s="26" t="b">
        <v>0</v>
      </c>
      <c r="R4000" s="22">
        <f t="shared" si="65"/>
        <v>3260</v>
      </c>
      <c r="S4000" s="37" t="s">
        <v>21</v>
      </c>
    </row>
    <row r="4001" spans="1:18">
      <c r="A4001" s="26">
        <v>9169</v>
      </c>
      <c r="B4001" s="27">
        <v>39518</v>
      </c>
      <c r="C4001" s="28" t="s">
        <v>12848</v>
      </c>
      <c r="D4001" s="27">
        <v>38806</v>
      </c>
      <c r="E4001" s="28" t="s">
        <v>12849</v>
      </c>
      <c r="F4001" s="28" t="s">
        <v>11069</v>
      </c>
      <c r="G4001" s="28" t="s">
        <v>20</v>
      </c>
      <c r="H4001" s="28" t="s">
        <v>71</v>
      </c>
      <c r="I4001" s="28" t="s">
        <v>72</v>
      </c>
      <c r="J4001" s="28" t="s">
        <v>11685</v>
      </c>
      <c r="K4001" s="28" t="s">
        <v>4690</v>
      </c>
      <c r="L4001" s="28" t="s">
        <v>4579</v>
      </c>
      <c r="M4001" s="28" t="s">
        <v>21</v>
      </c>
      <c r="N4001" s="27">
        <v>39563</v>
      </c>
      <c r="O4001" s="92">
        <v>39519</v>
      </c>
      <c r="P4001" s="28" t="s">
        <v>21</v>
      </c>
      <c r="Q4001" s="26" t="b">
        <v>0</v>
      </c>
      <c r="R4001" s="22">
        <f t="shared" si="65"/>
        <v>1</v>
      </c>
    </row>
    <row r="4002" spans="1:18" ht="24">
      <c r="A4002" s="26">
        <v>9170</v>
      </c>
      <c r="B4002" s="27">
        <v>39518</v>
      </c>
      <c r="C4002" s="28" t="s">
        <v>12850</v>
      </c>
      <c r="D4002" s="27">
        <v>39496</v>
      </c>
      <c r="E4002" s="28" t="s">
        <v>12851</v>
      </c>
      <c r="F4002" s="28" t="s">
        <v>104</v>
      </c>
      <c r="G4002" s="28" t="s">
        <v>20</v>
      </c>
      <c r="H4002" s="28" t="s">
        <v>71</v>
      </c>
      <c r="I4002" s="28" t="s">
        <v>72</v>
      </c>
      <c r="J4002" s="28" t="s">
        <v>12852</v>
      </c>
      <c r="K4002" s="28" t="s">
        <v>21</v>
      </c>
      <c r="L4002" s="28" t="s">
        <v>3588</v>
      </c>
      <c r="M4002" s="28" t="s">
        <v>4579</v>
      </c>
      <c r="N4002" s="27">
        <v>39563</v>
      </c>
      <c r="O4002" s="92">
        <v>40239</v>
      </c>
      <c r="P4002" s="28" t="s">
        <v>31</v>
      </c>
      <c r="Q4002" s="26" t="b">
        <v>1</v>
      </c>
      <c r="R4002" s="22">
        <f t="shared" si="65"/>
        <v>720</v>
      </c>
    </row>
    <row r="4003" spans="1:18">
      <c r="A4003" s="26">
        <v>9171</v>
      </c>
      <c r="B4003" s="27">
        <v>39518</v>
      </c>
      <c r="C4003" s="28" t="s">
        <v>12853</v>
      </c>
      <c r="D4003" s="27">
        <v>39496</v>
      </c>
      <c r="E4003" s="28" t="s">
        <v>12854</v>
      </c>
      <c r="F4003" s="28" t="s">
        <v>104</v>
      </c>
      <c r="G4003" s="28" t="s">
        <v>20</v>
      </c>
      <c r="H4003" s="28" t="s">
        <v>71</v>
      </c>
      <c r="I4003" s="28" t="s">
        <v>72</v>
      </c>
      <c r="J4003" s="28" t="s">
        <v>12855</v>
      </c>
      <c r="K4003" s="28" t="s">
        <v>21</v>
      </c>
      <c r="L4003" s="28" t="s">
        <v>3588</v>
      </c>
      <c r="M4003" s="28" t="s">
        <v>4579</v>
      </c>
      <c r="N4003" s="27">
        <v>39563</v>
      </c>
      <c r="O4003" s="92">
        <v>40239</v>
      </c>
      <c r="P4003" s="28" t="s">
        <v>31</v>
      </c>
      <c r="Q4003" s="26" t="b">
        <v>1</v>
      </c>
      <c r="R4003" s="22">
        <f t="shared" si="65"/>
        <v>720</v>
      </c>
    </row>
    <row r="4004" spans="1:18">
      <c r="A4004" s="26">
        <v>9172</v>
      </c>
      <c r="B4004" s="27">
        <v>39518</v>
      </c>
      <c r="C4004" s="28" t="s">
        <v>12856</v>
      </c>
      <c r="D4004" s="27">
        <v>37525</v>
      </c>
      <c r="E4004" s="28" t="s">
        <v>12857</v>
      </c>
      <c r="F4004" s="28" t="s">
        <v>4596</v>
      </c>
      <c r="G4004" s="28" t="s">
        <v>20</v>
      </c>
      <c r="H4004" s="28" t="s">
        <v>71</v>
      </c>
      <c r="I4004" s="28" t="s">
        <v>72</v>
      </c>
      <c r="J4004" s="28" t="s">
        <v>7292</v>
      </c>
      <c r="K4004" s="28" t="s">
        <v>7293</v>
      </c>
      <c r="L4004" s="28" t="s">
        <v>3588</v>
      </c>
      <c r="M4004" s="28" t="s">
        <v>21</v>
      </c>
      <c r="N4004" s="27">
        <v>39563</v>
      </c>
      <c r="O4004" s="92">
        <v>39548</v>
      </c>
      <c r="P4004" s="28" t="s">
        <v>31</v>
      </c>
      <c r="Q4004" s="26" t="b">
        <v>1</v>
      </c>
      <c r="R4004" s="22">
        <f t="shared" si="65"/>
        <v>29</v>
      </c>
    </row>
    <row r="4005" spans="1:18">
      <c r="A4005" s="26">
        <v>9173</v>
      </c>
      <c r="B4005" s="27">
        <v>39520</v>
      </c>
      <c r="C4005" s="28" t="s">
        <v>12858</v>
      </c>
      <c r="D4005" s="27">
        <v>39518</v>
      </c>
      <c r="E4005" s="28" t="s">
        <v>12859</v>
      </c>
      <c r="F4005" s="28" t="s">
        <v>984</v>
      </c>
      <c r="G4005" s="28" t="s">
        <v>20</v>
      </c>
      <c r="H4005" s="28" t="s">
        <v>71</v>
      </c>
      <c r="I4005" s="28" t="s">
        <v>72</v>
      </c>
      <c r="J4005" s="28" t="s">
        <v>12860</v>
      </c>
      <c r="K4005" s="28" t="s">
        <v>6081</v>
      </c>
      <c r="L4005" s="28" t="s">
        <v>4579</v>
      </c>
      <c r="M4005" s="28" t="s">
        <v>21</v>
      </c>
      <c r="N4005" s="27">
        <v>39551</v>
      </c>
      <c r="O4005" s="92">
        <v>39540</v>
      </c>
      <c r="P4005" s="28" t="s">
        <v>21</v>
      </c>
      <c r="Q4005" s="26" t="b">
        <v>1</v>
      </c>
      <c r="R4005" s="22">
        <f t="shared" si="65"/>
        <v>19</v>
      </c>
    </row>
    <row r="4006" spans="1:18" ht="24">
      <c r="A4006" s="26">
        <v>9174</v>
      </c>
      <c r="B4006" s="27">
        <v>39524</v>
      </c>
      <c r="C4006" s="28" t="s">
        <v>12861</v>
      </c>
      <c r="D4006" s="27">
        <v>39521</v>
      </c>
      <c r="E4006" s="28" t="s">
        <v>12643</v>
      </c>
      <c r="F4006" s="28" t="s">
        <v>3430</v>
      </c>
      <c r="G4006" s="28" t="s">
        <v>20</v>
      </c>
      <c r="H4006" s="28" t="s">
        <v>71</v>
      </c>
      <c r="I4006" s="28" t="s">
        <v>72</v>
      </c>
      <c r="J4006" s="28" t="s">
        <v>12862</v>
      </c>
      <c r="K4006" s="28" t="s">
        <v>8828</v>
      </c>
      <c r="L4006" s="28" t="s">
        <v>4579</v>
      </c>
      <c r="M4006" s="28" t="s">
        <v>21</v>
      </c>
      <c r="N4006" s="27">
        <v>39568</v>
      </c>
      <c r="O4006" s="92">
        <v>39552</v>
      </c>
      <c r="P4006" s="28" t="s">
        <v>21</v>
      </c>
      <c r="Q4006" s="26" t="b">
        <v>0</v>
      </c>
      <c r="R4006" s="22">
        <f t="shared" si="65"/>
        <v>27</v>
      </c>
    </row>
    <row r="4007" spans="1:18">
      <c r="A4007" s="26">
        <v>9175</v>
      </c>
      <c r="B4007" s="27">
        <v>39524</v>
      </c>
      <c r="C4007" s="28" t="s">
        <v>12863</v>
      </c>
      <c r="D4007" s="27">
        <v>39490</v>
      </c>
      <c r="E4007" s="28" t="s">
        <v>12864</v>
      </c>
      <c r="F4007" s="28" t="s">
        <v>149</v>
      </c>
      <c r="G4007" s="28" t="s">
        <v>20</v>
      </c>
      <c r="H4007" s="28" t="s">
        <v>71</v>
      </c>
      <c r="I4007" s="28" t="s">
        <v>72</v>
      </c>
      <c r="J4007" s="28" t="s">
        <v>12865</v>
      </c>
      <c r="K4007" s="28" t="s">
        <v>6081</v>
      </c>
      <c r="L4007" s="28" t="s">
        <v>4282</v>
      </c>
      <c r="M4007" s="28" t="s">
        <v>21</v>
      </c>
      <c r="N4007" s="27">
        <v>39555</v>
      </c>
      <c r="O4007" s="92">
        <v>39540</v>
      </c>
      <c r="P4007" s="28" t="s">
        <v>31</v>
      </c>
      <c r="Q4007" s="26" t="b">
        <v>1</v>
      </c>
      <c r="R4007" s="22">
        <f t="shared" si="65"/>
        <v>15</v>
      </c>
    </row>
    <row r="4008" spans="1:18">
      <c r="A4008" s="26">
        <v>9176</v>
      </c>
      <c r="B4008" s="27">
        <v>39524</v>
      </c>
      <c r="C4008" s="28" t="s">
        <v>12866</v>
      </c>
      <c r="D4008" s="27">
        <v>39495</v>
      </c>
      <c r="E4008" s="28" t="s">
        <v>12867</v>
      </c>
      <c r="F4008" s="28" t="s">
        <v>2597</v>
      </c>
      <c r="G4008" s="28" t="s">
        <v>20</v>
      </c>
      <c r="H4008" s="28" t="s">
        <v>71</v>
      </c>
      <c r="I4008" s="28" t="s">
        <v>72</v>
      </c>
      <c r="J4008" s="28" t="s">
        <v>12868</v>
      </c>
      <c r="K4008" s="28" t="s">
        <v>6081</v>
      </c>
      <c r="L4008" s="28" t="s">
        <v>4282</v>
      </c>
      <c r="M4008" s="28" t="s">
        <v>21</v>
      </c>
      <c r="N4008" s="27">
        <v>39555</v>
      </c>
      <c r="O4008" s="92">
        <v>39540</v>
      </c>
      <c r="P4008" s="28" t="s">
        <v>31</v>
      </c>
      <c r="Q4008" s="26" t="b">
        <v>1</v>
      </c>
      <c r="R4008" s="22">
        <f t="shared" si="65"/>
        <v>15</v>
      </c>
    </row>
    <row r="4009" spans="1:18">
      <c r="A4009" s="26">
        <v>9177</v>
      </c>
      <c r="B4009" s="27">
        <v>39534</v>
      </c>
      <c r="C4009" s="28" t="s">
        <v>12869</v>
      </c>
      <c r="D4009" s="27">
        <v>39521</v>
      </c>
      <c r="E4009" s="28" t="s">
        <v>12870</v>
      </c>
      <c r="F4009" s="28" t="s">
        <v>124</v>
      </c>
      <c r="G4009" s="28" t="s">
        <v>20</v>
      </c>
      <c r="H4009" s="28" t="s">
        <v>71</v>
      </c>
      <c r="I4009" s="28" t="s">
        <v>72</v>
      </c>
      <c r="J4009" s="28" t="s">
        <v>12871</v>
      </c>
      <c r="K4009" s="28" t="s">
        <v>21</v>
      </c>
      <c r="L4009" s="28" t="s">
        <v>4579</v>
      </c>
      <c r="M4009" s="28" t="s">
        <v>21</v>
      </c>
      <c r="N4009" s="27">
        <v>39623</v>
      </c>
      <c r="O4009" s="92">
        <v>40623</v>
      </c>
      <c r="P4009" s="28" t="s">
        <v>21</v>
      </c>
      <c r="Q4009" s="26" t="b">
        <v>0</v>
      </c>
      <c r="R4009" s="22">
        <f t="shared" si="65"/>
        <v>1088</v>
      </c>
    </row>
    <row r="4010" spans="1:18">
      <c r="A4010" s="26">
        <v>9178</v>
      </c>
      <c r="B4010" s="27">
        <v>39534</v>
      </c>
      <c r="C4010" s="28" t="s">
        <v>12872</v>
      </c>
      <c r="D4010" s="27">
        <v>39532</v>
      </c>
      <c r="E4010" s="28" t="s">
        <v>12873</v>
      </c>
      <c r="F4010" s="28" t="s">
        <v>327</v>
      </c>
      <c r="G4010" s="28" t="s">
        <v>20</v>
      </c>
      <c r="H4010" s="28" t="s">
        <v>212</v>
      </c>
      <c r="I4010" s="28" t="s">
        <v>212</v>
      </c>
      <c r="J4010" s="28" t="s">
        <v>1817</v>
      </c>
      <c r="K4010" s="28" t="s">
        <v>12874</v>
      </c>
      <c r="L4010" s="28" t="s">
        <v>4282</v>
      </c>
      <c r="M4010" s="28" t="s">
        <v>21</v>
      </c>
      <c r="N4010" s="27">
        <v>39577</v>
      </c>
      <c r="O4010" s="92">
        <v>39583</v>
      </c>
      <c r="P4010" s="28" t="s">
        <v>31</v>
      </c>
      <c r="Q4010" s="26" t="b">
        <v>1</v>
      </c>
      <c r="R4010" s="22">
        <f t="shared" si="65"/>
        <v>48</v>
      </c>
    </row>
    <row r="4011" spans="1:18">
      <c r="A4011" s="26">
        <v>9179</v>
      </c>
      <c r="B4011" s="27">
        <v>39538</v>
      </c>
      <c r="C4011" s="28" t="s">
        <v>12875</v>
      </c>
      <c r="D4011" s="27">
        <v>39532</v>
      </c>
      <c r="E4011" s="28" t="s">
        <v>12876</v>
      </c>
      <c r="F4011" s="28" t="s">
        <v>545</v>
      </c>
      <c r="G4011" s="28" t="s">
        <v>20</v>
      </c>
      <c r="H4011" s="28" t="s">
        <v>71</v>
      </c>
      <c r="I4011" s="28" t="s">
        <v>72</v>
      </c>
      <c r="J4011" s="28" t="s">
        <v>12877</v>
      </c>
      <c r="K4011" s="28" t="s">
        <v>12878</v>
      </c>
      <c r="L4011" s="28" t="s">
        <v>3588</v>
      </c>
      <c r="M4011" s="28" t="s">
        <v>1946</v>
      </c>
      <c r="N4011" s="29">
        <v>39582</v>
      </c>
      <c r="O4011" s="92">
        <v>41087</v>
      </c>
      <c r="P4011" s="28" t="s">
        <v>31</v>
      </c>
      <c r="Q4011" s="26" t="b">
        <v>1</v>
      </c>
      <c r="R4011" s="22">
        <f t="shared" si="65"/>
        <v>1548</v>
      </c>
    </row>
    <row r="4012" spans="1:18">
      <c r="A4012" s="26">
        <v>9180</v>
      </c>
      <c r="B4012" s="27">
        <v>39542</v>
      </c>
      <c r="C4012" s="28" t="s">
        <v>12879</v>
      </c>
      <c r="D4012" s="27">
        <v>39536</v>
      </c>
      <c r="E4012" s="28" t="s">
        <v>12880</v>
      </c>
      <c r="F4012" s="28" t="s">
        <v>12881</v>
      </c>
      <c r="G4012" s="28" t="s">
        <v>20</v>
      </c>
      <c r="H4012" s="28" t="s">
        <v>71</v>
      </c>
      <c r="I4012" s="28" t="s">
        <v>72</v>
      </c>
      <c r="J4012" s="28" t="s">
        <v>12882</v>
      </c>
      <c r="K4012" s="28" t="s">
        <v>6081</v>
      </c>
      <c r="L4012" s="28" t="s">
        <v>4579</v>
      </c>
      <c r="M4012" s="28" t="s">
        <v>21</v>
      </c>
      <c r="N4012" s="27">
        <v>39572</v>
      </c>
      <c r="O4012" s="92">
        <v>39588</v>
      </c>
      <c r="P4012" s="28" t="s">
        <v>31</v>
      </c>
      <c r="Q4012" s="26" t="b">
        <v>1</v>
      </c>
      <c r="R4012" s="22">
        <f t="shared" si="65"/>
        <v>46</v>
      </c>
    </row>
    <row r="4013" spans="1:18">
      <c r="A4013" s="26">
        <v>9182</v>
      </c>
      <c r="B4013" s="27">
        <v>39545</v>
      </c>
      <c r="C4013" s="28" t="s">
        <v>12883</v>
      </c>
      <c r="D4013" s="27">
        <v>39542</v>
      </c>
      <c r="E4013" s="28" t="s">
        <v>12884</v>
      </c>
      <c r="F4013" s="28" t="s">
        <v>104</v>
      </c>
      <c r="G4013" s="28" t="s">
        <v>20</v>
      </c>
      <c r="H4013" s="28" t="s">
        <v>71</v>
      </c>
      <c r="I4013" s="28" t="s">
        <v>72</v>
      </c>
      <c r="J4013" s="28" t="s">
        <v>12885</v>
      </c>
      <c r="K4013" s="28" t="s">
        <v>21</v>
      </c>
      <c r="L4013" s="28" t="s">
        <v>4282</v>
      </c>
      <c r="M4013" s="28" t="s">
        <v>21</v>
      </c>
      <c r="N4013" s="29">
        <v>39575</v>
      </c>
      <c r="O4013" s="92">
        <v>39623</v>
      </c>
      <c r="P4013" s="28" t="s">
        <v>31</v>
      </c>
      <c r="Q4013" s="26" t="b">
        <v>1</v>
      </c>
      <c r="R4013" s="22">
        <f t="shared" si="65"/>
        <v>78</v>
      </c>
    </row>
    <row r="4014" spans="1:18">
      <c r="A4014" s="26">
        <v>9183</v>
      </c>
      <c r="B4014" s="27">
        <v>39549</v>
      </c>
      <c r="C4014" s="28" t="s">
        <v>12886</v>
      </c>
      <c r="D4014" s="27">
        <v>39548</v>
      </c>
      <c r="E4014" s="28" t="s">
        <v>12887</v>
      </c>
      <c r="F4014" s="28" t="s">
        <v>52</v>
      </c>
      <c r="G4014" s="28" t="s">
        <v>20</v>
      </c>
      <c r="H4014" s="28" t="s">
        <v>71</v>
      </c>
      <c r="I4014" s="28" t="s">
        <v>72</v>
      </c>
      <c r="J4014" s="28" t="s">
        <v>12888</v>
      </c>
      <c r="K4014" s="28" t="s">
        <v>12889</v>
      </c>
      <c r="L4014" s="28" t="s">
        <v>3588</v>
      </c>
      <c r="M4014" s="28" t="s">
        <v>21</v>
      </c>
      <c r="N4014" s="27">
        <v>39579</v>
      </c>
      <c r="O4014" s="92">
        <v>39576</v>
      </c>
      <c r="P4014" s="28" t="s">
        <v>31</v>
      </c>
      <c r="Q4014" s="26" t="b">
        <v>1</v>
      </c>
      <c r="R4014" s="22">
        <f t="shared" si="65"/>
        <v>27</v>
      </c>
    </row>
    <row r="4015" spans="1:18">
      <c r="A4015" s="26">
        <v>9185</v>
      </c>
      <c r="B4015" s="27">
        <v>39553</v>
      </c>
      <c r="C4015" s="28" t="s">
        <v>12890</v>
      </c>
      <c r="D4015" s="27">
        <v>39548</v>
      </c>
      <c r="E4015" s="28" t="s">
        <v>12891</v>
      </c>
      <c r="F4015" s="28" t="s">
        <v>12892</v>
      </c>
      <c r="G4015" s="28" t="s">
        <v>20</v>
      </c>
      <c r="H4015" s="28" t="s">
        <v>71</v>
      </c>
      <c r="I4015" s="28" t="s">
        <v>72</v>
      </c>
      <c r="J4015" s="28" t="s">
        <v>12893</v>
      </c>
      <c r="K4015" s="28" t="s">
        <v>12894</v>
      </c>
      <c r="L4015" s="28" t="s">
        <v>3588</v>
      </c>
      <c r="M4015" s="28" t="s">
        <v>21</v>
      </c>
      <c r="N4015" s="27">
        <v>39643</v>
      </c>
      <c r="O4015" s="92">
        <v>39583</v>
      </c>
      <c r="P4015" s="28" t="s">
        <v>31</v>
      </c>
      <c r="Q4015" s="26" t="b">
        <v>1</v>
      </c>
      <c r="R4015" s="22">
        <f t="shared" si="65"/>
        <v>30</v>
      </c>
    </row>
    <row r="4016" spans="1:18">
      <c r="A4016" s="26">
        <v>9187</v>
      </c>
      <c r="B4016" s="27">
        <v>39553</v>
      </c>
      <c r="C4016" s="28" t="s">
        <v>12895</v>
      </c>
      <c r="D4016" s="27">
        <v>38791</v>
      </c>
      <c r="E4016" s="28" t="s">
        <v>12896</v>
      </c>
      <c r="F4016" s="28" t="s">
        <v>56</v>
      </c>
      <c r="G4016" s="28" t="s">
        <v>20</v>
      </c>
      <c r="H4016" s="28" t="s">
        <v>71</v>
      </c>
      <c r="I4016" s="28" t="s">
        <v>72</v>
      </c>
      <c r="J4016" s="28" t="s">
        <v>12897</v>
      </c>
      <c r="K4016" s="28" t="s">
        <v>12365</v>
      </c>
      <c r="L4016" s="28" t="s">
        <v>3588</v>
      </c>
      <c r="M4016" s="28" t="s">
        <v>21</v>
      </c>
      <c r="N4016" s="27">
        <v>39583</v>
      </c>
      <c r="O4016" s="92">
        <v>39561</v>
      </c>
      <c r="P4016" s="28" t="s">
        <v>31</v>
      </c>
      <c r="Q4016" s="26" t="b">
        <v>1</v>
      </c>
      <c r="R4016" s="22">
        <f t="shared" si="65"/>
        <v>8</v>
      </c>
    </row>
    <row r="4017" spans="1:18">
      <c r="A4017" s="26">
        <v>9188</v>
      </c>
      <c r="B4017" s="27">
        <v>39554</v>
      </c>
      <c r="C4017" s="28" t="s">
        <v>12898</v>
      </c>
      <c r="D4017" s="27">
        <v>39456</v>
      </c>
      <c r="E4017" s="28" t="s">
        <v>12899</v>
      </c>
      <c r="F4017" s="28" t="s">
        <v>6191</v>
      </c>
      <c r="G4017" s="28" t="s">
        <v>20</v>
      </c>
      <c r="H4017" s="28" t="s">
        <v>189</v>
      </c>
      <c r="I4017" s="28" t="s">
        <v>189</v>
      </c>
      <c r="J4017" s="28" t="s">
        <v>12900</v>
      </c>
      <c r="K4017" s="28" t="s">
        <v>21</v>
      </c>
      <c r="L4017" s="28" t="s">
        <v>3588</v>
      </c>
      <c r="M4017" s="28" t="s">
        <v>21</v>
      </c>
      <c r="N4017" s="27">
        <v>39584</v>
      </c>
      <c r="O4017" s="92">
        <v>39574</v>
      </c>
      <c r="P4017" s="28" t="s">
        <v>31</v>
      </c>
      <c r="Q4017" s="26" t="b">
        <v>1</v>
      </c>
      <c r="R4017" s="22">
        <f t="shared" si="65"/>
        <v>20</v>
      </c>
    </row>
    <row r="4018" spans="1:18">
      <c r="A4018" s="26">
        <v>9189</v>
      </c>
      <c r="B4018" s="27">
        <v>39554</v>
      </c>
      <c r="C4018" s="28" t="s">
        <v>12901</v>
      </c>
      <c r="D4018" s="27">
        <v>39552</v>
      </c>
      <c r="E4018" s="28" t="s">
        <v>12902</v>
      </c>
      <c r="F4018" s="28" t="s">
        <v>194</v>
      </c>
      <c r="G4018" s="28" t="s">
        <v>20</v>
      </c>
      <c r="H4018" s="28" t="s">
        <v>71</v>
      </c>
      <c r="I4018" s="28" t="s">
        <v>72</v>
      </c>
      <c r="J4018" s="28" t="s">
        <v>12903</v>
      </c>
      <c r="K4018" s="28" t="s">
        <v>4001</v>
      </c>
      <c r="L4018" s="28" t="s">
        <v>12904</v>
      </c>
      <c r="M4018" s="28" t="s">
        <v>21</v>
      </c>
      <c r="N4018" s="29">
        <v>39645</v>
      </c>
      <c r="O4018" s="92">
        <v>40456</v>
      </c>
      <c r="P4018" s="28" t="s">
        <v>21</v>
      </c>
      <c r="Q4018" s="26" t="b">
        <v>0</v>
      </c>
      <c r="R4018" s="22">
        <f t="shared" si="65"/>
        <v>901</v>
      </c>
    </row>
    <row r="4019" spans="1:18" ht="24">
      <c r="A4019" s="26">
        <v>9190</v>
      </c>
      <c r="B4019" s="27">
        <v>39555</v>
      </c>
      <c r="C4019" s="28" t="s">
        <v>12905</v>
      </c>
      <c r="D4019" s="27">
        <v>39554</v>
      </c>
      <c r="E4019" s="28" t="s">
        <v>38</v>
      </c>
      <c r="F4019" s="28" t="s">
        <v>12906</v>
      </c>
      <c r="G4019" s="28" t="s">
        <v>20</v>
      </c>
      <c r="H4019" s="28" t="s">
        <v>71</v>
      </c>
      <c r="I4019" s="28" t="s">
        <v>72</v>
      </c>
      <c r="J4019" s="28" t="s">
        <v>11788</v>
      </c>
      <c r="K4019" s="28" t="s">
        <v>12907</v>
      </c>
      <c r="L4019" s="28" t="s">
        <v>4579</v>
      </c>
      <c r="M4019" s="28" t="s">
        <v>21</v>
      </c>
      <c r="O4019" s="92">
        <v>39630</v>
      </c>
      <c r="P4019" s="28" t="s">
        <v>21</v>
      </c>
      <c r="Q4019" s="26" t="b">
        <v>0</v>
      </c>
      <c r="R4019" s="22">
        <f t="shared" si="65"/>
        <v>75</v>
      </c>
    </row>
    <row r="4020" spans="1:18" ht="24">
      <c r="A4020" s="26">
        <v>9191</v>
      </c>
      <c r="B4020" s="27">
        <v>39559</v>
      </c>
      <c r="C4020" s="28" t="s">
        <v>12908</v>
      </c>
      <c r="D4020" s="27">
        <v>39555</v>
      </c>
      <c r="E4020" s="28" t="s">
        <v>12909</v>
      </c>
      <c r="F4020" s="28" t="s">
        <v>12910</v>
      </c>
      <c r="G4020" s="28" t="s">
        <v>20</v>
      </c>
      <c r="H4020" s="28" t="s">
        <v>189</v>
      </c>
      <c r="I4020" s="28" t="s">
        <v>189</v>
      </c>
      <c r="J4020" s="28" t="s">
        <v>12911</v>
      </c>
      <c r="K4020" s="28" t="s">
        <v>21</v>
      </c>
      <c r="L4020" s="28" t="s">
        <v>3588</v>
      </c>
      <c r="M4020" s="28" t="s">
        <v>21</v>
      </c>
      <c r="N4020" s="27">
        <v>39604</v>
      </c>
      <c r="O4020" s="92">
        <v>39581</v>
      </c>
      <c r="P4020" s="28" t="s">
        <v>31</v>
      </c>
      <c r="Q4020" s="26" t="b">
        <v>1</v>
      </c>
      <c r="R4020" s="22">
        <f t="shared" si="65"/>
        <v>22</v>
      </c>
    </row>
    <row r="4021" spans="1:18">
      <c r="A4021" s="26">
        <v>9192</v>
      </c>
      <c r="B4021" s="27">
        <v>39566</v>
      </c>
      <c r="C4021" s="28" t="s">
        <v>12912</v>
      </c>
      <c r="D4021" s="27">
        <v>39561</v>
      </c>
      <c r="E4021" s="28" t="s">
        <v>11030</v>
      </c>
      <c r="F4021" s="28" t="s">
        <v>3579</v>
      </c>
      <c r="G4021" s="28" t="s">
        <v>20</v>
      </c>
      <c r="H4021" s="28" t="s">
        <v>71</v>
      </c>
      <c r="I4021" s="28" t="s">
        <v>72</v>
      </c>
      <c r="J4021" s="28" t="s">
        <v>7071</v>
      </c>
      <c r="K4021" s="28" t="s">
        <v>12913</v>
      </c>
      <c r="L4021" s="28" t="s">
        <v>4282</v>
      </c>
      <c r="M4021" s="28" t="s">
        <v>21</v>
      </c>
      <c r="N4021" s="18"/>
      <c r="O4021" s="92">
        <v>39772</v>
      </c>
      <c r="P4021" s="28" t="s">
        <v>21</v>
      </c>
      <c r="Q4021" s="26" t="b">
        <v>0</v>
      </c>
      <c r="R4021" s="22">
        <f t="shared" si="65"/>
        <v>204</v>
      </c>
    </row>
    <row r="4022" spans="1:18">
      <c r="A4022" s="26">
        <v>9194</v>
      </c>
      <c r="B4022" s="27">
        <v>39566</v>
      </c>
      <c r="C4022" s="28" t="s">
        <v>12914</v>
      </c>
      <c r="D4022" s="27">
        <v>39556</v>
      </c>
      <c r="E4022" s="28" t="s">
        <v>12915</v>
      </c>
      <c r="F4022" s="28" t="s">
        <v>10967</v>
      </c>
      <c r="G4022" s="28" t="s">
        <v>20</v>
      </c>
      <c r="H4022" s="28" t="s">
        <v>71</v>
      </c>
      <c r="I4022" s="28" t="s">
        <v>72</v>
      </c>
      <c r="J4022" s="28" t="s">
        <v>5668</v>
      </c>
      <c r="K4022" s="28" t="s">
        <v>12916</v>
      </c>
      <c r="L4022" s="28" t="s">
        <v>4579</v>
      </c>
      <c r="M4022" s="28" t="s">
        <v>1946</v>
      </c>
      <c r="N4022" s="29">
        <v>39654</v>
      </c>
      <c r="O4022" s="92">
        <v>40598</v>
      </c>
      <c r="P4022" s="28" t="s">
        <v>21</v>
      </c>
      <c r="Q4022" s="26" t="b">
        <v>0</v>
      </c>
      <c r="R4022" s="22">
        <f t="shared" si="65"/>
        <v>1030</v>
      </c>
    </row>
    <row r="4023" spans="1:18">
      <c r="A4023" s="26">
        <v>9195</v>
      </c>
      <c r="B4023" s="27">
        <v>39566</v>
      </c>
      <c r="C4023" s="28" t="s">
        <v>12917</v>
      </c>
      <c r="D4023" s="27">
        <v>39563</v>
      </c>
      <c r="E4023" s="28" t="s">
        <v>12918</v>
      </c>
      <c r="F4023" s="28" t="s">
        <v>12919</v>
      </c>
      <c r="G4023" s="28" t="s">
        <v>20</v>
      </c>
      <c r="H4023" s="28" t="s">
        <v>71</v>
      </c>
      <c r="I4023" s="28" t="s">
        <v>72</v>
      </c>
      <c r="J4023" s="28" t="s">
        <v>12920</v>
      </c>
      <c r="K4023" s="28" t="s">
        <v>12921</v>
      </c>
      <c r="L4023" s="28" t="s">
        <v>4282</v>
      </c>
      <c r="M4023" s="28" t="s">
        <v>21</v>
      </c>
      <c r="N4023" s="27">
        <v>39654</v>
      </c>
      <c r="O4023" s="92">
        <v>39602</v>
      </c>
      <c r="P4023" s="28" t="s">
        <v>31</v>
      </c>
      <c r="Q4023" s="26" t="b">
        <v>0</v>
      </c>
      <c r="R4023" s="22">
        <f t="shared" si="65"/>
        <v>35</v>
      </c>
    </row>
    <row r="4024" spans="1:18">
      <c r="A4024" s="26">
        <v>9196</v>
      </c>
      <c r="B4024" s="27">
        <v>39569</v>
      </c>
      <c r="C4024" s="28" t="s">
        <v>12922</v>
      </c>
      <c r="D4024" s="27">
        <v>39568</v>
      </c>
      <c r="E4024" s="28" t="s">
        <v>12923</v>
      </c>
      <c r="F4024" s="28" t="s">
        <v>5270</v>
      </c>
      <c r="G4024" s="28" t="s">
        <v>20</v>
      </c>
      <c r="H4024" s="28" t="s">
        <v>71</v>
      </c>
      <c r="I4024" s="28" t="s">
        <v>72</v>
      </c>
      <c r="J4024" s="28" t="s">
        <v>12924</v>
      </c>
      <c r="K4024" s="28" t="s">
        <v>12925</v>
      </c>
      <c r="L4024" s="28" t="s">
        <v>4579</v>
      </c>
      <c r="M4024" s="28" t="s">
        <v>21</v>
      </c>
      <c r="N4024" s="29">
        <v>39598</v>
      </c>
      <c r="O4024" s="92">
        <v>39584</v>
      </c>
      <c r="P4024" s="28" t="s">
        <v>31</v>
      </c>
      <c r="Q4024" s="26" t="b">
        <v>1</v>
      </c>
      <c r="R4024" s="22">
        <f t="shared" si="65"/>
        <v>15</v>
      </c>
    </row>
    <row r="4025" spans="1:18" ht="24">
      <c r="A4025" s="26">
        <v>9197</v>
      </c>
      <c r="B4025" s="27">
        <v>39573</v>
      </c>
      <c r="C4025" s="28" t="s">
        <v>12926</v>
      </c>
      <c r="D4025" s="27">
        <v>39569</v>
      </c>
      <c r="E4025" s="28" t="s">
        <v>12927</v>
      </c>
      <c r="F4025" s="28" t="s">
        <v>242</v>
      </c>
      <c r="G4025" s="28" t="s">
        <v>20</v>
      </c>
      <c r="H4025" s="28" t="s">
        <v>71</v>
      </c>
      <c r="I4025" s="28" t="s">
        <v>72</v>
      </c>
      <c r="J4025" s="28" t="s">
        <v>12928</v>
      </c>
      <c r="K4025" s="28" t="s">
        <v>21</v>
      </c>
      <c r="L4025" s="28" t="s">
        <v>4579</v>
      </c>
      <c r="M4025" s="28" t="s">
        <v>21</v>
      </c>
      <c r="N4025" s="27">
        <v>39614</v>
      </c>
      <c r="O4025" s="92">
        <v>39588</v>
      </c>
      <c r="P4025" s="28" t="s">
        <v>31</v>
      </c>
      <c r="Q4025" s="26" t="b">
        <v>1</v>
      </c>
      <c r="R4025" s="22">
        <f t="shared" si="65"/>
        <v>15</v>
      </c>
    </row>
    <row r="4026" spans="1:18">
      <c r="A4026" s="26">
        <v>9198</v>
      </c>
      <c r="B4026" s="27">
        <v>39577</v>
      </c>
      <c r="C4026" s="28" t="s">
        <v>12929</v>
      </c>
      <c r="D4026" s="27">
        <v>39575</v>
      </c>
      <c r="E4026" s="28" t="s">
        <v>11030</v>
      </c>
      <c r="F4026" s="28" t="s">
        <v>39</v>
      </c>
      <c r="G4026" s="28" t="s">
        <v>20</v>
      </c>
      <c r="H4026" s="28" t="s">
        <v>71</v>
      </c>
      <c r="I4026" s="28" t="s">
        <v>72</v>
      </c>
      <c r="J4026" s="28" t="s">
        <v>7071</v>
      </c>
      <c r="K4026" s="28" t="s">
        <v>12930</v>
      </c>
      <c r="L4026" s="28" t="s">
        <v>4282</v>
      </c>
      <c r="M4026" s="28" t="s">
        <v>21</v>
      </c>
      <c r="O4026" s="92">
        <v>39772</v>
      </c>
      <c r="P4026" s="28" t="s">
        <v>21</v>
      </c>
      <c r="Q4026" s="26" t="b">
        <v>0</v>
      </c>
      <c r="R4026" s="22">
        <f t="shared" si="65"/>
        <v>193</v>
      </c>
    </row>
    <row r="4027" spans="1:18">
      <c r="A4027" s="26">
        <v>9199</v>
      </c>
      <c r="B4027" s="27">
        <v>39582</v>
      </c>
      <c r="C4027" s="28" t="s">
        <v>12931</v>
      </c>
      <c r="D4027" s="27">
        <v>39580</v>
      </c>
      <c r="E4027" s="28" t="s">
        <v>12932</v>
      </c>
      <c r="F4027" s="28" t="s">
        <v>56</v>
      </c>
      <c r="G4027" s="28" t="s">
        <v>20</v>
      </c>
      <c r="H4027" s="28" t="s">
        <v>71</v>
      </c>
      <c r="I4027" s="28" t="s">
        <v>72</v>
      </c>
      <c r="J4027" s="28" t="s">
        <v>12933</v>
      </c>
      <c r="K4027" s="28" t="s">
        <v>3538</v>
      </c>
      <c r="L4027" s="28" t="s">
        <v>4579</v>
      </c>
      <c r="M4027" s="28" t="s">
        <v>21</v>
      </c>
      <c r="N4027" s="18"/>
      <c r="O4027" s="92">
        <v>39765</v>
      </c>
      <c r="P4027" s="28" t="s">
        <v>21</v>
      </c>
      <c r="Q4027" s="26" t="b">
        <v>0</v>
      </c>
      <c r="R4027" s="22">
        <f t="shared" si="65"/>
        <v>181</v>
      </c>
    </row>
    <row r="4028" spans="1:18">
      <c r="A4028" s="26">
        <v>9200</v>
      </c>
      <c r="B4028" s="27">
        <v>39587</v>
      </c>
      <c r="C4028" s="28" t="s">
        <v>12934</v>
      </c>
      <c r="D4028" s="27">
        <v>39584</v>
      </c>
      <c r="E4028" s="28" t="s">
        <v>12935</v>
      </c>
      <c r="F4028" s="28" t="s">
        <v>104</v>
      </c>
      <c r="G4028" s="28" t="s">
        <v>20</v>
      </c>
      <c r="H4028" s="28" t="s">
        <v>71</v>
      </c>
      <c r="I4028" s="28" t="s">
        <v>72</v>
      </c>
      <c r="J4028" s="28" t="s">
        <v>12936</v>
      </c>
      <c r="K4028" s="28" t="s">
        <v>21</v>
      </c>
      <c r="L4028" s="28" t="s">
        <v>4579</v>
      </c>
      <c r="M4028" s="28" t="s">
        <v>21</v>
      </c>
      <c r="N4028" s="29">
        <v>39615</v>
      </c>
      <c r="O4028" s="92">
        <v>39596</v>
      </c>
      <c r="P4028" s="28" t="s">
        <v>31</v>
      </c>
      <c r="Q4028" s="26" t="b">
        <v>1</v>
      </c>
      <c r="R4028" s="22">
        <f t="shared" si="65"/>
        <v>9</v>
      </c>
    </row>
    <row r="4029" spans="1:18">
      <c r="A4029" s="26">
        <v>9201</v>
      </c>
      <c r="B4029" s="27">
        <v>39589</v>
      </c>
      <c r="C4029" s="28" t="s">
        <v>12937</v>
      </c>
      <c r="D4029" s="27">
        <v>39588</v>
      </c>
      <c r="E4029" s="28" t="s">
        <v>12938</v>
      </c>
      <c r="F4029" s="28" t="s">
        <v>10114</v>
      </c>
      <c r="G4029" s="28" t="s">
        <v>20</v>
      </c>
      <c r="H4029" s="28" t="s">
        <v>71</v>
      </c>
      <c r="I4029" s="28" t="s">
        <v>72</v>
      </c>
      <c r="J4029" s="28" t="s">
        <v>12939</v>
      </c>
      <c r="K4029" s="28" t="s">
        <v>6081</v>
      </c>
      <c r="L4029" s="28" t="s">
        <v>4282</v>
      </c>
      <c r="M4029" s="28" t="s">
        <v>21</v>
      </c>
      <c r="N4029" s="27">
        <v>39619</v>
      </c>
      <c r="O4029" s="92">
        <v>39722</v>
      </c>
      <c r="P4029" s="28" t="s">
        <v>31</v>
      </c>
      <c r="Q4029" s="26" t="b">
        <v>1</v>
      </c>
      <c r="R4029" s="22">
        <f t="shared" si="65"/>
        <v>131</v>
      </c>
    </row>
    <row r="4030" spans="1:18">
      <c r="A4030" s="26">
        <v>9202</v>
      </c>
      <c r="B4030" s="27">
        <v>39589</v>
      </c>
      <c r="C4030" s="28" t="s">
        <v>12940</v>
      </c>
      <c r="D4030" s="27">
        <v>39588</v>
      </c>
      <c r="E4030" s="28" t="s">
        <v>11030</v>
      </c>
      <c r="F4030" s="28" t="s">
        <v>149</v>
      </c>
      <c r="G4030" s="28" t="s">
        <v>20</v>
      </c>
      <c r="H4030" s="28" t="s">
        <v>71</v>
      </c>
      <c r="I4030" s="28" t="s">
        <v>72</v>
      </c>
      <c r="J4030" s="28" t="s">
        <v>7071</v>
      </c>
      <c r="K4030" s="28" t="s">
        <v>12941</v>
      </c>
      <c r="L4030" s="28" t="s">
        <v>4282</v>
      </c>
      <c r="M4030" s="28" t="s">
        <v>21</v>
      </c>
      <c r="N4030" s="18"/>
      <c r="O4030" s="92">
        <v>39772</v>
      </c>
      <c r="P4030" s="28" t="s">
        <v>21</v>
      </c>
      <c r="Q4030" s="26" t="b">
        <v>0</v>
      </c>
      <c r="R4030" s="22">
        <f t="shared" si="65"/>
        <v>181</v>
      </c>
    </row>
    <row r="4031" spans="1:18">
      <c r="A4031" s="26">
        <v>9203</v>
      </c>
      <c r="B4031" s="27">
        <v>39591</v>
      </c>
      <c r="C4031" s="28" t="s">
        <v>12942</v>
      </c>
      <c r="D4031" s="27">
        <v>39590</v>
      </c>
      <c r="E4031" s="28" t="s">
        <v>12943</v>
      </c>
      <c r="F4031" s="28" t="s">
        <v>12944</v>
      </c>
      <c r="G4031" s="28" t="s">
        <v>20</v>
      </c>
      <c r="H4031" s="28" t="s">
        <v>71</v>
      </c>
      <c r="I4031" s="28" t="s">
        <v>72</v>
      </c>
      <c r="J4031" s="28" t="s">
        <v>12945</v>
      </c>
      <c r="K4031" s="28" t="s">
        <v>21</v>
      </c>
      <c r="L4031" s="28" t="s">
        <v>4579</v>
      </c>
      <c r="M4031" s="28" t="s">
        <v>21</v>
      </c>
      <c r="N4031" s="29">
        <v>39683</v>
      </c>
      <c r="O4031" s="92">
        <v>39658</v>
      </c>
      <c r="P4031" s="28" t="s">
        <v>31</v>
      </c>
      <c r="Q4031" s="26" t="b">
        <v>1</v>
      </c>
      <c r="R4031" s="22">
        <f t="shared" si="65"/>
        <v>66</v>
      </c>
    </row>
    <row r="4032" spans="1:18">
      <c r="A4032" s="26">
        <v>9204</v>
      </c>
      <c r="B4032" s="27">
        <v>39591</v>
      </c>
      <c r="C4032" s="28" t="s">
        <v>12946</v>
      </c>
      <c r="D4032" s="27">
        <v>39590</v>
      </c>
      <c r="E4032" s="28" t="s">
        <v>11030</v>
      </c>
      <c r="F4032" s="28" t="s">
        <v>85</v>
      </c>
      <c r="G4032" s="28" t="s">
        <v>20</v>
      </c>
      <c r="H4032" s="28" t="s">
        <v>71</v>
      </c>
      <c r="I4032" s="28" t="s">
        <v>72</v>
      </c>
      <c r="J4032" s="28" t="s">
        <v>7071</v>
      </c>
      <c r="K4032" s="28" t="s">
        <v>12947</v>
      </c>
      <c r="L4032" s="28" t="s">
        <v>4282</v>
      </c>
      <c r="M4032" s="28" t="s">
        <v>21</v>
      </c>
      <c r="N4032" s="18"/>
      <c r="O4032" s="92">
        <v>39772</v>
      </c>
      <c r="P4032" s="28" t="s">
        <v>21</v>
      </c>
      <c r="Q4032" s="26" t="b">
        <v>0</v>
      </c>
      <c r="R4032" s="22">
        <f t="shared" si="65"/>
        <v>179</v>
      </c>
    </row>
    <row r="4033" spans="1:18">
      <c r="A4033" s="26">
        <v>9205</v>
      </c>
      <c r="B4033" s="27">
        <v>39595</v>
      </c>
      <c r="C4033" s="28" t="s">
        <v>12948</v>
      </c>
      <c r="D4033" s="27">
        <v>39595</v>
      </c>
      <c r="E4033" s="28" t="s">
        <v>1928</v>
      </c>
      <c r="F4033" s="28" t="s">
        <v>974</v>
      </c>
      <c r="G4033" s="28" t="s">
        <v>20</v>
      </c>
      <c r="H4033" s="28" t="s">
        <v>212</v>
      </c>
      <c r="I4033" s="28" t="s">
        <v>212</v>
      </c>
      <c r="J4033" s="28" t="s">
        <v>12949</v>
      </c>
      <c r="K4033" s="28" t="s">
        <v>12598</v>
      </c>
      <c r="L4033" s="28" t="s">
        <v>8744</v>
      </c>
      <c r="M4033" s="28" t="s">
        <v>21</v>
      </c>
      <c r="N4033" s="27">
        <v>39595</v>
      </c>
      <c r="O4033" s="92">
        <v>39595</v>
      </c>
      <c r="P4033" s="28" t="s">
        <v>21</v>
      </c>
      <c r="Q4033" s="26" t="b">
        <v>0</v>
      </c>
      <c r="R4033" s="22">
        <f t="shared" si="65"/>
        <v>0</v>
      </c>
    </row>
    <row r="4034" spans="1:18" ht="24">
      <c r="A4034" s="26">
        <v>9206</v>
      </c>
      <c r="B4034" s="27">
        <v>39598</v>
      </c>
      <c r="C4034" s="28" t="s">
        <v>12950</v>
      </c>
      <c r="D4034" s="27">
        <v>39595</v>
      </c>
      <c r="E4034" s="28" t="s">
        <v>11030</v>
      </c>
      <c r="F4034" s="28" t="s">
        <v>3430</v>
      </c>
      <c r="G4034" s="28" t="s">
        <v>20</v>
      </c>
      <c r="H4034" s="28" t="s">
        <v>71</v>
      </c>
      <c r="I4034" s="28" t="s">
        <v>72</v>
      </c>
      <c r="J4034" s="28" t="s">
        <v>12951</v>
      </c>
      <c r="K4034" s="28" t="s">
        <v>12952</v>
      </c>
      <c r="L4034" s="28" t="s">
        <v>4282</v>
      </c>
      <c r="M4034" s="28" t="s">
        <v>21</v>
      </c>
      <c r="N4034" s="18"/>
      <c r="O4034" s="92">
        <v>39772</v>
      </c>
      <c r="P4034" s="28" t="s">
        <v>21</v>
      </c>
      <c r="Q4034" s="26" t="b">
        <v>0</v>
      </c>
      <c r="R4034" s="22">
        <f t="shared" si="65"/>
        <v>172</v>
      </c>
    </row>
    <row r="4035" spans="1:18">
      <c r="A4035" s="26">
        <v>9207</v>
      </c>
      <c r="B4035" s="27">
        <v>39598</v>
      </c>
      <c r="C4035" s="28" t="s">
        <v>12953</v>
      </c>
      <c r="D4035" s="27">
        <v>39589</v>
      </c>
      <c r="E4035" s="28" t="s">
        <v>12954</v>
      </c>
      <c r="F4035" s="28" t="s">
        <v>2597</v>
      </c>
      <c r="G4035" s="28" t="s">
        <v>20</v>
      </c>
      <c r="H4035" s="28" t="s">
        <v>71</v>
      </c>
      <c r="I4035" s="28" t="s">
        <v>72</v>
      </c>
      <c r="J4035" s="28" t="s">
        <v>12955</v>
      </c>
      <c r="K4035" s="28" t="s">
        <v>21</v>
      </c>
      <c r="L4035" s="28" t="s">
        <v>1946</v>
      </c>
      <c r="M4035" s="28" t="s">
        <v>21</v>
      </c>
      <c r="N4035" s="27">
        <v>39626</v>
      </c>
      <c r="O4035" s="92">
        <v>39980</v>
      </c>
      <c r="P4035" s="28" t="s">
        <v>31</v>
      </c>
      <c r="Q4035" s="26" t="b">
        <v>1</v>
      </c>
      <c r="R4035" s="22">
        <f t="shared" si="65"/>
        <v>381</v>
      </c>
    </row>
    <row r="4036" spans="1:18">
      <c r="A4036" s="26">
        <v>9208</v>
      </c>
      <c r="B4036" s="27">
        <v>39602</v>
      </c>
      <c r="C4036" s="28" t="s">
        <v>12956</v>
      </c>
      <c r="D4036" s="27">
        <v>39595</v>
      </c>
      <c r="E4036" s="28" t="s">
        <v>11030</v>
      </c>
      <c r="F4036" s="28" t="s">
        <v>27</v>
      </c>
      <c r="G4036" s="28" t="s">
        <v>20</v>
      </c>
      <c r="H4036" s="28" t="s">
        <v>212</v>
      </c>
      <c r="I4036" s="28" t="s">
        <v>12074</v>
      </c>
      <c r="J4036" s="28" t="s">
        <v>7071</v>
      </c>
      <c r="K4036" s="28" t="s">
        <v>12957</v>
      </c>
      <c r="L4036" s="28" t="s">
        <v>4282</v>
      </c>
      <c r="M4036" s="28" t="s">
        <v>21</v>
      </c>
      <c r="N4036" s="18"/>
      <c r="O4036" s="92">
        <v>39772</v>
      </c>
      <c r="P4036" s="28" t="s">
        <v>21</v>
      </c>
      <c r="Q4036" s="26" t="b">
        <v>0</v>
      </c>
      <c r="R4036" s="22">
        <f t="shared" si="65"/>
        <v>169</v>
      </c>
    </row>
    <row r="4037" spans="1:18" ht="24">
      <c r="A4037" s="26">
        <v>9209</v>
      </c>
      <c r="B4037" s="27">
        <v>39603</v>
      </c>
      <c r="C4037" s="28" t="s">
        <v>12958</v>
      </c>
      <c r="D4037" s="27">
        <v>39600</v>
      </c>
      <c r="E4037" s="28" t="s">
        <v>12959</v>
      </c>
      <c r="F4037" s="28" t="s">
        <v>12404</v>
      </c>
      <c r="G4037" s="28" t="s">
        <v>20</v>
      </c>
      <c r="H4037" s="28" t="s">
        <v>71</v>
      </c>
      <c r="I4037" s="28" t="s">
        <v>72</v>
      </c>
      <c r="J4037" s="28" t="s">
        <v>12960</v>
      </c>
      <c r="K4037" s="28" t="s">
        <v>21</v>
      </c>
      <c r="L4037" s="28" t="s">
        <v>4579</v>
      </c>
      <c r="M4037" s="28" t="s">
        <v>21</v>
      </c>
      <c r="N4037" s="27">
        <v>39695</v>
      </c>
      <c r="O4037" s="92">
        <v>39743</v>
      </c>
      <c r="P4037" s="28" t="s">
        <v>21</v>
      </c>
      <c r="Q4037" s="26" t="b">
        <v>0</v>
      </c>
      <c r="R4037" s="22">
        <f t="shared" si="65"/>
        <v>139</v>
      </c>
    </row>
    <row r="4038" spans="1:18">
      <c r="A4038" s="26">
        <v>9210</v>
      </c>
      <c r="B4038" s="27">
        <v>39608</v>
      </c>
      <c r="C4038" s="28" t="s">
        <v>12961</v>
      </c>
      <c r="D4038" s="27">
        <v>39605</v>
      </c>
      <c r="E4038" s="28" t="s">
        <v>12962</v>
      </c>
      <c r="F4038" s="28" t="s">
        <v>145</v>
      </c>
      <c r="G4038" s="28" t="s">
        <v>20</v>
      </c>
      <c r="H4038" s="28" t="s">
        <v>71</v>
      </c>
      <c r="I4038" s="28" t="s">
        <v>72</v>
      </c>
      <c r="J4038" s="28" t="s">
        <v>12963</v>
      </c>
      <c r="K4038" s="28" t="s">
        <v>12964</v>
      </c>
      <c r="L4038" s="28" t="s">
        <v>4579</v>
      </c>
      <c r="M4038" s="28" t="s">
        <v>21</v>
      </c>
      <c r="N4038" s="29">
        <v>39660</v>
      </c>
      <c r="O4038" s="92">
        <v>39888</v>
      </c>
      <c r="P4038" s="28" t="s">
        <v>21</v>
      </c>
      <c r="Q4038" s="26" t="b">
        <v>0</v>
      </c>
      <c r="R4038" s="22">
        <f t="shared" si="65"/>
        <v>280</v>
      </c>
    </row>
    <row r="4039" spans="1:18">
      <c r="A4039" s="26">
        <v>9211</v>
      </c>
      <c r="B4039" s="27">
        <v>39608</v>
      </c>
      <c r="C4039" s="28" t="s">
        <v>12965</v>
      </c>
      <c r="D4039" s="27">
        <v>39605</v>
      </c>
      <c r="E4039" s="28" t="s">
        <v>38</v>
      </c>
      <c r="F4039" s="28" t="s">
        <v>12671</v>
      </c>
      <c r="G4039" s="28" t="s">
        <v>20</v>
      </c>
      <c r="H4039" s="28" t="s">
        <v>71</v>
      </c>
      <c r="I4039" s="28" t="s">
        <v>72</v>
      </c>
      <c r="J4039" s="28" t="s">
        <v>12966</v>
      </c>
      <c r="K4039" s="28" t="s">
        <v>12314</v>
      </c>
      <c r="L4039" s="28" t="s">
        <v>12967</v>
      </c>
      <c r="M4039" s="28" t="s">
        <v>21</v>
      </c>
      <c r="N4039" s="18"/>
      <c r="O4039" s="92">
        <v>39609</v>
      </c>
      <c r="P4039" s="28" t="s">
        <v>21</v>
      </c>
      <c r="Q4039" s="26" t="b">
        <v>0</v>
      </c>
      <c r="R4039" s="22">
        <f t="shared" si="65"/>
        <v>1</v>
      </c>
    </row>
    <row r="4040" spans="1:18">
      <c r="A4040" s="26">
        <v>9212</v>
      </c>
      <c r="B4040" s="27">
        <v>39608</v>
      </c>
      <c r="C4040" s="28" t="s">
        <v>12968</v>
      </c>
      <c r="D4040" s="27">
        <v>39605</v>
      </c>
      <c r="E4040" s="28" t="s">
        <v>12969</v>
      </c>
      <c r="F4040" s="28" t="s">
        <v>94</v>
      </c>
      <c r="G4040" s="28" t="s">
        <v>20</v>
      </c>
      <c r="H4040" s="28" t="s">
        <v>71</v>
      </c>
      <c r="I4040" s="28" t="s">
        <v>72</v>
      </c>
      <c r="J4040" s="28" t="s">
        <v>12970</v>
      </c>
      <c r="K4040" s="28" t="s">
        <v>12971</v>
      </c>
      <c r="L4040" s="28" t="s">
        <v>4282</v>
      </c>
      <c r="M4040" s="28" t="s">
        <v>21</v>
      </c>
      <c r="N4040" s="27">
        <v>39638</v>
      </c>
      <c r="O4040" s="92">
        <v>39618</v>
      </c>
      <c r="P4040" s="28" t="s">
        <v>31</v>
      </c>
      <c r="Q4040" s="26" t="b">
        <v>1</v>
      </c>
      <c r="R4040" s="22">
        <f t="shared" si="65"/>
        <v>10</v>
      </c>
    </row>
    <row r="4041" spans="1:18">
      <c r="A4041" s="26">
        <v>9213</v>
      </c>
      <c r="B4041" s="27">
        <v>39612</v>
      </c>
      <c r="C4041" s="28" t="s">
        <v>12972</v>
      </c>
      <c r="D4041" s="27">
        <v>39608</v>
      </c>
      <c r="E4041" s="28" t="s">
        <v>12973</v>
      </c>
      <c r="F4041" s="28" t="s">
        <v>56</v>
      </c>
      <c r="G4041" s="28" t="s">
        <v>20</v>
      </c>
      <c r="H4041" s="28" t="s">
        <v>71</v>
      </c>
      <c r="I4041" s="28" t="s">
        <v>72</v>
      </c>
      <c r="J4041" s="28" t="s">
        <v>11749</v>
      </c>
      <c r="K4041" s="28" t="s">
        <v>12974</v>
      </c>
      <c r="L4041" s="28" t="s">
        <v>3588</v>
      </c>
      <c r="M4041" s="28" t="s">
        <v>21</v>
      </c>
      <c r="N4041" s="27">
        <v>39638</v>
      </c>
      <c r="O4041" s="92">
        <v>39632</v>
      </c>
      <c r="P4041" s="28" t="s">
        <v>31</v>
      </c>
      <c r="Q4041" s="26" t="b">
        <v>1</v>
      </c>
      <c r="R4041" s="22">
        <f t="shared" si="65"/>
        <v>20</v>
      </c>
    </row>
    <row r="4042" spans="1:18">
      <c r="A4042" s="26">
        <v>9214</v>
      </c>
      <c r="B4042" s="27">
        <v>39612</v>
      </c>
      <c r="C4042" s="28" t="s">
        <v>12975</v>
      </c>
      <c r="D4042" s="27">
        <v>39600</v>
      </c>
      <c r="E4042" s="28" t="s">
        <v>12976</v>
      </c>
      <c r="F4042" s="28" t="s">
        <v>124</v>
      </c>
      <c r="G4042" s="28" t="s">
        <v>20</v>
      </c>
      <c r="H4042" s="28" t="s">
        <v>71</v>
      </c>
      <c r="I4042" s="28" t="s">
        <v>72</v>
      </c>
      <c r="J4042" s="28" t="s">
        <v>12977</v>
      </c>
      <c r="K4042" s="28" t="s">
        <v>6081</v>
      </c>
      <c r="L4042" s="28" t="s">
        <v>1946</v>
      </c>
      <c r="M4042" s="28" t="s">
        <v>21</v>
      </c>
      <c r="N4042" s="27">
        <v>39639</v>
      </c>
      <c r="O4042" s="92">
        <v>39643</v>
      </c>
      <c r="P4042" s="28" t="s">
        <v>31</v>
      </c>
      <c r="Q4042" s="26" t="b">
        <v>1</v>
      </c>
      <c r="R4042" s="22">
        <f t="shared" si="65"/>
        <v>31</v>
      </c>
    </row>
    <row r="4043" spans="1:18" ht="24">
      <c r="A4043" s="26">
        <v>9215</v>
      </c>
      <c r="B4043" s="27">
        <v>39612</v>
      </c>
      <c r="C4043" s="28" t="s">
        <v>12978</v>
      </c>
      <c r="D4043" s="27">
        <v>39612</v>
      </c>
      <c r="E4043" s="28" t="s">
        <v>12979</v>
      </c>
      <c r="F4043" s="28" t="s">
        <v>3615</v>
      </c>
      <c r="G4043" s="28" t="s">
        <v>20</v>
      </c>
      <c r="H4043" s="28" t="s">
        <v>189</v>
      </c>
      <c r="I4043" s="28" t="s">
        <v>189</v>
      </c>
      <c r="J4043" s="28" t="s">
        <v>2867</v>
      </c>
      <c r="K4043" s="28" t="s">
        <v>12980</v>
      </c>
      <c r="L4043" s="28" t="s">
        <v>3588</v>
      </c>
      <c r="M4043" s="28" t="s">
        <v>21</v>
      </c>
      <c r="N4043" s="27">
        <v>39662</v>
      </c>
      <c r="O4043" s="92">
        <v>39707</v>
      </c>
      <c r="P4043" s="28" t="s">
        <v>31</v>
      </c>
      <c r="Q4043" s="26" t="b">
        <v>1</v>
      </c>
      <c r="R4043" s="22">
        <f t="shared" si="65"/>
        <v>94</v>
      </c>
    </row>
    <row r="4044" spans="1:18">
      <c r="A4044" s="26">
        <v>9216</v>
      </c>
      <c r="B4044" s="27">
        <v>39612</v>
      </c>
      <c r="C4044" s="28" t="s">
        <v>12981</v>
      </c>
      <c r="D4044" s="27">
        <v>39612</v>
      </c>
      <c r="E4044" s="28" t="s">
        <v>12982</v>
      </c>
      <c r="F4044" s="28" t="s">
        <v>56</v>
      </c>
      <c r="G4044" s="28" t="s">
        <v>20</v>
      </c>
      <c r="H4044" s="28" t="s">
        <v>71</v>
      </c>
      <c r="I4044" s="28" t="s">
        <v>72</v>
      </c>
      <c r="J4044" s="28" t="s">
        <v>12983</v>
      </c>
      <c r="K4044" s="28" t="s">
        <v>21</v>
      </c>
      <c r="L4044" s="28" t="s">
        <v>4282</v>
      </c>
      <c r="M4044" s="28" t="s">
        <v>21</v>
      </c>
      <c r="N4044" s="27">
        <v>39642</v>
      </c>
      <c r="O4044" s="92">
        <v>39623</v>
      </c>
      <c r="P4044" s="28" t="s">
        <v>31</v>
      </c>
      <c r="Q4044" s="26" t="b">
        <v>1</v>
      </c>
      <c r="R4044" s="22">
        <f t="shared" si="65"/>
        <v>11</v>
      </c>
    </row>
    <row r="4045" spans="1:18" ht="24">
      <c r="A4045" s="26">
        <v>9217</v>
      </c>
      <c r="B4045" s="27">
        <v>39615</v>
      </c>
      <c r="C4045" s="28" t="s">
        <v>12984</v>
      </c>
      <c r="D4045" s="27">
        <v>39612</v>
      </c>
      <c r="E4045" s="28" t="s">
        <v>12985</v>
      </c>
      <c r="F4045" s="28" t="s">
        <v>12986</v>
      </c>
      <c r="G4045" s="28" t="s">
        <v>20</v>
      </c>
      <c r="H4045" s="28" t="s">
        <v>189</v>
      </c>
      <c r="I4045" s="28" t="s">
        <v>189</v>
      </c>
      <c r="J4045" s="28" t="s">
        <v>12987</v>
      </c>
      <c r="K4045" s="28" t="s">
        <v>12988</v>
      </c>
      <c r="L4045" s="28" t="s">
        <v>1946</v>
      </c>
      <c r="M4045" s="28" t="s">
        <v>21</v>
      </c>
      <c r="N4045" s="27">
        <v>39645</v>
      </c>
      <c r="O4045" s="92">
        <v>39797</v>
      </c>
      <c r="P4045" s="28" t="s">
        <v>31</v>
      </c>
      <c r="Q4045" s="26" t="b">
        <v>1</v>
      </c>
      <c r="R4045" s="22">
        <f t="shared" si="65"/>
        <v>181</v>
      </c>
    </row>
    <row r="4046" spans="1:18">
      <c r="A4046" s="26">
        <v>9219</v>
      </c>
      <c r="B4046" s="27">
        <v>39617</v>
      </c>
      <c r="C4046" s="28" t="s">
        <v>12989</v>
      </c>
      <c r="D4046" s="27">
        <v>39615</v>
      </c>
      <c r="E4046" s="28" t="s">
        <v>11030</v>
      </c>
      <c r="F4046" s="28" t="s">
        <v>4242</v>
      </c>
      <c r="G4046" s="28" t="s">
        <v>20</v>
      </c>
      <c r="H4046" s="28" t="s">
        <v>189</v>
      </c>
      <c r="I4046" s="28" t="s">
        <v>189</v>
      </c>
      <c r="J4046" s="28" t="s">
        <v>11922</v>
      </c>
      <c r="K4046" s="28" t="s">
        <v>12990</v>
      </c>
      <c r="L4046" s="28" t="s">
        <v>4282</v>
      </c>
      <c r="M4046" s="28" t="s">
        <v>21</v>
      </c>
      <c r="O4046" s="92">
        <v>39772</v>
      </c>
      <c r="P4046" s="28" t="s">
        <v>21</v>
      </c>
      <c r="Q4046" s="26" t="b">
        <v>0</v>
      </c>
      <c r="R4046" s="22">
        <f t="shared" si="65"/>
        <v>154</v>
      </c>
    </row>
    <row r="4047" spans="1:18">
      <c r="A4047" s="26">
        <v>9220</v>
      </c>
      <c r="B4047" s="27">
        <v>39617</v>
      </c>
      <c r="C4047" s="28" t="s">
        <v>12991</v>
      </c>
      <c r="D4047" s="27">
        <v>39615</v>
      </c>
      <c r="E4047" s="28" t="s">
        <v>12992</v>
      </c>
      <c r="F4047" s="28" t="s">
        <v>6191</v>
      </c>
      <c r="G4047" s="28" t="s">
        <v>20</v>
      </c>
      <c r="H4047" s="28" t="s">
        <v>189</v>
      </c>
      <c r="I4047" s="28" t="s">
        <v>189</v>
      </c>
      <c r="J4047" s="28" t="s">
        <v>12993</v>
      </c>
      <c r="K4047" s="28" t="s">
        <v>12994</v>
      </c>
      <c r="L4047" s="28" t="s">
        <v>3588</v>
      </c>
      <c r="M4047" s="28" t="s">
        <v>21</v>
      </c>
      <c r="N4047" s="27">
        <v>39646</v>
      </c>
      <c r="O4047" s="92">
        <v>39626</v>
      </c>
      <c r="P4047" s="28" t="s">
        <v>31</v>
      </c>
      <c r="Q4047" s="26" t="b">
        <v>1</v>
      </c>
      <c r="R4047" s="22">
        <f t="shared" si="65"/>
        <v>9</v>
      </c>
    </row>
    <row r="4048" spans="1:18">
      <c r="A4048" s="26">
        <v>9221</v>
      </c>
      <c r="B4048" s="27">
        <v>39617</v>
      </c>
      <c r="C4048" s="28" t="s">
        <v>12995</v>
      </c>
      <c r="D4048" s="27">
        <v>39615</v>
      </c>
      <c r="E4048" s="28" t="s">
        <v>12996</v>
      </c>
      <c r="F4048" s="28" t="s">
        <v>984</v>
      </c>
      <c r="G4048" s="28" t="s">
        <v>20</v>
      </c>
      <c r="H4048" s="28" t="s">
        <v>71</v>
      </c>
      <c r="I4048" s="28" t="s">
        <v>72</v>
      </c>
      <c r="J4048" s="28" t="s">
        <v>12997</v>
      </c>
      <c r="K4048" s="28" t="s">
        <v>21</v>
      </c>
      <c r="L4048" s="28" t="s">
        <v>4282</v>
      </c>
      <c r="M4048" s="28" t="s">
        <v>21</v>
      </c>
      <c r="N4048" s="27">
        <v>39646</v>
      </c>
      <c r="O4048" s="92">
        <v>39665</v>
      </c>
      <c r="P4048" s="28" t="s">
        <v>31</v>
      </c>
      <c r="Q4048" s="26" t="b">
        <v>1</v>
      </c>
      <c r="R4048" s="22">
        <f t="shared" si="65"/>
        <v>47</v>
      </c>
    </row>
    <row r="4049" spans="1:18">
      <c r="A4049" s="26">
        <v>9222</v>
      </c>
      <c r="B4049" s="27">
        <v>39619</v>
      </c>
      <c r="C4049" s="28" t="s">
        <v>12998</v>
      </c>
      <c r="D4049" s="27">
        <v>39616</v>
      </c>
      <c r="E4049" s="28" t="s">
        <v>12999</v>
      </c>
      <c r="F4049" s="28" t="s">
        <v>2413</v>
      </c>
      <c r="G4049" s="28" t="s">
        <v>20</v>
      </c>
      <c r="H4049" s="28" t="s">
        <v>71</v>
      </c>
      <c r="I4049" s="28" t="s">
        <v>72</v>
      </c>
      <c r="J4049" s="28" t="s">
        <v>13000</v>
      </c>
      <c r="K4049" s="28" t="s">
        <v>13001</v>
      </c>
      <c r="L4049" s="28" t="s">
        <v>3588</v>
      </c>
      <c r="M4049" s="28" t="s">
        <v>21</v>
      </c>
      <c r="N4049" s="27">
        <v>39711</v>
      </c>
      <c r="O4049" s="92">
        <v>39659</v>
      </c>
      <c r="P4049" s="28" t="s">
        <v>21</v>
      </c>
      <c r="Q4049" s="26" t="b">
        <v>0</v>
      </c>
      <c r="R4049" s="22">
        <f t="shared" si="65"/>
        <v>40</v>
      </c>
    </row>
    <row r="4050" spans="1:18" ht="24">
      <c r="A4050" s="26">
        <v>9223</v>
      </c>
      <c r="B4050" s="27">
        <v>39623</v>
      </c>
      <c r="C4050" s="28" t="s">
        <v>13002</v>
      </c>
      <c r="D4050" s="27">
        <v>39618</v>
      </c>
      <c r="E4050" s="28" t="s">
        <v>13003</v>
      </c>
      <c r="F4050" s="28" t="s">
        <v>13004</v>
      </c>
      <c r="G4050" s="28" t="s">
        <v>20</v>
      </c>
      <c r="H4050" s="28" t="s">
        <v>71</v>
      </c>
      <c r="I4050" s="28" t="s">
        <v>72</v>
      </c>
      <c r="J4050" s="28" t="s">
        <v>13005</v>
      </c>
      <c r="K4050" s="28" t="s">
        <v>13006</v>
      </c>
      <c r="L4050" s="28" t="s">
        <v>3588</v>
      </c>
      <c r="M4050" s="28" t="s">
        <v>21</v>
      </c>
      <c r="N4050" s="29">
        <v>39710</v>
      </c>
      <c r="O4050" s="92">
        <v>39736</v>
      </c>
      <c r="P4050" s="28" t="s">
        <v>21</v>
      </c>
      <c r="Q4050" s="26" t="b">
        <v>0</v>
      </c>
      <c r="R4050" s="22">
        <f t="shared" si="65"/>
        <v>112</v>
      </c>
    </row>
    <row r="4051" spans="1:18">
      <c r="A4051" s="26">
        <v>9224</v>
      </c>
      <c r="B4051" s="27">
        <v>39623</v>
      </c>
      <c r="C4051" s="28" t="s">
        <v>13007</v>
      </c>
      <c r="D4051" s="27">
        <v>39517</v>
      </c>
      <c r="E4051" s="28" t="s">
        <v>13008</v>
      </c>
      <c r="F4051" s="28" t="s">
        <v>12404</v>
      </c>
      <c r="G4051" s="28" t="s">
        <v>20</v>
      </c>
      <c r="H4051" s="28" t="s">
        <v>71</v>
      </c>
      <c r="I4051" s="28" t="s">
        <v>72</v>
      </c>
      <c r="J4051" s="28" t="s">
        <v>13009</v>
      </c>
      <c r="K4051" s="28" t="s">
        <v>13010</v>
      </c>
      <c r="L4051" s="28" t="s">
        <v>4282</v>
      </c>
      <c r="M4051" s="28" t="s">
        <v>21</v>
      </c>
      <c r="N4051" s="29">
        <v>39665</v>
      </c>
      <c r="O4051" s="92">
        <v>39664</v>
      </c>
      <c r="P4051" s="28" t="s">
        <v>31</v>
      </c>
      <c r="Q4051" s="26" t="b">
        <v>1</v>
      </c>
      <c r="R4051" s="22">
        <f t="shared" si="65"/>
        <v>40</v>
      </c>
    </row>
    <row r="4052" spans="1:18">
      <c r="A4052" s="26">
        <v>9225</v>
      </c>
      <c r="B4052" s="27">
        <v>39623</v>
      </c>
      <c r="C4052" s="28" t="s">
        <v>13011</v>
      </c>
      <c r="D4052" s="27">
        <v>39619</v>
      </c>
      <c r="E4052" s="28" t="s">
        <v>13012</v>
      </c>
      <c r="F4052" s="28" t="s">
        <v>56</v>
      </c>
      <c r="G4052" s="28" t="s">
        <v>20</v>
      </c>
      <c r="H4052" s="28" t="s">
        <v>71</v>
      </c>
      <c r="I4052" s="28" t="s">
        <v>72</v>
      </c>
      <c r="J4052" s="28" t="s">
        <v>13013</v>
      </c>
      <c r="K4052" s="28" t="s">
        <v>21</v>
      </c>
      <c r="L4052" s="28" t="s">
        <v>4579</v>
      </c>
      <c r="M4052" s="28" t="s">
        <v>4282</v>
      </c>
      <c r="N4052" s="27">
        <v>39670</v>
      </c>
      <c r="O4052" s="92">
        <v>40549</v>
      </c>
      <c r="P4052" s="28" t="s">
        <v>31</v>
      </c>
      <c r="Q4052" s="26" t="b">
        <v>1</v>
      </c>
      <c r="R4052" s="22">
        <f t="shared" si="65"/>
        <v>924</v>
      </c>
    </row>
    <row r="4053" spans="1:18">
      <c r="A4053" s="26">
        <v>9226</v>
      </c>
      <c r="B4053" s="27">
        <v>39624</v>
      </c>
      <c r="C4053" s="28" t="s">
        <v>13014</v>
      </c>
      <c r="D4053" s="27">
        <v>39617</v>
      </c>
      <c r="E4053" s="28" t="s">
        <v>13015</v>
      </c>
      <c r="F4053" s="28" t="s">
        <v>124</v>
      </c>
      <c r="G4053" s="28" t="s">
        <v>20</v>
      </c>
      <c r="H4053" s="28" t="s">
        <v>71</v>
      </c>
      <c r="I4053" s="28" t="s">
        <v>72</v>
      </c>
      <c r="J4053" s="28" t="s">
        <v>13016</v>
      </c>
      <c r="K4053" s="28" t="s">
        <v>13017</v>
      </c>
      <c r="L4053" s="28" t="s">
        <v>4282</v>
      </c>
      <c r="M4053" s="28" t="s">
        <v>21</v>
      </c>
      <c r="N4053" s="27">
        <v>39653</v>
      </c>
      <c r="O4053" s="92">
        <v>39647</v>
      </c>
      <c r="P4053" s="28" t="s">
        <v>21</v>
      </c>
      <c r="Q4053" s="26" t="b">
        <v>0</v>
      </c>
      <c r="R4053" s="22">
        <f t="shared" si="65"/>
        <v>23</v>
      </c>
    </row>
    <row r="4054" spans="1:18">
      <c r="A4054" s="26">
        <v>9227</v>
      </c>
      <c r="B4054" s="27">
        <v>39624</v>
      </c>
      <c r="C4054" s="28" t="s">
        <v>13018</v>
      </c>
      <c r="D4054" s="27">
        <v>39623</v>
      </c>
      <c r="E4054" s="28" t="s">
        <v>11030</v>
      </c>
      <c r="F4054" s="28" t="s">
        <v>145</v>
      </c>
      <c r="G4054" s="28" t="s">
        <v>20</v>
      </c>
      <c r="H4054" s="28" t="s">
        <v>71</v>
      </c>
      <c r="I4054" s="28" t="s">
        <v>72</v>
      </c>
      <c r="J4054" s="28" t="s">
        <v>13019</v>
      </c>
      <c r="K4054" s="28" t="s">
        <v>13020</v>
      </c>
      <c r="L4054" s="28" t="s">
        <v>1946</v>
      </c>
      <c r="M4054" s="28" t="s">
        <v>21</v>
      </c>
      <c r="N4054" s="18"/>
      <c r="O4054" s="92">
        <v>39637</v>
      </c>
      <c r="P4054" s="28" t="s">
        <v>21</v>
      </c>
      <c r="Q4054" s="26" t="b">
        <v>0</v>
      </c>
      <c r="R4054" s="22">
        <f t="shared" si="65"/>
        <v>13</v>
      </c>
    </row>
    <row r="4055" spans="1:18">
      <c r="A4055" s="26">
        <v>9228</v>
      </c>
      <c r="B4055" s="27">
        <v>39624</v>
      </c>
      <c r="C4055" s="28" t="s">
        <v>13021</v>
      </c>
      <c r="D4055" s="27">
        <v>39619</v>
      </c>
      <c r="E4055" s="28" t="s">
        <v>13022</v>
      </c>
      <c r="F4055" s="28" t="s">
        <v>13023</v>
      </c>
      <c r="G4055" s="28" t="s">
        <v>20</v>
      </c>
      <c r="H4055" s="28" t="s">
        <v>189</v>
      </c>
      <c r="I4055" s="28" t="s">
        <v>189</v>
      </c>
      <c r="J4055" s="28" t="s">
        <v>13024</v>
      </c>
      <c r="K4055" s="28" t="s">
        <v>21</v>
      </c>
      <c r="L4055" s="28" t="s">
        <v>3588</v>
      </c>
      <c r="M4055" s="28" t="s">
        <v>21</v>
      </c>
      <c r="N4055" s="27">
        <v>39715</v>
      </c>
      <c r="O4055" s="92">
        <v>39696</v>
      </c>
      <c r="P4055" s="28" t="s">
        <v>21</v>
      </c>
      <c r="Q4055" s="26" t="b">
        <v>0</v>
      </c>
      <c r="R4055" s="22">
        <f t="shared" si="65"/>
        <v>70</v>
      </c>
    </row>
    <row r="4056" spans="1:18" ht="24">
      <c r="A4056" s="26">
        <v>9229</v>
      </c>
      <c r="B4056" s="27">
        <v>39624</v>
      </c>
      <c r="C4056" s="28" t="s">
        <v>13025</v>
      </c>
      <c r="D4056" s="27">
        <v>39619</v>
      </c>
      <c r="E4056" s="28" t="s">
        <v>13026</v>
      </c>
      <c r="F4056" s="28" t="s">
        <v>104</v>
      </c>
      <c r="G4056" s="28" t="s">
        <v>20</v>
      </c>
      <c r="H4056" s="28" t="s">
        <v>189</v>
      </c>
      <c r="I4056" s="28" t="s">
        <v>189</v>
      </c>
      <c r="J4056" s="28" t="s">
        <v>13027</v>
      </c>
      <c r="K4056" s="28" t="s">
        <v>21</v>
      </c>
      <c r="L4056" s="28" t="s">
        <v>1946</v>
      </c>
      <c r="M4056" s="28" t="s">
        <v>21</v>
      </c>
      <c r="N4056" s="27">
        <v>39715</v>
      </c>
      <c r="O4056" s="92">
        <v>39797</v>
      </c>
      <c r="P4056" s="28" t="s">
        <v>21</v>
      </c>
      <c r="Q4056" s="26" t="b">
        <v>0</v>
      </c>
      <c r="R4056" s="22">
        <f t="shared" si="65"/>
        <v>172</v>
      </c>
    </row>
    <row r="4057" spans="1:18" ht="24">
      <c r="A4057" s="26">
        <v>9230</v>
      </c>
      <c r="B4057" s="27">
        <v>39624</v>
      </c>
      <c r="C4057" s="28" t="s">
        <v>13028</v>
      </c>
      <c r="D4057" s="27">
        <v>39619</v>
      </c>
      <c r="E4057" s="28" t="s">
        <v>13029</v>
      </c>
      <c r="F4057" s="28" t="s">
        <v>2882</v>
      </c>
      <c r="G4057" s="28" t="s">
        <v>20</v>
      </c>
      <c r="H4057" s="28" t="s">
        <v>566</v>
      </c>
      <c r="I4057" s="28" t="s">
        <v>566</v>
      </c>
      <c r="J4057" s="28" t="s">
        <v>13030</v>
      </c>
      <c r="K4057" s="28" t="s">
        <v>21</v>
      </c>
      <c r="L4057" s="28" t="s">
        <v>4579</v>
      </c>
      <c r="M4057" s="28" t="s">
        <v>21</v>
      </c>
      <c r="N4057" s="29">
        <v>39654</v>
      </c>
      <c r="O4057" s="92">
        <v>39659</v>
      </c>
      <c r="P4057" s="28" t="s">
        <v>31</v>
      </c>
      <c r="Q4057" s="26" t="b">
        <v>1</v>
      </c>
      <c r="R4057" s="22">
        <f t="shared" ref="R4057:R4120" si="66">IF(O4057=" ", " ", INT(YEARFRAC(O4057, B4057)*365))</f>
        <v>35</v>
      </c>
    </row>
    <row r="4058" spans="1:18">
      <c r="A4058" s="26">
        <v>9231</v>
      </c>
      <c r="B4058" s="27">
        <v>39625</v>
      </c>
      <c r="C4058" s="28" t="s">
        <v>13031</v>
      </c>
      <c r="D4058" s="27">
        <v>39624</v>
      </c>
      <c r="E4058" s="28" t="s">
        <v>11688</v>
      </c>
      <c r="F4058" s="28" t="s">
        <v>13032</v>
      </c>
      <c r="G4058" s="28" t="s">
        <v>20</v>
      </c>
      <c r="H4058" s="28" t="s">
        <v>566</v>
      </c>
      <c r="I4058" s="28" t="s">
        <v>566</v>
      </c>
      <c r="J4058" s="28" t="s">
        <v>13033</v>
      </c>
      <c r="K4058" s="28" t="s">
        <v>13034</v>
      </c>
      <c r="L4058" s="28" t="s">
        <v>12967</v>
      </c>
      <c r="M4058" s="28" t="s">
        <v>21</v>
      </c>
      <c r="N4058" s="18"/>
      <c r="O4058" s="92">
        <v>39772</v>
      </c>
      <c r="P4058" s="28" t="s">
        <v>21</v>
      </c>
      <c r="Q4058" s="26" t="b">
        <v>0</v>
      </c>
      <c r="R4058" s="22">
        <f t="shared" si="66"/>
        <v>146</v>
      </c>
    </row>
    <row r="4059" spans="1:18" ht="24">
      <c r="A4059" s="26">
        <v>9232</v>
      </c>
      <c r="B4059" s="27">
        <v>39630</v>
      </c>
      <c r="C4059" s="28" t="s">
        <v>13035</v>
      </c>
      <c r="D4059" s="27">
        <v>39521</v>
      </c>
      <c r="E4059" s="28" t="s">
        <v>13036</v>
      </c>
      <c r="F4059" s="28" t="s">
        <v>13037</v>
      </c>
      <c r="G4059" s="28" t="s">
        <v>20</v>
      </c>
      <c r="H4059" s="28" t="s">
        <v>71</v>
      </c>
      <c r="I4059" s="28" t="s">
        <v>72</v>
      </c>
      <c r="J4059" s="28" t="s">
        <v>11788</v>
      </c>
      <c r="K4059" s="28" t="s">
        <v>13038</v>
      </c>
      <c r="L4059" s="28" t="s">
        <v>4579</v>
      </c>
      <c r="M4059" s="28" t="s">
        <v>21</v>
      </c>
      <c r="O4059" s="92">
        <v>39657</v>
      </c>
      <c r="P4059" s="28" t="s">
        <v>21</v>
      </c>
      <c r="Q4059" s="26" t="b">
        <v>0</v>
      </c>
      <c r="R4059" s="22">
        <f t="shared" si="66"/>
        <v>27</v>
      </c>
    </row>
    <row r="4060" spans="1:18">
      <c r="A4060" s="26">
        <v>9233</v>
      </c>
      <c r="B4060" s="27">
        <v>39632</v>
      </c>
      <c r="C4060" s="28" t="s">
        <v>13039</v>
      </c>
      <c r="D4060" s="27">
        <v>39622</v>
      </c>
      <c r="E4060" s="28" t="s">
        <v>13040</v>
      </c>
      <c r="F4060" s="28" t="s">
        <v>124</v>
      </c>
      <c r="G4060" s="28" t="s">
        <v>20</v>
      </c>
      <c r="H4060" s="28" t="s">
        <v>71</v>
      </c>
      <c r="I4060" s="28" t="s">
        <v>72</v>
      </c>
      <c r="J4060" s="28" t="s">
        <v>13041</v>
      </c>
      <c r="K4060" s="28" t="s">
        <v>21</v>
      </c>
      <c r="L4060" s="28" t="s">
        <v>3588</v>
      </c>
      <c r="M4060" s="28" t="s">
        <v>21</v>
      </c>
      <c r="N4060" s="29">
        <v>39661</v>
      </c>
      <c r="O4060" s="92">
        <v>39646</v>
      </c>
      <c r="P4060" s="28" t="s">
        <v>31</v>
      </c>
      <c r="Q4060" s="26" t="b">
        <v>1</v>
      </c>
      <c r="R4060" s="22">
        <f t="shared" si="66"/>
        <v>14</v>
      </c>
    </row>
    <row r="4061" spans="1:18">
      <c r="A4061" s="26">
        <v>9234</v>
      </c>
      <c r="B4061" s="27">
        <v>39638</v>
      </c>
      <c r="C4061" s="28" t="s">
        <v>13042</v>
      </c>
      <c r="D4061" s="27">
        <v>39635</v>
      </c>
      <c r="E4061" s="28" t="s">
        <v>13043</v>
      </c>
      <c r="F4061" s="28" t="s">
        <v>13044</v>
      </c>
      <c r="G4061" s="28" t="s">
        <v>20</v>
      </c>
      <c r="H4061" s="28" t="s">
        <v>71</v>
      </c>
      <c r="I4061" s="28" t="s">
        <v>72</v>
      </c>
      <c r="J4061" s="28" t="s">
        <v>11563</v>
      </c>
      <c r="K4061" s="28" t="s">
        <v>13045</v>
      </c>
      <c r="L4061" s="28" t="s">
        <v>3588</v>
      </c>
      <c r="M4061" s="28" t="s">
        <v>21</v>
      </c>
      <c r="N4061" s="29">
        <v>39667</v>
      </c>
      <c r="O4061" s="92">
        <v>39661</v>
      </c>
      <c r="P4061" s="28" t="s">
        <v>31</v>
      </c>
      <c r="Q4061" s="26" t="b">
        <v>1</v>
      </c>
      <c r="R4061" s="22">
        <f t="shared" si="66"/>
        <v>22</v>
      </c>
    </row>
    <row r="4062" spans="1:18">
      <c r="A4062" s="26">
        <v>9235</v>
      </c>
      <c r="B4062" s="27">
        <v>39638</v>
      </c>
      <c r="C4062" s="28" t="s">
        <v>13046</v>
      </c>
      <c r="D4062" s="27">
        <v>39632</v>
      </c>
      <c r="E4062" s="28" t="s">
        <v>13047</v>
      </c>
      <c r="F4062" s="28" t="s">
        <v>124</v>
      </c>
      <c r="G4062" s="28" t="s">
        <v>20</v>
      </c>
      <c r="H4062" s="28" t="s">
        <v>71</v>
      </c>
      <c r="I4062" s="28" t="s">
        <v>72</v>
      </c>
      <c r="J4062" s="28" t="s">
        <v>13048</v>
      </c>
      <c r="K4062" s="28" t="s">
        <v>13049</v>
      </c>
      <c r="L4062" s="28" t="s">
        <v>4282</v>
      </c>
      <c r="M4062" s="28" t="s">
        <v>21</v>
      </c>
      <c r="N4062" s="27">
        <v>39684</v>
      </c>
      <c r="O4062" s="92">
        <v>39778</v>
      </c>
      <c r="P4062" s="28" t="s">
        <v>31</v>
      </c>
      <c r="Q4062" s="26" t="b">
        <v>1</v>
      </c>
      <c r="R4062" s="22">
        <f t="shared" si="66"/>
        <v>138</v>
      </c>
    </row>
    <row r="4063" spans="1:18">
      <c r="A4063" s="26">
        <v>9236</v>
      </c>
      <c r="B4063" s="27">
        <v>39643</v>
      </c>
      <c r="C4063" s="28" t="s">
        <v>13050</v>
      </c>
      <c r="D4063" s="27">
        <v>39640</v>
      </c>
      <c r="E4063" s="28" t="s">
        <v>13051</v>
      </c>
      <c r="F4063" s="28" t="s">
        <v>70</v>
      </c>
      <c r="G4063" s="28" t="s">
        <v>20</v>
      </c>
      <c r="H4063" s="28" t="s">
        <v>71</v>
      </c>
      <c r="I4063" s="28" t="s">
        <v>72</v>
      </c>
      <c r="J4063" s="28" t="s">
        <v>2867</v>
      </c>
      <c r="K4063" s="28" t="s">
        <v>21</v>
      </c>
      <c r="L4063" s="28" t="s">
        <v>1946</v>
      </c>
      <c r="M4063" s="28" t="s">
        <v>21</v>
      </c>
      <c r="N4063" s="27">
        <v>39689</v>
      </c>
      <c r="O4063" s="92">
        <v>39875</v>
      </c>
      <c r="P4063" s="28" t="s">
        <v>31</v>
      </c>
      <c r="Q4063" s="26" t="b">
        <v>1</v>
      </c>
      <c r="R4063" s="22">
        <f t="shared" si="66"/>
        <v>232</v>
      </c>
    </row>
    <row r="4064" spans="1:18">
      <c r="A4064" s="26">
        <v>9237</v>
      </c>
      <c r="B4064" s="27">
        <v>39644</v>
      </c>
      <c r="C4064" s="28" t="s">
        <v>13052</v>
      </c>
      <c r="D4064" s="27">
        <v>39643</v>
      </c>
      <c r="E4064" s="28" t="s">
        <v>13053</v>
      </c>
      <c r="F4064" s="28" t="s">
        <v>124</v>
      </c>
      <c r="G4064" s="28" t="s">
        <v>20</v>
      </c>
      <c r="H4064" s="28" t="s">
        <v>71</v>
      </c>
      <c r="I4064" s="28" t="s">
        <v>72</v>
      </c>
      <c r="J4064" s="28" t="s">
        <v>5564</v>
      </c>
      <c r="K4064" s="28" t="s">
        <v>13054</v>
      </c>
      <c r="L4064" s="28" t="s">
        <v>4282</v>
      </c>
      <c r="M4064" s="28" t="s">
        <v>21</v>
      </c>
      <c r="N4064" s="27">
        <v>39690</v>
      </c>
      <c r="O4064" s="92">
        <v>39650</v>
      </c>
      <c r="P4064" s="28" t="s">
        <v>31</v>
      </c>
      <c r="Q4064" s="26" t="b">
        <v>1</v>
      </c>
      <c r="R4064" s="22">
        <f t="shared" si="66"/>
        <v>6</v>
      </c>
    </row>
    <row r="4065" spans="1:18">
      <c r="A4065" s="26">
        <v>9238</v>
      </c>
      <c r="B4065" s="27">
        <v>39645</v>
      </c>
      <c r="C4065" s="28" t="s">
        <v>13055</v>
      </c>
      <c r="D4065" s="27">
        <v>39608</v>
      </c>
      <c r="E4065" s="28" t="s">
        <v>38</v>
      </c>
      <c r="F4065" s="28" t="s">
        <v>85</v>
      </c>
      <c r="G4065" s="28" t="s">
        <v>20</v>
      </c>
      <c r="H4065" s="28" t="s">
        <v>71</v>
      </c>
      <c r="I4065" s="28" t="s">
        <v>72</v>
      </c>
      <c r="J4065" s="28" t="s">
        <v>13056</v>
      </c>
      <c r="K4065" s="28" t="s">
        <v>13057</v>
      </c>
      <c r="L4065" s="28" t="s">
        <v>12967</v>
      </c>
      <c r="M4065" s="28" t="s">
        <v>21</v>
      </c>
      <c r="N4065" s="18"/>
      <c r="O4065" s="92">
        <v>39615</v>
      </c>
      <c r="P4065" s="28" t="s">
        <v>31</v>
      </c>
      <c r="Q4065" s="26" t="b">
        <v>1</v>
      </c>
      <c r="R4065" s="22">
        <f t="shared" si="66"/>
        <v>30</v>
      </c>
    </row>
    <row r="4066" spans="1:18">
      <c r="A4066" s="26">
        <v>9239</v>
      </c>
      <c r="B4066" s="27">
        <v>39646</v>
      </c>
      <c r="C4066" s="28" t="s">
        <v>13058</v>
      </c>
      <c r="D4066" s="27">
        <v>39644</v>
      </c>
      <c r="E4066" s="28" t="s">
        <v>13059</v>
      </c>
      <c r="F4066" s="28" t="s">
        <v>27</v>
      </c>
      <c r="G4066" s="28" t="s">
        <v>20</v>
      </c>
      <c r="H4066" s="28" t="s">
        <v>71</v>
      </c>
      <c r="I4066" s="28" t="s">
        <v>72</v>
      </c>
      <c r="J4066" s="28" t="s">
        <v>13060</v>
      </c>
      <c r="K4066" s="28" t="s">
        <v>13061</v>
      </c>
      <c r="L4066" s="28" t="s">
        <v>4579</v>
      </c>
      <c r="M4066" s="28" t="s">
        <v>21</v>
      </c>
      <c r="N4066" s="27">
        <v>39676</v>
      </c>
      <c r="O4066" s="92">
        <v>39673</v>
      </c>
      <c r="P4066" s="28" t="s">
        <v>31</v>
      </c>
      <c r="Q4066" s="26" t="b">
        <v>1</v>
      </c>
      <c r="R4066" s="22">
        <f t="shared" si="66"/>
        <v>26</v>
      </c>
    </row>
    <row r="4067" spans="1:18">
      <c r="A4067" s="26">
        <v>9240</v>
      </c>
      <c r="B4067" s="27">
        <v>39646</v>
      </c>
      <c r="C4067" s="28" t="s">
        <v>13062</v>
      </c>
      <c r="D4067" s="27">
        <v>39645</v>
      </c>
      <c r="E4067" s="28" t="s">
        <v>38</v>
      </c>
      <c r="F4067" s="28" t="s">
        <v>327</v>
      </c>
      <c r="G4067" s="28" t="s">
        <v>20</v>
      </c>
      <c r="H4067" s="28" t="s">
        <v>71</v>
      </c>
      <c r="I4067" s="28" t="s">
        <v>72</v>
      </c>
      <c r="J4067" s="28" t="s">
        <v>13063</v>
      </c>
      <c r="K4067" s="28" t="s">
        <v>21</v>
      </c>
      <c r="L4067" s="28" t="s">
        <v>4282</v>
      </c>
      <c r="M4067" s="28" t="s">
        <v>21</v>
      </c>
      <c r="N4067" s="18"/>
      <c r="O4067" s="92">
        <v>39647</v>
      </c>
      <c r="P4067" s="28" t="s">
        <v>21</v>
      </c>
      <c r="Q4067" s="26" t="b">
        <v>0</v>
      </c>
      <c r="R4067" s="22">
        <f t="shared" si="66"/>
        <v>1</v>
      </c>
    </row>
    <row r="4068" spans="1:18">
      <c r="A4068" s="26">
        <v>9241</v>
      </c>
      <c r="B4068" s="27">
        <v>39647</v>
      </c>
      <c r="C4068" s="28" t="s">
        <v>13064</v>
      </c>
      <c r="D4068" s="27">
        <v>39644</v>
      </c>
      <c r="E4068" s="28" t="s">
        <v>38</v>
      </c>
      <c r="F4068" s="28" t="s">
        <v>242</v>
      </c>
      <c r="G4068" s="28" t="s">
        <v>20</v>
      </c>
      <c r="H4068" s="28" t="s">
        <v>71</v>
      </c>
      <c r="I4068" s="28" t="s">
        <v>72</v>
      </c>
      <c r="J4068" s="28" t="s">
        <v>13065</v>
      </c>
      <c r="K4068" s="28" t="s">
        <v>21</v>
      </c>
      <c r="L4068" s="28" t="s">
        <v>12967</v>
      </c>
      <c r="M4068" s="28" t="s">
        <v>21</v>
      </c>
      <c r="N4068" s="18"/>
      <c r="O4068" s="92">
        <v>39647</v>
      </c>
      <c r="P4068" s="28" t="s">
        <v>21</v>
      </c>
      <c r="Q4068" s="26" t="b">
        <v>0</v>
      </c>
      <c r="R4068" s="22">
        <f t="shared" si="66"/>
        <v>0</v>
      </c>
    </row>
    <row r="4069" spans="1:18">
      <c r="A4069" s="26">
        <v>9242</v>
      </c>
      <c r="B4069" s="27">
        <v>39657</v>
      </c>
      <c r="C4069" s="28" t="s">
        <v>13066</v>
      </c>
      <c r="D4069" s="27">
        <v>39650</v>
      </c>
      <c r="E4069" s="28" t="s">
        <v>38</v>
      </c>
      <c r="F4069" s="28" t="s">
        <v>27</v>
      </c>
      <c r="G4069" s="28" t="s">
        <v>20</v>
      </c>
      <c r="H4069" s="28" t="s">
        <v>71</v>
      </c>
      <c r="I4069" s="28" t="s">
        <v>72</v>
      </c>
      <c r="J4069" s="28" t="s">
        <v>13067</v>
      </c>
      <c r="K4069" s="28" t="s">
        <v>3494</v>
      </c>
      <c r="L4069" s="28" t="s">
        <v>1946</v>
      </c>
      <c r="M4069" s="28" t="s">
        <v>21</v>
      </c>
      <c r="O4069" s="92">
        <v>39678</v>
      </c>
      <c r="P4069" s="28" t="s">
        <v>21</v>
      </c>
      <c r="Q4069" s="26" t="b">
        <v>0</v>
      </c>
      <c r="R4069" s="22">
        <f t="shared" si="66"/>
        <v>20</v>
      </c>
    </row>
    <row r="4070" spans="1:18">
      <c r="A4070" s="26">
        <v>9243</v>
      </c>
      <c r="B4070" s="27">
        <v>39657</v>
      </c>
      <c r="C4070" s="28" t="s">
        <v>13068</v>
      </c>
      <c r="D4070" s="27">
        <v>39652</v>
      </c>
      <c r="E4070" s="28" t="s">
        <v>13069</v>
      </c>
      <c r="F4070" s="28" t="s">
        <v>52</v>
      </c>
      <c r="G4070" s="28" t="s">
        <v>20</v>
      </c>
      <c r="H4070" s="28" t="s">
        <v>71</v>
      </c>
      <c r="I4070" s="28" t="s">
        <v>72</v>
      </c>
      <c r="J4070" s="28" t="s">
        <v>13070</v>
      </c>
      <c r="K4070" s="28" t="s">
        <v>13071</v>
      </c>
      <c r="L4070" s="28" t="s">
        <v>3588</v>
      </c>
      <c r="M4070" s="28" t="s">
        <v>21</v>
      </c>
      <c r="N4070" s="29">
        <v>39688</v>
      </c>
      <c r="O4070" s="92">
        <v>39671</v>
      </c>
      <c r="P4070" s="28" t="s">
        <v>31</v>
      </c>
      <c r="Q4070" s="26" t="b">
        <v>0</v>
      </c>
      <c r="R4070" s="22">
        <f t="shared" si="66"/>
        <v>13</v>
      </c>
    </row>
    <row r="4071" spans="1:18">
      <c r="A4071" s="26">
        <v>9244</v>
      </c>
      <c r="B4071" s="27">
        <v>39657</v>
      </c>
      <c r="C4071" s="28" t="s">
        <v>13072</v>
      </c>
      <c r="D4071" s="27">
        <v>39651</v>
      </c>
      <c r="E4071" s="28" t="s">
        <v>13073</v>
      </c>
      <c r="F4071" s="28" t="s">
        <v>228</v>
      </c>
      <c r="G4071" s="28" t="s">
        <v>20</v>
      </c>
      <c r="H4071" s="28" t="s">
        <v>71</v>
      </c>
      <c r="I4071" s="28" t="s">
        <v>72</v>
      </c>
      <c r="J4071" s="28" t="s">
        <v>13074</v>
      </c>
      <c r="K4071" s="28" t="s">
        <v>13075</v>
      </c>
      <c r="L4071" s="28" t="s">
        <v>4282</v>
      </c>
      <c r="M4071" s="28" t="s">
        <v>21</v>
      </c>
      <c r="N4071" s="27">
        <v>39743</v>
      </c>
      <c r="O4071" s="92">
        <v>39764</v>
      </c>
      <c r="P4071" s="28" t="s">
        <v>21</v>
      </c>
      <c r="Q4071" s="26" t="b">
        <v>0</v>
      </c>
      <c r="R4071" s="22">
        <f t="shared" si="66"/>
        <v>105</v>
      </c>
    </row>
    <row r="4072" spans="1:18">
      <c r="A4072" s="26">
        <v>9245</v>
      </c>
      <c r="B4072" s="27">
        <v>39659</v>
      </c>
      <c r="C4072" s="28" t="s">
        <v>13076</v>
      </c>
      <c r="D4072" s="27">
        <v>39657</v>
      </c>
      <c r="E4072" s="28" t="s">
        <v>13077</v>
      </c>
      <c r="F4072" s="28" t="s">
        <v>13078</v>
      </c>
      <c r="G4072" s="28" t="s">
        <v>20</v>
      </c>
      <c r="H4072" s="28" t="s">
        <v>71</v>
      </c>
      <c r="I4072" s="28" t="s">
        <v>72</v>
      </c>
      <c r="J4072" s="28" t="s">
        <v>13079</v>
      </c>
      <c r="K4072" s="28" t="s">
        <v>6081</v>
      </c>
      <c r="L4072" s="28" t="s">
        <v>3588</v>
      </c>
      <c r="M4072" s="28" t="s">
        <v>21</v>
      </c>
      <c r="N4072" s="29">
        <v>39690</v>
      </c>
      <c r="O4072" s="92">
        <v>39694</v>
      </c>
      <c r="P4072" s="28" t="s">
        <v>31</v>
      </c>
      <c r="Q4072" s="26" t="b">
        <v>1</v>
      </c>
      <c r="R4072" s="22">
        <f t="shared" si="66"/>
        <v>33</v>
      </c>
    </row>
    <row r="4073" spans="1:18">
      <c r="A4073" s="26">
        <v>9246</v>
      </c>
      <c r="B4073" s="27">
        <v>39659</v>
      </c>
      <c r="C4073" s="28" t="s">
        <v>13080</v>
      </c>
      <c r="D4073" s="27">
        <v>39654</v>
      </c>
      <c r="E4073" s="28" t="s">
        <v>13081</v>
      </c>
      <c r="F4073" s="28" t="s">
        <v>2413</v>
      </c>
      <c r="G4073" s="28" t="s">
        <v>20</v>
      </c>
      <c r="H4073" s="28" t="s">
        <v>71</v>
      </c>
      <c r="I4073" s="28" t="s">
        <v>72</v>
      </c>
      <c r="J4073" s="28" t="s">
        <v>13082</v>
      </c>
      <c r="K4073" s="28" t="s">
        <v>13083</v>
      </c>
      <c r="L4073" s="28" t="s">
        <v>4579</v>
      </c>
      <c r="M4073" s="28" t="s">
        <v>21</v>
      </c>
      <c r="N4073" s="29">
        <v>39706</v>
      </c>
      <c r="O4073" s="92">
        <v>39694</v>
      </c>
      <c r="P4073" s="28" t="s">
        <v>21</v>
      </c>
      <c r="Q4073" s="26" t="b">
        <v>1</v>
      </c>
      <c r="R4073" s="22">
        <f t="shared" si="66"/>
        <v>33</v>
      </c>
    </row>
    <row r="4074" spans="1:18" ht="24">
      <c r="A4074" s="26">
        <v>9247</v>
      </c>
      <c r="B4074" s="27">
        <v>39664</v>
      </c>
      <c r="C4074" s="28" t="s">
        <v>13084</v>
      </c>
      <c r="D4074" s="27">
        <v>39660</v>
      </c>
      <c r="E4074" s="28" t="s">
        <v>13085</v>
      </c>
      <c r="F4074" s="28" t="s">
        <v>13086</v>
      </c>
      <c r="G4074" s="28" t="s">
        <v>20</v>
      </c>
      <c r="H4074" s="28" t="s">
        <v>71</v>
      </c>
      <c r="I4074" s="28" t="s">
        <v>72</v>
      </c>
      <c r="J4074" s="28" t="s">
        <v>11130</v>
      </c>
      <c r="K4074" s="28" t="s">
        <v>13087</v>
      </c>
      <c r="L4074" s="28" t="s">
        <v>3588</v>
      </c>
      <c r="M4074" s="28" t="s">
        <v>21</v>
      </c>
      <c r="N4074" s="29">
        <v>39752</v>
      </c>
      <c r="O4074" s="92">
        <v>39736</v>
      </c>
      <c r="P4074" s="28" t="s">
        <v>31</v>
      </c>
      <c r="Q4074" s="26" t="b">
        <v>1</v>
      </c>
      <c r="R4074" s="22">
        <f t="shared" si="66"/>
        <v>71</v>
      </c>
    </row>
    <row r="4075" spans="1:18">
      <c r="A4075" s="26">
        <v>9248</v>
      </c>
      <c r="B4075" s="27">
        <v>39666</v>
      </c>
      <c r="C4075" s="28" t="s">
        <v>13088</v>
      </c>
      <c r="D4075" s="27">
        <v>39665</v>
      </c>
      <c r="E4075" s="28" t="s">
        <v>13089</v>
      </c>
      <c r="F4075" s="28" t="s">
        <v>974</v>
      </c>
      <c r="G4075" s="28" t="s">
        <v>20</v>
      </c>
      <c r="H4075" s="28" t="s">
        <v>212</v>
      </c>
      <c r="I4075" s="28" t="s">
        <v>212</v>
      </c>
      <c r="J4075" s="28" t="s">
        <v>13090</v>
      </c>
      <c r="K4075" s="28" t="s">
        <v>7085</v>
      </c>
      <c r="L4075" s="28" t="s">
        <v>4579</v>
      </c>
      <c r="M4075" s="28" t="s">
        <v>21</v>
      </c>
      <c r="N4075" s="29">
        <v>39711</v>
      </c>
      <c r="O4075" s="92">
        <v>39696</v>
      </c>
      <c r="P4075" s="28" t="s">
        <v>31</v>
      </c>
      <c r="Q4075" s="26" t="b">
        <v>1</v>
      </c>
      <c r="R4075" s="22">
        <f t="shared" si="66"/>
        <v>29</v>
      </c>
    </row>
    <row r="4076" spans="1:18" ht="24">
      <c r="A4076" s="26">
        <v>9249</v>
      </c>
      <c r="B4076" s="27">
        <v>39666</v>
      </c>
      <c r="C4076" s="28" t="s">
        <v>13091</v>
      </c>
      <c r="D4076" s="27">
        <v>39664</v>
      </c>
      <c r="E4076" s="28" t="s">
        <v>13092</v>
      </c>
      <c r="F4076" s="28" t="s">
        <v>7179</v>
      </c>
      <c r="G4076" s="28" t="s">
        <v>20</v>
      </c>
      <c r="H4076" s="28" t="s">
        <v>71</v>
      </c>
      <c r="I4076" s="28" t="s">
        <v>72</v>
      </c>
      <c r="J4076" s="28" t="s">
        <v>13093</v>
      </c>
      <c r="K4076" s="28" t="s">
        <v>13094</v>
      </c>
      <c r="L4076" s="28" t="s">
        <v>3588</v>
      </c>
      <c r="M4076" s="28" t="s">
        <v>21</v>
      </c>
      <c r="N4076" s="29">
        <v>39697</v>
      </c>
      <c r="O4076" s="92">
        <v>39693</v>
      </c>
      <c r="P4076" s="28" t="s">
        <v>31</v>
      </c>
      <c r="Q4076" s="26" t="b">
        <v>1</v>
      </c>
      <c r="R4076" s="22">
        <f t="shared" si="66"/>
        <v>26</v>
      </c>
    </row>
    <row r="4077" spans="1:18">
      <c r="A4077" s="26">
        <v>9251</v>
      </c>
      <c r="B4077" s="27">
        <v>39671</v>
      </c>
      <c r="C4077" s="28" t="s">
        <v>13095</v>
      </c>
      <c r="D4077" s="27">
        <v>39668</v>
      </c>
      <c r="E4077" s="28" t="s">
        <v>11030</v>
      </c>
      <c r="F4077" s="28" t="s">
        <v>242</v>
      </c>
      <c r="G4077" s="28" t="s">
        <v>20</v>
      </c>
      <c r="H4077" s="28" t="s">
        <v>71</v>
      </c>
      <c r="I4077" s="28" t="s">
        <v>72</v>
      </c>
      <c r="J4077" s="28" t="s">
        <v>13096</v>
      </c>
      <c r="K4077" s="28" t="s">
        <v>13097</v>
      </c>
      <c r="L4077" s="28" t="s">
        <v>4282</v>
      </c>
      <c r="M4077" s="28" t="s">
        <v>21</v>
      </c>
      <c r="O4077" s="92">
        <v>39772</v>
      </c>
      <c r="P4077" s="28" t="s">
        <v>21</v>
      </c>
      <c r="Q4077" s="26" t="b">
        <v>0</v>
      </c>
      <c r="R4077" s="22">
        <f t="shared" si="66"/>
        <v>100</v>
      </c>
    </row>
    <row r="4078" spans="1:18">
      <c r="A4078" s="26">
        <v>9252</v>
      </c>
      <c r="B4078" s="27">
        <v>39671</v>
      </c>
      <c r="C4078" s="28" t="s">
        <v>13098</v>
      </c>
      <c r="D4078" s="27">
        <v>39671</v>
      </c>
      <c r="E4078" s="28" t="s">
        <v>38</v>
      </c>
      <c r="F4078" s="28" t="s">
        <v>124</v>
      </c>
      <c r="G4078" s="28" t="s">
        <v>20</v>
      </c>
      <c r="H4078" s="28" t="s">
        <v>71</v>
      </c>
      <c r="I4078" s="28" t="s">
        <v>72</v>
      </c>
      <c r="J4078" s="28" t="s">
        <v>13099</v>
      </c>
      <c r="K4078" s="28" t="s">
        <v>13100</v>
      </c>
      <c r="L4078" s="28" t="s">
        <v>3588</v>
      </c>
      <c r="M4078" s="28" t="s">
        <v>21</v>
      </c>
      <c r="N4078" s="18"/>
      <c r="O4078" s="92">
        <v>39671</v>
      </c>
      <c r="P4078" s="28" t="s">
        <v>21</v>
      </c>
      <c r="Q4078" s="26" t="b">
        <v>0</v>
      </c>
      <c r="R4078" s="22">
        <f t="shared" si="66"/>
        <v>0</v>
      </c>
    </row>
    <row r="4079" spans="1:18">
      <c r="A4079" s="26">
        <v>9253</v>
      </c>
      <c r="B4079" s="27">
        <v>39672</v>
      </c>
      <c r="C4079" s="28" t="s">
        <v>13101</v>
      </c>
      <c r="D4079" s="27">
        <v>39668</v>
      </c>
      <c r="E4079" s="28" t="s">
        <v>13102</v>
      </c>
      <c r="F4079" s="28" t="s">
        <v>12696</v>
      </c>
      <c r="G4079" s="28" t="s">
        <v>20</v>
      </c>
      <c r="H4079" s="28" t="s">
        <v>71</v>
      </c>
      <c r="I4079" s="28" t="s">
        <v>72</v>
      </c>
      <c r="J4079" s="28" t="s">
        <v>13103</v>
      </c>
      <c r="K4079" s="28" t="s">
        <v>5369</v>
      </c>
      <c r="L4079" s="28" t="s">
        <v>4579</v>
      </c>
      <c r="M4079" s="28" t="s">
        <v>21</v>
      </c>
      <c r="N4079" s="29">
        <v>39763</v>
      </c>
      <c r="O4079" s="92">
        <v>39720</v>
      </c>
      <c r="P4079" s="28" t="s">
        <v>31</v>
      </c>
      <c r="Q4079" s="26" t="b">
        <v>1</v>
      </c>
      <c r="R4079" s="22">
        <f t="shared" si="66"/>
        <v>47</v>
      </c>
    </row>
    <row r="4080" spans="1:18">
      <c r="A4080" s="26">
        <v>9254</v>
      </c>
      <c r="B4080" s="27">
        <v>39673</v>
      </c>
      <c r="C4080" s="28" t="s">
        <v>13104</v>
      </c>
      <c r="D4080" s="27">
        <v>39668</v>
      </c>
      <c r="E4080" s="28" t="s">
        <v>38</v>
      </c>
      <c r="F4080" s="28" t="s">
        <v>124</v>
      </c>
      <c r="G4080" s="28" t="s">
        <v>20</v>
      </c>
      <c r="H4080" s="28" t="s">
        <v>71</v>
      </c>
      <c r="I4080" s="28" t="s">
        <v>72</v>
      </c>
      <c r="J4080" s="28" t="s">
        <v>13105</v>
      </c>
      <c r="K4080" s="28" t="s">
        <v>21</v>
      </c>
      <c r="L4080" s="28" t="s">
        <v>3588</v>
      </c>
      <c r="M4080" s="28" t="s">
        <v>21</v>
      </c>
      <c r="O4080" s="92">
        <v>39673</v>
      </c>
      <c r="P4080" s="28" t="s">
        <v>21</v>
      </c>
      <c r="Q4080" s="26" t="b">
        <v>0</v>
      </c>
      <c r="R4080" s="22">
        <f t="shared" si="66"/>
        <v>0</v>
      </c>
    </row>
    <row r="4081" spans="1:18">
      <c r="A4081" s="26">
        <v>9255</v>
      </c>
      <c r="B4081" s="27">
        <v>39679</v>
      </c>
      <c r="C4081" s="28" t="s">
        <v>13106</v>
      </c>
      <c r="D4081" s="27">
        <v>39678</v>
      </c>
      <c r="E4081" s="28" t="s">
        <v>38</v>
      </c>
      <c r="F4081" s="28" t="s">
        <v>129</v>
      </c>
      <c r="G4081" s="28" t="s">
        <v>20</v>
      </c>
      <c r="H4081" s="28" t="s">
        <v>71</v>
      </c>
      <c r="I4081" s="28" t="s">
        <v>72</v>
      </c>
      <c r="J4081" s="28" t="s">
        <v>13107</v>
      </c>
      <c r="K4081" s="28" t="s">
        <v>13108</v>
      </c>
      <c r="L4081" s="28" t="s">
        <v>1946</v>
      </c>
      <c r="M4081" s="28" t="s">
        <v>21</v>
      </c>
      <c r="N4081" s="18"/>
      <c r="O4081" s="92">
        <v>39701</v>
      </c>
      <c r="P4081" s="28" t="s">
        <v>21</v>
      </c>
      <c r="Q4081" s="26" t="b">
        <v>0</v>
      </c>
      <c r="R4081" s="22">
        <f t="shared" si="66"/>
        <v>21</v>
      </c>
    </row>
    <row r="4082" spans="1:18">
      <c r="A4082" s="26">
        <v>9256</v>
      </c>
      <c r="B4082" s="27">
        <v>39679</v>
      </c>
      <c r="C4082" s="28" t="s">
        <v>13109</v>
      </c>
      <c r="D4082" s="27">
        <v>39671</v>
      </c>
      <c r="E4082" s="28" t="s">
        <v>38</v>
      </c>
      <c r="F4082" s="28" t="s">
        <v>371</v>
      </c>
      <c r="G4082" s="28" t="s">
        <v>20</v>
      </c>
      <c r="H4082" s="28" t="s">
        <v>71</v>
      </c>
      <c r="I4082" s="28" t="s">
        <v>72</v>
      </c>
      <c r="J4082" s="28" t="s">
        <v>6331</v>
      </c>
      <c r="K4082" s="28" t="s">
        <v>21</v>
      </c>
      <c r="L4082" s="28" t="s">
        <v>12967</v>
      </c>
      <c r="M4082" s="28" t="s">
        <v>21</v>
      </c>
      <c r="N4082" s="18"/>
      <c r="O4082" s="92">
        <v>39679</v>
      </c>
      <c r="P4082" s="28" t="s">
        <v>31</v>
      </c>
      <c r="Q4082" s="26" t="b">
        <v>0</v>
      </c>
      <c r="R4082" s="22">
        <f t="shared" si="66"/>
        <v>0</v>
      </c>
    </row>
    <row r="4083" spans="1:18">
      <c r="A4083" s="26">
        <v>9257</v>
      </c>
      <c r="B4083" s="27">
        <v>39679</v>
      </c>
      <c r="C4083" s="28" t="s">
        <v>13110</v>
      </c>
      <c r="D4083" s="27">
        <v>39679</v>
      </c>
      <c r="E4083" s="28" t="s">
        <v>38</v>
      </c>
      <c r="F4083" s="28" t="s">
        <v>242</v>
      </c>
      <c r="G4083" s="28" t="s">
        <v>20</v>
      </c>
      <c r="H4083" s="28" t="s">
        <v>71</v>
      </c>
      <c r="I4083" s="28" t="s">
        <v>72</v>
      </c>
      <c r="J4083" s="28" t="s">
        <v>13111</v>
      </c>
      <c r="K4083" s="28" t="s">
        <v>13112</v>
      </c>
      <c r="L4083" s="28" t="s">
        <v>4282</v>
      </c>
      <c r="M4083" s="28" t="s">
        <v>21</v>
      </c>
      <c r="O4083" s="92">
        <v>39679</v>
      </c>
      <c r="P4083" s="28" t="s">
        <v>21</v>
      </c>
      <c r="Q4083" s="26" t="b">
        <v>0</v>
      </c>
      <c r="R4083" s="22">
        <f t="shared" si="66"/>
        <v>0</v>
      </c>
    </row>
    <row r="4084" spans="1:18">
      <c r="A4084" s="26">
        <v>9258</v>
      </c>
      <c r="B4084" s="27">
        <v>39680</v>
      </c>
      <c r="C4084" s="28" t="s">
        <v>13113</v>
      </c>
      <c r="D4084" s="27">
        <v>39672</v>
      </c>
      <c r="E4084" s="28" t="s">
        <v>38</v>
      </c>
      <c r="F4084" s="28" t="s">
        <v>124</v>
      </c>
      <c r="G4084" s="28" t="s">
        <v>20</v>
      </c>
      <c r="H4084" s="28" t="s">
        <v>71</v>
      </c>
      <c r="I4084" s="28" t="s">
        <v>72</v>
      </c>
      <c r="J4084" s="28" t="s">
        <v>2547</v>
      </c>
      <c r="K4084" s="28" t="s">
        <v>13114</v>
      </c>
      <c r="L4084" s="28" t="s">
        <v>3588</v>
      </c>
      <c r="M4084" s="28" t="s">
        <v>21</v>
      </c>
      <c r="N4084" s="18"/>
      <c r="O4084" s="92">
        <v>39680</v>
      </c>
      <c r="P4084" s="28" t="s">
        <v>21</v>
      </c>
      <c r="Q4084" s="26" t="b">
        <v>0</v>
      </c>
      <c r="R4084" s="22">
        <f t="shared" si="66"/>
        <v>0</v>
      </c>
    </row>
    <row r="4085" spans="1:18">
      <c r="A4085" s="26">
        <v>9259</v>
      </c>
      <c r="B4085" s="27">
        <v>39682</v>
      </c>
      <c r="C4085" s="28" t="s">
        <v>13115</v>
      </c>
      <c r="D4085" s="27">
        <v>39671</v>
      </c>
      <c r="E4085" s="28" t="s">
        <v>10998</v>
      </c>
      <c r="F4085" s="28" t="s">
        <v>741</v>
      </c>
      <c r="G4085" s="28" t="s">
        <v>20</v>
      </c>
      <c r="H4085" s="28" t="s">
        <v>71</v>
      </c>
      <c r="I4085" s="28" t="s">
        <v>72</v>
      </c>
      <c r="J4085" s="28" t="s">
        <v>13116</v>
      </c>
      <c r="K4085" s="28" t="s">
        <v>13117</v>
      </c>
      <c r="L4085" s="28" t="s">
        <v>1946</v>
      </c>
      <c r="M4085" s="28" t="s">
        <v>21</v>
      </c>
      <c r="N4085" s="18"/>
      <c r="O4085" s="92">
        <v>39708</v>
      </c>
      <c r="P4085" s="28" t="s">
        <v>21</v>
      </c>
      <c r="Q4085" s="26" t="b">
        <v>0</v>
      </c>
      <c r="R4085" s="22">
        <f t="shared" si="66"/>
        <v>25</v>
      </c>
    </row>
    <row r="4086" spans="1:18">
      <c r="A4086" s="26">
        <v>9260</v>
      </c>
      <c r="B4086" s="27">
        <v>39685</v>
      </c>
      <c r="C4086" s="28" t="s">
        <v>13118</v>
      </c>
      <c r="D4086" s="27">
        <v>39679</v>
      </c>
      <c r="E4086" s="28" t="s">
        <v>13119</v>
      </c>
      <c r="F4086" s="28" t="s">
        <v>19</v>
      </c>
      <c r="G4086" s="28" t="s">
        <v>20</v>
      </c>
      <c r="H4086" s="28" t="s">
        <v>71</v>
      </c>
      <c r="I4086" s="28" t="s">
        <v>72</v>
      </c>
      <c r="J4086" s="28" t="s">
        <v>2867</v>
      </c>
      <c r="K4086" s="28" t="s">
        <v>13120</v>
      </c>
      <c r="L4086" s="28" t="s">
        <v>4282</v>
      </c>
      <c r="M4086" s="28" t="s">
        <v>21</v>
      </c>
      <c r="N4086" s="27">
        <v>39712</v>
      </c>
      <c r="O4086" s="92">
        <v>39714</v>
      </c>
      <c r="P4086" s="28" t="s">
        <v>31</v>
      </c>
      <c r="Q4086" s="26" t="b">
        <v>1</v>
      </c>
      <c r="R4086" s="22">
        <f t="shared" si="66"/>
        <v>28</v>
      </c>
    </row>
    <row r="4087" spans="1:18">
      <c r="A4087" s="26">
        <v>9261</v>
      </c>
      <c r="B4087" s="27">
        <v>39685</v>
      </c>
      <c r="C4087" s="28" t="s">
        <v>13121</v>
      </c>
      <c r="D4087" s="27">
        <v>39685</v>
      </c>
      <c r="E4087" s="28" t="s">
        <v>11030</v>
      </c>
      <c r="F4087" s="28" t="s">
        <v>13122</v>
      </c>
      <c r="G4087" s="28" t="s">
        <v>20</v>
      </c>
      <c r="H4087" s="28" t="s">
        <v>71</v>
      </c>
      <c r="I4087" s="28" t="s">
        <v>72</v>
      </c>
      <c r="J4087" s="28" t="s">
        <v>7071</v>
      </c>
      <c r="K4087" s="28" t="s">
        <v>13123</v>
      </c>
      <c r="L4087" s="28" t="s">
        <v>4282</v>
      </c>
      <c r="M4087" s="28" t="s">
        <v>21</v>
      </c>
      <c r="O4087" s="92">
        <v>39772</v>
      </c>
      <c r="P4087" s="28" t="s">
        <v>21</v>
      </c>
      <c r="Q4087" s="26" t="b">
        <v>0</v>
      </c>
      <c r="R4087" s="22">
        <f t="shared" si="66"/>
        <v>86</v>
      </c>
    </row>
    <row r="4088" spans="1:18">
      <c r="A4088" s="26">
        <v>9262</v>
      </c>
      <c r="B4088" s="27">
        <v>39685</v>
      </c>
      <c r="C4088" s="28" t="s">
        <v>13124</v>
      </c>
      <c r="D4088" s="27">
        <v>39676</v>
      </c>
      <c r="E4088" s="28" t="s">
        <v>38</v>
      </c>
      <c r="F4088" s="28" t="s">
        <v>124</v>
      </c>
      <c r="G4088" s="28" t="s">
        <v>20</v>
      </c>
      <c r="H4088" s="28" t="s">
        <v>71</v>
      </c>
      <c r="I4088" s="28" t="s">
        <v>72</v>
      </c>
      <c r="J4088" s="28" t="s">
        <v>13125</v>
      </c>
      <c r="K4088" s="28" t="s">
        <v>13126</v>
      </c>
      <c r="L4088" s="28" t="s">
        <v>3588</v>
      </c>
      <c r="M4088" s="28" t="s">
        <v>21</v>
      </c>
      <c r="O4088" s="92">
        <v>39694</v>
      </c>
      <c r="P4088" s="28" t="s">
        <v>21</v>
      </c>
      <c r="Q4088" s="26" t="b">
        <v>0</v>
      </c>
      <c r="R4088" s="22">
        <f t="shared" si="66"/>
        <v>8</v>
      </c>
    </row>
    <row r="4089" spans="1:18">
      <c r="A4089" s="26">
        <v>9263</v>
      </c>
      <c r="B4089" s="27">
        <v>39685</v>
      </c>
      <c r="C4089" s="28" t="s">
        <v>13127</v>
      </c>
      <c r="D4089" s="27">
        <v>39682</v>
      </c>
      <c r="E4089" s="28" t="s">
        <v>13128</v>
      </c>
      <c r="F4089" s="28" t="s">
        <v>984</v>
      </c>
      <c r="G4089" s="28" t="s">
        <v>20</v>
      </c>
      <c r="H4089" s="28" t="s">
        <v>71</v>
      </c>
      <c r="I4089" s="28" t="s">
        <v>72</v>
      </c>
      <c r="J4089" s="28" t="s">
        <v>13129</v>
      </c>
      <c r="K4089" s="28" t="s">
        <v>13130</v>
      </c>
      <c r="L4089" s="28" t="s">
        <v>3588</v>
      </c>
      <c r="M4089" s="28" t="s">
        <v>21</v>
      </c>
      <c r="N4089" s="27">
        <v>39716</v>
      </c>
      <c r="O4089" s="92">
        <v>39765</v>
      </c>
      <c r="P4089" s="28" t="s">
        <v>31</v>
      </c>
      <c r="Q4089" s="26" t="b">
        <v>1</v>
      </c>
      <c r="R4089" s="22">
        <f t="shared" si="66"/>
        <v>79</v>
      </c>
    </row>
    <row r="4090" spans="1:18">
      <c r="A4090" s="26">
        <v>9264</v>
      </c>
      <c r="B4090" s="27">
        <v>39685</v>
      </c>
      <c r="C4090" s="28" t="s">
        <v>13131</v>
      </c>
      <c r="D4090" s="27">
        <v>39682</v>
      </c>
      <c r="E4090" s="28" t="s">
        <v>13132</v>
      </c>
      <c r="F4090" s="28" t="s">
        <v>13133</v>
      </c>
      <c r="G4090" s="28" t="s">
        <v>20</v>
      </c>
      <c r="H4090" s="28" t="s">
        <v>71</v>
      </c>
      <c r="I4090" s="28" t="s">
        <v>72</v>
      </c>
      <c r="J4090" s="28" t="s">
        <v>13134</v>
      </c>
      <c r="K4090" s="28" t="s">
        <v>6081</v>
      </c>
      <c r="L4090" s="28" t="s">
        <v>3588</v>
      </c>
      <c r="M4090" s="28" t="s">
        <v>21</v>
      </c>
      <c r="N4090" s="29">
        <v>39716</v>
      </c>
      <c r="O4090" s="92">
        <v>39714</v>
      </c>
      <c r="P4090" s="28" t="s">
        <v>31</v>
      </c>
      <c r="Q4090" s="26" t="b">
        <v>1</v>
      </c>
      <c r="R4090" s="22">
        <f t="shared" si="66"/>
        <v>28</v>
      </c>
    </row>
    <row r="4091" spans="1:18">
      <c r="A4091" s="26">
        <v>9265</v>
      </c>
      <c r="B4091" s="27">
        <v>39687</v>
      </c>
      <c r="C4091" s="28" t="s">
        <v>13135</v>
      </c>
      <c r="D4091" s="27">
        <v>39674</v>
      </c>
      <c r="E4091" s="28" t="s">
        <v>38</v>
      </c>
      <c r="F4091" s="28" t="s">
        <v>124</v>
      </c>
      <c r="G4091" s="28" t="s">
        <v>20</v>
      </c>
      <c r="H4091" s="28" t="s">
        <v>71</v>
      </c>
      <c r="I4091" s="28" t="s">
        <v>72</v>
      </c>
      <c r="J4091" s="28" t="s">
        <v>379</v>
      </c>
      <c r="K4091" s="28" t="s">
        <v>21</v>
      </c>
      <c r="L4091" s="28" t="s">
        <v>12967</v>
      </c>
      <c r="M4091" s="28" t="s">
        <v>21</v>
      </c>
      <c r="O4091" s="92">
        <v>39686</v>
      </c>
      <c r="P4091" s="28" t="s">
        <v>21</v>
      </c>
      <c r="Q4091" s="26" t="b">
        <v>0</v>
      </c>
      <c r="R4091" s="22">
        <f t="shared" si="66"/>
        <v>1</v>
      </c>
    </row>
    <row r="4092" spans="1:18">
      <c r="A4092" s="26">
        <v>9266</v>
      </c>
      <c r="B4092" s="27">
        <v>39688</v>
      </c>
      <c r="C4092" s="28" t="s">
        <v>13136</v>
      </c>
      <c r="D4092" s="27">
        <v>39685</v>
      </c>
      <c r="E4092" s="28" t="s">
        <v>13137</v>
      </c>
      <c r="F4092" s="28" t="s">
        <v>124</v>
      </c>
      <c r="G4092" s="28" t="s">
        <v>20</v>
      </c>
      <c r="H4092" s="28" t="s">
        <v>71</v>
      </c>
      <c r="I4092" s="28" t="s">
        <v>72</v>
      </c>
      <c r="J4092" s="28" t="s">
        <v>13138</v>
      </c>
      <c r="K4092" s="28" t="s">
        <v>13139</v>
      </c>
      <c r="L4092" s="28" t="s">
        <v>1946</v>
      </c>
      <c r="M4092" s="28" t="s">
        <v>21</v>
      </c>
      <c r="N4092" s="29">
        <v>39719</v>
      </c>
      <c r="O4092" s="92">
        <v>39700</v>
      </c>
      <c r="P4092" s="28" t="s">
        <v>31</v>
      </c>
      <c r="Q4092" s="26" t="b">
        <v>1</v>
      </c>
      <c r="R4092" s="22">
        <f t="shared" si="66"/>
        <v>11</v>
      </c>
    </row>
    <row r="4093" spans="1:18">
      <c r="A4093" s="26">
        <v>9267</v>
      </c>
      <c r="B4093" s="27">
        <v>39688</v>
      </c>
      <c r="C4093" s="28" t="s">
        <v>13140</v>
      </c>
      <c r="D4093" s="27">
        <v>39687</v>
      </c>
      <c r="E4093" s="28" t="s">
        <v>13141</v>
      </c>
      <c r="F4093" s="28" t="s">
        <v>545</v>
      </c>
      <c r="G4093" s="28" t="s">
        <v>20</v>
      </c>
      <c r="H4093" s="28" t="s">
        <v>71</v>
      </c>
      <c r="I4093" s="28" t="s">
        <v>72</v>
      </c>
      <c r="J4093" s="28" t="s">
        <v>13142</v>
      </c>
      <c r="K4093" s="28" t="s">
        <v>6081</v>
      </c>
      <c r="L4093" s="28" t="s">
        <v>4282</v>
      </c>
      <c r="M4093" s="28" t="s">
        <v>21</v>
      </c>
      <c r="N4093" s="27">
        <v>39719</v>
      </c>
      <c r="O4093" s="92">
        <v>39702</v>
      </c>
      <c r="P4093" s="28" t="s">
        <v>31</v>
      </c>
      <c r="Q4093" s="26" t="b">
        <v>1</v>
      </c>
      <c r="R4093" s="22">
        <f t="shared" si="66"/>
        <v>13</v>
      </c>
    </row>
    <row r="4094" spans="1:18">
      <c r="A4094" s="26">
        <v>9269</v>
      </c>
      <c r="B4094" s="27">
        <v>39688</v>
      </c>
      <c r="C4094" s="28" t="s">
        <v>13145</v>
      </c>
      <c r="D4094" s="27">
        <v>39677</v>
      </c>
      <c r="E4094" s="28" t="s">
        <v>38</v>
      </c>
      <c r="F4094" s="28" t="s">
        <v>124</v>
      </c>
      <c r="G4094" s="28" t="s">
        <v>20</v>
      </c>
      <c r="H4094" s="28" t="s">
        <v>71</v>
      </c>
      <c r="I4094" s="28" t="s">
        <v>72</v>
      </c>
      <c r="J4094" s="28" t="s">
        <v>13146</v>
      </c>
      <c r="K4094" s="28" t="s">
        <v>21</v>
      </c>
      <c r="L4094" s="28" t="s">
        <v>12967</v>
      </c>
      <c r="M4094" s="28" t="s">
        <v>21</v>
      </c>
      <c r="N4094" s="18"/>
      <c r="O4094" s="92">
        <v>39689</v>
      </c>
      <c r="P4094" s="28" t="s">
        <v>21</v>
      </c>
      <c r="Q4094" s="26" t="b">
        <v>0</v>
      </c>
      <c r="R4094" s="22">
        <f t="shared" si="66"/>
        <v>1</v>
      </c>
    </row>
    <row r="4095" spans="1:18">
      <c r="A4095" s="26">
        <v>9270</v>
      </c>
      <c r="B4095" s="27">
        <v>39688</v>
      </c>
      <c r="C4095" s="28" t="s">
        <v>13147</v>
      </c>
      <c r="D4095" s="27">
        <v>39688</v>
      </c>
      <c r="E4095" s="28" t="s">
        <v>11030</v>
      </c>
      <c r="F4095" s="28" t="s">
        <v>149</v>
      </c>
      <c r="G4095" s="28" t="s">
        <v>20</v>
      </c>
      <c r="H4095" s="28" t="s">
        <v>71</v>
      </c>
      <c r="I4095" s="28" t="s">
        <v>72</v>
      </c>
      <c r="J4095" s="28" t="s">
        <v>13148</v>
      </c>
      <c r="K4095" s="28" t="s">
        <v>13149</v>
      </c>
      <c r="L4095" s="28" t="s">
        <v>4282</v>
      </c>
      <c r="M4095" s="28" t="s">
        <v>21</v>
      </c>
      <c r="N4095" s="18"/>
      <c r="O4095" s="92">
        <v>39772</v>
      </c>
      <c r="P4095" s="28" t="s">
        <v>21</v>
      </c>
      <c r="Q4095" s="26" t="b">
        <v>0</v>
      </c>
      <c r="R4095" s="22">
        <f t="shared" si="66"/>
        <v>83</v>
      </c>
    </row>
    <row r="4096" spans="1:18">
      <c r="A4096" s="26">
        <v>9268</v>
      </c>
      <c r="B4096" s="27">
        <v>39689</v>
      </c>
      <c r="C4096" s="28" t="s">
        <v>13143</v>
      </c>
      <c r="D4096" s="27">
        <v>39686</v>
      </c>
      <c r="E4096" s="28" t="s">
        <v>13141</v>
      </c>
      <c r="F4096" s="28" t="s">
        <v>27</v>
      </c>
      <c r="G4096" s="28" t="s">
        <v>20</v>
      </c>
      <c r="H4096" s="28" t="s">
        <v>71</v>
      </c>
      <c r="I4096" s="28" t="s">
        <v>72</v>
      </c>
      <c r="J4096" s="28" t="s">
        <v>13144</v>
      </c>
      <c r="K4096" s="28" t="s">
        <v>6081</v>
      </c>
      <c r="L4096" s="28" t="s">
        <v>4579</v>
      </c>
      <c r="M4096" s="28" t="s">
        <v>21</v>
      </c>
      <c r="N4096" s="29">
        <v>39719</v>
      </c>
      <c r="O4096" s="92">
        <v>39721</v>
      </c>
      <c r="P4096" s="28" t="s">
        <v>31</v>
      </c>
      <c r="Q4096" s="26" t="b">
        <v>1</v>
      </c>
      <c r="R4096" s="22">
        <f t="shared" si="66"/>
        <v>31</v>
      </c>
    </row>
    <row r="4097" spans="1:18">
      <c r="A4097" s="26">
        <v>9271</v>
      </c>
      <c r="B4097" s="27">
        <v>39694</v>
      </c>
      <c r="C4097" s="28" t="s">
        <v>13150</v>
      </c>
      <c r="D4097" s="27">
        <v>39688</v>
      </c>
      <c r="E4097" s="28" t="s">
        <v>13151</v>
      </c>
      <c r="F4097" s="28" t="s">
        <v>19</v>
      </c>
      <c r="G4097" s="28" t="s">
        <v>20</v>
      </c>
      <c r="H4097" s="28" t="s">
        <v>71</v>
      </c>
      <c r="I4097" s="28" t="s">
        <v>72</v>
      </c>
      <c r="J4097" s="28" t="s">
        <v>13152</v>
      </c>
      <c r="K4097" s="28" t="s">
        <v>222</v>
      </c>
      <c r="L4097" s="28" t="s">
        <v>4282</v>
      </c>
      <c r="M4097" s="28" t="s">
        <v>21</v>
      </c>
      <c r="N4097" s="29">
        <v>39738</v>
      </c>
      <c r="O4097" s="92">
        <v>40333</v>
      </c>
      <c r="P4097" s="28" t="s">
        <v>31</v>
      </c>
      <c r="Q4097" s="26" t="b">
        <v>1</v>
      </c>
      <c r="R4097" s="22">
        <f t="shared" si="66"/>
        <v>639</v>
      </c>
    </row>
    <row r="4098" spans="1:18">
      <c r="A4098" s="26">
        <v>9272</v>
      </c>
      <c r="B4098" s="27">
        <v>39694</v>
      </c>
      <c r="C4098" s="28" t="s">
        <v>13153</v>
      </c>
      <c r="D4098" s="27">
        <v>39687</v>
      </c>
      <c r="E4098" s="28" t="s">
        <v>10998</v>
      </c>
      <c r="F4098" s="28" t="s">
        <v>741</v>
      </c>
      <c r="G4098" s="28" t="s">
        <v>20</v>
      </c>
      <c r="H4098" s="28" t="s">
        <v>71</v>
      </c>
      <c r="I4098" s="28" t="s">
        <v>72</v>
      </c>
      <c r="J4098" s="28" t="s">
        <v>13154</v>
      </c>
      <c r="K4098" s="28" t="s">
        <v>13155</v>
      </c>
      <c r="L4098" s="28" t="s">
        <v>1946</v>
      </c>
      <c r="M4098" s="28" t="s">
        <v>21</v>
      </c>
      <c r="N4098" s="18"/>
      <c r="O4098" s="92">
        <v>39745</v>
      </c>
      <c r="P4098" s="28" t="s">
        <v>21</v>
      </c>
      <c r="Q4098" s="26" t="b">
        <v>0</v>
      </c>
      <c r="R4098" s="22">
        <f t="shared" si="66"/>
        <v>51</v>
      </c>
    </row>
    <row r="4099" spans="1:18" ht="24">
      <c r="A4099" s="26">
        <v>9273</v>
      </c>
      <c r="B4099" s="27">
        <v>39695</v>
      </c>
      <c r="C4099" s="28" t="s">
        <v>13156</v>
      </c>
      <c r="D4099" s="27">
        <v>38530</v>
      </c>
      <c r="E4099" s="28" t="s">
        <v>13157</v>
      </c>
      <c r="F4099" s="28" t="s">
        <v>984</v>
      </c>
      <c r="G4099" s="28" t="s">
        <v>20</v>
      </c>
      <c r="H4099" s="28" t="s">
        <v>71</v>
      </c>
      <c r="I4099" s="28" t="s">
        <v>72</v>
      </c>
      <c r="J4099" s="28" t="s">
        <v>13158</v>
      </c>
      <c r="K4099" s="28" t="s">
        <v>13159</v>
      </c>
      <c r="L4099" s="28" t="s">
        <v>3588</v>
      </c>
      <c r="M4099" s="28" t="s">
        <v>21</v>
      </c>
      <c r="O4099" s="92">
        <v>39764</v>
      </c>
      <c r="P4099" s="28" t="s">
        <v>21</v>
      </c>
      <c r="Q4099" s="26" t="b">
        <v>0</v>
      </c>
      <c r="R4099" s="22">
        <f t="shared" si="66"/>
        <v>68</v>
      </c>
    </row>
    <row r="4100" spans="1:18">
      <c r="A4100" s="26">
        <v>9274</v>
      </c>
      <c r="B4100" s="27">
        <v>39699</v>
      </c>
      <c r="C4100" s="28" t="s">
        <v>13160</v>
      </c>
      <c r="D4100" s="27">
        <v>39682</v>
      </c>
      <c r="E4100" s="28" t="s">
        <v>38</v>
      </c>
      <c r="F4100" s="28" t="s">
        <v>124</v>
      </c>
      <c r="G4100" s="28" t="s">
        <v>20</v>
      </c>
      <c r="H4100" s="28" t="s">
        <v>71</v>
      </c>
      <c r="I4100" s="28" t="s">
        <v>72</v>
      </c>
      <c r="J4100" s="28" t="s">
        <v>13161</v>
      </c>
      <c r="K4100" s="28" t="s">
        <v>21</v>
      </c>
      <c r="L4100" s="28" t="s">
        <v>12967</v>
      </c>
      <c r="M4100" s="28" t="s">
        <v>21</v>
      </c>
      <c r="O4100" s="92">
        <v>39699</v>
      </c>
      <c r="P4100" s="28" t="s">
        <v>21</v>
      </c>
      <c r="Q4100" s="26" t="b">
        <v>0</v>
      </c>
      <c r="R4100" s="22">
        <f t="shared" si="66"/>
        <v>0</v>
      </c>
    </row>
    <row r="4101" spans="1:18" ht="24">
      <c r="A4101" s="26">
        <v>9275</v>
      </c>
      <c r="B4101" s="27">
        <v>39699</v>
      </c>
      <c r="C4101" s="28" t="s">
        <v>13162</v>
      </c>
      <c r="D4101" s="27">
        <v>39688</v>
      </c>
      <c r="E4101" s="28" t="s">
        <v>13163</v>
      </c>
      <c r="F4101" s="28" t="s">
        <v>13164</v>
      </c>
      <c r="G4101" s="28" t="s">
        <v>20</v>
      </c>
      <c r="H4101" s="28" t="s">
        <v>71</v>
      </c>
      <c r="I4101" s="28" t="s">
        <v>72</v>
      </c>
      <c r="J4101" s="28" t="s">
        <v>13165</v>
      </c>
      <c r="K4101" s="28" t="s">
        <v>13166</v>
      </c>
      <c r="L4101" s="28" t="s">
        <v>4579</v>
      </c>
      <c r="M4101" s="28" t="s">
        <v>1946</v>
      </c>
      <c r="N4101" s="29">
        <v>39755</v>
      </c>
      <c r="O4101" s="92">
        <v>40032</v>
      </c>
      <c r="P4101" s="28" t="s">
        <v>31</v>
      </c>
      <c r="Q4101" s="26" t="b">
        <v>1</v>
      </c>
      <c r="R4101" s="22">
        <f t="shared" si="66"/>
        <v>333</v>
      </c>
    </row>
    <row r="4102" spans="1:18">
      <c r="A4102" s="26">
        <v>9276</v>
      </c>
      <c r="B4102" s="27">
        <v>39700</v>
      </c>
      <c r="C4102" s="28" t="s">
        <v>13167</v>
      </c>
      <c r="D4102" s="27">
        <v>39699</v>
      </c>
      <c r="E4102" s="28" t="s">
        <v>13168</v>
      </c>
      <c r="F4102" s="28" t="s">
        <v>12571</v>
      </c>
      <c r="G4102" s="28" t="s">
        <v>20</v>
      </c>
      <c r="H4102" s="28" t="s">
        <v>71</v>
      </c>
      <c r="I4102" s="28" t="s">
        <v>72</v>
      </c>
      <c r="J4102" s="28" t="s">
        <v>13169</v>
      </c>
      <c r="K4102" s="28" t="s">
        <v>13170</v>
      </c>
      <c r="L4102" s="28" t="s">
        <v>3588</v>
      </c>
      <c r="M4102" s="28" t="s">
        <v>21</v>
      </c>
      <c r="N4102" s="29">
        <v>39729</v>
      </c>
      <c r="O4102" s="92">
        <v>39721</v>
      </c>
      <c r="P4102" s="28" t="s">
        <v>31</v>
      </c>
      <c r="Q4102" s="26" t="b">
        <v>1</v>
      </c>
      <c r="R4102" s="22">
        <f t="shared" si="66"/>
        <v>21</v>
      </c>
    </row>
    <row r="4103" spans="1:18">
      <c r="A4103" s="26">
        <v>9277</v>
      </c>
      <c r="B4103" s="27">
        <v>39701</v>
      </c>
      <c r="C4103" s="28" t="s">
        <v>13171</v>
      </c>
      <c r="D4103" s="27">
        <v>39699</v>
      </c>
      <c r="E4103" s="28" t="s">
        <v>13172</v>
      </c>
      <c r="F4103" s="28" t="s">
        <v>1771</v>
      </c>
      <c r="G4103" s="28" t="s">
        <v>20</v>
      </c>
      <c r="H4103" s="28" t="s">
        <v>189</v>
      </c>
      <c r="I4103" s="28" t="s">
        <v>189</v>
      </c>
      <c r="J4103" s="28" t="s">
        <v>13173</v>
      </c>
      <c r="K4103" s="28" t="s">
        <v>222</v>
      </c>
      <c r="L4103" s="28" t="s">
        <v>4282</v>
      </c>
      <c r="M4103" s="28" t="s">
        <v>21</v>
      </c>
      <c r="N4103" s="29">
        <v>39746</v>
      </c>
      <c r="O4103" s="92">
        <v>40333</v>
      </c>
      <c r="P4103" s="28" t="s">
        <v>31</v>
      </c>
      <c r="Q4103" s="26" t="b">
        <v>1</v>
      </c>
      <c r="R4103" s="22">
        <f t="shared" si="66"/>
        <v>632</v>
      </c>
    </row>
    <row r="4104" spans="1:18">
      <c r="A4104" s="26">
        <v>9278</v>
      </c>
      <c r="B4104" s="27">
        <v>39702</v>
      </c>
      <c r="C4104" s="28" t="s">
        <v>13174</v>
      </c>
      <c r="D4104" s="27">
        <v>39702</v>
      </c>
      <c r="E4104" s="28" t="s">
        <v>10998</v>
      </c>
      <c r="F4104" s="28" t="s">
        <v>13175</v>
      </c>
      <c r="G4104" s="28" t="s">
        <v>20</v>
      </c>
      <c r="H4104" s="28" t="s">
        <v>71</v>
      </c>
      <c r="I4104" s="28" t="s">
        <v>72</v>
      </c>
      <c r="J4104" s="28" t="s">
        <v>13176</v>
      </c>
      <c r="K4104" s="28" t="s">
        <v>13177</v>
      </c>
      <c r="L4104" s="28" t="s">
        <v>4282</v>
      </c>
      <c r="M4104" s="28" t="s">
        <v>21</v>
      </c>
      <c r="O4104" s="92">
        <v>39772</v>
      </c>
      <c r="P4104" s="28" t="s">
        <v>21</v>
      </c>
      <c r="Q4104" s="26" t="b">
        <v>0</v>
      </c>
      <c r="R4104" s="22">
        <f t="shared" si="66"/>
        <v>69</v>
      </c>
    </row>
    <row r="4105" spans="1:18">
      <c r="A4105" s="26">
        <v>9279</v>
      </c>
      <c r="B4105" s="27">
        <v>39703</v>
      </c>
      <c r="C4105" s="28" t="s">
        <v>13178</v>
      </c>
      <c r="D4105" s="27">
        <v>39702</v>
      </c>
      <c r="E4105" s="28" t="s">
        <v>11030</v>
      </c>
      <c r="F4105" s="28" t="s">
        <v>13179</v>
      </c>
      <c r="G4105" s="28" t="s">
        <v>20</v>
      </c>
      <c r="H4105" s="28" t="s">
        <v>71</v>
      </c>
      <c r="I4105" s="28" t="s">
        <v>72</v>
      </c>
      <c r="J4105" s="28" t="s">
        <v>13180</v>
      </c>
      <c r="K4105" s="28" t="s">
        <v>13181</v>
      </c>
      <c r="L4105" s="28" t="s">
        <v>4282</v>
      </c>
      <c r="M4105" s="28" t="s">
        <v>21</v>
      </c>
      <c r="O4105" s="92">
        <v>39772</v>
      </c>
      <c r="P4105" s="28" t="s">
        <v>21</v>
      </c>
      <c r="Q4105" s="26" t="b">
        <v>0</v>
      </c>
      <c r="R4105" s="22">
        <f t="shared" si="66"/>
        <v>68</v>
      </c>
    </row>
    <row r="4106" spans="1:18">
      <c r="A4106" s="26">
        <v>9280</v>
      </c>
      <c r="B4106" s="27">
        <v>39706</v>
      </c>
      <c r="C4106" s="28" t="s">
        <v>13182</v>
      </c>
      <c r="D4106" s="27">
        <v>39699</v>
      </c>
      <c r="E4106" s="28" t="s">
        <v>13183</v>
      </c>
      <c r="F4106" s="28" t="s">
        <v>12881</v>
      </c>
      <c r="G4106" s="28" t="s">
        <v>20</v>
      </c>
      <c r="H4106" s="28" t="s">
        <v>71</v>
      </c>
      <c r="I4106" s="28" t="s">
        <v>72</v>
      </c>
      <c r="J4106" s="28" t="s">
        <v>13184</v>
      </c>
      <c r="K4106" s="28" t="s">
        <v>6081</v>
      </c>
      <c r="L4106" s="28" t="s">
        <v>3588</v>
      </c>
      <c r="M4106" s="28" t="s">
        <v>21</v>
      </c>
      <c r="N4106" s="29">
        <v>39736</v>
      </c>
      <c r="O4106" s="92">
        <v>39713</v>
      </c>
      <c r="P4106" s="28" t="s">
        <v>31</v>
      </c>
      <c r="Q4106" s="26" t="b">
        <v>1</v>
      </c>
      <c r="R4106" s="22">
        <f t="shared" si="66"/>
        <v>7</v>
      </c>
    </row>
    <row r="4107" spans="1:18">
      <c r="A4107" s="26">
        <v>9282</v>
      </c>
      <c r="B4107" s="27">
        <v>39708</v>
      </c>
      <c r="C4107" s="28" t="s">
        <v>13185</v>
      </c>
      <c r="D4107" s="27">
        <v>39702</v>
      </c>
      <c r="E4107" s="28" t="s">
        <v>38</v>
      </c>
      <c r="F4107" s="28" t="s">
        <v>984</v>
      </c>
      <c r="G4107" s="28" t="s">
        <v>20</v>
      </c>
      <c r="H4107" s="28" t="s">
        <v>71</v>
      </c>
      <c r="I4107" s="28" t="s">
        <v>72</v>
      </c>
      <c r="J4107" s="28" t="s">
        <v>13186</v>
      </c>
      <c r="K4107" s="28" t="s">
        <v>21</v>
      </c>
      <c r="L4107" s="28" t="s">
        <v>4282</v>
      </c>
      <c r="M4107" s="28" t="s">
        <v>21</v>
      </c>
      <c r="N4107" s="18"/>
      <c r="O4107" s="92">
        <v>40666</v>
      </c>
      <c r="P4107" s="28" t="s">
        <v>21</v>
      </c>
      <c r="Q4107" s="26" t="b">
        <v>0</v>
      </c>
      <c r="R4107" s="22">
        <f t="shared" si="66"/>
        <v>959</v>
      </c>
    </row>
    <row r="4108" spans="1:18" ht="24">
      <c r="A4108" s="26">
        <v>9283</v>
      </c>
      <c r="B4108" s="27">
        <v>39713</v>
      </c>
      <c r="C4108" s="28" t="s">
        <v>13187</v>
      </c>
      <c r="D4108" s="27">
        <v>39699</v>
      </c>
      <c r="E4108" s="28" t="s">
        <v>38</v>
      </c>
      <c r="F4108" s="28" t="s">
        <v>124</v>
      </c>
      <c r="G4108" s="28" t="s">
        <v>20</v>
      </c>
      <c r="H4108" s="28" t="s">
        <v>71</v>
      </c>
      <c r="I4108" s="28" t="s">
        <v>72</v>
      </c>
      <c r="J4108" s="28" t="s">
        <v>13188</v>
      </c>
      <c r="K4108" s="28" t="s">
        <v>21</v>
      </c>
      <c r="L4108" s="28" t="s">
        <v>1946</v>
      </c>
      <c r="M4108" s="28" t="s">
        <v>21</v>
      </c>
      <c r="N4108" s="18"/>
      <c r="O4108" s="92">
        <v>39713</v>
      </c>
      <c r="P4108" s="28" t="s">
        <v>31</v>
      </c>
      <c r="Q4108" s="26" t="b">
        <v>1</v>
      </c>
      <c r="R4108" s="22">
        <f t="shared" si="66"/>
        <v>0</v>
      </c>
    </row>
    <row r="4109" spans="1:18" ht="24">
      <c r="A4109" s="26">
        <v>9284</v>
      </c>
      <c r="B4109" s="27">
        <v>39713</v>
      </c>
      <c r="C4109" s="28" t="s">
        <v>13189</v>
      </c>
      <c r="D4109" s="27">
        <v>39699</v>
      </c>
      <c r="E4109" s="28" t="s">
        <v>38</v>
      </c>
      <c r="F4109" s="28" t="s">
        <v>124</v>
      </c>
      <c r="G4109" s="28" t="s">
        <v>20</v>
      </c>
      <c r="H4109" s="28" t="s">
        <v>71</v>
      </c>
      <c r="I4109" s="28" t="s">
        <v>72</v>
      </c>
      <c r="J4109" s="28" t="s">
        <v>13190</v>
      </c>
      <c r="K4109" s="28" t="s">
        <v>21</v>
      </c>
      <c r="L4109" s="28" t="s">
        <v>1946</v>
      </c>
      <c r="M4109" s="28" t="s">
        <v>21</v>
      </c>
      <c r="N4109" s="18"/>
      <c r="O4109" s="92">
        <v>39713</v>
      </c>
      <c r="P4109" s="28" t="s">
        <v>31</v>
      </c>
      <c r="Q4109" s="26" t="b">
        <v>1</v>
      </c>
      <c r="R4109" s="22">
        <f t="shared" si="66"/>
        <v>0</v>
      </c>
    </row>
    <row r="4110" spans="1:18">
      <c r="A4110" s="26">
        <v>9285</v>
      </c>
      <c r="B4110" s="27">
        <v>39713</v>
      </c>
      <c r="C4110" s="28" t="s">
        <v>13191</v>
      </c>
      <c r="D4110" s="27">
        <v>39704</v>
      </c>
      <c r="E4110" s="28" t="s">
        <v>13192</v>
      </c>
      <c r="F4110" s="28" t="s">
        <v>70</v>
      </c>
      <c r="G4110" s="28" t="s">
        <v>20</v>
      </c>
      <c r="H4110" s="28" t="s">
        <v>71</v>
      </c>
      <c r="I4110" s="28" t="s">
        <v>72</v>
      </c>
      <c r="J4110" s="28" t="s">
        <v>4083</v>
      </c>
      <c r="K4110" s="28" t="s">
        <v>21</v>
      </c>
      <c r="L4110" s="28" t="s">
        <v>3588</v>
      </c>
      <c r="M4110" s="28" t="s">
        <v>21</v>
      </c>
      <c r="O4110" s="92">
        <v>39720</v>
      </c>
      <c r="P4110" s="28" t="s">
        <v>31</v>
      </c>
      <c r="Q4110" s="26" t="b">
        <v>1</v>
      </c>
      <c r="R4110" s="22">
        <f t="shared" si="66"/>
        <v>7</v>
      </c>
    </row>
    <row r="4111" spans="1:18">
      <c r="A4111" s="26">
        <v>9286</v>
      </c>
      <c r="B4111" s="27">
        <v>39713</v>
      </c>
      <c r="C4111" s="28" t="s">
        <v>13193</v>
      </c>
      <c r="D4111" s="27">
        <v>39710</v>
      </c>
      <c r="E4111" s="28" t="s">
        <v>13194</v>
      </c>
      <c r="F4111" s="28" t="s">
        <v>283</v>
      </c>
      <c r="G4111" s="28" t="s">
        <v>20</v>
      </c>
      <c r="H4111" s="28" t="s">
        <v>71</v>
      </c>
      <c r="I4111" s="28" t="s">
        <v>72</v>
      </c>
      <c r="J4111" s="28" t="s">
        <v>13195</v>
      </c>
      <c r="K4111" s="28" t="s">
        <v>21</v>
      </c>
      <c r="L4111" s="28" t="s">
        <v>3588</v>
      </c>
      <c r="M4111" s="28" t="s">
        <v>21</v>
      </c>
      <c r="N4111" s="18"/>
      <c r="O4111" s="92">
        <v>39766</v>
      </c>
      <c r="P4111" s="28" t="s">
        <v>31</v>
      </c>
      <c r="Q4111" s="26" t="b">
        <v>1</v>
      </c>
      <c r="R4111" s="22">
        <f t="shared" si="66"/>
        <v>52</v>
      </c>
    </row>
    <row r="4112" spans="1:18">
      <c r="A4112" s="26">
        <v>9287</v>
      </c>
      <c r="B4112" s="27">
        <v>39713</v>
      </c>
      <c r="C4112" s="28" t="s">
        <v>13196</v>
      </c>
      <c r="D4112" s="27">
        <v>39709</v>
      </c>
      <c r="E4112" s="28" t="s">
        <v>13197</v>
      </c>
      <c r="F4112" s="28" t="s">
        <v>13198</v>
      </c>
      <c r="G4112" s="28" t="s">
        <v>20</v>
      </c>
      <c r="H4112" s="28" t="s">
        <v>71</v>
      </c>
      <c r="I4112" s="28" t="s">
        <v>72</v>
      </c>
      <c r="J4112" s="28" t="s">
        <v>13199</v>
      </c>
      <c r="K4112" s="28" t="s">
        <v>21</v>
      </c>
      <c r="L4112" s="28" t="s">
        <v>7167</v>
      </c>
      <c r="M4112" s="28" t="s">
        <v>4282</v>
      </c>
      <c r="O4112" s="92">
        <v>41409</v>
      </c>
      <c r="P4112" s="28" t="s">
        <v>31</v>
      </c>
      <c r="Q4112" s="26" t="b">
        <v>1</v>
      </c>
      <c r="R4112" s="22">
        <f t="shared" si="66"/>
        <v>1696</v>
      </c>
    </row>
    <row r="4113" spans="1:18">
      <c r="A4113" s="26">
        <v>9288</v>
      </c>
      <c r="B4113" s="27">
        <v>39713</v>
      </c>
      <c r="C4113" s="28" t="s">
        <v>13200</v>
      </c>
      <c r="D4113" s="27">
        <v>39699</v>
      </c>
      <c r="E4113" s="28" t="s">
        <v>13201</v>
      </c>
      <c r="F4113" s="28" t="s">
        <v>124</v>
      </c>
      <c r="G4113" s="28" t="s">
        <v>20</v>
      </c>
      <c r="H4113" s="28" t="s">
        <v>71</v>
      </c>
      <c r="I4113" s="28" t="s">
        <v>72</v>
      </c>
      <c r="J4113" s="28" t="s">
        <v>13202</v>
      </c>
      <c r="K4113" s="28" t="s">
        <v>21</v>
      </c>
      <c r="L4113" s="28" t="s">
        <v>1946</v>
      </c>
      <c r="M4113" s="28" t="s">
        <v>21</v>
      </c>
      <c r="O4113" s="92">
        <v>39842</v>
      </c>
      <c r="P4113" s="28" t="s">
        <v>31</v>
      </c>
      <c r="Q4113" s="26" t="b">
        <v>1</v>
      </c>
      <c r="R4113" s="22">
        <f t="shared" si="66"/>
        <v>128</v>
      </c>
    </row>
    <row r="4114" spans="1:18" ht="24">
      <c r="A4114" s="26">
        <v>9289</v>
      </c>
      <c r="B4114" s="27">
        <v>39714</v>
      </c>
      <c r="C4114" s="28" t="s">
        <v>13203</v>
      </c>
      <c r="D4114" s="27">
        <v>39706</v>
      </c>
      <c r="E4114" s="28" t="s">
        <v>13204</v>
      </c>
      <c r="F4114" s="28" t="s">
        <v>455</v>
      </c>
      <c r="G4114" s="28" t="s">
        <v>20</v>
      </c>
      <c r="H4114" s="28" t="s">
        <v>71</v>
      </c>
      <c r="I4114" s="28" t="s">
        <v>72</v>
      </c>
      <c r="J4114" s="28" t="s">
        <v>13205</v>
      </c>
      <c r="K4114" s="28" t="s">
        <v>21</v>
      </c>
      <c r="L4114" s="28" t="s">
        <v>4579</v>
      </c>
      <c r="M4114" s="28" t="s">
        <v>21</v>
      </c>
      <c r="N4114" s="18"/>
      <c r="O4114" s="92">
        <v>39800</v>
      </c>
      <c r="P4114" s="28" t="s">
        <v>31</v>
      </c>
      <c r="Q4114" s="26" t="b">
        <v>1</v>
      </c>
      <c r="R4114" s="22">
        <f t="shared" si="66"/>
        <v>86</v>
      </c>
    </row>
    <row r="4115" spans="1:18" ht="24">
      <c r="A4115" s="26">
        <v>9290</v>
      </c>
      <c r="B4115" s="27">
        <v>39714</v>
      </c>
      <c r="C4115" s="28" t="s">
        <v>13206</v>
      </c>
      <c r="D4115" s="27">
        <v>39713</v>
      </c>
      <c r="E4115" s="28" t="s">
        <v>13207</v>
      </c>
      <c r="F4115" s="28" t="s">
        <v>39</v>
      </c>
      <c r="G4115" s="28" t="s">
        <v>20</v>
      </c>
      <c r="H4115" s="28" t="s">
        <v>71</v>
      </c>
      <c r="I4115" s="28" t="s">
        <v>72</v>
      </c>
      <c r="J4115" s="28" t="s">
        <v>13208</v>
      </c>
      <c r="K4115" s="28" t="s">
        <v>21</v>
      </c>
      <c r="L4115" s="28" t="s">
        <v>1946</v>
      </c>
      <c r="M4115" s="28" t="s">
        <v>21</v>
      </c>
      <c r="N4115" s="27">
        <v>39805</v>
      </c>
      <c r="O4115" s="92">
        <v>40556</v>
      </c>
      <c r="P4115" s="28" t="s">
        <v>21</v>
      </c>
      <c r="Q4115" s="26" t="b">
        <v>0</v>
      </c>
      <c r="R4115" s="22">
        <f t="shared" si="66"/>
        <v>841</v>
      </c>
    </row>
    <row r="4116" spans="1:18" ht="24">
      <c r="A4116" s="26">
        <v>9291</v>
      </c>
      <c r="B4116" s="27">
        <v>39716</v>
      </c>
      <c r="C4116" s="28" t="s">
        <v>13209</v>
      </c>
      <c r="D4116" s="27">
        <v>39714</v>
      </c>
      <c r="E4116" s="28" t="s">
        <v>13210</v>
      </c>
      <c r="F4116" s="28" t="s">
        <v>13211</v>
      </c>
      <c r="G4116" s="28" t="s">
        <v>20</v>
      </c>
      <c r="H4116" s="28" t="s">
        <v>71</v>
      </c>
      <c r="I4116" s="28" t="s">
        <v>72</v>
      </c>
      <c r="J4116" s="28" t="s">
        <v>13212</v>
      </c>
      <c r="K4116" s="28" t="s">
        <v>21</v>
      </c>
      <c r="L4116" s="28" t="s">
        <v>3588</v>
      </c>
      <c r="M4116" s="28" t="s">
        <v>21</v>
      </c>
      <c r="N4116" s="27">
        <v>39745</v>
      </c>
      <c r="O4116" s="92">
        <v>39751</v>
      </c>
      <c r="P4116" s="28" t="s">
        <v>31</v>
      </c>
      <c r="Q4116" s="26" t="b">
        <v>1</v>
      </c>
      <c r="R4116" s="22">
        <f t="shared" si="66"/>
        <v>35</v>
      </c>
    </row>
    <row r="4117" spans="1:18" ht="24">
      <c r="A4117" s="26">
        <v>9293</v>
      </c>
      <c r="B4117" s="27">
        <v>39721</v>
      </c>
      <c r="C4117" s="28" t="s">
        <v>13213</v>
      </c>
      <c r="D4117" s="27">
        <v>39720</v>
      </c>
      <c r="E4117" s="28" t="s">
        <v>13214</v>
      </c>
      <c r="F4117" s="28" t="s">
        <v>974</v>
      </c>
      <c r="G4117" s="28" t="s">
        <v>20</v>
      </c>
      <c r="H4117" s="28" t="s">
        <v>212</v>
      </c>
      <c r="I4117" s="28" t="s">
        <v>212</v>
      </c>
      <c r="J4117" s="28" t="s">
        <v>13215</v>
      </c>
      <c r="K4117" s="28" t="s">
        <v>21</v>
      </c>
      <c r="L4117" s="28" t="s">
        <v>3588</v>
      </c>
      <c r="M4117" s="28" t="s">
        <v>21</v>
      </c>
      <c r="N4117" s="27">
        <v>39812</v>
      </c>
      <c r="O4117" s="92">
        <v>39827</v>
      </c>
      <c r="P4117" s="28" t="s">
        <v>21</v>
      </c>
      <c r="Q4117" s="26" t="b">
        <v>0</v>
      </c>
      <c r="R4117" s="22">
        <f t="shared" si="66"/>
        <v>105</v>
      </c>
    </row>
    <row r="4118" spans="1:18">
      <c r="A4118" s="26">
        <v>9294</v>
      </c>
      <c r="B4118" s="27">
        <v>39722</v>
      </c>
      <c r="C4118" s="28" t="s">
        <v>13216</v>
      </c>
      <c r="D4118" s="27">
        <v>39714</v>
      </c>
      <c r="E4118" s="28" t="s">
        <v>38</v>
      </c>
      <c r="F4118" s="28" t="s">
        <v>124</v>
      </c>
      <c r="G4118" s="28" t="s">
        <v>20</v>
      </c>
      <c r="H4118" s="28" t="s">
        <v>71</v>
      </c>
      <c r="I4118" s="28" t="s">
        <v>72</v>
      </c>
      <c r="J4118" s="28" t="s">
        <v>13217</v>
      </c>
      <c r="K4118" s="28" t="s">
        <v>13218</v>
      </c>
      <c r="L4118" s="28" t="s">
        <v>12967</v>
      </c>
      <c r="M4118" s="28" t="s">
        <v>21</v>
      </c>
      <c r="N4118" s="18"/>
      <c r="O4118" s="92">
        <v>39722</v>
      </c>
      <c r="P4118" s="28" t="s">
        <v>21</v>
      </c>
      <c r="Q4118" s="26" t="b">
        <v>0</v>
      </c>
      <c r="R4118" s="22">
        <f t="shared" si="66"/>
        <v>0</v>
      </c>
    </row>
    <row r="4119" spans="1:18">
      <c r="A4119" s="26">
        <v>9295</v>
      </c>
      <c r="B4119" s="27">
        <v>39723</v>
      </c>
      <c r="C4119" s="28" t="s">
        <v>13219</v>
      </c>
      <c r="D4119" s="27">
        <v>39722</v>
      </c>
      <c r="E4119" s="28" t="s">
        <v>13220</v>
      </c>
      <c r="F4119" s="28" t="s">
        <v>39</v>
      </c>
      <c r="G4119" s="28" t="s">
        <v>20</v>
      </c>
      <c r="H4119" s="28" t="s">
        <v>71</v>
      </c>
      <c r="I4119" s="28" t="s">
        <v>72</v>
      </c>
      <c r="J4119" s="28" t="s">
        <v>13221</v>
      </c>
      <c r="K4119" s="28" t="s">
        <v>6111</v>
      </c>
      <c r="L4119" s="28" t="s">
        <v>3588</v>
      </c>
      <c r="M4119" s="28" t="s">
        <v>21</v>
      </c>
      <c r="N4119" s="27">
        <v>39768</v>
      </c>
      <c r="O4119" s="92">
        <v>39737</v>
      </c>
      <c r="P4119" s="28" t="s">
        <v>31</v>
      </c>
      <c r="Q4119" s="26" t="b">
        <v>1</v>
      </c>
      <c r="R4119" s="22">
        <f t="shared" si="66"/>
        <v>14</v>
      </c>
    </row>
    <row r="4120" spans="1:18" ht="24">
      <c r="A4120" s="26">
        <v>9296</v>
      </c>
      <c r="B4120" s="27">
        <v>39724</v>
      </c>
      <c r="C4120" s="28" t="s">
        <v>13222</v>
      </c>
      <c r="D4120" s="27">
        <v>39678</v>
      </c>
      <c r="E4120" s="28" t="s">
        <v>38</v>
      </c>
      <c r="F4120" s="28" t="s">
        <v>70</v>
      </c>
      <c r="G4120" s="28" t="s">
        <v>20</v>
      </c>
      <c r="H4120" s="28" t="s">
        <v>71</v>
      </c>
      <c r="I4120" s="28" t="s">
        <v>72</v>
      </c>
      <c r="J4120" s="28" t="s">
        <v>13223</v>
      </c>
      <c r="K4120" s="28" t="s">
        <v>13224</v>
      </c>
      <c r="L4120" s="28" t="s">
        <v>12967</v>
      </c>
      <c r="M4120" s="28" t="s">
        <v>21</v>
      </c>
      <c r="O4120" s="92">
        <v>39724</v>
      </c>
      <c r="P4120" s="28" t="s">
        <v>21</v>
      </c>
      <c r="Q4120" s="26" t="b">
        <v>0</v>
      </c>
      <c r="R4120" s="22">
        <f t="shared" si="66"/>
        <v>0</v>
      </c>
    </row>
    <row r="4121" spans="1:18">
      <c r="A4121" s="26">
        <v>9298</v>
      </c>
      <c r="B4121" s="27">
        <v>39728</v>
      </c>
      <c r="C4121" s="28" t="s">
        <v>13225</v>
      </c>
      <c r="D4121" s="27">
        <v>39727</v>
      </c>
      <c r="E4121" s="28" t="s">
        <v>38</v>
      </c>
      <c r="F4121" s="28" t="s">
        <v>12404</v>
      </c>
      <c r="G4121" s="28" t="s">
        <v>20</v>
      </c>
      <c r="H4121" s="28" t="s">
        <v>71</v>
      </c>
      <c r="I4121" s="28" t="s">
        <v>72</v>
      </c>
      <c r="J4121" s="28" t="s">
        <v>13226</v>
      </c>
      <c r="K4121" s="28" t="s">
        <v>7369</v>
      </c>
      <c r="L4121" s="28" t="s">
        <v>4579</v>
      </c>
      <c r="M4121" s="28" t="s">
        <v>21</v>
      </c>
      <c r="N4121" s="18"/>
      <c r="O4121" s="92">
        <v>39728</v>
      </c>
      <c r="P4121" s="28" t="s">
        <v>21</v>
      </c>
      <c r="Q4121" s="26" t="b">
        <v>0</v>
      </c>
      <c r="R4121" s="22">
        <f t="shared" ref="R4121:R4184" si="67">IF(O4121=" ", " ", INT(YEARFRAC(O4121, B4121)*365))</f>
        <v>0</v>
      </c>
    </row>
    <row r="4122" spans="1:18">
      <c r="A4122" s="26">
        <v>9299</v>
      </c>
      <c r="B4122" s="27">
        <v>39730</v>
      </c>
      <c r="C4122" s="28" t="s">
        <v>13227</v>
      </c>
      <c r="D4122" s="27">
        <v>39724</v>
      </c>
      <c r="E4122" s="28" t="s">
        <v>13228</v>
      </c>
      <c r="F4122" s="28" t="s">
        <v>13229</v>
      </c>
      <c r="G4122" s="28" t="s">
        <v>20</v>
      </c>
      <c r="H4122" s="28" t="s">
        <v>71</v>
      </c>
      <c r="I4122" s="28" t="s">
        <v>72</v>
      </c>
      <c r="J4122" s="28" t="s">
        <v>13230</v>
      </c>
      <c r="K4122" s="28" t="s">
        <v>21</v>
      </c>
      <c r="L4122" s="28" t="s">
        <v>4282</v>
      </c>
      <c r="M4122" s="28" t="s">
        <v>21</v>
      </c>
      <c r="N4122" s="27">
        <v>39769</v>
      </c>
      <c r="O4122" s="92">
        <v>40548</v>
      </c>
      <c r="P4122" s="28" t="s">
        <v>21</v>
      </c>
      <c r="Q4122" s="26" t="b">
        <v>0</v>
      </c>
      <c r="R4122" s="22">
        <f t="shared" si="67"/>
        <v>817</v>
      </c>
    </row>
    <row r="4123" spans="1:18">
      <c r="A4123" s="26">
        <v>9300</v>
      </c>
      <c r="B4123" s="27">
        <v>39730</v>
      </c>
      <c r="C4123" s="28" t="s">
        <v>13231</v>
      </c>
      <c r="D4123" s="27">
        <v>39729</v>
      </c>
      <c r="E4123" s="28" t="s">
        <v>13232</v>
      </c>
      <c r="F4123" s="28" t="s">
        <v>1232</v>
      </c>
      <c r="G4123" s="28" t="s">
        <v>20</v>
      </c>
      <c r="H4123" s="28" t="s">
        <v>189</v>
      </c>
      <c r="I4123" s="28" t="s">
        <v>189</v>
      </c>
      <c r="J4123" s="28" t="s">
        <v>13233</v>
      </c>
      <c r="K4123" s="28" t="s">
        <v>21</v>
      </c>
      <c r="L4123" s="28" t="s">
        <v>4282</v>
      </c>
      <c r="M4123" s="28" t="s">
        <v>21</v>
      </c>
      <c r="N4123" s="29">
        <v>39775</v>
      </c>
      <c r="O4123" s="92">
        <v>39758</v>
      </c>
      <c r="P4123" s="28" t="s">
        <v>31</v>
      </c>
      <c r="Q4123" s="26" t="b">
        <v>1</v>
      </c>
      <c r="R4123" s="22">
        <f t="shared" si="67"/>
        <v>27</v>
      </c>
    </row>
    <row r="4124" spans="1:18">
      <c r="A4124" s="26">
        <v>9301</v>
      </c>
      <c r="B4124" s="27">
        <v>39730</v>
      </c>
      <c r="C4124" s="28" t="s">
        <v>13234</v>
      </c>
      <c r="D4124" s="27">
        <v>39727</v>
      </c>
      <c r="E4124" s="28" t="s">
        <v>13235</v>
      </c>
      <c r="F4124" s="28" t="s">
        <v>27</v>
      </c>
      <c r="G4124" s="28" t="s">
        <v>20</v>
      </c>
      <c r="H4124" s="28" t="s">
        <v>71</v>
      </c>
      <c r="I4124" s="28" t="s">
        <v>72</v>
      </c>
      <c r="J4124" s="28" t="s">
        <v>13236</v>
      </c>
      <c r="K4124" s="28" t="s">
        <v>13237</v>
      </c>
      <c r="L4124" s="28" t="s">
        <v>3588</v>
      </c>
      <c r="M4124" s="28" t="s">
        <v>21</v>
      </c>
      <c r="N4124" s="27">
        <v>39761</v>
      </c>
      <c r="O4124" s="92">
        <v>39737</v>
      </c>
      <c r="P4124" s="28" t="s">
        <v>31</v>
      </c>
      <c r="Q4124" s="26" t="b">
        <v>1</v>
      </c>
      <c r="R4124" s="22">
        <f t="shared" si="67"/>
        <v>7</v>
      </c>
    </row>
    <row r="4125" spans="1:18">
      <c r="A4125" s="26">
        <v>9302</v>
      </c>
      <c r="B4125" s="27">
        <v>39735</v>
      </c>
      <c r="C4125" s="28" t="s">
        <v>13238</v>
      </c>
      <c r="D4125" s="27">
        <v>39731</v>
      </c>
      <c r="E4125" s="28" t="s">
        <v>13239</v>
      </c>
      <c r="F4125" s="28" t="s">
        <v>6953</v>
      </c>
      <c r="G4125" s="28" t="s">
        <v>20</v>
      </c>
      <c r="H4125" s="28" t="s">
        <v>71</v>
      </c>
      <c r="I4125" s="28" t="s">
        <v>72</v>
      </c>
      <c r="J4125" s="28" t="s">
        <v>12167</v>
      </c>
      <c r="K4125" s="28" t="s">
        <v>13240</v>
      </c>
      <c r="L4125" s="28" t="s">
        <v>3588</v>
      </c>
      <c r="M4125" s="28" t="s">
        <v>1946</v>
      </c>
      <c r="N4125" s="29">
        <v>39823</v>
      </c>
      <c r="O4125" s="92">
        <v>39811</v>
      </c>
      <c r="P4125" s="28" t="s">
        <v>31</v>
      </c>
      <c r="Q4125" s="26" t="b">
        <v>1</v>
      </c>
      <c r="R4125" s="22">
        <f t="shared" si="67"/>
        <v>76</v>
      </c>
    </row>
    <row r="4126" spans="1:18">
      <c r="A4126" s="26">
        <v>9304</v>
      </c>
      <c r="B4126" s="27">
        <v>39741</v>
      </c>
      <c r="C4126" s="28" t="s">
        <v>13241</v>
      </c>
      <c r="D4126" s="27">
        <v>39730</v>
      </c>
      <c r="E4126" s="28" t="s">
        <v>13242</v>
      </c>
      <c r="F4126" s="28" t="s">
        <v>13243</v>
      </c>
      <c r="G4126" s="28" t="s">
        <v>20</v>
      </c>
      <c r="H4126" s="28" t="s">
        <v>71</v>
      </c>
      <c r="I4126" s="28" t="s">
        <v>72</v>
      </c>
      <c r="J4126" s="28" t="s">
        <v>13244</v>
      </c>
      <c r="K4126" s="28" t="s">
        <v>21</v>
      </c>
      <c r="L4126" s="28" t="s">
        <v>3588</v>
      </c>
      <c r="M4126" s="28" t="s">
        <v>21</v>
      </c>
      <c r="N4126" s="29">
        <v>39772</v>
      </c>
      <c r="O4126" s="92">
        <v>39792</v>
      </c>
      <c r="P4126" s="28" t="s">
        <v>31</v>
      </c>
      <c r="Q4126" s="26" t="b">
        <v>1</v>
      </c>
      <c r="R4126" s="22">
        <f t="shared" si="67"/>
        <v>50</v>
      </c>
    </row>
    <row r="4127" spans="1:18">
      <c r="A4127" s="26">
        <v>9305</v>
      </c>
      <c r="B4127" s="27">
        <v>39743</v>
      </c>
      <c r="C4127" s="28" t="s">
        <v>13245</v>
      </c>
      <c r="D4127" s="27">
        <v>39741</v>
      </c>
      <c r="E4127" s="28" t="s">
        <v>13246</v>
      </c>
      <c r="F4127" s="28" t="s">
        <v>98</v>
      </c>
      <c r="G4127" s="28" t="s">
        <v>20</v>
      </c>
      <c r="H4127" s="28" t="s">
        <v>71</v>
      </c>
      <c r="I4127" s="28" t="s">
        <v>72</v>
      </c>
      <c r="J4127" s="28" t="s">
        <v>13247</v>
      </c>
      <c r="K4127" s="28" t="s">
        <v>13248</v>
      </c>
      <c r="L4127" s="28" t="s">
        <v>4282</v>
      </c>
      <c r="M4127" s="28" t="s">
        <v>21</v>
      </c>
      <c r="N4127" s="29">
        <v>39788</v>
      </c>
      <c r="O4127" s="92">
        <v>40666</v>
      </c>
      <c r="P4127" s="28" t="s">
        <v>31</v>
      </c>
      <c r="Q4127" s="26" t="b">
        <v>1</v>
      </c>
      <c r="R4127" s="22">
        <f t="shared" si="67"/>
        <v>923</v>
      </c>
    </row>
    <row r="4128" spans="1:18">
      <c r="A4128" s="26">
        <v>9306</v>
      </c>
      <c r="B4128" s="27">
        <v>39748</v>
      </c>
      <c r="C4128" s="28" t="s">
        <v>13249</v>
      </c>
      <c r="D4128" s="27">
        <v>39728</v>
      </c>
      <c r="E4128" s="28" t="s">
        <v>38</v>
      </c>
      <c r="F4128" s="28" t="s">
        <v>793</v>
      </c>
      <c r="G4128" s="28" t="s">
        <v>20</v>
      </c>
      <c r="H4128" s="28" t="s">
        <v>71</v>
      </c>
      <c r="I4128" s="28" t="s">
        <v>72</v>
      </c>
      <c r="J4128" s="28" t="s">
        <v>13250</v>
      </c>
      <c r="K4128" s="28" t="s">
        <v>13251</v>
      </c>
      <c r="L4128" s="28" t="s">
        <v>4579</v>
      </c>
      <c r="M4128" s="28" t="s">
        <v>21</v>
      </c>
      <c r="N4128" s="18"/>
      <c r="O4128" s="92">
        <v>39752</v>
      </c>
      <c r="P4128" s="28" t="s">
        <v>21</v>
      </c>
      <c r="Q4128" s="26" t="b">
        <v>0</v>
      </c>
      <c r="R4128" s="22">
        <f t="shared" si="67"/>
        <v>4</v>
      </c>
    </row>
    <row r="4129" spans="1:18">
      <c r="A4129" s="26">
        <v>9307</v>
      </c>
      <c r="B4129" s="27">
        <v>39751</v>
      </c>
      <c r="C4129" s="28" t="s">
        <v>13252</v>
      </c>
      <c r="D4129" s="27">
        <v>39748</v>
      </c>
      <c r="E4129" s="28" t="s">
        <v>13253</v>
      </c>
      <c r="F4129" s="28" t="s">
        <v>104</v>
      </c>
      <c r="G4129" s="28" t="s">
        <v>20</v>
      </c>
      <c r="H4129" s="28" t="s">
        <v>71</v>
      </c>
      <c r="I4129" s="28" t="s">
        <v>72</v>
      </c>
      <c r="J4129" s="28" t="s">
        <v>13254</v>
      </c>
      <c r="K4129" s="28" t="s">
        <v>13255</v>
      </c>
      <c r="L4129" s="28" t="s">
        <v>4579</v>
      </c>
      <c r="M4129" s="28" t="s">
        <v>21</v>
      </c>
      <c r="N4129" s="29">
        <v>39780</v>
      </c>
      <c r="O4129" s="92">
        <v>39764</v>
      </c>
      <c r="P4129" s="28" t="s">
        <v>31</v>
      </c>
      <c r="Q4129" s="26" t="b">
        <v>1</v>
      </c>
      <c r="R4129" s="22">
        <f t="shared" si="67"/>
        <v>12</v>
      </c>
    </row>
    <row r="4130" spans="1:18">
      <c r="A4130" s="26">
        <v>9308</v>
      </c>
      <c r="B4130" s="27">
        <v>39751</v>
      </c>
      <c r="C4130" s="28" t="s">
        <v>13256</v>
      </c>
      <c r="D4130" s="27">
        <v>39748</v>
      </c>
      <c r="E4130" s="28" t="s">
        <v>13257</v>
      </c>
      <c r="F4130" s="28" t="s">
        <v>984</v>
      </c>
      <c r="G4130" s="28" t="s">
        <v>20</v>
      </c>
      <c r="H4130" s="28" t="s">
        <v>71</v>
      </c>
      <c r="I4130" s="28" t="s">
        <v>72</v>
      </c>
      <c r="J4130" s="28" t="s">
        <v>13258</v>
      </c>
      <c r="K4130" s="28" t="s">
        <v>21</v>
      </c>
      <c r="L4130" s="28" t="s">
        <v>3588</v>
      </c>
      <c r="M4130" s="28" t="s">
        <v>21</v>
      </c>
      <c r="N4130" s="27">
        <v>39780</v>
      </c>
      <c r="O4130" s="92">
        <v>39797</v>
      </c>
      <c r="P4130" s="28" t="s">
        <v>31</v>
      </c>
      <c r="Q4130" s="26" t="b">
        <v>1</v>
      </c>
      <c r="R4130" s="22">
        <f t="shared" si="67"/>
        <v>45</v>
      </c>
    </row>
    <row r="4131" spans="1:18">
      <c r="A4131" s="26">
        <v>9309</v>
      </c>
      <c r="B4131" s="27">
        <v>39751</v>
      </c>
      <c r="C4131" s="28" t="s">
        <v>13259</v>
      </c>
      <c r="D4131" s="27">
        <v>39749</v>
      </c>
      <c r="E4131" s="28" t="s">
        <v>38</v>
      </c>
      <c r="F4131" s="28" t="s">
        <v>70</v>
      </c>
      <c r="G4131" s="28" t="s">
        <v>20</v>
      </c>
      <c r="H4131" s="28" t="s">
        <v>71</v>
      </c>
      <c r="I4131" s="28" t="s">
        <v>72</v>
      </c>
      <c r="J4131" s="28" t="s">
        <v>13260</v>
      </c>
      <c r="K4131" s="28" t="s">
        <v>21</v>
      </c>
      <c r="L4131" s="28" t="s">
        <v>12967</v>
      </c>
      <c r="M4131" s="28" t="s">
        <v>21</v>
      </c>
      <c r="N4131" s="18"/>
      <c r="O4131" s="92">
        <v>39751</v>
      </c>
      <c r="P4131" s="28" t="s">
        <v>21</v>
      </c>
      <c r="Q4131" s="26" t="b">
        <v>1</v>
      </c>
      <c r="R4131" s="22">
        <f t="shared" si="67"/>
        <v>0</v>
      </c>
    </row>
    <row r="4132" spans="1:18">
      <c r="A4132" s="26">
        <v>9310</v>
      </c>
      <c r="B4132" s="27">
        <v>39755</v>
      </c>
      <c r="C4132" s="28" t="s">
        <v>13261</v>
      </c>
      <c r="D4132" s="27">
        <v>39752</v>
      </c>
      <c r="E4132" s="28" t="s">
        <v>13262</v>
      </c>
      <c r="F4132" s="28" t="s">
        <v>974</v>
      </c>
      <c r="G4132" s="28" t="s">
        <v>20</v>
      </c>
      <c r="H4132" s="28" t="s">
        <v>212</v>
      </c>
      <c r="I4132" s="28" t="s">
        <v>212</v>
      </c>
      <c r="J4132" s="28" t="s">
        <v>13263</v>
      </c>
      <c r="K4132" s="28" t="s">
        <v>13264</v>
      </c>
      <c r="L4132" s="28" t="s">
        <v>7167</v>
      </c>
      <c r="M4132" s="28" t="s">
        <v>4282</v>
      </c>
      <c r="N4132" s="29">
        <v>39844</v>
      </c>
      <c r="O4132" s="92">
        <v>40878</v>
      </c>
      <c r="P4132" s="28" t="s">
        <v>21</v>
      </c>
      <c r="Q4132" s="26" t="b">
        <v>0</v>
      </c>
      <c r="R4132" s="22">
        <f t="shared" si="67"/>
        <v>1123</v>
      </c>
    </row>
    <row r="4133" spans="1:18">
      <c r="A4133" s="26">
        <v>9311</v>
      </c>
      <c r="B4133" s="27">
        <v>39757</v>
      </c>
      <c r="C4133" s="28" t="s">
        <v>13265</v>
      </c>
      <c r="D4133" s="27">
        <v>39753</v>
      </c>
      <c r="E4133" s="28" t="s">
        <v>38</v>
      </c>
      <c r="F4133" s="28" t="s">
        <v>124</v>
      </c>
      <c r="G4133" s="28" t="s">
        <v>20</v>
      </c>
      <c r="H4133" s="28" t="s">
        <v>71</v>
      </c>
      <c r="I4133" s="28" t="s">
        <v>72</v>
      </c>
      <c r="J4133" s="28" t="s">
        <v>13266</v>
      </c>
      <c r="K4133" s="28" t="s">
        <v>13267</v>
      </c>
      <c r="L4133" s="28" t="s">
        <v>3588</v>
      </c>
      <c r="M4133" s="28" t="s">
        <v>21</v>
      </c>
      <c r="N4133" s="18"/>
      <c r="O4133" s="92">
        <v>39757</v>
      </c>
      <c r="P4133" s="28" t="s">
        <v>21</v>
      </c>
      <c r="Q4133" s="26" t="b">
        <v>0</v>
      </c>
      <c r="R4133" s="22">
        <f t="shared" si="67"/>
        <v>0</v>
      </c>
    </row>
    <row r="4134" spans="1:18">
      <c r="A4134" s="26">
        <v>9312</v>
      </c>
      <c r="B4134" s="27">
        <v>39765</v>
      </c>
      <c r="C4134" s="28" t="s">
        <v>13268</v>
      </c>
      <c r="D4134" s="27">
        <v>39762</v>
      </c>
      <c r="E4134" s="28" t="s">
        <v>13269</v>
      </c>
      <c r="F4134" s="28" t="s">
        <v>984</v>
      </c>
      <c r="G4134" s="28" t="s">
        <v>20</v>
      </c>
      <c r="H4134" s="28" t="s">
        <v>71</v>
      </c>
      <c r="I4134" s="28" t="s">
        <v>72</v>
      </c>
      <c r="J4134" s="28" t="s">
        <v>3775</v>
      </c>
      <c r="K4134" s="28" t="s">
        <v>6081</v>
      </c>
      <c r="L4134" s="28" t="s">
        <v>3588</v>
      </c>
      <c r="M4134" s="28" t="s">
        <v>21</v>
      </c>
      <c r="N4134" s="18"/>
      <c r="O4134" s="92">
        <v>39805</v>
      </c>
      <c r="P4134" s="28" t="s">
        <v>31</v>
      </c>
      <c r="Q4134" s="26" t="b">
        <v>1</v>
      </c>
      <c r="R4134" s="22">
        <f t="shared" si="67"/>
        <v>40</v>
      </c>
    </row>
    <row r="4135" spans="1:18">
      <c r="A4135" s="26">
        <v>9313</v>
      </c>
      <c r="B4135" s="27">
        <v>39765</v>
      </c>
      <c r="C4135" s="28" t="s">
        <v>13270</v>
      </c>
      <c r="D4135" s="27">
        <v>39764</v>
      </c>
      <c r="E4135" s="28" t="s">
        <v>38</v>
      </c>
      <c r="F4135" s="28" t="s">
        <v>124</v>
      </c>
      <c r="G4135" s="28" t="s">
        <v>20</v>
      </c>
      <c r="H4135" s="28" t="s">
        <v>71</v>
      </c>
      <c r="I4135" s="28" t="s">
        <v>72</v>
      </c>
      <c r="J4135" s="28" t="s">
        <v>2547</v>
      </c>
      <c r="K4135" s="28" t="s">
        <v>13271</v>
      </c>
      <c r="L4135" s="28" t="s">
        <v>12967</v>
      </c>
      <c r="M4135" s="28" t="s">
        <v>21</v>
      </c>
      <c r="O4135" s="92">
        <v>39765</v>
      </c>
      <c r="P4135" s="28" t="s">
        <v>21</v>
      </c>
      <c r="Q4135" s="26" t="b">
        <v>0</v>
      </c>
      <c r="R4135" s="22">
        <f t="shared" si="67"/>
        <v>0</v>
      </c>
    </row>
    <row r="4136" spans="1:18">
      <c r="A4136" s="26">
        <v>9314</v>
      </c>
      <c r="B4136" s="27">
        <v>39765</v>
      </c>
      <c r="C4136" s="28" t="s">
        <v>13272</v>
      </c>
      <c r="D4136" s="27">
        <v>39651</v>
      </c>
      <c r="E4136" s="28" t="s">
        <v>13273</v>
      </c>
      <c r="F4136" s="28" t="s">
        <v>228</v>
      </c>
      <c r="G4136" s="28" t="s">
        <v>20</v>
      </c>
      <c r="H4136" s="28" t="s">
        <v>71</v>
      </c>
      <c r="I4136" s="28" t="s">
        <v>72</v>
      </c>
      <c r="J4136" s="28" t="s">
        <v>13074</v>
      </c>
      <c r="K4136" s="28" t="s">
        <v>3335</v>
      </c>
      <c r="L4136" s="28" t="s">
        <v>4282</v>
      </c>
      <c r="M4136" s="28" t="s">
        <v>21</v>
      </c>
      <c r="N4136" s="27">
        <v>39857</v>
      </c>
      <c r="O4136" s="92">
        <v>40186</v>
      </c>
      <c r="P4136" s="28" t="s">
        <v>21</v>
      </c>
      <c r="Q4136" s="26" t="b">
        <v>0</v>
      </c>
      <c r="R4136" s="22">
        <f t="shared" si="67"/>
        <v>420</v>
      </c>
    </row>
    <row r="4137" spans="1:18">
      <c r="A4137" s="26">
        <v>9315</v>
      </c>
      <c r="B4137" s="27">
        <v>39766</v>
      </c>
      <c r="C4137" s="28" t="s">
        <v>13274</v>
      </c>
      <c r="D4137" s="27">
        <v>39762</v>
      </c>
      <c r="E4137" s="28" t="s">
        <v>38</v>
      </c>
      <c r="F4137" s="28" t="s">
        <v>4242</v>
      </c>
      <c r="G4137" s="28" t="s">
        <v>189</v>
      </c>
      <c r="H4137" s="28" t="s">
        <v>189</v>
      </c>
      <c r="I4137" s="28" t="s">
        <v>189</v>
      </c>
      <c r="J4137" s="28" t="s">
        <v>13275</v>
      </c>
      <c r="K4137" s="28" t="s">
        <v>21</v>
      </c>
      <c r="L4137" s="28" t="s">
        <v>4282</v>
      </c>
      <c r="M4137" s="28" t="s">
        <v>21</v>
      </c>
      <c r="N4137" s="18"/>
      <c r="O4137" s="92">
        <v>39777</v>
      </c>
      <c r="P4137" s="28" t="s">
        <v>31</v>
      </c>
      <c r="Q4137" s="26" t="b">
        <v>1</v>
      </c>
      <c r="R4137" s="22">
        <f t="shared" si="67"/>
        <v>11</v>
      </c>
    </row>
    <row r="4138" spans="1:18">
      <c r="A4138" s="26">
        <v>9316</v>
      </c>
      <c r="B4138" s="27">
        <v>39770</v>
      </c>
      <c r="C4138" s="28" t="s">
        <v>13276</v>
      </c>
      <c r="D4138" s="27">
        <v>39769</v>
      </c>
      <c r="E4138" s="28" t="s">
        <v>38</v>
      </c>
      <c r="F4138" s="28" t="s">
        <v>12404</v>
      </c>
      <c r="G4138" s="28" t="s">
        <v>20</v>
      </c>
      <c r="H4138" s="28" t="s">
        <v>71</v>
      </c>
      <c r="I4138" s="28" t="s">
        <v>72</v>
      </c>
      <c r="J4138" s="28" t="s">
        <v>13277</v>
      </c>
      <c r="K4138" s="28" t="s">
        <v>7085</v>
      </c>
      <c r="L4138" s="28" t="s">
        <v>4282</v>
      </c>
      <c r="M4138" s="28" t="s">
        <v>21</v>
      </c>
      <c r="N4138" s="27">
        <v>39815</v>
      </c>
      <c r="O4138" s="92">
        <v>39770</v>
      </c>
      <c r="P4138" s="28" t="s">
        <v>31</v>
      </c>
      <c r="Q4138" s="26" t="b">
        <v>1</v>
      </c>
      <c r="R4138" s="22">
        <f t="shared" si="67"/>
        <v>0</v>
      </c>
    </row>
    <row r="4139" spans="1:18" ht="24">
      <c r="A4139" s="26">
        <v>9317</v>
      </c>
      <c r="B4139" s="27">
        <v>39771</v>
      </c>
      <c r="C4139" s="28" t="s">
        <v>13278</v>
      </c>
      <c r="D4139" s="27">
        <v>39770</v>
      </c>
      <c r="E4139" s="28" t="s">
        <v>13279</v>
      </c>
      <c r="F4139" s="28" t="s">
        <v>52</v>
      </c>
      <c r="G4139" s="28" t="s">
        <v>20</v>
      </c>
      <c r="H4139" s="28" t="s">
        <v>189</v>
      </c>
      <c r="I4139" s="28" t="s">
        <v>189</v>
      </c>
      <c r="J4139" s="28" t="s">
        <v>13280</v>
      </c>
      <c r="K4139" s="28" t="s">
        <v>13281</v>
      </c>
      <c r="L4139" s="28" t="s">
        <v>4579</v>
      </c>
      <c r="M4139" s="28" t="s">
        <v>21</v>
      </c>
      <c r="N4139" s="27">
        <v>39801</v>
      </c>
      <c r="O4139" s="92">
        <v>39882</v>
      </c>
      <c r="P4139" s="28" t="s">
        <v>31</v>
      </c>
      <c r="Q4139" s="26" t="b">
        <v>1</v>
      </c>
      <c r="R4139" s="22">
        <f t="shared" si="67"/>
        <v>112</v>
      </c>
    </row>
    <row r="4140" spans="1:18">
      <c r="A4140" s="26">
        <v>9318</v>
      </c>
      <c r="B4140" s="27">
        <v>39771</v>
      </c>
      <c r="C4140" s="28" t="s">
        <v>13282</v>
      </c>
      <c r="D4140" s="27">
        <v>39695</v>
      </c>
      <c r="E4140" s="28" t="s">
        <v>1432</v>
      </c>
      <c r="F4140" s="28" t="s">
        <v>327</v>
      </c>
      <c r="G4140" s="28" t="s">
        <v>20</v>
      </c>
      <c r="H4140" s="28" t="s">
        <v>71</v>
      </c>
      <c r="I4140" s="28" t="s">
        <v>72</v>
      </c>
      <c r="J4140" s="28" t="s">
        <v>13283</v>
      </c>
      <c r="K4140" s="28" t="s">
        <v>21</v>
      </c>
      <c r="L4140" s="28" t="s">
        <v>3588</v>
      </c>
      <c r="M4140" s="28" t="s">
        <v>21</v>
      </c>
      <c r="N4140" s="18"/>
      <c r="O4140" s="92">
        <v>40239</v>
      </c>
      <c r="P4140" s="28" t="s">
        <v>21</v>
      </c>
      <c r="Q4140" s="26" t="b">
        <v>0</v>
      </c>
      <c r="R4140" s="22">
        <f t="shared" si="67"/>
        <v>469</v>
      </c>
    </row>
    <row r="4141" spans="1:18">
      <c r="A4141" s="26">
        <v>9319</v>
      </c>
      <c r="B4141" s="27">
        <v>39777</v>
      </c>
      <c r="C4141" s="28" t="s">
        <v>13284</v>
      </c>
      <c r="D4141" s="27">
        <v>39772</v>
      </c>
      <c r="E4141" s="28" t="s">
        <v>13285</v>
      </c>
      <c r="F4141" s="28" t="s">
        <v>34</v>
      </c>
      <c r="G4141" s="28" t="s">
        <v>20</v>
      </c>
      <c r="H4141" s="28" t="s">
        <v>71</v>
      </c>
      <c r="I4141" s="28" t="s">
        <v>72</v>
      </c>
      <c r="J4141" s="28" t="s">
        <v>13286</v>
      </c>
      <c r="K4141" s="28" t="s">
        <v>13287</v>
      </c>
      <c r="L4141" s="28" t="s">
        <v>4579</v>
      </c>
      <c r="M4141" s="28" t="s">
        <v>21</v>
      </c>
      <c r="N4141" s="27">
        <v>39869</v>
      </c>
      <c r="O4141" s="92">
        <v>39885</v>
      </c>
      <c r="P4141" s="28" t="s">
        <v>21</v>
      </c>
      <c r="Q4141" s="26" t="b">
        <v>0</v>
      </c>
      <c r="R4141" s="22">
        <f t="shared" si="67"/>
        <v>109</v>
      </c>
    </row>
    <row r="4142" spans="1:18">
      <c r="A4142" s="26">
        <v>9320</v>
      </c>
      <c r="B4142" s="27">
        <v>39786</v>
      </c>
      <c r="C4142" s="28" t="s">
        <v>13288</v>
      </c>
      <c r="D4142" s="27">
        <v>39785</v>
      </c>
      <c r="E4142" s="28" t="s">
        <v>13289</v>
      </c>
      <c r="F4142" s="28" t="s">
        <v>4242</v>
      </c>
      <c r="G4142" s="28" t="s">
        <v>20</v>
      </c>
      <c r="H4142" s="28" t="s">
        <v>189</v>
      </c>
      <c r="I4142" s="28" t="s">
        <v>189</v>
      </c>
      <c r="J4142" s="28" t="s">
        <v>13290</v>
      </c>
      <c r="K4142" s="28" t="s">
        <v>13291</v>
      </c>
      <c r="L4142" s="28" t="s">
        <v>4282</v>
      </c>
      <c r="M4142" s="28" t="s">
        <v>21</v>
      </c>
      <c r="N4142" s="27">
        <v>39875</v>
      </c>
      <c r="O4142" s="92">
        <v>39797</v>
      </c>
      <c r="P4142" s="28" t="s">
        <v>21</v>
      </c>
      <c r="Q4142" s="26" t="b">
        <v>0</v>
      </c>
      <c r="R4142" s="22">
        <f t="shared" si="67"/>
        <v>11</v>
      </c>
    </row>
    <row r="4143" spans="1:18">
      <c r="A4143" s="26">
        <v>9321</v>
      </c>
      <c r="B4143" s="27">
        <v>39786</v>
      </c>
      <c r="C4143" s="28" t="s">
        <v>13292</v>
      </c>
      <c r="D4143" s="27">
        <v>39786</v>
      </c>
      <c r="E4143" s="28" t="s">
        <v>11030</v>
      </c>
      <c r="F4143" s="28" t="s">
        <v>984</v>
      </c>
      <c r="G4143" s="28" t="s">
        <v>20</v>
      </c>
      <c r="H4143" s="28" t="s">
        <v>71</v>
      </c>
      <c r="I4143" s="28" t="s">
        <v>72</v>
      </c>
      <c r="J4143" s="28" t="s">
        <v>13293</v>
      </c>
      <c r="K4143" s="28" t="s">
        <v>13294</v>
      </c>
      <c r="L4143" s="28" t="s">
        <v>4282</v>
      </c>
      <c r="M4143" s="28" t="s">
        <v>21</v>
      </c>
      <c r="O4143" s="92">
        <v>39792</v>
      </c>
      <c r="P4143" s="28" t="s">
        <v>21</v>
      </c>
      <c r="Q4143" s="26" t="b">
        <v>0</v>
      </c>
      <c r="R4143" s="22">
        <f t="shared" si="67"/>
        <v>6</v>
      </c>
    </row>
    <row r="4144" spans="1:18">
      <c r="A4144" s="26">
        <v>9322</v>
      </c>
      <c r="B4144" s="27">
        <v>39792</v>
      </c>
      <c r="C4144" s="28" t="s">
        <v>13295</v>
      </c>
      <c r="D4144" s="27">
        <v>39792</v>
      </c>
      <c r="E4144" s="28" t="s">
        <v>13296</v>
      </c>
      <c r="F4144" s="28" t="s">
        <v>27</v>
      </c>
      <c r="G4144" s="28" t="s">
        <v>20</v>
      </c>
      <c r="H4144" s="28" t="s">
        <v>71</v>
      </c>
      <c r="I4144" s="28" t="s">
        <v>72</v>
      </c>
      <c r="J4144" s="28" t="s">
        <v>13297</v>
      </c>
      <c r="K4144" s="28" t="s">
        <v>13298</v>
      </c>
      <c r="L4144" s="28" t="s">
        <v>3588</v>
      </c>
      <c r="M4144" s="28" t="s">
        <v>21</v>
      </c>
      <c r="N4144" s="29">
        <v>39823</v>
      </c>
      <c r="O4144" s="92">
        <v>39820</v>
      </c>
      <c r="P4144" s="28" t="s">
        <v>21</v>
      </c>
      <c r="Q4144" s="26" t="b">
        <v>0</v>
      </c>
      <c r="R4144" s="22">
        <f t="shared" si="67"/>
        <v>27</v>
      </c>
    </row>
    <row r="4145" spans="1:18">
      <c r="A4145" s="26">
        <v>9323</v>
      </c>
      <c r="B4145" s="27">
        <v>39798</v>
      </c>
      <c r="C4145" s="28" t="s">
        <v>13299</v>
      </c>
      <c r="D4145" s="27">
        <v>39797</v>
      </c>
      <c r="E4145" s="28" t="s">
        <v>13300</v>
      </c>
      <c r="F4145" s="28" t="s">
        <v>545</v>
      </c>
      <c r="G4145" s="28" t="s">
        <v>20</v>
      </c>
      <c r="H4145" s="28" t="s">
        <v>71</v>
      </c>
      <c r="I4145" s="28" t="s">
        <v>72</v>
      </c>
      <c r="J4145" s="28" t="s">
        <v>13301</v>
      </c>
      <c r="K4145" s="28" t="s">
        <v>13302</v>
      </c>
      <c r="L4145" s="28" t="s">
        <v>1946</v>
      </c>
      <c r="M4145" s="28" t="s">
        <v>4579</v>
      </c>
      <c r="N4145" s="29">
        <v>39843</v>
      </c>
      <c r="O4145" s="92">
        <v>41369</v>
      </c>
      <c r="P4145" s="28" t="s">
        <v>31</v>
      </c>
      <c r="Q4145" s="26" t="b">
        <v>1</v>
      </c>
      <c r="R4145" s="22">
        <f t="shared" si="67"/>
        <v>1570</v>
      </c>
    </row>
    <row r="4146" spans="1:18" ht="24">
      <c r="A4146" s="26">
        <v>9324</v>
      </c>
      <c r="B4146" s="27">
        <v>39808</v>
      </c>
      <c r="C4146" s="28" t="s">
        <v>13303</v>
      </c>
      <c r="D4146" s="27">
        <v>39808</v>
      </c>
      <c r="E4146" s="28" t="s">
        <v>13304</v>
      </c>
      <c r="F4146" s="28" t="s">
        <v>52</v>
      </c>
      <c r="G4146" s="28" t="s">
        <v>20</v>
      </c>
      <c r="H4146" s="28" t="s">
        <v>71</v>
      </c>
      <c r="I4146" s="28" t="s">
        <v>72</v>
      </c>
      <c r="J4146" s="28" t="s">
        <v>13305</v>
      </c>
      <c r="K4146" s="28" t="s">
        <v>13306</v>
      </c>
      <c r="L4146" s="28" t="s">
        <v>1946</v>
      </c>
      <c r="M4146" s="28" t="s">
        <v>21</v>
      </c>
      <c r="N4146" s="27">
        <v>39839</v>
      </c>
      <c r="O4146" s="92">
        <v>39848</v>
      </c>
      <c r="P4146" s="28" t="s">
        <v>31</v>
      </c>
      <c r="Q4146" s="26" t="b">
        <v>1</v>
      </c>
      <c r="R4146" s="22">
        <f t="shared" si="67"/>
        <v>38</v>
      </c>
    </row>
    <row r="4147" spans="1:18">
      <c r="A4147" s="26">
        <v>9325</v>
      </c>
      <c r="B4147" s="27">
        <v>39819</v>
      </c>
      <c r="C4147" s="28" t="s">
        <v>13307</v>
      </c>
      <c r="D4147" s="27">
        <v>39804</v>
      </c>
      <c r="E4147" s="28" t="s">
        <v>13308</v>
      </c>
      <c r="F4147" s="28" t="s">
        <v>974</v>
      </c>
      <c r="G4147" s="28" t="s">
        <v>20</v>
      </c>
      <c r="H4147" s="28" t="s">
        <v>212</v>
      </c>
      <c r="I4147" s="28" t="s">
        <v>212</v>
      </c>
      <c r="J4147" s="28" t="s">
        <v>13309</v>
      </c>
      <c r="K4147" s="28" t="s">
        <v>11116</v>
      </c>
      <c r="L4147" s="28" t="s">
        <v>4579</v>
      </c>
      <c r="M4147" s="28" t="s">
        <v>4282</v>
      </c>
      <c r="N4147" s="27">
        <v>39894</v>
      </c>
      <c r="O4147" s="92">
        <v>40549</v>
      </c>
      <c r="P4147" s="28" t="s">
        <v>31</v>
      </c>
      <c r="Q4147" s="26" t="b">
        <v>1</v>
      </c>
      <c r="R4147" s="22">
        <f t="shared" si="67"/>
        <v>730</v>
      </c>
    </row>
    <row r="4148" spans="1:18">
      <c r="A4148" s="26">
        <v>9326</v>
      </c>
      <c r="B4148" s="27">
        <v>39819</v>
      </c>
      <c r="C4148" s="28" t="s">
        <v>13310</v>
      </c>
      <c r="D4148" s="27">
        <v>39800</v>
      </c>
      <c r="E4148" s="28" t="s">
        <v>13311</v>
      </c>
      <c r="F4148" s="28" t="s">
        <v>371</v>
      </c>
      <c r="G4148" s="28" t="s">
        <v>20</v>
      </c>
      <c r="H4148" s="28" t="s">
        <v>71</v>
      </c>
      <c r="I4148" s="28" t="s">
        <v>72</v>
      </c>
      <c r="J4148" s="28" t="s">
        <v>13312</v>
      </c>
      <c r="K4148" s="28" t="s">
        <v>13313</v>
      </c>
      <c r="L4148" s="28" t="s">
        <v>3588</v>
      </c>
      <c r="M4148" s="28" t="s">
        <v>21</v>
      </c>
      <c r="N4148" s="27">
        <v>39844</v>
      </c>
      <c r="O4148" s="92">
        <v>39863</v>
      </c>
      <c r="P4148" s="28" t="s">
        <v>31</v>
      </c>
      <c r="Q4148" s="26" t="b">
        <v>1</v>
      </c>
      <c r="R4148" s="22">
        <f t="shared" si="67"/>
        <v>43</v>
      </c>
    </row>
    <row r="4149" spans="1:18">
      <c r="A4149" s="26">
        <v>9328</v>
      </c>
      <c r="B4149" s="27">
        <v>39819</v>
      </c>
      <c r="C4149" s="28" t="s">
        <v>13314</v>
      </c>
      <c r="D4149" s="27">
        <v>39818</v>
      </c>
      <c r="E4149" s="28" t="s">
        <v>13315</v>
      </c>
      <c r="F4149" s="28" t="s">
        <v>70</v>
      </c>
      <c r="G4149" s="28" t="s">
        <v>20</v>
      </c>
      <c r="H4149" s="28" t="s">
        <v>71</v>
      </c>
      <c r="I4149" s="28" t="s">
        <v>72</v>
      </c>
      <c r="J4149" s="28" t="s">
        <v>13316</v>
      </c>
      <c r="K4149" s="28" t="s">
        <v>3354</v>
      </c>
      <c r="L4149" s="28" t="s">
        <v>3588</v>
      </c>
      <c r="M4149" s="28" t="s">
        <v>21</v>
      </c>
      <c r="N4149" s="27">
        <v>39849</v>
      </c>
      <c r="O4149" s="92">
        <v>39939</v>
      </c>
      <c r="P4149" s="28" t="s">
        <v>31</v>
      </c>
      <c r="Q4149" s="26" t="b">
        <v>1</v>
      </c>
      <c r="R4149" s="22">
        <f t="shared" si="67"/>
        <v>121</v>
      </c>
    </row>
    <row r="4150" spans="1:18">
      <c r="A4150" s="26">
        <v>9329</v>
      </c>
      <c r="B4150" s="27">
        <v>39820</v>
      </c>
      <c r="C4150" s="28" t="s">
        <v>13317</v>
      </c>
      <c r="D4150" s="27">
        <v>39818</v>
      </c>
      <c r="E4150" s="28" t="s">
        <v>13318</v>
      </c>
      <c r="F4150" s="28" t="s">
        <v>13319</v>
      </c>
      <c r="G4150" s="28" t="s">
        <v>20</v>
      </c>
      <c r="H4150" s="28" t="s">
        <v>189</v>
      </c>
      <c r="I4150" s="28" t="s">
        <v>189</v>
      </c>
      <c r="J4150" s="28" t="s">
        <v>13320</v>
      </c>
      <c r="K4150" s="28" t="s">
        <v>21</v>
      </c>
      <c r="L4150" s="28" t="s">
        <v>4282</v>
      </c>
      <c r="M4150" s="28" t="s">
        <v>21</v>
      </c>
      <c r="N4150" s="27">
        <v>39850</v>
      </c>
      <c r="O4150" s="92">
        <v>39841</v>
      </c>
      <c r="P4150" s="28" t="s">
        <v>31</v>
      </c>
      <c r="Q4150" s="26" t="b">
        <v>1</v>
      </c>
      <c r="R4150" s="22">
        <f t="shared" si="67"/>
        <v>21</v>
      </c>
    </row>
    <row r="4151" spans="1:18">
      <c r="A4151" s="26">
        <v>9330</v>
      </c>
      <c r="B4151" s="27">
        <v>39820</v>
      </c>
      <c r="C4151" s="28" t="s">
        <v>13321</v>
      </c>
      <c r="D4151" s="27">
        <v>39771</v>
      </c>
      <c r="E4151" s="28" t="s">
        <v>38</v>
      </c>
      <c r="F4151" s="28" t="s">
        <v>52</v>
      </c>
      <c r="G4151" s="28" t="s">
        <v>20</v>
      </c>
      <c r="H4151" s="28" t="s">
        <v>71</v>
      </c>
      <c r="I4151" s="28" t="s">
        <v>72</v>
      </c>
      <c r="J4151" s="28" t="s">
        <v>13322</v>
      </c>
      <c r="K4151" s="28" t="s">
        <v>13323</v>
      </c>
      <c r="L4151" s="28" t="s">
        <v>12967</v>
      </c>
      <c r="M4151" s="28" t="s">
        <v>21</v>
      </c>
      <c r="N4151" s="18"/>
      <c r="O4151" s="92">
        <v>39819</v>
      </c>
      <c r="P4151" s="28" t="s">
        <v>21</v>
      </c>
      <c r="Q4151" s="26" t="b">
        <v>0</v>
      </c>
      <c r="R4151" s="22">
        <f t="shared" si="67"/>
        <v>1</v>
      </c>
    </row>
    <row r="4152" spans="1:18">
      <c r="A4152" s="26">
        <v>9331</v>
      </c>
      <c r="B4152" s="27">
        <v>39820</v>
      </c>
      <c r="C4152" s="28" t="s">
        <v>13324</v>
      </c>
      <c r="D4152" s="27">
        <v>39815</v>
      </c>
      <c r="E4152" s="28" t="s">
        <v>38</v>
      </c>
      <c r="F4152" s="28" t="s">
        <v>70</v>
      </c>
      <c r="G4152" s="28" t="s">
        <v>20</v>
      </c>
      <c r="H4152" s="28" t="s">
        <v>71</v>
      </c>
      <c r="I4152" s="28" t="s">
        <v>72</v>
      </c>
      <c r="J4152" s="28" t="s">
        <v>13325</v>
      </c>
      <c r="K4152" s="28" t="s">
        <v>21</v>
      </c>
      <c r="L4152" s="28" t="s">
        <v>12967</v>
      </c>
      <c r="M4152" s="28" t="s">
        <v>21</v>
      </c>
      <c r="O4152" s="92">
        <v>39820</v>
      </c>
      <c r="P4152" s="28" t="s">
        <v>21</v>
      </c>
      <c r="Q4152" s="26" t="b">
        <v>0</v>
      </c>
      <c r="R4152" s="22">
        <f t="shared" si="67"/>
        <v>0</v>
      </c>
    </row>
    <row r="4153" spans="1:18">
      <c r="A4153" s="26">
        <v>9332</v>
      </c>
      <c r="B4153" s="27">
        <v>39820</v>
      </c>
      <c r="C4153" s="28" t="s">
        <v>13326</v>
      </c>
      <c r="D4153" s="27">
        <v>39812</v>
      </c>
      <c r="E4153" s="28" t="s">
        <v>10998</v>
      </c>
      <c r="F4153" s="28" t="s">
        <v>27</v>
      </c>
      <c r="G4153" s="28" t="s">
        <v>20</v>
      </c>
      <c r="H4153" s="28" t="s">
        <v>71</v>
      </c>
      <c r="I4153" s="28" t="s">
        <v>72</v>
      </c>
      <c r="J4153" s="28" t="s">
        <v>13327</v>
      </c>
      <c r="K4153" s="28" t="s">
        <v>21</v>
      </c>
      <c r="L4153" s="28" t="s">
        <v>4282</v>
      </c>
      <c r="M4153" s="28" t="s">
        <v>21</v>
      </c>
      <c r="N4153" s="18"/>
      <c r="O4153" s="92">
        <v>39833</v>
      </c>
      <c r="P4153" s="28" t="s">
        <v>21</v>
      </c>
      <c r="Q4153" s="26" t="b">
        <v>0</v>
      </c>
      <c r="R4153" s="22">
        <f t="shared" si="67"/>
        <v>13</v>
      </c>
    </row>
    <row r="4154" spans="1:18">
      <c r="A4154" s="26">
        <v>9333</v>
      </c>
      <c r="B4154" s="27">
        <v>39820</v>
      </c>
      <c r="C4154" s="28" t="s">
        <v>13328</v>
      </c>
      <c r="D4154" s="27">
        <v>39819</v>
      </c>
      <c r="E4154" s="28" t="s">
        <v>13329</v>
      </c>
      <c r="F4154" s="28" t="s">
        <v>4596</v>
      </c>
      <c r="G4154" s="28" t="s">
        <v>20</v>
      </c>
      <c r="H4154" s="28" t="s">
        <v>71</v>
      </c>
      <c r="I4154" s="28" t="s">
        <v>72</v>
      </c>
      <c r="J4154" s="28" t="s">
        <v>13330</v>
      </c>
      <c r="K4154" s="28" t="s">
        <v>21</v>
      </c>
      <c r="L4154" s="28" t="s">
        <v>3588</v>
      </c>
      <c r="M4154" s="28" t="s">
        <v>21</v>
      </c>
      <c r="N4154" s="27">
        <v>39909</v>
      </c>
      <c r="O4154" s="92">
        <v>39843</v>
      </c>
      <c r="P4154" s="28" t="s">
        <v>21</v>
      </c>
      <c r="Q4154" s="26" t="b">
        <v>0</v>
      </c>
      <c r="R4154" s="22">
        <f t="shared" si="67"/>
        <v>23</v>
      </c>
    </row>
    <row r="4155" spans="1:18">
      <c r="A4155" s="26">
        <v>9334</v>
      </c>
      <c r="B4155" s="27">
        <v>39820</v>
      </c>
      <c r="C4155" s="28" t="s">
        <v>13331</v>
      </c>
      <c r="D4155" s="27">
        <v>39811</v>
      </c>
      <c r="E4155" s="28" t="s">
        <v>13332</v>
      </c>
      <c r="F4155" s="28" t="s">
        <v>52</v>
      </c>
      <c r="G4155" s="28" t="s">
        <v>20</v>
      </c>
      <c r="H4155" s="28" t="s">
        <v>71</v>
      </c>
      <c r="I4155" s="28" t="s">
        <v>72</v>
      </c>
      <c r="J4155" s="28" t="s">
        <v>7104</v>
      </c>
      <c r="K4155" s="28" t="s">
        <v>13333</v>
      </c>
      <c r="L4155" s="28" t="s">
        <v>3588</v>
      </c>
      <c r="M4155" s="28" t="s">
        <v>21</v>
      </c>
      <c r="N4155" s="27">
        <v>39864</v>
      </c>
      <c r="O4155" s="92">
        <v>40044</v>
      </c>
      <c r="P4155" s="28" t="s">
        <v>31</v>
      </c>
      <c r="Q4155" s="26" t="b">
        <v>0</v>
      </c>
      <c r="R4155" s="22">
        <f t="shared" si="67"/>
        <v>225</v>
      </c>
    </row>
    <row r="4156" spans="1:18">
      <c r="A4156" s="26">
        <v>9335</v>
      </c>
      <c r="B4156" s="27">
        <v>39825</v>
      </c>
      <c r="C4156" s="28" t="s">
        <v>13334</v>
      </c>
      <c r="D4156" s="27">
        <v>39822</v>
      </c>
      <c r="E4156" s="28" t="s">
        <v>13335</v>
      </c>
      <c r="F4156" s="28" t="s">
        <v>124</v>
      </c>
      <c r="G4156" s="28" t="s">
        <v>20</v>
      </c>
      <c r="H4156" s="28" t="s">
        <v>71</v>
      </c>
      <c r="I4156" s="28" t="s">
        <v>72</v>
      </c>
      <c r="J4156" s="28" t="s">
        <v>13336</v>
      </c>
      <c r="K4156" s="28" t="s">
        <v>13337</v>
      </c>
      <c r="L4156" s="28" t="s">
        <v>1946</v>
      </c>
      <c r="M4156" s="28" t="s">
        <v>21</v>
      </c>
      <c r="N4156" s="27">
        <v>39853</v>
      </c>
      <c r="O4156" s="92">
        <v>39988</v>
      </c>
      <c r="P4156" s="28" t="s">
        <v>31</v>
      </c>
      <c r="Q4156" s="26" t="b">
        <v>1</v>
      </c>
      <c r="R4156" s="22">
        <f t="shared" si="67"/>
        <v>164</v>
      </c>
    </row>
    <row r="4157" spans="1:18">
      <c r="A4157" s="26">
        <v>9336</v>
      </c>
      <c r="B4157" s="27">
        <v>39827</v>
      </c>
      <c r="C4157" s="28" t="s">
        <v>13338</v>
      </c>
      <c r="D4157" s="27">
        <v>39825</v>
      </c>
      <c r="E4157" s="28" t="s">
        <v>13339</v>
      </c>
      <c r="F4157" s="28" t="s">
        <v>242</v>
      </c>
      <c r="G4157" s="28" t="s">
        <v>20</v>
      </c>
      <c r="H4157" s="28" t="s">
        <v>71</v>
      </c>
      <c r="I4157" s="28" t="s">
        <v>72</v>
      </c>
      <c r="J4157" s="28" t="s">
        <v>13340</v>
      </c>
      <c r="K4157" s="28" t="s">
        <v>21</v>
      </c>
      <c r="L4157" s="28" t="s">
        <v>4282</v>
      </c>
      <c r="M4157" s="28" t="s">
        <v>21</v>
      </c>
      <c r="N4157" s="29">
        <v>39872</v>
      </c>
      <c r="O4157" s="92">
        <v>40511</v>
      </c>
      <c r="P4157" s="28" t="s">
        <v>31</v>
      </c>
      <c r="Q4157" s="26" t="b">
        <v>1</v>
      </c>
      <c r="R4157" s="22">
        <f t="shared" si="67"/>
        <v>684</v>
      </c>
    </row>
    <row r="4158" spans="1:18">
      <c r="A4158" s="26">
        <v>9337</v>
      </c>
      <c r="B4158" s="27">
        <v>39835</v>
      </c>
      <c r="C4158" s="28" t="s">
        <v>13341</v>
      </c>
      <c r="D4158" s="27">
        <v>39833</v>
      </c>
      <c r="E4158" s="28" t="s">
        <v>13342</v>
      </c>
      <c r="F4158" s="28" t="s">
        <v>13343</v>
      </c>
      <c r="G4158" s="28" t="s">
        <v>20</v>
      </c>
      <c r="H4158" s="28" t="s">
        <v>189</v>
      </c>
      <c r="I4158" s="28" t="s">
        <v>189</v>
      </c>
      <c r="J4158" s="28" t="s">
        <v>8804</v>
      </c>
      <c r="K4158" s="28" t="s">
        <v>13344</v>
      </c>
      <c r="L4158" s="28" t="s">
        <v>4282</v>
      </c>
      <c r="M4158" s="28" t="s">
        <v>21</v>
      </c>
      <c r="N4158" s="29">
        <v>39879</v>
      </c>
      <c r="O4158" s="92">
        <v>39856</v>
      </c>
      <c r="P4158" s="28" t="s">
        <v>31</v>
      </c>
      <c r="Q4158" s="26" t="b">
        <v>1</v>
      </c>
      <c r="R4158" s="22">
        <f t="shared" si="67"/>
        <v>20</v>
      </c>
    </row>
    <row r="4159" spans="1:18">
      <c r="A4159" s="26">
        <v>9338</v>
      </c>
      <c r="B4159" s="27">
        <v>39835</v>
      </c>
      <c r="C4159" s="28" t="s">
        <v>13345</v>
      </c>
      <c r="D4159" s="27">
        <v>39832</v>
      </c>
      <c r="E4159" s="28" t="s">
        <v>13346</v>
      </c>
      <c r="F4159" s="28" t="s">
        <v>52</v>
      </c>
      <c r="G4159" s="28" t="s">
        <v>20</v>
      </c>
      <c r="H4159" s="28" t="s">
        <v>71</v>
      </c>
      <c r="I4159" s="28" t="s">
        <v>72</v>
      </c>
      <c r="J4159" s="28" t="s">
        <v>13347</v>
      </c>
      <c r="K4159" s="28" t="s">
        <v>13348</v>
      </c>
      <c r="L4159" s="28" t="s">
        <v>3588</v>
      </c>
      <c r="M4159" s="28" t="s">
        <v>21</v>
      </c>
      <c r="N4159" s="27">
        <v>39879</v>
      </c>
      <c r="O4159" s="92">
        <v>40177</v>
      </c>
      <c r="P4159" s="28" t="s">
        <v>31</v>
      </c>
      <c r="Q4159" s="26" t="b">
        <v>1</v>
      </c>
      <c r="R4159" s="22">
        <f t="shared" si="67"/>
        <v>342</v>
      </c>
    </row>
    <row r="4160" spans="1:18">
      <c r="A4160" s="26">
        <v>9339</v>
      </c>
      <c r="B4160" s="27">
        <v>39836</v>
      </c>
      <c r="C4160" s="28" t="s">
        <v>13349</v>
      </c>
      <c r="D4160" s="27">
        <v>39827</v>
      </c>
      <c r="E4160" s="28" t="s">
        <v>38</v>
      </c>
      <c r="F4160" s="28" t="s">
        <v>13350</v>
      </c>
      <c r="G4160" s="28" t="s">
        <v>20</v>
      </c>
      <c r="H4160" s="28" t="s">
        <v>71</v>
      </c>
      <c r="I4160" s="28" t="s">
        <v>72</v>
      </c>
      <c r="J4160" s="28" t="s">
        <v>12966</v>
      </c>
      <c r="K4160" s="28" t="s">
        <v>13351</v>
      </c>
      <c r="L4160" s="28" t="s">
        <v>12967</v>
      </c>
      <c r="M4160" s="28" t="s">
        <v>21</v>
      </c>
      <c r="N4160" s="18"/>
      <c r="O4160" s="92">
        <v>39835</v>
      </c>
      <c r="P4160" s="28" t="s">
        <v>31</v>
      </c>
      <c r="Q4160" s="26" t="b">
        <v>1</v>
      </c>
      <c r="R4160" s="22">
        <f t="shared" si="67"/>
        <v>1</v>
      </c>
    </row>
    <row r="4161" spans="1:18">
      <c r="A4161" s="26">
        <v>9340</v>
      </c>
      <c r="B4161" s="27">
        <v>39836</v>
      </c>
      <c r="C4161" s="28" t="s">
        <v>13352</v>
      </c>
      <c r="D4161" s="27">
        <v>39827</v>
      </c>
      <c r="E4161" s="28" t="s">
        <v>13353</v>
      </c>
      <c r="F4161" s="28" t="s">
        <v>13350</v>
      </c>
      <c r="G4161" s="28" t="s">
        <v>20</v>
      </c>
      <c r="H4161" s="28" t="s">
        <v>71</v>
      </c>
      <c r="I4161" s="28" t="s">
        <v>72</v>
      </c>
      <c r="J4161" s="28" t="s">
        <v>13354</v>
      </c>
      <c r="K4161" s="28" t="s">
        <v>6081</v>
      </c>
      <c r="L4161" s="28" t="s">
        <v>3588</v>
      </c>
      <c r="M4161" s="28" t="s">
        <v>21</v>
      </c>
      <c r="N4161" s="27">
        <v>39858</v>
      </c>
      <c r="O4161" s="92">
        <v>39875</v>
      </c>
      <c r="P4161" s="28" t="s">
        <v>31</v>
      </c>
      <c r="Q4161" s="26" t="b">
        <v>1</v>
      </c>
      <c r="R4161" s="22">
        <f t="shared" si="67"/>
        <v>40</v>
      </c>
    </row>
    <row r="4162" spans="1:18">
      <c r="A4162" s="26">
        <v>9341</v>
      </c>
      <c r="B4162" s="27">
        <v>39836</v>
      </c>
      <c r="C4162" s="28" t="s">
        <v>13355</v>
      </c>
      <c r="D4162" s="27">
        <v>39835</v>
      </c>
      <c r="E4162" s="28" t="s">
        <v>13356</v>
      </c>
      <c r="F4162" s="28" t="s">
        <v>70</v>
      </c>
      <c r="G4162" s="28" t="s">
        <v>20</v>
      </c>
      <c r="H4162" s="28" t="s">
        <v>71</v>
      </c>
      <c r="I4162" s="28" t="s">
        <v>72</v>
      </c>
      <c r="J4162" s="28" t="s">
        <v>13357</v>
      </c>
      <c r="K4162" s="28" t="s">
        <v>13358</v>
      </c>
      <c r="L4162" s="28" t="s">
        <v>3588</v>
      </c>
      <c r="M4162" s="28" t="s">
        <v>21</v>
      </c>
      <c r="N4162" s="27">
        <v>39866</v>
      </c>
      <c r="O4162" s="92">
        <v>39843</v>
      </c>
      <c r="P4162" s="28" t="s">
        <v>31</v>
      </c>
      <c r="Q4162" s="26" t="b">
        <v>1</v>
      </c>
      <c r="R4162" s="22">
        <f t="shared" si="67"/>
        <v>7</v>
      </c>
    </row>
    <row r="4163" spans="1:18">
      <c r="A4163" s="26">
        <v>9342</v>
      </c>
      <c r="B4163" s="27">
        <v>39841</v>
      </c>
      <c r="C4163" s="28" t="s">
        <v>13359</v>
      </c>
      <c r="D4163" s="27">
        <v>39840</v>
      </c>
      <c r="E4163" s="28" t="s">
        <v>13360</v>
      </c>
      <c r="F4163" s="28" t="s">
        <v>6953</v>
      </c>
      <c r="G4163" s="28" t="s">
        <v>20</v>
      </c>
      <c r="H4163" s="28" t="s">
        <v>71</v>
      </c>
      <c r="I4163" s="28" t="s">
        <v>72</v>
      </c>
      <c r="J4163" s="28" t="s">
        <v>13361</v>
      </c>
      <c r="K4163" s="28" t="s">
        <v>13362</v>
      </c>
      <c r="L4163" s="28" t="s">
        <v>3588</v>
      </c>
      <c r="M4163" s="28" t="s">
        <v>21</v>
      </c>
      <c r="N4163" s="27">
        <v>39885</v>
      </c>
      <c r="O4163" s="92">
        <v>39924</v>
      </c>
      <c r="P4163" s="28" t="s">
        <v>31</v>
      </c>
      <c r="Q4163" s="26" t="b">
        <v>1</v>
      </c>
      <c r="R4163" s="22">
        <f t="shared" si="67"/>
        <v>84</v>
      </c>
    </row>
    <row r="4164" spans="1:18">
      <c r="A4164" s="26">
        <v>9343</v>
      </c>
      <c r="B4164" s="27">
        <v>39842</v>
      </c>
      <c r="C4164" s="28" t="s">
        <v>13363</v>
      </c>
      <c r="D4164" s="27">
        <v>39841</v>
      </c>
      <c r="E4164" s="28" t="s">
        <v>13364</v>
      </c>
      <c r="F4164" s="28" t="s">
        <v>85</v>
      </c>
      <c r="G4164" s="28" t="s">
        <v>20</v>
      </c>
      <c r="H4164" s="28" t="s">
        <v>71</v>
      </c>
      <c r="I4164" s="28" t="s">
        <v>72</v>
      </c>
      <c r="J4164" s="28" t="s">
        <v>13365</v>
      </c>
      <c r="K4164" s="28" t="s">
        <v>13366</v>
      </c>
      <c r="L4164" s="28" t="s">
        <v>4282</v>
      </c>
      <c r="M4164" s="28" t="s">
        <v>21</v>
      </c>
      <c r="N4164" s="27">
        <v>39872</v>
      </c>
      <c r="O4164" s="92">
        <v>39861</v>
      </c>
      <c r="P4164" s="28" t="s">
        <v>31</v>
      </c>
      <c r="Q4164" s="26" t="b">
        <v>1</v>
      </c>
      <c r="R4164" s="22">
        <f t="shared" si="67"/>
        <v>18</v>
      </c>
    </row>
    <row r="4165" spans="1:18">
      <c r="A4165" s="26">
        <v>9345</v>
      </c>
      <c r="B4165" s="27">
        <v>39848</v>
      </c>
      <c r="C4165" s="28" t="s">
        <v>13367</v>
      </c>
      <c r="D4165" s="27">
        <v>39840</v>
      </c>
      <c r="E4165" s="28" t="s">
        <v>13368</v>
      </c>
      <c r="F4165" s="28" t="s">
        <v>52</v>
      </c>
      <c r="G4165" s="28" t="s">
        <v>20</v>
      </c>
      <c r="H4165" s="28" t="s">
        <v>71</v>
      </c>
      <c r="I4165" s="28" t="s">
        <v>72</v>
      </c>
      <c r="J4165" s="28" t="s">
        <v>13369</v>
      </c>
      <c r="K4165" s="28" t="s">
        <v>5755</v>
      </c>
      <c r="L4165" s="28" t="s">
        <v>1946</v>
      </c>
      <c r="M4165" s="28" t="s">
        <v>21</v>
      </c>
      <c r="O4165" s="92">
        <v>39875</v>
      </c>
      <c r="P4165" s="28" t="s">
        <v>31</v>
      </c>
      <c r="Q4165" s="26" t="b">
        <v>1</v>
      </c>
      <c r="R4165" s="22">
        <f t="shared" si="67"/>
        <v>29</v>
      </c>
    </row>
    <row r="4166" spans="1:18">
      <c r="A4166" s="26">
        <v>9346</v>
      </c>
      <c r="B4166" s="27">
        <v>39849</v>
      </c>
      <c r="C4166" s="28" t="s">
        <v>13370</v>
      </c>
      <c r="D4166" s="27">
        <v>39822</v>
      </c>
      <c r="E4166" s="28" t="s">
        <v>11030</v>
      </c>
      <c r="F4166" s="28" t="s">
        <v>2296</v>
      </c>
      <c r="G4166" s="28" t="s">
        <v>20</v>
      </c>
      <c r="H4166" s="28" t="s">
        <v>566</v>
      </c>
      <c r="I4166" s="28" t="s">
        <v>566</v>
      </c>
      <c r="J4166" s="28" t="s">
        <v>13371</v>
      </c>
      <c r="K4166" s="28" t="s">
        <v>21</v>
      </c>
      <c r="L4166" s="28" t="s">
        <v>4282</v>
      </c>
      <c r="M4166" s="28" t="s">
        <v>21</v>
      </c>
      <c r="N4166" s="18"/>
      <c r="O4166" s="92">
        <v>39875</v>
      </c>
      <c r="P4166" s="28" t="s">
        <v>21</v>
      </c>
      <c r="Q4166" s="26" t="b">
        <v>0</v>
      </c>
      <c r="R4166" s="22">
        <f t="shared" si="67"/>
        <v>28</v>
      </c>
    </row>
    <row r="4167" spans="1:18">
      <c r="A4167" s="26">
        <v>9347</v>
      </c>
      <c r="B4167" s="27">
        <v>39853</v>
      </c>
      <c r="C4167" s="28" t="s">
        <v>13372</v>
      </c>
      <c r="D4167" s="27">
        <v>39850</v>
      </c>
      <c r="E4167" s="28" t="s">
        <v>13373</v>
      </c>
      <c r="F4167" s="28" t="s">
        <v>242</v>
      </c>
      <c r="G4167" s="28" t="s">
        <v>20</v>
      </c>
      <c r="H4167" s="28" t="s">
        <v>71</v>
      </c>
      <c r="I4167" s="28" t="s">
        <v>72</v>
      </c>
      <c r="J4167" s="28" t="s">
        <v>13374</v>
      </c>
      <c r="K4167" s="28" t="s">
        <v>13375</v>
      </c>
      <c r="L4167" s="28" t="s">
        <v>4579</v>
      </c>
      <c r="M4167" s="28" t="s">
        <v>21</v>
      </c>
      <c r="N4167" s="29">
        <v>39878</v>
      </c>
      <c r="O4167" s="92">
        <v>39854</v>
      </c>
      <c r="P4167" s="28" t="s">
        <v>31</v>
      </c>
      <c r="Q4167" s="26" t="b">
        <v>1</v>
      </c>
      <c r="R4167" s="22">
        <f t="shared" si="67"/>
        <v>1</v>
      </c>
    </row>
    <row r="4168" spans="1:18">
      <c r="A4168" s="26">
        <v>9348</v>
      </c>
      <c r="B4168" s="27">
        <v>39854</v>
      </c>
      <c r="C4168" s="28" t="s">
        <v>13376</v>
      </c>
      <c r="D4168" s="27">
        <v>39853</v>
      </c>
      <c r="E4168" s="28" t="s">
        <v>13377</v>
      </c>
      <c r="F4168" s="28" t="s">
        <v>974</v>
      </c>
      <c r="G4168" s="28" t="s">
        <v>20</v>
      </c>
      <c r="H4168" s="28" t="s">
        <v>212</v>
      </c>
      <c r="I4168" s="28" t="s">
        <v>212</v>
      </c>
      <c r="J4168" s="28" t="s">
        <v>4690</v>
      </c>
      <c r="K4168" s="28" t="s">
        <v>13378</v>
      </c>
      <c r="L4168" s="28" t="s">
        <v>4282</v>
      </c>
      <c r="M4168" s="28" t="s">
        <v>21</v>
      </c>
      <c r="N4168" s="29">
        <v>39899</v>
      </c>
      <c r="O4168" s="92">
        <v>40262</v>
      </c>
      <c r="P4168" s="28" t="s">
        <v>31</v>
      </c>
      <c r="Q4168" s="26" t="b">
        <v>1</v>
      </c>
      <c r="R4168" s="22">
        <f t="shared" si="67"/>
        <v>410</v>
      </c>
    </row>
    <row r="4169" spans="1:18" ht="24">
      <c r="A4169" s="26">
        <v>9349</v>
      </c>
      <c r="B4169" s="27">
        <v>39861</v>
      </c>
      <c r="C4169" s="28" t="s">
        <v>13379</v>
      </c>
      <c r="D4169" s="27">
        <v>39841</v>
      </c>
      <c r="E4169" s="28" t="s">
        <v>13380</v>
      </c>
      <c r="F4169" s="28" t="s">
        <v>85</v>
      </c>
      <c r="G4169" s="28" t="s">
        <v>20</v>
      </c>
      <c r="H4169" s="28" t="s">
        <v>71</v>
      </c>
      <c r="I4169" s="28" t="s">
        <v>72</v>
      </c>
      <c r="J4169" s="28" t="s">
        <v>13381</v>
      </c>
      <c r="K4169" s="28" t="s">
        <v>13382</v>
      </c>
      <c r="L4169" s="28" t="s">
        <v>4282</v>
      </c>
      <c r="M4169" s="28" t="s">
        <v>21</v>
      </c>
      <c r="N4169" s="27">
        <v>39906</v>
      </c>
      <c r="O4169" s="92">
        <v>40515</v>
      </c>
      <c r="P4169" s="28" t="s">
        <v>31</v>
      </c>
      <c r="Q4169" s="26" t="b">
        <v>1</v>
      </c>
      <c r="R4169" s="22">
        <f t="shared" si="67"/>
        <v>654</v>
      </c>
    </row>
    <row r="4170" spans="1:18">
      <c r="A4170" s="26">
        <v>9350</v>
      </c>
      <c r="B4170" s="27">
        <v>39863</v>
      </c>
      <c r="C4170" s="28" t="s">
        <v>13383</v>
      </c>
      <c r="D4170" s="27">
        <v>39800</v>
      </c>
      <c r="E4170" s="28" t="s">
        <v>13384</v>
      </c>
      <c r="F4170" s="28" t="s">
        <v>371</v>
      </c>
      <c r="G4170" s="28" t="s">
        <v>20</v>
      </c>
      <c r="H4170" s="28" t="s">
        <v>71</v>
      </c>
      <c r="I4170" s="28" t="s">
        <v>72</v>
      </c>
      <c r="J4170" s="28" t="s">
        <v>13312</v>
      </c>
      <c r="K4170" s="28" t="s">
        <v>9597</v>
      </c>
      <c r="L4170" s="28" t="s">
        <v>3588</v>
      </c>
      <c r="M4170" s="28" t="s">
        <v>21</v>
      </c>
      <c r="N4170" s="27">
        <v>39907</v>
      </c>
      <c r="O4170" s="92">
        <v>39948</v>
      </c>
      <c r="P4170" s="28" t="s">
        <v>31</v>
      </c>
      <c r="Q4170" s="26" t="b">
        <v>1</v>
      </c>
      <c r="R4170" s="22">
        <f t="shared" si="67"/>
        <v>87</v>
      </c>
    </row>
    <row r="4171" spans="1:18">
      <c r="A4171" s="26">
        <v>9351</v>
      </c>
      <c r="B4171" s="27">
        <v>39868</v>
      </c>
      <c r="C4171" s="28" t="s">
        <v>13385</v>
      </c>
      <c r="D4171" s="27">
        <v>39864</v>
      </c>
      <c r="E4171" s="28" t="s">
        <v>13386</v>
      </c>
      <c r="F4171" s="28" t="s">
        <v>13387</v>
      </c>
      <c r="G4171" s="28" t="s">
        <v>20</v>
      </c>
      <c r="H4171" s="28" t="s">
        <v>71</v>
      </c>
      <c r="I4171" s="28" t="s">
        <v>72</v>
      </c>
      <c r="J4171" s="28" t="s">
        <v>13388</v>
      </c>
      <c r="K4171" s="28" t="s">
        <v>13389</v>
      </c>
      <c r="L4171" s="28" t="s">
        <v>4579</v>
      </c>
      <c r="M4171" s="28" t="s">
        <v>21</v>
      </c>
      <c r="N4171" s="29">
        <v>39909</v>
      </c>
      <c r="O4171" s="92">
        <v>40129</v>
      </c>
      <c r="P4171" s="28" t="s">
        <v>21</v>
      </c>
      <c r="Q4171" s="26" t="b">
        <v>0</v>
      </c>
      <c r="R4171" s="22">
        <f t="shared" si="67"/>
        <v>261</v>
      </c>
    </row>
    <row r="4172" spans="1:18">
      <c r="A4172" s="26">
        <v>9352</v>
      </c>
      <c r="B4172" s="27">
        <v>39868</v>
      </c>
      <c r="C4172" s="28" t="s">
        <v>13390</v>
      </c>
      <c r="D4172" s="27">
        <v>39864</v>
      </c>
      <c r="E4172" s="28" t="s">
        <v>13391</v>
      </c>
      <c r="F4172" s="28" t="s">
        <v>545</v>
      </c>
      <c r="G4172" s="28" t="s">
        <v>20</v>
      </c>
      <c r="H4172" s="28" t="s">
        <v>71</v>
      </c>
      <c r="I4172" s="28" t="s">
        <v>72</v>
      </c>
      <c r="J4172" s="28" t="s">
        <v>13392</v>
      </c>
      <c r="K4172" s="28" t="s">
        <v>21</v>
      </c>
      <c r="L4172" s="28" t="s">
        <v>3588</v>
      </c>
      <c r="M4172" s="28" t="s">
        <v>21</v>
      </c>
      <c r="N4172" s="27">
        <v>39892</v>
      </c>
      <c r="O4172" s="92">
        <v>39874</v>
      </c>
      <c r="P4172" s="28" t="s">
        <v>31</v>
      </c>
      <c r="Q4172" s="26" t="b">
        <v>1</v>
      </c>
      <c r="R4172" s="22">
        <f t="shared" si="67"/>
        <v>8</v>
      </c>
    </row>
    <row r="4173" spans="1:18">
      <c r="A4173" s="26">
        <v>9353</v>
      </c>
      <c r="B4173" s="27">
        <v>39875</v>
      </c>
      <c r="C4173" s="28" t="s">
        <v>13393</v>
      </c>
      <c r="D4173" s="27">
        <v>39763</v>
      </c>
      <c r="E4173" s="28" t="s">
        <v>13394</v>
      </c>
      <c r="F4173" s="28" t="s">
        <v>70</v>
      </c>
      <c r="G4173" s="28" t="s">
        <v>20</v>
      </c>
      <c r="H4173" s="28" t="s">
        <v>71</v>
      </c>
      <c r="I4173" s="28" t="s">
        <v>72</v>
      </c>
      <c r="J4173" s="28" t="s">
        <v>13395</v>
      </c>
      <c r="K4173" s="28" t="s">
        <v>21</v>
      </c>
      <c r="L4173" s="28" t="s">
        <v>1946</v>
      </c>
      <c r="M4173" s="28" t="s">
        <v>21</v>
      </c>
      <c r="O4173" s="92">
        <v>39885</v>
      </c>
      <c r="P4173" s="28" t="s">
        <v>31</v>
      </c>
      <c r="Q4173" s="26" t="b">
        <v>1</v>
      </c>
      <c r="R4173" s="22">
        <f t="shared" si="67"/>
        <v>10</v>
      </c>
    </row>
    <row r="4174" spans="1:18">
      <c r="A4174" s="26">
        <v>9354</v>
      </c>
      <c r="B4174" s="27">
        <v>39877</v>
      </c>
      <c r="C4174" s="28" t="s">
        <v>13396</v>
      </c>
      <c r="D4174" s="27">
        <v>39876</v>
      </c>
      <c r="E4174" s="28" t="s">
        <v>13397</v>
      </c>
      <c r="F4174" s="28" t="s">
        <v>149</v>
      </c>
      <c r="G4174" s="28" t="s">
        <v>20</v>
      </c>
      <c r="H4174" s="28" t="s">
        <v>71</v>
      </c>
      <c r="I4174" s="28" t="s">
        <v>72</v>
      </c>
      <c r="J4174" s="28" t="s">
        <v>13398</v>
      </c>
      <c r="K4174" s="28" t="s">
        <v>13399</v>
      </c>
      <c r="L4174" s="28" t="s">
        <v>3588</v>
      </c>
      <c r="M4174" s="28" t="s">
        <v>21</v>
      </c>
      <c r="N4174" s="27">
        <v>39908</v>
      </c>
      <c r="O4174" s="92">
        <v>39906</v>
      </c>
      <c r="P4174" s="28" t="s">
        <v>31</v>
      </c>
      <c r="Q4174" s="26" t="b">
        <v>1</v>
      </c>
      <c r="R4174" s="22">
        <f t="shared" si="67"/>
        <v>28</v>
      </c>
    </row>
    <row r="4175" spans="1:18">
      <c r="A4175" s="26">
        <v>9355</v>
      </c>
      <c r="B4175" s="27">
        <v>39881</v>
      </c>
      <c r="C4175" s="28" t="s">
        <v>13400</v>
      </c>
      <c r="D4175" s="27">
        <v>39881</v>
      </c>
      <c r="E4175" s="28" t="s">
        <v>1432</v>
      </c>
      <c r="F4175" s="28" t="s">
        <v>98</v>
      </c>
      <c r="G4175" s="28" t="s">
        <v>20</v>
      </c>
      <c r="H4175" s="28" t="s">
        <v>71</v>
      </c>
      <c r="I4175" s="28" t="s">
        <v>72</v>
      </c>
      <c r="J4175" s="28" t="s">
        <v>13401</v>
      </c>
      <c r="K4175" s="28" t="s">
        <v>13402</v>
      </c>
      <c r="L4175" s="28" t="s">
        <v>3588</v>
      </c>
      <c r="M4175" s="28" t="s">
        <v>21</v>
      </c>
      <c r="O4175" s="92">
        <v>40183</v>
      </c>
      <c r="P4175" s="28" t="s">
        <v>21</v>
      </c>
      <c r="Q4175" s="26" t="b">
        <v>0</v>
      </c>
      <c r="R4175" s="22">
        <f t="shared" si="67"/>
        <v>300</v>
      </c>
    </row>
    <row r="4176" spans="1:18">
      <c r="A4176" s="26">
        <v>9356</v>
      </c>
      <c r="B4176" s="27">
        <v>39882</v>
      </c>
      <c r="C4176" s="28" t="s">
        <v>13403</v>
      </c>
      <c r="D4176" s="27">
        <v>39770</v>
      </c>
      <c r="E4176" s="28" t="s">
        <v>13404</v>
      </c>
      <c r="F4176" s="28" t="s">
        <v>52</v>
      </c>
      <c r="G4176" s="28" t="s">
        <v>20</v>
      </c>
      <c r="H4176" s="28" t="s">
        <v>189</v>
      </c>
      <c r="I4176" s="28" t="s">
        <v>189</v>
      </c>
      <c r="J4176" s="28" t="s">
        <v>13280</v>
      </c>
      <c r="K4176" s="28" t="s">
        <v>12815</v>
      </c>
      <c r="L4176" s="28" t="s">
        <v>4579</v>
      </c>
      <c r="M4176" s="28" t="s">
        <v>21</v>
      </c>
      <c r="O4176" s="92">
        <v>39932</v>
      </c>
      <c r="P4176" s="28" t="s">
        <v>31</v>
      </c>
      <c r="Q4176" s="26" t="b">
        <v>1</v>
      </c>
      <c r="R4176" s="22">
        <f t="shared" si="67"/>
        <v>49</v>
      </c>
    </row>
    <row r="4177" spans="1:18" ht="24">
      <c r="A4177" s="26">
        <v>9357</v>
      </c>
      <c r="B4177" s="27">
        <v>39882</v>
      </c>
      <c r="C4177" s="28" t="s">
        <v>13405</v>
      </c>
      <c r="D4177" s="27">
        <v>39881</v>
      </c>
      <c r="E4177" s="28" t="s">
        <v>13406</v>
      </c>
      <c r="F4177" s="28" t="s">
        <v>52</v>
      </c>
      <c r="G4177" s="28" t="s">
        <v>20</v>
      </c>
      <c r="H4177" s="28" t="s">
        <v>566</v>
      </c>
      <c r="I4177" s="28" t="s">
        <v>566</v>
      </c>
      <c r="J4177" s="28" t="s">
        <v>13407</v>
      </c>
      <c r="K4177" s="28" t="s">
        <v>13408</v>
      </c>
      <c r="L4177" s="28" t="s">
        <v>1946</v>
      </c>
      <c r="M4177" s="28" t="s">
        <v>21</v>
      </c>
      <c r="N4177" s="29">
        <v>39913</v>
      </c>
      <c r="O4177" s="92">
        <v>40014</v>
      </c>
      <c r="P4177" s="28" t="s">
        <v>31</v>
      </c>
      <c r="Q4177" s="26" t="b">
        <v>1</v>
      </c>
      <c r="R4177" s="22">
        <f t="shared" si="67"/>
        <v>131</v>
      </c>
    </row>
    <row r="4178" spans="1:18">
      <c r="A4178" s="26">
        <v>9358</v>
      </c>
      <c r="B4178" s="27">
        <v>39889</v>
      </c>
      <c r="C4178" s="28" t="s">
        <v>13409</v>
      </c>
      <c r="D4178" s="27">
        <v>39889</v>
      </c>
      <c r="E4178" s="28" t="s">
        <v>13410</v>
      </c>
      <c r="F4178" s="28" t="s">
        <v>2296</v>
      </c>
      <c r="G4178" s="28" t="s">
        <v>189</v>
      </c>
      <c r="H4178" s="28" t="s">
        <v>566</v>
      </c>
      <c r="I4178" s="28" t="s">
        <v>566</v>
      </c>
      <c r="J4178" s="28" t="s">
        <v>13411</v>
      </c>
      <c r="K4178" s="28" t="s">
        <v>13412</v>
      </c>
      <c r="L4178" s="28" t="s">
        <v>4282</v>
      </c>
      <c r="M4178" s="28" t="s">
        <v>21</v>
      </c>
      <c r="N4178" s="27">
        <v>39981</v>
      </c>
      <c r="O4178" s="92">
        <v>39910</v>
      </c>
      <c r="P4178" s="28" t="s">
        <v>21</v>
      </c>
      <c r="Q4178" s="26" t="b">
        <v>0</v>
      </c>
      <c r="R4178" s="22">
        <f t="shared" si="67"/>
        <v>20</v>
      </c>
    </row>
    <row r="4179" spans="1:18">
      <c r="A4179" s="26">
        <v>9359</v>
      </c>
      <c r="B4179" s="27">
        <v>39895</v>
      </c>
      <c r="C4179" s="28" t="s">
        <v>13413</v>
      </c>
      <c r="D4179" s="27">
        <v>39895</v>
      </c>
      <c r="E4179" s="28" t="s">
        <v>11030</v>
      </c>
      <c r="F4179" s="28" t="s">
        <v>6277</v>
      </c>
      <c r="G4179" s="28" t="s">
        <v>20</v>
      </c>
      <c r="H4179" s="28" t="s">
        <v>212</v>
      </c>
      <c r="I4179" s="28" t="s">
        <v>212</v>
      </c>
      <c r="J4179" s="28" t="s">
        <v>13414</v>
      </c>
      <c r="K4179" s="28" t="s">
        <v>13415</v>
      </c>
      <c r="L4179" s="28" t="s">
        <v>4282</v>
      </c>
      <c r="M4179" s="28" t="s">
        <v>21</v>
      </c>
      <c r="O4179" s="92">
        <v>39918</v>
      </c>
      <c r="P4179" s="28" t="s">
        <v>21</v>
      </c>
      <c r="Q4179" s="26" t="b">
        <v>0</v>
      </c>
      <c r="R4179" s="22">
        <f t="shared" si="67"/>
        <v>22</v>
      </c>
    </row>
    <row r="4180" spans="1:18">
      <c r="A4180" s="26">
        <v>9360</v>
      </c>
      <c r="B4180" s="27">
        <v>39895</v>
      </c>
      <c r="C4180" s="28" t="s">
        <v>13416</v>
      </c>
      <c r="D4180" s="27">
        <v>39891</v>
      </c>
      <c r="E4180" s="28" t="s">
        <v>13417</v>
      </c>
      <c r="F4180" s="28" t="s">
        <v>52</v>
      </c>
      <c r="G4180" s="28" t="s">
        <v>20</v>
      </c>
      <c r="H4180" s="28" t="s">
        <v>71</v>
      </c>
      <c r="I4180" s="28" t="s">
        <v>72</v>
      </c>
      <c r="J4180" s="28" t="s">
        <v>13418</v>
      </c>
      <c r="K4180" s="28" t="s">
        <v>13419</v>
      </c>
      <c r="L4180" s="28" t="s">
        <v>1946</v>
      </c>
      <c r="M4180" s="28" t="s">
        <v>21</v>
      </c>
      <c r="N4180" s="29">
        <v>39926</v>
      </c>
      <c r="O4180" s="92">
        <v>40456</v>
      </c>
      <c r="P4180" s="28" t="s">
        <v>31</v>
      </c>
      <c r="Q4180" s="26" t="b">
        <v>1</v>
      </c>
      <c r="R4180" s="22">
        <f t="shared" si="67"/>
        <v>559</v>
      </c>
    </row>
    <row r="4181" spans="1:18">
      <c r="A4181" s="26">
        <v>9361</v>
      </c>
      <c r="B4181" s="27">
        <v>39902</v>
      </c>
      <c r="C4181" s="28" t="s">
        <v>13420</v>
      </c>
      <c r="D4181" s="27">
        <v>39897</v>
      </c>
      <c r="E4181" s="28" t="s">
        <v>13421</v>
      </c>
      <c r="F4181" s="28" t="s">
        <v>13422</v>
      </c>
      <c r="G4181" s="28" t="s">
        <v>20</v>
      </c>
      <c r="H4181" s="28" t="s">
        <v>71</v>
      </c>
      <c r="I4181" s="28" t="s">
        <v>72</v>
      </c>
      <c r="J4181" s="28" t="s">
        <v>13423</v>
      </c>
      <c r="K4181" s="28" t="s">
        <v>13424</v>
      </c>
      <c r="L4181" s="28" t="s">
        <v>13425</v>
      </c>
      <c r="M4181" s="28" t="s">
        <v>1946</v>
      </c>
      <c r="O4181" s="92">
        <v>40449</v>
      </c>
      <c r="P4181" s="28" t="s">
        <v>31</v>
      </c>
      <c r="Q4181" s="26" t="b">
        <v>1</v>
      </c>
      <c r="R4181" s="22">
        <f t="shared" si="67"/>
        <v>545</v>
      </c>
    </row>
    <row r="4182" spans="1:18">
      <c r="A4182" s="26">
        <v>9362</v>
      </c>
      <c r="B4182" s="27">
        <v>39909</v>
      </c>
      <c r="C4182" s="28" t="s">
        <v>13426</v>
      </c>
      <c r="D4182" s="27">
        <v>39903</v>
      </c>
      <c r="E4182" s="28" t="s">
        <v>13427</v>
      </c>
      <c r="F4182" s="28" t="s">
        <v>19</v>
      </c>
      <c r="G4182" s="28" t="s">
        <v>20</v>
      </c>
      <c r="H4182" s="28" t="s">
        <v>71</v>
      </c>
      <c r="I4182" s="28" t="s">
        <v>72</v>
      </c>
      <c r="J4182" s="28" t="s">
        <v>13428</v>
      </c>
      <c r="K4182" s="28" t="s">
        <v>13429</v>
      </c>
      <c r="L4182" s="28" t="s">
        <v>3588</v>
      </c>
      <c r="M4182" s="28" t="s">
        <v>21</v>
      </c>
      <c r="N4182" s="29">
        <v>39934</v>
      </c>
      <c r="O4182" s="92">
        <v>39932</v>
      </c>
      <c r="P4182" s="28" t="s">
        <v>31</v>
      </c>
      <c r="Q4182" s="26" t="b">
        <v>1</v>
      </c>
      <c r="R4182" s="22">
        <f t="shared" si="67"/>
        <v>23</v>
      </c>
    </row>
    <row r="4183" spans="1:18">
      <c r="A4183" s="26">
        <v>9363</v>
      </c>
      <c r="B4183" s="27">
        <v>39909</v>
      </c>
      <c r="C4183" s="28" t="s">
        <v>13430</v>
      </c>
      <c r="D4183" s="27">
        <v>39906</v>
      </c>
      <c r="E4183" s="28" t="s">
        <v>38</v>
      </c>
      <c r="F4183" s="28" t="s">
        <v>12892</v>
      </c>
      <c r="G4183" s="28" t="s">
        <v>20</v>
      </c>
      <c r="H4183" s="28" t="s">
        <v>71</v>
      </c>
      <c r="I4183" s="28" t="s">
        <v>72</v>
      </c>
      <c r="J4183" s="28" t="s">
        <v>13431</v>
      </c>
      <c r="K4183" s="28" t="s">
        <v>13432</v>
      </c>
      <c r="L4183" s="28" t="s">
        <v>11155</v>
      </c>
      <c r="M4183" s="28" t="s">
        <v>21</v>
      </c>
      <c r="O4183" s="92">
        <v>39909</v>
      </c>
      <c r="P4183" s="28" t="s">
        <v>31</v>
      </c>
      <c r="Q4183" s="26" t="b">
        <v>1</v>
      </c>
      <c r="R4183" s="22">
        <f t="shared" si="67"/>
        <v>0</v>
      </c>
    </row>
    <row r="4184" spans="1:18">
      <c r="A4184" s="26">
        <v>9364</v>
      </c>
      <c r="B4184" s="27">
        <v>39909</v>
      </c>
      <c r="C4184" s="28" t="s">
        <v>13433</v>
      </c>
      <c r="D4184" s="27">
        <v>39888</v>
      </c>
      <c r="E4184" s="28" t="s">
        <v>11030</v>
      </c>
      <c r="F4184" s="28" t="s">
        <v>13434</v>
      </c>
      <c r="G4184" s="28" t="s">
        <v>20</v>
      </c>
      <c r="H4184" s="28" t="s">
        <v>189</v>
      </c>
      <c r="I4184" s="28" t="s">
        <v>189</v>
      </c>
      <c r="J4184" s="28" t="s">
        <v>13435</v>
      </c>
      <c r="K4184" s="28" t="s">
        <v>13436</v>
      </c>
      <c r="L4184" s="28" t="s">
        <v>4282</v>
      </c>
      <c r="M4184" s="28" t="s">
        <v>21</v>
      </c>
      <c r="O4184" s="92">
        <v>39981</v>
      </c>
      <c r="P4184" s="28" t="s">
        <v>21</v>
      </c>
      <c r="Q4184" s="26" t="b">
        <v>0</v>
      </c>
      <c r="R4184" s="22">
        <f t="shared" si="67"/>
        <v>71</v>
      </c>
    </row>
    <row r="4185" spans="1:18">
      <c r="A4185" s="26">
        <v>9365</v>
      </c>
      <c r="B4185" s="27">
        <v>39910</v>
      </c>
      <c r="C4185" s="28" t="s">
        <v>13437</v>
      </c>
      <c r="D4185" s="27">
        <v>39895</v>
      </c>
      <c r="E4185" s="28" t="s">
        <v>11030</v>
      </c>
      <c r="F4185" s="28" t="s">
        <v>345</v>
      </c>
      <c r="G4185" s="28" t="s">
        <v>20</v>
      </c>
      <c r="H4185" s="28" t="s">
        <v>71</v>
      </c>
      <c r="I4185" s="28" t="s">
        <v>72</v>
      </c>
      <c r="J4185" s="28" t="s">
        <v>13438</v>
      </c>
      <c r="K4185" s="28" t="s">
        <v>11180</v>
      </c>
      <c r="L4185" s="28" t="s">
        <v>12967</v>
      </c>
      <c r="M4185" s="28" t="s">
        <v>21</v>
      </c>
      <c r="O4185" s="92">
        <v>39961</v>
      </c>
      <c r="P4185" s="28" t="s">
        <v>21</v>
      </c>
      <c r="Q4185" s="26" t="b">
        <v>0</v>
      </c>
      <c r="R4185" s="22">
        <f t="shared" ref="R4185:R4248" si="68">IF(O4185=" ", " ", INT(YEARFRAC(O4185, B4185)*365))</f>
        <v>51</v>
      </c>
    </row>
    <row r="4186" spans="1:18">
      <c r="A4186" s="26">
        <v>9367</v>
      </c>
      <c r="B4186" s="27">
        <v>39916</v>
      </c>
      <c r="C4186" s="28" t="s">
        <v>13439</v>
      </c>
      <c r="D4186" s="27">
        <v>39911</v>
      </c>
      <c r="E4186" s="28" t="s">
        <v>13440</v>
      </c>
      <c r="F4186" s="28" t="s">
        <v>27</v>
      </c>
      <c r="G4186" s="28" t="s">
        <v>20</v>
      </c>
      <c r="H4186" s="28" t="s">
        <v>71</v>
      </c>
      <c r="I4186" s="28" t="s">
        <v>72</v>
      </c>
      <c r="J4186" s="28" t="s">
        <v>13441</v>
      </c>
      <c r="K4186" s="28" t="s">
        <v>13442</v>
      </c>
      <c r="L4186" s="28" t="s">
        <v>4579</v>
      </c>
      <c r="M4186" s="28" t="s">
        <v>21</v>
      </c>
      <c r="N4186" s="29">
        <v>39957</v>
      </c>
      <c r="O4186" s="92">
        <v>40043</v>
      </c>
      <c r="P4186" s="28" t="s">
        <v>31</v>
      </c>
      <c r="Q4186" s="26" t="b">
        <v>1</v>
      </c>
      <c r="R4186" s="22">
        <f t="shared" si="68"/>
        <v>126</v>
      </c>
    </row>
    <row r="4187" spans="1:18">
      <c r="A4187" s="26">
        <v>9369</v>
      </c>
      <c r="B4187" s="27">
        <v>39923</v>
      </c>
      <c r="C4187" s="28" t="s">
        <v>13443</v>
      </c>
      <c r="D4187" s="27">
        <v>39920</v>
      </c>
      <c r="E4187" s="28" t="s">
        <v>13444</v>
      </c>
      <c r="F4187" s="28" t="s">
        <v>13445</v>
      </c>
      <c r="G4187" s="28" t="s">
        <v>20</v>
      </c>
      <c r="H4187" s="28" t="s">
        <v>71</v>
      </c>
      <c r="I4187" s="28" t="s">
        <v>72</v>
      </c>
      <c r="J4187" s="28" t="s">
        <v>13446</v>
      </c>
      <c r="K4187" s="28" t="s">
        <v>13447</v>
      </c>
      <c r="L4187" s="28" t="s">
        <v>4282</v>
      </c>
      <c r="M4187" s="28" t="s">
        <v>21</v>
      </c>
      <c r="N4187" s="18"/>
      <c r="O4187" s="92">
        <v>39924</v>
      </c>
      <c r="P4187" s="28" t="s">
        <v>21</v>
      </c>
      <c r="Q4187" s="26" t="b">
        <v>0</v>
      </c>
      <c r="R4187" s="22">
        <f t="shared" si="68"/>
        <v>1</v>
      </c>
    </row>
    <row r="4188" spans="1:18">
      <c r="A4188" s="26">
        <v>9370</v>
      </c>
      <c r="B4188" s="27">
        <v>39925</v>
      </c>
      <c r="C4188" s="28" t="s">
        <v>13448</v>
      </c>
      <c r="D4188" s="27">
        <v>39920</v>
      </c>
      <c r="E4188" s="28" t="s">
        <v>38</v>
      </c>
      <c r="F4188" s="28" t="s">
        <v>4242</v>
      </c>
      <c r="G4188" s="28" t="s">
        <v>20</v>
      </c>
      <c r="H4188" s="28" t="s">
        <v>189</v>
      </c>
      <c r="I4188" s="28" t="s">
        <v>189</v>
      </c>
      <c r="J4188" s="28" t="s">
        <v>2469</v>
      </c>
      <c r="K4188" s="28" t="s">
        <v>13449</v>
      </c>
      <c r="L4188" s="28" t="s">
        <v>4579</v>
      </c>
      <c r="M4188" s="28" t="s">
        <v>21</v>
      </c>
      <c r="O4188" s="92">
        <v>39925</v>
      </c>
      <c r="P4188" s="28" t="s">
        <v>21</v>
      </c>
      <c r="Q4188" s="26" t="b">
        <v>0</v>
      </c>
      <c r="R4188" s="22">
        <f t="shared" si="68"/>
        <v>0</v>
      </c>
    </row>
    <row r="4189" spans="1:18">
      <c r="A4189" s="26">
        <v>9371</v>
      </c>
      <c r="B4189" s="27">
        <v>39925</v>
      </c>
      <c r="C4189" s="28" t="s">
        <v>13450</v>
      </c>
      <c r="D4189" s="27">
        <v>39923</v>
      </c>
      <c r="E4189" s="28" t="s">
        <v>13451</v>
      </c>
      <c r="F4189" s="28" t="s">
        <v>242</v>
      </c>
      <c r="G4189" s="28" t="s">
        <v>20</v>
      </c>
      <c r="H4189" s="28" t="s">
        <v>71</v>
      </c>
      <c r="I4189" s="28" t="s">
        <v>72</v>
      </c>
      <c r="J4189" s="28" t="s">
        <v>13452</v>
      </c>
      <c r="K4189" s="28" t="s">
        <v>6081</v>
      </c>
      <c r="L4189" s="28" t="s">
        <v>3588</v>
      </c>
      <c r="M4189" s="28" t="s">
        <v>21</v>
      </c>
      <c r="O4189" s="92">
        <v>39945</v>
      </c>
      <c r="P4189" s="28" t="s">
        <v>31</v>
      </c>
      <c r="Q4189" s="26" t="b">
        <v>1</v>
      </c>
      <c r="R4189" s="22">
        <f t="shared" si="68"/>
        <v>20</v>
      </c>
    </row>
    <row r="4190" spans="1:18">
      <c r="A4190" s="26">
        <v>9372</v>
      </c>
      <c r="B4190" s="27">
        <v>39932</v>
      </c>
      <c r="C4190" s="28" t="s">
        <v>13453</v>
      </c>
      <c r="D4190" s="27">
        <v>39903</v>
      </c>
      <c r="E4190" s="28" t="s">
        <v>13454</v>
      </c>
      <c r="F4190" s="28" t="s">
        <v>19</v>
      </c>
      <c r="G4190" s="28" t="s">
        <v>20</v>
      </c>
      <c r="H4190" s="28" t="s">
        <v>71</v>
      </c>
      <c r="I4190" s="28" t="s">
        <v>72</v>
      </c>
      <c r="J4190" s="28" t="s">
        <v>13428</v>
      </c>
      <c r="K4190" s="28" t="s">
        <v>13455</v>
      </c>
      <c r="L4190" s="28" t="s">
        <v>3588</v>
      </c>
      <c r="M4190" s="28" t="s">
        <v>21</v>
      </c>
      <c r="O4190" s="92">
        <v>39946</v>
      </c>
      <c r="P4190" s="28" t="s">
        <v>31</v>
      </c>
      <c r="Q4190" s="26" t="b">
        <v>1</v>
      </c>
      <c r="R4190" s="22">
        <f t="shared" si="68"/>
        <v>14</v>
      </c>
    </row>
    <row r="4191" spans="1:18" ht="24">
      <c r="A4191" s="26">
        <v>9373</v>
      </c>
      <c r="B4191" s="27">
        <v>39937</v>
      </c>
      <c r="C4191" s="28" t="s">
        <v>13456</v>
      </c>
      <c r="D4191" s="27">
        <v>39931</v>
      </c>
      <c r="E4191" s="28" t="s">
        <v>13457</v>
      </c>
      <c r="F4191" s="28" t="s">
        <v>145</v>
      </c>
      <c r="G4191" s="28" t="s">
        <v>20</v>
      </c>
      <c r="H4191" s="28" t="s">
        <v>71</v>
      </c>
      <c r="I4191" s="28" t="s">
        <v>72</v>
      </c>
      <c r="J4191" s="28" t="s">
        <v>13458</v>
      </c>
      <c r="K4191" s="28" t="s">
        <v>13459</v>
      </c>
      <c r="L4191" s="28" t="s">
        <v>4282</v>
      </c>
      <c r="M4191" s="28" t="s">
        <v>21</v>
      </c>
      <c r="O4191" s="92">
        <v>39962</v>
      </c>
      <c r="P4191" s="28" t="s">
        <v>21</v>
      </c>
      <c r="Q4191" s="26" t="b">
        <v>1</v>
      </c>
      <c r="R4191" s="22">
        <f t="shared" si="68"/>
        <v>25</v>
      </c>
    </row>
    <row r="4192" spans="1:18">
      <c r="A4192" s="26">
        <v>9374</v>
      </c>
      <c r="B4192" s="27">
        <v>39939</v>
      </c>
      <c r="C4192" s="28" t="s">
        <v>13460</v>
      </c>
      <c r="D4192" s="27">
        <v>39939</v>
      </c>
      <c r="E4192" s="28" t="s">
        <v>13461</v>
      </c>
      <c r="F4192" s="28" t="s">
        <v>12404</v>
      </c>
      <c r="G4192" s="28" t="s">
        <v>20</v>
      </c>
      <c r="H4192" s="28" t="s">
        <v>71</v>
      </c>
      <c r="I4192" s="28" t="s">
        <v>72</v>
      </c>
      <c r="J4192" s="28" t="s">
        <v>13462</v>
      </c>
      <c r="K4192" s="28" t="s">
        <v>13463</v>
      </c>
      <c r="L4192" s="28" t="s">
        <v>4579</v>
      </c>
      <c r="M4192" s="28" t="s">
        <v>21</v>
      </c>
      <c r="O4192" s="92">
        <v>40014</v>
      </c>
      <c r="P4192" s="28" t="s">
        <v>31</v>
      </c>
      <c r="Q4192" s="26" t="b">
        <v>1</v>
      </c>
      <c r="R4192" s="22">
        <f t="shared" si="68"/>
        <v>75</v>
      </c>
    </row>
    <row r="4193" spans="1:18">
      <c r="A4193" s="26">
        <v>9375</v>
      </c>
      <c r="B4193" s="27">
        <v>39951</v>
      </c>
      <c r="C4193" s="28" t="s">
        <v>13464</v>
      </c>
      <c r="D4193" s="27">
        <v>39945</v>
      </c>
      <c r="E4193" s="28" t="s">
        <v>13465</v>
      </c>
      <c r="F4193" s="28" t="s">
        <v>371</v>
      </c>
      <c r="G4193" s="28" t="s">
        <v>20</v>
      </c>
      <c r="H4193" s="28" t="s">
        <v>71</v>
      </c>
      <c r="I4193" s="28" t="s">
        <v>72</v>
      </c>
      <c r="J4193" s="28" t="s">
        <v>13466</v>
      </c>
      <c r="K4193" s="28" t="s">
        <v>13467</v>
      </c>
      <c r="L4193" s="28" t="s">
        <v>3588</v>
      </c>
      <c r="M4193" s="28" t="s">
        <v>21</v>
      </c>
      <c r="O4193" s="92">
        <v>40065</v>
      </c>
      <c r="P4193" s="28" t="s">
        <v>21</v>
      </c>
      <c r="Q4193" s="26" t="b">
        <v>0</v>
      </c>
      <c r="R4193" s="22">
        <f t="shared" si="68"/>
        <v>112</v>
      </c>
    </row>
    <row r="4194" spans="1:18">
      <c r="A4194" s="26">
        <v>9376</v>
      </c>
      <c r="B4194" s="27">
        <v>39953</v>
      </c>
      <c r="C4194" s="28" t="s">
        <v>13468</v>
      </c>
      <c r="D4194" s="27">
        <v>39952</v>
      </c>
      <c r="E4194" s="28" t="s">
        <v>13469</v>
      </c>
      <c r="F4194" s="28" t="s">
        <v>70</v>
      </c>
      <c r="G4194" s="28" t="s">
        <v>20</v>
      </c>
      <c r="H4194" s="28" t="s">
        <v>71</v>
      </c>
      <c r="I4194" s="28" t="s">
        <v>72</v>
      </c>
      <c r="J4194" s="28" t="s">
        <v>13470</v>
      </c>
      <c r="K4194" s="28" t="s">
        <v>13471</v>
      </c>
      <c r="L4194" s="28" t="s">
        <v>3588</v>
      </c>
      <c r="M4194" s="28" t="s">
        <v>21</v>
      </c>
      <c r="O4194" s="92">
        <v>40184</v>
      </c>
      <c r="P4194" s="28" t="s">
        <v>21</v>
      </c>
      <c r="Q4194" s="26" t="b">
        <v>0</v>
      </c>
      <c r="R4194" s="22">
        <f t="shared" si="68"/>
        <v>229</v>
      </c>
    </row>
    <row r="4195" spans="1:18">
      <c r="A4195" s="26">
        <v>9377</v>
      </c>
      <c r="B4195" s="27">
        <v>39962</v>
      </c>
      <c r="C4195" s="28" t="s">
        <v>13472</v>
      </c>
      <c r="D4195" s="27">
        <v>39959</v>
      </c>
      <c r="E4195" s="28" t="s">
        <v>13473</v>
      </c>
      <c r="F4195" s="28" t="s">
        <v>974</v>
      </c>
      <c r="G4195" s="28" t="s">
        <v>20</v>
      </c>
      <c r="H4195" s="28" t="s">
        <v>212</v>
      </c>
      <c r="I4195" s="28" t="s">
        <v>212</v>
      </c>
      <c r="J4195" s="28" t="s">
        <v>13474</v>
      </c>
      <c r="K4195" s="28" t="s">
        <v>13475</v>
      </c>
      <c r="L4195" s="28" t="s">
        <v>4579</v>
      </c>
      <c r="M4195" s="28" t="s">
        <v>4282</v>
      </c>
      <c r="N4195" s="29">
        <v>40004</v>
      </c>
      <c r="O4195" s="92">
        <v>40554</v>
      </c>
      <c r="P4195" s="28" t="s">
        <v>21</v>
      </c>
      <c r="Q4195" s="26" t="b">
        <v>1</v>
      </c>
      <c r="R4195" s="22">
        <f t="shared" si="68"/>
        <v>590</v>
      </c>
    </row>
    <row r="4196" spans="1:18">
      <c r="A4196" s="26">
        <v>9378</v>
      </c>
      <c r="B4196" s="27">
        <v>39962</v>
      </c>
      <c r="C4196" s="28" t="s">
        <v>13476</v>
      </c>
      <c r="D4196" s="27">
        <v>39955</v>
      </c>
      <c r="E4196" s="28" t="s">
        <v>11030</v>
      </c>
      <c r="F4196" s="28" t="s">
        <v>13477</v>
      </c>
      <c r="G4196" s="28" t="s">
        <v>20</v>
      </c>
      <c r="H4196" s="28" t="s">
        <v>71</v>
      </c>
      <c r="I4196" s="28" t="s">
        <v>72</v>
      </c>
      <c r="J4196" s="28" t="s">
        <v>13478</v>
      </c>
      <c r="K4196" s="28" t="s">
        <v>13479</v>
      </c>
      <c r="L4196" s="28" t="s">
        <v>4282</v>
      </c>
      <c r="M4196" s="28" t="s">
        <v>21</v>
      </c>
      <c r="O4196" s="92">
        <v>40343</v>
      </c>
      <c r="P4196" s="28" t="s">
        <v>21</v>
      </c>
      <c r="Q4196" s="26" t="b">
        <v>0</v>
      </c>
      <c r="R4196" s="22">
        <f t="shared" si="68"/>
        <v>380</v>
      </c>
    </row>
    <row r="4197" spans="1:18">
      <c r="A4197" s="26">
        <v>9379</v>
      </c>
      <c r="B4197" s="27">
        <v>39962</v>
      </c>
      <c r="C4197" s="28" t="s">
        <v>13480</v>
      </c>
      <c r="D4197" s="27">
        <v>39962</v>
      </c>
      <c r="E4197" s="28" t="s">
        <v>13481</v>
      </c>
      <c r="F4197" s="28" t="s">
        <v>149</v>
      </c>
      <c r="G4197" s="28" t="s">
        <v>20</v>
      </c>
      <c r="H4197" s="28" t="s">
        <v>71</v>
      </c>
      <c r="I4197" s="28" t="s">
        <v>72</v>
      </c>
      <c r="J4197" s="28" t="s">
        <v>13482</v>
      </c>
      <c r="K4197" s="28" t="s">
        <v>21</v>
      </c>
      <c r="L4197" s="28" t="s">
        <v>13483</v>
      </c>
      <c r="M4197" s="28" t="s">
        <v>21</v>
      </c>
      <c r="O4197" s="92">
        <v>40029</v>
      </c>
      <c r="P4197" s="28" t="s">
        <v>21</v>
      </c>
      <c r="Q4197" s="26" t="b">
        <v>0</v>
      </c>
      <c r="R4197" s="22">
        <f t="shared" si="68"/>
        <v>65</v>
      </c>
    </row>
    <row r="4198" spans="1:18">
      <c r="A4198" s="26">
        <v>9380</v>
      </c>
      <c r="B4198" s="27">
        <v>39962</v>
      </c>
      <c r="C4198" s="28" t="s">
        <v>13484</v>
      </c>
      <c r="D4198" s="27">
        <v>39962</v>
      </c>
      <c r="E4198" s="28" t="s">
        <v>11030</v>
      </c>
      <c r="F4198" s="28" t="s">
        <v>13485</v>
      </c>
      <c r="G4198" s="28" t="s">
        <v>20</v>
      </c>
      <c r="H4198" s="28" t="s">
        <v>189</v>
      </c>
      <c r="I4198" s="28" t="s">
        <v>189</v>
      </c>
      <c r="J4198" s="28" t="s">
        <v>13486</v>
      </c>
      <c r="K4198" s="28" t="s">
        <v>21</v>
      </c>
      <c r="L4198" s="28" t="s">
        <v>12967</v>
      </c>
      <c r="M4198" s="28" t="s">
        <v>21</v>
      </c>
      <c r="O4198" s="92">
        <v>39984</v>
      </c>
      <c r="P4198" s="28" t="s">
        <v>21</v>
      </c>
      <c r="Q4198" s="26" t="b">
        <v>0</v>
      </c>
      <c r="R4198" s="22">
        <f t="shared" si="68"/>
        <v>21</v>
      </c>
    </row>
    <row r="4199" spans="1:18">
      <c r="A4199" s="26">
        <v>9381</v>
      </c>
      <c r="B4199" s="27">
        <v>39967</v>
      </c>
      <c r="C4199" s="28" t="s">
        <v>13487</v>
      </c>
      <c r="D4199" s="27">
        <v>39965</v>
      </c>
      <c r="E4199" s="28" t="s">
        <v>13488</v>
      </c>
      <c r="F4199" s="28" t="s">
        <v>12892</v>
      </c>
      <c r="G4199" s="28" t="s">
        <v>20</v>
      </c>
      <c r="H4199" s="28" t="s">
        <v>71</v>
      </c>
      <c r="I4199" s="28" t="s">
        <v>72</v>
      </c>
      <c r="J4199" s="28" t="s">
        <v>13489</v>
      </c>
      <c r="K4199" s="28" t="s">
        <v>21</v>
      </c>
      <c r="L4199" s="28" t="s">
        <v>1946</v>
      </c>
      <c r="M4199" s="28" t="s">
        <v>21</v>
      </c>
      <c r="O4199" s="92">
        <v>39994</v>
      </c>
      <c r="P4199" s="28" t="s">
        <v>31</v>
      </c>
      <c r="Q4199" s="26" t="b">
        <v>1</v>
      </c>
      <c r="R4199" s="22">
        <f t="shared" si="68"/>
        <v>27</v>
      </c>
    </row>
    <row r="4200" spans="1:18">
      <c r="A4200" s="26">
        <v>9382</v>
      </c>
      <c r="B4200" s="27">
        <v>39967</v>
      </c>
      <c r="C4200" s="28" t="s">
        <v>13490</v>
      </c>
      <c r="D4200" s="27">
        <v>39966</v>
      </c>
      <c r="E4200" s="28" t="s">
        <v>13491</v>
      </c>
      <c r="F4200" s="28" t="s">
        <v>13492</v>
      </c>
      <c r="G4200" s="28" t="s">
        <v>20</v>
      </c>
      <c r="H4200" s="28" t="s">
        <v>71</v>
      </c>
      <c r="I4200" s="28" t="s">
        <v>72</v>
      </c>
      <c r="J4200" s="28" t="s">
        <v>13493</v>
      </c>
      <c r="K4200" s="28" t="s">
        <v>21</v>
      </c>
      <c r="L4200" s="28" t="s">
        <v>4579</v>
      </c>
      <c r="M4200" s="28" t="s">
        <v>21</v>
      </c>
      <c r="O4200" s="92">
        <v>39981</v>
      </c>
      <c r="P4200" s="28" t="s">
        <v>31</v>
      </c>
      <c r="Q4200" s="26" t="b">
        <v>1</v>
      </c>
      <c r="R4200" s="22">
        <f t="shared" si="68"/>
        <v>14</v>
      </c>
    </row>
    <row r="4201" spans="1:18">
      <c r="A4201" s="26">
        <v>9383</v>
      </c>
      <c r="B4201" s="27">
        <v>39967</v>
      </c>
      <c r="C4201" s="28" t="s">
        <v>13494</v>
      </c>
      <c r="D4201" s="27">
        <v>39965</v>
      </c>
      <c r="E4201" s="28" t="s">
        <v>13495</v>
      </c>
      <c r="F4201" s="28" t="s">
        <v>283</v>
      </c>
      <c r="G4201" s="28" t="s">
        <v>20</v>
      </c>
      <c r="H4201" s="28" t="s">
        <v>71</v>
      </c>
      <c r="I4201" s="28" t="s">
        <v>72</v>
      </c>
      <c r="J4201" s="28" t="s">
        <v>13496</v>
      </c>
      <c r="K4201" s="28" t="s">
        <v>13497</v>
      </c>
      <c r="L4201" s="28" t="s">
        <v>4579</v>
      </c>
      <c r="M4201" s="28" t="s">
        <v>21</v>
      </c>
      <c r="O4201" s="92">
        <v>40045</v>
      </c>
      <c r="P4201" s="28" t="s">
        <v>21</v>
      </c>
      <c r="Q4201" s="26" t="b">
        <v>0</v>
      </c>
      <c r="R4201" s="22">
        <f t="shared" si="68"/>
        <v>78</v>
      </c>
    </row>
    <row r="4202" spans="1:18">
      <c r="A4202" s="26">
        <v>9384</v>
      </c>
      <c r="B4202" s="27">
        <v>39969</v>
      </c>
      <c r="C4202" s="28" t="s">
        <v>13498</v>
      </c>
      <c r="D4202" s="27">
        <v>39968</v>
      </c>
      <c r="E4202" s="28" t="s">
        <v>13499</v>
      </c>
      <c r="F4202" s="28" t="s">
        <v>974</v>
      </c>
      <c r="G4202" s="28" t="s">
        <v>20</v>
      </c>
      <c r="H4202" s="28" t="s">
        <v>212</v>
      </c>
      <c r="I4202" s="28" t="s">
        <v>212</v>
      </c>
      <c r="J4202" s="28" t="s">
        <v>13500</v>
      </c>
      <c r="K4202" s="28" t="s">
        <v>13501</v>
      </c>
      <c r="L4202" s="28" t="s">
        <v>4282</v>
      </c>
      <c r="M4202" s="28" t="s">
        <v>21</v>
      </c>
      <c r="O4202" s="92">
        <v>41089</v>
      </c>
      <c r="P4202" s="28" t="s">
        <v>31</v>
      </c>
      <c r="Q4202" s="26" t="b">
        <v>1</v>
      </c>
      <c r="R4202" s="22">
        <f t="shared" si="68"/>
        <v>1119</v>
      </c>
    </row>
    <row r="4203" spans="1:18">
      <c r="A4203" s="26">
        <v>9385</v>
      </c>
      <c r="B4203" s="27">
        <v>39974</v>
      </c>
      <c r="C4203" s="28" t="s">
        <v>13502</v>
      </c>
      <c r="D4203" s="27">
        <v>39972</v>
      </c>
      <c r="E4203" s="28" t="s">
        <v>13503</v>
      </c>
      <c r="F4203" s="28" t="s">
        <v>228</v>
      </c>
      <c r="G4203" s="28" t="s">
        <v>20</v>
      </c>
      <c r="H4203" s="28" t="s">
        <v>71</v>
      </c>
      <c r="I4203" s="28" t="s">
        <v>72</v>
      </c>
      <c r="J4203" s="28" t="s">
        <v>13504</v>
      </c>
      <c r="K4203" s="28" t="s">
        <v>3335</v>
      </c>
      <c r="L4203" s="28" t="s">
        <v>4579</v>
      </c>
      <c r="M4203" s="28" t="s">
        <v>21</v>
      </c>
      <c r="O4203" s="92">
        <v>40014</v>
      </c>
      <c r="P4203" s="28" t="s">
        <v>21</v>
      </c>
      <c r="Q4203" s="26" t="b">
        <v>0</v>
      </c>
      <c r="R4203" s="22">
        <f t="shared" si="68"/>
        <v>40</v>
      </c>
    </row>
    <row r="4204" spans="1:18">
      <c r="A4204" s="26">
        <v>9386</v>
      </c>
      <c r="B4204" s="27">
        <v>39980</v>
      </c>
      <c r="C4204" s="28" t="s">
        <v>13505</v>
      </c>
      <c r="D4204" s="27">
        <v>39979</v>
      </c>
      <c r="E4204" s="28" t="s">
        <v>13506</v>
      </c>
      <c r="F4204" s="28" t="s">
        <v>1232</v>
      </c>
      <c r="G4204" s="28" t="s">
        <v>20</v>
      </c>
      <c r="H4204" s="28" t="s">
        <v>189</v>
      </c>
      <c r="I4204" s="28" t="s">
        <v>189</v>
      </c>
      <c r="J4204" s="28" t="s">
        <v>13507</v>
      </c>
      <c r="K4204" s="28" t="s">
        <v>13508</v>
      </c>
      <c r="L4204" s="28" t="s">
        <v>4282</v>
      </c>
      <c r="M4204" s="28" t="s">
        <v>21</v>
      </c>
      <c r="O4204" s="92">
        <v>40165</v>
      </c>
      <c r="P4204" s="28" t="s">
        <v>31</v>
      </c>
      <c r="Q4204" s="26" t="b">
        <v>1</v>
      </c>
      <c r="R4204" s="22">
        <f t="shared" si="68"/>
        <v>184</v>
      </c>
    </row>
    <row r="4205" spans="1:18" ht="24">
      <c r="A4205" s="26">
        <v>9387</v>
      </c>
      <c r="B4205" s="27">
        <v>39980</v>
      </c>
      <c r="C4205" s="28" t="s">
        <v>13509</v>
      </c>
      <c r="D4205" s="27">
        <v>39973</v>
      </c>
      <c r="E4205" s="28" t="s">
        <v>10998</v>
      </c>
      <c r="F4205" s="28" t="s">
        <v>13510</v>
      </c>
      <c r="G4205" s="28" t="s">
        <v>20</v>
      </c>
      <c r="H4205" s="28" t="s">
        <v>71</v>
      </c>
      <c r="I4205" s="28" t="s">
        <v>72</v>
      </c>
      <c r="J4205" s="28" t="s">
        <v>13511</v>
      </c>
      <c r="K4205" s="28" t="s">
        <v>13512</v>
      </c>
      <c r="L4205" s="28" t="s">
        <v>4282</v>
      </c>
      <c r="M4205" s="28" t="s">
        <v>21</v>
      </c>
      <c r="O4205" s="92">
        <v>40154</v>
      </c>
      <c r="P4205" s="28" t="s">
        <v>21</v>
      </c>
      <c r="Q4205" s="26" t="b">
        <v>0</v>
      </c>
      <c r="R4205" s="22">
        <f t="shared" si="68"/>
        <v>173</v>
      </c>
    </row>
    <row r="4206" spans="1:18" ht="24">
      <c r="A4206" s="26">
        <v>9388</v>
      </c>
      <c r="B4206" s="27">
        <v>39980</v>
      </c>
      <c r="C4206" s="28" t="s">
        <v>13513</v>
      </c>
      <c r="D4206" s="27">
        <v>39967</v>
      </c>
      <c r="E4206" s="28" t="s">
        <v>11030</v>
      </c>
      <c r="F4206" s="28" t="s">
        <v>9937</v>
      </c>
      <c r="G4206" s="28" t="s">
        <v>20</v>
      </c>
      <c r="H4206" s="28" t="s">
        <v>71</v>
      </c>
      <c r="I4206" s="28" t="s">
        <v>72</v>
      </c>
      <c r="J4206" s="28" t="s">
        <v>13514</v>
      </c>
      <c r="K4206" s="28" t="s">
        <v>13515</v>
      </c>
      <c r="L4206" s="28" t="s">
        <v>3588</v>
      </c>
      <c r="M4206" s="28" t="s">
        <v>21</v>
      </c>
      <c r="O4206" s="92">
        <v>40029</v>
      </c>
      <c r="P4206" s="28" t="s">
        <v>21</v>
      </c>
      <c r="Q4206" s="26" t="b">
        <v>0</v>
      </c>
      <c r="R4206" s="22">
        <f t="shared" si="68"/>
        <v>48</v>
      </c>
    </row>
    <row r="4207" spans="1:18">
      <c r="A4207" s="26">
        <v>9389</v>
      </c>
      <c r="B4207" s="27">
        <v>39982</v>
      </c>
      <c r="C4207" s="28" t="s">
        <v>13516</v>
      </c>
      <c r="D4207" s="27">
        <v>39982</v>
      </c>
      <c r="E4207" s="28" t="s">
        <v>13517</v>
      </c>
      <c r="F4207" s="28" t="s">
        <v>1232</v>
      </c>
      <c r="G4207" s="28" t="s">
        <v>20</v>
      </c>
      <c r="H4207" s="28" t="s">
        <v>189</v>
      </c>
      <c r="I4207" s="28" t="s">
        <v>189</v>
      </c>
      <c r="J4207" s="28" t="s">
        <v>7034</v>
      </c>
      <c r="K4207" s="28" t="s">
        <v>13508</v>
      </c>
      <c r="L4207" s="28" t="s">
        <v>4282</v>
      </c>
      <c r="M4207" s="28" t="s">
        <v>21</v>
      </c>
      <c r="O4207" s="92">
        <v>40165</v>
      </c>
      <c r="P4207" s="28" t="s">
        <v>21</v>
      </c>
      <c r="Q4207" s="26" t="b">
        <v>1</v>
      </c>
      <c r="R4207" s="22">
        <f t="shared" si="68"/>
        <v>182</v>
      </c>
    </row>
    <row r="4208" spans="1:18">
      <c r="A4208" s="26">
        <v>9390</v>
      </c>
      <c r="B4208" s="27">
        <v>39982</v>
      </c>
      <c r="C4208" s="28" t="s">
        <v>13518</v>
      </c>
      <c r="D4208" s="27">
        <v>39982</v>
      </c>
      <c r="E4208" s="28" t="s">
        <v>13519</v>
      </c>
      <c r="F4208" s="28" t="s">
        <v>1232</v>
      </c>
      <c r="G4208" s="28" t="s">
        <v>20</v>
      </c>
      <c r="H4208" s="28" t="s">
        <v>189</v>
      </c>
      <c r="I4208" s="28" t="s">
        <v>189</v>
      </c>
      <c r="J4208" s="28" t="s">
        <v>7034</v>
      </c>
      <c r="K4208" s="28" t="s">
        <v>13507</v>
      </c>
      <c r="L4208" s="28" t="s">
        <v>4282</v>
      </c>
      <c r="M4208" s="28" t="s">
        <v>21</v>
      </c>
      <c r="N4208" s="18"/>
      <c r="O4208" s="92">
        <v>40165</v>
      </c>
      <c r="P4208" s="28" t="s">
        <v>31</v>
      </c>
      <c r="Q4208" s="26" t="b">
        <v>1</v>
      </c>
      <c r="R4208" s="22">
        <f t="shared" si="68"/>
        <v>182</v>
      </c>
    </row>
    <row r="4209" spans="1:18" ht="24">
      <c r="A4209" s="26">
        <v>9393</v>
      </c>
      <c r="B4209" s="27">
        <v>39986</v>
      </c>
      <c r="C4209" s="28" t="s">
        <v>13520</v>
      </c>
      <c r="D4209" s="27">
        <v>39688</v>
      </c>
      <c r="E4209" s="28" t="s">
        <v>13521</v>
      </c>
      <c r="F4209" s="28" t="s">
        <v>13164</v>
      </c>
      <c r="G4209" s="28" t="s">
        <v>20</v>
      </c>
      <c r="H4209" s="28" t="s">
        <v>71</v>
      </c>
      <c r="I4209" s="28" t="s">
        <v>72</v>
      </c>
      <c r="J4209" s="28" t="s">
        <v>13165</v>
      </c>
      <c r="K4209" s="28" t="s">
        <v>13522</v>
      </c>
      <c r="L4209" s="28" t="s">
        <v>4579</v>
      </c>
      <c r="M4209" s="28" t="s">
        <v>21</v>
      </c>
      <c r="N4209" s="18"/>
      <c r="O4209" s="92">
        <v>39986</v>
      </c>
      <c r="P4209" s="28" t="s">
        <v>31</v>
      </c>
      <c r="Q4209" s="26" t="b">
        <v>1</v>
      </c>
      <c r="R4209" s="22">
        <f t="shared" si="68"/>
        <v>0</v>
      </c>
    </row>
    <row r="4210" spans="1:18">
      <c r="A4210" s="26">
        <v>9394</v>
      </c>
      <c r="B4210" s="27">
        <v>39986</v>
      </c>
      <c r="C4210" s="28" t="s">
        <v>13523</v>
      </c>
      <c r="D4210" s="27">
        <v>39982</v>
      </c>
      <c r="E4210" s="28" t="s">
        <v>38</v>
      </c>
      <c r="F4210" s="28" t="s">
        <v>4242</v>
      </c>
      <c r="G4210" s="28" t="s">
        <v>20</v>
      </c>
      <c r="H4210" s="28" t="s">
        <v>189</v>
      </c>
      <c r="I4210" s="28" t="s">
        <v>189</v>
      </c>
      <c r="J4210" s="28" t="s">
        <v>13524</v>
      </c>
      <c r="K4210" s="28" t="s">
        <v>13525</v>
      </c>
      <c r="L4210" s="28" t="s">
        <v>1946</v>
      </c>
      <c r="M4210" s="28" t="s">
        <v>21</v>
      </c>
      <c r="N4210" s="18"/>
      <c r="O4210" s="92">
        <v>40030</v>
      </c>
      <c r="P4210" s="28" t="s">
        <v>21</v>
      </c>
      <c r="Q4210" s="26" t="b">
        <v>0</v>
      </c>
      <c r="R4210" s="22">
        <f t="shared" si="68"/>
        <v>43</v>
      </c>
    </row>
    <row r="4211" spans="1:18">
      <c r="A4211" s="26">
        <v>9395</v>
      </c>
      <c r="B4211" s="27">
        <v>39986</v>
      </c>
      <c r="C4211" s="28" t="s">
        <v>13526</v>
      </c>
      <c r="D4211" s="27">
        <v>39982</v>
      </c>
      <c r="E4211" s="28" t="s">
        <v>13527</v>
      </c>
      <c r="F4211" s="28" t="s">
        <v>13528</v>
      </c>
      <c r="G4211" s="28" t="s">
        <v>20</v>
      </c>
      <c r="H4211" s="28" t="s">
        <v>71</v>
      </c>
      <c r="I4211" s="28" t="s">
        <v>72</v>
      </c>
      <c r="J4211" s="28" t="s">
        <v>13529</v>
      </c>
      <c r="K4211" s="28" t="s">
        <v>13530</v>
      </c>
      <c r="L4211" s="28" t="s">
        <v>3588</v>
      </c>
      <c r="M4211" s="28" t="s">
        <v>21</v>
      </c>
      <c r="N4211" s="18"/>
      <c r="O4211" s="92">
        <v>40014</v>
      </c>
      <c r="P4211" s="28" t="s">
        <v>31</v>
      </c>
      <c r="Q4211" s="26" t="b">
        <v>1</v>
      </c>
      <c r="R4211" s="22">
        <f t="shared" si="68"/>
        <v>28</v>
      </c>
    </row>
    <row r="4212" spans="1:18">
      <c r="A4212" s="26">
        <v>9396</v>
      </c>
      <c r="B4212" s="27">
        <v>39987</v>
      </c>
      <c r="C4212" s="28" t="s">
        <v>13531</v>
      </c>
      <c r="D4212" s="27">
        <v>39987</v>
      </c>
      <c r="E4212" s="28" t="s">
        <v>13532</v>
      </c>
      <c r="F4212" s="28" t="s">
        <v>12404</v>
      </c>
      <c r="G4212" s="28" t="s">
        <v>20</v>
      </c>
      <c r="H4212" s="28" t="s">
        <v>71</v>
      </c>
      <c r="I4212" s="28" t="s">
        <v>72</v>
      </c>
      <c r="J4212" s="28" t="s">
        <v>13533</v>
      </c>
      <c r="K4212" s="28" t="s">
        <v>3417</v>
      </c>
      <c r="L4212" s="28" t="s">
        <v>3588</v>
      </c>
      <c r="M4212" s="28" t="s">
        <v>21</v>
      </c>
      <c r="N4212" s="18"/>
      <c r="O4212" s="92">
        <v>40014</v>
      </c>
      <c r="P4212" s="28" t="s">
        <v>21</v>
      </c>
      <c r="Q4212" s="26" t="b">
        <v>0</v>
      </c>
      <c r="R4212" s="22">
        <f t="shared" si="68"/>
        <v>27</v>
      </c>
    </row>
    <row r="4213" spans="1:18">
      <c r="A4213" s="26">
        <v>9397</v>
      </c>
      <c r="B4213" s="27">
        <v>39988</v>
      </c>
      <c r="C4213" s="28" t="s">
        <v>13534</v>
      </c>
      <c r="D4213" s="27">
        <v>39986</v>
      </c>
      <c r="E4213" s="28" t="s">
        <v>11030</v>
      </c>
      <c r="F4213" s="28" t="s">
        <v>11103</v>
      </c>
      <c r="G4213" s="28" t="s">
        <v>20</v>
      </c>
      <c r="H4213" s="28" t="s">
        <v>189</v>
      </c>
      <c r="I4213" s="28" t="s">
        <v>189</v>
      </c>
      <c r="J4213" s="28" t="s">
        <v>13535</v>
      </c>
      <c r="K4213" s="28" t="s">
        <v>13536</v>
      </c>
      <c r="L4213" s="28" t="s">
        <v>3588</v>
      </c>
      <c r="M4213" s="28" t="s">
        <v>21</v>
      </c>
      <c r="N4213" s="18"/>
      <c r="O4213" s="92">
        <v>40018</v>
      </c>
      <c r="P4213" s="28" t="s">
        <v>21</v>
      </c>
      <c r="Q4213" s="26" t="b">
        <v>0</v>
      </c>
      <c r="R4213" s="22">
        <f t="shared" si="68"/>
        <v>30</v>
      </c>
    </row>
    <row r="4214" spans="1:18">
      <c r="A4214" s="26">
        <v>9398</v>
      </c>
      <c r="B4214" s="27">
        <v>39988</v>
      </c>
      <c r="C4214" s="28" t="s">
        <v>13537</v>
      </c>
      <c r="D4214" s="27">
        <v>39985</v>
      </c>
      <c r="E4214" s="28" t="s">
        <v>38</v>
      </c>
      <c r="F4214" s="28" t="s">
        <v>1232</v>
      </c>
      <c r="G4214" s="28" t="s">
        <v>20</v>
      </c>
      <c r="H4214" s="28" t="s">
        <v>189</v>
      </c>
      <c r="I4214" s="28" t="s">
        <v>189</v>
      </c>
      <c r="J4214" s="28" t="s">
        <v>7494</v>
      </c>
      <c r="K4214" s="28" t="s">
        <v>21</v>
      </c>
      <c r="L4214" s="28" t="s">
        <v>4282</v>
      </c>
      <c r="M4214" s="28" t="s">
        <v>21</v>
      </c>
      <c r="N4214" s="18"/>
      <c r="O4214" s="92">
        <v>39988</v>
      </c>
      <c r="P4214" s="28" t="s">
        <v>21</v>
      </c>
      <c r="Q4214" s="26" t="b">
        <v>0</v>
      </c>
      <c r="R4214" s="22">
        <f t="shared" si="68"/>
        <v>0</v>
      </c>
    </row>
    <row r="4215" spans="1:18">
      <c r="A4215" s="26">
        <v>9399</v>
      </c>
      <c r="B4215" s="27">
        <v>39989</v>
      </c>
      <c r="C4215" s="28" t="s">
        <v>13538</v>
      </c>
      <c r="D4215" s="27">
        <v>39989</v>
      </c>
      <c r="E4215" s="28" t="s">
        <v>38</v>
      </c>
      <c r="F4215" s="28" t="s">
        <v>2565</v>
      </c>
      <c r="G4215" s="28" t="s">
        <v>20</v>
      </c>
      <c r="H4215" s="28" t="s">
        <v>189</v>
      </c>
      <c r="I4215" s="28" t="s">
        <v>189</v>
      </c>
      <c r="J4215" s="28" t="s">
        <v>13539</v>
      </c>
      <c r="K4215" s="28" t="s">
        <v>13540</v>
      </c>
      <c r="L4215" s="28" t="s">
        <v>4282</v>
      </c>
      <c r="M4215" s="28" t="s">
        <v>21</v>
      </c>
      <c r="N4215" s="18"/>
      <c r="O4215" s="92">
        <v>39989</v>
      </c>
      <c r="P4215" s="28" t="s">
        <v>21</v>
      </c>
      <c r="Q4215" s="26" t="b">
        <v>0</v>
      </c>
      <c r="R4215" s="22">
        <f t="shared" si="68"/>
        <v>0</v>
      </c>
    </row>
    <row r="4216" spans="1:18">
      <c r="A4216" s="26">
        <v>9400</v>
      </c>
      <c r="B4216" s="27">
        <v>40000</v>
      </c>
      <c r="C4216" s="28" t="s">
        <v>13541</v>
      </c>
      <c r="D4216" s="27">
        <v>40000</v>
      </c>
      <c r="E4216" s="28" t="s">
        <v>13542</v>
      </c>
      <c r="F4216" s="28" t="s">
        <v>2565</v>
      </c>
      <c r="G4216" s="28" t="s">
        <v>20</v>
      </c>
      <c r="H4216" s="28" t="s">
        <v>189</v>
      </c>
      <c r="I4216" s="28" t="s">
        <v>189</v>
      </c>
      <c r="J4216" s="28" t="s">
        <v>13543</v>
      </c>
      <c r="K4216" s="28" t="s">
        <v>11513</v>
      </c>
      <c r="L4216" s="28" t="s">
        <v>3588</v>
      </c>
      <c r="M4216" s="28" t="s">
        <v>4282</v>
      </c>
      <c r="N4216" s="29">
        <v>40045</v>
      </c>
      <c r="O4216" s="92">
        <v>41270</v>
      </c>
      <c r="P4216" s="28" t="s">
        <v>21</v>
      </c>
      <c r="Q4216" s="26" t="b">
        <v>0</v>
      </c>
      <c r="R4216" s="22">
        <f t="shared" si="68"/>
        <v>1268</v>
      </c>
    </row>
    <row r="4217" spans="1:18">
      <c r="A4217" s="26">
        <v>9401</v>
      </c>
      <c r="B4217" s="27">
        <v>40000</v>
      </c>
      <c r="C4217" s="28" t="s">
        <v>13544</v>
      </c>
      <c r="D4217" s="27">
        <v>39994</v>
      </c>
      <c r="E4217" s="28" t="s">
        <v>13545</v>
      </c>
      <c r="F4217" s="28" t="s">
        <v>327</v>
      </c>
      <c r="G4217" s="28" t="s">
        <v>20</v>
      </c>
      <c r="H4217" s="28" t="s">
        <v>71</v>
      </c>
      <c r="I4217" s="28" t="s">
        <v>72</v>
      </c>
      <c r="J4217" s="28" t="s">
        <v>13546</v>
      </c>
      <c r="K4217" s="28" t="s">
        <v>13547</v>
      </c>
      <c r="L4217" s="28" t="s">
        <v>4579</v>
      </c>
      <c r="M4217" s="28" t="s">
        <v>21</v>
      </c>
      <c r="N4217" s="29">
        <v>40045</v>
      </c>
      <c r="O4217" s="92">
        <v>40081</v>
      </c>
      <c r="P4217" s="28" t="s">
        <v>21</v>
      </c>
      <c r="Q4217" s="26" t="b">
        <v>0</v>
      </c>
      <c r="R4217" s="22">
        <f t="shared" si="68"/>
        <v>80</v>
      </c>
    </row>
    <row r="4218" spans="1:18">
      <c r="A4218" s="26">
        <v>9402</v>
      </c>
      <c r="B4218" s="27">
        <v>40000</v>
      </c>
      <c r="C4218" s="28" t="s">
        <v>13548</v>
      </c>
      <c r="D4218" s="27">
        <v>39994</v>
      </c>
      <c r="E4218" s="28" t="s">
        <v>13549</v>
      </c>
      <c r="F4218" s="28" t="s">
        <v>124</v>
      </c>
      <c r="G4218" s="28" t="s">
        <v>20</v>
      </c>
      <c r="H4218" s="28" t="s">
        <v>71</v>
      </c>
      <c r="I4218" s="28" t="s">
        <v>72</v>
      </c>
      <c r="J4218" s="28" t="s">
        <v>13550</v>
      </c>
      <c r="K4218" s="28" t="s">
        <v>21</v>
      </c>
      <c r="L4218" s="28" t="s">
        <v>1946</v>
      </c>
      <c r="M4218" s="28" t="s">
        <v>21</v>
      </c>
      <c r="N4218" s="29">
        <v>40045</v>
      </c>
      <c r="O4218" s="92">
        <v>40035</v>
      </c>
      <c r="P4218" s="28" t="s">
        <v>21</v>
      </c>
      <c r="Q4218" s="26" t="b">
        <v>0</v>
      </c>
      <c r="R4218" s="22">
        <f t="shared" si="68"/>
        <v>34</v>
      </c>
    </row>
    <row r="4219" spans="1:18" ht="24">
      <c r="A4219" s="26">
        <v>9403</v>
      </c>
      <c r="B4219" s="27">
        <v>40001</v>
      </c>
      <c r="C4219" s="28" t="s">
        <v>13551</v>
      </c>
      <c r="D4219" s="27">
        <v>40000</v>
      </c>
      <c r="E4219" s="28" t="s">
        <v>13552</v>
      </c>
      <c r="F4219" s="28" t="s">
        <v>10079</v>
      </c>
      <c r="G4219" s="28" t="s">
        <v>20</v>
      </c>
      <c r="H4219" s="28" t="s">
        <v>71</v>
      </c>
      <c r="I4219" s="28" t="s">
        <v>72</v>
      </c>
      <c r="J4219" s="28" t="s">
        <v>13553</v>
      </c>
      <c r="K4219" s="28" t="s">
        <v>13554</v>
      </c>
      <c r="L4219" s="28" t="s">
        <v>4579</v>
      </c>
      <c r="M4219" s="28" t="s">
        <v>21</v>
      </c>
      <c r="N4219" s="29">
        <v>40045</v>
      </c>
      <c r="O4219" s="92">
        <v>40288</v>
      </c>
      <c r="P4219" s="28" t="s">
        <v>21</v>
      </c>
      <c r="Q4219" s="26" t="b">
        <v>0</v>
      </c>
      <c r="R4219" s="22">
        <f t="shared" si="68"/>
        <v>286</v>
      </c>
    </row>
    <row r="4220" spans="1:18">
      <c r="A4220" s="26">
        <v>9404</v>
      </c>
      <c r="B4220" s="27">
        <v>40002</v>
      </c>
      <c r="C4220" s="28" t="s">
        <v>13555</v>
      </c>
      <c r="D4220" s="27">
        <v>39996</v>
      </c>
      <c r="E4220" s="28" t="s">
        <v>13556</v>
      </c>
      <c r="F4220" s="28" t="s">
        <v>11894</v>
      </c>
      <c r="G4220" s="28" t="s">
        <v>20</v>
      </c>
      <c r="H4220" s="28" t="s">
        <v>71</v>
      </c>
      <c r="I4220" s="28" t="s">
        <v>72</v>
      </c>
      <c r="J4220" s="28" t="s">
        <v>13557</v>
      </c>
      <c r="K4220" s="28" t="s">
        <v>21</v>
      </c>
      <c r="L4220" s="28" t="s">
        <v>3588</v>
      </c>
      <c r="M4220" s="28" t="s">
        <v>21</v>
      </c>
      <c r="N4220" s="29">
        <v>40045</v>
      </c>
      <c r="O4220" s="92">
        <v>40198</v>
      </c>
      <c r="P4220" s="28" t="s">
        <v>21</v>
      </c>
      <c r="Q4220" s="26" t="b">
        <v>0</v>
      </c>
      <c r="R4220" s="22">
        <f t="shared" si="68"/>
        <v>194</v>
      </c>
    </row>
    <row r="4221" spans="1:18">
      <c r="A4221" s="26">
        <v>9405</v>
      </c>
      <c r="B4221" s="27">
        <v>40003</v>
      </c>
      <c r="C4221" s="28" t="s">
        <v>13558</v>
      </c>
      <c r="D4221" s="27">
        <v>40001</v>
      </c>
      <c r="E4221" s="28" t="s">
        <v>13559</v>
      </c>
      <c r="F4221" s="28" t="s">
        <v>52</v>
      </c>
      <c r="G4221" s="28" t="s">
        <v>20</v>
      </c>
      <c r="H4221" s="28" t="s">
        <v>212</v>
      </c>
      <c r="I4221" s="28" t="s">
        <v>212</v>
      </c>
      <c r="J4221" s="28" t="s">
        <v>13560</v>
      </c>
      <c r="K4221" s="28" t="s">
        <v>13561</v>
      </c>
      <c r="L4221" s="28" t="s">
        <v>3588</v>
      </c>
      <c r="M4221" s="28" t="s">
        <v>21</v>
      </c>
      <c r="N4221" s="29">
        <v>40034</v>
      </c>
      <c r="O4221" s="92">
        <v>40025</v>
      </c>
      <c r="P4221" s="28" t="s">
        <v>21</v>
      </c>
      <c r="Q4221" s="26" t="b">
        <v>0</v>
      </c>
      <c r="R4221" s="22">
        <f t="shared" si="68"/>
        <v>22</v>
      </c>
    </row>
    <row r="4222" spans="1:18">
      <c r="A4222" s="26">
        <v>9406</v>
      </c>
      <c r="B4222" s="27">
        <v>40008</v>
      </c>
      <c r="C4222" s="28" t="s">
        <v>13562</v>
      </c>
      <c r="D4222" s="27">
        <v>40007</v>
      </c>
      <c r="E4222" s="28" t="s">
        <v>13563</v>
      </c>
      <c r="F4222" s="28" t="s">
        <v>8605</v>
      </c>
      <c r="G4222" s="28" t="s">
        <v>20</v>
      </c>
      <c r="H4222" s="28" t="s">
        <v>212</v>
      </c>
      <c r="I4222" s="28" t="s">
        <v>212</v>
      </c>
      <c r="J4222" s="28" t="s">
        <v>13564</v>
      </c>
      <c r="K4222" s="28" t="s">
        <v>12134</v>
      </c>
      <c r="L4222" s="28" t="s">
        <v>3588</v>
      </c>
      <c r="M4222" s="28" t="s">
        <v>21</v>
      </c>
      <c r="N4222" s="29">
        <v>40039</v>
      </c>
      <c r="O4222" s="92">
        <v>40085</v>
      </c>
      <c r="P4222" s="28" t="s">
        <v>21</v>
      </c>
      <c r="Q4222" s="26" t="b">
        <v>0</v>
      </c>
      <c r="R4222" s="22">
        <f t="shared" si="68"/>
        <v>76</v>
      </c>
    </row>
    <row r="4223" spans="1:18">
      <c r="A4223" s="26">
        <v>9407</v>
      </c>
      <c r="B4223" s="27">
        <v>40009</v>
      </c>
      <c r="C4223" s="28" t="s">
        <v>13565</v>
      </c>
      <c r="D4223" s="27">
        <v>40008</v>
      </c>
      <c r="E4223" s="28" t="s">
        <v>13566</v>
      </c>
      <c r="F4223" s="28" t="s">
        <v>4344</v>
      </c>
      <c r="G4223" s="28" t="s">
        <v>20</v>
      </c>
      <c r="H4223" s="28" t="s">
        <v>212</v>
      </c>
      <c r="I4223" s="28" t="s">
        <v>212</v>
      </c>
      <c r="J4223" s="28" t="s">
        <v>13567</v>
      </c>
      <c r="K4223" s="28" t="s">
        <v>9014</v>
      </c>
      <c r="L4223" s="28" t="s">
        <v>3588</v>
      </c>
      <c r="M4223" s="28" t="s">
        <v>21</v>
      </c>
      <c r="N4223" s="29">
        <v>40056</v>
      </c>
      <c r="O4223" s="92">
        <v>40045</v>
      </c>
      <c r="P4223" s="28" t="s">
        <v>21</v>
      </c>
      <c r="Q4223" s="26" t="b">
        <v>0</v>
      </c>
      <c r="R4223" s="22">
        <f t="shared" si="68"/>
        <v>35</v>
      </c>
    </row>
    <row r="4224" spans="1:18">
      <c r="A4224" s="26">
        <v>9409</v>
      </c>
      <c r="B4224" s="27">
        <v>40014</v>
      </c>
      <c r="C4224" s="28" t="s">
        <v>13568</v>
      </c>
      <c r="D4224" s="27">
        <v>40008</v>
      </c>
      <c r="E4224" s="28" t="s">
        <v>1432</v>
      </c>
      <c r="F4224" s="28" t="s">
        <v>149</v>
      </c>
      <c r="G4224" s="28" t="s">
        <v>20</v>
      </c>
      <c r="H4224" s="28" t="s">
        <v>71</v>
      </c>
      <c r="I4224" s="28" t="s">
        <v>72</v>
      </c>
      <c r="J4224" s="28" t="s">
        <v>13569</v>
      </c>
      <c r="K4224" s="28" t="s">
        <v>13570</v>
      </c>
      <c r="L4224" s="28" t="s">
        <v>3588</v>
      </c>
      <c r="M4224" s="28" t="s">
        <v>21</v>
      </c>
      <c r="O4224" s="92">
        <v>40119</v>
      </c>
      <c r="P4224" s="28" t="s">
        <v>21</v>
      </c>
      <c r="Q4224" s="26" t="b">
        <v>0</v>
      </c>
      <c r="R4224" s="22">
        <f t="shared" si="68"/>
        <v>103</v>
      </c>
    </row>
    <row r="4225" spans="1:18">
      <c r="A4225" s="26">
        <v>9410</v>
      </c>
      <c r="B4225" s="27">
        <v>40015</v>
      </c>
      <c r="C4225" s="28" t="s">
        <v>13571</v>
      </c>
      <c r="D4225" s="27">
        <v>40007</v>
      </c>
      <c r="E4225" s="28" t="s">
        <v>38</v>
      </c>
      <c r="F4225" s="28" t="s">
        <v>1251</v>
      </c>
      <c r="G4225" s="28" t="s">
        <v>20</v>
      </c>
      <c r="H4225" s="28" t="s">
        <v>71</v>
      </c>
      <c r="I4225" s="28" t="s">
        <v>72</v>
      </c>
      <c r="J4225" s="28" t="s">
        <v>13572</v>
      </c>
      <c r="K4225" s="28" t="s">
        <v>13573</v>
      </c>
      <c r="L4225" s="28" t="s">
        <v>3588</v>
      </c>
      <c r="M4225" s="28" t="s">
        <v>21</v>
      </c>
      <c r="O4225" s="92">
        <v>40035</v>
      </c>
      <c r="P4225" s="28" t="s">
        <v>31</v>
      </c>
      <c r="Q4225" s="26" t="b">
        <v>1</v>
      </c>
      <c r="R4225" s="22">
        <f t="shared" si="68"/>
        <v>19</v>
      </c>
    </row>
    <row r="4226" spans="1:18">
      <c r="A4226" s="26">
        <v>9411</v>
      </c>
      <c r="B4226" s="27">
        <v>40015</v>
      </c>
      <c r="C4226" s="28" t="s">
        <v>13574</v>
      </c>
      <c r="D4226" s="27">
        <v>40005</v>
      </c>
      <c r="E4226" s="28" t="s">
        <v>38</v>
      </c>
      <c r="F4226" s="28" t="s">
        <v>1251</v>
      </c>
      <c r="G4226" s="28" t="s">
        <v>20</v>
      </c>
      <c r="H4226" s="28" t="s">
        <v>71</v>
      </c>
      <c r="I4226" s="28" t="s">
        <v>72</v>
      </c>
      <c r="J4226" s="28" t="s">
        <v>13575</v>
      </c>
      <c r="K4226" s="28" t="s">
        <v>21</v>
      </c>
      <c r="L4226" s="28" t="s">
        <v>1946</v>
      </c>
      <c r="M4226" s="28" t="s">
        <v>21</v>
      </c>
      <c r="O4226" s="92">
        <v>40035</v>
      </c>
      <c r="P4226" s="28" t="s">
        <v>31</v>
      </c>
      <c r="Q4226" s="26" t="b">
        <v>1</v>
      </c>
      <c r="R4226" s="22">
        <f t="shared" si="68"/>
        <v>19</v>
      </c>
    </row>
    <row r="4227" spans="1:18">
      <c r="A4227" s="26">
        <v>9412</v>
      </c>
      <c r="B4227" s="27">
        <v>40015</v>
      </c>
      <c r="C4227" s="28" t="s">
        <v>13576</v>
      </c>
      <c r="D4227" s="27">
        <v>40011</v>
      </c>
      <c r="E4227" s="28" t="s">
        <v>13577</v>
      </c>
      <c r="F4227" s="28" t="s">
        <v>104</v>
      </c>
      <c r="G4227" s="28" t="s">
        <v>20</v>
      </c>
      <c r="H4227" s="28" t="s">
        <v>71</v>
      </c>
      <c r="I4227" s="28" t="s">
        <v>72</v>
      </c>
      <c r="J4227" s="28" t="s">
        <v>13578</v>
      </c>
      <c r="K4227" s="28" t="s">
        <v>13579</v>
      </c>
      <c r="L4227" s="28" t="s">
        <v>4579</v>
      </c>
      <c r="M4227" s="28" t="s">
        <v>21</v>
      </c>
      <c r="O4227" s="92">
        <v>40277</v>
      </c>
      <c r="P4227" s="28" t="s">
        <v>21</v>
      </c>
      <c r="Q4227" s="26" t="b">
        <v>0</v>
      </c>
      <c r="R4227" s="22">
        <f t="shared" si="68"/>
        <v>261</v>
      </c>
    </row>
    <row r="4228" spans="1:18">
      <c r="A4228" s="26">
        <v>9413</v>
      </c>
      <c r="B4228" s="27">
        <v>40016</v>
      </c>
      <c r="C4228" s="28" t="s">
        <v>13580</v>
      </c>
      <c r="D4228" s="27">
        <v>40016</v>
      </c>
      <c r="E4228" s="28" t="s">
        <v>13581</v>
      </c>
      <c r="F4228" s="28" t="s">
        <v>12404</v>
      </c>
      <c r="G4228" s="28" t="s">
        <v>20</v>
      </c>
      <c r="H4228" s="28" t="s">
        <v>71</v>
      </c>
      <c r="I4228" s="28" t="s">
        <v>72</v>
      </c>
      <c r="J4228" s="28" t="s">
        <v>13582</v>
      </c>
      <c r="K4228" s="28" t="s">
        <v>13583</v>
      </c>
      <c r="L4228" s="28" t="s">
        <v>4579</v>
      </c>
      <c r="M4228" s="28" t="s">
        <v>21</v>
      </c>
      <c r="O4228" s="92">
        <v>40360</v>
      </c>
      <c r="P4228" s="28" t="s">
        <v>31</v>
      </c>
      <c r="Q4228" s="26" t="b">
        <v>1</v>
      </c>
      <c r="R4228" s="22">
        <f t="shared" si="68"/>
        <v>343</v>
      </c>
    </row>
    <row r="4229" spans="1:18">
      <c r="A4229" s="26">
        <v>9415</v>
      </c>
      <c r="B4229" s="27">
        <v>40025</v>
      </c>
      <c r="C4229" s="28" t="s">
        <v>13584</v>
      </c>
      <c r="D4229" s="27">
        <v>40019</v>
      </c>
      <c r="E4229" s="28" t="s">
        <v>13585</v>
      </c>
      <c r="F4229" s="28" t="s">
        <v>2105</v>
      </c>
      <c r="G4229" s="28" t="s">
        <v>20</v>
      </c>
      <c r="H4229" s="28" t="s">
        <v>189</v>
      </c>
      <c r="I4229" s="28" t="s">
        <v>189</v>
      </c>
      <c r="J4229" s="28" t="s">
        <v>13586</v>
      </c>
      <c r="K4229" s="28" t="s">
        <v>13587</v>
      </c>
      <c r="L4229" s="28" t="s">
        <v>1946</v>
      </c>
      <c r="M4229" s="28" t="s">
        <v>21</v>
      </c>
      <c r="O4229" s="92">
        <v>40028</v>
      </c>
      <c r="P4229" s="28" t="s">
        <v>31</v>
      </c>
      <c r="Q4229" s="26" t="b">
        <v>1</v>
      </c>
      <c r="R4229" s="22">
        <f t="shared" si="68"/>
        <v>3</v>
      </c>
    </row>
    <row r="4230" spans="1:18">
      <c r="A4230" s="26">
        <v>9416</v>
      </c>
      <c r="B4230" s="27">
        <v>40025</v>
      </c>
      <c r="C4230" s="28" t="s">
        <v>13588</v>
      </c>
      <c r="D4230" s="27">
        <v>40021</v>
      </c>
      <c r="E4230" s="28" t="s">
        <v>13589</v>
      </c>
      <c r="F4230" s="28" t="s">
        <v>12660</v>
      </c>
      <c r="G4230" s="28" t="s">
        <v>20</v>
      </c>
      <c r="H4230" s="28" t="s">
        <v>71</v>
      </c>
      <c r="I4230" s="28" t="s">
        <v>72</v>
      </c>
      <c r="J4230" s="28" t="s">
        <v>13590</v>
      </c>
      <c r="K4230" s="28" t="s">
        <v>6111</v>
      </c>
      <c r="L4230" s="28" t="s">
        <v>3588</v>
      </c>
      <c r="M4230" s="28" t="s">
        <v>21</v>
      </c>
      <c r="O4230" s="92">
        <v>40036</v>
      </c>
      <c r="P4230" s="28" t="s">
        <v>31</v>
      </c>
      <c r="Q4230" s="26" t="b">
        <v>1</v>
      </c>
      <c r="R4230" s="22">
        <f t="shared" si="68"/>
        <v>11</v>
      </c>
    </row>
    <row r="4231" spans="1:18">
      <c r="A4231" s="26">
        <v>9417</v>
      </c>
      <c r="B4231" s="27">
        <v>40025</v>
      </c>
      <c r="C4231" s="28" t="s">
        <v>13591</v>
      </c>
      <c r="D4231" s="27">
        <v>40016</v>
      </c>
      <c r="E4231" s="28" t="s">
        <v>13592</v>
      </c>
      <c r="F4231" s="28" t="s">
        <v>3171</v>
      </c>
      <c r="G4231" s="28" t="s">
        <v>20</v>
      </c>
      <c r="H4231" s="28" t="s">
        <v>566</v>
      </c>
      <c r="I4231" s="28" t="s">
        <v>566</v>
      </c>
      <c r="J4231" s="28" t="s">
        <v>9218</v>
      </c>
      <c r="K4231" s="28" t="s">
        <v>21</v>
      </c>
      <c r="L4231" s="28" t="s">
        <v>4579</v>
      </c>
      <c r="M4231" s="28" t="s">
        <v>21</v>
      </c>
      <c r="O4231" s="92">
        <v>40031</v>
      </c>
      <c r="P4231" s="28" t="s">
        <v>21</v>
      </c>
      <c r="Q4231" s="26" t="b">
        <v>0</v>
      </c>
      <c r="R4231" s="22">
        <f t="shared" si="68"/>
        <v>6</v>
      </c>
    </row>
    <row r="4232" spans="1:18" ht="24">
      <c r="A4232" s="26">
        <v>9418</v>
      </c>
      <c r="B4232" s="27">
        <v>40025</v>
      </c>
      <c r="C4232" s="28" t="s">
        <v>13593</v>
      </c>
      <c r="D4232" s="27">
        <v>40024</v>
      </c>
      <c r="E4232" s="28" t="s">
        <v>11030</v>
      </c>
      <c r="F4232" s="28" t="s">
        <v>149</v>
      </c>
      <c r="G4232" s="28" t="s">
        <v>20</v>
      </c>
      <c r="H4232" s="28" t="s">
        <v>71</v>
      </c>
      <c r="I4232" s="28" t="s">
        <v>72</v>
      </c>
      <c r="J4232" s="28" t="s">
        <v>13594</v>
      </c>
      <c r="K4232" s="28" t="s">
        <v>13595</v>
      </c>
      <c r="L4232" s="28" t="s">
        <v>12967</v>
      </c>
      <c r="M4232" s="28" t="s">
        <v>21</v>
      </c>
      <c r="O4232" s="92">
        <v>40050</v>
      </c>
      <c r="P4232" s="28" t="s">
        <v>21</v>
      </c>
      <c r="Q4232" s="26" t="b">
        <v>0</v>
      </c>
      <c r="R4232" s="22">
        <f t="shared" si="68"/>
        <v>25</v>
      </c>
    </row>
    <row r="4233" spans="1:18">
      <c r="A4233" s="26">
        <v>9422</v>
      </c>
      <c r="B4233" s="27">
        <v>40028</v>
      </c>
      <c r="C4233" s="28" t="s">
        <v>13596</v>
      </c>
      <c r="D4233" s="27">
        <v>40019</v>
      </c>
      <c r="E4233" s="28" t="s">
        <v>13597</v>
      </c>
      <c r="F4233" s="28" t="s">
        <v>2105</v>
      </c>
      <c r="G4233" s="28" t="s">
        <v>20</v>
      </c>
      <c r="H4233" s="28" t="s">
        <v>189</v>
      </c>
      <c r="I4233" s="28" t="s">
        <v>189</v>
      </c>
      <c r="J4233" s="28" t="s">
        <v>13598</v>
      </c>
      <c r="K4233" s="28" t="s">
        <v>13599</v>
      </c>
      <c r="L4233" s="28" t="s">
        <v>1946</v>
      </c>
      <c r="M4233" s="28" t="s">
        <v>21</v>
      </c>
      <c r="O4233" s="92">
        <v>40065</v>
      </c>
      <c r="P4233" s="28" t="s">
        <v>31</v>
      </c>
      <c r="Q4233" s="26" t="b">
        <v>1</v>
      </c>
      <c r="R4233" s="22">
        <f t="shared" si="68"/>
        <v>36</v>
      </c>
    </row>
    <row r="4234" spans="1:18">
      <c r="A4234" s="26">
        <v>9424</v>
      </c>
      <c r="B4234" s="27">
        <v>40031</v>
      </c>
      <c r="C4234" s="28" t="s">
        <v>13600</v>
      </c>
      <c r="D4234" s="27">
        <v>40024</v>
      </c>
      <c r="E4234" s="28" t="s">
        <v>13601</v>
      </c>
      <c r="F4234" s="28" t="s">
        <v>2359</v>
      </c>
      <c r="G4234" s="28" t="s">
        <v>20</v>
      </c>
      <c r="H4234" s="28" t="s">
        <v>71</v>
      </c>
      <c r="I4234" s="28" t="s">
        <v>72</v>
      </c>
      <c r="J4234" s="28" t="s">
        <v>13602</v>
      </c>
      <c r="K4234" s="28" t="s">
        <v>7321</v>
      </c>
      <c r="L4234" s="28" t="s">
        <v>4579</v>
      </c>
      <c r="M4234" s="28" t="s">
        <v>3588</v>
      </c>
      <c r="O4234" s="92">
        <v>40554</v>
      </c>
      <c r="P4234" s="28" t="s">
        <v>21</v>
      </c>
      <c r="Q4234" s="26" t="b">
        <v>0</v>
      </c>
      <c r="R4234" s="22">
        <f t="shared" si="68"/>
        <v>522</v>
      </c>
    </row>
    <row r="4235" spans="1:18">
      <c r="A4235" s="26">
        <v>9425</v>
      </c>
      <c r="B4235" s="27">
        <v>40031</v>
      </c>
      <c r="C4235" s="28" t="s">
        <v>13603</v>
      </c>
      <c r="D4235" s="27">
        <v>40030</v>
      </c>
      <c r="E4235" s="28" t="s">
        <v>13604</v>
      </c>
      <c r="F4235" s="28" t="s">
        <v>11132</v>
      </c>
      <c r="G4235" s="28" t="s">
        <v>20</v>
      </c>
      <c r="H4235" s="28" t="s">
        <v>212</v>
      </c>
      <c r="I4235" s="28" t="s">
        <v>212</v>
      </c>
      <c r="J4235" s="28" t="s">
        <v>13605</v>
      </c>
      <c r="K4235" s="28" t="s">
        <v>12204</v>
      </c>
      <c r="L4235" s="28" t="s">
        <v>11271</v>
      </c>
      <c r="M4235" s="28" t="s">
        <v>21</v>
      </c>
      <c r="O4235" s="92">
        <v>40387</v>
      </c>
      <c r="P4235" s="28" t="s">
        <v>21</v>
      </c>
      <c r="Q4235" s="26" t="b">
        <v>0</v>
      </c>
      <c r="R4235" s="22">
        <f t="shared" si="68"/>
        <v>356</v>
      </c>
    </row>
    <row r="4236" spans="1:18">
      <c r="A4236" s="26">
        <v>9426</v>
      </c>
      <c r="B4236" s="27">
        <v>40032</v>
      </c>
      <c r="C4236" s="28" t="s">
        <v>13606</v>
      </c>
      <c r="D4236" s="27">
        <v>40028</v>
      </c>
      <c r="E4236" s="28" t="s">
        <v>13607</v>
      </c>
      <c r="F4236" s="28" t="s">
        <v>149</v>
      </c>
      <c r="G4236" s="28" t="s">
        <v>20</v>
      </c>
      <c r="H4236" s="28" t="s">
        <v>71</v>
      </c>
      <c r="I4236" s="28" t="s">
        <v>72</v>
      </c>
      <c r="J4236" s="28" t="s">
        <v>13608</v>
      </c>
      <c r="K4236" s="28" t="s">
        <v>6111</v>
      </c>
      <c r="L4236" s="28" t="s">
        <v>12967</v>
      </c>
      <c r="M4236" s="28" t="s">
        <v>21</v>
      </c>
      <c r="O4236" s="92">
        <v>40032</v>
      </c>
      <c r="P4236" s="28" t="s">
        <v>31</v>
      </c>
      <c r="Q4236" s="26" t="b">
        <v>1</v>
      </c>
      <c r="R4236" s="22">
        <f t="shared" si="68"/>
        <v>0</v>
      </c>
    </row>
    <row r="4237" spans="1:18">
      <c r="A4237" s="26">
        <v>9428</v>
      </c>
      <c r="B4237" s="27">
        <v>40036</v>
      </c>
      <c r="C4237" s="28" t="s">
        <v>13609</v>
      </c>
      <c r="D4237" s="27">
        <v>40036</v>
      </c>
      <c r="E4237" s="28" t="s">
        <v>13610</v>
      </c>
      <c r="F4237" s="28" t="s">
        <v>149</v>
      </c>
      <c r="G4237" s="28" t="s">
        <v>20</v>
      </c>
      <c r="H4237" s="28" t="s">
        <v>71</v>
      </c>
      <c r="I4237" s="28" t="s">
        <v>72</v>
      </c>
      <c r="J4237" s="28" t="s">
        <v>13611</v>
      </c>
      <c r="K4237" s="28" t="s">
        <v>2193</v>
      </c>
      <c r="L4237" s="28" t="s">
        <v>3588</v>
      </c>
      <c r="M4237" s="28" t="s">
        <v>21</v>
      </c>
      <c r="O4237" s="92">
        <v>40070</v>
      </c>
      <c r="P4237" s="28" t="s">
        <v>21</v>
      </c>
      <c r="Q4237" s="26" t="b">
        <v>0</v>
      </c>
      <c r="R4237" s="22">
        <f t="shared" si="68"/>
        <v>33</v>
      </c>
    </row>
    <row r="4238" spans="1:18">
      <c r="A4238" s="26">
        <v>9429</v>
      </c>
      <c r="B4238" s="27">
        <v>40036</v>
      </c>
      <c r="C4238" s="28" t="s">
        <v>13612</v>
      </c>
      <c r="D4238" s="27">
        <v>40032</v>
      </c>
      <c r="E4238" s="28" t="s">
        <v>38</v>
      </c>
      <c r="F4238" s="28" t="s">
        <v>1232</v>
      </c>
      <c r="G4238" s="28" t="s">
        <v>20</v>
      </c>
      <c r="H4238" s="28" t="s">
        <v>189</v>
      </c>
      <c r="I4238" s="28" t="s">
        <v>189</v>
      </c>
      <c r="J4238" s="28" t="s">
        <v>13613</v>
      </c>
      <c r="K4238" s="28" t="s">
        <v>21</v>
      </c>
      <c r="L4238" s="28" t="s">
        <v>1946</v>
      </c>
      <c r="M4238" s="28" t="s">
        <v>21</v>
      </c>
      <c r="O4238" s="92">
        <v>40037</v>
      </c>
      <c r="P4238" s="28" t="s">
        <v>21</v>
      </c>
      <c r="Q4238" s="26" t="b">
        <v>0</v>
      </c>
      <c r="R4238" s="22">
        <f t="shared" si="68"/>
        <v>1</v>
      </c>
    </row>
    <row r="4239" spans="1:18">
      <c r="A4239" s="26">
        <v>9430</v>
      </c>
      <c r="B4239" s="27">
        <v>40036</v>
      </c>
      <c r="C4239" s="28" t="s">
        <v>13614</v>
      </c>
      <c r="D4239" s="27">
        <v>40032</v>
      </c>
      <c r="E4239" s="28" t="s">
        <v>13615</v>
      </c>
      <c r="F4239" s="28" t="s">
        <v>1232</v>
      </c>
      <c r="G4239" s="28" t="s">
        <v>20</v>
      </c>
      <c r="H4239" s="28" t="s">
        <v>189</v>
      </c>
      <c r="I4239" s="28" t="s">
        <v>189</v>
      </c>
      <c r="J4239" s="28" t="s">
        <v>13616</v>
      </c>
      <c r="K4239" s="28" t="s">
        <v>13617</v>
      </c>
      <c r="L4239" s="28" t="s">
        <v>1946</v>
      </c>
      <c r="M4239" s="28" t="s">
        <v>21</v>
      </c>
      <c r="O4239" s="92">
        <v>40044</v>
      </c>
      <c r="P4239" s="28" t="s">
        <v>21</v>
      </c>
      <c r="Q4239" s="26" t="b">
        <v>0</v>
      </c>
      <c r="R4239" s="22">
        <f t="shared" si="68"/>
        <v>8</v>
      </c>
    </row>
    <row r="4240" spans="1:18">
      <c r="A4240" s="26">
        <v>9431</v>
      </c>
      <c r="B4240" s="27">
        <v>40037</v>
      </c>
      <c r="C4240" s="28" t="s">
        <v>13618</v>
      </c>
      <c r="D4240" s="27">
        <v>40035</v>
      </c>
      <c r="E4240" s="28" t="s">
        <v>13619</v>
      </c>
      <c r="F4240" s="28" t="s">
        <v>19</v>
      </c>
      <c r="G4240" s="28" t="s">
        <v>20</v>
      </c>
      <c r="H4240" s="28" t="s">
        <v>71</v>
      </c>
      <c r="I4240" s="28" t="s">
        <v>72</v>
      </c>
      <c r="J4240" s="28" t="s">
        <v>13620</v>
      </c>
      <c r="K4240" s="28" t="s">
        <v>13621</v>
      </c>
      <c r="L4240" s="28" t="s">
        <v>4579</v>
      </c>
      <c r="M4240" s="28" t="s">
        <v>21</v>
      </c>
      <c r="O4240" s="92">
        <v>40485</v>
      </c>
      <c r="P4240" s="28" t="s">
        <v>21</v>
      </c>
      <c r="Q4240" s="26" t="b">
        <v>0</v>
      </c>
      <c r="R4240" s="22">
        <f t="shared" si="68"/>
        <v>447</v>
      </c>
    </row>
    <row r="4241" spans="1:18">
      <c r="A4241" s="26">
        <v>9432</v>
      </c>
      <c r="B4241" s="27">
        <v>40037</v>
      </c>
      <c r="C4241" s="28" t="s">
        <v>13622</v>
      </c>
      <c r="D4241" s="27">
        <v>40037</v>
      </c>
      <c r="E4241" s="28" t="s">
        <v>13623</v>
      </c>
      <c r="F4241" s="28" t="s">
        <v>52</v>
      </c>
      <c r="G4241" s="28" t="s">
        <v>20</v>
      </c>
      <c r="H4241" s="28" t="s">
        <v>71</v>
      </c>
      <c r="I4241" s="28" t="s">
        <v>72</v>
      </c>
      <c r="J4241" s="28" t="s">
        <v>13624</v>
      </c>
      <c r="K4241" s="28" t="s">
        <v>13625</v>
      </c>
      <c r="L4241" s="28" t="s">
        <v>1946</v>
      </c>
      <c r="M4241" s="28" t="s">
        <v>21</v>
      </c>
      <c r="O4241" s="92">
        <v>40456</v>
      </c>
      <c r="P4241" s="28" t="s">
        <v>31</v>
      </c>
      <c r="Q4241" s="26" t="b">
        <v>1</v>
      </c>
      <c r="R4241" s="22">
        <f t="shared" si="68"/>
        <v>418</v>
      </c>
    </row>
    <row r="4242" spans="1:18">
      <c r="A4242" s="26">
        <v>9433</v>
      </c>
      <c r="B4242" s="27">
        <v>40042</v>
      </c>
      <c r="C4242" s="28" t="s">
        <v>13626</v>
      </c>
      <c r="D4242" s="27">
        <v>40037</v>
      </c>
      <c r="E4242" s="28" t="s">
        <v>13627</v>
      </c>
      <c r="F4242" s="28" t="s">
        <v>145</v>
      </c>
      <c r="G4242" s="28" t="s">
        <v>20</v>
      </c>
      <c r="H4242" s="28" t="s">
        <v>71</v>
      </c>
      <c r="I4242" s="28" t="s">
        <v>72</v>
      </c>
      <c r="J4242" s="28" t="s">
        <v>13628</v>
      </c>
      <c r="K4242" s="28" t="s">
        <v>13389</v>
      </c>
      <c r="L4242" s="28" t="s">
        <v>4579</v>
      </c>
      <c r="M4242" s="28" t="s">
        <v>21</v>
      </c>
      <c r="O4242" s="92">
        <v>40276</v>
      </c>
      <c r="P4242" s="28" t="s">
        <v>31</v>
      </c>
      <c r="Q4242" s="26" t="b">
        <v>1</v>
      </c>
      <c r="R4242" s="22">
        <f t="shared" si="68"/>
        <v>234</v>
      </c>
    </row>
    <row r="4243" spans="1:18">
      <c r="A4243" s="26">
        <v>9435</v>
      </c>
      <c r="B4243" s="27">
        <v>40052</v>
      </c>
      <c r="C4243" s="28" t="s">
        <v>13629</v>
      </c>
      <c r="D4243" s="27">
        <v>40052</v>
      </c>
      <c r="E4243" s="28" t="s">
        <v>13630</v>
      </c>
      <c r="F4243" s="28" t="s">
        <v>13631</v>
      </c>
      <c r="G4243" s="28" t="s">
        <v>20</v>
      </c>
      <c r="H4243" s="28" t="s">
        <v>71</v>
      </c>
      <c r="I4243" s="28" t="s">
        <v>72</v>
      </c>
      <c r="J4243" s="28" t="s">
        <v>13463</v>
      </c>
      <c r="K4243" s="28" t="s">
        <v>554</v>
      </c>
      <c r="L4243" s="28" t="s">
        <v>4579</v>
      </c>
      <c r="M4243" s="28" t="s">
        <v>4282</v>
      </c>
      <c r="O4243" s="92">
        <v>40577</v>
      </c>
      <c r="P4243" s="28" t="s">
        <v>21</v>
      </c>
      <c r="Q4243" s="26" t="b">
        <v>0</v>
      </c>
      <c r="R4243" s="22">
        <f t="shared" si="68"/>
        <v>523</v>
      </c>
    </row>
    <row r="4244" spans="1:18">
      <c r="A4244" s="26">
        <v>9436</v>
      </c>
      <c r="B4244" s="27">
        <v>40058</v>
      </c>
      <c r="C4244" s="28" t="s">
        <v>13632</v>
      </c>
      <c r="D4244" s="27">
        <v>40057</v>
      </c>
      <c r="E4244" s="28" t="s">
        <v>13633</v>
      </c>
      <c r="F4244" s="28" t="s">
        <v>11319</v>
      </c>
      <c r="G4244" s="28" t="s">
        <v>20</v>
      </c>
      <c r="H4244" s="28" t="s">
        <v>71</v>
      </c>
      <c r="I4244" s="28" t="s">
        <v>72</v>
      </c>
      <c r="J4244" s="28" t="s">
        <v>13634</v>
      </c>
      <c r="K4244" s="28" t="s">
        <v>7085</v>
      </c>
      <c r="L4244" s="28" t="s">
        <v>3588</v>
      </c>
      <c r="M4244" s="28" t="s">
        <v>21</v>
      </c>
      <c r="O4244" s="92">
        <v>40238</v>
      </c>
      <c r="P4244" s="28" t="s">
        <v>31</v>
      </c>
      <c r="Q4244" s="26" t="b">
        <v>1</v>
      </c>
      <c r="R4244" s="22">
        <f t="shared" si="68"/>
        <v>181</v>
      </c>
    </row>
    <row r="4245" spans="1:18">
      <c r="A4245" s="26">
        <v>9437</v>
      </c>
      <c r="B4245" s="27">
        <v>40058</v>
      </c>
      <c r="C4245" s="28" t="s">
        <v>13635</v>
      </c>
      <c r="D4245" s="27">
        <v>40057</v>
      </c>
      <c r="E4245" s="28" t="s">
        <v>13636</v>
      </c>
      <c r="F4245" s="28" t="s">
        <v>98</v>
      </c>
      <c r="G4245" s="28" t="s">
        <v>20</v>
      </c>
      <c r="H4245" s="28" t="s">
        <v>71</v>
      </c>
      <c r="I4245" s="28" t="s">
        <v>72</v>
      </c>
      <c r="J4245" s="28" t="s">
        <v>13637</v>
      </c>
      <c r="K4245" s="28" t="s">
        <v>13638</v>
      </c>
      <c r="L4245" s="28" t="s">
        <v>4579</v>
      </c>
      <c r="M4245" s="28" t="s">
        <v>21</v>
      </c>
      <c r="O4245" s="92">
        <v>40095</v>
      </c>
      <c r="P4245" s="28" t="s">
        <v>31</v>
      </c>
      <c r="Q4245" s="26" t="b">
        <v>1</v>
      </c>
      <c r="R4245" s="22">
        <f t="shared" si="68"/>
        <v>37</v>
      </c>
    </row>
    <row r="4246" spans="1:18">
      <c r="A4246" s="26">
        <v>9438</v>
      </c>
      <c r="B4246" s="27">
        <v>40064</v>
      </c>
      <c r="C4246" s="28" t="s">
        <v>13639</v>
      </c>
      <c r="D4246" s="27">
        <v>40060</v>
      </c>
      <c r="E4246" s="28" t="s">
        <v>13640</v>
      </c>
      <c r="F4246" s="28" t="s">
        <v>149</v>
      </c>
      <c r="G4246" s="28" t="s">
        <v>20</v>
      </c>
      <c r="H4246" s="28" t="s">
        <v>71</v>
      </c>
      <c r="I4246" s="28" t="s">
        <v>72</v>
      </c>
      <c r="J4246" s="28" t="s">
        <v>4136</v>
      </c>
      <c r="K4246" s="28" t="s">
        <v>13641</v>
      </c>
      <c r="L4246" s="28" t="s">
        <v>3588</v>
      </c>
      <c r="M4246" s="28" t="s">
        <v>21</v>
      </c>
      <c r="O4246" s="92">
        <v>40073</v>
      </c>
      <c r="P4246" s="28" t="s">
        <v>31</v>
      </c>
      <c r="Q4246" s="26" t="b">
        <v>1</v>
      </c>
      <c r="R4246" s="22">
        <f t="shared" si="68"/>
        <v>9</v>
      </c>
    </row>
    <row r="4247" spans="1:18">
      <c r="A4247" s="26">
        <v>9439</v>
      </c>
      <c r="B4247" s="27">
        <v>40065</v>
      </c>
      <c r="C4247" s="28" t="s">
        <v>13642</v>
      </c>
      <c r="D4247" s="27">
        <v>40058</v>
      </c>
      <c r="E4247" s="28" t="s">
        <v>11030</v>
      </c>
      <c r="F4247" s="28" t="s">
        <v>27</v>
      </c>
      <c r="G4247" s="28" t="s">
        <v>20</v>
      </c>
      <c r="H4247" s="28" t="s">
        <v>189</v>
      </c>
      <c r="I4247" s="28" t="s">
        <v>189</v>
      </c>
      <c r="J4247" s="28" t="s">
        <v>13643</v>
      </c>
      <c r="K4247" s="28" t="s">
        <v>13644</v>
      </c>
      <c r="L4247" s="28" t="s">
        <v>3588</v>
      </c>
      <c r="M4247" s="28" t="s">
        <v>21</v>
      </c>
      <c r="O4247" s="92">
        <v>40162</v>
      </c>
      <c r="P4247" s="28" t="s">
        <v>21</v>
      </c>
      <c r="Q4247" s="26" t="b">
        <v>0</v>
      </c>
      <c r="R4247" s="22">
        <f t="shared" si="68"/>
        <v>97</v>
      </c>
    </row>
    <row r="4248" spans="1:18">
      <c r="A4248" s="26">
        <v>9440</v>
      </c>
      <c r="B4248" s="27">
        <v>40070</v>
      </c>
      <c r="C4248" s="28" t="s">
        <v>13645</v>
      </c>
      <c r="D4248" s="27">
        <v>40067</v>
      </c>
      <c r="E4248" s="28" t="s">
        <v>13646</v>
      </c>
      <c r="F4248" s="28" t="s">
        <v>367</v>
      </c>
      <c r="G4248" s="28" t="s">
        <v>20</v>
      </c>
      <c r="H4248" s="28" t="s">
        <v>71</v>
      </c>
      <c r="I4248" s="28" t="s">
        <v>72</v>
      </c>
      <c r="J4248" s="28" t="s">
        <v>13647</v>
      </c>
      <c r="K4248" s="28" t="s">
        <v>13648</v>
      </c>
      <c r="L4248" s="28" t="s">
        <v>1946</v>
      </c>
      <c r="M4248" s="28" t="s">
        <v>21</v>
      </c>
      <c r="O4248" s="92">
        <v>41096</v>
      </c>
      <c r="P4248" s="28" t="s">
        <v>31</v>
      </c>
      <c r="Q4248" s="26" t="b">
        <v>1</v>
      </c>
      <c r="R4248" s="22">
        <f t="shared" si="68"/>
        <v>1026</v>
      </c>
    </row>
    <row r="4249" spans="1:18">
      <c r="A4249" s="26">
        <v>9441</v>
      </c>
      <c r="B4249" s="27">
        <v>40070</v>
      </c>
      <c r="C4249" s="28" t="s">
        <v>13649</v>
      </c>
      <c r="D4249" s="27">
        <v>40067</v>
      </c>
      <c r="E4249" s="28" t="s">
        <v>13650</v>
      </c>
      <c r="F4249" s="28" t="s">
        <v>13651</v>
      </c>
      <c r="G4249" s="28" t="s">
        <v>20</v>
      </c>
      <c r="H4249" s="28" t="s">
        <v>71</v>
      </c>
      <c r="I4249" s="28" t="s">
        <v>72</v>
      </c>
      <c r="J4249" s="28" t="s">
        <v>13652</v>
      </c>
      <c r="K4249" s="28" t="s">
        <v>21</v>
      </c>
      <c r="L4249" s="28" t="s">
        <v>4579</v>
      </c>
      <c r="M4249" s="28" t="s">
        <v>3588</v>
      </c>
      <c r="O4249" s="92">
        <v>40554</v>
      </c>
      <c r="P4249" s="28" t="s">
        <v>21</v>
      </c>
      <c r="Q4249" s="26" t="b">
        <v>0</v>
      </c>
      <c r="R4249" s="22">
        <f t="shared" ref="R4249:R4312" si="69">IF(O4249=" ", " ", INT(YEARFRAC(O4249, B4249)*365))</f>
        <v>483</v>
      </c>
    </row>
    <row r="4250" spans="1:18" ht="24">
      <c r="A4250" s="26">
        <v>9442</v>
      </c>
      <c r="B4250" s="27">
        <v>40072</v>
      </c>
      <c r="C4250" s="28" t="s">
        <v>13653</v>
      </c>
      <c r="D4250" s="27">
        <v>40070</v>
      </c>
      <c r="E4250" s="28" t="s">
        <v>10998</v>
      </c>
      <c r="F4250" s="28" t="s">
        <v>10838</v>
      </c>
      <c r="G4250" s="28" t="s">
        <v>20</v>
      </c>
      <c r="H4250" s="28" t="s">
        <v>10000</v>
      </c>
      <c r="I4250" s="28" t="s">
        <v>72</v>
      </c>
      <c r="J4250" s="28" t="s">
        <v>13654</v>
      </c>
      <c r="K4250" s="28" t="s">
        <v>13655</v>
      </c>
      <c r="L4250" s="28" t="s">
        <v>13656</v>
      </c>
      <c r="M4250" s="28" t="s">
        <v>21</v>
      </c>
      <c r="O4250" s="92">
        <v>40156</v>
      </c>
      <c r="P4250" s="28" t="s">
        <v>21</v>
      </c>
      <c r="Q4250" s="26" t="b">
        <v>0</v>
      </c>
      <c r="R4250" s="22">
        <f t="shared" si="69"/>
        <v>84</v>
      </c>
    </row>
    <row r="4251" spans="1:18">
      <c r="A4251" s="26">
        <v>9443</v>
      </c>
      <c r="B4251" s="27">
        <v>40072</v>
      </c>
      <c r="C4251" s="28" t="s">
        <v>13657</v>
      </c>
      <c r="D4251" s="27">
        <v>40063</v>
      </c>
      <c r="E4251" s="28" t="s">
        <v>38</v>
      </c>
      <c r="F4251" s="28" t="s">
        <v>124</v>
      </c>
      <c r="G4251" s="28" t="s">
        <v>20</v>
      </c>
      <c r="H4251" s="28" t="s">
        <v>71</v>
      </c>
      <c r="I4251" s="28" t="s">
        <v>72</v>
      </c>
      <c r="J4251" s="28" t="s">
        <v>13658</v>
      </c>
      <c r="K4251" s="28" t="s">
        <v>13659</v>
      </c>
      <c r="L4251" s="28" t="s">
        <v>12967</v>
      </c>
      <c r="M4251" s="28" t="s">
        <v>21</v>
      </c>
      <c r="O4251" s="92">
        <v>40072</v>
      </c>
      <c r="P4251" s="28" t="s">
        <v>21</v>
      </c>
      <c r="Q4251" s="26" t="b">
        <v>0</v>
      </c>
      <c r="R4251" s="22">
        <f t="shared" si="69"/>
        <v>0</v>
      </c>
    </row>
    <row r="4252" spans="1:18">
      <c r="A4252" s="26">
        <v>9445</v>
      </c>
      <c r="B4252" s="27">
        <v>40079</v>
      </c>
      <c r="C4252" s="28" t="s">
        <v>13660</v>
      </c>
      <c r="D4252" s="27">
        <v>40078</v>
      </c>
      <c r="E4252" s="28" t="s">
        <v>13661</v>
      </c>
      <c r="F4252" s="28" t="s">
        <v>2105</v>
      </c>
      <c r="G4252" s="28" t="s">
        <v>20</v>
      </c>
      <c r="H4252" s="28" t="s">
        <v>189</v>
      </c>
      <c r="I4252" s="28" t="s">
        <v>189</v>
      </c>
      <c r="J4252" s="28" t="s">
        <v>13662</v>
      </c>
      <c r="K4252" s="28" t="s">
        <v>21</v>
      </c>
      <c r="L4252" s="28" t="s">
        <v>3588</v>
      </c>
      <c r="M4252" s="28" t="s">
        <v>4282</v>
      </c>
      <c r="O4252" s="92">
        <v>40701</v>
      </c>
      <c r="P4252" s="28" t="s">
        <v>31</v>
      </c>
      <c r="Q4252" s="26" t="b">
        <v>1</v>
      </c>
      <c r="R4252" s="22">
        <f t="shared" si="69"/>
        <v>622</v>
      </c>
    </row>
    <row r="4253" spans="1:18">
      <c r="A4253" s="26">
        <v>9446</v>
      </c>
      <c r="B4253" s="27">
        <v>40079</v>
      </c>
      <c r="C4253" s="28" t="s">
        <v>13663</v>
      </c>
      <c r="D4253" s="27">
        <v>40078</v>
      </c>
      <c r="E4253" s="28" t="s">
        <v>13664</v>
      </c>
      <c r="F4253" s="28" t="s">
        <v>13665</v>
      </c>
      <c r="G4253" s="28" t="s">
        <v>20</v>
      </c>
      <c r="H4253" s="28" t="s">
        <v>189</v>
      </c>
      <c r="I4253" s="28" t="s">
        <v>189</v>
      </c>
      <c r="J4253" s="28" t="s">
        <v>13666</v>
      </c>
      <c r="K4253" s="28" t="s">
        <v>13667</v>
      </c>
      <c r="L4253" s="28" t="s">
        <v>3588</v>
      </c>
      <c r="M4253" s="28" t="s">
        <v>4282</v>
      </c>
      <c r="O4253" s="92">
        <v>41086</v>
      </c>
      <c r="P4253" s="28" t="s">
        <v>31</v>
      </c>
      <c r="Q4253" s="26" t="b">
        <v>1</v>
      </c>
      <c r="R4253" s="22">
        <f t="shared" si="69"/>
        <v>1006</v>
      </c>
    </row>
    <row r="4254" spans="1:18">
      <c r="A4254" s="26">
        <v>9447</v>
      </c>
      <c r="B4254" s="27">
        <v>40079</v>
      </c>
      <c r="C4254" s="28" t="s">
        <v>13668</v>
      </c>
      <c r="D4254" s="27">
        <v>40078</v>
      </c>
      <c r="E4254" s="28" t="s">
        <v>38</v>
      </c>
      <c r="F4254" s="28" t="s">
        <v>13669</v>
      </c>
      <c r="G4254" s="28" t="s">
        <v>20</v>
      </c>
      <c r="H4254" s="28" t="s">
        <v>71</v>
      </c>
      <c r="I4254" s="28" t="s">
        <v>72</v>
      </c>
      <c r="J4254" s="28" t="s">
        <v>12966</v>
      </c>
      <c r="K4254" s="28" t="s">
        <v>13670</v>
      </c>
      <c r="L4254" s="28" t="s">
        <v>3588</v>
      </c>
      <c r="M4254" s="28" t="s">
        <v>21</v>
      </c>
      <c r="O4254" s="92">
        <v>40140</v>
      </c>
      <c r="P4254" s="28" t="s">
        <v>21</v>
      </c>
      <c r="Q4254" s="26" t="b">
        <v>0</v>
      </c>
      <c r="R4254" s="22">
        <f t="shared" si="69"/>
        <v>60</v>
      </c>
    </row>
    <row r="4255" spans="1:18">
      <c r="A4255" s="26">
        <v>9448</v>
      </c>
      <c r="B4255" s="27">
        <v>40080</v>
      </c>
      <c r="C4255" s="28" t="s">
        <v>13671</v>
      </c>
      <c r="D4255" s="27">
        <v>40079</v>
      </c>
      <c r="E4255" s="28" t="s">
        <v>13672</v>
      </c>
      <c r="F4255" s="28" t="s">
        <v>124</v>
      </c>
      <c r="G4255" s="28" t="s">
        <v>20</v>
      </c>
      <c r="H4255" s="28" t="s">
        <v>71</v>
      </c>
      <c r="I4255" s="28" t="s">
        <v>72</v>
      </c>
      <c r="J4255" s="28" t="s">
        <v>2547</v>
      </c>
      <c r="K4255" s="28" t="s">
        <v>21</v>
      </c>
      <c r="L4255" s="28" t="s">
        <v>1946</v>
      </c>
      <c r="M4255" s="28" t="s">
        <v>21</v>
      </c>
      <c r="O4255" s="92">
        <v>40688</v>
      </c>
      <c r="P4255" s="28" t="s">
        <v>31</v>
      </c>
      <c r="Q4255" s="26" t="b">
        <v>1</v>
      </c>
      <c r="R4255" s="22">
        <f t="shared" si="69"/>
        <v>609</v>
      </c>
    </row>
    <row r="4256" spans="1:18">
      <c r="A4256" s="26">
        <v>9452</v>
      </c>
      <c r="B4256" s="27">
        <v>40086</v>
      </c>
      <c r="C4256" s="28" t="s">
        <v>13673</v>
      </c>
      <c r="D4256" s="27">
        <v>40084</v>
      </c>
      <c r="E4256" s="28" t="s">
        <v>13674</v>
      </c>
      <c r="F4256" s="28" t="s">
        <v>27</v>
      </c>
      <c r="G4256" s="28" t="s">
        <v>20</v>
      </c>
      <c r="H4256" s="28" t="s">
        <v>71</v>
      </c>
      <c r="I4256" s="28" t="s">
        <v>72</v>
      </c>
      <c r="J4256" s="28" t="s">
        <v>13675</v>
      </c>
      <c r="K4256" s="28" t="s">
        <v>21</v>
      </c>
      <c r="L4256" s="28" t="s">
        <v>3588</v>
      </c>
      <c r="M4256" s="28" t="s">
        <v>21</v>
      </c>
      <c r="O4256" s="92">
        <v>40091</v>
      </c>
      <c r="P4256" s="28" t="s">
        <v>21</v>
      </c>
      <c r="Q4256" s="26" t="b">
        <v>0</v>
      </c>
      <c r="R4256" s="22">
        <f t="shared" si="69"/>
        <v>5</v>
      </c>
    </row>
    <row r="4257" spans="1:18">
      <c r="A4257" s="26">
        <v>9453</v>
      </c>
      <c r="B4257" s="27">
        <v>40086</v>
      </c>
      <c r="C4257" s="28" t="s">
        <v>13676</v>
      </c>
      <c r="D4257" s="27">
        <v>40081</v>
      </c>
      <c r="E4257" s="28" t="s">
        <v>13677</v>
      </c>
      <c r="F4257" s="28" t="s">
        <v>27</v>
      </c>
      <c r="G4257" s="28" t="s">
        <v>20</v>
      </c>
      <c r="H4257" s="28" t="s">
        <v>71</v>
      </c>
      <c r="I4257" s="28" t="s">
        <v>72</v>
      </c>
      <c r="J4257" s="28" t="s">
        <v>13678</v>
      </c>
      <c r="K4257" s="28" t="s">
        <v>13679</v>
      </c>
      <c r="L4257" s="28" t="s">
        <v>1946</v>
      </c>
      <c r="M4257" s="28" t="s">
        <v>21</v>
      </c>
      <c r="O4257" s="92">
        <v>40142</v>
      </c>
      <c r="P4257" s="28" t="s">
        <v>21</v>
      </c>
      <c r="Q4257" s="26" t="b">
        <v>0</v>
      </c>
      <c r="R4257" s="22">
        <f t="shared" si="69"/>
        <v>55</v>
      </c>
    </row>
    <row r="4258" spans="1:18">
      <c r="A4258" s="26">
        <v>9454</v>
      </c>
      <c r="B4258" s="27">
        <v>40093</v>
      </c>
      <c r="C4258" s="28" t="s">
        <v>13680</v>
      </c>
      <c r="D4258" s="27">
        <v>40091</v>
      </c>
      <c r="E4258" s="28" t="s">
        <v>13681</v>
      </c>
      <c r="F4258" s="28" t="s">
        <v>149</v>
      </c>
      <c r="G4258" s="28" t="s">
        <v>20</v>
      </c>
      <c r="H4258" s="28" t="s">
        <v>71</v>
      </c>
      <c r="I4258" s="28" t="s">
        <v>72</v>
      </c>
      <c r="J4258" s="28" t="s">
        <v>13682</v>
      </c>
      <c r="K4258" s="28" t="s">
        <v>13683</v>
      </c>
      <c r="L4258" s="28" t="s">
        <v>4579</v>
      </c>
      <c r="M4258" s="28" t="s">
        <v>21</v>
      </c>
      <c r="O4258" s="92">
        <v>40141</v>
      </c>
      <c r="P4258" s="28" t="s">
        <v>31</v>
      </c>
      <c r="Q4258" s="26" t="b">
        <v>1</v>
      </c>
      <c r="R4258" s="22">
        <f t="shared" si="69"/>
        <v>47</v>
      </c>
    </row>
    <row r="4259" spans="1:18" ht="24">
      <c r="A4259" s="26">
        <v>9455</v>
      </c>
      <c r="B4259" s="27">
        <v>40093</v>
      </c>
      <c r="C4259" s="28" t="s">
        <v>13684</v>
      </c>
      <c r="D4259" s="27">
        <v>40091</v>
      </c>
      <c r="E4259" s="28" t="s">
        <v>13685</v>
      </c>
      <c r="F4259" s="28" t="s">
        <v>545</v>
      </c>
      <c r="G4259" s="28" t="s">
        <v>20</v>
      </c>
      <c r="H4259" s="28" t="s">
        <v>71</v>
      </c>
      <c r="I4259" s="28" t="s">
        <v>72</v>
      </c>
      <c r="J4259" s="28" t="s">
        <v>13682</v>
      </c>
      <c r="K4259" s="28" t="s">
        <v>13686</v>
      </c>
      <c r="L4259" s="28" t="s">
        <v>4579</v>
      </c>
      <c r="M4259" s="28" t="s">
        <v>21</v>
      </c>
      <c r="O4259" s="92">
        <v>40123</v>
      </c>
      <c r="P4259" s="28" t="s">
        <v>31</v>
      </c>
      <c r="Q4259" s="26" t="b">
        <v>1</v>
      </c>
      <c r="R4259" s="22">
        <f t="shared" si="69"/>
        <v>29</v>
      </c>
    </row>
    <row r="4260" spans="1:18">
      <c r="A4260" s="26">
        <v>9458</v>
      </c>
      <c r="B4260" s="27">
        <v>40101</v>
      </c>
      <c r="C4260" s="28" t="s">
        <v>13687</v>
      </c>
      <c r="D4260" s="27">
        <v>40099</v>
      </c>
      <c r="E4260" s="28" t="s">
        <v>13688</v>
      </c>
      <c r="F4260" s="28" t="s">
        <v>13665</v>
      </c>
      <c r="G4260" s="28" t="s">
        <v>20</v>
      </c>
      <c r="H4260" s="28" t="s">
        <v>189</v>
      </c>
      <c r="I4260" s="28" t="s">
        <v>189</v>
      </c>
      <c r="J4260" s="28" t="s">
        <v>13689</v>
      </c>
      <c r="K4260" s="28" t="s">
        <v>13690</v>
      </c>
      <c r="L4260" s="28" t="s">
        <v>3588</v>
      </c>
      <c r="M4260" s="28" t="s">
        <v>4282</v>
      </c>
      <c r="O4260" s="92">
        <v>41157</v>
      </c>
      <c r="P4260" s="28" t="s">
        <v>31</v>
      </c>
      <c r="Q4260" s="26" t="b">
        <v>1</v>
      </c>
      <c r="R4260" s="22">
        <f t="shared" si="69"/>
        <v>1054</v>
      </c>
    </row>
    <row r="4261" spans="1:18">
      <c r="A4261" s="26">
        <v>9459</v>
      </c>
      <c r="B4261" s="27">
        <v>40105</v>
      </c>
      <c r="C4261" s="28" t="s">
        <v>13691</v>
      </c>
      <c r="D4261" s="27">
        <v>40099</v>
      </c>
      <c r="E4261" s="28" t="s">
        <v>13692</v>
      </c>
      <c r="F4261" s="28" t="s">
        <v>149</v>
      </c>
      <c r="G4261" s="28" t="s">
        <v>20</v>
      </c>
      <c r="H4261" s="28" t="s">
        <v>71</v>
      </c>
      <c r="I4261" s="28" t="s">
        <v>72</v>
      </c>
      <c r="J4261" s="28" t="s">
        <v>13693</v>
      </c>
      <c r="K4261" s="28" t="s">
        <v>2547</v>
      </c>
      <c r="L4261" s="28" t="s">
        <v>1946</v>
      </c>
      <c r="M4261" s="28" t="s">
        <v>21</v>
      </c>
      <c r="O4261" s="92">
        <v>40266</v>
      </c>
      <c r="P4261" s="28" t="s">
        <v>31</v>
      </c>
      <c r="Q4261" s="26" t="b">
        <v>1</v>
      </c>
      <c r="R4261" s="22">
        <f t="shared" si="69"/>
        <v>162</v>
      </c>
    </row>
    <row r="4262" spans="1:18">
      <c r="A4262" s="26">
        <v>9460</v>
      </c>
      <c r="B4262" s="27">
        <v>40106</v>
      </c>
      <c r="C4262" s="28" t="s">
        <v>13694</v>
      </c>
      <c r="D4262" s="27">
        <v>40094</v>
      </c>
      <c r="E4262" s="28" t="s">
        <v>38</v>
      </c>
      <c r="F4262" s="28" t="s">
        <v>149</v>
      </c>
      <c r="G4262" s="28" t="s">
        <v>20</v>
      </c>
      <c r="H4262" s="28" t="s">
        <v>71</v>
      </c>
      <c r="I4262" s="28" t="s">
        <v>72</v>
      </c>
      <c r="J4262" s="28" t="s">
        <v>13695</v>
      </c>
      <c r="K4262" s="28" t="s">
        <v>21</v>
      </c>
      <c r="L4262" s="28" t="s">
        <v>4579</v>
      </c>
      <c r="M4262" s="28" t="s">
        <v>21</v>
      </c>
      <c r="O4262" s="92">
        <v>40108</v>
      </c>
      <c r="P4262" s="28" t="s">
        <v>21</v>
      </c>
      <c r="Q4262" s="26" t="b">
        <v>0</v>
      </c>
      <c r="R4262" s="22">
        <f t="shared" si="69"/>
        <v>2</v>
      </c>
    </row>
    <row r="4263" spans="1:18">
      <c r="A4263" s="26">
        <v>9461</v>
      </c>
      <c r="B4263" s="27">
        <v>40106</v>
      </c>
      <c r="C4263" s="28" t="s">
        <v>13696</v>
      </c>
      <c r="D4263" s="27">
        <v>40096</v>
      </c>
      <c r="E4263" s="28" t="s">
        <v>13697</v>
      </c>
      <c r="F4263" s="28" t="s">
        <v>149</v>
      </c>
      <c r="G4263" s="28" t="s">
        <v>20</v>
      </c>
      <c r="H4263" s="28" t="s">
        <v>71</v>
      </c>
      <c r="I4263" s="28" t="s">
        <v>72</v>
      </c>
      <c r="J4263" s="28" t="s">
        <v>13695</v>
      </c>
      <c r="K4263" s="28" t="s">
        <v>13698</v>
      </c>
      <c r="L4263" s="28" t="s">
        <v>3588</v>
      </c>
      <c r="M4263" s="28" t="s">
        <v>4579</v>
      </c>
      <c r="O4263" s="92">
        <v>40177</v>
      </c>
      <c r="P4263" s="28" t="s">
        <v>21</v>
      </c>
      <c r="Q4263" s="26" t="b">
        <v>0</v>
      </c>
      <c r="R4263" s="22">
        <f t="shared" si="69"/>
        <v>70</v>
      </c>
    </row>
    <row r="4264" spans="1:18">
      <c r="A4264" s="26">
        <v>9462</v>
      </c>
      <c r="B4264" s="27">
        <v>40106</v>
      </c>
      <c r="C4264" s="28" t="s">
        <v>13699</v>
      </c>
      <c r="D4264" s="27">
        <v>40104</v>
      </c>
      <c r="E4264" s="28" t="s">
        <v>13700</v>
      </c>
      <c r="F4264" s="28" t="s">
        <v>149</v>
      </c>
      <c r="G4264" s="28" t="s">
        <v>20</v>
      </c>
      <c r="H4264" s="28" t="s">
        <v>71</v>
      </c>
      <c r="I4264" s="28" t="s">
        <v>72</v>
      </c>
      <c r="J4264" s="28" t="s">
        <v>13695</v>
      </c>
      <c r="K4264" s="28" t="s">
        <v>21</v>
      </c>
      <c r="L4264" s="28" t="s">
        <v>4579</v>
      </c>
      <c r="M4264" s="28" t="s">
        <v>21</v>
      </c>
      <c r="O4264" s="92">
        <v>40126</v>
      </c>
      <c r="P4264" s="28" t="s">
        <v>21</v>
      </c>
      <c r="Q4264" s="26" t="b">
        <v>0</v>
      </c>
      <c r="R4264" s="22">
        <f t="shared" si="69"/>
        <v>19</v>
      </c>
    </row>
    <row r="4265" spans="1:18">
      <c r="A4265" s="26">
        <v>9463</v>
      </c>
      <c r="B4265" s="27">
        <v>40106</v>
      </c>
      <c r="C4265" s="28" t="s">
        <v>13701</v>
      </c>
      <c r="D4265" s="27">
        <v>40106</v>
      </c>
      <c r="E4265" s="28" t="s">
        <v>1432</v>
      </c>
      <c r="F4265" s="28" t="s">
        <v>149</v>
      </c>
      <c r="G4265" s="28" t="s">
        <v>20</v>
      </c>
      <c r="H4265" s="28" t="s">
        <v>71</v>
      </c>
      <c r="I4265" s="28" t="s">
        <v>72</v>
      </c>
      <c r="J4265" s="28" t="s">
        <v>13702</v>
      </c>
      <c r="K4265" s="28" t="s">
        <v>13703</v>
      </c>
      <c r="L4265" s="28" t="s">
        <v>4579</v>
      </c>
      <c r="M4265" s="28" t="s">
        <v>21</v>
      </c>
      <c r="O4265" s="92">
        <v>40028</v>
      </c>
      <c r="P4265" s="28" t="s">
        <v>21</v>
      </c>
      <c r="Q4265" s="26" t="b">
        <v>0</v>
      </c>
      <c r="R4265" s="22">
        <f t="shared" si="69"/>
        <v>78</v>
      </c>
    </row>
    <row r="4266" spans="1:18" ht="24">
      <c r="A4266" s="26">
        <v>9464</v>
      </c>
      <c r="B4266" s="27">
        <v>40108</v>
      </c>
      <c r="C4266" s="28" t="s">
        <v>13704</v>
      </c>
      <c r="D4266" s="27">
        <v>40108</v>
      </c>
      <c r="E4266" s="28" t="s">
        <v>13705</v>
      </c>
      <c r="F4266" s="28" t="s">
        <v>149</v>
      </c>
      <c r="G4266" s="28" t="s">
        <v>20</v>
      </c>
      <c r="H4266" s="28" t="s">
        <v>71</v>
      </c>
      <c r="I4266" s="28" t="s">
        <v>72</v>
      </c>
      <c r="J4266" s="28" t="s">
        <v>13706</v>
      </c>
      <c r="K4266" s="28" t="s">
        <v>21</v>
      </c>
      <c r="L4266" s="28" t="s">
        <v>3588</v>
      </c>
      <c r="M4266" s="28" t="s">
        <v>4579</v>
      </c>
      <c r="O4266" s="92">
        <v>40465</v>
      </c>
      <c r="P4266" s="28" t="s">
        <v>31</v>
      </c>
      <c r="Q4266" s="26" t="b">
        <v>1</v>
      </c>
      <c r="R4266" s="22">
        <f t="shared" si="69"/>
        <v>356</v>
      </c>
    </row>
    <row r="4267" spans="1:18">
      <c r="A4267" s="26">
        <v>9465</v>
      </c>
      <c r="B4267" s="27">
        <v>40108</v>
      </c>
      <c r="C4267" s="28" t="s">
        <v>13707</v>
      </c>
      <c r="D4267" s="27">
        <v>40107</v>
      </c>
      <c r="E4267" s="28" t="s">
        <v>13708</v>
      </c>
      <c r="F4267" s="28" t="s">
        <v>149</v>
      </c>
      <c r="G4267" s="28" t="s">
        <v>20</v>
      </c>
      <c r="H4267" s="28" t="s">
        <v>71</v>
      </c>
      <c r="I4267" s="28" t="s">
        <v>72</v>
      </c>
      <c r="J4267" s="28" t="s">
        <v>13709</v>
      </c>
      <c r="K4267" s="28" t="s">
        <v>21</v>
      </c>
      <c r="L4267" s="28" t="s">
        <v>3588</v>
      </c>
      <c r="M4267" s="28" t="s">
        <v>4579</v>
      </c>
      <c r="O4267" s="92">
        <v>40189</v>
      </c>
      <c r="P4267" s="28" t="s">
        <v>31</v>
      </c>
      <c r="Q4267" s="26" t="b">
        <v>1</v>
      </c>
      <c r="R4267" s="22">
        <f t="shared" si="69"/>
        <v>80</v>
      </c>
    </row>
    <row r="4268" spans="1:18">
      <c r="A4268" s="26">
        <v>9466</v>
      </c>
      <c r="B4268" s="27">
        <v>40108</v>
      </c>
      <c r="C4268" s="28" t="s">
        <v>13710</v>
      </c>
      <c r="D4268" s="27">
        <v>40106</v>
      </c>
      <c r="E4268" s="28" t="s">
        <v>13711</v>
      </c>
      <c r="F4268" s="28" t="s">
        <v>8615</v>
      </c>
      <c r="G4268" s="28" t="s">
        <v>20</v>
      </c>
      <c r="H4268" s="28" t="s">
        <v>71</v>
      </c>
      <c r="I4268" s="28" t="s">
        <v>72</v>
      </c>
      <c r="J4268" s="28" t="s">
        <v>13712</v>
      </c>
      <c r="K4268" s="28" t="s">
        <v>13713</v>
      </c>
      <c r="L4268" s="28" t="s">
        <v>4579</v>
      </c>
      <c r="M4268" s="28" t="s">
        <v>21</v>
      </c>
      <c r="O4268" s="92">
        <v>40283</v>
      </c>
      <c r="P4268" s="28" t="s">
        <v>31</v>
      </c>
      <c r="Q4268" s="26" t="b">
        <v>1</v>
      </c>
      <c r="R4268" s="22">
        <f t="shared" si="69"/>
        <v>175</v>
      </c>
    </row>
    <row r="4269" spans="1:18">
      <c r="A4269" s="26">
        <v>9467</v>
      </c>
      <c r="B4269" s="27">
        <v>40113</v>
      </c>
      <c r="C4269" s="28" t="s">
        <v>13714</v>
      </c>
      <c r="D4269" s="27">
        <v>40105</v>
      </c>
      <c r="E4269" s="28" t="s">
        <v>13715</v>
      </c>
      <c r="F4269" s="28" t="s">
        <v>27</v>
      </c>
      <c r="G4269" s="28" t="s">
        <v>20</v>
      </c>
      <c r="H4269" s="28" t="s">
        <v>71</v>
      </c>
      <c r="I4269" s="28" t="s">
        <v>72</v>
      </c>
      <c r="J4269" s="28" t="s">
        <v>13716</v>
      </c>
      <c r="K4269" s="28" t="s">
        <v>7494</v>
      </c>
      <c r="L4269" s="28" t="s">
        <v>4282</v>
      </c>
      <c r="M4269" s="28" t="s">
        <v>21</v>
      </c>
      <c r="O4269" s="92">
        <v>40260</v>
      </c>
      <c r="P4269" s="28" t="s">
        <v>31</v>
      </c>
      <c r="Q4269" s="26" t="b">
        <v>1</v>
      </c>
      <c r="R4269" s="22">
        <f t="shared" si="69"/>
        <v>148</v>
      </c>
    </row>
    <row r="4270" spans="1:18">
      <c r="A4270" s="26">
        <v>9468</v>
      </c>
      <c r="B4270" s="27">
        <v>40114</v>
      </c>
      <c r="C4270" s="28" t="s">
        <v>13717</v>
      </c>
      <c r="D4270" s="27">
        <v>40108</v>
      </c>
      <c r="E4270" s="28" t="s">
        <v>13718</v>
      </c>
      <c r="F4270" s="28" t="s">
        <v>70</v>
      </c>
      <c r="G4270" s="28" t="s">
        <v>20</v>
      </c>
      <c r="H4270" s="28" t="s">
        <v>71</v>
      </c>
      <c r="I4270" s="28" t="s">
        <v>72</v>
      </c>
      <c r="J4270" s="28" t="s">
        <v>13719</v>
      </c>
      <c r="K4270" s="28" t="s">
        <v>21</v>
      </c>
      <c r="L4270" s="28" t="s">
        <v>1946</v>
      </c>
      <c r="M4270" s="28" t="s">
        <v>21</v>
      </c>
      <c r="O4270" s="92">
        <v>40136</v>
      </c>
      <c r="P4270" s="28" t="s">
        <v>31</v>
      </c>
      <c r="Q4270" s="26" t="b">
        <v>1</v>
      </c>
      <c r="R4270" s="22">
        <f t="shared" si="69"/>
        <v>21</v>
      </c>
    </row>
    <row r="4271" spans="1:18">
      <c r="A4271" s="26">
        <v>9469</v>
      </c>
      <c r="B4271" s="27">
        <v>40114</v>
      </c>
      <c r="C4271" s="28" t="s">
        <v>13720</v>
      </c>
      <c r="D4271" s="27">
        <v>40108</v>
      </c>
      <c r="E4271" s="28" t="s">
        <v>13721</v>
      </c>
      <c r="F4271" s="28" t="s">
        <v>455</v>
      </c>
      <c r="G4271" s="28" t="s">
        <v>20</v>
      </c>
      <c r="H4271" s="28" t="s">
        <v>71</v>
      </c>
      <c r="I4271" s="28" t="s">
        <v>72</v>
      </c>
      <c r="J4271" s="28" t="s">
        <v>4083</v>
      </c>
      <c r="K4271" s="28" t="s">
        <v>13722</v>
      </c>
      <c r="L4271" s="28" t="s">
        <v>1946</v>
      </c>
      <c r="M4271" s="28" t="s">
        <v>21</v>
      </c>
      <c r="O4271" s="92">
        <v>40136</v>
      </c>
      <c r="P4271" s="28" t="s">
        <v>31</v>
      </c>
      <c r="Q4271" s="26" t="b">
        <v>1</v>
      </c>
      <c r="R4271" s="22">
        <f t="shared" si="69"/>
        <v>21</v>
      </c>
    </row>
    <row r="4272" spans="1:18">
      <c r="A4272" s="26">
        <v>9470</v>
      </c>
      <c r="B4272" s="27">
        <v>40114</v>
      </c>
      <c r="C4272" s="28" t="s">
        <v>13723</v>
      </c>
      <c r="D4272" s="27">
        <v>40088</v>
      </c>
      <c r="E4272" s="28" t="s">
        <v>13724</v>
      </c>
      <c r="F4272" s="28" t="s">
        <v>1232</v>
      </c>
      <c r="G4272" s="28" t="s">
        <v>20</v>
      </c>
      <c r="H4272" s="28" t="s">
        <v>189</v>
      </c>
      <c r="I4272" s="28" t="s">
        <v>189</v>
      </c>
      <c r="J4272" s="28" t="s">
        <v>13725</v>
      </c>
      <c r="K4272" s="28" t="s">
        <v>13726</v>
      </c>
      <c r="L4272" s="28" t="s">
        <v>4579</v>
      </c>
      <c r="M4272" s="28" t="s">
        <v>21</v>
      </c>
      <c r="O4272" s="92">
        <v>40513</v>
      </c>
      <c r="P4272" s="28" t="s">
        <v>21</v>
      </c>
      <c r="Q4272" s="26" t="b">
        <v>0</v>
      </c>
      <c r="R4272" s="22">
        <f t="shared" si="69"/>
        <v>398</v>
      </c>
    </row>
    <row r="4273" spans="1:18">
      <c r="A4273" s="26">
        <v>9471</v>
      </c>
      <c r="B4273" s="27">
        <v>40115</v>
      </c>
      <c r="C4273" s="28" t="s">
        <v>13727</v>
      </c>
      <c r="D4273" s="27">
        <v>40114</v>
      </c>
      <c r="E4273" s="28" t="s">
        <v>13728</v>
      </c>
      <c r="F4273" s="28" t="s">
        <v>3430</v>
      </c>
      <c r="G4273" s="28" t="s">
        <v>20</v>
      </c>
      <c r="H4273" s="28" t="s">
        <v>71</v>
      </c>
      <c r="I4273" s="28" t="s">
        <v>72</v>
      </c>
      <c r="J4273" s="28" t="s">
        <v>13729</v>
      </c>
      <c r="K4273" s="28" t="s">
        <v>6081</v>
      </c>
      <c r="L4273" s="28" t="s">
        <v>3588</v>
      </c>
      <c r="M4273" s="28" t="s">
        <v>21</v>
      </c>
      <c r="O4273" s="92">
        <v>40225</v>
      </c>
      <c r="P4273" s="28" t="s">
        <v>31</v>
      </c>
      <c r="Q4273" s="26" t="b">
        <v>1</v>
      </c>
      <c r="R4273" s="22">
        <f t="shared" si="69"/>
        <v>108</v>
      </c>
    </row>
    <row r="4274" spans="1:18">
      <c r="A4274" s="26">
        <v>9472</v>
      </c>
      <c r="B4274" s="27">
        <v>40120</v>
      </c>
      <c r="C4274" s="28" t="s">
        <v>13730</v>
      </c>
      <c r="D4274" s="27">
        <v>40116</v>
      </c>
      <c r="E4274" s="28" t="s">
        <v>13731</v>
      </c>
      <c r="F4274" s="28" t="s">
        <v>13732</v>
      </c>
      <c r="G4274" s="28" t="s">
        <v>20</v>
      </c>
      <c r="H4274" s="28" t="s">
        <v>71</v>
      </c>
      <c r="I4274" s="28" t="s">
        <v>72</v>
      </c>
      <c r="J4274" s="28" t="s">
        <v>13733</v>
      </c>
      <c r="K4274" s="28" t="s">
        <v>7494</v>
      </c>
      <c r="L4274" s="28" t="s">
        <v>3588</v>
      </c>
      <c r="M4274" s="28" t="s">
        <v>12904</v>
      </c>
      <c r="O4274" s="92">
        <v>41081</v>
      </c>
      <c r="P4274" s="28" t="s">
        <v>21</v>
      </c>
      <c r="Q4274" s="26" t="b">
        <v>0</v>
      </c>
      <c r="R4274" s="22">
        <f t="shared" si="69"/>
        <v>961</v>
      </c>
    </row>
    <row r="4275" spans="1:18">
      <c r="A4275" s="26">
        <v>9473</v>
      </c>
      <c r="B4275" s="27">
        <v>40120</v>
      </c>
      <c r="C4275" s="28" t="s">
        <v>13734</v>
      </c>
      <c r="D4275" s="27">
        <v>40115</v>
      </c>
      <c r="E4275" s="28" t="s">
        <v>13735</v>
      </c>
      <c r="F4275" s="28" t="s">
        <v>27</v>
      </c>
      <c r="G4275" s="28" t="s">
        <v>20</v>
      </c>
      <c r="H4275" s="28" t="s">
        <v>189</v>
      </c>
      <c r="I4275" s="28" t="s">
        <v>189</v>
      </c>
      <c r="J4275" s="28" t="s">
        <v>13736</v>
      </c>
      <c r="K4275" s="28" t="s">
        <v>13737</v>
      </c>
      <c r="L4275" s="28" t="s">
        <v>3588</v>
      </c>
      <c r="M4275" s="28" t="s">
        <v>21</v>
      </c>
      <c r="O4275" s="92">
        <v>40155</v>
      </c>
      <c r="P4275" s="28" t="s">
        <v>31</v>
      </c>
      <c r="Q4275" s="26" t="b">
        <v>1</v>
      </c>
      <c r="R4275" s="22">
        <f t="shared" si="69"/>
        <v>35</v>
      </c>
    </row>
    <row r="4276" spans="1:18">
      <c r="A4276" s="26">
        <v>9475</v>
      </c>
      <c r="B4276" s="27">
        <v>40122</v>
      </c>
      <c r="C4276" s="28" t="s">
        <v>13738</v>
      </c>
      <c r="D4276" s="27">
        <v>40119</v>
      </c>
      <c r="E4276" s="28" t="s">
        <v>11030</v>
      </c>
      <c r="F4276" s="28" t="s">
        <v>85</v>
      </c>
      <c r="G4276" s="28" t="s">
        <v>20</v>
      </c>
      <c r="H4276" s="28" t="s">
        <v>71</v>
      </c>
      <c r="I4276" s="28" t="s">
        <v>72</v>
      </c>
      <c r="J4276" s="28" t="s">
        <v>13739</v>
      </c>
      <c r="K4276" s="28" t="s">
        <v>13740</v>
      </c>
      <c r="L4276" s="28" t="s">
        <v>4282</v>
      </c>
      <c r="M4276" s="28" t="s">
        <v>21</v>
      </c>
      <c r="O4276" s="92">
        <v>40130</v>
      </c>
      <c r="P4276" s="28" t="s">
        <v>21</v>
      </c>
      <c r="Q4276" s="26" t="b">
        <v>0</v>
      </c>
      <c r="R4276" s="22">
        <f t="shared" si="69"/>
        <v>8</v>
      </c>
    </row>
    <row r="4277" spans="1:18">
      <c r="A4277" s="26">
        <v>9476</v>
      </c>
      <c r="B4277" s="27">
        <v>40123</v>
      </c>
      <c r="C4277" s="28" t="s">
        <v>13741</v>
      </c>
      <c r="D4277" s="27">
        <v>40123</v>
      </c>
      <c r="E4277" s="28" t="s">
        <v>10998</v>
      </c>
      <c r="F4277" s="28" t="s">
        <v>13175</v>
      </c>
      <c r="G4277" s="28" t="s">
        <v>20</v>
      </c>
      <c r="H4277" s="28" t="s">
        <v>71</v>
      </c>
      <c r="I4277" s="28" t="s">
        <v>72</v>
      </c>
      <c r="J4277" s="28" t="s">
        <v>13742</v>
      </c>
      <c r="K4277" s="28" t="s">
        <v>1928</v>
      </c>
      <c r="L4277" s="28" t="s">
        <v>4282</v>
      </c>
      <c r="M4277" s="28" t="s">
        <v>21</v>
      </c>
      <c r="O4277" s="92">
        <v>40150</v>
      </c>
      <c r="P4277" s="28" t="s">
        <v>21</v>
      </c>
      <c r="Q4277" s="26" t="b">
        <v>0</v>
      </c>
      <c r="R4277" s="22">
        <f t="shared" si="69"/>
        <v>27</v>
      </c>
    </row>
    <row r="4278" spans="1:18">
      <c r="A4278" s="26">
        <v>9477</v>
      </c>
      <c r="B4278" s="27">
        <v>40129</v>
      </c>
      <c r="C4278" s="28" t="s">
        <v>13743</v>
      </c>
      <c r="D4278" s="27">
        <v>39864</v>
      </c>
      <c r="E4278" s="28" t="s">
        <v>13744</v>
      </c>
      <c r="F4278" s="28" t="s">
        <v>13387</v>
      </c>
      <c r="G4278" s="28" t="s">
        <v>20</v>
      </c>
      <c r="H4278" s="28" t="s">
        <v>71</v>
      </c>
      <c r="I4278" s="28" t="s">
        <v>72</v>
      </c>
      <c r="J4278" s="28" t="s">
        <v>13388</v>
      </c>
      <c r="K4278" s="28" t="s">
        <v>13389</v>
      </c>
      <c r="L4278" s="28" t="s">
        <v>4579</v>
      </c>
      <c r="M4278" s="28" t="s">
        <v>21</v>
      </c>
      <c r="O4278" s="92">
        <v>40151</v>
      </c>
      <c r="P4278" s="28" t="s">
        <v>21</v>
      </c>
      <c r="Q4278" s="26" t="b">
        <v>0</v>
      </c>
      <c r="R4278" s="22">
        <f t="shared" si="69"/>
        <v>22</v>
      </c>
    </row>
    <row r="4279" spans="1:18">
      <c r="A4279" s="26">
        <v>9478</v>
      </c>
      <c r="B4279" s="27">
        <v>40129</v>
      </c>
      <c r="C4279" s="28" t="s">
        <v>13745</v>
      </c>
      <c r="D4279" s="27">
        <v>40127</v>
      </c>
      <c r="E4279" s="28" t="s">
        <v>13746</v>
      </c>
      <c r="F4279" s="28" t="s">
        <v>149</v>
      </c>
      <c r="G4279" s="28" t="s">
        <v>20</v>
      </c>
      <c r="H4279" s="28" t="s">
        <v>71</v>
      </c>
      <c r="I4279" s="28" t="s">
        <v>72</v>
      </c>
      <c r="J4279" s="28" t="s">
        <v>13703</v>
      </c>
      <c r="K4279" s="28" t="s">
        <v>13747</v>
      </c>
      <c r="L4279" s="28" t="s">
        <v>3588</v>
      </c>
      <c r="M4279" s="28" t="s">
        <v>4579</v>
      </c>
      <c r="O4279" s="92">
        <v>40189</v>
      </c>
      <c r="P4279" s="28" t="s">
        <v>31</v>
      </c>
      <c r="Q4279" s="26" t="b">
        <v>1</v>
      </c>
      <c r="R4279" s="22">
        <f t="shared" si="69"/>
        <v>59</v>
      </c>
    </row>
    <row r="4280" spans="1:18">
      <c r="A4280" s="26">
        <v>9479</v>
      </c>
      <c r="B4280" s="27">
        <v>40130</v>
      </c>
      <c r="C4280" s="28" t="s">
        <v>13748</v>
      </c>
      <c r="D4280" s="27">
        <v>40130</v>
      </c>
      <c r="E4280" s="28" t="s">
        <v>13749</v>
      </c>
      <c r="F4280" s="28" t="s">
        <v>13732</v>
      </c>
      <c r="G4280" s="28" t="s">
        <v>20</v>
      </c>
      <c r="H4280" s="28" t="s">
        <v>71</v>
      </c>
      <c r="I4280" s="28" t="s">
        <v>72</v>
      </c>
      <c r="J4280" s="28" t="s">
        <v>7034</v>
      </c>
      <c r="K4280" s="28" t="s">
        <v>13750</v>
      </c>
      <c r="L4280" s="28" t="s">
        <v>3588</v>
      </c>
      <c r="M4280" s="28" t="s">
        <v>12904</v>
      </c>
      <c r="O4280" s="92">
        <v>41081</v>
      </c>
      <c r="P4280" s="28" t="s">
        <v>21</v>
      </c>
      <c r="Q4280" s="26" t="b">
        <v>0</v>
      </c>
      <c r="R4280" s="22">
        <f t="shared" si="69"/>
        <v>951</v>
      </c>
    </row>
    <row r="4281" spans="1:18">
      <c r="A4281" s="26">
        <v>9480</v>
      </c>
      <c r="B4281" s="27">
        <v>40133</v>
      </c>
      <c r="C4281" s="28" t="s">
        <v>13751</v>
      </c>
      <c r="D4281" s="27">
        <v>40133</v>
      </c>
      <c r="E4281" s="28" t="s">
        <v>13752</v>
      </c>
      <c r="F4281" s="28" t="s">
        <v>13753</v>
      </c>
      <c r="G4281" s="28" t="s">
        <v>20</v>
      </c>
      <c r="H4281" s="28" t="s">
        <v>71</v>
      </c>
      <c r="I4281" s="28" t="s">
        <v>72</v>
      </c>
      <c r="J4281" s="28" t="s">
        <v>1499</v>
      </c>
      <c r="K4281" s="28" t="s">
        <v>13754</v>
      </c>
      <c r="L4281" s="28" t="s">
        <v>4282</v>
      </c>
      <c r="M4281" s="28" t="s">
        <v>21</v>
      </c>
      <c r="O4281" s="92">
        <v>40149</v>
      </c>
      <c r="P4281" s="28" t="s">
        <v>21</v>
      </c>
      <c r="Q4281" s="26" t="b">
        <v>0</v>
      </c>
      <c r="R4281" s="22">
        <f t="shared" si="69"/>
        <v>16</v>
      </c>
    </row>
    <row r="4282" spans="1:18">
      <c r="A4282" s="26">
        <v>9481</v>
      </c>
      <c r="B4282" s="27">
        <v>40133</v>
      </c>
      <c r="C4282" s="28" t="s">
        <v>13755</v>
      </c>
      <c r="D4282" s="27">
        <v>40133</v>
      </c>
      <c r="E4282" s="28" t="s">
        <v>13756</v>
      </c>
      <c r="F4282" s="28" t="s">
        <v>1771</v>
      </c>
      <c r="G4282" s="28" t="s">
        <v>20</v>
      </c>
      <c r="H4282" s="28" t="s">
        <v>189</v>
      </c>
      <c r="I4282" s="28" t="s">
        <v>189</v>
      </c>
      <c r="J4282" s="28" t="s">
        <v>74</v>
      </c>
      <c r="K4282" s="28" t="s">
        <v>13757</v>
      </c>
      <c r="L4282" s="28" t="s">
        <v>3588</v>
      </c>
      <c r="M4282" s="28" t="s">
        <v>4282</v>
      </c>
      <c r="O4282" s="92">
        <v>41107</v>
      </c>
      <c r="P4282" s="28" t="s">
        <v>21</v>
      </c>
      <c r="Q4282" s="26" t="b">
        <v>0</v>
      </c>
      <c r="R4282" s="22">
        <f t="shared" si="69"/>
        <v>974</v>
      </c>
    </row>
    <row r="4283" spans="1:18">
      <c r="A4283" s="26">
        <v>9482</v>
      </c>
      <c r="B4283" s="27">
        <v>40133</v>
      </c>
      <c r="C4283" s="28" t="s">
        <v>13758</v>
      </c>
      <c r="D4283" s="27">
        <v>40133</v>
      </c>
      <c r="E4283" s="28" t="s">
        <v>13759</v>
      </c>
      <c r="F4283" s="28" t="s">
        <v>12892</v>
      </c>
      <c r="G4283" s="28" t="s">
        <v>20</v>
      </c>
      <c r="H4283" s="28" t="s">
        <v>71</v>
      </c>
      <c r="I4283" s="28" t="s">
        <v>72</v>
      </c>
      <c r="J4283" s="28" t="s">
        <v>6081</v>
      </c>
      <c r="K4283" s="28" t="s">
        <v>13760</v>
      </c>
      <c r="L4283" s="28" t="s">
        <v>1946</v>
      </c>
      <c r="M4283" s="28" t="s">
        <v>21</v>
      </c>
      <c r="O4283" s="92">
        <v>40182</v>
      </c>
      <c r="P4283" s="28" t="s">
        <v>21</v>
      </c>
      <c r="Q4283" s="26" t="b">
        <v>0</v>
      </c>
      <c r="R4283" s="22">
        <f t="shared" si="69"/>
        <v>48</v>
      </c>
    </row>
    <row r="4284" spans="1:18">
      <c r="A4284" s="26">
        <v>9483</v>
      </c>
      <c r="B4284" s="27">
        <v>40134</v>
      </c>
      <c r="C4284" s="28" t="s">
        <v>13761</v>
      </c>
      <c r="D4284" s="27">
        <v>40134</v>
      </c>
      <c r="E4284" s="28" t="s">
        <v>13762</v>
      </c>
      <c r="F4284" s="28" t="s">
        <v>2565</v>
      </c>
      <c r="G4284" s="28" t="s">
        <v>20</v>
      </c>
      <c r="H4284" s="28" t="s">
        <v>189</v>
      </c>
      <c r="I4284" s="28" t="s">
        <v>189</v>
      </c>
      <c r="J4284" s="28" t="s">
        <v>13763</v>
      </c>
      <c r="K4284" s="28" t="s">
        <v>7494</v>
      </c>
      <c r="L4284" s="28" t="s">
        <v>3588</v>
      </c>
      <c r="M4284" s="28" t="s">
        <v>4282</v>
      </c>
      <c r="O4284" s="92">
        <v>41163</v>
      </c>
      <c r="P4284" s="28" t="s">
        <v>21</v>
      </c>
      <c r="Q4284" s="26" t="b">
        <v>0</v>
      </c>
      <c r="R4284" s="22">
        <f t="shared" si="69"/>
        <v>1028</v>
      </c>
    </row>
    <row r="4285" spans="1:18" ht="24">
      <c r="A4285" s="26">
        <v>9484</v>
      </c>
      <c r="B4285" s="27">
        <v>40140</v>
      </c>
      <c r="C4285" s="28" t="s">
        <v>13764</v>
      </c>
      <c r="D4285" s="27">
        <v>40133</v>
      </c>
      <c r="E4285" s="28" t="s">
        <v>13765</v>
      </c>
      <c r="F4285" s="28" t="s">
        <v>56</v>
      </c>
      <c r="G4285" s="28" t="s">
        <v>20</v>
      </c>
      <c r="H4285" s="28" t="s">
        <v>71</v>
      </c>
      <c r="I4285" s="28" t="s">
        <v>72</v>
      </c>
      <c r="J4285" s="28" t="s">
        <v>13766</v>
      </c>
      <c r="K4285" s="28" t="s">
        <v>13767</v>
      </c>
      <c r="L4285" s="28" t="s">
        <v>4579</v>
      </c>
      <c r="M4285" s="28" t="s">
        <v>21</v>
      </c>
      <c r="O4285" s="92">
        <v>40151</v>
      </c>
      <c r="P4285" s="28" t="s">
        <v>21</v>
      </c>
      <c r="Q4285" s="26" t="b">
        <v>0</v>
      </c>
      <c r="R4285" s="22">
        <f t="shared" si="69"/>
        <v>11</v>
      </c>
    </row>
    <row r="4286" spans="1:18">
      <c r="A4286" s="26">
        <v>9485</v>
      </c>
      <c r="B4286" s="27">
        <v>40140</v>
      </c>
      <c r="C4286" s="28" t="s">
        <v>13768</v>
      </c>
      <c r="D4286" s="27">
        <v>40130</v>
      </c>
      <c r="E4286" s="28" t="s">
        <v>13769</v>
      </c>
      <c r="F4286" s="28" t="s">
        <v>12371</v>
      </c>
      <c r="G4286" s="28" t="s">
        <v>20</v>
      </c>
      <c r="H4286" s="28" t="s">
        <v>566</v>
      </c>
      <c r="I4286" s="28" t="s">
        <v>566</v>
      </c>
      <c r="J4286" s="28" t="s">
        <v>13770</v>
      </c>
      <c r="K4286" s="28" t="s">
        <v>13771</v>
      </c>
      <c r="L4286" s="28" t="s">
        <v>4579</v>
      </c>
      <c r="M4286" s="28" t="s">
        <v>4282</v>
      </c>
      <c r="O4286" s="92">
        <v>40185</v>
      </c>
      <c r="P4286" s="28" t="s">
        <v>21</v>
      </c>
      <c r="Q4286" s="26" t="b">
        <v>0</v>
      </c>
      <c r="R4286" s="22">
        <f t="shared" si="69"/>
        <v>44</v>
      </c>
    </row>
    <row r="4287" spans="1:18">
      <c r="A4287" s="26">
        <v>9486</v>
      </c>
      <c r="B4287" s="27">
        <v>40140</v>
      </c>
      <c r="C4287" s="28" t="s">
        <v>13772</v>
      </c>
      <c r="D4287" s="27">
        <v>40136</v>
      </c>
      <c r="E4287" s="28" t="s">
        <v>13773</v>
      </c>
      <c r="F4287" s="28" t="s">
        <v>13211</v>
      </c>
      <c r="G4287" s="28" t="s">
        <v>20</v>
      </c>
      <c r="H4287" s="28" t="s">
        <v>71</v>
      </c>
      <c r="I4287" s="28" t="s">
        <v>72</v>
      </c>
      <c r="J4287" s="28" t="s">
        <v>13774</v>
      </c>
      <c r="K4287" s="28" t="s">
        <v>13775</v>
      </c>
      <c r="L4287" s="28" t="s">
        <v>1946</v>
      </c>
      <c r="M4287" s="28" t="s">
        <v>21</v>
      </c>
      <c r="O4287" s="92">
        <v>40183</v>
      </c>
      <c r="P4287" s="28" t="s">
        <v>21</v>
      </c>
      <c r="Q4287" s="26" t="b">
        <v>0</v>
      </c>
      <c r="R4287" s="22">
        <f t="shared" si="69"/>
        <v>42</v>
      </c>
    </row>
    <row r="4288" spans="1:18">
      <c r="A4288" s="26">
        <v>9487</v>
      </c>
      <c r="B4288" s="27">
        <v>40141</v>
      </c>
      <c r="C4288" s="28" t="s">
        <v>13776</v>
      </c>
      <c r="D4288" s="27">
        <v>40135</v>
      </c>
      <c r="E4288" s="28" t="s">
        <v>13777</v>
      </c>
      <c r="F4288" s="28" t="s">
        <v>149</v>
      </c>
      <c r="G4288" s="28" t="s">
        <v>20</v>
      </c>
      <c r="H4288" s="28" t="s">
        <v>71</v>
      </c>
      <c r="I4288" s="28" t="s">
        <v>72</v>
      </c>
      <c r="J4288" s="28" t="s">
        <v>13778</v>
      </c>
      <c r="K4288" s="28" t="s">
        <v>12966</v>
      </c>
      <c r="L4288" s="28" t="s">
        <v>3588</v>
      </c>
      <c r="M4288" s="28" t="s">
        <v>4579</v>
      </c>
      <c r="O4288" s="92">
        <v>40177</v>
      </c>
      <c r="P4288" s="28" t="s">
        <v>21</v>
      </c>
      <c r="Q4288" s="26" t="b">
        <v>0</v>
      </c>
      <c r="R4288" s="22">
        <f t="shared" si="69"/>
        <v>36</v>
      </c>
    </row>
    <row r="4289" spans="1:18" ht="24">
      <c r="A4289" s="26">
        <v>9488</v>
      </c>
      <c r="B4289" s="27">
        <v>40141</v>
      </c>
      <c r="C4289" s="28" t="s">
        <v>13779</v>
      </c>
      <c r="D4289" s="27">
        <v>40137</v>
      </c>
      <c r="E4289" s="28" t="s">
        <v>13780</v>
      </c>
      <c r="F4289" s="28" t="s">
        <v>13781</v>
      </c>
      <c r="G4289" s="28" t="s">
        <v>20</v>
      </c>
      <c r="H4289" s="28" t="s">
        <v>71</v>
      </c>
      <c r="I4289" s="28" t="s">
        <v>72</v>
      </c>
      <c r="J4289" s="28" t="s">
        <v>13782</v>
      </c>
      <c r="K4289" s="28" t="s">
        <v>21</v>
      </c>
      <c r="L4289" s="28" t="s">
        <v>3588</v>
      </c>
      <c r="M4289" s="28" t="s">
        <v>21</v>
      </c>
      <c r="O4289" s="92">
        <v>40162</v>
      </c>
      <c r="P4289" s="28" t="s">
        <v>21</v>
      </c>
      <c r="Q4289" s="26" t="b">
        <v>0</v>
      </c>
      <c r="R4289" s="22">
        <f t="shared" si="69"/>
        <v>21</v>
      </c>
    </row>
    <row r="4290" spans="1:18">
      <c r="A4290" s="26">
        <v>9489</v>
      </c>
      <c r="B4290" s="27">
        <v>40148</v>
      </c>
      <c r="C4290" s="28" t="s">
        <v>13783</v>
      </c>
      <c r="D4290" s="27">
        <v>40143</v>
      </c>
      <c r="E4290" s="28" t="s">
        <v>13784</v>
      </c>
      <c r="F4290" s="28" t="s">
        <v>13785</v>
      </c>
      <c r="G4290" s="28" t="s">
        <v>20</v>
      </c>
      <c r="H4290" s="28" t="s">
        <v>71</v>
      </c>
      <c r="I4290" s="28" t="s">
        <v>72</v>
      </c>
      <c r="J4290" s="28" t="s">
        <v>13786</v>
      </c>
      <c r="K4290" s="28" t="s">
        <v>7494</v>
      </c>
      <c r="L4290" s="28" t="s">
        <v>7167</v>
      </c>
      <c r="M4290" s="28" t="s">
        <v>1946</v>
      </c>
      <c r="O4290" s="92">
        <v>41059</v>
      </c>
      <c r="P4290" s="28" t="s">
        <v>21</v>
      </c>
      <c r="Q4290" s="26" t="b">
        <v>0</v>
      </c>
      <c r="R4290" s="22">
        <f t="shared" si="69"/>
        <v>911</v>
      </c>
    </row>
    <row r="4291" spans="1:18">
      <c r="A4291" s="26">
        <v>9493</v>
      </c>
      <c r="B4291" s="27">
        <v>40151</v>
      </c>
      <c r="C4291" s="28" t="s">
        <v>13787</v>
      </c>
      <c r="D4291" s="27">
        <v>40139</v>
      </c>
      <c r="E4291" s="28" t="s">
        <v>13788</v>
      </c>
      <c r="F4291" s="28" t="s">
        <v>149</v>
      </c>
      <c r="G4291" s="28" t="s">
        <v>20</v>
      </c>
      <c r="H4291" s="28" t="s">
        <v>71</v>
      </c>
      <c r="I4291" s="28" t="s">
        <v>72</v>
      </c>
      <c r="J4291" s="28" t="s">
        <v>13789</v>
      </c>
      <c r="K4291" s="28" t="s">
        <v>6081</v>
      </c>
      <c r="L4291" s="28" t="s">
        <v>3588</v>
      </c>
      <c r="M4291" s="28" t="s">
        <v>21</v>
      </c>
      <c r="O4291" s="92">
        <v>40177</v>
      </c>
      <c r="P4291" s="28" t="s">
        <v>31</v>
      </c>
      <c r="Q4291" s="26" t="b">
        <v>1</v>
      </c>
      <c r="R4291" s="22">
        <f t="shared" si="69"/>
        <v>26</v>
      </c>
    </row>
    <row r="4292" spans="1:18">
      <c r="A4292" s="26">
        <v>9496</v>
      </c>
      <c r="B4292" s="27">
        <v>40154</v>
      </c>
      <c r="C4292" s="28" t="s">
        <v>13790</v>
      </c>
      <c r="D4292" s="27">
        <v>40151</v>
      </c>
      <c r="E4292" s="28" t="s">
        <v>13791</v>
      </c>
      <c r="F4292" s="28" t="s">
        <v>13792</v>
      </c>
      <c r="G4292" s="28" t="s">
        <v>20</v>
      </c>
      <c r="H4292" s="28" t="s">
        <v>71</v>
      </c>
      <c r="I4292" s="28" t="s">
        <v>72</v>
      </c>
      <c r="J4292" s="28" t="s">
        <v>13793</v>
      </c>
      <c r="K4292" s="28" t="s">
        <v>13794</v>
      </c>
      <c r="L4292" s="28" t="s">
        <v>3588</v>
      </c>
      <c r="M4292" s="28" t="s">
        <v>21</v>
      </c>
      <c r="O4292" s="92">
        <v>40198</v>
      </c>
      <c r="P4292" s="28" t="s">
        <v>31</v>
      </c>
      <c r="Q4292" s="26" t="b">
        <v>1</v>
      </c>
      <c r="R4292" s="22">
        <f t="shared" si="69"/>
        <v>43</v>
      </c>
    </row>
    <row r="4293" spans="1:18" ht="24">
      <c r="A4293" s="26">
        <v>9497</v>
      </c>
      <c r="B4293" s="27">
        <v>40156</v>
      </c>
      <c r="C4293" s="28" t="s">
        <v>13795</v>
      </c>
      <c r="D4293" s="27">
        <v>40155</v>
      </c>
      <c r="E4293" s="28" t="s">
        <v>13796</v>
      </c>
      <c r="F4293" s="28" t="s">
        <v>13797</v>
      </c>
      <c r="G4293" s="28" t="s">
        <v>20</v>
      </c>
      <c r="H4293" s="28" t="s">
        <v>71</v>
      </c>
      <c r="I4293" s="28" t="s">
        <v>72</v>
      </c>
      <c r="J4293" s="28" t="s">
        <v>13798</v>
      </c>
      <c r="K4293" s="28" t="s">
        <v>13799</v>
      </c>
      <c r="L4293" s="28" t="s">
        <v>3588</v>
      </c>
      <c r="M4293" s="28" t="s">
        <v>21</v>
      </c>
      <c r="O4293" s="92">
        <v>40158</v>
      </c>
      <c r="P4293" s="28" t="s">
        <v>31</v>
      </c>
      <c r="Q4293" s="26" t="b">
        <v>1</v>
      </c>
      <c r="R4293" s="22">
        <f t="shared" si="69"/>
        <v>2</v>
      </c>
    </row>
    <row r="4294" spans="1:18" ht="24">
      <c r="A4294" s="26">
        <v>9498</v>
      </c>
      <c r="B4294" s="27">
        <v>40158</v>
      </c>
      <c r="C4294" s="28" t="s">
        <v>13800</v>
      </c>
      <c r="D4294" s="27">
        <v>40158</v>
      </c>
      <c r="E4294" s="28" t="s">
        <v>13801</v>
      </c>
      <c r="F4294" s="28" t="s">
        <v>13802</v>
      </c>
      <c r="G4294" s="28" t="s">
        <v>20</v>
      </c>
      <c r="H4294" s="28" t="s">
        <v>71</v>
      </c>
      <c r="I4294" s="28" t="s">
        <v>72</v>
      </c>
      <c r="J4294" s="28" t="s">
        <v>13803</v>
      </c>
      <c r="K4294" s="28" t="s">
        <v>13804</v>
      </c>
      <c r="L4294" s="28" t="s">
        <v>4282</v>
      </c>
      <c r="M4294" s="28" t="s">
        <v>21</v>
      </c>
      <c r="O4294" s="92">
        <v>41086</v>
      </c>
      <c r="P4294" s="28" t="s">
        <v>21</v>
      </c>
      <c r="Q4294" s="26" t="b">
        <v>0</v>
      </c>
      <c r="R4294" s="22">
        <f t="shared" si="69"/>
        <v>927</v>
      </c>
    </row>
    <row r="4295" spans="1:18">
      <c r="A4295" s="26">
        <v>9499</v>
      </c>
      <c r="B4295" s="27">
        <v>40161</v>
      </c>
      <c r="C4295" s="28" t="s">
        <v>13805</v>
      </c>
      <c r="D4295" s="27">
        <v>40157</v>
      </c>
      <c r="E4295" s="28" t="s">
        <v>13806</v>
      </c>
      <c r="F4295" s="28" t="s">
        <v>149</v>
      </c>
      <c r="G4295" s="28" t="s">
        <v>20</v>
      </c>
      <c r="H4295" s="28" t="s">
        <v>71</v>
      </c>
      <c r="I4295" s="28" t="s">
        <v>72</v>
      </c>
      <c r="J4295" s="28" t="s">
        <v>7104</v>
      </c>
      <c r="K4295" s="28" t="s">
        <v>6081</v>
      </c>
      <c r="L4295" s="28" t="s">
        <v>3588</v>
      </c>
      <c r="M4295" s="28" t="s">
        <v>21</v>
      </c>
      <c r="O4295" s="92">
        <v>40203</v>
      </c>
      <c r="P4295" s="28" t="s">
        <v>21</v>
      </c>
      <c r="Q4295" s="26" t="b">
        <v>0</v>
      </c>
      <c r="R4295" s="22">
        <f t="shared" si="69"/>
        <v>41</v>
      </c>
    </row>
    <row r="4296" spans="1:18">
      <c r="A4296" s="26">
        <v>9500</v>
      </c>
      <c r="B4296" s="27">
        <v>40161</v>
      </c>
      <c r="C4296" s="28" t="s">
        <v>13807</v>
      </c>
      <c r="D4296" s="27">
        <v>40147</v>
      </c>
      <c r="E4296" s="28" t="s">
        <v>13808</v>
      </c>
      <c r="F4296" s="28" t="s">
        <v>85</v>
      </c>
      <c r="G4296" s="28" t="s">
        <v>20</v>
      </c>
      <c r="H4296" s="28" t="s">
        <v>71</v>
      </c>
      <c r="I4296" s="28" t="s">
        <v>72</v>
      </c>
      <c r="J4296" s="28" t="s">
        <v>12617</v>
      </c>
      <c r="K4296" s="28" t="s">
        <v>21</v>
      </c>
      <c r="L4296" s="28" t="s">
        <v>1946</v>
      </c>
      <c r="M4296" s="28" t="s">
        <v>21</v>
      </c>
      <c r="O4296" s="92">
        <v>40332</v>
      </c>
      <c r="P4296" s="28" t="s">
        <v>21</v>
      </c>
      <c r="Q4296" s="26" t="b">
        <v>0</v>
      </c>
      <c r="R4296" s="22">
        <f t="shared" si="69"/>
        <v>171</v>
      </c>
    </row>
    <row r="4297" spans="1:18">
      <c r="A4297" s="26">
        <v>9501</v>
      </c>
      <c r="B4297" s="27">
        <v>40161</v>
      </c>
      <c r="C4297" s="28" t="s">
        <v>13809</v>
      </c>
      <c r="D4297" s="27">
        <v>40158</v>
      </c>
      <c r="E4297" s="28" t="s">
        <v>13810</v>
      </c>
      <c r="F4297" s="28" t="s">
        <v>13811</v>
      </c>
      <c r="G4297" s="28" t="s">
        <v>20</v>
      </c>
      <c r="H4297" s="28" t="s">
        <v>566</v>
      </c>
      <c r="I4297" s="28" t="s">
        <v>566</v>
      </c>
      <c r="J4297" s="28" t="s">
        <v>1817</v>
      </c>
      <c r="K4297" s="28" t="s">
        <v>12290</v>
      </c>
      <c r="L4297" s="28" t="s">
        <v>4579</v>
      </c>
      <c r="M4297" s="28" t="s">
        <v>21</v>
      </c>
      <c r="O4297" s="92">
        <v>40182</v>
      </c>
      <c r="P4297" s="28" t="s">
        <v>21</v>
      </c>
      <c r="Q4297" s="26" t="b">
        <v>0</v>
      </c>
      <c r="R4297" s="22">
        <f t="shared" si="69"/>
        <v>20</v>
      </c>
    </row>
    <row r="4298" spans="1:18">
      <c r="A4298" s="26">
        <v>9503</v>
      </c>
      <c r="B4298" s="27">
        <v>40162</v>
      </c>
      <c r="C4298" s="28" t="s">
        <v>13812</v>
      </c>
      <c r="D4298" s="27">
        <v>40162</v>
      </c>
      <c r="E4298" s="28" t="s">
        <v>11030</v>
      </c>
      <c r="F4298" s="28" t="s">
        <v>27</v>
      </c>
      <c r="G4298" s="28" t="s">
        <v>20</v>
      </c>
      <c r="H4298" s="28" t="s">
        <v>71</v>
      </c>
      <c r="I4298" s="28" t="s">
        <v>72</v>
      </c>
      <c r="J4298" s="28" t="s">
        <v>13643</v>
      </c>
      <c r="K4298" s="28" t="s">
        <v>13813</v>
      </c>
      <c r="L4298" s="28" t="s">
        <v>3588</v>
      </c>
      <c r="M4298" s="28" t="s">
        <v>21</v>
      </c>
      <c r="O4298" s="92">
        <v>40343</v>
      </c>
      <c r="P4298" s="28" t="s">
        <v>21</v>
      </c>
      <c r="Q4298" s="26" t="b">
        <v>0</v>
      </c>
      <c r="R4298" s="22">
        <f t="shared" si="69"/>
        <v>181</v>
      </c>
    </row>
    <row r="4299" spans="1:18">
      <c r="A4299" s="26">
        <v>9506</v>
      </c>
      <c r="B4299" s="27">
        <v>40164</v>
      </c>
      <c r="C4299" s="28" t="s">
        <v>13814</v>
      </c>
      <c r="D4299" s="27">
        <v>40164</v>
      </c>
      <c r="E4299" s="28" t="s">
        <v>13815</v>
      </c>
      <c r="F4299" s="28" t="s">
        <v>6953</v>
      </c>
      <c r="G4299" s="28" t="s">
        <v>20</v>
      </c>
      <c r="H4299" s="28" t="s">
        <v>71</v>
      </c>
      <c r="I4299" s="28" t="s">
        <v>72</v>
      </c>
      <c r="J4299" s="28" t="s">
        <v>13816</v>
      </c>
      <c r="K4299" s="28" t="s">
        <v>13817</v>
      </c>
      <c r="L4299" s="28" t="s">
        <v>1946</v>
      </c>
      <c r="M4299" s="28" t="s">
        <v>21</v>
      </c>
      <c r="O4299" s="92">
        <v>40688</v>
      </c>
      <c r="P4299" s="28" t="s">
        <v>21</v>
      </c>
      <c r="Q4299" s="26" t="b">
        <v>0</v>
      </c>
      <c r="R4299" s="22">
        <f t="shared" si="69"/>
        <v>525</v>
      </c>
    </row>
    <row r="4300" spans="1:18">
      <c r="A4300" s="26">
        <v>9507</v>
      </c>
      <c r="B4300" s="27">
        <v>40165</v>
      </c>
      <c r="C4300" s="28" t="s">
        <v>13818</v>
      </c>
      <c r="D4300" s="27">
        <v>40157</v>
      </c>
      <c r="E4300" s="28" t="s">
        <v>38</v>
      </c>
      <c r="F4300" s="28" t="s">
        <v>13802</v>
      </c>
      <c r="G4300" s="28" t="s">
        <v>20</v>
      </c>
      <c r="H4300" s="28" t="s">
        <v>71</v>
      </c>
      <c r="I4300" s="28" t="s">
        <v>72</v>
      </c>
      <c r="J4300" s="28" t="s">
        <v>13819</v>
      </c>
      <c r="K4300" s="28" t="s">
        <v>13820</v>
      </c>
      <c r="L4300" s="28" t="s">
        <v>4282</v>
      </c>
      <c r="M4300" s="28" t="s">
        <v>21</v>
      </c>
      <c r="O4300" s="92">
        <v>40666</v>
      </c>
      <c r="P4300" s="28" t="s">
        <v>21</v>
      </c>
      <c r="Q4300" s="26" t="b">
        <v>0</v>
      </c>
      <c r="R4300" s="22">
        <f t="shared" si="69"/>
        <v>501</v>
      </c>
    </row>
    <row r="4301" spans="1:18">
      <c r="A4301" s="26">
        <v>9508</v>
      </c>
      <c r="B4301" s="27">
        <v>40182</v>
      </c>
      <c r="C4301" s="28" t="s">
        <v>13821</v>
      </c>
      <c r="D4301" s="27">
        <v>40175</v>
      </c>
      <c r="E4301" s="28" t="s">
        <v>13822</v>
      </c>
      <c r="F4301" s="28" t="s">
        <v>149</v>
      </c>
      <c r="G4301" s="28" t="s">
        <v>20</v>
      </c>
      <c r="H4301" s="28" t="s">
        <v>71</v>
      </c>
      <c r="I4301" s="28" t="s">
        <v>72</v>
      </c>
      <c r="J4301" s="28" t="s">
        <v>13823</v>
      </c>
      <c r="K4301" s="28" t="s">
        <v>13824</v>
      </c>
      <c r="L4301" s="28" t="s">
        <v>3588</v>
      </c>
      <c r="M4301" s="28" t="s">
        <v>21</v>
      </c>
      <c r="O4301" s="92">
        <v>40464</v>
      </c>
      <c r="P4301" s="28" t="s">
        <v>31</v>
      </c>
      <c r="Q4301" s="26" t="b">
        <v>1</v>
      </c>
      <c r="R4301" s="22">
        <f t="shared" si="69"/>
        <v>282</v>
      </c>
    </row>
    <row r="4302" spans="1:18">
      <c r="A4302" s="26">
        <v>9509</v>
      </c>
      <c r="B4302" s="27">
        <v>40183</v>
      </c>
      <c r="C4302" s="28" t="s">
        <v>13825</v>
      </c>
      <c r="D4302" s="27">
        <v>40125</v>
      </c>
      <c r="E4302" s="28" t="s">
        <v>38</v>
      </c>
      <c r="F4302" s="28" t="s">
        <v>124</v>
      </c>
      <c r="G4302" s="28" t="s">
        <v>20</v>
      </c>
      <c r="H4302" s="28" t="s">
        <v>71</v>
      </c>
      <c r="I4302" s="28" t="s">
        <v>72</v>
      </c>
      <c r="J4302" s="28" t="s">
        <v>13826</v>
      </c>
      <c r="K4302" s="28" t="s">
        <v>13827</v>
      </c>
      <c r="L4302" s="28" t="s">
        <v>4579</v>
      </c>
      <c r="M4302" s="28" t="s">
        <v>21</v>
      </c>
      <c r="O4302" s="92">
        <v>40186</v>
      </c>
      <c r="P4302" s="28" t="s">
        <v>21</v>
      </c>
      <c r="Q4302" s="26" t="b">
        <v>0</v>
      </c>
      <c r="R4302" s="22">
        <f t="shared" si="69"/>
        <v>3</v>
      </c>
    </row>
    <row r="4303" spans="1:18">
      <c r="A4303" s="26">
        <v>9510</v>
      </c>
      <c r="B4303" s="27">
        <v>40184</v>
      </c>
      <c r="C4303" s="28" t="s">
        <v>13828</v>
      </c>
      <c r="D4303" s="27">
        <v>40176</v>
      </c>
      <c r="E4303" s="28" t="s">
        <v>13829</v>
      </c>
      <c r="F4303" s="28" t="s">
        <v>13830</v>
      </c>
      <c r="G4303" s="28" t="s">
        <v>20</v>
      </c>
      <c r="H4303" s="28" t="s">
        <v>189</v>
      </c>
      <c r="I4303" s="28" t="s">
        <v>189</v>
      </c>
      <c r="J4303" s="28" t="s">
        <v>13831</v>
      </c>
      <c r="K4303" s="28" t="s">
        <v>21</v>
      </c>
      <c r="L4303" s="28" t="s">
        <v>3588</v>
      </c>
      <c r="M4303" s="28" t="s">
        <v>21</v>
      </c>
      <c r="O4303" s="92">
        <v>40192</v>
      </c>
      <c r="P4303" s="28" t="s">
        <v>31</v>
      </c>
      <c r="Q4303" s="26" t="b">
        <v>1</v>
      </c>
      <c r="R4303" s="22">
        <f t="shared" si="69"/>
        <v>8</v>
      </c>
    </row>
    <row r="4304" spans="1:18">
      <c r="A4304" s="26">
        <v>9511</v>
      </c>
      <c r="B4304" s="27">
        <v>40184</v>
      </c>
      <c r="C4304" s="28" t="s">
        <v>13832</v>
      </c>
      <c r="D4304" s="27">
        <v>39953</v>
      </c>
      <c r="E4304" s="28" t="s">
        <v>13833</v>
      </c>
      <c r="F4304" s="28" t="s">
        <v>70</v>
      </c>
      <c r="G4304" s="28" t="s">
        <v>20</v>
      </c>
      <c r="H4304" s="28" t="s">
        <v>71</v>
      </c>
      <c r="I4304" s="28" t="s">
        <v>72</v>
      </c>
      <c r="J4304" s="28" t="s">
        <v>13834</v>
      </c>
      <c r="K4304" s="28" t="s">
        <v>21</v>
      </c>
      <c r="L4304" s="28" t="s">
        <v>3588</v>
      </c>
      <c r="M4304" s="28" t="s">
        <v>21</v>
      </c>
      <c r="O4304" s="92">
        <v>40465</v>
      </c>
      <c r="P4304" s="28" t="s">
        <v>21</v>
      </c>
      <c r="Q4304" s="26" t="b">
        <v>0</v>
      </c>
      <c r="R4304" s="22">
        <f t="shared" si="69"/>
        <v>281</v>
      </c>
    </row>
    <row r="4305" spans="1:18">
      <c r="A4305" s="26">
        <v>9512</v>
      </c>
      <c r="B4305" s="27">
        <v>40186</v>
      </c>
      <c r="C4305" s="28" t="s">
        <v>13835</v>
      </c>
      <c r="D4305" s="27">
        <v>40177</v>
      </c>
      <c r="E4305" s="28" t="s">
        <v>13836</v>
      </c>
      <c r="F4305" s="28" t="s">
        <v>149</v>
      </c>
      <c r="G4305" s="28" t="s">
        <v>20</v>
      </c>
      <c r="H4305" s="28" t="s">
        <v>71</v>
      </c>
      <c r="I4305" s="28" t="s">
        <v>72</v>
      </c>
      <c r="J4305" s="28" t="s">
        <v>13837</v>
      </c>
      <c r="K4305" s="28" t="s">
        <v>21</v>
      </c>
      <c r="L4305" s="28" t="s">
        <v>3588</v>
      </c>
      <c r="M4305" s="28" t="s">
        <v>21</v>
      </c>
      <c r="O4305" s="92">
        <v>40210</v>
      </c>
      <c r="P4305" s="28" t="s">
        <v>31</v>
      </c>
      <c r="Q4305" s="26" t="b">
        <v>1</v>
      </c>
      <c r="R4305" s="22">
        <f t="shared" si="69"/>
        <v>23</v>
      </c>
    </row>
    <row r="4306" spans="1:18">
      <c r="A4306" s="26">
        <v>9513</v>
      </c>
      <c r="B4306" s="27">
        <v>40186</v>
      </c>
      <c r="C4306" s="28" t="s">
        <v>13835</v>
      </c>
      <c r="D4306" s="27">
        <v>40185</v>
      </c>
      <c r="E4306" s="28" t="s">
        <v>38</v>
      </c>
      <c r="F4306" s="28" t="s">
        <v>974</v>
      </c>
      <c r="G4306" s="28" t="s">
        <v>20</v>
      </c>
      <c r="H4306" s="28" t="s">
        <v>212</v>
      </c>
      <c r="I4306" s="28" t="s">
        <v>212</v>
      </c>
      <c r="J4306" s="28" t="s">
        <v>13838</v>
      </c>
      <c r="K4306" s="28" t="s">
        <v>12134</v>
      </c>
      <c r="L4306" s="28" t="s">
        <v>4579</v>
      </c>
      <c r="M4306" s="28" t="s">
        <v>21</v>
      </c>
      <c r="O4306" s="92">
        <v>40186</v>
      </c>
      <c r="P4306" s="28" t="s">
        <v>31</v>
      </c>
      <c r="Q4306" s="26" t="b">
        <v>1</v>
      </c>
      <c r="R4306" s="22">
        <f t="shared" si="69"/>
        <v>0</v>
      </c>
    </row>
    <row r="4307" spans="1:18">
      <c r="A4307" s="26">
        <v>9514</v>
      </c>
      <c r="B4307" s="27">
        <v>40189</v>
      </c>
      <c r="C4307" s="28" t="s">
        <v>13839</v>
      </c>
      <c r="D4307" s="27">
        <v>40189</v>
      </c>
      <c r="E4307" s="28" t="s">
        <v>13840</v>
      </c>
      <c r="F4307" s="28" t="s">
        <v>6456</v>
      </c>
      <c r="G4307" s="28" t="s">
        <v>20</v>
      </c>
      <c r="H4307" s="28" t="s">
        <v>189</v>
      </c>
      <c r="I4307" s="28" t="s">
        <v>189</v>
      </c>
      <c r="J4307" s="28" t="s">
        <v>13841</v>
      </c>
      <c r="K4307" s="28" t="s">
        <v>13842</v>
      </c>
      <c r="L4307" s="28" t="s">
        <v>1946</v>
      </c>
      <c r="M4307" s="28" t="s">
        <v>21</v>
      </c>
      <c r="O4307" s="92">
        <v>40268</v>
      </c>
      <c r="P4307" s="28" t="s">
        <v>31</v>
      </c>
      <c r="Q4307" s="26" t="b">
        <v>1</v>
      </c>
      <c r="R4307" s="22">
        <f t="shared" si="69"/>
        <v>81</v>
      </c>
    </row>
    <row r="4308" spans="1:18">
      <c r="A4308" s="26">
        <v>9515</v>
      </c>
      <c r="B4308" s="27">
        <v>40189</v>
      </c>
      <c r="C4308" s="28" t="s">
        <v>13843</v>
      </c>
      <c r="D4308" s="27">
        <v>40189</v>
      </c>
      <c r="E4308" s="28" t="s">
        <v>13844</v>
      </c>
      <c r="F4308" s="28" t="s">
        <v>13845</v>
      </c>
      <c r="G4308" s="28" t="s">
        <v>20</v>
      </c>
      <c r="H4308" s="28" t="s">
        <v>71</v>
      </c>
      <c r="I4308" s="28" t="s">
        <v>72</v>
      </c>
      <c r="J4308" s="28" t="s">
        <v>13846</v>
      </c>
      <c r="K4308" s="28" t="s">
        <v>13847</v>
      </c>
      <c r="L4308" s="28" t="s">
        <v>3588</v>
      </c>
      <c r="M4308" s="28" t="s">
        <v>21</v>
      </c>
      <c r="O4308" s="92">
        <v>40206</v>
      </c>
      <c r="P4308" s="28" t="s">
        <v>31</v>
      </c>
      <c r="Q4308" s="26" t="b">
        <v>1</v>
      </c>
      <c r="R4308" s="22">
        <f t="shared" si="69"/>
        <v>17</v>
      </c>
    </row>
    <row r="4309" spans="1:18" ht="24">
      <c r="A4309" s="26">
        <v>9516</v>
      </c>
      <c r="B4309" s="27">
        <v>40192</v>
      </c>
      <c r="C4309" s="28" t="s">
        <v>13848</v>
      </c>
      <c r="D4309" s="27">
        <v>40192</v>
      </c>
      <c r="E4309" s="28" t="s">
        <v>38</v>
      </c>
      <c r="F4309" s="28" t="s">
        <v>52</v>
      </c>
      <c r="G4309" s="28" t="s">
        <v>20</v>
      </c>
      <c r="H4309" s="28" t="s">
        <v>189</v>
      </c>
      <c r="I4309" s="28" t="s">
        <v>189</v>
      </c>
      <c r="J4309" s="28" t="s">
        <v>13849</v>
      </c>
      <c r="K4309" s="28" t="s">
        <v>21</v>
      </c>
      <c r="L4309" s="28" t="s">
        <v>4579</v>
      </c>
      <c r="M4309" s="28" t="s">
        <v>21</v>
      </c>
      <c r="O4309" s="92">
        <v>40197</v>
      </c>
      <c r="P4309" s="28" t="s">
        <v>21</v>
      </c>
      <c r="Q4309" s="26" t="b">
        <v>0</v>
      </c>
      <c r="R4309" s="22">
        <f t="shared" si="69"/>
        <v>5</v>
      </c>
    </row>
    <row r="4310" spans="1:18">
      <c r="A4310" s="26">
        <v>9517</v>
      </c>
      <c r="B4310" s="27">
        <v>40198</v>
      </c>
      <c r="C4310" s="28" t="s">
        <v>13850</v>
      </c>
      <c r="D4310" s="27">
        <v>40190</v>
      </c>
      <c r="E4310" s="28" t="s">
        <v>38</v>
      </c>
      <c r="F4310" s="28" t="s">
        <v>283</v>
      </c>
      <c r="G4310" s="28" t="s">
        <v>20</v>
      </c>
      <c r="H4310" s="28" t="s">
        <v>71</v>
      </c>
      <c r="I4310" s="28" t="s">
        <v>72</v>
      </c>
      <c r="J4310" s="28" t="s">
        <v>13851</v>
      </c>
      <c r="K4310" s="28" t="s">
        <v>13852</v>
      </c>
      <c r="L4310" s="28" t="s">
        <v>11155</v>
      </c>
      <c r="M4310" s="28" t="s">
        <v>21</v>
      </c>
      <c r="O4310" s="92">
        <v>40198</v>
      </c>
      <c r="P4310" s="28" t="s">
        <v>21</v>
      </c>
      <c r="Q4310" s="26" t="b">
        <v>0</v>
      </c>
      <c r="R4310" s="22">
        <f t="shared" si="69"/>
        <v>0</v>
      </c>
    </row>
    <row r="4311" spans="1:18">
      <c r="A4311" s="26">
        <v>9518</v>
      </c>
      <c r="B4311" s="27">
        <v>40199</v>
      </c>
      <c r="C4311" s="28" t="s">
        <v>13853</v>
      </c>
      <c r="D4311" s="27">
        <v>40199</v>
      </c>
      <c r="E4311" s="28" t="s">
        <v>13854</v>
      </c>
      <c r="F4311" s="28" t="s">
        <v>12892</v>
      </c>
      <c r="G4311" s="28" t="s">
        <v>20</v>
      </c>
      <c r="H4311" s="28" t="s">
        <v>71</v>
      </c>
      <c r="I4311" s="28" t="s">
        <v>72</v>
      </c>
      <c r="J4311" s="28" t="s">
        <v>13855</v>
      </c>
      <c r="K4311" s="28" t="s">
        <v>13856</v>
      </c>
      <c r="L4311" s="28" t="s">
        <v>3588</v>
      </c>
      <c r="M4311" s="28" t="s">
        <v>21</v>
      </c>
      <c r="O4311" s="92">
        <v>40294</v>
      </c>
      <c r="P4311" s="28" t="s">
        <v>21</v>
      </c>
      <c r="Q4311" s="26" t="b">
        <v>0</v>
      </c>
      <c r="R4311" s="22">
        <f t="shared" si="69"/>
        <v>96</v>
      </c>
    </row>
    <row r="4312" spans="1:18">
      <c r="A4312" s="26">
        <v>9519</v>
      </c>
      <c r="B4312" s="27">
        <v>40206</v>
      </c>
      <c r="C4312" s="28" t="s">
        <v>13857</v>
      </c>
      <c r="D4312" s="27">
        <v>40203</v>
      </c>
      <c r="E4312" s="28" t="s">
        <v>38</v>
      </c>
      <c r="F4312" s="28" t="s">
        <v>13858</v>
      </c>
      <c r="G4312" s="28" t="s">
        <v>20</v>
      </c>
      <c r="H4312" s="28" t="s">
        <v>71</v>
      </c>
      <c r="I4312" s="28" t="s">
        <v>72</v>
      </c>
      <c r="J4312" s="28" t="s">
        <v>13859</v>
      </c>
      <c r="K4312" s="28" t="s">
        <v>13860</v>
      </c>
      <c r="L4312" s="28" t="s">
        <v>3588</v>
      </c>
      <c r="M4312" s="28" t="s">
        <v>21</v>
      </c>
      <c r="O4312" s="92">
        <v>40212</v>
      </c>
      <c r="P4312" s="28" t="s">
        <v>21</v>
      </c>
      <c r="Q4312" s="26" t="b">
        <v>0</v>
      </c>
      <c r="R4312" s="22">
        <f t="shared" si="69"/>
        <v>5</v>
      </c>
    </row>
    <row r="4313" spans="1:18">
      <c r="A4313" s="26">
        <v>9520</v>
      </c>
      <c r="B4313" s="27">
        <v>40206</v>
      </c>
      <c r="C4313" s="28" t="s">
        <v>13861</v>
      </c>
      <c r="D4313" s="27">
        <v>40204</v>
      </c>
      <c r="E4313" s="28" t="s">
        <v>13862</v>
      </c>
      <c r="F4313" s="28" t="s">
        <v>104</v>
      </c>
      <c r="G4313" s="28" t="s">
        <v>20</v>
      </c>
      <c r="H4313" s="28" t="s">
        <v>71</v>
      </c>
      <c r="I4313" s="28" t="s">
        <v>72</v>
      </c>
      <c r="J4313" s="28" t="s">
        <v>13863</v>
      </c>
      <c r="K4313" s="28" t="s">
        <v>3354</v>
      </c>
      <c r="L4313" s="28" t="s">
        <v>3588</v>
      </c>
      <c r="M4313" s="28" t="s">
        <v>21</v>
      </c>
      <c r="O4313" s="92">
        <v>40344</v>
      </c>
      <c r="P4313" s="28" t="s">
        <v>21</v>
      </c>
      <c r="Q4313" s="26" t="b">
        <v>0</v>
      </c>
      <c r="R4313" s="22">
        <f t="shared" ref="R4313:R4376" si="70">IF(O4313=" ", " ", INT(YEARFRAC(O4313, B4313)*365))</f>
        <v>138</v>
      </c>
    </row>
    <row r="4314" spans="1:18">
      <c r="A4314" s="26">
        <v>9521</v>
      </c>
      <c r="B4314" s="27">
        <v>40206</v>
      </c>
      <c r="C4314" s="28" t="s">
        <v>13864</v>
      </c>
      <c r="D4314" s="27">
        <v>40204</v>
      </c>
      <c r="E4314" s="28" t="s">
        <v>13865</v>
      </c>
      <c r="F4314" s="28" t="s">
        <v>104</v>
      </c>
      <c r="G4314" s="28" t="s">
        <v>20</v>
      </c>
      <c r="H4314" s="28" t="s">
        <v>71</v>
      </c>
      <c r="I4314" s="28" t="s">
        <v>72</v>
      </c>
      <c r="J4314" s="28" t="s">
        <v>13866</v>
      </c>
      <c r="K4314" s="28" t="s">
        <v>13867</v>
      </c>
      <c r="L4314" s="28" t="s">
        <v>3588</v>
      </c>
      <c r="M4314" s="28" t="s">
        <v>21</v>
      </c>
      <c r="O4314" s="92">
        <v>40424</v>
      </c>
      <c r="P4314" s="28" t="s">
        <v>21</v>
      </c>
      <c r="Q4314" s="26" t="b">
        <v>0</v>
      </c>
      <c r="R4314" s="22">
        <f t="shared" si="70"/>
        <v>217</v>
      </c>
    </row>
    <row r="4315" spans="1:18">
      <c r="A4315" s="26">
        <v>9522</v>
      </c>
      <c r="B4315" s="27">
        <v>40206</v>
      </c>
      <c r="C4315" s="28" t="s">
        <v>13868</v>
      </c>
      <c r="D4315" s="27">
        <v>40206</v>
      </c>
      <c r="E4315" s="28" t="s">
        <v>38</v>
      </c>
      <c r="F4315" s="28" t="s">
        <v>13869</v>
      </c>
      <c r="G4315" s="28" t="s">
        <v>189</v>
      </c>
      <c r="H4315" s="28" t="s">
        <v>71</v>
      </c>
      <c r="I4315" s="28" t="s">
        <v>72</v>
      </c>
      <c r="J4315" s="28" t="s">
        <v>6025</v>
      </c>
      <c r="K4315" s="28" t="s">
        <v>21</v>
      </c>
      <c r="L4315" s="28" t="s">
        <v>4579</v>
      </c>
      <c r="M4315" s="28" t="s">
        <v>21</v>
      </c>
      <c r="O4315" s="92">
        <v>40206</v>
      </c>
      <c r="P4315" s="28" t="s">
        <v>21</v>
      </c>
      <c r="Q4315" s="26" t="b">
        <v>0</v>
      </c>
      <c r="R4315" s="22">
        <f t="shared" si="70"/>
        <v>0</v>
      </c>
    </row>
    <row r="4316" spans="1:18">
      <c r="A4316" s="26">
        <v>9523</v>
      </c>
      <c r="B4316" s="27">
        <v>40211</v>
      </c>
      <c r="C4316" s="28" t="s">
        <v>13870</v>
      </c>
      <c r="D4316" s="27">
        <v>40204</v>
      </c>
      <c r="E4316" s="28" t="s">
        <v>13871</v>
      </c>
      <c r="F4316" s="28" t="s">
        <v>13872</v>
      </c>
      <c r="G4316" s="28" t="s">
        <v>20</v>
      </c>
      <c r="H4316" s="28" t="s">
        <v>71</v>
      </c>
      <c r="I4316" s="28" t="s">
        <v>72</v>
      </c>
      <c r="J4316" s="28" t="s">
        <v>13873</v>
      </c>
      <c r="K4316" s="28" t="s">
        <v>21</v>
      </c>
      <c r="L4316" s="28" t="s">
        <v>4579</v>
      </c>
      <c r="M4316" s="28" t="s">
        <v>21</v>
      </c>
      <c r="O4316" s="92">
        <v>40275</v>
      </c>
      <c r="P4316" s="28" t="s">
        <v>21</v>
      </c>
      <c r="Q4316" s="26" t="b">
        <v>0</v>
      </c>
      <c r="R4316" s="22">
        <f t="shared" si="70"/>
        <v>65</v>
      </c>
    </row>
    <row r="4317" spans="1:18">
      <c r="A4317" s="26">
        <v>9524</v>
      </c>
      <c r="B4317" s="27">
        <v>40212</v>
      </c>
      <c r="C4317" s="28" t="s">
        <v>13874</v>
      </c>
      <c r="D4317" s="27">
        <v>40210</v>
      </c>
      <c r="E4317" s="28" t="s">
        <v>13875</v>
      </c>
      <c r="F4317" s="28" t="s">
        <v>13876</v>
      </c>
      <c r="G4317" s="28" t="s">
        <v>20</v>
      </c>
      <c r="H4317" s="28" t="s">
        <v>212</v>
      </c>
      <c r="I4317" s="28" t="s">
        <v>212</v>
      </c>
      <c r="J4317" s="28" t="s">
        <v>13877</v>
      </c>
      <c r="K4317" s="28" t="s">
        <v>13878</v>
      </c>
      <c r="L4317" s="28" t="s">
        <v>1946</v>
      </c>
      <c r="M4317" s="28" t="s">
        <v>21</v>
      </c>
      <c r="O4317" s="92">
        <v>41453</v>
      </c>
      <c r="P4317" s="28" t="s">
        <v>21</v>
      </c>
      <c r="Q4317" s="26" t="b">
        <v>0</v>
      </c>
      <c r="R4317" s="22">
        <f t="shared" si="70"/>
        <v>1242</v>
      </c>
    </row>
    <row r="4318" spans="1:18">
      <c r="A4318" s="26">
        <v>9525</v>
      </c>
      <c r="B4318" s="27">
        <v>40212</v>
      </c>
      <c r="C4318" s="28" t="s">
        <v>13879</v>
      </c>
      <c r="D4318" s="27">
        <v>40206</v>
      </c>
      <c r="E4318" s="28" t="s">
        <v>13880</v>
      </c>
      <c r="F4318" s="28" t="s">
        <v>13881</v>
      </c>
      <c r="G4318" s="28" t="s">
        <v>20</v>
      </c>
      <c r="H4318" s="28" t="s">
        <v>212</v>
      </c>
      <c r="I4318" s="28" t="s">
        <v>212</v>
      </c>
      <c r="J4318" s="28" t="s">
        <v>13882</v>
      </c>
      <c r="K4318" s="28" t="s">
        <v>13883</v>
      </c>
      <c r="L4318" s="28" t="s">
        <v>3588</v>
      </c>
      <c r="M4318" s="28" t="s">
        <v>21</v>
      </c>
      <c r="O4318" s="92">
        <v>40238</v>
      </c>
      <c r="P4318" s="28" t="s">
        <v>21</v>
      </c>
      <c r="Q4318" s="26" t="b">
        <v>0</v>
      </c>
      <c r="R4318" s="22">
        <f t="shared" si="70"/>
        <v>28</v>
      </c>
    </row>
    <row r="4319" spans="1:18">
      <c r="A4319" s="26">
        <v>9526</v>
      </c>
      <c r="B4319" s="27">
        <v>40217</v>
      </c>
      <c r="C4319" s="28" t="s">
        <v>13884</v>
      </c>
      <c r="D4319" s="27">
        <v>40206</v>
      </c>
      <c r="E4319" s="28" t="s">
        <v>38</v>
      </c>
      <c r="F4319" s="28" t="s">
        <v>11112</v>
      </c>
      <c r="G4319" s="28" t="s">
        <v>20</v>
      </c>
      <c r="H4319" s="28" t="s">
        <v>71</v>
      </c>
      <c r="I4319" s="28" t="s">
        <v>72</v>
      </c>
      <c r="J4319" s="28" t="s">
        <v>13885</v>
      </c>
      <c r="K4319" s="28" t="s">
        <v>21</v>
      </c>
      <c r="L4319" s="28" t="s">
        <v>4579</v>
      </c>
      <c r="M4319" s="28" t="s">
        <v>21</v>
      </c>
      <c r="O4319" s="92">
        <v>40217</v>
      </c>
      <c r="P4319" s="28" t="s">
        <v>21</v>
      </c>
      <c r="Q4319" s="26" t="b">
        <v>0</v>
      </c>
      <c r="R4319" s="22">
        <f t="shared" si="70"/>
        <v>0</v>
      </c>
    </row>
    <row r="4320" spans="1:18">
      <c r="A4320" s="26">
        <v>9527</v>
      </c>
      <c r="B4320" s="27">
        <v>40217</v>
      </c>
      <c r="C4320" s="28" t="s">
        <v>13886</v>
      </c>
      <c r="D4320" s="27">
        <v>40213</v>
      </c>
      <c r="E4320" s="28" t="s">
        <v>13887</v>
      </c>
      <c r="F4320" s="28" t="s">
        <v>104</v>
      </c>
      <c r="G4320" s="28" t="s">
        <v>20</v>
      </c>
      <c r="H4320" s="28" t="s">
        <v>71</v>
      </c>
      <c r="I4320" s="28" t="s">
        <v>72</v>
      </c>
      <c r="J4320" s="28" t="s">
        <v>13888</v>
      </c>
      <c r="K4320" s="28" t="s">
        <v>9348</v>
      </c>
      <c r="L4320" s="28" t="s">
        <v>3588</v>
      </c>
      <c r="M4320" s="28" t="s">
        <v>21</v>
      </c>
      <c r="O4320" s="92">
        <v>40240</v>
      </c>
      <c r="P4320" s="28" t="s">
        <v>21</v>
      </c>
      <c r="Q4320" s="26" t="b">
        <v>0</v>
      </c>
      <c r="R4320" s="22">
        <f t="shared" si="70"/>
        <v>25</v>
      </c>
    </row>
    <row r="4321" spans="1:18">
      <c r="A4321" s="26">
        <v>9529</v>
      </c>
      <c r="B4321" s="27">
        <v>40218</v>
      </c>
      <c r="C4321" s="28" t="s">
        <v>13889</v>
      </c>
      <c r="D4321" s="27">
        <v>40217</v>
      </c>
      <c r="E4321" s="28" t="s">
        <v>13890</v>
      </c>
      <c r="F4321" s="28" t="s">
        <v>104</v>
      </c>
      <c r="G4321" s="28" t="s">
        <v>20</v>
      </c>
      <c r="H4321" s="28" t="s">
        <v>71</v>
      </c>
      <c r="I4321" s="28" t="s">
        <v>72</v>
      </c>
      <c r="J4321" s="28" t="s">
        <v>13891</v>
      </c>
      <c r="K4321" s="28" t="s">
        <v>13892</v>
      </c>
      <c r="L4321" s="28" t="s">
        <v>3588</v>
      </c>
      <c r="M4321" s="28" t="s">
        <v>21</v>
      </c>
      <c r="O4321" s="92">
        <v>40269</v>
      </c>
      <c r="P4321" s="28" t="s">
        <v>21</v>
      </c>
      <c r="Q4321" s="26" t="b">
        <v>0</v>
      </c>
      <c r="R4321" s="22">
        <f t="shared" si="70"/>
        <v>52</v>
      </c>
    </row>
    <row r="4322" spans="1:18">
      <c r="A4322" s="26">
        <v>9530</v>
      </c>
      <c r="B4322" s="27">
        <v>40225</v>
      </c>
      <c r="C4322" s="28" t="s">
        <v>13893</v>
      </c>
      <c r="D4322" s="27">
        <v>40225</v>
      </c>
      <c r="E4322" s="28" t="s">
        <v>13894</v>
      </c>
      <c r="F4322" s="28" t="s">
        <v>85</v>
      </c>
      <c r="G4322" s="28" t="s">
        <v>20</v>
      </c>
      <c r="H4322" s="28" t="s">
        <v>71</v>
      </c>
      <c r="I4322" s="28" t="s">
        <v>72</v>
      </c>
      <c r="J4322" s="28" t="s">
        <v>13895</v>
      </c>
      <c r="K4322" s="28" t="s">
        <v>21</v>
      </c>
      <c r="L4322" s="28" t="s">
        <v>4579</v>
      </c>
      <c r="M4322" s="28" t="s">
        <v>21</v>
      </c>
      <c r="O4322" s="92">
        <v>40233</v>
      </c>
      <c r="P4322" s="28" t="s">
        <v>21</v>
      </c>
      <c r="Q4322" s="26" t="b">
        <v>0</v>
      </c>
      <c r="R4322" s="22">
        <f t="shared" si="70"/>
        <v>8</v>
      </c>
    </row>
    <row r="4323" spans="1:18">
      <c r="A4323" s="26">
        <v>9531</v>
      </c>
      <c r="B4323" s="27">
        <v>40225</v>
      </c>
      <c r="C4323" s="28" t="s">
        <v>13896</v>
      </c>
      <c r="D4323" s="27">
        <v>40218</v>
      </c>
      <c r="E4323" s="28" t="s">
        <v>13897</v>
      </c>
      <c r="F4323" s="28" t="s">
        <v>27</v>
      </c>
      <c r="G4323" s="28" t="s">
        <v>20</v>
      </c>
      <c r="H4323" s="28" t="s">
        <v>71</v>
      </c>
      <c r="I4323" s="28" t="s">
        <v>72</v>
      </c>
      <c r="J4323" s="28" t="s">
        <v>13898</v>
      </c>
      <c r="K4323" s="28" t="s">
        <v>21</v>
      </c>
      <c r="L4323" s="28" t="s">
        <v>1946</v>
      </c>
      <c r="M4323" s="28" t="s">
        <v>21</v>
      </c>
      <c r="O4323" s="92">
        <v>40511</v>
      </c>
      <c r="P4323" s="28" t="s">
        <v>21</v>
      </c>
      <c r="Q4323" s="26" t="b">
        <v>0</v>
      </c>
      <c r="R4323" s="22">
        <f t="shared" si="70"/>
        <v>286</v>
      </c>
    </row>
    <row r="4324" spans="1:18">
      <c r="A4324" s="26">
        <v>9532</v>
      </c>
      <c r="B4324" s="27">
        <v>40226</v>
      </c>
      <c r="C4324" s="28" t="s">
        <v>13899</v>
      </c>
      <c r="D4324" s="27">
        <v>40226</v>
      </c>
      <c r="E4324" s="28" t="s">
        <v>38</v>
      </c>
      <c r="F4324" s="28" t="s">
        <v>27</v>
      </c>
      <c r="G4324" s="28" t="s">
        <v>20</v>
      </c>
      <c r="H4324" s="28" t="s">
        <v>71</v>
      </c>
      <c r="I4324" s="28" t="s">
        <v>72</v>
      </c>
      <c r="J4324" s="28" t="s">
        <v>13900</v>
      </c>
      <c r="K4324" s="28" t="s">
        <v>21</v>
      </c>
      <c r="L4324" s="28" t="s">
        <v>4579</v>
      </c>
      <c r="M4324" s="28" t="s">
        <v>21</v>
      </c>
      <c r="O4324" s="92">
        <v>40226</v>
      </c>
      <c r="P4324" s="28" t="s">
        <v>21</v>
      </c>
      <c r="Q4324" s="26" t="b">
        <v>0</v>
      </c>
      <c r="R4324" s="22">
        <f t="shared" si="70"/>
        <v>0</v>
      </c>
    </row>
    <row r="4325" spans="1:18" ht="24">
      <c r="A4325" s="26">
        <v>9533</v>
      </c>
      <c r="B4325" s="27">
        <v>40226</v>
      </c>
      <c r="C4325" s="28" t="s">
        <v>13899</v>
      </c>
      <c r="D4325" s="27">
        <v>40224</v>
      </c>
      <c r="E4325" s="28" t="s">
        <v>13901</v>
      </c>
      <c r="F4325" s="28" t="s">
        <v>13902</v>
      </c>
      <c r="G4325" s="28" t="s">
        <v>20</v>
      </c>
      <c r="H4325" s="28" t="s">
        <v>71</v>
      </c>
      <c r="I4325" s="28" t="s">
        <v>72</v>
      </c>
      <c r="J4325" s="28" t="s">
        <v>13903</v>
      </c>
      <c r="K4325" s="28" t="s">
        <v>21</v>
      </c>
      <c r="L4325" s="28" t="s">
        <v>1946</v>
      </c>
      <c r="M4325" s="28" t="s">
        <v>21</v>
      </c>
      <c r="O4325" s="92">
        <v>40266</v>
      </c>
      <c r="P4325" s="28" t="s">
        <v>21</v>
      </c>
      <c r="Q4325" s="26" t="b">
        <v>0</v>
      </c>
      <c r="R4325" s="22">
        <f t="shared" si="70"/>
        <v>42</v>
      </c>
    </row>
    <row r="4326" spans="1:18">
      <c r="A4326" s="26">
        <v>9534</v>
      </c>
      <c r="B4326" s="27">
        <v>40226</v>
      </c>
      <c r="C4326" s="28" t="s">
        <v>13904</v>
      </c>
      <c r="D4326" s="27">
        <v>40219</v>
      </c>
      <c r="E4326" s="28" t="s">
        <v>38</v>
      </c>
      <c r="F4326" s="28" t="s">
        <v>124</v>
      </c>
      <c r="G4326" s="28" t="s">
        <v>20</v>
      </c>
      <c r="H4326" s="28" t="s">
        <v>71</v>
      </c>
      <c r="I4326" s="28" t="s">
        <v>72</v>
      </c>
      <c r="J4326" s="28" t="s">
        <v>3020</v>
      </c>
      <c r="K4326" s="28" t="s">
        <v>2547</v>
      </c>
      <c r="L4326" s="28" t="s">
        <v>4579</v>
      </c>
      <c r="M4326" s="28" t="s">
        <v>21</v>
      </c>
      <c r="O4326" s="92">
        <v>40241</v>
      </c>
      <c r="P4326" s="28" t="s">
        <v>21</v>
      </c>
      <c r="Q4326" s="26" t="b">
        <v>0</v>
      </c>
      <c r="R4326" s="22">
        <f t="shared" si="70"/>
        <v>17</v>
      </c>
    </row>
    <row r="4327" spans="1:18" ht="24">
      <c r="A4327" s="26">
        <v>9535</v>
      </c>
      <c r="B4327" s="27">
        <v>40227</v>
      </c>
      <c r="C4327" s="28" t="s">
        <v>13905</v>
      </c>
      <c r="D4327" s="27">
        <v>40225</v>
      </c>
      <c r="E4327" s="28" t="s">
        <v>38</v>
      </c>
      <c r="F4327" s="28" t="s">
        <v>124</v>
      </c>
      <c r="G4327" s="28" t="s">
        <v>20</v>
      </c>
      <c r="H4327" s="28" t="s">
        <v>71</v>
      </c>
      <c r="I4327" s="28" t="s">
        <v>72</v>
      </c>
      <c r="J4327" s="28" t="s">
        <v>13906</v>
      </c>
      <c r="K4327" s="28" t="s">
        <v>21</v>
      </c>
      <c r="L4327" s="28" t="s">
        <v>4579</v>
      </c>
      <c r="M4327" s="28" t="s">
        <v>21</v>
      </c>
      <c r="O4327" s="92">
        <v>40227</v>
      </c>
      <c r="P4327" s="28" t="s">
        <v>21</v>
      </c>
      <c r="Q4327" s="26" t="b">
        <v>0</v>
      </c>
      <c r="R4327" s="22">
        <f t="shared" si="70"/>
        <v>0</v>
      </c>
    </row>
    <row r="4328" spans="1:18">
      <c r="A4328" s="26">
        <v>9536</v>
      </c>
      <c r="B4328" s="27">
        <v>40239</v>
      </c>
      <c r="C4328" s="28" t="s">
        <v>13907</v>
      </c>
      <c r="D4328" s="27">
        <v>40238</v>
      </c>
      <c r="E4328" s="28" t="s">
        <v>13908</v>
      </c>
      <c r="F4328" s="28" t="s">
        <v>149</v>
      </c>
      <c r="G4328" s="28" t="s">
        <v>20</v>
      </c>
      <c r="H4328" s="28" t="s">
        <v>71</v>
      </c>
      <c r="I4328" s="28" t="s">
        <v>72</v>
      </c>
      <c r="J4328" s="28" t="s">
        <v>13909</v>
      </c>
      <c r="K4328" s="28" t="s">
        <v>13910</v>
      </c>
      <c r="L4328" s="28" t="s">
        <v>3588</v>
      </c>
      <c r="M4328" s="28" t="s">
        <v>21</v>
      </c>
      <c r="O4328" s="92">
        <v>40324</v>
      </c>
      <c r="P4328" s="28" t="s">
        <v>21</v>
      </c>
      <c r="Q4328" s="26" t="b">
        <v>0</v>
      </c>
      <c r="R4328" s="22">
        <f t="shared" si="70"/>
        <v>85</v>
      </c>
    </row>
    <row r="4329" spans="1:18" ht="24">
      <c r="A4329" s="26">
        <v>9537</v>
      </c>
      <c r="B4329" s="27">
        <v>40239</v>
      </c>
      <c r="C4329" s="28" t="s">
        <v>13911</v>
      </c>
      <c r="D4329" s="27">
        <v>40235</v>
      </c>
      <c r="E4329" s="28" t="s">
        <v>13912</v>
      </c>
      <c r="F4329" s="28" t="s">
        <v>13913</v>
      </c>
      <c r="G4329" s="28" t="s">
        <v>20</v>
      </c>
      <c r="H4329" s="28" t="s">
        <v>566</v>
      </c>
      <c r="I4329" s="28" t="s">
        <v>566</v>
      </c>
      <c r="J4329" s="28" t="s">
        <v>13914</v>
      </c>
      <c r="K4329" s="28" t="s">
        <v>21</v>
      </c>
      <c r="L4329" s="28" t="s">
        <v>7167</v>
      </c>
      <c r="M4329" s="28" t="s">
        <v>4282</v>
      </c>
      <c r="O4329" s="92">
        <v>40947</v>
      </c>
      <c r="P4329" s="28" t="s">
        <v>21</v>
      </c>
      <c r="Q4329" s="26" t="b">
        <v>0</v>
      </c>
      <c r="R4329" s="22">
        <f t="shared" si="70"/>
        <v>705</v>
      </c>
    </row>
    <row r="4330" spans="1:18">
      <c r="A4330" s="26">
        <v>9538</v>
      </c>
      <c r="B4330" s="27">
        <v>40240</v>
      </c>
      <c r="C4330" s="28" t="s">
        <v>13915</v>
      </c>
      <c r="D4330" s="27">
        <v>40199</v>
      </c>
      <c r="E4330" s="28" t="s">
        <v>11030</v>
      </c>
      <c r="F4330" s="28" t="s">
        <v>6277</v>
      </c>
      <c r="G4330" s="28" t="s">
        <v>20</v>
      </c>
      <c r="H4330" s="28" t="s">
        <v>212</v>
      </c>
      <c r="I4330" s="28" t="s">
        <v>212</v>
      </c>
      <c r="J4330" s="28" t="s">
        <v>13916</v>
      </c>
      <c r="K4330" s="28" t="s">
        <v>13917</v>
      </c>
      <c r="L4330" s="28" t="s">
        <v>4282</v>
      </c>
      <c r="M4330" s="28" t="s">
        <v>21</v>
      </c>
      <c r="O4330" s="92">
        <v>40343</v>
      </c>
      <c r="P4330" s="28" t="s">
        <v>21</v>
      </c>
      <c r="Q4330" s="26" t="b">
        <v>0</v>
      </c>
      <c r="R4330" s="22">
        <f t="shared" si="70"/>
        <v>102</v>
      </c>
    </row>
    <row r="4331" spans="1:18" ht="24">
      <c r="A4331" s="26">
        <v>9539</v>
      </c>
      <c r="B4331" s="27">
        <v>40240</v>
      </c>
      <c r="C4331" s="28" t="s">
        <v>13918</v>
      </c>
      <c r="D4331" s="27">
        <v>40235</v>
      </c>
      <c r="E4331" s="28" t="s">
        <v>13919</v>
      </c>
      <c r="F4331" s="28" t="s">
        <v>12919</v>
      </c>
      <c r="G4331" s="28" t="s">
        <v>20</v>
      </c>
      <c r="H4331" s="28" t="s">
        <v>71</v>
      </c>
      <c r="I4331" s="28" t="s">
        <v>72</v>
      </c>
      <c r="J4331" s="28" t="s">
        <v>13920</v>
      </c>
      <c r="K4331" s="28" t="s">
        <v>21</v>
      </c>
      <c r="L4331" s="28" t="s">
        <v>1946</v>
      </c>
      <c r="M4331" s="28" t="s">
        <v>21</v>
      </c>
      <c r="O4331" s="92">
        <v>40731</v>
      </c>
      <c r="P4331" s="28" t="s">
        <v>21</v>
      </c>
      <c r="Q4331" s="26" t="b">
        <v>0</v>
      </c>
      <c r="R4331" s="22">
        <f t="shared" si="70"/>
        <v>490</v>
      </c>
    </row>
    <row r="4332" spans="1:18">
      <c r="A4332" s="26">
        <v>9540</v>
      </c>
      <c r="B4332" s="27">
        <v>40240</v>
      </c>
      <c r="C4332" s="28" t="s">
        <v>13921</v>
      </c>
      <c r="D4332" s="27">
        <v>40234</v>
      </c>
      <c r="E4332" s="28" t="s">
        <v>13922</v>
      </c>
      <c r="F4332" s="28" t="s">
        <v>149</v>
      </c>
      <c r="G4332" s="28" t="s">
        <v>20</v>
      </c>
      <c r="H4332" s="28" t="s">
        <v>71</v>
      </c>
      <c r="I4332" s="28" t="s">
        <v>72</v>
      </c>
      <c r="J4332" s="28" t="s">
        <v>13923</v>
      </c>
      <c r="K4332" s="28" t="s">
        <v>21</v>
      </c>
      <c r="L4332" s="28" t="s">
        <v>3588</v>
      </c>
      <c r="M4332" s="28" t="s">
        <v>4579</v>
      </c>
      <c r="O4332" s="92">
        <v>40407</v>
      </c>
      <c r="P4332" s="28" t="s">
        <v>21</v>
      </c>
      <c r="Q4332" s="26" t="b">
        <v>0</v>
      </c>
      <c r="R4332" s="22">
        <f t="shared" si="70"/>
        <v>166</v>
      </c>
    </row>
    <row r="4333" spans="1:18">
      <c r="A4333" s="26">
        <v>9543</v>
      </c>
      <c r="B4333" s="27">
        <v>40248</v>
      </c>
      <c r="C4333" s="28" t="s">
        <v>13924</v>
      </c>
      <c r="D4333" s="27">
        <v>40248</v>
      </c>
      <c r="E4333" s="28" t="s">
        <v>38</v>
      </c>
      <c r="F4333" s="28" t="s">
        <v>70</v>
      </c>
      <c r="G4333" s="28" t="s">
        <v>20</v>
      </c>
      <c r="H4333" s="28" t="s">
        <v>71</v>
      </c>
      <c r="I4333" s="28" t="s">
        <v>72</v>
      </c>
      <c r="J4333" s="28" t="s">
        <v>13925</v>
      </c>
      <c r="K4333" s="28" t="s">
        <v>13926</v>
      </c>
      <c r="L4333" s="28" t="s">
        <v>4579</v>
      </c>
      <c r="M4333" s="28" t="s">
        <v>21</v>
      </c>
      <c r="O4333" s="92">
        <v>40248</v>
      </c>
      <c r="P4333" s="28" t="s">
        <v>21</v>
      </c>
      <c r="Q4333" s="26" t="b">
        <v>0</v>
      </c>
      <c r="R4333" s="22">
        <f t="shared" si="70"/>
        <v>0</v>
      </c>
    </row>
    <row r="4334" spans="1:18" ht="24">
      <c r="A4334" s="26">
        <v>9544</v>
      </c>
      <c r="B4334" s="27">
        <v>40248</v>
      </c>
      <c r="C4334" s="28" t="s">
        <v>13927</v>
      </c>
      <c r="D4334" s="27">
        <v>40248</v>
      </c>
      <c r="E4334" s="28" t="s">
        <v>13928</v>
      </c>
      <c r="F4334" s="28" t="s">
        <v>5270</v>
      </c>
      <c r="G4334" s="28" t="s">
        <v>20</v>
      </c>
      <c r="H4334" s="28" t="s">
        <v>71</v>
      </c>
      <c r="I4334" s="28" t="s">
        <v>72</v>
      </c>
      <c r="J4334" s="28" t="s">
        <v>13929</v>
      </c>
      <c r="K4334" s="28" t="s">
        <v>21</v>
      </c>
      <c r="L4334" s="28" t="s">
        <v>4579</v>
      </c>
      <c r="M4334" s="28" t="s">
        <v>21</v>
      </c>
      <c r="O4334" s="92">
        <v>40361</v>
      </c>
      <c r="P4334" s="28" t="s">
        <v>21</v>
      </c>
      <c r="Q4334" s="26" t="b">
        <v>0</v>
      </c>
      <c r="R4334" s="22">
        <f t="shared" si="70"/>
        <v>112</v>
      </c>
    </row>
    <row r="4335" spans="1:18" ht="24">
      <c r="A4335" s="26">
        <v>9545</v>
      </c>
      <c r="B4335" s="27">
        <v>40248</v>
      </c>
      <c r="C4335" s="28" t="s">
        <v>13930</v>
      </c>
      <c r="D4335" s="27">
        <v>40248</v>
      </c>
      <c r="E4335" s="28" t="s">
        <v>13931</v>
      </c>
      <c r="F4335" s="28" t="s">
        <v>359</v>
      </c>
      <c r="G4335" s="28" t="s">
        <v>20</v>
      </c>
      <c r="H4335" s="28" t="s">
        <v>71</v>
      </c>
      <c r="I4335" s="28" t="s">
        <v>72</v>
      </c>
      <c r="J4335" s="28" t="s">
        <v>13932</v>
      </c>
      <c r="K4335" s="28" t="s">
        <v>13933</v>
      </c>
      <c r="L4335" s="28" t="s">
        <v>1946</v>
      </c>
      <c r="M4335" s="28" t="s">
        <v>21</v>
      </c>
      <c r="O4335" s="92">
        <v>40276</v>
      </c>
      <c r="P4335" s="28" t="s">
        <v>21</v>
      </c>
      <c r="Q4335" s="26" t="b">
        <v>0</v>
      </c>
      <c r="R4335" s="22">
        <f t="shared" si="70"/>
        <v>27</v>
      </c>
    </row>
    <row r="4336" spans="1:18" ht="24">
      <c r="A4336" s="26">
        <v>9546</v>
      </c>
      <c r="B4336" s="27">
        <v>40248</v>
      </c>
      <c r="C4336" s="28" t="s">
        <v>13934</v>
      </c>
      <c r="D4336" s="27">
        <v>40248</v>
      </c>
      <c r="E4336" s="28" t="s">
        <v>13935</v>
      </c>
      <c r="F4336" s="28" t="s">
        <v>13350</v>
      </c>
      <c r="G4336" s="28" t="s">
        <v>20</v>
      </c>
      <c r="H4336" s="28" t="s">
        <v>71</v>
      </c>
      <c r="I4336" s="28" t="s">
        <v>72</v>
      </c>
      <c r="J4336" s="28" t="s">
        <v>13936</v>
      </c>
      <c r="K4336" s="28" t="s">
        <v>13937</v>
      </c>
      <c r="L4336" s="28" t="s">
        <v>1946</v>
      </c>
      <c r="M4336" s="28" t="s">
        <v>21</v>
      </c>
      <c r="O4336" s="92">
        <v>40406</v>
      </c>
      <c r="P4336" s="28" t="s">
        <v>21</v>
      </c>
      <c r="Q4336" s="26" t="b">
        <v>0</v>
      </c>
      <c r="R4336" s="22">
        <f t="shared" si="70"/>
        <v>157</v>
      </c>
    </row>
    <row r="4337" spans="1:18">
      <c r="A4337" s="26">
        <v>9547</v>
      </c>
      <c r="B4337" s="27">
        <v>40260</v>
      </c>
      <c r="C4337" s="28" t="s">
        <v>13938</v>
      </c>
      <c r="D4337" s="27">
        <v>40252</v>
      </c>
      <c r="E4337" s="28" t="s">
        <v>38</v>
      </c>
      <c r="F4337" s="28" t="s">
        <v>1251</v>
      </c>
      <c r="G4337" s="28" t="s">
        <v>20</v>
      </c>
      <c r="H4337" s="28" t="s">
        <v>71</v>
      </c>
      <c r="I4337" s="28" t="s">
        <v>72</v>
      </c>
      <c r="J4337" s="28" t="s">
        <v>13939</v>
      </c>
      <c r="K4337" s="28" t="s">
        <v>21</v>
      </c>
      <c r="L4337" s="28" t="s">
        <v>3588</v>
      </c>
      <c r="M4337" s="28" t="s">
        <v>21</v>
      </c>
      <c r="O4337" s="92">
        <v>40253</v>
      </c>
      <c r="P4337" s="28" t="s">
        <v>21</v>
      </c>
      <c r="Q4337" s="26" t="b">
        <v>0</v>
      </c>
      <c r="R4337" s="22">
        <f t="shared" si="70"/>
        <v>7</v>
      </c>
    </row>
    <row r="4338" spans="1:18" ht="24">
      <c r="A4338" s="26">
        <v>9549</v>
      </c>
      <c r="B4338" s="27">
        <v>40260</v>
      </c>
      <c r="C4338" s="28" t="s">
        <v>13940</v>
      </c>
      <c r="D4338" s="27">
        <v>40253</v>
      </c>
      <c r="E4338" s="28" t="s">
        <v>13941</v>
      </c>
      <c r="F4338" s="28" t="s">
        <v>27</v>
      </c>
      <c r="G4338" s="28" t="s">
        <v>20</v>
      </c>
      <c r="H4338" s="28" t="s">
        <v>71</v>
      </c>
      <c r="I4338" s="28" t="s">
        <v>72</v>
      </c>
      <c r="J4338" s="28" t="s">
        <v>13942</v>
      </c>
      <c r="K4338" s="28" t="s">
        <v>21</v>
      </c>
      <c r="L4338" s="28" t="s">
        <v>4282</v>
      </c>
      <c r="M4338" s="28" t="s">
        <v>21</v>
      </c>
      <c r="O4338" s="92">
        <v>40962</v>
      </c>
      <c r="P4338" s="28" t="s">
        <v>21</v>
      </c>
      <c r="Q4338" s="26" t="b">
        <v>0</v>
      </c>
      <c r="R4338" s="22">
        <f t="shared" si="70"/>
        <v>699</v>
      </c>
    </row>
    <row r="4339" spans="1:18">
      <c r="A4339" s="26">
        <v>9550</v>
      </c>
      <c r="B4339" s="27">
        <v>40260</v>
      </c>
      <c r="C4339" s="28" t="s">
        <v>13943</v>
      </c>
      <c r="D4339" s="27">
        <v>40253</v>
      </c>
      <c r="E4339" s="28" t="s">
        <v>13724</v>
      </c>
      <c r="F4339" s="28" t="s">
        <v>1232</v>
      </c>
      <c r="G4339" s="28" t="s">
        <v>20</v>
      </c>
      <c r="H4339" s="28" t="s">
        <v>189</v>
      </c>
      <c r="I4339" s="28" t="s">
        <v>189</v>
      </c>
      <c r="J4339" s="28" t="s">
        <v>13507</v>
      </c>
      <c r="K4339" s="28" t="s">
        <v>13944</v>
      </c>
      <c r="L4339" s="28" t="s">
        <v>4579</v>
      </c>
      <c r="M4339" s="28" t="s">
        <v>21</v>
      </c>
      <c r="O4339" s="92">
        <v>40514</v>
      </c>
      <c r="P4339" s="28" t="s">
        <v>21</v>
      </c>
      <c r="Q4339" s="26" t="b">
        <v>0</v>
      </c>
      <c r="R4339" s="22">
        <f t="shared" si="70"/>
        <v>252</v>
      </c>
    </row>
    <row r="4340" spans="1:18">
      <c r="A4340" s="26">
        <v>9551</v>
      </c>
      <c r="B4340" s="27">
        <v>40260</v>
      </c>
      <c r="C4340" s="28" t="s">
        <v>13945</v>
      </c>
      <c r="D4340" s="27">
        <v>40256</v>
      </c>
      <c r="E4340" s="28" t="s">
        <v>13946</v>
      </c>
      <c r="F4340" s="28" t="s">
        <v>27</v>
      </c>
      <c r="G4340" s="28" t="s">
        <v>20</v>
      </c>
      <c r="H4340" s="28" t="s">
        <v>189</v>
      </c>
      <c r="I4340" s="28" t="s">
        <v>189</v>
      </c>
      <c r="J4340" s="28" t="s">
        <v>11774</v>
      </c>
      <c r="K4340" s="28" t="s">
        <v>21</v>
      </c>
      <c r="L4340" s="28" t="s">
        <v>4579</v>
      </c>
      <c r="M4340" s="28" t="s">
        <v>4282</v>
      </c>
      <c r="O4340" s="92">
        <v>40532</v>
      </c>
      <c r="P4340" s="28" t="s">
        <v>21</v>
      </c>
      <c r="Q4340" s="26" t="b">
        <v>0</v>
      </c>
      <c r="R4340" s="22">
        <f t="shared" si="70"/>
        <v>270</v>
      </c>
    </row>
    <row r="4341" spans="1:18">
      <c r="A4341" s="26">
        <v>9552</v>
      </c>
      <c r="B4341" s="27">
        <v>40260</v>
      </c>
      <c r="C4341" s="28" t="s">
        <v>13947</v>
      </c>
      <c r="D4341" s="27">
        <v>40259</v>
      </c>
      <c r="E4341" s="28" t="s">
        <v>38</v>
      </c>
      <c r="F4341" s="28" t="s">
        <v>11319</v>
      </c>
      <c r="G4341" s="28" t="s">
        <v>20</v>
      </c>
      <c r="H4341" s="28" t="s">
        <v>71</v>
      </c>
      <c r="I4341" s="28" t="s">
        <v>72</v>
      </c>
      <c r="J4341" s="28" t="s">
        <v>13948</v>
      </c>
      <c r="K4341" s="28" t="s">
        <v>13949</v>
      </c>
      <c r="L4341" s="28" t="s">
        <v>4579</v>
      </c>
      <c r="M4341" s="28" t="s">
        <v>21</v>
      </c>
      <c r="O4341" s="92">
        <v>40260</v>
      </c>
      <c r="P4341" s="28" t="s">
        <v>21</v>
      </c>
      <c r="Q4341" s="26" t="b">
        <v>0</v>
      </c>
      <c r="R4341" s="22">
        <f t="shared" si="70"/>
        <v>0</v>
      </c>
    </row>
    <row r="4342" spans="1:18">
      <c r="A4342" s="26">
        <v>9553</v>
      </c>
      <c r="B4342" s="27">
        <v>40262</v>
      </c>
      <c r="C4342" s="28" t="s">
        <v>13950</v>
      </c>
      <c r="D4342" s="27">
        <v>40262</v>
      </c>
      <c r="E4342" s="28" t="s">
        <v>38</v>
      </c>
      <c r="F4342" s="28" t="s">
        <v>3171</v>
      </c>
      <c r="G4342" s="28" t="s">
        <v>20</v>
      </c>
      <c r="H4342" s="28" t="s">
        <v>566</v>
      </c>
      <c r="I4342" s="28" t="s">
        <v>566</v>
      </c>
      <c r="J4342" s="28" t="s">
        <v>13951</v>
      </c>
      <c r="K4342" s="28" t="s">
        <v>21</v>
      </c>
      <c r="L4342" s="28" t="s">
        <v>4579</v>
      </c>
      <c r="M4342" s="28" t="s">
        <v>21</v>
      </c>
      <c r="O4342" s="92">
        <v>40262</v>
      </c>
      <c r="P4342" s="28" t="s">
        <v>21</v>
      </c>
      <c r="Q4342" s="26" t="b">
        <v>0</v>
      </c>
      <c r="R4342" s="22">
        <f t="shared" si="70"/>
        <v>0</v>
      </c>
    </row>
    <row r="4343" spans="1:18">
      <c r="A4343" s="26">
        <v>9554</v>
      </c>
      <c r="B4343" s="27">
        <v>40267</v>
      </c>
      <c r="C4343" s="28" t="s">
        <v>13952</v>
      </c>
      <c r="D4343" s="27">
        <v>40263</v>
      </c>
      <c r="E4343" s="28" t="s">
        <v>38</v>
      </c>
      <c r="F4343" s="28" t="s">
        <v>861</v>
      </c>
      <c r="G4343" s="28" t="s">
        <v>20</v>
      </c>
      <c r="H4343" s="28" t="s">
        <v>566</v>
      </c>
      <c r="I4343" s="28" t="s">
        <v>566</v>
      </c>
      <c r="J4343" s="28" t="s">
        <v>58</v>
      </c>
      <c r="K4343" s="28" t="s">
        <v>13953</v>
      </c>
      <c r="L4343" s="28" t="s">
        <v>4579</v>
      </c>
      <c r="M4343" s="28" t="s">
        <v>21</v>
      </c>
      <c r="O4343" s="92">
        <v>40268</v>
      </c>
      <c r="P4343" s="28" t="s">
        <v>21</v>
      </c>
      <c r="Q4343" s="26" t="b">
        <v>0</v>
      </c>
      <c r="R4343" s="22">
        <f t="shared" si="70"/>
        <v>0</v>
      </c>
    </row>
    <row r="4344" spans="1:18">
      <c r="A4344" s="26">
        <v>9555</v>
      </c>
      <c r="B4344" s="27">
        <v>40267</v>
      </c>
      <c r="C4344" s="28" t="s">
        <v>13954</v>
      </c>
      <c r="D4344" s="27">
        <v>40263</v>
      </c>
      <c r="E4344" s="28" t="s">
        <v>38</v>
      </c>
      <c r="F4344" s="28" t="s">
        <v>9630</v>
      </c>
      <c r="G4344" s="28" t="s">
        <v>20</v>
      </c>
      <c r="H4344" s="28" t="s">
        <v>71</v>
      </c>
      <c r="I4344" s="28" t="s">
        <v>72</v>
      </c>
      <c r="J4344" s="28" t="s">
        <v>13955</v>
      </c>
      <c r="K4344" s="28" t="s">
        <v>21</v>
      </c>
      <c r="L4344" s="28" t="s">
        <v>4579</v>
      </c>
      <c r="M4344" s="28" t="s">
        <v>21</v>
      </c>
      <c r="O4344" s="92">
        <v>40268</v>
      </c>
      <c r="P4344" s="28" t="s">
        <v>21</v>
      </c>
      <c r="Q4344" s="26" t="b">
        <v>0</v>
      </c>
      <c r="R4344" s="22">
        <f t="shared" si="70"/>
        <v>0</v>
      </c>
    </row>
    <row r="4345" spans="1:18">
      <c r="A4345" s="26">
        <v>9556</v>
      </c>
      <c r="B4345" s="27">
        <v>40268</v>
      </c>
      <c r="C4345" s="28" t="s">
        <v>13956</v>
      </c>
      <c r="D4345" s="27">
        <v>40266</v>
      </c>
      <c r="E4345" s="28" t="s">
        <v>38</v>
      </c>
      <c r="F4345" s="28" t="s">
        <v>52</v>
      </c>
      <c r="G4345" s="28" t="s">
        <v>20</v>
      </c>
      <c r="H4345" s="28" t="s">
        <v>71</v>
      </c>
      <c r="I4345" s="28" t="s">
        <v>72</v>
      </c>
      <c r="J4345" s="28" t="s">
        <v>13957</v>
      </c>
      <c r="K4345" s="28" t="s">
        <v>21</v>
      </c>
      <c r="L4345" s="28" t="s">
        <v>4579</v>
      </c>
      <c r="M4345" s="28" t="s">
        <v>21</v>
      </c>
      <c r="O4345" s="92">
        <v>40268</v>
      </c>
      <c r="P4345" s="28" t="s">
        <v>21</v>
      </c>
      <c r="Q4345" s="26" t="b">
        <v>0</v>
      </c>
      <c r="R4345" s="22">
        <f t="shared" si="70"/>
        <v>0</v>
      </c>
    </row>
    <row r="4346" spans="1:18">
      <c r="A4346" s="26">
        <v>9557</v>
      </c>
      <c r="B4346" s="27">
        <v>40268</v>
      </c>
      <c r="C4346" s="28" t="s">
        <v>13958</v>
      </c>
      <c r="D4346" s="27">
        <v>40267</v>
      </c>
      <c r="E4346" s="28" t="s">
        <v>13959</v>
      </c>
      <c r="F4346" s="28" t="s">
        <v>13960</v>
      </c>
      <c r="G4346" s="28" t="s">
        <v>20</v>
      </c>
      <c r="H4346" s="28" t="s">
        <v>71</v>
      </c>
      <c r="I4346" s="28" t="s">
        <v>72</v>
      </c>
      <c r="J4346" s="28" t="s">
        <v>13961</v>
      </c>
      <c r="K4346" s="28" t="s">
        <v>21</v>
      </c>
      <c r="L4346" s="28" t="s">
        <v>1946</v>
      </c>
      <c r="M4346" s="28" t="s">
        <v>21</v>
      </c>
      <c r="O4346" s="92">
        <v>40331</v>
      </c>
      <c r="P4346" s="28" t="s">
        <v>21</v>
      </c>
      <c r="Q4346" s="26" t="b">
        <v>0</v>
      </c>
      <c r="R4346" s="22">
        <f t="shared" si="70"/>
        <v>62</v>
      </c>
    </row>
    <row r="4347" spans="1:18">
      <c r="A4347" s="26">
        <v>9558</v>
      </c>
      <c r="B4347" s="27">
        <v>40274</v>
      </c>
      <c r="C4347" s="28" t="s">
        <v>13962</v>
      </c>
      <c r="D4347" s="27">
        <v>40268</v>
      </c>
      <c r="E4347" s="28" t="s">
        <v>10998</v>
      </c>
      <c r="F4347" s="28" t="s">
        <v>13963</v>
      </c>
      <c r="G4347" s="28" t="s">
        <v>20</v>
      </c>
      <c r="H4347" s="28" t="s">
        <v>71</v>
      </c>
      <c r="I4347" s="28" t="s">
        <v>72</v>
      </c>
      <c r="J4347" s="28" t="s">
        <v>13964</v>
      </c>
      <c r="K4347" s="28" t="s">
        <v>21</v>
      </c>
      <c r="L4347" s="28" t="s">
        <v>4282</v>
      </c>
      <c r="M4347" s="28" t="s">
        <v>21</v>
      </c>
      <c r="O4347" s="92">
        <v>40343</v>
      </c>
      <c r="P4347" s="28" t="s">
        <v>21</v>
      </c>
      <c r="Q4347" s="26" t="b">
        <v>0</v>
      </c>
      <c r="R4347" s="22">
        <f t="shared" si="70"/>
        <v>68</v>
      </c>
    </row>
    <row r="4348" spans="1:18">
      <c r="A4348" s="26">
        <v>9559</v>
      </c>
      <c r="B4348" s="27">
        <v>40274</v>
      </c>
      <c r="C4348" s="28" t="s">
        <v>13965</v>
      </c>
      <c r="D4348" s="27">
        <v>40273</v>
      </c>
      <c r="E4348" s="28" t="s">
        <v>13966</v>
      </c>
      <c r="F4348" s="28" t="s">
        <v>124</v>
      </c>
      <c r="G4348" s="28" t="s">
        <v>20</v>
      </c>
      <c r="H4348" s="28" t="s">
        <v>71</v>
      </c>
      <c r="I4348" s="28" t="s">
        <v>72</v>
      </c>
      <c r="J4348" s="28" t="s">
        <v>13967</v>
      </c>
      <c r="K4348" s="28" t="s">
        <v>21</v>
      </c>
      <c r="L4348" s="28" t="s">
        <v>1946</v>
      </c>
      <c r="M4348" s="28" t="s">
        <v>21</v>
      </c>
      <c r="O4348" s="92">
        <v>40423</v>
      </c>
      <c r="P4348" s="28" t="s">
        <v>21</v>
      </c>
      <c r="Q4348" s="26" t="b">
        <v>0</v>
      </c>
      <c r="R4348" s="22">
        <f t="shared" si="70"/>
        <v>148</v>
      </c>
    </row>
    <row r="4349" spans="1:18">
      <c r="A4349" s="26">
        <v>9560</v>
      </c>
      <c r="B4349" s="27">
        <v>40274</v>
      </c>
      <c r="C4349" s="28" t="s">
        <v>13968</v>
      </c>
      <c r="D4349" s="27">
        <v>40273</v>
      </c>
      <c r="E4349" s="28" t="s">
        <v>13969</v>
      </c>
      <c r="F4349" s="28" t="s">
        <v>70</v>
      </c>
      <c r="G4349" s="28" t="s">
        <v>20</v>
      </c>
      <c r="H4349" s="28" t="s">
        <v>71</v>
      </c>
      <c r="I4349" s="28" t="s">
        <v>72</v>
      </c>
      <c r="J4349" s="28" t="s">
        <v>13970</v>
      </c>
      <c r="K4349" s="28" t="s">
        <v>13971</v>
      </c>
      <c r="L4349" s="28" t="s">
        <v>4579</v>
      </c>
      <c r="M4349" s="28" t="s">
        <v>21</v>
      </c>
      <c r="O4349" s="92">
        <v>40276</v>
      </c>
      <c r="P4349" s="28" t="s">
        <v>21</v>
      </c>
      <c r="Q4349" s="26" t="b">
        <v>0</v>
      </c>
      <c r="R4349" s="22">
        <f t="shared" si="70"/>
        <v>2</v>
      </c>
    </row>
    <row r="4350" spans="1:18">
      <c r="A4350" s="26">
        <v>9561</v>
      </c>
      <c r="B4350" s="27">
        <v>40274</v>
      </c>
      <c r="C4350" s="28" t="s">
        <v>13972</v>
      </c>
      <c r="D4350" s="27">
        <v>40272</v>
      </c>
      <c r="E4350" s="28" t="s">
        <v>1432</v>
      </c>
      <c r="F4350" s="28" t="s">
        <v>149</v>
      </c>
      <c r="G4350" s="28" t="s">
        <v>20</v>
      </c>
      <c r="H4350" s="28" t="s">
        <v>71</v>
      </c>
      <c r="I4350" s="28" t="s">
        <v>72</v>
      </c>
      <c r="J4350" s="28" t="s">
        <v>13973</v>
      </c>
      <c r="K4350" s="28" t="s">
        <v>13974</v>
      </c>
      <c r="L4350" s="28" t="s">
        <v>4579</v>
      </c>
      <c r="M4350" s="28" t="s">
        <v>21</v>
      </c>
      <c r="O4350" s="92">
        <v>40672</v>
      </c>
      <c r="P4350" s="28" t="s">
        <v>21</v>
      </c>
      <c r="Q4350" s="26" t="b">
        <v>0</v>
      </c>
      <c r="R4350" s="22">
        <f t="shared" si="70"/>
        <v>398</v>
      </c>
    </row>
    <row r="4351" spans="1:18">
      <c r="A4351" s="26">
        <v>9562</v>
      </c>
      <c r="B4351" s="27">
        <v>40277</v>
      </c>
      <c r="C4351" s="28" t="s">
        <v>13975</v>
      </c>
      <c r="D4351" s="27">
        <v>40270</v>
      </c>
      <c r="E4351" s="28" t="s">
        <v>13976</v>
      </c>
      <c r="F4351" s="28" t="s">
        <v>13977</v>
      </c>
      <c r="G4351" s="28" t="s">
        <v>20</v>
      </c>
      <c r="H4351" s="28" t="s">
        <v>71</v>
      </c>
      <c r="I4351" s="28" t="s">
        <v>72</v>
      </c>
      <c r="J4351" s="28" t="s">
        <v>13978</v>
      </c>
      <c r="K4351" s="28" t="s">
        <v>21</v>
      </c>
      <c r="L4351" s="28" t="s">
        <v>4579</v>
      </c>
      <c r="M4351" s="28" t="s">
        <v>3588</v>
      </c>
      <c r="O4351" s="92">
        <v>40284</v>
      </c>
      <c r="P4351" s="28" t="s">
        <v>21</v>
      </c>
      <c r="Q4351" s="26" t="b">
        <v>0</v>
      </c>
      <c r="R4351" s="22">
        <f t="shared" si="70"/>
        <v>7</v>
      </c>
    </row>
    <row r="4352" spans="1:18">
      <c r="A4352" s="26">
        <v>9563</v>
      </c>
      <c r="B4352" s="27">
        <v>40283</v>
      </c>
      <c r="C4352" s="28" t="s">
        <v>13979</v>
      </c>
      <c r="D4352" s="27">
        <v>40281</v>
      </c>
      <c r="E4352" s="28" t="s">
        <v>13980</v>
      </c>
      <c r="F4352" s="28" t="s">
        <v>149</v>
      </c>
      <c r="G4352" s="28" t="s">
        <v>20</v>
      </c>
      <c r="H4352" s="28" t="s">
        <v>71</v>
      </c>
      <c r="I4352" s="28" t="s">
        <v>72</v>
      </c>
      <c r="J4352" s="28" t="s">
        <v>13981</v>
      </c>
      <c r="K4352" s="28" t="s">
        <v>13982</v>
      </c>
      <c r="L4352" s="28" t="s">
        <v>3588</v>
      </c>
      <c r="M4352" s="28" t="s">
        <v>21</v>
      </c>
      <c r="O4352" s="92">
        <v>40379</v>
      </c>
      <c r="P4352" s="28" t="s">
        <v>21</v>
      </c>
      <c r="Q4352" s="26" t="b">
        <v>0</v>
      </c>
      <c r="R4352" s="22">
        <f t="shared" si="70"/>
        <v>96</v>
      </c>
    </row>
    <row r="4353" spans="1:18">
      <c r="A4353" s="26">
        <v>9564</v>
      </c>
      <c r="B4353" s="27">
        <v>40283</v>
      </c>
      <c r="C4353" s="28" t="s">
        <v>13983</v>
      </c>
      <c r="D4353" s="27">
        <v>40281</v>
      </c>
      <c r="E4353" s="28" t="s">
        <v>13984</v>
      </c>
      <c r="F4353" s="28" t="s">
        <v>149</v>
      </c>
      <c r="G4353" s="28" t="s">
        <v>20</v>
      </c>
      <c r="H4353" s="28" t="s">
        <v>71</v>
      </c>
      <c r="I4353" s="28" t="s">
        <v>72</v>
      </c>
      <c r="J4353" s="28" t="s">
        <v>13981</v>
      </c>
      <c r="K4353" s="28" t="s">
        <v>13985</v>
      </c>
      <c r="L4353" s="28" t="s">
        <v>3588</v>
      </c>
      <c r="M4353" s="28" t="s">
        <v>21</v>
      </c>
      <c r="O4353" s="92">
        <v>40301</v>
      </c>
      <c r="P4353" s="28" t="s">
        <v>21</v>
      </c>
      <c r="Q4353" s="26" t="b">
        <v>0</v>
      </c>
      <c r="R4353" s="22">
        <f t="shared" si="70"/>
        <v>18</v>
      </c>
    </row>
    <row r="4354" spans="1:18" ht="24">
      <c r="A4354" s="26">
        <v>9565</v>
      </c>
      <c r="B4354" s="27">
        <v>40284</v>
      </c>
      <c r="C4354" s="28" t="s">
        <v>13986</v>
      </c>
      <c r="D4354" s="27">
        <v>40283</v>
      </c>
      <c r="E4354" s="28" t="s">
        <v>38</v>
      </c>
      <c r="F4354" s="28" t="s">
        <v>13987</v>
      </c>
      <c r="G4354" s="28" t="s">
        <v>20</v>
      </c>
      <c r="H4354" s="28" t="s">
        <v>71</v>
      </c>
      <c r="I4354" s="28" t="s">
        <v>72</v>
      </c>
      <c r="J4354" s="28" t="s">
        <v>13988</v>
      </c>
      <c r="K4354" s="28" t="s">
        <v>21</v>
      </c>
      <c r="L4354" s="28" t="s">
        <v>4579</v>
      </c>
      <c r="M4354" s="28" t="s">
        <v>21</v>
      </c>
      <c r="O4354" s="92">
        <v>40284</v>
      </c>
      <c r="P4354" s="28" t="s">
        <v>21</v>
      </c>
      <c r="Q4354" s="26" t="b">
        <v>0</v>
      </c>
      <c r="R4354" s="22">
        <f t="shared" si="70"/>
        <v>0</v>
      </c>
    </row>
    <row r="4355" spans="1:18" ht="24">
      <c r="A4355" s="26">
        <v>9566</v>
      </c>
      <c r="B4355" s="27">
        <v>40289</v>
      </c>
      <c r="C4355" s="28" t="s">
        <v>13989</v>
      </c>
      <c r="D4355" s="27">
        <v>39357</v>
      </c>
      <c r="E4355" s="28" t="s">
        <v>13990</v>
      </c>
      <c r="F4355" s="28" t="s">
        <v>12660</v>
      </c>
      <c r="G4355" s="28" t="s">
        <v>20</v>
      </c>
      <c r="H4355" s="28" t="s">
        <v>189</v>
      </c>
      <c r="I4355" s="28" t="s">
        <v>189</v>
      </c>
      <c r="J4355" s="28" t="s">
        <v>7321</v>
      </c>
      <c r="K4355" s="28" t="s">
        <v>13991</v>
      </c>
      <c r="L4355" s="28" t="s">
        <v>3588</v>
      </c>
      <c r="M4355" s="28" t="s">
        <v>12904</v>
      </c>
      <c r="O4355" s="92">
        <v>40744</v>
      </c>
      <c r="P4355" s="28" t="s">
        <v>21</v>
      </c>
      <c r="Q4355" s="26" t="b">
        <v>0</v>
      </c>
      <c r="R4355" s="22">
        <f t="shared" si="70"/>
        <v>455</v>
      </c>
    </row>
    <row r="4356" spans="1:18">
      <c r="A4356" s="26">
        <v>9567</v>
      </c>
      <c r="B4356" s="27">
        <v>40295</v>
      </c>
      <c r="C4356" s="28" t="s">
        <v>13992</v>
      </c>
      <c r="D4356" s="27">
        <v>40289</v>
      </c>
      <c r="E4356" s="28" t="s">
        <v>13993</v>
      </c>
      <c r="F4356" s="28" t="s">
        <v>13960</v>
      </c>
      <c r="G4356" s="28" t="s">
        <v>20</v>
      </c>
      <c r="H4356" s="28" t="s">
        <v>71</v>
      </c>
      <c r="I4356" s="28" t="s">
        <v>72</v>
      </c>
      <c r="J4356" s="28" t="s">
        <v>5993</v>
      </c>
      <c r="K4356" s="28" t="s">
        <v>21</v>
      </c>
      <c r="L4356" s="28" t="s">
        <v>4282</v>
      </c>
      <c r="M4356" s="28" t="s">
        <v>21</v>
      </c>
      <c r="O4356" s="92">
        <v>41095</v>
      </c>
      <c r="P4356" s="28" t="s">
        <v>21</v>
      </c>
      <c r="Q4356" s="26" t="b">
        <v>0</v>
      </c>
      <c r="R4356" s="22">
        <f t="shared" si="70"/>
        <v>798</v>
      </c>
    </row>
    <row r="4357" spans="1:18" ht="24">
      <c r="A4357" s="26">
        <v>9568</v>
      </c>
      <c r="B4357" s="27">
        <v>40295</v>
      </c>
      <c r="C4357" s="28" t="s">
        <v>13994</v>
      </c>
      <c r="D4357" s="27">
        <v>40290</v>
      </c>
      <c r="E4357" s="28" t="s">
        <v>13995</v>
      </c>
      <c r="F4357" s="28" t="s">
        <v>13996</v>
      </c>
      <c r="G4357" s="28" t="s">
        <v>20</v>
      </c>
      <c r="H4357" s="28" t="s">
        <v>189</v>
      </c>
      <c r="I4357" s="28" t="s">
        <v>189</v>
      </c>
      <c r="J4357" s="28" t="s">
        <v>1639</v>
      </c>
      <c r="K4357" s="28" t="s">
        <v>13997</v>
      </c>
      <c r="L4357" s="28" t="s">
        <v>1946</v>
      </c>
      <c r="M4357" s="28" t="s">
        <v>21</v>
      </c>
      <c r="O4357" s="92">
        <v>40337</v>
      </c>
      <c r="P4357" s="28" t="s">
        <v>21</v>
      </c>
      <c r="Q4357" s="26" t="b">
        <v>0</v>
      </c>
      <c r="R4357" s="22">
        <f t="shared" si="70"/>
        <v>41</v>
      </c>
    </row>
    <row r="4358" spans="1:18">
      <c r="A4358" s="26">
        <v>9569</v>
      </c>
      <c r="B4358" s="27">
        <v>40295</v>
      </c>
      <c r="C4358" s="28" t="s">
        <v>13998</v>
      </c>
      <c r="D4358" s="27">
        <v>40287</v>
      </c>
      <c r="E4358" s="28" t="s">
        <v>38</v>
      </c>
      <c r="F4358" s="28" t="s">
        <v>283</v>
      </c>
      <c r="G4358" s="28" t="s">
        <v>20</v>
      </c>
      <c r="H4358" s="28" t="s">
        <v>71</v>
      </c>
      <c r="I4358" s="28" t="s">
        <v>72</v>
      </c>
      <c r="J4358" s="28" t="s">
        <v>13999</v>
      </c>
      <c r="K4358" s="28" t="s">
        <v>7321</v>
      </c>
      <c r="L4358" s="28" t="s">
        <v>4282</v>
      </c>
      <c r="M4358" s="28" t="s">
        <v>21</v>
      </c>
      <c r="O4358" s="92">
        <v>40295</v>
      </c>
      <c r="P4358" s="28" t="s">
        <v>21</v>
      </c>
      <c r="Q4358" s="26" t="b">
        <v>0</v>
      </c>
      <c r="R4358" s="22">
        <f t="shared" si="70"/>
        <v>0</v>
      </c>
    </row>
    <row r="4359" spans="1:18">
      <c r="A4359" s="26">
        <v>9570</v>
      </c>
      <c r="B4359" s="27">
        <v>40301</v>
      </c>
      <c r="C4359" s="28" t="s">
        <v>14000</v>
      </c>
      <c r="D4359" s="27">
        <v>40297</v>
      </c>
      <c r="E4359" s="28" t="s">
        <v>14001</v>
      </c>
      <c r="F4359" s="28" t="s">
        <v>52</v>
      </c>
      <c r="G4359" s="28" t="s">
        <v>20</v>
      </c>
      <c r="H4359" s="28" t="s">
        <v>71</v>
      </c>
      <c r="I4359" s="28" t="s">
        <v>72</v>
      </c>
      <c r="J4359" s="28" t="s">
        <v>14002</v>
      </c>
      <c r="K4359" s="28" t="s">
        <v>21</v>
      </c>
      <c r="L4359" s="28" t="s">
        <v>3588</v>
      </c>
      <c r="M4359" s="28" t="s">
        <v>21</v>
      </c>
      <c r="O4359" s="92">
        <v>40322</v>
      </c>
      <c r="P4359" s="28" t="s">
        <v>21</v>
      </c>
      <c r="Q4359" s="26" t="b">
        <v>0</v>
      </c>
      <c r="R4359" s="22">
        <f t="shared" si="70"/>
        <v>21</v>
      </c>
    </row>
    <row r="4360" spans="1:18">
      <c r="A4360" s="26">
        <v>9571</v>
      </c>
      <c r="B4360" s="27">
        <v>40301</v>
      </c>
      <c r="C4360" s="28" t="s">
        <v>14003</v>
      </c>
      <c r="D4360" s="27">
        <v>40295</v>
      </c>
      <c r="E4360" s="28" t="s">
        <v>38</v>
      </c>
      <c r="F4360" s="28" t="s">
        <v>149</v>
      </c>
      <c r="G4360" s="28" t="s">
        <v>20</v>
      </c>
      <c r="H4360" s="28" t="s">
        <v>71</v>
      </c>
      <c r="I4360" s="28" t="s">
        <v>72</v>
      </c>
      <c r="J4360" s="28" t="s">
        <v>14004</v>
      </c>
      <c r="K4360" s="28" t="s">
        <v>21</v>
      </c>
      <c r="L4360" s="28" t="s">
        <v>4579</v>
      </c>
      <c r="M4360" s="28" t="s">
        <v>21</v>
      </c>
      <c r="O4360" s="92">
        <v>40304</v>
      </c>
      <c r="P4360" s="28" t="s">
        <v>21</v>
      </c>
      <c r="Q4360" s="26" t="b">
        <v>0</v>
      </c>
      <c r="R4360" s="22">
        <f t="shared" si="70"/>
        <v>3</v>
      </c>
    </row>
    <row r="4361" spans="1:18">
      <c r="A4361" s="26">
        <v>9572</v>
      </c>
      <c r="B4361" s="27">
        <v>40303</v>
      </c>
      <c r="C4361" s="28" t="s">
        <v>14005</v>
      </c>
      <c r="D4361" s="27">
        <v>40303</v>
      </c>
      <c r="E4361" s="28" t="s">
        <v>38</v>
      </c>
      <c r="F4361" s="28" t="s">
        <v>98</v>
      </c>
      <c r="G4361" s="28" t="s">
        <v>20</v>
      </c>
      <c r="H4361" s="28" t="s">
        <v>71</v>
      </c>
      <c r="I4361" s="28" t="s">
        <v>72</v>
      </c>
      <c r="J4361" s="28" t="s">
        <v>14006</v>
      </c>
      <c r="K4361" s="28" t="s">
        <v>21</v>
      </c>
      <c r="L4361" s="28" t="s">
        <v>4579</v>
      </c>
      <c r="M4361" s="28" t="s">
        <v>21</v>
      </c>
      <c r="O4361" s="92">
        <v>40303</v>
      </c>
      <c r="P4361" s="28" t="s">
        <v>21</v>
      </c>
      <c r="Q4361" s="26" t="b">
        <v>0</v>
      </c>
      <c r="R4361" s="22">
        <f t="shared" si="70"/>
        <v>0</v>
      </c>
    </row>
    <row r="4362" spans="1:18">
      <c r="A4362" s="26">
        <v>9573</v>
      </c>
      <c r="B4362" s="27">
        <v>40303</v>
      </c>
      <c r="C4362" s="28" t="s">
        <v>14007</v>
      </c>
      <c r="D4362" s="27">
        <v>40298</v>
      </c>
      <c r="E4362" s="28" t="s">
        <v>14008</v>
      </c>
      <c r="F4362" s="28" t="s">
        <v>70</v>
      </c>
      <c r="G4362" s="28" t="s">
        <v>20</v>
      </c>
      <c r="H4362" s="28" t="s">
        <v>71</v>
      </c>
      <c r="I4362" s="28" t="s">
        <v>72</v>
      </c>
      <c r="J4362" s="28" t="s">
        <v>14009</v>
      </c>
      <c r="K4362" s="28" t="s">
        <v>21</v>
      </c>
      <c r="L4362" s="28" t="s">
        <v>7167</v>
      </c>
      <c r="M4362" s="28" t="s">
        <v>4282</v>
      </c>
      <c r="O4362" s="92">
        <v>41453</v>
      </c>
      <c r="P4362" s="28" t="s">
        <v>21</v>
      </c>
      <c r="Q4362" s="26" t="b">
        <v>0</v>
      </c>
      <c r="R4362" s="22">
        <f t="shared" si="70"/>
        <v>1148</v>
      </c>
    </row>
    <row r="4363" spans="1:18">
      <c r="A4363" s="26">
        <v>9574</v>
      </c>
      <c r="B4363" s="27">
        <v>40304</v>
      </c>
      <c r="C4363" s="28" t="s">
        <v>14010</v>
      </c>
      <c r="D4363" s="27">
        <v>40297</v>
      </c>
      <c r="E4363" s="28" t="s">
        <v>14011</v>
      </c>
      <c r="F4363" s="28" t="s">
        <v>129</v>
      </c>
      <c r="G4363" s="28" t="s">
        <v>20</v>
      </c>
      <c r="H4363" s="28" t="s">
        <v>71</v>
      </c>
      <c r="I4363" s="28" t="s">
        <v>72</v>
      </c>
      <c r="J4363" s="28" t="s">
        <v>332</v>
      </c>
      <c r="K4363" s="28" t="s">
        <v>14012</v>
      </c>
      <c r="L4363" s="28" t="s">
        <v>4282</v>
      </c>
      <c r="M4363" s="28" t="s">
        <v>21</v>
      </c>
      <c r="O4363" s="92">
        <v>40471</v>
      </c>
      <c r="P4363" s="28" t="s">
        <v>21</v>
      </c>
      <c r="Q4363" s="26" t="b">
        <v>0</v>
      </c>
      <c r="R4363" s="22">
        <f t="shared" si="70"/>
        <v>166</v>
      </c>
    </row>
    <row r="4364" spans="1:18">
      <c r="A4364" s="26">
        <v>9575</v>
      </c>
      <c r="B4364" s="27">
        <v>40309</v>
      </c>
      <c r="C4364" s="28" t="s">
        <v>14013</v>
      </c>
      <c r="D4364" s="27">
        <v>40305</v>
      </c>
      <c r="E4364" s="28" t="s">
        <v>14014</v>
      </c>
      <c r="F4364" s="28" t="s">
        <v>70</v>
      </c>
      <c r="G4364" s="28" t="s">
        <v>20</v>
      </c>
      <c r="H4364" s="28" t="s">
        <v>71</v>
      </c>
      <c r="I4364" s="28" t="s">
        <v>72</v>
      </c>
      <c r="J4364" s="28" t="s">
        <v>14015</v>
      </c>
      <c r="K4364" s="28" t="s">
        <v>13429</v>
      </c>
      <c r="L4364" s="28" t="s">
        <v>3588</v>
      </c>
      <c r="M4364" s="28" t="s">
        <v>21</v>
      </c>
      <c r="O4364" s="92">
        <v>40395</v>
      </c>
      <c r="P4364" s="28" t="s">
        <v>21</v>
      </c>
      <c r="Q4364" s="26" t="b">
        <v>0</v>
      </c>
      <c r="R4364" s="22">
        <f t="shared" si="70"/>
        <v>85</v>
      </c>
    </row>
    <row r="4365" spans="1:18">
      <c r="A4365" s="26">
        <v>9576</v>
      </c>
      <c r="B4365" s="27">
        <v>40309</v>
      </c>
      <c r="C4365" s="28" t="s">
        <v>14016</v>
      </c>
      <c r="D4365" s="27">
        <v>40308</v>
      </c>
      <c r="E4365" s="28" t="s">
        <v>14017</v>
      </c>
      <c r="F4365" s="28" t="s">
        <v>11319</v>
      </c>
      <c r="G4365" s="28" t="s">
        <v>20</v>
      </c>
      <c r="H4365" s="28" t="s">
        <v>71</v>
      </c>
      <c r="I4365" s="28" t="s">
        <v>72</v>
      </c>
      <c r="J4365" s="28" t="s">
        <v>14018</v>
      </c>
      <c r="K4365" s="28" t="s">
        <v>14019</v>
      </c>
      <c r="L4365" s="28" t="s">
        <v>1946</v>
      </c>
      <c r="M4365" s="28" t="s">
        <v>21</v>
      </c>
      <c r="O4365" s="92">
        <v>40471</v>
      </c>
      <c r="P4365" s="28" t="s">
        <v>21</v>
      </c>
      <c r="Q4365" s="26" t="b">
        <v>0</v>
      </c>
      <c r="R4365" s="22">
        <f t="shared" si="70"/>
        <v>161</v>
      </c>
    </row>
    <row r="4366" spans="1:18">
      <c r="A4366" s="26">
        <v>9577</v>
      </c>
      <c r="B4366" s="27">
        <v>40311</v>
      </c>
      <c r="C4366" s="28" t="s">
        <v>14020</v>
      </c>
      <c r="D4366" s="27">
        <v>40311</v>
      </c>
      <c r="E4366" s="28" t="s">
        <v>14021</v>
      </c>
      <c r="F4366" s="28" t="s">
        <v>27</v>
      </c>
      <c r="G4366" s="28" t="s">
        <v>20</v>
      </c>
      <c r="H4366" s="28" t="s">
        <v>71</v>
      </c>
      <c r="I4366" s="28" t="s">
        <v>72</v>
      </c>
      <c r="J4366" s="28" t="s">
        <v>5630</v>
      </c>
      <c r="K4366" s="28" t="s">
        <v>14022</v>
      </c>
      <c r="L4366" s="28" t="s">
        <v>4282</v>
      </c>
      <c r="M4366" s="28" t="s">
        <v>21</v>
      </c>
      <c r="O4366" s="92">
        <v>41452</v>
      </c>
      <c r="P4366" s="28" t="s">
        <v>21</v>
      </c>
      <c r="Q4366" s="26" t="b">
        <v>0</v>
      </c>
      <c r="R4366" s="22">
        <f t="shared" si="70"/>
        <v>1139</v>
      </c>
    </row>
    <row r="4367" spans="1:18">
      <c r="A4367" s="26">
        <v>9579</v>
      </c>
      <c r="B4367" s="27">
        <v>40316</v>
      </c>
      <c r="C4367" s="28" t="s">
        <v>14023</v>
      </c>
      <c r="D4367" s="27">
        <v>40310</v>
      </c>
      <c r="E4367" s="28" t="s">
        <v>14024</v>
      </c>
      <c r="F4367" s="28" t="s">
        <v>56</v>
      </c>
      <c r="G4367" s="28" t="s">
        <v>20</v>
      </c>
      <c r="H4367" s="28" t="s">
        <v>71</v>
      </c>
      <c r="I4367" s="28" t="s">
        <v>72</v>
      </c>
      <c r="J4367" s="28" t="s">
        <v>13258</v>
      </c>
      <c r="K4367" s="28" t="s">
        <v>14025</v>
      </c>
      <c r="L4367" s="28" t="s">
        <v>3588</v>
      </c>
      <c r="M4367" s="28" t="s">
        <v>21</v>
      </c>
      <c r="O4367" s="92">
        <v>40414</v>
      </c>
      <c r="P4367" s="28" t="s">
        <v>21</v>
      </c>
      <c r="Q4367" s="26" t="b">
        <v>0</v>
      </c>
      <c r="R4367" s="22">
        <f t="shared" si="70"/>
        <v>97</v>
      </c>
    </row>
    <row r="4368" spans="1:18">
      <c r="A4368" s="26">
        <v>9580</v>
      </c>
      <c r="B4368" s="27">
        <v>40319</v>
      </c>
      <c r="C4368" s="28" t="s">
        <v>14026</v>
      </c>
      <c r="D4368" s="27">
        <v>40298</v>
      </c>
      <c r="E4368" s="28" t="s">
        <v>10998</v>
      </c>
      <c r="F4368" s="28" t="s">
        <v>13877</v>
      </c>
      <c r="G4368" s="28" t="s">
        <v>20</v>
      </c>
      <c r="H4368" s="28" t="s">
        <v>212</v>
      </c>
      <c r="I4368" s="28" t="s">
        <v>212</v>
      </c>
      <c r="J4368" s="28" t="s">
        <v>14027</v>
      </c>
      <c r="K4368" s="28" t="s">
        <v>13877</v>
      </c>
      <c r="L4368" s="28" t="s">
        <v>4282</v>
      </c>
      <c r="M4368" s="28" t="s">
        <v>21</v>
      </c>
      <c r="O4368" s="92">
        <v>40374</v>
      </c>
      <c r="P4368" s="28" t="s">
        <v>21</v>
      </c>
      <c r="Q4368" s="26" t="b">
        <v>0</v>
      </c>
      <c r="R4368" s="22">
        <f t="shared" si="70"/>
        <v>54</v>
      </c>
    </row>
    <row r="4369" spans="1:18" ht="24">
      <c r="A4369" s="26">
        <v>9581</v>
      </c>
      <c r="B4369" s="27">
        <v>40324</v>
      </c>
      <c r="C4369" s="28" t="s">
        <v>14028</v>
      </c>
      <c r="D4369" s="27">
        <v>40322</v>
      </c>
      <c r="E4369" s="28" t="s">
        <v>14029</v>
      </c>
      <c r="F4369" s="28" t="s">
        <v>124</v>
      </c>
      <c r="G4369" s="28" t="s">
        <v>20</v>
      </c>
      <c r="H4369" s="28" t="s">
        <v>71</v>
      </c>
      <c r="I4369" s="28" t="s">
        <v>72</v>
      </c>
      <c r="J4369" s="28" t="s">
        <v>14030</v>
      </c>
      <c r="K4369" s="28" t="s">
        <v>14031</v>
      </c>
      <c r="L4369" s="28" t="s">
        <v>1946</v>
      </c>
      <c r="M4369" s="28" t="s">
        <v>21</v>
      </c>
      <c r="O4369" s="92">
        <v>40442</v>
      </c>
      <c r="P4369" s="28" t="s">
        <v>21</v>
      </c>
      <c r="Q4369" s="26" t="b">
        <v>0</v>
      </c>
      <c r="R4369" s="22">
        <f t="shared" si="70"/>
        <v>116</v>
      </c>
    </row>
    <row r="4370" spans="1:18">
      <c r="A4370" s="26">
        <v>9582</v>
      </c>
      <c r="B4370" s="27">
        <v>40330</v>
      </c>
      <c r="C4370" s="28" t="s">
        <v>14032</v>
      </c>
      <c r="D4370" s="27">
        <v>40322</v>
      </c>
      <c r="E4370" s="28" t="s">
        <v>38</v>
      </c>
      <c r="F4370" s="28" t="s">
        <v>124</v>
      </c>
      <c r="G4370" s="28" t="s">
        <v>20</v>
      </c>
      <c r="H4370" s="28" t="s">
        <v>71</v>
      </c>
      <c r="I4370" s="28" t="s">
        <v>72</v>
      </c>
      <c r="J4370" s="28" t="s">
        <v>14033</v>
      </c>
      <c r="K4370" s="28" t="s">
        <v>21</v>
      </c>
      <c r="L4370" s="28" t="s">
        <v>11155</v>
      </c>
      <c r="M4370" s="28" t="s">
        <v>21</v>
      </c>
      <c r="O4370" s="92">
        <v>40330</v>
      </c>
      <c r="P4370" s="28" t="s">
        <v>21</v>
      </c>
      <c r="Q4370" s="26" t="b">
        <v>0</v>
      </c>
      <c r="R4370" s="22">
        <f t="shared" si="70"/>
        <v>0</v>
      </c>
    </row>
    <row r="4371" spans="1:18">
      <c r="A4371" s="26">
        <v>9583</v>
      </c>
      <c r="B4371" s="27">
        <v>40331</v>
      </c>
      <c r="C4371" s="28" t="s">
        <v>14034</v>
      </c>
      <c r="D4371" s="27">
        <v>40326</v>
      </c>
      <c r="E4371" s="28" t="s">
        <v>38</v>
      </c>
      <c r="F4371" s="28" t="s">
        <v>9630</v>
      </c>
      <c r="G4371" s="28" t="s">
        <v>20</v>
      </c>
      <c r="H4371" s="28" t="s">
        <v>71</v>
      </c>
      <c r="I4371" s="28" t="s">
        <v>72</v>
      </c>
      <c r="J4371" s="28" t="s">
        <v>14035</v>
      </c>
      <c r="K4371" s="28" t="s">
        <v>21</v>
      </c>
      <c r="L4371" s="28" t="s">
        <v>4579</v>
      </c>
      <c r="M4371" s="28" t="s">
        <v>21</v>
      </c>
      <c r="O4371" s="92">
        <v>40331</v>
      </c>
      <c r="P4371" s="28" t="s">
        <v>21</v>
      </c>
      <c r="Q4371" s="26" t="b">
        <v>0</v>
      </c>
      <c r="R4371" s="22">
        <f t="shared" si="70"/>
        <v>0</v>
      </c>
    </row>
    <row r="4372" spans="1:18">
      <c r="A4372" s="26">
        <v>9584</v>
      </c>
      <c r="B4372" s="27">
        <v>40331</v>
      </c>
      <c r="C4372" s="28" t="s">
        <v>14036</v>
      </c>
      <c r="D4372" s="27">
        <v>40331</v>
      </c>
      <c r="E4372" s="28" t="s">
        <v>38</v>
      </c>
      <c r="F4372" s="28" t="s">
        <v>14037</v>
      </c>
      <c r="G4372" s="28" t="s">
        <v>20</v>
      </c>
      <c r="H4372" s="28" t="s">
        <v>189</v>
      </c>
      <c r="I4372" s="28" t="s">
        <v>189</v>
      </c>
      <c r="J4372" s="28" t="s">
        <v>14038</v>
      </c>
      <c r="K4372" s="28" t="s">
        <v>21</v>
      </c>
      <c r="L4372" s="28" t="s">
        <v>4579</v>
      </c>
      <c r="M4372" s="28" t="s">
        <v>21</v>
      </c>
      <c r="O4372" s="92">
        <v>40332</v>
      </c>
      <c r="P4372" s="28" t="s">
        <v>21</v>
      </c>
      <c r="Q4372" s="26" t="b">
        <v>0</v>
      </c>
      <c r="R4372" s="22">
        <f t="shared" si="70"/>
        <v>1</v>
      </c>
    </row>
    <row r="4373" spans="1:18">
      <c r="A4373" s="26">
        <v>9585</v>
      </c>
      <c r="B4373" s="27">
        <v>40332</v>
      </c>
      <c r="C4373" s="28" t="s">
        <v>14039</v>
      </c>
      <c r="D4373" s="27">
        <v>40319</v>
      </c>
      <c r="E4373" s="28" t="s">
        <v>38</v>
      </c>
      <c r="F4373" s="28" t="s">
        <v>14040</v>
      </c>
      <c r="G4373" s="28" t="s">
        <v>20</v>
      </c>
      <c r="H4373" s="28" t="s">
        <v>189</v>
      </c>
      <c r="I4373" s="28" t="s">
        <v>189</v>
      </c>
      <c r="J4373" s="28" t="s">
        <v>14041</v>
      </c>
      <c r="K4373" s="28" t="s">
        <v>14042</v>
      </c>
      <c r="L4373" s="28" t="s">
        <v>1946</v>
      </c>
      <c r="M4373" s="28" t="s">
        <v>21</v>
      </c>
      <c r="O4373" s="92">
        <v>40337</v>
      </c>
      <c r="P4373" s="28" t="s">
        <v>21</v>
      </c>
      <c r="Q4373" s="26" t="b">
        <v>0</v>
      </c>
      <c r="R4373" s="22">
        <f t="shared" si="70"/>
        <v>5</v>
      </c>
    </row>
    <row r="4374" spans="1:18">
      <c r="A4374" s="26">
        <v>9586</v>
      </c>
      <c r="B4374" s="27">
        <v>40332</v>
      </c>
      <c r="C4374" s="28" t="s">
        <v>14043</v>
      </c>
      <c r="D4374" s="27">
        <v>40329</v>
      </c>
      <c r="E4374" s="28" t="s">
        <v>38</v>
      </c>
      <c r="F4374" s="28" t="s">
        <v>124</v>
      </c>
      <c r="G4374" s="28" t="s">
        <v>20</v>
      </c>
      <c r="H4374" s="28" t="s">
        <v>71</v>
      </c>
      <c r="I4374" s="28" t="s">
        <v>72</v>
      </c>
      <c r="J4374" s="28" t="s">
        <v>14044</v>
      </c>
      <c r="K4374" s="28" t="s">
        <v>21</v>
      </c>
      <c r="L4374" s="28" t="s">
        <v>4579</v>
      </c>
      <c r="M4374" s="28" t="s">
        <v>21</v>
      </c>
      <c r="O4374" s="92">
        <v>40332</v>
      </c>
      <c r="P4374" s="28" t="s">
        <v>21</v>
      </c>
      <c r="Q4374" s="26" t="b">
        <v>0</v>
      </c>
      <c r="R4374" s="22">
        <f t="shared" si="70"/>
        <v>0</v>
      </c>
    </row>
    <row r="4375" spans="1:18" ht="24">
      <c r="A4375" s="26">
        <v>9587</v>
      </c>
      <c r="B4375" s="27">
        <v>40337</v>
      </c>
      <c r="C4375" s="28" t="s">
        <v>14045</v>
      </c>
      <c r="D4375" s="27">
        <v>40332</v>
      </c>
      <c r="E4375" s="28" t="s">
        <v>14046</v>
      </c>
      <c r="F4375" s="28" t="s">
        <v>1783</v>
      </c>
      <c r="G4375" s="28" t="s">
        <v>20</v>
      </c>
      <c r="H4375" s="28" t="s">
        <v>71</v>
      </c>
      <c r="I4375" s="28" t="s">
        <v>72</v>
      </c>
      <c r="J4375" s="28" t="s">
        <v>14047</v>
      </c>
      <c r="K4375" s="28" t="s">
        <v>14048</v>
      </c>
      <c r="L4375" s="28" t="s">
        <v>1946</v>
      </c>
      <c r="M4375" s="28" t="s">
        <v>21</v>
      </c>
      <c r="O4375" s="92">
        <v>41453</v>
      </c>
      <c r="P4375" s="28" t="s">
        <v>21</v>
      </c>
      <c r="Q4375" s="26" t="b">
        <v>0</v>
      </c>
      <c r="R4375" s="22">
        <f t="shared" si="70"/>
        <v>1115</v>
      </c>
    </row>
    <row r="4376" spans="1:18" ht="24">
      <c r="A4376" s="26">
        <v>9588</v>
      </c>
      <c r="B4376" s="27">
        <v>40337</v>
      </c>
      <c r="C4376" s="28" t="s">
        <v>14049</v>
      </c>
      <c r="D4376" s="27">
        <v>40336</v>
      </c>
      <c r="E4376" s="28" t="s">
        <v>14050</v>
      </c>
      <c r="F4376" s="28" t="s">
        <v>14051</v>
      </c>
      <c r="G4376" s="28" t="s">
        <v>20</v>
      </c>
      <c r="H4376" s="28" t="s">
        <v>71</v>
      </c>
      <c r="I4376" s="28" t="s">
        <v>72</v>
      </c>
      <c r="J4376" s="28" t="s">
        <v>14052</v>
      </c>
      <c r="K4376" s="28" t="s">
        <v>21</v>
      </c>
      <c r="L4376" s="28" t="s">
        <v>3588</v>
      </c>
      <c r="M4376" s="28" t="s">
        <v>21</v>
      </c>
      <c r="O4376" s="92">
        <v>40339</v>
      </c>
      <c r="P4376" s="28" t="s">
        <v>21</v>
      </c>
      <c r="Q4376" s="26" t="b">
        <v>0</v>
      </c>
      <c r="R4376" s="22">
        <f t="shared" si="70"/>
        <v>2</v>
      </c>
    </row>
    <row r="4377" spans="1:18">
      <c r="A4377" s="26">
        <v>9589</v>
      </c>
      <c r="B4377" s="27">
        <v>40337</v>
      </c>
      <c r="C4377" s="28" t="s">
        <v>14053</v>
      </c>
      <c r="D4377" s="27">
        <v>40328</v>
      </c>
      <c r="E4377" s="28" t="s">
        <v>38</v>
      </c>
      <c r="F4377" s="28" t="s">
        <v>124</v>
      </c>
      <c r="G4377" s="28" t="s">
        <v>20</v>
      </c>
      <c r="H4377" s="28" t="s">
        <v>71</v>
      </c>
      <c r="I4377" s="28" t="s">
        <v>72</v>
      </c>
      <c r="J4377" s="28" t="s">
        <v>14054</v>
      </c>
      <c r="K4377" s="28" t="s">
        <v>21</v>
      </c>
      <c r="L4377" s="28" t="s">
        <v>4579</v>
      </c>
      <c r="M4377" s="28" t="s">
        <v>21</v>
      </c>
      <c r="O4377" s="92">
        <v>40337</v>
      </c>
      <c r="P4377" s="28" t="s">
        <v>21</v>
      </c>
      <c r="Q4377" s="26" t="b">
        <v>0</v>
      </c>
      <c r="R4377" s="22">
        <f t="shared" ref="R4377:R4440" si="71">IF(O4377=" ", " ", INT(YEARFRAC(O4377, B4377)*365))</f>
        <v>0</v>
      </c>
    </row>
    <row r="4378" spans="1:18">
      <c r="A4378" s="26">
        <v>9590</v>
      </c>
      <c r="B4378" s="27">
        <v>40343</v>
      </c>
      <c r="C4378" s="28" t="s">
        <v>14055</v>
      </c>
      <c r="D4378" s="27">
        <v>40333</v>
      </c>
      <c r="E4378" s="28" t="s">
        <v>14056</v>
      </c>
      <c r="F4378" s="28" t="s">
        <v>11375</v>
      </c>
      <c r="G4378" s="28" t="s">
        <v>20</v>
      </c>
      <c r="H4378" s="28" t="s">
        <v>71</v>
      </c>
      <c r="I4378" s="28" t="s">
        <v>72</v>
      </c>
      <c r="J4378" s="28" t="s">
        <v>14057</v>
      </c>
      <c r="K4378" s="28" t="s">
        <v>21</v>
      </c>
      <c r="L4378" s="28" t="s">
        <v>1946</v>
      </c>
      <c r="M4378" s="28" t="s">
        <v>21</v>
      </c>
      <c r="O4378" s="92">
        <v>40799</v>
      </c>
      <c r="P4378" s="28" t="s">
        <v>21</v>
      </c>
      <c r="Q4378" s="26" t="b">
        <v>0</v>
      </c>
      <c r="R4378" s="22">
        <f t="shared" si="71"/>
        <v>455</v>
      </c>
    </row>
    <row r="4379" spans="1:18">
      <c r="A4379" s="26">
        <v>9591</v>
      </c>
      <c r="B4379" s="27">
        <v>40343</v>
      </c>
      <c r="C4379" s="28" t="s">
        <v>14058</v>
      </c>
      <c r="D4379" s="27">
        <v>40320</v>
      </c>
      <c r="E4379" s="28" t="s">
        <v>14059</v>
      </c>
      <c r="F4379" s="28" t="s">
        <v>990</v>
      </c>
      <c r="G4379" s="28" t="s">
        <v>20</v>
      </c>
      <c r="H4379" s="28" t="s">
        <v>71</v>
      </c>
      <c r="I4379" s="28" t="s">
        <v>72</v>
      </c>
      <c r="J4379" s="28" t="s">
        <v>14060</v>
      </c>
      <c r="K4379" s="28" t="s">
        <v>21</v>
      </c>
      <c r="L4379" s="28" t="s">
        <v>4282</v>
      </c>
      <c r="M4379" s="28" t="s">
        <v>21</v>
      </c>
      <c r="O4379" s="92">
        <v>40648</v>
      </c>
      <c r="P4379" s="28" t="s">
        <v>21</v>
      </c>
      <c r="Q4379" s="26" t="b">
        <v>0</v>
      </c>
      <c r="R4379" s="22">
        <f t="shared" si="71"/>
        <v>305</v>
      </c>
    </row>
    <row r="4380" spans="1:18">
      <c r="A4380" s="26">
        <v>9592</v>
      </c>
      <c r="B4380" s="27">
        <v>40343</v>
      </c>
      <c r="C4380" s="28" t="s">
        <v>14061</v>
      </c>
      <c r="D4380" s="27">
        <v>40320</v>
      </c>
      <c r="E4380" s="28" t="s">
        <v>14062</v>
      </c>
      <c r="F4380" s="28" t="s">
        <v>124</v>
      </c>
      <c r="G4380" s="28" t="s">
        <v>20</v>
      </c>
      <c r="H4380" s="28" t="s">
        <v>71</v>
      </c>
      <c r="I4380" s="28" t="s">
        <v>72</v>
      </c>
      <c r="J4380" s="28" t="s">
        <v>14060</v>
      </c>
      <c r="K4380" s="28" t="s">
        <v>21</v>
      </c>
      <c r="L4380" s="28" t="s">
        <v>4282</v>
      </c>
      <c r="M4380" s="28" t="s">
        <v>21</v>
      </c>
      <c r="O4380" s="92">
        <v>40651</v>
      </c>
      <c r="P4380" s="28" t="s">
        <v>21</v>
      </c>
      <c r="Q4380" s="26" t="b">
        <v>0</v>
      </c>
      <c r="R4380" s="22">
        <f t="shared" si="71"/>
        <v>308</v>
      </c>
    </row>
    <row r="4381" spans="1:18">
      <c r="A4381" s="26">
        <v>9593</v>
      </c>
      <c r="B4381" s="27">
        <v>40345</v>
      </c>
      <c r="C4381" s="28" t="s">
        <v>14063</v>
      </c>
      <c r="D4381" s="27">
        <v>40343</v>
      </c>
      <c r="E4381" s="28" t="s">
        <v>14064</v>
      </c>
      <c r="F4381" s="28" t="s">
        <v>14065</v>
      </c>
      <c r="G4381" s="28" t="s">
        <v>20</v>
      </c>
      <c r="H4381" s="28" t="s">
        <v>71</v>
      </c>
      <c r="I4381" s="28" t="s">
        <v>72</v>
      </c>
      <c r="J4381" s="28" t="s">
        <v>1817</v>
      </c>
      <c r="K4381" s="28" t="s">
        <v>21</v>
      </c>
      <c r="L4381" s="28" t="s">
        <v>3588</v>
      </c>
      <c r="M4381" s="28" t="s">
        <v>12904</v>
      </c>
      <c r="O4381" s="92">
        <v>41081</v>
      </c>
      <c r="P4381" s="28" t="s">
        <v>21</v>
      </c>
      <c r="Q4381" s="26" t="b">
        <v>0</v>
      </c>
      <c r="R4381" s="22">
        <f t="shared" si="71"/>
        <v>735</v>
      </c>
    </row>
    <row r="4382" spans="1:18">
      <c r="A4382" s="26">
        <v>9594</v>
      </c>
      <c r="B4382" s="27">
        <v>40345</v>
      </c>
      <c r="C4382" s="28" t="s">
        <v>14066</v>
      </c>
      <c r="D4382" s="27">
        <v>40341</v>
      </c>
      <c r="E4382" s="28" t="s">
        <v>14067</v>
      </c>
      <c r="F4382" s="28" t="s">
        <v>104</v>
      </c>
      <c r="G4382" s="28" t="s">
        <v>20</v>
      </c>
      <c r="H4382" s="28" t="s">
        <v>21</v>
      </c>
      <c r="I4382" s="28" t="s">
        <v>72</v>
      </c>
      <c r="J4382" s="28" t="s">
        <v>14068</v>
      </c>
      <c r="K4382" s="28" t="s">
        <v>21</v>
      </c>
      <c r="L4382" s="28" t="s">
        <v>1946</v>
      </c>
      <c r="M4382" s="28" t="s">
        <v>21</v>
      </c>
      <c r="O4382" s="92">
        <v>40648</v>
      </c>
      <c r="P4382" s="28" t="s">
        <v>21</v>
      </c>
      <c r="Q4382" s="26" t="b">
        <v>0</v>
      </c>
      <c r="R4382" s="22">
        <f t="shared" si="71"/>
        <v>303</v>
      </c>
    </row>
    <row r="4383" spans="1:18">
      <c r="A4383" s="26">
        <v>9595</v>
      </c>
      <c r="B4383" s="27">
        <v>40352</v>
      </c>
      <c r="C4383" s="28" t="s">
        <v>14069</v>
      </c>
      <c r="D4383" s="27">
        <v>40352</v>
      </c>
      <c r="E4383" s="28" t="s">
        <v>38</v>
      </c>
      <c r="F4383" s="28" t="s">
        <v>13960</v>
      </c>
      <c r="G4383" s="28" t="s">
        <v>20</v>
      </c>
      <c r="H4383" s="28" t="s">
        <v>189</v>
      </c>
      <c r="I4383" s="28" t="s">
        <v>189</v>
      </c>
      <c r="J4383" s="28" t="s">
        <v>14070</v>
      </c>
      <c r="K4383" s="28" t="s">
        <v>14071</v>
      </c>
      <c r="L4383" s="28" t="s">
        <v>4579</v>
      </c>
      <c r="M4383" s="28" t="s">
        <v>21</v>
      </c>
      <c r="O4383" s="92">
        <v>40357</v>
      </c>
      <c r="P4383" s="28" t="s">
        <v>21</v>
      </c>
      <c r="Q4383" s="26" t="b">
        <v>0</v>
      </c>
      <c r="R4383" s="22">
        <f t="shared" si="71"/>
        <v>5</v>
      </c>
    </row>
    <row r="4384" spans="1:18">
      <c r="A4384" s="26">
        <v>9596</v>
      </c>
      <c r="B4384" s="27">
        <v>40353</v>
      </c>
      <c r="C4384" s="28" t="s">
        <v>14072</v>
      </c>
      <c r="D4384" s="27">
        <v>40353</v>
      </c>
      <c r="E4384" s="28" t="s">
        <v>11030</v>
      </c>
      <c r="F4384" s="28" t="s">
        <v>12892</v>
      </c>
      <c r="G4384" s="28" t="s">
        <v>20</v>
      </c>
      <c r="H4384" s="28" t="s">
        <v>71</v>
      </c>
      <c r="I4384" s="28" t="s">
        <v>72</v>
      </c>
      <c r="J4384" s="28" t="s">
        <v>14073</v>
      </c>
      <c r="K4384" s="28" t="s">
        <v>21</v>
      </c>
      <c r="L4384" s="28" t="s">
        <v>3588</v>
      </c>
      <c r="M4384" s="28" t="s">
        <v>21</v>
      </c>
      <c r="O4384" s="92">
        <v>40375</v>
      </c>
      <c r="P4384" s="28" t="s">
        <v>21</v>
      </c>
      <c r="Q4384" s="26" t="b">
        <v>0</v>
      </c>
      <c r="R4384" s="22">
        <f t="shared" si="71"/>
        <v>22</v>
      </c>
    </row>
    <row r="4385" spans="1:18">
      <c r="A4385" s="26">
        <v>9598</v>
      </c>
      <c r="B4385" s="27">
        <v>40359</v>
      </c>
      <c r="C4385" s="28" t="s">
        <v>14074</v>
      </c>
      <c r="D4385" s="27">
        <v>40350</v>
      </c>
      <c r="E4385" s="28" t="s">
        <v>38</v>
      </c>
      <c r="F4385" s="28" t="s">
        <v>14075</v>
      </c>
      <c r="G4385" s="28" t="s">
        <v>20</v>
      </c>
      <c r="H4385" s="28" t="s">
        <v>71</v>
      </c>
      <c r="I4385" s="28" t="s">
        <v>72</v>
      </c>
      <c r="J4385" s="28" t="s">
        <v>14076</v>
      </c>
      <c r="K4385" s="28" t="s">
        <v>7085</v>
      </c>
      <c r="L4385" s="28" t="s">
        <v>4579</v>
      </c>
      <c r="M4385" s="28" t="s">
        <v>21</v>
      </c>
      <c r="O4385" s="92">
        <v>40359</v>
      </c>
      <c r="P4385" s="28" t="s">
        <v>21</v>
      </c>
      <c r="Q4385" s="26" t="b">
        <v>0</v>
      </c>
      <c r="R4385" s="22">
        <f t="shared" si="71"/>
        <v>0</v>
      </c>
    </row>
    <row r="4386" spans="1:18">
      <c r="A4386" s="26">
        <v>9599</v>
      </c>
      <c r="B4386" s="27">
        <v>40359</v>
      </c>
      <c r="C4386" s="28" t="s">
        <v>14077</v>
      </c>
      <c r="D4386" s="27">
        <v>40359</v>
      </c>
      <c r="E4386" s="28" t="s">
        <v>14078</v>
      </c>
      <c r="F4386" s="28" t="s">
        <v>306</v>
      </c>
      <c r="G4386" s="28" t="s">
        <v>20</v>
      </c>
      <c r="H4386" s="28" t="s">
        <v>71</v>
      </c>
      <c r="I4386" s="28" t="s">
        <v>72</v>
      </c>
      <c r="J4386" s="28" t="s">
        <v>14079</v>
      </c>
      <c r="K4386" s="28" t="s">
        <v>14080</v>
      </c>
      <c r="L4386" s="28" t="s">
        <v>3588</v>
      </c>
      <c r="M4386" s="28" t="s">
        <v>21</v>
      </c>
      <c r="O4386" s="92">
        <v>40372</v>
      </c>
      <c r="P4386" s="28" t="s">
        <v>21</v>
      </c>
      <c r="Q4386" s="26" t="b">
        <v>0</v>
      </c>
      <c r="R4386" s="22">
        <f t="shared" si="71"/>
        <v>13</v>
      </c>
    </row>
    <row r="4387" spans="1:18">
      <c r="A4387" s="26">
        <v>9600</v>
      </c>
      <c r="B4387" s="27">
        <v>40360</v>
      </c>
      <c r="C4387" s="28" t="s">
        <v>14081</v>
      </c>
      <c r="D4387" s="27">
        <v>40354</v>
      </c>
      <c r="E4387" s="28" t="s">
        <v>38</v>
      </c>
      <c r="F4387" s="28" t="s">
        <v>12671</v>
      </c>
      <c r="G4387" s="28" t="s">
        <v>20</v>
      </c>
      <c r="H4387" s="28" t="s">
        <v>71</v>
      </c>
      <c r="I4387" s="28" t="s">
        <v>72</v>
      </c>
      <c r="J4387" s="28" t="s">
        <v>1712</v>
      </c>
      <c r="K4387" s="28" t="s">
        <v>14082</v>
      </c>
      <c r="L4387" s="28" t="s">
        <v>4579</v>
      </c>
      <c r="M4387" s="28" t="s">
        <v>21</v>
      </c>
      <c r="O4387" s="92">
        <v>40360</v>
      </c>
      <c r="P4387" s="28" t="s">
        <v>21</v>
      </c>
      <c r="Q4387" s="26" t="b">
        <v>0</v>
      </c>
      <c r="R4387" s="22">
        <f t="shared" si="71"/>
        <v>0</v>
      </c>
    </row>
    <row r="4388" spans="1:18">
      <c r="A4388" s="26">
        <v>9601</v>
      </c>
      <c r="B4388" s="27">
        <v>40360</v>
      </c>
      <c r="C4388" s="28" t="s">
        <v>14083</v>
      </c>
      <c r="D4388" s="27">
        <v>40360</v>
      </c>
      <c r="E4388" s="28" t="s">
        <v>38</v>
      </c>
      <c r="F4388" s="28" t="s">
        <v>27</v>
      </c>
      <c r="G4388" s="28" t="s">
        <v>20</v>
      </c>
      <c r="H4388" s="28" t="s">
        <v>189</v>
      </c>
      <c r="I4388" s="28" t="s">
        <v>189</v>
      </c>
      <c r="J4388" s="28" t="s">
        <v>14084</v>
      </c>
      <c r="K4388" s="28" t="s">
        <v>21</v>
      </c>
      <c r="L4388" s="28" t="s">
        <v>4579</v>
      </c>
      <c r="M4388" s="28" t="s">
        <v>21</v>
      </c>
      <c r="O4388" s="92">
        <v>40360</v>
      </c>
      <c r="P4388" s="28" t="s">
        <v>21</v>
      </c>
      <c r="Q4388" s="26" t="b">
        <v>0</v>
      </c>
      <c r="R4388" s="22">
        <f t="shared" si="71"/>
        <v>0</v>
      </c>
    </row>
    <row r="4389" spans="1:18">
      <c r="A4389" s="26">
        <v>9602</v>
      </c>
      <c r="B4389" s="27">
        <v>40361</v>
      </c>
      <c r="C4389" s="28" t="s">
        <v>14085</v>
      </c>
      <c r="D4389" s="27">
        <v>40358</v>
      </c>
      <c r="E4389" s="28" t="s">
        <v>38</v>
      </c>
      <c r="F4389" s="28" t="s">
        <v>124</v>
      </c>
      <c r="G4389" s="28" t="s">
        <v>20</v>
      </c>
      <c r="H4389" s="28" t="s">
        <v>71</v>
      </c>
      <c r="I4389" s="28" t="s">
        <v>72</v>
      </c>
      <c r="J4389" s="28" t="s">
        <v>13146</v>
      </c>
      <c r="K4389" s="28" t="s">
        <v>21</v>
      </c>
      <c r="L4389" s="28" t="s">
        <v>4579</v>
      </c>
      <c r="M4389" s="28" t="s">
        <v>21</v>
      </c>
      <c r="O4389" s="92">
        <v>40361</v>
      </c>
      <c r="P4389" s="28" t="s">
        <v>21</v>
      </c>
      <c r="Q4389" s="26" t="b">
        <v>0</v>
      </c>
      <c r="R4389" s="22">
        <f t="shared" si="71"/>
        <v>0</v>
      </c>
    </row>
    <row r="4390" spans="1:18">
      <c r="A4390" s="26">
        <v>9603</v>
      </c>
      <c r="B4390" s="27">
        <v>40361</v>
      </c>
      <c r="C4390" s="28" t="s">
        <v>14086</v>
      </c>
      <c r="D4390" s="27">
        <v>40359</v>
      </c>
      <c r="E4390" s="28" t="s">
        <v>14087</v>
      </c>
      <c r="F4390" s="28" t="s">
        <v>70</v>
      </c>
      <c r="G4390" s="28" t="s">
        <v>20</v>
      </c>
      <c r="H4390" s="28" t="s">
        <v>71</v>
      </c>
      <c r="I4390" s="28" t="s">
        <v>72</v>
      </c>
      <c r="J4390" s="28" t="s">
        <v>14088</v>
      </c>
      <c r="K4390" s="28" t="s">
        <v>21</v>
      </c>
      <c r="L4390" s="28" t="s">
        <v>3588</v>
      </c>
      <c r="M4390" s="28" t="s">
        <v>21</v>
      </c>
      <c r="O4390" s="92">
        <v>40372</v>
      </c>
      <c r="P4390" s="28" t="s">
        <v>21</v>
      </c>
      <c r="Q4390" s="26" t="b">
        <v>0</v>
      </c>
      <c r="R4390" s="22">
        <f t="shared" si="71"/>
        <v>11</v>
      </c>
    </row>
    <row r="4391" spans="1:18">
      <c r="A4391" s="26">
        <v>9604</v>
      </c>
      <c r="B4391" s="27">
        <v>40365</v>
      </c>
      <c r="C4391" s="28" t="s">
        <v>14089</v>
      </c>
      <c r="D4391" s="27">
        <v>40359</v>
      </c>
      <c r="E4391" s="28" t="s">
        <v>14090</v>
      </c>
      <c r="F4391" s="28" t="s">
        <v>104</v>
      </c>
      <c r="G4391" s="28" t="s">
        <v>20</v>
      </c>
      <c r="H4391" s="28" t="s">
        <v>71</v>
      </c>
      <c r="I4391" s="28" t="s">
        <v>72</v>
      </c>
      <c r="J4391" s="28" t="s">
        <v>14091</v>
      </c>
      <c r="K4391" s="28" t="s">
        <v>21</v>
      </c>
      <c r="L4391" s="28" t="s">
        <v>4579</v>
      </c>
      <c r="M4391" s="28" t="s">
        <v>21</v>
      </c>
      <c r="O4391" s="92">
        <v>40367</v>
      </c>
      <c r="P4391" s="28" t="s">
        <v>21</v>
      </c>
      <c r="Q4391" s="26" t="b">
        <v>0</v>
      </c>
      <c r="R4391" s="22">
        <f t="shared" si="71"/>
        <v>2</v>
      </c>
    </row>
    <row r="4392" spans="1:18" ht="24">
      <c r="A4392" s="26">
        <v>9605</v>
      </c>
      <c r="B4392" s="27">
        <v>40372</v>
      </c>
      <c r="C4392" s="28" t="s">
        <v>14092</v>
      </c>
      <c r="D4392" s="27">
        <v>40366</v>
      </c>
      <c r="E4392" s="28" t="s">
        <v>11030</v>
      </c>
      <c r="F4392" s="28" t="s">
        <v>984</v>
      </c>
      <c r="G4392" s="28" t="s">
        <v>20</v>
      </c>
      <c r="H4392" s="28" t="s">
        <v>71</v>
      </c>
      <c r="I4392" s="28" t="s">
        <v>72</v>
      </c>
      <c r="J4392" s="28" t="s">
        <v>14093</v>
      </c>
      <c r="K4392" s="28" t="s">
        <v>14094</v>
      </c>
      <c r="L4392" s="28" t="s">
        <v>1946</v>
      </c>
      <c r="M4392" s="28" t="s">
        <v>21</v>
      </c>
      <c r="O4392" s="92">
        <v>40389</v>
      </c>
      <c r="P4392" s="28" t="s">
        <v>21</v>
      </c>
      <c r="Q4392" s="26" t="b">
        <v>0</v>
      </c>
      <c r="R4392" s="22">
        <f t="shared" si="71"/>
        <v>17</v>
      </c>
    </row>
    <row r="4393" spans="1:18">
      <c r="A4393" s="26">
        <v>9606</v>
      </c>
      <c r="B4393" s="27">
        <v>40372</v>
      </c>
      <c r="C4393" s="28" t="s">
        <v>14095</v>
      </c>
      <c r="D4393" s="27">
        <v>40368</v>
      </c>
      <c r="E4393" s="28" t="s">
        <v>38</v>
      </c>
      <c r="F4393" s="28" t="s">
        <v>124</v>
      </c>
      <c r="G4393" s="28" t="s">
        <v>20</v>
      </c>
      <c r="H4393" s="28" t="s">
        <v>71</v>
      </c>
      <c r="I4393" s="28" t="s">
        <v>72</v>
      </c>
      <c r="J4393" s="28" t="s">
        <v>14096</v>
      </c>
      <c r="K4393" s="28" t="s">
        <v>21</v>
      </c>
      <c r="L4393" s="28" t="s">
        <v>4579</v>
      </c>
      <c r="M4393" s="28" t="s">
        <v>21</v>
      </c>
      <c r="O4393" s="92">
        <v>40372</v>
      </c>
      <c r="P4393" s="28" t="s">
        <v>21</v>
      </c>
      <c r="Q4393" s="26" t="b">
        <v>0</v>
      </c>
      <c r="R4393" s="22">
        <f t="shared" si="71"/>
        <v>0</v>
      </c>
    </row>
    <row r="4394" spans="1:18">
      <c r="A4394" s="26">
        <v>9607</v>
      </c>
      <c r="B4394" s="27">
        <v>40374</v>
      </c>
      <c r="C4394" s="28" t="s">
        <v>14097</v>
      </c>
      <c r="D4394" s="27">
        <v>40371</v>
      </c>
      <c r="E4394" s="28" t="s">
        <v>14098</v>
      </c>
      <c r="F4394" s="28" t="s">
        <v>984</v>
      </c>
      <c r="G4394" s="28" t="s">
        <v>20</v>
      </c>
      <c r="H4394" s="28" t="s">
        <v>71</v>
      </c>
      <c r="I4394" s="28" t="s">
        <v>72</v>
      </c>
      <c r="J4394" s="28" t="s">
        <v>12075</v>
      </c>
      <c r="K4394" s="28" t="s">
        <v>21</v>
      </c>
      <c r="L4394" s="28" t="s">
        <v>4579</v>
      </c>
      <c r="M4394" s="28" t="s">
        <v>21</v>
      </c>
      <c r="O4394" s="92">
        <v>40380</v>
      </c>
      <c r="P4394" s="28" t="s">
        <v>21</v>
      </c>
      <c r="Q4394" s="26" t="b">
        <v>0</v>
      </c>
      <c r="R4394" s="22">
        <f t="shared" si="71"/>
        <v>6</v>
      </c>
    </row>
    <row r="4395" spans="1:18">
      <c r="A4395" s="26">
        <v>9608</v>
      </c>
      <c r="B4395" s="27">
        <v>40379</v>
      </c>
      <c r="C4395" s="28" t="s">
        <v>14099</v>
      </c>
      <c r="D4395" s="27">
        <v>40374</v>
      </c>
      <c r="E4395" s="28" t="s">
        <v>38</v>
      </c>
      <c r="F4395" s="28" t="s">
        <v>14100</v>
      </c>
      <c r="G4395" s="28" t="s">
        <v>20</v>
      </c>
      <c r="H4395" s="28" t="s">
        <v>71</v>
      </c>
      <c r="I4395" s="28" t="s">
        <v>72</v>
      </c>
      <c r="J4395" s="28" t="s">
        <v>14101</v>
      </c>
      <c r="K4395" s="28" t="s">
        <v>21</v>
      </c>
      <c r="L4395" s="28" t="s">
        <v>4579</v>
      </c>
      <c r="M4395" s="28" t="s">
        <v>21</v>
      </c>
      <c r="O4395" s="92">
        <v>40379</v>
      </c>
      <c r="P4395" s="28" t="s">
        <v>21</v>
      </c>
      <c r="Q4395" s="26" t="b">
        <v>0</v>
      </c>
      <c r="R4395" s="22">
        <f t="shared" si="71"/>
        <v>0</v>
      </c>
    </row>
    <row r="4396" spans="1:18">
      <c r="A4396" s="26">
        <v>9609</v>
      </c>
      <c r="B4396" s="27">
        <v>40380</v>
      </c>
      <c r="C4396" s="28" t="s">
        <v>14102</v>
      </c>
      <c r="D4396" s="27">
        <v>40379</v>
      </c>
      <c r="E4396" s="28" t="s">
        <v>14103</v>
      </c>
      <c r="F4396" s="28" t="s">
        <v>14104</v>
      </c>
      <c r="G4396" s="28" t="s">
        <v>20</v>
      </c>
      <c r="H4396" s="28" t="s">
        <v>71</v>
      </c>
      <c r="I4396" s="28" t="s">
        <v>72</v>
      </c>
      <c r="J4396" s="28" t="s">
        <v>14105</v>
      </c>
      <c r="K4396" s="28" t="s">
        <v>21</v>
      </c>
      <c r="L4396" s="28" t="s">
        <v>3588</v>
      </c>
      <c r="M4396" s="28" t="s">
        <v>4282</v>
      </c>
      <c r="O4396" s="92">
        <v>40732</v>
      </c>
      <c r="P4396" s="28" t="s">
        <v>21</v>
      </c>
      <c r="Q4396" s="26" t="b">
        <v>0</v>
      </c>
      <c r="R4396" s="22">
        <f t="shared" si="71"/>
        <v>351</v>
      </c>
    </row>
    <row r="4397" spans="1:18">
      <c r="A4397" s="26">
        <v>9610</v>
      </c>
      <c r="B4397" s="27">
        <v>40380</v>
      </c>
      <c r="C4397" s="28" t="s">
        <v>14106</v>
      </c>
      <c r="D4397" s="27">
        <v>40374</v>
      </c>
      <c r="E4397" s="28" t="s">
        <v>14107</v>
      </c>
      <c r="F4397" s="28" t="s">
        <v>14108</v>
      </c>
      <c r="G4397" s="28" t="s">
        <v>20</v>
      </c>
      <c r="H4397" s="28" t="s">
        <v>71</v>
      </c>
      <c r="I4397" s="28" t="s">
        <v>72</v>
      </c>
      <c r="J4397" s="28" t="s">
        <v>14109</v>
      </c>
      <c r="K4397" s="28" t="s">
        <v>21</v>
      </c>
      <c r="L4397" s="28" t="s">
        <v>4579</v>
      </c>
      <c r="M4397" s="28" t="s">
        <v>21</v>
      </c>
      <c r="O4397" s="92">
        <v>40395</v>
      </c>
      <c r="P4397" s="28" t="s">
        <v>21</v>
      </c>
      <c r="Q4397" s="26" t="b">
        <v>0</v>
      </c>
      <c r="R4397" s="22">
        <f t="shared" si="71"/>
        <v>14</v>
      </c>
    </row>
    <row r="4398" spans="1:18" ht="24">
      <c r="A4398" s="26">
        <v>9611</v>
      </c>
      <c r="B4398" s="27">
        <v>40386</v>
      </c>
      <c r="C4398" s="28" t="s">
        <v>14110</v>
      </c>
      <c r="D4398" s="27">
        <v>40386</v>
      </c>
      <c r="E4398" s="28" t="s">
        <v>38</v>
      </c>
      <c r="F4398" s="28" t="s">
        <v>984</v>
      </c>
      <c r="G4398" s="28" t="s">
        <v>20</v>
      </c>
      <c r="H4398" s="28" t="s">
        <v>71</v>
      </c>
      <c r="I4398" s="28" t="s">
        <v>72</v>
      </c>
      <c r="J4398" s="28" t="s">
        <v>14111</v>
      </c>
      <c r="K4398" s="28" t="s">
        <v>21</v>
      </c>
      <c r="L4398" s="28" t="s">
        <v>4579</v>
      </c>
      <c r="M4398" s="28" t="s">
        <v>21</v>
      </c>
      <c r="O4398" s="92">
        <v>40386</v>
      </c>
      <c r="P4398" s="28" t="s">
        <v>21</v>
      </c>
      <c r="Q4398" s="26" t="b">
        <v>0</v>
      </c>
      <c r="R4398" s="22">
        <f t="shared" si="71"/>
        <v>0</v>
      </c>
    </row>
    <row r="4399" spans="1:18">
      <c r="A4399" s="26">
        <v>9612</v>
      </c>
      <c r="B4399" s="27">
        <v>40387</v>
      </c>
      <c r="C4399" s="28" t="s">
        <v>14112</v>
      </c>
      <c r="D4399" s="27">
        <v>40378</v>
      </c>
      <c r="E4399" s="28" t="s">
        <v>14113</v>
      </c>
      <c r="F4399" s="28" t="s">
        <v>14114</v>
      </c>
      <c r="G4399" s="28" t="s">
        <v>20</v>
      </c>
      <c r="H4399" s="28" t="s">
        <v>71</v>
      </c>
      <c r="I4399" s="28" t="s">
        <v>72</v>
      </c>
      <c r="J4399" s="28" t="s">
        <v>14115</v>
      </c>
      <c r="K4399" s="28" t="s">
        <v>11774</v>
      </c>
      <c r="L4399" s="28" t="s">
        <v>4579</v>
      </c>
      <c r="M4399" s="28" t="s">
        <v>1946</v>
      </c>
      <c r="O4399" s="92">
        <v>40518</v>
      </c>
      <c r="P4399" s="28" t="s">
        <v>21</v>
      </c>
      <c r="Q4399" s="26" t="b">
        <v>0</v>
      </c>
      <c r="R4399" s="22">
        <f t="shared" si="71"/>
        <v>129</v>
      </c>
    </row>
    <row r="4400" spans="1:18">
      <c r="A4400" s="26">
        <v>9613</v>
      </c>
      <c r="B4400" s="27">
        <v>40388</v>
      </c>
      <c r="C4400" s="28" t="s">
        <v>14116</v>
      </c>
      <c r="D4400" s="27">
        <v>40381</v>
      </c>
      <c r="E4400" s="28" t="s">
        <v>14117</v>
      </c>
      <c r="F4400" s="28" t="s">
        <v>14118</v>
      </c>
      <c r="G4400" s="28" t="s">
        <v>20</v>
      </c>
      <c r="H4400" s="28" t="s">
        <v>71</v>
      </c>
      <c r="I4400" s="28" t="s">
        <v>72</v>
      </c>
      <c r="J4400" s="28" t="s">
        <v>14119</v>
      </c>
      <c r="K4400" s="28" t="s">
        <v>328</v>
      </c>
      <c r="L4400" s="28" t="s">
        <v>4282</v>
      </c>
      <c r="M4400" s="28" t="s">
        <v>21</v>
      </c>
      <c r="O4400" s="92">
        <v>40407</v>
      </c>
      <c r="P4400" s="28" t="s">
        <v>21</v>
      </c>
      <c r="Q4400" s="26" t="b">
        <v>0</v>
      </c>
      <c r="R4400" s="22">
        <f t="shared" si="71"/>
        <v>18</v>
      </c>
    </row>
    <row r="4401" spans="1:18">
      <c r="A4401" s="26">
        <v>9614</v>
      </c>
      <c r="B4401" s="27">
        <v>40392</v>
      </c>
      <c r="C4401" s="28" t="s">
        <v>14120</v>
      </c>
      <c r="D4401" s="27">
        <v>40371</v>
      </c>
      <c r="E4401" s="28" t="s">
        <v>14121</v>
      </c>
      <c r="F4401" s="28" t="s">
        <v>124</v>
      </c>
      <c r="G4401" s="28" t="s">
        <v>20</v>
      </c>
      <c r="H4401" s="28" t="s">
        <v>71</v>
      </c>
      <c r="I4401" s="28" t="s">
        <v>72</v>
      </c>
      <c r="J4401" s="28" t="s">
        <v>14122</v>
      </c>
      <c r="K4401" s="28" t="s">
        <v>21</v>
      </c>
      <c r="L4401" s="28" t="s">
        <v>3588</v>
      </c>
      <c r="M4401" s="28" t="s">
        <v>21</v>
      </c>
      <c r="O4401" s="92">
        <v>40464</v>
      </c>
      <c r="P4401" s="28" t="s">
        <v>21</v>
      </c>
      <c r="Q4401" s="26" t="b">
        <v>0</v>
      </c>
      <c r="R4401" s="22">
        <f t="shared" si="71"/>
        <v>71</v>
      </c>
    </row>
    <row r="4402" spans="1:18">
      <c r="A4402" s="26">
        <v>9615</v>
      </c>
      <c r="B4402" s="27">
        <v>40392</v>
      </c>
      <c r="C4402" s="28" t="s">
        <v>14123</v>
      </c>
      <c r="D4402" s="27">
        <v>40388</v>
      </c>
      <c r="E4402" s="28" t="s">
        <v>14107</v>
      </c>
      <c r="F4402" s="28" t="s">
        <v>149</v>
      </c>
      <c r="G4402" s="28" t="s">
        <v>20</v>
      </c>
      <c r="H4402" s="28" t="s">
        <v>71</v>
      </c>
      <c r="I4402" s="28" t="s">
        <v>72</v>
      </c>
      <c r="J4402" s="28" t="s">
        <v>14124</v>
      </c>
      <c r="K4402" s="28" t="s">
        <v>14125</v>
      </c>
      <c r="L4402" s="28" t="s">
        <v>4579</v>
      </c>
      <c r="M4402" s="28" t="s">
        <v>21</v>
      </c>
      <c r="O4402" s="92">
        <v>40623</v>
      </c>
      <c r="P4402" s="28" t="s">
        <v>21</v>
      </c>
      <c r="Q4402" s="26" t="b">
        <v>0</v>
      </c>
      <c r="R4402" s="22">
        <f t="shared" si="71"/>
        <v>232</v>
      </c>
    </row>
    <row r="4403" spans="1:18">
      <c r="A4403" s="26">
        <v>9616</v>
      </c>
      <c r="B4403" s="27">
        <v>40392</v>
      </c>
      <c r="C4403" s="28" t="s">
        <v>14126</v>
      </c>
      <c r="D4403" s="27">
        <v>40379</v>
      </c>
      <c r="E4403" s="28" t="s">
        <v>14127</v>
      </c>
      <c r="F4403" s="28" t="s">
        <v>8522</v>
      </c>
      <c r="G4403" s="28" t="s">
        <v>20</v>
      </c>
      <c r="H4403" s="28" t="s">
        <v>189</v>
      </c>
      <c r="I4403" s="28" t="s">
        <v>189</v>
      </c>
      <c r="J4403" s="28" t="s">
        <v>14128</v>
      </c>
      <c r="K4403" s="28" t="s">
        <v>14129</v>
      </c>
      <c r="L4403" s="28" t="s">
        <v>3588</v>
      </c>
      <c r="M4403" s="28" t="s">
        <v>21</v>
      </c>
      <c r="O4403" s="92">
        <v>40420</v>
      </c>
      <c r="P4403" s="28" t="s">
        <v>21</v>
      </c>
      <c r="Q4403" s="26" t="b">
        <v>0</v>
      </c>
      <c r="R4403" s="22">
        <f t="shared" si="71"/>
        <v>28</v>
      </c>
    </row>
    <row r="4404" spans="1:18">
      <c r="A4404" s="26">
        <v>9617</v>
      </c>
      <c r="B4404" s="27">
        <v>40393</v>
      </c>
      <c r="C4404" s="28" t="s">
        <v>14130</v>
      </c>
      <c r="D4404" s="27">
        <v>40392</v>
      </c>
      <c r="E4404" s="28" t="s">
        <v>14131</v>
      </c>
      <c r="F4404" s="28" t="s">
        <v>14132</v>
      </c>
      <c r="G4404" s="28" t="s">
        <v>20</v>
      </c>
      <c r="H4404" s="28" t="s">
        <v>71</v>
      </c>
      <c r="I4404" s="28" t="s">
        <v>72</v>
      </c>
      <c r="J4404" s="28" t="s">
        <v>14133</v>
      </c>
      <c r="K4404" s="28" t="s">
        <v>21</v>
      </c>
      <c r="L4404" s="28" t="s">
        <v>1946</v>
      </c>
      <c r="M4404" s="28" t="s">
        <v>21</v>
      </c>
      <c r="O4404" s="92">
        <v>40406</v>
      </c>
      <c r="P4404" s="28" t="s">
        <v>21</v>
      </c>
      <c r="Q4404" s="26" t="b">
        <v>0</v>
      </c>
      <c r="R4404" s="22">
        <f t="shared" si="71"/>
        <v>13</v>
      </c>
    </row>
    <row r="4405" spans="1:18">
      <c r="A4405" s="26">
        <v>9618</v>
      </c>
      <c r="B4405" s="27">
        <v>40394</v>
      </c>
      <c r="C4405" s="28" t="s">
        <v>14134</v>
      </c>
      <c r="D4405" s="27">
        <v>40388</v>
      </c>
      <c r="E4405" s="28" t="s">
        <v>14135</v>
      </c>
      <c r="F4405" s="28" t="s">
        <v>14136</v>
      </c>
      <c r="G4405" s="28" t="s">
        <v>20</v>
      </c>
      <c r="H4405" s="28" t="s">
        <v>189</v>
      </c>
      <c r="I4405" s="28" t="s">
        <v>189</v>
      </c>
      <c r="J4405" s="28" t="s">
        <v>14137</v>
      </c>
      <c r="K4405" s="28" t="s">
        <v>14138</v>
      </c>
      <c r="L4405" s="28" t="s">
        <v>4579</v>
      </c>
      <c r="M4405" s="28" t="s">
        <v>3588</v>
      </c>
      <c r="O4405" s="92">
        <v>40500</v>
      </c>
      <c r="P4405" s="28" t="s">
        <v>21</v>
      </c>
      <c r="Q4405" s="26" t="b">
        <v>0</v>
      </c>
      <c r="R4405" s="22">
        <f t="shared" si="71"/>
        <v>105</v>
      </c>
    </row>
    <row r="4406" spans="1:18">
      <c r="A4406" s="26">
        <v>9620</v>
      </c>
      <c r="B4406" s="27">
        <v>40395</v>
      </c>
      <c r="C4406" s="28" t="s">
        <v>14139</v>
      </c>
      <c r="D4406" s="27">
        <v>40394</v>
      </c>
      <c r="E4406" s="28" t="s">
        <v>14140</v>
      </c>
      <c r="F4406" s="28" t="s">
        <v>11375</v>
      </c>
      <c r="G4406" s="28" t="s">
        <v>20</v>
      </c>
      <c r="H4406" s="28" t="s">
        <v>189</v>
      </c>
      <c r="I4406" s="28" t="s">
        <v>189</v>
      </c>
      <c r="J4406" s="28" t="s">
        <v>405</v>
      </c>
      <c r="K4406" s="28" t="s">
        <v>21</v>
      </c>
      <c r="L4406" s="28" t="s">
        <v>4579</v>
      </c>
      <c r="M4406" s="28" t="s">
        <v>3588</v>
      </c>
      <c r="O4406" s="92">
        <v>40556</v>
      </c>
      <c r="P4406" s="28" t="s">
        <v>21</v>
      </c>
      <c r="Q4406" s="26" t="b">
        <v>0</v>
      </c>
      <c r="R4406" s="22">
        <f t="shared" si="71"/>
        <v>160</v>
      </c>
    </row>
    <row r="4407" spans="1:18" ht="24">
      <c r="A4407" s="26">
        <v>9621</v>
      </c>
      <c r="B4407" s="27">
        <v>40400</v>
      </c>
      <c r="C4407" s="28" t="s">
        <v>14141</v>
      </c>
      <c r="D4407" s="27">
        <v>40400</v>
      </c>
      <c r="E4407" s="28" t="s">
        <v>38</v>
      </c>
      <c r="F4407" s="28" t="s">
        <v>14142</v>
      </c>
      <c r="G4407" s="28" t="s">
        <v>20</v>
      </c>
      <c r="H4407" s="28" t="s">
        <v>21</v>
      </c>
      <c r="I4407" s="28" t="s">
        <v>21</v>
      </c>
      <c r="J4407" s="28" t="s">
        <v>14143</v>
      </c>
      <c r="K4407" s="28" t="s">
        <v>21</v>
      </c>
      <c r="L4407" s="28" t="s">
        <v>4579</v>
      </c>
      <c r="M4407" s="28" t="s">
        <v>21</v>
      </c>
      <c r="O4407" s="92">
        <v>40401</v>
      </c>
      <c r="P4407" s="28" t="s">
        <v>21</v>
      </c>
      <c r="Q4407" s="26" t="b">
        <v>0</v>
      </c>
      <c r="R4407" s="22">
        <f t="shared" si="71"/>
        <v>1</v>
      </c>
    </row>
    <row r="4408" spans="1:18">
      <c r="A4408" s="26">
        <v>9622</v>
      </c>
      <c r="B4408" s="27">
        <v>40400</v>
      </c>
      <c r="C4408" s="28" t="s">
        <v>14144</v>
      </c>
      <c r="D4408" s="27">
        <v>40399</v>
      </c>
      <c r="E4408" s="28" t="s">
        <v>38</v>
      </c>
      <c r="F4408" s="28" t="s">
        <v>6049</v>
      </c>
      <c r="G4408" s="28" t="s">
        <v>20</v>
      </c>
      <c r="H4408" s="28" t="s">
        <v>71</v>
      </c>
      <c r="I4408" s="28" t="s">
        <v>72</v>
      </c>
      <c r="J4408" s="28" t="s">
        <v>14145</v>
      </c>
      <c r="K4408" s="28" t="s">
        <v>21</v>
      </c>
      <c r="L4408" s="28" t="s">
        <v>4579</v>
      </c>
      <c r="M4408" s="28" t="s">
        <v>21</v>
      </c>
      <c r="O4408" s="92">
        <v>40401</v>
      </c>
      <c r="P4408" s="28" t="s">
        <v>21</v>
      </c>
      <c r="Q4408" s="26" t="b">
        <v>0</v>
      </c>
      <c r="R4408" s="22">
        <f t="shared" si="71"/>
        <v>1</v>
      </c>
    </row>
    <row r="4409" spans="1:18">
      <c r="A4409" s="26">
        <v>9623</v>
      </c>
      <c r="B4409" s="27">
        <v>40406</v>
      </c>
      <c r="C4409" s="28" t="s">
        <v>14146</v>
      </c>
      <c r="D4409" s="27">
        <v>40392</v>
      </c>
      <c r="E4409" s="28" t="s">
        <v>14147</v>
      </c>
      <c r="F4409" s="28" t="s">
        <v>14132</v>
      </c>
      <c r="G4409" s="28" t="s">
        <v>20</v>
      </c>
      <c r="H4409" s="28" t="s">
        <v>71</v>
      </c>
      <c r="I4409" s="28" t="s">
        <v>72</v>
      </c>
      <c r="J4409" s="28" t="s">
        <v>14133</v>
      </c>
      <c r="K4409" s="28" t="s">
        <v>14148</v>
      </c>
      <c r="L4409" s="28" t="s">
        <v>4579</v>
      </c>
      <c r="M4409" s="28" t="s">
        <v>21</v>
      </c>
      <c r="O4409" s="92">
        <v>40471</v>
      </c>
      <c r="P4409" s="28" t="s">
        <v>21</v>
      </c>
      <c r="Q4409" s="26" t="b">
        <v>0</v>
      </c>
      <c r="R4409" s="22">
        <f t="shared" si="71"/>
        <v>64</v>
      </c>
    </row>
    <row r="4410" spans="1:18">
      <c r="A4410" s="26">
        <v>9624</v>
      </c>
      <c r="B4410" s="27">
        <v>40406</v>
      </c>
      <c r="C4410" s="28" t="s">
        <v>14149</v>
      </c>
      <c r="D4410" s="27">
        <v>40402</v>
      </c>
      <c r="E4410" s="28" t="s">
        <v>14150</v>
      </c>
      <c r="F4410" s="28" t="s">
        <v>6277</v>
      </c>
      <c r="G4410" s="28" t="s">
        <v>20</v>
      </c>
      <c r="H4410" s="28" t="s">
        <v>71</v>
      </c>
      <c r="I4410" s="28" t="s">
        <v>72</v>
      </c>
      <c r="J4410" s="28" t="s">
        <v>14151</v>
      </c>
      <c r="K4410" s="28" t="s">
        <v>21</v>
      </c>
      <c r="L4410" s="28" t="s">
        <v>4282</v>
      </c>
      <c r="M4410" s="28" t="s">
        <v>21</v>
      </c>
      <c r="O4410" s="92">
        <v>40455</v>
      </c>
      <c r="P4410" s="28" t="s">
        <v>21</v>
      </c>
      <c r="Q4410" s="26" t="b">
        <v>0</v>
      </c>
      <c r="R4410" s="22">
        <f t="shared" si="71"/>
        <v>48</v>
      </c>
    </row>
    <row r="4411" spans="1:18" ht="24">
      <c r="A4411" s="26">
        <v>9625</v>
      </c>
      <c r="B4411" s="27">
        <v>40407</v>
      </c>
      <c r="C4411" s="28" t="s">
        <v>14152</v>
      </c>
      <c r="D4411" s="27">
        <v>40406</v>
      </c>
      <c r="E4411" s="28" t="s">
        <v>14153</v>
      </c>
      <c r="F4411" s="28" t="s">
        <v>14075</v>
      </c>
      <c r="G4411" s="28" t="s">
        <v>20</v>
      </c>
      <c r="H4411" s="28" t="s">
        <v>71</v>
      </c>
      <c r="I4411" s="28" t="s">
        <v>72</v>
      </c>
      <c r="J4411" s="28" t="s">
        <v>14154</v>
      </c>
      <c r="K4411" s="28" t="s">
        <v>21</v>
      </c>
      <c r="L4411" s="28" t="s">
        <v>4579</v>
      </c>
      <c r="M4411" s="28" t="s">
        <v>21</v>
      </c>
      <c r="O4411" s="92">
        <v>40561</v>
      </c>
      <c r="P4411" s="28" t="s">
        <v>21</v>
      </c>
      <c r="Q4411" s="26" t="b">
        <v>0</v>
      </c>
      <c r="R4411" s="22">
        <f t="shared" si="71"/>
        <v>153</v>
      </c>
    </row>
    <row r="4412" spans="1:18">
      <c r="A4412" s="26">
        <v>9626</v>
      </c>
      <c r="B4412" s="27">
        <v>40409</v>
      </c>
      <c r="C4412" s="28" t="s">
        <v>14155</v>
      </c>
      <c r="D4412" s="27">
        <v>40409</v>
      </c>
      <c r="E4412" s="28" t="s">
        <v>38</v>
      </c>
      <c r="F4412" s="28" t="s">
        <v>6372</v>
      </c>
      <c r="G4412" s="28" t="s">
        <v>20</v>
      </c>
      <c r="H4412" s="28" t="s">
        <v>71</v>
      </c>
      <c r="I4412" s="28" t="s">
        <v>72</v>
      </c>
      <c r="J4412" s="28" t="s">
        <v>14156</v>
      </c>
      <c r="K4412" s="28" t="s">
        <v>21</v>
      </c>
      <c r="L4412" s="28" t="s">
        <v>4579</v>
      </c>
      <c r="M4412" s="28" t="s">
        <v>21</v>
      </c>
      <c r="O4412" s="92">
        <v>40409</v>
      </c>
      <c r="P4412" s="28" t="s">
        <v>21</v>
      </c>
      <c r="Q4412" s="26" t="b">
        <v>0</v>
      </c>
      <c r="R4412" s="22">
        <f t="shared" si="71"/>
        <v>0</v>
      </c>
    </row>
    <row r="4413" spans="1:18">
      <c r="A4413" s="26">
        <v>9627</v>
      </c>
      <c r="B4413" s="27">
        <v>40420</v>
      </c>
      <c r="C4413" s="28" t="s">
        <v>14157</v>
      </c>
      <c r="D4413" s="27">
        <v>40374</v>
      </c>
      <c r="E4413" s="28" t="s">
        <v>38</v>
      </c>
      <c r="F4413" s="28" t="s">
        <v>124</v>
      </c>
      <c r="G4413" s="28" t="s">
        <v>20</v>
      </c>
      <c r="H4413" s="28" t="s">
        <v>71</v>
      </c>
      <c r="I4413" s="28" t="s">
        <v>72</v>
      </c>
      <c r="J4413" s="28" t="s">
        <v>14158</v>
      </c>
      <c r="K4413" s="28" t="s">
        <v>21</v>
      </c>
      <c r="L4413" s="28" t="s">
        <v>4579</v>
      </c>
      <c r="M4413" s="28" t="s">
        <v>21</v>
      </c>
      <c r="O4413" s="92">
        <v>40421</v>
      </c>
      <c r="P4413" s="28" t="s">
        <v>21</v>
      </c>
      <c r="Q4413" s="26" t="b">
        <v>0</v>
      </c>
      <c r="R4413" s="22">
        <f t="shared" si="71"/>
        <v>0</v>
      </c>
    </row>
    <row r="4414" spans="1:18">
      <c r="A4414" s="26">
        <v>9628</v>
      </c>
      <c r="B4414" s="27">
        <v>40420</v>
      </c>
      <c r="C4414" s="28" t="s">
        <v>14159</v>
      </c>
      <c r="D4414" s="27">
        <v>40415</v>
      </c>
      <c r="E4414" s="28" t="s">
        <v>14160</v>
      </c>
      <c r="F4414" s="28" t="s">
        <v>283</v>
      </c>
      <c r="G4414" s="28" t="s">
        <v>20</v>
      </c>
      <c r="H4414" s="28" t="s">
        <v>71</v>
      </c>
      <c r="I4414" s="28" t="s">
        <v>72</v>
      </c>
      <c r="J4414" s="28" t="s">
        <v>14161</v>
      </c>
      <c r="K4414" s="28" t="s">
        <v>21</v>
      </c>
      <c r="L4414" s="28" t="s">
        <v>1946</v>
      </c>
      <c r="M4414" s="28" t="s">
        <v>21</v>
      </c>
      <c r="O4414" s="92">
        <v>40434</v>
      </c>
      <c r="P4414" s="28" t="s">
        <v>21</v>
      </c>
      <c r="Q4414" s="26" t="b">
        <v>0</v>
      </c>
      <c r="R4414" s="22">
        <f t="shared" si="71"/>
        <v>13</v>
      </c>
    </row>
    <row r="4415" spans="1:18">
      <c r="A4415" s="26">
        <v>9629</v>
      </c>
      <c r="B4415" s="27">
        <v>40420</v>
      </c>
      <c r="C4415" s="28" t="s">
        <v>14162</v>
      </c>
      <c r="D4415" s="27">
        <v>40413</v>
      </c>
      <c r="E4415" s="28" t="s">
        <v>14163</v>
      </c>
      <c r="F4415" s="28" t="s">
        <v>877</v>
      </c>
      <c r="G4415" s="28" t="s">
        <v>20</v>
      </c>
      <c r="H4415" s="28" t="s">
        <v>71</v>
      </c>
      <c r="I4415" s="28" t="s">
        <v>72</v>
      </c>
      <c r="J4415" s="28" t="s">
        <v>14164</v>
      </c>
      <c r="K4415" s="28" t="s">
        <v>21</v>
      </c>
      <c r="L4415" s="28" t="s">
        <v>1946</v>
      </c>
      <c r="M4415" s="28" t="s">
        <v>21</v>
      </c>
      <c r="O4415" s="92">
        <v>40556</v>
      </c>
      <c r="P4415" s="28" t="s">
        <v>21</v>
      </c>
      <c r="Q4415" s="26" t="b">
        <v>0</v>
      </c>
      <c r="R4415" s="22">
        <f t="shared" si="71"/>
        <v>134</v>
      </c>
    </row>
    <row r="4416" spans="1:18" ht="24">
      <c r="A4416" s="26">
        <v>9630</v>
      </c>
      <c r="B4416" s="27">
        <v>40420</v>
      </c>
      <c r="C4416" s="28" t="s">
        <v>14165</v>
      </c>
      <c r="D4416" s="27">
        <v>40414</v>
      </c>
      <c r="E4416" s="28" t="s">
        <v>14166</v>
      </c>
      <c r="F4416" s="28" t="s">
        <v>145</v>
      </c>
      <c r="G4416" s="28" t="s">
        <v>20</v>
      </c>
      <c r="H4416" s="28" t="s">
        <v>71</v>
      </c>
      <c r="I4416" s="28" t="s">
        <v>72</v>
      </c>
      <c r="J4416" s="28" t="s">
        <v>14167</v>
      </c>
      <c r="K4416" s="28" t="s">
        <v>21</v>
      </c>
      <c r="L4416" s="28" t="s">
        <v>4282</v>
      </c>
      <c r="M4416" s="28" t="s">
        <v>14168</v>
      </c>
      <c r="O4416" s="92">
        <v>41673</v>
      </c>
      <c r="P4416" s="28" t="s">
        <v>21</v>
      </c>
      <c r="Q4416" s="26" t="b">
        <v>0</v>
      </c>
      <c r="R4416" s="22">
        <f t="shared" si="71"/>
        <v>1250</v>
      </c>
    </row>
    <row r="4417" spans="1:18">
      <c r="A4417" s="26">
        <v>9631</v>
      </c>
      <c r="B4417" s="27">
        <v>40421</v>
      </c>
      <c r="C4417" s="28" t="s">
        <v>14169</v>
      </c>
      <c r="D4417" s="27">
        <v>40415</v>
      </c>
      <c r="E4417" s="28" t="s">
        <v>14170</v>
      </c>
      <c r="F4417" s="28" t="s">
        <v>13422</v>
      </c>
      <c r="G4417" s="28" t="s">
        <v>20</v>
      </c>
      <c r="H4417" s="28" t="s">
        <v>71</v>
      </c>
      <c r="I4417" s="28" t="s">
        <v>72</v>
      </c>
      <c r="J4417" s="28" t="s">
        <v>14171</v>
      </c>
      <c r="K4417" s="28" t="s">
        <v>21</v>
      </c>
      <c r="L4417" s="28" t="s">
        <v>1946</v>
      </c>
      <c r="M4417" s="28" t="s">
        <v>21</v>
      </c>
      <c r="O4417" s="92">
        <v>40556</v>
      </c>
      <c r="P4417" s="28" t="s">
        <v>21</v>
      </c>
      <c r="Q4417" s="26" t="b">
        <v>0</v>
      </c>
      <c r="R4417" s="22">
        <f t="shared" si="71"/>
        <v>134</v>
      </c>
    </row>
    <row r="4418" spans="1:18">
      <c r="A4418" s="26">
        <v>9632</v>
      </c>
      <c r="B4418" s="27">
        <v>40421</v>
      </c>
      <c r="C4418" s="28" t="s">
        <v>14172</v>
      </c>
      <c r="D4418" s="27">
        <v>40421</v>
      </c>
      <c r="E4418" s="28" t="s">
        <v>38</v>
      </c>
      <c r="F4418" s="28" t="s">
        <v>14118</v>
      </c>
      <c r="G4418" s="28" t="s">
        <v>20</v>
      </c>
      <c r="H4418" s="28" t="s">
        <v>71</v>
      </c>
      <c r="I4418" s="28" t="s">
        <v>72</v>
      </c>
      <c r="J4418" s="28" t="s">
        <v>14173</v>
      </c>
      <c r="K4418" s="28" t="s">
        <v>14174</v>
      </c>
      <c r="L4418" s="28" t="s">
        <v>4579</v>
      </c>
      <c r="M4418" s="28" t="s">
        <v>21</v>
      </c>
      <c r="O4418" s="92">
        <v>40421</v>
      </c>
      <c r="P4418" s="28" t="s">
        <v>21</v>
      </c>
      <c r="Q4418" s="26" t="b">
        <v>0</v>
      </c>
      <c r="R4418" s="22">
        <f t="shared" si="71"/>
        <v>0</v>
      </c>
    </row>
    <row r="4419" spans="1:18">
      <c r="A4419" s="26">
        <v>9633</v>
      </c>
      <c r="B4419" s="27">
        <v>40422</v>
      </c>
      <c r="C4419" s="28" t="s">
        <v>14175</v>
      </c>
      <c r="D4419" s="27">
        <v>40422</v>
      </c>
      <c r="E4419" s="28" t="s">
        <v>38</v>
      </c>
      <c r="F4419" s="28" t="s">
        <v>145</v>
      </c>
      <c r="G4419" s="28" t="s">
        <v>20</v>
      </c>
      <c r="H4419" s="28" t="s">
        <v>71</v>
      </c>
      <c r="I4419" s="28" t="s">
        <v>72</v>
      </c>
      <c r="J4419" s="28" t="s">
        <v>14176</v>
      </c>
      <c r="K4419" s="28" t="s">
        <v>21</v>
      </c>
      <c r="L4419" s="28" t="s">
        <v>4579</v>
      </c>
      <c r="M4419" s="28" t="s">
        <v>21</v>
      </c>
      <c r="O4419" s="92">
        <v>40422</v>
      </c>
      <c r="P4419" s="28" t="s">
        <v>21</v>
      </c>
      <c r="Q4419" s="26" t="b">
        <v>0</v>
      </c>
      <c r="R4419" s="22">
        <f t="shared" si="71"/>
        <v>0</v>
      </c>
    </row>
    <row r="4420" spans="1:18">
      <c r="A4420" s="26">
        <v>9634</v>
      </c>
      <c r="B4420" s="27">
        <v>40428</v>
      </c>
      <c r="C4420" s="28" t="s">
        <v>14177</v>
      </c>
      <c r="D4420" s="27">
        <v>40423</v>
      </c>
      <c r="E4420" s="28" t="s">
        <v>38</v>
      </c>
      <c r="F4420" s="28" t="s">
        <v>14178</v>
      </c>
      <c r="G4420" s="28" t="s">
        <v>20</v>
      </c>
      <c r="H4420" s="28" t="s">
        <v>566</v>
      </c>
      <c r="I4420" s="28" t="s">
        <v>566</v>
      </c>
      <c r="J4420" s="28" t="s">
        <v>14179</v>
      </c>
      <c r="K4420" s="28" t="s">
        <v>21</v>
      </c>
      <c r="L4420" s="28" t="s">
        <v>4579</v>
      </c>
      <c r="M4420" s="28" t="s">
        <v>21</v>
      </c>
      <c r="O4420" s="92">
        <v>40428</v>
      </c>
      <c r="P4420" s="28" t="s">
        <v>21</v>
      </c>
      <c r="Q4420" s="26" t="b">
        <v>0</v>
      </c>
      <c r="R4420" s="22">
        <f t="shared" si="71"/>
        <v>0</v>
      </c>
    </row>
    <row r="4421" spans="1:18">
      <c r="A4421" s="26">
        <v>9635</v>
      </c>
      <c r="B4421" s="27">
        <v>40429</v>
      </c>
      <c r="C4421" s="28" t="s">
        <v>14180</v>
      </c>
      <c r="D4421" s="27">
        <v>40428</v>
      </c>
      <c r="E4421" s="28" t="s">
        <v>14181</v>
      </c>
      <c r="F4421" s="28" t="s">
        <v>27</v>
      </c>
      <c r="G4421" s="28" t="s">
        <v>20</v>
      </c>
      <c r="H4421" s="28" t="s">
        <v>71</v>
      </c>
      <c r="I4421" s="28" t="s">
        <v>72</v>
      </c>
      <c r="J4421" s="28" t="s">
        <v>14182</v>
      </c>
      <c r="K4421" s="28" t="s">
        <v>14183</v>
      </c>
      <c r="L4421" s="28" t="s">
        <v>4282</v>
      </c>
      <c r="M4421" s="28" t="s">
        <v>21</v>
      </c>
      <c r="O4421" s="92">
        <v>41464</v>
      </c>
      <c r="P4421" s="28" t="s">
        <v>21</v>
      </c>
      <c r="Q4421" s="26" t="b">
        <v>0</v>
      </c>
      <c r="R4421" s="22">
        <f t="shared" si="71"/>
        <v>1035</v>
      </c>
    </row>
    <row r="4422" spans="1:18">
      <c r="A4422" s="26">
        <v>9636</v>
      </c>
      <c r="B4422" s="27">
        <v>40429</v>
      </c>
      <c r="C4422" s="28" t="s">
        <v>14184</v>
      </c>
      <c r="D4422" s="27">
        <v>40424</v>
      </c>
      <c r="E4422" s="28" t="s">
        <v>14185</v>
      </c>
      <c r="F4422" s="28" t="s">
        <v>129</v>
      </c>
      <c r="G4422" s="28" t="s">
        <v>20</v>
      </c>
      <c r="H4422" s="28" t="s">
        <v>71</v>
      </c>
      <c r="I4422" s="28" t="s">
        <v>72</v>
      </c>
      <c r="J4422" s="28" t="s">
        <v>14186</v>
      </c>
      <c r="K4422" s="28" t="s">
        <v>21</v>
      </c>
      <c r="L4422" s="28" t="s">
        <v>4579</v>
      </c>
      <c r="M4422" s="28" t="s">
        <v>21</v>
      </c>
      <c r="O4422" s="92">
        <v>40512</v>
      </c>
      <c r="P4422" s="28" t="s">
        <v>21</v>
      </c>
      <c r="Q4422" s="26" t="b">
        <v>0</v>
      </c>
      <c r="R4422" s="22">
        <f t="shared" si="71"/>
        <v>83</v>
      </c>
    </row>
    <row r="4423" spans="1:18" ht="24">
      <c r="A4423" s="26">
        <v>9637</v>
      </c>
      <c r="B4423" s="27">
        <v>40430</v>
      </c>
      <c r="C4423" s="28" t="s">
        <v>14187</v>
      </c>
      <c r="D4423" s="27">
        <v>40428</v>
      </c>
      <c r="E4423" s="28" t="s">
        <v>14188</v>
      </c>
      <c r="F4423" s="28" t="s">
        <v>14189</v>
      </c>
      <c r="G4423" s="28" t="s">
        <v>20</v>
      </c>
      <c r="H4423" s="28" t="s">
        <v>71</v>
      </c>
      <c r="I4423" s="28" t="s">
        <v>72</v>
      </c>
      <c r="J4423" s="28" t="s">
        <v>14190</v>
      </c>
      <c r="K4423" s="28" t="s">
        <v>14191</v>
      </c>
      <c r="L4423" s="28" t="s">
        <v>4579</v>
      </c>
      <c r="M4423" s="28" t="s">
        <v>21</v>
      </c>
      <c r="O4423" s="92">
        <v>40436</v>
      </c>
      <c r="P4423" s="28" t="s">
        <v>21</v>
      </c>
      <c r="Q4423" s="26" t="b">
        <v>0</v>
      </c>
      <c r="R4423" s="22">
        <f t="shared" si="71"/>
        <v>6</v>
      </c>
    </row>
    <row r="4424" spans="1:18">
      <c r="A4424" s="26">
        <v>9638</v>
      </c>
      <c r="B4424" s="27">
        <v>40434</v>
      </c>
      <c r="C4424" s="28" t="s">
        <v>14192</v>
      </c>
      <c r="D4424" s="27">
        <v>40434</v>
      </c>
      <c r="E4424" s="28" t="s">
        <v>14193</v>
      </c>
      <c r="F4424" s="28" t="s">
        <v>56</v>
      </c>
      <c r="G4424" s="28" t="s">
        <v>20</v>
      </c>
      <c r="H4424" s="28" t="s">
        <v>71</v>
      </c>
      <c r="I4424" s="28" t="s">
        <v>72</v>
      </c>
      <c r="J4424" s="28" t="s">
        <v>14194</v>
      </c>
      <c r="K4424" s="28" t="s">
        <v>21</v>
      </c>
      <c r="L4424" s="28" t="s">
        <v>3588</v>
      </c>
      <c r="M4424" s="28" t="s">
        <v>4282</v>
      </c>
      <c r="O4424" s="92">
        <v>41256</v>
      </c>
      <c r="P4424" s="28" t="s">
        <v>21</v>
      </c>
      <c r="Q4424" s="26" t="b">
        <v>0</v>
      </c>
      <c r="R4424" s="22">
        <f t="shared" si="71"/>
        <v>821</v>
      </c>
    </row>
    <row r="4425" spans="1:18">
      <c r="A4425" s="26">
        <v>9639</v>
      </c>
      <c r="B4425" s="27">
        <v>40434</v>
      </c>
      <c r="C4425" s="28" t="s">
        <v>14195</v>
      </c>
      <c r="D4425" s="27">
        <v>40434</v>
      </c>
      <c r="E4425" s="28" t="s">
        <v>14196</v>
      </c>
      <c r="F4425" s="28" t="s">
        <v>19</v>
      </c>
      <c r="G4425" s="28" t="s">
        <v>20</v>
      </c>
      <c r="H4425" s="28" t="s">
        <v>71</v>
      </c>
      <c r="I4425" s="28" t="s">
        <v>72</v>
      </c>
      <c r="J4425" s="28" t="s">
        <v>14197</v>
      </c>
      <c r="K4425" s="28" t="s">
        <v>14198</v>
      </c>
      <c r="L4425" s="28" t="s">
        <v>1946</v>
      </c>
      <c r="M4425" s="28" t="s">
        <v>21</v>
      </c>
      <c r="O4425" s="92">
        <v>40464</v>
      </c>
      <c r="P4425" s="28" t="s">
        <v>21</v>
      </c>
      <c r="Q4425" s="26" t="b">
        <v>0</v>
      </c>
      <c r="R4425" s="22">
        <f t="shared" si="71"/>
        <v>30</v>
      </c>
    </row>
    <row r="4426" spans="1:18">
      <c r="A4426" s="26">
        <v>9641</v>
      </c>
      <c r="B4426" s="27">
        <v>40436</v>
      </c>
      <c r="C4426" s="28" t="s">
        <v>14199</v>
      </c>
      <c r="D4426" s="27">
        <v>40436</v>
      </c>
      <c r="E4426" s="28" t="s">
        <v>14200</v>
      </c>
      <c r="F4426" s="28" t="s">
        <v>8194</v>
      </c>
      <c r="G4426" s="28" t="s">
        <v>20</v>
      </c>
      <c r="H4426" s="28" t="s">
        <v>71</v>
      </c>
      <c r="I4426" s="28" t="s">
        <v>72</v>
      </c>
      <c r="J4426" s="28" t="s">
        <v>14201</v>
      </c>
      <c r="K4426" s="28" t="s">
        <v>14202</v>
      </c>
      <c r="L4426" s="28" t="s">
        <v>4579</v>
      </c>
      <c r="M4426" s="28" t="s">
        <v>3588</v>
      </c>
      <c r="O4426" s="92">
        <v>40500</v>
      </c>
      <c r="P4426" s="28" t="s">
        <v>21</v>
      </c>
      <c r="Q4426" s="26" t="b">
        <v>0</v>
      </c>
      <c r="R4426" s="22">
        <f t="shared" si="71"/>
        <v>63</v>
      </c>
    </row>
    <row r="4427" spans="1:18">
      <c r="A4427" s="26">
        <v>9642</v>
      </c>
      <c r="B4427" s="27">
        <v>40442</v>
      </c>
      <c r="C4427" s="28" t="s">
        <v>14203</v>
      </c>
      <c r="D4427" s="27">
        <v>40441</v>
      </c>
      <c r="E4427" s="28" t="s">
        <v>14204</v>
      </c>
      <c r="F4427" s="28" t="s">
        <v>145</v>
      </c>
      <c r="G4427" s="28" t="s">
        <v>20</v>
      </c>
      <c r="H4427" s="28" t="s">
        <v>71</v>
      </c>
      <c r="I4427" s="28" t="s">
        <v>72</v>
      </c>
      <c r="J4427" s="28" t="s">
        <v>14205</v>
      </c>
      <c r="K4427" s="28" t="s">
        <v>21</v>
      </c>
      <c r="L4427" s="28" t="s">
        <v>4579</v>
      </c>
      <c r="M4427" s="28" t="s">
        <v>21</v>
      </c>
      <c r="O4427" s="92">
        <v>40477</v>
      </c>
      <c r="P4427" s="28" t="s">
        <v>21</v>
      </c>
      <c r="Q4427" s="26" t="b">
        <v>0</v>
      </c>
      <c r="R4427" s="22">
        <f t="shared" si="71"/>
        <v>35</v>
      </c>
    </row>
    <row r="4428" spans="1:18">
      <c r="A4428" s="26">
        <v>9643</v>
      </c>
      <c r="B4428" s="27">
        <v>40443</v>
      </c>
      <c r="C4428" s="28" t="s">
        <v>14206</v>
      </c>
      <c r="D4428" s="27">
        <v>40443</v>
      </c>
      <c r="E4428" s="28" t="s">
        <v>38</v>
      </c>
      <c r="F4428" s="28" t="s">
        <v>2359</v>
      </c>
      <c r="G4428" s="28" t="s">
        <v>20</v>
      </c>
      <c r="H4428" s="28" t="s">
        <v>71</v>
      </c>
      <c r="I4428" s="28" t="s">
        <v>72</v>
      </c>
      <c r="J4428" s="28" t="s">
        <v>14207</v>
      </c>
      <c r="K4428" s="28" t="s">
        <v>21</v>
      </c>
      <c r="L4428" s="28" t="s">
        <v>11155</v>
      </c>
      <c r="M4428" s="28" t="s">
        <v>21</v>
      </c>
      <c r="O4428" s="92">
        <v>40464</v>
      </c>
      <c r="P4428" s="28" t="s">
        <v>21</v>
      </c>
      <c r="Q4428" s="26" t="b">
        <v>0</v>
      </c>
      <c r="R4428" s="22">
        <f t="shared" si="71"/>
        <v>21</v>
      </c>
    </row>
    <row r="4429" spans="1:18">
      <c r="A4429" s="26">
        <v>9644</v>
      </c>
      <c r="B4429" s="27">
        <v>40449</v>
      </c>
      <c r="C4429" s="28" t="s">
        <v>14208</v>
      </c>
      <c r="D4429" s="27">
        <v>40442</v>
      </c>
      <c r="E4429" s="28" t="s">
        <v>14209</v>
      </c>
      <c r="F4429" s="28" t="s">
        <v>14210</v>
      </c>
      <c r="G4429" s="28" t="s">
        <v>20</v>
      </c>
      <c r="H4429" s="28" t="s">
        <v>189</v>
      </c>
      <c r="I4429" s="28" t="s">
        <v>189</v>
      </c>
      <c r="J4429" s="28" t="s">
        <v>14211</v>
      </c>
      <c r="K4429" s="28" t="s">
        <v>21</v>
      </c>
      <c r="L4429" s="28" t="s">
        <v>4579</v>
      </c>
      <c r="M4429" s="28" t="s">
        <v>21</v>
      </c>
      <c r="O4429" s="92">
        <v>40548</v>
      </c>
      <c r="P4429" s="28" t="s">
        <v>21</v>
      </c>
      <c r="Q4429" s="26" t="b">
        <v>0</v>
      </c>
      <c r="R4429" s="22">
        <f t="shared" si="71"/>
        <v>98</v>
      </c>
    </row>
    <row r="4430" spans="1:18">
      <c r="A4430" s="26">
        <v>9645</v>
      </c>
      <c r="B4430" s="27">
        <v>40449</v>
      </c>
      <c r="C4430" s="28" t="s">
        <v>14212</v>
      </c>
      <c r="D4430" s="27">
        <v>40448</v>
      </c>
      <c r="E4430" s="28" t="s">
        <v>14213</v>
      </c>
      <c r="F4430" s="28" t="s">
        <v>70</v>
      </c>
      <c r="G4430" s="28" t="s">
        <v>20</v>
      </c>
      <c r="H4430" s="28" t="s">
        <v>71</v>
      </c>
      <c r="I4430" s="28" t="s">
        <v>72</v>
      </c>
      <c r="J4430" s="28" t="s">
        <v>14214</v>
      </c>
      <c r="K4430" s="28" t="s">
        <v>21</v>
      </c>
      <c r="L4430" s="28" t="s">
        <v>7167</v>
      </c>
      <c r="M4430" s="28" t="s">
        <v>4282</v>
      </c>
      <c r="O4430" s="92">
        <v>41583</v>
      </c>
      <c r="P4430" s="28" t="s">
        <v>21</v>
      </c>
      <c r="Q4430" s="26" t="b">
        <v>0</v>
      </c>
      <c r="R4430" s="22">
        <f t="shared" si="71"/>
        <v>1132</v>
      </c>
    </row>
    <row r="4431" spans="1:18">
      <c r="A4431" s="26">
        <v>9646</v>
      </c>
      <c r="B4431" s="27">
        <v>40450</v>
      </c>
      <c r="C4431" s="28" t="s">
        <v>14215</v>
      </c>
      <c r="D4431" s="27">
        <v>40448</v>
      </c>
      <c r="E4431" s="28" t="s">
        <v>38</v>
      </c>
      <c r="F4431" s="28" t="s">
        <v>98</v>
      </c>
      <c r="G4431" s="28" t="s">
        <v>20</v>
      </c>
      <c r="H4431" s="28" t="s">
        <v>71</v>
      </c>
      <c r="I4431" s="28" t="s">
        <v>72</v>
      </c>
      <c r="J4431" s="28" t="s">
        <v>14216</v>
      </c>
      <c r="K4431" s="28" t="s">
        <v>21</v>
      </c>
      <c r="L4431" s="28" t="s">
        <v>4579</v>
      </c>
      <c r="M4431" s="28" t="s">
        <v>21</v>
      </c>
      <c r="O4431" s="92">
        <v>40451</v>
      </c>
      <c r="P4431" s="28" t="s">
        <v>21</v>
      </c>
      <c r="Q4431" s="26" t="b">
        <v>0</v>
      </c>
      <c r="R4431" s="22">
        <f t="shared" si="71"/>
        <v>1</v>
      </c>
    </row>
    <row r="4432" spans="1:18">
      <c r="A4432" s="26">
        <v>9647</v>
      </c>
      <c r="B4432" s="27">
        <v>40450</v>
      </c>
      <c r="C4432" s="28" t="s">
        <v>14217</v>
      </c>
      <c r="D4432" s="27">
        <v>40449</v>
      </c>
      <c r="E4432" s="28" t="s">
        <v>14218</v>
      </c>
      <c r="F4432" s="28" t="s">
        <v>14219</v>
      </c>
      <c r="G4432" s="28" t="s">
        <v>20</v>
      </c>
      <c r="H4432" s="28" t="s">
        <v>71</v>
      </c>
      <c r="I4432" s="28" t="s">
        <v>72</v>
      </c>
      <c r="J4432" s="28" t="s">
        <v>14220</v>
      </c>
      <c r="K4432" s="28" t="s">
        <v>21</v>
      </c>
      <c r="L4432" s="28" t="s">
        <v>1946</v>
      </c>
      <c r="M4432" s="28" t="s">
        <v>21</v>
      </c>
      <c r="O4432" s="92">
        <v>41430</v>
      </c>
      <c r="P4432" s="28" t="s">
        <v>21</v>
      </c>
      <c r="Q4432" s="26" t="b">
        <v>0</v>
      </c>
      <c r="R4432" s="22">
        <f t="shared" si="71"/>
        <v>979</v>
      </c>
    </row>
    <row r="4433" spans="1:18">
      <c r="A4433" s="26">
        <v>9648</v>
      </c>
      <c r="B4433" s="27">
        <v>40451</v>
      </c>
      <c r="C4433" s="28" t="s">
        <v>14221</v>
      </c>
      <c r="D4433" s="27">
        <v>40449</v>
      </c>
      <c r="E4433" s="28" t="s">
        <v>14222</v>
      </c>
      <c r="F4433" s="28" t="s">
        <v>984</v>
      </c>
      <c r="G4433" s="28" t="s">
        <v>20</v>
      </c>
      <c r="H4433" s="28" t="s">
        <v>71</v>
      </c>
      <c r="I4433" s="28" t="s">
        <v>72</v>
      </c>
      <c r="J4433" s="28" t="s">
        <v>14190</v>
      </c>
      <c r="K4433" s="28" t="s">
        <v>21</v>
      </c>
      <c r="L4433" s="28" t="s">
        <v>4579</v>
      </c>
      <c r="M4433" s="28" t="s">
        <v>21</v>
      </c>
      <c r="O4433" s="92">
        <v>40485</v>
      </c>
      <c r="P4433" s="28" t="s">
        <v>21</v>
      </c>
      <c r="Q4433" s="26" t="b">
        <v>0</v>
      </c>
      <c r="R4433" s="22">
        <f t="shared" si="71"/>
        <v>33</v>
      </c>
    </row>
    <row r="4434" spans="1:18">
      <c r="A4434" s="26">
        <v>9649</v>
      </c>
      <c r="B4434" s="27">
        <v>40464</v>
      </c>
      <c r="C4434" s="28" t="s">
        <v>14223</v>
      </c>
      <c r="D4434" s="27">
        <v>40462</v>
      </c>
      <c r="E4434" s="28" t="s">
        <v>14224</v>
      </c>
      <c r="F4434" s="28" t="s">
        <v>14225</v>
      </c>
      <c r="G4434" s="28" t="s">
        <v>20</v>
      </c>
      <c r="H4434" s="28" t="s">
        <v>71</v>
      </c>
      <c r="I4434" s="28" t="s">
        <v>72</v>
      </c>
      <c r="J4434" s="28" t="s">
        <v>14226</v>
      </c>
      <c r="K4434" s="28" t="s">
        <v>14227</v>
      </c>
      <c r="L4434" s="28" t="s">
        <v>1946</v>
      </c>
      <c r="M4434" s="28" t="s">
        <v>21</v>
      </c>
      <c r="O4434" s="92">
        <v>40499</v>
      </c>
      <c r="P4434" s="28" t="s">
        <v>21</v>
      </c>
      <c r="Q4434" s="26" t="b">
        <v>0</v>
      </c>
      <c r="R4434" s="22">
        <f t="shared" si="71"/>
        <v>34</v>
      </c>
    </row>
    <row r="4435" spans="1:18">
      <c r="A4435" s="26">
        <v>9650</v>
      </c>
      <c r="B4435" s="27">
        <v>40464</v>
      </c>
      <c r="C4435" s="28" t="s">
        <v>14228</v>
      </c>
      <c r="D4435" s="27">
        <v>40457</v>
      </c>
      <c r="E4435" s="28" t="s">
        <v>14229</v>
      </c>
      <c r="F4435" s="28" t="s">
        <v>149</v>
      </c>
      <c r="G4435" s="28" t="s">
        <v>20</v>
      </c>
      <c r="H4435" s="28" t="s">
        <v>71</v>
      </c>
      <c r="I4435" s="28" t="s">
        <v>72</v>
      </c>
      <c r="J4435" s="28" t="s">
        <v>14230</v>
      </c>
      <c r="K4435" s="28" t="s">
        <v>21</v>
      </c>
      <c r="L4435" s="28" t="s">
        <v>4579</v>
      </c>
      <c r="M4435" s="28" t="s">
        <v>21</v>
      </c>
      <c r="O4435" s="92">
        <v>40486</v>
      </c>
      <c r="P4435" s="28" t="s">
        <v>21</v>
      </c>
      <c r="Q4435" s="26" t="b">
        <v>0</v>
      </c>
      <c r="R4435" s="22">
        <f t="shared" si="71"/>
        <v>21</v>
      </c>
    </row>
    <row r="4436" spans="1:18">
      <c r="A4436" s="26">
        <v>9652</v>
      </c>
      <c r="B4436" s="27">
        <v>40471</v>
      </c>
      <c r="C4436" s="28" t="s">
        <v>14231</v>
      </c>
      <c r="D4436" s="27">
        <v>40468</v>
      </c>
      <c r="E4436" s="28" t="s">
        <v>14232</v>
      </c>
      <c r="F4436" s="28" t="s">
        <v>14118</v>
      </c>
      <c r="G4436" s="28" t="s">
        <v>20</v>
      </c>
      <c r="H4436" s="28" t="s">
        <v>71</v>
      </c>
      <c r="I4436" s="28" t="s">
        <v>72</v>
      </c>
      <c r="J4436" s="28" t="s">
        <v>14118</v>
      </c>
      <c r="K4436" s="28" t="s">
        <v>21</v>
      </c>
      <c r="L4436" s="28" t="s">
        <v>7167</v>
      </c>
      <c r="M4436" s="28" t="s">
        <v>4282</v>
      </c>
      <c r="O4436" s="92">
        <v>41113</v>
      </c>
      <c r="P4436" s="28" t="s">
        <v>21</v>
      </c>
      <c r="Q4436" s="26" t="b">
        <v>0</v>
      </c>
      <c r="R4436" s="22">
        <f t="shared" si="71"/>
        <v>641</v>
      </c>
    </row>
    <row r="4437" spans="1:18">
      <c r="A4437" s="26">
        <v>9653</v>
      </c>
      <c r="B4437" s="27">
        <v>40471</v>
      </c>
      <c r="C4437" s="28" t="s">
        <v>14233</v>
      </c>
      <c r="D4437" s="27">
        <v>40469</v>
      </c>
      <c r="E4437" s="28" t="s">
        <v>14234</v>
      </c>
      <c r="F4437" s="28" t="s">
        <v>12404</v>
      </c>
      <c r="G4437" s="28" t="s">
        <v>20</v>
      </c>
      <c r="H4437" s="28" t="s">
        <v>71</v>
      </c>
      <c r="I4437" s="28" t="s">
        <v>72</v>
      </c>
      <c r="J4437" s="28" t="s">
        <v>14235</v>
      </c>
      <c r="K4437" s="28" t="s">
        <v>21</v>
      </c>
      <c r="L4437" s="28" t="s">
        <v>3588</v>
      </c>
      <c r="M4437" s="28" t="s">
        <v>4579</v>
      </c>
      <c r="O4437" s="92">
        <v>41100</v>
      </c>
      <c r="P4437" s="28" t="s">
        <v>21</v>
      </c>
      <c r="Q4437" s="26" t="b">
        <v>0</v>
      </c>
      <c r="R4437" s="22">
        <f t="shared" si="71"/>
        <v>628</v>
      </c>
    </row>
    <row r="4438" spans="1:18">
      <c r="A4438" s="26">
        <v>9654</v>
      </c>
      <c r="B4438" s="27">
        <v>40471</v>
      </c>
      <c r="C4438" s="28" t="s">
        <v>14236</v>
      </c>
      <c r="D4438" s="27">
        <v>40467</v>
      </c>
      <c r="E4438" s="28" t="s">
        <v>38</v>
      </c>
      <c r="F4438" s="28" t="s">
        <v>145</v>
      </c>
      <c r="G4438" s="28" t="s">
        <v>20</v>
      </c>
      <c r="H4438" s="28" t="s">
        <v>71</v>
      </c>
      <c r="I4438" s="28" t="s">
        <v>72</v>
      </c>
      <c r="J4438" s="28" t="s">
        <v>14237</v>
      </c>
      <c r="K4438" s="28" t="s">
        <v>21</v>
      </c>
      <c r="L4438" s="28" t="s">
        <v>4579</v>
      </c>
      <c r="M4438" s="28" t="s">
        <v>21</v>
      </c>
      <c r="O4438" s="92">
        <v>40471</v>
      </c>
      <c r="P4438" s="28" t="s">
        <v>21</v>
      </c>
      <c r="Q4438" s="26" t="b">
        <v>0</v>
      </c>
      <c r="R4438" s="22">
        <f t="shared" si="71"/>
        <v>0</v>
      </c>
    </row>
    <row r="4439" spans="1:18">
      <c r="A4439" s="26">
        <v>9655</v>
      </c>
      <c r="B4439" s="27">
        <v>40472</v>
      </c>
      <c r="C4439" s="28" t="s">
        <v>14238</v>
      </c>
      <c r="D4439" s="27">
        <v>40471</v>
      </c>
      <c r="E4439" s="28" t="s">
        <v>38</v>
      </c>
      <c r="F4439" s="28" t="s">
        <v>2359</v>
      </c>
      <c r="G4439" s="28" t="s">
        <v>20</v>
      </c>
      <c r="H4439" s="28" t="s">
        <v>71</v>
      </c>
      <c r="I4439" s="28" t="s">
        <v>72</v>
      </c>
      <c r="J4439" s="28" t="s">
        <v>86</v>
      </c>
      <c r="K4439" s="28" t="s">
        <v>14239</v>
      </c>
      <c r="L4439" s="28" t="s">
        <v>4579</v>
      </c>
      <c r="M4439" s="28" t="s">
        <v>21</v>
      </c>
      <c r="O4439" s="92">
        <v>40500</v>
      </c>
      <c r="P4439" s="28" t="s">
        <v>21</v>
      </c>
      <c r="Q4439" s="26" t="b">
        <v>0</v>
      </c>
      <c r="R4439" s="22">
        <f t="shared" si="71"/>
        <v>27</v>
      </c>
    </row>
    <row r="4440" spans="1:18">
      <c r="A4440" s="26">
        <v>9656</v>
      </c>
      <c r="B4440" s="27">
        <v>40476</v>
      </c>
      <c r="C4440" s="28" t="s">
        <v>14240</v>
      </c>
      <c r="D4440" s="27">
        <v>40472</v>
      </c>
      <c r="E4440" s="28" t="s">
        <v>11030</v>
      </c>
      <c r="F4440" s="28" t="s">
        <v>13122</v>
      </c>
      <c r="G4440" s="28" t="s">
        <v>20</v>
      </c>
      <c r="H4440" s="28" t="s">
        <v>21</v>
      </c>
      <c r="I4440" s="28" t="s">
        <v>72</v>
      </c>
      <c r="J4440" s="28" t="s">
        <v>14241</v>
      </c>
      <c r="K4440" s="28" t="s">
        <v>14242</v>
      </c>
      <c r="L4440" s="28" t="s">
        <v>4282</v>
      </c>
      <c r="M4440" s="28" t="s">
        <v>21</v>
      </c>
      <c r="O4440" s="92">
        <v>40547</v>
      </c>
      <c r="P4440" s="28" t="s">
        <v>21</v>
      </c>
      <c r="Q4440" s="26" t="b">
        <v>0</v>
      </c>
      <c r="R4440" s="22">
        <f t="shared" si="71"/>
        <v>69</v>
      </c>
    </row>
    <row r="4441" spans="1:18">
      <c r="A4441" s="26">
        <v>9657</v>
      </c>
      <c r="B4441" s="27">
        <v>40477</v>
      </c>
      <c r="C4441" s="28" t="s">
        <v>14243</v>
      </c>
      <c r="D4441" s="27">
        <v>40474</v>
      </c>
      <c r="E4441" s="28" t="s">
        <v>14234</v>
      </c>
      <c r="F4441" s="28" t="s">
        <v>12404</v>
      </c>
      <c r="G4441" s="28" t="s">
        <v>20</v>
      </c>
      <c r="H4441" s="28" t="s">
        <v>71</v>
      </c>
      <c r="I4441" s="28" t="s">
        <v>72</v>
      </c>
      <c r="J4441" s="28" t="s">
        <v>1817</v>
      </c>
      <c r="K4441" s="28" t="s">
        <v>14244</v>
      </c>
      <c r="L4441" s="28" t="s">
        <v>1946</v>
      </c>
      <c r="M4441" s="28" t="s">
        <v>21</v>
      </c>
      <c r="O4441" s="92">
        <v>41430</v>
      </c>
      <c r="P4441" s="28" t="s">
        <v>21</v>
      </c>
      <c r="Q4441" s="26" t="b">
        <v>0</v>
      </c>
      <c r="R4441" s="22">
        <f t="shared" ref="R4441:R4504" si="72">IF(O4441=" ", " ", INT(YEARFRAC(O4441, B4441)*365))</f>
        <v>952</v>
      </c>
    </row>
    <row r="4442" spans="1:18">
      <c r="A4442" s="26">
        <v>9658</v>
      </c>
      <c r="B4442" s="27">
        <v>40477</v>
      </c>
      <c r="C4442" s="28" t="s">
        <v>14245</v>
      </c>
      <c r="D4442" s="27">
        <v>40476</v>
      </c>
      <c r="E4442" s="28" t="s">
        <v>14246</v>
      </c>
      <c r="F4442" s="28" t="s">
        <v>14247</v>
      </c>
      <c r="G4442" s="28" t="s">
        <v>20</v>
      </c>
      <c r="H4442" s="28" t="s">
        <v>71</v>
      </c>
      <c r="I4442" s="28" t="s">
        <v>72</v>
      </c>
      <c r="J4442" s="28" t="s">
        <v>14248</v>
      </c>
      <c r="K4442" s="28" t="s">
        <v>3020</v>
      </c>
      <c r="L4442" s="28" t="s">
        <v>7167</v>
      </c>
      <c r="M4442" s="28" t="s">
        <v>4282</v>
      </c>
      <c r="O4442" s="92">
        <v>41114</v>
      </c>
      <c r="P4442" s="28" t="s">
        <v>21</v>
      </c>
      <c r="Q4442" s="26" t="b">
        <v>0</v>
      </c>
      <c r="R4442" s="22">
        <f t="shared" si="72"/>
        <v>636</v>
      </c>
    </row>
    <row r="4443" spans="1:18">
      <c r="A4443" s="26">
        <v>9659</v>
      </c>
      <c r="B4443" s="27">
        <v>40477</v>
      </c>
      <c r="C4443" s="28" t="s">
        <v>14249</v>
      </c>
      <c r="D4443" s="27">
        <v>40476</v>
      </c>
      <c r="E4443" s="28" t="s">
        <v>14250</v>
      </c>
      <c r="F4443" s="28" t="s">
        <v>14251</v>
      </c>
      <c r="G4443" s="28" t="s">
        <v>20</v>
      </c>
      <c r="H4443" s="28" t="s">
        <v>71</v>
      </c>
      <c r="I4443" s="28" t="s">
        <v>72</v>
      </c>
      <c r="J4443" s="28" t="s">
        <v>14252</v>
      </c>
      <c r="K4443" s="28" t="s">
        <v>6081</v>
      </c>
      <c r="L4443" s="28" t="s">
        <v>7167</v>
      </c>
      <c r="M4443" s="28" t="s">
        <v>4282</v>
      </c>
      <c r="O4443" s="92">
        <v>41122</v>
      </c>
      <c r="P4443" s="28" t="s">
        <v>21</v>
      </c>
      <c r="Q4443" s="26" t="b">
        <v>0</v>
      </c>
      <c r="R4443" s="22">
        <f t="shared" si="72"/>
        <v>643</v>
      </c>
    </row>
    <row r="4444" spans="1:18">
      <c r="A4444" s="26">
        <v>9660</v>
      </c>
      <c r="B4444" s="27">
        <v>40479</v>
      </c>
      <c r="C4444" s="28" t="s">
        <v>14253</v>
      </c>
      <c r="D4444" s="27">
        <v>40476</v>
      </c>
      <c r="E4444" s="28" t="s">
        <v>14254</v>
      </c>
      <c r="F4444" s="28" t="s">
        <v>12660</v>
      </c>
      <c r="G4444" s="28" t="s">
        <v>20</v>
      </c>
      <c r="H4444" s="28" t="s">
        <v>71</v>
      </c>
      <c r="I4444" s="28" t="s">
        <v>72</v>
      </c>
      <c r="J4444" s="28" t="s">
        <v>14255</v>
      </c>
      <c r="K4444" s="28" t="s">
        <v>14256</v>
      </c>
      <c r="L4444" s="28" t="s">
        <v>11155</v>
      </c>
      <c r="M4444" s="28" t="s">
        <v>21</v>
      </c>
      <c r="O4444" s="92">
        <v>40497</v>
      </c>
      <c r="P4444" s="28" t="s">
        <v>21</v>
      </c>
      <c r="Q4444" s="26" t="b">
        <v>0</v>
      </c>
      <c r="R4444" s="22">
        <f t="shared" si="72"/>
        <v>17</v>
      </c>
    </row>
    <row r="4445" spans="1:18">
      <c r="A4445" s="26">
        <v>9661</v>
      </c>
      <c r="B4445" s="27">
        <v>40486</v>
      </c>
      <c r="C4445" s="28" t="s">
        <v>14257</v>
      </c>
      <c r="D4445" s="27">
        <v>40479</v>
      </c>
      <c r="E4445" s="28" t="s">
        <v>14258</v>
      </c>
      <c r="F4445" s="28" t="s">
        <v>14259</v>
      </c>
      <c r="G4445" s="28" t="s">
        <v>20</v>
      </c>
      <c r="H4445" s="28" t="s">
        <v>71</v>
      </c>
      <c r="I4445" s="28" t="s">
        <v>71</v>
      </c>
      <c r="J4445" s="28" t="s">
        <v>4488</v>
      </c>
      <c r="K4445" s="28" t="s">
        <v>14260</v>
      </c>
      <c r="L4445" s="28" t="s">
        <v>7167</v>
      </c>
      <c r="M4445" s="28" t="s">
        <v>4282</v>
      </c>
      <c r="O4445" s="92">
        <v>41122</v>
      </c>
      <c r="P4445" s="28" t="s">
        <v>21</v>
      </c>
      <c r="Q4445" s="26" t="b">
        <v>0</v>
      </c>
      <c r="R4445" s="22">
        <f t="shared" si="72"/>
        <v>635</v>
      </c>
    </row>
    <row r="4446" spans="1:18">
      <c r="A4446" s="26">
        <v>9662</v>
      </c>
      <c r="B4446" s="27">
        <v>40492</v>
      </c>
      <c r="C4446" s="28" t="s">
        <v>14261</v>
      </c>
      <c r="D4446" s="27">
        <v>40479</v>
      </c>
      <c r="E4446" s="28" t="s">
        <v>14262</v>
      </c>
      <c r="F4446" s="28" t="s">
        <v>13422</v>
      </c>
      <c r="G4446" s="28" t="s">
        <v>20</v>
      </c>
      <c r="H4446" s="28" t="s">
        <v>71</v>
      </c>
      <c r="I4446" s="28" t="s">
        <v>72</v>
      </c>
      <c r="J4446" s="28" t="s">
        <v>14263</v>
      </c>
      <c r="K4446" s="28" t="s">
        <v>21</v>
      </c>
      <c r="L4446" s="28" t="s">
        <v>4282</v>
      </c>
      <c r="M4446" s="28" t="s">
        <v>21</v>
      </c>
      <c r="O4446" s="92">
        <v>41943</v>
      </c>
      <c r="P4446" s="28" t="s">
        <v>21</v>
      </c>
      <c r="Q4446" s="26" t="b">
        <v>0</v>
      </c>
      <c r="R4446" s="22">
        <f t="shared" si="72"/>
        <v>1450</v>
      </c>
    </row>
    <row r="4447" spans="1:18">
      <c r="A4447" s="26">
        <v>9663</v>
      </c>
      <c r="B4447" s="27">
        <v>40492</v>
      </c>
      <c r="C4447" s="28" t="s">
        <v>14264</v>
      </c>
      <c r="D4447" s="27">
        <v>40491</v>
      </c>
      <c r="E4447" s="28" t="s">
        <v>38</v>
      </c>
      <c r="F4447" s="28" t="s">
        <v>149</v>
      </c>
      <c r="G4447" s="28" t="s">
        <v>20</v>
      </c>
      <c r="H4447" s="28" t="s">
        <v>71</v>
      </c>
      <c r="I4447" s="28" t="s">
        <v>72</v>
      </c>
      <c r="J4447" s="28" t="s">
        <v>14265</v>
      </c>
      <c r="K4447" s="28" t="s">
        <v>21</v>
      </c>
      <c r="L4447" s="28" t="s">
        <v>4579</v>
      </c>
      <c r="M4447" s="28" t="s">
        <v>21</v>
      </c>
      <c r="O4447" s="92">
        <v>40492</v>
      </c>
      <c r="P4447" s="28" t="s">
        <v>21</v>
      </c>
      <c r="Q4447" s="26" t="b">
        <v>0</v>
      </c>
      <c r="R4447" s="22">
        <f t="shared" si="72"/>
        <v>0</v>
      </c>
    </row>
    <row r="4448" spans="1:18">
      <c r="A4448" s="26">
        <v>9664</v>
      </c>
      <c r="B4448" s="27">
        <v>40492</v>
      </c>
      <c r="C4448" s="28" t="s">
        <v>14266</v>
      </c>
      <c r="D4448" s="27">
        <v>40485</v>
      </c>
      <c r="E4448" s="28" t="s">
        <v>14267</v>
      </c>
      <c r="F4448" s="28" t="s">
        <v>14051</v>
      </c>
      <c r="G4448" s="28" t="s">
        <v>20</v>
      </c>
      <c r="H4448" s="28" t="s">
        <v>71</v>
      </c>
      <c r="I4448" s="28" t="s">
        <v>72</v>
      </c>
      <c r="J4448" s="28" t="s">
        <v>14268</v>
      </c>
      <c r="K4448" s="28" t="s">
        <v>14269</v>
      </c>
      <c r="L4448" s="28" t="s">
        <v>4579</v>
      </c>
      <c r="M4448" s="28" t="s">
        <v>21</v>
      </c>
      <c r="O4448" s="92">
        <v>40512</v>
      </c>
      <c r="P4448" s="28" t="s">
        <v>21</v>
      </c>
      <c r="Q4448" s="26" t="b">
        <v>0</v>
      </c>
      <c r="R4448" s="22">
        <f t="shared" si="72"/>
        <v>20</v>
      </c>
    </row>
    <row r="4449" spans="1:18">
      <c r="A4449" s="26">
        <v>9665</v>
      </c>
      <c r="B4449" s="27">
        <v>40500</v>
      </c>
      <c r="C4449" s="28" t="s">
        <v>14270</v>
      </c>
      <c r="D4449" s="27">
        <v>40490</v>
      </c>
      <c r="E4449" s="28" t="s">
        <v>38</v>
      </c>
      <c r="F4449" s="28" t="s">
        <v>14271</v>
      </c>
      <c r="G4449" s="28" t="s">
        <v>20</v>
      </c>
      <c r="H4449" s="28" t="s">
        <v>566</v>
      </c>
      <c r="I4449" s="28" t="s">
        <v>566</v>
      </c>
      <c r="J4449" s="28" t="s">
        <v>1812</v>
      </c>
      <c r="K4449" s="28" t="s">
        <v>14272</v>
      </c>
      <c r="L4449" s="28" t="s">
        <v>4579</v>
      </c>
      <c r="M4449" s="28" t="s">
        <v>21</v>
      </c>
      <c r="O4449" s="92">
        <v>40500</v>
      </c>
      <c r="P4449" s="28" t="s">
        <v>21</v>
      </c>
      <c r="Q4449" s="26" t="b">
        <v>0</v>
      </c>
      <c r="R4449" s="22">
        <f t="shared" si="72"/>
        <v>0</v>
      </c>
    </row>
    <row r="4450" spans="1:18">
      <c r="A4450" s="26">
        <v>9666</v>
      </c>
      <c r="B4450" s="27">
        <v>40511</v>
      </c>
      <c r="C4450" s="28" t="s">
        <v>14273</v>
      </c>
      <c r="D4450" s="27">
        <v>40505</v>
      </c>
      <c r="E4450" s="28" t="s">
        <v>14274</v>
      </c>
      <c r="F4450" s="28" t="s">
        <v>1546</v>
      </c>
      <c r="G4450" s="28" t="s">
        <v>20</v>
      </c>
      <c r="H4450" s="28" t="s">
        <v>71</v>
      </c>
      <c r="I4450" s="28" t="s">
        <v>72</v>
      </c>
      <c r="J4450" s="28" t="s">
        <v>1712</v>
      </c>
      <c r="K4450" s="28" t="s">
        <v>21</v>
      </c>
      <c r="L4450" s="28" t="s">
        <v>7167</v>
      </c>
      <c r="M4450" s="28" t="s">
        <v>4282</v>
      </c>
      <c r="O4450" s="92">
        <v>41113</v>
      </c>
      <c r="P4450" s="28" t="s">
        <v>21</v>
      </c>
      <c r="Q4450" s="26" t="b">
        <v>0</v>
      </c>
      <c r="R4450" s="22">
        <f t="shared" si="72"/>
        <v>602</v>
      </c>
    </row>
    <row r="4451" spans="1:18">
      <c r="A4451" s="26">
        <v>9667</v>
      </c>
      <c r="B4451" s="27">
        <v>40518</v>
      </c>
      <c r="C4451" s="28" t="s">
        <v>14275</v>
      </c>
      <c r="D4451" s="27">
        <v>40513</v>
      </c>
      <c r="E4451" s="28" t="s">
        <v>14276</v>
      </c>
      <c r="F4451" s="28" t="s">
        <v>14277</v>
      </c>
      <c r="G4451" s="28" t="s">
        <v>20</v>
      </c>
      <c r="H4451" s="28" t="s">
        <v>566</v>
      </c>
      <c r="I4451" s="28" t="s">
        <v>566</v>
      </c>
      <c r="J4451" s="28" t="s">
        <v>272</v>
      </c>
      <c r="K4451" s="28" t="s">
        <v>14278</v>
      </c>
      <c r="L4451" s="28" t="s">
        <v>4282</v>
      </c>
      <c r="M4451" s="28" t="s">
        <v>4579</v>
      </c>
      <c r="O4451" s="92">
        <v>40659</v>
      </c>
      <c r="P4451" s="28" t="s">
        <v>21</v>
      </c>
      <c r="Q4451" s="26" t="b">
        <v>0</v>
      </c>
      <c r="R4451" s="22">
        <f t="shared" si="72"/>
        <v>141</v>
      </c>
    </row>
    <row r="4452" spans="1:18">
      <c r="A4452" s="26">
        <v>9668</v>
      </c>
      <c r="B4452" s="27">
        <v>40525</v>
      </c>
      <c r="C4452" s="28" t="s">
        <v>14279</v>
      </c>
      <c r="D4452" s="27">
        <v>40521</v>
      </c>
      <c r="E4452" s="28" t="s">
        <v>14280</v>
      </c>
      <c r="F4452" s="28" t="s">
        <v>211</v>
      </c>
      <c r="G4452" s="28" t="s">
        <v>20</v>
      </c>
      <c r="H4452" s="28" t="s">
        <v>212</v>
      </c>
      <c r="I4452" s="28" t="s">
        <v>212</v>
      </c>
      <c r="J4452" s="28" t="s">
        <v>14281</v>
      </c>
      <c r="K4452" s="28" t="s">
        <v>21</v>
      </c>
      <c r="L4452" s="28" t="s">
        <v>1152</v>
      </c>
      <c r="M4452" s="28" t="s">
        <v>14282</v>
      </c>
      <c r="O4452" s="92">
        <v>41897</v>
      </c>
      <c r="P4452" s="28" t="s">
        <v>21</v>
      </c>
      <c r="Q4452" s="26" t="b">
        <v>0</v>
      </c>
      <c r="R4452" s="22">
        <f t="shared" si="72"/>
        <v>1370</v>
      </c>
    </row>
    <row r="4453" spans="1:18">
      <c r="A4453" s="26">
        <v>9669</v>
      </c>
      <c r="B4453" s="27">
        <v>40526</v>
      </c>
      <c r="C4453" s="28" t="s">
        <v>14283</v>
      </c>
      <c r="D4453" s="27">
        <v>40524</v>
      </c>
      <c r="E4453" s="28" t="s">
        <v>14284</v>
      </c>
      <c r="F4453" s="28" t="s">
        <v>14285</v>
      </c>
      <c r="G4453" s="28" t="s">
        <v>20</v>
      </c>
      <c r="H4453" s="28" t="s">
        <v>71</v>
      </c>
      <c r="I4453" s="28" t="s">
        <v>72</v>
      </c>
      <c r="J4453" s="28" t="s">
        <v>14286</v>
      </c>
      <c r="K4453" s="28" t="s">
        <v>21</v>
      </c>
      <c r="L4453" s="28" t="s">
        <v>1946</v>
      </c>
      <c r="M4453" s="28" t="s">
        <v>4579</v>
      </c>
      <c r="O4453" s="92">
        <v>40687</v>
      </c>
      <c r="P4453" s="28" t="s">
        <v>21</v>
      </c>
      <c r="Q4453" s="26" t="b">
        <v>0</v>
      </c>
      <c r="R4453" s="22">
        <f t="shared" si="72"/>
        <v>162</v>
      </c>
    </row>
    <row r="4454" spans="1:18">
      <c r="A4454" s="26">
        <v>9670</v>
      </c>
      <c r="B4454" s="27">
        <v>40526</v>
      </c>
      <c r="C4454" s="28" t="s">
        <v>14287</v>
      </c>
      <c r="D4454" s="27">
        <v>40522</v>
      </c>
      <c r="E4454" s="28" t="s">
        <v>14288</v>
      </c>
      <c r="F4454" s="28" t="s">
        <v>19</v>
      </c>
      <c r="G4454" s="28" t="s">
        <v>20</v>
      </c>
      <c r="H4454" s="28" t="s">
        <v>71</v>
      </c>
      <c r="I4454" s="28" t="s">
        <v>72</v>
      </c>
      <c r="J4454" s="28" t="s">
        <v>14289</v>
      </c>
      <c r="K4454" s="28" t="s">
        <v>14290</v>
      </c>
      <c r="L4454" s="28" t="s">
        <v>4579</v>
      </c>
      <c r="M4454" s="28" t="s">
        <v>21</v>
      </c>
      <c r="O4454" s="92">
        <v>40541</v>
      </c>
      <c r="P4454" s="28" t="s">
        <v>21</v>
      </c>
      <c r="Q4454" s="26" t="b">
        <v>0</v>
      </c>
      <c r="R4454" s="22">
        <f t="shared" si="72"/>
        <v>15</v>
      </c>
    </row>
    <row r="4455" spans="1:18">
      <c r="A4455" s="26">
        <v>9671</v>
      </c>
      <c r="B4455" s="27">
        <v>40528</v>
      </c>
      <c r="C4455" s="28" t="s">
        <v>14291</v>
      </c>
      <c r="D4455" s="27">
        <v>40526</v>
      </c>
      <c r="E4455" s="28" t="s">
        <v>38</v>
      </c>
      <c r="F4455" s="28" t="s">
        <v>228</v>
      </c>
      <c r="G4455" s="28" t="s">
        <v>20</v>
      </c>
      <c r="H4455" s="28" t="s">
        <v>71</v>
      </c>
      <c r="I4455" s="28" t="s">
        <v>72</v>
      </c>
      <c r="J4455" s="28" t="s">
        <v>14292</v>
      </c>
      <c r="K4455" s="28" t="s">
        <v>21</v>
      </c>
      <c r="L4455" s="28" t="s">
        <v>4579</v>
      </c>
      <c r="M4455" s="28" t="s">
        <v>21</v>
      </c>
      <c r="O4455" s="92">
        <v>40532</v>
      </c>
      <c r="P4455" s="28" t="s">
        <v>21</v>
      </c>
      <c r="Q4455" s="26" t="b">
        <v>0</v>
      </c>
      <c r="R4455" s="22">
        <f t="shared" si="72"/>
        <v>4</v>
      </c>
    </row>
    <row r="4456" spans="1:18">
      <c r="A4456" s="26">
        <v>9672</v>
      </c>
      <c r="B4456" s="27">
        <v>40528</v>
      </c>
      <c r="C4456" s="28" t="s">
        <v>14293</v>
      </c>
      <c r="D4456" s="27">
        <v>40525</v>
      </c>
      <c r="E4456" s="28" t="s">
        <v>38</v>
      </c>
      <c r="F4456" s="28" t="s">
        <v>9937</v>
      </c>
      <c r="G4456" s="28" t="s">
        <v>20</v>
      </c>
      <c r="H4456" s="28" t="s">
        <v>71</v>
      </c>
      <c r="I4456" s="28" t="s">
        <v>72</v>
      </c>
      <c r="J4456" s="28" t="s">
        <v>14294</v>
      </c>
      <c r="K4456" s="28" t="s">
        <v>21</v>
      </c>
      <c r="L4456" s="28" t="s">
        <v>4579</v>
      </c>
      <c r="M4456" s="28" t="s">
        <v>21</v>
      </c>
      <c r="O4456" s="92">
        <v>40541</v>
      </c>
      <c r="P4456" s="28" t="s">
        <v>21</v>
      </c>
      <c r="Q4456" s="26" t="b">
        <v>0</v>
      </c>
      <c r="R4456" s="22">
        <f t="shared" si="72"/>
        <v>13</v>
      </c>
    </row>
    <row r="4457" spans="1:18">
      <c r="A4457" s="26">
        <v>9673</v>
      </c>
      <c r="B4457" s="27">
        <v>40546</v>
      </c>
      <c r="C4457" s="28" t="s">
        <v>14295</v>
      </c>
      <c r="D4457" s="27">
        <v>40541</v>
      </c>
      <c r="E4457" s="28" t="s">
        <v>14296</v>
      </c>
      <c r="F4457" s="28" t="s">
        <v>19</v>
      </c>
      <c r="G4457" s="28" t="s">
        <v>20</v>
      </c>
      <c r="H4457" s="28" t="s">
        <v>71</v>
      </c>
      <c r="I4457" s="28" t="s">
        <v>72</v>
      </c>
      <c r="J4457" s="28" t="s">
        <v>14297</v>
      </c>
      <c r="K4457" s="28" t="s">
        <v>14298</v>
      </c>
      <c r="L4457" s="28" t="s">
        <v>1946</v>
      </c>
      <c r="M4457" s="28" t="s">
        <v>21</v>
      </c>
      <c r="O4457" s="92">
        <v>40564</v>
      </c>
      <c r="P4457" s="28" t="s">
        <v>21</v>
      </c>
      <c r="Q4457" s="26" t="b">
        <v>0</v>
      </c>
      <c r="R4457" s="22">
        <f t="shared" si="72"/>
        <v>18</v>
      </c>
    </row>
    <row r="4458" spans="1:18">
      <c r="A4458" s="26">
        <v>9675</v>
      </c>
      <c r="B4458" s="27">
        <v>40547</v>
      </c>
      <c r="C4458" s="28" t="s">
        <v>14299</v>
      </c>
      <c r="D4458" s="27">
        <v>40540</v>
      </c>
      <c r="E4458" s="28" t="s">
        <v>14300</v>
      </c>
      <c r="F4458" s="28" t="s">
        <v>350</v>
      </c>
      <c r="G4458" s="28" t="s">
        <v>20</v>
      </c>
      <c r="H4458" s="28" t="s">
        <v>71</v>
      </c>
      <c r="I4458" s="28" t="s">
        <v>72</v>
      </c>
      <c r="J4458" s="28" t="s">
        <v>14301</v>
      </c>
      <c r="K4458" s="28" t="s">
        <v>14302</v>
      </c>
      <c r="L4458" s="28" t="s">
        <v>4579</v>
      </c>
      <c r="M4458" s="28" t="s">
        <v>21</v>
      </c>
      <c r="O4458" s="92">
        <v>40548</v>
      </c>
      <c r="P4458" s="28" t="s">
        <v>21</v>
      </c>
      <c r="Q4458" s="26" t="b">
        <v>0</v>
      </c>
      <c r="R4458" s="22">
        <f t="shared" si="72"/>
        <v>1</v>
      </c>
    </row>
    <row r="4459" spans="1:18">
      <c r="A4459" s="26">
        <v>9676</v>
      </c>
      <c r="B4459" s="27">
        <v>40548</v>
      </c>
      <c r="C4459" s="28" t="s">
        <v>14303</v>
      </c>
      <c r="D4459" s="27">
        <v>40547</v>
      </c>
      <c r="E4459" s="28" t="s">
        <v>14304</v>
      </c>
      <c r="F4459" s="28" t="s">
        <v>14305</v>
      </c>
      <c r="G4459" s="28" t="s">
        <v>20</v>
      </c>
      <c r="H4459" s="28" t="s">
        <v>212</v>
      </c>
      <c r="I4459" s="28" t="s">
        <v>212</v>
      </c>
      <c r="J4459" s="28" t="s">
        <v>14306</v>
      </c>
      <c r="K4459" s="28" t="s">
        <v>21</v>
      </c>
      <c r="L4459" s="28" t="s">
        <v>4282</v>
      </c>
      <c r="M4459" s="28" t="s">
        <v>21</v>
      </c>
      <c r="O4459" s="92">
        <v>40553</v>
      </c>
      <c r="P4459" s="28" t="s">
        <v>21</v>
      </c>
      <c r="Q4459" s="26" t="b">
        <v>0</v>
      </c>
      <c r="R4459" s="22">
        <f t="shared" si="72"/>
        <v>5</v>
      </c>
    </row>
    <row r="4460" spans="1:18" ht="24">
      <c r="A4460" s="26">
        <v>9677</v>
      </c>
      <c r="B4460" s="27">
        <v>40548</v>
      </c>
      <c r="C4460" s="28" t="s">
        <v>14307</v>
      </c>
      <c r="D4460" s="27">
        <v>40548</v>
      </c>
      <c r="E4460" s="28" t="s">
        <v>38</v>
      </c>
      <c r="F4460" s="28" t="s">
        <v>14308</v>
      </c>
      <c r="G4460" s="28" t="s">
        <v>20</v>
      </c>
      <c r="H4460" s="28" t="s">
        <v>71</v>
      </c>
      <c r="I4460" s="28" t="s">
        <v>72</v>
      </c>
      <c r="J4460" s="28" t="s">
        <v>14309</v>
      </c>
      <c r="K4460" s="28" t="s">
        <v>14310</v>
      </c>
      <c r="L4460" s="28" t="s">
        <v>4579</v>
      </c>
      <c r="M4460" s="28" t="s">
        <v>21</v>
      </c>
      <c r="O4460" s="92">
        <v>40548</v>
      </c>
      <c r="P4460" s="28" t="s">
        <v>21</v>
      </c>
      <c r="Q4460" s="26" t="b">
        <v>0</v>
      </c>
      <c r="R4460" s="22">
        <f t="shared" si="72"/>
        <v>0</v>
      </c>
    </row>
    <row r="4461" spans="1:18">
      <c r="A4461" s="26">
        <v>9678</v>
      </c>
      <c r="B4461" s="27">
        <v>40553</v>
      </c>
      <c r="C4461" s="28" t="s">
        <v>14311</v>
      </c>
      <c r="D4461" s="27">
        <v>40550</v>
      </c>
      <c r="E4461" s="28" t="s">
        <v>14312</v>
      </c>
      <c r="F4461" s="28" t="s">
        <v>14305</v>
      </c>
      <c r="G4461" s="28" t="s">
        <v>20</v>
      </c>
      <c r="H4461" s="28" t="s">
        <v>212</v>
      </c>
      <c r="I4461" s="28" t="s">
        <v>212</v>
      </c>
      <c r="J4461" s="28" t="s">
        <v>14313</v>
      </c>
      <c r="K4461" s="28" t="s">
        <v>21</v>
      </c>
      <c r="L4461" s="28" t="s">
        <v>4282</v>
      </c>
      <c r="M4461" s="28" t="s">
        <v>21</v>
      </c>
      <c r="O4461" s="92">
        <v>41767</v>
      </c>
      <c r="P4461" s="28" t="s">
        <v>21</v>
      </c>
      <c r="Q4461" s="26" t="b">
        <v>0</v>
      </c>
      <c r="R4461" s="22">
        <f t="shared" si="72"/>
        <v>1214</v>
      </c>
    </row>
    <row r="4462" spans="1:18">
      <c r="A4462" s="26">
        <v>9679</v>
      </c>
      <c r="B4462" s="27">
        <v>40554</v>
      </c>
      <c r="C4462" s="28" t="s">
        <v>14314</v>
      </c>
      <c r="D4462" s="27">
        <v>40554</v>
      </c>
      <c r="E4462" s="28" t="s">
        <v>38</v>
      </c>
      <c r="F4462" s="28" t="s">
        <v>741</v>
      </c>
      <c r="G4462" s="28" t="s">
        <v>20</v>
      </c>
      <c r="H4462" s="28" t="s">
        <v>71</v>
      </c>
      <c r="I4462" s="28" t="s">
        <v>72</v>
      </c>
      <c r="J4462" s="28" t="s">
        <v>9218</v>
      </c>
      <c r="K4462" s="28" t="s">
        <v>14315</v>
      </c>
      <c r="L4462" s="28" t="s">
        <v>1946</v>
      </c>
      <c r="M4462" s="28" t="s">
        <v>21</v>
      </c>
      <c r="O4462" s="92">
        <v>40554</v>
      </c>
      <c r="P4462" s="28" t="s">
        <v>21</v>
      </c>
      <c r="Q4462" s="26" t="b">
        <v>0</v>
      </c>
      <c r="R4462" s="22">
        <f t="shared" si="72"/>
        <v>0</v>
      </c>
    </row>
    <row r="4463" spans="1:18">
      <c r="A4463" s="26">
        <v>9680</v>
      </c>
      <c r="B4463" s="27">
        <v>40556</v>
      </c>
      <c r="C4463" s="28" t="s">
        <v>14316</v>
      </c>
      <c r="D4463" s="27">
        <v>40550</v>
      </c>
      <c r="E4463" s="28" t="s">
        <v>14317</v>
      </c>
      <c r="F4463" s="28" t="s">
        <v>14318</v>
      </c>
      <c r="G4463" s="28" t="s">
        <v>20</v>
      </c>
      <c r="H4463" s="28" t="s">
        <v>71</v>
      </c>
      <c r="I4463" s="28" t="s">
        <v>72</v>
      </c>
      <c r="J4463" s="28" t="s">
        <v>14319</v>
      </c>
      <c r="K4463" s="28" t="s">
        <v>21</v>
      </c>
      <c r="L4463" s="28" t="s">
        <v>4579</v>
      </c>
      <c r="M4463" s="28" t="s">
        <v>21</v>
      </c>
      <c r="O4463" s="92">
        <v>40603</v>
      </c>
      <c r="P4463" s="28" t="s">
        <v>21</v>
      </c>
      <c r="Q4463" s="26" t="b">
        <v>0</v>
      </c>
      <c r="R4463" s="22">
        <f t="shared" si="72"/>
        <v>48</v>
      </c>
    </row>
    <row r="4464" spans="1:18">
      <c r="A4464" s="26">
        <v>9681</v>
      </c>
      <c r="B4464" s="27">
        <v>40564</v>
      </c>
      <c r="C4464" s="28" t="s">
        <v>14320</v>
      </c>
      <c r="D4464" s="27">
        <v>40563</v>
      </c>
      <c r="E4464" s="28" t="s">
        <v>14321</v>
      </c>
      <c r="F4464" s="28" t="s">
        <v>11894</v>
      </c>
      <c r="G4464" s="28" t="s">
        <v>20</v>
      </c>
      <c r="H4464" s="28" t="s">
        <v>71</v>
      </c>
      <c r="I4464" s="28" t="s">
        <v>72</v>
      </c>
      <c r="J4464" s="28" t="s">
        <v>14322</v>
      </c>
      <c r="K4464" s="28" t="s">
        <v>21</v>
      </c>
      <c r="L4464" s="28" t="s">
        <v>7167</v>
      </c>
      <c r="M4464" s="28" t="s">
        <v>14282</v>
      </c>
      <c r="O4464" s="92">
        <v>41207</v>
      </c>
      <c r="P4464" s="28" t="s">
        <v>21</v>
      </c>
      <c r="Q4464" s="26" t="b">
        <v>0</v>
      </c>
      <c r="R4464" s="22">
        <f t="shared" si="72"/>
        <v>642</v>
      </c>
    </row>
    <row r="4465" spans="1:18">
      <c r="A4465" s="26">
        <v>9683</v>
      </c>
      <c r="B4465" s="27">
        <v>40577</v>
      </c>
      <c r="C4465" s="28" t="s">
        <v>14323</v>
      </c>
      <c r="D4465" s="27">
        <v>40570</v>
      </c>
      <c r="E4465" s="28" t="s">
        <v>38</v>
      </c>
      <c r="F4465" s="28" t="s">
        <v>145</v>
      </c>
      <c r="G4465" s="28" t="s">
        <v>20</v>
      </c>
      <c r="H4465" s="28" t="s">
        <v>71</v>
      </c>
      <c r="I4465" s="28" t="s">
        <v>72</v>
      </c>
      <c r="J4465" s="28" t="s">
        <v>14324</v>
      </c>
      <c r="K4465" s="28" t="s">
        <v>21</v>
      </c>
      <c r="L4465" s="28" t="s">
        <v>4579</v>
      </c>
      <c r="M4465" s="28" t="s">
        <v>21</v>
      </c>
      <c r="O4465" s="92">
        <v>40577</v>
      </c>
      <c r="P4465" s="28" t="s">
        <v>21</v>
      </c>
      <c r="Q4465" s="26" t="b">
        <v>0</v>
      </c>
      <c r="R4465" s="22">
        <f t="shared" si="72"/>
        <v>0</v>
      </c>
    </row>
    <row r="4466" spans="1:18" ht="24">
      <c r="A4466" s="26">
        <v>9684</v>
      </c>
      <c r="B4466" s="27">
        <v>40577</v>
      </c>
      <c r="C4466" s="28" t="s">
        <v>14325</v>
      </c>
      <c r="D4466" s="27">
        <v>40568</v>
      </c>
      <c r="E4466" s="28" t="s">
        <v>14326</v>
      </c>
      <c r="F4466" s="28" t="s">
        <v>13422</v>
      </c>
      <c r="G4466" s="28" t="s">
        <v>20</v>
      </c>
      <c r="H4466" s="28" t="s">
        <v>71</v>
      </c>
      <c r="I4466" s="28" t="s">
        <v>72</v>
      </c>
      <c r="J4466" s="28" t="s">
        <v>14327</v>
      </c>
      <c r="K4466" s="28" t="s">
        <v>21</v>
      </c>
      <c r="L4466" s="28" t="s">
        <v>11155</v>
      </c>
      <c r="M4466" s="28" t="s">
        <v>21</v>
      </c>
      <c r="O4466" s="92">
        <v>40589</v>
      </c>
      <c r="P4466" s="28" t="s">
        <v>21</v>
      </c>
      <c r="Q4466" s="26" t="b">
        <v>0</v>
      </c>
      <c r="R4466" s="22">
        <f t="shared" si="72"/>
        <v>12</v>
      </c>
    </row>
    <row r="4467" spans="1:18">
      <c r="A4467" s="26">
        <v>9685</v>
      </c>
      <c r="B4467" s="27">
        <v>40583</v>
      </c>
      <c r="C4467" s="28" t="s">
        <v>14328</v>
      </c>
      <c r="D4467" s="27">
        <v>40563</v>
      </c>
      <c r="E4467" s="28" t="s">
        <v>14329</v>
      </c>
      <c r="F4467" s="28" t="s">
        <v>861</v>
      </c>
      <c r="G4467" s="28" t="s">
        <v>20</v>
      </c>
      <c r="H4467" s="28" t="s">
        <v>566</v>
      </c>
      <c r="I4467" s="28" t="s">
        <v>566</v>
      </c>
      <c r="J4467" s="28" t="s">
        <v>272</v>
      </c>
      <c r="K4467" s="28" t="s">
        <v>6081</v>
      </c>
      <c r="L4467" s="28" t="s">
        <v>4579</v>
      </c>
      <c r="M4467" s="28" t="s">
        <v>21</v>
      </c>
      <c r="O4467" s="92">
        <v>40590</v>
      </c>
      <c r="P4467" s="28" t="s">
        <v>21</v>
      </c>
      <c r="Q4467" s="26" t="b">
        <v>0</v>
      </c>
      <c r="R4467" s="22">
        <f t="shared" si="72"/>
        <v>7</v>
      </c>
    </row>
    <row r="4468" spans="1:18">
      <c r="A4468" s="26">
        <v>9686</v>
      </c>
      <c r="B4468" s="27">
        <v>40590</v>
      </c>
      <c r="C4468" s="28" t="s">
        <v>14330</v>
      </c>
      <c r="D4468" s="27">
        <v>40554</v>
      </c>
      <c r="E4468" s="28" t="s">
        <v>11030</v>
      </c>
      <c r="F4468" s="28" t="s">
        <v>6277</v>
      </c>
      <c r="G4468" s="28" t="s">
        <v>20</v>
      </c>
      <c r="H4468" s="28" t="s">
        <v>212</v>
      </c>
      <c r="I4468" s="28" t="s">
        <v>212</v>
      </c>
      <c r="J4468" s="28" t="s">
        <v>14331</v>
      </c>
      <c r="K4468" s="28" t="s">
        <v>14332</v>
      </c>
      <c r="L4468" s="28" t="s">
        <v>4282</v>
      </c>
      <c r="M4468" s="28" t="s">
        <v>21</v>
      </c>
      <c r="O4468" s="92">
        <v>40821</v>
      </c>
      <c r="P4468" s="28" t="s">
        <v>21</v>
      </c>
      <c r="Q4468" s="26" t="b">
        <v>0</v>
      </c>
      <c r="R4468" s="22">
        <f t="shared" si="72"/>
        <v>232</v>
      </c>
    </row>
    <row r="4469" spans="1:18">
      <c r="A4469" s="26">
        <v>9687</v>
      </c>
      <c r="B4469" s="27">
        <v>40591</v>
      </c>
      <c r="C4469" s="28" t="s">
        <v>14333</v>
      </c>
      <c r="D4469" s="27">
        <v>40589</v>
      </c>
      <c r="E4469" s="28" t="s">
        <v>38</v>
      </c>
      <c r="F4469" s="28" t="s">
        <v>14225</v>
      </c>
      <c r="G4469" s="28" t="s">
        <v>20</v>
      </c>
      <c r="H4469" s="28" t="s">
        <v>71</v>
      </c>
      <c r="I4469" s="28" t="s">
        <v>72</v>
      </c>
      <c r="J4469" s="28" t="s">
        <v>14334</v>
      </c>
      <c r="K4469" s="28" t="s">
        <v>21</v>
      </c>
      <c r="L4469" s="28" t="s">
        <v>4579</v>
      </c>
      <c r="M4469" s="28" t="s">
        <v>21</v>
      </c>
      <c r="O4469" s="92">
        <v>40591</v>
      </c>
      <c r="P4469" s="28" t="s">
        <v>21</v>
      </c>
      <c r="Q4469" s="26" t="b">
        <v>0</v>
      </c>
      <c r="R4469" s="22">
        <f t="shared" si="72"/>
        <v>0</v>
      </c>
    </row>
    <row r="4470" spans="1:18">
      <c r="A4470" s="26">
        <v>9688</v>
      </c>
      <c r="B4470" s="27">
        <v>40591</v>
      </c>
      <c r="C4470" s="28" t="s">
        <v>14335</v>
      </c>
      <c r="D4470" s="27">
        <v>40591</v>
      </c>
      <c r="E4470" s="28" t="s">
        <v>38</v>
      </c>
      <c r="F4470" s="28" t="s">
        <v>14336</v>
      </c>
      <c r="G4470" s="28" t="s">
        <v>20</v>
      </c>
      <c r="H4470" s="28" t="s">
        <v>189</v>
      </c>
      <c r="I4470" s="28" t="s">
        <v>189</v>
      </c>
      <c r="J4470" s="28" t="s">
        <v>14337</v>
      </c>
      <c r="K4470" s="28" t="s">
        <v>21</v>
      </c>
      <c r="L4470" s="28" t="s">
        <v>4579</v>
      </c>
      <c r="M4470" s="28" t="s">
        <v>21</v>
      </c>
      <c r="O4470" s="92">
        <v>40717</v>
      </c>
      <c r="P4470" s="28" t="s">
        <v>21</v>
      </c>
      <c r="Q4470" s="26" t="b">
        <v>0</v>
      </c>
      <c r="R4470" s="22">
        <f t="shared" si="72"/>
        <v>127</v>
      </c>
    </row>
    <row r="4471" spans="1:18">
      <c r="A4471" s="26">
        <v>9689</v>
      </c>
      <c r="B4471" s="27">
        <v>40596</v>
      </c>
      <c r="C4471" s="28" t="s">
        <v>14338</v>
      </c>
      <c r="D4471" s="27">
        <v>40581</v>
      </c>
      <c r="E4471" s="28" t="s">
        <v>14339</v>
      </c>
      <c r="F4471" s="28" t="s">
        <v>14340</v>
      </c>
      <c r="G4471" s="28" t="s">
        <v>20</v>
      </c>
      <c r="H4471" s="28" t="s">
        <v>71</v>
      </c>
      <c r="I4471" s="28" t="s">
        <v>72</v>
      </c>
      <c r="J4471" s="28" t="s">
        <v>14341</v>
      </c>
      <c r="K4471" s="28" t="s">
        <v>9348</v>
      </c>
      <c r="L4471" s="28" t="s">
        <v>4282</v>
      </c>
      <c r="M4471" s="28" t="s">
        <v>21</v>
      </c>
      <c r="O4471" s="92">
        <v>40759</v>
      </c>
      <c r="P4471" s="28" t="s">
        <v>21</v>
      </c>
      <c r="Q4471" s="26" t="b">
        <v>0</v>
      </c>
      <c r="R4471" s="22">
        <f t="shared" si="72"/>
        <v>164</v>
      </c>
    </row>
    <row r="4472" spans="1:18">
      <c r="A4472" s="26">
        <v>9690</v>
      </c>
      <c r="B4472" s="27">
        <v>40604</v>
      </c>
      <c r="C4472" s="28" t="s">
        <v>14342</v>
      </c>
      <c r="D4472" s="27">
        <v>40604</v>
      </c>
      <c r="E4472" s="28" t="s">
        <v>14343</v>
      </c>
      <c r="F4472" s="28" t="s">
        <v>14344</v>
      </c>
      <c r="G4472" s="28" t="s">
        <v>20</v>
      </c>
      <c r="H4472" s="28" t="s">
        <v>189</v>
      </c>
      <c r="I4472" s="28" t="s">
        <v>189</v>
      </c>
      <c r="J4472" s="28" t="s">
        <v>14345</v>
      </c>
      <c r="K4472" s="28" t="s">
        <v>7494</v>
      </c>
      <c r="L4472" s="28" t="s">
        <v>3588</v>
      </c>
      <c r="M4472" s="28" t="s">
        <v>21</v>
      </c>
      <c r="O4472" s="92">
        <v>41547</v>
      </c>
      <c r="P4472" s="28" t="s">
        <v>21</v>
      </c>
      <c r="Q4472" s="26" t="b">
        <v>0</v>
      </c>
      <c r="R4472" s="22">
        <f t="shared" si="72"/>
        <v>940</v>
      </c>
    </row>
    <row r="4473" spans="1:18">
      <c r="A4473" s="26">
        <v>9692</v>
      </c>
      <c r="B4473" s="27">
        <v>40612</v>
      </c>
      <c r="C4473" s="28" t="s">
        <v>14346</v>
      </c>
      <c r="D4473" s="27">
        <v>40609</v>
      </c>
      <c r="E4473" s="28" t="s">
        <v>14347</v>
      </c>
      <c r="F4473" s="28" t="s">
        <v>145</v>
      </c>
      <c r="G4473" s="28" t="s">
        <v>20</v>
      </c>
      <c r="H4473" s="28" t="s">
        <v>71</v>
      </c>
      <c r="I4473" s="28" t="s">
        <v>72</v>
      </c>
      <c r="J4473" s="28" t="s">
        <v>14348</v>
      </c>
      <c r="K4473" s="28" t="s">
        <v>21</v>
      </c>
      <c r="L4473" s="28" t="s">
        <v>14349</v>
      </c>
      <c r="M4473" s="28" t="s">
        <v>4579</v>
      </c>
      <c r="O4473" s="92">
        <v>40703</v>
      </c>
      <c r="P4473" s="28" t="s">
        <v>21</v>
      </c>
      <c r="Q4473" s="26" t="b">
        <v>0</v>
      </c>
      <c r="R4473" s="22">
        <f t="shared" si="72"/>
        <v>90</v>
      </c>
    </row>
    <row r="4474" spans="1:18">
      <c r="A4474" s="26">
        <v>9693</v>
      </c>
      <c r="B4474" s="27">
        <v>40612</v>
      </c>
      <c r="C4474" s="28" t="s">
        <v>14350</v>
      </c>
      <c r="D4474" s="27">
        <v>40611</v>
      </c>
      <c r="E4474" s="28" t="s">
        <v>14351</v>
      </c>
      <c r="F4474" s="28" t="s">
        <v>145</v>
      </c>
      <c r="G4474" s="28" t="s">
        <v>20</v>
      </c>
      <c r="H4474" s="28" t="s">
        <v>71</v>
      </c>
      <c r="I4474" s="28" t="s">
        <v>72</v>
      </c>
      <c r="J4474" s="28" t="s">
        <v>14348</v>
      </c>
      <c r="K4474" s="28" t="s">
        <v>21</v>
      </c>
      <c r="L4474" s="28" t="s">
        <v>14349</v>
      </c>
      <c r="M4474" s="28" t="s">
        <v>4579</v>
      </c>
      <c r="O4474" s="92">
        <v>40676</v>
      </c>
      <c r="P4474" s="28" t="s">
        <v>21</v>
      </c>
      <c r="Q4474" s="26" t="b">
        <v>0</v>
      </c>
      <c r="R4474" s="22">
        <f t="shared" si="72"/>
        <v>63</v>
      </c>
    </row>
    <row r="4475" spans="1:18">
      <c r="A4475" s="26">
        <v>9694</v>
      </c>
      <c r="B4475" s="27">
        <v>40612</v>
      </c>
      <c r="C4475" s="28" t="s">
        <v>14352</v>
      </c>
      <c r="D4475" s="27">
        <v>40512</v>
      </c>
      <c r="E4475" s="28" t="s">
        <v>14353</v>
      </c>
      <c r="F4475" s="28" t="s">
        <v>149</v>
      </c>
      <c r="G4475" s="28" t="s">
        <v>20</v>
      </c>
      <c r="H4475" s="28" t="s">
        <v>71</v>
      </c>
      <c r="I4475" s="28" t="s">
        <v>72</v>
      </c>
      <c r="J4475" s="28" t="s">
        <v>14354</v>
      </c>
      <c r="K4475" s="28" t="s">
        <v>21</v>
      </c>
      <c r="L4475" s="28" t="s">
        <v>3588</v>
      </c>
      <c r="M4475" s="28" t="s">
        <v>4579</v>
      </c>
      <c r="O4475" s="92">
        <v>40764</v>
      </c>
      <c r="P4475" s="28" t="s">
        <v>21</v>
      </c>
      <c r="Q4475" s="26" t="b">
        <v>0</v>
      </c>
      <c r="R4475" s="22">
        <f t="shared" si="72"/>
        <v>151</v>
      </c>
    </row>
    <row r="4476" spans="1:18">
      <c r="A4476" s="26">
        <v>9695</v>
      </c>
      <c r="B4476" s="27">
        <v>40612</v>
      </c>
      <c r="C4476" s="28" t="s">
        <v>14355</v>
      </c>
      <c r="D4476" s="27">
        <v>40596</v>
      </c>
      <c r="E4476" s="28" t="s">
        <v>14356</v>
      </c>
      <c r="F4476" s="28" t="s">
        <v>149</v>
      </c>
      <c r="G4476" s="28" t="s">
        <v>20</v>
      </c>
      <c r="H4476" s="28" t="s">
        <v>71</v>
      </c>
      <c r="I4476" s="28" t="s">
        <v>72</v>
      </c>
      <c r="J4476" s="28" t="s">
        <v>14357</v>
      </c>
      <c r="K4476" s="28" t="s">
        <v>21</v>
      </c>
      <c r="L4476" s="28" t="s">
        <v>3588</v>
      </c>
      <c r="M4476" s="28" t="s">
        <v>4579</v>
      </c>
      <c r="O4476" s="92">
        <v>41365</v>
      </c>
      <c r="P4476" s="28" t="s">
        <v>21</v>
      </c>
      <c r="Q4476" s="26" t="b">
        <v>0</v>
      </c>
      <c r="R4476" s="22">
        <f t="shared" si="72"/>
        <v>751</v>
      </c>
    </row>
    <row r="4477" spans="1:18">
      <c r="A4477" s="26">
        <v>9699</v>
      </c>
      <c r="B4477" s="27">
        <v>40616</v>
      </c>
      <c r="C4477" s="28" t="s">
        <v>14358</v>
      </c>
      <c r="D4477" s="27">
        <v>40610</v>
      </c>
      <c r="E4477" s="28" t="s">
        <v>14359</v>
      </c>
      <c r="F4477" s="28" t="s">
        <v>14360</v>
      </c>
      <c r="G4477" s="28" t="s">
        <v>20</v>
      </c>
      <c r="H4477" s="28" t="s">
        <v>21</v>
      </c>
      <c r="I4477" s="28" t="s">
        <v>72</v>
      </c>
      <c r="J4477" s="28" t="s">
        <v>14361</v>
      </c>
      <c r="K4477" s="28" t="s">
        <v>21</v>
      </c>
      <c r="L4477" s="28" t="s">
        <v>1946</v>
      </c>
      <c r="M4477" s="28" t="s">
        <v>21</v>
      </c>
      <c r="O4477" s="92">
        <v>40731</v>
      </c>
      <c r="P4477" s="28" t="s">
        <v>21</v>
      </c>
      <c r="Q4477" s="26" t="b">
        <v>0</v>
      </c>
      <c r="R4477" s="22">
        <f t="shared" si="72"/>
        <v>114</v>
      </c>
    </row>
    <row r="4478" spans="1:18" ht="24">
      <c r="A4478" s="26">
        <v>9701</v>
      </c>
      <c r="B4478" s="27">
        <v>40619</v>
      </c>
      <c r="C4478" s="28" t="s">
        <v>14362</v>
      </c>
      <c r="D4478" s="27">
        <v>40612</v>
      </c>
      <c r="E4478" s="28" t="s">
        <v>11030</v>
      </c>
      <c r="F4478" s="28" t="s">
        <v>39</v>
      </c>
      <c r="G4478" s="28" t="s">
        <v>20</v>
      </c>
      <c r="H4478" s="28" t="s">
        <v>71</v>
      </c>
      <c r="I4478" s="28" t="s">
        <v>72</v>
      </c>
      <c r="J4478" s="28" t="s">
        <v>14363</v>
      </c>
      <c r="K4478" s="28" t="s">
        <v>14364</v>
      </c>
      <c r="L4478" s="28" t="s">
        <v>4282</v>
      </c>
      <c r="M4478" s="28" t="s">
        <v>21</v>
      </c>
      <c r="N4478" s="18"/>
      <c r="O4478" s="92">
        <v>40658</v>
      </c>
      <c r="P4478" s="28" t="s">
        <v>21</v>
      </c>
      <c r="Q4478" s="26" t="b">
        <v>0</v>
      </c>
      <c r="R4478" s="22">
        <f t="shared" si="72"/>
        <v>38</v>
      </c>
    </row>
    <row r="4479" spans="1:18">
      <c r="A4479" s="26">
        <v>9702</v>
      </c>
      <c r="B4479" s="27">
        <v>40625</v>
      </c>
      <c r="C4479" s="28" t="s">
        <v>14365</v>
      </c>
      <c r="D4479" s="27">
        <v>40623</v>
      </c>
      <c r="E4479" s="28" t="s">
        <v>38</v>
      </c>
      <c r="F4479" s="28" t="s">
        <v>14366</v>
      </c>
      <c r="G4479" s="28" t="s">
        <v>20</v>
      </c>
      <c r="H4479" s="28" t="s">
        <v>71</v>
      </c>
      <c r="I4479" s="28" t="s">
        <v>72</v>
      </c>
      <c r="J4479" s="28" t="s">
        <v>13613</v>
      </c>
      <c r="K4479" s="28" t="s">
        <v>21</v>
      </c>
      <c r="L4479" s="28" t="s">
        <v>11155</v>
      </c>
      <c r="M4479" s="28" t="s">
        <v>21</v>
      </c>
      <c r="O4479" s="92">
        <v>40625</v>
      </c>
      <c r="P4479" s="28" t="s">
        <v>21</v>
      </c>
      <c r="Q4479" s="26" t="b">
        <v>0</v>
      </c>
      <c r="R4479" s="22">
        <f t="shared" si="72"/>
        <v>0</v>
      </c>
    </row>
    <row r="4480" spans="1:18">
      <c r="A4480" s="26">
        <v>9703</v>
      </c>
      <c r="B4480" s="27">
        <v>40626</v>
      </c>
      <c r="C4480" s="28" t="s">
        <v>14367</v>
      </c>
      <c r="D4480" s="27">
        <v>40626</v>
      </c>
      <c r="E4480" s="28" t="s">
        <v>14368</v>
      </c>
      <c r="F4480" s="28" t="s">
        <v>14336</v>
      </c>
      <c r="G4480" s="28" t="s">
        <v>20</v>
      </c>
      <c r="H4480" s="28" t="s">
        <v>189</v>
      </c>
      <c r="I4480" s="28" t="s">
        <v>189</v>
      </c>
      <c r="J4480" s="28" t="s">
        <v>14369</v>
      </c>
      <c r="K4480" s="28" t="s">
        <v>21</v>
      </c>
      <c r="L4480" s="28" t="s">
        <v>1152</v>
      </c>
      <c r="M4480" s="28" t="s">
        <v>14370</v>
      </c>
      <c r="O4480" s="92">
        <v>41820</v>
      </c>
      <c r="P4480" s="28" t="s">
        <v>21</v>
      </c>
      <c r="Q4480" s="26" t="b">
        <v>0</v>
      </c>
      <c r="R4480" s="22">
        <f t="shared" si="72"/>
        <v>1192</v>
      </c>
    </row>
    <row r="4481" spans="1:18">
      <c r="A4481" s="26">
        <v>9704</v>
      </c>
      <c r="B4481" s="27">
        <v>40637</v>
      </c>
      <c r="C4481" s="28" t="s">
        <v>14371</v>
      </c>
      <c r="D4481" s="27">
        <v>40637</v>
      </c>
      <c r="E4481" s="28" t="s">
        <v>14372</v>
      </c>
      <c r="F4481" s="28" t="s">
        <v>974</v>
      </c>
      <c r="G4481" s="28" t="s">
        <v>20</v>
      </c>
      <c r="H4481" s="28" t="s">
        <v>212</v>
      </c>
      <c r="I4481" s="28" t="s">
        <v>212</v>
      </c>
      <c r="J4481" s="28" t="s">
        <v>4690</v>
      </c>
      <c r="K4481" s="28" t="s">
        <v>14373</v>
      </c>
      <c r="L4481" s="28" t="s">
        <v>4282</v>
      </c>
      <c r="M4481" s="28" t="s">
        <v>21</v>
      </c>
      <c r="O4481" s="92">
        <v>41702</v>
      </c>
      <c r="P4481" s="28" t="s">
        <v>21</v>
      </c>
      <c r="Q4481" s="26" t="b">
        <v>0</v>
      </c>
      <c r="R4481" s="22">
        <f t="shared" si="72"/>
        <v>1064</v>
      </c>
    </row>
    <row r="4482" spans="1:18">
      <c r="A4482" s="26">
        <v>9705</v>
      </c>
      <c r="B4482" s="27">
        <v>40644</v>
      </c>
      <c r="C4482" s="28" t="s">
        <v>14374</v>
      </c>
      <c r="D4482" s="27">
        <v>40639</v>
      </c>
      <c r="E4482" s="28" t="s">
        <v>38</v>
      </c>
      <c r="F4482" s="28" t="s">
        <v>70</v>
      </c>
      <c r="G4482" s="28" t="s">
        <v>20</v>
      </c>
      <c r="H4482" s="28" t="s">
        <v>71</v>
      </c>
      <c r="I4482" s="28" t="s">
        <v>72</v>
      </c>
      <c r="J4482" s="28" t="s">
        <v>14375</v>
      </c>
      <c r="K4482" s="28" t="s">
        <v>14376</v>
      </c>
      <c r="L4482" s="28" t="s">
        <v>3588</v>
      </c>
      <c r="M4482" s="28" t="s">
        <v>21</v>
      </c>
      <c r="O4482" s="92">
        <v>40652</v>
      </c>
      <c r="P4482" s="28" t="s">
        <v>21</v>
      </c>
      <c r="Q4482" s="26" t="b">
        <v>0</v>
      </c>
      <c r="R4482" s="22">
        <f t="shared" si="72"/>
        <v>8</v>
      </c>
    </row>
    <row r="4483" spans="1:18">
      <c r="A4483" s="26">
        <v>9706</v>
      </c>
      <c r="B4483" s="27">
        <v>40644</v>
      </c>
      <c r="C4483" s="28" t="s">
        <v>14377</v>
      </c>
      <c r="D4483" s="27">
        <v>40638</v>
      </c>
      <c r="E4483" s="28" t="s">
        <v>14378</v>
      </c>
      <c r="F4483" s="28" t="s">
        <v>14379</v>
      </c>
      <c r="G4483" s="28" t="s">
        <v>20</v>
      </c>
      <c r="H4483" s="28" t="s">
        <v>71</v>
      </c>
      <c r="I4483" s="28" t="s">
        <v>72</v>
      </c>
      <c r="J4483" s="28" t="s">
        <v>13389</v>
      </c>
      <c r="K4483" s="28" t="s">
        <v>14380</v>
      </c>
      <c r="L4483" s="28" t="s">
        <v>1946</v>
      </c>
      <c r="M4483" s="28" t="s">
        <v>21</v>
      </c>
      <c r="O4483" s="92">
        <v>40771</v>
      </c>
      <c r="P4483" s="28" t="s">
        <v>21</v>
      </c>
      <c r="Q4483" s="26" t="b">
        <v>0</v>
      </c>
      <c r="R4483" s="22">
        <f t="shared" si="72"/>
        <v>126</v>
      </c>
    </row>
    <row r="4484" spans="1:18">
      <c r="A4484" s="26">
        <v>9707</v>
      </c>
      <c r="B4484" s="27">
        <v>40644</v>
      </c>
      <c r="C4484" s="28" t="s">
        <v>14381</v>
      </c>
      <c r="D4484" s="27">
        <v>40638</v>
      </c>
      <c r="E4484" s="28" t="s">
        <v>14382</v>
      </c>
      <c r="F4484" s="28" t="s">
        <v>14383</v>
      </c>
      <c r="G4484" s="28" t="s">
        <v>20</v>
      </c>
      <c r="H4484" s="28" t="s">
        <v>566</v>
      </c>
      <c r="I4484" s="28" t="s">
        <v>566</v>
      </c>
      <c r="J4484" s="28" t="s">
        <v>14384</v>
      </c>
      <c r="K4484" s="28" t="s">
        <v>14385</v>
      </c>
      <c r="L4484" s="28" t="s">
        <v>3588</v>
      </c>
      <c r="M4484" s="28" t="s">
        <v>21</v>
      </c>
      <c r="O4484" s="92">
        <v>40651</v>
      </c>
      <c r="P4484" s="28" t="s">
        <v>21</v>
      </c>
      <c r="Q4484" s="26" t="b">
        <v>0</v>
      </c>
      <c r="R4484" s="22">
        <f t="shared" si="72"/>
        <v>7</v>
      </c>
    </row>
    <row r="4485" spans="1:18" ht="24">
      <c r="A4485" s="26">
        <v>9708</v>
      </c>
      <c r="B4485" s="27">
        <v>40644</v>
      </c>
      <c r="C4485" s="28" t="s">
        <v>14386</v>
      </c>
      <c r="D4485" s="27">
        <v>40640</v>
      </c>
      <c r="E4485" s="28" t="s">
        <v>11030</v>
      </c>
      <c r="F4485" s="28" t="s">
        <v>14387</v>
      </c>
      <c r="G4485" s="28" t="s">
        <v>20</v>
      </c>
      <c r="H4485" s="28" t="s">
        <v>71</v>
      </c>
      <c r="I4485" s="28" t="s">
        <v>72</v>
      </c>
      <c r="J4485" s="28" t="s">
        <v>14388</v>
      </c>
      <c r="K4485" s="28" t="s">
        <v>14389</v>
      </c>
      <c r="L4485" s="28" t="s">
        <v>4282</v>
      </c>
      <c r="M4485" s="28" t="s">
        <v>21</v>
      </c>
      <c r="O4485" s="92">
        <v>40821</v>
      </c>
      <c r="P4485" s="28" t="s">
        <v>21</v>
      </c>
      <c r="Q4485" s="26" t="b">
        <v>0</v>
      </c>
      <c r="R4485" s="22">
        <f t="shared" si="72"/>
        <v>176</v>
      </c>
    </row>
    <row r="4486" spans="1:18">
      <c r="A4486" s="26">
        <v>9709</v>
      </c>
      <c r="B4486" s="27">
        <v>40647</v>
      </c>
      <c r="C4486" s="28" t="s">
        <v>14390</v>
      </c>
      <c r="D4486" s="27">
        <v>40645</v>
      </c>
      <c r="E4486" s="28" t="s">
        <v>14391</v>
      </c>
      <c r="F4486" s="28" t="s">
        <v>9630</v>
      </c>
      <c r="G4486" s="28" t="s">
        <v>20</v>
      </c>
      <c r="H4486" s="28" t="s">
        <v>71</v>
      </c>
      <c r="I4486" s="28" t="s">
        <v>72</v>
      </c>
      <c r="J4486" s="28" t="s">
        <v>14392</v>
      </c>
      <c r="K4486" s="28" t="s">
        <v>21</v>
      </c>
      <c r="L4486" s="28" t="s">
        <v>3588</v>
      </c>
      <c r="M4486" s="28" t="s">
        <v>21</v>
      </c>
      <c r="N4486" s="29">
        <v>40694</v>
      </c>
      <c r="O4486" s="92">
        <v>40658</v>
      </c>
      <c r="P4486" s="28" t="s">
        <v>21</v>
      </c>
      <c r="Q4486" s="26" t="b">
        <v>0</v>
      </c>
      <c r="R4486" s="22">
        <f t="shared" si="72"/>
        <v>11</v>
      </c>
    </row>
    <row r="4487" spans="1:18">
      <c r="A4487" s="26">
        <v>9710</v>
      </c>
      <c r="B4487" s="27">
        <v>40651</v>
      </c>
      <c r="C4487" s="28" t="s">
        <v>14393</v>
      </c>
      <c r="D4487" s="27">
        <v>40645</v>
      </c>
      <c r="E4487" s="28" t="s">
        <v>38</v>
      </c>
      <c r="F4487" s="28" t="s">
        <v>1232</v>
      </c>
      <c r="G4487" s="28" t="s">
        <v>20</v>
      </c>
      <c r="H4487" s="28" t="s">
        <v>189</v>
      </c>
      <c r="I4487" s="28" t="s">
        <v>189</v>
      </c>
      <c r="J4487" s="28" t="s">
        <v>14394</v>
      </c>
      <c r="K4487" s="28" t="s">
        <v>14395</v>
      </c>
      <c r="L4487" s="28" t="s">
        <v>1946</v>
      </c>
      <c r="M4487" s="28" t="s">
        <v>21</v>
      </c>
      <c r="O4487" s="92">
        <v>40651</v>
      </c>
      <c r="P4487" s="28" t="s">
        <v>21</v>
      </c>
      <c r="Q4487" s="26" t="b">
        <v>0</v>
      </c>
      <c r="R4487" s="22">
        <f t="shared" si="72"/>
        <v>0</v>
      </c>
    </row>
    <row r="4488" spans="1:18">
      <c r="A4488" s="26">
        <v>9711</v>
      </c>
      <c r="B4488" s="27">
        <v>40652</v>
      </c>
      <c r="C4488" s="28" t="s">
        <v>14396</v>
      </c>
      <c r="D4488" s="27">
        <v>40651</v>
      </c>
      <c r="E4488" s="28" t="s">
        <v>14397</v>
      </c>
      <c r="F4488" s="28" t="s">
        <v>2105</v>
      </c>
      <c r="G4488" s="28" t="s">
        <v>20</v>
      </c>
      <c r="H4488" s="28" t="s">
        <v>189</v>
      </c>
      <c r="I4488" s="28" t="s">
        <v>189</v>
      </c>
      <c r="J4488" s="28" t="s">
        <v>14398</v>
      </c>
      <c r="K4488" s="28" t="s">
        <v>6081</v>
      </c>
      <c r="L4488" s="28" t="s">
        <v>3588</v>
      </c>
      <c r="M4488" s="28" t="s">
        <v>21</v>
      </c>
      <c r="O4488" s="92">
        <v>40679</v>
      </c>
      <c r="P4488" s="28" t="s">
        <v>21</v>
      </c>
      <c r="Q4488" s="26" t="b">
        <v>0</v>
      </c>
      <c r="R4488" s="22">
        <f t="shared" si="72"/>
        <v>27</v>
      </c>
    </row>
    <row r="4489" spans="1:18">
      <c r="A4489" s="26">
        <v>9712</v>
      </c>
      <c r="B4489" s="27">
        <v>40652</v>
      </c>
      <c r="C4489" s="28" t="s">
        <v>14399</v>
      </c>
      <c r="D4489" s="27">
        <v>40639</v>
      </c>
      <c r="E4489" s="28" t="s">
        <v>14400</v>
      </c>
      <c r="F4489" s="28" t="s">
        <v>70</v>
      </c>
      <c r="G4489" s="28" t="s">
        <v>20</v>
      </c>
      <c r="H4489" s="28" t="s">
        <v>71</v>
      </c>
      <c r="I4489" s="28" t="s">
        <v>72</v>
      </c>
      <c r="J4489" s="28" t="s">
        <v>14375</v>
      </c>
      <c r="K4489" s="28" t="s">
        <v>14376</v>
      </c>
      <c r="L4489" s="28" t="s">
        <v>3588</v>
      </c>
      <c r="M4489" s="28" t="s">
        <v>21</v>
      </c>
      <c r="O4489" s="92">
        <v>40697</v>
      </c>
      <c r="P4489" s="28" t="s">
        <v>21</v>
      </c>
      <c r="Q4489" s="26" t="b">
        <v>0</v>
      </c>
      <c r="R4489" s="22">
        <f t="shared" si="72"/>
        <v>44</v>
      </c>
    </row>
    <row r="4490" spans="1:18">
      <c r="A4490" s="26">
        <v>9713</v>
      </c>
      <c r="B4490" s="27">
        <v>40659</v>
      </c>
      <c r="C4490" s="28" t="s">
        <v>14401</v>
      </c>
      <c r="D4490" s="27">
        <v>40658</v>
      </c>
      <c r="E4490" s="28" t="s">
        <v>14402</v>
      </c>
      <c r="F4490" s="28" t="s">
        <v>14403</v>
      </c>
      <c r="G4490" s="28" t="s">
        <v>20</v>
      </c>
      <c r="H4490" s="28" t="s">
        <v>566</v>
      </c>
      <c r="I4490" s="28" t="s">
        <v>566</v>
      </c>
      <c r="J4490" s="28" t="s">
        <v>14404</v>
      </c>
      <c r="K4490" s="28" t="s">
        <v>21</v>
      </c>
      <c r="L4490" s="28" t="s">
        <v>4282</v>
      </c>
      <c r="M4490" s="28" t="s">
        <v>21</v>
      </c>
      <c r="O4490" s="92">
        <v>41485</v>
      </c>
      <c r="P4490" s="28" t="s">
        <v>21</v>
      </c>
      <c r="Q4490" s="26" t="b">
        <v>0</v>
      </c>
      <c r="R4490" s="22">
        <f t="shared" si="72"/>
        <v>825</v>
      </c>
    </row>
    <row r="4491" spans="1:18">
      <c r="A4491" s="26">
        <v>9714</v>
      </c>
      <c r="B4491" s="27">
        <v>40659</v>
      </c>
      <c r="C4491" s="28" t="s">
        <v>14405</v>
      </c>
      <c r="D4491" s="27">
        <v>40658</v>
      </c>
      <c r="E4491" s="28" t="s">
        <v>38</v>
      </c>
      <c r="F4491" s="28" t="s">
        <v>52</v>
      </c>
      <c r="G4491" s="28" t="s">
        <v>20</v>
      </c>
      <c r="H4491" s="28" t="s">
        <v>566</v>
      </c>
      <c r="I4491" s="28" t="s">
        <v>566</v>
      </c>
      <c r="J4491" s="28" t="s">
        <v>14406</v>
      </c>
      <c r="K4491" s="28" t="s">
        <v>14407</v>
      </c>
      <c r="L4491" s="28" t="s">
        <v>11155</v>
      </c>
      <c r="M4491" s="28" t="s">
        <v>21</v>
      </c>
      <c r="O4491" s="92">
        <v>40660</v>
      </c>
      <c r="P4491" s="28" t="s">
        <v>21</v>
      </c>
      <c r="Q4491" s="26" t="b">
        <v>0</v>
      </c>
      <c r="R4491" s="22">
        <f t="shared" si="72"/>
        <v>1</v>
      </c>
    </row>
    <row r="4492" spans="1:18">
      <c r="A4492" s="26">
        <v>9715</v>
      </c>
      <c r="B4492" s="27">
        <v>40660</v>
      </c>
      <c r="C4492" s="28" t="s">
        <v>14408</v>
      </c>
      <c r="D4492" s="27">
        <v>40658</v>
      </c>
      <c r="E4492" s="28" t="s">
        <v>14409</v>
      </c>
      <c r="F4492" s="28" t="s">
        <v>13528</v>
      </c>
      <c r="G4492" s="28" t="s">
        <v>20</v>
      </c>
      <c r="H4492" s="28" t="s">
        <v>71</v>
      </c>
      <c r="I4492" s="28" t="s">
        <v>72</v>
      </c>
      <c r="J4492" s="28" t="s">
        <v>14410</v>
      </c>
      <c r="K4492" s="28" t="s">
        <v>21</v>
      </c>
      <c r="L4492" s="28" t="s">
        <v>14411</v>
      </c>
      <c r="M4492" s="28" t="s">
        <v>1946</v>
      </c>
      <c r="O4492" s="92">
        <v>41795</v>
      </c>
      <c r="P4492" s="28" t="s">
        <v>21</v>
      </c>
      <c r="Q4492" s="26" t="b">
        <v>0</v>
      </c>
      <c r="R4492" s="22">
        <f t="shared" si="72"/>
        <v>1133</v>
      </c>
    </row>
    <row r="4493" spans="1:18">
      <c r="A4493" s="26">
        <v>9716</v>
      </c>
      <c r="B4493" s="27">
        <v>40661</v>
      </c>
      <c r="C4493" s="28" t="s">
        <v>14412</v>
      </c>
      <c r="D4493" s="27">
        <v>40659</v>
      </c>
      <c r="E4493" s="28" t="s">
        <v>14413</v>
      </c>
      <c r="F4493" s="28" t="s">
        <v>85</v>
      </c>
      <c r="G4493" s="28" t="s">
        <v>20</v>
      </c>
      <c r="H4493" s="28" t="s">
        <v>71</v>
      </c>
      <c r="I4493" s="28" t="s">
        <v>72</v>
      </c>
      <c r="J4493" s="28" t="s">
        <v>14414</v>
      </c>
      <c r="K4493" s="28" t="s">
        <v>14415</v>
      </c>
      <c r="L4493" s="28" t="s">
        <v>3588</v>
      </c>
      <c r="M4493" s="28" t="s">
        <v>21</v>
      </c>
      <c r="O4493" s="92">
        <v>40667</v>
      </c>
      <c r="P4493" s="28" t="s">
        <v>21</v>
      </c>
      <c r="Q4493" s="26" t="b">
        <v>0</v>
      </c>
      <c r="R4493" s="22">
        <f t="shared" si="72"/>
        <v>6</v>
      </c>
    </row>
    <row r="4494" spans="1:18">
      <c r="A4494" s="26">
        <v>9717</v>
      </c>
      <c r="B4494" s="27">
        <v>40661</v>
      </c>
      <c r="C4494" s="28" t="s">
        <v>14416</v>
      </c>
      <c r="D4494" s="27">
        <v>40659</v>
      </c>
      <c r="E4494" s="28" t="s">
        <v>14417</v>
      </c>
      <c r="F4494" s="28" t="s">
        <v>14418</v>
      </c>
      <c r="G4494" s="28" t="s">
        <v>20</v>
      </c>
      <c r="H4494" s="28" t="s">
        <v>71</v>
      </c>
      <c r="I4494" s="28" t="s">
        <v>72</v>
      </c>
      <c r="J4494" s="28" t="s">
        <v>14419</v>
      </c>
      <c r="K4494" s="28" t="s">
        <v>6081</v>
      </c>
      <c r="L4494" s="28" t="s">
        <v>3588</v>
      </c>
      <c r="M4494" s="28" t="s">
        <v>21</v>
      </c>
      <c r="O4494" s="92">
        <v>40686</v>
      </c>
      <c r="P4494" s="28" t="s">
        <v>21</v>
      </c>
      <c r="Q4494" s="26" t="b">
        <v>0</v>
      </c>
      <c r="R4494" s="22">
        <f t="shared" si="72"/>
        <v>25</v>
      </c>
    </row>
    <row r="4495" spans="1:18" ht="24">
      <c r="A4495" s="26">
        <v>9719</v>
      </c>
      <c r="B4495" s="27">
        <v>40666</v>
      </c>
      <c r="C4495" s="28" t="s">
        <v>14420</v>
      </c>
      <c r="D4495" s="27">
        <v>40646</v>
      </c>
      <c r="E4495" s="28" t="s">
        <v>14421</v>
      </c>
      <c r="F4495" s="28" t="s">
        <v>974</v>
      </c>
      <c r="G4495" s="28" t="s">
        <v>20</v>
      </c>
      <c r="H4495" s="28" t="s">
        <v>212</v>
      </c>
      <c r="I4495" s="28" t="s">
        <v>212</v>
      </c>
      <c r="J4495" s="28" t="s">
        <v>14422</v>
      </c>
      <c r="K4495" s="28" t="s">
        <v>14423</v>
      </c>
      <c r="L4495" s="28" t="s">
        <v>1946</v>
      </c>
      <c r="M4495" s="28" t="s">
        <v>21</v>
      </c>
      <c r="O4495" s="92">
        <v>40911</v>
      </c>
      <c r="P4495" s="28" t="s">
        <v>21</v>
      </c>
      <c r="Q4495" s="26" t="b">
        <v>0</v>
      </c>
      <c r="R4495" s="22">
        <f t="shared" si="72"/>
        <v>243</v>
      </c>
    </row>
    <row r="4496" spans="1:18" ht="24">
      <c r="A4496" s="26">
        <v>9720</v>
      </c>
      <c r="B4496" s="27">
        <v>40667</v>
      </c>
      <c r="C4496" s="28" t="s">
        <v>14424</v>
      </c>
      <c r="D4496" s="27">
        <v>40654</v>
      </c>
      <c r="E4496" s="28" t="s">
        <v>14425</v>
      </c>
      <c r="F4496" s="28" t="s">
        <v>14118</v>
      </c>
      <c r="G4496" s="28" t="s">
        <v>20</v>
      </c>
      <c r="H4496" s="28" t="s">
        <v>71</v>
      </c>
      <c r="I4496" s="28" t="s">
        <v>72</v>
      </c>
      <c r="J4496" s="28" t="s">
        <v>14426</v>
      </c>
      <c r="K4496" s="28" t="s">
        <v>21</v>
      </c>
      <c r="L4496" s="28" t="s">
        <v>7167</v>
      </c>
      <c r="M4496" s="28" t="s">
        <v>14427</v>
      </c>
      <c r="O4496" s="92">
        <v>41645</v>
      </c>
      <c r="P4496" s="28" t="s">
        <v>21</v>
      </c>
      <c r="Q4496" s="26" t="b">
        <v>0</v>
      </c>
      <c r="R4496" s="22">
        <f t="shared" si="72"/>
        <v>975</v>
      </c>
    </row>
    <row r="4497" spans="1:18">
      <c r="A4497" s="26">
        <v>9721</v>
      </c>
      <c r="B4497" s="27">
        <v>40668</v>
      </c>
      <c r="C4497" s="28" t="s">
        <v>14428</v>
      </c>
      <c r="D4497" s="27">
        <v>40668</v>
      </c>
      <c r="E4497" s="28" t="s">
        <v>14429</v>
      </c>
      <c r="F4497" s="28" t="s">
        <v>52</v>
      </c>
      <c r="G4497" s="28" t="s">
        <v>20</v>
      </c>
      <c r="H4497" s="28" t="s">
        <v>71</v>
      </c>
      <c r="I4497" s="28" t="s">
        <v>14430</v>
      </c>
      <c r="J4497" s="28" t="s">
        <v>14431</v>
      </c>
      <c r="K4497" s="28" t="s">
        <v>21</v>
      </c>
      <c r="L4497" s="28" t="s">
        <v>3588</v>
      </c>
      <c r="M4497" s="28" t="s">
        <v>21</v>
      </c>
      <c r="O4497" s="92">
        <v>40714</v>
      </c>
      <c r="P4497" s="28" t="s">
        <v>21</v>
      </c>
      <c r="Q4497" s="26" t="b">
        <v>0</v>
      </c>
      <c r="R4497" s="22">
        <f t="shared" si="72"/>
        <v>45</v>
      </c>
    </row>
    <row r="4498" spans="1:18">
      <c r="A4498" s="26">
        <v>9722</v>
      </c>
      <c r="B4498" s="27">
        <v>40668</v>
      </c>
      <c r="C4498" s="28" t="s">
        <v>14432</v>
      </c>
      <c r="D4498" s="27">
        <v>40661</v>
      </c>
      <c r="E4498" s="28" t="s">
        <v>14433</v>
      </c>
      <c r="F4498" s="28" t="s">
        <v>12892</v>
      </c>
      <c r="G4498" s="28" t="s">
        <v>20</v>
      </c>
      <c r="H4498" s="28" t="s">
        <v>71</v>
      </c>
      <c r="I4498" s="28" t="s">
        <v>72</v>
      </c>
      <c r="J4498" s="28" t="s">
        <v>272</v>
      </c>
      <c r="K4498" s="28" t="s">
        <v>14434</v>
      </c>
      <c r="L4498" s="28" t="s">
        <v>3588</v>
      </c>
      <c r="M4498" s="28" t="s">
        <v>21</v>
      </c>
      <c r="O4498" s="92">
        <v>40688</v>
      </c>
      <c r="P4498" s="28" t="s">
        <v>21</v>
      </c>
      <c r="Q4498" s="26" t="b">
        <v>0</v>
      </c>
      <c r="R4498" s="22">
        <f t="shared" si="72"/>
        <v>20</v>
      </c>
    </row>
    <row r="4499" spans="1:18">
      <c r="A4499" s="26">
        <v>9723</v>
      </c>
      <c r="B4499" s="27">
        <v>40672</v>
      </c>
      <c r="C4499" s="28" t="s">
        <v>14435</v>
      </c>
      <c r="D4499" s="27">
        <v>40672</v>
      </c>
      <c r="E4499" s="28" t="s">
        <v>14436</v>
      </c>
      <c r="F4499" s="28" t="s">
        <v>8194</v>
      </c>
      <c r="G4499" s="28" t="s">
        <v>20</v>
      </c>
      <c r="H4499" s="28" t="s">
        <v>71</v>
      </c>
      <c r="I4499" s="28" t="s">
        <v>72</v>
      </c>
      <c r="J4499" s="28" t="s">
        <v>14437</v>
      </c>
      <c r="K4499" s="28" t="s">
        <v>14438</v>
      </c>
      <c r="L4499" s="28" t="s">
        <v>4282</v>
      </c>
      <c r="M4499" s="28" t="s">
        <v>21</v>
      </c>
      <c r="O4499" s="92">
        <v>40736</v>
      </c>
      <c r="P4499" s="28" t="s">
        <v>21</v>
      </c>
      <c r="Q4499" s="26" t="b">
        <v>0</v>
      </c>
      <c r="R4499" s="22">
        <f t="shared" si="72"/>
        <v>63</v>
      </c>
    </row>
    <row r="4500" spans="1:18">
      <c r="A4500" s="26">
        <v>9727</v>
      </c>
      <c r="B4500" s="27">
        <v>40682</v>
      </c>
      <c r="C4500" s="28" t="s">
        <v>14439</v>
      </c>
      <c r="D4500" s="27">
        <v>40681</v>
      </c>
      <c r="E4500" s="28" t="s">
        <v>14440</v>
      </c>
      <c r="F4500" s="28" t="s">
        <v>27</v>
      </c>
      <c r="G4500" s="28" t="s">
        <v>20</v>
      </c>
      <c r="H4500" s="28" t="s">
        <v>189</v>
      </c>
      <c r="I4500" s="28" t="s">
        <v>189</v>
      </c>
      <c r="J4500" s="28" t="s">
        <v>14441</v>
      </c>
      <c r="K4500" s="28" t="s">
        <v>9348</v>
      </c>
      <c r="L4500" s="28" t="s">
        <v>1946</v>
      </c>
      <c r="M4500" s="28" t="s">
        <v>14442</v>
      </c>
      <c r="O4500" s="92">
        <v>41123</v>
      </c>
      <c r="P4500" s="28" t="s">
        <v>21</v>
      </c>
      <c r="Q4500" s="26" t="b">
        <v>0</v>
      </c>
      <c r="R4500" s="22">
        <f t="shared" si="72"/>
        <v>439</v>
      </c>
    </row>
    <row r="4501" spans="1:18">
      <c r="A4501" s="26">
        <v>9728</v>
      </c>
      <c r="B4501" s="27">
        <v>40686</v>
      </c>
      <c r="C4501" s="28" t="s">
        <v>14443</v>
      </c>
      <c r="D4501" s="27">
        <v>40652</v>
      </c>
      <c r="E4501" s="28" t="s">
        <v>14444</v>
      </c>
      <c r="F4501" s="28" t="s">
        <v>27</v>
      </c>
      <c r="G4501" s="28" t="s">
        <v>20</v>
      </c>
      <c r="H4501" s="28" t="s">
        <v>71</v>
      </c>
      <c r="I4501" s="28" t="s">
        <v>72</v>
      </c>
      <c r="J4501" s="28" t="s">
        <v>14445</v>
      </c>
      <c r="K4501" s="28" t="s">
        <v>21</v>
      </c>
      <c r="L4501" s="28" t="s">
        <v>3588</v>
      </c>
      <c r="M4501" s="28" t="s">
        <v>21</v>
      </c>
      <c r="O4501" s="92">
        <v>40686</v>
      </c>
      <c r="P4501" s="28" t="s">
        <v>21</v>
      </c>
      <c r="Q4501" s="26" t="b">
        <v>0</v>
      </c>
      <c r="R4501" s="22">
        <f t="shared" si="72"/>
        <v>0</v>
      </c>
    </row>
    <row r="4502" spans="1:18" ht="24">
      <c r="A4502" s="26">
        <v>9729</v>
      </c>
      <c r="B4502" s="27">
        <v>40687</v>
      </c>
      <c r="C4502" s="28" t="s">
        <v>14446</v>
      </c>
      <c r="D4502" s="27">
        <v>40683</v>
      </c>
      <c r="E4502" s="28" t="s">
        <v>14447</v>
      </c>
      <c r="F4502" s="28" t="s">
        <v>12802</v>
      </c>
      <c r="G4502" s="28" t="s">
        <v>20</v>
      </c>
      <c r="H4502" s="28" t="s">
        <v>71</v>
      </c>
      <c r="I4502" s="28" t="s">
        <v>72</v>
      </c>
      <c r="J4502" s="28" t="s">
        <v>13389</v>
      </c>
      <c r="K4502" s="28" t="s">
        <v>14448</v>
      </c>
      <c r="L4502" s="28" t="s">
        <v>3588</v>
      </c>
      <c r="M4502" s="28" t="s">
        <v>21</v>
      </c>
      <c r="O4502" s="92">
        <v>40714</v>
      </c>
      <c r="P4502" s="28" t="s">
        <v>21</v>
      </c>
      <c r="Q4502" s="26" t="b">
        <v>0</v>
      </c>
      <c r="R4502" s="22">
        <f t="shared" si="72"/>
        <v>26</v>
      </c>
    </row>
    <row r="4503" spans="1:18" ht="24">
      <c r="A4503" s="26">
        <v>9730</v>
      </c>
      <c r="B4503" s="27">
        <v>40688</v>
      </c>
      <c r="C4503" s="28" t="s">
        <v>14449</v>
      </c>
      <c r="D4503" s="27">
        <v>40686</v>
      </c>
      <c r="E4503" s="28" t="s">
        <v>14450</v>
      </c>
      <c r="F4503" s="28" t="s">
        <v>14285</v>
      </c>
      <c r="G4503" s="28" t="s">
        <v>20</v>
      </c>
      <c r="H4503" s="28" t="s">
        <v>71</v>
      </c>
      <c r="I4503" s="28" t="s">
        <v>72</v>
      </c>
      <c r="J4503" s="28" t="s">
        <v>23</v>
      </c>
      <c r="K4503" s="28" t="s">
        <v>14451</v>
      </c>
      <c r="L4503" s="28" t="s">
        <v>4282</v>
      </c>
      <c r="M4503" s="28" t="s">
        <v>21</v>
      </c>
      <c r="O4503" s="92">
        <v>41820</v>
      </c>
      <c r="P4503" s="28" t="s">
        <v>21</v>
      </c>
      <c r="Q4503" s="26" t="b">
        <v>0</v>
      </c>
      <c r="R4503" s="22">
        <f t="shared" si="72"/>
        <v>1130</v>
      </c>
    </row>
    <row r="4504" spans="1:18">
      <c r="A4504" s="26">
        <v>9731</v>
      </c>
      <c r="B4504" s="27">
        <v>40688</v>
      </c>
      <c r="C4504" s="28" t="s">
        <v>14452</v>
      </c>
      <c r="D4504" s="27">
        <v>40686</v>
      </c>
      <c r="E4504" s="28" t="s">
        <v>14453</v>
      </c>
      <c r="F4504" s="28" t="s">
        <v>56</v>
      </c>
      <c r="G4504" s="28" t="s">
        <v>20</v>
      </c>
      <c r="H4504" s="28" t="s">
        <v>71</v>
      </c>
      <c r="I4504" s="28" t="s">
        <v>72</v>
      </c>
      <c r="J4504" s="28" t="s">
        <v>14454</v>
      </c>
      <c r="K4504" s="28" t="s">
        <v>21</v>
      </c>
      <c r="L4504" s="28" t="s">
        <v>11155</v>
      </c>
      <c r="M4504" s="28" t="s">
        <v>21</v>
      </c>
      <c r="O4504" s="92">
        <v>40688</v>
      </c>
      <c r="P4504" s="28" t="s">
        <v>21</v>
      </c>
      <c r="Q4504" s="26" t="b">
        <v>0</v>
      </c>
      <c r="R4504" s="22">
        <f t="shared" si="72"/>
        <v>0</v>
      </c>
    </row>
    <row r="4505" spans="1:18">
      <c r="A4505" s="26">
        <v>9732</v>
      </c>
      <c r="B4505" s="27">
        <v>40689</v>
      </c>
      <c r="C4505" s="28" t="s">
        <v>14455</v>
      </c>
      <c r="D4505" s="27">
        <v>40674</v>
      </c>
      <c r="E4505" s="28" t="s">
        <v>38</v>
      </c>
      <c r="F4505" s="28" t="s">
        <v>149</v>
      </c>
      <c r="G4505" s="28" t="s">
        <v>20</v>
      </c>
      <c r="H4505" s="28" t="s">
        <v>71</v>
      </c>
      <c r="I4505" s="28" t="s">
        <v>72</v>
      </c>
      <c r="J4505" s="28" t="s">
        <v>14456</v>
      </c>
      <c r="K4505" s="28" t="s">
        <v>14457</v>
      </c>
      <c r="L4505" s="28" t="s">
        <v>3588</v>
      </c>
      <c r="M4505" s="28" t="s">
        <v>21</v>
      </c>
      <c r="O4505" s="92">
        <v>40697</v>
      </c>
      <c r="P4505" s="28" t="s">
        <v>21</v>
      </c>
      <c r="Q4505" s="26" t="b">
        <v>0</v>
      </c>
      <c r="R4505" s="22">
        <f t="shared" ref="R4505:R4568" si="73">IF(O4505=" ", " ", INT(YEARFRAC(O4505, B4505)*365))</f>
        <v>7</v>
      </c>
    </row>
    <row r="4506" spans="1:18">
      <c r="A4506" s="26">
        <v>9733</v>
      </c>
      <c r="B4506" s="27">
        <v>40695</v>
      </c>
      <c r="C4506" s="28" t="s">
        <v>14458</v>
      </c>
      <c r="D4506" s="27">
        <v>40687</v>
      </c>
      <c r="E4506" s="28" t="s">
        <v>14459</v>
      </c>
      <c r="F4506" s="28" t="s">
        <v>4596</v>
      </c>
      <c r="G4506" s="28" t="s">
        <v>20</v>
      </c>
      <c r="H4506" s="28" t="s">
        <v>189</v>
      </c>
      <c r="I4506" s="28" t="s">
        <v>189</v>
      </c>
      <c r="J4506" s="28" t="s">
        <v>14460</v>
      </c>
      <c r="K4506" s="28" t="s">
        <v>9348</v>
      </c>
      <c r="L4506" s="28" t="s">
        <v>3588</v>
      </c>
      <c r="M4506" s="28" t="s">
        <v>21</v>
      </c>
      <c r="O4506" s="92">
        <v>40737</v>
      </c>
      <c r="P4506" s="28" t="s">
        <v>21</v>
      </c>
      <c r="Q4506" s="26" t="b">
        <v>0</v>
      </c>
      <c r="R4506" s="22">
        <f t="shared" si="73"/>
        <v>42</v>
      </c>
    </row>
    <row r="4507" spans="1:18">
      <c r="A4507" s="26">
        <v>9734</v>
      </c>
      <c r="B4507" s="27">
        <v>40696</v>
      </c>
      <c r="C4507" s="28" t="s">
        <v>14461</v>
      </c>
      <c r="D4507" s="27">
        <v>40690</v>
      </c>
      <c r="E4507" s="28" t="s">
        <v>38</v>
      </c>
      <c r="F4507" s="28" t="s">
        <v>13792</v>
      </c>
      <c r="G4507" s="28" t="s">
        <v>20</v>
      </c>
      <c r="H4507" s="28" t="s">
        <v>71</v>
      </c>
      <c r="I4507" s="28" t="s">
        <v>72</v>
      </c>
      <c r="J4507" s="28" t="s">
        <v>14462</v>
      </c>
      <c r="K4507" s="28" t="s">
        <v>21</v>
      </c>
      <c r="L4507" s="28" t="s">
        <v>3588</v>
      </c>
      <c r="M4507" s="28" t="s">
        <v>21</v>
      </c>
      <c r="O4507" s="92">
        <v>40735</v>
      </c>
      <c r="P4507" s="28" t="s">
        <v>21</v>
      </c>
      <c r="Q4507" s="26" t="b">
        <v>0</v>
      </c>
      <c r="R4507" s="22">
        <f t="shared" si="73"/>
        <v>39</v>
      </c>
    </row>
    <row r="4508" spans="1:18">
      <c r="A4508" s="26">
        <v>9735</v>
      </c>
      <c r="B4508" s="27">
        <v>40697</v>
      </c>
      <c r="C4508" s="28" t="s">
        <v>14463</v>
      </c>
      <c r="D4508" s="27">
        <v>40674</v>
      </c>
      <c r="E4508" s="28" t="s">
        <v>38</v>
      </c>
      <c r="F4508" s="28" t="s">
        <v>149</v>
      </c>
      <c r="G4508" s="28" t="s">
        <v>20</v>
      </c>
      <c r="H4508" s="28" t="s">
        <v>71</v>
      </c>
      <c r="I4508" s="28" t="s">
        <v>72</v>
      </c>
      <c r="J4508" s="28" t="s">
        <v>14464</v>
      </c>
      <c r="K4508" s="28" t="s">
        <v>14465</v>
      </c>
      <c r="L4508" s="28" t="s">
        <v>3588</v>
      </c>
      <c r="M4508" s="28" t="s">
        <v>21</v>
      </c>
      <c r="O4508" s="92">
        <v>40714</v>
      </c>
      <c r="P4508" s="28" t="s">
        <v>21</v>
      </c>
      <c r="Q4508" s="26" t="b">
        <v>0</v>
      </c>
      <c r="R4508" s="22">
        <f t="shared" si="73"/>
        <v>17</v>
      </c>
    </row>
    <row r="4509" spans="1:18">
      <c r="A4509" s="26">
        <v>9737</v>
      </c>
      <c r="B4509" s="27">
        <v>40714</v>
      </c>
      <c r="C4509" s="28" t="s">
        <v>14466</v>
      </c>
      <c r="D4509" s="27">
        <v>40700</v>
      </c>
      <c r="E4509" s="28" t="s">
        <v>38</v>
      </c>
      <c r="F4509" s="28" t="s">
        <v>149</v>
      </c>
      <c r="G4509" s="28" t="s">
        <v>20</v>
      </c>
      <c r="H4509" s="28" t="s">
        <v>71</v>
      </c>
      <c r="I4509" s="28" t="s">
        <v>72</v>
      </c>
      <c r="J4509" s="28" t="s">
        <v>14467</v>
      </c>
      <c r="K4509" s="28" t="s">
        <v>14468</v>
      </c>
      <c r="L4509" s="28" t="s">
        <v>1946</v>
      </c>
      <c r="M4509" s="28" t="s">
        <v>21</v>
      </c>
      <c r="O4509" s="92">
        <v>40724</v>
      </c>
      <c r="P4509" s="28" t="s">
        <v>21</v>
      </c>
      <c r="Q4509" s="26" t="b">
        <v>0</v>
      </c>
      <c r="R4509" s="22">
        <f t="shared" si="73"/>
        <v>10</v>
      </c>
    </row>
    <row r="4510" spans="1:18">
      <c r="A4510" s="26">
        <v>9738</v>
      </c>
      <c r="B4510" s="27">
        <v>40714</v>
      </c>
      <c r="C4510" s="28" t="s">
        <v>14469</v>
      </c>
      <c r="D4510" s="27">
        <v>40694</v>
      </c>
      <c r="E4510" s="28" t="s">
        <v>14470</v>
      </c>
      <c r="F4510" s="28" t="s">
        <v>12404</v>
      </c>
      <c r="G4510" s="28" t="s">
        <v>20</v>
      </c>
      <c r="H4510" s="28" t="s">
        <v>71</v>
      </c>
      <c r="I4510" s="28" t="s">
        <v>72</v>
      </c>
      <c r="J4510" s="28" t="s">
        <v>14471</v>
      </c>
      <c r="K4510" s="28" t="s">
        <v>21</v>
      </c>
      <c r="L4510" s="28" t="s">
        <v>1946</v>
      </c>
      <c r="M4510" s="28" t="s">
        <v>21</v>
      </c>
      <c r="O4510" s="92">
        <v>41670</v>
      </c>
      <c r="P4510" s="28" t="s">
        <v>21</v>
      </c>
      <c r="Q4510" s="26" t="b">
        <v>0</v>
      </c>
      <c r="R4510" s="22">
        <f t="shared" si="73"/>
        <v>954</v>
      </c>
    </row>
    <row r="4511" spans="1:18">
      <c r="A4511" s="26">
        <v>9739</v>
      </c>
      <c r="B4511" s="27">
        <v>40714</v>
      </c>
      <c r="C4511" s="28" t="s">
        <v>14472</v>
      </c>
      <c r="D4511" s="27">
        <v>40692</v>
      </c>
      <c r="E4511" s="28" t="s">
        <v>38</v>
      </c>
      <c r="F4511" s="28" t="s">
        <v>124</v>
      </c>
      <c r="G4511" s="28" t="s">
        <v>20</v>
      </c>
      <c r="H4511" s="28" t="s">
        <v>71</v>
      </c>
      <c r="I4511" s="28" t="s">
        <v>72</v>
      </c>
      <c r="J4511" s="28" t="s">
        <v>12966</v>
      </c>
      <c r="K4511" s="28" t="s">
        <v>14473</v>
      </c>
      <c r="L4511" s="28" t="s">
        <v>3588</v>
      </c>
      <c r="M4511" s="28" t="s">
        <v>21</v>
      </c>
      <c r="O4511" s="92">
        <v>40738</v>
      </c>
      <c r="P4511" s="28" t="s">
        <v>21</v>
      </c>
      <c r="Q4511" s="26" t="b">
        <v>0</v>
      </c>
      <c r="R4511" s="22">
        <f t="shared" si="73"/>
        <v>24</v>
      </c>
    </row>
    <row r="4512" spans="1:18">
      <c r="A4512" s="26">
        <v>9740</v>
      </c>
      <c r="B4512" s="27">
        <v>40714</v>
      </c>
      <c r="C4512" s="28" t="s">
        <v>14474</v>
      </c>
      <c r="D4512" s="27">
        <v>40709</v>
      </c>
      <c r="E4512" s="28" t="s">
        <v>14475</v>
      </c>
      <c r="F4512" s="28" t="s">
        <v>98</v>
      </c>
      <c r="G4512" s="28" t="s">
        <v>20</v>
      </c>
      <c r="H4512" s="28" t="s">
        <v>71</v>
      </c>
      <c r="I4512" s="28" t="s">
        <v>72</v>
      </c>
      <c r="J4512" s="28" t="s">
        <v>14476</v>
      </c>
      <c r="K4512" s="28" t="s">
        <v>21</v>
      </c>
      <c r="L4512" s="28" t="s">
        <v>3588</v>
      </c>
      <c r="M4512" s="28" t="s">
        <v>21</v>
      </c>
      <c r="O4512" s="92">
        <v>41113</v>
      </c>
      <c r="P4512" s="28" t="s">
        <v>21</v>
      </c>
      <c r="Q4512" s="26" t="b">
        <v>0</v>
      </c>
      <c r="R4512" s="22">
        <f t="shared" si="73"/>
        <v>398</v>
      </c>
    </row>
    <row r="4513" spans="1:18">
      <c r="A4513" s="26">
        <v>9742</v>
      </c>
      <c r="B4513" s="27">
        <v>40715</v>
      </c>
      <c r="C4513" s="28" t="s">
        <v>14477</v>
      </c>
      <c r="D4513" s="27">
        <v>40711</v>
      </c>
      <c r="E4513" s="28" t="s">
        <v>14478</v>
      </c>
      <c r="F4513" s="28" t="s">
        <v>12671</v>
      </c>
      <c r="G4513" s="28" t="s">
        <v>20</v>
      </c>
      <c r="H4513" s="28" t="s">
        <v>71</v>
      </c>
      <c r="I4513" s="28" t="s">
        <v>72</v>
      </c>
      <c r="J4513" s="28" t="s">
        <v>14479</v>
      </c>
      <c r="K4513" s="28" t="s">
        <v>14480</v>
      </c>
      <c r="L4513" s="28" t="s">
        <v>14411</v>
      </c>
      <c r="M4513" s="28" t="s">
        <v>1946</v>
      </c>
      <c r="O4513" s="92">
        <v>41628</v>
      </c>
      <c r="P4513" s="28" t="s">
        <v>21</v>
      </c>
      <c r="Q4513" s="26" t="b">
        <v>0</v>
      </c>
      <c r="R4513" s="22">
        <f t="shared" si="73"/>
        <v>911</v>
      </c>
    </row>
    <row r="4514" spans="1:18">
      <c r="A4514" s="26">
        <v>9743</v>
      </c>
      <c r="B4514" s="27">
        <v>40715</v>
      </c>
      <c r="C4514" s="28" t="s">
        <v>14481</v>
      </c>
      <c r="D4514" s="27">
        <v>40710</v>
      </c>
      <c r="E4514" s="28" t="s">
        <v>38</v>
      </c>
      <c r="F4514" s="28" t="s">
        <v>124</v>
      </c>
      <c r="G4514" s="28" t="s">
        <v>20</v>
      </c>
      <c r="H4514" s="28" t="s">
        <v>71</v>
      </c>
      <c r="I4514" s="28" t="s">
        <v>72</v>
      </c>
      <c r="J4514" s="28" t="s">
        <v>14482</v>
      </c>
      <c r="K4514" s="28" t="s">
        <v>21</v>
      </c>
      <c r="L4514" s="28" t="s">
        <v>3588</v>
      </c>
      <c r="M4514" s="28" t="s">
        <v>21</v>
      </c>
      <c r="O4514" s="92">
        <v>40738</v>
      </c>
      <c r="P4514" s="28" t="s">
        <v>21</v>
      </c>
      <c r="Q4514" s="26" t="b">
        <v>0</v>
      </c>
      <c r="R4514" s="22">
        <f t="shared" si="73"/>
        <v>23</v>
      </c>
    </row>
    <row r="4515" spans="1:18">
      <c r="A4515" s="26">
        <v>9744</v>
      </c>
      <c r="B4515" s="27">
        <v>40715</v>
      </c>
      <c r="C4515" s="28" t="s">
        <v>14483</v>
      </c>
      <c r="D4515" s="27">
        <v>40715</v>
      </c>
      <c r="E4515" s="28" t="s">
        <v>38</v>
      </c>
      <c r="F4515" s="28" t="s">
        <v>1232</v>
      </c>
      <c r="G4515" s="28" t="s">
        <v>20</v>
      </c>
      <c r="H4515" s="28" t="s">
        <v>189</v>
      </c>
      <c r="I4515" s="28" t="s">
        <v>189</v>
      </c>
      <c r="J4515" s="28" t="s">
        <v>14484</v>
      </c>
      <c r="K4515" s="28" t="s">
        <v>21</v>
      </c>
      <c r="L4515" s="28" t="s">
        <v>4282</v>
      </c>
      <c r="M4515" s="28" t="s">
        <v>21</v>
      </c>
      <c r="O4515" s="92">
        <v>40715</v>
      </c>
      <c r="P4515" s="28" t="s">
        <v>21</v>
      </c>
      <c r="Q4515" s="26" t="b">
        <v>0</v>
      </c>
      <c r="R4515" s="22">
        <f t="shared" si="73"/>
        <v>0</v>
      </c>
    </row>
    <row r="4516" spans="1:18">
      <c r="A4516" s="26">
        <v>9745</v>
      </c>
      <c r="B4516" s="27">
        <v>40724</v>
      </c>
      <c r="C4516" s="28" t="s">
        <v>14485</v>
      </c>
      <c r="D4516" s="27">
        <v>40700</v>
      </c>
      <c r="E4516" s="28" t="s">
        <v>14486</v>
      </c>
      <c r="F4516" s="28" t="s">
        <v>149</v>
      </c>
      <c r="G4516" s="28" t="s">
        <v>20</v>
      </c>
      <c r="H4516" s="28" t="s">
        <v>71</v>
      </c>
      <c r="I4516" s="28" t="s">
        <v>72</v>
      </c>
      <c r="J4516" s="28" t="s">
        <v>14487</v>
      </c>
      <c r="K4516" s="28" t="s">
        <v>21</v>
      </c>
      <c r="L4516" s="28" t="s">
        <v>1946</v>
      </c>
      <c r="M4516" s="28" t="s">
        <v>21</v>
      </c>
      <c r="O4516" s="92">
        <v>41600</v>
      </c>
      <c r="P4516" s="28" t="s">
        <v>21</v>
      </c>
      <c r="Q4516" s="26" t="b">
        <v>0</v>
      </c>
      <c r="R4516" s="22">
        <f t="shared" si="73"/>
        <v>873</v>
      </c>
    </row>
    <row r="4517" spans="1:18">
      <c r="A4517" s="26">
        <v>9748</v>
      </c>
      <c r="B4517" s="27">
        <v>40735</v>
      </c>
      <c r="C4517" s="28" t="s">
        <v>14488</v>
      </c>
      <c r="D4517" s="27">
        <v>40735</v>
      </c>
      <c r="E4517" s="28" t="s">
        <v>14489</v>
      </c>
      <c r="F4517" s="28" t="s">
        <v>56</v>
      </c>
      <c r="G4517" s="28" t="s">
        <v>20</v>
      </c>
      <c r="H4517" s="28" t="s">
        <v>71</v>
      </c>
      <c r="I4517" s="28" t="s">
        <v>72</v>
      </c>
      <c r="J4517" s="28" t="s">
        <v>14490</v>
      </c>
      <c r="K4517" s="28" t="s">
        <v>14437</v>
      </c>
      <c r="L4517" s="28" t="s">
        <v>4282</v>
      </c>
      <c r="M4517" s="28" t="s">
        <v>21</v>
      </c>
      <c r="O4517" s="92">
        <v>41485</v>
      </c>
      <c r="P4517" s="28" t="s">
        <v>21</v>
      </c>
      <c r="Q4517" s="26" t="b">
        <v>0</v>
      </c>
      <c r="R4517" s="22">
        <f t="shared" si="73"/>
        <v>749</v>
      </c>
    </row>
    <row r="4518" spans="1:18" ht="24">
      <c r="A4518" s="26">
        <v>9749</v>
      </c>
      <c r="B4518" s="27">
        <v>40737</v>
      </c>
      <c r="C4518" s="28" t="s">
        <v>14491</v>
      </c>
      <c r="D4518" s="27">
        <v>40697</v>
      </c>
      <c r="E4518" s="28" t="s">
        <v>14492</v>
      </c>
      <c r="F4518" s="28" t="s">
        <v>9937</v>
      </c>
      <c r="G4518" s="28" t="s">
        <v>20</v>
      </c>
      <c r="H4518" s="28" t="s">
        <v>71</v>
      </c>
      <c r="I4518" s="28" t="s">
        <v>72</v>
      </c>
      <c r="J4518" s="28" t="s">
        <v>14493</v>
      </c>
      <c r="K4518" s="28" t="s">
        <v>14494</v>
      </c>
      <c r="L4518" s="28" t="s">
        <v>7167</v>
      </c>
      <c r="M4518" s="28" t="s">
        <v>14427</v>
      </c>
      <c r="O4518" s="92">
        <v>41710</v>
      </c>
      <c r="P4518" s="28" t="s">
        <v>21</v>
      </c>
      <c r="Q4518" s="26" t="b">
        <v>0</v>
      </c>
      <c r="R4518" s="22">
        <f t="shared" si="73"/>
        <v>972</v>
      </c>
    </row>
    <row r="4519" spans="1:18">
      <c r="A4519" s="26">
        <v>9750</v>
      </c>
      <c r="B4519" s="27">
        <v>40737</v>
      </c>
      <c r="C4519" s="28" t="s">
        <v>14495</v>
      </c>
      <c r="D4519" s="27">
        <v>40737</v>
      </c>
      <c r="E4519" s="28" t="s">
        <v>3268</v>
      </c>
      <c r="F4519" s="28" t="s">
        <v>6953</v>
      </c>
      <c r="G4519" s="28" t="s">
        <v>20</v>
      </c>
      <c r="H4519" s="28" t="s">
        <v>71</v>
      </c>
      <c r="I4519" s="28" t="s">
        <v>72</v>
      </c>
      <c r="J4519" s="28" t="s">
        <v>14496</v>
      </c>
      <c r="K4519" s="28" t="s">
        <v>14497</v>
      </c>
      <c r="L4519" s="28" t="s">
        <v>4282</v>
      </c>
      <c r="M4519" s="28" t="s">
        <v>21</v>
      </c>
      <c r="O4519" s="92">
        <v>40821</v>
      </c>
      <c r="P4519" s="28" t="s">
        <v>21</v>
      </c>
      <c r="Q4519" s="26" t="b">
        <v>0</v>
      </c>
      <c r="R4519" s="22">
        <f t="shared" si="73"/>
        <v>83</v>
      </c>
    </row>
    <row r="4520" spans="1:18" ht="24">
      <c r="A4520" s="26">
        <v>9752</v>
      </c>
      <c r="B4520" s="27">
        <v>40745</v>
      </c>
      <c r="C4520" s="28" t="s">
        <v>14498</v>
      </c>
      <c r="D4520" s="27">
        <v>40742</v>
      </c>
      <c r="E4520" s="28" t="s">
        <v>14499</v>
      </c>
      <c r="F4520" s="28" t="s">
        <v>13960</v>
      </c>
      <c r="G4520" s="28" t="s">
        <v>20</v>
      </c>
      <c r="H4520" s="28" t="s">
        <v>71</v>
      </c>
      <c r="I4520" s="28" t="s">
        <v>72</v>
      </c>
      <c r="J4520" s="28" t="s">
        <v>14500</v>
      </c>
      <c r="K4520" s="28" t="s">
        <v>14501</v>
      </c>
      <c r="L4520" s="28" t="s">
        <v>1946</v>
      </c>
      <c r="M4520" s="28" t="s">
        <v>14502</v>
      </c>
      <c r="O4520" s="92">
        <v>41789</v>
      </c>
      <c r="P4520" s="28" t="s">
        <v>21</v>
      </c>
      <c r="Q4520" s="26" t="b">
        <v>0</v>
      </c>
      <c r="R4520" s="22">
        <f t="shared" si="73"/>
        <v>1043</v>
      </c>
    </row>
    <row r="4521" spans="1:18">
      <c r="A4521" s="26">
        <v>9753</v>
      </c>
      <c r="B4521" s="27">
        <v>40745</v>
      </c>
      <c r="C4521" s="28" t="s">
        <v>14503</v>
      </c>
      <c r="D4521" s="27">
        <v>40744</v>
      </c>
      <c r="E4521" s="28" t="s">
        <v>14504</v>
      </c>
      <c r="F4521" s="28" t="s">
        <v>9198</v>
      </c>
      <c r="G4521" s="28" t="s">
        <v>20</v>
      </c>
      <c r="H4521" s="28" t="s">
        <v>71</v>
      </c>
      <c r="I4521" s="28" t="s">
        <v>72</v>
      </c>
      <c r="J4521" s="28" t="s">
        <v>14437</v>
      </c>
      <c r="K4521" s="28" t="s">
        <v>7465</v>
      </c>
      <c r="L4521" s="28" t="s">
        <v>4282</v>
      </c>
      <c r="M4521" s="28" t="s">
        <v>21</v>
      </c>
      <c r="O4521" s="92">
        <v>40820</v>
      </c>
      <c r="P4521" s="28" t="s">
        <v>21</v>
      </c>
      <c r="Q4521" s="26" t="b">
        <v>0</v>
      </c>
      <c r="R4521" s="22">
        <f t="shared" si="73"/>
        <v>74</v>
      </c>
    </row>
    <row r="4522" spans="1:18">
      <c r="A4522" s="26">
        <v>9754</v>
      </c>
      <c r="B4522" s="27">
        <v>40745</v>
      </c>
      <c r="C4522" s="28" t="s">
        <v>14503</v>
      </c>
      <c r="D4522" s="27">
        <v>40744</v>
      </c>
      <c r="E4522" s="28" t="s">
        <v>14505</v>
      </c>
      <c r="F4522" s="28" t="s">
        <v>7961</v>
      </c>
      <c r="G4522" s="28" t="s">
        <v>20</v>
      </c>
      <c r="H4522" s="28" t="s">
        <v>71</v>
      </c>
      <c r="I4522" s="28" t="s">
        <v>72</v>
      </c>
      <c r="J4522" s="28" t="s">
        <v>14506</v>
      </c>
      <c r="K4522" s="28" t="s">
        <v>14507</v>
      </c>
      <c r="L4522" s="28" t="s">
        <v>3588</v>
      </c>
      <c r="M4522" s="28" t="s">
        <v>21</v>
      </c>
      <c r="O4522" s="92">
        <v>40760</v>
      </c>
      <c r="P4522" s="28" t="s">
        <v>21</v>
      </c>
      <c r="Q4522" s="26" t="b">
        <v>0</v>
      </c>
      <c r="R4522" s="22">
        <f t="shared" si="73"/>
        <v>14</v>
      </c>
    </row>
    <row r="4523" spans="1:18">
      <c r="A4523" s="26">
        <v>9755</v>
      </c>
      <c r="B4523" s="27">
        <v>40750</v>
      </c>
      <c r="C4523" s="28" t="s">
        <v>14508</v>
      </c>
      <c r="D4523" s="27">
        <v>40746</v>
      </c>
      <c r="E4523" s="28" t="s">
        <v>14509</v>
      </c>
      <c r="F4523" s="28" t="s">
        <v>12633</v>
      </c>
      <c r="G4523" s="28" t="s">
        <v>20</v>
      </c>
      <c r="H4523" s="28" t="s">
        <v>189</v>
      </c>
      <c r="I4523" s="28" t="s">
        <v>189</v>
      </c>
      <c r="J4523" s="28" t="s">
        <v>14510</v>
      </c>
      <c r="K4523" s="28" t="s">
        <v>1712</v>
      </c>
      <c r="L4523" s="28" t="s">
        <v>3588</v>
      </c>
      <c r="M4523" s="28" t="s">
        <v>21</v>
      </c>
      <c r="O4523" s="92">
        <v>40785</v>
      </c>
      <c r="P4523" s="28" t="s">
        <v>21</v>
      </c>
      <c r="Q4523" s="26" t="b">
        <v>0</v>
      </c>
      <c r="R4523" s="22">
        <f t="shared" si="73"/>
        <v>34</v>
      </c>
    </row>
    <row r="4524" spans="1:18">
      <c r="A4524" s="26">
        <v>9756</v>
      </c>
      <c r="B4524" s="27">
        <v>40751</v>
      </c>
      <c r="C4524" s="28" t="s">
        <v>14511</v>
      </c>
      <c r="D4524" s="27">
        <v>40750</v>
      </c>
      <c r="E4524" s="28" t="s">
        <v>14512</v>
      </c>
      <c r="F4524" s="28" t="s">
        <v>13732</v>
      </c>
      <c r="G4524" s="28" t="s">
        <v>20</v>
      </c>
      <c r="H4524" s="28" t="s">
        <v>71</v>
      </c>
      <c r="I4524" s="28" t="s">
        <v>72</v>
      </c>
      <c r="J4524" s="28" t="s">
        <v>14513</v>
      </c>
      <c r="K4524" s="28" t="s">
        <v>14514</v>
      </c>
      <c r="L4524" s="28" t="s">
        <v>1946</v>
      </c>
      <c r="M4524" s="28" t="s">
        <v>21</v>
      </c>
      <c r="O4524" s="92">
        <v>41022</v>
      </c>
      <c r="P4524" s="28" t="s">
        <v>21</v>
      </c>
      <c r="Q4524" s="26" t="b">
        <v>0</v>
      </c>
      <c r="R4524" s="22">
        <f t="shared" si="73"/>
        <v>269</v>
      </c>
    </row>
    <row r="4525" spans="1:18">
      <c r="A4525" s="26">
        <v>9757</v>
      </c>
      <c r="B4525" s="27">
        <v>40756</v>
      </c>
      <c r="C4525" s="28" t="s">
        <v>14515</v>
      </c>
      <c r="D4525" s="27">
        <v>40753</v>
      </c>
      <c r="E4525" s="28" t="s">
        <v>14516</v>
      </c>
      <c r="F4525" s="28" t="s">
        <v>104</v>
      </c>
      <c r="G4525" s="28" t="s">
        <v>20</v>
      </c>
      <c r="H4525" s="28" t="s">
        <v>71</v>
      </c>
      <c r="I4525" s="28" t="s">
        <v>72</v>
      </c>
      <c r="J4525" s="28" t="s">
        <v>14517</v>
      </c>
      <c r="K4525" s="28" t="s">
        <v>272</v>
      </c>
      <c r="L4525" s="28" t="s">
        <v>14518</v>
      </c>
      <c r="M4525" s="28" t="s">
        <v>14519</v>
      </c>
      <c r="O4525" s="92">
        <v>42283</v>
      </c>
      <c r="P4525" s="28" t="s">
        <v>21</v>
      </c>
      <c r="Q4525" s="26" t="b">
        <v>0</v>
      </c>
      <c r="R4525" s="22">
        <f t="shared" si="73"/>
        <v>1525</v>
      </c>
    </row>
    <row r="4526" spans="1:18">
      <c r="A4526" s="26">
        <v>9762</v>
      </c>
      <c r="B4526" s="27">
        <v>40758</v>
      </c>
      <c r="C4526" s="28" t="s">
        <v>14535</v>
      </c>
      <c r="D4526" s="27">
        <v>40757</v>
      </c>
      <c r="E4526" s="28" t="s">
        <v>38</v>
      </c>
      <c r="F4526" s="28" t="s">
        <v>13528</v>
      </c>
      <c r="G4526" s="28" t="s">
        <v>20</v>
      </c>
      <c r="H4526" s="28" t="s">
        <v>71</v>
      </c>
      <c r="I4526" s="28" t="s">
        <v>72</v>
      </c>
      <c r="J4526" s="28" t="s">
        <v>14536</v>
      </c>
      <c r="K4526" s="28" t="s">
        <v>14537</v>
      </c>
      <c r="L4526" s="28" t="s">
        <v>3588</v>
      </c>
      <c r="M4526" s="28" t="s">
        <v>21</v>
      </c>
      <c r="O4526" s="92">
        <v>40770</v>
      </c>
      <c r="P4526" s="28" t="s">
        <v>21</v>
      </c>
      <c r="Q4526" s="26" t="b">
        <v>0</v>
      </c>
      <c r="R4526" s="22">
        <f t="shared" si="73"/>
        <v>12</v>
      </c>
    </row>
    <row r="4527" spans="1:18">
      <c r="A4527" s="26">
        <v>9758</v>
      </c>
      <c r="B4527" s="27">
        <v>40760</v>
      </c>
      <c r="C4527" s="28" t="s">
        <v>14520</v>
      </c>
      <c r="D4527" s="27">
        <v>40759</v>
      </c>
      <c r="E4527" s="28" t="s">
        <v>14521</v>
      </c>
      <c r="F4527" s="28" t="s">
        <v>104</v>
      </c>
      <c r="G4527" s="28" t="s">
        <v>20</v>
      </c>
      <c r="H4527" s="28" t="s">
        <v>71</v>
      </c>
      <c r="I4527" s="28" t="s">
        <v>72</v>
      </c>
      <c r="J4527" s="28" t="s">
        <v>14522</v>
      </c>
      <c r="K4527" s="28" t="s">
        <v>14523</v>
      </c>
      <c r="L4527" s="28" t="s">
        <v>3588</v>
      </c>
      <c r="M4527" s="28" t="s">
        <v>21</v>
      </c>
      <c r="O4527" s="92">
        <v>41107</v>
      </c>
      <c r="P4527" s="28" t="s">
        <v>21</v>
      </c>
      <c r="Q4527" s="26" t="b">
        <v>0</v>
      </c>
      <c r="R4527" s="22">
        <f t="shared" si="73"/>
        <v>346</v>
      </c>
    </row>
    <row r="4528" spans="1:18">
      <c r="A4528" s="26">
        <v>9759</v>
      </c>
      <c r="B4528" s="27">
        <v>40764</v>
      </c>
      <c r="C4528" s="28" t="s">
        <v>14524</v>
      </c>
      <c r="D4528" s="27">
        <v>40764</v>
      </c>
      <c r="E4528" s="28" t="s">
        <v>14525</v>
      </c>
      <c r="F4528" s="28" t="s">
        <v>13960</v>
      </c>
      <c r="G4528" s="28" t="s">
        <v>20</v>
      </c>
      <c r="H4528" s="28" t="s">
        <v>71</v>
      </c>
      <c r="I4528" s="28" t="s">
        <v>72</v>
      </c>
      <c r="J4528" s="28" t="s">
        <v>14526</v>
      </c>
      <c r="K4528" s="28" t="s">
        <v>14527</v>
      </c>
      <c r="L4528" s="28" t="s">
        <v>3588</v>
      </c>
      <c r="M4528" s="28" t="s">
        <v>21</v>
      </c>
      <c r="O4528" s="92">
        <v>40856</v>
      </c>
      <c r="P4528" s="28" t="s">
        <v>21</v>
      </c>
      <c r="Q4528" s="26" t="b">
        <v>0</v>
      </c>
      <c r="R4528" s="22">
        <f t="shared" si="73"/>
        <v>91</v>
      </c>
    </row>
    <row r="4529" spans="1:18">
      <c r="A4529" s="26">
        <v>9760</v>
      </c>
      <c r="B4529" s="27">
        <v>40765</v>
      </c>
      <c r="C4529" s="28" t="s">
        <v>14528</v>
      </c>
      <c r="D4529" s="27">
        <v>40765</v>
      </c>
      <c r="E4529" s="28" t="s">
        <v>14529</v>
      </c>
      <c r="F4529" s="28" t="s">
        <v>104</v>
      </c>
      <c r="G4529" s="28" t="s">
        <v>20</v>
      </c>
      <c r="H4529" s="28" t="s">
        <v>71</v>
      </c>
      <c r="I4529" s="28" t="s">
        <v>72</v>
      </c>
      <c r="J4529" s="28" t="s">
        <v>14530</v>
      </c>
      <c r="K4529" s="28" t="s">
        <v>14531</v>
      </c>
      <c r="L4529" s="28" t="s">
        <v>3588</v>
      </c>
      <c r="M4529" s="28" t="s">
        <v>21</v>
      </c>
      <c r="O4529" s="92">
        <v>41093</v>
      </c>
      <c r="P4529" s="28" t="s">
        <v>21</v>
      </c>
      <c r="Q4529" s="26" t="b">
        <v>0</v>
      </c>
      <c r="R4529" s="22">
        <f t="shared" si="73"/>
        <v>327</v>
      </c>
    </row>
    <row r="4530" spans="1:18">
      <c r="A4530" s="26">
        <v>9761</v>
      </c>
      <c r="B4530" s="27">
        <v>40765</v>
      </c>
      <c r="C4530" s="28" t="s">
        <v>14532</v>
      </c>
      <c r="D4530" s="27">
        <v>40765</v>
      </c>
      <c r="E4530" s="28" t="s">
        <v>14533</v>
      </c>
      <c r="F4530" s="28" t="s">
        <v>129</v>
      </c>
      <c r="G4530" s="28" t="s">
        <v>20</v>
      </c>
      <c r="H4530" s="28" t="s">
        <v>71</v>
      </c>
      <c r="I4530" s="28" t="s">
        <v>72</v>
      </c>
      <c r="J4530" s="28" t="s">
        <v>14534</v>
      </c>
      <c r="K4530" s="28" t="s">
        <v>9348</v>
      </c>
      <c r="L4530" s="28" t="s">
        <v>3588</v>
      </c>
      <c r="M4530" s="28" t="s">
        <v>21</v>
      </c>
      <c r="O4530" s="92">
        <v>40941</v>
      </c>
      <c r="P4530" s="28" t="s">
        <v>21</v>
      </c>
      <c r="Q4530" s="26" t="b">
        <v>0</v>
      </c>
      <c r="R4530" s="22">
        <f t="shared" si="73"/>
        <v>174</v>
      </c>
    </row>
    <row r="4531" spans="1:18">
      <c r="A4531" s="26">
        <v>9763</v>
      </c>
      <c r="B4531" s="27">
        <v>40771</v>
      </c>
      <c r="C4531" s="28" t="s">
        <v>14538</v>
      </c>
      <c r="D4531" s="27">
        <v>40768</v>
      </c>
      <c r="E4531" s="28" t="s">
        <v>14539</v>
      </c>
      <c r="F4531" s="28" t="s">
        <v>149</v>
      </c>
      <c r="G4531" s="28" t="s">
        <v>20</v>
      </c>
      <c r="H4531" s="28" t="s">
        <v>71</v>
      </c>
      <c r="I4531" s="28" t="s">
        <v>72</v>
      </c>
      <c r="J4531" s="28" t="s">
        <v>14540</v>
      </c>
      <c r="K4531" s="28" t="s">
        <v>14541</v>
      </c>
      <c r="L4531" s="28" t="s">
        <v>1152</v>
      </c>
      <c r="M4531" s="28" t="s">
        <v>3588</v>
      </c>
      <c r="O4531" s="92">
        <v>41704</v>
      </c>
      <c r="P4531" s="28" t="s">
        <v>21</v>
      </c>
      <c r="Q4531" s="26" t="b">
        <v>0</v>
      </c>
      <c r="R4531" s="22">
        <f t="shared" si="73"/>
        <v>932</v>
      </c>
    </row>
    <row r="4532" spans="1:18">
      <c r="A4532" s="26">
        <v>9764</v>
      </c>
      <c r="B4532" s="27">
        <v>40777</v>
      </c>
      <c r="C4532" s="28" t="s">
        <v>14542</v>
      </c>
      <c r="D4532" s="27">
        <v>40771</v>
      </c>
      <c r="E4532" s="28" t="s">
        <v>14543</v>
      </c>
      <c r="F4532" s="28" t="s">
        <v>211</v>
      </c>
      <c r="G4532" s="28" t="s">
        <v>20</v>
      </c>
      <c r="H4532" s="28" t="s">
        <v>212</v>
      </c>
      <c r="I4532" s="28" t="s">
        <v>212</v>
      </c>
      <c r="J4532" s="28" t="s">
        <v>14544</v>
      </c>
      <c r="K4532" s="28" t="s">
        <v>4570</v>
      </c>
      <c r="L4532" s="28" t="s">
        <v>3588</v>
      </c>
      <c r="M4532" s="28" t="s">
        <v>21</v>
      </c>
      <c r="O4532" s="92">
        <v>40800</v>
      </c>
      <c r="P4532" s="28" t="s">
        <v>21</v>
      </c>
      <c r="Q4532" s="26" t="b">
        <v>0</v>
      </c>
      <c r="R4532" s="22">
        <f t="shared" si="73"/>
        <v>22</v>
      </c>
    </row>
    <row r="4533" spans="1:18">
      <c r="A4533" s="26">
        <v>9765</v>
      </c>
      <c r="B4533" s="27">
        <v>40777</v>
      </c>
      <c r="C4533" s="28" t="s">
        <v>14545</v>
      </c>
      <c r="D4533" s="27">
        <v>40771</v>
      </c>
      <c r="E4533" s="28" t="s">
        <v>38</v>
      </c>
      <c r="F4533" s="28" t="s">
        <v>984</v>
      </c>
      <c r="G4533" s="28" t="s">
        <v>20</v>
      </c>
      <c r="H4533" s="28" t="s">
        <v>71</v>
      </c>
      <c r="I4533" s="28" t="s">
        <v>72</v>
      </c>
      <c r="J4533" s="28" t="s">
        <v>14546</v>
      </c>
      <c r="K4533" s="28" t="s">
        <v>21</v>
      </c>
      <c r="L4533" s="28" t="s">
        <v>3588</v>
      </c>
      <c r="M4533" s="28" t="s">
        <v>21</v>
      </c>
      <c r="O4533" s="92">
        <v>40807</v>
      </c>
      <c r="P4533" s="28" t="s">
        <v>21</v>
      </c>
      <c r="Q4533" s="26" t="b">
        <v>0</v>
      </c>
      <c r="R4533" s="22">
        <f t="shared" si="73"/>
        <v>29</v>
      </c>
    </row>
    <row r="4534" spans="1:18">
      <c r="A4534" s="26">
        <v>9766</v>
      </c>
      <c r="B4534" s="27">
        <v>40777</v>
      </c>
      <c r="C4534" s="28" t="s">
        <v>14547</v>
      </c>
      <c r="D4534" s="27">
        <v>40777</v>
      </c>
      <c r="E4534" s="28" t="s">
        <v>14548</v>
      </c>
      <c r="F4534" s="28" t="s">
        <v>12571</v>
      </c>
      <c r="G4534" s="28" t="s">
        <v>20</v>
      </c>
      <c r="H4534" s="28" t="s">
        <v>71</v>
      </c>
      <c r="I4534" s="28" t="s">
        <v>72</v>
      </c>
      <c r="J4534" s="28" t="s">
        <v>14549</v>
      </c>
      <c r="K4534" s="28" t="s">
        <v>21</v>
      </c>
      <c r="L4534" s="28" t="s">
        <v>3588</v>
      </c>
      <c r="M4534" s="28" t="s">
        <v>21</v>
      </c>
      <c r="O4534" s="92">
        <v>40848</v>
      </c>
      <c r="P4534" s="28" t="s">
        <v>21</v>
      </c>
      <c r="Q4534" s="26" t="b">
        <v>0</v>
      </c>
      <c r="R4534" s="22">
        <f t="shared" si="73"/>
        <v>69</v>
      </c>
    </row>
    <row r="4535" spans="1:18">
      <c r="A4535" s="26">
        <v>9767</v>
      </c>
      <c r="B4535" s="27">
        <v>40778</v>
      </c>
      <c r="C4535" s="28" t="s">
        <v>14550</v>
      </c>
      <c r="D4535" s="27">
        <v>40774</v>
      </c>
      <c r="E4535" s="28" t="s">
        <v>14551</v>
      </c>
      <c r="F4535" s="28" t="s">
        <v>14552</v>
      </c>
      <c r="G4535" s="28" t="s">
        <v>20</v>
      </c>
      <c r="H4535" s="28" t="s">
        <v>71</v>
      </c>
      <c r="I4535" s="28" t="s">
        <v>72</v>
      </c>
      <c r="J4535" s="28" t="s">
        <v>14553</v>
      </c>
      <c r="K4535" s="28" t="s">
        <v>21</v>
      </c>
      <c r="L4535" s="28" t="s">
        <v>1152</v>
      </c>
      <c r="M4535" s="28" t="s">
        <v>3588</v>
      </c>
      <c r="O4535" s="92">
        <v>41820</v>
      </c>
      <c r="P4535" s="28" t="s">
        <v>21</v>
      </c>
      <c r="Q4535" s="26" t="b">
        <v>0</v>
      </c>
      <c r="R4535" s="22">
        <f t="shared" si="73"/>
        <v>1041</v>
      </c>
    </row>
    <row r="4536" spans="1:18">
      <c r="A4536" s="26">
        <v>9768</v>
      </c>
      <c r="B4536" s="27">
        <v>40779</v>
      </c>
      <c r="C4536" s="28" t="s">
        <v>14554</v>
      </c>
      <c r="D4536" s="27">
        <v>40778</v>
      </c>
      <c r="E4536" s="28" t="s">
        <v>1432</v>
      </c>
      <c r="F4536" s="28" t="s">
        <v>145</v>
      </c>
      <c r="G4536" s="28" t="s">
        <v>20</v>
      </c>
      <c r="H4536" s="28" t="s">
        <v>71</v>
      </c>
      <c r="I4536" s="28" t="s">
        <v>72</v>
      </c>
      <c r="J4536" s="28" t="s">
        <v>14555</v>
      </c>
      <c r="K4536" s="28" t="s">
        <v>14348</v>
      </c>
      <c r="L4536" s="28" t="s">
        <v>7167</v>
      </c>
      <c r="M4536" s="28" t="s">
        <v>4282</v>
      </c>
      <c r="O4536" s="92">
        <v>41547</v>
      </c>
      <c r="P4536" s="28" t="s">
        <v>21</v>
      </c>
      <c r="Q4536" s="26" t="b">
        <v>0</v>
      </c>
      <c r="R4536" s="22">
        <f t="shared" si="73"/>
        <v>766</v>
      </c>
    </row>
    <row r="4537" spans="1:18">
      <c r="A4537" s="26">
        <v>9770</v>
      </c>
      <c r="B4537" s="27">
        <v>40793</v>
      </c>
      <c r="C4537" s="28" t="s">
        <v>14556</v>
      </c>
      <c r="D4537" s="27">
        <v>40787</v>
      </c>
      <c r="E4537" s="28" t="s">
        <v>14557</v>
      </c>
      <c r="F4537" s="28" t="s">
        <v>52</v>
      </c>
      <c r="G4537" s="28" t="s">
        <v>20</v>
      </c>
      <c r="H4537" s="28" t="s">
        <v>71</v>
      </c>
      <c r="I4537" s="28" t="s">
        <v>72</v>
      </c>
      <c r="J4537" s="28" t="s">
        <v>14558</v>
      </c>
      <c r="K4537" s="28" t="s">
        <v>14559</v>
      </c>
      <c r="L4537" s="28" t="s">
        <v>3588</v>
      </c>
      <c r="M4537" s="28" t="s">
        <v>21</v>
      </c>
      <c r="O4537" s="92">
        <v>40795</v>
      </c>
      <c r="P4537" s="28" t="s">
        <v>21</v>
      </c>
      <c r="Q4537" s="26" t="b">
        <v>0</v>
      </c>
      <c r="R4537" s="22">
        <f t="shared" si="73"/>
        <v>2</v>
      </c>
    </row>
    <row r="4538" spans="1:18">
      <c r="A4538" s="26">
        <v>9771</v>
      </c>
      <c r="B4538" s="27">
        <v>40793</v>
      </c>
      <c r="C4538" s="28" t="s">
        <v>14560</v>
      </c>
      <c r="D4538" s="27">
        <v>40791</v>
      </c>
      <c r="E4538" s="28" t="s">
        <v>14561</v>
      </c>
      <c r="F4538" s="28" t="s">
        <v>14336</v>
      </c>
      <c r="G4538" s="28" t="s">
        <v>20</v>
      </c>
      <c r="H4538" s="28" t="s">
        <v>71</v>
      </c>
      <c r="I4538" s="28" t="s">
        <v>72</v>
      </c>
      <c r="J4538" s="28" t="s">
        <v>14562</v>
      </c>
      <c r="K4538" s="28" t="s">
        <v>21</v>
      </c>
      <c r="L4538" s="28" t="s">
        <v>1152</v>
      </c>
      <c r="M4538" s="28" t="s">
        <v>3588</v>
      </c>
      <c r="O4538" s="92">
        <v>41820</v>
      </c>
      <c r="P4538" s="28" t="s">
        <v>21</v>
      </c>
      <c r="Q4538" s="26" t="b">
        <v>0</v>
      </c>
      <c r="R4538" s="22">
        <f t="shared" si="73"/>
        <v>1027</v>
      </c>
    </row>
    <row r="4539" spans="1:18" ht="24">
      <c r="A4539" s="26">
        <v>9772</v>
      </c>
      <c r="B4539" s="27">
        <v>40795</v>
      </c>
      <c r="C4539" s="28" t="s">
        <v>14563</v>
      </c>
      <c r="D4539" s="27">
        <v>40794</v>
      </c>
      <c r="E4539" s="28" t="s">
        <v>14564</v>
      </c>
      <c r="F4539" s="28" t="s">
        <v>13422</v>
      </c>
      <c r="G4539" s="28" t="s">
        <v>20</v>
      </c>
      <c r="H4539" s="28" t="s">
        <v>71</v>
      </c>
      <c r="I4539" s="28" t="s">
        <v>72</v>
      </c>
      <c r="J4539" s="28" t="s">
        <v>14565</v>
      </c>
      <c r="K4539" s="28" t="s">
        <v>9348</v>
      </c>
      <c r="L4539" s="28" t="s">
        <v>1946</v>
      </c>
      <c r="M4539" s="28" t="s">
        <v>14427</v>
      </c>
      <c r="O4539" s="92">
        <v>41729</v>
      </c>
      <c r="P4539" s="28" t="s">
        <v>21</v>
      </c>
      <c r="Q4539" s="26" t="b">
        <v>0</v>
      </c>
      <c r="R4539" s="22">
        <f t="shared" si="73"/>
        <v>934</v>
      </c>
    </row>
    <row r="4540" spans="1:18">
      <c r="A4540" s="26">
        <v>9773</v>
      </c>
      <c r="B4540" s="27">
        <v>40799</v>
      </c>
      <c r="C4540" s="28" t="s">
        <v>14566</v>
      </c>
      <c r="D4540" s="27">
        <v>40767</v>
      </c>
      <c r="E4540" s="28" t="s">
        <v>14557</v>
      </c>
      <c r="F4540" s="28" t="s">
        <v>371</v>
      </c>
      <c r="G4540" s="28" t="s">
        <v>20</v>
      </c>
      <c r="H4540" s="28" t="s">
        <v>566</v>
      </c>
      <c r="I4540" s="28" t="s">
        <v>566</v>
      </c>
      <c r="J4540" s="28" t="s">
        <v>14567</v>
      </c>
      <c r="K4540" s="28" t="s">
        <v>21</v>
      </c>
      <c r="L4540" s="28" t="s">
        <v>3588</v>
      </c>
      <c r="M4540" s="28" t="s">
        <v>21</v>
      </c>
      <c r="O4540" s="92">
        <v>40954</v>
      </c>
      <c r="P4540" s="28" t="s">
        <v>21</v>
      </c>
      <c r="Q4540" s="26" t="b">
        <v>0</v>
      </c>
      <c r="R4540" s="22">
        <f t="shared" si="73"/>
        <v>154</v>
      </c>
    </row>
    <row r="4541" spans="1:18" ht="24">
      <c r="A4541" s="26">
        <v>9777</v>
      </c>
      <c r="B4541" s="27">
        <v>40812</v>
      </c>
      <c r="C4541" s="28" t="s">
        <v>14568</v>
      </c>
      <c r="D4541" s="27">
        <v>40807</v>
      </c>
      <c r="E4541" s="28" t="s">
        <v>14569</v>
      </c>
      <c r="F4541" s="28" t="s">
        <v>14570</v>
      </c>
      <c r="G4541" s="28" t="s">
        <v>20</v>
      </c>
      <c r="H4541" s="28" t="s">
        <v>189</v>
      </c>
      <c r="I4541" s="28" t="s">
        <v>189</v>
      </c>
      <c r="J4541" s="28" t="s">
        <v>14571</v>
      </c>
      <c r="K4541" s="28" t="s">
        <v>14572</v>
      </c>
      <c r="L4541" s="28" t="s">
        <v>7167</v>
      </c>
      <c r="M4541" s="28" t="s">
        <v>14573</v>
      </c>
      <c r="O4541" s="92">
        <v>41759</v>
      </c>
      <c r="P4541" s="28" t="s">
        <v>21</v>
      </c>
      <c r="Q4541" s="26" t="b">
        <v>0</v>
      </c>
      <c r="R4541" s="22">
        <f t="shared" si="73"/>
        <v>946</v>
      </c>
    </row>
    <row r="4542" spans="1:18">
      <c r="A4542" s="26">
        <v>9778</v>
      </c>
      <c r="B4542" s="27">
        <v>40826</v>
      </c>
      <c r="C4542" s="28" t="s">
        <v>14574</v>
      </c>
      <c r="D4542" s="27">
        <v>40823</v>
      </c>
      <c r="E4542" s="28" t="s">
        <v>1432</v>
      </c>
      <c r="F4542" s="28" t="s">
        <v>14118</v>
      </c>
      <c r="G4542" s="28" t="s">
        <v>20</v>
      </c>
      <c r="H4542" s="28" t="s">
        <v>71</v>
      </c>
      <c r="I4542" s="28" t="s">
        <v>72</v>
      </c>
      <c r="J4542" s="28" t="s">
        <v>14575</v>
      </c>
      <c r="K4542" s="28" t="s">
        <v>21</v>
      </c>
      <c r="L4542" s="28" t="s">
        <v>3588</v>
      </c>
      <c r="M4542" s="28" t="s">
        <v>21</v>
      </c>
      <c r="O4542" s="92">
        <v>41134</v>
      </c>
      <c r="P4542" s="28" t="s">
        <v>21</v>
      </c>
      <c r="Q4542" s="26" t="b">
        <v>0</v>
      </c>
      <c r="R4542" s="22">
        <f t="shared" si="73"/>
        <v>307</v>
      </c>
    </row>
    <row r="4543" spans="1:18">
      <c r="A4543" s="26">
        <v>9779</v>
      </c>
      <c r="B4543" s="27">
        <v>40828</v>
      </c>
      <c r="C4543" s="28" t="s">
        <v>14576</v>
      </c>
      <c r="D4543" s="27">
        <v>40826</v>
      </c>
      <c r="E4543" s="28" t="s">
        <v>38</v>
      </c>
      <c r="F4543" s="28" t="s">
        <v>70</v>
      </c>
      <c r="G4543" s="28" t="s">
        <v>20</v>
      </c>
      <c r="H4543" s="28" t="s">
        <v>71</v>
      </c>
      <c r="I4543" s="28" t="s">
        <v>72</v>
      </c>
      <c r="J4543" s="28" t="s">
        <v>14577</v>
      </c>
      <c r="K4543" s="28" t="s">
        <v>9348</v>
      </c>
      <c r="L4543" s="28" t="s">
        <v>1946</v>
      </c>
      <c r="M4543" s="28" t="s">
        <v>21</v>
      </c>
      <c r="O4543" s="92">
        <v>40877</v>
      </c>
      <c r="P4543" s="28" t="s">
        <v>21</v>
      </c>
      <c r="Q4543" s="26" t="b">
        <v>0</v>
      </c>
      <c r="R4543" s="22">
        <f t="shared" si="73"/>
        <v>48</v>
      </c>
    </row>
    <row r="4544" spans="1:18">
      <c r="A4544" s="26">
        <v>9780</v>
      </c>
      <c r="B4544" s="27">
        <v>40828</v>
      </c>
      <c r="C4544" s="28" t="s">
        <v>14578</v>
      </c>
      <c r="D4544" s="27">
        <v>40812</v>
      </c>
      <c r="E4544" s="28" t="s">
        <v>14579</v>
      </c>
      <c r="F4544" s="28" t="s">
        <v>98</v>
      </c>
      <c r="G4544" s="28" t="s">
        <v>20</v>
      </c>
      <c r="H4544" s="28" t="s">
        <v>71</v>
      </c>
      <c r="I4544" s="28" t="s">
        <v>72</v>
      </c>
      <c r="J4544" s="28" t="s">
        <v>14580</v>
      </c>
      <c r="K4544" s="28" t="s">
        <v>9348</v>
      </c>
      <c r="L4544" s="28" t="s">
        <v>1946</v>
      </c>
      <c r="M4544" s="28" t="s">
        <v>14581</v>
      </c>
      <c r="O4544" s="92">
        <v>41758</v>
      </c>
      <c r="P4544" s="28" t="s">
        <v>21</v>
      </c>
      <c r="Q4544" s="26" t="b">
        <v>0</v>
      </c>
      <c r="R4544" s="22">
        <f t="shared" si="73"/>
        <v>929</v>
      </c>
    </row>
    <row r="4545" spans="1:18">
      <c r="A4545" s="26">
        <v>9781</v>
      </c>
      <c r="B4545" s="27">
        <v>40829</v>
      </c>
      <c r="C4545" s="28" t="s">
        <v>14582</v>
      </c>
      <c r="D4545" s="27">
        <v>40813</v>
      </c>
      <c r="E4545" s="28" t="s">
        <v>14583</v>
      </c>
      <c r="F4545" s="28" t="s">
        <v>14584</v>
      </c>
      <c r="G4545" s="28" t="s">
        <v>20</v>
      </c>
      <c r="H4545" s="28" t="s">
        <v>71</v>
      </c>
      <c r="I4545" s="28" t="s">
        <v>72</v>
      </c>
      <c r="J4545" s="28" t="s">
        <v>14585</v>
      </c>
      <c r="K4545" s="28" t="s">
        <v>14586</v>
      </c>
      <c r="L4545" s="28" t="s">
        <v>1946</v>
      </c>
      <c r="M4545" s="28" t="s">
        <v>21</v>
      </c>
      <c r="O4545" s="92">
        <v>40883</v>
      </c>
      <c r="P4545" s="28" t="s">
        <v>21</v>
      </c>
      <c r="Q4545" s="26" t="b">
        <v>0</v>
      </c>
      <c r="R4545" s="22">
        <f t="shared" si="73"/>
        <v>53</v>
      </c>
    </row>
    <row r="4546" spans="1:18">
      <c r="A4546" s="26">
        <v>9783</v>
      </c>
      <c r="B4546" s="27">
        <v>40830</v>
      </c>
      <c r="C4546" s="28" t="s">
        <v>14587</v>
      </c>
      <c r="D4546" s="27">
        <v>40821</v>
      </c>
      <c r="E4546" s="28" t="s">
        <v>14588</v>
      </c>
      <c r="F4546" s="28" t="s">
        <v>984</v>
      </c>
      <c r="G4546" s="28" t="s">
        <v>20</v>
      </c>
      <c r="H4546" s="28" t="s">
        <v>71</v>
      </c>
      <c r="I4546" s="28" t="s">
        <v>72</v>
      </c>
      <c r="J4546" s="28" t="s">
        <v>14589</v>
      </c>
      <c r="K4546" s="28" t="s">
        <v>14590</v>
      </c>
      <c r="L4546" s="28" t="s">
        <v>7167</v>
      </c>
      <c r="M4546" s="28" t="s">
        <v>4282</v>
      </c>
      <c r="O4546" s="92">
        <v>41711</v>
      </c>
      <c r="P4546" s="28" t="s">
        <v>21</v>
      </c>
      <c r="Q4546" s="26" t="b">
        <v>0</v>
      </c>
      <c r="R4546" s="22">
        <f t="shared" si="73"/>
        <v>881</v>
      </c>
    </row>
    <row r="4547" spans="1:18">
      <c r="A4547" s="26">
        <v>9784</v>
      </c>
      <c r="B4547" s="27">
        <v>40835</v>
      </c>
      <c r="C4547" s="28" t="s">
        <v>14591</v>
      </c>
      <c r="D4547" s="27">
        <v>40834</v>
      </c>
      <c r="E4547" s="28" t="s">
        <v>14592</v>
      </c>
      <c r="F4547" s="28" t="s">
        <v>10422</v>
      </c>
      <c r="G4547" s="28" t="s">
        <v>20</v>
      </c>
      <c r="H4547" s="28" t="s">
        <v>189</v>
      </c>
      <c r="I4547" s="28" t="s">
        <v>189</v>
      </c>
      <c r="J4547" s="28" t="s">
        <v>14593</v>
      </c>
      <c r="K4547" s="28" t="s">
        <v>21</v>
      </c>
      <c r="L4547" s="28" t="s">
        <v>14411</v>
      </c>
      <c r="M4547" s="28" t="s">
        <v>1946</v>
      </c>
      <c r="O4547" s="92">
        <v>41635</v>
      </c>
      <c r="P4547" s="28" t="s">
        <v>21</v>
      </c>
      <c r="Q4547" s="26" t="b">
        <v>0</v>
      </c>
      <c r="R4547" s="22">
        <f t="shared" si="73"/>
        <v>798</v>
      </c>
    </row>
    <row r="4548" spans="1:18">
      <c r="A4548" s="26">
        <v>9786</v>
      </c>
      <c r="B4548" s="27">
        <v>40840</v>
      </c>
      <c r="C4548" s="28" t="s">
        <v>14594</v>
      </c>
      <c r="D4548" s="27">
        <v>40839</v>
      </c>
      <c r="E4548" s="28" t="s">
        <v>14595</v>
      </c>
      <c r="F4548" s="28" t="s">
        <v>12660</v>
      </c>
      <c r="G4548" s="28" t="s">
        <v>20</v>
      </c>
      <c r="H4548" s="28" t="s">
        <v>71</v>
      </c>
      <c r="I4548" s="28" t="s">
        <v>72</v>
      </c>
      <c r="J4548" s="28" t="s">
        <v>14596</v>
      </c>
      <c r="K4548" s="28" t="s">
        <v>14597</v>
      </c>
      <c r="L4548" s="28" t="s">
        <v>3588</v>
      </c>
      <c r="M4548" s="28" t="s">
        <v>21</v>
      </c>
      <c r="O4548" s="92">
        <v>40850</v>
      </c>
      <c r="P4548" s="28" t="s">
        <v>21</v>
      </c>
      <c r="Q4548" s="26" t="b">
        <v>0</v>
      </c>
      <c r="R4548" s="22">
        <f t="shared" si="73"/>
        <v>9</v>
      </c>
    </row>
    <row r="4549" spans="1:18">
      <c r="A4549" s="26">
        <v>9788</v>
      </c>
      <c r="B4549" s="27">
        <v>40847</v>
      </c>
      <c r="C4549" s="28" t="s">
        <v>14598</v>
      </c>
      <c r="D4549" s="27">
        <v>40842</v>
      </c>
      <c r="E4549" s="28" t="s">
        <v>14599</v>
      </c>
      <c r="F4549" s="28" t="s">
        <v>8522</v>
      </c>
      <c r="G4549" s="28" t="s">
        <v>20</v>
      </c>
      <c r="H4549" s="28" t="s">
        <v>189</v>
      </c>
      <c r="I4549" s="28" t="s">
        <v>189</v>
      </c>
      <c r="J4549" s="28" t="s">
        <v>14600</v>
      </c>
      <c r="K4549" s="28" t="s">
        <v>14514</v>
      </c>
      <c r="L4549" s="28" t="s">
        <v>7167</v>
      </c>
      <c r="M4549" s="28" t="s">
        <v>21</v>
      </c>
      <c r="O4549" s="92">
        <v>40848</v>
      </c>
      <c r="P4549" s="28" t="s">
        <v>21</v>
      </c>
      <c r="Q4549" s="26" t="b">
        <v>0</v>
      </c>
      <c r="R4549" s="22">
        <f t="shared" si="73"/>
        <v>1</v>
      </c>
    </row>
    <row r="4550" spans="1:18">
      <c r="A4550" s="26">
        <v>9789</v>
      </c>
      <c r="B4550" s="27">
        <v>40854</v>
      </c>
      <c r="C4550" s="28" t="s">
        <v>14601</v>
      </c>
      <c r="D4550" s="27">
        <v>40853</v>
      </c>
      <c r="E4550" s="28" t="s">
        <v>14602</v>
      </c>
      <c r="F4550" s="28" t="s">
        <v>12660</v>
      </c>
      <c r="G4550" s="28" t="s">
        <v>20</v>
      </c>
      <c r="H4550" s="28" t="s">
        <v>71</v>
      </c>
      <c r="I4550" s="28" t="s">
        <v>72</v>
      </c>
      <c r="J4550" s="28" t="s">
        <v>11774</v>
      </c>
      <c r="K4550" s="28" t="s">
        <v>14603</v>
      </c>
      <c r="L4550" s="28" t="s">
        <v>3588</v>
      </c>
      <c r="M4550" s="28" t="s">
        <v>21</v>
      </c>
      <c r="O4550" s="92">
        <v>40876</v>
      </c>
      <c r="P4550" s="28" t="s">
        <v>21</v>
      </c>
      <c r="Q4550" s="26" t="b">
        <v>0</v>
      </c>
      <c r="R4550" s="22">
        <f t="shared" si="73"/>
        <v>22</v>
      </c>
    </row>
    <row r="4551" spans="1:18">
      <c r="A4551" s="26">
        <v>9790</v>
      </c>
      <c r="B4551" s="27">
        <v>40854</v>
      </c>
      <c r="C4551" s="28" t="s">
        <v>14604</v>
      </c>
      <c r="D4551" s="27">
        <v>40850</v>
      </c>
      <c r="E4551" s="28" t="s">
        <v>14605</v>
      </c>
      <c r="F4551" s="28" t="s">
        <v>19</v>
      </c>
      <c r="G4551" s="28" t="s">
        <v>20</v>
      </c>
      <c r="H4551" s="28" t="s">
        <v>71</v>
      </c>
      <c r="I4551" s="28" t="s">
        <v>72</v>
      </c>
      <c r="J4551" s="28" t="s">
        <v>14606</v>
      </c>
      <c r="K4551" s="28" t="s">
        <v>14607</v>
      </c>
      <c r="L4551" s="28" t="s">
        <v>7167</v>
      </c>
      <c r="M4551" s="28" t="s">
        <v>21</v>
      </c>
      <c r="O4551" s="92">
        <v>41072</v>
      </c>
      <c r="P4551" s="28" t="s">
        <v>21</v>
      </c>
      <c r="Q4551" s="26" t="b">
        <v>0</v>
      </c>
      <c r="R4551" s="22">
        <f t="shared" si="73"/>
        <v>217</v>
      </c>
    </row>
    <row r="4552" spans="1:18">
      <c r="A4552" s="26">
        <v>9791</v>
      </c>
      <c r="B4552" s="27">
        <v>40856</v>
      </c>
      <c r="C4552" s="28" t="s">
        <v>14608</v>
      </c>
      <c r="D4552" s="27">
        <v>40855</v>
      </c>
      <c r="E4552" s="28" t="s">
        <v>14609</v>
      </c>
      <c r="F4552" s="28" t="s">
        <v>98</v>
      </c>
      <c r="G4552" s="28" t="s">
        <v>20</v>
      </c>
      <c r="H4552" s="28" t="s">
        <v>71</v>
      </c>
      <c r="I4552" s="28" t="s">
        <v>72</v>
      </c>
      <c r="J4552" s="28" t="s">
        <v>14610</v>
      </c>
      <c r="K4552" s="28" t="s">
        <v>14611</v>
      </c>
      <c r="L4552" s="28" t="s">
        <v>1946</v>
      </c>
      <c r="M4552" s="28" t="s">
        <v>21</v>
      </c>
      <c r="O4552" s="92">
        <v>40875</v>
      </c>
      <c r="P4552" s="28" t="s">
        <v>21</v>
      </c>
      <c r="Q4552" s="26" t="b">
        <v>0</v>
      </c>
      <c r="R4552" s="22">
        <f t="shared" si="73"/>
        <v>19</v>
      </c>
    </row>
    <row r="4553" spans="1:18">
      <c r="A4553" s="26">
        <v>9792</v>
      </c>
      <c r="B4553" s="27">
        <v>40861</v>
      </c>
      <c r="C4553" s="28" t="s">
        <v>14612</v>
      </c>
      <c r="D4553" s="27">
        <v>40850</v>
      </c>
      <c r="E4553" s="28" t="s">
        <v>14613</v>
      </c>
      <c r="F4553" s="28" t="s">
        <v>13960</v>
      </c>
      <c r="G4553" s="28" t="s">
        <v>20</v>
      </c>
      <c r="H4553" s="28" t="s">
        <v>71</v>
      </c>
      <c r="I4553" s="28" t="s">
        <v>72</v>
      </c>
      <c r="J4553" s="28" t="s">
        <v>14614</v>
      </c>
      <c r="K4553" s="28" t="s">
        <v>14615</v>
      </c>
      <c r="L4553" s="28" t="s">
        <v>3588</v>
      </c>
      <c r="M4553" s="28" t="s">
        <v>21</v>
      </c>
      <c r="O4553" s="92">
        <v>40896</v>
      </c>
      <c r="P4553" s="28" t="s">
        <v>21</v>
      </c>
      <c r="Q4553" s="26" t="b">
        <v>0</v>
      </c>
      <c r="R4553" s="22">
        <f t="shared" si="73"/>
        <v>35</v>
      </c>
    </row>
    <row r="4554" spans="1:18" ht="24">
      <c r="A4554" s="26">
        <v>9793</v>
      </c>
      <c r="B4554" s="27">
        <v>40861</v>
      </c>
      <c r="C4554" s="28" t="s">
        <v>14616</v>
      </c>
      <c r="D4554" s="27">
        <v>40857</v>
      </c>
      <c r="E4554" s="28" t="s">
        <v>14617</v>
      </c>
      <c r="F4554" s="28" t="s">
        <v>14618</v>
      </c>
      <c r="G4554" s="28" t="s">
        <v>20</v>
      </c>
      <c r="H4554" s="28" t="s">
        <v>566</v>
      </c>
      <c r="I4554" s="28" t="s">
        <v>566</v>
      </c>
      <c r="J4554" s="28" t="s">
        <v>14619</v>
      </c>
      <c r="K4554" s="28" t="s">
        <v>14620</v>
      </c>
      <c r="L4554" s="28" t="s">
        <v>3588</v>
      </c>
      <c r="M4554" s="28" t="s">
        <v>21</v>
      </c>
      <c r="O4554" s="92">
        <v>40911</v>
      </c>
      <c r="P4554" s="28" t="s">
        <v>21</v>
      </c>
      <c r="Q4554" s="26" t="b">
        <v>0</v>
      </c>
      <c r="R4554" s="22">
        <f t="shared" si="73"/>
        <v>49</v>
      </c>
    </row>
    <row r="4555" spans="1:18">
      <c r="A4555" s="26">
        <v>9794</v>
      </c>
      <c r="B4555" s="27">
        <v>40862</v>
      </c>
      <c r="C4555" s="28" t="s">
        <v>14621</v>
      </c>
      <c r="D4555" s="27">
        <v>40850</v>
      </c>
      <c r="E4555" s="28" t="s">
        <v>14622</v>
      </c>
      <c r="F4555" s="28" t="s">
        <v>13960</v>
      </c>
      <c r="G4555" s="28" t="s">
        <v>20</v>
      </c>
      <c r="H4555" s="28" t="s">
        <v>71</v>
      </c>
      <c r="I4555" s="28" t="s">
        <v>72</v>
      </c>
      <c r="J4555" s="28" t="s">
        <v>14623</v>
      </c>
      <c r="K4555" s="28" t="s">
        <v>14527</v>
      </c>
      <c r="L4555" s="28" t="s">
        <v>3588</v>
      </c>
      <c r="M4555" s="28" t="s">
        <v>21</v>
      </c>
      <c r="O4555" s="92">
        <v>40872</v>
      </c>
      <c r="P4555" s="28" t="s">
        <v>21</v>
      </c>
      <c r="Q4555" s="26" t="b">
        <v>0</v>
      </c>
      <c r="R4555" s="22">
        <f t="shared" si="73"/>
        <v>10</v>
      </c>
    </row>
    <row r="4556" spans="1:18">
      <c r="A4556" s="26">
        <v>9796</v>
      </c>
      <c r="B4556" s="27">
        <v>40868</v>
      </c>
      <c r="C4556" s="28" t="s">
        <v>14624</v>
      </c>
      <c r="D4556" s="27">
        <v>40864</v>
      </c>
      <c r="E4556" s="28" t="s">
        <v>14625</v>
      </c>
      <c r="F4556" s="28" t="s">
        <v>14626</v>
      </c>
      <c r="G4556" s="28" t="s">
        <v>20</v>
      </c>
      <c r="H4556" s="28" t="s">
        <v>71</v>
      </c>
      <c r="I4556" s="28" t="s">
        <v>72</v>
      </c>
      <c r="J4556" s="28" t="s">
        <v>14627</v>
      </c>
      <c r="K4556" s="28" t="s">
        <v>14628</v>
      </c>
      <c r="L4556" s="28" t="s">
        <v>7167</v>
      </c>
      <c r="M4556" s="28" t="s">
        <v>21</v>
      </c>
      <c r="O4556" s="92">
        <v>40897</v>
      </c>
      <c r="P4556" s="28" t="s">
        <v>21</v>
      </c>
      <c r="Q4556" s="26" t="b">
        <v>0</v>
      </c>
      <c r="R4556" s="22">
        <f t="shared" si="73"/>
        <v>29</v>
      </c>
    </row>
    <row r="4557" spans="1:18">
      <c r="A4557" s="26">
        <v>9797</v>
      </c>
      <c r="B4557" s="27">
        <v>40879</v>
      </c>
      <c r="C4557" s="28" t="s">
        <v>14629</v>
      </c>
      <c r="D4557" s="27">
        <v>40879</v>
      </c>
      <c r="E4557" s="28" t="s">
        <v>38</v>
      </c>
      <c r="F4557" s="28" t="s">
        <v>14379</v>
      </c>
      <c r="G4557" s="28" t="s">
        <v>20</v>
      </c>
      <c r="H4557" s="28" t="s">
        <v>71</v>
      </c>
      <c r="I4557" s="28" t="s">
        <v>72</v>
      </c>
      <c r="J4557" s="28" t="s">
        <v>14630</v>
      </c>
      <c r="K4557" s="28" t="s">
        <v>21</v>
      </c>
      <c r="L4557" s="28" t="s">
        <v>1946</v>
      </c>
      <c r="M4557" s="28" t="s">
        <v>21</v>
      </c>
      <c r="O4557" s="92">
        <v>40975</v>
      </c>
      <c r="P4557" s="28" t="s">
        <v>21</v>
      </c>
      <c r="Q4557" s="26" t="b">
        <v>0</v>
      </c>
      <c r="R4557" s="22">
        <f t="shared" si="73"/>
        <v>96</v>
      </c>
    </row>
    <row r="4558" spans="1:18" ht="24">
      <c r="A4558" s="26">
        <v>9798</v>
      </c>
      <c r="B4558" s="27">
        <v>40883</v>
      </c>
      <c r="C4558" s="28" t="s">
        <v>14631</v>
      </c>
      <c r="D4558" s="27">
        <v>40881</v>
      </c>
      <c r="E4558" s="28" t="s">
        <v>14632</v>
      </c>
      <c r="F4558" s="28" t="s">
        <v>3430</v>
      </c>
      <c r="G4558" s="28" t="s">
        <v>20</v>
      </c>
      <c r="H4558" s="28" t="s">
        <v>71</v>
      </c>
      <c r="I4558" s="28" t="s">
        <v>72</v>
      </c>
      <c r="J4558" s="28" t="s">
        <v>14633</v>
      </c>
      <c r="K4558" s="28" t="s">
        <v>21</v>
      </c>
      <c r="L4558" s="28" t="s">
        <v>7167</v>
      </c>
      <c r="M4558" s="28" t="s">
        <v>21</v>
      </c>
      <c r="O4558" s="92">
        <v>40885</v>
      </c>
      <c r="P4558" s="28" t="s">
        <v>21</v>
      </c>
      <c r="Q4558" s="26" t="b">
        <v>0</v>
      </c>
      <c r="R4558" s="22">
        <f t="shared" si="73"/>
        <v>2</v>
      </c>
    </row>
    <row r="4559" spans="1:18">
      <c r="A4559" s="26">
        <v>9799</v>
      </c>
      <c r="B4559" s="27">
        <v>40884</v>
      </c>
      <c r="C4559" s="28" t="s">
        <v>14634</v>
      </c>
      <c r="D4559" s="27">
        <v>40882</v>
      </c>
      <c r="E4559" s="28" t="s">
        <v>14635</v>
      </c>
      <c r="F4559" s="28" t="s">
        <v>6953</v>
      </c>
      <c r="G4559" s="28" t="s">
        <v>20</v>
      </c>
      <c r="H4559" s="28" t="s">
        <v>71</v>
      </c>
      <c r="I4559" s="28" t="s">
        <v>72</v>
      </c>
      <c r="J4559" s="28" t="s">
        <v>14636</v>
      </c>
      <c r="K4559" s="28" t="s">
        <v>14637</v>
      </c>
      <c r="L4559" s="28" t="s">
        <v>7167</v>
      </c>
      <c r="M4559" s="28" t="s">
        <v>4282</v>
      </c>
      <c r="O4559" s="92">
        <v>41710</v>
      </c>
      <c r="P4559" s="28" t="s">
        <v>21</v>
      </c>
      <c r="Q4559" s="26" t="b">
        <v>0</v>
      </c>
      <c r="R4559" s="22">
        <f t="shared" si="73"/>
        <v>826</v>
      </c>
    </row>
    <row r="4560" spans="1:18">
      <c r="A4560" s="26">
        <v>9800</v>
      </c>
      <c r="B4560" s="27">
        <v>40884</v>
      </c>
      <c r="C4560" s="28" t="s">
        <v>14638</v>
      </c>
      <c r="D4560" s="27">
        <v>40882</v>
      </c>
      <c r="E4560" s="28" t="s">
        <v>14639</v>
      </c>
      <c r="F4560" s="28" t="s">
        <v>52</v>
      </c>
      <c r="G4560" s="28" t="s">
        <v>20</v>
      </c>
      <c r="H4560" s="28" t="s">
        <v>71</v>
      </c>
      <c r="I4560" s="28" t="s">
        <v>72</v>
      </c>
      <c r="J4560" s="28" t="s">
        <v>14640</v>
      </c>
      <c r="K4560" s="28" t="s">
        <v>21</v>
      </c>
      <c r="L4560" s="28" t="s">
        <v>7167</v>
      </c>
      <c r="M4560" s="28" t="s">
        <v>21</v>
      </c>
      <c r="O4560" s="92">
        <v>40911</v>
      </c>
      <c r="P4560" s="28" t="s">
        <v>21</v>
      </c>
      <c r="Q4560" s="26" t="b">
        <v>0</v>
      </c>
      <c r="R4560" s="22">
        <f t="shared" si="73"/>
        <v>26</v>
      </c>
    </row>
    <row r="4561" spans="1:18">
      <c r="A4561" s="26">
        <v>9801</v>
      </c>
      <c r="B4561" s="27">
        <v>40884</v>
      </c>
      <c r="C4561" s="28" t="s">
        <v>14641</v>
      </c>
      <c r="D4561" s="27">
        <v>40882</v>
      </c>
      <c r="E4561" s="28" t="s">
        <v>14642</v>
      </c>
      <c r="F4561" s="28" t="s">
        <v>145</v>
      </c>
      <c r="G4561" s="28" t="s">
        <v>20</v>
      </c>
      <c r="H4561" s="28" t="s">
        <v>71</v>
      </c>
      <c r="I4561" s="28" t="s">
        <v>72</v>
      </c>
      <c r="J4561" s="28" t="s">
        <v>14643</v>
      </c>
      <c r="K4561" s="28" t="s">
        <v>21</v>
      </c>
      <c r="L4561" s="28" t="s">
        <v>1946</v>
      </c>
      <c r="M4561" s="28" t="s">
        <v>21</v>
      </c>
      <c r="O4561" s="92">
        <v>40969</v>
      </c>
      <c r="P4561" s="28" t="s">
        <v>21</v>
      </c>
      <c r="Q4561" s="26" t="b">
        <v>0</v>
      </c>
      <c r="R4561" s="22">
        <f t="shared" si="73"/>
        <v>85</v>
      </c>
    </row>
    <row r="4562" spans="1:18">
      <c r="A4562" s="26">
        <v>9802</v>
      </c>
      <c r="B4562" s="27">
        <v>40884</v>
      </c>
      <c r="C4562" s="28" t="s">
        <v>14644</v>
      </c>
      <c r="D4562" s="27">
        <v>40882</v>
      </c>
      <c r="E4562" s="28" t="s">
        <v>14645</v>
      </c>
      <c r="F4562" s="28" t="s">
        <v>14646</v>
      </c>
      <c r="G4562" s="28" t="s">
        <v>20</v>
      </c>
      <c r="H4562" s="28" t="s">
        <v>71</v>
      </c>
      <c r="I4562" s="28" t="s">
        <v>72</v>
      </c>
      <c r="J4562" s="28" t="s">
        <v>14647</v>
      </c>
      <c r="K4562" s="28" t="s">
        <v>14648</v>
      </c>
      <c r="L4562" s="28" t="s">
        <v>3588</v>
      </c>
      <c r="M4562" s="28" t="s">
        <v>21</v>
      </c>
      <c r="O4562" s="92">
        <v>40911</v>
      </c>
      <c r="P4562" s="28" t="s">
        <v>21</v>
      </c>
      <c r="Q4562" s="26" t="b">
        <v>0</v>
      </c>
      <c r="R4562" s="22">
        <f t="shared" si="73"/>
        <v>26</v>
      </c>
    </row>
    <row r="4563" spans="1:18">
      <c r="A4563" s="26">
        <v>9803</v>
      </c>
      <c r="B4563" s="27">
        <v>40884</v>
      </c>
      <c r="C4563" s="28" t="s">
        <v>14649</v>
      </c>
      <c r="D4563" s="27">
        <v>40882</v>
      </c>
      <c r="E4563" s="28" t="s">
        <v>14650</v>
      </c>
      <c r="F4563" s="28" t="s">
        <v>2359</v>
      </c>
      <c r="G4563" s="28" t="s">
        <v>20</v>
      </c>
      <c r="H4563" s="28" t="s">
        <v>71</v>
      </c>
      <c r="I4563" s="28" t="s">
        <v>72</v>
      </c>
      <c r="J4563" s="28" t="s">
        <v>14651</v>
      </c>
      <c r="K4563" s="28" t="s">
        <v>14652</v>
      </c>
      <c r="L4563" s="28" t="s">
        <v>7167</v>
      </c>
      <c r="M4563" s="28" t="s">
        <v>21</v>
      </c>
      <c r="O4563" s="92">
        <v>40925</v>
      </c>
      <c r="P4563" s="28" t="s">
        <v>21</v>
      </c>
      <c r="Q4563" s="26" t="b">
        <v>0</v>
      </c>
      <c r="R4563" s="22">
        <f t="shared" si="73"/>
        <v>40</v>
      </c>
    </row>
    <row r="4564" spans="1:18">
      <c r="A4564" s="26">
        <v>9804</v>
      </c>
      <c r="B4564" s="27">
        <v>40886</v>
      </c>
      <c r="C4564" s="28" t="s">
        <v>14653</v>
      </c>
      <c r="D4564" s="27">
        <v>40884</v>
      </c>
      <c r="E4564" s="28" t="s">
        <v>11030</v>
      </c>
      <c r="F4564" s="28" t="s">
        <v>6277</v>
      </c>
      <c r="G4564" s="28" t="s">
        <v>20</v>
      </c>
      <c r="H4564" s="28" t="s">
        <v>212</v>
      </c>
      <c r="I4564" s="28" t="s">
        <v>212</v>
      </c>
      <c r="J4564" s="28" t="s">
        <v>13917</v>
      </c>
      <c r="K4564" s="28" t="s">
        <v>14654</v>
      </c>
      <c r="L4564" s="28" t="s">
        <v>4282</v>
      </c>
      <c r="M4564" s="28" t="s">
        <v>21</v>
      </c>
      <c r="O4564" s="92">
        <v>41065</v>
      </c>
      <c r="P4564" s="28" t="s">
        <v>21</v>
      </c>
      <c r="Q4564" s="26" t="b">
        <v>0</v>
      </c>
      <c r="R4564" s="22">
        <f t="shared" si="73"/>
        <v>178</v>
      </c>
    </row>
    <row r="4565" spans="1:18">
      <c r="A4565" s="26">
        <v>9805</v>
      </c>
      <c r="B4565" s="27">
        <v>40889</v>
      </c>
      <c r="C4565" s="28" t="s">
        <v>14655</v>
      </c>
      <c r="D4565" s="27">
        <v>40885</v>
      </c>
      <c r="E4565" s="28" t="s">
        <v>14656</v>
      </c>
      <c r="F4565" s="28" t="s">
        <v>13960</v>
      </c>
      <c r="G4565" s="28" t="s">
        <v>20</v>
      </c>
      <c r="H4565" s="28" t="s">
        <v>71</v>
      </c>
      <c r="I4565" s="28" t="s">
        <v>72</v>
      </c>
      <c r="J4565" s="28" t="s">
        <v>14657</v>
      </c>
      <c r="K4565" s="28" t="s">
        <v>21</v>
      </c>
      <c r="L4565" s="28" t="s">
        <v>4282</v>
      </c>
      <c r="M4565" s="28" t="s">
        <v>21</v>
      </c>
      <c r="O4565" s="92">
        <v>40962</v>
      </c>
      <c r="P4565" s="28" t="s">
        <v>21</v>
      </c>
      <c r="Q4565" s="26" t="b">
        <v>0</v>
      </c>
      <c r="R4565" s="22">
        <f t="shared" si="73"/>
        <v>71</v>
      </c>
    </row>
    <row r="4566" spans="1:18" ht="24">
      <c r="A4566" s="26">
        <v>9806</v>
      </c>
      <c r="B4566" s="27">
        <v>40889</v>
      </c>
      <c r="C4566" s="28" t="s">
        <v>14658</v>
      </c>
      <c r="D4566" s="27">
        <v>40884</v>
      </c>
      <c r="E4566" s="28" t="s">
        <v>11030</v>
      </c>
      <c r="F4566" s="28" t="s">
        <v>27</v>
      </c>
      <c r="G4566" s="28" t="s">
        <v>20</v>
      </c>
      <c r="H4566" s="28" t="s">
        <v>189</v>
      </c>
      <c r="I4566" s="28" t="s">
        <v>189</v>
      </c>
      <c r="J4566" s="28" t="s">
        <v>14659</v>
      </c>
      <c r="K4566" s="28" t="s">
        <v>14660</v>
      </c>
      <c r="L4566" s="28" t="s">
        <v>4282</v>
      </c>
      <c r="M4566" s="28" t="s">
        <v>21</v>
      </c>
      <c r="O4566" s="92">
        <v>41065</v>
      </c>
      <c r="P4566" s="28" t="s">
        <v>21</v>
      </c>
      <c r="Q4566" s="26" t="b">
        <v>0</v>
      </c>
      <c r="R4566" s="22">
        <f t="shared" si="73"/>
        <v>175</v>
      </c>
    </row>
    <row r="4567" spans="1:18">
      <c r="A4567" s="26">
        <v>9807</v>
      </c>
      <c r="B4567" s="27">
        <v>40890</v>
      </c>
      <c r="C4567" s="28" t="s">
        <v>14661</v>
      </c>
      <c r="D4567" s="27">
        <v>40890</v>
      </c>
      <c r="E4567" s="28" t="s">
        <v>14662</v>
      </c>
      <c r="F4567" s="28" t="s">
        <v>13422</v>
      </c>
      <c r="G4567" s="28" t="s">
        <v>20</v>
      </c>
      <c r="H4567" s="28" t="s">
        <v>71</v>
      </c>
      <c r="I4567" s="28" t="s">
        <v>72</v>
      </c>
      <c r="J4567" s="28" t="s">
        <v>14663</v>
      </c>
      <c r="K4567" s="28" t="s">
        <v>14260</v>
      </c>
      <c r="L4567" s="28" t="s">
        <v>1946</v>
      </c>
      <c r="M4567" s="28" t="s">
        <v>21</v>
      </c>
      <c r="O4567" s="92">
        <v>40996</v>
      </c>
      <c r="P4567" s="28" t="s">
        <v>21</v>
      </c>
      <c r="Q4567" s="26" t="b">
        <v>0</v>
      </c>
      <c r="R4567" s="22">
        <f t="shared" si="73"/>
        <v>106</v>
      </c>
    </row>
    <row r="4568" spans="1:18" ht="24">
      <c r="A4568" s="26">
        <v>9808</v>
      </c>
      <c r="B4568" s="27">
        <v>40890</v>
      </c>
      <c r="C4568" s="28" t="s">
        <v>14664</v>
      </c>
      <c r="D4568" s="27">
        <v>40890</v>
      </c>
      <c r="E4568" s="28" t="s">
        <v>14665</v>
      </c>
      <c r="F4568" s="28" t="s">
        <v>13422</v>
      </c>
      <c r="G4568" s="28" t="s">
        <v>20</v>
      </c>
      <c r="H4568" s="28" t="s">
        <v>71</v>
      </c>
      <c r="I4568" s="28" t="s">
        <v>72</v>
      </c>
      <c r="J4568" s="28" t="s">
        <v>14666</v>
      </c>
      <c r="K4568" s="28" t="s">
        <v>14667</v>
      </c>
      <c r="L4568" s="28" t="s">
        <v>1946</v>
      </c>
      <c r="M4568" s="28" t="s">
        <v>21</v>
      </c>
      <c r="O4568" s="92">
        <v>40996</v>
      </c>
      <c r="P4568" s="28" t="s">
        <v>21</v>
      </c>
      <c r="Q4568" s="26" t="b">
        <v>0</v>
      </c>
      <c r="R4568" s="22">
        <f t="shared" si="73"/>
        <v>106</v>
      </c>
    </row>
    <row r="4569" spans="1:18">
      <c r="A4569" s="26">
        <v>9809</v>
      </c>
      <c r="B4569" s="27">
        <v>40890</v>
      </c>
      <c r="C4569" s="28" t="s">
        <v>14668</v>
      </c>
      <c r="D4569" s="27">
        <v>40885</v>
      </c>
      <c r="E4569" s="28" t="s">
        <v>14669</v>
      </c>
      <c r="F4569" s="28" t="s">
        <v>13960</v>
      </c>
      <c r="G4569" s="28" t="s">
        <v>20</v>
      </c>
      <c r="H4569" s="28" t="s">
        <v>189</v>
      </c>
      <c r="I4569" s="28" t="s">
        <v>189</v>
      </c>
      <c r="J4569" s="28" t="s">
        <v>14670</v>
      </c>
      <c r="K4569" s="28" t="s">
        <v>21</v>
      </c>
      <c r="L4569" s="28" t="s">
        <v>1152</v>
      </c>
      <c r="M4569" s="28" t="s">
        <v>14671</v>
      </c>
      <c r="O4569" s="92">
        <v>41820</v>
      </c>
      <c r="P4569" s="28" t="s">
        <v>21</v>
      </c>
      <c r="Q4569" s="26" t="b">
        <v>0</v>
      </c>
      <c r="R4569" s="22">
        <f t="shared" ref="R4569:R4632" si="74">IF(O4569=" ", " ", INT(YEARFRAC(O4569, B4569)*365))</f>
        <v>929</v>
      </c>
    </row>
    <row r="4570" spans="1:18">
      <c r="A4570" s="26">
        <v>9810</v>
      </c>
      <c r="B4570" s="27">
        <v>40893</v>
      </c>
      <c r="C4570" s="28" t="s">
        <v>14672</v>
      </c>
      <c r="D4570" s="27">
        <v>40889</v>
      </c>
      <c r="E4570" s="28" t="s">
        <v>14673</v>
      </c>
      <c r="F4570" s="28" t="s">
        <v>327</v>
      </c>
      <c r="G4570" s="28" t="s">
        <v>20</v>
      </c>
      <c r="H4570" s="28" t="s">
        <v>71</v>
      </c>
      <c r="I4570" s="28" t="s">
        <v>72</v>
      </c>
      <c r="J4570" s="28" t="s">
        <v>14674</v>
      </c>
      <c r="K4570" s="28" t="s">
        <v>21</v>
      </c>
      <c r="L4570" s="28" t="s">
        <v>7167</v>
      </c>
      <c r="M4570" s="28" t="s">
        <v>21</v>
      </c>
      <c r="O4570" s="92">
        <v>41617</v>
      </c>
      <c r="P4570" s="28" t="s">
        <v>21</v>
      </c>
      <c r="Q4570" s="26" t="b">
        <v>0</v>
      </c>
      <c r="R4570" s="22">
        <f t="shared" si="74"/>
        <v>722</v>
      </c>
    </row>
    <row r="4571" spans="1:18">
      <c r="A4571" s="26">
        <v>9811</v>
      </c>
      <c r="B4571" s="27">
        <v>40896</v>
      </c>
      <c r="C4571" s="28" t="s">
        <v>14675</v>
      </c>
      <c r="D4571" s="27">
        <v>40890</v>
      </c>
      <c r="E4571" s="28" t="s">
        <v>14676</v>
      </c>
      <c r="F4571" s="28" t="s">
        <v>12671</v>
      </c>
      <c r="G4571" s="28" t="s">
        <v>20</v>
      </c>
      <c r="H4571" s="28" t="s">
        <v>71</v>
      </c>
      <c r="I4571" s="28" t="s">
        <v>72</v>
      </c>
      <c r="J4571" s="28" t="s">
        <v>14677</v>
      </c>
      <c r="K4571" s="28" t="s">
        <v>21</v>
      </c>
      <c r="L4571" s="28" t="s">
        <v>7167</v>
      </c>
      <c r="M4571" s="28" t="s">
        <v>21</v>
      </c>
      <c r="O4571" s="92">
        <v>40975</v>
      </c>
      <c r="P4571" s="28" t="s">
        <v>21</v>
      </c>
      <c r="Q4571" s="26" t="b">
        <v>0</v>
      </c>
      <c r="R4571" s="22">
        <f t="shared" si="74"/>
        <v>79</v>
      </c>
    </row>
    <row r="4572" spans="1:18">
      <c r="A4572" s="26">
        <v>9812</v>
      </c>
      <c r="B4572" s="27">
        <v>40911</v>
      </c>
      <c r="C4572" s="28" t="s">
        <v>14678</v>
      </c>
      <c r="D4572" s="27">
        <v>40897</v>
      </c>
      <c r="E4572" s="28" t="s">
        <v>10998</v>
      </c>
      <c r="F4572" s="28" t="s">
        <v>12633</v>
      </c>
      <c r="G4572" s="28" t="s">
        <v>20</v>
      </c>
      <c r="H4572" s="28" t="s">
        <v>71</v>
      </c>
      <c r="I4572" s="28" t="s">
        <v>72</v>
      </c>
      <c r="J4572" s="28" t="s">
        <v>14679</v>
      </c>
      <c r="K4572" s="28" t="s">
        <v>13116</v>
      </c>
      <c r="L4572" s="28" t="s">
        <v>7167</v>
      </c>
      <c r="M4572" s="28" t="s">
        <v>21</v>
      </c>
      <c r="O4572" s="92">
        <v>40919</v>
      </c>
      <c r="P4572" s="28" t="s">
        <v>21</v>
      </c>
      <c r="Q4572" s="26" t="b">
        <v>1</v>
      </c>
      <c r="R4572" s="22">
        <f t="shared" si="74"/>
        <v>8</v>
      </c>
    </row>
    <row r="4573" spans="1:18">
      <c r="A4573" s="26">
        <v>9814</v>
      </c>
      <c r="B4573" s="27">
        <v>40917</v>
      </c>
      <c r="C4573" s="28" t="s">
        <v>14680</v>
      </c>
      <c r="D4573" s="27">
        <v>40912</v>
      </c>
      <c r="E4573" s="28" t="s">
        <v>1432</v>
      </c>
      <c r="F4573" s="28" t="s">
        <v>149</v>
      </c>
      <c r="G4573" s="28" t="s">
        <v>20</v>
      </c>
      <c r="H4573" s="28" t="s">
        <v>71</v>
      </c>
      <c r="I4573" s="28" t="s">
        <v>72</v>
      </c>
      <c r="J4573" s="28" t="s">
        <v>14681</v>
      </c>
      <c r="K4573" s="28" t="s">
        <v>14682</v>
      </c>
      <c r="L4573" s="28" t="s">
        <v>7167</v>
      </c>
      <c r="M4573" s="28" t="s">
        <v>21</v>
      </c>
      <c r="O4573" s="92">
        <v>41879</v>
      </c>
      <c r="P4573" s="28" t="s">
        <v>21</v>
      </c>
      <c r="Q4573" s="26" t="b">
        <v>0</v>
      </c>
      <c r="R4573" s="22">
        <f t="shared" si="74"/>
        <v>962</v>
      </c>
    </row>
    <row r="4574" spans="1:18">
      <c r="A4574" s="26">
        <v>9815</v>
      </c>
      <c r="B4574" s="27">
        <v>40918</v>
      </c>
      <c r="C4574" s="28" t="s">
        <v>14683</v>
      </c>
      <c r="D4574" s="27">
        <v>40906</v>
      </c>
      <c r="E4574" s="28" t="s">
        <v>14684</v>
      </c>
      <c r="F4574" s="28" t="s">
        <v>27</v>
      </c>
      <c r="G4574" s="28" t="s">
        <v>20</v>
      </c>
      <c r="H4574" s="28" t="s">
        <v>71</v>
      </c>
      <c r="I4574" s="28" t="s">
        <v>72</v>
      </c>
      <c r="J4574" s="28" t="s">
        <v>14685</v>
      </c>
      <c r="K4574" s="28" t="s">
        <v>14686</v>
      </c>
      <c r="L4574" s="28" t="s">
        <v>3588</v>
      </c>
      <c r="M4574" s="28" t="s">
        <v>21</v>
      </c>
      <c r="O4574" s="92">
        <v>40938</v>
      </c>
      <c r="P4574" s="28" t="s">
        <v>21</v>
      </c>
      <c r="Q4574" s="26" t="b">
        <v>0</v>
      </c>
      <c r="R4574" s="22">
        <f t="shared" si="74"/>
        <v>20</v>
      </c>
    </row>
    <row r="4575" spans="1:18">
      <c r="A4575" s="26">
        <v>9816</v>
      </c>
      <c r="B4575" s="27">
        <v>40919</v>
      </c>
      <c r="C4575" s="28" t="s">
        <v>14687</v>
      </c>
      <c r="D4575" s="27">
        <v>41266</v>
      </c>
      <c r="E4575" s="28" t="s">
        <v>14688</v>
      </c>
      <c r="F4575" s="28" t="s">
        <v>27</v>
      </c>
      <c r="G4575" s="28" t="s">
        <v>20</v>
      </c>
      <c r="H4575" s="28" t="s">
        <v>189</v>
      </c>
      <c r="I4575" s="28" t="s">
        <v>189</v>
      </c>
      <c r="J4575" s="28" t="s">
        <v>14689</v>
      </c>
      <c r="K4575" s="28" t="s">
        <v>14690</v>
      </c>
      <c r="L4575" s="28" t="s">
        <v>1946</v>
      </c>
      <c r="M4575" s="28" t="s">
        <v>21</v>
      </c>
      <c r="O4575" s="92">
        <v>40934</v>
      </c>
      <c r="P4575" s="28" t="s">
        <v>21</v>
      </c>
      <c r="Q4575" s="26" t="b">
        <v>0</v>
      </c>
      <c r="R4575" s="22">
        <f t="shared" si="74"/>
        <v>15</v>
      </c>
    </row>
    <row r="4576" spans="1:18">
      <c r="A4576" s="26">
        <v>9817</v>
      </c>
      <c r="B4576" s="27">
        <v>40919</v>
      </c>
      <c r="C4576" s="28" t="s">
        <v>14691</v>
      </c>
      <c r="D4576" s="27">
        <v>40913</v>
      </c>
      <c r="E4576" s="28" t="s">
        <v>14692</v>
      </c>
      <c r="F4576" s="28" t="s">
        <v>5270</v>
      </c>
      <c r="G4576" s="28" t="s">
        <v>20</v>
      </c>
      <c r="H4576" s="28" t="s">
        <v>71</v>
      </c>
      <c r="I4576" s="28" t="s">
        <v>72</v>
      </c>
      <c r="J4576" s="28" t="s">
        <v>14693</v>
      </c>
      <c r="K4576" s="28" t="s">
        <v>9348</v>
      </c>
      <c r="L4576" s="28" t="s">
        <v>7167</v>
      </c>
      <c r="M4576" s="28" t="s">
        <v>21</v>
      </c>
      <c r="O4576" s="92">
        <v>40919</v>
      </c>
      <c r="P4576" s="28" t="s">
        <v>21</v>
      </c>
      <c r="Q4576" s="26" t="b">
        <v>0</v>
      </c>
      <c r="R4576" s="22">
        <f t="shared" si="74"/>
        <v>0</v>
      </c>
    </row>
    <row r="4577" spans="1:18">
      <c r="A4577" s="26">
        <v>9818</v>
      </c>
      <c r="B4577" s="27">
        <v>40921</v>
      </c>
      <c r="C4577" s="28" t="s">
        <v>14694</v>
      </c>
      <c r="D4577" s="27">
        <v>40912</v>
      </c>
      <c r="E4577" s="28" t="s">
        <v>14695</v>
      </c>
      <c r="F4577" s="28" t="s">
        <v>5270</v>
      </c>
      <c r="G4577" s="28" t="s">
        <v>20</v>
      </c>
      <c r="H4577" s="28" t="s">
        <v>71</v>
      </c>
      <c r="I4577" s="28" t="s">
        <v>72</v>
      </c>
      <c r="J4577" s="28" t="s">
        <v>14696</v>
      </c>
      <c r="K4577" s="28" t="s">
        <v>14697</v>
      </c>
      <c r="L4577" s="28" t="s">
        <v>7167</v>
      </c>
      <c r="M4577" s="28" t="s">
        <v>21</v>
      </c>
      <c r="O4577" s="92">
        <v>40963</v>
      </c>
      <c r="P4577" s="28" t="s">
        <v>21</v>
      </c>
      <c r="Q4577" s="26" t="b">
        <v>0</v>
      </c>
      <c r="R4577" s="22">
        <f t="shared" si="74"/>
        <v>41</v>
      </c>
    </row>
    <row r="4578" spans="1:18">
      <c r="A4578" s="26">
        <v>9819</v>
      </c>
      <c r="B4578" s="27">
        <v>40925</v>
      </c>
      <c r="C4578" s="28" t="s">
        <v>14698</v>
      </c>
      <c r="D4578" s="27">
        <v>40924</v>
      </c>
      <c r="E4578" s="28" t="s">
        <v>14699</v>
      </c>
      <c r="F4578" s="28" t="s">
        <v>14700</v>
      </c>
      <c r="G4578" s="28" t="s">
        <v>20</v>
      </c>
      <c r="H4578" s="28" t="s">
        <v>71</v>
      </c>
      <c r="I4578" s="28" t="s">
        <v>72</v>
      </c>
      <c r="J4578" s="28" t="s">
        <v>14701</v>
      </c>
      <c r="K4578" s="28" t="s">
        <v>14702</v>
      </c>
      <c r="L4578" s="28" t="s">
        <v>3588</v>
      </c>
      <c r="M4578" s="28" t="s">
        <v>21</v>
      </c>
      <c r="O4578" s="92">
        <v>40954</v>
      </c>
      <c r="P4578" s="28" t="s">
        <v>21</v>
      </c>
      <c r="Q4578" s="26" t="b">
        <v>0</v>
      </c>
      <c r="R4578" s="22">
        <f t="shared" si="74"/>
        <v>28</v>
      </c>
    </row>
    <row r="4579" spans="1:18">
      <c r="A4579" s="26">
        <v>9820</v>
      </c>
      <c r="B4579" s="27">
        <v>40927</v>
      </c>
      <c r="C4579" s="28" t="s">
        <v>14703</v>
      </c>
      <c r="D4579" s="27">
        <v>40927</v>
      </c>
      <c r="E4579" s="28" t="s">
        <v>14704</v>
      </c>
      <c r="F4579" s="28" t="s">
        <v>12660</v>
      </c>
      <c r="G4579" s="28" t="s">
        <v>20</v>
      </c>
      <c r="H4579" s="28" t="s">
        <v>212</v>
      </c>
      <c r="I4579" s="28" t="s">
        <v>212</v>
      </c>
      <c r="J4579" s="28" t="s">
        <v>14705</v>
      </c>
      <c r="K4579" s="28" t="s">
        <v>6081</v>
      </c>
      <c r="L4579" s="28" t="s">
        <v>3588</v>
      </c>
      <c r="M4579" s="28" t="s">
        <v>21</v>
      </c>
      <c r="O4579" s="92">
        <v>40956</v>
      </c>
      <c r="P4579" s="28" t="s">
        <v>21</v>
      </c>
      <c r="Q4579" s="26" t="b">
        <v>0</v>
      </c>
      <c r="R4579" s="22">
        <f t="shared" si="74"/>
        <v>28</v>
      </c>
    </row>
    <row r="4580" spans="1:18">
      <c r="A4580" s="26">
        <v>9821</v>
      </c>
      <c r="B4580" s="27">
        <v>40935</v>
      </c>
      <c r="C4580" s="28" t="s">
        <v>14706</v>
      </c>
      <c r="D4580" s="27">
        <v>40933</v>
      </c>
      <c r="E4580" s="28" t="s">
        <v>14707</v>
      </c>
      <c r="F4580" s="28" t="s">
        <v>11050</v>
      </c>
      <c r="G4580" s="28" t="s">
        <v>20</v>
      </c>
      <c r="H4580" s="28" t="s">
        <v>71</v>
      </c>
      <c r="I4580" s="28" t="s">
        <v>72</v>
      </c>
      <c r="J4580" s="28" t="s">
        <v>14708</v>
      </c>
      <c r="K4580" s="28" t="s">
        <v>14709</v>
      </c>
      <c r="L4580" s="28" t="s">
        <v>3588</v>
      </c>
      <c r="M4580" s="28" t="s">
        <v>21</v>
      </c>
      <c r="O4580" s="92">
        <v>40961</v>
      </c>
      <c r="P4580" s="28" t="s">
        <v>21</v>
      </c>
      <c r="Q4580" s="26" t="b">
        <v>0</v>
      </c>
      <c r="R4580" s="22">
        <f t="shared" si="74"/>
        <v>25</v>
      </c>
    </row>
    <row r="4581" spans="1:18" ht="24">
      <c r="A4581" s="26">
        <v>9822</v>
      </c>
      <c r="B4581" s="27">
        <v>40938</v>
      </c>
      <c r="C4581" s="28" t="s">
        <v>14710</v>
      </c>
      <c r="D4581" s="27">
        <v>40934</v>
      </c>
      <c r="E4581" s="28" t="s">
        <v>14711</v>
      </c>
      <c r="F4581" s="28" t="s">
        <v>350</v>
      </c>
      <c r="G4581" s="28" t="s">
        <v>20</v>
      </c>
      <c r="H4581" s="28" t="s">
        <v>71</v>
      </c>
      <c r="I4581" s="28" t="s">
        <v>72</v>
      </c>
      <c r="J4581" s="28" t="s">
        <v>11774</v>
      </c>
      <c r="K4581" s="28" t="s">
        <v>21</v>
      </c>
      <c r="L4581" s="28" t="s">
        <v>1946</v>
      </c>
      <c r="M4581" s="28" t="s">
        <v>14712</v>
      </c>
      <c r="O4581" s="92">
        <v>42062</v>
      </c>
      <c r="P4581" s="28" t="s">
        <v>21</v>
      </c>
      <c r="Q4581" s="26" t="b">
        <v>0</v>
      </c>
      <c r="R4581" s="22">
        <f t="shared" si="74"/>
        <v>1122</v>
      </c>
    </row>
    <row r="4582" spans="1:18">
      <c r="A4582" s="26">
        <v>9823</v>
      </c>
      <c r="B4582" s="27">
        <v>40938</v>
      </c>
      <c r="C4582" s="28" t="s">
        <v>14713</v>
      </c>
      <c r="D4582" s="27">
        <v>40934</v>
      </c>
      <c r="E4582" s="28" t="s">
        <v>14714</v>
      </c>
      <c r="F4582" s="28" t="s">
        <v>11050</v>
      </c>
      <c r="G4582" s="28" t="s">
        <v>20</v>
      </c>
      <c r="H4582" s="28" t="s">
        <v>71</v>
      </c>
      <c r="I4582" s="28" t="s">
        <v>72</v>
      </c>
      <c r="J4582" s="28" t="s">
        <v>14715</v>
      </c>
      <c r="K4582" s="28" t="s">
        <v>21</v>
      </c>
      <c r="L4582" s="28" t="s">
        <v>7167</v>
      </c>
      <c r="M4582" s="28" t="s">
        <v>21</v>
      </c>
      <c r="O4582" s="92">
        <v>41001</v>
      </c>
      <c r="P4582" s="28" t="s">
        <v>21</v>
      </c>
      <c r="Q4582" s="26" t="b">
        <v>0</v>
      </c>
      <c r="R4582" s="22">
        <f t="shared" si="74"/>
        <v>62</v>
      </c>
    </row>
    <row r="4583" spans="1:18">
      <c r="A4583" s="26">
        <v>9824</v>
      </c>
      <c r="B4583" s="27">
        <v>40938</v>
      </c>
      <c r="C4583" s="28" t="s">
        <v>14716</v>
      </c>
      <c r="D4583" s="27">
        <v>40938</v>
      </c>
      <c r="E4583" s="28" t="s">
        <v>14717</v>
      </c>
      <c r="F4583" s="28" t="s">
        <v>14336</v>
      </c>
      <c r="G4583" s="28" t="s">
        <v>20</v>
      </c>
      <c r="H4583" s="28" t="s">
        <v>71</v>
      </c>
      <c r="I4583" s="28" t="s">
        <v>72</v>
      </c>
      <c r="J4583" s="28" t="s">
        <v>14718</v>
      </c>
      <c r="K4583" s="28" t="s">
        <v>14719</v>
      </c>
      <c r="L4583" s="28" t="s">
        <v>3588</v>
      </c>
      <c r="M4583" s="28" t="s">
        <v>21</v>
      </c>
      <c r="O4583" s="92">
        <v>40953</v>
      </c>
      <c r="P4583" s="28" t="s">
        <v>21</v>
      </c>
      <c r="Q4583" s="26" t="b">
        <v>0</v>
      </c>
      <c r="R4583" s="22">
        <f t="shared" si="74"/>
        <v>14</v>
      </c>
    </row>
    <row r="4584" spans="1:18">
      <c r="A4584" s="26">
        <v>9826</v>
      </c>
      <c r="B4584" s="27">
        <v>40941</v>
      </c>
      <c r="C4584" s="28" t="s">
        <v>14720</v>
      </c>
      <c r="D4584" s="27">
        <v>40941</v>
      </c>
      <c r="E4584" s="28" t="s">
        <v>14721</v>
      </c>
      <c r="F4584" s="28" t="s">
        <v>14336</v>
      </c>
      <c r="G4584" s="28" t="s">
        <v>20</v>
      </c>
      <c r="H4584" s="28" t="s">
        <v>71</v>
      </c>
      <c r="I4584" s="28" t="s">
        <v>72</v>
      </c>
      <c r="J4584" s="28" t="s">
        <v>14722</v>
      </c>
      <c r="K4584" s="28" t="s">
        <v>21</v>
      </c>
      <c r="L4584" s="28" t="s">
        <v>1152</v>
      </c>
      <c r="M4584" s="28" t="s">
        <v>3588</v>
      </c>
      <c r="O4584" s="92">
        <v>41820</v>
      </c>
      <c r="P4584" s="28" t="s">
        <v>21</v>
      </c>
      <c r="Q4584" s="26" t="b">
        <v>0</v>
      </c>
      <c r="R4584" s="22">
        <f t="shared" si="74"/>
        <v>880</v>
      </c>
    </row>
    <row r="4585" spans="1:18">
      <c r="A4585" s="26">
        <v>9828</v>
      </c>
      <c r="B4585" s="27">
        <v>40946</v>
      </c>
      <c r="C4585" s="28" t="s">
        <v>14723</v>
      </c>
      <c r="D4585" s="27">
        <v>40945</v>
      </c>
      <c r="E4585" s="28" t="s">
        <v>38</v>
      </c>
      <c r="F4585" s="28" t="s">
        <v>861</v>
      </c>
      <c r="G4585" s="28" t="s">
        <v>20</v>
      </c>
      <c r="H4585" s="28" t="s">
        <v>566</v>
      </c>
      <c r="I4585" s="28" t="s">
        <v>566</v>
      </c>
      <c r="J4585" s="28" t="s">
        <v>14724</v>
      </c>
      <c r="K4585" s="28" t="s">
        <v>21</v>
      </c>
      <c r="L4585" s="28" t="s">
        <v>7167</v>
      </c>
      <c r="M4585" s="28" t="s">
        <v>21</v>
      </c>
      <c r="O4585" s="92">
        <v>40975</v>
      </c>
      <c r="P4585" s="28" t="s">
        <v>21</v>
      </c>
      <c r="Q4585" s="26" t="b">
        <v>0</v>
      </c>
      <c r="R4585" s="22">
        <f t="shared" si="74"/>
        <v>30</v>
      </c>
    </row>
    <row r="4586" spans="1:18" ht="24">
      <c r="A4586" s="26">
        <v>9829</v>
      </c>
      <c r="B4586" s="27">
        <v>40947</v>
      </c>
      <c r="C4586" s="28" t="s">
        <v>14725</v>
      </c>
      <c r="D4586" s="27">
        <v>40947</v>
      </c>
      <c r="E4586" s="28" t="s">
        <v>14726</v>
      </c>
      <c r="F4586" s="28" t="s">
        <v>211</v>
      </c>
      <c r="G4586" s="28" t="s">
        <v>20</v>
      </c>
      <c r="H4586" s="28" t="s">
        <v>212</v>
      </c>
      <c r="I4586" s="28" t="s">
        <v>212</v>
      </c>
      <c r="J4586" s="28" t="s">
        <v>14727</v>
      </c>
      <c r="K4586" s="28" t="s">
        <v>14728</v>
      </c>
      <c r="L4586" s="28" t="s">
        <v>7167</v>
      </c>
      <c r="M4586" s="28" t="s">
        <v>21</v>
      </c>
      <c r="O4586" s="92">
        <v>42004</v>
      </c>
      <c r="P4586" s="28" t="s">
        <v>21</v>
      </c>
      <c r="Q4586" s="26" t="b">
        <v>0</v>
      </c>
      <c r="R4586" s="22">
        <f t="shared" si="74"/>
        <v>1057</v>
      </c>
    </row>
    <row r="4587" spans="1:18">
      <c r="A4587" s="26">
        <v>9831</v>
      </c>
      <c r="B4587" s="27">
        <v>40948</v>
      </c>
      <c r="C4587" s="28" t="s">
        <v>14729</v>
      </c>
      <c r="D4587" s="27">
        <v>40947</v>
      </c>
      <c r="E4587" s="28" t="s">
        <v>14730</v>
      </c>
      <c r="F4587" s="28" t="s">
        <v>1232</v>
      </c>
      <c r="G4587" s="28" t="s">
        <v>20</v>
      </c>
      <c r="H4587" s="28" t="s">
        <v>189</v>
      </c>
      <c r="I4587" s="28" t="s">
        <v>189</v>
      </c>
      <c r="J4587" s="28" t="s">
        <v>14731</v>
      </c>
      <c r="K4587" s="28" t="s">
        <v>21</v>
      </c>
      <c r="L4587" s="28" t="s">
        <v>1946</v>
      </c>
      <c r="M4587" s="28" t="s">
        <v>14519</v>
      </c>
      <c r="O4587" s="92">
        <v>41820</v>
      </c>
      <c r="P4587" s="28" t="s">
        <v>21</v>
      </c>
      <c r="Q4587" s="26" t="b">
        <v>0</v>
      </c>
      <c r="R4587" s="22">
        <f t="shared" si="74"/>
        <v>872</v>
      </c>
    </row>
    <row r="4588" spans="1:18">
      <c r="A4588" s="26">
        <v>9832</v>
      </c>
      <c r="B4588" s="27">
        <v>40955</v>
      </c>
      <c r="C4588" s="28" t="s">
        <v>14732</v>
      </c>
      <c r="D4588" s="27">
        <v>40954</v>
      </c>
      <c r="E4588" s="28" t="s">
        <v>14733</v>
      </c>
      <c r="F4588" s="28" t="s">
        <v>12892</v>
      </c>
      <c r="G4588" s="28" t="s">
        <v>20</v>
      </c>
      <c r="H4588" s="28" t="s">
        <v>71</v>
      </c>
      <c r="I4588" s="28" t="s">
        <v>72</v>
      </c>
      <c r="J4588" s="28" t="s">
        <v>14734</v>
      </c>
      <c r="K4588" s="28" t="s">
        <v>21</v>
      </c>
      <c r="L4588" s="28" t="s">
        <v>7167</v>
      </c>
      <c r="M4588" s="28" t="s">
        <v>21</v>
      </c>
      <c r="O4588" s="92">
        <v>40968</v>
      </c>
      <c r="P4588" s="28" t="s">
        <v>21</v>
      </c>
      <c r="Q4588" s="26" t="b">
        <v>0</v>
      </c>
      <c r="R4588" s="22">
        <f t="shared" si="74"/>
        <v>13</v>
      </c>
    </row>
    <row r="4589" spans="1:18">
      <c r="A4589" s="26">
        <v>9833</v>
      </c>
      <c r="B4589" s="27">
        <v>40956</v>
      </c>
      <c r="C4589" s="28" t="s">
        <v>14735</v>
      </c>
      <c r="D4589" s="27">
        <v>40955</v>
      </c>
      <c r="E4589" s="28" t="s">
        <v>14736</v>
      </c>
      <c r="F4589" s="28" t="s">
        <v>52</v>
      </c>
      <c r="G4589" s="28" t="s">
        <v>20</v>
      </c>
      <c r="H4589" s="28" t="s">
        <v>212</v>
      </c>
      <c r="I4589" s="28" t="s">
        <v>212</v>
      </c>
      <c r="J4589" s="28" t="s">
        <v>14737</v>
      </c>
      <c r="K4589" s="28" t="s">
        <v>6081</v>
      </c>
      <c r="L4589" s="28" t="s">
        <v>7167</v>
      </c>
      <c r="M4589" s="28" t="s">
        <v>21</v>
      </c>
      <c r="O4589" s="92">
        <v>40988</v>
      </c>
      <c r="P4589" s="28" t="s">
        <v>21</v>
      </c>
      <c r="Q4589" s="26" t="b">
        <v>0</v>
      </c>
      <c r="R4589" s="22">
        <f t="shared" si="74"/>
        <v>33</v>
      </c>
    </row>
    <row r="4590" spans="1:18">
      <c r="A4590" s="26">
        <v>9835</v>
      </c>
      <c r="B4590" s="27">
        <v>40961</v>
      </c>
      <c r="C4590" s="28" t="s">
        <v>14738</v>
      </c>
      <c r="D4590" s="27">
        <v>40960</v>
      </c>
      <c r="E4590" s="28" t="s">
        <v>14739</v>
      </c>
      <c r="F4590" s="28" t="s">
        <v>98</v>
      </c>
      <c r="G4590" s="28" t="s">
        <v>20</v>
      </c>
      <c r="H4590" s="28" t="s">
        <v>71</v>
      </c>
      <c r="I4590" s="28" t="s">
        <v>72</v>
      </c>
      <c r="J4590" s="28" t="s">
        <v>14740</v>
      </c>
      <c r="K4590" s="28" t="s">
        <v>14741</v>
      </c>
      <c r="L4590" s="28" t="s">
        <v>7167</v>
      </c>
      <c r="M4590" s="28" t="s">
        <v>21</v>
      </c>
      <c r="O4590" s="92">
        <v>40990</v>
      </c>
      <c r="P4590" s="28" t="s">
        <v>21</v>
      </c>
      <c r="Q4590" s="26" t="b">
        <v>0</v>
      </c>
      <c r="R4590" s="22">
        <f t="shared" si="74"/>
        <v>30</v>
      </c>
    </row>
    <row r="4591" spans="1:18">
      <c r="A4591" s="26">
        <v>9836</v>
      </c>
      <c r="B4591" s="27">
        <v>40961</v>
      </c>
      <c r="C4591" s="28" t="s">
        <v>14742</v>
      </c>
      <c r="D4591" s="27">
        <v>40960</v>
      </c>
      <c r="E4591" s="28" t="s">
        <v>14743</v>
      </c>
      <c r="F4591" s="28" t="s">
        <v>98</v>
      </c>
      <c r="G4591" s="28" t="s">
        <v>20</v>
      </c>
      <c r="H4591" s="28" t="s">
        <v>71</v>
      </c>
      <c r="I4591" s="28" t="s">
        <v>72</v>
      </c>
      <c r="J4591" s="28" t="s">
        <v>14740</v>
      </c>
      <c r="K4591" s="28" t="s">
        <v>14744</v>
      </c>
      <c r="L4591" s="28" t="s">
        <v>7167</v>
      </c>
      <c r="M4591" s="28" t="s">
        <v>21</v>
      </c>
      <c r="O4591" s="92">
        <v>40990</v>
      </c>
      <c r="P4591" s="28" t="s">
        <v>21</v>
      </c>
      <c r="Q4591" s="26" t="b">
        <v>0</v>
      </c>
      <c r="R4591" s="22">
        <f t="shared" si="74"/>
        <v>30</v>
      </c>
    </row>
    <row r="4592" spans="1:18" ht="24">
      <c r="A4592" s="26">
        <v>9837</v>
      </c>
      <c r="B4592" s="27">
        <v>40961</v>
      </c>
      <c r="C4592" s="28" t="s">
        <v>14745</v>
      </c>
      <c r="D4592" s="27">
        <v>40956</v>
      </c>
      <c r="E4592" s="28" t="s">
        <v>14746</v>
      </c>
      <c r="F4592" s="28" t="s">
        <v>14747</v>
      </c>
      <c r="G4592" s="28" t="s">
        <v>20</v>
      </c>
      <c r="H4592" s="28" t="s">
        <v>212</v>
      </c>
      <c r="I4592" s="28" t="s">
        <v>212</v>
      </c>
      <c r="J4592" s="28" t="s">
        <v>14748</v>
      </c>
      <c r="K4592" s="28" t="s">
        <v>21</v>
      </c>
      <c r="L4592" s="28" t="s">
        <v>7167</v>
      </c>
      <c r="M4592" s="28" t="s">
        <v>21</v>
      </c>
      <c r="O4592" s="92">
        <v>40988</v>
      </c>
      <c r="P4592" s="28" t="s">
        <v>21</v>
      </c>
      <c r="Q4592" s="26" t="b">
        <v>0</v>
      </c>
      <c r="R4592" s="22">
        <f t="shared" si="74"/>
        <v>28</v>
      </c>
    </row>
    <row r="4593" spans="1:18">
      <c r="A4593" s="26">
        <v>9838</v>
      </c>
      <c r="B4593" s="27">
        <v>40961</v>
      </c>
      <c r="C4593" s="28" t="s">
        <v>14749</v>
      </c>
      <c r="D4593" s="27">
        <v>40956</v>
      </c>
      <c r="E4593" s="28" t="s">
        <v>14750</v>
      </c>
      <c r="F4593" s="28" t="s">
        <v>14751</v>
      </c>
      <c r="G4593" s="28" t="s">
        <v>20</v>
      </c>
      <c r="H4593" s="28" t="s">
        <v>212</v>
      </c>
      <c r="I4593" s="28" t="s">
        <v>212</v>
      </c>
      <c r="J4593" s="28" t="s">
        <v>14752</v>
      </c>
      <c r="K4593" s="28" t="s">
        <v>21</v>
      </c>
      <c r="L4593" s="28" t="s">
        <v>7167</v>
      </c>
      <c r="M4593" s="28" t="s">
        <v>21</v>
      </c>
      <c r="O4593" s="92">
        <v>40990</v>
      </c>
      <c r="P4593" s="28" t="s">
        <v>21</v>
      </c>
      <c r="Q4593" s="26" t="b">
        <v>0</v>
      </c>
      <c r="R4593" s="22">
        <f t="shared" si="74"/>
        <v>30</v>
      </c>
    </row>
    <row r="4594" spans="1:18">
      <c r="A4594" s="26">
        <v>9839</v>
      </c>
      <c r="B4594" s="27">
        <v>40961</v>
      </c>
      <c r="C4594" s="28" t="s">
        <v>14753</v>
      </c>
      <c r="D4594" s="27">
        <v>40956</v>
      </c>
      <c r="E4594" s="28" t="s">
        <v>14754</v>
      </c>
      <c r="F4594" s="28" t="s">
        <v>14755</v>
      </c>
      <c r="G4594" s="28" t="s">
        <v>20</v>
      </c>
      <c r="H4594" s="28" t="s">
        <v>212</v>
      </c>
      <c r="I4594" s="28" t="s">
        <v>212</v>
      </c>
      <c r="J4594" s="28" t="s">
        <v>14756</v>
      </c>
      <c r="K4594" s="28" t="s">
        <v>14757</v>
      </c>
      <c r="L4594" s="28" t="s">
        <v>7167</v>
      </c>
      <c r="M4594" s="28" t="s">
        <v>21</v>
      </c>
      <c r="O4594" s="92">
        <v>41015</v>
      </c>
      <c r="P4594" s="28" t="s">
        <v>21</v>
      </c>
      <c r="Q4594" s="26" t="b">
        <v>0</v>
      </c>
      <c r="R4594" s="22">
        <f t="shared" si="74"/>
        <v>54</v>
      </c>
    </row>
    <row r="4595" spans="1:18">
      <c r="A4595" s="26">
        <v>9843</v>
      </c>
      <c r="B4595" s="27">
        <v>40966</v>
      </c>
      <c r="C4595" s="28" t="s">
        <v>14758</v>
      </c>
      <c r="D4595" s="27">
        <v>40960</v>
      </c>
      <c r="E4595" s="28" t="s">
        <v>38</v>
      </c>
      <c r="F4595" s="28" t="s">
        <v>12892</v>
      </c>
      <c r="G4595" s="28" t="s">
        <v>20</v>
      </c>
      <c r="H4595" s="28" t="s">
        <v>71</v>
      </c>
      <c r="I4595" s="28" t="s">
        <v>72</v>
      </c>
      <c r="J4595" s="28" t="s">
        <v>14759</v>
      </c>
      <c r="K4595" s="28" t="s">
        <v>14760</v>
      </c>
      <c r="L4595" s="28" t="s">
        <v>7167</v>
      </c>
      <c r="M4595" s="28" t="s">
        <v>21</v>
      </c>
      <c r="O4595" s="92">
        <v>40968</v>
      </c>
      <c r="P4595" s="28" t="s">
        <v>21</v>
      </c>
      <c r="Q4595" s="26" t="b">
        <v>0</v>
      </c>
      <c r="R4595" s="22">
        <f t="shared" si="74"/>
        <v>2</v>
      </c>
    </row>
    <row r="4596" spans="1:18">
      <c r="A4596" s="26">
        <v>9844</v>
      </c>
      <c r="B4596" s="27">
        <v>40966</v>
      </c>
      <c r="C4596" s="28" t="s">
        <v>14761</v>
      </c>
      <c r="D4596" s="27">
        <v>40960</v>
      </c>
      <c r="E4596" s="28" t="s">
        <v>14754</v>
      </c>
      <c r="F4596" s="28" t="s">
        <v>12892</v>
      </c>
      <c r="G4596" s="28" t="s">
        <v>20</v>
      </c>
      <c r="H4596" s="28" t="s">
        <v>71</v>
      </c>
      <c r="I4596" s="28" t="s">
        <v>72</v>
      </c>
      <c r="J4596" s="28" t="s">
        <v>14762</v>
      </c>
      <c r="K4596" s="28" t="s">
        <v>21</v>
      </c>
      <c r="L4596" s="28" t="s">
        <v>7167</v>
      </c>
      <c r="M4596" s="28" t="s">
        <v>21</v>
      </c>
      <c r="O4596" s="92">
        <v>40968</v>
      </c>
      <c r="P4596" s="28" t="s">
        <v>21</v>
      </c>
      <c r="Q4596" s="26" t="b">
        <v>0</v>
      </c>
      <c r="R4596" s="22">
        <f t="shared" si="74"/>
        <v>2</v>
      </c>
    </row>
    <row r="4597" spans="1:18">
      <c r="A4597" s="26">
        <v>9845</v>
      </c>
      <c r="B4597" s="27">
        <v>40966</v>
      </c>
      <c r="C4597" s="28" t="s">
        <v>14763</v>
      </c>
      <c r="D4597" s="27">
        <v>40960</v>
      </c>
      <c r="E4597" s="28" t="s">
        <v>14764</v>
      </c>
      <c r="F4597" s="28" t="s">
        <v>12892</v>
      </c>
      <c r="G4597" s="28" t="s">
        <v>20</v>
      </c>
      <c r="H4597" s="28" t="s">
        <v>71</v>
      </c>
      <c r="I4597" s="28" t="s">
        <v>72</v>
      </c>
      <c r="J4597" s="28" t="s">
        <v>14765</v>
      </c>
      <c r="K4597" s="28" t="s">
        <v>21</v>
      </c>
      <c r="L4597" s="28" t="s">
        <v>7167</v>
      </c>
      <c r="M4597" s="28" t="s">
        <v>21</v>
      </c>
      <c r="O4597" s="92">
        <v>40968</v>
      </c>
      <c r="P4597" s="28" t="s">
        <v>21</v>
      </c>
      <c r="Q4597" s="26" t="b">
        <v>0</v>
      </c>
      <c r="R4597" s="22">
        <f t="shared" si="74"/>
        <v>2</v>
      </c>
    </row>
    <row r="4598" spans="1:18">
      <c r="A4598" s="26">
        <v>9846</v>
      </c>
      <c r="B4598" s="27">
        <v>40968</v>
      </c>
      <c r="C4598" s="28" t="s">
        <v>14766</v>
      </c>
      <c r="D4598" s="27">
        <v>40966</v>
      </c>
      <c r="E4598" s="28" t="s">
        <v>14767</v>
      </c>
      <c r="F4598" s="28" t="s">
        <v>14768</v>
      </c>
      <c r="G4598" s="28" t="s">
        <v>20</v>
      </c>
      <c r="H4598" s="28" t="s">
        <v>71</v>
      </c>
      <c r="I4598" s="28" t="s">
        <v>72</v>
      </c>
      <c r="J4598" s="28" t="s">
        <v>14769</v>
      </c>
      <c r="K4598" s="28" t="s">
        <v>14770</v>
      </c>
      <c r="L4598" s="28" t="s">
        <v>7167</v>
      </c>
      <c r="M4598" s="28" t="s">
        <v>21</v>
      </c>
      <c r="O4598" s="92">
        <v>41695</v>
      </c>
      <c r="P4598" s="28" t="s">
        <v>21</v>
      </c>
      <c r="Q4598" s="26" t="b">
        <v>0</v>
      </c>
      <c r="R4598" s="22">
        <f t="shared" si="74"/>
        <v>724</v>
      </c>
    </row>
    <row r="4599" spans="1:18">
      <c r="A4599" s="26">
        <v>9847</v>
      </c>
      <c r="B4599" s="27">
        <v>40969</v>
      </c>
      <c r="C4599" s="28" t="s">
        <v>14771</v>
      </c>
      <c r="D4599" s="27">
        <v>40964</v>
      </c>
      <c r="E4599" s="28" t="s">
        <v>38</v>
      </c>
      <c r="F4599" s="28" t="s">
        <v>6277</v>
      </c>
      <c r="G4599" s="28" t="s">
        <v>20</v>
      </c>
      <c r="H4599" s="28" t="s">
        <v>212</v>
      </c>
      <c r="I4599" s="28" t="s">
        <v>212</v>
      </c>
      <c r="J4599" s="28" t="s">
        <v>14772</v>
      </c>
      <c r="K4599" s="28" t="s">
        <v>21</v>
      </c>
      <c r="L4599" s="28" t="s">
        <v>7167</v>
      </c>
      <c r="M4599" s="28" t="s">
        <v>21</v>
      </c>
      <c r="O4599" s="92">
        <v>40998</v>
      </c>
      <c r="P4599" s="28" t="s">
        <v>21</v>
      </c>
      <c r="Q4599" s="26" t="b">
        <v>0</v>
      </c>
      <c r="R4599" s="22">
        <f t="shared" si="74"/>
        <v>29</v>
      </c>
    </row>
    <row r="4600" spans="1:18">
      <c r="A4600" s="26">
        <v>9848</v>
      </c>
      <c r="B4600" s="27">
        <v>40975</v>
      </c>
      <c r="C4600" s="28" t="s">
        <v>14773</v>
      </c>
      <c r="D4600" s="27">
        <v>41243</v>
      </c>
      <c r="E4600" s="28" t="s">
        <v>14774</v>
      </c>
      <c r="F4600" s="28" t="s">
        <v>14379</v>
      </c>
      <c r="G4600" s="28" t="s">
        <v>20</v>
      </c>
      <c r="H4600" s="28" t="s">
        <v>71</v>
      </c>
      <c r="I4600" s="28" t="s">
        <v>72</v>
      </c>
      <c r="J4600" s="28" t="s">
        <v>14775</v>
      </c>
      <c r="K4600" s="28" t="s">
        <v>21</v>
      </c>
      <c r="L4600" s="28" t="s">
        <v>1946</v>
      </c>
      <c r="M4600" s="28" t="s">
        <v>21</v>
      </c>
      <c r="O4600" s="92">
        <v>40982</v>
      </c>
      <c r="P4600" s="28" t="s">
        <v>21</v>
      </c>
      <c r="Q4600" s="26" t="b">
        <v>0</v>
      </c>
      <c r="R4600" s="22">
        <f t="shared" si="74"/>
        <v>7</v>
      </c>
    </row>
    <row r="4601" spans="1:18" ht="24">
      <c r="A4601" s="26">
        <v>9849</v>
      </c>
      <c r="B4601" s="27">
        <v>40975</v>
      </c>
      <c r="C4601" s="28" t="s">
        <v>14776</v>
      </c>
      <c r="D4601" s="27">
        <v>40969</v>
      </c>
      <c r="E4601" s="28" t="s">
        <v>14777</v>
      </c>
      <c r="F4601" s="28" t="s">
        <v>12892</v>
      </c>
      <c r="G4601" s="28" t="s">
        <v>20</v>
      </c>
      <c r="H4601" s="28" t="s">
        <v>71</v>
      </c>
      <c r="I4601" s="28" t="s">
        <v>72</v>
      </c>
      <c r="J4601" s="28" t="s">
        <v>14778</v>
      </c>
      <c r="K4601" s="28" t="s">
        <v>21</v>
      </c>
      <c r="L4601" s="28" t="s">
        <v>7167</v>
      </c>
      <c r="M4601" s="28" t="s">
        <v>21</v>
      </c>
      <c r="O4601" s="92">
        <v>41015</v>
      </c>
      <c r="P4601" s="28" t="s">
        <v>21</v>
      </c>
      <c r="Q4601" s="26" t="b">
        <v>0</v>
      </c>
      <c r="R4601" s="22">
        <f t="shared" si="74"/>
        <v>39</v>
      </c>
    </row>
    <row r="4602" spans="1:18">
      <c r="A4602" s="26">
        <v>9850</v>
      </c>
      <c r="B4602" s="27">
        <v>40975</v>
      </c>
      <c r="C4602" s="28" t="s">
        <v>14779</v>
      </c>
      <c r="D4602" s="27">
        <v>40969</v>
      </c>
      <c r="E4602" s="28" t="s">
        <v>14780</v>
      </c>
      <c r="F4602" s="28" t="s">
        <v>12892</v>
      </c>
      <c r="G4602" s="28" t="s">
        <v>20</v>
      </c>
      <c r="H4602" s="28" t="s">
        <v>71</v>
      </c>
      <c r="I4602" s="28" t="s">
        <v>72</v>
      </c>
      <c r="J4602" s="28" t="s">
        <v>255</v>
      </c>
      <c r="K4602" s="28" t="s">
        <v>21</v>
      </c>
      <c r="L4602" s="28" t="s">
        <v>7167</v>
      </c>
      <c r="M4602" s="28" t="s">
        <v>21</v>
      </c>
      <c r="O4602" s="92">
        <v>41015</v>
      </c>
      <c r="P4602" s="28" t="s">
        <v>21</v>
      </c>
      <c r="Q4602" s="26" t="b">
        <v>0</v>
      </c>
      <c r="R4602" s="22">
        <f t="shared" si="74"/>
        <v>39</v>
      </c>
    </row>
    <row r="4603" spans="1:18">
      <c r="A4603" s="26">
        <v>9851</v>
      </c>
      <c r="B4603" s="27">
        <v>40975</v>
      </c>
      <c r="C4603" s="28" t="s">
        <v>14781</v>
      </c>
      <c r="D4603" s="27">
        <v>40969</v>
      </c>
      <c r="E4603" s="28" t="s">
        <v>14782</v>
      </c>
      <c r="F4603" s="28" t="s">
        <v>12892</v>
      </c>
      <c r="G4603" s="28" t="s">
        <v>20</v>
      </c>
      <c r="H4603" s="28" t="s">
        <v>71</v>
      </c>
      <c r="I4603" s="28" t="s">
        <v>72</v>
      </c>
      <c r="J4603" s="28" t="s">
        <v>14783</v>
      </c>
      <c r="K4603" s="28" t="s">
        <v>21</v>
      </c>
      <c r="L4603" s="28" t="s">
        <v>7167</v>
      </c>
      <c r="M4603" s="28" t="s">
        <v>21</v>
      </c>
      <c r="O4603" s="92">
        <v>41015</v>
      </c>
      <c r="P4603" s="28" t="s">
        <v>21</v>
      </c>
      <c r="Q4603" s="26" t="b">
        <v>0</v>
      </c>
      <c r="R4603" s="22">
        <f t="shared" si="74"/>
        <v>39</v>
      </c>
    </row>
    <row r="4604" spans="1:18">
      <c r="A4604" s="26">
        <v>9853</v>
      </c>
      <c r="B4604" s="27">
        <v>40980</v>
      </c>
      <c r="C4604" s="28" t="s">
        <v>14784</v>
      </c>
      <c r="D4604" s="27">
        <v>40977</v>
      </c>
      <c r="E4604" s="28" t="s">
        <v>14785</v>
      </c>
      <c r="F4604" s="28" t="s">
        <v>14336</v>
      </c>
      <c r="G4604" s="28" t="s">
        <v>20</v>
      </c>
      <c r="H4604" s="28" t="s">
        <v>71</v>
      </c>
      <c r="I4604" s="28" t="s">
        <v>72</v>
      </c>
      <c r="J4604" s="28" t="s">
        <v>14786</v>
      </c>
      <c r="K4604" s="28" t="s">
        <v>21</v>
      </c>
      <c r="L4604" s="28" t="s">
        <v>7167</v>
      </c>
      <c r="M4604" s="28" t="s">
        <v>21</v>
      </c>
      <c r="O4604" s="92">
        <v>41033</v>
      </c>
      <c r="P4604" s="28" t="s">
        <v>21</v>
      </c>
      <c r="Q4604" s="26" t="b">
        <v>0</v>
      </c>
      <c r="R4604" s="22">
        <f t="shared" si="74"/>
        <v>52</v>
      </c>
    </row>
    <row r="4605" spans="1:18">
      <c r="A4605" s="26">
        <v>9854</v>
      </c>
      <c r="B4605" s="27">
        <v>40980</v>
      </c>
      <c r="C4605" s="28" t="s">
        <v>14787</v>
      </c>
      <c r="D4605" s="27">
        <v>40976</v>
      </c>
      <c r="E4605" s="28" t="s">
        <v>14788</v>
      </c>
      <c r="F4605" s="28" t="s">
        <v>85</v>
      </c>
      <c r="G4605" s="28" t="s">
        <v>20</v>
      </c>
      <c r="H4605" s="28" t="s">
        <v>71</v>
      </c>
      <c r="I4605" s="28" t="s">
        <v>72</v>
      </c>
      <c r="J4605" s="28" t="s">
        <v>14789</v>
      </c>
      <c r="K4605" s="28" t="s">
        <v>14790</v>
      </c>
      <c r="L4605" s="28" t="s">
        <v>7167</v>
      </c>
      <c r="M4605" s="28" t="s">
        <v>21</v>
      </c>
      <c r="O4605" s="92">
        <v>40990</v>
      </c>
      <c r="P4605" s="28" t="s">
        <v>21</v>
      </c>
      <c r="Q4605" s="26" t="b">
        <v>0</v>
      </c>
      <c r="R4605" s="22">
        <f t="shared" si="74"/>
        <v>10</v>
      </c>
    </row>
    <row r="4606" spans="1:18">
      <c r="A4606" s="26">
        <v>9857</v>
      </c>
      <c r="B4606" s="27">
        <v>40981</v>
      </c>
      <c r="C4606" s="28" t="s">
        <v>14791</v>
      </c>
      <c r="D4606" s="27">
        <v>40980</v>
      </c>
      <c r="E4606" s="28" t="s">
        <v>38</v>
      </c>
      <c r="F4606" s="28" t="s">
        <v>211</v>
      </c>
      <c r="G4606" s="28" t="s">
        <v>20</v>
      </c>
      <c r="H4606" s="28" t="s">
        <v>212</v>
      </c>
      <c r="I4606" s="28" t="s">
        <v>212</v>
      </c>
      <c r="J4606" s="28" t="s">
        <v>14792</v>
      </c>
      <c r="K4606" s="28" t="s">
        <v>21</v>
      </c>
      <c r="L4606" s="28" t="s">
        <v>7167</v>
      </c>
      <c r="M4606" s="28" t="s">
        <v>21</v>
      </c>
      <c r="O4606" s="92">
        <v>41003</v>
      </c>
      <c r="P4606" s="28" t="s">
        <v>21</v>
      </c>
      <c r="Q4606" s="26" t="b">
        <v>0</v>
      </c>
      <c r="R4606" s="22">
        <f t="shared" si="74"/>
        <v>21</v>
      </c>
    </row>
    <row r="4607" spans="1:18">
      <c r="A4607" s="26">
        <v>9859</v>
      </c>
      <c r="B4607" s="27">
        <v>40982</v>
      </c>
      <c r="C4607" s="28" t="s">
        <v>14793</v>
      </c>
      <c r="D4607" s="27">
        <v>40885</v>
      </c>
      <c r="E4607" s="28" t="s">
        <v>14794</v>
      </c>
      <c r="F4607" s="28" t="s">
        <v>13960</v>
      </c>
      <c r="G4607" s="28" t="s">
        <v>20</v>
      </c>
      <c r="H4607" s="28" t="s">
        <v>71</v>
      </c>
      <c r="I4607" s="28" t="s">
        <v>72</v>
      </c>
      <c r="J4607" s="28" t="s">
        <v>14795</v>
      </c>
      <c r="K4607" s="28" t="s">
        <v>14796</v>
      </c>
      <c r="L4607" s="28" t="s">
        <v>1946</v>
      </c>
      <c r="M4607" s="28" t="s">
        <v>21</v>
      </c>
      <c r="O4607" s="92">
        <v>40996</v>
      </c>
      <c r="P4607" s="28" t="s">
        <v>21</v>
      </c>
      <c r="Q4607" s="26" t="b">
        <v>0</v>
      </c>
      <c r="R4607" s="22">
        <f t="shared" si="74"/>
        <v>14</v>
      </c>
    </row>
    <row r="4608" spans="1:18">
      <c r="A4608" s="26">
        <v>9860</v>
      </c>
      <c r="B4608" s="27">
        <v>40982</v>
      </c>
      <c r="C4608" s="28" t="s">
        <v>14797</v>
      </c>
      <c r="D4608" s="27">
        <v>40980</v>
      </c>
      <c r="E4608" s="28" t="s">
        <v>38</v>
      </c>
      <c r="F4608" s="28" t="s">
        <v>12892</v>
      </c>
      <c r="G4608" s="28" t="s">
        <v>20</v>
      </c>
      <c r="H4608" s="28" t="s">
        <v>71</v>
      </c>
      <c r="I4608" s="28" t="s">
        <v>72</v>
      </c>
      <c r="J4608" s="28" t="s">
        <v>14798</v>
      </c>
      <c r="K4608" s="28" t="s">
        <v>21</v>
      </c>
      <c r="L4608" s="28" t="s">
        <v>1946</v>
      </c>
      <c r="M4608" s="28" t="s">
        <v>21</v>
      </c>
      <c r="O4608" s="92">
        <v>40983</v>
      </c>
      <c r="P4608" s="28" t="s">
        <v>21</v>
      </c>
      <c r="Q4608" s="26" t="b">
        <v>0</v>
      </c>
      <c r="R4608" s="22">
        <f t="shared" si="74"/>
        <v>1</v>
      </c>
    </row>
    <row r="4609" spans="1:18">
      <c r="A4609" s="26">
        <v>9861</v>
      </c>
      <c r="B4609" s="27">
        <v>40983</v>
      </c>
      <c r="C4609" s="28" t="s">
        <v>14799</v>
      </c>
      <c r="D4609" s="27">
        <v>40982</v>
      </c>
      <c r="E4609" s="28" t="s">
        <v>14800</v>
      </c>
      <c r="F4609" s="28" t="s">
        <v>5704</v>
      </c>
      <c r="G4609" s="28" t="s">
        <v>20</v>
      </c>
      <c r="H4609" s="28" t="s">
        <v>71</v>
      </c>
      <c r="I4609" s="28" t="s">
        <v>72</v>
      </c>
      <c r="J4609" s="28" t="s">
        <v>12762</v>
      </c>
      <c r="K4609" s="28" t="s">
        <v>21</v>
      </c>
      <c r="L4609" s="28" t="s">
        <v>7167</v>
      </c>
      <c r="M4609" s="28" t="s">
        <v>21</v>
      </c>
      <c r="O4609" s="92">
        <v>41330</v>
      </c>
      <c r="P4609" s="28" t="s">
        <v>21</v>
      </c>
      <c r="Q4609" s="26" t="b">
        <v>0</v>
      </c>
      <c r="R4609" s="22">
        <f t="shared" si="74"/>
        <v>344</v>
      </c>
    </row>
    <row r="4610" spans="1:18">
      <c r="A4610" s="26">
        <v>9862</v>
      </c>
      <c r="B4610" s="27">
        <v>40987</v>
      </c>
      <c r="C4610" s="28" t="s">
        <v>14801</v>
      </c>
      <c r="D4610" s="27">
        <v>40980</v>
      </c>
      <c r="E4610" s="28" t="s">
        <v>14802</v>
      </c>
      <c r="F4610" s="28" t="s">
        <v>124</v>
      </c>
      <c r="G4610" s="28" t="s">
        <v>20</v>
      </c>
      <c r="H4610" s="28" t="s">
        <v>71</v>
      </c>
      <c r="I4610" s="28" t="s">
        <v>72</v>
      </c>
      <c r="J4610" s="28" t="s">
        <v>14803</v>
      </c>
      <c r="K4610" s="28" t="s">
        <v>21</v>
      </c>
      <c r="L4610" s="28" t="s">
        <v>3588</v>
      </c>
      <c r="M4610" s="28" t="s">
        <v>21</v>
      </c>
      <c r="O4610" s="92">
        <v>41026</v>
      </c>
      <c r="P4610" s="28" t="s">
        <v>21</v>
      </c>
      <c r="Q4610" s="26" t="b">
        <v>0</v>
      </c>
      <c r="R4610" s="22">
        <f t="shared" si="74"/>
        <v>38</v>
      </c>
    </row>
    <row r="4611" spans="1:18">
      <c r="A4611" s="26">
        <v>9863</v>
      </c>
      <c r="B4611" s="27">
        <v>40988</v>
      </c>
      <c r="C4611" s="28" t="s">
        <v>14804</v>
      </c>
      <c r="D4611" s="27">
        <v>40987</v>
      </c>
      <c r="E4611" s="28" t="s">
        <v>14805</v>
      </c>
      <c r="F4611" s="28" t="s">
        <v>3888</v>
      </c>
      <c r="G4611" s="28" t="s">
        <v>20</v>
      </c>
      <c r="H4611" s="28" t="s">
        <v>212</v>
      </c>
      <c r="I4611" s="28" t="s">
        <v>212</v>
      </c>
      <c r="J4611" s="28" t="s">
        <v>14806</v>
      </c>
      <c r="K4611" s="28" t="s">
        <v>21</v>
      </c>
      <c r="L4611" s="28" t="s">
        <v>7167</v>
      </c>
      <c r="M4611" s="28" t="s">
        <v>21</v>
      </c>
      <c r="O4611" s="92">
        <v>41033</v>
      </c>
      <c r="P4611" s="28" t="s">
        <v>21</v>
      </c>
      <c r="Q4611" s="26" t="b">
        <v>0</v>
      </c>
      <c r="R4611" s="22">
        <f t="shared" si="74"/>
        <v>44</v>
      </c>
    </row>
    <row r="4612" spans="1:18">
      <c r="A4612" s="26">
        <v>9864</v>
      </c>
      <c r="B4612" s="27">
        <v>40989</v>
      </c>
      <c r="C4612" s="28" t="s">
        <v>14807</v>
      </c>
      <c r="D4612" s="27">
        <v>40989</v>
      </c>
      <c r="E4612" s="28" t="s">
        <v>21</v>
      </c>
      <c r="F4612" s="28" t="s">
        <v>3847</v>
      </c>
      <c r="G4612" s="28" t="s">
        <v>20</v>
      </c>
      <c r="H4612" s="28" t="s">
        <v>71</v>
      </c>
      <c r="I4612" s="28" t="s">
        <v>72</v>
      </c>
      <c r="J4612" s="28" t="s">
        <v>14808</v>
      </c>
      <c r="K4612" s="28" t="s">
        <v>21</v>
      </c>
      <c r="L4612" s="28" t="s">
        <v>14349</v>
      </c>
      <c r="M4612" s="28" t="s">
        <v>21</v>
      </c>
      <c r="O4612" s="92">
        <v>41000</v>
      </c>
      <c r="P4612" s="28" t="s">
        <v>21</v>
      </c>
      <c r="Q4612" s="26" t="b">
        <v>0</v>
      </c>
      <c r="R4612" s="22">
        <f t="shared" si="74"/>
        <v>10</v>
      </c>
    </row>
    <row r="4613" spans="1:18">
      <c r="A4613" s="26">
        <v>9865</v>
      </c>
      <c r="B4613" s="27">
        <v>40995</v>
      </c>
      <c r="C4613" s="28" t="s">
        <v>14809</v>
      </c>
      <c r="D4613" s="27">
        <v>40991</v>
      </c>
      <c r="E4613" s="28" t="s">
        <v>14810</v>
      </c>
      <c r="F4613" s="28" t="s">
        <v>39</v>
      </c>
      <c r="G4613" s="28" t="s">
        <v>20</v>
      </c>
      <c r="H4613" s="28" t="s">
        <v>71</v>
      </c>
      <c r="I4613" s="28" t="s">
        <v>72</v>
      </c>
      <c r="J4613" s="28" t="s">
        <v>14811</v>
      </c>
      <c r="K4613" s="28" t="s">
        <v>21</v>
      </c>
      <c r="L4613" s="28" t="s">
        <v>3588</v>
      </c>
      <c r="M4613" s="28" t="s">
        <v>21</v>
      </c>
      <c r="O4613" s="92">
        <v>40997</v>
      </c>
      <c r="P4613" s="28" t="s">
        <v>21</v>
      </c>
      <c r="Q4613" s="26" t="b">
        <v>0</v>
      </c>
      <c r="R4613" s="22">
        <f t="shared" si="74"/>
        <v>2</v>
      </c>
    </row>
    <row r="4614" spans="1:18">
      <c r="A4614" s="26">
        <v>9867</v>
      </c>
      <c r="B4614" s="27">
        <v>40997</v>
      </c>
      <c r="C4614" s="28" t="s">
        <v>14812</v>
      </c>
      <c r="D4614" s="27">
        <v>40997</v>
      </c>
      <c r="E4614" s="28" t="s">
        <v>14813</v>
      </c>
      <c r="F4614" s="28" t="s">
        <v>13960</v>
      </c>
      <c r="G4614" s="28" t="s">
        <v>20</v>
      </c>
      <c r="H4614" s="28" t="s">
        <v>71</v>
      </c>
      <c r="I4614" s="28" t="s">
        <v>72</v>
      </c>
      <c r="J4614" s="28" t="s">
        <v>14814</v>
      </c>
      <c r="K4614" s="28" t="s">
        <v>14815</v>
      </c>
      <c r="L4614" s="28" t="s">
        <v>3588</v>
      </c>
      <c r="M4614" s="28" t="s">
        <v>21</v>
      </c>
      <c r="O4614" s="92">
        <v>41010</v>
      </c>
      <c r="P4614" s="28" t="s">
        <v>21</v>
      </c>
      <c r="Q4614" s="26" t="b">
        <v>0</v>
      </c>
      <c r="R4614" s="22">
        <f t="shared" si="74"/>
        <v>12</v>
      </c>
    </row>
    <row r="4615" spans="1:18">
      <c r="A4615" s="26">
        <v>9868</v>
      </c>
      <c r="B4615" s="27">
        <v>41010</v>
      </c>
      <c r="C4615" s="28" t="s">
        <v>14816</v>
      </c>
      <c r="D4615" s="27">
        <v>41009</v>
      </c>
      <c r="E4615" s="28" t="s">
        <v>14817</v>
      </c>
      <c r="F4615" s="28" t="s">
        <v>149</v>
      </c>
      <c r="G4615" s="28" t="s">
        <v>20</v>
      </c>
      <c r="H4615" s="28" t="s">
        <v>71</v>
      </c>
      <c r="I4615" s="28" t="s">
        <v>72</v>
      </c>
      <c r="J4615" s="28" t="s">
        <v>14818</v>
      </c>
      <c r="K4615" s="28" t="s">
        <v>6081</v>
      </c>
      <c r="L4615" s="28" t="s">
        <v>3588</v>
      </c>
      <c r="M4615" s="28" t="s">
        <v>21</v>
      </c>
      <c r="O4615" s="92">
        <v>41026</v>
      </c>
      <c r="P4615" s="28" t="s">
        <v>21</v>
      </c>
      <c r="Q4615" s="26" t="b">
        <v>0</v>
      </c>
      <c r="R4615" s="22">
        <f t="shared" si="74"/>
        <v>16</v>
      </c>
    </row>
    <row r="4616" spans="1:18">
      <c r="A4616" s="26">
        <v>9869</v>
      </c>
      <c r="B4616" s="27">
        <v>41011</v>
      </c>
      <c r="C4616" s="28" t="s">
        <v>14819</v>
      </c>
      <c r="D4616" s="27">
        <v>41011</v>
      </c>
      <c r="E4616" s="28" t="s">
        <v>14820</v>
      </c>
      <c r="F4616" s="28" t="s">
        <v>14821</v>
      </c>
      <c r="G4616" s="28" t="s">
        <v>20</v>
      </c>
      <c r="H4616" s="28" t="s">
        <v>71</v>
      </c>
      <c r="I4616" s="28" t="s">
        <v>72</v>
      </c>
      <c r="J4616" s="28" t="s">
        <v>14822</v>
      </c>
      <c r="K4616" s="28" t="s">
        <v>6081</v>
      </c>
      <c r="L4616" s="28" t="s">
        <v>7167</v>
      </c>
      <c r="M4616" s="28" t="s">
        <v>21</v>
      </c>
      <c r="O4616" s="92">
        <v>41033</v>
      </c>
      <c r="P4616" s="28" t="s">
        <v>21</v>
      </c>
      <c r="Q4616" s="26" t="b">
        <v>0</v>
      </c>
      <c r="R4616" s="22">
        <f t="shared" si="74"/>
        <v>22</v>
      </c>
    </row>
    <row r="4617" spans="1:18">
      <c r="A4617" s="26">
        <v>9870</v>
      </c>
      <c r="B4617" s="27">
        <v>41017</v>
      </c>
      <c r="C4617" s="28" t="s">
        <v>14823</v>
      </c>
      <c r="D4617" s="27">
        <v>41016</v>
      </c>
      <c r="E4617" s="28" t="s">
        <v>14824</v>
      </c>
      <c r="F4617" s="28" t="s">
        <v>8358</v>
      </c>
      <c r="G4617" s="28" t="s">
        <v>20</v>
      </c>
      <c r="H4617" s="28" t="s">
        <v>71</v>
      </c>
      <c r="I4617" s="28" t="s">
        <v>72</v>
      </c>
      <c r="J4617" s="28" t="s">
        <v>8804</v>
      </c>
      <c r="K4617" s="28" t="s">
        <v>14825</v>
      </c>
      <c r="L4617" s="28" t="s">
        <v>7167</v>
      </c>
      <c r="M4617" s="28" t="s">
        <v>21</v>
      </c>
      <c r="O4617" s="92">
        <v>41324</v>
      </c>
      <c r="P4617" s="28" t="s">
        <v>21</v>
      </c>
      <c r="Q4617" s="26" t="b">
        <v>0</v>
      </c>
      <c r="R4617" s="22">
        <f t="shared" si="74"/>
        <v>305</v>
      </c>
    </row>
    <row r="4618" spans="1:18">
      <c r="A4618" s="26">
        <v>9871</v>
      </c>
      <c r="B4618" s="27">
        <v>41024</v>
      </c>
      <c r="C4618" s="28" t="s">
        <v>14826</v>
      </c>
      <c r="D4618" s="27">
        <v>40983</v>
      </c>
      <c r="E4618" s="28" t="s">
        <v>14827</v>
      </c>
      <c r="F4618" s="28" t="s">
        <v>6580</v>
      </c>
      <c r="G4618" s="28" t="s">
        <v>20</v>
      </c>
      <c r="H4618" s="28" t="s">
        <v>71</v>
      </c>
      <c r="I4618" s="28" t="s">
        <v>72</v>
      </c>
      <c r="J4618" s="28" t="s">
        <v>14828</v>
      </c>
      <c r="K4618" s="28" t="s">
        <v>2542</v>
      </c>
      <c r="L4618" s="28" t="s">
        <v>3588</v>
      </c>
      <c r="M4618" s="28" t="s">
        <v>21</v>
      </c>
      <c r="O4618" s="92">
        <v>41361</v>
      </c>
      <c r="P4618" s="28" t="s">
        <v>21</v>
      </c>
      <c r="Q4618" s="26" t="b">
        <v>0</v>
      </c>
      <c r="R4618" s="22">
        <f t="shared" si="74"/>
        <v>337</v>
      </c>
    </row>
    <row r="4619" spans="1:18">
      <c r="A4619" s="26">
        <v>9873</v>
      </c>
      <c r="B4619" s="27">
        <v>41025</v>
      </c>
      <c r="C4619" s="28" t="s">
        <v>14829</v>
      </c>
      <c r="D4619" s="27">
        <v>41025</v>
      </c>
      <c r="E4619" s="28" t="s">
        <v>38</v>
      </c>
      <c r="F4619" s="28" t="s">
        <v>12404</v>
      </c>
      <c r="G4619" s="28" t="s">
        <v>20</v>
      </c>
      <c r="H4619" s="28" t="s">
        <v>71</v>
      </c>
      <c r="I4619" s="28" t="s">
        <v>72</v>
      </c>
      <c r="J4619" s="28" t="s">
        <v>14830</v>
      </c>
      <c r="K4619" s="28" t="s">
        <v>14831</v>
      </c>
      <c r="L4619" s="28" t="s">
        <v>1946</v>
      </c>
      <c r="M4619" s="28" t="s">
        <v>21</v>
      </c>
      <c r="O4619" s="92">
        <v>41025</v>
      </c>
      <c r="P4619" s="28" t="s">
        <v>21</v>
      </c>
      <c r="Q4619" s="26" t="b">
        <v>0</v>
      </c>
      <c r="R4619" s="22">
        <f t="shared" si="74"/>
        <v>0</v>
      </c>
    </row>
    <row r="4620" spans="1:18">
      <c r="A4620" s="26">
        <v>9874</v>
      </c>
      <c r="B4620" s="27">
        <v>41033</v>
      </c>
      <c r="C4620" s="28" t="s">
        <v>14832</v>
      </c>
      <c r="D4620" s="27">
        <v>41025</v>
      </c>
      <c r="E4620" s="28" t="s">
        <v>1432</v>
      </c>
      <c r="F4620" s="28" t="s">
        <v>104</v>
      </c>
      <c r="G4620" s="28" t="s">
        <v>20</v>
      </c>
      <c r="H4620" s="28" t="s">
        <v>71</v>
      </c>
      <c r="I4620" s="28" t="s">
        <v>72</v>
      </c>
      <c r="J4620" s="28" t="s">
        <v>14833</v>
      </c>
      <c r="K4620" s="28" t="s">
        <v>6124</v>
      </c>
      <c r="L4620" s="28" t="s">
        <v>1152</v>
      </c>
      <c r="M4620" s="28" t="s">
        <v>14671</v>
      </c>
      <c r="O4620" s="92">
        <v>41645</v>
      </c>
      <c r="P4620" s="28" t="s">
        <v>21</v>
      </c>
      <c r="Q4620" s="26" t="b">
        <v>0</v>
      </c>
      <c r="R4620" s="22">
        <f t="shared" si="74"/>
        <v>610</v>
      </c>
    </row>
    <row r="4621" spans="1:18">
      <c r="A4621" s="26">
        <v>9875</v>
      </c>
      <c r="B4621" s="27">
        <v>41039</v>
      </c>
      <c r="C4621" s="28" t="s">
        <v>14834</v>
      </c>
      <c r="D4621" s="27">
        <v>41037</v>
      </c>
      <c r="E4621" s="28" t="s">
        <v>14835</v>
      </c>
      <c r="F4621" s="28" t="s">
        <v>14836</v>
      </c>
      <c r="G4621" s="28" t="s">
        <v>20</v>
      </c>
      <c r="H4621" s="28" t="s">
        <v>71</v>
      </c>
      <c r="I4621" s="28" t="s">
        <v>72</v>
      </c>
      <c r="J4621" s="28" t="s">
        <v>14837</v>
      </c>
      <c r="K4621" s="28" t="s">
        <v>14838</v>
      </c>
      <c r="L4621" s="28" t="s">
        <v>7167</v>
      </c>
      <c r="M4621" s="28" t="s">
        <v>21</v>
      </c>
      <c r="O4621" s="92">
        <v>41162</v>
      </c>
      <c r="P4621" s="28" t="s">
        <v>21</v>
      </c>
      <c r="Q4621" s="26" t="b">
        <v>0</v>
      </c>
      <c r="R4621" s="22">
        <f t="shared" si="74"/>
        <v>121</v>
      </c>
    </row>
    <row r="4622" spans="1:18">
      <c r="A4622" s="26">
        <v>9876</v>
      </c>
      <c r="B4622" s="27">
        <v>41043</v>
      </c>
      <c r="C4622" s="28" t="s">
        <v>14839</v>
      </c>
      <c r="D4622" s="27">
        <v>41043</v>
      </c>
      <c r="E4622" s="28" t="s">
        <v>14840</v>
      </c>
      <c r="F4622" s="28" t="s">
        <v>27</v>
      </c>
      <c r="G4622" s="28" t="s">
        <v>20</v>
      </c>
      <c r="H4622" s="28" t="s">
        <v>71</v>
      </c>
      <c r="I4622" s="28" t="s">
        <v>72</v>
      </c>
      <c r="J4622" s="28" t="s">
        <v>14841</v>
      </c>
      <c r="K4622" s="28" t="s">
        <v>14825</v>
      </c>
      <c r="L4622" s="28" t="s">
        <v>1946</v>
      </c>
      <c r="M4622" s="28" t="s">
        <v>21</v>
      </c>
      <c r="O4622" s="92">
        <v>41100</v>
      </c>
      <c r="P4622" s="28" t="s">
        <v>21</v>
      </c>
      <c r="Q4622" s="26" t="b">
        <v>0</v>
      </c>
      <c r="R4622" s="22">
        <f t="shared" si="74"/>
        <v>56</v>
      </c>
    </row>
    <row r="4623" spans="1:18">
      <c r="A4623" s="26">
        <v>9877</v>
      </c>
      <c r="B4623" s="27">
        <v>41047</v>
      </c>
      <c r="C4623" s="28" t="s">
        <v>14842</v>
      </c>
      <c r="D4623" s="27">
        <v>41043</v>
      </c>
      <c r="E4623" s="28" t="s">
        <v>14843</v>
      </c>
      <c r="F4623" s="28" t="s">
        <v>12660</v>
      </c>
      <c r="G4623" s="28" t="s">
        <v>20</v>
      </c>
      <c r="H4623" s="28" t="s">
        <v>71</v>
      </c>
      <c r="I4623" s="28" t="s">
        <v>72</v>
      </c>
      <c r="J4623" s="28" t="s">
        <v>14844</v>
      </c>
      <c r="K4623" s="28" t="s">
        <v>14845</v>
      </c>
      <c r="L4623" s="28" t="s">
        <v>7167</v>
      </c>
      <c r="M4623" s="28" t="s">
        <v>3588</v>
      </c>
      <c r="O4623" s="92">
        <v>41464</v>
      </c>
      <c r="P4623" s="28" t="s">
        <v>21</v>
      </c>
      <c r="Q4623" s="26" t="b">
        <v>0</v>
      </c>
      <c r="R4623" s="22">
        <f t="shared" si="74"/>
        <v>416</v>
      </c>
    </row>
    <row r="4624" spans="1:18" ht="24">
      <c r="A4624" s="26">
        <v>9878</v>
      </c>
      <c r="B4624" s="27">
        <v>41050</v>
      </c>
      <c r="C4624" s="28" t="s">
        <v>14846</v>
      </c>
      <c r="D4624" s="27">
        <v>41036</v>
      </c>
      <c r="E4624" s="28" t="s">
        <v>14847</v>
      </c>
      <c r="F4624" s="28" t="s">
        <v>124</v>
      </c>
      <c r="G4624" s="28" t="s">
        <v>20</v>
      </c>
      <c r="H4624" s="28" t="s">
        <v>566</v>
      </c>
      <c r="I4624" s="28" t="s">
        <v>566</v>
      </c>
      <c r="J4624" s="28" t="s">
        <v>14848</v>
      </c>
      <c r="K4624" s="28" t="s">
        <v>3581</v>
      </c>
      <c r="L4624" s="28" t="s">
        <v>14411</v>
      </c>
      <c r="M4624" s="28" t="s">
        <v>14849</v>
      </c>
      <c r="O4624" s="92">
        <v>42108</v>
      </c>
      <c r="P4624" s="28" t="s">
        <v>21</v>
      </c>
      <c r="Q4624" s="26" t="b">
        <v>0</v>
      </c>
      <c r="R4624" s="22">
        <f t="shared" si="74"/>
        <v>1057</v>
      </c>
    </row>
    <row r="4625" spans="1:18">
      <c r="A4625" s="26">
        <v>9880</v>
      </c>
      <c r="B4625" s="27">
        <v>41059</v>
      </c>
      <c r="C4625" s="28" t="s">
        <v>14850</v>
      </c>
      <c r="D4625" s="27">
        <v>41054</v>
      </c>
      <c r="E4625" s="28" t="s">
        <v>14851</v>
      </c>
      <c r="F4625" s="28" t="s">
        <v>228</v>
      </c>
      <c r="G4625" s="28" t="s">
        <v>20</v>
      </c>
      <c r="H4625" s="28" t="s">
        <v>71</v>
      </c>
      <c r="I4625" s="28" t="s">
        <v>72</v>
      </c>
      <c r="J4625" s="28" t="s">
        <v>14852</v>
      </c>
      <c r="K4625" s="28" t="s">
        <v>21</v>
      </c>
      <c r="L4625" s="28" t="s">
        <v>14411</v>
      </c>
      <c r="M4625" s="28" t="s">
        <v>1946</v>
      </c>
      <c r="O4625" s="92">
        <v>41809</v>
      </c>
      <c r="P4625" s="28" t="s">
        <v>21</v>
      </c>
      <c r="Q4625" s="26" t="b">
        <v>0</v>
      </c>
      <c r="R4625" s="22">
        <f t="shared" si="74"/>
        <v>749</v>
      </c>
    </row>
    <row r="4626" spans="1:18">
      <c r="A4626" s="26">
        <v>9881</v>
      </c>
      <c r="B4626" s="27">
        <v>41059</v>
      </c>
      <c r="C4626" s="28" t="s">
        <v>14853</v>
      </c>
      <c r="D4626" s="27">
        <v>41058</v>
      </c>
      <c r="E4626" s="28" t="s">
        <v>14854</v>
      </c>
      <c r="F4626" s="28" t="s">
        <v>211</v>
      </c>
      <c r="G4626" s="28" t="s">
        <v>20</v>
      </c>
      <c r="H4626" s="28" t="s">
        <v>212</v>
      </c>
      <c r="I4626" s="28" t="s">
        <v>212</v>
      </c>
      <c r="J4626" s="28" t="s">
        <v>14855</v>
      </c>
      <c r="K4626" s="28" t="s">
        <v>21</v>
      </c>
      <c r="L4626" s="28" t="s">
        <v>7167</v>
      </c>
      <c r="M4626" s="28" t="s">
        <v>21</v>
      </c>
      <c r="O4626" s="92">
        <v>41669</v>
      </c>
      <c r="P4626" s="28" t="s">
        <v>21</v>
      </c>
      <c r="Q4626" s="26" t="b">
        <v>0</v>
      </c>
      <c r="R4626" s="22">
        <f t="shared" si="74"/>
        <v>608</v>
      </c>
    </row>
    <row r="4627" spans="1:18">
      <c r="A4627" s="26">
        <v>9882</v>
      </c>
      <c r="B4627" s="27">
        <v>41060</v>
      </c>
      <c r="C4627" s="28" t="s">
        <v>14856</v>
      </c>
      <c r="D4627" s="27">
        <v>41060</v>
      </c>
      <c r="E4627" s="28" t="s">
        <v>14857</v>
      </c>
      <c r="F4627" s="28" t="s">
        <v>13960</v>
      </c>
      <c r="G4627" s="28" t="s">
        <v>20</v>
      </c>
      <c r="H4627" s="28" t="s">
        <v>189</v>
      </c>
      <c r="I4627" s="28" t="s">
        <v>189</v>
      </c>
      <c r="J4627" s="28" t="s">
        <v>14858</v>
      </c>
      <c r="K4627" s="28" t="s">
        <v>13842</v>
      </c>
      <c r="L4627" s="28" t="s">
        <v>7167</v>
      </c>
      <c r="M4627" s="28" t="s">
        <v>21</v>
      </c>
      <c r="O4627" s="92">
        <v>41066</v>
      </c>
      <c r="P4627" s="28" t="s">
        <v>21</v>
      </c>
      <c r="Q4627" s="26" t="b">
        <v>0</v>
      </c>
      <c r="R4627" s="22">
        <f t="shared" si="74"/>
        <v>6</v>
      </c>
    </row>
    <row r="4628" spans="1:18">
      <c r="A4628" s="26">
        <v>9883</v>
      </c>
      <c r="B4628" s="27">
        <v>41065</v>
      </c>
      <c r="C4628" s="28" t="s">
        <v>14859</v>
      </c>
      <c r="D4628" s="27">
        <v>41065</v>
      </c>
      <c r="E4628" s="28" t="s">
        <v>14860</v>
      </c>
      <c r="F4628" s="28" t="s">
        <v>14755</v>
      </c>
      <c r="G4628" s="28" t="s">
        <v>20</v>
      </c>
      <c r="H4628" s="28" t="s">
        <v>212</v>
      </c>
      <c r="I4628" s="28" t="s">
        <v>212</v>
      </c>
      <c r="J4628" s="28" t="s">
        <v>14861</v>
      </c>
      <c r="K4628" s="28" t="s">
        <v>14862</v>
      </c>
      <c r="L4628" s="28" t="s">
        <v>3588</v>
      </c>
      <c r="M4628" s="28" t="s">
        <v>21</v>
      </c>
      <c r="O4628" s="92">
        <v>41099</v>
      </c>
      <c r="P4628" s="28" t="s">
        <v>21</v>
      </c>
      <c r="Q4628" s="26" t="b">
        <v>0</v>
      </c>
      <c r="R4628" s="22">
        <f t="shared" si="74"/>
        <v>34</v>
      </c>
    </row>
    <row r="4629" spans="1:18">
      <c r="A4629" s="26">
        <v>9884</v>
      </c>
      <c r="B4629" s="27">
        <v>41072</v>
      </c>
      <c r="C4629" s="28" t="s">
        <v>14863</v>
      </c>
      <c r="D4629" s="27">
        <v>41072</v>
      </c>
      <c r="E4629" s="28" t="s">
        <v>14864</v>
      </c>
      <c r="F4629" s="28" t="s">
        <v>14755</v>
      </c>
      <c r="G4629" s="28" t="s">
        <v>20</v>
      </c>
      <c r="H4629" s="28" t="s">
        <v>212</v>
      </c>
      <c r="I4629" s="28" t="s">
        <v>212</v>
      </c>
      <c r="J4629" s="28" t="s">
        <v>14865</v>
      </c>
      <c r="K4629" s="28" t="s">
        <v>21</v>
      </c>
      <c r="L4629" s="28" t="s">
        <v>7167</v>
      </c>
      <c r="M4629" s="28" t="s">
        <v>21</v>
      </c>
      <c r="O4629" s="92">
        <v>41334</v>
      </c>
      <c r="P4629" s="28" t="s">
        <v>21</v>
      </c>
      <c r="Q4629" s="26" t="b">
        <v>0</v>
      </c>
      <c r="R4629" s="22">
        <f t="shared" si="74"/>
        <v>262</v>
      </c>
    </row>
    <row r="4630" spans="1:18">
      <c r="A4630" s="26">
        <v>9885</v>
      </c>
      <c r="B4630" s="27">
        <v>41074</v>
      </c>
      <c r="C4630" s="28" t="s">
        <v>14866</v>
      </c>
      <c r="D4630" s="27">
        <v>41068</v>
      </c>
      <c r="E4630" s="28" t="s">
        <v>14867</v>
      </c>
      <c r="F4630" s="28" t="s">
        <v>149</v>
      </c>
      <c r="G4630" s="28" t="s">
        <v>20</v>
      </c>
      <c r="H4630" s="28" t="s">
        <v>71</v>
      </c>
      <c r="I4630" s="28" t="s">
        <v>72</v>
      </c>
      <c r="J4630" s="28" t="s">
        <v>14868</v>
      </c>
      <c r="K4630" s="28" t="s">
        <v>6081</v>
      </c>
      <c r="L4630" s="28" t="s">
        <v>7167</v>
      </c>
      <c r="M4630" s="28" t="s">
        <v>21</v>
      </c>
      <c r="O4630" s="92">
        <v>41093</v>
      </c>
      <c r="P4630" s="28" t="s">
        <v>21</v>
      </c>
      <c r="Q4630" s="26" t="b">
        <v>0</v>
      </c>
      <c r="R4630" s="22">
        <f t="shared" si="74"/>
        <v>19</v>
      </c>
    </row>
    <row r="4631" spans="1:18">
      <c r="A4631" s="26">
        <v>9886</v>
      </c>
      <c r="B4631" s="27">
        <v>41074</v>
      </c>
      <c r="C4631" s="28" t="s">
        <v>14869</v>
      </c>
      <c r="D4631" s="27">
        <v>41069</v>
      </c>
      <c r="E4631" s="28" t="s">
        <v>14870</v>
      </c>
      <c r="F4631" s="28" t="s">
        <v>14871</v>
      </c>
      <c r="G4631" s="28" t="s">
        <v>20</v>
      </c>
      <c r="H4631" s="28" t="s">
        <v>212</v>
      </c>
      <c r="I4631" s="28" t="s">
        <v>212</v>
      </c>
      <c r="J4631" s="28" t="s">
        <v>14872</v>
      </c>
      <c r="K4631" s="28" t="s">
        <v>14873</v>
      </c>
      <c r="L4631" s="28" t="s">
        <v>7167</v>
      </c>
      <c r="M4631" s="28" t="s">
        <v>21</v>
      </c>
      <c r="O4631" s="92">
        <v>41171</v>
      </c>
      <c r="P4631" s="28" t="s">
        <v>21</v>
      </c>
      <c r="Q4631" s="26" t="b">
        <v>0</v>
      </c>
      <c r="R4631" s="22">
        <f t="shared" si="74"/>
        <v>96</v>
      </c>
    </row>
    <row r="4632" spans="1:18">
      <c r="A4632" s="26">
        <v>9887</v>
      </c>
      <c r="B4632" s="27">
        <v>41078</v>
      </c>
      <c r="C4632" s="28" t="s">
        <v>14874</v>
      </c>
      <c r="D4632" s="27">
        <v>41053</v>
      </c>
      <c r="E4632" s="28" t="s">
        <v>38</v>
      </c>
      <c r="F4632" s="28" t="s">
        <v>124</v>
      </c>
      <c r="G4632" s="28" t="s">
        <v>20</v>
      </c>
      <c r="H4632" s="28" t="s">
        <v>71</v>
      </c>
      <c r="I4632" s="28" t="s">
        <v>72</v>
      </c>
      <c r="J4632" s="28" t="s">
        <v>14875</v>
      </c>
      <c r="K4632" s="28" t="s">
        <v>21</v>
      </c>
      <c r="L4632" s="28" t="s">
        <v>3588</v>
      </c>
      <c r="M4632" s="28" t="s">
        <v>21</v>
      </c>
      <c r="O4632" s="92">
        <v>41082</v>
      </c>
      <c r="P4632" s="28" t="s">
        <v>21</v>
      </c>
      <c r="Q4632" s="26" t="b">
        <v>0</v>
      </c>
      <c r="R4632" s="22">
        <f t="shared" si="74"/>
        <v>4</v>
      </c>
    </row>
    <row r="4633" spans="1:18">
      <c r="A4633" s="26">
        <v>9889</v>
      </c>
      <c r="B4633" s="27">
        <v>41085</v>
      </c>
      <c r="C4633" s="28" t="s">
        <v>14876</v>
      </c>
      <c r="D4633" s="27">
        <v>41080</v>
      </c>
      <c r="E4633" s="28" t="s">
        <v>14877</v>
      </c>
      <c r="F4633" s="28" t="s">
        <v>27</v>
      </c>
      <c r="G4633" s="28" t="s">
        <v>20</v>
      </c>
      <c r="H4633" s="28" t="s">
        <v>71</v>
      </c>
      <c r="I4633" s="28" t="s">
        <v>72</v>
      </c>
      <c r="J4633" s="28" t="s">
        <v>14878</v>
      </c>
      <c r="K4633" s="28" t="s">
        <v>21</v>
      </c>
      <c r="L4633" s="28" t="s">
        <v>3588</v>
      </c>
      <c r="M4633" s="28" t="s">
        <v>21</v>
      </c>
      <c r="O4633" s="92">
        <v>41089</v>
      </c>
      <c r="P4633" s="28" t="s">
        <v>21</v>
      </c>
      <c r="Q4633" s="26" t="b">
        <v>0</v>
      </c>
      <c r="R4633" s="22">
        <f t="shared" ref="R4633:R4696" si="75">IF(O4633=" ", " ", INT(YEARFRAC(O4633, B4633)*365))</f>
        <v>4</v>
      </c>
    </row>
    <row r="4634" spans="1:18" ht="24">
      <c r="A4634" s="26">
        <v>9891</v>
      </c>
      <c r="B4634" s="27">
        <v>41093</v>
      </c>
      <c r="C4634" s="28" t="s">
        <v>14879</v>
      </c>
      <c r="D4634" s="27">
        <v>41092</v>
      </c>
      <c r="E4634" s="28" t="s">
        <v>14880</v>
      </c>
      <c r="F4634" s="28" t="s">
        <v>98</v>
      </c>
      <c r="G4634" s="28" t="s">
        <v>20</v>
      </c>
      <c r="H4634" s="28" t="s">
        <v>71</v>
      </c>
      <c r="I4634" s="28" t="s">
        <v>72</v>
      </c>
      <c r="J4634" s="28" t="s">
        <v>14881</v>
      </c>
      <c r="K4634" s="28" t="s">
        <v>21</v>
      </c>
      <c r="L4634" s="28" t="s">
        <v>1946</v>
      </c>
      <c r="M4634" s="28" t="s">
        <v>14882</v>
      </c>
      <c r="O4634" s="92">
        <v>42025</v>
      </c>
      <c r="P4634" s="28" t="s">
        <v>21</v>
      </c>
      <c r="Q4634" s="26" t="b">
        <v>0</v>
      </c>
      <c r="R4634" s="22">
        <f t="shared" si="75"/>
        <v>930</v>
      </c>
    </row>
    <row r="4635" spans="1:18">
      <c r="A4635" s="26">
        <v>9892</v>
      </c>
      <c r="B4635" s="27">
        <v>41095</v>
      </c>
      <c r="C4635" s="28" t="s">
        <v>14883</v>
      </c>
      <c r="D4635" s="27">
        <v>41093</v>
      </c>
      <c r="E4635" s="28" t="s">
        <v>14884</v>
      </c>
      <c r="F4635" s="28" t="s">
        <v>52</v>
      </c>
      <c r="G4635" s="28" t="s">
        <v>20</v>
      </c>
      <c r="H4635" s="28" t="s">
        <v>71</v>
      </c>
      <c r="I4635" s="28" t="s">
        <v>72</v>
      </c>
      <c r="J4635" s="28" t="s">
        <v>1601</v>
      </c>
      <c r="K4635" s="28" t="s">
        <v>14885</v>
      </c>
      <c r="L4635" s="28" t="s">
        <v>4282</v>
      </c>
      <c r="M4635" s="28" t="s">
        <v>21</v>
      </c>
      <c r="O4635" s="92">
        <v>41134</v>
      </c>
      <c r="P4635" s="28" t="s">
        <v>21</v>
      </c>
      <c r="Q4635" s="26" t="b">
        <v>0</v>
      </c>
      <c r="R4635" s="22">
        <f t="shared" si="75"/>
        <v>38</v>
      </c>
    </row>
    <row r="4636" spans="1:18">
      <c r="A4636" s="26">
        <v>9893</v>
      </c>
      <c r="B4636" s="27">
        <v>41096</v>
      </c>
      <c r="C4636" s="28" t="s">
        <v>14886</v>
      </c>
      <c r="D4636" s="27">
        <v>40067</v>
      </c>
      <c r="E4636" s="28" t="s">
        <v>14887</v>
      </c>
      <c r="F4636" s="28" t="s">
        <v>367</v>
      </c>
      <c r="G4636" s="28" t="s">
        <v>20</v>
      </c>
      <c r="H4636" s="28" t="s">
        <v>71</v>
      </c>
      <c r="I4636" s="28" t="s">
        <v>72</v>
      </c>
      <c r="J4636" s="28" t="s">
        <v>13647</v>
      </c>
      <c r="K4636" s="28" t="s">
        <v>14888</v>
      </c>
      <c r="L4636" s="28" t="s">
        <v>1946</v>
      </c>
      <c r="M4636" s="28" t="s">
        <v>21</v>
      </c>
      <c r="O4636" s="92">
        <v>41409</v>
      </c>
      <c r="P4636" s="28" t="s">
        <v>21</v>
      </c>
      <c r="Q4636" s="26" t="b">
        <v>0</v>
      </c>
      <c r="R4636" s="22">
        <f t="shared" si="75"/>
        <v>313</v>
      </c>
    </row>
    <row r="4637" spans="1:18">
      <c r="A4637" s="26">
        <v>9894</v>
      </c>
      <c r="B4637" s="27">
        <v>41100</v>
      </c>
      <c r="C4637" s="28" t="s">
        <v>14889</v>
      </c>
      <c r="D4637" s="27">
        <v>41043</v>
      </c>
      <c r="E4637" s="28" t="s">
        <v>14890</v>
      </c>
      <c r="F4637" s="28" t="s">
        <v>27</v>
      </c>
      <c r="G4637" s="28" t="s">
        <v>20</v>
      </c>
      <c r="H4637" s="28" t="s">
        <v>71</v>
      </c>
      <c r="I4637" s="28" t="s">
        <v>72</v>
      </c>
      <c r="J4637" s="28" t="s">
        <v>14841</v>
      </c>
      <c r="K4637" s="28" t="s">
        <v>14825</v>
      </c>
      <c r="L4637" s="28" t="s">
        <v>1946</v>
      </c>
      <c r="M4637" s="28" t="s">
        <v>21</v>
      </c>
      <c r="O4637" s="92">
        <v>41116</v>
      </c>
      <c r="P4637" s="28" t="s">
        <v>21</v>
      </c>
      <c r="Q4637" s="26" t="b">
        <v>0</v>
      </c>
      <c r="R4637" s="22">
        <f t="shared" si="75"/>
        <v>16</v>
      </c>
    </row>
    <row r="4638" spans="1:18" ht="24">
      <c r="A4638" s="26">
        <v>9898</v>
      </c>
      <c r="B4638" s="27">
        <v>41102</v>
      </c>
      <c r="C4638" s="28" t="s">
        <v>14891</v>
      </c>
      <c r="D4638" s="27">
        <v>41100</v>
      </c>
      <c r="E4638" s="28" t="s">
        <v>14892</v>
      </c>
      <c r="F4638" s="28" t="s">
        <v>14755</v>
      </c>
      <c r="G4638" s="28" t="s">
        <v>20</v>
      </c>
      <c r="H4638" s="28" t="s">
        <v>212</v>
      </c>
      <c r="I4638" s="28" t="s">
        <v>212</v>
      </c>
      <c r="J4638" s="28" t="s">
        <v>14893</v>
      </c>
      <c r="K4638" s="28" t="s">
        <v>14894</v>
      </c>
      <c r="L4638" s="28" t="s">
        <v>3588</v>
      </c>
      <c r="M4638" s="28" t="s">
        <v>21</v>
      </c>
      <c r="O4638" s="92">
        <v>41109</v>
      </c>
      <c r="P4638" s="28" t="s">
        <v>21</v>
      </c>
      <c r="Q4638" s="26" t="b">
        <v>0</v>
      </c>
      <c r="R4638" s="22">
        <f t="shared" si="75"/>
        <v>7</v>
      </c>
    </row>
    <row r="4639" spans="1:18">
      <c r="A4639" s="26">
        <v>9900</v>
      </c>
      <c r="B4639" s="27">
        <v>41113</v>
      </c>
      <c r="C4639" s="28" t="s">
        <v>14895</v>
      </c>
      <c r="D4639" s="27">
        <v>41109</v>
      </c>
      <c r="E4639" s="28" t="s">
        <v>14896</v>
      </c>
      <c r="F4639" s="28" t="s">
        <v>14836</v>
      </c>
      <c r="G4639" s="28" t="s">
        <v>20</v>
      </c>
      <c r="H4639" s="28" t="s">
        <v>71</v>
      </c>
      <c r="I4639" s="28" t="s">
        <v>72</v>
      </c>
      <c r="J4639" s="28" t="s">
        <v>14897</v>
      </c>
      <c r="K4639" s="28" t="s">
        <v>14898</v>
      </c>
      <c r="L4639" s="28" t="s">
        <v>7167</v>
      </c>
      <c r="M4639" s="28" t="s">
        <v>21</v>
      </c>
      <c r="O4639" s="92">
        <v>41156</v>
      </c>
      <c r="P4639" s="28" t="s">
        <v>21</v>
      </c>
      <c r="Q4639" s="26" t="b">
        <v>0</v>
      </c>
      <c r="R4639" s="22">
        <f t="shared" si="75"/>
        <v>41</v>
      </c>
    </row>
    <row r="4640" spans="1:18">
      <c r="A4640" s="26">
        <v>9902</v>
      </c>
      <c r="B4640" s="27">
        <v>41113</v>
      </c>
      <c r="C4640" s="28" t="s">
        <v>14899</v>
      </c>
      <c r="D4640" s="27">
        <v>41110</v>
      </c>
      <c r="E4640" s="28" t="s">
        <v>14900</v>
      </c>
      <c r="F4640" s="28" t="s">
        <v>19</v>
      </c>
      <c r="G4640" s="28" t="s">
        <v>20</v>
      </c>
      <c r="H4640" s="28" t="s">
        <v>71</v>
      </c>
      <c r="I4640" s="28" t="s">
        <v>72</v>
      </c>
      <c r="J4640" s="28" t="s">
        <v>14901</v>
      </c>
      <c r="K4640" s="28" t="s">
        <v>21</v>
      </c>
      <c r="L4640" s="28" t="s">
        <v>7167</v>
      </c>
      <c r="M4640" s="28" t="s">
        <v>21</v>
      </c>
      <c r="O4640" s="94">
        <v>41759</v>
      </c>
      <c r="P4640" s="28" t="s">
        <v>21</v>
      </c>
      <c r="Q4640" s="26" t="b">
        <v>0</v>
      </c>
      <c r="R4640" s="22">
        <f t="shared" si="75"/>
        <v>645</v>
      </c>
    </row>
    <row r="4641" spans="1:18">
      <c r="A4641" s="26">
        <v>9903</v>
      </c>
      <c r="B4641" s="27">
        <v>41113</v>
      </c>
      <c r="C4641" s="28" t="s">
        <v>14902</v>
      </c>
      <c r="D4641" s="27">
        <v>40505</v>
      </c>
      <c r="E4641" s="28" t="s">
        <v>14903</v>
      </c>
      <c r="F4641" s="28" t="s">
        <v>1546</v>
      </c>
      <c r="G4641" s="28" t="s">
        <v>20</v>
      </c>
      <c r="H4641" s="28" t="s">
        <v>71</v>
      </c>
      <c r="I4641" s="28" t="s">
        <v>72</v>
      </c>
      <c r="J4641" s="28" t="s">
        <v>1712</v>
      </c>
      <c r="K4641" s="28" t="s">
        <v>6111</v>
      </c>
      <c r="L4641" s="28" t="s">
        <v>7167</v>
      </c>
      <c r="M4641" s="28" t="s">
        <v>21</v>
      </c>
      <c r="O4641" s="92">
        <v>41249</v>
      </c>
      <c r="P4641" s="28" t="s">
        <v>21</v>
      </c>
      <c r="Q4641" s="26" t="b">
        <v>0</v>
      </c>
      <c r="R4641" s="22">
        <f t="shared" si="75"/>
        <v>134</v>
      </c>
    </row>
    <row r="4642" spans="1:18">
      <c r="A4642" s="26">
        <v>9904</v>
      </c>
      <c r="B4642" s="27">
        <v>41113</v>
      </c>
      <c r="C4642" s="28" t="s">
        <v>14904</v>
      </c>
      <c r="D4642" s="27">
        <v>41199</v>
      </c>
      <c r="E4642" s="28" t="s">
        <v>14905</v>
      </c>
      <c r="F4642" s="28" t="s">
        <v>14118</v>
      </c>
      <c r="G4642" s="28" t="s">
        <v>20</v>
      </c>
      <c r="H4642" s="28" t="s">
        <v>71</v>
      </c>
      <c r="I4642" s="28" t="s">
        <v>72</v>
      </c>
      <c r="J4642" s="28" t="s">
        <v>2694</v>
      </c>
      <c r="K4642" s="28" t="s">
        <v>9348</v>
      </c>
      <c r="L4642" s="28" t="s">
        <v>7167</v>
      </c>
      <c r="M4642" s="28" t="s">
        <v>21</v>
      </c>
      <c r="O4642" s="92">
        <v>41684</v>
      </c>
      <c r="P4642" s="28" t="s">
        <v>21</v>
      </c>
      <c r="Q4642" s="26" t="b">
        <v>0</v>
      </c>
      <c r="R4642" s="22">
        <f t="shared" si="75"/>
        <v>568</v>
      </c>
    </row>
    <row r="4643" spans="1:18">
      <c r="A4643" s="26">
        <v>9906</v>
      </c>
      <c r="B4643" s="27">
        <v>41116</v>
      </c>
      <c r="C4643" s="28" t="s">
        <v>14906</v>
      </c>
      <c r="D4643" s="27">
        <v>41115</v>
      </c>
      <c r="E4643" s="28" t="s">
        <v>14907</v>
      </c>
      <c r="F4643" s="28" t="s">
        <v>1232</v>
      </c>
      <c r="G4643" s="28" t="s">
        <v>20</v>
      </c>
      <c r="H4643" s="28" t="s">
        <v>189</v>
      </c>
      <c r="I4643" s="28" t="s">
        <v>189</v>
      </c>
      <c r="J4643" s="28" t="s">
        <v>14908</v>
      </c>
      <c r="K4643" s="28" t="s">
        <v>14825</v>
      </c>
      <c r="L4643" s="28" t="s">
        <v>14909</v>
      </c>
      <c r="M4643" s="28" t="s">
        <v>14581</v>
      </c>
      <c r="O4643" s="92">
        <v>41814</v>
      </c>
      <c r="P4643" s="28" t="s">
        <v>21</v>
      </c>
      <c r="Q4643" s="26" t="b">
        <v>0</v>
      </c>
      <c r="R4643" s="22">
        <f t="shared" si="75"/>
        <v>697</v>
      </c>
    </row>
    <row r="4644" spans="1:18">
      <c r="A4644" s="26">
        <v>9907</v>
      </c>
      <c r="B4644" s="27">
        <v>41117</v>
      </c>
      <c r="C4644" s="28" t="s">
        <v>14910</v>
      </c>
      <c r="D4644" s="27">
        <v>41116</v>
      </c>
      <c r="E4644" s="28" t="s">
        <v>14911</v>
      </c>
      <c r="F4644" s="28" t="s">
        <v>14912</v>
      </c>
      <c r="G4644" s="28" t="s">
        <v>20</v>
      </c>
      <c r="H4644" s="28" t="s">
        <v>71</v>
      </c>
      <c r="I4644" s="28" t="s">
        <v>72</v>
      </c>
      <c r="J4644" s="28" t="s">
        <v>14913</v>
      </c>
      <c r="K4644" s="28" t="s">
        <v>14914</v>
      </c>
      <c r="L4644" s="28" t="s">
        <v>7167</v>
      </c>
      <c r="M4644" s="28" t="s">
        <v>21</v>
      </c>
      <c r="O4644" s="92">
        <v>41122</v>
      </c>
      <c r="P4644" s="28" t="s">
        <v>21</v>
      </c>
      <c r="Q4644" s="26" t="b">
        <v>0</v>
      </c>
      <c r="R4644" s="22">
        <f t="shared" si="75"/>
        <v>4</v>
      </c>
    </row>
    <row r="4645" spans="1:18">
      <c r="A4645" s="26">
        <v>9908</v>
      </c>
      <c r="B4645" s="27">
        <v>41122</v>
      </c>
      <c r="C4645" s="28" t="s">
        <v>14915</v>
      </c>
      <c r="D4645" s="27">
        <v>41210</v>
      </c>
      <c r="E4645" s="28" t="s">
        <v>14916</v>
      </c>
      <c r="F4645" s="28" t="s">
        <v>14259</v>
      </c>
      <c r="G4645" s="28" t="s">
        <v>20</v>
      </c>
      <c r="H4645" s="28" t="s">
        <v>71</v>
      </c>
      <c r="I4645" s="28" t="s">
        <v>72</v>
      </c>
      <c r="J4645" s="28" t="s">
        <v>14917</v>
      </c>
      <c r="K4645" s="28" t="s">
        <v>272</v>
      </c>
      <c r="L4645" s="28" t="s">
        <v>7167</v>
      </c>
      <c r="M4645" s="28" t="s">
        <v>21</v>
      </c>
      <c r="O4645" s="92">
        <v>42185</v>
      </c>
      <c r="P4645" s="28" t="s">
        <v>21</v>
      </c>
      <c r="Q4645" s="26" t="b">
        <v>0</v>
      </c>
      <c r="R4645" s="22">
        <f t="shared" si="75"/>
        <v>1063</v>
      </c>
    </row>
    <row r="4646" spans="1:18">
      <c r="A4646" s="26">
        <v>9910</v>
      </c>
      <c r="B4646" s="27">
        <v>41128</v>
      </c>
      <c r="C4646" s="28" t="s">
        <v>14918</v>
      </c>
      <c r="D4646" s="27">
        <v>41122</v>
      </c>
      <c r="E4646" s="28" t="s">
        <v>14919</v>
      </c>
      <c r="F4646" s="28" t="s">
        <v>14836</v>
      </c>
      <c r="G4646" s="28" t="s">
        <v>20</v>
      </c>
      <c r="H4646" s="28" t="s">
        <v>71</v>
      </c>
      <c r="I4646" s="28" t="s">
        <v>72</v>
      </c>
      <c r="J4646" s="28" t="s">
        <v>12572</v>
      </c>
      <c r="K4646" s="28" t="s">
        <v>14920</v>
      </c>
      <c r="L4646" s="28" t="s">
        <v>7167</v>
      </c>
      <c r="M4646" s="28" t="s">
        <v>21</v>
      </c>
      <c r="O4646" s="92">
        <v>41185</v>
      </c>
      <c r="P4646" s="28" t="s">
        <v>21</v>
      </c>
      <c r="Q4646" s="26" t="b">
        <v>0</v>
      </c>
      <c r="R4646" s="22">
        <f t="shared" si="75"/>
        <v>56</v>
      </c>
    </row>
    <row r="4647" spans="1:18" ht="24">
      <c r="A4647" s="26">
        <v>9911</v>
      </c>
      <c r="B4647" s="27">
        <v>41128</v>
      </c>
      <c r="C4647" s="28" t="s">
        <v>14921</v>
      </c>
      <c r="D4647" s="27">
        <v>41128</v>
      </c>
      <c r="E4647" s="28" t="s">
        <v>14922</v>
      </c>
      <c r="F4647" s="28" t="s">
        <v>14923</v>
      </c>
      <c r="G4647" s="28" t="s">
        <v>20</v>
      </c>
      <c r="H4647" s="28" t="s">
        <v>189</v>
      </c>
      <c r="I4647" s="28" t="s">
        <v>189</v>
      </c>
      <c r="J4647" s="28" t="s">
        <v>14924</v>
      </c>
      <c r="K4647" s="28" t="s">
        <v>14925</v>
      </c>
      <c r="L4647" s="28" t="s">
        <v>7167</v>
      </c>
      <c r="M4647" s="28" t="s">
        <v>21</v>
      </c>
      <c r="O4647" s="92">
        <v>41330</v>
      </c>
      <c r="P4647" s="28" t="s">
        <v>21</v>
      </c>
      <c r="Q4647" s="26" t="b">
        <v>0</v>
      </c>
      <c r="R4647" s="22">
        <f t="shared" si="75"/>
        <v>200</v>
      </c>
    </row>
    <row r="4648" spans="1:18" ht="32">
      <c r="A4648" s="33">
        <v>9912</v>
      </c>
      <c r="B4648" s="34">
        <v>41129</v>
      </c>
      <c r="C4648" s="35" t="s">
        <v>17652</v>
      </c>
      <c r="D4648" s="34">
        <v>41127</v>
      </c>
      <c r="E4648" s="35" t="s">
        <v>1432</v>
      </c>
      <c r="F4648" s="35" t="s">
        <v>104</v>
      </c>
      <c r="G4648" s="35" t="s">
        <v>20</v>
      </c>
      <c r="H4648" s="35" t="s">
        <v>71</v>
      </c>
      <c r="I4648" s="35" t="s">
        <v>72</v>
      </c>
      <c r="J4648" s="35" t="s">
        <v>14926</v>
      </c>
      <c r="K4648" s="35" t="s">
        <v>14927</v>
      </c>
      <c r="L4648" s="35" t="s">
        <v>14518</v>
      </c>
      <c r="M4648" s="35" t="s">
        <v>14909</v>
      </c>
      <c r="N4648" s="36"/>
      <c r="O4648" s="96">
        <v>42506</v>
      </c>
      <c r="P4648" s="35" t="s">
        <v>21</v>
      </c>
      <c r="Q4648" s="33" t="b">
        <v>0</v>
      </c>
      <c r="R4648" s="22">
        <f t="shared" si="75"/>
        <v>1376</v>
      </c>
    </row>
    <row r="4649" spans="1:18">
      <c r="A4649" s="26">
        <v>9913</v>
      </c>
      <c r="B4649" s="27">
        <v>41129</v>
      </c>
      <c r="C4649" s="28" t="s">
        <v>14928</v>
      </c>
      <c r="D4649" s="27">
        <v>41122</v>
      </c>
      <c r="E4649" s="28" t="s">
        <v>38</v>
      </c>
      <c r="F4649" s="28" t="s">
        <v>124</v>
      </c>
      <c r="G4649" s="28" t="s">
        <v>20</v>
      </c>
      <c r="H4649" s="28" t="s">
        <v>71</v>
      </c>
      <c r="I4649" s="28" t="s">
        <v>72</v>
      </c>
      <c r="J4649" s="28" t="s">
        <v>14929</v>
      </c>
      <c r="K4649" s="28" t="s">
        <v>21</v>
      </c>
      <c r="L4649" s="28" t="s">
        <v>3588</v>
      </c>
      <c r="M4649" s="28" t="s">
        <v>21</v>
      </c>
      <c r="O4649" s="92">
        <v>41131</v>
      </c>
      <c r="P4649" s="28" t="s">
        <v>21</v>
      </c>
      <c r="Q4649" s="26" t="b">
        <v>0</v>
      </c>
      <c r="R4649" s="22">
        <f t="shared" si="75"/>
        <v>2</v>
      </c>
    </row>
    <row r="4650" spans="1:18">
      <c r="A4650" s="26">
        <v>9914</v>
      </c>
      <c r="B4650" s="27">
        <v>41129</v>
      </c>
      <c r="C4650" s="28" t="s">
        <v>14930</v>
      </c>
      <c r="D4650" s="27">
        <v>41123</v>
      </c>
      <c r="E4650" s="28" t="s">
        <v>38</v>
      </c>
      <c r="F4650" s="28" t="s">
        <v>14931</v>
      </c>
      <c r="G4650" s="28" t="s">
        <v>20</v>
      </c>
      <c r="H4650" s="28" t="s">
        <v>71</v>
      </c>
      <c r="I4650" s="28" t="s">
        <v>72</v>
      </c>
      <c r="J4650" s="28" t="s">
        <v>14932</v>
      </c>
      <c r="K4650" s="28" t="s">
        <v>21</v>
      </c>
      <c r="L4650" s="28" t="s">
        <v>7167</v>
      </c>
      <c r="M4650" s="28" t="s">
        <v>21</v>
      </c>
      <c r="O4650" s="92">
        <v>41134</v>
      </c>
      <c r="P4650" s="28" t="s">
        <v>21</v>
      </c>
      <c r="Q4650" s="26" t="b">
        <v>0</v>
      </c>
      <c r="R4650" s="22">
        <f t="shared" si="75"/>
        <v>5</v>
      </c>
    </row>
    <row r="4651" spans="1:18">
      <c r="A4651" s="26">
        <v>9915</v>
      </c>
      <c r="B4651" s="27">
        <v>41131</v>
      </c>
      <c r="C4651" s="28" t="s">
        <v>14933</v>
      </c>
      <c r="D4651" s="27">
        <v>41130</v>
      </c>
      <c r="E4651" s="28" t="s">
        <v>14934</v>
      </c>
      <c r="F4651" s="28" t="s">
        <v>52</v>
      </c>
      <c r="G4651" s="28" t="s">
        <v>20</v>
      </c>
      <c r="H4651" s="28" t="s">
        <v>71</v>
      </c>
      <c r="I4651" s="28" t="s">
        <v>72</v>
      </c>
      <c r="J4651" s="28" t="s">
        <v>14737</v>
      </c>
      <c r="K4651" s="28" t="s">
        <v>13842</v>
      </c>
      <c r="L4651" s="28" t="s">
        <v>7167</v>
      </c>
      <c r="M4651" s="28" t="s">
        <v>21</v>
      </c>
      <c r="O4651" s="92">
        <v>41171</v>
      </c>
      <c r="P4651" s="28" t="s">
        <v>21</v>
      </c>
      <c r="Q4651" s="26" t="b">
        <v>0</v>
      </c>
      <c r="R4651" s="22">
        <f t="shared" si="75"/>
        <v>39</v>
      </c>
    </row>
    <row r="4652" spans="1:18">
      <c r="A4652" s="26">
        <v>9916</v>
      </c>
      <c r="B4652" s="27">
        <v>41131</v>
      </c>
      <c r="C4652" s="28" t="s">
        <v>14935</v>
      </c>
      <c r="D4652" s="27">
        <v>41130</v>
      </c>
      <c r="E4652" s="28" t="s">
        <v>14936</v>
      </c>
      <c r="F4652" s="28" t="s">
        <v>104</v>
      </c>
      <c r="G4652" s="28" t="s">
        <v>20</v>
      </c>
      <c r="H4652" s="28" t="s">
        <v>71</v>
      </c>
      <c r="I4652" s="28" t="s">
        <v>72</v>
      </c>
      <c r="J4652" s="28" t="s">
        <v>14937</v>
      </c>
      <c r="K4652" s="28" t="s">
        <v>14938</v>
      </c>
      <c r="L4652" s="28" t="s">
        <v>3588</v>
      </c>
      <c r="M4652" s="28" t="s">
        <v>21</v>
      </c>
      <c r="O4652" s="92">
        <v>41148</v>
      </c>
      <c r="P4652" s="28" t="s">
        <v>21</v>
      </c>
      <c r="Q4652" s="26" t="b">
        <v>0</v>
      </c>
      <c r="R4652" s="22">
        <f t="shared" si="75"/>
        <v>17</v>
      </c>
    </row>
    <row r="4653" spans="1:18">
      <c r="A4653" s="26">
        <v>9917</v>
      </c>
      <c r="B4653" s="27">
        <v>41134</v>
      </c>
      <c r="C4653" s="28" t="s">
        <v>14939</v>
      </c>
      <c r="D4653" s="27">
        <v>41131</v>
      </c>
      <c r="E4653" s="28" t="s">
        <v>14940</v>
      </c>
      <c r="F4653" s="28" t="s">
        <v>14755</v>
      </c>
      <c r="G4653" s="28" t="s">
        <v>20</v>
      </c>
      <c r="H4653" s="28" t="s">
        <v>212</v>
      </c>
      <c r="I4653" s="28" t="s">
        <v>212</v>
      </c>
      <c r="J4653" s="28" t="s">
        <v>14941</v>
      </c>
      <c r="K4653" s="28" t="s">
        <v>6081</v>
      </c>
      <c r="L4653" s="28" t="s">
        <v>3588</v>
      </c>
      <c r="M4653" s="28" t="s">
        <v>21</v>
      </c>
      <c r="O4653" s="92">
        <v>41178</v>
      </c>
      <c r="P4653" s="28" t="s">
        <v>21</v>
      </c>
      <c r="Q4653" s="26" t="b">
        <v>0</v>
      </c>
      <c r="R4653" s="22">
        <f t="shared" si="75"/>
        <v>43</v>
      </c>
    </row>
    <row r="4654" spans="1:18" ht="24">
      <c r="A4654" s="26">
        <v>9918</v>
      </c>
      <c r="B4654" s="27">
        <v>41134</v>
      </c>
      <c r="C4654" s="28" t="s">
        <v>14942</v>
      </c>
      <c r="D4654" s="27">
        <v>41131</v>
      </c>
      <c r="E4654" s="28" t="s">
        <v>14943</v>
      </c>
      <c r="F4654" s="28" t="s">
        <v>14944</v>
      </c>
      <c r="G4654" s="28" t="s">
        <v>20</v>
      </c>
      <c r="H4654" s="28" t="s">
        <v>71</v>
      </c>
      <c r="I4654" s="28" t="s">
        <v>72</v>
      </c>
      <c r="J4654" s="28" t="s">
        <v>14945</v>
      </c>
      <c r="K4654" s="28" t="s">
        <v>14946</v>
      </c>
      <c r="L4654" s="28" t="s">
        <v>1946</v>
      </c>
      <c r="M4654" s="28" t="s">
        <v>14947</v>
      </c>
      <c r="O4654" s="92">
        <v>42123</v>
      </c>
      <c r="P4654" s="28" t="s">
        <v>21</v>
      </c>
      <c r="Q4654" s="26" t="b">
        <v>0</v>
      </c>
      <c r="R4654" s="22">
        <f t="shared" si="75"/>
        <v>989</v>
      </c>
    </row>
    <row r="4655" spans="1:18">
      <c r="A4655" s="26">
        <v>9919</v>
      </c>
      <c r="B4655" s="27">
        <v>41134</v>
      </c>
      <c r="C4655" s="28" t="s">
        <v>14948</v>
      </c>
      <c r="D4655" s="27">
        <v>41130</v>
      </c>
      <c r="E4655" s="28" t="s">
        <v>14949</v>
      </c>
      <c r="F4655" s="28" t="s">
        <v>129</v>
      </c>
      <c r="G4655" s="28" t="s">
        <v>20</v>
      </c>
      <c r="H4655" s="28" t="s">
        <v>71</v>
      </c>
      <c r="I4655" s="28" t="s">
        <v>72</v>
      </c>
      <c r="J4655" s="28" t="s">
        <v>14950</v>
      </c>
      <c r="K4655" s="28" t="s">
        <v>21</v>
      </c>
      <c r="L4655" s="28" t="s">
        <v>3588</v>
      </c>
      <c r="M4655" s="28" t="s">
        <v>21</v>
      </c>
      <c r="O4655" s="92">
        <v>41151</v>
      </c>
      <c r="P4655" s="28" t="s">
        <v>21</v>
      </c>
      <c r="Q4655" s="26" t="b">
        <v>0</v>
      </c>
      <c r="R4655" s="22">
        <f t="shared" si="75"/>
        <v>17</v>
      </c>
    </row>
    <row r="4656" spans="1:18">
      <c r="A4656" s="26">
        <v>9920</v>
      </c>
      <c r="B4656" s="27">
        <v>41135</v>
      </c>
      <c r="C4656" s="28" t="s">
        <v>14951</v>
      </c>
      <c r="D4656" s="27">
        <v>41095</v>
      </c>
      <c r="E4656" s="28" t="s">
        <v>14952</v>
      </c>
      <c r="F4656" s="28" t="s">
        <v>52</v>
      </c>
      <c r="G4656" s="28" t="s">
        <v>20</v>
      </c>
      <c r="H4656" s="28" t="s">
        <v>71</v>
      </c>
      <c r="I4656" s="28" t="s">
        <v>72</v>
      </c>
      <c r="J4656" s="28" t="s">
        <v>14953</v>
      </c>
      <c r="K4656" s="28" t="s">
        <v>9348</v>
      </c>
      <c r="L4656" s="28" t="s">
        <v>4282</v>
      </c>
      <c r="M4656" s="28" t="s">
        <v>21</v>
      </c>
      <c r="O4656" s="92">
        <v>42291</v>
      </c>
      <c r="P4656" s="28" t="s">
        <v>21</v>
      </c>
      <c r="Q4656" s="26" t="b">
        <v>0</v>
      </c>
      <c r="R4656" s="22">
        <f t="shared" si="75"/>
        <v>1155</v>
      </c>
    </row>
    <row r="4657" spans="1:18">
      <c r="A4657" s="26">
        <v>9921</v>
      </c>
      <c r="B4657" s="27">
        <v>41135</v>
      </c>
      <c r="C4657" s="28" t="s">
        <v>14954</v>
      </c>
      <c r="D4657" s="27">
        <v>41134</v>
      </c>
      <c r="E4657" s="28" t="s">
        <v>38</v>
      </c>
      <c r="F4657" s="28" t="s">
        <v>52</v>
      </c>
      <c r="G4657" s="28" t="s">
        <v>20</v>
      </c>
      <c r="H4657" s="28" t="s">
        <v>71</v>
      </c>
      <c r="I4657" s="28" t="s">
        <v>72</v>
      </c>
      <c r="J4657" s="28" t="s">
        <v>14955</v>
      </c>
      <c r="K4657" s="28" t="s">
        <v>14956</v>
      </c>
      <c r="L4657" s="28" t="s">
        <v>1946</v>
      </c>
      <c r="M4657" s="28" t="s">
        <v>21</v>
      </c>
      <c r="O4657" s="92">
        <v>41137</v>
      </c>
      <c r="P4657" s="28" t="s">
        <v>21</v>
      </c>
      <c r="Q4657" s="26" t="b">
        <v>0</v>
      </c>
      <c r="R4657" s="22">
        <f t="shared" si="75"/>
        <v>2</v>
      </c>
    </row>
    <row r="4658" spans="1:18">
      <c r="A4658" s="26">
        <v>9922</v>
      </c>
      <c r="B4658" s="27">
        <v>41143</v>
      </c>
      <c r="C4658" s="28" t="s">
        <v>14957</v>
      </c>
      <c r="D4658" s="27">
        <v>41142</v>
      </c>
      <c r="E4658" s="28" t="s">
        <v>14958</v>
      </c>
      <c r="F4658" s="28" t="s">
        <v>145</v>
      </c>
      <c r="G4658" s="28" t="s">
        <v>20</v>
      </c>
      <c r="H4658" s="28" t="s">
        <v>71</v>
      </c>
      <c r="I4658" s="28" t="s">
        <v>72</v>
      </c>
      <c r="J4658" s="28" t="s">
        <v>14959</v>
      </c>
      <c r="K4658" s="28" t="s">
        <v>9348</v>
      </c>
      <c r="L4658" s="28" t="s">
        <v>7167</v>
      </c>
      <c r="M4658" s="28" t="s">
        <v>21</v>
      </c>
      <c r="O4658" s="92">
        <v>41960</v>
      </c>
      <c r="P4658" s="28" t="s">
        <v>21</v>
      </c>
      <c r="Q4658" s="26" t="b">
        <v>0</v>
      </c>
      <c r="R4658" s="22">
        <f t="shared" si="75"/>
        <v>816</v>
      </c>
    </row>
    <row r="4659" spans="1:18" ht="24">
      <c r="A4659" s="26">
        <v>9923</v>
      </c>
      <c r="B4659" s="27">
        <v>41148</v>
      </c>
      <c r="C4659" s="28" t="s">
        <v>14960</v>
      </c>
      <c r="D4659" s="27">
        <v>41143</v>
      </c>
      <c r="E4659" s="28" t="s">
        <v>1432</v>
      </c>
      <c r="F4659" s="28" t="s">
        <v>124</v>
      </c>
      <c r="G4659" s="28" t="s">
        <v>20</v>
      </c>
      <c r="H4659" s="28" t="s">
        <v>71</v>
      </c>
      <c r="I4659" s="28" t="s">
        <v>72</v>
      </c>
      <c r="J4659" s="28" t="s">
        <v>14961</v>
      </c>
      <c r="K4659" s="28" t="s">
        <v>14962</v>
      </c>
      <c r="L4659" s="28" t="s">
        <v>4282</v>
      </c>
      <c r="M4659" s="28" t="s">
        <v>21</v>
      </c>
      <c r="O4659" s="92">
        <v>41591</v>
      </c>
      <c r="P4659" s="28" t="s">
        <v>21</v>
      </c>
      <c r="Q4659" s="26" t="b">
        <v>0</v>
      </c>
      <c r="R4659" s="22">
        <f t="shared" si="75"/>
        <v>442</v>
      </c>
    </row>
    <row r="4660" spans="1:18">
      <c r="A4660" s="26">
        <v>9924</v>
      </c>
      <c r="B4660" s="27">
        <v>41151</v>
      </c>
      <c r="C4660" s="28" t="s">
        <v>14963</v>
      </c>
      <c r="D4660" s="27">
        <v>41150</v>
      </c>
      <c r="E4660" s="28" t="s">
        <v>14964</v>
      </c>
      <c r="F4660" s="28" t="s">
        <v>14944</v>
      </c>
      <c r="G4660" s="28" t="s">
        <v>20</v>
      </c>
      <c r="H4660" s="28" t="s">
        <v>71</v>
      </c>
      <c r="I4660" s="28" t="s">
        <v>72</v>
      </c>
      <c r="J4660" s="28" t="s">
        <v>14965</v>
      </c>
      <c r="K4660" s="28" t="s">
        <v>21</v>
      </c>
      <c r="L4660" s="28" t="s">
        <v>7167</v>
      </c>
      <c r="M4660" s="28" t="s">
        <v>21</v>
      </c>
      <c r="O4660" s="92">
        <v>41170</v>
      </c>
      <c r="P4660" s="28" t="s">
        <v>21</v>
      </c>
      <c r="Q4660" s="26" t="b">
        <v>0</v>
      </c>
      <c r="R4660" s="22">
        <f t="shared" si="75"/>
        <v>18</v>
      </c>
    </row>
    <row r="4661" spans="1:18">
      <c r="A4661" s="26">
        <v>9925</v>
      </c>
      <c r="B4661" s="27">
        <v>41156</v>
      </c>
      <c r="C4661" s="28" t="s">
        <v>14966</v>
      </c>
      <c r="D4661" s="27">
        <v>41149</v>
      </c>
      <c r="E4661" s="28" t="s">
        <v>38</v>
      </c>
      <c r="F4661" s="28" t="s">
        <v>124</v>
      </c>
      <c r="G4661" s="28" t="s">
        <v>20</v>
      </c>
      <c r="H4661" s="28" t="s">
        <v>71</v>
      </c>
      <c r="I4661" s="28" t="s">
        <v>72</v>
      </c>
      <c r="J4661" s="28" t="s">
        <v>9276</v>
      </c>
      <c r="K4661" s="28" t="s">
        <v>14967</v>
      </c>
      <c r="L4661" s="28" t="s">
        <v>4282</v>
      </c>
      <c r="M4661" s="28" t="s">
        <v>21</v>
      </c>
      <c r="O4661" s="92">
        <v>41485</v>
      </c>
      <c r="P4661" s="28" t="s">
        <v>21</v>
      </c>
      <c r="Q4661" s="26" t="b">
        <v>0</v>
      </c>
      <c r="R4661" s="22">
        <f t="shared" si="75"/>
        <v>330</v>
      </c>
    </row>
    <row r="4662" spans="1:18" ht="24">
      <c r="A4662" s="26">
        <v>9926</v>
      </c>
      <c r="B4662" s="27">
        <v>41164</v>
      </c>
      <c r="C4662" s="28" t="s">
        <v>14968</v>
      </c>
      <c r="D4662" s="27">
        <v>41151</v>
      </c>
      <c r="E4662" s="28" t="s">
        <v>14969</v>
      </c>
      <c r="F4662" s="28" t="s">
        <v>5184</v>
      </c>
      <c r="G4662" s="28" t="s">
        <v>20</v>
      </c>
      <c r="H4662" s="28" t="s">
        <v>71</v>
      </c>
      <c r="I4662" s="28" t="s">
        <v>72</v>
      </c>
      <c r="J4662" s="28" t="s">
        <v>14970</v>
      </c>
      <c r="K4662" s="28" t="s">
        <v>21</v>
      </c>
      <c r="L4662" s="28" t="s">
        <v>14411</v>
      </c>
      <c r="M4662" s="28" t="s">
        <v>14849</v>
      </c>
      <c r="O4662" s="92">
        <v>41985</v>
      </c>
      <c r="P4662" s="28" t="s">
        <v>21</v>
      </c>
      <c r="Q4662" s="26" t="b">
        <v>0</v>
      </c>
      <c r="R4662" s="22">
        <f t="shared" si="75"/>
        <v>821</v>
      </c>
    </row>
    <row r="4663" spans="1:18" ht="24">
      <c r="A4663" s="26">
        <v>9927</v>
      </c>
      <c r="B4663" s="27">
        <v>41164</v>
      </c>
      <c r="C4663" s="28" t="s">
        <v>14971</v>
      </c>
      <c r="D4663" s="27">
        <v>41163</v>
      </c>
      <c r="E4663" s="28" t="s">
        <v>14972</v>
      </c>
      <c r="F4663" s="28" t="s">
        <v>14336</v>
      </c>
      <c r="G4663" s="28" t="s">
        <v>20</v>
      </c>
      <c r="H4663" s="28" t="s">
        <v>189</v>
      </c>
      <c r="I4663" s="28" t="s">
        <v>189</v>
      </c>
      <c r="J4663" s="28" t="s">
        <v>14973</v>
      </c>
      <c r="K4663" s="28" t="s">
        <v>21</v>
      </c>
      <c r="L4663" s="28" t="s">
        <v>3588</v>
      </c>
      <c r="M4663" s="28" t="s">
        <v>21</v>
      </c>
      <c r="O4663" s="92">
        <v>41201</v>
      </c>
      <c r="P4663" s="28" t="s">
        <v>21</v>
      </c>
      <c r="Q4663" s="26" t="b">
        <v>0</v>
      </c>
      <c r="R4663" s="22">
        <f t="shared" si="75"/>
        <v>37</v>
      </c>
    </row>
    <row r="4664" spans="1:18">
      <c r="A4664" s="26">
        <v>9928</v>
      </c>
      <c r="B4664" s="27">
        <v>41164</v>
      </c>
      <c r="C4664" s="28" t="s">
        <v>14974</v>
      </c>
      <c r="D4664" s="27">
        <v>41164</v>
      </c>
      <c r="E4664" s="28" t="s">
        <v>14975</v>
      </c>
      <c r="F4664" s="28" t="s">
        <v>56</v>
      </c>
      <c r="G4664" s="28" t="s">
        <v>20</v>
      </c>
      <c r="H4664" s="28" t="s">
        <v>71</v>
      </c>
      <c r="I4664" s="28" t="s">
        <v>72</v>
      </c>
      <c r="J4664" s="28" t="s">
        <v>14976</v>
      </c>
      <c r="K4664" s="28" t="s">
        <v>6081</v>
      </c>
      <c r="L4664" s="28" t="s">
        <v>1946</v>
      </c>
      <c r="M4664" s="28" t="s">
        <v>21</v>
      </c>
      <c r="O4664" s="92">
        <v>41201</v>
      </c>
      <c r="P4664" s="28" t="s">
        <v>21</v>
      </c>
      <c r="Q4664" s="26" t="b">
        <v>0</v>
      </c>
      <c r="R4664" s="22">
        <f t="shared" si="75"/>
        <v>37</v>
      </c>
    </row>
    <row r="4665" spans="1:18">
      <c r="A4665" s="26">
        <v>9930</v>
      </c>
      <c r="B4665" s="27">
        <v>41170</v>
      </c>
      <c r="C4665" s="28" t="s">
        <v>14977</v>
      </c>
      <c r="D4665" s="27">
        <v>41169</v>
      </c>
      <c r="E4665" s="28" t="s">
        <v>14978</v>
      </c>
      <c r="F4665" s="28" t="s">
        <v>27</v>
      </c>
      <c r="G4665" s="28" t="s">
        <v>20</v>
      </c>
      <c r="H4665" s="28" t="s">
        <v>71</v>
      </c>
      <c r="I4665" s="28" t="s">
        <v>72</v>
      </c>
      <c r="J4665" s="28" t="s">
        <v>14979</v>
      </c>
      <c r="K4665" s="28" t="s">
        <v>14980</v>
      </c>
      <c r="L4665" s="28" t="s">
        <v>3588</v>
      </c>
      <c r="M4665" s="28" t="s">
        <v>21</v>
      </c>
      <c r="O4665" s="92">
        <v>41178</v>
      </c>
      <c r="P4665" s="28" t="s">
        <v>21</v>
      </c>
      <c r="Q4665" s="26" t="b">
        <v>0</v>
      </c>
      <c r="R4665" s="22">
        <f t="shared" si="75"/>
        <v>8</v>
      </c>
    </row>
    <row r="4666" spans="1:18" ht="24">
      <c r="A4666" s="26">
        <v>9931</v>
      </c>
      <c r="B4666" s="27">
        <v>41170</v>
      </c>
      <c r="C4666" s="28" t="s">
        <v>14981</v>
      </c>
      <c r="D4666" s="27">
        <v>41163</v>
      </c>
      <c r="E4666" s="28" t="s">
        <v>14982</v>
      </c>
      <c r="F4666" s="28" t="s">
        <v>14944</v>
      </c>
      <c r="G4666" s="28" t="s">
        <v>20</v>
      </c>
      <c r="H4666" s="28" t="s">
        <v>71</v>
      </c>
      <c r="I4666" s="28" t="s">
        <v>72</v>
      </c>
      <c r="J4666" s="28" t="s">
        <v>14983</v>
      </c>
      <c r="K4666" s="28" t="s">
        <v>14984</v>
      </c>
      <c r="L4666" s="28" t="s">
        <v>1946</v>
      </c>
      <c r="M4666" s="28" t="s">
        <v>14947</v>
      </c>
      <c r="O4666" s="92">
        <v>42123</v>
      </c>
      <c r="P4666" s="28" t="s">
        <v>21</v>
      </c>
      <c r="Q4666" s="26" t="b">
        <v>0</v>
      </c>
      <c r="R4666" s="22">
        <f t="shared" si="75"/>
        <v>954</v>
      </c>
    </row>
    <row r="4667" spans="1:18" ht="24">
      <c r="A4667" s="26">
        <v>9932</v>
      </c>
      <c r="B4667" s="27">
        <v>41171</v>
      </c>
      <c r="C4667" s="28" t="s">
        <v>14985</v>
      </c>
      <c r="D4667" s="27">
        <v>41069</v>
      </c>
      <c r="E4667" s="28" t="s">
        <v>14986</v>
      </c>
      <c r="F4667" s="28" t="s">
        <v>14871</v>
      </c>
      <c r="G4667" s="28" t="s">
        <v>20</v>
      </c>
      <c r="H4667" s="28" t="s">
        <v>212</v>
      </c>
      <c r="I4667" s="28" t="s">
        <v>212</v>
      </c>
      <c r="J4667" s="28" t="s">
        <v>14987</v>
      </c>
      <c r="K4667" s="28" t="s">
        <v>6081</v>
      </c>
      <c r="L4667" s="28" t="s">
        <v>7167</v>
      </c>
      <c r="M4667" s="28" t="s">
        <v>21</v>
      </c>
      <c r="O4667" s="92">
        <v>41367</v>
      </c>
      <c r="P4667" s="28" t="s">
        <v>21</v>
      </c>
      <c r="Q4667" s="26" t="b">
        <v>0</v>
      </c>
      <c r="R4667" s="22">
        <f t="shared" si="75"/>
        <v>196</v>
      </c>
    </row>
    <row r="4668" spans="1:18">
      <c r="A4668" s="26">
        <v>9933</v>
      </c>
      <c r="B4668" s="27">
        <v>41171</v>
      </c>
      <c r="C4668" s="28" t="s">
        <v>14988</v>
      </c>
      <c r="D4668" s="27">
        <v>41170</v>
      </c>
      <c r="E4668" s="28" t="s">
        <v>14989</v>
      </c>
      <c r="F4668" s="28" t="s">
        <v>14990</v>
      </c>
      <c r="G4668" s="28" t="s">
        <v>20</v>
      </c>
      <c r="H4668" s="28" t="s">
        <v>71</v>
      </c>
      <c r="I4668" s="28" t="s">
        <v>72</v>
      </c>
      <c r="J4668" s="28" t="s">
        <v>14991</v>
      </c>
      <c r="K4668" s="28" t="s">
        <v>14992</v>
      </c>
      <c r="L4668" s="28" t="s">
        <v>1946</v>
      </c>
      <c r="M4668" s="28" t="s">
        <v>21</v>
      </c>
      <c r="O4668" s="92">
        <v>41578</v>
      </c>
      <c r="P4668" s="28" t="s">
        <v>21</v>
      </c>
      <c r="Q4668" s="26" t="b">
        <v>0</v>
      </c>
      <c r="R4668" s="22">
        <f t="shared" si="75"/>
        <v>407</v>
      </c>
    </row>
    <row r="4669" spans="1:18">
      <c r="A4669" s="26">
        <v>9934</v>
      </c>
      <c r="B4669" s="27">
        <v>41171</v>
      </c>
      <c r="C4669" s="28" t="s">
        <v>14993</v>
      </c>
      <c r="D4669" s="27">
        <v>41170</v>
      </c>
      <c r="E4669" s="28" t="s">
        <v>14911</v>
      </c>
      <c r="F4669" s="28" t="s">
        <v>14990</v>
      </c>
      <c r="G4669" s="28" t="s">
        <v>20</v>
      </c>
      <c r="H4669" s="28" t="s">
        <v>71</v>
      </c>
      <c r="I4669" s="28" t="s">
        <v>72</v>
      </c>
      <c r="J4669" s="28" t="s">
        <v>9550</v>
      </c>
      <c r="K4669" s="28" t="s">
        <v>21</v>
      </c>
      <c r="L4669" s="28" t="s">
        <v>1946</v>
      </c>
      <c r="M4669" s="28" t="s">
        <v>21</v>
      </c>
      <c r="O4669" s="92">
        <v>41176</v>
      </c>
      <c r="P4669" s="28" t="s">
        <v>21</v>
      </c>
      <c r="Q4669" s="26" t="b">
        <v>0</v>
      </c>
      <c r="R4669" s="22">
        <f t="shared" si="75"/>
        <v>5</v>
      </c>
    </row>
    <row r="4670" spans="1:18">
      <c r="A4670" s="26">
        <v>9935</v>
      </c>
      <c r="B4670" s="27">
        <v>41172</v>
      </c>
      <c r="C4670" s="28" t="s">
        <v>14994</v>
      </c>
      <c r="D4670" s="27">
        <v>41171</v>
      </c>
      <c r="E4670" s="28" t="s">
        <v>14995</v>
      </c>
      <c r="F4670" s="28" t="s">
        <v>14990</v>
      </c>
      <c r="G4670" s="28" t="s">
        <v>20</v>
      </c>
      <c r="H4670" s="28" t="s">
        <v>71</v>
      </c>
      <c r="I4670" s="28" t="s">
        <v>72</v>
      </c>
      <c r="J4670" s="28" t="s">
        <v>14996</v>
      </c>
      <c r="K4670" s="28" t="s">
        <v>21</v>
      </c>
      <c r="L4670" s="28" t="s">
        <v>1946</v>
      </c>
      <c r="M4670" s="28" t="s">
        <v>21</v>
      </c>
      <c r="O4670" s="92">
        <v>41578</v>
      </c>
      <c r="P4670" s="28" t="s">
        <v>21</v>
      </c>
      <c r="Q4670" s="26" t="b">
        <v>0</v>
      </c>
      <c r="R4670" s="22">
        <f t="shared" si="75"/>
        <v>406</v>
      </c>
    </row>
    <row r="4671" spans="1:18">
      <c r="A4671" s="26">
        <v>9936</v>
      </c>
      <c r="B4671" s="27">
        <v>41172</v>
      </c>
      <c r="C4671" s="28" t="s">
        <v>14997</v>
      </c>
      <c r="D4671" s="27">
        <v>41172</v>
      </c>
      <c r="E4671" s="28" t="s">
        <v>14998</v>
      </c>
      <c r="F4671" s="28" t="s">
        <v>27</v>
      </c>
      <c r="G4671" s="28" t="s">
        <v>20</v>
      </c>
      <c r="H4671" s="28" t="s">
        <v>71</v>
      </c>
      <c r="I4671" s="28" t="s">
        <v>72</v>
      </c>
      <c r="J4671" s="28" t="s">
        <v>14999</v>
      </c>
      <c r="K4671" s="28" t="s">
        <v>15000</v>
      </c>
      <c r="L4671" s="28" t="s">
        <v>1946</v>
      </c>
      <c r="M4671" s="28" t="s">
        <v>21</v>
      </c>
      <c r="O4671" s="92">
        <v>41242</v>
      </c>
      <c r="P4671" s="28" t="s">
        <v>21</v>
      </c>
      <c r="Q4671" s="26" t="b">
        <v>0</v>
      </c>
      <c r="R4671" s="22">
        <f t="shared" si="75"/>
        <v>69</v>
      </c>
    </row>
    <row r="4672" spans="1:18">
      <c r="A4672" s="26">
        <v>9937</v>
      </c>
      <c r="B4672" s="27">
        <v>41173</v>
      </c>
      <c r="C4672" s="28" t="s">
        <v>15001</v>
      </c>
      <c r="D4672" s="27">
        <v>41170</v>
      </c>
      <c r="E4672" s="28" t="s">
        <v>15002</v>
      </c>
      <c r="F4672" s="28" t="s">
        <v>13960</v>
      </c>
      <c r="G4672" s="28" t="s">
        <v>20</v>
      </c>
      <c r="H4672" s="28" t="s">
        <v>189</v>
      </c>
      <c r="I4672" s="28" t="s">
        <v>189</v>
      </c>
      <c r="J4672" s="28" t="s">
        <v>15003</v>
      </c>
      <c r="K4672" s="28" t="s">
        <v>6081</v>
      </c>
      <c r="L4672" s="28" t="s">
        <v>3588</v>
      </c>
      <c r="M4672" s="28" t="s">
        <v>21</v>
      </c>
      <c r="O4672" s="92">
        <v>41178</v>
      </c>
      <c r="P4672" s="28" t="s">
        <v>21</v>
      </c>
      <c r="Q4672" s="26" t="b">
        <v>0</v>
      </c>
      <c r="R4672" s="22">
        <f t="shared" si="75"/>
        <v>5</v>
      </c>
    </row>
    <row r="4673" spans="1:18">
      <c r="A4673" s="26">
        <v>9938</v>
      </c>
      <c r="B4673" s="27">
        <v>41176</v>
      </c>
      <c r="C4673" s="28" t="s">
        <v>15004</v>
      </c>
      <c r="D4673" s="27">
        <v>41173</v>
      </c>
      <c r="E4673" s="28" t="s">
        <v>15005</v>
      </c>
      <c r="F4673" s="28" t="s">
        <v>104</v>
      </c>
      <c r="G4673" s="28" t="s">
        <v>20</v>
      </c>
      <c r="H4673" s="28" t="s">
        <v>71</v>
      </c>
      <c r="I4673" s="28" t="s">
        <v>72</v>
      </c>
      <c r="J4673" s="28" t="s">
        <v>15006</v>
      </c>
      <c r="K4673" s="28" t="s">
        <v>15007</v>
      </c>
      <c r="L4673" s="28" t="s">
        <v>4282</v>
      </c>
      <c r="M4673" s="28" t="s">
        <v>21</v>
      </c>
      <c r="O4673" s="92">
        <v>41361</v>
      </c>
      <c r="P4673" s="28" t="s">
        <v>21</v>
      </c>
      <c r="Q4673" s="26" t="b">
        <v>0</v>
      </c>
      <c r="R4673" s="22">
        <f t="shared" si="75"/>
        <v>186</v>
      </c>
    </row>
    <row r="4674" spans="1:18">
      <c r="A4674" s="26">
        <v>9939</v>
      </c>
      <c r="B4674" s="27">
        <v>41180</v>
      </c>
      <c r="C4674" s="28" t="s">
        <v>15008</v>
      </c>
      <c r="D4674" s="27">
        <v>41180</v>
      </c>
      <c r="E4674" s="28" t="s">
        <v>38</v>
      </c>
      <c r="F4674" s="28" t="s">
        <v>104</v>
      </c>
      <c r="G4674" s="28" t="s">
        <v>20</v>
      </c>
      <c r="H4674" s="28" t="s">
        <v>71</v>
      </c>
      <c r="I4674" s="28" t="s">
        <v>72</v>
      </c>
      <c r="J4674" s="28" t="s">
        <v>15009</v>
      </c>
      <c r="K4674" s="28" t="s">
        <v>21</v>
      </c>
      <c r="L4674" s="28" t="s">
        <v>4282</v>
      </c>
      <c r="M4674" s="28" t="s">
        <v>21</v>
      </c>
      <c r="O4674" s="92">
        <v>41180</v>
      </c>
      <c r="P4674" s="28" t="s">
        <v>21</v>
      </c>
      <c r="Q4674" s="26" t="b">
        <v>0</v>
      </c>
      <c r="R4674" s="22">
        <f t="shared" si="75"/>
        <v>0</v>
      </c>
    </row>
    <row r="4675" spans="1:18">
      <c r="A4675" s="26">
        <v>9940</v>
      </c>
      <c r="B4675" s="27">
        <v>41185</v>
      </c>
      <c r="C4675" s="28" t="s">
        <v>15010</v>
      </c>
      <c r="D4675" s="27">
        <v>41179</v>
      </c>
      <c r="E4675" s="28" t="s">
        <v>15011</v>
      </c>
      <c r="F4675" s="28" t="s">
        <v>8615</v>
      </c>
      <c r="G4675" s="28" t="s">
        <v>20</v>
      </c>
      <c r="H4675" s="28" t="s">
        <v>71</v>
      </c>
      <c r="I4675" s="28" t="s">
        <v>72</v>
      </c>
      <c r="J4675" s="28" t="s">
        <v>15012</v>
      </c>
      <c r="K4675" s="28" t="s">
        <v>14514</v>
      </c>
      <c r="L4675" s="28" t="s">
        <v>1946</v>
      </c>
      <c r="M4675" s="28" t="s">
        <v>21</v>
      </c>
      <c r="O4675" s="92">
        <v>41761</v>
      </c>
      <c r="P4675" s="28" t="s">
        <v>21</v>
      </c>
      <c r="Q4675" s="26" t="b">
        <v>0</v>
      </c>
      <c r="R4675" s="22">
        <f t="shared" si="75"/>
        <v>576</v>
      </c>
    </row>
    <row r="4676" spans="1:18">
      <c r="A4676" s="26">
        <v>9941</v>
      </c>
      <c r="B4676" s="27">
        <v>41185</v>
      </c>
      <c r="C4676" s="28" t="s">
        <v>15013</v>
      </c>
      <c r="D4676" s="27">
        <v>41184</v>
      </c>
      <c r="E4676" s="28" t="s">
        <v>15014</v>
      </c>
      <c r="F4676" s="28" t="s">
        <v>1232</v>
      </c>
      <c r="G4676" s="28" t="s">
        <v>20</v>
      </c>
      <c r="H4676" s="28" t="s">
        <v>189</v>
      </c>
      <c r="I4676" s="28" t="s">
        <v>189</v>
      </c>
      <c r="J4676" s="28" t="s">
        <v>10416</v>
      </c>
      <c r="K4676" s="28" t="s">
        <v>10153</v>
      </c>
      <c r="L4676" s="28" t="s">
        <v>3588</v>
      </c>
      <c r="M4676" s="28" t="s">
        <v>21</v>
      </c>
      <c r="O4676" s="92">
        <v>41289</v>
      </c>
      <c r="P4676" s="28" t="s">
        <v>21</v>
      </c>
      <c r="Q4676" s="26" t="b">
        <v>0</v>
      </c>
      <c r="R4676" s="22">
        <f t="shared" si="75"/>
        <v>103</v>
      </c>
    </row>
    <row r="4677" spans="1:18">
      <c r="A4677" s="26">
        <v>9942</v>
      </c>
      <c r="B4677" s="27">
        <v>41186</v>
      </c>
      <c r="C4677" s="28" t="s">
        <v>15015</v>
      </c>
      <c r="D4677" s="27">
        <v>41185</v>
      </c>
      <c r="E4677" s="28" t="s">
        <v>38</v>
      </c>
      <c r="F4677" s="28" t="s">
        <v>974</v>
      </c>
      <c r="G4677" s="28" t="s">
        <v>20</v>
      </c>
      <c r="H4677" s="28" t="s">
        <v>212</v>
      </c>
      <c r="I4677" s="28" t="s">
        <v>212</v>
      </c>
      <c r="J4677" s="28" t="s">
        <v>15016</v>
      </c>
      <c r="K4677" s="28" t="s">
        <v>21</v>
      </c>
      <c r="L4677" s="28" t="s">
        <v>4282</v>
      </c>
      <c r="M4677" s="28" t="s">
        <v>21</v>
      </c>
      <c r="O4677" s="92">
        <v>41485</v>
      </c>
      <c r="P4677" s="28" t="s">
        <v>21</v>
      </c>
      <c r="Q4677" s="26" t="b">
        <v>0</v>
      </c>
      <c r="R4677" s="22">
        <f t="shared" si="75"/>
        <v>300</v>
      </c>
    </row>
    <row r="4678" spans="1:18" ht="24">
      <c r="A4678" s="26">
        <v>9945</v>
      </c>
      <c r="B4678" s="27">
        <v>41197</v>
      </c>
      <c r="C4678" s="28" t="s">
        <v>15017</v>
      </c>
      <c r="D4678" s="27">
        <v>41192</v>
      </c>
      <c r="E4678" s="28" t="s">
        <v>15018</v>
      </c>
      <c r="F4678" s="28" t="s">
        <v>98</v>
      </c>
      <c r="G4678" s="28" t="s">
        <v>20</v>
      </c>
      <c r="H4678" s="28" t="s">
        <v>71</v>
      </c>
      <c r="I4678" s="28" t="s">
        <v>72</v>
      </c>
      <c r="J4678" s="28" t="s">
        <v>15019</v>
      </c>
      <c r="K4678" s="28" t="s">
        <v>21</v>
      </c>
      <c r="L4678" s="28" t="s">
        <v>7167</v>
      </c>
      <c r="M4678" s="28" t="s">
        <v>21</v>
      </c>
      <c r="O4678" s="92">
        <v>41207</v>
      </c>
      <c r="P4678" s="28" t="s">
        <v>21</v>
      </c>
      <c r="Q4678" s="26" t="b">
        <v>0</v>
      </c>
      <c r="R4678" s="22">
        <f t="shared" si="75"/>
        <v>10</v>
      </c>
    </row>
    <row r="4679" spans="1:18">
      <c r="A4679" s="26">
        <v>9946</v>
      </c>
      <c r="B4679" s="27">
        <v>41197</v>
      </c>
      <c r="C4679" s="28" t="s">
        <v>15020</v>
      </c>
      <c r="D4679" s="27">
        <v>41194</v>
      </c>
      <c r="E4679" s="28" t="s">
        <v>38</v>
      </c>
      <c r="F4679" s="28" t="s">
        <v>8615</v>
      </c>
      <c r="G4679" s="28" t="s">
        <v>20</v>
      </c>
      <c r="H4679" s="28" t="s">
        <v>71</v>
      </c>
      <c r="I4679" s="28" t="s">
        <v>72</v>
      </c>
      <c r="J4679" s="28" t="s">
        <v>15021</v>
      </c>
      <c r="K4679" s="28" t="s">
        <v>14514</v>
      </c>
      <c r="L4679" s="28" t="s">
        <v>4282</v>
      </c>
      <c r="M4679" s="28" t="s">
        <v>21</v>
      </c>
      <c r="O4679" s="92">
        <v>41242</v>
      </c>
      <c r="P4679" s="28" t="s">
        <v>21</v>
      </c>
      <c r="Q4679" s="26" t="b">
        <v>0</v>
      </c>
      <c r="R4679" s="22">
        <f t="shared" si="75"/>
        <v>44</v>
      </c>
    </row>
    <row r="4680" spans="1:18">
      <c r="A4680" s="26">
        <v>9948</v>
      </c>
      <c r="B4680" s="27">
        <v>41198</v>
      </c>
      <c r="C4680" s="28" t="s">
        <v>15022</v>
      </c>
      <c r="D4680" s="27">
        <v>41190</v>
      </c>
      <c r="E4680" s="28" t="s">
        <v>11030</v>
      </c>
      <c r="F4680" s="28" t="s">
        <v>2359</v>
      </c>
      <c r="G4680" s="28" t="s">
        <v>20</v>
      </c>
      <c r="H4680" s="28" t="s">
        <v>71</v>
      </c>
      <c r="I4680" s="28" t="s">
        <v>72</v>
      </c>
      <c r="J4680" s="28" t="s">
        <v>15023</v>
      </c>
      <c r="K4680" s="28" t="s">
        <v>15024</v>
      </c>
      <c r="L4680" s="28" t="s">
        <v>4282</v>
      </c>
      <c r="M4680" s="28" t="s">
        <v>21</v>
      </c>
      <c r="O4680" s="92">
        <v>41620</v>
      </c>
      <c r="P4680" s="28" t="s">
        <v>21</v>
      </c>
      <c r="Q4680" s="26" t="b">
        <v>0</v>
      </c>
      <c r="R4680" s="22">
        <f t="shared" si="75"/>
        <v>421</v>
      </c>
    </row>
    <row r="4681" spans="1:18">
      <c r="A4681" s="26">
        <v>9949</v>
      </c>
      <c r="B4681" s="27">
        <v>41201</v>
      </c>
      <c r="C4681" s="28" t="s">
        <v>15025</v>
      </c>
      <c r="D4681" s="27">
        <v>41164</v>
      </c>
      <c r="E4681" s="28" t="s">
        <v>15026</v>
      </c>
      <c r="F4681" s="28" t="s">
        <v>56</v>
      </c>
      <c r="G4681" s="28" t="s">
        <v>20</v>
      </c>
      <c r="H4681" s="28" t="s">
        <v>71</v>
      </c>
      <c r="I4681" s="28" t="s">
        <v>72</v>
      </c>
      <c r="J4681" s="28" t="s">
        <v>14976</v>
      </c>
      <c r="K4681" s="28" t="s">
        <v>15027</v>
      </c>
      <c r="L4681" s="28" t="s">
        <v>1946</v>
      </c>
      <c r="M4681" s="28" t="s">
        <v>21</v>
      </c>
      <c r="O4681" s="92">
        <v>41470</v>
      </c>
      <c r="P4681" s="28" t="s">
        <v>21</v>
      </c>
      <c r="Q4681" s="26" t="b">
        <v>0</v>
      </c>
      <c r="R4681" s="22">
        <f t="shared" si="75"/>
        <v>269</v>
      </c>
    </row>
    <row r="4682" spans="1:18">
      <c r="A4682" s="26">
        <v>9950</v>
      </c>
      <c r="B4682" s="27">
        <v>41204</v>
      </c>
      <c r="C4682" s="28" t="s">
        <v>15028</v>
      </c>
      <c r="D4682" s="27">
        <v>41202</v>
      </c>
      <c r="E4682" s="28" t="s">
        <v>38</v>
      </c>
      <c r="F4682" s="28" t="s">
        <v>5704</v>
      </c>
      <c r="G4682" s="28" t="s">
        <v>20</v>
      </c>
      <c r="H4682" s="28" t="s">
        <v>71</v>
      </c>
      <c r="I4682" s="28" t="s">
        <v>72</v>
      </c>
      <c r="J4682" s="28" t="s">
        <v>15029</v>
      </c>
      <c r="K4682" s="28" t="s">
        <v>12966</v>
      </c>
      <c r="L4682" s="28" t="s">
        <v>7167</v>
      </c>
      <c r="M4682" s="28" t="s">
        <v>21</v>
      </c>
      <c r="O4682" s="92">
        <v>41204</v>
      </c>
      <c r="P4682" s="28" t="s">
        <v>21</v>
      </c>
      <c r="Q4682" s="26" t="b">
        <v>0</v>
      </c>
      <c r="R4682" s="22">
        <f t="shared" si="75"/>
        <v>0</v>
      </c>
    </row>
    <row r="4683" spans="1:18">
      <c r="A4683" s="26">
        <v>9952</v>
      </c>
      <c r="B4683" s="27">
        <v>41207</v>
      </c>
      <c r="C4683" s="28" t="s">
        <v>15030</v>
      </c>
      <c r="D4683" s="27">
        <v>41185</v>
      </c>
      <c r="E4683" s="28" t="s">
        <v>15031</v>
      </c>
      <c r="F4683" s="28" t="s">
        <v>13960</v>
      </c>
      <c r="G4683" s="28" t="s">
        <v>20</v>
      </c>
      <c r="H4683" s="28" t="s">
        <v>71</v>
      </c>
      <c r="I4683" s="28" t="s">
        <v>72</v>
      </c>
      <c r="J4683" s="28" t="s">
        <v>14814</v>
      </c>
      <c r="K4683" s="28" t="s">
        <v>15032</v>
      </c>
      <c r="L4683" s="28" t="s">
        <v>3588</v>
      </c>
      <c r="M4683" s="28" t="s">
        <v>21</v>
      </c>
      <c r="O4683" s="92">
        <v>41242</v>
      </c>
      <c r="P4683" s="28" t="s">
        <v>21</v>
      </c>
      <c r="Q4683" s="26" t="b">
        <v>0</v>
      </c>
      <c r="R4683" s="22">
        <f t="shared" si="75"/>
        <v>34</v>
      </c>
    </row>
    <row r="4684" spans="1:18">
      <c r="A4684" s="26">
        <v>9953</v>
      </c>
      <c r="B4684" s="27">
        <v>41207</v>
      </c>
      <c r="C4684" s="28" t="s">
        <v>15033</v>
      </c>
      <c r="D4684" s="27">
        <v>41199</v>
      </c>
      <c r="E4684" s="28" t="s">
        <v>15034</v>
      </c>
      <c r="F4684" s="28" t="s">
        <v>14990</v>
      </c>
      <c r="G4684" s="28" t="s">
        <v>20</v>
      </c>
      <c r="H4684" s="28" t="s">
        <v>71</v>
      </c>
      <c r="I4684" s="28" t="s">
        <v>72</v>
      </c>
      <c r="J4684" s="28" t="s">
        <v>15035</v>
      </c>
      <c r="K4684" s="28" t="s">
        <v>21</v>
      </c>
      <c r="L4684" s="28" t="s">
        <v>1946</v>
      </c>
      <c r="M4684" s="28" t="s">
        <v>3588</v>
      </c>
      <c r="O4684" s="92">
        <v>41578</v>
      </c>
      <c r="P4684" s="28" t="s">
        <v>21</v>
      </c>
      <c r="Q4684" s="26" t="b">
        <v>0</v>
      </c>
      <c r="R4684" s="22">
        <f t="shared" si="75"/>
        <v>371</v>
      </c>
    </row>
    <row r="4685" spans="1:18" ht="24">
      <c r="A4685" s="26">
        <v>9954</v>
      </c>
      <c r="B4685" s="27">
        <v>41211</v>
      </c>
      <c r="C4685" s="28" t="s">
        <v>15036</v>
      </c>
      <c r="D4685" s="27">
        <v>41206</v>
      </c>
      <c r="E4685" s="28" t="s">
        <v>15037</v>
      </c>
      <c r="F4685" s="28" t="s">
        <v>124</v>
      </c>
      <c r="G4685" s="28" t="s">
        <v>20</v>
      </c>
      <c r="H4685" s="28" t="s">
        <v>71</v>
      </c>
      <c r="I4685" s="28" t="s">
        <v>72</v>
      </c>
      <c r="J4685" s="28" t="s">
        <v>15038</v>
      </c>
      <c r="K4685" s="28" t="s">
        <v>9348</v>
      </c>
      <c r="L4685" s="28" t="s">
        <v>14909</v>
      </c>
      <c r="M4685" s="28" t="s">
        <v>14427</v>
      </c>
      <c r="O4685" s="92">
        <v>41869</v>
      </c>
      <c r="P4685" s="28" t="s">
        <v>21</v>
      </c>
      <c r="Q4685" s="26" t="b">
        <v>0</v>
      </c>
      <c r="R4685" s="22">
        <f t="shared" si="75"/>
        <v>658</v>
      </c>
    </row>
    <row r="4686" spans="1:18">
      <c r="A4686" s="26">
        <v>9956</v>
      </c>
      <c r="B4686" s="27">
        <v>41218</v>
      </c>
      <c r="C4686" s="28" t="s">
        <v>15039</v>
      </c>
      <c r="D4686" s="27">
        <v>41213</v>
      </c>
      <c r="E4686" s="28" t="s">
        <v>15040</v>
      </c>
      <c r="F4686" s="28" t="s">
        <v>13422</v>
      </c>
      <c r="G4686" s="28" t="s">
        <v>20</v>
      </c>
      <c r="H4686" s="28" t="s">
        <v>71</v>
      </c>
      <c r="I4686" s="28" t="s">
        <v>72</v>
      </c>
      <c r="J4686" s="28" t="s">
        <v>15041</v>
      </c>
      <c r="K4686" s="28" t="s">
        <v>15042</v>
      </c>
      <c r="L4686" s="28" t="s">
        <v>7167</v>
      </c>
      <c r="M4686" s="28" t="s">
        <v>21</v>
      </c>
      <c r="O4686" s="92">
        <v>41242</v>
      </c>
      <c r="P4686" s="28" t="s">
        <v>21</v>
      </c>
      <c r="Q4686" s="26" t="b">
        <v>0</v>
      </c>
      <c r="R4686" s="22">
        <f t="shared" si="75"/>
        <v>24</v>
      </c>
    </row>
    <row r="4687" spans="1:18">
      <c r="A4687" s="26">
        <v>9957</v>
      </c>
      <c r="B4687" s="27">
        <v>41218</v>
      </c>
      <c r="C4687" s="28" t="s">
        <v>15043</v>
      </c>
      <c r="D4687" s="27">
        <v>41213</v>
      </c>
      <c r="E4687" s="28" t="s">
        <v>15044</v>
      </c>
      <c r="F4687" s="28" t="s">
        <v>15045</v>
      </c>
      <c r="G4687" s="28" t="s">
        <v>20</v>
      </c>
      <c r="H4687" s="28" t="s">
        <v>71</v>
      </c>
      <c r="I4687" s="28" t="s">
        <v>72</v>
      </c>
      <c r="J4687" s="28" t="s">
        <v>15009</v>
      </c>
      <c r="K4687" s="28" t="s">
        <v>6081</v>
      </c>
      <c r="L4687" s="28" t="s">
        <v>4282</v>
      </c>
      <c r="M4687" s="28" t="s">
        <v>21</v>
      </c>
      <c r="O4687" s="92">
        <v>41242</v>
      </c>
      <c r="P4687" s="28" t="s">
        <v>21</v>
      </c>
      <c r="Q4687" s="26" t="b">
        <v>0</v>
      </c>
      <c r="R4687" s="22">
        <f t="shared" si="75"/>
        <v>24</v>
      </c>
    </row>
    <row r="4688" spans="1:18">
      <c r="A4688" s="26">
        <v>9965</v>
      </c>
      <c r="B4688" s="27">
        <v>41218</v>
      </c>
      <c r="C4688" s="28" t="s">
        <v>15052</v>
      </c>
      <c r="D4688" s="27">
        <v>41218</v>
      </c>
      <c r="E4688" s="28" t="s">
        <v>38</v>
      </c>
      <c r="F4688" s="28" t="s">
        <v>124</v>
      </c>
      <c r="G4688" s="28" t="s">
        <v>20</v>
      </c>
      <c r="H4688" s="28" t="s">
        <v>71</v>
      </c>
      <c r="I4688" s="28" t="s">
        <v>72</v>
      </c>
      <c r="J4688" s="28" t="s">
        <v>15053</v>
      </c>
      <c r="K4688" s="28" t="s">
        <v>21</v>
      </c>
      <c r="L4688" s="28" t="s">
        <v>7167</v>
      </c>
      <c r="M4688" s="28" t="s">
        <v>21</v>
      </c>
      <c r="O4688" s="92">
        <v>41234</v>
      </c>
      <c r="P4688" s="28" t="s">
        <v>21</v>
      </c>
      <c r="Q4688" s="26" t="b">
        <v>0</v>
      </c>
      <c r="R4688" s="22">
        <f t="shared" si="75"/>
        <v>16</v>
      </c>
    </row>
    <row r="4689" spans="1:18">
      <c r="A4689" s="26">
        <v>9958</v>
      </c>
      <c r="B4689" s="27">
        <v>41222</v>
      </c>
      <c r="C4689" s="28" t="s">
        <v>15046</v>
      </c>
      <c r="D4689" s="27">
        <v>41232</v>
      </c>
      <c r="E4689" s="28" t="s">
        <v>15047</v>
      </c>
      <c r="F4689" s="28" t="s">
        <v>10106</v>
      </c>
      <c r="G4689" s="28" t="s">
        <v>20</v>
      </c>
      <c r="H4689" s="28" t="s">
        <v>71</v>
      </c>
      <c r="I4689" s="28" t="s">
        <v>72</v>
      </c>
      <c r="J4689" s="28" t="s">
        <v>15048</v>
      </c>
      <c r="K4689" s="28" t="s">
        <v>15049</v>
      </c>
      <c r="L4689" s="28" t="s">
        <v>1152</v>
      </c>
      <c r="M4689" s="28" t="s">
        <v>14671</v>
      </c>
      <c r="O4689" s="92">
        <v>41820</v>
      </c>
      <c r="P4689" s="28" t="s">
        <v>21</v>
      </c>
      <c r="Q4689" s="26" t="b">
        <v>0</v>
      </c>
      <c r="R4689" s="22">
        <f t="shared" si="75"/>
        <v>599</v>
      </c>
    </row>
    <row r="4690" spans="1:18">
      <c r="A4690" s="26">
        <v>9964</v>
      </c>
      <c r="B4690" s="27">
        <v>41222</v>
      </c>
      <c r="C4690" s="28" t="s">
        <v>15046</v>
      </c>
      <c r="D4690" s="27">
        <v>41222</v>
      </c>
      <c r="E4690" s="28" t="s">
        <v>15050</v>
      </c>
      <c r="F4690" s="28" t="s">
        <v>12892</v>
      </c>
      <c r="G4690" s="28" t="s">
        <v>20</v>
      </c>
      <c r="H4690" s="28" t="s">
        <v>71</v>
      </c>
      <c r="I4690" s="28" t="s">
        <v>72</v>
      </c>
      <c r="J4690" s="28" t="s">
        <v>15051</v>
      </c>
      <c r="K4690" s="28" t="s">
        <v>6081</v>
      </c>
      <c r="L4690" s="28" t="s">
        <v>3588</v>
      </c>
      <c r="M4690" s="28" t="s">
        <v>21</v>
      </c>
      <c r="O4690" s="92">
        <v>41360</v>
      </c>
      <c r="P4690" s="28" t="s">
        <v>21</v>
      </c>
      <c r="Q4690" s="26" t="b">
        <v>0</v>
      </c>
      <c r="R4690" s="22">
        <f t="shared" si="75"/>
        <v>139</v>
      </c>
    </row>
    <row r="4691" spans="1:18">
      <c r="A4691" s="26">
        <v>9967</v>
      </c>
      <c r="B4691" s="27">
        <v>41242</v>
      </c>
      <c r="C4691" s="28" t="s">
        <v>15054</v>
      </c>
      <c r="D4691" s="27">
        <v>41222</v>
      </c>
      <c r="E4691" s="28" t="s">
        <v>15055</v>
      </c>
      <c r="F4691" s="28" t="s">
        <v>15056</v>
      </c>
      <c r="G4691" s="28" t="s">
        <v>20</v>
      </c>
      <c r="H4691" s="28" t="s">
        <v>71</v>
      </c>
      <c r="I4691" s="28" t="s">
        <v>72</v>
      </c>
      <c r="J4691" s="28" t="s">
        <v>15057</v>
      </c>
      <c r="K4691" s="28" t="s">
        <v>21</v>
      </c>
      <c r="L4691" s="28" t="s">
        <v>14411</v>
      </c>
      <c r="M4691" s="28" t="s">
        <v>7167</v>
      </c>
      <c r="O4691" s="92">
        <v>42104</v>
      </c>
      <c r="P4691" s="28" t="s">
        <v>21</v>
      </c>
      <c r="Q4691" s="26" t="b">
        <v>0</v>
      </c>
      <c r="R4691" s="22">
        <f t="shared" si="75"/>
        <v>862</v>
      </c>
    </row>
    <row r="4692" spans="1:18">
      <c r="A4692" s="26">
        <v>9968</v>
      </c>
      <c r="B4692" s="27">
        <v>41242</v>
      </c>
      <c r="C4692" s="28" t="s">
        <v>15058</v>
      </c>
      <c r="D4692" s="27">
        <v>41233</v>
      </c>
      <c r="E4692" s="28" t="s">
        <v>15059</v>
      </c>
      <c r="F4692" s="28" t="s">
        <v>13350</v>
      </c>
      <c r="G4692" s="28" t="s">
        <v>20</v>
      </c>
      <c r="H4692" s="28" t="s">
        <v>71</v>
      </c>
      <c r="I4692" s="28" t="s">
        <v>72</v>
      </c>
      <c r="J4692" s="28" t="s">
        <v>15060</v>
      </c>
      <c r="K4692" s="28" t="s">
        <v>15061</v>
      </c>
      <c r="L4692" s="28" t="s">
        <v>7167</v>
      </c>
      <c r="M4692" s="28" t="s">
        <v>21</v>
      </c>
      <c r="O4692" s="92">
        <v>41500</v>
      </c>
      <c r="P4692" s="28" t="s">
        <v>21</v>
      </c>
      <c r="Q4692" s="26" t="b">
        <v>0</v>
      </c>
      <c r="R4692" s="22">
        <f t="shared" si="75"/>
        <v>258</v>
      </c>
    </row>
    <row r="4693" spans="1:18">
      <c r="A4693" s="26">
        <v>9969</v>
      </c>
      <c r="B4693" s="27">
        <v>41242</v>
      </c>
      <c r="C4693" s="28" t="s">
        <v>15062</v>
      </c>
      <c r="D4693" s="27">
        <v>41236</v>
      </c>
      <c r="E4693" s="28" t="s">
        <v>15063</v>
      </c>
      <c r="F4693" s="28" t="s">
        <v>124</v>
      </c>
      <c r="G4693" s="28" t="s">
        <v>20</v>
      </c>
      <c r="H4693" s="28" t="s">
        <v>71</v>
      </c>
      <c r="I4693" s="28" t="s">
        <v>72</v>
      </c>
      <c r="J4693" s="28" t="s">
        <v>825</v>
      </c>
      <c r="K4693" s="28" t="s">
        <v>6081</v>
      </c>
      <c r="L4693" s="28" t="s">
        <v>3588</v>
      </c>
      <c r="M4693" s="28" t="s">
        <v>21</v>
      </c>
      <c r="O4693" s="92">
        <v>41254</v>
      </c>
      <c r="P4693" s="28" t="s">
        <v>21</v>
      </c>
      <c r="Q4693" s="26" t="b">
        <v>0</v>
      </c>
      <c r="R4693" s="22">
        <f t="shared" si="75"/>
        <v>12</v>
      </c>
    </row>
    <row r="4694" spans="1:18" ht="24">
      <c r="A4694" s="26">
        <v>9973</v>
      </c>
      <c r="B4694" s="27">
        <v>41246</v>
      </c>
      <c r="C4694" s="28" t="s">
        <v>15064</v>
      </c>
      <c r="D4694" s="27">
        <v>41243</v>
      </c>
      <c r="E4694" s="28" t="s">
        <v>15065</v>
      </c>
      <c r="F4694" s="28" t="s">
        <v>39</v>
      </c>
      <c r="G4694" s="28" t="s">
        <v>20</v>
      </c>
      <c r="H4694" s="28" t="s">
        <v>71</v>
      </c>
      <c r="I4694" s="28" t="s">
        <v>72</v>
      </c>
      <c r="J4694" s="28" t="s">
        <v>15066</v>
      </c>
      <c r="K4694" s="28" t="s">
        <v>15067</v>
      </c>
      <c r="L4694" s="28" t="s">
        <v>7167</v>
      </c>
      <c r="M4694" s="28" t="s">
        <v>21</v>
      </c>
      <c r="O4694" s="92">
        <v>42044</v>
      </c>
      <c r="P4694" s="28" t="s">
        <v>21</v>
      </c>
      <c r="Q4694" s="26" t="b">
        <v>0</v>
      </c>
      <c r="R4694" s="22">
        <f t="shared" si="75"/>
        <v>796</v>
      </c>
    </row>
    <row r="4695" spans="1:18">
      <c r="A4695" s="26">
        <v>9974</v>
      </c>
      <c r="B4695" s="27">
        <v>41246</v>
      </c>
      <c r="C4695" s="28" t="s">
        <v>15068</v>
      </c>
      <c r="D4695" s="27">
        <v>41246</v>
      </c>
      <c r="E4695" s="28" t="s">
        <v>15069</v>
      </c>
      <c r="F4695" s="28" t="s">
        <v>3430</v>
      </c>
      <c r="G4695" s="28" t="s">
        <v>20</v>
      </c>
      <c r="H4695" s="28" t="s">
        <v>71</v>
      </c>
      <c r="I4695" s="28" t="s">
        <v>72</v>
      </c>
      <c r="J4695" s="28" t="s">
        <v>13507</v>
      </c>
      <c r="K4695" s="28" t="s">
        <v>21</v>
      </c>
      <c r="L4695" s="28" t="s">
        <v>4282</v>
      </c>
      <c r="M4695" s="28" t="s">
        <v>21</v>
      </c>
      <c r="O4695" s="92">
        <v>42152</v>
      </c>
      <c r="P4695" s="28" t="s">
        <v>21</v>
      </c>
      <c r="Q4695" s="26" t="b">
        <v>0</v>
      </c>
      <c r="R4695" s="22">
        <f t="shared" si="75"/>
        <v>907</v>
      </c>
    </row>
    <row r="4696" spans="1:18">
      <c r="A4696" s="26">
        <v>9977</v>
      </c>
      <c r="B4696" s="27">
        <v>41247</v>
      </c>
      <c r="C4696" s="28" t="s">
        <v>15070</v>
      </c>
      <c r="D4696" s="27">
        <v>41247</v>
      </c>
      <c r="E4696" s="28" t="s">
        <v>15071</v>
      </c>
      <c r="F4696" s="28" t="s">
        <v>1537</v>
      </c>
      <c r="G4696" s="28" t="s">
        <v>20</v>
      </c>
      <c r="H4696" s="28" t="s">
        <v>71</v>
      </c>
      <c r="I4696" s="28" t="s">
        <v>72</v>
      </c>
      <c r="J4696" s="28" t="s">
        <v>15072</v>
      </c>
      <c r="K4696" s="28" t="s">
        <v>21</v>
      </c>
      <c r="L4696" s="28" t="s">
        <v>1946</v>
      </c>
      <c r="M4696" s="28" t="s">
        <v>21</v>
      </c>
      <c r="O4696" s="92">
        <v>41299</v>
      </c>
      <c r="P4696" s="28" t="s">
        <v>21</v>
      </c>
      <c r="Q4696" s="26" t="b">
        <v>0</v>
      </c>
      <c r="R4696" s="22">
        <f t="shared" si="75"/>
        <v>51</v>
      </c>
    </row>
    <row r="4697" spans="1:18">
      <c r="A4697" s="26">
        <v>9978</v>
      </c>
      <c r="B4697" s="27">
        <v>41247</v>
      </c>
      <c r="C4697" s="28" t="s">
        <v>15073</v>
      </c>
      <c r="D4697" s="27">
        <v>41247</v>
      </c>
      <c r="E4697" s="28" t="s">
        <v>15074</v>
      </c>
      <c r="F4697" s="28" t="s">
        <v>15075</v>
      </c>
      <c r="G4697" s="28" t="s">
        <v>20</v>
      </c>
      <c r="H4697" s="28" t="s">
        <v>71</v>
      </c>
      <c r="I4697" s="28" t="s">
        <v>72</v>
      </c>
      <c r="J4697" s="28" t="s">
        <v>15076</v>
      </c>
      <c r="K4697" s="28" t="s">
        <v>21</v>
      </c>
      <c r="L4697" s="28" t="s">
        <v>1946</v>
      </c>
      <c r="M4697" s="28" t="s">
        <v>21</v>
      </c>
      <c r="O4697" s="92">
        <v>42178</v>
      </c>
      <c r="P4697" s="28" t="s">
        <v>21</v>
      </c>
      <c r="Q4697" s="26" t="b">
        <v>0</v>
      </c>
      <c r="R4697" s="22">
        <f t="shared" ref="R4697:R4760" si="76">IF(O4697=" ", " ", INT(YEARFRAC(O4697, B4697)*365))</f>
        <v>931</v>
      </c>
    </row>
    <row r="4698" spans="1:18">
      <c r="A4698" s="26">
        <v>9979</v>
      </c>
      <c r="B4698" s="27">
        <v>41253</v>
      </c>
      <c r="C4698" s="28" t="s">
        <v>15077</v>
      </c>
      <c r="D4698" s="27">
        <v>41249</v>
      </c>
      <c r="E4698" s="28" t="s">
        <v>15078</v>
      </c>
      <c r="F4698" s="28" t="s">
        <v>27</v>
      </c>
      <c r="G4698" s="28" t="s">
        <v>20</v>
      </c>
      <c r="H4698" s="28" t="s">
        <v>71</v>
      </c>
      <c r="I4698" s="28" t="s">
        <v>72</v>
      </c>
      <c r="J4698" s="28" t="s">
        <v>15079</v>
      </c>
      <c r="K4698" s="28" t="s">
        <v>15080</v>
      </c>
      <c r="L4698" s="28" t="s">
        <v>3588</v>
      </c>
      <c r="M4698" s="28" t="s">
        <v>13656</v>
      </c>
      <c r="O4698" s="92">
        <v>41306</v>
      </c>
      <c r="P4698" s="28" t="s">
        <v>21</v>
      </c>
      <c r="Q4698" s="26" t="b">
        <v>0</v>
      </c>
      <c r="R4698" s="22">
        <f t="shared" si="76"/>
        <v>51</v>
      </c>
    </row>
    <row r="4699" spans="1:18">
      <c r="A4699" s="26">
        <v>9980</v>
      </c>
      <c r="B4699" s="27">
        <v>41253</v>
      </c>
      <c r="C4699" s="28" t="s">
        <v>15081</v>
      </c>
      <c r="D4699" s="27">
        <v>41248</v>
      </c>
      <c r="E4699" s="28" t="s">
        <v>15082</v>
      </c>
      <c r="F4699" s="28" t="s">
        <v>14336</v>
      </c>
      <c r="G4699" s="28" t="s">
        <v>20</v>
      </c>
      <c r="H4699" s="28" t="s">
        <v>71</v>
      </c>
      <c r="I4699" s="28" t="s">
        <v>72</v>
      </c>
      <c r="J4699" s="28" t="s">
        <v>1639</v>
      </c>
      <c r="K4699" s="28" t="s">
        <v>15083</v>
      </c>
      <c r="L4699" s="28" t="s">
        <v>1946</v>
      </c>
      <c r="M4699" s="28" t="s">
        <v>21</v>
      </c>
      <c r="O4699" s="92">
        <v>41803</v>
      </c>
      <c r="P4699" s="28" t="s">
        <v>21</v>
      </c>
      <c r="Q4699" s="26" t="b">
        <v>0</v>
      </c>
      <c r="R4699" s="22">
        <f t="shared" si="76"/>
        <v>550</v>
      </c>
    </row>
    <row r="4700" spans="1:18">
      <c r="A4700" s="26">
        <v>9981</v>
      </c>
      <c r="B4700" s="27">
        <v>41253</v>
      </c>
      <c r="C4700" s="28" t="s">
        <v>15084</v>
      </c>
      <c r="D4700" s="27">
        <v>41250</v>
      </c>
      <c r="E4700" s="28" t="s">
        <v>15085</v>
      </c>
      <c r="F4700" s="28" t="s">
        <v>14990</v>
      </c>
      <c r="G4700" s="28" t="s">
        <v>20</v>
      </c>
      <c r="H4700" s="28" t="s">
        <v>71</v>
      </c>
      <c r="I4700" s="28" t="s">
        <v>72</v>
      </c>
      <c r="J4700" s="28" t="s">
        <v>15086</v>
      </c>
      <c r="K4700" s="28" t="s">
        <v>7497</v>
      </c>
      <c r="L4700" s="28" t="s">
        <v>1946</v>
      </c>
      <c r="M4700" s="28" t="s">
        <v>21</v>
      </c>
      <c r="O4700" s="92">
        <v>41578</v>
      </c>
      <c r="P4700" s="28" t="s">
        <v>21</v>
      </c>
      <c r="Q4700" s="26" t="b">
        <v>0</v>
      </c>
      <c r="R4700" s="22">
        <f t="shared" si="76"/>
        <v>325</v>
      </c>
    </row>
    <row r="4701" spans="1:18" ht="24">
      <c r="A4701" s="26">
        <v>9982</v>
      </c>
      <c r="B4701" s="27">
        <v>41255</v>
      </c>
      <c r="C4701" s="28" t="s">
        <v>15087</v>
      </c>
      <c r="D4701" s="27">
        <v>41254</v>
      </c>
      <c r="E4701" s="28" t="s">
        <v>15088</v>
      </c>
      <c r="F4701" s="28" t="s">
        <v>4596</v>
      </c>
      <c r="G4701" s="28" t="s">
        <v>20</v>
      </c>
      <c r="H4701" s="28" t="s">
        <v>71</v>
      </c>
      <c r="I4701" s="28" t="s">
        <v>72</v>
      </c>
      <c r="J4701" s="28" t="s">
        <v>15089</v>
      </c>
      <c r="K4701" s="28" t="s">
        <v>21</v>
      </c>
      <c r="L4701" s="28" t="s">
        <v>7167</v>
      </c>
      <c r="M4701" s="28" t="s">
        <v>21</v>
      </c>
      <c r="O4701" s="92">
        <v>41520</v>
      </c>
      <c r="P4701" s="28" t="s">
        <v>21</v>
      </c>
      <c r="Q4701" s="26" t="b">
        <v>0</v>
      </c>
      <c r="R4701" s="22">
        <f t="shared" si="76"/>
        <v>264</v>
      </c>
    </row>
    <row r="4702" spans="1:18">
      <c r="A4702" s="26">
        <v>9985</v>
      </c>
      <c r="B4702" s="27">
        <v>41261</v>
      </c>
      <c r="C4702" s="28" t="s">
        <v>15090</v>
      </c>
      <c r="D4702" s="27">
        <v>41261</v>
      </c>
      <c r="E4702" s="28" t="s">
        <v>38</v>
      </c>
      <c r="F4702" s="28" t="s">
        <v>14336</v>
      </c>
      <c r="G4702" s="28" t="s">
        <v>20</v>
      </c>
      <c r="H4702" s="28" t="s">
        <v>71</v>
      </c>
      <c r="I4702" s="28" t="s">
        <v>72</v>
      </c>
      <c r="J4702" s="28" t="s">
        <v>15091</v>
      </c>
      <c r="K4702" s="28" t="s">
        <v>15092</v>
      </c>
      <c r="L4702" s="28" t="s">
        <v>3588</v>
      </c>
      <c r="M4702" s="28" t="s">
        <v>21</v>
      </c>
      <c r="O4702" s="92">
        <v>41270</v>
      </c>
      <c r="P4702" s="28" t="s">
        <v>21</v>
      </c>
      <c r="Q4702" s="26" t="b">
        <v>0</v>
      </c>
      <c r="R4702" s="22">
        <f t="shared" si="76"/>
        <v>9</v>
      </c>
    </row>
    <row r="4703" spans="1:18">
      <c r="A4703" s="26">
        <v>9986</v>
      </c>
      <c r="B4703" s="27">
        <v>41261</v>
      </c>
      <c r="C4703" s="28" t="s">
        <v>15093</v>
      </c>
      <c r="D4703" s="27">
        <v>41261</v>
      </c>
      <c r="E4703" s="28" t="s">
        <v>38</v>
      </c>
      <c r="F4703" s="28" t="s">
        <v>15075</v>
      </c>
      <c r="G4703" s="28" t="s">
        <v>20</v>
      </c>
      <c r="H4703" s="28" t="s">
        <v>71</v>
      </c>
      <c r="I4703" s="28" t="s">
        <v>72</v>
      </c>
      <c r="J4703" s="28" t="s">
        <v>15091</v>
      </c>
      <c r="K4703" s="28" t="s">
        <v>15092</v>
      </c>
      <c r="L4703" s="28" t="s">
        <v>3588</v>
      </c>
      <c r="M4703" s="28" t="s">
        <v>21</v>
      </c>
      <c r="O4703" s="92">
        <v>41270</v>
      </c>
      <c r="P4703" s="28" t="s">
        <v>21</v>
      </c>
      <c r="Q4703" s="26" t="b">
        <v>0</v>
      </c>
      <c r="R4703" s="22">
        <f t="shared" si="76"/>
        <v>9</v>
      </c>
    </row>
    <row r="4704" spans="1:18">
      <c r="A4704" s="26">
        <v>9987</v>
      </c>
      <c r="B4704" s="27">
        <v>41264</v>
      </c>
      <c r="C4704" s="28" t="s">
        <v>15094</v>
      </c>
      <c r="D4704" s="27">
        <v>41260</v>
      </c>
      <c r="E4704" s="28" t="s">
        <v>11030</v>
      </c>
      <c r="F4704" s="28" t="s">
        <v>10079</v>
      </c>
      <c r="G4704" s="28" t="s">
        <v>20</v>
      </c>
      <c r="H4704" s="28" t="s">
        <v>71</v>
      </c>
      <c r="I4704" s="28" t="s">
        <v>72</v>
      </c>
      <c r="J4704" s="28" t="s">
        <v>15095</v>
      </c>
      <c r="K4704" s="28" t="s">
        <v>15096</v>
      </c>
      <c r="L4704" s="28" t="s">
        <v>4282</v>
      </c>
      <c r="M4704" s="28" t="s">
        <v>21</v>
      </c>
      <c r="O4704" s="92">
        <v>41620</v>
      </c>
      <c r="P4704" s="28" t="s">
        <v>21</v>
      </c>
      <c r="Q4704" s="26" t="b">
        <v>0</v>
      </c>
      <c r="R4704" s="22">
        <f t="shared" si="76"/>
        <v>355</v>
      </c>
    </row>
    <row r="4705" spans="1:18">
      <c r="A4705" s="26">
        <v>9990</v>
      </c>
      <c r="B4705" s="27">
        <v>41264</v>
      </c>
      <c r="C4705" s="28" t="s">
        <v>15097</v>
      </c>
      <c r="D4705" s="27">
        <v>41263</v>
      </c>
      <c r="E4705" s="28" t="s">
        <v>15098</v>
      </c>
      <c r="F4705" s="28" t="s">
        <v>1939</v>
      </c>
      <c r="G4705" s="28" t="s">
        <v>20</v>
      </c>
      <c r="H4705" s="28" t="s">
        <v>71</v>
      </c>
      <c r="I4705" s="28" t="s">
        <v>72</v>
      </c>
      <c r="J4705" s="28" t="s">
        <v>15099</v>
      </c>
      <c r="K4705" s="28" t="s">
        <v>15100</v>
      </c>
      <c r="L4705" s="28" t="s">
        <v>1946</v>
      </c>
      <c r="M4705" s="28" t="s">
        <v>7167</v>
      </c>
      <c r="O4705" s="92">
        <v>42215</v>
      </c>
      <c r="P4705" s="28" t="s">
        <v>21</v>
      </c>
      <c r="Q4705" s="26" t="b">
        <v>0</v>
      </c>
      <c r="R4705" s="22">
        <f t="shared" si="76"/>
        <v>952</v>
      </c>
    </row>
    <row r="4706" spans="1:18" ht="24">
      <c r="A4706" s="26">
        <v>9991</v>
      </c>
      <c r="B4706" s="27">
        <v>41269</v>
      </c>
      <c r="C4706" s="28" t="s">
        <v>15101</v>
      </c>
      <c r="D4706" s="27">
        <v>41263</v>
      </c>
      <c r="E4706" s="28" t="s">
        <v>15102</v>
      </c>
      <c r="F4706" s="28" t="s">
        <v>70</v>
      </c>
      <c r="G4706" s="28" t="s">
        <v>20</v>
      </c>
      <c r="H4706" s="28" t="s">
        <v>71</v>
      </c>
      <c r="I4706" s="28" t="s">
        <v>72</v>
      </c>
      <c r="J4706" s="28" t="s">
        <v>15103</v>
      </c>
      <c r="K4706" s="28" t="s">
        <v>15104</v>
      </c>
      <c r="L4706" s="28" t="s">
        <v>14518</v>
      </c>
      <c r="M4706" s="28" t="s">
        <v>14427</v>
      </c>
      <c r="O4706" s="92">
        <v>42151</v>
      </c>
      <c r="P4706" s="28" t="s">
        <v>21</v>
      </c>
      <c r="Q4706" s="26" t="b">
        <v>0</v>
      </c>
      <c r="R4706" s="22">
        <f t="shared" si="76"/>
        <v>883</v>
      </c>
    </row>
    <row r="4707" spans="1:18">
      <c r="A4707" s="26">
        <v>9993</v>
      </c>
      <c r="B4707" s="27">
        <v>41274</v>
      </c>
      <c r="C4707" s="28" t="s">
        <v>15105</v>
      </c>
      <c r="D4707" s="27">
        <v>41270</v>
      </c>
      <c r="E4707" s="28" t="s">
        <v>38</v>
      </c>
      <c r="F4707" s="28" t="s">
        <v>9937</v>
      </c>
      <c r="G4707" s="28" t="s">
        <v>20</v>
      </c>
      <c r="H4707" s="28" t="s">
        <v>71</v>
      </c>
      <c r="I4707" s="28" t="s">
        <v>72</v>
      </c>
      <c r="J4707" s="28" t="s">
        <v>15106</v>
      </c>
      <c r="K4707" s="28" t="s">
        <v>15107</v>
      </c>
      <c r="L4707" s="28" t="s">
        <v>3588</v>
      </c>
      <c r="M4707" s="28" t="s">
        <v>21</v>
      </c>
      <c r="O4707" s="92">
        <v>41331</v>
      </c>
      <c r="P4707" s="28" t="s">
        <v>21</v>
      </c>
      <c r="Q4707" s="26" t="b">
        <v>0</v>
      </c>
      <c r="R4707" s="22">
        <f t="shared" si="76"/>
        <v>56</v>
      </c>
    </row>
    <row r="4708" spans="1:18">
      <c r="A4708" s="26">
        <v>9994</v>
      </c>
      <c r="B4708" s="27">
        <v>41274</v>
      </c>
      <c r="C4708" s="28" t="s">
        <v>15108</v>
      </c>
      <c r="D4708" s="27">
        <v>41269</v>
      </c>
      <c r="E4708" s="28" t="s">
        <v>38</v>
      </c>
      <c r="F4708" s="28" t="s">
        <v>13963</v>
      </c>
      <c r="G4708" s="28" t="s">
        <v>20</v>
      </c>
      <c r="H4708" s="28" t="s">
        <v>71</v>
      </c>
      <c r="I4708" s="28" t="s">
        <v>72</v>
      </c>
      <c r="J4708" s="28" t="s">
        <v>15109</v>
      </c>
      <c r="K4708" s="28" t="s">
        <v>15110</v>
      </c>
      <c r="L4708" s="28" t="s">
        <v>3588</v>
      </c>
      <c r="M4708" s="28" t="s">
        <v>21</v>
      </c>
      <c r="O4708" s="92">
        <v>41285</v>
      </c>
      <c r="P4708" s="28" t="s">
        <v>21</v>
      </c>
      <c r="Q4708" s="26" t="b">
        <v>0</v>
      </c>
      <c r="R4708" s="22">
        <f t="shared" si="76"/>
        <v>11</v>
      </c>
    </row>
    <row r="4709" spans="1:18">
      <c r="A4709" s="26">
        <v>9999</v>
      </c>
      <c r="B4709" s="27">
        <v>41281</v>
      </c>
      <c r="C4709" s="28" t="s">
        <v>15111</v>
      </c>
      <c r="D4709" s="27">
        <v>41273</v>
      </c>
      <c r="E4709" s="28" t="s">
        <v>15112</v>
      </c>
      <c r="F4709" s="28" t="s">
        <v>12255</v>
      </c>
      <c r="G4709" s="28" t="s">
        <v>20</v>
      </c>
      <c r="H4709" s="28" t="s">
        <v>212</v>
      </c>
      <c r="I4709" s="28" t="s">
        <v>212</v>
      </c>
      <c r="J4709" s="28" t="s">
        <v>15113</v>
      </c>
      <c r="K4709" s="28" t="s">
        <v>15114</v>
      </c>
      <c r="L4709" s="28" t="s">
        <v>7167</v>
      </c>
      <c r="M4709" s="28" t="s">
        <v>21</v>
      </c>
      <c r="O4709" s="92">
        <v>41303</v>
      </c>
      <c r="P4709" s="28" t="s">
        <v>21</v>
      </c>
      <c r="Q4709" s="26" t="b">
        <v>0</v>
      </c>
      <c r="R4709" s="22">
        <f t="shared" si="76"/>
        <v>22</v>
      </c>
    </row>
    <row r="4710" spans="1:18">
      <c r="A4710" s="26">
        <v>10000</v>
      </c>
      <c r="B4710" s="27">
        <v>41281</v>
      </c>
      <c r="C4710" s="28" t="s">
        <v>15115</v>
      </c>
      <c r="D4710" s="27">
        <v>41264</v>
      </c>
      <c r="E4710" s="28" t="s">
        <v>38</v>
      </c>
      <c r="F4710" s="28" t="s">
        <v>27</v>
      </c>
      <c r="G4710" s="28" t="s">
        <v>20</v>
      </c>
      <c r="H4710" s="28" t="s">
        <v>71</v>
      </c>
      <c r="I4710" s="28" t="s">
        <v>72</v>
      </c>
      <c r="J4710" s="28" t="s">
        <v>15116</v>
      </c>
      <c r="K4710" s="28" t="s">
        <v>13525</v>
      </c>
      <c r="L4710" s="28" t="s">
        <v>3588</v>
      </c>
      <c r="M4710" s="28" t="s">
        <v>21</v>
      </c>
      <c r="O4710" s="92">
        <v>41282</v>
      </c>
      <c r="P4710" s="28" t="s">
        <v>21</v>
      </c>
      <c r="Q4710" s="26" t="b">
        <v>0</v>
      </c>
      <c r="R4710" s="22">
        <f t="shared" si="76"/>
        <v>1</v>
      </c>
    </row>
    <row r="4711" spans="1:18">
      <c r="A4711" s="26">
        <v>10001</v>
      </c>
      <c r="B4711" s="27">
        <v>41282</v>
      </c>
      <c r="C4711" s="28" t="s">
        <v>15117</v>
      </c>
      <c r="D4711" s="27">
        <v>41277</v>
      </c>
      <c r="E4711" s="28" t="s">
        <v>38</v>
      </c>
      <c r="F4711" s="28" t="s">
        <v>27</v>
      </c>
      <c r="G4711" s="28" t="s">
        <v>20</v>
      </c>
      <c r="H4711" s="28" t="s">
        <v>71</v>
      </c>
      <c r="I4711" s="28" t="s">
        <v>72</v>
      </c>
      <c r="J4711" s="28" t="s">
        <v>15118</v>
      </c>
      <c r="K4711" s="28" t="s">
        <v>21</v>
      </c>
      <c r="L4711" s="28" t="s">
        <v>3588</v>
      </c>
      <c r="M4711" s="28" t="s">
        <v>21</v>
      </c>
      <c r="O4711" s="94">
        <v>41283</v>
      </c>
      <c r="P4711" s="28" t="s">
        <v>21</v>
      </c>
      <c r="Q4711" s="26" t="b">
        <v>0</v>
      </c>
      <c r="R4711" s="22">
        <f t="shared" si="76"/>
        <v>1</v>
      </c>
    </row>
    <row r="4712" spans="1:18">
      <c r="A4712" s="26">
        <v>10003</v>
      </c>
      <c r="B4712" s="27">
        <v>41282</v>
      </c>
      <c r="C4712" s="28" t="s">
        <v>15119</v>
      </c>
      <c r="D4712" s="27">
        <v>41614</v>
      </c>
      <c r="E4712" s="28" t="s">
        <v>15120</v>
      </c>
      <c r="F4712" s="28" t="s">
        <v>13960</v>
      </c>
      <c r="G4712" s="28" t="s">
        <v>20</v>
      </c>
      <c r="H4712" s="28" t="s">
        <v>71</v>
      </c>
      <c r="I4712" s="28" t="s">
        <v>72</v>
      </c>
      <c r="J4712" s="28" t="s">
        <v>15121</v>
      </c>
      <c r="K4712" s="28" t="s">
        <v>15122</v>
      </c>
      <c r="L4712" s="28" t="s">
        <v>3588</v>
      </c>
      <c r="M4712" s="28" t="s">
        <v>21</v>
      </c>
      <c r="O4712" s="92">
        <v>41305</v>
      </c>
      <c r="P4712" s="28" t="s">
        <v>21</v>
      </c>
      <c r="Q4712" s="26" t="b">
        <v>0</v>
      </c>
      <c r="R4712" s="22">
        <f t="shared" si="76"/>
        <v>23</v>
      </c>
    </row>
    <row r="4713" spans="1:18">
      <c r="A4713" s="26">
        <v>10004</v>
      </c>
      <c r="B4713" s="27">
        <v>41283</v>
      </c>
      <c r="C4713" s="28" t="s">
        <v>15123</v>
      </c>
      <c r="D4713" s="27">
        <v>41283</v>
      </c>
      <c r="E4713" s="28" t="s">
        <v>38</v>
      </c>
      <c r="F4713" s="28" t="s">
        <v>12660</v>
      </c>
      <c r="G4713" s="28" t="s">
        <v>20</v>
      </c>
      <c r="H4713" s="28" t="s">
        <v>71</v>
      </c>
      <c r="I4713" s="28" t="s">
        <v>72</v>
      </c>
      <c r="J4713" s="28" t="s">
        <v>15124</v>
      </c>
      <c r="K4713" s="28" t="s">
        <v>15125</v>
      </c>
      <c r="L4713" s="28" t="s">
        <v>7167</v>
      </c>
      <c r="M4713" s="28" t="s">
        <v>21</v>
      </c>
      <c r="O4713" s="92">
        <v>41288</v>
      </c>
      <c r="P4713" s="28" t="s">
        <v>21</v>
      </c>
      <c r="Q4713" s="26" t="b">
        <v>0</v>
      </c>
      <c r="R4713" s="22">
        <f t="shared" si="76"/>
        <v>5</v>
      </c>
    </row>
    <row r="4714" spans="1:18">
      <c r="A4714" s="26">
        <v>10005</v>
      </c>
      <c r="B4714" s="27">
        <v>41288</v>
      </c>
      <c r="C4714" s="28" t="s">
        <v>15126</v>
      </c>
      <c r="D4714" s="27">
        <v>41285</v>
      </c>
      <c r="E4714" s="28" t="s">
        <v>15127</v>
      </c>
      <c r="F4714" s="28" t="s">
        <v>1232</v>
      </c>
      <c r="G4714" s="28" t="s">
        <v>20</v>
      </c>
      <c r="H4714" s="28" t="s">
        <v>189</v>
      </c>
      <c r="I4714" s="28" t="s">
        <v>189</v>
      </c>
      <c r="J4714" s="28" t="s">
        <v>15128</v>
      </c>
      <c r="K4714" s="28" t="s">
        <v>15129</v>
      </c>
      <c r="L4714" s="28" t="s">
        <v>4282</v>
      </c>
      <c r="M4714" s="28" t="s">
        <v>21</v>
      </c>
      <c r="O4714" s="92">
        <v>41291</v>
      </c>
      <c r="P4714" s="28" t="s">
        <v>21</v>
      </c>
      <c r="Q4714" s="26" t="b">
        <v>0</v>
      </c>
      <c r="R4714" s="22">
        <f t="shared" si="76"/>
        <v>3</v>
      </c>
    </row>
    <row r="4715" spans="1:18">
      <c r="A4715" s="26">
        <v>10009</v>
      </c>
      <c r="B4715" s="27">
        <v>41297</v>
      </c>
      <c r="C4715" s="28" t="s">
        <v>15130</v>
      </c>
      <c r="D4715" s="27">
        <v>41291</v>
      </c>
      <c r="E4715" s="28" t="s">
        <v>15131</v>
      </c>
      <c r="F4715" s="28" t="s">
        <v>52</v>
      </c>
      <c r="G4715" s="28" t="s">
        <v>20</v>
      </c>
      <c r="H4715" s="28" t="s">
        <v>71</v>
      </c>
      <c r="I4715" s="28" t="s">
        <v>72</v>
      </c>
      <c r="J4715" s="28" t="s">
        <v>15132</v>
      </c>
      <c r="K4715" s="28" t="s">
        <v>15133</v>
      </c>
      <c r="L4715" s="28" t="s">
        <v>7167</v>
      </c>
      <c r="M4715" s="28" t="s">
        <v>21</v>
      </c>
      <c r="O4715" s="92">
        <v>41313</v>
      </c>
      <c r="P4715" s="28" t="s">
        <v>21</v>
      </c>
      <c r="Q4715" s="26" t="b">
        <v>0</v>
      </c>
      <c r="R4715" s="22">
        <f t="shared" si="76"/>
        <v>15</v>
      </c>
    </row>
    <row r="4716" spans="1:18" ht="24">
      <c r="A4716" s="26">
        <v>10010</v>
      </c>
      <c r="B4716" s="27">
        <v>41297</v>
      </c>
      <c r="C4716" s="28" t="s">
        <v>15134</v>
      </c>
      <c r="D4716" s="27">
        <v>41297</v>
      </c>
      <c r="E4716" s="28" t="s">
        <v>15120</v>
      </c>
      <c r="F4716" s="28" t="s">
        <v>124</v>
      </c>
      <c r="G4716" s="28" t="s">
        <v>20</v>
      </c>
      <c r="H4716" s="28" t="s">
        <v>71</v>
      </c>
      <c r="I4716" s="28" t="s">
        <v>72</v>
      </c>
      <c r="J4716" s="28" t="s">
        <v>15135</v>
      </c>
      <c r="K4716" s="28" t="s">
        <v>21</v>
      </c>
      <c r="L4716" s="28" t="s">
        <v>1946</v>
      </c>
      <c r="M4716" s="28" t="s">
        <v>21</v>
      </c>
      <c r="O4716" s="94">
        <v>41320</v>
      </c>
      <c r="P4716" s="28" t="s">
        <v>21</v>
      </c>
      <c r="Q4716" s="26" t="b">
        <v>0</v>
      </c>
      <c r="R4716" s="22">
        <f t="shared" si="76"/>
        <v>22</v>
      </c>
    </row>
    <row r="4717" spans="1:18" ht="24">
      <c r="A4717" s="26">
        <v>10011</v>
      </c>
      <c r="B4717" s="27">
        <v>41299</v>
      </c>
      <c r="C4717" s="28" t="s">
        <v>15136</v>
      </c>
      <c r="D4717" s="27">
        <v>41298</v>
      </c>
      <c r="E4717" s="28" t="s">
        <v>15137</v>
      </c>
      <c r="F4717" s="28" t="s">
        <v>689</v>
      </c>
      <c r="G4717" s="28" t="s">
        <v>20</v>
      </c>
      <c r="H4717" s="28" t="s">
        <v>212</v>
      </c>
      <c r="I4717" s="28" t="s">
        <v>212</v>
      </c>
      <c r="J4717" s="28" t="s">
        <v>15138</v>
      </c>
      <c r="K4717" s="28" t="s">
        <v>21</v>
      </c>
      <c r="L4717" s="28" t="s">
        <v>14518</v>
      </c>
      <c r="M4717" s="28" t="s">
        <v>14882</v>
      </c>
      <c r="O4717" s="92">
        <v>42116</v>
      </c>
      <c r="P4717" s="28" t="s">
        <v>21</v>
      </c>
      <c r="Q4717" s="26" t="b">
        <v>0</v>
      </c>
      <c r="R4717" s="22">
        <f t="shared" si="76"/>
        <v>818</v>
      </c>
    </row>
    <row r="4718" spans="1:18">
      <c r="A4718" s="26">
        <v>10013</v>
      </c>
      <c r="B4718" s="27">
        <v>41303</v>
      </c>
      <c r="C4718" s="28" t="s">
        <v>15139</v>
      </c>
      <c r="D4718" s="27">
        <v>41218</v>
      </c>
      <c r="E4718" s="28" t="s">
        <v>38</v>
      </c>
      <c r="F4718" s="28" t="s">
        <v>14336</v>
      </c>
      <c r="G4718" s="28" t="s">
        <v>20</v>
      </c>
      <c r="H4718" s="28" t="s">
        <v>71</v>
      </c>
      <c r="I4718" s="28" t="s">
        <v>72</v>
      </c>
      <c r="J4718" s="28" t="s">
        <v>15140</v>
      </c>
      <c r="K4718" s="28" t="s">
        <v>14690</v>
      </c>
      <c r="L4718" s="28" t="s">
        <v>3588</v>
      </c>
      <c r="M4718" s="28" t="s">
        <v>21</v>
      </c>
      <c r="O4718" s="92">
        <v>41304</v>
      </c>
      <c r="P4718" s="28" t="s">
        <v>21</v>
      </c>
      <c r="Q4718" s="26" t="b">
        <v>0</v>
      </c>
      <c r="R4718" s="22">
        <f t="shared" si="76"/>
        <v>1</v>
      </c>
    </row>
    <row r="4719" spans="1:18" ht="32">
      <c r="A4719" s="33">
        <v>10014</v>
      </c>
      <c r="B4719" s="34">
        <v>41304</v>
      </c>
      <c r="C4719" s="35" t="s">
        <v>17626</v>
      </c>
      <c r="D4719" s="34">
        <v>41296</v>
      </c>
      <c r="E4719" s="35" t="s">
        <v>15141</v>
      </c>
      <c r="F4719" s="35" t="s">
        <v>228</v>
      </c>
      <c r="G4719" s="35" t="s">
        <v>20</v>
      </c>
      <c r="H4719" s="35" t="s">
        <v>71</v>
      </c>
      <c r="I4719" s="35" t="s">
        <v>72</v>
      </c>
      <c r="J4719" s="35" t="s">
        <v>15142</v>
      </c>
      <c r="K4719" s="35" t="s">
        <v>15143</v>
      </c>
      <c r="L4719" s="35" t="s">
        <v>14518</v>
      </c>
      <c r="M4719" s="35" t="s">
        <v>14882</v>
      </c>
      <c r="N4719" s="36"/>
      <c r="O4719" s="96">
        <v>42489</v>
      </c>
      <c r="P4719" s="35" t="s">
        <v>21</v>
      </c>
      <c r="Q4719" s="33" t="b">
        <v>0</v>
      </c>
      <c r="R4719" s="22">
        <f t="shared" si="76"/>
        <v>1185</v>
      </c>
    </row>
    <row r="4720" spans="1:18">
      <c r="A4720" s="26">
        <v>10015</v>
      </c>
      <c r="B4720" s="27">
        <v>41305</v>
      </c>
      <c r="C4720" s="28" t="s">
        <v>15144</v>
      </c>
      <c r="D4720" s="27">
        <v>41304</v>
      </c>
      <c r="E4720" s="28" t="s">
        <v>15145</v>
      </c>
      <c r="F4720" s="28" t="s">
        <v>6580</v>
      </c>
      <c r="G4720" s="28" t="s">
        <v>20</v>
      </c>
      <c r="H4720" s="28" t="s">
        <v>71</v>
      </c>
      <c r="I4720" s="28" t="s">
        <v>72</v>
      </c>
      <c r="J4720" s="28" t="s">
        <v>15146</v>
      </c>
      <c r="K4720" s="28" t="s">
        <v>21</v>
      </c>
      <c r="L4720" s="28" t="s">
        <v>3588</v>
      </c>
      <c r="M4720" s="28" t="s">
        <v>21</v>
      </c>
      <c r="O4720" s="92">
        <v>41331</v>
      </c>
      <c r="P4720" s="28" t="s">
        <v>21</v>
      </c>
      <c r="Q4720" s="26" t="b">
        <v>0</v>
      </c>
      <c r="R4720" s="22">
        <f t="shared" si="76"/>
        <v>26</v>
      </c>
    </row>
    <row r="4721" spans="1:18" ht="36">
      <c r="A4721" s="26">
        <v>10016</v>
      </c>
      <c r="B4721" s="27">
        <v>41306</v>
      </c>
      <c r="C4721" s="28" t="s">
        <v>15147</v>
      </c>
      <c r="D4721" s="27">
        <v>41305</v>
      </c>
      <c r="E4721" s="28" t="s">
        <v>15148</v>
      </c>
      <c r="F4721" s="28" t="s">
        <v>367</v>
      </c>
      <c r="G4721" s="28" t="s">
        <v>20</v>
      </c>
      <c r="H4721" s="28" t="s">
        <v>71</v>
      </c>
      <c r="I4721" s="28" t="s">
        <v>72</v>
      </c>
      <c r="J4721" s="28" t="s">
        <v>15149</v>
      </c>
      <c r="K4721" s="28" t="s">
        <v>15150</v>
      </c>
      <c r="L4721" s="28" t="s">
        <v>14411</v>
      </c>
      <c r="M4721" s="28" t="s">
        <v>15151</v>
      </c>
      <c r="O4721" s="92">
        <v>42247</v>
      </c>
      <c r="P4721" s="28" t="s">
        <v>21</v>
      </c>
      <c r="Q4721" s="26" t="b">
        <v>0</v>
      </c>
      <c r="R4721" s="22">
        <f t="shared" si="76"/>
        <v>942</v>
      </c>
    </row>
    <row r="4722" spans="1:18">
      <c r="A4722" s="26">
        <v>10017</v>
      </c>
      <c r="B4722" s="27">
        <v>41311</v>
      </c>
      <c r="C4722" s="28" t="s">
        <v>15152</v>
      </c>
      <c r="D4722" s="27">
        <v>41304</v>
      </c>
      <c r="E4722" s="28" t="s">
        <v>38</v>
      </c>
      <c r="F4722" s="28" t="s">
        <v>3171</v>
      </c>
      <c r="G4722" s="28" t="s">
        <v>20</v>
      </c>
      <c r="H4722" s="28" t="s">
        <v>566</v>
      </c>
      <c r="I4722" s="28" t="s">
        <v>566</v>
      </c>
      <c r="J4722" s="28" t="s">
        <v>15153</v>
      </c>
      <c r="K4722" s="28" t="s">
        <v>15154</v>
      </c>
      <c r="L4722" s="28" t="s">
        <v>14909</v>
      </c>
      <c r="M4722" s="28" t="s">
        <v>4282</v>
      </c>
      <c r="O4722" s="92">
        <v>41890</v>
      </c>
      <c r="P4722" s="28" t="s">
        <v>21</v>
      </c>
      <c r="Q4722" s="26" t="b">
        <v>0</v>
      </c>
      <c r="R4722" s="22">
        <f t="shared" si="76"/>
        <v>579</v>
      </c>
    </row>
    <row r="4723" spans="1:18">
      <c r="A4723" s="26">
        <v>10018</v>
      </c>
      <c r="B4723" s="27">
        <v>41311</v>
      </c>
      <c r="C4723" s="28" t="s">
        <v>15155</v>
      </c>
      <c r="D4723" s="27">
        <v>41306</v>
      </c>
      <c r="E4723" s="28" t="s">
        <v>38</v>
      </c>
      <c r="F4723" s="28" t="s">
        <v>8522</v>
      </c>
      <c r="G4723" s="28" t="s">
        <v>20</v>
      </c>
      <c r="H4723" s="28" t="s">
        <v>189</v>
      </c>
      <c r="I4723" s="28" t="s">
        <v>189</v>
      </c>
      <c r="J4723" s="28" t="s">
        <v>15156</v>
      </c>
      <c r="K4723" s="28" t="s">
        <v>15157</v>
      </c>
      <c r="L4723" s="28" t="s">
        <v>3588</v>
      </c>
      <c r="M4723" s="28" t="s">
        <v>21</v>
      </c>
      <c r="O4723" s="92">
        <v>41333</v>
      </c>
      <c r="P4723" s="28" t="s">
        <v>21</v>
      </c>
      <c r="Q4723" s="26" t="b">
        <v>0</v>
      </c>
      <c r="R4723" s="22">
        <f t="shared" si="76"/>
        <v>22</v>
      </c>
    </row>
    <row r="4724" spans="1:18" ht="32">
      <c r="A4724" s="33">
        <v>10019</v>
      </c>
      <c r="B4724" s="34">
        <v>41316</v>
      </c>
      <c r="C4724" s="35" t="s">
        <v>17630</v>
      </c>
      <c r="D4724" s="34">
        <v>41313</v>
      </c>
      <c r="E4724" s="35" t="s">
        <v>15158</v>
      </c>
      <c r="F4724" s="35" t="s">
        <v>7020</v>
      </c>
      <c r="G4724" s="35" t="s">
        <v>20</v>
      </c>
      <c r="H4724" s="35" t="s">
        <v>189</v>
      </c>
      <c r="I4724" s="35" t="s">
        <v>189</v>
      </c>
      <c r="J4724" s="35" t="s">
        <v>15159</v>
      </c>
      <c r="K4724" s="35" t="s">
        <v>21</v>
      </c>
      <c r="L4724" s="35" t="s">
        <v>7167</v>
      </c>
      <c r="M4724" s="35" t="s">
        <v>21</v>
      </c>
      <c r="N4724" s="36"/>
      <c r="O4724" s="96">
        <v>42493</v>
      </c>
      <c r="P4724" s="35" t="s">
        <v>21</v>
      </c>
      <c r="Q4724" s="33" t="b">
        <v>0</v>
      </c>
      <c r="R4724" s="22">
        <f t="shared" si="76"/>
        <v>1178</v>
      </c>
    </row>
    <row r="4725" spans="1:18">
      <c r="A4725" s="26">
        <v>10023</v>
      </c>
      <c r="B4725" s="27">
        <v>41326</v>
      </c>
      <c r="C4725" s="28" t="s">
        <v>15160</v>
      </c>
      <c r="D4725" s="27">
        <v>41325</v>
      </c>
      <c r="E4725" s="28" t="s">
        <v>15161</v>
      </c>
      <c r="F4725" s="28" t="s">
        <v>3171</v>
      </c>
      <c r="G4725" s="28" t="s">
        <v>20</v>
      </c>
      <c r="H4725" s="28" t="s">
        <v>566</v>
      </c>
      <c r="I4725" s="28" t="s">
        <v>566</v>
      </c>
      <c r="J4725" s="28" t="s">
        <v>15162</v>
      </c>
      <c r="K4725" s="28" t="s">
        <v>15163</v>
      </c>
      <c r="L4725" s="28" t="s">
        <v>7167</v>
      </c>
      <c r="M4725" s="28" t="s">
        <v>21</v>
      </c>
      <c r="O4725" s="92">
        <v>42209</v>
      </c>
      <c r="P4725" s="28" t="s">
        <v>21</v>
      </c>
      <c r="Q4725" s="26" t="b">
        <v>0</v>
      </c>
      <c r="R4725" s="22">
        <f t="shared" si="76"/>
        <v>885</v>
      </c>
    </row>
    <row r="4726" spans="1:18" ht="24">
      <c r="A4726" s="26">
        <v>10025</v>
      </c>
      <c r="B4726" s="27">
        <v>41326</v>
      </c>
      <c r="C4726" s="28" t="s">
        <v>15164</v>
      </c>
      <c r="D4726" s="27">
        <v>41326</v>
      </c>
      <c r="E4726" s="28" t="s">
        <v>15165</v>
      </c>
      <c r="F4726" s="28" t="s">
        <v>14118</v>
      </c>
      <c r="G4726" s="28" t="s">
        <v>20</v>
      </c>
      <c r="H4726" s="28" t="s">
        <v>71</v>
      </c>
      <c r="I4726" s="28" t="s">
        <v>72</v>
      </c>
      <c r="J4726" s="28" t="s">
        <v>15166</v>
      </c>
      <c r="K4726" s="28" t="s">
        <v>21</v>
      </c>
      <c r="L4726" s="28" t="s">
        <v>4282</v>
      </c>
      <c r="M4726" s="28" t="s">
        <v>21</v>
      </c>
      <c r="O4726" s="92">
        <v>42184</v>
      </c>
      <c r="P4726" s="28" t="s">
        <v>21</v>
      </c>
      <c r="Q4726" s="26" t="b">
        <v>0</v>
      </c>
      <c r="R4726" s="22">
        <f t="shared" si="76"/>
        <v>859</v>
      </c>
    </row>
    <row r="4727" spans="1:18">
      <c r="A4727" s="26">
        <v>10026</v>
      </c>
      <c r="B4727" s="27">
        <v>41330</v>
      </c>
      <c r="C4727" s="28" t="s">
        <v>15167</v>
      </c>
      <c r="D4727" s="27">
        <v>41329</v>
      </c>
      <c r="E4727" s="28" t="s">
        <v>15168</v>
      </c>
      <c r="F4727" s="28" t="s">
        <v>52</v>
      </c>
      <c r="G4727" s="28" t="s">
        <v>20</v>
      </c>
      <c r="H4727" s="28" t="s">
        <v>71</v>
      </c>
      <c r="I4727" s="28" t="s">
        <v>72</v>
      </c>
      <c r="J4727" s="28" t="s">
        <v>15169</v>
      </c>
      <c r="K4727" s="28" t="s">
        <v>15170</v>
      </c>
      <c r="L4727" s="28" t="s">
        <v>3588</v>
      </c>
      <c r="M4727" s="28" t="s">
        <v>21</v>
      </c>
      <c r="O4727" s="92">
        <v>41388</v>
      </c>
      <c r="P4727" s="28" t="s">
        <v>21</v>
      </c>
      <c r="Q4727" s="26" t="b">
        <v>0</v>
      </c>
      <c r="R4727" s="22">
        <f t="shared" si="76"/>
        <v>59</v>
      </c>
    </row>
    <row r="4728" spans="1:18">
      <c r="A4728" s="26">
        <v>10028</v>
      </c>
      <c r="B4728" s="27">
        <v>41334</v>
      </c>
      <c r="C4728" s="28" t="s">
        <v>15171</v>
      </c>
      <c r="D4728" s="27">
        <v>41330</v>
      </c>
      <c r="E4728" s="28" t="s">
        <v>11030</v>
      </c>
      <c r="F4728" s="28" t="s">
        <v>85</v>
      </c>
      <c r="G4728" s="28" t="s">
        <v>20</v>
      </c>
      <c r="H4728" s="28" t="s">
        <v>71</v>
      </c>
      <c r="I4728" s="28" t="s">
        <v>72</v>
      </c>
      <c r="J4728" s="28" t="s">
        <v>15172</v>
      </c>
      <c r="K4728" s="28" t="s">
        <v>15173</v>
      </c>
      <c r="L4728" s="28" t="s">
        <v>7167</v>
      </c>
      <c r="M4728" s="28" t="s">
        <v>21</v>
      </c>
      <c r="O4728" s="92">
        <v>41341</v>
      </c>
      <c r="P4728" s="28" t="s">
        <v>21</v>
      </c>
      <c r="Q4728" s="26" t="b">
        <v>0</v>
      </c>
      <c r="R4728" s="22">
        <f t="shared" si="76"/>
        <v>7</v>
      </c>
    </row>
    <row r="4729" spans="1:18">
      <c r="A4729" s="26">
        <v>10029</v>
      </c>
      <c r="B4729" s="27">
        <v>41341</v>
      </c>
      <c r="C4729" s="28" t="s">
        <v>15174</v>
      </c>
      <c r="D4729" s="27">
        <v>41337</v>
      </c>
      <c r="E4729" s="28" t="s">
        <v>38</v>
      </c>
      <c r="F4729" s="28" t="s">
        <v>85</v>
      </c>
      <c r="G4729" s="28" t="s">
        <v>20</v>
      </c>
      <c r="H4729" s="28" t="s">
        <v>71</v>
      </c>
      <c r="I4729" s="28" t="s">
        <v>72</v>
      </c>
      <c r="J4729" s="28" t="s">
        <v>15172</v>
      </c>
      <c r="K4729" s="28" t="s">
        <v>15175</v>
      </c>
      <c r="L4729" s="28" t="s">
        <v>7167</v>
      </c>
      <c r="M4729" s="28" t="s">
        <v>21</v>
      </c>
      <c r="O4729" s="92">
        <v>41352</v>
      </c>
      <c r="P4729" s="28" t="s">
        <v>21</v>
      </c>
      <c r="Q4729" s="26" t="b">
        <v>0</v>
      </c>
      <c r="R4729" s="22">
        <f t="shared" si="76"/>
        <v>11</v>
      </c>
    </row>
    <row r="4730" spans="1:18">
      <c r="A4730" s="26">
        <v>10030</v>
      </c>
      <c r="B4730" s="27">
        <v>41341</v>
      </c>
      <c r="C4730" s="28" t="s">
        <v>15176</v>
      </c>
      <c r="D4730" s="27">
        <v>41339</v>
      </c>
      <c r="E4730" s="28" t="s">
        <v>15177</v>
      </c>
      <c r="F4730" s="28" t="s">
        <v>824</v>
      </c>
      <c r="G4730" s="28" t="s">
        <v>20</v>
      </c>
      <c r="H4730" s="28" t="s">
        <v>71</v>
      </c>
      <c r="I4730" s="28" t="s">
        <v>72</v>
      </c>
      <c r="J4730" s="28" t="s">
        <v>15178</v>
      </c>
      <c r="K4730" s="28" t="s">
        <v>6081</v>
      </c>
      <c r="L4730" s="28" t="s">
        <v>7167</v>
      </c>
      <c r="M4730" s="28" t="s">
        <v>21</v>
      </c>
      <c r="O4730" s="92">
        <v>41372</v>
      </c>
      <c r="P4730" s="28" t="s">
        <v>21</v>
      </c>
      <c r="Q4730" s="26" t="b">
        <v>0</v>
      </c>
      <c r="R4730" s="22">
        <f t="shared" si="76"/>
        <v>30</v>
      </c>
    </row>
    <row r="4731" spans="1:18">
      <c r="A4731" s="26">
        <v>10031</v>
      </c>
      <c r="B4731" s="27">
        <v>41346</v>
      </c>
      <c r="C4731" s="28" t="s">
        <v>15179</v>
      </c>
      <c r="D4731" s="27">
        <v>41339</v>
      </c>
      <c r="E4731" s="28" t="s">
        <v>15180</v>
      </c>
      <c r="F4731" s="28" t="s">
        <v>137</v>
      </c>
      <c r="G4731" s="28" t="s">
        <v>20</v>
      </c>
      <c r="H4731" s="28" t="s">
        <v>71</v>
      </c>
      <c r="I4731" s="28" t="s">
        <v>72</v>
      </c>
      <c r="J4731" s="28" t="s">
        <v>15181</v>
      </c>
      <c r="K4731" s="28" t="s">
        <v>21</v>
      </c>
      <c r="L4731" s="28" t="s">
        <v>3588</v>
      </c>
      <c r="M4731" s="28" t="s">
        <v>21</v>
      </c>
      <c r="O4731" s="92">
        <v>41361</v>
      </c>
      <c r="P4731" s="28" t="s">
        <v>21</v>
      </c>
      <c r="Q4731" s="26" t="b">
        <v>0</v>
      </c>
      <c r="R4731" s="22">
        <f t="shared" si="76"/>
        <v>15</v>
      </c>
    </row>
    <row r="4732" spans="1:18" ht="24">
      <c r="A4732" s="26">
        <v>10032</v>
      </c>
      <c r="B4732" s="27">
        <v>41352</v>
      </c>
      <c r="C4732" s="28" t="s">
        <v>15182</v>
      </c>
      <c r="D4732" s="27">
        <v>41345</v>
      </c>
      <c r="E4732" s="28" t="s">
        <v>15183</v>
      </c>
      <c r="F4732" s="28" t="s">
        <v>14871</v>
      </c>
      <c r="G4732" s="28" t="s">
        <v>20</v>
      </c>
      <c r="H4732" s="28" t="s">
        <v>212</v>
      </c>
      <c r="I4732" s="28" t="s">
        <v>212</v>
      </c>
      <c r="J4732" s="28" t="s">
        <v>15184</v>
      </c>
      <c r="K4732" s="28" t="s">
        <v>6081</v>
      </c>
      <c r="L4732" s="28" t="s">
        <v>3588</v>
      </c>
      <c r="M4732" s="28" t="s">
        <v>21</v>
      </c>
      <c r="O4732" s="92">
        <v>41358</v>
      </c>
      <c r="P4732" s="28" t="s">
        <v>21</v>
      </c>
      <c r="Q4732" s="26" t="b">
        <v>0</v>
      </c>
      <c r="R4732" s="22">
        <f t="shared" si="76"/>
        <v>6</v>
      </c>
    </row>
    <row r="4733" spans="1:18">
      <c r="A4733" s="26">
        <v>10033</v>
      </c>
      <c r="B4733" s="27">
        <v>41352</v>
      </c>
      <c r="C4733" s="28" t="s">
        <v>15185</v>
      </c>
      <c r="D4733" s="27">
        <v>41347</v>
      </c>
      <c r="E4733" s="28" t="s">
        <v>15186</v>
      </c>
      <c r="F4733" s="28" t="s">
        <v>15187</v>
      </c>
      <c r="G4733" s="28" t="s">
        <v>20</v>
      </c>
      <c r="H4733" s="28" t="s">
        <v>71</v>
      </c>
      <c r="I4733" s="28" t="s">
        <v>72</v>
      </c>
      <c r="J4733" s="28" t="s">
        <v>15188</v>
      </c>
      <c r="K4733" s="28" t="s">
        <v>15189</v>
      </c>
      <c r="L4733" s="28" t="s">
        <v>4282</v>
      </c>
      <c r="M4733" s="28" t="s">
        <v>21</v>
      </c>
      <c r="O4733" s="94">
        <v>41516</v>
      </c>
      <c r="P4733" s="28" t="s">
        <v>21</v>
      </c>
      <c r="Q4733" s="26" t="b">
        <v>0</v>
      </c>
      <c r="R4733" s="22">
        <f t="shared" si="76"/>
        <v>163</v>
      </c>
    </row>
    <row r="4734" spans="1:18" ht="24">
      <c r="A4734" s="26">
        <v>10034</v>
      </c>
      <c r="B4734" s="27">
        <v>41352</v>
      </c>
      <c r="C4734" s="28" t="s">
        <v>15190</v>
      </c>
      <c r="D4734" s="27">
        <v>41347</v>
      </c>
      <c r="E4734" s="28" t="s">
        <v>15191</v>
      </c>
      <c r="F4734" s="28" t="s">
        <v>15187</v>
      </c>
      <c r="G4734" s="28" t="s">
        <v>20</v>
      </c>
      <c r="H4734" s="28" t="s">
        <v>71</v>
      </c>
      <c r="I4734" s="28" t="s">
        <v>72</v>
      </c>
      <c r="J4734" s="28" t="s">
        <v>15192</v>
      </c>
      <c r="K4734" s="28" t="s">
        <v>15189</v>
      </c>
      <c r="L4734" s="28" t="s">
        <v>4282</v>
      </c>
      <c r="M4734" s="28" t="s">
        <v>21</v>
      </c>
      <c r="O4734" s="92">
        <v>41516</v>
      </c>
      <c r="P4734" s="28" t="s">
        <v>21</v>
      </c>
      <c r="Q4734" s="26" t="b">
        <v>0</v>
      </c>
      <c r="R4734" s="22">
        <f t="shared" si="76"/>
        <v>163</v>
      </c>
    </row>
    <row r="4735" spans="1:18">
      <c r="A4735" s="26">
        <v>10035</v>
      </c>
      <c r="B4735" s="27">
        <v>41352</v>
      </c>
      <c r="C4735" s="28" t="s">
        <v>15193</v>
      </c>
      <c r="D4735" s="27">
        <v>41348</v>
      </c>
      <c r="E4735" s="28" t="s">
        <v>15194</v>
      </c>
      <c r="F4735" s="28" t="s">
        <v>3430</v>
      </c>
      <c r="G4735" s="28" t="s">
        <v>20</v>
      </c>
      <c r="H4735" s="28" t="s">
        <v>71</v>
      </c>
      <c r="I4735" s="28" t="s">
        <v>72</v>
      </c>
      <c r="J4735" s="28" t="s">
        <v>15195</v>
      </c>
      <c r="K4735" s="28" t="s">
        <v>14628</v>
      </c>
      <c r="L4735" s="28" t="s">
        <v>7167</v>
      </c>
      <c r="M4735" s="28" t="s">
        <v>21</v>
      </c>
      <c r="O4735" s="92">
        <v>42108</v>
      </c>
      <c r="P4735" s="28" t="s">
        <v>21</v>
      </c>
      <c r="Q4735" s="26" t="b">
        <v>0</v>
      </c>
      <c r="R4735" s="22">
        <f t="shared" si="76"/>
        <v>755</v>
      </c>
    </row>
    <row r="4736" spans="1:18">
      <c r="A4736" s="26">
        <v>10036</v>
      </c>
      <c r="B4736" s="27">
        <v>41366</v>
      </c>
      <c r="C4736" s="28" t="s">
        <v>15196</v>
      </c>
      <c r="D4736" s="27">
        <v>41365</v>
      </c>
      <c r="E4736" s="28" t="s">
        <v>15197</v>
      </c>
      <c r="F4736" s="28" t="s">
        <v>14118</v>
      </c>
      <c r="G4736" s="28" t="s">
        <v>20</v>
      </c>
      <c r="H4736" s="28" t="s">
        <v>71</v>
      </c>
      <c r="I4736" s="28" t="s">
        <v>72</v>
      </c>
      <c r="J4736" s="28" t="s">
        <v>15198</v>
      </c>
      <c r="K4736" s="28" t="s">
        <v>9348</v>
      </c>
      <c r="L4736" s="28" t="s">
        <v>14411</v>
      </c>
      <c r="M4736" s="28" t="s">
        <v>4282</v>
      </c>
      <c r="O4736" s="92">
        <v>42068</v>
      </c>
      <c r="P4736" s="28" t="s">
        <v>21</v>
      </c>
      <c r="Q4736" s="26" t="b">
        <v>0</v>
      </c>
      <c r="R4736" s="22">
        <f t="shared" si="76"/>
        <v>702</v>
      </c>
    </row>
    <row r="4737" spans="1:18" ht="24">
      <c r="A4737" s="26">
        <v>10038</v>
      </c>
      <c r="B4737" s="27">
        <v>41366</v>
      </c>
      <c r="C4737" s="28" t="s">
        <v>15199</v>
      </c>
      <c r="D4737" s="27">
        <v>41365</v>
      </c>
      <c r="E4737" s="28" t="s">
        <v>38</v>
      </c>
      <c r="F4737" s="28" t="s">
        <v>4596</v>
      </c>
      <c r="G4737" s="28" t="s">
        <v>20</v>
      </c>
      <c r="H4737" s="28" t="s">
        <v>71</v>
      </c>
      <c r="I4737" s="28" t="s">
        <v>72</v>
      </c>
      <c r="J4737" s="28" t="s">
        <v>15200</v>
      </c>
      <c r="K4737" s="28" t="s">
        <v>15201</v>
      </c>
      <c r="L4737" s="28" t="s">
        <v>7167</v>
      </c>
      <c r="M4737" s="28" t="s">
        <v>21</v>
      </c>
      <c r="O4737" s="92">
        <v>41395</v>
      </c>
      <c r="P4737" s="28" t="s">
        <v>21</v>
      </c>
      <c r="Q4737" s="26" t="b">
        <v>0</v>
      </c>
      <c r="R4737" s="22">
        <f t="shared" si="76"/>
        <v>29</v>
      </c>
    </row>
    <row r="4738" spans="1:18">
      <c r="A4738" s="26">
        <v>10039</v>
      </c>
      <c r="B4738" s="27">
        <v>41367</v>
      </c>
      <c r="C4738" s="28" t="s">
        <v>15202</v>
      </c>
      <c r="D4738" s="27">
        <v>41366</v>
      </c>
      <c r="E4738" s="28" t="s">
        <v>15203</v>
      </c>
      <c r="F4738" s="28" t="s">
        <v>145</v>
      </c>
      <c r="G4738" s="28" t="s">
        <v>20</v>
      </c>
      <c r="H4738" s="28" t="s">
        <v>71</v>
      </c>
      <c r="I4738" s="28" t="s">
        <v>72</v>
      </c>
      <c r="J4738" s="28" t="s">
        <v>15204</v>
      </c>
      <c r="K4738" s="28" t="s">
        <v>9348</v>
      </c>
      <c r="L4738" s="28" t="s">
        <v>7167</v>
      </c>
      <c r="M4738" s="28" t="s">
        <v>21</v>
      </c>
      <c r="O4738" s="92">
        <v>41395</v>
      </c>
      <c r="P4738" s="28" t="s">
        <v>21</v>
      </c>
      <c r="Q4738" s="26" t="b">
        <v>0</v>
      </c>
      <c r="R4738" s="22">
        <f t="shared" si="76"/>
        <v>28</v>
      </c>
    </row>
    <row r="4739" spans="1:18">
      <c r="A4739" s="26">
        <v>10040</v>
      </c>
      <c r="B4739" s="27">
        <v>41372</v>
      </c>
      <c r="C4739" s="28" t="s">
        <v>15205</v>
      </c>
      <c r="D4739" s="27">
        <v>41369</v>
      </c>
      <c r="E4739" s="28" t="s">
        <v>38</v>
      </c>
      <c r="F4739" s="28" t="s">
        <v>327</v>
      </c>
      <c r="G4739" s="28" t="s">
        <v>20</v>
      </c>
      <c r="H4739" s="28" t="s">
        <v>189</v>
      </c>
      <c r="I4739" s="28" t="s">
        <v>189</v>
      </c>
      <c r="J4739" s="28" t="s">
        <v>15206</v>
      </c>
      <c r="K4739" s="28" t="s">
        <v>13525</v>
      </c>
      <c r="L4739" s="28" t="s">
        <v>3588</v>
      </c>
      <c r="M4739" s="28" t="s">
        <v>21</v>
      </c>
      <c r="O4739" s="92">
        <v>41376</v>
      </c>
      <c r="P4739" s="28" t="s">
        <v>21</v>
      </c>
      <c r="Q4739" s="26" t="b">
        <v>0</v>
      </c>
      <c r="R4739" s="22">
        <f t="shared" si="76"/>
        <v>4</v>
      </c>
    </row>
    <row r="4740" spans="1:18">
      <c r="A4740" s="26">
        <v>10041</v>
      </c>
      <c r="B4740" s="27">
        <v>41372</v>
      </c>
      <c r="C4740" s="28" t="s">
        <v>15207</v>
      </c>
      <c r="D4740" s="27">
        <v>41372</v>
      </c>
      <c r="E4740" s="28" t="s">
        <v>15208</v>
      </c>
      <c r="F4740" s="28" t="s">
        <v>689</v>
      </c>
      <c r="G4740" s="28" t="s">
        <v>20</v>
      </c>
      <c r="H4740" s="28" t="s">
        <v>212</v>
      </c>
      <c r="I4740" s="28" t="s">
        <v>212</v>
      </c>
      <c r="J4740" s="28" t="s">
        <v>15209</v>
      </c>
      <c r="K4740" s="28" t="s">
        <v>15210</v>
      </c>
      <c r="L4740" s="28" t="s">
        <v>14518</v>
      </c>
      <c r="M4740" s="28" t="s">
        <v>14519</v>
      </c>
      <c r="O4740" s="92">
        <v>42026</v>
      </c>
      <c r="P4740" s="28" t="s">
        <v>21</v>
      </c>
      <c r="Q4740" s="26" t="b">
        <v>0</v>
      </c>
      <c r="R4740" s="22">
        <f t="shared" si="76"/>
        <v>652</v>
      </c>
    </row>
    <row r="4741" spans="1:18" ht="32">
      <c r="A4741" s="33">
        <v>10044</v>
      </c>
      <c r="B4741" s="34">
        <v>41376</v>
      </c>
      <c r="C4741" s="35" t="s">
        <v>17709</v>
      </c>
      <c r="D4741" s="34">
        <v>41375</v>
      </c>
      <c r="E4741" s="35" t="s">
        <v>1432</v>
      </c>
      <c r="F4741" s="35" t="s">
        <v>124</v>
      </c>
      <c r="G4741" s="35" t="s">
        <v>20</v>
      </c>
      <c r="H4741" s="35" t="s">
        <v>71</v>
      </c>
      <c r="I4741" s="35" t="s">
        <v>72</v>
      </c>
      <c r="J4741" s="35" t="s">
        <v>15211</v>
      </c>
      <c r="K4741" s="35" t="s">
        <v>21</v>
      </c>
      <c r="L4741" s="35" t="s">
        <v>14909</v>
      </c>
      <c r="M4741" s="35" t="s">
        <v>14519</v>
      </c>
      <c r="N4741" s="36"/>
      <c r="O4741" s="96">
        <v>42534</v>
      </c>
      <c r="P4741" s="35" t="s">
        <v>21</v>
      </c>
      <c r="Q4741" s="33" t="b">
        <v>0</v>
      </c>
      <c r="R4741" s="22">
        <f t="shared" si="76"/>
        <v>1156</v>
      </c>
    </row>
    <row r="4742" spans="1:18">
      <c r="A4742" s="26">
        <v>10046</v>
      </c>
      <c r="B4742" s="27">
        <v>41386</v>
      </c>
      <c r="C4742" s="28" t="s">
        <v>15212</v>
      </c>
      <c r="D4742" s="27">
        <v>41383</v>
      </c>
      <c r="E4742" s="28" t="s">
        <v>15213</v>
      </c>
      <c r="F4742" s="28" t="s">
        <v>27</v>
      </c>
      <c r="G4742" s="28" t="s">
        <v>20</v>
      </c>
      <c r="H4742" s="28" t="s">
        <v>189</v>
      </c>
      <c r="I4742" s="28" t="s">
        <v>189</v>
      </c>
      <c r="J4742" s="28" t="s">
        <v>15214</v>
      </c>
      <c r="K4742" s="28" t="s">
        <v>21</v>
      </c>
      <c r="L4742" s="28" t="s">
        <v>1946</v>
      </c>
      <c r="M4742" s="28" t="s">
        <v>4282</v>
      </c>
      <c r="O4742" s="92">
        <v>41715</v>
      </c>
      <c r="P4742" s="28" t="s">
        <v>21</v>
      </c>
      <c r="Q4742" s="26" t="b">
        <v>0</v>
      </c>
      <c r="R4742" s="22">
        <f t="shared" si="76"/>
        <v>329</v>
      </c>
    </row>
    <row r="4743" spans="1:18" ht="24">
      <c r="A4743" s="26">
        <v>10047</v>
      </c>
      <c r="B4743" s="27">
        <v>41386</v>
      </c>
      <c r="C4743" s="28" t="s">
        <v>15215</v>
      </c>
      <c r="D4743" s="27">
        <v>41382</v>
      </c>
      <c r="E4743" s="28" t="s">
        <v>15216</v>
      </c>
      <c r="F4743" s="28" t="s">
        <v>27</v>
      </c>
      <c r="G4743" s="28" t="s">
        <v>20</v>
      </c>
      <c r="H4743" s="28" t="s">
        <v>71</v>
      </c>
      <c r="I4743" s="28" t="s">
        <v>72</v>
      </c>
      <c r="J4743" s="28" t="s">
        <v>15217</v>
      </c>
      <c r="K4743" s="28" t="s">
        <v>21</v>
      </c>
      <c r="L4743" s="28" t="s">
        <v>1946</v>
      </c>
      <c r="M4743" s="28" t="s">
        <v>21</v>
      </c>
      <c r="O4743" s="92">
        <v>41897</v>
      </c>
      <c r="P4743" s="28" t="s">
        <v>21</v>
      </c>
      <c r="Q4743" s="26" t="b">
        <v>0</v>
      </c>
      <c r="R4743" s="22">
        <f t="shared" si="76"/>
        <v>509</v>
      </c>
    </row>
    <row r="4744" spans="1:18">
      <c r="A4744" s="26">
        <v>10048</v>
      </c>
      <c r="B4744" s="27">
        <v>41387</v>
      </c>
      <c r="C4744" s="28" t="s">
        <v>15218</v>
      </c>
      <c r="D4744" s="27">
        <v>41383</v>
      </c>
      <c r="E4744" s="28" t="s">
        <v>15219</v>
      </c>
      <c r="F4744" s="28" t="s">
        <v>14336</v>
      </c>
      <c r="G4744" s="28" t="s">
        <v>20</v>
      </c>
      <c r="H4744" s="28" t="s">
        <v>71</v>
      </c>
      <c r="I4744" s="28" t="s">
        <v>72</v>
      </c>
      <c r="J4744" s="28" t="s">
        <v>15076</v>
      </c>
      <c r="K4744" s="28" t="s">
        <v>21</v>
      </c>
      <c r="L4744" s="28" t="s">
        <v>1946</v>
      </c>
      <c r="M4744" s="28" t="s">
        <v>21</v>
      </c>
      <c r="O4744" s="92">
        <v>42181</v>
      </c>
      <c r="P4744" s="28" t="s">
        <v>21</v>
      </c>
      <c r="Q4744" s="26" t="b">
        <v>0</v>
      </c>
      <c r="R4744" s="22">
        <f t="shared" si="76"/>
        <v>793</v>
      </c>
    </row>
    <row r="4745" spans="1:18">
      <c r="A4745" s="26">
        <v>10049</v>
      </c>
      <c r="B4745" s="27">
        <v>41390</v>
      </c>
      <c r="C4745" s="28" t="s">
        <v>15220</v>
      </c>
      <c r="D4745" s="27">
        <v>41389</v>
      </c>
      <c r="E4745" s="28" t="s">
        <v>38</v>
      </c>
      <c r="F4745" s="28" t="s">
        <v>12404</v>
      </c>
      <c r="G4745" s="28" t="s">
        <v>20</v>
      </c>
      <c r="H4745" s="28" t="s">
        <v>71</v>
      </c>
      <c r="I4745" s="28" t="s">
        <v>72</v>
      </c>
      <c r="J4745" s="28" t="s">
        <v>15221</v>
      </c>
      <c r="K4745" s="28" t="s">
        <v>15222</v>
      </c>
      <c r="L4745" s="28" t="s">
        <v>7167</v>
      </c>
      <c r="M4745" s="28" t="s">
        <v>3588</v>
      </c>
      <c r="O4745" s="92">
        <v>41514</v>
      </c>
      <c r="P4745" s="28" t="s">
        <v>21</v>
      </c>
      <c r="Q4745" s="26" t="b">
        <v>0</v>
      </c>
      <c r="R4745" s="22">
        <f t="shared" si="76"/>
        <v>123</v>
      </c>
    </row>
    <row r="4746" spans="1:18">
      <c r="A4746" s="26">
        <v>10050</v>
      </c>
      <c r="B4746" s="27">
        <v>41393</v>
      </c>
      <c r="C4746" s="28" t="s">
        <v>15223</v>
      </c>
      <c r="D4746" s="27">
        <v>41393</v>
      </c>
      <c r="E4746" s="28" t="s">
        <v>38</v>
      </c>
      <c r="F4746" s="28" t="s">
        <v>104</v>
      </c>
      <c r="G4746" s="28" t="s">
        <v>20</v>
      </c>
      <c r="H4746" s="28" t="s">
        <v>71</v>
      </c>
      <c r="I4746" s="28" t="s">
        <v>72</v>
      </c>
      <c r="J4746" s="28" t="s">
        <v>15224</v>
      </c>
      <c r="K4746" s="28" t="s">
        <v>14060</v>
      </c>
      <c r="L4746" s="28" t="s">
        <v>3588</v>
      </c>
      <c r="M4746" s="28" t="s">
        <v>21</v>
      </c>
      <c r="O4746" s="92">
        <v>41404</v>
      </c>
      <c r="P4746" s="28" t="s">
        <v>21</v>
      </c>
      <c r="Q4746" s="26" t="b">
        <v>0</v>
      </c>
      <c r="R4746" s="22">
        <f t="shared" si="76"/>
        <v>11</v>
      </c>
    </row>
    <row r="4747" spans="1:18">
      <c r="A4747" s="26">
        <v>10051</v>
      </c>
      <c r="B4747" s="27">
        <v>41394</v>
      </c>
      <c r="C4747" s="28" t="s">
        <v>15225</v>
      </c>
      <c r="D4747" s="27">
        <v>41383</v>
      </c>
      <c r="E4747" s="28" t="s">
        <v>15226</v>
      </c>
      <c r="F4747" s="28" t="s">
        <v>974</v>
      </c>
      <c r="G4747" s="28" t="s">
        <v>20</v>
      </c>
      <c r="H4747" s="28" t="s">
        <v>212</v>
      </c>
      <c r="I4747" s="28" t="s">
        <v>212</v>
      </c>
      <c r="J4747" s="28" t="s">
        <v>15227</v>
      </c>
      <c r="K4747" s="28" t="s">
        <v>15228</v>
      </c>
      <c r="L4747" s="28" t="s">
        <v>1946</v>
      </c>
      <c r="M4747" s="28" t="s">
        <v>4282</v>
      </c>
      <c r="O4747" s="92">
        <v>42159</v>
      </c>
      <c r="P4747" s="28" t="s">
        <v>21</v>
      </c>
      <c r="Q4747" s="26" t="b">
        <v>0</v>
      </c>
      <c r="R4747" s="22">
        <f t="shared" si="76"/>
        <v>764</v>
      </c>
    </row>
    <row r="4748" spans="1:18">
      <c r="A4748" s="26">
        <v>10052</v>
      </c>
      <c r="B4748" s="27">
        <v>41395</v>
      </c>
      <c r="C4748" s="28" t="s">
        <v>15229</v>
      </c>
      <c r="D4748" s="27">
        <v>41365</v>
      </c>
      <c r="E4748" s="28" t="s">
        <v>15230</v>
      </c>
      <c r="F4748" s="28" t="s">
        <v>4596</v>
      </c>
      <c r="G4748" s="28" t="s">
        <v>20</v>
      </c>
      <c r="H4748" s="28" t="s">
        <v>189</v>
      </c>
      <c r="I4748" s="28" t="s">
        <v>189</v>
      </c>
      <c r="J4748" s="28" t="s">
        <v>15231</v>
      </c>
      <c r="K4748" s="28" t="s">
        <v>15232</v>
      </c>
      <c r="L4748" s="28" t="s">
        <v>7167</v>
      </c>
      <c r="M4748" s="28" t="s">
        <v>21</v>
      </c>
      <c r="O4748" s="92">
        <v>41404</v>
      </c>
      <c r="P4748" s="28" t="s">
        <v>21</v>
      </c>
      <c r="Q4748" s="26" t="b">
        <v>0</v>
      </c>
      <c r="R4748" s="22">
        <f t="shared" si="76"/>
        <v>9</v>
      </c>
    </row>
    <row r="4749" spans="1:18" ht="24">
      <c r="A4749" s="26">
        <v>10053</v>
      </c>
      <c r="B4749" s="27">
        <v>41395</v>
      </c>
      <c r="C4749" s="28" t="s">
        <v>15233</v>
      </c>
      <c r="D4749" s="27">
        <v>41395</v>
      </c>
      <c r="E4749" s="28" t="s">
        <v>38</v>
      </c>
      <c r="F4749" s="28" t="s">
        <v>4596</v>
      </c>
      <c r="G4749" s="28" t="s">
        <v>20</v>
      </c>
      <c r="H4749" s="28" t="s">
        <v>212</v>
      </c>
      <c r="I4749" s="28" t="s">
        <v>212</v>
      </c>
      <c r="J4749" s="28" t="s">
        <v>15234</v>
      </c>
      <c r="K4749" s="28" t="s">
        <v>14690</v>
      </c>
      <c r="L4749" s="28" t="s">
        <v>7167</v>
      </c>
      <c r="M4749" s="28" t="s">
        <v>21</v>
      </c>
      <c r="O4749" s="92">
        <v>41452</v>
      </c>
      <c r="P4749" s="28" t="s">
        <v>21</v>
      </c>
      <c r="Q4749" s="26" t="b">
        <v>0</v>
      </c>
      <c r="R4749" s="22">
        <f t="shared" si="76"/>
        <v>56</v>
      </c>
    </row>
    <row r="4750" spans="1:18" ht="32">
      <c r="A4750" s="33">
        <v>10054</v>
      </c>
      <c r="B4750" s="34">
        <v>41395</v>
      </c>
      <c r="C4750" s="35" t="s">
        <v>17521</v>
      </c>
      <c r="D4750" s="34">
        <v>41395</v>
      </c>
      <c r="E4750" s="35" t="s">
        <v>15235</v>
      </c>
      <c r="F4750" s="35" t="s">
        <v>104</v>
      </c>
      <c r="G4750" s="35" t="s">
        <v>20</v>
      </c>
      <c r="H4750" s="35" t="s">
        <v>71</v>
      </c>
      <c r="I4750" s="35" t="s">
        <v>72</v>
      </c>
      <c r="J4750" s="35" t="s">
        <v>272</v>
      </c>
      <c r="K4750" s="35" t="s">
        <v>15236</v>
      </c>
      <c r="L4750" s="35" t="s">
        <v>14909</v>
      </c>
      <c r="M4750" s="35" t="s">
        <v>14519</v>
      </c>
      <c r="N4750" s="36"/>
      <c r="O4750" s="96">
        <v>42418</v>
      </c>
      <c r="P4750" s="35" t="s">
        <v>21</v>
      </c>
      <c r="Q4750" s="33" t="b">
        <v>0</v>
      </c>
      <c r="R4750" s="22">
        <f t="shared" si="76"/>
        <v>1020</v>
      </c>
    </row>
    <row r="4751" spans="1:18">
      <c r="A4751" s="26">
        <v>10055</v>
      </c>
      <c r="B4751" s="27">
        <v>41396</v>
      </c>
      <c r="C4751" s="28" t="s">
        <v>15237</v>
      </c>
      <c r="D4751" s="27">
        <v>41396</v>
      </c>
      <c r="E4751" s="28" t="s">
        <v>38</v>
      </c>
      <c r="F4751" s="28" t="s">
        <v>15238</v>
      </c>
      <c r="G4751" s="28" t="s">
        <v>20</v>
      </c>
      <c r="H4751" s="28" t="s">
        <v>212</v>
      </c>
      <c r="I4751" s="28" t="s">
        <v>212</v>
      </c>
      <c r="J4751" s="28" t="s">
        <v>15239</v>
      </c>
      <c r="K4751" s="28" t="s">
        <v>15240</v>
      </c>
      <c r="L4751" s="28" t="s">
        <v>4282</v>
      </c>
      <c r="M4751" s="28" t="s">
        <v>21</v>
      </c>
      <c r="O4751" s="92">
        <v>41410</v>
      </c>
      <c r="P4751" s="28" t="s">
        <v>21</v>
      </c>
      <c r="Q4751" s="26" t="b">
        <v>0</v>
      </c>
      <c r="R4751" s="22">
        <f t="shared" si="76"/>
        <v>14</v>
      </c>
    </row>
    <row r="4752" spans="1:18">
      <c r="A4752" s="26">
        <v>10056</v>
      </c>
      <c r="B4752" s="27">
        <v>41401</v>
      </c>
      <c r="C4752" s="28" t="s">
        <v>15241</v>
      </c>
      <c r="D4752" s="27">
        <v>41399</v>
      </c>
      <c r="E4752" s="28" t="s">
        <v>15242</v>
      </c>
      <c r="F4752" s="28" t="s">
        <v>2359</v>
      </c>
      <c r="G4752" s="28" t="s">
        <v>20</v>
      </c>
      <c r="H4752" s="28" t="s">
        <v>71</v>
      </c>
      <c r="I4752" s="28" t="s">
        <v>72</v>
      </c>
      <c r="J4752" s="28" t="s">
        <v>15243</v>
      </c>
      <c r="K4752" s="28" t="s">
        <v>9348</v>
      </c>
      <c r="L4752" s="28" t="s">
        <v>7167</v>
      </c>
      <c r="M4752" s="28" t="s">
        <v>21</v>
      </c>
      <c r="O4752" s="92">
        <v>41401</v>
      </c>
      <c r="P4752" s="28" t="s">
        <v>21</v>
      </c>
      <c r="Q4752" s="26" t="b">
        <v>0</v>
      </c>
      <c r="R4752" s="22">
        <f t="shared" si="76"/>
        <v>0</v>
      </c>
    </row>
    <row r="4753" spans="1:18">
      <c r="A4753" s="26">
        <v>10057</v>
      </c>
      <c r="B4753" s="27">
        <v>41403</v>
      </c>
      <c r="C4753" s="28" t="s">
        <v>15244</v>
      </c>
      <c r="D4753" s="27">
        <v>41402</v>
      </c>
      <c r="E4753" s="28" t="s">
        <v>11688</v>
      </c>
      <c r="F4753" s="28" t="s">
        <v>15245</v>
      </c>
      <c r="G4753" s="28" t="s">
        <v>20</v>
      </c>
      <c r="H4753" s="28" t="s">
        <v>71</v>
      </c>
      <c r="I4753" s="28" t="s">
        <v>72</v>
      </c>
      <c r="J4753" s="28" t="s">
        <v>15246</v>
      </c>
      <c r="K4753" s="28" t="s">
        <v>15247</v>
      </c>
      <c r="L4753" s="28" t="s">
        <v>4282</v>
      </c>
      <c r="M4753" s="28" t="s">
        <v>14349</v>
      </c>
      <c r="O4753" s="92">
        <v>41620</v>
      </c>
      <c r="P4753" s="28" t="s">
        <v>21</v>
      </c>
      <c r="Q4753" s="26" t="b">
        <v>0</v>
      </c>
      <c r="R4753" s="22">
        <f t="shared" si="76"/>
        <v>215</v>
      </c>
    </row>
    <row r="4754" spans="1:18">
      <c r="A4754" s="26">
        <v>10058</v>
      </c>
      <c r="B4754" s="27">
        <v>41404</v>
      </c>
      <c r="C4754" s="28" t="s">
        <v>15248</v>
      </c>
      <c r="D4754" s="27">
        <v>41401</v>
      </c>
      <c r="E4754" s="28" t="s">
        <v>15249</v>
      </c>
      <c r="F4754" s="28" t="s">
        <v>216</v>
      </c>
      <c r="G4754" s="28" t="s">
        <v>20</v>
      </c>
      <c r="H4754" s="28" t="s">
        <v>71</v>
      </c>
      <c r="I4754" s="28" t="s">
        <v>72</v>
      </c>
      <c r="J4754" s="28" t="s">
        <v>15250</v>
      </c>
      <c r="K4754" s="28" t="s">
        <v>13389</v>
      </c>
      <c r="L4754" s="28" t="s">
        <v>4282</v>
      </c>
      <c r="M4754" s="28" t="s">
        <v>7167</v>
      </c>
      <c r="O4754" s="92">
        <v>42185</v>
      </c>
      <c r="P4754" s="28" t="s">
        <v>21</v>
      </c>
      <c r="Q4754" s="26" t="b">
        <v>0</v>
      </c>
      <c r="R4754" s="22">
        <f t="shared" si="76"/>
        <v>780</v>
      </c>
    </row>
    <row r="4755" spans="1:18">
      <c r="A4755" s="26">
        <v>10059</v>
      </c>
      <c r="B4755" s="27">
        <v>41408</v>
      </c>
      <c r="C4755" s="28" t="s">
        <v>15251</v>
      </c>
      <c r="D4755" s="27">
        <v>41408</v>
      </c>
      <c r="E4755" s="28" t="s">
        <v>15252</v>
      </c>
      <c r="F4755" s="28" t="s">
        <v>14552</v>
      </c>
      <c r="G4755" s="28" t="s">
        <v>20</v>
      </c>
      <c r="H4755" s="28" t="s">
        <v>71</v>
      </c>
      <c r="I4755" s="28" t="s">
        <v>72</v>
      </c>
      <c r="J4755" s="28" t="s">
        <v>15253</v>
      </c>
      <c r="K4755" s="28" t="s">
        <v>21</v>
      </c>
      <c r="L4755" s="28" t="s">
        <v>1946</v>
      </c>
      <c r="M4755" s="28" t="s">
        <v>21</v>
      </c>
      <c r="O4755" s="92">
        <v>42062</v>
      </c>
      <c r="P4755" s="28" t="s">
        <v>21</v>
      </c>
      <c r="Q4755" s="26" t="b">
        <v>0</v>
      </c>
      <c r="R4755" s="22">
        <f t="shared" si="76"/>
        <v>651</v>
      </c>
    </row>
    <row r="4756" spans="1:18">
      <c r="A4756" s="26">
        <v>10060</v>
      </c>
      <c r="B4756" s="27">
        <v>41408</v>
      </c>
      <c r="C4756" s="28" t="s">
        <v>15254</v>
      </c>
      <c r="D4756" s="27">
        <v>41407</v>
      </c>
      <c r="E4756" s="28" t="s">
        <v>15255</v>
      </c>
      <c r="F4756" s="28" t="s">
        <v>27</v>
      </c>
      <c r="G4756" s="28" t="s">
        <v>20</v>
      </c>
      <c r="H4756" s="28" t="s">
        <v>212</v>
      </c>
      <c r="I4756" s="28" t="s">
        <v>212</v>
      </c>
      <c r="J4756" s="28" t="s">
        <v>15256</v>
      </c>
      <c r="K4756" s="28" t="s">
        <v>21</v>
      </c>
      <c r="L4756" s="28" t="s">
        <v>3588</v>
      </c>
      <c r="M4756" s="28" t="s">
        <v>21</v>
      </c>
      <c r="O4756" s="92">
        <v>41422</v>
      </c>
      <c r="P4756" s="28" t="s">
        <v>21</v>
      </c>
      <c r="Q4756" s="26" t="b">
        <v>0</v>
      </c>
      <c r="R4756" s="22">
        <f t="shared" si="76"/>
        <v>14</v>
      </c>
    </row>
    <row r="4757" spans="1:18">
      <c r="A4757" s="26">
        <v>10061</v>
      </c>
      <c r="B4757" s="27">
        <v>41410</v>
      </c>
      <c r="C4757" s="28" t="s">
        <v>15257</v>
      </c>
      <c r="D4757" s="27">
        <v>41408</v>
      </c>
      <c r="E4757" s="28" t="s">
        <v>15258</v>
      </c>
      <c r="F4757" s="28" t="s">
        <v>4596</v>
      </c>
      <c r="G4757" s="28" t="s">
        <v>20</v>
      </c>
      <c r="H4757" s="28" t="s">
        <v>189</v>
      </c>
      <c r="I4757" s="28" t="s">
        <v>189</v>
      </c>
      <c r="J4757" s="28" t="s">
        <v>4517</v>
      </c>
      <c r="K4757" s="28" t="s">
        <v>21</v>
      </c>
      <c r="L4757" s="28" t="s">
        <v>7167</v>
      </c>
      <c r="M4757" s="28" t="s">
        <v>21</v>
      </c>
      <c r="O4757" s="92">
        <v>41416</v>
      </c>
      <c r="P4757" s="28" t="s">
        <v>21</v>
      </c>
      <c r="Q4757" s="26" t="b">
        <v>0</v>
      </c>
      <c r="R4757" s="22">
        <f t="shared" si="76"/>
        <v>6</v>
      </c>
    </row>
    <row r="4758" spans="1:18">
      <c r="A4758" s="26">
        <v>10062</v>
      </c>
      <c r="B4758" s="27">
        <v>41414</v>
      </c>
      <c r="C4758" s="28" t="s">
        <v>15259</v>
      </c>
      <c r="D4758" s="27">
        <v>41411</v>
      </c>
      <c r="E4758" s="28" t="s">
        <v>38</v>
      </c>
      <c r="F4758" s="28" t="s">
        <v>104</v>
      </c>
      <c r="G4758" s="28" t="s">
        <v>20</v>
      </c>
      <c r="H4758" s="28" t="s">
        <v>71</v>
      </c>
      <c r="I4758" s="28" t="s">
        <v>72</v>
      </c>
      <c r="J4758" s="28" t="s">
        <v>15260</v>
      </c>
      <c r="K4758" s="28" t="s">
        <v>15261</v>
      </c>
      <c r="L4758" s="28" t="s">
        <v>14349</v>
      </c>
      <c r="M4758" s="28" t="s">
        <v>21</v>
      </c>
      <c r="O4758" s="92">
        <v>41414</v>
      </c>
      <c r="P4758" s="28" t="s">
        <v>21</v>
      </c>
      <c r="Q4758" s="26" t="b">
        <v>0</v>
      </c>
      <c r="R4758" s="22">
        <f t="shared" si="76"/>
        <v>0</v>
      </c>
    </row>
    <row r="4759" spans="1:18">
      <c r="A4759" s="26">
        <v>10063</v>
      </c>
      <c r="B4759" s="27">
        <v>41414</v>
      </c>
      <c r="C4759" s="28" t="s">
        <v>15262</v>
      </c>
      <c r="D4759" s="27">
        <v>41410</v>
      </c>
      <c r="E4759" s="28" t="s">
        <v>15263</v>
      </c>
      <c r="F4759" s="28" t="s">
        <v>104</v>
      </c>
      <c r="G4759" s="28" t="s">
        <v>20</v>
      </c>
      <c r="H4759" s="28" t="s">
        <v>71</v>
      </c>
      <c r="I4759" s="28" t="s">
        <v>72</v>
      </c>
      <c r="J4759" s="28" t="s">
        <v>15264</v>
      </c>
      <c r="K4759" s="28" t="s">
        <v>21</v>
      </c>
      <c r="L4759" s="28" t="s">
        <v>3588</v>
      </c>
      <c r="M4759" s="28" t="s">
        <v>21</v>
      </c>
      <c r="O4759" s="92">
        <v>41493</v>
      </c>
      <c r="P4759" s="28" t="s">
        <v>21</v>
      </c>
      <c r="Q4759" s="26" t="b">
        <v>0</v>
      </c>
      <c r="R4759" s="22">
        <f t="shared" si="76"/>
        <v>78</v>
      </c>
    </row>
    <row r="4760" spans="1:18">
      <c r="A4760" s="26">
        <v>10064</v>
      </c>
      <c r="B4760" s="27">
        <v>41414</v>
      </c>
      <c r="C4760" s="28" t="s">
        <v>15265</v>
      </c>
      <c r="D4760" s="27">
        <v>41410</v>
      </c>
      <c r="E4760" s="28" t="s">
        <v>15266</v>
      </c>
      <c r="F4760" s="28" t="s">
        <v>19</v>
      </c>
      <c r="G4760" s="28" t="s">
        <v>20</v>
      </c>
      <c r="H4760" s="28" t="s">
        <v>71</v>
      </c>
      <c r="I4760" s="28" t="s">
        <v>72</v>
      </c>
      <c r="J4760" s="28" t="s">
        <v>15267</v>
      </c>
      <c r="K4760" s="28" t="s">
        <v>21</v>
      </c>
      <c r="L4760" s="28" t="s">
        <v>3588</v>
      </c>
      <c r="M4760" s="28" t="s">
        <v>21</v>
      </c>
      <c r="O4760" s="92">
        <v>41486</v>
      </c>
      <c r="P4760" s="28" t="s">
        <v>21</v>
      </c>
      <c r="Q4760" s="26" t="b">
        <v>0</v>
      </c>
      <c r="R4760" s="22">
        <f t="shared" si="76"/>
        <v>71</v>
      </c>
    </row>
    <row r="4761" spans="1:18">
      <c r="A4761" s="26">
        <v>10065</v>
      </c>
      <c r="B4761" s="27">
        <v>41414</v>
      </c>
      <c r="C4761" s="28" t="s">
        <v>15268</v>
      </c>
      <c r="D4761" s="27">
        <v>41380</v>
      </c>
      <c r="E4761" s="28" t="s">
        <v>38</v>
      </c>
      <c r="F4761" s="28" t="s">
        <v>14552</v>
      </c>
      <c r="G4761" s="28" t="s">
        <v>20</v>
      </c>
      <c r="H4761" s="28" t="s">
        <v>71</v>
      </c>
      <c r="I4761" s="28" t="s">
        <v>72</v>
      </c>
      <c r="J4761" s="28" t="s">
        <v>14690</v>
      </c>
      <c r="K4761" s="28" t="s">
        <v>15269</v>
      </c>
      <c r="L4761" s="28" t="s">
        <v>3588</v>
      </c>
      <c r="M4761" s="28" t="s">
        <v>21</v>
      </c>
      <c r="O4761" s="92">
        <v>41456</v>
      </c>
      <c r="P4761" s="28" t="s">
        <v>21</v>
      </c>
      <c r="Q4761" s="26" t="b">
        <v>0</v>
      </c>
      <c r="R4761" s="22">
        <f t="shared" ref="R4761:R4815" si="77">IF(O4761=" ", " ", INT(YEARFRAC(O4761, B4761)*365))</f>
        <v>41</v>
      </c>
    </row>
    <row r="4762" spans="1:18">
      <c r="A4762" s="26">
        <v>10067</v>
      </c>
      <c r="B4762" s="27">
        <v>41422</v>
      </c>
      <c r="C4762" s="28" t="s">
        <v>15270</v>
      </c>
      <c r="D4762" s="27">
        <v>41408</v>
      </c>
      <c r="E4762" s="28" t="s">
        <v>11030</v>
      </c>
      <c r="F4762" s="28" t="s">
        <v>27</v>
      </c>
      <c r="G4762" s="28" t="s">
        <v>20</v>
      </c>
      <c r="H4762" s="28" t="s">
        <v>71</v>
      </c>
      <c r="I4762" s="28" t="s">
        <v>72</v>
      </c>
      <c r="J4762" s="28" t="s">
        <v>15271</v>
      </c>
      <c r="K4762" s="28" t="s">
        <v>15272</v>
      </c>
      <c r="L4762" s="28" t="s">
        <v>7167</v>
      </c>
      <c r="M4762" s="28" t="s">
        <v>21</v>
      </c>
      <c r="O4762" s="92">
        <v>41430</v>
      </c>
      <c r="P4762" s="28" t="s">
        <v>21</v>
      </c>
      <c r="Q4762" s="26" t="b">
        <v>0</v>
      </c>
      <c r="R4762" s="22">
        <f t="shared" si="77"/>
        <v>7</v>
      </c>
    </row>
    <row r="4763" spans="1:18">
      <c r="A4763" s="26">
        <v>10068</v>
      </c>
      <c r="B4763" s="27">
        <v>41422</v>
      </c>
      <c r="C4763" s="28" t="s">
        <v>15273</v>
      </c>
      <c r="D4763" s="27">
        <v>41400</v>
      </c>
      <c r="E4763" s="28" t="s">
        <v>15274</v>
      </c>
      <c r="F4763" s="28" t="s">
        <v>104</v>
      </c>
      <c r="G4763" s="28" t="s">
        <v>20</v>
      </c>
      <c r="H4763" s="28" t="s">
        <v>71</v>
      </c>
      <c r="I4763" s="28" t="s">
        <v>72</v>
      </c>
      <c r="J4763" s="28" t="s">
        <v>2542</v>
      </c>
      <c r="K4763" s="28" t="s">
        <v>15275</v>
      </c>
      <c r="L4763" s="28" t="s">
        <v>14909</v>
      </c>
      <c r="M4763" s="28" t="s">
        <v>14519</v>
      </c>
      <c r="O4763" s="92">
        <v>42184</v>
      </c>
      <c r="P4763" s="28" t="s">
        <v>21</v>
      </c>
      <c r="Q4763" s="26" t="b">
        <v>0</v>
      </c>
      <c r="R4763" s="22">
        <f t="shared" si="77"/>
        <v>761</v>
      </c>
    </row>
    <row r="4764" spans="1:18">
      <c r="A4764" s="26">
        <v>10069</v>
      </c>
      <c r="B4764" s="27">
        <v>41423</v>
      </c>
      <c r="C4764" s="28" t="s">
        <v>15276</v>
      </c>
      <c r="D4764" s="27">
        <v>41415</v>
      </c>
      <c r="E4764" s="28" t="s">
        <v>15277</v>
      </c>
      <c r="F4764" s="28" t="s">
        <v>8615</v>
      </c>
      <c r="G4764" s="28" t="s">
        <v>20</v>
      </c>
      <c r="H4764" s="28" t="s">
        <v>71</v>
      </c>
      <c r="I4764" s="28" t="s">
        <v>72</v>
      </c>
      <c r="J4764" s="28" t="s">
        <v>4690</v>
      </c>
      <c r="K4764" s="28" t="s">
        <v>15278</v>
      </c>
      <c r="L4764" s="28" t="s">
        <v>1946</v>
      </c>
      <c r="M4764" s="28" t="s">
        <v>7167</v>
      </c>
      <c r="O4764" s="92">
        <v>41540</v>
      </c>
      <c r="P4764" s="28" t="s">
        <v>21</v>
      </c>
      <c r="Q4764" s="26" t="b">
        <v>0</v>
      </c>
      <c r="R4764" s="22">
        <f t="shared" si="77"/>
        <v>115</v>
      </c>
    </row>
    <row r="4765" spans="1:18">
      <c r="A4765" s="26">
        <v>10070</v>
      </c>
      <c r="B4765" s="27">
        <v>41423</v>
      </c>
      <c r="C4765" s="28" t="s">
        <v>15279</v>
      </c>
      <c r="D4765" s="27">
        <v>41421</v>
      </c>
      <c r="E4765" s="28" t="s">
        <v>38</v>
      </c>
      <c r="F4765" s="28" t="s">
        <v>104</v>
      </c>
      <c r="G4765" s="28" t="s">
        <v>20</v>
      </c>
      <c r="H4765" s="28" t="s">
        <v>71</v>
      </c>
      <c r="I4765" s="28" t="s">
        <v>72</v>
      </c>
      <c r="J4765" s="28" t="s">
        <v>15280</v>
      </c>
      <c r="K4765" s="28" t="s">
        <v>15281</v>
      </c>
      <c r="L4765" s="28" t="s">
        <v>1946</v>
      </c>
      <c r="M4765" s="28" t="s">
        <v>21</v>
      </c>
      <c r="O4765" s="92">
        <v>41499</v>
      </c>
      <c r="P4765" s="28" t="s">
        <v>21</v>
      </c>
      <c r="Q4765" s="26" t="b">
        <v>0</v>
      </c>
      <c r="R4765" s="22">
        <f t="shared" si="77"/>
        <v>75</v>
      </c>
    </row>
    <row r="4766" spans="1:18">
      <c r="A4766" s="26">
        <v>10071</v>
      </c>
      <c r="B4766" s="27">
        <v>41423</v>
      </c>
      <c r="C4766" s="28" t="s">
        <v>15282</v>
      </c>
      <c r="D4766" s="27">
        <v>41417</v>
      </c>
      <c r="E4766" s="28" t="s">
        <v>15266</v>
      </c>
      <c r="F4766" s="28" t="s">
        <v>545</v>
      </c>
      <c r="G4766" s="28" t="s">
        <v>20</v>
      </c>
      <c r="H4766" s="28" t="s">
        <v>71</v>
      </c>
      <c r="I4766" s="28" t="s">
        <v>72</v>
      </c>
      <c r="J4766" s="28" t="s">
        <v>15283</v>
      </c>
      <c r="K4766" s="28" t="s">
        <v>6081</v>
      </c>
      <c r="L4766" s="28" t="s">
        <v>1946</v>
      </c>
      <c r="M4766" s="28" t="s">
        <v>21</v>
      </c>
      <c r="O4766" s="92">
        <v>41484</v>
      </c>
      <c r="P4766" s="28" t="s">
        <v>21</v>
      </c>
      <c r="Q4766" s="26" t="b">
        <v>0</v>
      </c>
      <c r="R4766" s="22">
        <f t="shared" si="77"/>
        <v>60</v>
      </c>
    </row>
    <row r="4767" spans="1:18">
      <c r="A4767" s="26">
        <v>10072</v>
      </c>
      <c r="B4767" s="27">
        <v>41423</v>
      </c>
      <c r="C4767" s="28" t="s">
        <v>15284</v>
      </c>
      <c r="D4767" s="27">
        <v>41422</v>
      </c>
      <c r="E4767" s="28" t="s">
        <v>15285</v>
      </c>
      <c r="F4767" s="28" t="s">
        <v>12371</v>
      </c>
      <c r="G4767" s="28" t="s">
        <v>20</v>
      </c>
      <c r="H4767" s="28" t="s">
        <v>566</v>
      </c>
      <c r="I4767" s="28" t="s">
        <v>566</v>
      </c>
      <c r="J4767" s="28" t="s">
        <v>15286</v>
      </c>
      <c r="K4767" s="28" t="s">
        <v>15287</v>
      </c>
      <c r="L4767" s="28" t="s">
        <v>1946</v>
      </c>
      <c r="M4767" s="28" t="s">
        <v>21</v>
      </c>
      <c r="O4767" s="92">
        <v>41491</v>
      </c>
      <c r="P4767" s="28" t="s">
        <v>21</v>
      </c>
      <c r="Q4767" s="26" t="b">
        <v>0</v>
      </c>
      <c r="R4767" s="22">
        <f t="shared" si="77"/>
        <v>66</v>
      </c>
    </row>
    <row r="4768" spans="1:18">
      <c r="A4768" s="26">
        <v>10073</v>
      </c>
      <c r="B4768" s="27">
        <v>41429</v>
      </c>
      <c r="C4768" s="28" t="s">
        <v>15288</v>
      </c>
      <c r="D4768" s="27">
        <v>41428</v>
      </c>
      <c r="E4768" s="28" t="s">
        <v>15289</v>
      </c>
      <c r="F4768" s="28" t="s">
        <v>124</v>
      </c>
      <c r="G4768" s="28" t="s">
        <v>20</v>
      </c>
      <c r="H4768" s="28" t="s">
        <v>71</v>
      </c>
      <c r="I4768" s="28" t="s">
        <v>72</v>
      </c>
      <c r="J4768" s="28" t="s">
        <v>2867</v>
      </c>
      <c r="K4768" s="28" t="s">
        <v>6081</v>
      </c>
      <c r="L4768" s="28" t="s">
        <v>14909</v>
      </c>
      <c r="M4768" s="28" t="s">
        <v>14581</v>
      </c>
      <c r="O4768" s="92">
        <v>41814</v>
      </c>
      <c r="P4768" s="28" t="s">
        <v>21</v>
      </c>
      <c r="Q4768" s="26" t="b">
        <v>0</v>
      </c>
      <c r="R4768" s="22">
        <f t="shared" si="77"/>
        <v>385</v>
      </c>
    </row>
    <row r="4769" spans="1:18">
      <c r="A4769" s="26">
        <v>10074</v>
      </c>
      <c r="B4769" s="27">
        <v>41431</v>
      </c>
      <c r="C4769" s="28" t="s">
        <v>15290</v>
      </c>
      <c r="D4769" s="27">
        <v>41431</v>
      </c>
      <c r="E4769" s="28" t="s">
        <v>11030</v>
      </c>
      <c r="F4769" s="28" t="s">
        <v>15291</v>
      </c>
      <c r="G4769" s="28" t="s">
        <v>20</v>
      </c>
      <c r="H4769" s="28" t="s">
        <v>71</v>
      </c>
      <c r="I4769" s="28" t="s">
        <v>72</v>
      </c>
      <c r="J4769" s="28" t="s">
        <v>15292</v>
      </c>
      <c r="K4769" s="28" t="s">
        <v>15293</v>
      </c>
      <c r="L4769" s="28" t="s">
        <v>1946</v>
      </c>
      <c r="M4769" s="28" t="s">
        <v>21</v>
      </c>
      <c r="O4769" s="92">
        <v>41458</v>
      </c>
      <c r="P4769" s="28" t="s">
        <v>21</v>
      </c>
      <c r="Q4769" s="26" t="b">
        <v>0</v>
      </c>
      <c r="R4769" s="22">
        <f t="shared" si="77"/>
        <v>27</v>
      </c>
    </row>
    <row r="4770" spans="1:18">
      <c r="A4770" s="26">
        <v>10075</v>
      </c>
      <c r="B4770" s="27">
        <v>41438</v>
      </c>
      <c r="C4770" s="28" t="s">
        <v>15294</v>
      </c>
      <c r="D4770" s="27">
        <v>41437</v>
      </c>
      <c r="E4770" s="28" t="s">
        <v>15295</v>
      </c>
      <c r="F4770" s="28" t="s">
        <v>19</v>
      </c>
      <c r="G4770" s="28" t="s">
        <v>20</v>
      </c>
      <c r="H4770" s="28" t="s">
        <v>71</v>
      </c>
      <c r="I4770" s="28" t="s">
        <v>72</v>
      </c>
      <c r="J4770" s="28" t="s">
        <v>15296</v>
      </c>
      <c r="K4770" s="28" t="s">
        <v>15297</v>
      </c>
      <c r="L4770" s="28" t="s">
        <v>1946</v>
      </c>
      <c r="M4770" s="28" t="s">
        <v>21</v>
      </c>
      <c r="O4770" s="92">
        <v>41484</v>
      </c>
      <c r="P4770" s="28" t="s">
        <v>21</v>
      </c>
      <c r="Q4770" s="26" t="b">
        <v>0</v>
      </c>
      <c r="R4770" s="22">
        <f t="shared" si="77"/>
        <v>46</v>
      </c>
    </row>
    <row r="4771" spans="1:18" ht="24">
      <c r="A4771" s="26">
        <v>10076</v>
      </c>
      <c r="B4771" s="27">
        <v>41439</v>
      </c>
      <c r="C4771" s="28" t="s">
        <v>15298</v>
      </c>
      <c r="D4771" s="27">
        <v>41439</v>
      </c>
      <c r="E4771" s="28" t="s">
        <v>38</v>
      </c>
      <c r="F4771" s="28" t="s">
        <v>4596</v>
      </c>
      <c r="G4771" s="28" t="s">
        <v>20</v>
      </c>
      <c r="H4771" s="28" t="s">
        <v>71</v>
      </c>
      <c r="I4771" s="28" t="s">
        <v>72</v>
      </c>
      <c r="J4771" s="28" t="s">
        <v>15299</v>
      </c>
      <c r="K4771" s="28" t="s">
        <v>21</v>
      </c>
      <c r="L4771" s="28" t="s">
        <v>4282</v>
      </c>
      <c r="M4771" s="28" t="s">
        <v>21</v>
      </c>
      <c r="O4771" s="92">
        <v>41439</v>
      </c>
      <c r="P4771" s="28" t="s">
        <v>21</v>
      </c>
      <c r="Q4771" s="26" t="b">
        <v>0</v>
      </c>
      <c r="R4771" s="22">
        <f t="shared" si="77"/>
        <v>0</v>
      </c>
    </row>
    <row r="4772" spans="1:18">
      <c r="A4772" s="26">
        <v>10077</v>
      </c>
      <c r="B4772" s="27">
        <v>41439</v>
      </c>
      <c r="C4772" s="28" t="s">
        <v>15300</v>
      </c>
      <c r="D4772" s="27">
        <v>41436</v>
      </c>
      <c r="E4772" s="28" t="s">
        <v>38</v>
      </c>
      <c r="F4772" s="28" t="s">
        <v>4596</v>
      </c>
      <c r="G4772" s="28" t="s">
        <v>20</v>
      </c>
      <c r="H4772" s="28" t="s">
        <v>71</v>
      </c>
      <c r="I4772" s="28" t="s">
        <v>72</v>
      </c>
      <c r="J4772" s="28" t="s">
        <v>15301</v>
      </c>
      <c r="K4772" s="28" t="s">
        <v>15302</v>
      </c>
      <c r="L4772" s="28" t="s">
        <v>4282</v>
      </c>
      <c r="M4772" s="28" t="s">
        <v>21</v>
      </c>
      <c r="O4772" s="92">
        <v>41439</v>
      </c>
      <c r="P4772" s="28" t="s">
        <v>21</v>
      </c>
      <c r="Q4772" s="26" t="b">
        <v>0</v>
      </c>
      <c r="R4772" s="22">
        <f t="shared" si="77"/>
        <v>0</v>
      </c>
    </row>
    <row r="4773" spans="1:18">
      <c r="A4773" s="26">
        <v>10078</v>
      </c>
      <c r="B4773" s="27">
        <v>41442</v>
      </c>
      <c r="C4773" s="28" t="s">
        <v>15303</v>
      </c>
      <c r="D4773" s="27">
        <v>41439</v>
      </c>
      <c r="E4773" s="28" t="s">
        <v>15304</v>
      </c>
      <c r="F4773" s="28" t="s">
        <v>14336</v>
      </c>
      <c r="G4773" s="28" t="s">
        <v>20</v>
      </c>
      <c r="H4773" s="28" t="s">
        <v>71</v>
      </c>
      <c r="I4773" s="28" t="s">
        <v>72</v>
      </c>
      <c r="J4773" s="28" t="s">
        <v>12626</v>
      </c>
      <c r="K4773" s="28" t="s">
        <v>21</v>
      </c>
      <c r="L4773" s="28" t="s">
        <v>7167</v>
      </c>
      <c r="M4773" s="28" t="s">
        <v>21</v>
      </c>
      <c r="O4773" s="92">
        <v>41540</v>
      </c>
      <c r="P4773" s="28" t="s">
        <v>21</v>
      </c>
      <c r="Q4773" s="26" t="b">
        <v>0</v>
      </c>
      <c r="R4773" s="22">
        <f t="shared" si="77"/>
        <v>97</v>
      </c>
    </row>
    <row r="4774" spans="1:18">
      <c r="A4774" s="26">
        <v>10079</v>
      </c>
      <c r="B4774" s="27">
        <v>41442</v>
      </c>
      <c r="C4774" s="28" t="s">
        <v>15305</v>
      </c>
      <c r="D4774" s="27">
        <v>41438</v>
      </c>
      <c r="E4774" s="28" t="s">
        <v>15306</v>
      </c>
      <c r="F4774" s="28" t="s">
        <v>228</v>
      </c>
      <c r="G4774" s="28" t="s">
        <v>20</v>
      </c>
      <c r="H4774" s="28" t="s">
        <v>71</v>
      </c>
      <c r="I4774" s="28" t="s">
        <v>72</v>
      </c>
      <c r="J4774" s="28" t="s">
        <v>15307</v>
      </c>
      <c r="K4774" s="28" t="s">
        <v>6081</v>
      </c>
      <c r="L4774" s="28" t="s">
        <v>7167</v>
      </c>
      <c r="M4774" s="28" t="s">
        <v>4282</v>
      </c>
      <c r="O4774" s="92">
        <v>41477</v>
      </c>
      <c r="P4774" s="28" t="s">
        <v>21</v>
      </c>
      <c r="Q4774" s="26" t="b">
        <v>0</v>
      </c>
      <c r="R4774" s="22">
        <f t="shared" si="77"/>
        <v>35</v>
      </c>
    </row>
    <row r="4775" spans="1:18">
      <c r="A4775" s="26">
        <v>10080</v>
      </c>
      <c r="B4775" s="27">
        <v>41444</v>
      </c>
      <c r="C4775" s="28" t="s">
        <v>15308</v>
      </c>
      <c r="D4775" s="27">
        <v>41431</v>
      </c>
      <c r="E4775" s="28" t="s">
        <v>38</v>
      </c>
      <c r="F4775" s="28" t="s">
        <v>27</v>
      </c>
      <c r="G4775" s="28" t="s">
        <v>20</v>
      </c>
      <c r="H4775" s="28" t="s">
        <v>71</v>
      </c>
      <c r="I4775" s="28" t="s">
        <v>72</v>
      </c>
      <c r="J4775" s="28" t="s">
        <v>15309</v>
      </c>
      <c r="K4775" s="28" t="s">
        <v>15310</v>
      </c>
      <c r="L4775" s="28" t="s">
        <v>1946</v>
      </c>
      <c r="M4775" s="28" t="s">
        <v>21</v>
      </c>
      <c r="O4775" s="92">
        <v>41488</v>
      </c>
      <c r="P4775" s="28" t="s">
        <v>21</v>
      </c>
      <c r="Q4775" s="26" t="b">
        <v>0</v>
      </c>
      <c r="R4775" s="22">
        <f t="shared" si="77"/>
        <v>43</v>
      </c>
    </row>
    <row r="4776" spans="1:18">
      <c r="A4776" s="26">
        <v>10081</v>
      </c>
      <c r="B4776" s="27">
        <v>41444</v>
      </c>
      <c r="C4776" s="28" t="s">
        <v>15311</v>
      </c>
      <c r="D4776" s="27">
        <v>41424</v>
      </c>
      <c r="E4776" s="28" t="s">
        <v>15312</v>
      </c>
      <c r="F4776" s="28" t="s">
        <v>8358</v>
      </c>
      <c r="G4776" s="28" t="s">
        <v>20</v>
      </c>
      <c r="H4776" s="28" t="s">
        <v>71</v>
      </c>
      <c r="I4776" s="28" t="s">
        <v>72</v>
      </c>
      <c r="J4776" s="28" t="s">
        <v>15313</v>
      </c>
      <c r="K4776" s="28" t="s">
        <v>15314</v>
      </c>
      <c r="L4776" s="28" t="s">
        <v>1946</v>
      </c>
      <c r="M4776" s="28" t="s">
        <v>21</v>
      </c>
      <c r="O4776" s="92">
        <v>42062</v>
      </c>
      <c r="P4776" s="28" t="s">
        <v>21</v>
      </c>
      <c r="Q4776" s="26" t="b">
        <v>0</v>
      </c>
      <c r="R4776" s="22">
        <f t="shared" si="77"/>
        <v>616</v>
      </c>
    </row>
    <row r="4777" spans="1:18">
      <c r="A4777" s="26">
        <v>10082</v>
      </c>
      <c r="B4777" s="27">
        <v>41444</v>
      </c>
      <c r="C4777" s="28" t="s">
        <v>15315</v>
      </c>
      <c r="D4777" s="27">
        <v>41442</v>
      </c>
      <c r="E4777" s="28" t="s">
        <v>15316</v>
      </c>
      <c r="F4777" s="28" t="s">
        <v>14336</v>
      </c>
      <c r="G4777" s="28" t="s">
        <v>20</v>
      </c>
      <c r="H4777" s="28" t="s">
        <v>71</v>
      </c>
      <c r="I4777" s="28" t="s">
        <v>72</v>
      </c>
      <c r="J4777" s="28" t="s">
        <v>14596</v>
      </c>
      <c r="K4777" s="28" t="s">
        <v>15317</v>
      </c>
      <c r="L4777" s="28" t="s">
        <v>1946</v>
      </c>
      <c r="M4777" s="28" t="s">
        <v>21</v>
      </c>
      <c r="O4777" s="92">
        <v>42062</v>
      </c>
      <c r="P4777" s="28" t="s">
        <v>21</v>
      </c>
      <c r="Q4777" s="26" t="b">
        <v>0</v>
      </c>
      <c r="R4777" s="22">
        <f t="shared" si="77"/>
        <v>616</v>
      </c>
    </row>
    <row r="4778" spans="1:18">
      <c r="A4778" s="26">
        <v>10083</v>
      </c>
      <c r="B4778" s="27">
        <v>41445</v>
      </c>
      <c r="C4778" s="28" t="s">
        <v>15318</v>
      </c>
      <c r="D4778" s="27">
        <v>41443</v>
      </c>
      <c r="E4778" s="28" t="s">
        <v>15319</v>
      </c>
      <c r="F4778" s="28" t="s">
        <v>13960</v>
      </c>
      <c r="G4778" s="28" t="s">
        <v>20</v>
      </c>
      <c r="H4778" s="28" t="s">
        <v>71</v>
      </c>
      <c r="I4778" s="28" t="s">
        <v>72</v>
      </c>
      <c r="J4778" s="28" t="s">
        <v>15320</v>
      </c>
      <c r="K4778" s="28" t="s">
        <v>21</v>
      </c>
      <c r="L4778" s="28" t="s">
        <v>14411</v>
      </c>
      <c r="M4778" s="28" t="s">
        <v>4282</v>
      </c>
      <c r="O4778" s="92">
        <v>42138</v>
      </c>
      <c r="P4778" s="28" t="s">
        <v>21</v>
      </c>
      <c r="Q4778" s="26" t="b">
        <v>0</v>
      </c>
      <c r="R4778" s="22">
        <f t="shared" si="77"/>
        <v>693</v>
      </c>
    </row>
    <row r="4779" spans="1:18">
      <c r="A4779" s="26">
        <v>10084</v>
      </c>
      <c r="B4779" s="27">
        <v>41445</v>
      </c>
      <c r="C4779" s="28" t="s">
        <v>15321</v>
      </c>
      <c r="D4779" s="27">
        <v>41443</v>
      </c>
      <c r="E4779" s="28" t="s">
        <v>15322</v>
      </c>
      <c r="F4779" s="28" t="s">
        <v>15323</v>
      </c>
      <c r="G4779" s="28" t="s">
        <v>20</v>
      </c>
      <c r="H4779" s="28" t="s">
        <v>71</v>
      </c>
      <c r="I4779" s="28" t="s">
        <v>72</v>
      </c>
      <c r="J4779" s="28" t="s">
        <v>15324</v>
      </c>
      <c r="K4779" s="28" t="s">
        <v>21</v>
      </c>
      <c r="L4779" s="28" t="s">
        <v>1946</v>
      </c>
      <c r="M4779" s="28" t="s">
        <v>21</v>
      </c>
      <c r="O4779" s="92">
        <v>41477</v>
      </c>
      <c r="P4779" s="28" t="s">
        <v>21</v>
      </c>
      <c r="Q4779" s="26" t="b">
        <v>0</v>
      </c>
      <c r="R4779" s="22">
        <f t="shared" si="77"/>
        <v>32</v>
      </c>
    </row>
    <row r="4780" spans="1:18">
      <c r="A4780" s="26">
        <v>10085</v>
      </c>
      <c r="B4780" s="27">
        <v>41445</v>
      </c>
      <c r="C4780" s="28" t="s">
        <v>15325</v>
      </c>
      <c r="D4780" s="27">
        <v>41436</v>
      </c>
      <c r="E4780" s="28" t="s">
        <v>15326</v>
      </c>
      <c r="F4780" s="28" t="s">
        <v>371</v>
      </c>
      <c r="G4780" s="28" t="s">
        <v>20</v>
      </c>
      <c r="H4780" s="28" t="s">
        <v>71</v>
      </c>
      <c r="I4780" s="28" t="s">
        <v>72</v>
      </c>
      <c r="J4780" s="28" t="s">
        <v>15327</v>
      </c>
      <c r="K4780" s="28" t="s">
        <v>6081</v>
      </c>
      <c r="L4780" s="28" t="s">
        <v>1152</v>
      </c>
      <c r="M4780" s="28" t="s">
        <v>3588</v>
      </c>
      <c r="O4780" s="94">
        <v>41544</v>
      </c>
      <c r="P4780" s="28" t="s">
        <v>21</v>
      </c>
      <c r="Q4780" s="26" t="b">
        <v>0</v>
      </c>
      <c r="R4780" s="22">
        <f t="shared" si="77"/>
        <v>98</v>
      </c>
    </row>
    <row r="4781" spans="1:18">
      <c r="A4781" s="26">
        <v>10086</v>
      </c>
      <c r="B4781" s="27">
        <v>41445</v>
      </c>
      <c r="C4781" s="28" t="s">
        <v>15328</v>
      </c>
      <c r="D4781" s="27">
        <v>41409</v>
      </c>
      <c r="E4781" s="28" t="s">
        <v>15329</v>
      </c>
      <c r="F4781" s="28" t="s">
        <v>104</v>
      </c>
      <c r="G4781" s="28" t="s">
        <v>20</v>
      </c>
      <c r="H4781" s="28" t="s">
        <v>71</v>
      </c>
      <c r="I4781" s="28" t="s">
        <v>72</v>
      </c>
      <c r="J4781" s="28" t="s">
        <v>15330</v>
      </c>
      <c r="K4781" s="28" t="s">
        <v>15331</v>
      </c>
      <c r="L4781" s="28" t="s">
        <v>1152</v>
      </c>
      <c r="M4781" s="28" t="s">
        <v>3588</v>
      </c>
      <c r="O4781" s="92">
        <v>41576</v>
      </c>
      <c r="P4781" s="28" t="s">
        <v>21</v>
      </c>
      <c r="Q4781" s="26" t="b">
        <v>0</v>
      </c>
      <c r="R4781" s="22">
        <f t="shared" si="77"/>
        <v>130</v>
      </c>
    </row>
    <row r="4782" spans="1:18">
      <c r="A4782" s="26">
        <v>10087</v>
      </c>
      <c r="B4782" s="27">
        <v>41445</v>
      </c>
      <c r="C4782" s="28" t="s">
        <v>15332</v>
      </c>
      <c r="D4782" s="27">
        <v>41430</v>
      </c>
      <c r="E4782" s="28" t="s">
        <v>15333</v>
      </c>
      <c r="F4782" s="28" t="s">
        <v>14336</v>
      </c>
      <c r="G4782" s="28" t="s">
        <v>20</v>
      </c>
      <c r="H4782" s="28" t="s">
        <v>71</v>
      </c>
      <c r="I4782" s="28" t="s">
        <v>72</v>
      </c>
      <c r="J4782" s="28" t="s">
        <v>15334</v>
      </c>
      <c r="K4782" s="28" t="s">
        <v>6081</v>
      </c>
      <c r="L4782" s="28" t="s">
        <v>1946</v>
      </c>
      <c r="M4782" s="28" t="s">
        <v>21</v>
      </c>
      <c r="O4782" s="92">
        <v>41488</v>
      </c>
      <c r="P4782" s="28" t="s">
        <v>21</v>
      </c>
      <c r="Q4782" s="26" t="b">
        <v>0</v>
      </c>
      <c r="R4782" s="22">
        <f t="shared" si="77"/>
        <v>42</v>
      </c>
    </row>
    <row r="4783" spans="1:18" ht="24">
      <c r="A4783" s="26">
        <v>10089</v>
      </c>
      <c r="B4783" s="27">
        <v>41449</v>
      </c>
      <c r="C4783" s="28" t="s">
        <v>15335</v>
      </c>
      <c r="D4783" s="27">
        <v>41445</v>
      </c>
      <c r="E4783" s="28" t="s">
        <v>15336</v>
      </c>
      <c r="F4783" s="28" t="s">
        <v>12892</v>
      </c>
      <c r="G4783" s="28" t="s">
        <v>20</v>
      </c>
      <c r="H4783" s="28" t="s">
        <v>71</v>
      </c>
      <c r="I4783" s="28" t="s">
        <v>72</v>
      </c>
      <c r="J4783" s="28" t="s">
        <v>15337</v>
      </c>
      <c r="K4783" s="28" t="s">
        <v>21</v>
      </c>
      <c r="L4783" s="28" t="s">
        <v>14411</v>
      </c>
      <c r="M4783" s="28" t="s">
        <v>15338</v>
      </c>
      <c r="O4783" s="92">
        <v>42185</v>
      </c>
      <c r="P4783" s="28" t="s">
        <v>21</v>
      </c>
      <c r="Q4783" s="26" t="b">
        <v>0</v>
      </c>
      <c r="R4783" s="22">
        <f t="shared" si="77"/>
        <v>736</v>
      </c>
    </row>
    <row r="4784" spans="1:18">
      <c r="A4784" s="26">
        <v>10090</v>
      </c>
      <c r="B4784" s="27">
        <v>41452</v>
      </c>
      <c r="C4784" s="28" t="s">
        <v>15339</v>
      </c>
      <c r="D4784" s="27">
        <v>41446</v>
      </c>
      <c r="E4784" s="28" t="s">
        <v>1928</v>
      </c>
      <c r="F4784" s="28" t="s">
        <v>27</v>
      </c>
      <c r="G4784" s="28" t="s">
        <v>20</v>
      </c>
      <c r="H4784" s="28" t="s">
        <v>71</v>
      </c>
      <c r="I4784" s="28" t="s">
        <v>72</v>
      </c>
      <c r="J4784" s="28" t="s">
        <v>15340</v>
      </c>
      <c r="K4784" s="28" t="s">
        <v>15255</v>
      </c>
      <c r="L4784" s="28" t="s">
        <v>3588</v>
      </c>
      <c r="M4784" s="28" t="s">
        <v>21</v>
      </c>
      <c r="O4784" s="92">
        <v>41452</v>
      </c>
      <c r="P4784" s="28" t="s">
        <v>21</v>
      </c>
      <c r="Q4784" s="26" t="b">
        <v>0</v>
      </c>
      <c r="R4784" s="22">
        <f t="shared" si="77"/>
        <v>0</v>
      </c>
    </row>
    <row r="4785" spans="1:18">
      <c r="A4785" s="26">
        <v>10091</v>
      </c>
      <c r="B4785" s="27">
        <v>41453</v>
      </c>
      <c r="C4785" s="28" t="s">
        <v>15341</v>
      </c>
      <c r="D4785" s="27">
        <v>41456</v>
      </c>
      <c r="E4785" s="28" t="s">
        <v>38</v>
      </c>
      <c r="F4785" s="28" t="s">
        <v>56</v>
      </c>
      <c r="G4785" s="28" t="s">
        <v>20</v>
      </c>
      <c r="H4785" s="28" t="s">
        <v>71</v>
      </c>
      <c r="I4785" s="28" t="s">
        <v>72</v>
      </c>
      <c r="J4785" s="28" t="s">
        <v>15342</v>
      </c>
      <c r="K4785" s="28" t="s">
        <v>21</v>
      </c>
      <c r="L4785" s="28" t="s">
        <v>1152</v>
      </c>
      <c r="M4785" s="28" t="s">
        <v>3588</v>
      </c>
      <c r="O4785" s="92">
        <v>41526</v>
      </c>
      <c r="P4785" s="28" t="s">
        <v>21</v>
      </c>
      <c r="Q4785" s="26" t="b">
        <v>0</v>
      </c>
      <c r="R4785" s="22">
        <f t="shared" si="77"/>
        <v>71</v>
      </c>
    </row>
    <row r="4786" spans="1:18">
      <c r="A4786" s="26">
        <v>10092</v>
      </c>
      <c r="B4786" s="27">
        <v>41456</v>
      </c>
      <c r="C4786" s="28" t="s">
        <v>15343</v>
      </c>
      <c r="D4786" s="27">
        <v>41432</v>
      </c>
      <c r="E4786" s="28" t="s">
        <v>15344</v>
      </c>
      <c r="F4786" s="28" t="s">
        <v>52</v>
      </c>
      <c r="G4786" s="28" t="s">
        <v>20</v>
      </c>
      <c r="H4786" s="28" t="s">
        <v>71</v>
      </c>
      <c r="I4786" s="28" t="s">
        <v>72</v>
      </c>
      <c r="J4786" s="28" t="s">
        <v>15345</v>
      </c>
      <c r="K4786" s="28" t="s">
        <v>272</v>
      </c>
      <c r="L4786" s="28" t="s">
        <v>1946</v>
      </c>
      <c r="M4786" s="28" t="s">
        <v>21</v>
      </c>
      <c r="O4786" s="92">
        <v>41564</v>
      </c>
      <c r="P4786" s="28" t="s">
        <v>21</v>
      </c>
      <c r="Q4786" s="26" t="b">
        <v>0</v>
      </c>
      <c r="R4786" s="22">
        <f t="shared" si="77"/>
        <v>107</v>
      </c>
    </row>
    <row r="4787" spans="1:18">
      <c r="A4787" s="26">
        <v>10094</v>
      </c>
      <c r="B4787" s="27">
        <v>41457</v>
      </c>
      <c r="C4787" s="28" t="s">
        <v>15346</v>
      </c>
      <c r="D4787" s="27">
        <v>41448</v>
      </c>
      <c r="E4787" s="28" t="s">
        <v>15347</v>
      </c>
      <c r="F4787" s="28" t="s">
        <v>14871</v>
      </c>
      <c r="G4787" s="28" t="s">
        <v>20</v>
      </c>
      <c r="H4787" s="28" t="s">
        <v>212</v>
      </c>
      <c r="I4787" s="28" t="s">
        <v>212</v>
      </c>
      <c r="J4787" s="28" t="s">
        <v>15348</v>
      </c>
      <c r="K4787" s="28" t="s">
        <v>15349</v>
      </c>
      <c r="L4787" s="28" t="s">
        <v>7167</v>
      </c>
      <c r="M4787" s="28" t="s">
        <v>21</v>
      </c>
      <c r="O4787" s="92">
        <v>41477</v>
      </c>
      <c r="P4787" s="28" t="s">
        <v>21</v>
      </c>
      <c r="Q4787" s="26" t="b">
        <v>0</v>
      </c>
      <c r="R4787" s="22">
        <f t="shared" si="77"/>
        <v>20</v>
      </c>
    </row>
    <row r="4788" spans="1:18" ht="32">
      <c r="A4788" s="33">
        <v>10095</v>
      </c>
      <c r="B4788" s="34">
        <v>41457</v>
      </c>
      <c r="C4788" s="35" t="s">
        <v>17908</v>
      </c>
      <c r="D4788" s="34">
        <v>41457</v>
      </c>
      <c r="E4788" s="35" t="s">
        <v>15350</v>
      </c>
      <c r="F4788" s="35" t="s">
        <v>14344</v>
      </c>
      <c r="G4788" s="35" t="s">
        <v>20</v>
      </c>
      <c r="H4788" s="35" t="s">
        <v>71</v>
      </c>
      <c r="I4788" s="35" t="s">
        <v>72</v>
      </c>
      <c r="J4788" s="35" t="s">
        <v>15351</v>
      </c>
      <c r="K4788" s="35" t="s">
        <v>15352</v>
      </c>
      <c r="L4788" s="35" t="s">
        <v>4282</v>
      </c>
      <c r="M4788" s="35" t="s">
        <v>21</v>
      </c>
      <c r="N4788" s="36"/>
      <c r="O4788" s="97">
        <v>42635</v>
      </c>
      <c r="P4788" s="35" t="s">
        <v>21</v>
      </c>
      <c r="Q4788" s="33" t="b">
        <v>0</v>
      </c>
      <c r="R4788" s="22">
        <f t="shared" si="77"/>
        <v>1176</v>
      </c>
    </row>
    <row r="4789" spans="1:18">
      <c r="A4789" s="26">
        <v>10096</v>
      </c>
      <c r="B4789" s="27">
        <v>41458</v>
      </c>
      <c r="C4789" s="28" t="s">
        <v>15353</v>
      </c>
      <c r="D4789" s="27">
        <v>41453</v>
      </c>
      <c r="E4789" s="28" t="s">
        <v>15354</v>
      </c>
      <c r="F4789" s="28" t="s">
        <v>4596</v>
      </c>
      <c r="G4789" s="28" t="s">
        <v>20</v>
      </c>
      <c r="H4789" s="28" t="s">
        <v>566</v>
      </c>
      <c r="I4789" s="28" t="s">
        <v>566</v>
      </c>
      <c r="J4789" s="28" t="s">
        <v>15355</v>
      </c>
      <c r="K4789" s="28" t="s">
        <v>15356</v>
      </c>
      <c r="L4789" s="28" t="s">
        <v>7167</v>
      </c>
      <c r="M4789" s="28" t="s">
        <v>21</v>
      </c>
      <c r="O4789" s="94">
        <v>41487</v>
      </c>
      <c r="P4789" s="28" t="s">
        <v>21</v>
      </c>
      <c r="Q4789" s="26" t="b">
        <v>0</v>
      </c>
      <c r="R4789" s="22">
        <f t="shared" si="77"/>
        <v>28</v>
      </c>
    </row>
    <row r="4790" spans="1:18">
      <c r="A4790" s="26">
        <v>10097</v>
      </c>
      <c r="B4790" s="27">
        <v>41463</v>
      </c>
      <c r="C4790" s="28" t="s">
        <v>15357</v>
      </c>
      <c r="D4790" s="27">
        <v>41460</v>
      </c>
      <c r="E4790" s="28" t="s">
        <v>15358</v>
      </c>
      <c r="F4790" s="28" t="s">
        <v>1232</v>
      </c>
      <c r="G4790" s="28" t="s">
        <v>20</v>
      </c>
      <c r="H4790" s="28" t="s">
        <v>189</v>
      </c>
      <c r="I4790" s="28" t="s">
        <v>189</v>
      </c>
      <c r="J4790" s="28" t="s">
        <v>15359</v>
      </c>
      <c r="K4790" s="28" t="s">
        <v>21</v>
      </c>
      <c r="L4790" s="28" t="s">
        <v>1152</v>
      </c>
      <c r="M4790" s="28" t="s">
        <v>3588</v>
      </c>
      <c r="O4790" s="92">
        <v>41544</v>
      </c>
      <c r="P4790" s="28" t="s">
        <v>21</v>
      </c>
      <c r="Q4790" s="26" t="b">
        <v>0</v>
      </c>
      <c r="R4790" s="22">
        <f t="shared" si="77"/>
        <v>80</v>
      </c>
    </row>
    <row r="4791" spans="1:18">
      <c r="A4791" s="26">
        <v>10099</v>
      </c>
      <c r="B4791" s="27">
        <v>41467</v>
      </c>
      <c r="C4791" s="28" t="s">
        <v>15363</v>
      </c>
      <c r="D4791" s="27">
        <v>41467</v>
      </c>
      <c r="E4791" s="28" t="s">
        <v>38</v>
      </c>
      <c r="F4791" s="28" t="s">
        <v>124</v>
      </c>
      <c r="G4791" s="28" t="s">
        <v>20</v>
      </c>
      <c r="H4791" s="28" t="s">
        <v>71</v>
      </c>
      <c r="I4791" s="28" t="s">
        <v>72</v>
      </c>
      <c r="J4791" s="28" t="s">
        <v>15364</v>
      </c>
      <c r="K4791" s="28" t="s">
        <v>15365</v>
      </c>
      <c r="L4791" s="28" t="s">
        <v>7167</v>
      </c>
      <c r="M4791" s="28" t="s">
        <v>21</v>
      </c>
      <c r="O4791" s="92">
        <v>41471</v>
      </c>
      <c r="P4791" s="28" t="s">
        <v>21</v>
      </c>
      <c r="Q4791" s="26" t="b">
        <v>0</v>
      </c>
      <c r="R4791" s="22">
        <f t="shared" si="77"/>
        <v>4</v>
      </c>
    </row>
    <row r="4792" spans="1:18">
      <c r="A4792" s="26">
        <v>10098</v>
      </c>
      <c r="B4792" s="27">
        <v>41470</v>
      </c>
      <c r="C4792" s="28" t="s">
        <v>15360</v>
      </c>
      <c r="D4792" s="27">
        <v>41470</v>
      </c>
      <c r="E4792" s="28" t="s">
        <v>38</v>
      </c>
      <c r="F4792" s="28" t="s">
        <v>145</v>
      </c>
      <c r="G4792" s="28" t="s">
        <v>20</v>
      </c>
      <c r="H4792" s="28" t="s">
        <v>71</v>
      </c>
      <c r="I4792" s="28" t="s">
        <v>72</v>
      </c>
      <c r="J4792" s="28" t="s">
        <v>15361</v>
      </c>
      <c r="K4792" s="28" t="s">
        <v>15362</v>
      </c>
      <c r="L4792" s="28" t="s">
        <v>1946</v>
      </c>
      <c r="M4792" s="28" t="s">
        <v>21</v>
      </c>
      <c r="O4792" s="92">
        <v>41478</v>
      </c>
      <c r="P4792" s="28" t="s">
        <v>21</v>
      </c>
      <c r="Q4792" s="26" t="b">
        <v>0</v>
      </c>
      <c r="R4792" s="22">
        <f t="shared" si="77"/>
        <v>8</v>
      </c>
    </row>
    <row r="4793" spans="1:18">
      <c r="A4793" s="26">
        <v>10100</v>
      </c>
      <c r="B4793" s="27">
        <v>41471</v>
      </c>
      <c r="C4793" s="28" t="s">
        <v>15366</v>
      </c>
      <c r="D4793" s="27">
        <v>41471</v>
      </c>
      <c r="E4793" s="28" t="s">
        <v>15367</v>
      </c>
      <c r="F4793" s="28" t="s">
        <v>56</v>
      </c>
      <c r="G4793" s="28" t="s">
        <v>20</v>
      </c>
      <c r="H4793" s="28" t="s">
        <v>71</v>
      </c>
      <c r="I4793" s="28" t="s">
        <v>72</v>
      </c>
      <c r="J4793" s="28" t="s">
        <v>15368</v>
      </c>
      <c r="K4793" s="28" t="s">
        <v>15369</v>
      </c>
      <c r="L4793" s="28" t="s">
        <v>7167</v>
      </c>
      <c r="M4793" s="28" t="s">
        <v>21</v>
      </c>
      <c r="O4793" s="92">
        <v>41479</v>
      </c>
      <c r="P4793" s="28" t="s">
        <v>21</v>
      </c>
      <c r="Q4793" s="26" t="b">
        <v>0</v>
      </c>
      <c r="R4793" s="22">
        <f t="shared" si="77"/>
        <v>8</v>
      </c>
    </row>
    <row r="4794" spans="1:18">
      <c r="A4794" s="26">
        <v>10101</v>
      </c>
      <c r="B4794" s="27">
        <v>41477</v>
      </c>
      <c r="C4794" s="28" t="s">
        <v>15370</v>
      </c>
      <c r="D4794" s="27">
        <v>41472</v>
      </c>
      <c r="E4794" s="28" t="s">
        <v>38</v>
      </c>
      <c r="F4794" s="28" t="s">
        <v>8615</v>
      </c>
      <c r="G4794" s="28" t="s">
        <v>20</v>
      </c>
      <c r="H4794" s="28" t="s">
        <v>71</v>
      </c>
      <c r="I4794" s="28" t="s">
        <v>72</v>
      </c>
      <c r="J4794" s="28" t="s">
        <v>15371</v>
      </c>
      <c r="K4794" s="28" t="s">
        <v>15372</v>
      </c>
      <c r="L4794" s="28" t="s">
        <v>14349</v>
      </c>
      <c r="M4794" s="28" t="s">
        <v>21</v>
      </c>
      <c r="O4794" s="92">
        <v>41472</v>
      </c>
      <c r="P4794" s="28" t="s">
        <v>21</v>
      </c>
      <c r="Q4794" s="26" t="b">
        <v>0</v>
      </c>
      <c r="R4794" s="22">
        <f t="shared" si="77"/>
        <v>5</v>
      </c>
    </row>
    <row r="4795" spans="1:18">
      <c r="A4795" s="26">
        <v>10102</v>
      </c>
      <c r="B4795" s="27">
        <v>41477</v>
      </c>
      <c r="C4795" s="28" t="s">
        <v>15373</v>
      </c>
      <c r="D4795" s="27">
        <v>41474</v>
      </c>
      <c r="E4795" s="28" t="s">
        <v>38</v>
      </c>
      <c r="F4795" s="28" t="s">
        <v>1771</v>
      </c>
      <c r="G4795" s="28" t="s">
        <v>20</v>
      </c>
      <c r="H4795" s="28" t="s">
        <v>189</v>
      </c>
      <c r="I4795" s="28" t="s">
        <v>189</v>
      </c>
      <c r="J4795" s="28" t="s">
        <v>174</v>
      </c>
      <c r="K4795" s="28" t="s">
        <v>15374</v>
      </c>
      <c r="L4795" s="28" t="s">
        <v>3588</v>
      </c>
      <c r="M4795" s="28" t="s">
        <v>21</v>
      </c>
      <c r="O4795" s="92">
        <v>41478</v>
      </c>
      <c r="P4795" s="28" t="s">
        <v>21</v>
      </c>
      <c r="Q4795" s="26" t="b">
        <v>0</v>
      </c>
      <c r="R4795" s="22">
        <f t="shared" si="77"/>
        <v>1</v>
      </c>
    </row>
    <row r="4796" spans="1:18" ht="32">
      <c r="A4796" s="33">
        <v>10103</v>
      </c>
      <c r="B4796" s="34">
        <v>41477</v>
      </c>
      <c r="C4796" s="35" t="s">
        <v>17983</v>
      </c>
      <c r="D4796" s="34">
        <v>41472</v>
      </c>
      <c r="E4796" s="35" t="s">
        <v>15375</v>
      </c>
      <c r="F4796" s="35" t="s">
        <v>85</v>
      </c>
      <c r="G4796" s="35" t="s">
        <v>20</v>
      </c>
      <c r="H4796" s="35" t="s">
        <v>71</v>
      </c>
      <c r="I4796" s="35" t="s">
        <v>72</v>
      </c>
      <c r="J4796" s="35" t="s">
        <v>15376</v>
      </c>
      <c r="K4796" s="35" t="s">
        <v>15377</v>
      </c>
      <c r="L4796" s="35" t="s">
        <v>14909</v>
      </c>
      <c r="M4796" s="35" t="s">
        <v>14519</v>
      </c>
      <c r="N4796" s="36"/>
      <c r="O4796" s="96">
        <v>42674</v>
      </c>
      <c r="P4796" s="35" t="s">
        <v>21</v>
      </c>
      <c r="Q4796" s="33" t="b">
        <v>0</v>
      </c>
      <c r="R4796" s="22">
        <f t="shared" si="77"/>
        <v>1195</v>
      </c>
    </row>
    <row r="4797" spans="1:18" ht="32">
      <c r="A4797" s="33">
        <v>10104</v>
      </c>
      <c r="B4797" s="34">
        <v>41477</v>
      </c>
      <c r="C4797" s="35" t="s">
        <v>17734</v>
      </c>
      <c r="D4797" s="34">
        <v>41470</v>
      </c>
      <c r="E4797" s="35" t="s">
        <v>15378</v>
      </c>
      <c r="F4797" s="35" t="s">
        <v>1939</v>
      </c>
      <c r="G4797" s="35" t="s">
        <v>20</v>
      </c>
      <c r="H4797" s="35" t="s">
        <v>71</v>
      </c>
      <c r="I4797" s="35" t="s">
        <v>72</v>
      </c>
      <c r="J4797" s="35" t="s">
        <v>15379</v>
      </c>
      <c r="K4797" s="35" t="s">
        <v>15380</v>
      </c>
      <c r="L4797" s="35" t="s">
        <v>4282</v>
      </c>
      <c r="M4797" s="35" t="s">
        <v>7167</v>
      </c>
      <c r="N4797" s="36"/>
      <c r="O4797" s="96">
        <v>42551</v>
      </c>
      <c r="P4797" s="35" t="s">
        <v>21</v>
      </c>
      <c r="Q4797" s="33" t="b">
        <v>1</v>
      </c>
      <c r="R4797" s="22">
        <f t="shared" si="77"/>
        <v>1072</v>
      </c>
    </row>
    <row r="4798" spans="1:18">
      <c r="A4798" s="26">
        <v>10105</v>
      </c>
      <c r="B4798" s="27">
        <v>41477</v>
      </c>
      <c r="C4798" s="28" t="s">
        <v>15381</v>
      </c>
      <c r="D4798" s="27">
        <v>41474</v>
      </c>
      <c r="E4798" s="28" t="s">
        <v>15382</v>
      </c>
      <c r="F4798" s="28" t="s">
        <v>8615</v>
      </c>
      <c r="G4798" s="28" t="s">
        <v>20</v>
      </c>
      <c r="H4798" s="28" t="s">
        <v>71</v>
      </c>
      <c r="I4798" s="28" t="s">
        <v>72</v>
      </c>
      <c r="J4798" s="28" t="s">
        <v>15383</v>
      </c>
      <c r="K4798" s="28" t="s">
        <v>15384</v>
      </c>
      <c r="L4798" s="28" t="s">
        <v>7167</v>
      </c>
      <c r="M4798" s="28" t="s">
        <v>21</v>
      </c>
      <c r="O4798" s="92">
        <v>41558</v>
      </c>
      <c r="P4798" s="28" t="s">
        <v>21</v>
      </c>
      <c r="Q4798" s="26" t="b">
        <v>0</v>
      </c>
      <c r="R4798" s="22">
        <f t="shared" si="77"/>
        <v>80</v>
      </c>
    </row>
    <row r="4799" spans="1:18">
      <c r="A4799" s="26">
        <v>10106</v>
      </c>
      <c r="B4799" s="27">
        <v>41477</v>
      </c>
      <c r="C4799" s="28" t="s">
        <v>15385</v>
      </c>
      <c r="D4799" s="27">
        <v>41477</v>
      </c>
      <c r="E4799" s="28" t="s">
        <v>15386</v>
      </c>
      <c r="F4799" s="28" t="s">
        <v>8615</v>
      </c>
      <c r="G4799" s="28" t="s">
        <v>20</v>
      </c>
      <c r="H4799" s="28" t="s">
        <v>71</v>
      </c>
      <c r="I4799" s="28" t="s">
        <v>72</v>
      </c>
      <c r="J4799" s="28" t="s">
        <v>15387</v>
      </c>
      <c r="K4799" s="28" t="s">
        <v>15388</v>
      </c>
      <c r="L4799" s="28" t="s">
        <v>7167</v>
      </c>
      <c r="M4799" s="28" t="s">
        <v>21</v>
      </c>
      <c r="O4799" s="92">
        <v>41558</v>
      </c>
      <c r="P4799" s="28" t="s">
        <v>21</v>
      </c>
      <c r="Q4799" s="26" t="b">
        <v>0</v>
      </c>
      <c r="R4799" s="22">
        <f t="shared" si="77"/>
        <v>80</v>
      </c>
    </row>
    <row r="4800" spans="1:18">
      <c r="A4800" s="26">
        <v>10107</v>
      </c>
      <c r="B4800" s="27">
        <v>41477</v>
      </c>
      <c r="C4800" s="28" t="s">
        <v>15389</v>
      </c>
      <c r="D4800" s="27">
        <v>41473</v>
      </c>
      <c r="E4800" s="28" t="s">
        <v>15390</v>
      </c>
      <c r="F4800" s="28" t="s">
        <v>104</v>
      </c>
      <c r="G4800" s="28" t="s">
        <v>20</v>
      </c>
      <c r="H4800" s="28" t="s">
        <v>71</v>
      </c>
      <c r="I4800" s="28" t="s">
        <v>72</v>
      </c>
      <c r="J4800" s="28" t="s">
        <v>272</v>
      </c>
      <c r="K4800" s="28" t="s">
        <v>13842</v>
      </c>
      <c r="L4800" s="28" t="s">
        <v>4282</v>
      </c>
      <c r="M4800" s="28" t="s">
        <v>21</v>
      </c>
      <c r="O4800" s="92">
        <v>41628</v>
      </c>
      <c r="P4800" s="28" t="s">
        <v>21</v>
      </c>
      <c r="Q4800" s="26" t="b">
        <v>0</v>
      </c>
      <c r="R4800" s="22">
        <f t="shared" si="77"/>
        <v>150</v>
      </c>
    </row>
    <row r="4801" spans="1:20">
      <c r="A4801" s="26">
        <v>10108</v>
      </c>
      <c r="B4801" s="27">
        <v>41479</v>
      </c>
      <c r="C4801" s="28" t="s">
        <v>15391</v>
      </c>
      <c r="D4801" s="27">
        <v>41473</v>
      </c>
      <c r="E4801" s="28" t="s">
        <v>15392</v>
      </c>
      <c r="F4801" s="28" t="s">
        <v>283</v>
      </c>
      <c r="G4801" s="28" t="s">
        <v>20</v>
      </c>
      <c r="H4801" s="28" t="s">
        <v>71</v>
      </c>
      <c r="I4801" s="28" t="s">
        <v>72</v>
      </c>
      <c r="J4801" s="28" t="s">
        <v>15393</v>
      </c>
      <c r="K4801" s="28" t="s">
        <v>15394</v>
      </c>
      <c r="L4801" s="28" t="s">
        <v>1946</v>
      </c>
      <c r="M4801" s="28" t="s">
        <v>21</v>
      </c>
      <c r="O4801" s="92">
        <v>41743</v>
      </c>
      <c r="P4801" s="28" t="s">
        <v>21</v>
      </c>
      <c r="Q4801" s="26" t="b">
        <v>0</v>
      </c>
      <c r="R4801" s="22">
        <f t="shared" si="77"/>
        <v>263</v>
      </c>
    </row>
    <row r="4802" spans="1:20">
      <c r="A4802" s="26">
        <v>10109</v>
      </c>
      <c r="B4802" s="27">
        <v>41485</v>
      </c>
      <c r="C4802" s="28" t="s">
        <v>15395</v>
      </c>
      <c r="D4802" s="27">
        <v>41485</v>
      </c>
      <c r="E4802" s="28" t="s">
        <v>15396</v>
      </c>
      <c r="F4802" s="28" t="s">
        <v>124</v>
      </c>
      <c r="G4802" s="28" t="s">
        <v>20</v>
      </c>
      <c r="H4802" s="28" t="s">
        <v>71</v>
      </c>
      <c r="I4802" s="28" t="s">
        <v>72</v>
      </c>
      <c r="J4802" s="28" t="s">
        <v>15397</v>
      </c>
      <c r="K4802" s="28" t="s">
        <v>13842</v>
      </c>
      <c r="L4802" s="28" t="s">
        <v>7167</v>
      </c>
      <c r="M4802" s="28" t="s">
        <v>4282</v>
      </c>
      <c r="O4802" s="94">
        <v>41729</v>
      </c>
      <c r="P4802" s="28" t="s">
        <v>21</v>
      </c>
      <c r="Q4802" s="26" t="b">
        <v>0</v>
      </c>
      <c r="R4802" s="22">
        <f t="shared" si="77"/>
        <v>243</v>
      </c>
    </row>
    <row r="4803" spans="1:20">
      <c r="A4803" s="26">
        <v>10110</v>
      </c>
      <c r="B4803" s="27">
        <v>41485</v>
      </c>
      <c r="C4803" s="28" t="s">
        <v>15398</v>
      </c>
      <c r="D4803" s="27">
        <v>41480</v>
      </c>
      <c r="E4803" s="28" t="s">
        <v>38</v>
      </c>
      <c r="F4803" s="28" t="s">
        <v>104</v>
      </c>
      <c r="G4803" s="28" t="s">
        <v>20</v>
      </c>
      <c r="H4803" s="28" t="s">
        <v>71</v>
      </c>
      <c r="I4803" s="28" t="s">
        <v>72</v>
      </c>
      <c r="J4803" s="28" t="s">
        <v>15399</v>
      </c>
      <c r="K4803" s="28" t="s">
        <v>15400</v>
      </c>
      <c r="L4803" s="28" t="s">
        <v>7167</v>
      </c>
      <c r="M4803" s="28" t="s">
        <v>21</v>
      </c>
      <c r="O4803" s="92">
        <v>41495</v>
      </c>
      <c r="P4803" s="28" t="s">
        <v>21</v>
      </c>
      <c r="Q4803" s="26" t="b">
        <v>0</v>
      </c>
      <c r="R4803" s="22">
        <f t="shared" si="77"/>
        <v>9</v>
      </c>
    </row>
    <row r="4804" spans="1:20">
      <c r="A4804" s="26">
        <v>10111</v>
      </c>
      <c r="B4804" s="27">
        <v>41487</v>
      </c>
      <c r="C4804" s="28" t="s">
        <v>15401</v>
      </c>
      <c r="D4804" s="27">
        <v>41269</v>
      </c>
      <c r="E4804" s="28" t="s">
        <v>38</v>
      </c>
      <c r="F4804" s="28" t="s">
        <v>984</v>
      </c>
      <c r="G4804" s="28" t="s">
        <v>20</v>
      </c>
      <c r="H4804" s="28" t="s">
        <v>71</v>
      </c>
      <c r="I4804" s="28" t="s">
        <v>72</v>
      </c>
      <c r="J4804" s="28" t="s">
        <v>3354</v>
      </c>
      <c r="K4804" s="28" t="s">
        <v>15402</v>
      </c>
      <c r="L4804" s="28" t="s">
        <v>1946</v>
      </c>
      <c r="M4804" s="28" t="s">
        <v>21</v>
      </c>
      <c r="O4804" s="92">
        <v>41487</v>
      </c>
      <c r="P4804" s="28" t="s">
        <v>21</v>
      </c>
      <c r="Q4804" s="26" t="b">
        <v>0</v>
      </c>
      <c r="R4804" s="22">
        <f t="shared" si="77"/>
        <v>0</v>
      </c>
    </row>
    <row r="4805" spans="1:20">
      <c r="A4805" s="26">
        <v>10112</v>
      </c>
      <c r="B4805" s="27">
        <v>41488</v>
      </c>
      <c r="C4805" s="28" t="s">
        <v>15403</v>
      </c>
      <c r="D4805" s="27">
        <v>41401</v>
      </c>
      <c r="E4805" s="28" t="s">
        <v>38</v>
      </c>
      <c r="F4805" s="28" t="s">
        <v>14552</v>
      </c>
      <c r="G4805" s="28" t="s">
        <v>20</v>
      </c>
      <c r="H4805" s="28" t="s">
        <v>71</v>
      </c>
      <c r="I4805" s="28" t="s">
        <v>72</v>
      </c>
      <c r="J4805" s="28" t="s">
        <v>15404</v>
      </c>
      <c r="K4805" s="28" t="s">
        <v>15405</v>
      </c>
      <c r="L4805" s="28" t="s">
        <v>1946</v>
      </c>
      <c r="M4805" s="28" t="s">
        <v>21</v>
      </c>
      <c r="O4805" s="92">
        <v>41488</v>
      </c>
      <c r="P4805" s="28" t="s">
        <v>21</v>
      </c>
      <c r="Q4805" s="26" t="b">
        <v>0</v>
      </c>
      <c r="R4805" s="22">
        <f t="shared" si="77"/>
        <v>0</v>
      </c>
    </row>
    <row r="4806" spans="1:20">
      <c r="A4806" s="26">
        <v>10113</v>
      </c>
      <c r="B4806" s="27">
        <v>41488</v>
      </c>
      <c r="C4806" s="28" t="s">
        <v>15406</v>
      </c>
      <c r="D4806" s="27">
        <v>41484</v>
      </c>
      <c r="E4806" s="28" t="s">
        <v>38</v>
      </c>
      <c r="F4806" s="28" t="s">
        <v>14552</v>
      </c>
      <c r="G4806" s="28" t="s">
        <v>20</v>
      </c>
      <c r="H4806" s="28" t="s">
        <v>71</v>
      </c>
      <c r="I4806" s="28" t="s">
        <v>72</v>
      </c>
      <c r="J4806" s="28" t="s">
        <v>15407</v>
      </c>
      <c r="K4806" s="28" t="s">
        <v>15408</v>
      </c>
      <c r="L4806" s="28" t="s">
        <v>1946</v>
      </c>
      <c r="M4806" s="28" t="s">
        <v>21</v>
      </c>
      <c r="O4806" s="92">
        <v>41488</v>
      </c>
      <c r="P4806" s="28" t="s">
        <v>21</v>
      </c>
      <c r="Q4806" s="26" t="b">
        <v>0</v>
      </c>
      <c r="R4806" s="22">
        <f t="shared" si="77"/>
        <v>0</v>
      </c>
    </row>
    <row r="4807" spans="1:20">
      <c r="A4807" s="26">
        <v>10114</v>
      </c>
      <c r="B4807" s="27">
        <v>41488</v>
      </c>
      <c r="C4807" s="28" t="s">
        <v>15409</v>
      </c>
      <c r="D4807" s="27">
        <v>41450</v>
      </c>
      <c r="E4807" s="28" t="s">
        <v>38</v>
      </c>
      <c r="F4807" s="28" t="s">
        <v>14336</v>
      </c>
      <c r="G4807" s="28" t="s">
        <v>20</v>
      </c>
      <c r="H4807" s="28" t="s">
        <v>71</v>
      </c>
      <c r="I4807" s="28" t="s">
        <v>72</v>
      </c>
      <c r="J4807" s="28" t="s">
        <v>15410</v>
      </c>
      <c r="K4807" s="28" t="s">
        <v>15411</v>
      </c>
      <c r="L4807" s="28" t="s">
        <v>1946</v>
      </c>
      <c r="M4807" s="28" t="s">
        <v>21</v>
      </c>
      <c r="O4807" s="92">
        <v>41488</v>
      </c>
      <c r="P4807" s="28" t="s">
        <v>21</v>
      </c>
      <c r="Q4807" s="26" t="b">
        <v>0</v>
      </c>
      <c r="R4807" s="22">
        <f t="shared" si="77"/>
        <v>0</v>
      </c>
    </row>
    <row r="4808" spans="1:20">
      <c r="A4808" s="26">
        <v>10115</v>
      </c>
      <c r="B4808" s="27">
        <v>41493</v>
      </c>
      <c r="C4808" s="28" t="s">
        <v>15412</v>
      </c>
      <c r="D4808" s="27">
        <v>41486</v>
      </c>
      <c r="E4808" s="28" t="s">
        <v>15413</v>
      </c>
      <c r="F4808" s="28" t="s">
        <v>8615</v>
      </c>
      <c r="G4808" s="28" t="s">
        <v>20</v>
      </c>
      <c r="H4808" s="28" t="s">
        <v>71</v>
      </c>
      <c r="I4808" s="28" t="s">
        <v>72</v>
      </c>
      <c r="J4808" s="28" t="s">
        <v>15414</v>
      </c>
      <c r="K4808" s="28" t="s">
        <v>15415</v>
      </c>
      <c r="L4808" s="28" t="s">
        <v>7167</v>
      </c>
      <c r="M4808" s="28" t="s">
        <v>21</v>
      </c>
      <c r="O4808" s="94">
        <v>41558</v>
      </c>
      <c r="P4808" s="28" t="s">
        <v>21</v>
      </c>
      <c r="Q4808" s="26" t="b">
        <v>0</v>
      </c>
      <c r="R4808" s="22">
        <f t="shared" si="77"/>
        <v>64</v>
      </c>
    </row>
    <row r="4809" spans="1:20">
      <c r="A4809" s="26">
        <v>10116</v>
      </c>
      <c r="B4809" s="27">
        <v>41498</v>
      </c>
      <c r="C4809" s="28" t="s">
        <v>15416</v>
      </c>
      <c r="D4809" s="27">
        <v>41494</v>
      </c>
      <c r="E4809" s="28" t="s">
        <v>15417</v>
      </c>
      <c r="F4809" s="28" t="s">
        <v>7030</v>
      </c>
      <c r="G4809" s="28" t="s">
        <v>20</v>
      </c>
      <c r="H4809" s="28" t="s">
        <v>71</v>
      </c>
      <c r="I4809" s="28" t="s">
        <v>72</v>
      </c>
      <c r="J4809" s="28" t="s">
        <v>557</v>
      </c>
      <c r="K4809" s="28" t="s">
        <v>15418</v>
      </c>
      <c r="L4809" s="28" t="s">
        <v>14411</v>
      </c>
      <c r="M4809" s="28" t="s">
        <v>1946</v>
      </c>
      <c r="O4809" s="92">
        <v>42145</v>
      </c>
      <c r="P4809" s="28" t="s">
        <v>21</v>
      </c>
      <c r="Q4809" s="26" t="b">
        <v>0</v>
      </c>
      <c r="R4809" s="22">
        <f t="shared" si="77"/>
        <v>647</v>
      </c>
    </row>
    <row r="4810" spans="1:20" ht="32">
      <c r="A4810" s="33">
        <v>10121</v>
      </c>
      <c r="B4810" s="34">
        <v>41499</v>
      </c>
      <c r="C4810" s="35" t="s">
        <v>17553</v>
      </c>
      <c r="D4810" s="34">
        <v>41498</v>
      </c>
      <c r="E4810" s="35" t="s">
        <v>15419</v>
      </c>
      <c r="F4810" s="35" t="s">
        <v>12892</v>
      </c>
      <c r="G4810" s="35" t="s">
        <v>20</v>
      </c>
      <c r="H4810" s="35" t="s">
        <v>71</v>
      </c>
      <c r="I4810" s="35" t="s">
        <v>72</v>
      </c>
      <c r="J4810" s="35" t="s">
        <v>15420</v>
      </c>
      <c r="K4810" s="35" t="s">
        <v>15421</v>
      </c>
      <c r="L4810" s="35" t="s">
        <v>14518</v>
      </c>
      <c r="M4810" s="35" t="s">
        <v>4282</v>
      </c>
      <c r="N4810" s="36"/>
      <c r="O4810" s="96">
        <v>42452</v>
      </c>
      <c r="P4810" s="35" t="s">
        <v>21</v>
      </c>
      <c r="Q4810" s="33" t="b">
        <v>0</v>
      </c>
      <c r="R4810" s="22">
        <f t="shared" si="77"/>
        <v>953</v>
      </c>
    </row>
    <row r="4811" spans="1:20">
      <c r="A4811" s="26">
        <v>10122</v>
      </c>
      <c r="B4811" s="27">
        <v>41506</v>
      </c>
      <c r="C4811" s="28" t="s">
        <v>15422</v>
      </c>
      <c r="D4811" s="27">
        <v>41505</v>
      </c>
      <c r="E4811" s="28" t="s">
        <v>15423</v>
      </c>
      <c r="F4811" s="28" t="s">
        <v>3171</v>
      </c>
      <c r="G4811" s="28" t="s">
        <v>20</v>
      </c>
      <c r="H4811" s="28" t="s">
        <v>566</v>
      </c>
      <c r="I4811" s="28" t="s">
        <v>566</v>
      </c>
      <c r="J4811" s="28" t="s">
        <v>4690</v>
      </c>
      <c r="K4811" s="28" t="s">
        <v>21</v>
      </c>
      <c r="L4811" s="28" t="s">
        <v>7167</v>
      </c>
      <c r="M4811" s="28" t="s">
        <v>21</v>
      </c>
      <c r="O4811" s="92">
        <v>42317</v>
      </c>
      <c r="P4811" s="28" t="s">
        <v>21</v>
      </c>
      <c r="Q4811" s="26" t="b">
        <v>0</v>
      </c>
      <c r="R4811" s="22">
        <f t="shared" si="77"/>
        <v>810</v>
      </c>
    </row>
    <row r="4812" spans="1:20" ht="24">
      <c r="A4812" s="26">
        <v>10123</v>
      </c>
      <c r="B4812" s="27">
        <v>41506</v>
      </c>
      <c r="C4812" s="28" t="s">
        <v>15424</v>
      </c>
      <c r="D4812" s="27">
        <v>41506</v>
      </c>
      <c r="E4812" s="28" t="s">
        <v>38</v>
      </c>
      <c r="F4812" s="28" t="s">
        <v>15425</v>
      </c>
      <c r="G4812" s="28" t="s">
        <v>20</v>
      </c>
      <c r="H4812" s="28" t="s">
        <v>71</v>
      </c>
      <c r="I4812" s="28" t="s">
        <v>72</v>
      </c>
      <c r="J4812" s="28" t="s">
        <v>15426</v>
      </c>
      <c r="K4812" s="28" t="s">
        <v>21</v>
      </c>
      <c r="L4812" s="28" t="s">
        <v>4282</v>
      </c>
      <c r="M4812" s="28" t="s">
        <v>21</v>
      </c>
      <c r="O4812" s="92">
        <v>41507</v>
      </c>
      <c r="P4812" s="28" t="s">
        <v>21</v>
      </c>
      <c r="Q4812" s="26" t="b">
        <v>0</v>
      </c>
      <c r="R4812" s="22">
        <f t="shared" si="77"/>
        <v>1</v>
      </c>
    </row>
    <row r="4813" spans="1:20">
      <c r="A4813" s="26">
        <v>10124</v>
      </c>
      <c r="B4813" s="27">
        <v>41508</v>
      </c>
      <c r="C4813" s="28" t="s">
        <v>15427</v>
      </c>
      <c r="D4813" s="27">
        <v>41508</v>
      </c>
      <c r="E4813" s="28" t="s">
        <v>15428</v>
      </c>
      <c r="F4813" s="28" t="s">
        <v>11050</v>
      </c>
      <c r="G4813" s="28" t="s">
        <v>20</v>
      </c>
      <c r="H4813" s="28" t="s">
        <v>71</v>
      </c>
      <c r="I4813" s="28" t="s">
        <v>72</v>
      </c>
      <c r="J4813" s="28" t="s">
        <v>15429</v>
      </c>
      <c r="K4813" s="28" t="s">
        <v>15430</v>
      </c>
      <c r="L4813" s="28" t="s">
        <v>7167</v>
      </c>
      <c r="M4813" s="28" t="s">
        <v>21</v>
      </c>
      <c r="O4813" s="92">
        <v>41543</v>
      </c>
      <c r="P4813" s="28" t="s">
        <v>21</v>
      </c>
      <c r="Q4813" s="26" t="b">
        <v>0</v>
      </c>
      <c r="R4813" s="22">
        <f t="shared" si="77"/>
        <v>34</v>
      </c>
    </row>
    <row r="4814" spans="1:20">
      <c r="A4814" s="26">
        <v>10125</v>
      </c>
      <c r="B4814" s="27">
        <v>41508</v>
      </c>
      <c r="C4814" s="28" t="s">
        <v>15431</v>
      </c>
      <c r="D4814" s="27">
        <v>41507</v>
      </c>
      <c r="E4814" s="28" t="s">
        <v>15432</v>
      </c>
      <c r="F4814" s="28" t="s">
        <v>216</v>
      </c>
      <c r="G4814" s="28" t="s">
        <v>20</v>
      </c>
      <c r="H4814" s="28" t="s">
        <v>71</v>
      </c>
      <c r="I4814" s="28" t="s">
        <v>72</v>
      </c>
      <c r="J4814" s="28" t="s">
        <v>15433</v>
      </c>
      <c r="K4814" s="28" t="s">
        <v>15434</v>
      </c>
      <c r="L4814" s="28" t="s">
        <v>14411</v>
      </c>
      <c r="M4814" s="28" t="s">
        <v>1946</v>
      </c>
      <c r="O4814" s="94">
        <v>42292</v>
      </c>
      <c r="P4814" s="28" t="s">
        <v>21</v>
      </c>
      <c r="Q4814" s="26" t="b">
        <v>0</v>
      </c>
      <c r="R4814" s="22">
        <f t="shared" si="77"/>
        <v>783</v>
      </c>
    </row>
    <row r="4815" spans="1:20">
      <c r="A4815" s="26">
        <v>10126</v>
      </c>
      <c r="B4815" s="27">
        <v>41509</v>
      </c>
      <c r="C4815" s="28" t="s">
        <v>15435</v>
      </c>
      <c r="D4815" s="27">
        <v>41389</v>
      </c>
      <c r="E4815" s="28" t="s">
        <v>15436</v>
      </c>
      <c r="F4815" s="28" t="s">
        <v>15437</v>
      </c>
      <c r="G4815" s="28" t="s">
        <v>20</v>
      </c>
      <c r="H4815" s="28" t="s">
        <v>71</v>
      </c>
      <c r="I4815" s="28" t="s">
        <v>72</v>
      </c>
      <c r="J4815" s="28" t="s">
        <v>15438</v>
      </c>
      <c r="K4815" s="28" t="s">
        <v>21</v>
      </c>
      <c r="L4815" s="28" t="s">
        <v>14518</v>
      </c>
      <c r="M4815" s="28" t="s">
        <v>15439</v>
      </c>
      <c r="O4815" s="92">
        <v>42185</v>
      </c>
      <c r="P4815" s="28" t="s">
        <v>21</v>
      </c>
      <c r="Q4815" s="26" t="b">
        <v>0</v>
      </c>
      <c r="R4815" s="22">
        <f t="shared" si="77"/>
        <v>676</v>
      </c>
    </row>
    <row r="4816" spans="1:20" ht="24">
      <c r="A4816" s="26">
        <v>10128</v>
      </c>
      <c r="B4816" s="27">
        <v>41512</v>
      </c>
      <c r="C4816" s="28" t="s">
        <v>18868</v>
      </c>
      <c r="D4816" s="27">
        <v>41512</v>
      </c>
      <c r="E4816" s="28" t="s">
        <v>1432</v>
      </c>
      <c r="F4816" s="28" t="s">
        <v>3171</v>
      </c>
      <c r="G4816" s="28" t="s">
        <v>20</v>
      </c>
      <c r="H4816" s="28" t="s">
        <v>566</v>
      </c>
      <c r="I4816" s="28" t="s">
        <v>566</v>
      </c>
      <c r="J4816" s="28" t="s">
        <v>15440</v>
      </c>
      <c r="K4816" s="28" t="s">
        <v>15441</v>
      </c>
      <c r="L4816" s="28" t="s">
        <v>1946</v>
      </c>
      <c r="M4816" s="28" t="s">
        <v>21</v>
      </c>
      <c r="O4816" s="98"/>
      <c r="P4816" s="28" t="s">
        <v>21</v>
      </c>
      <c r="Q4816" s="26" t="b">
        <v>0</v>
      </c>
      <c r="R4816" s="59"/>
      <c r="T4816" s="37" t="s">
        <v>21</v>
      </c>
    </row>
    <row r="4817" spans="1:18">
      <c r="A4817" s="26">
        <v>10130</v>
      </c>
      <c r="B4817" s="27">
        <v>41513</v>
      </c>
      <c r="C4817" s="28" t="s">
        <v>15442</v>
      </c>
      <c r="D4817" s="27">
        <v>41512</v>
      </c>
      <c r="E4817" s="28" t="s">
        <v>15443</v>
      </c>
      <c r="F4817" s="28" t="s">
        <v>11050</v>
      </c>
      <c r="G4817" s="28" t="s">
        <v>20</v>
      </c>
      <c r="H4817" s="28" t="s">
        <v>71</v>
      </c>
      <c r="I4817" s="28" t="s">
        <v>72</v>
      </c>
      <c r="J4817" s="28" t="s">
        <v>15444</v>
      </c>
      <c r="K4817" s="28" t="s">
        <v>6081</v>
      </c>
      <c r="L4817" s="28" t="s">
        <v>7167</v>
      </c>
      <c r="M4817" s="28" t="s">
        <v>21</v>
      </c>
      <c r="O4817" s="92">
        <v>41515</v>
      </c>
      <c r="P4817" s="28" t="s">
        <v>21</v>
      </c>
      <c r="Q4817" s="26" t="b">
        <v>0</v>
      </c>
      <c r="R4817" s="22">
        <f t="shared" ref="R4817:R4822" si="78">IF(O4817=" ", " ", INT(YEARFRAC(O4817, B4817)*365))</f>
        <v>2</v>
      </c>
    </row>
    <row r="4818" spans="1:18">
      <c r="A4818" s="26">
        <v>10133</v>
      </c>
      <c r="B4818" s="27">
        <v>41514</v>
      </c>
      <c r="C4818" s="28" t="s">
        <v>15445</v>
      </c>
      <c r="D4818" s="27">
        <v>41513</v>
      </c>
      <c r="E4818" s="28" t="s">
        <v>15446</v>
      </c>
      <c r="F4818" s="28" t="s">
        <v>9937</v>
      </c>
      <c r="G4818" s="28" t="s">
        <v>20</v>
      </c>
      <c r="H4818" s="28" t="s">
        <v>71</v>
      </c>
      <c r="I4818" s="28" t="s">
        <v>72</v>
      </c>
      <c r="J4818" s="28" t="s">
        <v>15253</v>
      </c>
      <c r="K4818" s="28" t="s">
        <v>21</v>
      </c>
      <c r="L4818" s="28" t="s">
        <v>7167</v>
      </c>
      <c r="M4818" s="28" t="s">
        <v>21</v>
      </c>
      <c r="O4818" s="92">
        <v>41572</v>
      </c>
      <c r="P4818" s="28" t="s">
        <v>21</v>
      </c>
      <c r="Q4818" s="26" t="b">
        <v>0</v>
      </c>
      <c r="R4818" s="22">
        <f t="shared" si="78"/>
        <v>57</v>
      </c>
    </row>
    <row r="4819" spans="1:18">
      <c r="A4819" s="26">
        <v>10134</v>
      </c>
      <c r="B4819" s="27">
        <v>41516</v>
      </c>
      <c r="C4819" s="28" t="s">
        <v>15447</v>
      </c>
      <c r="D4819" s="27">
        <v>41347</v>
      </c>
      <c r="E4819" s="28" t="s">
        <v>15448</v>
      </c>
      <c r="F4819" s="28" t="s">
        <v>15449</v>
      </c>
      <c r="G4819" s="28" t="s">
        <v>20</v>
      </c>
      <c r="H4819" s="28" t="s">
        <v>71</v>
      </c>
      <c r="I4819" s="28" t="s">
        <v>72</v>
      </c>
      <c r="J4819" s="28" t="s">
        <v>15188</v>
      </c>
      <c r="K4819" s="28" t="s">
        <v>14438</v>
      </c>
      <c r="L4819" s="28" t="s">
        <v>4282</v>
      </c>
      <c r="M4819" s="28" t="s">
        <v>21</v>
      </c>
      <c r="O4819" s="92">
        <v>41516</v>
      </c>
      <c r="P4819" s="28" t="s">
        <v>21</v>
      </c>
      <c r="Q4819" s="26" t="b">
        <v>0</v>
      </c>
      <c r="R4819" s="22">
        <f t="shared" si="78"/>
        <v>0</v>
      </c>
    </row>
    <row r="4820" spans="1:18" ht="24">
      <c r="A4820" s="26">
        <v>10135</v>
      </c>
      <c r="B4820" s="27">
        <v>41516</v>
      </c>
      <c r="C4820" s="28" t="s">
        <v>15450</v>
      </c>
      <c r="D4820" s="27">
        <v>41347</v>
      </c>
      <c r="E4820" s="28" t="s">
        <v>15451</v>
      </c>
      <c r="F4820" s="28" t="s">
        <v>15449</v>
      </c>
      <c r="G4820" s="28" t="s">
        <v>20</v>
      </c>
      <c r="H4820" s="28" t="s">
        <v>71</v>
      </c>
      <c r="I4820" s="28" t="s">
        <v>72</v>
      </c>
      <c r="J4820" s="28" t="s">
        <v>15192</v>
      </c>
      <c r="K4820" s="28" t="s">
        <v>15189</v>
      </c>
      <c r="L4820" s="28" t="s">
        <v>4282</v>
      </c>
      <c r="M4820" s="28" t="s">
        <v>21</v>
      </c>
      <c r="O4820" s="92">
        <v>41520</v>
      </c>
      <c r="P4820" s="28" t="s">
        <v>21</v>
      </c>
      <c r="Q4820" s="26" t="b">
        <v>0</v>
      </c>
      <c r="R4820" s="22">
        <f t="shared" si="78"/>
        <v>3</v>
      </c>
    </row>
    <row r="4821" spans="1:18">
      <c r="A4821" s="26">
        <v>10137</v>
      </c>
      <c r="B4821" s="27">
        <v>41520</v>
      </c>
      <c r="C4821" s="28" t="s">
        <v>15452</v>
      </c>
      <c r="D4821" s="27">
        <v>41515</v>
      </c>
      <c r="E4821" s="28" t="s">
        <v>15453</v>
      </c>
      <c r="F4821" s="28" t="s">
        <v>3430</v>
      </c>
      <c r="G4821" s="28" t="s">
        <v>20</v>
      </c>
      <c r="H4821" s="28" t="s">
        <v>71</v>
      </c>
      <c r="I4821" s="28" t="s">
        <v>72</v>
      </c>
      <c r="J4821" s="28" t="s">
        <v>15454</v>
      </c>
      <c r="K4821" s="28" t="s">
        <v>15455</v>
      </c>
      <c r="L4821" s="28" t="s">
        <v>7167</v>
      </c>
      <c r="M4821" s="28" t="s">
        <v>4282</v>
      </c>
      <c r="O4821" s="92">
        <v>41717</v>
      </c>
      <c r="P4821" s="28" t="s">
        <v>21</v>
      </c>
      <c r="Q4821" s="26" t="b">
        <v>0</v>
      </c>
      <c r="R4821" s="22">
        <f t="shared" si="78"/>
        <v>198</v>
      </c>
    </row>
    <row r="4822" spans="1:18" ht="32">
      <c r="A4822" s="33">
        <v>10138</v>
      </c>
      <c r="B4822" s="34">
        <v>41520</v>
      </c>
      <c r="C4822" s="35" t="s">
        <v>17634</v>
      </c>
      <c r="D4822" s="34">
        <v>41520</v>
      </c>
      <c r="E4822" s="35" t="s">
        <v>15456</v>
      </c>
      <c r="F4822" s="35" t="s">
        <v>7020</v>
      </c>
      <c r="G4822" s="35" t="s">
        <v>20</v>
      </c>
      <c r="H4822" s="35" t="s">
        <v>71</v>
      </c>
      <c r="I4822" s="35" t="s">
        <v>72</v>
      </c>
      <c r="J4822" s="35" t="s">
        <v>15457</v>
      </c>
      <c r="K4822" s="35" t="s">
        <v>15458</v>
      </c>
      <c r="L4822" s="35" t="s">
        <v>7167</v>
      </c>
      <c r="M4822" s="35" t="s">
        <v>21</v>
      </c>
      <c r="N4822" s="36"/>
      <c r="O4822" s="96">
        <v>42496</v>
      </c>
      <c r="P4822" s="35" t="s">
        <v>21</v>
      </c>
      <c r="Q4822" s="33" t="b">
        <v>0</v>
      </c>
      <c r="R4822" s="22">
        <f t="shared" si="78"/>
        <v>976</v>
      </c>
    </row>
    <row r="4823" spans="1:18" ht="32">
      <c r="A4823" s="33">
        <v>10140</v>
      </c>
      <c r="B4823" s="34">
        <v>41522</v>
      </c>
      <c r="C4823" s="35" t="s">
        <v>18173</v>
      </c>
      <c r="D4823" s="34">
        <v>41522</v>
      </c>
      <c r="E4823" s="35" t="s">
        <v>15826</v>
      </c>
      <c r="F4823" s="35" t="s">
        <v>1743</v>
      </c>
      <c r="G4823" s="35" t="s">
        <v>20</v>
      </c>
      <c r="H4823" s="35" t="s">
        <v>71</v>
      </c>
      <c r="I4823" s="35" t="s">
        <v>72</v>
      </c>
      <c r="J4823" s="35" t="s">
        <v>18174</v>
      </c>
      <c r="K4823" s="35" t="s">
        <v>18175</v>
      </c>
      <c r="L4823" s="35" t="s">
        <v>7167</v>
      </c>
      <c r="M4823" s="35" t="s">
        <v>21</v>
      </c>
      <c r="N4823" s="36"/>
      <c r="O4823" s="95"/>
      <c r="P4823" s="35" t="s">
        <v>21</v>
      </c>
      <c r="Q4823" s="33" t="b">
        <v>0</v>
      </c>
      <c r="R4823" s="112"/>
    </row>
    <row r="4824" spans="1:18">
      <c r="A4824" s="26">
        <v>10141</v>
      </c>
      <c r="B4824" s="27">
        <v>41523</v>
      </c>
      <c r="C4824" s="28" t="s">
        <v>15459</v>
      </c>
      <c r="D4824" s="27">
        <v>41522</v>
      </c>
      <c r="E4824" s="28" t="s">
        <v>15460</v>
      </c>
      <c r="F4824" s="28" t="s">
        <v>689</v>
      </c>
      <c r="G4824" s="28" t="s">
        <v>20</v>
      </c>
      <c r="H4824" s="28" t="s">
        <v>212</v>
      </c>
      <c r="I4824" s="28" t="s">
        <v>212</v>
      </c>
      <c r="J4824" s="28" t="s">
        <v>15461</v>
      </c>
      <c r="K4824" s="28" t="s">
        <v>15462</v>
      </c>
      <c r="L4824" s="28" t="s">
        <v>7167</v>
      </c>
      <c r="M4824" s="28" t="s">
        <v>21</v>
      </c>
      <c r="O4824" s="92">
        <v>41547</v>
      </c>
      <c r="P4824" s="28" t="s">
        <v>21</v>
      </c>
      <c r="Q4824" s="26" t="b">
        <v>0</v>
      </c>
      <c r="R4824" s="22">
        <f t="shared" ref="R4824:R4858" si="79">IF(O4824=" ", " ", INT(YEARFRAC(O4824, B4824)*365))</f>
        <v>24</v>
      </c>
    </row>
    <row r="4825" spans="1:18">
      <c r="A4825" s="26">
        <v>10142</v>
      </c>
      <c r="B4825" s="27">
        <v>41523</v>
      </c>
      <c r="C4825" s="28" t="s">
        <v>15463</v>
      </c>
      <c r="D4825" s="27">
        <v>41523</v>
      </c>
      <c r="E4825" s="28" t="s">
        <v>10998</v>
      </c>
      <c r="F4825" s="28" t="s">
        <v>56</v>
      </c>
      <c r="G4825" s="28" t="s">
        <v>20</v>
      </c>
      <c r="H4825" s="28" t="s">
        <v>71</v>
      </c>
      <c r="I4825" s="28" t="s">
        <v>72</v>
      </c>
      <c r="J4825" s="28" t="s">
        <v>15464</v>
      </c>
      <c r="K4825" s="28" t="s">
        <v>21</v>
      </c>
      <c r="L4825" s="28" t="s">
        <v>4282</v>
      </c>
      <c r="M4825" s="28" t="s">
        <v>7167</v>
      </c>
      <c r="O4825" s="92">
        <v>41620</v>
      </c>
      <c r="P4825" s="28" t="s">
        <v>21</v>
      </c>
      <c r="Q4825" s="26" t="b">
        <v>0</v>
      </c>
      <c r="R4825" s="22">
        <f t="shared" si="79"/>
        <v>97</v>
      </c>
    </row>
    <row r="4826" spans="1:18">
      <c r="A4826" s="26">
        <v>10143</v>
      </c>
      <c r="B4826" s="27">
        <v>41526</v>
      </c>
      <c r="C4826" s="28" t="s">
        <v>15465</v>
      </c>
      <c r="D4826" s="27">
        <v>41453</v>
      </c>
      <c r="E4826" s="28" t="s">
        <v>15466</v>
      </c>
      <c r="F4826" s="28" t="s">
        <v>56</v>
      </c>
      <c r="G4826" s="28" t="s">
        <v>20</v>
      </c>
      <c r="H4826" s="28" t="s">
        <v>566</v>
      </c>
      <c r="I4826" s="28" t="s">
        <v>566</v>
      </c>
      <c r="J4826" s="28" t="s">
        <v>15467</v>
      </c>
      <c r="K4826" s="28" t="s">
        <v>13842</v>
      </c>
      <c r="L4826" s="28" t="s">
        <v>14518</v>
      </c>
      <c r="M4826" s="28" t="s">
        <v>1152</v>
      </c>
      <c r="O4826" s="92">
        <v>42096</v>
      </c>
      <c r="P4826" s="28" t="s">
        <v>21</v>
      </c>
      <c r="Q4826" s="26" t="b">
        <v>0</v>
      </c>
      <c r="R4826" s="22">
        <f t="shared" si="79"/>
        <v>570</v>
      </c>
    </row>
    <row r="4827" spans="1:18">
      <c r="A4827" s="26">
        <v>10145</v>
      </c>
      <c r="B4827" s="27">
        <v>41529</v>
      </c>
      <c r="C4827" s="28" t="s">
        <v>15468</v>
      </c>
      <c r="D4827" s="27">
        <v>41526</v>
      </c>
      <c r="E4827" s="28" t="s">
        <v>15469</v>
      </c>
      <c r="F4827" s="28" t="s">
        <v>2359</v>
      </c>
      <c r="G4827" s="28" t="s">
        <v>20</v>
      </c>
      <c r="H4827" s="28" t="s">
        <v>71</v>
      </c>
      <c r="I4827" s="28" t="s">
        <v>72</v>
      </c>
      <c r="J4827" s="28" t="s">
        <v>15470</v>
      </c>
      <c r="K4827" s="28" t="s">
        <v>15471</v>
      </c>
      <c r="L4827" s="28" t="s">
        <v>1152</v>
      </c>
      <c r="M4827" s="28" t="s">
        <v>21</v>
      </c>
      <c r="O4827" s="92">
        <v>41579</v>
      </c>
      <c r="P4827" s="28" t="s">
        <v>21</v>
      </c>
      <c r="Q4827" s="26" t="b">
        <v>0</v>
      </c>
      <c r="R4827" s="22">
        <f t="shared" si="79"/>
        <v>49</v>
      </c>
    </row>
    <row r="4828" spans="1:18">
      <c r="A4828" s="26">
        <v>10146</v>
      </c>
      <c r="B4828" s="27">
        <v>41529</v>
      </c>
      <c r="C4828" s="28" t="s">
        <v>15472</v>
      </c>
      <c r="D4828" s="27">
        <v>41528</v>
      </c>
      <c r="E4828" s="28" t="s">
        <v>15473</v>
      </c>
      <c r="F4828" s="28" t="s">
        <v>8615</v>
      </c>
      <c r="G4828" s="28" t="s">
        <v>20</v>
      </c>
      <c r="H4828" s="28" t="s">
        <v>71</v>
      </c>
      <c r="I4828" s="28" t="s">
        <v>72</v>
      </c>
      <c r="J4828" s="28" t="s">
        <v>15474</v>
      </c>
      <c r="K4828" s="28" t="s">
        <v>14825</v>
      </c>
      <c r="L4828" s="28" t="s">
        <v>7167</v>
      </c>
      <c r="M4828" s="28" t="s">
        <v>21</v>
      </c>
      <c r="O4828" s="94">
        <v>42262</v>
      </c>
      <c r="P4828" s="28" t="s">
        <v>21</v>
      </c>
      <c r="Q4828" s="26" t="b">
        <v>0</v>
      </c>
      <c r="R4828" s="22">
        <f t="shared" si="79"/>
        <v>733</v>
      </c>
    </row>
    <row r="4829" spans="1:18" ht="24">
      <c r="A4829" s="26">
        <v>10149</v>
      </c>
      <c r="B4829" s="27">
        <v>41533</v>
      </c>
      <c r="C4829" s="28" t="s">
        <v>15475</v>
      </c>
      <c r="D4829" s="27">
        <v>41529</v>
      </c>
      <c r="E4829" s="28" t="s">
        <v>15476</v>
      </c>
      <c r="F4829" s="28" t="s">
        <v>104</v>
      </c>
      <c r="G4829" s="28" t="s">
        <v>20</v>
      </c>
      <c r="H4829" s="28" t="s">
        <v>71</v>
      </c>
      <c r="I4829" s="28" t="s">
        <v>72</v>
      </c>
      <c r="J4829" s="28" t="s">
        <v>15477</v>
      </c>
      <c r="K4829" s="28" t="s">
        <v>15478</v>
      </c>
      <c r="L4829" s="28" t="s">
        <v>1946</v>
      </c>
      <c r="M4829" s="28" t="s">
        <v>21</v>
      </c>
      <c r="O4829" s="94">
        <v>42345</v>
      </c>
      <c r="P4829" s="28" t="s">
        <v>21</v>
      </c>
      <c r="Q4829" s="26" t="b">
        <v>0</v>
      </c>
      <c r="R4829" s="22">
        <f t="shared" si="79"/>
        <v>812</v>
      </c>
    </row>
    <row r="4830" spans="1:18">
      <c r="A4830" s="26">
        <v>10150</v>
      </c>
      <c r="B4830" s="27">
        <v>41533</v>
      </c>
      <c r="C4830" s="28" t="s">
        <v>15479</v>
      </c>
      <c r="D4830" s="27">
        <v>41529</v>
      </c>
      <c r="E4830" s="28" t="s">
        <v>15480</v>
      </c>
      <c r="F4830" s="28" t="s">
        <v>149</v>
      </c>
      <c r="G4830" s="28" t="s">
        <v>20</v>
      </c>
      <c r="H4830" s="28" t="s">
        <v>71</v>
      </c>
      <c r="I4830" s="28" t="s">
        <v>72</v>
      </c>
      <c r="J4830" s="28" t="s">
        <v>15481</v>
      </c>
      <c r="K4830" s="28" t="s">
        <v>15482</v>
      </c>
      <c r="L4830" s="28" t="s">
        <v>4282</v>
      </c>
      <c r="M4830" s="28" t="s">
        <v>21</v>
      </c>
      <c r="O4830" s="92">
        <v>41584</v>
      </c>
      <c r="P4830" s="28" t="s">
        <v>21</v>
      </c>
      <c r="Q4830" s="26" t="b">
        <v>0</v>
      </c>
      <c r="R4830" s="22">
        <f t="shared" si="79"/>
        <v>50</v>
      </c>
    </row>
    <row r="4831" spans="1:18">
      <c r="A4831" s="26">
        <v>10151</v>
      </c>
      <c r="B4831" s="27">
        <v>41533</v>
      </c>
      <c r="C4831" s="28" t="s">
        <v>15483</v>
      </c>
      <c r="D4831" s="27">
        <v>41533</v>
      </c>
      <c r="E4831" s="28" t="s">
        <v>15484</v>
      </c>
      <c r="F4831" s="28" t="s">
        <v>693</v>
      </c>
      <c r="G4831" s="28" t="s">
        <v>20</v>
      </c>
      <c r="H4831" s="28" t="s">
        <v>189</v>
      </c>
      <c r="I4831" s="28" t="s">
        <v>189</v>
      </c>
      <c r="J4831" s="28" t="s">
        <v>1258</v>
      </c>
      <c r="K4831" s="28" t="s">
        <v>204</v>
      </c>
      <c r="L4831" s="28" t="s">
        <v>14411</v>
      </c>
      <c r="M4831" s="28" t="s">
        <v>1946</v>
      </c>
      <c r="O4831" s="94">
        <v>41676</v>
      </c>
      <c r="P4831" s="28" t="s">
        <v>21</v>
      </c>
      <c r="Q4831" s="26" t="b">
        <v>0</v>
      </c>
      <c r="R4831" s="22">
        <f t="shared" si="79"/>
        <v>141</v>
      </c>
    </row>
    <row r="4832" spans="1:18">
      <c r="A4832" s="26">
        <v>10155</v>
      </c>
      <c r="B4832" s="27">
        <v>41534</v>
      </c>
      <c r="C4832" s="28" t="s">
        <v>15488</v>
      </c>
      <c r="D4832" s="27">
        <v>41528</v>
      </c>
      <c r="E4832" s="28" t="s">
        <v>38</v>
      </c>
      <c r="F4832" s="28" t="s">
        <v>124</v>
      </c>
      <c r="G4832" s="28" t="s">
        <v>20</v>
      </c>
      <c r="H4832" s="28" t="s">
        <v>71</v>
      </c>
      <c r="I4832" s="28" t="s">
        <v>72</v>
      </c>
      <c r="J4832" s="28" t="s">
        <v>15489</v>
      </c>
      <c r="K4832" s="28" t="s">
        <v>15490</v>
      </c>
      <c r="L4832" s="28" t="s">
        <v>7167</v>
      </c>
      <c r="M4832" s="28" t="s">
        <v>21</v>
      </c>
      <c r="O4832" s="92">
        <v>41556</v>
      </c>
      <c r="P4832" s="28" t="s">
        <v>21</v>
      </c>
      <c r="Q4832" s="26" t="b">
        <v>0</v>
      </c>
      <c r="R4832" s="22">
        <f t="shared" si="79"/>
        <v>22</v>
      </c>
    </row>
    <row r="4833" spans="1:19">
      <c r="A4833" s="26">
        <v>10154</v>
      </c>
      <c r="B4833" s="27">
        <v>41543</v>
      </c>
      <c r="C4833" s="28" t="s">
        <v>15485</v>
      </c>
      <c r="D4833" s="27">
        <v>41536</v>
      </c>
      <c r="E4833" s="28" t="s">
        <v>38</v>
      </c>
      <c r="F4833" s="28" t="s">
        <v>3430</v>
      </c>
      <c r="G4833" s="28" t="s">
        <v>20</v>
      </c>
      <c r="H4833" s="28" t="s">
        <v>71</v>
      </c>
      <c r="I4833" s="28" t="s">
        <v>72</v>
      </c>
      <c r="J4833" s="28" t="s">
        <v>15486</v>
      </c>
      <c r="K4833" s="28" t="s">
        <v>15487</v>
      </c>
      <c r="L4833" s="28" t="s">
        <v>4282</v>
      </c>
      <c r="M4833" s="28" t="s">
        <v>21</v>
      </c>
      <c r="O4833" s="94">
        <v>41551</v>
      </c>
      <c r="P4833" s="28" t="s">
        <v>21</v>
      </c>
      <c r="Q4833" s="26" t="b">
        <v>0</v>
      </c>
      <c r="R4833" s="22">
        <f t="shared" si="79"/>
        <v>8</v>
      </c>
    </row>
    <row r="4834" spans="1:19">
      <c r="A4834" s="26">
        <v>10156</v>
      </c>
      <c r="B4834" s="27">
        <v>41543</v>
      </c>
      <c r="C4834" s="28" t="s">
        <v>15491</v>
      </c>
      <c r="D4834" s="27">
        <v>41533</v>
      </c>
      <c r="E4834" s="28" t="s">
        <v>15492</v>
      </c>
      <c r="F4834" s="28" t="s">
        <v>124</v>
      </c>
      <c r="G4834" s="28" t="s">
        <v>20</v>
      </c>
      <c r="H4834" s="28" t="s">
        <v>71</v>
      </c>
      <c r="I4834" s="28" t="s">
        <v>72</v>
      </c>
      <c r="J4834" s="28" t="s">
        <v>15493</v>
      </c>
      <c r="K4834" s="28" t="s">
        <v>21</v>
      </c>
      <c r="L4834" s="28" t="s">
        <v>1152</v>
      </c>
      <c r="M4834" s="28" t="s">
        <v>21</v>
      </c>
      <c r="O4834" s="92">
        <v>41556</v>
      </c>
      <c r="P4834" s="28" t="s">
        <v>21</v>
      </c>
      <c r="Q4834" s="26" t="b">
        <v>0</v>
      </c>
      <c r="R4834" s="22">
        <f t="shared" si="79"/>
        <v>13</v>
      </c>
    </row>
    <row r="4835" spans="1:19">
      <c r="A4835" s="26">
        <v>10157</v>
      </c>
      <c r="B4835" s="27">
        <v>41543</v>
      </c>
      <c r="C4835" s="28" t="s">
        <v>15494</v>
      </c>
      <c r="D4835" s="27">
        <v>41533</v>
      </c>
      <c r="E4835" s="28" t="s">
        <v>38</v>
      </c>
      <c r="F4835" s="28" t="s">
        <v>371</v>
      </c>
      <c r="G4835" s="28" t="s">
        <v>20</v>
      </c>
      <c r="H4835" s="28" t="s">
        <v>71</v>
      </c>
      <c r="I4835" s="28" t="s">
        <v>72</v>
      </c>
      <c r="J4835" s="28" t="s">
        <v>8564</v>
      </c>
      <c r="K4835" s="28" t="s">
        <v>21</v>
      </c>
      <c r="L4835" s="28" t="s">
        <v>7167</v>
      </c>
      <c r="M4835" s="28" t="s">
        <v>21</v>
      </c>
      <c r="O4835" s="92">
        <v>41556</v>
      </c>
      <c r="P4835" s="28" t="s">
        <v>21</v>
      </c>
      <c r="Q4835" s="26" t="b">
        <v>0</v>
      </c>
      <c r="R4835" s="22">
        <f t="shared" si="79"/>
        <v>13</v>
      </c>
    </row>
    <row r="4836" spans="1:19">
      <c r="A4836" s="26">
        <v>10158</v>
      </c>
      <c r="B4836" s="27">
        <v>41543</v>
      </c>
      <c r="C4836" s="28" t="s">
        <v>15495</v>
      </c>
      <c r="D4836" s="27">
        <v>41542</v>
      </c>
      <c r="E4836" s="28" t="s">
        <v>38</v>
      </c>
      <c r="F4836" s="28" t="s">
        <v>104</v>
      </c>
      <c r="G4836" s="28" t="s">
        <v>20</v>
      </c>
      <c r="H4836" s="28" t="s">
        <v>71</v>
      </c>
      <c r="I4836" s="28" t="s">
        <v>72</v>
      </c>
      <c r="J4836" s="28" t="s">
        <v>15496</v>
      </c>
      <c r="K4836" s="28" t="s">
        <v>15497</v>
      </c>
      <c r="L4836" s="28" t="s">
        <v>4282</v>
      </c>
      <c r="M4836" s="28" t="s">
        <v>21</v>
      </c>
      <c r="O4836" s="94">
        <v>41551</v>
      </c>
      <c r="P4836" s="28" t="s">
        <v>21</v>
      </c>
      <c r="Q4836" s="26" t="b">
        <v>0</v>
      </c>
      <c r="R4836" s="22">
        <f t="shared" si="79"/>
        <v>8</v>
      </c>
    </row>
    <row r="4837" spans="1:19">
      <c r="A4837" s="26">
        <v>10159</v>
      </c>
      <c r="B4837" s="27">
        <v>41543</v>
      </c>
      <c r="C4837" s="28" t="s">
        <v>19278</v>
      </c>
      <c r="D4837" s="27">
        <v>41540</v>
      </c>
      <c r="E4837" s="28" t="s">
        <v>1432</v>
      </c>
      <c r="F4837" s="28" t="s">
        <v>984</v>
      </c>
      <c r="G4837" s="28" t="s">
        <v>20</v>
      </c>
      <c r="H4837" s="28" t="s">
        <v>71</v>
      </c>
      <c r="I4837" s="28" t="s">
        <v>72</v>
      </c>
      <c r="J4837" s="28" t="s">
        <v>15498</v>
      </c>
      <c r="K4837" s="28" t="s">
        <v>15499</v>
      </c>
      <c r="L4837" s="28" t="s">
        <v>14909</v>
      </c>
      <c r="M4837" s="28" t="s">
        <v>1152</v>
      </c>
      <c r="O4837" s="94">
        <v>43081</v>
      </c>
      <c r="P4837" s="28" t="s">
        <v>21</v>
      </c>
      <c r="Q4837" s="26" t="b">
        <v>0</v>
      </c>
      <c r="R4837" s="22">
        <f t="shared" si="79"/>
        <v>1537</v>
      </c>
      <c r="S4837" s="37" t="s">
        <v>21</v>
      </c>
    </row>
    <row r="4838" spans="1:19" ht="24">
      <c r="A4838" s="26">
        <v>10160</v>
      </c>
      <c r="B4838" s="27">
        <v>41543</v>
      </c>
      <c r="C4838" s="28" t="s">
        <v>19140</v>
      </c>
      <c r="D4838" s="27">
        <v>41541</v>
      </c>
      <c r="E4838" s="28" t="s">
        <v>15500</v>
      </c>
      <c r="F4838" s="28" t="s">
        <v>124</v>
      </c>
      <c r="G4838" s="28" t="s">
        <v>20</v>
      </c>
      <c r="H4838" s="28" t="s">
        <v>71</v>
      </c>
      <c r="I4838" s="28" t="s">
        <v>72</v>
      </c>
      <c r="J4838" s="28" t="s">
        <v>15501</v>
      </c>
      <c r="K4838" s="28" t="s">
        <v>21</v>
      </c>
      <c r="L4838" s="28" t="s">
        <v>7167</v>
      </c>
      <c r="M4838" s="28" t="s">
        <v>21</v>
      </c>
      <c r="O4838" s="94">
        <v>42871</v>
      </c>
      <c r="P4838" s="28" t="s">
        <v>21</v>
      </c>
      <c r="Q4838" s="26" t="b">
        <v>0</v>
      </c>
      <c r="R4838" s="22">
        <f t="shared" si="79"/>
        <v>1328</v>
      </c>
      <c r="S4838" s="37" t="s">
        <v>21</v>
      </c>
    </row>
    <row r="4839" spans="1:19">
      <c r="A4839" s="26">
        <v>10161</v>
      </c>
      <c r="B4839" s="27">
        <v>41543</v>
      </c>
      <c r="C4839" s="28" t="s">
        <v>15502</v>
      </c>
      <c r="D4839" s="27">
        <v>41531</v>
      </c>
      <c r="E4839" s="28" t="s">
        <v>15503</v>
      </c>
      <c r="F4839" s="28" t="s">
        <v>741</v>
      </c>
      <c r="G4839" s="28" t="s">
        <v>20</v>
      </c>
      <c r="H4839" s="28" t="s">
        <v>71</v>
      </c>
      <c r="I4839" s="28" t="s">
        <v>72</v>
      </c>
      <c r="J4839" s="28" t="s">
        <v>15504</v>
      </c>
      <c r="K4839" s="28" t="s">
        <v>15505</v>
      </c>
      <c r="L4839" s="28" t="s">
        <v>1946</v>
      </c>
      <c r="M4839" s="28" t="s">
        <v>21</v>
      </c>
      <c r="O4839" s="92">
        <v>42367</v>
      </c>
      <c r="P4839" s="28" t="s">
        <v>21</v>
      </c>
      <c r="Q4839" s="26" t="b">
        <v>0</v>
      </c>
      <c r="R4839" s="22">
        <f t="shared" si="79"/>
        <v>824</v>
      </c>
    </row>
    <row r="4840" spans="1:19">
      <c r="A4840" s="26">
        <v>10164</v>
      </c>
      <c r="B4840" s="27">
        <v>41547</v>
      </c>
      <c r="C4840" s="28" t="s">
        <v>19156</v>
      </c>
      <c r="D4840" s="27">
        <v>41541</v>
      </c>
      <c r="E4840" s="28" t="s">
        <v>15506</v>
      </c>
      <c r="F4840" s="28" t="s">
        <v>371</v>
      </c>
      <c r="G4840" s="28" t="s">
        <v>20</v>
      </c>
      <c r="H4840" s="28" t="s">
        <v>71</v>
      </c>
      <c r="I4840" s="28" t="s">
        <v>72</v>
      </c>
      <c r="J4840" s="28" t="s">
        <v>15507</v>
      </c>
      <c r="K4840" s="28" t="s">
        <v>6111</v>
      </c>
      <c r="L4840" s="28" t="s">
        <v>14518</v>
      </c>
      <c r="M4840" s="28" t="s">
        <v>1152</v>
      </c>
      <c r="O4840" s="92">
        <v>42914</v>
      </c>
      <c r="P4840" s="28" t="s">
        <v>21</v>
      </c>
      <c r="Q4840" s="26" t="b">
        <v>0</v>
      </c>
      <c r="R4840" s="22">
        <f t="shared" si="79"/>
        <v>1366</v>
      </c>
      <c r="S4840" s="37" t="s">
        <v>21</v>
      </c>
    </row>
    <row r="4841" spans="1:19">
      <c r="A4841" s="26">
        <v>10165</v>
      </c>
      <c r="B4841" s="27">
        <v>41547</v>
      </c>
      <c r="C4841" s="28" t="s">
        <v>15508</v>
      </c>
      <c r="D4841" s="27">
        <v>41546</v>
      </c>
      <c r="E4841" s="28" t="s">
        <v>15509</v>
      </c>
      <c r="F4841" s="28" t="s">
        <v>283</v>
      </c>
      <c r="G4841" s="28" t="s">
        <v>20</v>
      </c>
      <c r="H4841" s="28" t="s">
        <v>189</v>
      </c>
      <c r="I4841" s="28" t="s">
        <v>189</v>
      </c>
      <c r="J4841" s="28" t="s">
        <v>15510</v>
      </c>
      <c r="K4841" s="28" t="s">
        <v>6081</v>
      </c>
      <c r="L4841" s="28" t="s">
        <v>7167</v>
      </c>
      <c r="M4841" s="28" t="s">
        <v>21</v>
      </c>
      <c r="O4841" s="92">
        <v>41563</v>
      </c>
      <c r="P4841" s="28" t="s">
        <v>21</v>
      </c>
      <c r="Q4841" s="26" t="b">
        <v>0</v>
      </c>
      <c r="R4841" s="22">
        <f t="shared" si="79"/>
        <v>16</v>
      </c>
    </row>
    <row r="4842" spans="1:19" ht="32">
      <c r="A4842" s="33">
        <v>10167</v>
      </c>
      <c r="B4842" s="34">
        <v>41550</v>
      </c>
      <c r="C4842" s="35" t="s">
        <v>17766</v>
      </c>
      <c r="D4842" s="34">
        <v>41541</v>
      </c>
      <c r="E4842" s="35" t="s">
        <v>15511</v>
      </c>
      <c r="F4842" s="35" t="s">
        <v>861</v>
      </c>
      <c r="G4842" s="35" t="s">
        <v>20</v>
      </c>
      <c r="H4842" s="35" t="s">
        <v>566</v>
      </c>
      <c r="I4842" s="35" t="s">
        <v>566</v>
      </c>
      <c r="J4842" s="35" t="s">
        <v>15512</v>
      </c>
      <c r="K4842" s="35" t="s">
        <v>13389</v>
      </c>
      <c r="L4842" s="35" t="s">
        <v>14909</v>
      </c>
      <c r="M4842" s="35" t="s">
        <v>1152</v>
      </c>
      <c r="N4842" s="36"/>
      <c r="O4842" s="96">
        <v>42576</v>
      </c>
      <c r="P4842" s="35" t="s">
        <v>21</v>
      </c>
      <c r="Q4842" s="33" t="b">
        <v>0</v>
      </c>
      <c r="R4842" s="22">
        <f t="shared" si="79"/>
        <v>1026</v>
      </c>
    </row>
    <row r="4843" spans="1:19">
      <c r="A4843" s="26">
        <v>10168</v>
      </c>
      <c r="B4843" s="27">
        <v>41550</v>
      </c>
      <c r="C4843" s="28" t="s">
        <v>15513</v>
      </c>
      <c r="D4843" s="27">
        <v>41542</v>
      </c>
      <c r="E4843" s="28" t="s">
        <v>15514</v>
      </c>
      <c r="F4843" s="28" t="s">
        <v>14118</v>
      </c>
      <c r="G4843" s="28" t="s">
        <v>20</v>
      </c>
      <c r="H4843" s="28" t="s">
        <v>71</v>
      </c>
      <c r="I4843" s="28" t="s">
        <v>72</v>
      </c>
      <c r="J4843" s="28" t="s">
        <v>15515</v>
      </c>
      <c r="K4843" s="28" t="s">
        <v>15516</v>
      </c>
      <c r="L4843" s="28" t="s">
        <v>1152</v>
      </c>
      <c r="M4843" s="28" t="s">
        <v>21</v>
      </c>
      <c r="O4843" s="92">
        <v>41879</v>
      </c>
      <c r="P4843" s="28" t="s">
        <v>21</v>
      </c>
      <c r="Q4843" s="26" t="b">
        <v>0</v>
      </c>
      <c r="R4843" s="22">
        <f t="shared" si="79"/>
        <v>329</v>
      </c>
    </row>
    <row r="4844" spans="1:19">
      <c r="A4844" s="26">
        <v>10169</v>
      </c>
      <c r="B4844" s="27">
        <v>41555</v>
      </c>
      <c r="C4844" s="28" t="s">
        <v>15517</v>
      </c>
      <c r="D4844" s="27">
        <v>41554</v>
      </c>
      <c r="E4844" s="28" t="s">
        <v>10998</v>
      </c>
      <c r="F4844" s="28" t="s">
        <v>98</v>
      </c>
      <c r="G4844" s="28" t="s">
        <v>20</v>
      </c>
      <c r="H4844" s="28" t="s">
        <v>71</v>
      </c>
      <c r="I4844" s="28" t="s">
        <v>72</v>
      </c>
      <c r="J4844" s="28" t="s">
        <v>15518</v>
      </c>
      <c r="K4844" s="28" t="s">
        <v>15519</v>
      </c>
      <c r="L4844" s="28" t="s">
        <v>14349</v>
      </c>
      <c r="M4844" s="28" t="s">
        <v>21</v>
      </c>
      <c r="O4844" s="92">
        <v>41619</v>
      </c>
      <c r="P4844" s="28" t="s">
        <v>21</v>
      </c>
      <c r="Q4844" s="26" t="b">
        <v>0</v>
      </c>
      <c r="R4844" s="22">
        <f t="shared" si="79"/>
        <v>63</v>
      </c>
    </row>
    <row r="4845" spans="1:19" ht="32">
      <c r="A4845" s="33">
        <v>10170</v>
      </c>
      <c r="B4845" s="34">
        <v>41556</v>
      </c>
      <c r="C4845" s="35" t="s">
        <v>17942</v>
      </c>
      <c r="D4845" s="34">
        <v>41533</v>
      </c>
      <c r="E4845" s="35" t="s">
        <v>15520</v>
      </c>
      <c r="F4845" s="35" t="s">
        <v>371</v>
      </c>
      <c r="G4845" s="35" t="s">
        <v>20</v>
      </c>
      <c r="H4845" s="35" t="s">
        <v>71</v>
      </c>
      <c r="I4845" s="35" t="s">
        <v>72</v>
      </c>
      <c r="J4845" s="35" t="s">
        <v>8564</v>
      </c>
      <c r="K4845" s="35" t="s">
        <v>21</v>
      </c>
      <c r="L4845" s="35" t="s">
        <v>7167</v>
      </c>
      <c r="M4845" s="35" t="s">
        <v>21</v>
      </c>
      <c r="N4845" s="36"/>
      <c r="O4845" s="96">
        <v>42653</v>
      </c>
      <c r="P4845" s="35" t="s">
        <v>21</v>
      </c>
      <c r="Q4845" s="33" t="b">
        <v>0</v>
      </c>
      <c r="R4845" s="22">
        <f t="shared" si="79"/>
        <v>1096</v>
      </c>
    </row>
    <row r="4846" spans="1:19" ht="32">
      <c r="A4846" s="33">
        <v>10171</v>
      </c>
      <c r="B4846" s="34">
        <v>41556</v>
      </c>
      <c r="C4846" s="35" t="s">
        <v>17910</v>
      </c>
      <c r="D4846" s="34">
        <v>41528</v>
      </c>
      <c r="E4846" s="35" t="s">
        <v>15521</v>
      </c>
      <c r="F4846" s="35" t="s">
        <v>124</v>
      </c>
      <c r="G4846" s="35" t="s">
        <v>20</v>
      </c>
      <c r="H4846" s="35" t="s">
        <v>71</v>
      </c>
      <c r="I4846" s="35" t="s">
        <v>72</v>
      </c>
      <c r="J4846" s="35" t="s">
        <v>15489</v>
      </c>
      <c r="K4846" s="35" t="s">
        <v>15522</v>
      </c>
      <c r="L4846" s="35" t="s">
        <v>7167</v>
      </c>
      <c r="M4846" s="35" t="s">
        <v>21</v>
      </c>
      <c r="N4846" s="36"/>
      <c r="O4846" s="97">
        <v>42636</v>
      </c>
      <c r="P4846" s="35" t="s">
        <v>21</v>
      </c>
      <c r="Q4846" s="33" t="b">
        <v>0</v>
      </c>
      <c r="R4846" s="22">
        <f t="shared" si="79"/>
        <v>1078</v>
      </c>
    </row>
    <row r="4847" spans="1:19" ht="24">
      <c r="A4847" s="26">
        <v>10172</v>
      </c>
      <c r="B4847" s="27">
        <v>41556</v>
      </c>
      <c r="C4847" s="28" t="s">
        <v>15523</v>
      </c>
      <c r="D4847" s="27">
        <v>41551</v>
      </c>
      <c r="E4847" s="28" t="s">
        <v>15524</v>
      </c>
      <c r="F4847" s="28" t="s">
        <v>15525</v>
      </c>
      <c r="G4847" s="28" t="s">
        <v>20</v>
      </c>
      <c r="H4847" s="28" t="s">
        <v>71</v>
      </c>
      <c r="I4847" s="28" t="s">
        <v>72</v>
      </c>
      <c r="J4847" s="28" t="s">
        <v>15526</v>
      </c>
      <c r="K4847" s="28" t="s">
        <v>15527</v>
      </c>
      <c r="L4847" s="28" t="s">
        <v>4282</v>
      </c>
      <c r="M4847" s="28" t="s">
        <v>21</v>
      </c>
      <c r="O4847" s="94">
        <v>42268</v>
      </c>
      <c r="P4847" s="28" t="s">
        <v>21</v>
      </c>
      <c r="Q4847" s="26" t="b">
        <v>0</v>
      </c>
      <c r="R4847" s="22">
        <f t="shared" si="79"/>
        <v>711</v>
      </c>
    </row>
    <row r="4848" spans="1:19" ht="32">
      <c r="A4848" s="33">
        <v>10173</v>
      </c>
      <c r="B4848" s="34">
        <v>41556</v>
      </c>
      <c r="C4848" s="35" t="s">
        <v>18049</v>
      </c>
      <c r="D4848" s="34">
        <v>41547</v>
      </c>
      <c r="E4848" s="35" t="s">
        <v>15528</v>
      </c>
      <c r="F4848" s="35" t="s">
        <v>371</v>
      </c>
      <c r="G4848" s="35" t="s">
        <v>20</v>
      </c>
      <c r="H4848" s="35" t="s">
        <v>71</v>
      </c>
      <c r="I4848" s="35" t="s">
        <v>72</v>
      </c>
      <c r="J4848" s="35" t="s">
        <v>15529</v>
      </c>
      <c r="K4848" s="35" t="s">
        <v>21</v>
      </c>
      <c r="L4848" s="35" t="s">
        <v>14518</v>
      </c>
      <c r="M4848" s="35" t="s">
        <v>1152</v>
      </c>
      <c r="N4848" s="36"/>
      <c r="O4848" s="96">
        <v>42713</v>
      </c>
      <c r="P4848" s="35" t="s">
        <v>21</v>
      </c>
      <c r="Q4848" s="33" t="b">
        <v>0</v>
      </c>
      <c r="R4848" s="22">
        <f t="shared" si="79"/>
        <v>1155</v>
      </c>
    </row>
    <row r="4849" spans="1:20">
      <c r="A4849" s="26">
        <v>10175</v>
      </c>
      <c r="B4849" s="27">
        <v>41562</v>
      </c>
      <c r="C4849" s="28" t="s">
        <v>15530</v>
      </c>
      <c r="D4849" s="27">
        <v>41560</v>
      </c>
      <c r="E4849" s="28" t="s">
        <v>15531</v>
      </c>
      <c r="F4849" s="28" t="s">
        <v>974</v>
      </c>
      <c r="G4849" s="28" t="s">
        <v>20</v>
      </c>
      <c r="H4849" s="28" t="s">
        <v>212</v>
      </c>
      <c r="I4849" s="28" t="s">
        <v>212</v>
      </c>
      <c r="J4849" s="28" t="s">
        <v>15532</v>
      </c>
      <c r="K4849" s="28" t="s">
        <v>15533</v>
      </c>
      <c r="L4849" s="28" t="s">
        <v>1946</v>
      </c>
      <c r="M4849" s="28" t="s">
        <v>21</v>
      </c>
      <c r="O4849" s="92">
        <v>42362</v>
      </c>
      <c r="P4849" s="28" t="s">
        <v>21</v>
      </c>
      <c r="Q4849" s="26" t="b">
        <v>0</v>
      </c>
      <c r="R4849" s="22">
        <f t="shared" si="79"/>
        <v>799</v>
      </c>
    </row>
    <row r="4850" spans="1:20">
      <c r="A4850" s="26">
        <v>10176</v>
      </c>
      <c r="B4850" s="27">
        <v>41568</v>
      </c>
      <c r="C4850" s="28" t="s">
        <v>15534</v>
      </c>
      <c r="D4850" s="27">
        <v>41558</v>
      </c>
      <c r="E4850" s="28" t="s">
        <v>38</v>
      </c>
      <c r="F4850" s="28" t="s">
        <v>124</v>
      </c>
      <c r="G4850" s="28" t="s">
        <v>20</v>
      </c>
      <c r="H4850" s="28" t="s">
        <v>71</v>
      </c>
      <c r="I4850" s="28" t="s">
        <v>72</v>
      </c>
      <c r="J4850" s="28" t="s">
        <v>15535</v>
      </c>
      <c r="K4850" s="28" t="s">
        <v>15489</v>
      </c>
      <c r="L4850" s="28" t="s">
        <v>1152</v>
      </c>
      <c r="M4850" s="28" t="s">
        <v>21</v>
      </c>
      <c r="O4850" s="94">
        <v>41578</v>
      </c>
      <c r="P4850" s="28" t="s">
        <v>21</v>
      </c>
      <c r="Q4850" s="26" t="b">
        <v>0</v>
      </c>
      <c r="R4850" s="22">
        <f t="shared" si="79"/>
        <v>10</v>
      </c>
    </row>
    <row r="4851" spans="1:20">
      <c r="A4851" s="26">
        <v>10177</v>
      </c>
      <c r="B4851" s="27">
        <v>41572</v>
      </c>
      <c r="C4851" s="28" t="s">
        <v>15536</v>
      </c>
      <c r="D4851" s="27">
        <v>41572</v>
      </c>
      <c r="E4851" s="28" t="s">
        <v>15492</v>
      </c>
      <c r="F4851" s="28" t="s">
        <v>4596</v>
      </c>
      <c r="G4851" s="28" t="s">
        <v>20</v>
      </c>
      <c r="H4851" s="28" t="s">
        <v>71</v>
      </c>
      <c r="I4851" s="28" t="s">
        <v>72</v>
      </c>
      <c r="J4851" s="28" t="s">
        <v>15537</v>
      </c>
      <c r="K4851" s="28" t="s">
        <v>6081</v>
      </c>
      <c r="L4851" s="28" t="s">
        <v>7167</v>
      </c>
      <c r="M4851" s="28" t="s">
        <v>21</v>
      </c>
      <c r="O4851" s="92">
        <v>41579</v>
      </c>
      <c r="P4851" s="28" t="s">
        <v>21</v>
      </c>
      <c r="Q4851" s="26" t="b">
        <v>0</v>
      </c>
      <c r="R4851" s="22">
        <f t="shared" si="79"/>
        <v>6</v>
      </c>
    </row>
    <row r="4852" spans="1:20">
      <c r="A4852" s="26">
        <v>10178</v>
      </c>
      <c r="B4852" s="27">
        <v>41572</v>
      </c>
      <c r="C4852" s="28" t="s">
        <v>15538</v>
      </c>
      <c r="D4852" s="27">
        <v>41571</v>
      </c>
      <c r="E4852" s="28" t="s">
        <v>15539</v>
      </c>
      <c r="F4852" s="28" t="s">
        <v>15540</v>
      </c>
      <c r="G4852" s="28" t="s">
        <v>20</v>
      </c>
      <c r="H4852" s="28" t="s">
        <v>71</v>
      </c>
      <c r="I4852" s="28" t="s">
        <v>72</v>
      </c>
      <c r="J4852" s="28" t="s">
        <v>15541</v>
      </c>
      <c r="K4852" s="28" t="s">
        <v>15542</v>
      </c>
      <c r="L4852" s="28" t="s">
        <v>1946</v>
      </c>
      <c r="M4852" s="28" t="s">
        <v>21</v>
      </c>
      <c r="O4852" s="92">
        <v>41628</v>
      </c>
      <c r="P4852" s="28" t="s">
        <v>21</v>
      </c>
      <c r="Q4852" s="26" t="b">
        <v>0</v>
      </c>
      <c r="R4852" s="22">
        <f t="shared" si="79"/>
        <v>55</v>
      </c>
    </row>
    <row r="4853" spans="1:20">
      <c r="A4853" s="26">
        <v>10179</v>
      </c>
      <c r="B4853" s="27">
        <v>41576</v>
      </c>
      <c r="C4853" s="28" t="s">
        <v>15543</v>
      </c>
      <c r="D4853" s="27">
        <v>41567</v>
      </c>
      <c r="E4853" s="28" t="s">
        <v>15544</v>
      </c>
      <c r="F4853" s="28" t="s">
        <v>124</v>
      </c>
      <c r="G4853" s="28" t="s">
        <v>20</v>
      </c>
      <c r="H4853" s="28" t="s">
        <v>71</v>
      </c>
      <c r="I4853" s="28" t="s">
        <v>72</v>
      </c>
      <c r="J4853" s="28" t="s">
        <v>15545</v>
      </c>
      <c r="K4853" s="28" t="s">
        <v>15546</v>
      </c>
      <c r="L4853" s="28" t="s">
        <v>1152</v>
      </c>
      <c r="M4853" s="28" t="s">
        <v>21</v>
      </c>
      <c r="O4853" s="94">
        <v>41583</v>
      </c>
      <c r="P4853" s="28" t="s">
        <v>21</v>
      </c>
      <c r="Q4853" s="26" t="b">
        <v>0</v>
      </c>
      <c r="R4853" s="22">
        <f t="shared" si="79"/>
        <v>6</v>
      </c>
    </row>
    <row r="4854" spans="1:20">
      <c r="A4854" s="26">
        <v>10180</v>
      </c>
      <c r="B4854" s="27">
        <v>41576</v>
      </c>
      <c r="C4854" s="28" t="s">
        <v>15547</v>
      </c>
      <c r="D4854" s="27">
        <v>41567</v>
      </c>
      <c r="E4854" s="28" t="s">
        <v>15548</v>
      </c>
      <c r="F4854" s="28" t="s">
        <v>124</v>
      </c>
      <c r="G4854" s="28" t="s">
        <v>20</v>
      </c>
      <c r="H4854" s="28" t="s">
        <v>71</v>
      </c>
      <c r="I4854" s="28" t="s">
        <v>72</v>
      </c>
      <c r="J4854" s="28" t="s">
        <v>15549</v>
      </c>
      <c r="K4854" s="28" t="s">
        <v>15550</v>
      </c>
      <c r="L4854" s="28" t="s">
        <v>1152</v>
      </c>
      <c r="M4854" s="28" t="s">
        <v>21</v>
      </c>
      <c r="O4854" s="94">
        <v>41597</v>
      </c>
      <c r="P4854" s="28" t="s">
        <v>21</v>
      </c>
      <c r="Q4854" s="26" t="b">
        <v>0</v>
      </c>
      <c r="R4854" s="22">
        <f t="shared" si="79"/>
        <v>20</v>
      </c>
    </row>
    <row r="4855" spans="1:20" ht="32">
      <c r="A4855" s="33">
        <v>10181</v>
      </c>
      <c r="B4855" s="34">
        <v>41576</v>
      </c>
      <c r="C4855" s="35" t="s">
        <v>17528</v>
      </c>
      <c r="D4855" s="34">
        <v>41575</v>
      </c>
      <c r="E4855" s="35" t="s">
        <v>15551</v>
      </c>
      <c r="F4855" s="35" t="s">
        <v>3171</v>
      </c>
      <c r="G4855" s="35" t="s">
        <v>20</v>
      </c>
      <c r="H4855" s="35" t="s">
        <v>566</v>
      </c>
      <c r="I4855" s="35" t="s">
        <v>566</v>
      </c>
      <c r="J4855" s="35" t="s">
        <v>15552</v>
      </c>
      <c r="K4855" s="35" t="s">
        <v>14845</v>
      </c>
      <c r="L4855" s="35" t="s">
        <v>1946</v>
      </c>
      <c r="M4855" s="35" t="s">
        <v>21</v>
      </c>
      <c r="N4855" s="36"/>
      <c r="O4855" s="96">
        <v>42424</v>
      </c>
      <c r="P4855" s="35" t="s">
        <v>21</v>
      </c>
      <c r="Q4855" s="33" t="b">
        <v>0</v>
      </c>
      <c r="R4855" s="22">
        <f t="shared" si="79"/>
        <v>846</v>
      </c>
    </row>
    <row r="4856" spans="1:20" ht="32">
      <c r="A4856" s="33">
        <v>10187</v>
      </c>
      <c r="B4856" s="34">
        <v>41583</v>
      </c>
      <c r="C4856" s="35" t="s">
        <v>17733</v>
      </c>
      <c r="D4856" s="34">
        <v>41582</v>
      </c>
      <c r="E4856" s="35" t="s">
        <v>15553</v>
      </c>
      <c r="F4856" s="35" t="s">
        <v>10088</v>
      </c>
      <c r="G4856" s="35" t="s">
        <v>20</v>
      </c>
      <c r="H4856" s="35" t="s">
        <v>71</v>
      </c>
      <c r="I4856" s="35" t="s">
        <v>72</v>
      </c>
      <c r="J4856" s="35" t="s">
        <v>15554</v>
      </c>
      <c r="K4856" s="35" t="s">
        <v>15150</v>
      </c>
      <c r="L4856" s="35" t="s">
        <v>4282</v>
      </c>
      <c r="M4856" s="35" t="s">
        <v>21</v>
      </c>
      <c r="N4856" s="36"/>
      <c r="O4856" s="97">
        <v>42551</v>
      </c>
      <c r="P4856" s="35" t="s">
        <v>21</v>
      </c>
      <c r="Q4856" s="33" t="b">
        <v>0</v>
      </c>
      <c r="R4856" s="22">
        <f t="shared" si="79"/>
        <v>968</v>
      </c>
    </row>
    <row r="4857" spans="1:20">
      <c r="A4857" s="26">
        <v>10188</v>
      </c>
      <c r="B4857" s="27">
        <v>41583</v>
      </c>
      <c r="C4857" s="28" t="s">
        <v>15555</v>
      </c>
      <c r="D4857" s="27">
        <v>41583</v>
      </c>
      <c r="E4857" s="28" t="s">
        <v>38</v>
      </c>
      <c r="F4857" s="28" t="s">
        <v>2838</v>
      </c>
      <c r="G4857" s="28" t="s">
        <v>20</v>
      </c>
      <c r="H4857" s="28" t="s">
        <v>71</v>
      </c>
      <c r="I4857" s="28" t="s">
        <v>72</v>
      </c>
      <c r="J4857" s="28" t="s">
        <v>15556</v>
      </c>
      <c r="K4857" s="28" t="s">
        <v>15557</v>
      </c>
      <c r="L4857" s="28" t="s">
        <v>7167</v>
      </c>
      <c r="M4857" s="28" t="s">
        <v>21</v>
      </c>
      <c r="O4857" s="94">
        <v>41590</v>
      </c>
      <c r="P4857" s="28" t="s">
        <v>21</v>
      </c>
      <c r="Q4857" s="26" t="b">
        <v>0</v>
      </c>
      <c r="R4857" s="22">
        <f t="shared" si="79"/>
        <v>7</v>
      </c>
    </row>
    <row r="4858" spans="1:20" ht="24">
      <c r="A4858" s="26">
        <v>10189</v>
      </c>
      <c r="B4858" s="27">
        <v>41586</v>
      </c>
      <c r="C4858" s="28" t="s">
        <v>15558</v>
      </c>
      <c r="D4858" s="27">
        <v>41585</v>
      </c>
      <c r="E4858" s="28" t="s">
        <v>15559</v>
      </c>
      <c r="F4858" s="28" t="s">
        <v>52</v>
      </c>
      <c r="G4858" s="28" t="s">
        <v>20</v>
      </c>
      <c r="H4858" s="28" t="s">
        <v>71</v>
      </c>
      <c r="I4858" s="28" t="s">
        <v>72</v>
      </c>
      <c r="J4858" s="28" t="s">
        <v>12966</v>
      </c>
      <c r="K4858" s="28" t="s">
        <v>15560</v>
      </c>
      <c r="L4858" s="28" t="s">
        <v>14909</v>
      </c>
      <c r="M4858" s="28" t="s">
        <v>14411</v>
      </c>
      <c r="O4858" s="94">
        <v>41836</v>
      </c>
      <c r="P4858" s="28" t="s">
        <v>21</v>
      </c>
      <c r="Q4858" s="26" t="b">
        <v>0</v>
      </c>
      <c r="R4858" s="22">
        <f t="shared" si="79"/>
        <v>251</v>
      </c>
    </row>
    <row r="4859" spans="1:20" ht="24">
      <c r="A4859" s="26">
        <v>10190</v>
      </c>
      <c r="B4859" s="27">
        <v>41586</v>
      </c>
      <c r="C4859" s="28" t="s">
        <v>18869</v>
      </c>
      <c r="D4859" s="27">
        <v>41585</v>
      </c>
      <c r="E4859" s="28" t="s">
        <v>1432</v>
      </c>
      <c r="F4859" s="28" t="s">
        <v>14118</v>
      </c>
      <c r="G4859" s="28" t="s">
        <v>20</v>
      </c>
      <c r="H4859" s="28" t="s">
        <v>71</v>
      </c>
      <c r="I4859" s="28" t="s">
        <v>72</v>
      </c>
      <c r="J4859" s="28" t="s">
        <v>15561</v>
      </c>
      <c r="K4859" s="28" t="s">
        <v>15562</v>
      </c>
      <c r="L4859" s="28" t="s">
        <v>1946</v>
      </c>
      <c r="M4859" s="28" t="s">
        <v>21</v>
      </c>
      <c r="O4859" s="98"/>
      <c r="P4859" s="28" t="s">
        <v>21</v>
      </c>
      <c r="Q4859" s="26" t="b">
        <v>0</v>
      </c>
      <c r="R4859" s="59"/>
      <c r="T4859" s="37" t="s">
        <v>21</v>
      </c>
    </row>
    <row r="4860" spans="1:20" ht="32">
      <c r="A4860" s="33">
        <v>10191</v>
      </c>
      <c r="B4860" s="34">
        <v>41586</v>
      </c>
      <c r="C4860" s="35" t="s">
        <v>17635</v>
      </c>
      <c r="D4860" s="34">
        <v>41586</v>
      </c>
      <c r="E4860" s="35" t="s">
        <v>17636</v>
      </c>
      <c r="F4860" s="35" t="s">
        <v>1743</v>
      </c>
      <c r="G4860" s="35" t="s">
        <v>20</v>
      </c>
      <c r="H4860" s="35" t="s">
        <v>71</v>
      </c>
      <c r="I4860" s="35" t="s">
        <v>72</v>
      </c>
      <c r="J4860" s="35" t="s">
        <v>17637</v>
      </c>
      <c r="K4860" s="35" t="s">
        <v>17638</v>
      </c>
      <c r="L4860" s="35" t="s">
        <v>7167</v>
      </c>
      <c r="M4860" s="35" t="s">
        <v>21</v>
      </c>
      <c r="N4860" s="36"/>
      <c r="O4860" s="97">
        <v>42496</v>
      </c>
      <c r="P4860" s="35" t="s">
        <v>21</v>
      </c>
      <c r="Q4860" s="33" t="b">
        <v>0</v>
      </c>
      <c r="R4860" s="22">
        <f t="shared" ref="R4860:R4872" si="80">IF(O4860=" ", " ", INT(YEARFRAC(O4860, B4860)*365))</f>
        <v>910</v>
      </c>
    </row>
    <row r="4861" spans="1:20">
      <c r="A4861" s="26">
        <v>10192</v>
      </c>
      <c r="B4861" s="27">
        <v>41590</v>
      </c>
      <c r="C4861" s="28" t="s">
        <v>15563</v>
      </c>
      <c r="D4861" s="27">
        <v>41584</v>
      </c>
      <c r="E4861" s="28" t="s">
        <v>38</v>
      </c>
      <c r="F4861" s="28" t="s">
        <v>27</v>
      </c>
      <c r="G4861" s="28" t="s">
        <v>20</v>
      </c>
      <c r="H4861" s="28" t="s">
        <v>189</v>
      </c>
      <c r="I4861" s="28" t="s">
        <v>189</v>
      </c>
      <c r="J4861" s="28" t="s">
        <v>15564</v>
      </c>
      <c r="K4861" s="28" t="s">
        <v>21</v>
      </c>
      <c r="L4861" s="28" t="s">
        <v>1946</v>
      </c>
      <c r="M4861" s="28" t="s">
        <v>21</v>
      </c>
      <c r="O4861" s="92">
        <v>41590</v>
      </c>
      <c r="P4861" s="28" t="s">
        <v>21</v>
      </c>
      <c r="Q4861" s="26" t="b">
        <v>0</v>
      </c>
      <c r="R4861" s="22">
        <f t="shared" si="80"/>
        <v>0</v>
      </c>
    </row>
    <row r="4862" spans="1:20">
      <c r="A4862" s="26">
        <v>10193</v>
      </c>
      <c r="B4862" s="27">
        <v>41592</v>
      </c>
      <c r="C4862" s="28" t="s">
        <v>15565</v>
      </c>
      <c r="D4862" s="27">
        <v>41591</v>
      </c>
      <c r="E4862" s="28" t="s">
        <v>38</v>
      </c>
      <c r="F4862" s="28" t="s">
        <v>149</v>
      </c>
      <c r="G4862" s="28" t="s">
        <v>20</v>
      </c>
      <c r="H4862" s="28" t="s">
        <v>71</v>
      </c>
      <c r="I4862" s="28" t="s">
        <v>72</v>
      </c>
      <c r="J4862" s="28" t="s">
        <v>15566</v>
      </c>
      <c r="K4862" s="28" t="s">
        <v>15567</v>
      </c>
      <c r="L4862" s="28" t="s">
        <v>4282</v>
      </c>
      <c r="M4862" s="28" t="s">
        <v>21</v>
      </c>
      <c r="O4862" s="94">
        <v>42121</v>
      </c>
      <c r="P4862" s="28" t="s">
        <v>21</v>
      </c>
      <c r="Q4862" s="26" t="b">
        <v>0</v>
      </c>
      <c r="R4862" s="22">
        <f t="shared" si="80"/>
        <v>530</v>
      </c>
    </row>
    <row r="4863" spans="1:20" ht="32">
      <c r="A4863" s="33">
        <v>10194</v>
      </c>
      <c r="B4863" s="34">
        <v>41592</v>
      </c>
      <c r="C4863" s="35" t="s">
        <v>17767</v>
      </c>
      <c r="D4863" s="34">
        <v>41582</v>
      </c>
      <c r="E4863" s="35" t="s">
        <v>15568</v>
      </c>
      <c r="F4863" s="35" t="s">
        <v>861</v>
      </c>
      <c r="G4863" s="35" t="s">
        <v>20</v>
      </c>
      <c r="H4863" s="35" t="s">
        <v>566</v>
      </c>
      <c r="I4863" s="35" t="s">
        <v>566</v>
      </c>
      <c r="J4863" s="35" t="s">
        <v>15569</v>
      </c>
      <c r="K4863" s="35" t="s">
        <v>9348</v>
      </c>
      <c r="L4863" s="35" t="s">
        <v>14909</v>
      </c>
      <c r="M4863" s="35" t="s">
        <v>1152</v>
      </c>
      <c r="N4863" s="36"/>
      <c r="O4863" s="96">
        <v>42576</v>
      </c>
      <c r="P4863" s="35" t="s">
        <v>21</v>
      </c>
      <c r="Q4863" s="33" t="b">
        <v>0</v>
      </c>
      <c r="R4863" s="22">
        <f t="shared" si="80"/>
        <v>984</v>
      </c>
    </row>
    <row r="4864" spans="1:20">
      <c r="A4864" s="26">
        <v>10195</v>
      </c>
      <c r="B4864" s="27">
        <v>41592</v>
      </c>
      <c r="C4864" s="28" t="s">
        <v>19159</v>
      </c>
      <c r="D4864" s="27">
        <v>41592</v>
      </c>
      <c r="E4864" s="28" t="s">
        <v>15570</v>
      </c>
      <c r="F4864" s="28" t="s">
        <v>19</v>
      </c>
      <c r="G4864" s="28" t="s">
        <v>20</v>
      </c>
      <c r="H4864" s="28" t="s">
        <v>71</v>
      </c>
      <c r="I4864" s="28" t="s">
        <v>72</v>
      </c>
      <c r="J4864" s="28" t="s">
        <v>15571</v>
      </c>
      <c r="K4864" s="28" t="s">
        <v>21</v>
      </c>
      <c r="L4864" s="28" t="s">
        <v>14909</v>
      </c>
      <c r="M4864" s="28" t="s">
        <v>4282</v>
      </c>
      <c r="O4864" s="94">
        <v>42915</v>
      </c>
      <c r="P4864" s="28" t="s">
        <v>21</v>
      </c>
      <c r="Q4864" s="26" t="b">
        <v>0</v>
      </c>
      <c r="R4864" s="22">
        <f t="shared" si="80"/>
        <v>1323</v>
      </c>
      <c r="S4864" s="37" t="s">
        <v>21</v>
      </c>
    </row>
    <row r="4865" spans="1:20">
      <c r="A4865" s="26">
        <v>10197</v>
      </c>
      <c r="B4865" s="27">
        <v>41600</v>
      </c>
      <c r="C4865" s="28" t="s">
        <v>15572</v>
      </c>
      <c r="D4865" s="27">
        <v>40700</v>
      </c>
      <c r="E4865" s="28" t="s">
        <v>38</v>
      </c>
      <c r="F4865" s="28" t="s">
        <v>149</v>
      </c>
      <c r="G4865" s="28" t="s">
        <v>20</v>
      </c>
      <c r="H4865" s="28" t="s">
        <v>71</v>
      </c>
      <c r="I4865" s="28" t="s">
        <v>72</v>
      </c>
      <c r="J4865" s="28" t="s">
        <v>15573</v>
      </c>
      <c r="K4865" s="28" t="s">
        <v>14467</v>
      </c>
      <c r="L4865" s="28" t="s">
        <v>1946</v>
      </c>
      <c r="M4865" s="28" t="s">
        <v>21</v>
      </c>
      <c r="O4865" s="92">
        <v>41600</v>
      </c>
      <c r="P4865" s="28" t="s">
        <v>21</v>
      </c>
      <c r="Q4865" s="26" t="b">
        <v>0</v>
      </c>
      <c r="R4865" s="22">
        <f t="shared" si="80"/>
        <v>0</v>
      </c>
    </row>
    <row r="4866" spans="1:20" ht="32">
      <c r="A4866" s="33">
        <v>10199</v>
      </c>
      <c r="B4866" s="34">
        <v>41603</v>
      </c>
      <c r="C4866" s="35" t="s">
        <v>17979</v>
      </c>
      <c r="D4866" s="34">
        <v>41597</v>
      </c>
      <c r="E4866" s="35" t="s">
        <v>15574</v>
      </c>
      <c r="F4866" s="35" t="s">
        <v>124</v>
      </c>
      <c r="G4866" s="35" t="s">
        <v>20</v>
      </c>
      <c r="H4866" s="35" t="s">
        <v>71</v>
      </c>
      <c r="I4866" s="35" t="s">
        <v>72</v>
      </c>
      <c r="J4866" s="35" t="s">
        <v>15575</v>
      </c>
      <c r="K4866" s="35" t="s">
        <v>21</v>
      </c>
      <c r="L4866" s="35" t="s">
        <v>14518</v>
      </c>
      <c r="M4866" s="35" t="s">
        <v>1152</v>
      </c>
      <c r="N4866" s="36"/>
      <c r="O4866" s="96">
        <v>42671</v>
      </c>
      <c r="P4866" s="35" t="s">
        <v>21</v>
      </c>
      <c r="Q4866" s="33" t="b">
        <v>0</v>
      </c>
      <c r="R4866" s="22">
        <f t="shared" si="80"/>
        <v>1067</v>
      </c>
    </row>
    <row r="4867" spans="1:20">
      <c r="A4867" s="26">
        <v>10200</v>
      </c>
      <c r="B4867" s="27">
        <v>41603</v>
      </c>
      <c r="C4867" s="28" t="s">
        <v>19164</v>
      </c>
      <c r="D4867" s="27">
        <v>41596</v>
      </c>
      <c r="E4867" s="28" t="s">
        <v>15576</v>
      </c>
      <c r="F4867" s="28" t="s">
        <v>124</v>
      </c>
      <c r="G4867" s="28" t="s">
        <v>20</v>
      </c>
      <c r="H4867" s="28" t="s">
        <v>71</v>
      </c>
      <c r="I4867" s="28" t="s">
        <v>72</v>
      </c>
      <c r="J4867" s="28" t="s">
        <v>15577</v>
      </c>
      <c r="K4867" s="28" t="s">
        <v>15578</v>
      </c>
      <c r="L4867" s="28" t="s">
        <v>14909</v>
      </c>
      <c r="M4867" s="28" t="s">
        <v>15890</v>
      </c>
      <c r="O4867" s="92">
        <v>42916</v>
      </c>
      <c r="P4867" s="28" t="s">
        <v>21</v>
      </c>
      <c r="Q4867" s="26" t="b">
        <v>0</v>
      </c>
      <c r="R4867" s="22">
        <f t="shared" si="80"/>
        <v>1312</v>
      </c>
      <c r="S4867" s="37" t="s">
        <v>21</v>
      </c>
    </row>
    <row r="4868" spans="1:20">
      <c r="A4868" s="26">
        <v>10201</v>
      </c>
      <c r="B4868" s="27">
        <v>41610</v>
      </c>
      <c r="C4868" s="28" t="s">
        <v>19152</v>
      </c>
      <c r="D4868" s="27">
        <v>41605</v>
      </c>
      <c r="E4868" s="28" t="s">
        <v>15579</v>
      </c>
      <c r="F4868" s="28" t="s">
        <v>327</v>
      </c>
      <c r="G4868" s="28" t="s">
        <v>20</v>
      </c>
      <c r="H4868" s="28" t="s">
        <v>71</v>
      </c>
      <c r="I4868" s="28" t="s">
        <v>72</v>
      </c>
      <c r="J4868" s="28" t="s">
        <v>15580</v>
      </c>
      <c r="K4868" s="28" t="s">
        <v>9348</v>
      </c>
      <c r="L4868" s="28" t="s">
        <v>7167</v>
      </c>
      <c r="M4868" s="28" t="s">
        <v>21</v>
      </c>
      <c r="O4868" s="94">
        <v>42907</v>
      </c>
      <c r="P4868" s="28" t="s">
        <v>21</v>
      </c>
      <c r="Q4868" s="26" t="b">
        <v>0</v>
      </c>
      <c r="R4868" s="22">
        <f t="shared" si="80"/>
        <v>1296</v>
      </c>
      <c r="S4868" s="37" t="s">
        <v>21</v>
      </c>
    </row>
    <row r="4869" spans="1:20">
      <c r="A4869" s="26">
        <v>10202</v>
      </c>
      <c r="B4869" s="27">
        <v>41612</v>
      </c>
      <c r="C4869" s="28" t="s">
        <v>15581</v>
      </c>
      <c r="D4869" s="27">
        <v>41611</v>
      </c>
      <c r="E4869" s="28" t="s">
        <v>11030</v>
      </c>
      <c r="F4869" s="28" t="s">
        <v>15582</v>
      </c>
      <c r="G4869" s="28" t="s">
        <v>20</v>
      </c>
      <c r="H4869" s="28" t="s">
        <v>71</v>
      </c>
      <c r="I4869" s="28" t="s">
        <v>72</v>
      </c>
      <c r="J4869" s="28" t="s">
        <v>15583</v>
      </c>
      <c r="K4869" s="28" t="s">
        <v>15584</v>
      </c>
      <c r="L4869" s="28" t="s">
        <v>4282</v>
      </c>
      <c r="M4869" s="28" t="s">
        <v>21</v>
      </c>
      <c r="O4869" s="92">
        <v>41729</v>
      </c>
      <c r="P4869" s="28" t="s">
        <v>21</v>
      </c>
      <c r="Q4869" s="26" t="b">
        <v>0</v>
      </c>
      <c r="R4869" s="22">
        <f t="shared" si="80"/>
        <v>118</v>
      </c>
    </row>
    <row r="4870" spans="1:20" ht="32">
      <c r="A4870" s="33">
        <v>10203</v>
      </c>
      <c r="B4870" s="34">
        <v>41612</v>
      </c>
      <c r="C4870" s="35" t="s">
        <v>18015</v>
      </c>
      <c r="D4870" s="34">
        <v>41611</v>
      </c>
      <c r="E4870" s="35" t="s">
        <v>15585</v>
      </c>
      <c r="F4870" s="35" t="s">
        <v>533</v>
      </c>
      <c r="G4870" s="35" t="s">
        <v>20</v>
      </c>
      <c r="H4870" s="35" t="s">
        <v>71</v>
      </c>
      <c r="I4870" s="35" t="s">
        <v>72</v>
      </c>
      <c r="J4870" s="35" t="s">
        <v>15586</v>
      </c>
      <c r="K4870" s="35" t="s">
        <v>21</v>
      </c>
      <c r="L4870" s="35" t="s">
        <v>4282</v>
      </c>
      <c r="M4870" s="35" t="s">
        <v>17616</v>
      </c>
      <c r="N4870" s="36"/>
      <c r="O4870" s="96">
        <v>42695</v>
      </c>
      <c r="P4870" s="35" t="s">
        <v>21</v>
      </c>
      <c r="Q4870" s="33" t="b">
        <v>0</v>
      </c>
      <c r="R4870" s="22">
        <f t="shared" si="80"/>
        <v>1081</v>
      </c>
    </row>
    <row r="4871" spans="1:20">
      <c r="A4871" s="26">
        <v>10204</v>
      </c>
      <c r="B4871" s="27">
        <v>41618</v>
      </c>
      <c r="C4871" s="28" t="s">
        <v>15587</v>
      </c>
      <c r="D4871" s="27">
        <v>41612</v>
      </c>
      <c r="E4871" s="28" t="s">
        <v>38</v>
      </c>
      <c r="F4871" s="28" t="s">
        <v>15588</v>
      </c>
      <c r="G4871" s="28" t="s">
        <v>20</v>
      </c>
      <c r="H4871" s="28" t="s">
        <v>71</v>
      </c>
      <c r="I4871" s="28" t="s">
        <v>72</v>
      </c>
      <c r="J4871" s="28" t="s">
        <v>15589</v>
      </c>
      <c r="K4871" s="28" t="s">
        <v>15590</v>
      </c>
      <c r="L4871" s="28" t="s">
        <v>4282</v>
      </c>
      <c r="M4871" s="28" t="s">
        <v>21</v>
      </c>
      <c r="O4871" s="92">
        <v>41767</v>
      </c>
      <c r="P4871" s="28" t="s">
        <v>21</v>
      </c>
      <c r="Q4871" s="26" t="b">
        <v>0</v>
      </c>
      <c r="R4871" s="22">
        <f t="shared" si="80"/>
        <v>150</v>
      </c>
    </row>
    <row r="4872" spans="1:20" ht="32">
      <c r="A4872" s="33">
        <v>10205</v>
      </c>
      <c r="B4872" s="34">
        <v>41619</v>
      </c>
      <c r="C4872" s="35" t="s">
        <v>17648</v>
      </c>
      <c r="D4872" s="34">
        <v>41617</v>
      </c>
      <c r="E4872" s="35" t="s">
        <v>1432</v>
      </c>
      <c r="F4872" s="35" t="s">
        <v>1743</v>
      </c>
      <c r="G4872" s="35" t="s">
        <v>20</v>
      </c>
      <c r="H4872" s="35" t="s">
        <v>71</v>
      </c>
      <c r="I4872" s="35" t="s">
        <v>72</v>
      </c>
      <c r="J4872" s="35" t="s">
        <v>17649</v>
      </c>
      <c r="K4872" s="35" t="s">
        <v>17650</v>
      </c>
      <c r="L4872" s="35" t="s">
        <v>7167</v>
      </c>
      <c r="M4872" s="35" t="s">
        <v>21</v>
      </c>
      <c r="N4872" s="36"/>
      <c r="O4872" s="96">
        <v>42506</v>
      </c>
      <c r="P4872" s="35" t="s">
        <v>21</v>
      </c>
      <c r="Q4872" s="33" t="b">
        <v>0</v>
      </c>
      <c r="R4872" s="22">
        <f t="shared" si="80"/>
        <v>887</v>
      </c>
    </row>
    <row r="4873" spans="1:20">
      <c r="A4873" s="26">
        <v>10207</v>
      </c>
      <c r="B4873" s="27">
        <v>41624</v>
      </c>
      <c r="C4873" s="28" t="s">
        <v>18870</v>
      </c>
      <c r="D4873" s="27">
        <v>41611</v>
      </c>
      <c r="E4873" s="28" t="s">
        <v>1432</v>
      </c>
      <c r="F4873" s="28" t="s">
        <v>371</v>
      </c>
      <c r="G4873" s="28" t="s">
        <v>20</v>
      </c>
      <c r="H4873" s="28" t="s">
        <v>71</v>
      </c>
      <c r="I4873" s="28" t="s">
        <v>72</v>
      </c>
      <c r="J4873" s="28" t="s">
        <v>15591</v>
      </c>
      <c r="K4873" s="28" t="s">
        <v>15592</v>
      </c>
      <c r="L4873" s="28" t="s">
        <v>14518</v>
      </c>
      <c r="M4873" s="28" t="s">
        <v>1152</v>
      </c>
      <c r="O4873" s="98"/>
      <c r="P4873" s="28" t="s">
        <v>21</v>
      </c>
      <c r="Q4873" s="26" t="b">
        <v>0</v>
      </c>
      <c r="R4873" s="59"/>
      <c r="T4873" s="37" t="s">
        <v>21</v>
      </c>
    </row>
    <row r="4874" spans="1:20">
      <c r="A4874" s="26">
        <v>10208</v>
      </c>
      <c r="B4874" s="27">
        <v>41625</v>
      </c>
      <c r="C4874" s="28" t="s">
        <v>15593</v>
      </c>
      <c r="D4874" s="27">
        <v>41624</v>
      </c>
      <c r="E4874" s="28" t="s">
        <v>15594</v>
      </c>
      <c r="F4874" s="28" t="s">
        <v>3171</v>
      </c>
      <c r="G4874" s="28" t="s">
        <v>20</v>
      </c>
      <c r="H4874" s="28" t="s">
        <v>566</v>
      </c>
      <c r="I4874" s="28" t="s">
        <v>566</v>
      </c>
      <c r="J4874" s="28" t="s">
        <v>15595</v>
      </c>
      <c r="K4874" s="28" t="s">
        <v>15596</v>
      </c>
      <c r="L4874" s="28" t="s">
        <v>14411</v>
      </c>
      <c r="M4874" s="28" t="s">
        <v>21</v>
      </c>
      <c r="O4874" s="92">
        <v>42314</v>
      </c>
      <c r="P4874" s="28" t="s">
        <v>21</v>
      </c>
      <c r="Q4874" s="26" t="b">
        <v>0</v>
      </c>
      <c r="R4874" s="22">
        <f t="shared" ref="R4874:R4905" si="81">IF(O4874=" ", " ", INT(YEARFRAC(O4874, B4874)*365))</f>
        <v>688</v>
      </c>
    </row>
    <row r="4875" spans="1:20" ht="32">
      <c r="A4875" s="33">
        <v>10209</v>
      </c>
      <c r="B4875" s="34">
        <v>41626</v>
      </c>
      <c r="C4875" s="35" t="s">
        <v>17535</v>
      </c>
      <c r="D4875" s="34">
        <v>41625</v>
      </c>
      <c r="E4875" s="35" t="s">
        <v>15597</v>
      </c>
      <c r="F4875" s="35" t="s">
        <v>27</v>
      </c>
      <c r="G4875" s="35" t="s">
        <v>20</v>
      </c>
      <c r="H4875" s="35" t="s">
        <v>71</v>
      </c>
      <c r="I4875" s="35" t="s">
        <v>72</v>
      </c>
      <c r="J4875" s="35" t="s">
        <v>15598</v>
      </c>
      <c r="K4875" s="35" t="s">
        <v>6081</v>
      </c>
      <c r="L4875" s="35" t="s">
        <v>1946</v>
      </c>
      <c r="M4875" s="35" t="s">
        <v>21</v>
      </c>
      <c r="N4875" s="36"/>
      <c r="O4875" s="97">
        <v>42431</v>
      </c>
      <c r="P4875" s="35" t="s">
        <v>21</v>
      </c>
      <c r="Q4875" s="33" t="b">
        <v>0</v>
      </c>
      <c r="R4875" s="22">
        <f t="shared" si="81"/>
        <v>805</v>
      </c>
    </row>
    <row r="4876" spans="1:20">
      <c r="A4876" s="26">
        <v>10210</v>
      </c>
      <c r="B4876" s="27">
        <v>41626</v>
      </c>
      <c r="C4876" s="28" t="s">
        <v>15599</v>
      </c>
      <c r="D4876" s="27">
        <v>41615</v>
      </c>
      <c r="E4876" s="28" t="s">
        <v>15600</v>
      </c>
      <c r="F4876" s="28" t="s">
        <v>124</v>
      </c>
      <c r="G4876" s="28" t="s">
        <v>20</v>
      </c>
      <c r="H4876" s="28" t="s">
        <v>71</v>
      </c>
      <c r="I4876" s="28" t="s">
        <v>72</v>
      </c>
      <c r="J4876" s="28" t="s">
        <v>15601</v>
      </c>
      <c r="K4876" s="28" t="s">
        <v>6081</v>
      </c>
      <c r="L4876" s="28" t="s">
        <v>1152</v>
      </c>
      <c r="M4876" s="28" t="s">
        <v>21</v>
      </c>
      <c r="O4876" s="92">
        <v>41719</v>
      </c>
      <c r="P4876" s="28" t="s">
        <v>21</v>
      </c>
      <c r="Q4876" s="26" t="b">
        <v>0</v>
      </c>
      <c r="R4876" s="22">
        <f t="shared" si="81"/>
        <v>94</v>
      </c>
    </row>
    <row r="4877" spans="1:20">
      <c r="A4877" s="26">
        <v>10211</v>
      </c>
      <c r="B4877" s="27">
        <v>41626</v>
      </c>
      <c r="C4877" s="28" t="s">
        <v>15602</v>
      </c>
      <c r="D4877" s="27">
        <v>41624</v>
      </c>
      <c r="E4877" s="28" t="s">
        <v>15603</v>
      </c>
      <c r="F4877" s="28" t="s">
        <v>14336</v>
      </c>
      <c r="G4877" s="28" t="s">
        <v>20</v>
      </c>
      <c r="H4877" s="28" t="s">
        <v>71</v>
      </c>
      <c r="I4877" s="28" t="s">
        <v>72</v>
      </c>
      <c r="J4877" s="28" t="s">
        <v>15604</v>
      </c>
      <c r="K4877" s="28" t="s">
        <v>15605</v>
      </c>
      <c r="L4877" s="28" t="s">
        <v>14411</v>
      </c>
      <c r="M4877" s="28" t="s">
        <v>21</v>
      </c>
      <c r="O4877" s="94">
        <v>42272</v>
      </c>
      <c r="P4877" s="28" t="s">
        <v>21</v>
      </c>
      <c r="Q4877" s="26" t="b">
        <v>0</v>
      </c>
      <c r="R4877" s="22">
        <f t="shared" si="81"/>
        <v>645</v>
      </c>
    </row>
    <row r="4878" spans="1:20">
      <c r="A4878" s="26">
        <v>10214</v>
      </c>
      <c r="B4878" s="27">
        <v>41628</v>
      </c>
      <c r="C4878" s="28" t="s">
        <v>15606</v>
      </c>
      <c r="D4878" s="27">
        <v>41628</v>
      </c>
      <c r="E4878" s="28" t="s">
        <v>15607</v>
      </c>
      <c r="F4878" s="28" t="s">
        <v>974</v>
      </c>
      <c r="G4878" s="28" t="s">
        <v>20</v>
      </c>
      <c r="H4878" s="28" t="s">
        <v>212</v>
      </c>
      <c r="I4878" s="28" t="s">
        <v>212</v>
      </c>
      <c r="J4878" s="28" t="s">
        <v>1817</v>
      </c>
      <c r="K4878" s="28" t="s">
        <v>21</v>
      </c>
      <c r="L4878" s="28" t="s">
        <v>1946</v>
      </c>
      <c r="M4878" s="28" t="s">
        <v>4282</v>
      </c>
      <c r="O4878" s="92">
        <v>42159</v>
      </c>
      <c r="P4878" s="28" t="s">
        <v>21</v>
      </c>
      <c r="Q4878" s="26" t="b">
        <v>0</v>
      </c>
      <c r="R4878" s="22">
        <f t="shared" si="81"/>
        <v>531</v>
      </c>
    </row>
    <row r="4879" spans="1:20">
      <c r="A4879" s="26">
        <v>10215</v>
      </c>
      <c r="B4879" s="27">
        <v>41628</v>
      </c>
      <c r="C4879" s="28" t="s">
        <v>19165</v>
      </c>
      <c r="D4879" s="27">
        <v>41463</v>
      </c>
      <c r="E4879" s="28" t="s">
        <v>15608</v>
      </c>
      <c r="F4879" s="28" t="s">
        <v>104</v>
      </c>
      <c r="G4879" s="28" t="s">
        <v>20</v>
      </c>
      <c r="H4879" s="28" t="s">
        <v>71</v>
      </c>
      <c r="I4879" s="28" t="s">
        <v>72</v>
      </c>
      <c r="J4879" s="28" t="s">
        <v>272</v>
      </c>
      <c r="K4879" s="28" t="s">
        <v>13842</v>
      </c>
      <c r="L4879" s="28" t="s">
        <v>4282</v>
      </c>
      <c r="M4879" s="28" t="s">
        <v>21</v>
      </c>
      <c r="O4879" s="94">
        <v>42916</v>
      </c>
      <c r="P4879" s="28" t="s">
        <v>21</v>
      </c>
      <c r="Q4879" s="26" t="b">
        <v>0</v>
      </c>
      <c r="R4879" s="22">
        <f t="shared" si="81"/>
        <v>1287</v>
      </c>
      <c r="S4879" s="37" t="s">
        <v>21</v>
      </c>
    </row>
    <row r="4880" spans="1:20">
      <c r="A4880" s="26">
        <v>10219</v>
      </c>
      <c r="B4880" s="27">
        <v>41641</v>
      </c>
      <c r="C4880" s="28" t="s">
        <v>15609</v>
      </c>
      <c r="D4880" s="27">
        <v>41638</v>
      </c>
      <c r="E4880" s="28" t="s">
        <v>15610</v>
      </c>
      <c r="F4880" s="28" t="s">
        <v>52</v>
      </c>
      <c r="G4880" s="28" t="s">
        <v>20</v>
      </c>
      <c r="H4880" s="28" t="s">
        <v>71</v>
      </c>
      <c r="I4880" s="28" t="s">
        <v>72</v>
      </c>
      <c r="J4880" s="28" t="s">
        <v>15611</v>
      </c>
      <c r="K4880" s="28" t="s">
        <v>15612</v>
      </c>
      <c r="L4880" s="28" t="s">
        <v>1152</v>
      </c>
      <c r="M4880" s="28" t="s">
        <v>21</v>
      </c>
      <c r="O4880" s="92">
        <v>41653</v>
      </c>
      <c r="P4880" s="28" t="s">
        <v>21</v>
      </c>
      <c r="Q4880" s="26" t="b">
        <v>0</v>
      </c>
      <c r="R4880" s="22">
        <f t="shared" si="81"/>
        <v>12</v>
      </c>
    </row>
    <row r="4881" spans="1:19">
      <c r="A4881" s="26">
        <v>10221</v>
      </c>
      <c r="B4881" s="27">
        <v>41645</v>
      </c>
      <c r="C4881" s="28" t="s">
        <v>15613</v>
      </c>
      <c r="D4881" s="27">
        <v>41586</v>
      </c>
      <c r="E4881" s="28" t="s">
        <v>1432</v>
      </c>
      <c r="F4881" s="28" t="s">
        <v>283</v>
      </c>
      <c r="G4881" s="28" t="s">
        <v>20</v>
      </c>
      <c r="H4881" s="28" t="s">
        <v>71</v>
      </c>
      <c r="I4881" s="28" t="s">
        <v>72</v>
      </c>
      <c r="J4881" s="28" t="s">
        <v>15614</v>
      </c>
      <c r="K4881" s="28" t="s">
        <v>15615</v>
      </c>
      <c r="L4881" s="28" t="s">
        <v>4282</v>
      </c>
      <c r="M4881" s="28" t="s">
        <v>21</v>
      </c>
      <c r="O4881" s="92">
        <v>41992</v>
      </c>
      <c r="P4881" s="28" t="s">
        <v>21</v>
      </c>
      <c r="Q4881" s="26" t="b">
        <v>0</v>
      </c>
      <c r="R4881" s="22">
        <f t="shared" si="81"/>
        <v>347</v>
      </c>
    </row>
    <row r="4882" spans="1:19">
      <c r="A4882" s="26">
        <v>10223</v>
      </c>
      <c r="B4882" s="27">
        <v>41646</v>
      </c>
      <c r="C4882" s="28" t="s">
        <v>15616</v>
      </c>
      <c r="D4882" s="27">
        <v>42000</v>
      </c>
      <c r="E4882" s="28" t="s">
        <v>15617</v>
      </c>
      <c r="F4882" s="28" t="s">
        <v>124</v>
      </c>
      <c r="G4882" s="28" t="s">
        <v>20</v>
      </c>
      <c r="H4882" s="28" t="s">
        <v>71</v>
      </c>
      <c r="I4882" s="28" t="s">
        <v>72</v>
      </c>
      <c r="J4882" s="28" t="s">
        <v>2287</v>
      </c>
      <c r="K4882" s="28" t="s">
        <v>21</v>
      </c>
      <c r="L4882" s="28" t="s">
        <v>1152</v>
      </c>
      <c r="M4882" s="28" t="s">
        <v>21</v>
      </c>
      <c r="O4882" s="92">
        <v>41719</v>
      </c>
      <c r="P4882" s="28" t="s">
        <v>21</v>
      </c>
      <c r="Q4882" s="26" t="b">
        <v>0</v>
      </c>
      <c r="R4882" s="22">
        <f t="shared" si="81"/>
        <v>75</v>
      </c>
    </row>
    <row r="4883" spans="1:19">
      <c r="A4883" s="26">
        <v>10225</v>
      </c>
      <c r="B4883" s="27">
        <v>41652</v>
      </c>
      <c r="C4883" s="28" t="s">
        <v>15618</v>
      </c>
      <c r="D4883" s="27">
        <v>41645</v>
      </c>
      <c r="E4883" s="28" t="s">
        <v>38</v>
      </c>
      <c r="F4883" s="28" t="s">
        <v>3171</v>
      </c>
      <c r="G4883" s="28" t="s">
        <v>20</v>
      </c>
      <c r="H4883" s="28" t="s">
        <v>566</v>
      </c>
      <c r="I4883" s="28" t="s">
        <v>566</v>
      </c>
      <c r="J4883" s="28" t="s">
        <v>15619</v>
      </c>
      <c r="K4883" s="28" t="s">
        <v>21</v>
      </c>
      <c r="L4883" s="28" t="s">
        <v>14411</v>
      </c>
      <c r="M4883" s="28" t="s">
        <v>21</v>
      </c>
      <c r="O4883" s="92">
        <v>41677</v>
      </c>
      <c r="P4883" s="28" t="s">
        <v>21</v>
      </c>
      <c r="Q4883" s="26" t="b">
        <v>0</v>
      </c>
      <c r="R4883" s="22">
        <f t="shared" si="81"/>
        <v>24</v>
      </c>
    </row>
    <row r="4884" spans="1:19">
      <c r="A4884" s="26">
        <v>10227</v>
      </c>
      <c r="B4884" s="27">
        <v>41652</v>
      </c>
      <c r="C4884" s="28" t="s">
        <v>15620</v>
      </c>
      <c r="D4884" s="27">
        <v>41646</v>
      </c>
      <c r="E4884" s="28" t="s">
        <v>15621</v>
      </c>
      <c r="F4884" s="28" t="s">
        <v>15622</v>
      </c>
      <c r="G4884" s="28" t="s">
        <v>20</v>
      </c>
      <c r="H4884" s="28" t="s">
        <v>71</v>
      </c>
      <c r="I4884" s="28" t="s">
        <v>72</v>
      </c>
      <c r="J4884" s="28" t="s">
        <v>15623</v>
      </c>
      <c r="K4884" s="28" t="s">
        <v>6081</v>
      </c>
      <c r="L4884" s="28" t="s">
        <v>1152</v>
      </c>
      <c r="M4884" s="28" t="s">
        <v>21</v>
      </c>
      <c r="O4884" s="92">
        <v>41758</v>
      </c>
      <c r="P4884" s="28" t="s">
        <v>21</v>
      </c>
      <c r="Q4884" s="26" t="b">
        <v>0</v>
      </c>
      <c r="R4884" s="22">
        <f t="shared" si="81"/>
        <v>107</v>
      </c>
    </row>
    <row r="4885" spans="1:19">
      <c r="A4885" s="26">
        <v>10228</v>
      </c>
      <c r="B4885" s="27">
        <v>41653</v>
      </c>
      <c r="C4885" s="28" t="s">
        <v>15624</v>
      </c>
      <c r="D4885" s="27">
        <v>41648</v>
      </c>
      <c r="E4885" s="28" t="s">
        <v>15625</v>
      </c>
      <c r="F4885" s="28" t="s">
        <v>14336</v>
      </c>
      <c r="G4885" s="28" t="s">
        <v>20</v>
      </c>
      <c r="H4885" s="28" t="s">
        <v>71</v>
      </c>
      <c r="I4885" s="28" t="s">
        <v>72</v>
      </c>
      <c r="J4885" s="28" t="s">
        <v>11774</v>
      </c>
      <c r="K4885" s="28" t="s">
        <v>15626</v>
      </c>
      <c r="L4885" s="28" t="s">
        <v>14518</v>
      </c>
      <c r="M4885" s="28" t="s">
        <v>1152</v>
      </c>
      <c r="O4885" s="92">
        <v>42181</v>
      </c>
      <c r="P4885" s="28" t="s">
        <v>21</v>
      </c>
      <c r="Q4885" s="26" t="b">
        <v>0</v>
      </c>
      <c r="R4885" s="22">
        <f t="shared" si="81"/>
        <v>529</v>
      </c>
    </row>
    <row r="4886" spans="1:19">
      <c r="A4886" s="26">
        <v>10229</v>
      </c>
      <c r="B4886" s="27">
        <v>41654</v>
      </c>
      <c r="C4886" s="28" t="s">
        <v>19157</v>
      </c>
      <c r="D4886" s="27">
        <v>41649</v>
      </c>
      <c r="E4886" s="28" t="s">
        <v>15627</v>
      </c>
      <c r="F4886" s="28" t="s">
        <v>5184</v>
      </c>
      <c r="G4886" s="28" t="s">
        <v>20</v>
      </c>
      <c r="H4886" s="28" t="s">
        <v>71</v>
      </c>
      <c r="I4886" s="28" t="s">
        <v>72</v>
      </c>
      <c r="J4886" s="28" t="s">
        <v>15628</v>
      </c>
      <c r="K4886" s="28" t="s">
        <v>21</v>
      </c>
      <c r="L4886" s="28" t="s">
        <v>14518</v>
      </c>
      <c r="M4886" s="28" t="s">
        <v>1152</v>
      </c>
      <c r="O4886" s="92">
        <v>42914</v>
      </c>
      <c r="P4886" s="28" t="s">
        <v>21</v>
      </c>
      <c r="Q4886" s="26" t="b">
        <v>0</v>
      </c>
      <c r="R4886" s="22">
        <f t="shared" si="81"/>
        <v>1260</v>
      </c>
      <c r="S4886" s="37" t="s">
        <v>21</v>
      </c>
    </row>
    <row r="4887" spans="1:19">
      <c r="A4887" s="26">
        <v>10231</v>
      </c>
      <c r="B4887" s="27">
        <v>41660</v>
      </c>
      <c r="C4887" s="28" t="s">
        <v>15629</v>
      </c>
      <c r="D4887" s="27">
        <v>41655</v>
      </c>
      <c r="E4887" s="28" t="s">
        <v>15630</v>
      </c>
      <c r="F4887" s="28" t="s">
        <v>12479</v>
      </c>
      <c r="G4887" s="28" t="s">
        <v>20</v>
      </c>
      <c r="H4887" s="28" t="s">
        <v>189</v>
      </c>
      <c r="I4887" s="28" t="s">
        <v>189</v>
      </c>
      <c r="J4887" s="28" t="s">
        <v>15631</v>
      </c>
      <c r="K4887" s="28" t="s">
        <v>13842</v>
      </c>
      <c r="L4887" s="28" t="s">
        <v>14411</v>
      </c>
      <c r="M4887" s="28" t="s">
        <v>21</v>
      </c>
      <c r="O4887" s="94">
        <v>41845</v>
      </c>
      <c r="P4887" s="28" t="s">
        <v>21</v>
      </c>
      <c r="Q4887" s="26" t="b">
        <v>0</v>
      </c>
      <c r="R4887" s="22">
        <f t="shared" si="81"/>
        <v>186</v>
      </c>
    </row>
    <row r="4888" spans="1:19" ht="24">
      <c r="A4888" s="26">
        <v>10232</v>
      </c>
      <c r="B4888" s="27">
        <v>41662</v>
      </c>
      <c r="C4888" s="28" t="s">
        <v>19180</v>
      </c>
      <c r="D4888" s="27">
        <v>41655</v>
      </c>
      <c r="E4888" s="28" t="s">
        <v>1432</v>
      </c>
      <c r="F4888" s="28" t="s">
        <v>10394</v>
      </c>
      <c r="G4888" s="28" t="s">
        <v>20</v>
      </c>
      <c r="H4888" s="28" t="s">
        <v>212</v>
      </c>
      <c r="I4888" s="28" t="s">
        <v>212</v>
      </c>
      <c r="J4888" s="28" t="s">
        <v>15632</v>
      </c>
      <c r="K4888" s="28" t="s">
        <v>15633</v>
      </c>
      <c r="L4888" s="28" t="s">
        <v>7167</v>
      </c>
      <c r="M4888" s="28" t="s">
        <v>14411</v>
      </c>
      <c r="O4888" s="92">
        <v>42921</v>
      </c>
      <c r="P4888" s="28" t="s">
        <v>21</v>
      </c>
      <c r="Q4888" s="26" t="b">
        <v>0</v>
      </c>
      <c r="R4888" s="22">
        <f t="shared" si="81"/>
        <v>1259</v>
      </c>
      <c r="S4888" s="37" t="s">
        <v>21</v>
      </c>
    </row>
    <row r="4889" spans="1:19">
      <c r="A4889" s="26">
        <v>10233</v>
      </c>
      <c r="B4889" s="27">
        <v>41666</v>
      </c>
      <c r="C4889" s="28" t="s">
        <v>15634</v>
      </c>
      <c r="D4889" s="27">
        <v>41661</v>
      </c>
      <c r="E4889" s="28" t="s">
        <v>15635</v>
      </c>
      <c r="F4889" s="28" t="s">
        <v>14336</v>
      </c>
      <c r="G4889" s="28" t="s">
        <v>20</v>
      </c>
      <c r="H4889" s="28" t="s">
        <v>71</v>
      </c>
      <c r="I4889" s="28" t="s">
        <v>72</v>
      </c>
      <c r="J4889" s="28" t="s">
        <v>11774</v>
      </c>
      <c r="K4889" s="28" t="s">
        <v>15636</v>
      </c>
      <c r="L4889" s="28" t="s">
        <v>14518</v>
      </c>
      <c r="M4889" s="28" t="s">
        <v>1152</v>
      </c>
      <c r="O4889" s="94">
        <v>42181</v>
      </c>
      <c r="P4889" s="28" t="s">
        <v>21</v>
      </c>
      <c r="Q4889" s="26" t="b">
        <v>0</v>
      </c>
      <c r="R4889" s="22">
        <f t="shared" si="81"/>
        <v>516</v>
      </c>
    </row>
    <row r="4890" spans="1:19" ht="32">
      <c r="A4890" s="33">
        <v>10234</v>
      </c>
      <c r="B4890" s="34">
        <v>41667</v>
      </c>
      <c r="C4890" s="35" t="s">
        <v>17622</v>
      </c>
      <c r="D4890" s="34">
        <v>41666</v>
      </c>
      <c r="E4890" s="35" t="s">
        <v>15637</v>
      </c>
      <c r="F4890" s="35" t="s">
        <v>145</v>
      </c>
      <c r="G4890" s="35" t="s">
        <v>20</v>
      </c>
      <c r="H4890" s="35" t="s">
        <v>71</v>
      </c>
      <c r="I4890" s="35" t="s">
        <v>72</v>
      </c>
      <c r="J4890" s="35" t="s">
        <v>15638</v>
      </c>
      <c r="K4890" s="35" t="s">
        <v>21</v>
      </c>
      <c r="L4890" s="35" t="s">
        <v>7167</v>
      </c>
      <c r="M4890" s="35" t="s">
        <v>4282</v>
      </c>
      <c r="N4890" s="36"/>
      <c r="O4890" s="96">
        <v>42485</v>
      </c>
      <c r="P4890" s="35" t="s">
        <v>21</v>
      </c>
      <c r="Q4890" s="33" t="b">
        <v>0</v>
      </c>
      <c r="R4890" s="22">
        <f t="shared" si="81"/>
        <v>818</v>
      </c>
    </row>
    <row r="4891" spans="1:19" ht="24">
      <c r="A4891" s="26">
        <v>10235</v>
      </c>
      <c r="B4891" s="27">
        <v>41667</v>
      </c>
      <c r="C4891" s="28" t="s">
        <v>15639</v>
      </c>
      <c r="D4891" s="27">
        <v>41658</v>
      </c>
      <c r="E4891" s="28" t="s">
        <v>38</v>
      </c>
      <c r="F4891" s="28" t="s">
        <v>5184</v>
      </c>
      <c r="G4891" s="28" t="s">
        <v>20</v>
      </c>
      <c r="H4891" s="28" t="s">
        <v>71</v>
      </c>
      <c r="I4891" s="28" t="s">
        <v>72</v>
      </c>
      <c r="J4891" s="28" t="s">
        <v>15640</v>
      </c>
      <c r="K4891" s="28" t="s">
        <v>21</v>
      </c>
      <c r="L4891" s="28" t="s">
        <v>7167</v>
      </c>
      <c r="M4891" s="28" t="s">
        <v>21</v>
      </c>
      <c r="O4891" s="92">
        <v>41670</v>
      </c>
      <c r="P4891" s="28" t="s">
        <v>21</v>
      </c>
      <c r="Q4891" s="26" t="b">
        <v>0</v>
      </c>
      <c r="R4891" s="22">
        <f t="shared" si="81"/>
        <v>3</v>
      </c>
    </row>
    <row r="4892" spans="1:19" ht="24">
      <c r="A4892" s="26">
        <v>10236</v>
      </c>
      <c r="B4892" s="27">
        <v>41668</v>
      </c>
      <c r="C4892" s="28" t="s">
        <v>15641</v>
      </c>
      <c r="D4892" s="27">
        <v>41667</v>
      </c>
      <c r="E4892" s="28" t="s">
        <v>15642</v>
      </c>
      <c r="F4892" s="28" t="s">
        <v>242</v>
      </c>
      <c r="G4892" s="28" t="s">
        <v>20</v>
      </c>
      <c r="H4892" s="28" t="s">
        <v>71</v>
      </c>
      <c r="I4892" s="28" t="s">
        <v>72</v>
      </c>
      <c r="J4892" s="28" t="s">
        <v>15643</v>
      </c>
      <c r="K4892" s="28" t="s">
        <v>21</v>
      </c>
      <c r="L4892" s="28" t="s">
        <v>1946</v>
      </c>
      <c r="M4892" s="28" t="s">
        <v>21</v>
      </c>
      <c r="O4892" s="94">
        <v>41670</v>
      </c>
      <c r="P4892" s="28" t="s">
        <v>21</v>
      </c>
      <c r="Q4892" s="26" t="b">
        <v>0</v>
      </c>
      <c r="R4892" s="22">
        <f t="shared" si="81"/>
        <v>2</v>
      </c>
    </row>
    <row r="4893" spans="1:19">
      <c r="A4893" s="26">
        <v>10241</v>
      </c>
      <c r="B4893" s="27">
        <v>41676</v>
      </c>
      <c r="C4893" s="28" t="s">
        <v>15644</v>
      </c>
      <c r="D4893" s="27">
        <v>41673</v>
      </c>
      <c r="E4893" s="28" t="s">
        <v>38</v>
      </c>
      <c r="F4893" s="28" t="s">
        <v>14118</v>
      </c>
      <c r="G4893" s="28" t="s">
        <v>20</v>
      </c>
      <c r="H4893" s="28" t="s">
        <v>71</v>
      </c>
      <c r="I4893" s="28" t="s">
        <v>72</v>
      </c>
      <c r="J4893" s="28" t="s">
        <v>15645</v>
      </c>
      <c r="K4893" s="28" t="s">
        <v>15646</v>
      </c>
      <c r="L4893" s="28" t="s">
        <v>7167</v>
      </c>
      <c r="M4893" s="28" t="s">
        <v>21</v>
      </c>
      <c r="O4893" s="94">
        <v>41677</v>
      </c>
      <c r="P4893" s="28" t="s">
        <v>21</v>
      </c>
      <c r="Q4893" s="26" t="b">
        <v>0</v>
      </c>
      <c r="R4893" s="22">
        <f t="shared" si="81"/>
        <v>1</v>
      </c>
    </row>
    <row r="4894" spans="1:19" ht="24">
      <c r="A4894" s="26">
        <v>10242</v>
      </c>
      <c r="B4894" s="27">
        <v>41677</v>
      </c>
      <c r="C4894" s="28" t="s">
        <v>15647</v>
      </c>
      <c r="D4894" s="27">
        <v>41675</v>
      </c>
      <c r="E4894" s="28" t="s">
        <v>15648</v>
      </c>
      <c r="F4894" s="28" t="s">
        <v>14836</v>
      </c>
      <c r="G4894" s="28" t="s">
        <v>20</v>
      </c>
      <c r="H4894" s="28" t="s">
        <v>71</v>
      </c>
      <c r="I4894" s="28" t="s">
        <v>72</v>
      </c>
      <c r="J4894" s="28" t="s">
        <v>15649</v>
      </c>
      <c r="K4894" s="28" t="s">
        <v>15650</v>
      </c>
      <c r="L4894" s="28" t="s">
        <v>7167</v>
      </c>
      <c r="M4894" s="28" t="s">
        <v>21</v>
      </c>
      <c r="O4894" s="92">
        <v>41695</v>
      </c>
      <c r="P4894" s="28" t="s">
        <v>21</v>
      </c>
      <c r="Q4894" s="26" t="b">
        <v>0</v>
      </c>
      <c r="R4894" s="22">
        <f t="shared" si="81"/>
        <v>18</v>
      </c>
    </row>
    <row r="4895" spans="1:19" ht="24">
      <c r="A4895" s="26">
        <v>10243</v>
      </c>
      <c r="B4895" s="27">
        <v>41677</v>
      </c>
      <c r="C4895" s="28" t="s">
        <v>15647</v>
      </c>
      <c r="D4895" s="27">
        <v>41656</v>
      </c>
      <c r="E4895" s="28" t="s">
        <v>15651</v>
      </c>
      <c r="F4895" s="28" t="s">
        <v>3171</v>
      </c>
      <c r="G4895" s="28" t="s">
        <v>20</v>
      </c>
      <c r="H4895" s="28" t="s">
        <v>566</v>
      </c>
      <c r="I4895" s="28" t="s">
        <v>566</v>
      </c>
      <c r="J4895" s="28" t="s">
        <v>15652</v>
      </c>
      <c r="K4895" s="28" t="s">
        <v>15653</v>
      </c>
      <c r="L4895" s="28" t="s">
        <v>14411</v>
      </c>
      <c r="M4895" s="28" t="s">
        <v>21</v>
      </c>
      <c r="O4895" s="92">
        <v>42314</v>
      </c>
      <c r="P4895" s="28" t="s">
        <v>21</v>
      </c>
      <c r="Q4895" s="26" t="b">
        <v>0</v>
      </c>
      <c r="R4895" s="22">
        <f t="shared" si="81"/>
        <v>637</v>
      </c>
    </row>
    <row r="4896" spans="1:19">
      <c r="A4896" s="26">
        <v>10244</v>
      </c>
      <c r="B4896" s="27">
        <v>41682</v>
      </c>
      <c r="C4896" s="28" t="s">
        <v>15654</v>
      </c>
      <c r="D4896" s="27">
        <v>41680</v>
      </c>
      <c r="E4896" s="28" t="s">
        <v>38</v>
      </c>
      <c r="F4896" s="28" t="s">
        <v>14336</v>
      </c>
      <c r="G4896" s="28" t="s">
        <v>20</v>
      </c>
      <c r="H4896" s="28" t="s">
        <v>71</v>
      </c>
      <c r="I4896" s="28" t="s">
        <v>72</v>
      </c>
      <c r="J4896" s="28" t="s">
        <v>15655</v>
      </c>
      <c r="K4896" s="28" t="s">
        <v>15656</v>
      </c>
      <c r="L4896" s="28" t="s">
        <v>1152</v>
      </c>
      <c r="M4896" s="28" t="s">
        <v>21</v>
      </c>
      <c r="O4896" s="92">
        <v>41684</v>
      </c>
      <c r="P4896" s="28" t="s">
        <v>21</v>
      </c>
      <c r="Q4896" s="26" t="b">
        <v>0</v>
      </c>
      <c r="R4896" s="22">
        <f t="shared" si="81"/>
        <v>2</v>
      </c>
    </row>
    <row r="4897" spans="1:19">
      <c r="A4897" s="26">
        <v>10245</v>
      </c>
      <c r="B4897" s="27">
        <v>41683</v>
      </c>
      <c r="C4897" s="28" t="s">
        <v>15657</v>
      </c>
      <c r="D4897" s="27">
        <v>41682</v>
      </c>
      <c r="E4897" s="28" t="s">
        <v>11921</v>
      </c>
      <c r="F4897" s="28" t="s">
        <v>104</v>
      </c>
      <c r="G4897" s="28" t="s">
        <v>20</v>
      </c>
      <c r="H4897" s="28" t="s">
        <v>71</v>
      </c>
      <c r="I4897" s="28" t="s">
        <v>72</v>
      </c>
      <c r="J4897" s="28" t="s">
        <v>15658</v>
      </c>
      <c r="K4897" s="28" t="s">
        <v>15659</v>
      </c>
      <c r="L4897" s="28" t="s">
        <v>4282</v>
      </c>
      <c r="M4897" s="28" t="s">
        <v>21</v>
      </c>
      <c r="O4897" s="92">
        <v>41688</v>
      </c>
      <c r="P4897" s="28" t="s">
        <v>21</v>
      </c>
      <c r="Q4897" s="26" t="b">
        <v>0</v>
      </c>
      <c r="R4897" s="22">
        <f t="shared" si="81"/>
        <v>5</v>
      </c>
    </row>
    <row r="4898" spans="1:19" ht="32">
      <c r="A4898" s="33">
        <v>10250</v>
      </c>
      <c r="B4898" s="34">
        <v>41695</v>
      </c>
      <c r="C4898" s="35" t="s">
        <v>18048</v>
      </c>
      <c r="D4898" s="34">
        <v>41676</v>
      </c>
      <c r="E4898" s="35" t="s">
        <v>15660</v>
      </c>
      <c r="F4898" s="35" t="s">
        <v>5184</v>
      </c>
      <c r="G4898" s="35" t="s">
        <v>20</v>
      </c>
      <c r="H4898" s="35" t="s">
        <v>71</v>
      </c>
      <c r="I4898" s="35" t="s">
        <v>72</v>
      </c>
      <c r="J4898" s="35" t="s">
        <v>8564</v>
      </c>
      <c r="K4898" s="35" t="s">
        <v>15661</v>
      </c>
      <c r="L4898" s="35" t="s">
        <v>7167</v>
      </c>
      <c r="M4898" s="35" t="s">
        <v>21</v>
      </c>
      <c r="N4898" s="36"/>
      <c r="O4898" s="96">
        <v>42713</v>
      </c>
      <c r="P4898" s="35" t="s">
        <v>21</v>
      </c>
      <c r="Q4898" s="33" t="b">
        <v>0</v>
      </c>
      <c r="R4898" s="22">
        <f t="shared" si="81"/>
        <v>1017</v>
      </c>
    </row>
    <row r="4899" spans="1:19">
      <c r="A4899" s="26">
        <v>10251</v>
      </c>
      <c r="B4899" s="27">
        <v>41695</v>
      </c>
      <c r="C4899" s="28" t="s">
        <v>15662</v>
      </c>
      <c r="D4899" s="27">
        <v>41676</v>
      </c>
      <c r="E4899" s="28" t="s">
        <v>1928</v>
      </c>
      <c r="F4899" s="28" t="s">
        <v>124</v>
      </c>
      <c r="G4899" s="28" t="s">
        <v>20</v>
      </c>
      <c r="H4899" s="28" t="s">
        <v>71</v>
      </c>
      <c r="I4899" s="28" t="s">
        <v>72</v>
      </c>
      <c r="J4899" s="28" t="s">
        <v>15663</v>
      </c>
      <c r="K4899" s="28" t="s">
        <v>15664</v>
      </c>
      <c r="L4899" s="28" t="s">
        <v>7167</v>
      </c>
      <c r="M4899" s="28" t="s">
        <v>21</v>
      </c>
      <c r="O4899" s="92">
        <v>41703</v>
      </c>
      <c r="P4899" s="28" t="s">
        <v>21</v>
      </c>
      <c r="Q4899" s="26" t="b">
        <v>0</v>
      </c>
      <c r="R4899" s="22">
        <f t="shared" si="81"/>
        <v>10</v>
      </c>
    </row>
    <row r="4900" spans="1:19" ht="32">
      <c r="A4900" s="33">
        <v>10252</v>
      </c>
      <c r="B4900" s="34">
        <v>41695</v>
      </c>
      <c r="C4900" s="35" t="s">
        <v>17671</v>
      </c>
      <c r="D4900" s="34">
        <v>41694</v>
      </c>
      <c r="E4900" s="35" t="s">
        <v>15665</v>
      </c>
      <c r="F4900" s="35" t="s">
        <v>974</v>
      </c>
      <c r="G4900" s="35" t="s">
        <v>20</v>
      </c>
      <c r="H4900" s="35" t="s">
        <v>212</v>
      </c>
      <c r="I4900" s="35" t="s">
        <v>212</v>
      </c>
      <c r="J4900" s="35" t="s">
        <v>14596</v>
      </c>
      <c r="K4900" s="35" t="s">
        <v>15666</v>
      </c>
      <c r="L4900" s="35" t="s">
        <v>14518</v>
      </c>
      <c r="M4900" s="35" t="s">
        <v>4282</v>
      </c>
      <c r="N4900" s="36"/>
      <c r="O4900" s="96">
        <v>42514</v>
      </c>
      <c r="P4900" s="35" t="s">
        <v>21</v>
      </c>
      <c r="Q4900" s="33" t="b">
        <v>0</v>
      </c>
      <c r="R4900" s="22">
        <f t="shared" si="81"/>
        <v>820</v>
      </c>
    </row>
    <row r="4901" spans="1:19">
      <c r="A4901" s="26">
        <v>10254</v>
      </c>
      <c r="B4901" s="27">
        <v>41709</v>
      </c>
      <c r="C4901" s="28" t="s">
        <v>15667</v>
      </c>
      <c r="D4901" s="27">
        <v>41696</v>
      </c>
      <c r="E4901" s="28" t="s">
        <v>38</v>
      </c>
      <c r="F4901" s="28" t="s">
        <v>124</v>
      </c>
      <c r="G4901" s="28" t="s">
        <v>20</v>
      </c>
      <c r="H4901" s="28" t="s">
        <v>71</v>
      </c>
      <c r="I4901" s="28" t="s">
        <v>72</v>
      </c>
      <c r="J4901" s="28" t="s">
        <v>2547</v>
      </c>
      <c r="K4901" s="28" t="s">
        <v>1349</v>
      </c>
      <c r="L4901" s="28" t="s">
        <v>7167</v>
      </c>
      <c r="M4901" s="28" t="s">
        <v>21</v>
      </c>
      <c r="O4901" s="92">
        <v>41709</v>
      </c>
      <c r="P4901" s="28" t="s">
        <v>21</v>
      </c>
      <c r="Q4901" s="26" t="b">
        <v>0</v>
      </c>
      <c r="R4901" s="22">
        <f t="shared" si="81"/>
        <v>0</v>
      </c>
    </row>
    <row r="4902" spans="1:19">
      <c r="A4902" s="26">
        <v>10255</v>
      </c>
      <c r="B4902" s="27">
        <v>41709</v>
      </c>
      <c r="C4902" s="28" t="s">
        <v>15668</v>
      </c>
      <c r="D4902" s="27">
        <v>41696</v>
      </c>
      <c r="E4902" s="28" t="s">
        <v>11030</v>
      </c>
      <c r="F4902" s="28" t="s">
        <v>3171</v>
      </c>
      <c r="G4902" s="28" t="s">
        <v>20</v>
      </c>
      <c r="H4902" s="28" t="s">
        <v>566</v>
      </c>
      <c r="I4902" s="28" t="s">
        <v>566</v>
      </c>
      <c r="J4902" s="28" t="s">
        <v>7071</v>
      </c>
      <c r="K4902" s="28" t="s">
        <v>21</v>
      </c>
      <c r="L4902" s="28" t="s">
        <v>14349</v>
      </c>
      <c r="M4902" s="28" t="s">
        <v>21</v>
      </c>
      <c r="O4902" s="92">
        <v>41728</v>
      </c>
      <c r="P4902" s="28" t="s">
        <v>21</v>
      </c>
      <c r="Q4902" s="26" t="b">
        <v>0</v>
      </c>
      <c r="R4902" s="22">
        <f t="shared" si="81"/>
        <v>19</v>
      </c>
    </row>
    <row r="4903" spans="1:19" ht="32">
      <c r="A4903" s="33">
        <v>10257</v>
      </c>
      <c r="B4903" s="34">
        <v>41709</v>
      </c>
      <c r="C4903" s="35" t="s">
        <v>17600</v>
      </c>
      <c r="D4903" s="34">
        <v>41703</v>
      </c>
      <c r="E4903" s="35" t="s">
        <v>15669</v>
      </c>
      <c r="F4903" s="35" t="s">
        <v>149</v>
      </c>
      <c r="G4903" s="35" t="s">
        <v>20</v>
      </c>
      <c r="H4903" s="35" t="s">
        <v>71</v>
      </c>
      <c r="I4903" s="35" t="s">
        <v>72</v>
      </c>
      <c r="J4903" s="35" t="s">
        <v>15670</v>
      </c>
      <c r="K4903" s="35" t="s">
        <v>21</v>
      </c>
      <c r="L4903" s="35" t="s">
        <v>4282</v>
      </c>
      <c r="M4903" s="35" t="s">
        <v>21</v>
      </c>
      <c r="N4903" s="36"/>
      <c r="O4903" s="97">
        <v>42474</v>
      </c>
      <c r="P4903" s="35" t="s">
        <v>21</v>
      </c>
      <c r="Q4903" s="33" t="b">
        <v>0</v>
      </c>
      <c r="R4903" s="22">
        <f t="shared" si="81"/>
        <v>763</v>
      </c>
    </row>
    <row r="4904" spans="1:19">
      <c r="A4904" s="26">
        <v>10258</v>
      </c>
      <c r="B4904" s="27">
        <v>41709</v>
      </c>
      <c r="C4904" s="28" t="s">
        <v>19134</v>
      </c>
      <c r="D4904" s="27">
        <v>41701</v>
      </c>
      <c r="E4904" s="28" t="s">
        <v>15671</v>
      </c>
      <c r="F4904" s="28" t="s">
        <v>98</v>
      </c>
      <c r="G4904" s="28" t="s">
        <v>20</v>
      </c>
      <c r="H4904" s="28" t="s">
        <v>71</v>
      </c>
      <c r="I4904" s="28" t="s">
        <v>72</v>
      </c>
      <c r="J4904" s="28" t="s">
        <v>15672</v>
      </c>
      <c r="K4904" s="28" t="s">
        <v>21</v>
      </c>
      <c r="L4904" s="28" t="s">
        <v>1946</v>
      </c>
      <c r="M4904" s="28" t="s">
        <v>15439</v>
      </c>
      <c r="O4904" s="92">
        <v>42853</v>
      </c>
      <c r="P4904" s="28" t="s">
        <v>21</v>
      </c>
      <c r="Q4904" s="26" t="b">
        <v>0</v>
      </c>
      <c r="R4904" s="22">
        <f t="shared" si="81"/>
        <v>1142</v>
      </c>
      <c r="S4904" s="37" t="s">
        <v>21</v>
      </c>
    </row>
    <row r="4905" spans="1:19">
      <c r="A4905" s="26">
        <v>10259</v>
      </c>
      <c r="B4905" s="27">
        <v>41710</v>
      </c>
      <c r="C4905" s="28" t="s">
        <v>15673</v>
      </c>
      <c r="D4905" s="27">
        <v>41697</v>
      </c>
      <c r="E4905" s="28" t="s">
        <v>15674</v>
      </c>
      <c r="F4905" s="28" t="s">
        <v>12255</v>
      </c>
      <c r="G4905" s="28" t="s">
        <v>20</v>
      </c>
      <c r="H4905" s="28" t="s">
        <v>212</v>
      </c>
      <c r="I4905" s="28" t="s">
        <v>212</v>
      </c>
      <c r="J4905" s="28" t="s">
        <v>15675</v>
      </c>
      <c r="K4905" s="28" t="s">
        <v>6081</v>
      </c>
      <c r="L4905" s="28" t="s">
        <v>1946</v>
      </c>
      <c r="M4905" s="28" t="s">
        <v>21</v>
      </c>
      <c r="O4905" s="92">
        <v>41842</v>
      </c>
      <c r="P4905" s="28" t="s">
        <v>21</v>
      </c>
      <c r="Q4905" s="26" t="b">
        <v>0</v>
      </c>
      <c r="R4905" s="22">
        <f t="shared" si="81"/>
        <v>131</v>
      </c>
    </row>
    <row r="4906" spans="1:19">
      <c r="A4906" s="26">
        <v>10260</v>
      </c>
      <c r="B4906" s="27">
        <v>41710</v>
      </c>
      <c r="C4906" s="28" t="s">
        <v>15676</v>
      </c>
      <c r="D4906" s="27">
        <v>41697</v>
      </c>
      <c r="E4906" s="28" t="s">
        <v>15677</v>
      </c>
      <c r="F4906" s="28" t="s">
        <v>15678</v>
      </c>
      <c r="G4906" s="28" t="s">
        <v>20</v>
      </c>
      <c r="H4906" s="28" t="s">
        <v>212</v>
      </c>
      <c r="I4906" s="28" t="s">
        <v>212</v>
      </c>
      <c r="J4906" s="28" t="s">
        <v>15679</v>
      </c>
      <c r="K4906" s="28" t="s">
        <v>15680</v>
      </c>
      <c r="L4906" s="28" t="s">
        <v>1946</v>
      </c>
      <c r="M4906" s="28" t="s">
        <v>21</v>
      </c>
      <c r="O4906" s="92">
        <v>41842</v>
      </c>
      <c r="P4906" s="28" t="s">
        <v>21</v>
      </c>
      <c r="Q4906" s="26" t="b">
        <v>0</v>
      </c>
      <c r="R4906" s="22">
        <f t="shared" ref="R4906:R4935" si="82">IF(O4906=" ", " ", INT(YEARFRAC(O4906, B4906)*365))</f>
        <v>131</v>
      </c>
    </row>
    <row r="4907" spans="1:19">
      <c r="A4907" s="26">
        <v>10261</v>
      </c>
      <c r="B4907" s="27">
        <v>41710</v>
      </c>
      <c r="C4907" s="28" t="s">
        <v>15681</v>
      </c>
      <c r="D4907" s="27">
        <v>41710</v>
      </c>
      <c r="E4907" s="28" t="s">
        <v>38</v>
      </c>
      <c r="F4907" s="28" t="s">
        <v>149</v>
      </c>
      <c r="G4907" s="28" t="s">
        <v>20</v>
      </c>
      <c r="H4907" s="28" t="s">
        <v>71</v>
      </c>
      <c r="I4907" s="28" t="s">
        <v>72</v>
      </c>
      <c r="J4907" s="28" t="s">
        <v>15682</v>
      </c>
      <c r="K4907" s="28" t="s">
        <v>8659</v>
      </c>
      <c r="L4907" s="28" t="s">
        <v>14411</v>
      </c>
      <c r="M4907" s="28" t="s">
        <v>21</v>
      </c>
      <c r="O4907" s="92">
        <v>41718</v>
      </c>
      <c r="P4907" s="28" t="s">
        <v>21</v>
      </c>
      <c r="Q4907" s="26" t="b">
        <v>0</v>
      </c>
      <c r="R4907" s="22">
        <f t="shared" si="82"/>
        <v>8</v>
      </c>
    </row>
    <row r="4908" spans="1:19">
      <c r="A4908" s="26">
        <v>10262</v>
      </c>
      <c r="B4908" s="27">
        <v>41711</v>
      </c>
      <c r="C4908" s="28" t="s">
        <v>15683</v>
      </c>
      <c r="D4908" s="27">
        <v>41697</v>
      </c>
      <c r="E4908" s="28" t="s">
        <v>15684</v>
      </c>
      <c r="F4908" s="28" t="s">
        <v>124</v>
      </c>
      <c r="G4908" s="28" t="s">
        <v>20</v>
      </c>
      <c r="H4908" s="28" t="s">
        <v>71</v>
      </c>
      <c r="I4908" s="28" t="s">
        <v>72</v>
      </c>
      <c r="J4908" s="28" t="s">
        <v>15685</v>
      </c>
      <c r="K4908" s="28" t="s">
        <v>1349</v>
      </c>
      <c r="L4908" s="28" t="s">
        <v>7167</v>
      </c>
      <c r="M4908" s="28" t="s">
        <v>21</v>
      </c>
      <c r="O4908" s="92">
        <v>41740</v>
      </c>
      <c r="P4908" s="28" t="s">
        <v>21</v>
      </c>
      <c r="Q4908" s="26" t="b">
        <v>0</v>
      </c>
      <c r="R4908" s="22">
        <f t="shared" si="82"/>
        <v>28</v>
      </c>
    </row>
    <row r="4909" spans="1:19">
      <c r="A4909" s="26">
        <v>10264</v>
      </c>
      <c r="B4909" s="27">
        <v>41716</v>
      </c>
      <c r="C4909" s="28" t="s">
        <v>15686</v>
      </c>
      <c r="D4909" s="27">
        <v>41715</v>
      </c>
      <c r="E4909" s="28" t="s">
        <v>15687</v>
      </c>
      <c r="F4909" s="28" t="s">
        <v>15688</v>
      </c>
      <c r="G4909" s="28" t="s">
        <v>20</v>
      </c>
      <c r="H4909" s="28" t="s">
        <v>71</v>
      </c>
      <c r="I4909" s="28" t="s">
        <v>72</v>
      </c>
      <c r="J4909" s="28" t="s">
        <v>15689</v>
      </c>
      <c r="K4909" s="28" t="s">
        <v>13842</v>
      </c>
      <c r="L4909" s="28" t="s">
        <v>1152</v>
      </c>
      <c r="M4909" s="28" t="s">
        <v>21</v>
      </c>
      <c r="O4909" s="92">
        <v>41729</v>
      </c>
      <c r="P4909" s="28" t="s">
        <v>21</v>
      </c>
      <c r="Q4909" s="26" t="b">
        <v>0</v>
      </c>
      <c r="R4909" s="22">
        <f t="shared" si="82"/>
        <v>13</v>
      </c>
    </row>
    <row r="4910" spans="1:19">
      <c r="A4910" s="26">
        <v>10265</v>
      </c>
      <c r="B4910" s="27">
        <v>41716</v>
      </c>
      <c r="C4910" s="28" t="s">
        <v>15690</v>
      </c>
      <c r="D4910" s="27">
        <v>41715</v>
      </c>
      <c r="E4910" s="28" t="s">
        <v>15691</v>
      </c>
      <c r="F4910" s="28" t="s">
        <v>15688</v>
      </c>
      <c r="G4910" s="28" t="s">
        <v>20</v>
      </c>
      <c r="H4910" s="28" t="s">
        <v>71</v>
      </c>
      <c r="I4910" s="28" t="s">
        <v>72</v>
      </c>
      <c r="J4910" s="28" t="s">
        <v>15692</v>
      </c>
      <c r="K4910" s="28" t="s">
        <v>6081</v>
      </c>
      <c r="L4910" s="28" t="s">
        <v>1152</v>
      </c>
      <c r="M4910" s="28" t="s">
        <v>21</v>
      </c>
      <c r="O4910" s="94">
        <v>41729</v>
      </c>
      <c r="P4910" s="28" t="s">
        <v>21</v>
      </c>
      <c r="Q4910" s="26" t="b">
        <v>0</v>
      </c>
      <c r="R4910" s="22">
        <f t="shared" si="82"/>
        <v>13</v>
      </c>
    </row>
    <row r="4911" spans="1:19">
      <c r="A4911" s="26">
        <v>10266</v>
      </c>
      <c r="B4911" s="27">
        <v>41716</v>
      </c>
      <c r="C4911" s="28" t="s">
        <v>15693</v>
      </c>
      <c r="D4911" s="27">
        <v>41711</v>
      </c>
      <c r="E4911" s="28" t="s">
        <v>1432</v>
      </c>
      <c r="F4911" s="28" t="s">
        <v>11178</v>
      </c>
      <c r="G4911" s="28" t="s">
        <v>20</v>
      </c>
      <c r="H4911" s="28" t="s">
        <v>566</v>
      </c>
      <c r="I4911" s="28" t="s">
        <v>566</v>
      </c>
      <c r="J4911" s="28" t="s">
        <v>15694</v>
      </c>
      <c r="K4911" s="28" t="s">
        <v>15695</v>
      </c>
      <c r="L4911" s="28" t="s">
        <v>4282</v>
      </c>
      <c r="M4911" s="28" t="s">
        <v>21</v>
      </c>
      <c r="O4911" s="94">
        <v>41992</v>
      </c>
      <c r="P4911" s="28" t="s">
        <v>21</v>
      </c>
      <c r="Q4911" s="26" t="b">
        <v>0</v>
      </c>
      <c r="R4911" s="22">
        <f t="shared" si="82"/>
        <v>274</v>
      </c>
    </row>
    <row r="4912" spans="1:19">
      <c r="A4912" s="26">
        <v>10267</v>
      </c>
      <c r="B4912" s="27">
        <v>41718</v>
      </c>
      <c r="C4912" s="28" t="s">
        <v>15696</v>
      </c>
      <c r="D4912" s="27">
        <v>41717</v>
      </c>
      <c r="E4912" s="28" t="s">
        <v>38</v>
      </c>
      <c r="F4912" s="28" t="s">
        <v>974</v>
      </c>
      <c r="G4912" s="28" t="s">
        <v>20</v>
      </c>
      <c r="H4912" s="28" t="s">
        <v>212</v>
      </c>
      <c r="I4912" s="28" t="s">
        <v>212</v>
      </c>
      <c r="J4912" s="28" t="s">
        <v>15697</v>
      </c>
      <c r="K4912" s="28" t="s">
        <v>15150</v>
      </c>
      <c r="L4912" s="28" t="s">
        <v>7167</v>
      </c>
      <c r="M4912" s="28" t="s">
        <v>21</v>
      </c>
      <c r="O4912" s="94">
        <v>41736</v>
      </c>
      <c r="P4912" s="28" t="s">
        <v>21</v>
      </c>
      <c r="Q4912" s="26" t="b">
        <v>0</v>
      </c>
      <c r="R4912" s="22">
        <f t="shared" si="82"/>
        <v>17</v>
      </c>
    </row>
    <row r="4913" spans="1:18">
      <c r="A4913" s="26">
        <v>10268</v>
      </c>
      <c r="B4913" s="27">
        <v>41722</v>
      </c>
      <c r="C4913" s="28" t="s">
        <v>15698</v>
      </c>
      <c r="D4913" s="27">
        <v>38069</v>
      </c>
      <c r="E4913" s="28" t="s">
        <v>38</v>
      </c>
      <c r="F4913" s="28" t="s">
        <v>7020</v>
      </c>
      <c r="G4913" s="28" t="s">
        <v>20</v>
      </c>
      <c r="H4913" s="28" t="s">
        <v>71</v>
      </c>
      <c r="I4913" s="28" t="s">
        <v>15699</v>
      </c>
      <c r="J4913" s="28" t="s">
        <v>15700</v>
      </c>
      <c r="K4913" s="28" t="s">
        <v>15701</v>
      </c>
      <c r="L4913" s="28" t="s">
        <v>1152</v>
      </c>
      <c r="M4913" s="28" t="s">
        <v>21</v>
      </c>
      <c r="O4913" s="92">
        <v>41722</v>
      </c>
      <c r="P4913" s="28" t="s">
        <v>21</v>
      </c>
      <c r="Q4913" s="26" t="b">
        <v>0</v>
      </c>
      <c r="R4913" s="22">
        <f t="shared" si="82"/>
        <v>0</v>
      </c>
    </row>
    <row r="4914" spans="1:18" ht="32">
      <c r="A4914" s="33">
        <v>10269</v>
      </c>
      <c r="B4914" s="34">
        <v>41725</v>
      </c>
      <c r="C4914" s="35" t="s">
        <v>17621</v>
      </c>
      <c r="D4914" s="34">
        <v>41719</v>
      </c>
      <c r="E4914" s="35" t="s">
        <v>15702</v>
      </c>
      <c r="F4914" s="35" t="s">
        <v>149</v>
      </c>
      <c r="G4914" s="35" t="s">
        <v>20</v>
      </c>
      <c r="H4914" s="35" t="s">
        <v>71</v>
      </c>
      <c r="I4914" s="35" t="s">
        <v>72</v>
      </c>
      <c r="J4914" s="35" t="s">
        <v>15703</v>
      </c>
      <c r="K4914" s="35" t="s">
        <v>21</v>
      </c>
      <c r="L4914" s="35" t="s">
        <v>14411</v>
      </c>
      <c r="M4914" s="35" t="s">
        <v>21</v>
      </c>
      <c r="N4914" s="36"/>
      <c r="O4914" s="96">
        <v>42482</v>
      </c>
      <c r="P4914" s="35" t="s">
        <v>21</v>
      </c>
      <c r="Q4914" s="33" t="b">
        <v>0</v>
      </c>
      <c r="R4914" s="22">
        <f t="shared" si="82"/>
        <v>755</v>
      </c>
    </row>
    <row r="4915" spans="1:18">
      <c r="A4915" s="26">
        <v>10270</v>
      </c>
      <c r="B4915" s="27">
        <v>41725</v>
      </c>
      <c r="C4915" s="28" t="s">
        <v>15704</v>
      </c>
      <c r="D4915" s="27">
        <v>41514</v>
      </c>
      <c r="E4915" s="28" t="s">
        <v>1432</v>
      </c>
      <c r="F4915" s="28" t="s">
        <v>2146</v>
      </c>
      <c r="G4915" s="28" t="s">
        <v>20</v>
      </c>
      <c r="H4915" s="28" t="s">
        <v>189</v>
      </c>
      <c r="I4915" s="28" t="s">
        <v>189</v>
      </c>
      <c r="J4915" s="28" t="s">
        <v>15705</v>
      </c>
      <c r="K4915" s="28" t="s">
        <v>21</v>
      </c>
      <c r="L4915" s="28" t="s">
        <v>14411</v>
      </c>
      <c r="M4915" s="28" t="s">
        <v>21</v>
      </c>
      <c r="O4915" s="92">
        <v>42310</v>
      </c>
      <c r="P4915" s="28" t="s">
        <v>21</v>
      </c>
      <c r="Q4915" s="26" t="b">
        <v>0</v>
      </c>
      <c r="R4915" s="22">
        <f t="shared" si="82"/>
        <v>582</v>
      </c>
    </row>
    <row r="4916" spans="1:18" ht="24">
      <c r="A4916" s="26">
        <v>10271</v>
      </c>
      <c r="B4916" s="27">
        <v>41726</v>
      </c>
      <c r="C4916" s="28" t="s">
        <v>15706</v>
      </c>
      <c r="D4916" s="27">
        <v>41722</v>
      </c>
      <c r="E4916" s="28" t="s">
        <v>38</v>
      </c>
      <c r="F4916" s="28" t="s">
        <v>5184</v>
      </c>
      <c r="G4916" s="28" t="s">
        <v>20</v>
      </c>
      <c r="H4916" s="28" t="s">
        <v>71</v>
      </c>
      <c r="I4916" s="28" t="s">
        <v>72</v>
      </c>
      <c r="J4916" s="28" t="s">
        <v>15707</v>
      </c>
      <c r="K4916" s="28" t="s">
        <v>15708</v>
      </c>
      <c r="L4916" s="28" t="s">
        <v>14411</v>
      </c>
      <c r="M4916" s="28" t="s">
        <v>21</v>
      </c>
      <c r="O4916" s="92">
        <v>41732</v>
      </c>
      <c r="P4916" s="28" t="s">
        <v>21</v>
      </c>
      <c r="Q4916" s="26" t="b">
        <v>0</v>
      </c>
      <c r="R4916" s="22">
        <f t="shared" si="82"/>
        <v>5</v>
      </c>
    </row>
    <row r="4917" spans="1:18">
      <c r="A4917" s="26">
        <v>10272</v>
      </c>
      <c r="B4917" s="27">
        <v>41730</v>
      </c>
      <c r="C4917" s="28" t="s">
        <v>15709</v>
      </c>
      <c r="D4917" s="27">
        <v>41723</v>
      </c>
      <c r="E4917" s="28" t="s">
        <v>15710</v>
      </c>
      <c r="F4917" s="28" t="s">
        <v>124</v>
      </c>
      <c r="G4917" s="28" t="s">
        <v>20</v>
      </c>
      <c r="H4917" s="28" t="s">
        <v>71</v>
      </c>
      <c r="I4917" s="28" t="s">
        <v>72</v>
      </c>
      <c r="J4917" s="28" t="s">
        <v>15711</v>
      </c>
      <c r="K4917" s="28" t="s">
        <v>21</v>
      </c>
      <c r="L4917" s="28" t="s">
        <v>7167</v>
      </c>
      <c r="M4917" s="28" t="s">
        <v>21</v>
      </c>
      <c r="O4917" s="92">
        <v>41740</v>
      </c>
      <c r="P4917" s="28" t="s">
        <v>21</v>
      </c>
      <c r="Q4917" s="26" t="b">
        <v>0</v>
      </c>
      <c r="R4917" s="22">
        <f t="shared" si="82"/>
        <v>10</v>
      </c>
    </row>
    <row r="4918" spans="1:18">
      <c r="A4918" s="26">
        <v>10273</v>
      </c>
      <c r="B4918" s="27">
        <v>41730</v>
      </c>
      <c r="C4918" s="28" t="s">
        <v>15712</v>
      </c>
      <c r="D4918" s="27">
        <v>41725</v>
      </c>
      <c r="E4918" s="28" t="s">
        <v>38</v>
      </c>
      <c r="F4918" s="28" t="s">
        <v>14118</v>
      </c>
      <c r="G4918" s="28" t="s">
        <v>20</v>
      </c>
      <c r="H4918" s="28" t="s">
        <v>71</v>
      </c>
      <c r="I4918" s="28" t="s">
        <v>72</v>
      </c>
      <c r="J4918" s="28" t="s">
        <v>15713</v>
      </c>
      <c r="K4918" s="28" t="s">
        <v>21</v>
      </c>
      <c r="L4918" s="28" t="s">
        <v>1152</v>
      </c>
      <c r="M4918" s="28" t="s">
        <v>21</v>
      </c>
      <c r="O4918" s="92">
        <v>41731</v>
      </c>
      <c r="P4918" s="28" t="s">
        <v>21</v>
      </c>
      <c r="Q4918" s="26" t="b">
        <v>0</v>
      </c>
      <c r="R4918" s="22">
        <f t="shared" si="82"/>
        <v>1</v>
      </c>
    </row>
    <row r="4919" spans="1:18">
      <c r="A4919" s="26">
        <v>10274</v>
      </c>
      <c r="B4919" s="27">
        <v>41730</v>
      </c>
      <c r="C4919" s="28" t="s">
        <v>15714</v>
      </c>
      <c r="D4919" s="27">
        <v>41725</v>
      </c>
      <c r="E4919" s="28" t="s">
        <v>15715</v>
      </c>
      <c r="F4919" s="28" t="s">
        <v>15716</v>
      </c>
      <c r="G4919" s="28" t="s">
        <v>20</v>
      </c>
      <c r="H4919" s="28" t="s">
        <v>566</v>
      </c>
      <c r="I4919" s="28" t="s">
        <v>566</v>
      </c>
      <c r="J4919" s="28" t="s">
        <v>15717</v>
      </c>
      <c r="K4919" s="28" t="s">
        <v>15718</v>
      </c>
      <c r="L4919" s="28" t="s">
        <v>1152</v>
      </c>
      <c r="M4919" s="28" t="s">
        <v>21</v>
      </c>
      <c r="O4919" s="92">
        <v>41758</v>
      </c>
      <c r="P4919" s="28" t="s">
        <v>21</v>
      </c>
      <c r="Q4919" s="26" t="b">
        <v>0</v>
      </c>
      <c r="R4919" s="22">
        <f t="shared" si="82"/>
        <v>28</v>
      </c>
    </row>
    <row r="4920" spans="1:18">
      <c r="A4920" s="26">
        <v>10275</v>
      </c>
      <c r="B4920" s="27">
        <v>41732</v>
      </c>
      <c r="C4920" s="28" t="s">
        <v>15719</v>
      </c>
      <c r="D4920" s="27">
        <v>41731</v>
      </c>
      <c r="E4920" s="28" t="s">
        <v>15720</v>
      </c>
      <c r="F4920" s="28" t="s">
        <v>15721</v>
      </c>
      <c r="G4920" s="28" t="s">
        <v>20</v>
      </c>
      <c r="H4920" s="28" t="s">
        <v>71</v>
      </c>
      <c r="I4920" s="28" t="s">
        <v>72</v>
      </c>
      <c r="J4920" s="28" t="s">
        <v>15722</v>
      </c>
      <c r="K4920" s="28" t="s">
        <v>21</v>
      </c>
      <c r="L4920" s="28" t="s">
        <v>7167</v>
      </c>
      <c r="M4920" s="28" t="s">
        <v>21</v>
      </c>
      <c r="O4920" s="92">
        <v>42262</v>
      </c>
      <c r="P4920" s="28" t="s">
        <v>21</v>
      </c>
      <c r="Q4920" s="26" t="b">
        <v>0</v>
      </c>
      <c r="R4920" s="22">
        <f t="shared" si="82"/>
        <v>529</v>
      </c>
    </row>
    <row r="4921" spans="1:18" ht="32">
      <c r="A4921" s="33">
        <v>10276</v>
      </c>
      <c r="B4921" s="34">
        <v>41732</v>
      </c>
      <c r="C4921" s="35" t="s">
        <v>17619</v>
      </c>
      <c r="D4921" s="34">
        <v>41731</v>
      </c>
      <c r="E4921" s="35" t="s">
        <v>15723</v>
      </c>
      <c r="F4921" s="35" t="s">
        <v>15724</v>
      </c>
      <c r="G4921" s="35" t="s">
        <v>20</v>
      </c>
      <c r="H4921" s="35" t="s">
        <v>71</v>
      </c>
      <c r="I4921" s="35" t="s">
        <v>72</v>
      </c>
      <c r="J4921" s="35" t="s">
        <v>15725</v>
      </c>
      <c r="K4921" s="35" t="s">
        <v>15726</v>
      </c>
      <c r="L4921" s="35" t="s">
        <v>1946</v>
      </c>
      <c r="M4921" s="35" t="s">
        <v>17620</v>
      </c>
      <c r="N4921" s="36"/>
      <c r="O4921" s="97">
        <v>42482</v>
      </c>
      <c r="P4921" s="35" t="s">
        <v>21</v>
      </c>
      <c r="Q4921" s="33" t="b">
        <v>0</v>
      </c>
      <c r="R4921" s="22">
        <f t="shared" si="82"/>
        <v>749</v>
      </c>
    </row>
    <row r="4922" spans="1:18" ht="32">
      <c r="A4922" s="33">
        <v>10277</v>
      </c>
      <c r="B4922" s="34">
        <v>41733</v>
      </c>
      <c r="C4922" s="35" t="s">
        <v>17670</v>
      </c>
      <c r="D4922" s="34">
        <v>41732</v>
      </c>
      <c r="E4922" s="35" t="s">
        <v>15727</v>
      </c>
      <c r="F4922" s="35" t="s">
        <v>974</v>
      </c>
      <c r="G4922" s="35" t="s">
        <v>20</v>
      </c>
      <c r="H4922" s="35" t="s">
        <v>212</v>
      </c>
      <c r="I4922" s="35" t="s">
        <v>212</v>
      </c>
      <c r="J4922" s="35" t="s">
        <v>15728</v>
      </c>
      <c r="K4922" s="35" t="s">
        <v>9348</v>
      </c>
      <c r="L4922" s="35" t="s">
        <v>14518</v>
      </c>
      <c r="M4922" s="35" t="s">
        <v>4282</v>
      </c>
      <c r="N4922" s="36"/>
      <c r="O4922" s="97">
        <v>42514</v>
      </c>
      <c r="P4922" s="35" t="s">
        <v>21</v>
      </c>
      <c r="Q4922" s="33" t="b">
        <v>0</v>
      </c>
      <c r="R4922" s="22">
        <f t="shared" si="82"/>
        <v>780</v>
      </c>
    </row>
    <row r="4923" spans="1:18" ht="32">
      <c r="A4923" s="33">
        <v>10278</v>
      </c>
      <c r="B4923" s="34">
        <v>41736</v>
      </c>
      <c r="C4923" s="35" t="s">
        <v>17625</v>
      </c>
      <c r="D4923" s="34">
        <v>41730</v>
      </c>
      <c r="E4923" s="35" t="s">
        <v>15729</v>
      </c>
      <c r="F4923" s="35" t="s">
        <v>15688</v>
      </c>
      <c r="G4923" s="35" t="s">
        <v>20</v>
      </c>
      <c r="H4923" s="35" t="s">
        <v>71</v>
      </c>
      <c r="I4923" s="35" t="s">
        <v>72</v>
      </c>
      <c r="J4923" s="35" t="s">
        <v>15730</v>
      </c>
      <c r="K4923" s="35" t="s">
        <v>15731</v>
      </c>
      <c r="L4923" s="35" t="s">
        <v>14518</v>
      </c>
      <c r="M4923" s="35" t="s">
        <v>1152</v>
      </c>
      <c r="N4923" s="36"/>
      <c r="O4923" s="96">
        <v>42488</v>
      </c>
      <c r="P4923" s="35" t="s">
        <v>21</v>
      </c>
      <c r="Q4923" s="33" t="b">
        <v>0</v>
      </c>
      <c r="R4923" s="22">
        <f t="shared" si="82"/>
        <v>751</v>
      </c>
    </row>
    <row r="4924" spans="1:18">
      <c r="A4924" s="26">
        <v>10279</v>
      </c>
      <c r="B4924" s="27">
        <v>41736</v>
      </c>
      <c r="C4924" s="28" t="s">
        <v>15732</v>
      </c>
      <c r="D4924" s="27">
        <v>41730</v>
      </c>
      <c r="E4924" s="28" t="s">
        <v>15733</v>
      </c>
      <c r="F4924" s="28" t="s">
        <v>15734</v>
      </c>
      <c r="G4924" s="28" t="s">
        <v>20</v>
      </c>
      <c r="H4924" s="28" t="s">
        <v>71</v>
      </c>
      <c r="I4924" s="28" t="s">
        <v>72</v>
      </c>
      <c r="J4924" s="28" t="s">
        <v>15735</v>
      </c>
      <c r="K4924" s="28" t="s">
        <v>15731</v>
      </c>
      <c r="L4924" s="28" t="s">
        <v>1152</v>
      </c>
      <c r="M4924" s="28" t="s">
        <v>21</v>
      </c>
      <c r="O4924" s="92">
        <v>41789</v>
      </c>
      <c r="P4924" s="28" t="s">
        <v>21</v>
      </c>
      <c r="Q4924" s="26" t="b">
        <v>0</v>
      </c>
      <c r="R4924" s="22">
        <f t="shared" si="82"/>
        <v>53</v>
      </c>
    </row>
    <row r="4925" spans="1:18">
      <c r="A4925" s="26">
        <v>10280</v>
      </c>
      <c r="B4925" s="27">
        <v>41737</v>
      </c>
      <c r="C4925" s="28" t="s">
        <v>15736</v>
      </c>
      <c r="D4925" s="27">
        <v>41737</v>
      </c>
      <c r="E4925" s="28" t="s">
        <v>38</v>
      </c>
      <c r="F4925" s="28" t="s">
        <v>5530</v>
      </c>
      <c r="G4925" s="28" t="s">
        <v>20</v>
      </c>
      <c r="H4925" s="28" t="s">
        <v>71</v>
      </c>
      <c r="I4925" s="28" t="s">
        <v>72</v>
      </c>
      <c r="J4925" s="28" t="s">
        <v>15737</v>
      </c>
      <c r="K4925" s="28" t="s">
        <v>15738</v>
      </c>
      <c r="L4925" s="28" t="s">
        <v>1152</v>
      </c>
      <c r="M4925" s="28" t="s">
        <v>21</v>
      </c>
      <c r="O4925" s="92">
        <v>41758</v>
      </c>
      <c r="P4925" s="28" t="s">
        <v>21</v>
      </c>
      <c r="Q4925" s="26" t="b">
        <v>0</v>
      </c>
      <c r="R4925" s="22">
        <f t="shared" si="82"/>
        <v>21</v>
      </c>
    </row>
    <row r="4926" spans="1:18">
      <c r="A4926" s="26">
        <v>10281</v>
      </c>
      <c r="B4926" s="27">
        <v>41740</v>
      </c>
      <c r="C4926" s="28" t="s">
        <v>15739</v>
      </c>
      <c r="D4926" s="27">
        <v>41732</v>
      </c>
      <c r="E4926" s="28" t="s">
        <v>38</v>
      </c>
      <c r="F4926" s="28" t="s">
        <v>124</v>
      </c>
      <c r="G4926" s="28" t="s">
        <v>20</v>
      </c>
      <c r="H4926" s="28" t="s">
        <v>71</v>
      </c>
      <c r="I4926" s="28" t="s">
        <v>72</v>
      </c>
      <c r="J4926" s="28" t="s">
        <v>15740</v>
      </c>
      <c r="K4926" s="28" t="s">
        <v>15741</v>
      </c>
      <c r="L4926" s="28" t="s">
        <v>14411</v>
      </c>
      <c r="M4926" s="28" t="s">
        <v>21</v>
      </c>
      <c r="O4926" s="94">
        <v>41768</v>
      </c>
      <c r="P4926" s="28" t="s">
        <v>21</v>
      </c>
      <c r="Q4926" s="26" t="b">
        <v>0</v>
      </c>
      <c r="R4926" s="22">
        <f t="shared" si="82"/>
        <v>28</v>
      </c>
    </row>
    <row r="4927" spans="1:18">
      <c r="A4927" s="26">
        <v>10282</v>
      </c>
      <c r="B4927" s="27">
        <v>41740</v>
      </c>
      <c r="C4927" s="28" t="s">
        <v>15742</v>
      </c>
      <c r="D4927" s="27">
        <v>41733</v>
      </c>
      <c r="E4927" s="28" t="s">
        <v>38</v>
      </c>
      <c r="F4927" s="28" t="s">
        <v>124</v>
      </c>
      <c r="G4927" s="28" t="s">
        <v>20</v>
      </c>
      <c r="H4927" s="28" t="s">
        <v>71</v>
      </c>
      <c r="I4927" s="28" t="s">
        <v>72</v>
      </c>
      <c r="J4927" s="28" t="s">
        <v>15743</v>
      </c>
      <c r="K4927" s="28" t="s">
        <v>15744</v>
      </c>
      <c r="L4927" s="28" t="s">
        <v>14411</v>
      </c>
      <c r="M4927" s="28" t="s">
        <v>21</v>
      </c>
      <c r="O4927" s="94">
        <v>41768</v>
      </c>
      <c r="P4927" s="28" t="s">
        <v>21</v>
      </c>
      <c r="Q4927" s="26" t="b">
        <v>0</v>
      </c>
      <c r="R4927" s="22">
        <f t="shared" si="82"/>
        <v>28</v>
      </c>
    </row>
    <row r="4928" spans="1:18">
      <c r="A4928" s="26">
        <v>10283</v>
      </c>
      <c r="B4928" s="27">
        <v>41740</v>
      </c>
      <c r="C4928" s="28" t="s">
        <v>15745</v>
      </c>
      <c r="D4928" s="27">
        <v>41734</v>
      </c>
      <c r="E4928" s="28" t="s">
        <v>38</v>
      </c>
      <c r="F4928" s="28" t="s">
        <v>124</v>
      </c>
      <c r="G4928" s="28" t="s">
        <v>20</v>
      </c>
      <c r="H4928" s="28" t="s">
        <v>71</v>
      </c>
      <c r="I4928" s="28" t="s">
        <v>72</v>
      </c>
      <c r="J4928" s="28" t="s">
        <v>15746</v>
      </c>
      <c r="K4928" s="28" t="s">
        <v>14932</v>
      </c>
      <c r="L4928" s="28" t="s">
        <v>7167</v>
      </c>
      <c r="M4928" s="28" t="s">
        <v>21</v>
      </c>
      <c r="O4928" s="94">
        <v>41779</v>
      </c>
      <c r="P4928" s="28" t="s">
        <v>21</v>
      </c>
      <c r="Q4928" s="26" t="b">
        <v>0</v>
      </c>
      <c r="R4928" s="22">
        <f t="shared" si="82"/>
        <v>39</v>
      </c>
    </row>
    <row r="4929" spans="1:20">
      <c r="A4929" s="26">
        <v>10285</v>
      </c>
      <c r="B4929" s="27">
        <v>41740</v>
      </c>
      <c r="C4929" s="28" t="s">
        <v>15747</v>
      </c>
      <c r="D4929" s="27">
        <v>41728</v>
      </c>
      <c r="E4929" s="28" t="s">
        <v>15748</v>
      </c>
      <c r="F4929" s="28" t="s">
        <v>124</v>
      </c>
      <c r="G4929" s="28" t="s">
        <v>20</v>
      </c>
      <c r="H4929" s="28" t="s">
        <v>71</v>
      </c>
      <c r="I4929" s="28" t="s">
        <v>72</v>
      </c>
      <c r="J4929" s="28" t="s">
        <v>15749</v>
      </c>
      <c r="K4929" s="28" t="s">
        <v>15750</v>
      </c>
      <c r="L4929" s="28" t="s">
        <v>7167</v>
      </c>
      <c r="M4929" s="28" t="s">
        <v>21</v>
      </c>
      <c r="O4929" s="92">
        <v>41816</v>
      </c>
      <c r="P4929" s="28" t="s">
        <v>21</v>
      </c>
      <c r="Q4929" s="26" t="b">
        <v>0</v>
      </c>
      <c r="R4929" s="22">
        <f t="shared" si="82"/>
        <v>76</v>
      </c>
    </row>
    <row r="4930" spans="1:20" ht="24">
      <c r="A4930" s="26">
        <v>10286</v>
      </c>
      <c r="B4930" s="27">
        <v>41740</v>
      </c>
      <c r="C4930" s="28" t="s">
        <v>15751</v>
      </c>
      <c r="D4930" s="27">
        <v>41732</v>
      </c>
      <c r="E4930" s="28" t="s">
        <v>15752</v>
      </c>
      <c r="F4930" s="28" t="s">
        <v>371</v>
      </c>
      <c r="G4930" s="28" t="s">
        <v>20</v>
      </c>
      <c r="H4930" s="28" t="s">
        <v>71</v>
      </c>
      <c r="I4930" s="28" t="s">
        <v>72</v>
      </c>
      <c r="J4930" s="28" t="s">
        <v>15753</v>
      </c>
      <c r="K4930" s="28" t="s">
        <v>15754</v>
      </c>
      <c r="L4930" s="28" t="s">
        <v>1152</v>
      </c>
      <c r="M4930" s="28" t="s">
        <v>21</v>
      </c>
      <c r="O4930" s="92">
        <v>41786</v>
      </c>
      <c r="P4930" s="28" t="s">
        <v>21</v>
      </c>
      <c r="Q4930" s="26" t="b">
        <v>0</v>
      </c>
      <c r="R4930" s="22">
        <f t="shared" si="82"/>
        <v>46</v>
      </c>
    </row>
    <row r="4931" spans="1:20" ht="32">
      <c r="A4931" s="33">
        <v>10287</v>
      </c>
      <c r="B4931" s="34">
        <v>41740</v>
      </c>
      <c r="C4931" s="35" t="s">
        <v>17781</v>
      </c>
      <c r="D4931" s="34">
        <v>41740</v>
      </c>
      <c r="E4931" s="35" t="s">
        <v>15826</v>
      </c>
      <c r="F4931" s="35" t="s">
        <v>1743</v>
      </c>
      <c r="G4931" s="35" t="s">
        <v>20</v>
      </c>
      <c r="H4931" s="35" t="s">
        <v>71</v>
      </c>
      <c r="I4931" s="35" t="s">
        <v>72</v>
      </c>
      <c r="J4931" s="35" t="s">
        <v>17782</v>
      </c>
      <c r="K4931" s="35" t="s">
        <v>21</v>
      </c>
      <c r="L4931" s="35" t="s">
        <v>17783</v>
      </c>
      <c r="M4931" s="35" t="s">
        <v>21</v>
      </c>
      <c r="N4931" s="36"/>
      <c r="O4931" s="96">
        <v>42580</v>
      </c>
      <c r="P4931" s="35" t="s">
        <v>21</v>
      </c>
      <c r="Q4931" s="33" t="b">
        <v>0</v>
      </c>
      <c r="R4931" s="22">
        <f t="shared" si="82"/>
        <v>839</v>
      </c>
    </row>
    <row r="4932" spans="1:20">
      <c r="A4932" s="26">
        <v>10288</v>
      </c>
      <c r="B4932" s="27">
        <v>41745</v>
      </c>
      <c r="C4932" s="28" t="s">
        <v>15755</v>
      </c>
      <c r="D4932" s="27">
        <v>41744</v>
      </c>
      <c r="E4932" s="28" t="s">
        <v>15756</v>
      </c>
      <c r="F4932" s="28" t="s">
        <v>149</v>
      </c>
      <c r="G4932" s="28" t="s">
        <v>20</v>
      </c>
      <c r="H4932" s="28" t="s">
        <v>71</v>
      </c>
      <c r="I4932" s="28" t="s">
        <v>72</v>
      </c>
      <c r="J4932" s="28" t="s">
        <v>15757</v>
      </c>
      <c r="K4932" s="28" t="s">
        <v>15758</v>
      </c>
      <c r="L4932" s="28" t="s">
        <v>14411</v>
      </c>
      <c r="M4932" s="28" t="s">
        <v>21</v>
      </c>
      <c r="O4932" s="92">
        <v>42345</v>
      </c>
      <c r="P4932" s="28" t="s">
        <v>21</v>
      </c>
      <c r="Q4932" s="26" t="b">
        <v>0</v>
      </c>
      <c r="R4932" s="22">
        <f t="shared" si="82"/>
        <v>599</v>
      </c>
    </row>
    <row r="4933" spans="1:20" ht="32">
      <c r="A4933" s="33">
        <v>10289</v>
      </c>
      <c r="B4933" s="34">
        <v>41745</v>
      </c>
      <c r="C4933" s="35" t="s">
        <v>17611</v>
      </c>
      <c r="D4933" s="34">
        <v>41745</v>
      </c>
      <c r="E4933" s="35" t="s">
        <v>15759</v>
      </c>
      <c r="F4933" s="35" t="s">
        <v>15760</v>
      </c>
      <c r="G4933" s="35" t="s">
        <v>20</v>
      </c>
      <c r="H4933" s="35" t="s">
        <v>71</v>
      </c>
      <c r="I4933" s="35" t="s">
        <v>72</v>
      </c>
      <c r="J4933" s="35" t="s">
        <v>15761</v>
      </c>
      <c r="K4933" s="35" t="s">
        <v>15762</v>
      </c>
      <c r="L4933" s="35" t="s">
        <v>1946</v>
      </c>
      <c r="M4933" s="35" t="s">
        <v>17612</v>
      </c>
      <c r="N4933" s="36"/>
      <c r="O4933" s="96">
        <v>42482</v>
      </c>
      <c r="P4933" s="35" t="s">
        <v>21</v>
      </c>
      <c r="Q4933" s="33" t="b">
        <v>0</v>
      </c>
      <c r="R4933" s="22">
        <f t="shared" si="82"/>
        <v>736</v>
      </c>
    </row>
    <row r="4934" spans="1:20" ht="32">
      <c r="A4934" s="33">
        <v>10290</v>
      </c>
      <c r="B4934" s="34">
        <v>41751</v>
      </c>
      <c r="C4934" s="35" t="s">
        <v>17525</v>
      </c>
      <c r="D4934" s="34">
        <v>41745</v>
      </c>
      <c r="E4934" s="35" t="s">
        <v>15763</v>
      </c>
      <c r="F4934" s="35" t="s">
        <v>15764</v>
      </c>
      <c r="G4934" s="35" t="s">
        <v>20</v>
      </c>
      <c r="H4934" s="35" t="s">
        <v>71</v>
      </c>
      <c r="I4934" s="35" t="s">
        <v>72</v>
      </c>
      <c r="J4934" s="35" t="s">
        <v>15765</v>
      </c>
      <c r="K4934" s="35" t="s">
        <v>21</v>
      </c>
      <c r="L4934" s="35" t="s">
        <v>1946</v>
      </c>
      <c r="M4934" s="35" t="s">
        <v>21</v>
      </c>
      <c r="N4934" s="36"/>
      <c r="O4934" s="96">
        <v>42419</v>
      </c>
      <c r="P4934" s="35" t="s">
        <v>21</v>
      </c>
      <c r="Q4934" s="33" t="b">
        <v>0</v>
      </c>
      <c r="R4934" s="22">
        <f t="shared" si="82"/>
        <v>666</v>
      </c>
    </row>
    <row r="4935" spans="1:20">
      <c r="A4935" s="26">
        <v>10291</v>
      </c>
      <c r="B4935" s="27">
        <v>41751</v>
      </c>
      <c r="C4935" s="28" t="s">
        <v>15766</v>
      </c>
      <c r="D4935" s="27">
        <v>41751</v>
      </c>
      <c r="E4935" s="28" t="s">
        <v>38</v>
      </c>
      <c r="F4935" s="28" t="s">
        <v>15767</v>
      </c>
      <c r="G4935" s="28" t="s">
        <v>20</v>
      </c>
      <c r="H4935" s="28" t="s">
        <v>71</v>
      </c>
      <c r="I4935" s="28" t="s">
        <v>72</v>
      </c>
      <c r="J4935" s="28" t="s">
        <v>15768</v>
      </c>
      <c r="K4935" s="28" t="s">
        <v>15769</v>
      </c>
      <c r="L4935" s="28" t="s">
        <v>1152</v>
      </c>
      <c r="M4935" s="28" t="s">
        <v>21</v>
      </c>
      <c r="O4935" s="92">
        <v>41779</v>
      </c>
      <c r="P4935" s="28" t="s">
        <v>21</v>
      </c>
      <c r="Q4935" s="26" t="b">
        <v>0</v>
      </c>
      <c r="R4935" s="22">
        <f t="shared" si="82"/>
        <v>28</v>
      </c>
    </row>
    <row r="4936" spans="1:20" ht="32">
      <c r="A4936" s="33">
        <v>10292</v>
      </c>
      <c r="B4936" s="34">
        <v>41761</v>
      </c>
      <c r="C4936" s="35" t="s">
        <v>18267</v>
      </c>
      <c r="D4936" s="34">
        <v>41761</v>
      </c>
      <c r="E4936" s="35" t="s">
        <v>15826</v>
      </c>
      <c r="F4936" s="35" t="s">
        <v>1743</v>
      </c>
      <c r="G4936" s="35" t="s">
        <v>20</v>
      </c>
      <c r="H4936" s="35" t="s">
        <v>71</v>
      </c>
      <c r="I4936" s="35" t="s">
        <v>72</v>
      </c>
      <c r="J4936" s="35" t="s">
        <v>18268</v>
      </c>
      <c r="K4936" s="35" t="s">
        <v>18269</v>
      </c>
      <c r="L4936" s="35" t="s">
        <v>4282</v>
      </c>
      <c r="M4936" s="35" t="s">
        <v>21</v>
      </c>
      <c r="N4936" s="36"/>
      <c r="O4936" s="99"/>
      <c r="P4936" s="35" t="s">
        <v>21</v>
      </c>
      <c r="Q4936" s="33" t="b">
        <v>0</v>
      </c>
      <c r="R4936" s="112"/>
    </row>
    <row r="4937" spans="1:20">
      <c r="A4937" s="26">
        <v>10295</v>
      </c>
      <c r="B4937" s="27">
        <v>41761</v>
      </c>
      <c r="C4937" s="28" t="s">
        <v>15770</v>
      </c>
      <c r="D4937" s="27">
        <v>41751</v>
      </c>
      <c r="E4937" s="28" t="s">
        <v>15771</v>
      </c>
      <c r="F4937" s="28" t="s">
        <v>5184</v>
      </c>
      <c r="G4937" s="28" t="s">
        <v>20</v>
      </c>
      <c r="H4937" s="28" t="s">
        <v>71</v>
      </c>
      <c r="I4937" s="28" t="s">
        <v>72</v>
      </c>
      <c r="J4937" s="28" t="s">
        <v>15772</v>
      </c>
      <c r="K4937" s="28" t="s">
        <v>15773</v>
      </c>
      <c r="L4937" s="28" t="s">
        <v>7167</v>
      </c>
      <c r="M4937" s="28" t="s">
        <v>1152</v>
      </c>
      <c r="O4937" s="92">
        <v>41872</v>
      </c>
      <c r="P4937" s="28" t="s">
        <v>21</v>
      </c>
      <c r="Q4937" s="26" t="b">
        <v>0</v>
      </c>
      <c r="R4937" s="22">
        <f>IF(O4937=" ", " ", INT(YEARFRAC(O4937, B4937)*365))</f>
        <v>110</v>
      </c>
    </row>
    <row r="4938" spans="1:20">
      <c r="A4938" s="26">
        <v>10296</v>
      </c>
      <c r="B4938" s="27">
        <v>41761</v>
      </c>
      <c r="C4938" s="28" t="s">
        <v>15774</v>
      </c>
      <c r="D4938" s="27">
        <v>41760</v>
      </c>
      <c r="E4938" s="28" t="s">
        <v>15775</v>
      </c>
      <c r="F4938" s="28" t="s">
        <v>149</v>
      </c>
      <c r="G4938" s="28" t="s">
        <v>20</v>
      </c>
      <c r="H4938" s="28" t="s">
        <v>71</v>
      </c>
      <c r="I4938" s="28" t="s">
        <v>72</v>
      </c>
      <c r="J4938" s="28" t="s">
        <v>15776</v>
      </c>
      <c r="K4938" s="28" t="s">
        <v>15777</v>
      </c>
      <c r="L4938" s="28" t="s">
        <v>14411</v>
      </c>
      <c r="M4938" s="28" t="s">
        <v>21</v>
      </c>
      <c r="O4938" s="92">
        <v>41809</v>
      </c>
      <c r="P4938" s="28" t="s">
        <v>21</v>
      </c>
      <c r="Q4938" s="26" t="b">
        <v>0</v>
      </c>
      <c r="R4938" s="22">
        <f>IF(O4938=" ", " ", INT(YEARFRAC(O4938, B4938)*365))</f>
        <v>47</v>
      </c>
    </row>
    <row r="4939" spans="1:20" ht="24">
      <c r="A4939" s="26">
        <v>10297</v>
      </c>
      <c r="B4939" s="27">
        <v>41761</v>
      </c>
      <c r="C4939" s="28" t="s">
        <v>18871</v>
      </c>
      <c r="D4939" s="27">
        <v>41270</v>
      </c>
      <c r="E4939" s="28" t="s">
        <v>1432</v>
      </c>
      <c r="F4939" s="28" t="s">
        <v>15778</v>
      </c>
      <c r="G4939" s="28" t="s">
        <v>20</v>
      </c>
      <c r="H4939" s="28" t="s">
        <v>71</v>
      </c>
      <c r="I4939" s="28" t="s">
        <v>72</v>
      </c>
      <c r="J4939" s="28" t="s">
        <v>15779</v>
      </c>
      <c r="K4939" s="28" t="s">
        <v>15780</v>
      </c>
      <c r="L4939" s="28" t="s">
        <v>14518</v>
      </c>
      <c r="M4939" s="28" t="s">
        <v>1152</v>
      </c>
      <c r="O4939" s="98"/>
      <c r="P4939" s="28" t="s">
        <v>21</v>
      </c>
      <c r="Q4939" s="26" t="b">
        <v>0</v>
      </c>
      <c r="R4939" s="59"/>
      <c r="T4939" s="37" t="s">
        <v>21</v>
      </c>
    </row>
    <row r="4940" spans="1:20">
      <c r="A4940" s="38">
        <v>10298</v>
      </c>
      <c r="B4940" s="39">
        <v>41761</v>
      </c>
      <c r="C4940" s="40" t="s">
        <v>18872</v>
      </c>
      <c r="D4940" s="39">
        <v>41464</v>
      </c>
      <c r="E4940" s="40" t="s">
        <v>1432</v>
      </c>
      <c r="F4940" s="40" t="s">
        <v>15781</v>
      </c>
      <c r="G4940" s="40" t="s">
        <v>20</v>
      </c>
      <c r="H4940" s="40" t="s">
        <v>71</v>
      </c>
      <c r="I4940" s="40" t="s">
        <v>72</v>
      </c>
      <c r="J4940" s="40" t="s">
        <v>15782</v>
      </c>
      <c r="K4940" s="40" t="s">
        <v>15783</v>
      </c>
      <c r="L4940" s="40" t="s">
        <v>4282</v>
      </c>
      <c r="M4940" s="40" t="s">
        <v>7167</v>
      </c>
      <c r="O4940" s="100">
        <v>43320</v>
      </c>
      <c r="P4940" s="41" t="s">
        <v>21</v>
      </c>
      <c r="Q4940" s="42" t="b">
        <v>0</v>
      </c>
      <c r="R4940" s="22">
        <f t="shared" ref="R4940:R4977" si="83">IF(O4940=" ", " ", INT(YEARFRAC(O4940, B4940)*365))</f>
        <v>1557</v>
      </c>
    </row>
    <row r="4941" spans="1:20" ht="32">
      <c r="A4941" s="33">
        <v>10301</v>
      </c>
      <c r="B4941" s="34">
        <v>41766</v>
      </c>
      <c r="C4941" s="35" t="s">
        <v>17724</v>
      </c>
      <c r="D4941" s="34">
        <v>41760</v>
      </c>
      <c r="E4941" s="35" t="s">
        <v>15784</v>
      </c>
      <c r="F4941" s="35" t="s">
        <v>861</v>
      </c>
      <c r="G4941" s="35" t="s">
        <v>20</v>
      </c>
      <c r="H4941" s="35" t="s">
        <v>71</v>
      </c>
      <c r="I4941" s="35" t="s">
        <v>72</v>
      </c>
      <c r="J4941" s="35" t="s">
        <v>15785</v>
      </c>
      <c r="K4941" s="35" t="s">
        <v>21</v>
      </c>
      <c r="L4941" s="35" t="s">
        <v>14518</v>
      </c>
      <c r="M4941" s="35" t="s">
        <v>1152</v>
      </c>
      <c r="N4941" s="36"/>
      <c r="O4941" s="96">
        <v>42549</v>
      </c>
      <c r="P4941" s="35" t="s">
        <v>21</v>
      </c>
      <c r="Q4941" s="33" t="b">
        <v>0</v>
      </c>
      <c r="R4941" s="22">
        <f t="shared" si="83"/>
        <v>781</v>
      </c>
    </row>
    <row r="4942" spans="1:20">
      <c r="A4942" s="26">
        <v>10305</v>
      </c>
      <c r="B4942" s="27">
        <v>41767</v>
      </c>
      <c r="C4942" s="28" t="s">
        <v>15786</v>
      </c>
      <c r="D4942" s="27">
        <v>41745</v>
      </c>
      <c r="E4942" s="28" t="s">
        <v>15787</v>
      </c>
      <c r="F4942" s="28" t="s">
        <v>124</v>
      </c>
      <c r="G4942" s="28" t="s">
        <v>20</v>
      </c>
      <c r="H4942" s="28" t="s">
        <v>71</v>
      </c>
      <c r="I4942" s="28" t="s">
        <v>72</v>
      </c>
      <c r="J4942" s="28" t="s">
        <v>4517</v>
      </c>
      <c r="K4942" s="28" t="s">
        <v>15788</v>
      </c>
      <c r="L4942" s="28" t="s">
        <v>7167</v>
      </c>
      <c r="M4942" s="28" t="s">
        <v>1152</v>
      </c>
      <c r="O4942" s="92">
        <v>41897</v>
      </c>
      <c r="P4942" s="28" t="s">
        <v>21</v>
      </c>
      <c r="Q4942" s="26" t="b">
        <v>0</v>
      </c>
      <c r="R4942" s="22">
        <f t="shared" si="83"/>
        <v>128</v>
      </c>
    </row>
    <row r="4943" spans="1:20">
      <c r="A4943" s="26">
        <v>10306</v>
      </c>
      <c r="B4943" s="27">
        <v>41768</v>
      </c>
      <c r="C4943" s="28" t="s">
        <v>15789</v>
      </c>
      <c r="D4943" s="27">
        <v>41767</v>
      </c>
      <c r="E4943" s="28" t="s">
        <v>15790</v>
      </c>
      <c r="F4943" s="28" t="s">
        <v>861</v>
      </c>
      <c r="G4943" s="28" t="s">
        <v>20</v>
      </c>
      <c r="H4943" s="28" t="s">
        <v>566</v>
      </c>
      <c r="I4943" s="28" t="s">
        <v>566</v>
      </c>
      <c r="J4943" s="28" t="s">
        <v>15791</v>
      </c>
      <c r="K4943" s="28" t="s">
        <v>15792</v>
      </c>
      <c r="L4943" s="28" t="s">
        <v>1152</v>
      </c>
      <c r="M4943" s="28" t="s">
        <v>21</v>
      </c>
      <c r="O4943" s="92">
        <v>41813</v>
      </c>
      <c r="P4943" s="28" t="s">
        <v>21</v>
      </c>
      <c r="Q4943" s="26" t="b">
        <v>0</v>
      </c>
      <c r="R4943" s="22">
        <f t="shared" si="83"/>
        <v>44</v>
      </c>
    </row>
    <row r="4944" spans="1:20">
      <c r="A4944" s="26">
        <v>10307</v>
      </c>
      <c r="B4944" s="27">
        <v>41771</v>
      </c>
      <c r="C4944" s="28" t="s">
        <v>15793</v>
      </c>
      <c r="D4944" s="27">
        <v>41770</v>
      </c>
      <c r="E4944" s="28" t="s">
        <v>38</v>
      </c>
      <c r="F4944" s="28" t="s">
        <v>4596</v>
      </c>
      <c r="G4944" s="28" t="s">
        <v>20</v>
      </c>
      <c r="H4944" s="28" t="s">
        <v>71</v>
      </c>
      <c r="I4944" s="28" t="s">
        <v>72</v>
      </c>
      <c r="J4944" s="28" t="s">
        <v>7203</v>
      </c>
      <c r="K4944" s="28" t="s">
        <v>15794</v>
      </c>
      <c r="L4944" s="28" t="s">
        <v>1946</v>
      </c>
      <c r="M4944" s="28" t="s">
        <v>21</v>
      </c>
      <c r="O4944" s="92">
        <v>41771</v>
      </c>
      <c r="P4944" s="28" t="s">
        <v>21</v>
      </c>
      <c r="Q4944" s="26" t="b">
        <v>0</v>
      </c>
      <c r="R4944" s="22">
        <f t="shared" si="83"/>
        <v>0</v>
      </c>
    </row>
    <row r="4945" spans="1:18" ht="24">
      <c r="A4945" s="26">
        <v>10308</v>
      </c>
      <c r="B4945" s="27">
        <v>41774</v>
      </c>
      <c r="C4945" s="28" t="s">
        <v>15795</v>
      </c>
      <c r="D4945" s="27">
        <v>41768</v>
      </c>
      <c r="E4945" s="28" t="s">
        <v>3268</v>
      </c>
      <c r="F4945" s="28" t="s">
        <v>974</v>
      </c>
      <c r="G4945" s="28" t="s">
        <v>20</v>
      </c>
      <c r="H4945" s="28" t="s">
        <v>212</v>
      </c>
      <c r="I4945" s="28" t="s">
        <v>212</v>
      </c>
      <c r="J4945" s="28" t="s">
        <v>15796</v>
      </c>
      <c r="K4945" s="28" t="s">
        <v>15797</v>
      </c>
      <c r="L4945" s="28" t="s">
        <v>4282</v>
      </c>
      <c r="M4945" s="28" t="s">
        <v>21</v>
      </c>
      <c r="O4945" s="92">
        <v>41781</v>
      </c>
      <c r="P4945" s="28" t="s">
        <v>21</v>
      </c>
      <c r="Q4945" s="26" t="b">
        <v>0</v>
      </c>
      <c r="R4945" s="22">
        <f t="shared" si="83"/>
        <v>7</v>
      </c>
    </row>
    <row r="4946" spans="1:18">
      <c r="A4946" s="26">
        <v>10309</v>
      </c>
      <c r="B4946" s="27">
        <v>41774</v>
      </c>
      <c r="C4946" s="28" t="s">
        <v>15798</v>
      </c>
      <c r="D4946" s="27">
        <v>41765</v>
      </c>
      <c r="E4946" s="28" t="s">
        <v>15799</v>
      </c>
      <c r="F4946" s="28" t="s">
        <v>15800</v>
      </c>
      <c r="G4946" s="28" t="s">
        <v>20</v>
      </c>
      <c r="H4946" s="28" t="s">
        <v>71</v>
      </c>
      <c r="I4946" s="28" t="s">
        <v>72</v>
      </c>
      <c r="J4946" s="28" t="s">
        <v>15801</v>
      </c>
      <c r="K4946" s="28" t="s">
        <v>15802</v>
      </c>
      <c r="L4946" s="28" t="s">
        <v>1946</v>
      </c>
      <c r="M4946" s="28" t="s">
        <v>1152</v>
      </c>
      <c r="O4946" s="92">
        <v>42065</v>
      </c>
      <c r="P4946" s="28" t="s">
        <v>21</v>
      </c>
      <c r="Q4946" s="26" t="b">
        <v>0</v>
      </c>
      <c r="R4946" s="22">
        <f t="shared" si="83"/>
        <v>290</v>
      </c>
    </row>
    <row r="4947" spans="1:18">
      <c r="A4947" s="26">
        <v>10310</v>
      </c>
      <c r="B4947" s="27">
        <v>41774</v>
      </c>
      <c r="C4947" s="28" t="s">
        <v>15803</v>
      </c>
      <c r="D4947" s="27">
        <v>41772</v>
      </c>
      <c r="E4947" s="28" t="s">
        <v>15804</v>
      </c>
      <c r="F4947" s="28" t="s">
        <v>984</v>
      </c>
      <c r="G4947" s="28" t="s">
        <v>20</v>
      </c>
      <c r="H4947" s="28" t="s">
        <v>71</v>
      </c>
      <c r="I4947" s="28" t="s">
        <v>72</v>
      </c>
      <c r="J4947" s="28" t="s">
        <v>14514</v>
      </c>
      <c r="K4947" s="28" t="s">
        <v>15805</v>
      </c>
      <c r="L4947" s="28" t="s">
        <v>4282</v>
      </c>
      <c r="M4947" s="28" t="s">
        <v>21</v>
      </c>
      <c r="O4947" s="92">
        <v>41971</v>
      </c>
      <c r="P4947" s="28" t="s">
        <v>21</v>
      </c>
      <c r="Q4947" s="26" t="b">
        <v>0</v>
      </c>
      <c r="R4947" s="22">
        <f t="shared" si="83"/>
        <v>195</v>
      </c>
    </row>
    <row r="4948" spans="1:18">
      <c r="A4948" s="26">
        <v>10311</v>
      </c>
      <c r="B4948" s="27">
        <v>41774</v>
      </c>
      <c r="C4948" s="28" t="s">
        <v>15806</v>
      </c>
      <c r="D4948" s="27">
        <v>41773</v>
      </c>
      <c r="E4948" s="28" t="s">
        <v>15807</v>
      </c>
      <c r="F4948" s="28" t="s">
        <v>19</v>
      </c>
      <c r="G4948" s="28" t="s">
        <v>20</v>
      </c>
      <c r="H4948" s="28" t="s">
        <v>71</v>
      </c>
      <c r="I4948" s="28" t="s">
        <v>72</v>
      </c>
      <c r="J4948" s="28" t="s">
        <v>14901</v>
      </c>
      <c r="K4948" s="28" t="s">
        <v>15808</v>
      </c>
      <c r="L4948" s="28" t="s">
        <v>7167</v>
      </c>
      <c r="M4948" s="28" t="s">
        <v>21</v>
      </c>
      <c r="O4948" s="92">
        <v>41827</v>
      </c>
      <c r="P4948" s="28" t="s">
        <v>21</v>
      </c>
      <c r="Q4948" s="26" t="b">
        <v>0</v>
      </c>
      <c r="R4948" s="22">
        <f t="shared" si="83"/>
        <v>52</v>
      </c>
    </row>
    <row r="4949" spans="1:18" ht="32">
      <c r="A4949" s="33">
        <v>10312</v>
      </c>
      <c r="B4949" s="34">
        <v>41774</v>
      </c>
      <c r="C4949" s="35" t="s">
        <v>17675</v>
      </c>
      <c r="D4949" s="34">
        <v>41770</v>
      </c>
      <c r="E4949" s="35" t="s">
        <v>15809</v>
      </c>
      <c r="F4949" s="35" t="s">
        <v>149</v>
      </c>
      <c r="G4949" s="35" t="s">
        <v>20</v>
      </c>
      <c r="H4949" s="35" t="s">
        <v>71</v>
      </c>
      <c r="I4949" s="35" t="s">
        <v>72</v>
      </c>
      <c r="J4949" s="35" t="s">
        <v>15810</v>
      </c>
      <c r="K4949" s="35" t="s">
        <v>21</v>
      </c>
      <c r="L4949" s="35" t="s">
        <v>1946</v>
      </c>
      <c r="M4949" s="35" t="s">
        <v>14411</v>
      </c>
      <c r="N4949" s="36"/>
      <c r="O4949" s="96">
        <v>42516</v>
      </c>
      <c r="P4949" s="35" t="s">
        <v>21</v>
      </c>
      <c r="Q4949" s="33" t="b">
        <v>0</v>
      </c>
      <c r="R4949" s="22">
        <f t="shared" si="83"/>
        <v>741</v>
      </c>
    </row>
    <row r="4950" spans="1:18">
      <c r="A4950" s="26">
        <v>10313</v>
      </c>
      <c r="B4950" s="27">
        <v>41774</v>
      </c>
      <c r="C4950" s="28" t="s">
        <v>15811</v>
      </c>
      <c r="D4950" s="27">
        <v>41766</v>
      </c>
      <c r="E4950" s="28" t="s">
        <v>15812</v>
      </c>
      <c r="F4950" s="28" t="s">
        <v>124</v>
      </c>
      <c r="G4950" s="28" t="s">
        <v>20</v>
      </c>
      <c r="H4950" s="28" t="s">
        <v>71</v>
      </c>
      <c r="I4950" s="28" t="s">
        <v>72</v>
      </c>
      <c r="J4950" s="28" t="s">
        <v>15489</v>
      </c>
      <c r="K4950" s="28" t="s">
        <v>15813</v>
      </c>
      <c r="L4950" s="28" t="s">
        <v>7167</v>
      </c>
      <c r="M4950" s="28" t="s">
        <v>1152</v>
      </c>
      <c r="O4950" s="92">
        <v>41838</v>
      </c>
      <c r="P4950" s="28" t="s">
        <v>21</v>
      </c>
      <c r="Q4950" s="26" t="b">
        <v>0</v>
      </c>
      <c r="R4950" s="22">
        <f t="shared" si="83"/>
        <v>63</v>
      </c>
    </row>
    <row r="4951" spans="1:18">
      <c r="A4951" s="26">
        <v>10314</v>
      </c>
      <c r="B4951" s="27">
        <v>41775</v>
      </c>
      <c r="C4951" s="28" t="s">
        <v>15814</v>
      </c>
      <c r="D4951" s="27">
        <v>41772</v>
      </c>
      <c r="E4951" s="28" t="s">
        <v>15815</v>
      </c>
      <c r="F4951" s="28" t="s">
        <v>1771</v>
      </c>
      <c r="G4951" s="28" t="s">
        <v>20</v>
      </c>
      <c r="H4951" s="28" t="s">
        <v>71</v>
      </c>
      <c r="I4951" s="28" t="s">
        <v>72</v>
      </c>
      <c r="J4951" s="28" t="s">
        <v>15816</v>
      </c>
      <c r="K4951" s="28" t="s">
        <v>2857</v>
      </c>
      <c r="L4951" s="28" t="s">
        <v>7167</v>
      </c>
      <c r="M4951" s="28" t="s">
        <v>21</v>
      </c>
      <c r="O4951" s="94">
        <v>41789</v>
      </c>
      <c r="P4951" s="28" t="s">
        <v>21</v>
      </c>
      <c r="Q4951" s="26" t="b">
        <v>0</v>
      </c>
      <c r="R4951" s="22">
        <f t="shared" si="83"/>
        <v>14</v>
      </c>
    </row>
    <row r="4952" spans="1:18">
      <c r="A4952" s="26">
        <v>10315</v>
      </c>
      <c r="B4952" s="27">
        <v>41778</v>
      </c>
      <c r="C4952" s="28" t="s">
        <v>15817</v>
      </c>
      <c r="D4952" s="27">
        <v>41776</v>
      </c>
      <c r="E4952" s="28" t="s">
        <v>15818</v>
      </c>
      <c r="F4952" s="28" t="s">
        <v>984</v>
      </c>
      <c r="G4952" s="28" t="s">
        <v>20</v>
      </c>
      <c r="H4952" s="28" t="s">
        <v>71</v>
      </c>
      <c r="I4952" s="28" t="s">
        <v>72</v>
      </c>
      <c r="J4952" s="28" t="s">
        <v>15819</v>
      </c>
      <c r="K4952" s="28" t="s">
        <v>15820</v>
      </c>
      <c r="L4952" s="28" t="s">
        <v>4282</v>
      </c>
      <c r="M4952" s="28" t="s">
        <v>21</v>
      </c>
      <c r="O4952" s="92">
        <v>41971</v>
      </c>
      <c r="P4952" s="28" t="s">
        <v>21</v>
      </c>
      <c r="Q4952" s="26" t="b">
        <v>0</v>
      </c>
      <c r="R4952" s="22">
        <f t="shared" si="83"/>
        <v>191</v>
      </c>
    </row>
    <row r="4953" spans="1:18">
      <c r="A4953" s="26">
        <v>10316</v>
      </c>
      <c r="B4953" s="27">
        <v>41778</v>
      </c>
      <c r="C4953" s="28" t="s">
        <v>15821</v>
      </c>
      <c r="D4953" s="27">
        <v>41775</v>
      </c>
      <c r="E4953" s="28" t="s">
        <v>15822</v>
      </c>
      <c r="F4953" s="28" t="s">
        <v>984</v>
      </c>
      <c r="G4953" s="28" t="s">
        <v>20</v>
      </c>
      <c r="H4953" s="28" t="s">
        <v>71</v>
      </c>
      <c r="I4953" s="28" t="s">
        <v>72</v>
      </c>
      <c r="J4953" s="28" t="s">
        <v>15823</v>
      </c>
      <c r="K4953" s="28" t="s">
        <v>15824</v>
      </c>
      <c r="L4953" s="28" t="s">
        <v>4282</v>
      </c>
      <c r="M4953" s="28" t="s">
        <v>21</v>
      </c>
      <c r="O4953" s="92">
        <v>41971</v>
      </c>
      <c r="P4953" s="28" t="s">
        <v>21</v>
      </c>
      <c r="Q4953" s="26" t="b">
        <v>0</v>
      </c>
      <c r="R4953" s="22">
        <f t="shared" si="83"/>
        <v>191</v>
      </c>
    </row>
    <row r="4954" spans="1:18">
      <c r="A4954" s="26">
        <v>10317</v>
      </c>
      <c r="B4954" s="27">
        <v>41778</v>
      </c>
      <c r="C4954" s="28" t="s">
        <v>15825</v>
      </c>
      <c r="D4954" s="27">
        <v>41760</v>
      </c>
      <c r="E4954" s="28" t="s">
        <v>15826</v>
      </c>
      <c r="F4954" s="28" t="s">
        <v>283</v>
      </c>
      <c r="G4954" s="28" t="s">
        <v>20</v>
      </c>
      <c r="H4954" s="28" t="s">
        <v>71</v>
      </c>
      <c r="I4954" s="28" t="s">
        <v>72</v>
      </c>
      <c r="J4954" s="28" t="s">
        <v>15827</v>
      </c>
      <c r="K4954" s="28" t="s">
        <v>15828</v>
      </c>
      <c r="L4954" s="28" t="s">
        <v>14349</v>
      </c>
      <c r="M4954" s="28" t="s">
        <v>21</v>
      </c>
      <c r="O4954" s="92">
        <v>42136</v>
      </c>
      <c r="P4954" s="28" t="s">
        <v>21</v>
      </c>
      <c r="Q4954" s="26" t="b">
        <v>0</v>
      </c>
      <c r="R4954" s="22">
        <f t="shared" si="83"/>
        <v>357</v>
      </c>
    </row>
    <row r="4955" spans="1:18">
      <c r="A4955" s="26">
        <v>10318</v>
      </c>
      <c r="B4955" s="27">
        <v>41779</v>
      </c>
      <c r="C4955" s="28" t="s">
        <v>15829</v>
      </c>
      <c r="D4955" s="27">
        <v>41764</v>
      </c>
      <c r="E4955" s="28" t="s">
        <v>15830</v>
      </c>
      <c r="F4955" s="28" t="s">
        <v>228</v>
      </c>
      <c r="G4955" s="28" t="s">
        <v>20</v>
      </c>
      <c r="H4955" s="28" t="s">
        <v>71</v>
      </c>
      <c r="I4955" s="28" t="s">
        <v>72</v>
      </c>
      <c r="J4955" s="28" t="s">
        <v>15831</v>
      </c>
      <c r="K4955" s="28" t="s">
        <v>1349</v>
      </c>
      <c r="L4955" s="28" t="s">
        <v>14411</v>
      </c>
      <c r="M4955" s="28" t="s">
        <v>21</v>
      </c>
      <c r="O4955" s="92">
        <v>42348</v>
      </c>
      <c r="P4955" s="28" t="s">
        <v>21</v>
      </c>
      <c r="Q4955" s="26" t="b">
        <v>0</v>
      </c>
      <c r="R4955" s="22">
        <f t="shared" si="83"/>
        <v>567</v>
      </c>
    </row>
    <row r="4956" spans="1:18">
      <c r="A4956" s="26">
        <v>10320</v>
      </c>
      <c r="B4956" s="27">
        <v>41781</v>
      </c>
      <c r="C4956" s="28" t="s">
        <v>15832</v>
      </c>
      <c r="D4956" s="27">
        <v>41779</v>
      </c>
      <c r="E4956" s="28" t="s">
        <v>38</v>
      </c>
      <c r="F4956" s="28" t="s">
        <v>974</v>
      </c>
      <c r="G4956" s="28" t="s">
        <v>20</v>
      </c>
      <c r="H4956" s="28" t="s">
        <v>212</v>
      </c>
      <c r="I4956" s="28" t="s">
        <v>212</v>
      </c>
      <c r="J4956" s="28" t="s">
        <v>15833</v>
      </c>
      <c r="K4956" s="28" t="s">
        <v>15834</v>
      </c>
      <c r="L4956" s="28" t="s">
        <v>1152</v>
      </c>
      <c r="M4956" s="28" t="s">
        <v>21</v>
      </c>
      <c r="O4956" s="92">
        <v>41781</v>
      </c>
      <c r="P4956" s="28" t="s">
        <v>21</v>
      </c>
      <c r="Q4956" s="26" t="b">
        <v>0</v>
      </c>
      <c r="R4956" s="22">
        <f t="shared" si="83"/>
        <v>0</v>
      </c>
    </row>
    <row r="4957" spans="1:18">
      <c r="A4957" s="26">
        <v>10321</v>
      </c>
      <c r="B4957" s="27">
        <v>41781</v>
      </c>
      <c r="C4957" s="28" t="s">
        <v>15835</v>
      </c>
      <c r="D4957" s="27">
        <v>41781</v>
      </c>
      <c r="E4957" s="28" t="s">
        <v>15836</v>
      </c>
      <c r="F4957" s="28" t="s">
        <v>984</v>
      </c>
      <c r="G4957" s="28" t="s">
        <v>20</v>
      </c>
      <c r="H4957" s="28" t="s">
        <v>71</v>
      </c>
      <c r="I4957" s="28" t="s">
        <v>72</v>
      </c>
      <c r="J4957" s="28" t="s">
        <v>15837</v>
      </c>
      <c r="K4957" s="28" t="s">
        <v>15838</v>
      </c>
      <c r="L4957" s="28" t="s">
        <v>4282</v>
      </c>
      <c r="M4957" s="28" t="s">
        <v>21</v>
      </c>
      <c r="O4957" s="94">
        <v>41971</v>
      </c>
      <c r="P4957" s="28" t="s">
        <v>21</v>
      </c>
      <c r="Q4957" s="26" t="b">
        <v>0</v>
      </c>
      <c r="R4957" s="22">
        <f t="shared" si="83"/>
        <v>188</v>
      </c>
    </row>
    <row r="4958" spans="1:18">
      <c r="A4958" s="26">
        <v>10322</v>
      </c>
      <c r="B4958" s="27">
        <v>41781</v>
      </c>
      <c r="C4958" s="28" t="s">
        <v>15839</v>
      </c>
      <c r="D4958" s="27">
        <v>41781</v>
      </c>
      <c r="E4958" s="28" t="s">
        <v>11688</v>
      </c>
      <c r="F4958" s="28" t="s">
        <v>984</v>
      </c>
      <c r="G4958" s="28" t="s">
        <v>20</v>
      </c>
      <c r="H4958" s="28" t="s">
        <v>71</v>
      </c>
      <c r="I4958" s="28" t="s">
        <v>72</v>
      </c>
      <c r="J4958" s="28" t="s">
        <v>15840</v>
      </c>
      <c r="K4958" s="28" t="s">
        <v>15841</v>
      </c>
      <c r="L4958" s="28" t="s">
        <v>15842</v>
      </c>
      <c r="M4958" s="28" t="s">
        <v>21</v>
      </c>
      <c r="O4958" s="94">
        <v>41803</v>
      </c>
      <c r="P4958" s="28" t="s">
        <v>21</v>
      </c>
      <c r="Q4958" s="26" t="b">
        <v>0</v>
      </c>
      <c r="R4958" s="22">
        <f t="shared" si="83"/>
        <v>21</v>
      </c>
    </row>
    <row r="4959" spans="1:18">
      <c r="A4959" s="26">
        <v>10323</v>
      </c>
      <c r="B4959" s="27">
        <v>41782</v>
      </c>
      <c r="C4959" s="28" t="s">
        <v>15843</v>
      </c>
      <c r="D4959" s="27">
        <v>41775</v>
      </c>
      <c r="E4959" s="28" t="s">
        <v>15836</v>
      </c>
      <c r="F4959" s="28" t="s">
        <v>984</v>
      </c>
      <c r="G4959" s="28" t="s">
        <v>20</v>
      </c>
      <c r="H4959" s="28" t="s">
        <v>71</v>
      </c>
      <c r="I4959" s="28" t="s">
        <v>72</v>
      </c>
      <c r="J4959" s="28" t="s">
        <v>14514</v>
      </c>
      <c r="K4959" s="28" t="s">
        <v>15844</v>
      </c>
      <c r="L4959" s="28" t="s">
        <v>4282</v>
      </c>
      <c r="M4959" s="28" t="s">
        <v>21</v>
      </c>
      <c r="O4959" s="94">
        <v>41971</v>
      </c>
      <c r="P4959" s="28" t="s">
        <v>21</v>
      </c>
      <c r="Q4959" s="26" t="b">
        <v>0</v>
      </c>
      <c r="R4959" s="22">
        <f t="shared" si="83"/>
        <v>187</v>
      </c>
    </row>
    <row r="4960" spans="1:18">
      <c r="A4960" s="26">
        <v>10324</v>
      </c>
      <c r="B4960" s="27">
        <v>41782</v>
      </c>
      <c r="C4960" s="28" t="s">
        <v>15845</v>
      </c>
      <c r="D4960" s="27">
        <v>41775</v>
      </c>
      <c r="E4960" s="28" t="s">
        <v>15846</v>
      </c>
      <c r="F4960" s="28" t="s">
        <v>984</v>
      </c>
      <c r="G4960" s="28" t="s">
        <v>20</v>
      </c>
      <c r="H4960" s="28" t="s">
        <v>71</v>
      </c>
      <c r="I4960" s="28" t="s">
        <v>72</v>
      </c>
      <c r="J4960" s="28" t="s">
        <v>14514</v>
      </c>
      <c r="K4960" s="28" t="s">
        <v>15844</v>
      </c>
      <c r="L4960" s="28" t="s">
        <v>4282</v>
      </c>
      <c r="M4960" s="28" t="s">
        <v>21</v>
      </c>
      <c r="O4960" s="92">
        <v>41971</v>
      </c>
      <c r="P4960" s="28" t="s">
        <v>21</v>
      </c>
      <c r="Q4960" s="26" t="b">
        <v>0</v>
      </c>
      <c r="R4960" s="22">
        <f t="shared" si="83"/>
        <v>187</v>
      </c>
    </row>
    <row r="4961" spans="1:19" ht="24">
      <c r="A4961" s="26">
        <v>10325</v>
      </c>
      <c r="B4961" s="27">
        <v>41782</v>
      </c>
      <c r="C4961" s="28" t="s">
        <v>15847</v>
      </c>
      <c r="D4961" s="27">
        <v>41779</v>
      </c>
      <c r="E4961" s="28" t="s">
        <v>15848</v>
      </c>
      <c r="F4961" s="28" t="s">
        <v>974</v>
      </c>
      <c r="G4961" s="28" t="s">
        <v>20</v>
      </c>
      <c r="H4961" s="28" t="s">
        <v>212</v>
      </c>
      <c r="I4961" s="28" t="s">
        <v>212</v>
      </c>
      <c r="J4961" s="28" t="s">
        <v>15849</v>
      </c>
      <c r="K4961" s="28" t="s">
        <v>15850</v>
      </c>
      <c r="L4961" s="28" t="s">
        <v>14518</v>
      </c>
      <c r="M4961" s="28" t="s">
        <v>1152</v>
      </c>
      <c r="O4961" s="94">
        <v>42081</v>
      </c>
      <c r="P4961" s="28" t="s">
        <v>21</v>
      </c>
      <c r="Q4961" s="26" t="b">
        <v>0</v>
      </c>
      <c r="R4961" s="22">
        <f t="shared" si="83"/>
        <v>299</v>
      </c>
    </row>
    <row r="4962" spans="1:19">
      <c r="A4962" s="26">
        <v>10326</v>
      </c>
      <c r="B4962" s="27">
        <v>41787</v>
      </c>
      <c r="C4962" s="28" t="s">
        <v>15851</v>
      </c>
      <c r="D4962" s="27">
        <v>41786</v>
      </c>
      <c r="E4962" s="28" t="s">
        <v>38</v>
      </c>
      <c r="F4962" s="28" t="s">
        <v>15716</v>
      </c>
      <c r="G4962" s="28" t="s">
        <v>20</v>
      </c>
      <c r="H4962" s="28" t="s">
        <v>566</v>
      </c>
      <c r="I4962" s="28" t="s">
        <v>566</v>
      </c>
      <c r="J4962" s="28" t="s">
        <v>13842</v>
      </c>
      <c r="K4962" s="28" t="s">
        <v>15852</v>
      </c>
      <c r="L4962" s="28" t="s">
        <v>14411</v>
      </c>
      <c r="M4962" s="28" t="s">
        <v>21</v>
      </c>
      <c r="O4962" s="94">
        <v>41796</v>
      </c>
      <c r="P4962" s="28" t="s">
        <v>21</v>
      </c>
      <c r="Q4962" s="26" t="b">
        <v>0</v>
      </c>
      <c r="R4962" s="22">
        <f t="shared" si="83"/>
        <v>8</v>
      </c>
    </row>
    <row r="4963" spans="1:19">
      <c r="A4963" s="26">
        <v>10327</v>
      </c>
      <c r="B4963" s="27">
        <v>41789</v>
      </c>
      <c r="C4963" s="28" t="s">
        <v>15853</v>
      </c>
      <c r="D4963" s="27">
        <v>41789</v>
      </c>
      <c r="E4963" s="28" t="s">
        <v>15854</v>
      </c>
      <c r="F4963" s="28" t="s">
        <v>15855</v>
      </c>
      <c r="G4963" s="28" t="s">
        <v>20</v>
      </c>
      <c r="H4963" s="28" t="s">
        <v>71</v>
      </c>
      <c r="I4963" s="28" t="s">
        <v>72</v>
      </c>
      <c r="J4963" s="28" t="s">
        <v>15856</v>
      </c>
      <c r="K4963" s="28" t="s">
        <v>6081</v>
      </c>
      <c r="L4963" s="28" t="s">
        <v>14411</v>
      </c>
      <c r="M4963" s="28" t="s">
        <v>21</v>
      </c>
      <c r="O4963" s="94">
        <v>42264</v>
      </c>
      <c r="P4963" s="28" t="s">
        <v>21</v>
      </c>
      <c r="Q4963" s="26" t="b">
        <v>0</v>
      </c>
      <c r="R4963" s="22">
        <f t="shared" si="83"/>
        <v>473</v>
      </c>
    </row>
    <row r="4964" spans="1:19" ht="32">
      <c r="A4964" s="33">
        <v>10329</v>
      </c>
      <c r="B4964" s="34">
        <v>41806</v>
      </c>
      <c r="C4964" s="35" t="s">
        <v>17729</v>
      </c>
      <c r="D4964" s="34">
        <v>41803</v>
      </c>
      <c r="E4964" s="35" t="s">
        <v>15857</v>
      </c>
      <c r="F4964" s="35" t="s">
        <v>861</v>
      </c>
      <c r="G4964" s="35" t="s">
        <v>20</v>
      </c>
      <c r="H4964" s="35" t="s">
        <v>566</v>
      </c>
      <c r="I4964" s="35" t="s">
        <v>566</v>
      </c>
      <c r="J4964" s="35" t="s">
        <v>15858</v>
      </c>
      <c r="K4964" s="35" t="s">
        <v>21</v>
      </c>
      <c r="L4964" s="35" t="s">
        <v>14909</v>
      </c>
      <c r="M4964" s="35" t="s">
        <v>21</v>
      </c>
      <c r="N4964" s="36"/>
      <c r="O4964" s="96">
        <v>42550</v>
      </c>
      <c r="P4964" s="35" t="s">
        <v>21</v>
      </c>
      <c r="Q4964" s="33" t="b">
        <v>0</v>
      </c>
      <c r="R4964" s="22">
        <f t="shared" si="83"/>
        <v>743</v>
      </c>
    </row>
    <row r="4965" spans="1:19">
      <c r="A4965" s="26">
        <v>10330</v>
      </c>
      <c r="B4965" s="27">
        <v>41806</v>
      </c>
      <c r="C4965" s="28" t="s">
        <v>15859</v>
      </c>
      <c r="D4965" s="27">
        <v>41802</v>
      </c>
      <c r="E4965" s="28" t="s">
        <v>15860</v>
      </c>
      <c r="F4965" s="28" t="s">
        <v>104</v>
      </c>
      <c r="G4965" s="28" t="s">
        <v>20</v>
      </c>
      <c r="H4965" s="28" t="s">
        <v>71</v>
      </c>
      <c r="I4965" s="28" t="s">
        <v>72</v>
      </c>
      <c r="J4965" s="28" t="s">
        <v>15861</v>
      </c>
      <c r="K4965" s="28" t="s">
        <v>21</v>
      </c>
      <c r="L4965" s="28" t="s">
        <v>14909</v>
      </c>
      <c r="M4965" s="28" t="s">
        <v>21</v>
      </c>
      <c r="O4965" s="94">
        <v>41821</v>
      </c>
      <c r="P4965" s="28" t="s">
        <v>21</v>
      </c>
      <c r="Q4965" s="26" t="b">
        <v>0</v>
      </c>
      <c r="R4965" s="22">
        <f t="shared" si="83"/>
        <v>15</v>
      </c>
    </row>
    <row r="4966" spans="1:19">
      <c r="A4966" s="26">
        <v>10331</v>
      </c>
      <c r="B4966" s="27">
        <v>41806</v>
      </c>
      <c r="C4966" s="28" t="s">
        <v>15862</v>
      </c>
      <c r="D4966" s="27">
        <v>41806</v>
      </c>
      <c r="E4966" s="28" t="s">
        <v>38</v>
      </c>
      <c r="F4966" s="28" t="s">
        <v>149</v>
      </c>
      <c r="G4966" s="28" t="s">
        <v>20</v>
      </c>
      <c r="H4966" s="28" t="s">
        <v>71</v>
      </c>
      <c r="I4966" s="28" t="s">
        <v>72</v>
      </c>
      <c r="J4966" s="28" t="s">
        <v>15863</v>
      </c>
      <c r="K4966" s="28" t="s">
        <v>21</v>
      </c>
      <c r="L4966" s="28" t="s">
        <v>11155</v>
      </c>
      <c r="M4966" s="28" t="s">
        <v>21</v>
      </c>
      <c r="O4966" s="92">
        <v>41806</v>
      </c>
      <c r="P4966" s="28" t="s">
        <v>21</v>
      </c>
      <c r="Q4966" s="26" t="b">
        <v>0</v>
      </c>
      <c r="R4966" s="22">
        <f t="shared" si="83"/>
        <v>0</v>
      </c>
    </row>
    <row r="4967" spans="1:19">
      <c r="A4967" s="26">
        <v>10333</v>
      </c>
      <c r="B4967" s="27">
        <v>41808</v>
      </c>
      <c r="C4967" s="28" t="s">
        <v>15864</v>
      </c>
      <c r="D4967" s="27">
        <v>41808</v>
      </c>
      <c r="E4967" s="28" t="s">
        <v>15865</v>
      </c>
      <c r="F4967" s="28" t="s">
        <v>242</v>
      </c>
      <c r="G4967" s="28" t="s">
        <v>20</v>
      </c>
      <c r="H4967" s="28" t="s">
        <v>71</v>
      </c>
      <c r="I4967" s="28" t="s">
        <v>72</v>
      </c>
      <c r="J4967" s="28" t="s">
        <v>15866</v>
      </c>
      <c r="K4967" s="28" t="s">
        <v>15867</v>
      </c>
      <c r="L4967" s="28" t="s">
        <v>1946</v>
      </c>
      <c r="M4967" s="28" t="s">
        <v>21</v>
      </c>
      <c r="O4967" s="94">
        <v>42004</v>
      </c>
      <c r="P4967" s="28" t="s">
        <v>21</v>
      </c>
      <c r="Q4967" s="26" t="b">
        <v>0</v>
      </c>
      <c r="R4967" s="22">
        <f t="shared" si="83"/>
        <v>195</v>
      </c>
    </row>
    <row r="4968" spans="1:19">
      <c r="A4968" s="26">
        <v>10334</v>
      </c>
      <c r="B4968" s="27">
        <v>41808</v>
      </c>
      <c r="C4968" s="28" t="s">
        <v>15868</v>
      </c>
      <c r="D4968" s="27">
        <v>41806</v>
      </c>
      <c r="E4968" s="28" t="s">
        <v>38</v>
      </c>
      <c r="F4968" s="28" t="s">
        <v>974</v>
      </c>
      <c r="G4968" s="28" t="s">
        <v>20</v>
      </c>
      <c r="H4968" s="28" t="s">
        <v>212</v>
      </c>
      <c r="I4968" s="28" t="s">
        <v>212</v>
      </c>
      <c r="J4968" s="28" t="s">
        <v>15869</v>
      </c>
      <c r="K4968" s="28" t="s">
        <v>15870</v>
      </c>
      <c r="L4968" s="28" t="s">
        <v>4282</v>
      </c>
      <c r="M4968" s="28" t="s">
        <v>21</v>
      </c>
      <c r="O4968" s="92">
        <v>42121</v>
      </c>
      <c r="P4968" s="28" t="s">
        <v>21</v>
      </c>
      <c r="Q4968" s="26" t="b">
        <v>0</v>
      </c>
      <c r="R4968" s="22">
        <f t="shared" si="83"/>
        <v>313</v>
      </c>
    </row>
    <row r="4969" spans="1:19">
      <c r="A4969" s="26">
        <v>10335</v>
      </c>
      <c r="B4969" s="27">
        <v>41813</v>
      </c>
      <c r="C4969" s="28" t="s">
        <v>15871</v>
      </c>
      <c r="D4969" s="27">
        <v>41808</v>
      </c>
      <c r="E4969" s="28" t="s">
        <v>15872</v>
      </c>
      <c r="F4969" s="28" t="s">
        <v>984</v>
      </c>
      <c r="G4969" s="28" t="s">
        <v>20</v>
      </c>
      <c r="H4969" s="28" t="s">
        <v>71</v>
      </c>
      <c r="I4969" s="28" t="s">
        <v>72</v>
      </c>
      <c r="J4969" s="28" t="s">
        <v>15873</v>
      </c>
      <c r="K4969" s="28" t="s">
        <v>15874</v>
      </c>
      <c r="L4969" s="28" t="s">
        <v>4282</v>
      </c>
      <c r="M4969" s="28" t="s">
        <v>21</v>
      </c>
      <c r="O4969" s="94">
        <v>41971</v>
      </c>
      <c r="P4969" s="28" t="s">
        <v>21</v>
      </c>
      <c r="Q4969" s="26" t="b">
        <v>0</v>
      </c>
      <c r="R4969" s="22">
        <f t="shared" si="83"/>
        <v>157</v>
      </c>
    </row>
    <row r="4970" spans="1:19" ht="32">
      <c r="A4970" s="33">
        <v>10336</v>
      </c>
      <c r="B4970" s="34">
        <v>41813</v>
      </c>
      <c r="C4970" s="35" t="s">
        <v>17727</v>
      </c>
      <c r="D4970" s="34">
        <v>41807</v>
      </c>
      <c r="E4970" s="35" t="s">
        <v>15875</v>
      </c>
      <c r="F4970" s="35" t="s">
        <v>14552</v>
      </c>
      <c r="G4970" s="35" t="s">
        <v>20</v>
      </c>
      <c r="H4970" s="35" t="s">
        <v>71</v>
      </c>
      <c r="I4970" s="35" t="s">
        <v>72</v>
      </c>
      <c r="J4970" s="35" t="s">
        <v>15876</v>
      </c>
      <c r="K4970" s="35" t="s">
        <v>15877</v>
      </c>
      <c r="L4970" s="35" t="s">
        <v>1946</v>
      </c>
      <c r="M4970" s="35" t="s">
        <v>21</v>
      </c>
      <c r="N4970" s="36"/>
      <c r="O4970" s="96">
        <v>42549</v>
      </c>
      <c r="P4970" s="35" t="s">
        <v>21</v>
      </c>
      <c r="Q4970" s="33" t="b">
        <v>0</v>
      </c>
      <c r="R4970" s="22">
        <f t="shared" si="83"/>
        <v>735</v>
      </c>
    </row>
    <row r="4971" spans="1:19">
      <c r="A4971" s="38">
        <v>10338</v>
      </c>
      <c r="B4971" s="39">
        <v>41821</v>
      </c>
      <c r="C4971" s="40" t="s">
        <v>18873</v>
      </c>
      <c r="D4971" s="39">
        <v>41816</v>
      </c>
      <c r="E4971" s="40" t="s">
        <v>15878</v>
      </c>
      <c r="F4971" s="40" t="s">
        <v>350</v>
      </c>
      <c r="G4971" s="40" t="s">
        <v>20</v>
      </c>
      <c r="H4971" s="40" t="s">
        <v>71</v>
      </c>
      <c r="I4971" s="40" t="s">
        <v>72</v>
      </c>
      <c r="J4971" s="40" t="s">
        <v>15879</v>
      </c>
      <c r="K4971" s="40" t="s">
        <v>21</v>
      </c>
      <c r="L4971" s="40" t="s">
        <v>7167</v>
      </c>
      <c r="M4971" s="40" t="s">
        <v>4282</v>
      </c>
      <c r="O4971" s="100">
        <v>43151</v>
      </c>
      <c r="P4971" s="41" t="s">
        <v>21</v>
      </c>
      <c r="Q4971" s="42" t="b">
        <v>0</v>
      </c>
      <c r="R4971" s="22">
        <f t="shared" si="83"/>
        <v>1327</v>
      </c>
    </row>
    <row r="4972" spans="1:19">
      <c r="A4972" s="26">
        <v>10341</v>
      </c>
      <c r="B4972" s="27">
        <v>41823</v>
      </c>
      <c r="C4972" s="28" t="s">
        <v>19255</v>
      </c>
      <c r="D4972" s="27">
        <v>41822</v>
      </c>
      <c r="E4972" s="28" t="s">
        <v>15880</v>
      </c>
      <c r="F4972" s="28" t="s">
        <v>52</v>
      </c>
      <c r="G4972" s="28" t="s">
        <v>20</v>
      </c>
      <c r="H4972" s="28" t="s">
        <v>71</v>
      </c>
      <c r="I4972" s="28" t="s">
        <v>72</v>
      </c>
      <c r="J4972" s="28" t="s">
        <v>15881</v>
      </c>
      <c r="K4972" s="28" t="s">
        <v>15882</v>
      </c>
      <c r="L4972" s="28" t="s">
        <v>7167</v>
      </c>
      <c r="M4972" s="28" t="s">
        <v>21</v>
      </c>
      <c r="O4972" s="94">
        <v>43021</v>
      </c>
      <c r="P4972" s="28" t="s">
        <v>21</v>
      </c>
      <c r="Q4972" s="26" t="b">
        <v>0</v>
      </c>
      <c r="R4972" s="22">
        <f t="shared" si="83"/>
        <v>1196</v>
      </c>
      <c r="S4972" s="37" t="s">
        <v>21</v>
      </c>
    </row>
    <row r="4973" spans="1:19">
      <c r="A4973" s="26">
        <v>10342</v>
      </c>
      <c r="B4973" s="27">
        <v>41823</v>
      </c>
      <c r="C4973" s="28" t="s">
        <v>15883</v>
      </c>
      <c r="D4973" s="27">
        <v>41815</v>
      </c>
      <c r="E4973" s="28" t="s">
        <v>15884</v>
      </c>
      <c r="F4973" s="28" t="s">
        <v>15885</v>
      </c>
      <c r="G4973" s="28" t="s">
        <v>20</v>
      </c>
      <c r="H4973" s="28" t="s">
        <v>71</v>
      </c>
      <c r="I4973" s="28" t="s">
        <v>72</v>
      </c>
      <c r="J4973" s="28" t="s">
        <v>15886</v>
      </c>
      <c r="K4973" s="28" t="s">
        <v>21</v>
      </c>
      <c r="L4973" s="28" t="s">
        <v>1946</v>
      </c>
      <c r="M4973" s="28" t="s">
        <v>21</v>
      </c>
      <c r="O4973" s="92">
        <v>41823</v>
      </c>
      <c r="P4973" s="28" t="s">
        <v>21</v>
      </c>
      <c r="Q4973" s="26" t="b">
        <v>0</v>
      </c>
      <c r="R4973" s="22">
        <f t="shared" si="83"/>
        <v>0</v>
      </c>
    </row>
    <row r="4974" spans="1:19" ht="32">
      <c r="A4974" s="33">
        <v>10343</v>
      </c>
      <c r="B4974" s="34">
        <v>41827</v>
      </c>
      <c r="C4974" s="35" t="s">
        <v>18047</v>
      </c>
      <c r="D4974" s="34">
        <v>41817</v>
      </c>
      <c r="E4974" s="35" t="s">
        <v>15887</v>
      </c>
      <c r="F4974" s="35" t="s">
        <v>27</v>
      </c>
      <c r="G4974" s="35" t="s">
        <v>20</v>
      </c>
      <c r="H4974" s="35" t="s">
        <v>71</v>
      </c>
      <c r="I4974" s="35" t="s">
        <v>72</v>
      </c>
      <c r="J4974" s="35" t="s">
        <v>15888</v>
      </c>
      <c r="K4974" s="35" t="s">
        <v>15889</v>
      </c>
      <c r="L4974" s="35" t="s">
        <v>4282</v>
      </c>
      <c r="M4974" s="35" t="s">
        <v>15890</v>
      </c>
      <c r="N4974" s="36"/>
      <c r="O4974" s="96">
        <v>42711</v>
      </c>
      <c r="P4974" s="35" t="s">
        <v>21</v>
      </c>
      <c r="Q4974" s="33" t="b">
        <v>0</v>
      </c>
      <c r="R4974" s="22">
        <f t="shared" si="83"/>
        <v>882</v>
      </c>
    </row>
    <row r="4975" spans="1:19" ht="32">
      <c r="A4975" s="33">
        <v>10349</v>
      </c>
      <c r="B4975" s="34">
        <v>41831</v>
      </c>
      <c r="C4975" s="35" t="s">
        <v>17629</v>
      </c>
      <c r="D4975" s="34">
        <v>41830</v>
      </c>
      <c r="E4975" s="35" t="s">
        <v>15891</v>
      </c>
      <c r="F4975" s="35" t="s">
        <v>984</v>
      </c>
      <c r="G4975" s="35" t="s">
        <v>20</v>
      </c>
      <c r="H4975" s="35" t="s">
        <v>71</v>
      </c>
      <c r="I4975" s="35" t="s">
        <v>72</v>
      </c>
      <c r="J4975" s="35" t="s">
        <v>15892</v>
      </c>
      <c r="K4975" s="35" t="s">
        <v>15893</v>
      </c>
      <c r="L4975" s="35" t="s">
        <v>7167</v>
      </c>
      <c r="M4975" s="35" t="s">
        <v>4282</v>
      </c>
      <c r="N4975" s="36"/>
      <c r="O4975" s="96">
        <v>42493</v>
      </c>
      <c r="P4975" s="35" t="s">
        <v>21</v>
      </c>
      <c r="Q4975" s="33" t="b">
        <v>0</v>
      </c>
      <c r="R4975" s="22">
        <f t="shared" si="83"/>
        <v>661</v>
      </c>
    </row>
    <row r="4976" spans="1:19" ht="32">
      <c r="A4976" s="33">
        <v>10350</v>
      </c>
      <c r="B4976" s="34">
        <v>41834</v>
      </c>
      <c r="C4976" s="35" t="s">
        <v>17726</v>
      </c>
      <c r="D4976" s="34">
        <v>41831</v>
      </c>
      <c r="E4976" s="35" t="s">
        <v>15894</v>
      </c>
      <c r="F4976" s="35" t="s">
        <v>15895</v>
      </c>
      <c r="G4976" s="35" t="s">
        <v>20</v>
      </c>
      <c r="H4976" s="35" t="s">
        <v>71</v>
      </c>
      <c r="I4976" s="35" t="s">
        <v>72</v>
      </c>
      <c r="J4976" s="35" t="s">
        <v>15896</v>
      </c>
      <c r="K4976" s="35" t="s">
        <v>15897</v>
      </c>
      <c r="L4976" s="35" t="s">
        <v>14909</v>
      </c>
      <c r="M4976" s="35" t="s">
        <v>14411</v>
      </c>
      <c r="N4976" s="36"/>
      <c r="O4976" s="96">
        <v>42549</v>
      </c>
      <c r="P4976" s="35" t="s">
        <v>21</v>
      </c>
      <c r="Q4976" s="33" t="b">
        <v>0</v>
      </c>
      <c r="R4976" s="22">
        <f t="shared" si="83"/>
        <v>713</v>
      </c>
    </row>
    <row r="4977" spans="1:20" ht="24">
      <c r="A4977" s="26">
        <v>10351</v>
      </c>
      <c r="B4977" s="27">
        <v>41834</v>
      </c>
      <c r="C4977" s="28" t="s">
        <v>15898</v>
      </c>
      <c r="D4977" s="27">
        <v>41831</v>
      </c>
      <c r="E4977" s="28" t="s">
        <v>15899</v>
      </c>
      <c r="F4977" s="28" t="s">
        <v>3171</v>
      </c>
      <c r="G4977" s="28" t="s">
        <v>20</v>
      </c>
      <c r="H4977" s="28" t="s">
        <v>566</v>
      </c>
      <c r="I4977" s="28" t="s">
        <v>566</v>
      </c>
      <c r="J4977" s="28" t="s">
        <v>15900</v>
      </c>
      <c r="K4977" s="28" t="s">
        <v>15901</v>
      </c>
      <c r="L4977" s="28" t="s">
        <v>14411</v>
      </c>
      <c r="M4977" s="28" t="s">
        <v>21</v>
      </c>
      <c r="O4977" s="92">
        <v>42314</v>
      </c>
      <c r="P4977" s="28" t="s">
        <v>21</v>
      </c>
      <c r="Q4977" s="26" t="b">
        <v>0</v>
      </c>
      <c r="R4977" s="22">
        <f t="shared" si="83"/>
        <v>478</v>
      </c>
    </row>
    <row r="4978" spans="1:20" ht="24">
      <c r="A4978" s="26">
        <v>10352</v>
      </c>
      <c r="B4978" s="27">
        <v>41835</v>
      </c>
      <c r="C4978" s="28" t="s">
        <v>18874</v>
      </c>
      <c r="D4978" s="27">
        <v>41835</v>
      </c>
      <c r="E4978" s="28" t="s">
        <v>1432</v>
      </c>
      <c r="F4978" s="28" t="s">
        <v>15902</v>
      </c>
      <c r="G4978" s="28" t="s">
        <v>20</v>
      </c>
      <c r="H4978" s="28" t="s">
        <v>71</v>
      </c>
      <c r="I4978" s="28" t="s">
        <v>72</v>
      </c>
      <c r="J4978" s="28" t="s">
        <v>15903</v>
      </c>
      <c r="K4978" s="28" t="s">
        <v>18143</v>
      </c>
      <c r="L4978" s="28" t="s">
        <v>14518</v>
      </c>
      <c r="M4978" s="28" t="s">
        <v>1152</v>
      </c>
      <c r="O4978" s="98"/>
      <c r="P4978" s="28" t="s">
        <v>21</v>
      </c>
      <c r="Q4978" s="26" t="b">
        <v>0</v>
      </c>
      <c r="R4978" s="59"/>
      <c r="T4978" s="37" t="s">
        <v>21</v>
      </c>
    </row>
    <row r="4979" spans="1:20" ht="24">
      <c r="A4979" s="26">
        <v>10353</v>
      </c>
      <c r="B4979" s="27">
        <v>41835</v>
      </c>
      <c r="C4979" s="28" t="s">
        <v>15904</v>
      </c>
      <c r="D4979" s="27">
        <v>41834</v>
      </c>
      <c r="E4979" s="28" t="s">
        <v>15905</v>
      </c>
      <c r="F4979" s="28" t="s">
        <v>1338</v>
      </c>
      <c r="G4979" s="28" t="s">
        <v>20</v>
      </c>
      <c r="H4979" s="28" t="s">
        <v>566</v>
      </c>
      <c r="I4979" s="28" t="s">
        <v>566</v>
      </c>
      <c r="J4979" s="28" t="s">
        <v>15906</v>
      </c>
      <c r="K4979" s="28" t="s">
        <v>15907</v>
      </c>
      <c r="L4979" s="28" t="s">
        <v>1946</v>
      </c>
      <c r="M4979" s="28" t="s">
        <v>21</v>
      </c>
      <c r="O4979" s="92">
        <v>41879</v>
      </c>
      <c r="P4979" s="28" t="s">
        <v>21</v>
      </c>
      <c r="Q4979" s="26" t="b">
        <v>0</v>
      </c>
      <c r="R4979" s="22">
        <f>IF(O4979=" ", " ", INT(YEARFRAC(O4979, B4979)*365))</f>
        <v>43</v>
      </c>
    </row>
    <row r="4980" spans="1:20">
      <c r="A4980" s="26">
        <v>10355</v>
      </c>
      <c r="B4980" s="27">
        <v>41836</v>
      </c>
      <c r="C4980" s="28" t="s">
        <v>19258</v>
      </c>
      <c r="D4980" s="27">
        <v>41757</v>
      </c>
      <c r="E4980" s="28" t="s">
        <v>1432</v>
      </c>
      <c r="F4980" s="28" t="s">
        <v>124</v>
      </c>
      <c r="G4980" s="28" t="s">
        <v>20</v>
      </c>
      <c r="H4980" s="28" t="s">
        <v>71</v>
      </c>
      <c r="I4980" s="28" t="s">
        <v>72</v>
      </c>
      <c r="J4980" s="28" t="s">
        <v>15908</v>
      </c>
      <c r="K4980" s="28" t="s">
        <v>15909</v>
      </c>
      <c r="L4980" s="28" t="s">
        <v>14518</v>
      </c>
      <c r="M4980" s="28" t="s">
        <v>1152</v>
      </c>
      <c r="O4980" s="92">
        <v>43038</v>
      </c>
      <c r="P4980" s="28" t="s">
        <v>21</v>
      </c>
      <c r="Q4980" s="26" t="b">
        <v>0</v>
      </c>
      <c r="R4980" s="22">
        <f>IF(O4980=" ", " ", INT(YEARFRAC(O4980, B4980)*365))</f>
        <v>1200</v>
      </c>
      <c r="S4980" s="37" t="s">
        <v>21</v>
      </c>
    </row>
    <row r="4981" spans="1:20" ht="24">
      <c r="A4981" s="26">
        <v>10356</v>
      </c>
      <c r="B4981" s="27">
        <v>41837</v>
      </c>
      <c r="C4981" s="28" t="s">
        <v>15910</v>
      </c>
      <c r="D4981" s="27">
        <v>41836</v>
      </c>
      <c r="E4981" s="28" t="s">
        <v>15911</v>
      </c>
      <c r="F4981" s="28" t="s">
        <v>14552</v>
      </c>
      <c r="G4981" s="28" t="s">
        <v>20</v>
      </c>
      <c r="H4981" s="28" t="s">
        <v>71</v>
      </c>
      <c r="I4981" s="28" t="s">
        <v>72</v>
      </c>
      <c r="J4981" s="28" t="s">
        <v>15912</v>
      </c>
      <c r="K4981" s="28" t="s">
        <v>21</v>
      </c>
      <c r="L4981" s="28" t="s">
        <v>1946</v>
      </c>
      <c r="M4981" s="28" t="s">
        <v>21</v>
      </c>
      <c r="O4981" s="94">
        <v>41941</v>
      </c>
      <c r="P4981" s="28" t="s">
        <v>21</v>
      </c>
      <c r="Q4981" s="26" t="b">
        <v>0</v>
      </c>
      <c r="R4981" s="22">
        <f>IF(O4981=" ", " ", INT(YEARFRAC(O4981, B4981)*365))</f>
        <v>103</v>
      </c>
    </row>
    <row r="4982" spans="1:20">
      <c r="A4982" s="26">
        <v>10357</v>
      </c>
      <c r="B4982" s="27">
        <v>41837</v>
      </c>
      <c r="C4982" s="28" t="s">
        <v>18875</v>
      </c>
      <c r="D4982" s="27">
        <v>41834</v>
      </c>
      <c r="E4982" s="28" t="s">
        <v>1432</v>
      </c>
      <c r="F4982" s="28" t="s">
        <v>6647</v>
      </c>
      <c r="G4982" s="28" t="s">
        <v>20</v>
      </c>
      <c r="H4982" s="28" t="s">
        <v>189</v>
      </c>
      <c r="I4982" s="28" t="s">
        <v>189</v>
      </c>
      <c r="J4982" s="28" t="s">
        <v>15913</v>
      </c>
      <c r="K4982" s="28" t="s">
        <v>18144</v>
      </c>
      <c r="L4982" s="28" t="s">
        <v>4282</v>
      </c>
      <c r="M4982" s="28" t="s">
        <v>21</v>
      </c>
      <c r="O4982" s="89"/>
      <c r="P4982" s="28" t="s">
        <v>21</v>
      </c>
      <c r="Q4982" s="26" t="b">
        <v>0</v>
      </c>
      <c r="R4982" s="59"/>
      <c r="T4982" s="37" t="s">
        <v>21</v>
      </c>
    </row>
    <row r="4983" spans="1:20">
      <c r="A4983" s="26">
        <v>10358</v>
      </c>
      <c r="B4983" s="27">
        <v>41841</v>
      </c>
      <c r="C4983" s="28" t="s">
        <v>15914</v>
      </c>
      <c r="D4983" s="27">
        <v>41838</v>
      </c>
      <c r="E4983" s="28" t="s">
        <v>15915</v>
      </c>
      <c r="F4983" s="28" t="s">
        <v>242</v>
      </c>
      <c r="G4983" s="28" t="s">
        <v>20</v>
      </c>
      <c r="H4983" s="28" t="s">
        <v>189</v>
      </c>
      <c r="I4983" s="28" t="s">
        <v>189</v>
      </c>
      <c r="J4983" s="28" t="s">
        <v>15916</v>
      </c>
      <c r="K4983" s="28" t="s">
        <v>6081</v>
      </c>
      <c r="L4983" s="28" t="s">
        <v>1946</v>
      </c>
      <c r="M4983" s="28" t="s">
        <v>21</v>
      </c>
      <c r="O4983" s="92">
        <v>42012</v>
      </c>
      <c r="P4983" s="28" t="s">
        <v>21</v>
      </c>
      <c r="Q4983" s="26" t="b">
        <v>0</v>
      </c>
      <c r="R4983" s="22">
        <f t="shared" ref="R4983:R4994" si="84">IF(O4983=" ", " ", INT(YEARFRAC(O4983, B4983)*365))</f>
        <v>169</v>
      </c>
    </row>
    <row r="4984" spans="1:20">
      <c r="A4984" s="26">
        <v>10360</v>
      </c>
      <c r="B4984" s="27">
        <v>41841</v>
      </c>
      <c r="C4984" s="28" t="s">
        <v>15917</v>
      </c>
      <c r="D4984" s="27">
        <v>41837</v>
      </c>
      <c r="E4984" s="28" t="s">
        <v>38</v>
      </c>
      <c r="F4984" s="28" t="s">
        <v>15918</v>
      </c>
      <c r="G4984" s="28" t="s">
        <v>20</v>
      </c>
      <c r="H4984" s="28" t="s">
        <v>71</v>
      </c>
      <c r="I4984" s="28" t="s">
        <v>72</v>
      </c>
      <c r="J4984" s="28" t="s">
        <v>15919</v>
      </c>
      <c r="K4984" s="28" t="s">
        <v>6081</v>
      </c>
      <c r="L4984" s="28" t="s">
        <v>14909</v>
      </c>
      <c r="M4984" s="28" t="s">
        <v>21</v>
      </c>
      <c r="O4984" s="94">
        <v>41850</v>
      </c>
      <c r="P4984" s="28" t="s">
        <v>21</v>
      </c>
      <c r="Q4984" s="26" t="b">
        <v>0</v>
      </c>
      <c r="R4984" s="22">
        <f t="shared" si="84"/>
        <v>9</v>
      </c>
    </row>
    <row r="4985" spans="1:20" ht="32">
      <c r="A4985" s="33">
        <v>10361</v>
      </c>
      <c r="B4985" s="34">
        <v>41841</v>
      </c>
      <c r="C4985" s="35" t="s">
        <v>17723</v>
      </c>
      <c r="D4985" s="34">
        <v>41835</v>
      </c>
      <c r="E4985" s="35" t="s">
        <v>15920</v>
      </c>
      <c r="F4985" s="35" t="s">
        <v>14552</v>
      </c>
      <c r="G4985" s="35" t="s">
        <v>20</v>
      </c>
      <c r="H4985" s="35" t="s">
        <v>71</v>
      </c>
      <c r="I4985" s="35" t="s">
        <v>72</v>
      </c>
      <c r="J4985" s="35" t="s">
        <v>15921</v>
      </c>
      <c r="K4985" s="35" t="s">
        <v>15922</v>
      </c>
      <c r="L4985" s="35" t="s">
        <v>1946</v>
      </c>
      <c r="M4985" s="35" t="s">
        <v>21</v>
      </c>
      <c r="N4985" s="36"/>
      <c r="O4985" s="97">
        <v>42549</v>
      </c>
      <c r="P4985" s="35" t="s">
        <v>21</v>
      </c>
      <c r="Q4985" s="33" t="b">
        <v>0</v>
      </c>
      <c r="R4985" s="22">
        <f t="shared" si="84"/>
        <v>706</v>
      </c>
    </row>
    <row r="4986" spans="1:20">
      <c r="A4986" s="26">
        <v>10362</v>
      </c>
      <c r="B4986" s="27">
        <v>41844</v>
      </c>
      <c r="C4986" s="28" t="s">
        <v>15923</v>
      </c>
      <c r="D4986" s="27">
        <v>41835</v>
      </c>
      <c r="E4986" s="28" t="s">
        <v>38</v>
      </c>
      <c r="F4986" s="28" t="s">
        <v>124</v>
      </c>
      <c r="G4986" s="28" t="s">
        <v>20</v>
      </c>
      <c r="H4986" s="28" t="s">
        <v>71</v>
      </c>
      <c r="I4986" s="28" t="s">
        <v>72</v>
      </c>
      <c r="J4986" s="28" t="s">
        <v>15924</v>
      </c>
      <c r="K4986" s="28" t="s">
        <v>15925</v>
      </c>
      <c r="L4986" s="28" t="s">
        <v>1946</v>
      </c>
      <c r="M4986" s="28" t="s">
        <v>21</v>
      </c>
      <c r="O4986" s="92">
        <v>41880</v>
      </c>
      <c r="P4986" s="28" t="s">
        <v>21</v>
      </c>
      <c r="Q4986" s="26" t="b">
        <v>0</v>
      </c>
      <c r="R4986" s="22">
        <f t="shared" si="84"/>
        <v>35</v>
      </c>
    </row>
    <row r="4987" spans="1:20">
      <c r="A4987" s="38">
        <v>10416</v>
      </c>
      <c r="B4987" s="39">
        <v>41845</v>
      </c>
      <c r="C4987" s="40" t="s">
        <v>18876</v>
      </c>
      <c r="D4987" s="39">
        <v>41845</v>
      </c>
      <c r="E4987" s="40" t="s">
        <v>16020</v>
      </c>
      <c r="F4987" s="40" t="s">
        <v>104</v>
      </c>
      <c r="G4987" s="40" t="s">
        <v>20</v>
      </c>
      <c r="H4987" s="40" t="s">
        <v>71</v>
      </c>
      <c r="I4987" s="40" t="s">
        <v>72</v>
      </c>
      <c r="J4987" s="40" t="s">
        <v>16021</v>
      </c>
      <c r="K4987" s="40" t="s">
        <v>16022</v>
      </c>
      <c r="L4987" s="40" t="s">
        <v>4282</v>
      </c>
      <c r="M4987" s="40" t="s">
        <v>21</v>
      </c>
      <c r="O4987" s="100">
        <v>43258</v>
      </c>
      <c r="P4987" s="41" t="s">
        <v>21</v>
      </c>
      <c r="Q4987" s="42" t="b">
        <v>0</v>
      </c>
      <c r="R4987" s="22">
        <f t="shared" si="84"/>
        <v>1411</v>
      </c>
    </row>
    <row r="4988" spans="1:20" ht="24">
      <c r="A4988" s="26">
        <v>10363</v>
      </c>
      <c r="B4988" s="27">
        <v>41848</v>
      </c>
      <c r="C4988" s="28" t="s">
        <v>15926</v>
      </c>
      <c r="D4988" s="27">
        <v>41842</v>
      </c>
      <c r="E4988" s="28" t="s">
        <v>15927</v>
      </c>
      <c r="F4988" s="28" t="s">
        <v>242</v>
      </c>
      <c r="G4988" s="28" t="s">
        <v>20</v>
      </c>
      <c r="H4988" s="28" t="s">
        <v>71</v>
      </c>
      <c r="I4988" s="28" t="s">
        <v>72</v>
      </c>
      <c r="J4988" s="28" t="s">
        <v>15928</v>
      </c>
      <c r="K4988" s="28" t="s">
        <v>13842</v>
      </c>
      <c r="L4988" s="28" t="s">
        <v>14909</v>
      </c>
      <c r="M4988" s="28" t="s">
        <v>21</v>
      </c>
      <c r="O4988" s="94">
        <v>41872</v>
      </c>
      <c r="P4988" s="28" t="s">
        <v>21</v>
      </c>
      <c r="Q4988" s="26" t="b">
        <v>0</v>
      </c>
      <c r="R4988" s="22">
        <f t="shared" si="84"/>
        <v>23</v>
      </c>
    </row>
    <row r="4989" spans="1:20">
      <c r="A4989" s="26">
        <v>10364</v>
      </c>
      <c r="B4989" s="27">
        <v>41851</v>
      </c>
      <c r="C4989" s="28" t="s">
        <v>15929</v>
      </c>
      <c r="D4989" s="27">
        <v>41849</v>
      </c>
      <c r="E4989" s="28" t="s">
        <v>38</v>
      </c>
      <c r="F4989" s="28" t="s">
        <v>104</v>
      </c>
      <c r="G4989" s="28" t="s">
        <v>20</v>
      </c>
      <c r="H4989" s="28" t="s">
        <v>71</v>
      </c>
      <c r="I4989" s="28" t="s">
        <v>72</v>
      </c>
      <c r="J4989" s="28" t="s">
        <v>15930</v>
      </c>
      <c r="K4989" s="28" t="s">
        <v>21</v>
      </c>
      <c r="L4989" s="28" t="s">
        <v>1946</v>
      </c>
      <c r="M4989" s="28" t="s">
        <v>21</v>
      </c>
      <c r="O4989" s="92">
        <v>41851</v>
      </c>
      <c r="P4989" s="28" t="s">
        <v>21</v>
      </c>
      <c r="Q4989" s="26" t="b">
        <v>0</v>
      </c>
      <c r="R4989" s="22">
        <f t="shared" si="84"/>
        <v>0</v>
      </c>
    </row>
    <row r="4990" spans="1:20">
      <c r="A4990" s="26">
        <v>10365</v>
      </c>
      <c r="B4990" s="27">
        <v>41855</v>
      </c>
      <c r="C4990" s="28" t="s">
        <v>15931</v>
      </c>
      <c r="D4990" s="27">
        <v>41855</v>
      </c>
      <c r="E4990" s="28" t="s">
        <v>15932</v>
      </c>
      <c r="F4990" s="28" t="s">
        <v>14836</v>
      </c>
      <c r="G4990" s="28" t="s">
        <v>20</v>
      </c>
      <c r="H4990" s="28" t="s">
        <v>71</v>
      </c>
      <c r="I4990" s="28" t="s">
        <v>72</v>
      </c>
      <c r="J4990" s="28" t="s">
        <v>15933</v>
      </c>
      <c r="K4990" s="28" t="s">
        <v>15934</v>
      </c>
      <c r="L4990" s="28" t="s">
        <v>7167</v>
      </c>
      <c r="M4990" s="28" t="s">
        <v>21</v>
      </c>
      <c r="O4990" s="92">
        <v>41890</v>
      </c>
      <c r="P4990" s="28" t="s">
        <v>21</v>
      </c>
      <c r="Q4990" s="26" t="b">
        <v>0</v>
      </c>
      <c r="R4990" s="22">
        <f t="shared" si="84"/>
        <v>34</v>
      </c>
    </row>
    <row r="4991" spans="1:20">
      <c r="A4991" s="26">
        <v>10368</v>
      </c>
      <c r="B4991" s="27">
        <v>41858</v>
      </c>
      <c r="C4991" s="28" t="s">
        <v>15935</v>
      </c>
      <c r="D4991" s="27">
        <v>41852</v>
      </c>
      <c r="E4991" s="28" t="s">
        <v>15936</v>
      </c>
      <c r="F4991" s="28" t="s">
        <v>104</v>
      </c>
      <c r="G4991" s="28" t="s">
        <v>20</v>
      </c>
      <c r="H4991" s="28" t="s">
        <v>71</v>
      </c>
      <c r="I4991" s="28" t="s">
        <v>72</v>
      </c>
      <c r="J4991" s="28" t="s">
        <v>15937</v>
      </c>
      <c r="K4991" s="28" t="s">
        <v>6081</v>
      </c>
      <c r="L4991" s="28" t="s">
        <v>1946</v>
      </c>
      <c r="M4991" s="28" t="s">
        <v>21</v>
      </c>
      <c r="O4991" s="94">
        <v>41880</v>
      </c>
      <c r="P4991" s="28" t="s">
        <v>21</v>
      </c>
      <c r="Q4991" s="26" t="b">
        <v>0</v>
      </c>
      <c r="R4991" s="22">
        <f t="shared" si="84"/>
        <v>22</v>
      </c>
    </row>
    <row r="4992" spans="1:20">
      <c r="A4992" s="26">
        <v>10369</v>
      </c>
      <c r="B4992" s="27">
        <v>41869</v>
      </c>
      <c r="C4992" s="28" t="s">
        <v>15938</v>
      </c>
      <c r="D4992" s="27">
        <v>41857</v>
      </c>
      <c r="E4992" s="28" t="s">
        <v>38</v>
      </c>
      <c r="F4992" s="28" t="s">
        <v>283</v>
      </c>
      <c r="G4992" s="28" t="s">
        <v>20</v>
      </c>
      <c r="H4992" s="28" t="s">
        <v>71</v>
      </c>
      <c r="I4992" s="28" t="s">
        <v>72</v>
      </c>
      <c r="J4992" s="28" t="s">
        <v>15939</v>
      </c>
      <c r="K4992" s="28" t="s">
        <v>21</v>
      </c>
      <c r="L4992" s="28" t="s">
        <v>1946</v>
      </c>
      <c r="M4992" s="28" t="s">
        <v>21</v>
      </c>
      <c r="O4992" s="92">
        <v>41869</v>
      </c>
      <c r="P4992" s="28" t="s">
        <v>21</v>
      </c>
      <c r="Q4992" s="26" t="b">
        <v>0</v>
      </c>
      <c r="R4992" s="22">
        <f t="shared" si="84"/>
        <v>0</v>
      </c>
    </row>
    <row r="4993" spans="1:19">
      <c r="A4993" s="26">
        <v>10370</v>
      </c>
      <c r="B4993" s="27">
        <v>41869</v>
      </c>
      <c r="C4993" s="28" t="s">
        <v>15940</v>
      </c>
      <c r="D4993" s="27">
        <v>41862</v>
      </c>
      <c r="E4993" s="28" t="s">
        <v>38</v>
      </c>
      <c r="F4993" s="28" t="s">
        <v>19</v>
      </c>
      <c r="G4993" s="28" t="s">
        <v>20</v>
      </c>
      <c r="H4993" s="28" t="s">
        <v>71</v>
      </c>
      <c r="I4993" s="28" t="s">
        <v>72</v>
      </c>
      <c r="J4993" s="28" t="s">
        <v>15941</v>
      </c>
      <c r="K4993" s="28" t="s">
        <v>21</v>
      </c>
      <c r="L4993" s="28" t="s">
        <v>7167</v>
      </c>
      <c r="M4993" s="28" t="s">
        <v>21</v>
      </c>
      <c r="O4993" s="92">
        <v>41870</v>
      </c>
      <c r="P4993" s="28" t="s">
        <v>21</v>
      </c>
      <c r="Q4993" s="26" t="b">
        <v>0</v>
      </c>
      <c r="R4993" s="22">
        <f t="shared" si="84"/>
        <v>1</v>
      </c>
    </row>
    <row r="4994" spans="1:19">
      <c r="A4994" s="26">
        <v>10373</v>
      </c>
      <c r="B4994" s="27">
        <v>41869</v>
      </c>
      <c r="C4994" s="28" t="s">
        <v>15942</v>
      </c>
      <c r="D4994" s="27">
        <v>41865</v>
      </c>
      <c r="E4994" s="28" t="s">
        <v>10998</v>
      </c>
      <c r="F4994" s="28" t="s">
        <v>327</v>
      </c>
      <c r="G4994" s="28" t="s">
        <v>20</v>
      </c>
      <c r="H4994" s="28" t="s">
        <v>71</v>
      </c>
      <c r="I4994" s="28" t="s">
        <v>72</v>
      </c>
      <c r="J4994" s="28" t="s">
        <v>8904</v>
      </c>
      <c r="K4994" s="28" t="s">
        <v>15943</v>
      </c>
      <c r="L4994" s="28" t="s">
        <v>4282</v>
      </c>
      <c r="M4994" s="28" t="s">
        <v>21</v>
      </c>
      <c r="O4994" s="92">
        <v>41897</v>
      </c>
      <c r="P4994" s="28" t="s">
        <v>21</v>
      </c>
      <c r="Q4994" s="26" t="b">
        <v>0</v>
      </c>
      <c r="R4994" s="22">
        <f t="shared" si="84"/>
        <v>27</v>
      </c>
    </row>
    <row r="4995" spans="1:19" ht="32">
      <c r="A4995" s="33">
        <v>10374</v>
      </c>
      <c r="B4995" s="34">
        <v>41869</v>
      </c>
      <c r="C4995" s="35" t="s">
        <v>18198</v>
      </c>
      <c r="D4995" s="34">
        <v>41869</v>
      </c>
      <c r="E4995" s="35" t="s">
        <v>15826</v>
      </c>
      <c r="F4995" s="35" t="s">
        <v>1743</v>
      </c>
      <c r="G4995" s="35" t="s">
        <v>20</v>
      </c>
      <c r="H4995" s="35" t="s">
        <v>71</v>
      </c>
      <c r="I4995" s="35" t="s">
        <v>72</v>
      </c>
      <c r="J4995" s="35" t="s">
        <v>18199</v>
      </c>
      <c r="K4995" s="35" t="s">
        <v>21</v>
      </c>
      <c r="L4995" s="35" t="s">
        <v>4282</v>
      </c>
      <c r="M4995" s="35" t="s">
        <v>21</v>
      </c>
      <c r="N4995" s="36"/>
      <c r="O4995" s="95"/>
      <c r="P4995" s="35" t="s">
        <v>21</v>
      </c>
      <c r="Q4995" s="33" t="b">
        <v>0</v>
      </c>
      <c r="R4995" s="112"/>
    </row>
    <row r="4996" spans="1:19">
      <c r="A4996" s="38">
        <v>10379</v>
      </c>
      <c r="B4996" s="39">
        <v>41869</v>
      </c>
      <c r="C4996" s="40" t="s">
        <v>18877</v>
      </c>
      <c r="D4996" s="39">
        <v>41865</v>
      </c>
      <c r="E4996" s="40" t="s">
        <v>15944</v>
      </c>
      <c r="F4996" s="40" t="s">
        <v>1232</v>
      </c>
      <c r="G4996" s="40" t="s">
        <v>20</v>
      </c>
      <c r="H4996" s="40" t="s">
        <v>189</v>
      </c>
      <c r="I4996" s="40" t="s">
        <v>189</v>
      </c>
      <c r="J4996" s="40" t="s">
        <v>15945</v>
      </c>
      <c r="K4996" s="40" t="s">
        <v>15946</v>
      </c>
      <c r="L4996" s="40" t="s">
        <v>1946</v>
      </c>
      <c r="M4996" s="40" t="s">
        <v>21</v>
      </c>
      <c r="O4996" s="100">
        <v>43224</v>
      </c>
      <c r="P4996" s="41" t="s">
        <v>21</v>
      </c>
      <c r="Q4996" s="42" t="b">
        <v>0</v>
      </c>
      <c r="R4996" s="22">
        <f t="shared" ref="R4996:R5027" si="85">IF(O4996=" ", " ", INT(YEARFRAC(O4996, B4996)*365))</f>
        <v>1354</v>
      </c>
    </row>
    <row r="4997" spans="1:19">
      <c r="A4997" s="26">
        <v>10380</v>
      </c>
      <c r="B4997" s="27">
        <v>41869</v>
      </c>
      <c r="C4997" s="28" t="s">
        <v>19237</v>
      </c>
      <c r="D4997" s="27">
        <v>41865</v>
      </c>
      <c r="E4997" s="28" t="s">
        <v>15947</v>
      </c>
      <c r="F4997" s="28" t="s">
        <v>350</v>
      </c>
      <c r="G4997" s="28" t="s">
        <v>20</v>
      </c>
      <c r="H4997" s="28" t="s">
        <v>212</v>
      </c>
      <c r="I4997" s="28" t="s">
        <v>212</v>
      </c>
      <c r="J4997" s="28" t="s">
        <v>351</v>
      </c>
      <c r="K4997" s="28" t="s">
        <v>9348</v>
      </c>
      <c r="L4997" s="28" t="s">
        <v>7167</v>
      </c>
      <c r="M4997" s="28" t="s">
        <v>21</v>
      </c>
      <c r="O4997" s="92">
        <v>43000</v>
      </c>
      <c r="P4997" s="28" t="s">
        <v>21</v>
      </c>
      <c r="Q4997" s="26" t="b">
        <v>0</v>
      </c>
      <c r="R4997" s="22">
        <f t="shared" si="85"/>
        <v>1129</v>
      </c>
      <c r="S4997" s="37" t="s">
        <v>21</v>
      </c>
    </row>
    <row r="4998" spans="1:19">
      <c r="A4998" s="26">
        <v>10381</v>
      </c>
      <c r="B4998" s="27">
        <v>41870</v>
      </c>
      <c r="C4998" s="28" t="s">
        <v>15948</v>
      </c>
      <c r="D4998" s="27">
        <v>41870</v>
      </c>
      <c r="E4998" s="28" t="s">
        <v>11030</v>
      </c>
      <c r="F4998" s="28" t="s">
        <v>145</v>
      </c>
      <c r="G4998" s="28" t="s">
        <v>20</v>
      </c>
      <c r="H4998" s="28" t="s">
        <v>71</v>
      </c>
      <c r="I4998" s="28" t="s">
        <v>72</v>
      </c>
      <c r="J4998" s="28" t="s">
        <v>15949</v>
      </c>
      <c r="K4998" s="28" t="s">
        <v>15950</v>
      </c>
      <c r="L4998" s="28" t="s">
        <v>7167</v>
      </c>
      <c r="M4998" s="28" t="s">
        <v>21</v>
      </c>
      <c r="O4998" s="94">
        <v>41897</v>
      </c>
      <c r="P4998" s="28" t="s">
        <v>21</v>
      </c>
      <c r="Q4998" s="26" t="b">
        <v>0</v>
      </c>
      <c r="R4998" s="22">
        <f t="shared" si="85"/>
        <v>26</v>
      </c>
    </row>
    <row r="4999" spans="1:19">
      <c r="A4999" s="38">
        <v>10382</v>
      </c>
      <c r="B4999" s="39">
        <v>41870</v>
      </c>
      <c r="C4999" s="40" t="s">
        <v>18878</v>
      </c>
      <c r="D4999" s="39">
        <v>41845</v>
      </c>
      <c r="E4999" s="40" t="s">
        <v>15951</v>
      </c>
      <c r="F4999" s="40" t="s">
        <v>124</v>
      </c>
      <c r="G4999" s="40" t="s">
        <v>20</v>
      </c>
      <c r="H4999" s="40" t="s">
        <v>71</v>
      </c>
      <c r="I4999" s="40" t="s">
        <v>72</v>
      </c>
      <c r="J4999" s="40" t="s">
        <v>15952</v>
      </c>
      <c r="K4999" s="40" t="s">
        <v>9348</v>
      </c>
      <c r="L4999" s="40" t="s">
        <v>14909</v>
      </c>
      <c r="M4999" s="40" t="s">
        <v>21</v>
      </c>
      <c r="O4999" s="100">
        <v>43279</v>
      </c>
      <c r="P4999" s="41" t="s">
        <v>21</v>
      </c>
      <c r="Q4999" s="42" t="b">
        <v>0</v>
      </c>
      <c r="R4999" s="22">
        <f t="shared" si="85"/>
        <v>1408</v>
      </c>
    </row>
    <row r="5000" spans="1:19">
      <c r="A5000" s="38">
        <v>10383</v>
      </c>
      <c r="B5000" s="39">
        <v>41870</v>
      </c>
      <c r="C5000" s="40" t="s">
        <v>18879</v>
      </c>
      <c r="D5000" s="39">
        <v>41845</v>
      </c>
      <c r="E5000" s="40" t="s">
        <v>15953</v>
      </c>
      <c r="F5000" s="40" t="s">
        <v>124</v>
      </c>
      <c r="G5000" s="40" t="s">
        <v>20</v>
      </c>
      <c r="H5000" s="40" t="s">
        <v>71</v>
      </c>
      <c r="I5000" s="40" t="s">
        <v>72</v>
      </c>
      <c r="J5000" s="40" t="s">
        <v>15954</v>
      </c>
      <c r="K5000" s="40" t="s">
        <v>9348</v>
      </c>
      <c r="L5000" s="40" t="s">
        <v>14909</v>
      </c>
      <c r="M5000" s="40" t="s">
        <v>21</v>
      </c>
      <c r="O5000" s="100">
        <v>43279</v>
      </c>
      <c r="P5000" s="41" t="s">
        <v>21</v>
      </c>
      <c r="Q5000" s="42" t="b">
        <v>0</v>
      </c>
      <c r="R5000" s="22">
        <f t="shared" si="85"/>
        <v>1408</v>
      </c>
    </row>
    <row r="5001" spans="1:19">
      <c r="A5001" s="26">
        <v>10385</v>
      </c>
      <c r="B5001" s="27">
        <v>41876</v>
      </c>
      <c r="C5001" s="28" t="s">
        <v>15955</v>
      </c>
      <c r="D5001" s="27">
        <v>41876</v>
      </c>
      <c r="E5001" s="28" t="s">
        <v>15956</v>
      </c>
      <c r="F5001" s="28" t="s">
        <v>15716</v>
      </c>
      <c r="G5001" s="28" t="s">
        <v>20</v>
      </c>
      <c r="H5001" s="28" t="s">
        <v>71</v>
      </c>
      <c r="I5001" s="28" t="s">
        <v>72</v>
      </c>
      <c r="J5001" s="28" t="s">
        <v>15957</v>
      </c>
      <c r="K5001" s="28" t="s">
        <v>6081</v>
      </c>
      <c r="L5001" s="28" t="s">
        <v>14909</v>
      </c>
      <c r="M5001" s="28" t="s">
        <v>21</v>
      </c>
      <c r="O5001" s="94">
        <v>42030</v>
      </c>
      <c r="P5001" s="28" t="s">
        <v>21</v>
      </c>
      <c r="Q5001" s="26" t="b">
        <v>0</v>
      </c>
      <c r="R5001" s="22">
        <f t="shared" si="85"/>
        <v>153</v>
      </c>
    </row>
    <row r="5002" spans="1:19">
      <c r="A5002" s="26">
        <v>10386</v>
      </c>
      <c r="B5002" s="27">
        <v>41877</v>
      </c>
      <c r="C5002" s="28" t="s">
        <v>15958</v>
      </c>
      <c r="D5002" s="27">
        <v>41877</v>
      </c>
      <c r="E5002" s="28" t="s">
        <v>11030</v>
      </c>
      <c r="F5002" s="28" t="s">
        <v>149</v>
      </c>
      <c r="G5002" s="28" t="s">
        <v>20</v>
      </c>
      <c r="H5002" s="28" t="s">
        <v>71</v>
      </c>
      <c r="I5002" s="28" t="s">
        <v>72</v>
      </c>
      <c r="J5002" s="28" t="s">
        <v>13148</v>
      </c>
      <c r="K5002" s="28" t="s">
        <v>15959</v>
      </c>
      <c r="L5002" s="28" t="s">
        <v>7167</v>
      </c>
      <c r="M5002" s="28" t="s">
        <v>21</v>
      </c>
      <c r="O5002" s="92">
        <v>41961</v>
      </c>
      <c r="P5002" s="28" t="s">
        <v>21</v>
      </c>
      <c r="Q5002" s="26" t="b">
        <v>0</v>
      </c>
      <c r="R5002" s="22">
        <f t="shared" si="85"/>
        <v>83</v>
      </c>
    </row>
    <row r="5003" spans="1:19" ht="32">
      <c r="A5003" s="33">
        <v>10387</v>
      </c>
      <c r="B5003" s="34">
        <v>41877</v>
      </c>
      <c r="C5003" s="35" t="s">
        <v>17631</v>
      </c>
      <c r="D5003" s="34">
        <v>41876</v>
      </c>
      <c r="E5003" s="35" t="s">
        <v>15960</v>
      </c>
      <c r="F5003" s="35" t="s">
        <v>984</v>
      </c>
      <c r="G5003" s="35" t="s">
        <v>20</v>
      </c>
      <c r="H5003" s="35" t="s">
        <v>71</v>
      </c>
      <c r="I5003" s="35" t="s">
        <v>72</v>
      </c>
      <c r="J5003" s="35" t="s">
        <v>15961</v>
      </c>
      <c r="K5003" s="35" t="s">
        <v>9348</v>
      </c>
      <c r="L5003" s="35" t="s">
        <v>1946</v>
      </c>
      <c r="M5003" s="35" t="s">
        <v>4282</v>
      </c>
      <c r="N5003" s="36"/>
      <c r="O5003" s="96">
        <v>42493</v>
      </c>
      <c r="P5003" s="35" t="s">
        <v>21</v>
      </c>
      <c r="Q5003" s="33" t="b">
        <v>0</v>
      </c>
      <c r="R5003" s="22">
        <f t="shared" si="85"/>
        <v>615</v>
      </c>
    </row>
    <row r="5004" spans="1:19">
      <c r="A5004" s="26">
        <v>10388</v>
      </c>
      <c r="B5004" s="27">
        <v>41879</v>
      </c>
      <c r="C5004" s="28" t="s">
        <v>15962</v>
      </c>
      <c r="D5004" s="27">
        <v>41879</v>
      </c>
      <c r="E5004" s="28" t="s">
        <v>38</v>
      </c>
      <c r="F5004" s="28" t="s">
        <v>228</v>
      </c>
      <c r="G5004" s="28" t="s">
        <v>20</v>
      </c>
      <c r="H5004" s="28" t="s">
        <v>71</v>
      </c>
      <c r="I5004" s="28" t="s">
        <v>72</v>
      </c>
      <c r="J5004" s="28" t="s">
        <v>15963</v>
      </c>
      <c r="K5004" s="28" t="s">
        <v>14932</v>
      </c>
      <c r="L5004" s="28" t="s">
        <v>14411</v>
      </c>
      <c r="M5004" s="28" t="s">
        <v>21</v>
      </c>
      <c r="O5004" s="92">
        <v>41908</v>
      </c>
      <c r="P5004" s="28" t="s">
        <v>21</v>
      </c>
      <c r="Q5004" s="26" t="b">
        <v>0</v>
      </c>
      <c r="R5004" s="22">
        <f t="shared" si="85"/>
        <v>28</v>
      </c>
    </row>
    <row r="5005" spans="1:19">
      <c r="A5005" s="26">
        <v>10390</v>
      </c>
      <c r="B5005" s="27">
        <v>41884</v>
      </c>
      <c r="C5005" s="28" t="s">
        <v>15964</v>
      </c>
      <c r="D5005" s="27">
        <v>41880</v>
      </c>
      <c r="E5005" s="28" t="s">
        <v>15965</v>
      </c>
      <c r="F5005" s="28" t="s">
        <v>228</v>
      </c>
      <c r="G5005" s="28" t="s">
        <v>20</v>
      </c>
      <c r="H5005" s="28" t="s">
        <v>71</v>
      </c>
      <c r="I5005" s="28" t="s">
        <v>72</v>
      </c>
      <c r="J5005" s="28" t="s">
        <v>15966</v>
      </c>
      <c r="K5005" s="28" t="s">
        <v>15967</v>
      </c>
      <c r="L5005" s="28" t="s">
        <v>4282</v>
      </c>
      <c r="M5005" s="28" t="s">
        <v>21</v>
      </c>
      <c r="O5005" s="94">
        <v>41996</v>
      </c>
      <c r="P5005" s="28" t="s">
        <v>21</v>
      </c>
      <c r="Q5005" s="26" t="b">
        <v>0</v>
      </c>
      <c r="R5005" s="22">
        <f t="shared" si="85"/>
        <v>112</v>
      </c>
    </row>
    <row r="5006" spans="1:19">
      <c r="A5006" s="26">
        <v>10395</v>
      </c>
      <c r="B5006" s="27">
        <v>41892</v>
      </c>
      <c r="C5006" s="28" t="s">
        <v>19259</v>
      </c>
      <c r="D5006" s="27">
        <v>41855</v>
      </c>
      <c r="E5006" s="28" t="s">
        <v>1432</v>
      </c>
      <c r="F5006" s="28" t="s">
        <v>124</v>
      </c>
      <c r="G5006" s="28" t="s">
        <v>20</v>
      </c>
      <c r="H5006" s="28" t="s">
        <v>71</v>
      </c>
      <c r="I5006" s="28" t="s">
        <v>72</v>
      </c>
      <c r="J5006" s="28" t="s">
        <v>15968</v>
      </c>
      <c r="K5006" s="28" t="s">
        <v>15969</v>
      </c>
      <c r="L5006" s="28" t="s">
        <v>14518</v>
      </c>
      <c r="M5006" s="28" t="s">
        <v>14909</v>
      </c>
      <c r="O5006" s="94">
        <v>43038</v>
      </c>
      <c r="P5006" s="28" t="s">
        <v>21</v>
      </c>
      <c r="Q5006" s="26" t="b">
        <v>0</v>
      </c>
      <c r="R5006" s="22">
        <f t="shared" si="85"/>
        <v>1145</v>
      </c>
      <c r="S5006" s="37" t="s">
        <v>21</v>
      </c>
    </row>
    <row r="5007" spans="1:19">
      <c r="A5007" s="26">
        <v>10396</v>
      </c>
      <c r="B5007" s="27">
        <v>41897</v>
      </c>
      <c r="C5007" s="28" t="s">
        <v>15970</v>
      </c>
      <c r="D5007" s="27">
        <v>41879</v>
      </c>
      <c r="E5007" s="28" t="s">
        <v>15971</v>
      </c>
      <c r="F5007" s="28" t="s">
        <v>15972</v>
      </c>
      <c r="G5007" s="28" t="s">
        <v>20</v>
      </c>
      <c r="H5007" s="28" t="s">
        <v>71</v>
      </c>
      <c r="I5007" s="28" t="s">
        <v>72</v>
      </c>
      <c r="J5007" s="28" t="s">
        <v>15973</v>
      </c>
      <c r="K5007" s="28" t="s">
        <v>6081</v>
      </c>
      <c r="L5007" s="28" t="s">
        <v>14411</v>
      </c>
      <c r="M5007" s="28" t="s">
        <v>21</v>
      </c>
      <c r="O5007" s="92">
        <v>41908</v>
      </c>
      <c r="P5007" s="28" t="s">
        <v>21</v>
      </c>
      <c r="Q5007" s="26" t="b">
        <v>0</v>
      </c>
      <c r="R5007" s="22">
        <f t="shared" si="85"/>
        <v>11</v>
      </c>
    </row>
    <row r="5008" spans="1:19">
      <c r="A5008" s="26">
        <v>10397</v>
      </c>
      <c r="B5008" s="27">
        <v>41898</v>
      </c>
      <c r="C5008" s="28" t="s">
        <v>15974</v>
      </c>
      <c r="D5008" s="27">
        <v>41897</v>
      </c>
      <c r="E5008" s="28" t="s">
        <v>38</v>
      </c>
      <c r="F5008" s="28" t="s">
        <v>15975</v>
      </c>
      <c r="G5008" s="28" t="s">
        <v>11905</v>
      </c>
      <c r="H5008" s="28" t="s">
        <v>71</v>
      </c>
      <c r="I5008" s="28" t="s">
        <v>72</v>
      </c>
      <c r="J5008" s="28" t="s">
        <v>14207</v>
      </c>
      <c r="K5008" s="28" t="s">
        <v>15976</v>
      </c>
      <c r="L5008" s="28" t="s">
        <v>14909</v>
      </c>
      <c r="M5008" s="28" t="s">
        <v>21</v>
      </c>
      <c r="O5008" s="94">
        <v>41900</v>
      </c>
      <c r="P5008" s="28" t="s">
        <v>21</v>
      </c>
      <c r="Q5008" s="26" t="b">
        <v>0</v>
      </c>
      <c r="R5008" s="22">
        <f t="shared" si="85"/>
        <v>2</v>
      </c>
    </row>
    <row r="5009" spans="1:19">
      <c r="A5009" s="26">
        <v>10398</v>
      </c>
      <c r="B5009" s="27">
        <v>41898</v>
      </c>
      <c r="C5009" s="28" t="s">
        <v>15977</v>
      </c>
      <c r="D5009" s="27">
        <v>41897</v>
      </c>
      <c r="E5009" s="28" t="s">
        <v>15978</v>
      </c>
      <c r="F5009" s="28" t="s">
        <v>228</v>
      </c>
      <c r="G5009" s="28" t="s">
        <v>20</v>
      </c>
      <c r="H5009" s="28" t="s">
        <v>71</v>
      </c>
      <c r="I5009" s="28" t="s">
        <v>72</v>
      </c>
      <c r="J5009" s="28" t="s">
        <v>15979</v>
      </c>
      <c r="K5009" s="28" t="s">
        <v>21</v>
      </c>
      <c r="L5009" s="28" t="s">
        <v>14411</v>
      </c>
      <c r="M5009" s="28" t="s">
        <v>21</v>
      </c>
      <c r="O5009" s="94">
        <v>42272</v>
      </c>
      <c r="P5009" s="28" t="s">
        <v>21</v>
      </c>
      <c r="Q5009" s="26" t="b">
        <v>0</v>
      </c>
      <c r="R5009" s="22">
        <f t="shared" si="85"/>
        <v>374</v>
      </c>
    </row>
    <row r="5010" spans="1:19">
      <c r="A5010" s="26">
        <v>10399</v>
      </c>
      <c r="B5010" s="27">
        <v>41898</v>
      </c>
      <c r="C5010" s="28" t="s">
        <v>15980</v>
      </c>
      <c r="D5010" s="27">
        <v>41897</v>
      </c>
      <c r="E5010" s="28" t="s">
        <v>15981</v>
      </c>
      <c r="F5010" s="28" t="s">
        <v>124</v>
      </c>
      <c r="G5010" s="28" t="s">
        <v>20</v>
      </c>
      <c r="H5010" s="28" t="s">
        <v>71</v>
      </c>
      <c r="I5010" s="28" t="s">
        <v>72</v>
      </c>
      <c r="J5010" s="28" t="s">
        <v>15982</v>
      </c>
      <c r="K5010" s="28" t="s">
        <v>21</v>
      </c>
      <c r="L5010" s="28" t="s">
        <v>14411</v>
      </c>
      <c r="M5010" s="28" t="s">
        <v>21</v>
      </c>
      <c r="O5010" s="94">
        <v>42310</v>
      </c>
      <c r="P5010" s="28" t="s">
        <v>21</v>
      </c>
      <c r="Q5010" s="26" t="b">
        <v>0</v>
      </c>
      <c r="R5010" s="22">
        <f t="shared" si="85"/>
        <v>411</v>
      </c>
    </row>
    <row r="5011" spans="1:19">
      <c r="A5011" s="26">
        <v>10400</v>
      </c>
      <c r="B5011" s="27">
        <v>41898</v>
      </c>
      <c r="C5011" s="28" t="s">
        <v>15983</v>
      </c>
      <c r="D5011" s="27">
        <v>41897</v>
      </c>
      <c r="E5011" s="28" t="s">
        <v>15984</v>
      </c>
      <c r="F5011" s="28" t="s">
        <v>15985</v>
      </c>
      <c r="G5011" s="28" t="s">
        <v>20</v>
      </c>
      <c r="H5011" s="28" t="s">
        <v>71</v>
      </c>
      <c r="I5011" s="28" t="s">
        <v>72</v>
      </c>
      <c r="J5011" s="28" t="s">
        <v>15986</v>
      </c>
      <c r="K5011" s="28" t="s">
        <v>2803</v>
      </c>
      <c r="L5011" s="28" t="s">
        <v>14411</v>
      </c>
      <c r="M5011" s="28" t="s">
        <v>21</v>
      </c>
      <c r="O5011" s="92">
        <v>42310</v>
      </c>
      <c r="P5011" s="28" t="s">
        <v>21</v>
      </c>
      <c r="Q5011" s="26" t="b">
        <v>0</v>
      </c>
      <c r="R5011" s="22">
        <f t="shared" si="85"/>
        <v>411</v>
      </c>
    </row>
    <row r="5012" spans="1:19">
      <c r="A5012" s="26">
        <v>10401</v>
      </c>
      <c r="B5012" s="27">
        <v>41898</v>
      </c>
      <c r="C5012" s="28" t="s">
        <v>15987</v>
      </c>
      <c r="D5012" s="27">
        <v>41896</v>
      </c>
      <c r="E5012" s="28" t="s">
        <v>38</v>
      </c>
      <c r="F5012" s="28" t="s">
        <v>124</v>
      </c>
      <c r="G5012" s="28" t="s">
        <v>20</v>
      </c>
      <c r="H5012" s="28" t="s">
        <v>71</v>
      </c>
      <c r="I5012" s="28" t="s">
        <v>72</v>
      </c>
      <c r="J5012" s="28" t="s">
        <v>13266</v>
      </c>
      <c r="K5012" s="28" t="s">
        <v>15988</v>
      </c>
      <c r="L5012" s="28" t="s">
        <v>14909</v>
      </c>
      <c r="M5012" s="28" t="s">
        <v>21</v>
      </c>
      <c r="O5012" s="92">
        <v>41904</v>
      </c>
      <c r="P5012" s="28" t="s">
        <v>21</v>
      </c>
      <c r="Q5012" s="26" t="b">
        <v>0</v>
      </c>
      <c r="R5012" s="22">
        <f t="shared" si="85"/>
        <v>6</v>
      </c>
    </row>
    <row r="5013" spans="1:19" ht="24">
      <c r="A5013" s="38">
        <v>10402</v>
      </c>
      <c r="B5013" s="39">
        <v>41899</v>
      </c>
      <c r="C5013" s="40" t="s">
        <v>18880</v>
      </c>
      <c r="D5013" s="39">
        <v>41894</v>
      </c>
      <c r="E5013" s="40" t="s">
        <v>15989</v>
      </c>
      <c r="F5013" s="40" t="s">
        <v>6953</v>
      </c>
      <c r="G5013" s="40" t="s">
        <v>20</v>
      </c>
      <c r="H5013" s="40" t="s">
        <v>71</v>
      </c>
      <c r="I5013" s="40" t="s">
        <v>72</v>
      </c>
      <c r="J5013" s="40" t="s">
        <v>15990</v>
      </c>
      <c r="K5013" s="40" t="s">
        <v>15991</v>
      </c>
      <c r="L5013" s="40" t="s">
        <v>4282</v>
      </c>
      <c r="M5013" s="40" t="s">
        <v>21</v>
      </c>
      <c r="O5013" s="100">
        <v>43220</v>
      </c>
      <c r="P5013" s="41" t="s">
        <v>21</v>
      </c>
      <c r="Q5013" s="42" t="b">
        <v>0</v>
      </c>
      <c r="R5013" s="22">
        <f t="shared" si="85"/>
        <v>1321</v>
      </c>
    </row>
    <row r="5014" spans="1:19" ht="24">
      <c r="A5014" s="26">
        <v>10403</v>
      </c>
      <c r="B5014" s="27">
        <v>41899</v>
      </c>
      <c r="C5014" s="28" t="s">
        <v>15992</v>
      </c>
      <c r="D5014" s="27">
        <v>41899</v>
      </c>
      <c r="E5014" s="28" t="s">
        <v>11688</v>
      </c>
      <c r="F5014" s="28" t="s">
        <v>9937</v>
      </c>
      <c r="G5014" s="28" t="s">
        <v>20</v>
      </c>
      <c r="H5014" s="28" t="s">
        <v>71</v>
      </c>
      <c r="I5014" s="28" t="s">
        <v>72</v>
      </c>
      <c r="J5014" s="28" t="s">
        <v>15993</v>
      </c>
      <c r="K5014" s="28" t="s">
        <v>21</v>
      </c>
      <c r="L5014" s="28" t="s">
        <v>4282</v>
      </c>
      <c r="M5014" s="28" t="s">
        <v>21</v>
      </c>
      <c r="O5014" s="92">
        <v>41992</v>
      </c>
      <c r="P5014" s="28" t="s">
        <v>21</v>
      </c>
      <c r="Q5014" s="26" t="b">
        <v>0</v>
      </c>
      <c r="R5014" s="22">
        <f t="shared" si="85"/>
        <v>93</v>
      </c>
    </row>
    <row r="5015" spans="1:19">
      <c r="A5015" s="26">
        <v>10404</v>
      </c>
      <c r="B5015" s="27">
        <v>41905</v>
      </c>
      <c r="C5015" s="28" t="s">
        <v>15994</v>
      </c>
      <c r="D5015" s="27">
        <v>41898</v>
      </c>
      <c r="E5015" s="28" t="s">
        <v>38</v>
      </c>
      <c r="F5015" s="28" t="s">
        <v>124</v>
      </c>
      <c r="G5015" s="28" t="s">
        <v>20</v>
      </c>
      <c r="H5015" s="28" t="s">
        <v>71</v>
      </c>
      <c r="I5015" s="28" t="s">
        <v>72</v>
      </c>
      <c r="J5015" s="28" t="s">
        <v>15995</v>
      </c>
      <c r="K5015" s="28" t="s">
        <v>15996</v>
      </c>
      <c r="L5015" s="28" t="s">
        <v>14518</v>
      </c>
      <c r="M5015" s="28" t="s">
        <v>21</v>
      </c>
      <c r="O5015" s="94">
        <v>41913</v>
      </c>
      <c r="P5015" s="28" t="s">
        <v>21</v>
      </c>
      <c r="Q5015" s="26" t="b">
        <v>0</v>
      </c>
      <c r="R5015" s="22">
        <f t="shared" si="85"/>
        <v>8</v>
      </c>
    </row>
    <row r="5016" spans="1:19" ht="32">
      <c r="A5016" s="33">
        <v>10405</v>
      </c>
      <c r="B5016" s="34">
        <v>41905</v>
      </c>
      <c r="C5016" s="35" t="s">
        <v>17884</v>
      </c>
      <c r="D5016" s="34">
        <v>41891</v>
      </c>
      <c r="E5016" s="35" t="s">
        <v>15997</v>
      </c>
      <c r="F5016" s="35" t="s">
        <v>124</v>
      </c>
      <c r="G5016" s="35" t="s">
        <v>20</v>
      </c>
      <c r="H5016" s="35" t="s">
        <v>71</v>
      </c>
      <c r="I5016" s="35" t="s">
        <v>72</v>
      </c>
      <c r="J5016" s="35" t="s">
        <v>15489</v>
      </c>
      <c r="K5016" s="35" t="s">
        <v>21</v>
      </c>
      <c r="L5016" s="35" t="s">
        <v>14518</v>
      </c>
      <c r="M5016" s="35" t="s">
        <v>21</v>
      </c>
      <c r="N5016" s="36"/>
      <c r="O5016" s="97">
        <v>42625</v>
      </c>
      <c r="P5016" s="35" t="s">
        <v>21</v>
      </c>
      <c r="Q5016" s="33" t="b">
        <v>0</v>
      </c>
      <c r="R5016" s="22">
        <f t="shared" si="85"/>
        <v>718</v>
      </c>
    </row>
    <row r="5017" spans="1:19" ht="24">
      <c r="A5017" s="26">
        <v>10407</v>
      </c>
      <c r="B5017" s="27">
        <v>41906</v>
      </c>
      <c r="C5017" s="28" t="s">
        <v>15998</v>
      </c>
      <c r="D5017" s="27">
        <v>41904</v>
      </c>
      <c r="E5017" s="28" t="s">
        <v>38</v>
      </c>
      <c r="F5017" s="28" t="s">
        <v>149</v>
      </c>
      <c r="G5017" s="28" t="s">
        <v>20</v>
      </c>
      <c r="H5017" s="28" t="s">
        <v>71</v>
      </c>
      <c r="I5017" s="28" t="s">
        <v>15999</v>
      </c>
      <c r="J5017" s="28" t="s">
        <v>16000</v>
      </c>
      <c r="K5017" s="28" t="s">
        <v>21</v>
      </c>
      <c r="L5017" s="28" t="s">
        <v>14518</v>
      </c>
      <c r="M5017" s="28" t="s">
        <v>21</v>
      </c>
      <c r="O5017" s="94">
        <v>41912</v>
      </c>
      <c r="P5017" s="28" t="s">
        <v>21</v>
      </c>
      <c r="Q5017" s="26" t="b">
        <v>0</v>
      </c>
      <c r="R5017" s="22">
        <f t="shared" si="85"/>
        <v>6</v>
      </c>
    </row>
    <row r="5018" spans="1:19">
      <c r="A5018" s="26">
        <v>10408</v>
      </c>
      <c r="B5018" s="27">
        <v>41907</v>
      </c>
      <c r="C5018" s="28" t="s">
        <v>16001</v>
      </c>
      <c r="D5018" s="27">
        <v>41907</v>
      </c>
      <c r="E5018" s="28" t="s">
        <v>16002</v>
      </c>
      <c r="F5018" s="28" t="s">
        <v>104</v>
      </c>
      <c r="G5018" s="28" t="s">
        <v>20</v>
      </c>
      <c r="H5018" s="28" t="s">
        <v>71</v>
      </c>
      <c r="I5018" s="28" t="s">
        <v>72</v>
      </c>
      <c r="J5018" s="28" t="s">
        <v>16003</v>
      </c>
      <c r="K5018" s="28" t="s">
        <v>16004</v>
      </c>
      <c r="L5018" s="28" t="s">
        <v>1946</v>
      </c>
      <c r="M5018" s="28" t="s">
        <v>21</v>
      </c>
      <c r="O5018" s="94">
        <v>42388</v>
      </c>
      <c r="P5018" s="28" t="s">
        <v>21</v>
      </c>
      <c r="Q5018" s="26" t="b">
        <v>0</v>
      </c>
      <c r="R5018" s="22">
        <f t="shared" si="85"/>
        <v>480</v>
      </c>
    </row>
    <row r="5019" spans="1:19">
      <c r="A5019" s="26">
        <v>10410</v>
      </c>
      <c r="B5019" s="27">
        <v>41911</v>
      </c>
      <c r="C5019" s="28" t="s">
        <v>16005</v>
      </c>
      <c r="D5019" s="27">
        <v>41908</v>
      </c>
      <c r="E5019" s="28" t="s">
        <v>1432</v>
      </c>
      <c r="F5019" s="28" t="s">
        <v>408</v>
      </c>
      <c r="G5019" s="28" t="s">
        <v>20</v>
      </c>
      <c r="H5019" s="28" t="s">
        <v>71</v>
      </c>
      <c r="I5019" s="28" t="s">
        <v>72</v>
      </c>
      <c r="J5019" s="28" t="s">
        <v>16006</v>
      </c>
      <c r="K5019" s="28" t="s">
        <v>16007</v>
      </c>
      <c r="L5019" s="28" t="s">
        <v>7167</v>
      </c>
      <c r="M5019" s="28" t="s">
        <v>21</v>
      </c>
      <c r="O5019" s="94">
        <v>42373</v>
      </c>
      <c r="P5019" s="28" t="s">
        <v>21</v>
      </c>
      <c r="Q5019" s="26" t="b">
        <v>0</v>
      </c>
      <c r="R5019" s="22">
        <f t="shared" si="85"/>
        <v>461</v>
      </c>
    </row>
    <row r="5020" spans="1:19" ht="32">
      <c r="A5020" s="33">
        <v>10411</v>
      </c>
      <c r="B5020" s="34">
        <v>41912</v>
      </c>
      <c r="C5020" s="35" t="s">
        <v>17728</v>
      </c>
      <c r="D5020" s="34">
        <v>41911</v>
      </c>
      <c r="E5020" s="35" t="s">
        <v>16008</v>
      </c>
      <c r="F5020" s="35" t="s">
        <v>14552</v>
      </c>
      <c r="G5020" s="35" t="s">
        <v>20</v>
      </c>
      <c r="H5020" s="35" t="s">
        <v>71</v>
      </c>
      <c r="I5020" s="35" t="s">
        <v>72</v>
      </c>
      <c r="J5020" s="35" t="s">
        <v>16009</v>
      </c>
      <c r="K5020" s="35" t="s">
        <v>15626</v>
      </c>
      <c r="L5020" s="35" t="s">
        <v>1946</v>
      </c>
      <c r="M5020" s="35" t="s">
        <v>21</v>
      </c>
      <c r="N5020" s="36"/>
      <c r="O5020" s="97">
        <v>42549</v>
      </c>
      <c r="P5020" s="35" t="s">
        <v>21</v>
      </c>
      <c r="Q5020" s="33" t="b">
        <v>0</v>
      </c>
      <c r="R5020" s="22">
        <f t="shared" si="85"/>
        <v>636</v>
      </c>
    </row>
    <row r="5021" spans="1:19" ht="32">
      <c r="A5021" s="33">
        <v>10412</v>
      </c>
      <c r="B5021" s="34">
        <v>41912</v>
      </c>
      <c r="C5021" s="35" t="s">
        <v>17934</v>
      </c>
      <c r="D5021" s="34">
        <v>41911</v>
      </c>
      <c r="E5021" s="35" t="s">
        <v>16010</v>
      </c>
      <c r="F5021" s="35" t="s">
        <v>283</v>
      </c>
      <c r="G5021" s="35" t="s">
        <v>20</v>
      </c>
      <c r="H5021" s="35" t="s">
        <v>71</v>
      </c>
      <c r="I5021" s="35" t="s">
        <v>72</v>
      </c>
      <c r="J5021" s="35" t="s">
        <v>16011</v>
      </c>
      <c r="K5021" s="35" t="s">
        <v>21</v>
      </c>
      <c r="L5021" s="35" t="s">
        <v>1946</v>
      </c>
      <c r="M5021" s="35" t="s">
        <v>21</v>
      </c>
      <c r="N5021" s="36"/>
      <c r="O5021" s="96">
        <v>42643</v>
      </c>
      <c r="P5021" s="35" t="s">
        <v>21</v>
      </c>
      <c r="Q5021" s="33" t="b">
        <v>0</v>
      </c>
      <c r="R5021" s="22">
        <f t="shared" si="85"/>
        <v>730</v>
      </c>
    </row>
    <row r="5022" spans="1:19">
      <c r="A5022" s="26">
        <v>10413</v>
      </c>
      <c r="B5022" s="27">
        <v>41913</v>
      </c>
      <c r="C5022" s="28" t="s">
        <v>16012</v>
      </c>
      <c r="D5022" s="27">
        <v>41912</v>
      </c>
      <c r="E5022" s="28" t="s">
        <v>16013</v>
      </c>
      <c r="F5022" s="28" t="s">
        <v>3430</v>
      </c>
      <c r="G5022" s="28" t="s">
        <v>20</v>
      </c>
      <c r="H5022" s="28" t="s">
        <v>71</v>
      </c>
      <c r="I5022" s="28" t="s">
        <v>72</v>
      </c>
      <c r="J5022" s="28" t="s">
        <v>16014</v>
      </c>
      <c r="K5022" s="28" t="s">
        <v>16015</v>
      </c>
      <c r="L5022" s="28" t="s">
        <v>7167</v>
      </c>
      <c r="M5022" s="28" t="s">
        <v>21</v>
      </c>
      <c r="O5022" s="94">
        <v>41933</v>
      </c>
      <c r="P5022" s="28" t="s">
        <v>21</v>
      </c>
      <c r="Q5022" s="26" t="b">
        <v>0</v>
      </c>
      <c r="R5022" s="22">
        <f t="shared" si="85"/>
        <v>20</v>
      </c>
    </row>
    <row r="5023" spans="1:19">
      <c r="A5023" s="26">
        <v>10414</v>
      </c>
      <c r="B5023" s="27">
        <v>41914</v>
      </c>
      <c r="C5023" s="28" t="s">
        <v>19131</v>
      </c>
      <c r="D5023" s="27">
        <v>41914</v>
      </c>
      <c r="E5023" s="28" t="s">
        <v>16016</v>
      </c>
      <c r="F5023" s="28" t="s">
        <v>14344</v>
      </c>
      <c r="G5023" s="28" t="s">
        <v>20</v>
      </c>
      <c r="H5023" s="28" t="s">
        <v>189</v>
      </c>
      <c r="I5023" s="28" t="s">
        <v>189</v>
      </c>
      <c r="J5023" s="28" t="s">
        <v>16017</v>
      </c>
      <c r="K5023" s="28" t="s">
        <v>21</v>
      </c>
      <c r="L5023" s="28" t="s">
        <v>1946</v>
      </c>
      <c r="M5023" s="28" t="s">
        <v>21</v>
      </c>
      <c r="O5023" s="92">
        <v>42849</v>
      </c>
      <c r="P5023" s="28" t="s">
        <v>21</v>
      </c>
      <c r="Q5023" s="26" t="b">
        <v>0</v>
      </c>
      <c r="R5023" s="22">
        <f t="shared" si="85"/>
        <v>934</v>
      </c>
      <c r="S5023" s="37" t="s">
        <v>21</v>
      </c>
    </row>
    <row r="5024" spans="1:19">
      <c r="A5024" s="38">
        <v>10415</v>
      </c>
      <c r="B5024" s="39">
        <v>41914</v>
      </c>
      <c r="C5024" s="40" t="s">
        <v>18881</v>
      </c>
      <c r="D5024" s="39">
        <v>41914</v>
      </c>
      <c r="E5024" s="40" t="s">
        <v>16018</v>
      </c>
      <c r="F5024" s="40" t="s">
        <v>984</v>
      </c>
      <c r="G5024" s="40" t="s">
        <v>20</v>
      </c>
      <c r="H5024" s="40" t="s">
        <v>71</v>
      </c>
      <c r="I5024" s="40" t="s">
        <v>72</v>
      </c>
      <c r="J5024" s="40" t="s">
        <v>16019</v>
      </c>
      <c r="K5024" s="40" t="s">
        <v>21</v>
      </c>
      <c r="L5024" s="40" t="s">
        <v>14909</v>
      </c>
      <c r="M5024" s="40" t="s">
        <v>21</v>
      </c>
      <c r="O5024" s="100">
        <v>43196</v>
      </c>
      <c r="P5024" s="41" t="s">
        <v>21</v>
      </c>
      <c r="Q5024" s="42" t="b">
        <v>0</v>
      </c>
      <c r="R5024" s="22">
        <f t="shared" si="85"/>
        <v>1281</v>
      </c>
    </row>
    <row r="5025" spans="1:19">
      <c r="A5025" s="26">
        <v>10417</v>
      </c>
      <c r="B5025" s="27">
        <v>41914</v>
      </c>
      <c r="C5025" s="28" t="s">
        <v>16023</v>
      </c>
      <c r="D5025" s="27">
        <v>41914</v>
      </c>
      <c r="E5025" s="28" t="s">
        <v>16024</v>
      </c>
      <c r="F5025" s="28" t="s">
        <v>6953</v>
      </c>
      <c r="G5025" s="28" t="s">
        <v>20</v>
      </c>
      <c r="H5025" s="28" t="s">
        <v>71</v>
      </c>
      <c r="I5025" s="28" t="s">
        <v>72</v>
      </c>
      <c r="J5025" s="28" t="s">
        <v>16025</v>
      </c>
      <c r="K5025" s="28" t="s">
        <v>13358</v>
      </c>
      <c r="L5025" s="28" t="s">
        <v>14909</v>
      </c>
      <c r="M5025" s="28" t="s">
        <v>21</v>
      </c>
      <c r="O5025" s="92">
        <v>41940</v>
      </c>
      <c r="P5025" s="28" t="s">
        <v>21</v>
      </c>
      <c r="Q5025" s="26" t="b">
        <v>0</v>
      </c>
      <c r="R5025" s="22">
        <f t="shared" si="85"/>
        <v>26</v>
      </c>
    </row>
    <row r="5026" spans="1:19">
      <c r="A5026" s="26">
        <v>10434</v>
      </c>
      <c r="B5026" s="27">
        <v>41914</v>
      </c>
      <c r="C5026" s="28" t="s">
        <v>16056</v>
      </c>
      <c r="D5026" s="27">
        <v>41915</v>
      </c>
      <c r="E5026" s="28" t="s">
        <v>38</v>
      </c>
      <c r="F5026" s="28" t="s">
        <v>12404</v>
      </c>
      <c r="G5026" s="28" t="s">
        <v>20</v>
      </c>
      <c r="H5026" s="28" t="s">
        <v>71</v>
      </c>
      <c r="I5026" s="28" t="s">
        <v>72</v>
      </c>
      <c r="J5026" s="28" t="s">
        <v>16057</v>
      </c>
      <c r="K5026" s="28" t="s">
        <v>16058</v>
      </c>
      <c r="L5026" s="28" t="s">
        <v>1946</v>
      </c>
      <c r="M5026" s="28" t="s">
        <v>21</v>
      </c>
      <c r="O5026" s="92">
        <v>41940</v>
      </c>
      <c r="P5026" s="28" t="s">
        <v>21</v>
      </c>
      <c r="Q5026" s="26" t="b">
        <v>0</v>
      </c>
      <c r="R5026" s="22">
        <f t="shared" si="85"/>
        <v>26</v>
      </c>
    </row>
    <row r="5027" spans="1:19">
      <c r="A5027" s="26">
        <v>10418</v>
      </c>
      <c r="B5027" s="27">
        <v>41915</v>
      </c>
      <c r="C5027" s="28" t="s">
        <v>16026</v>
      </c>
      <c r="D5027" s="27">
        <v>41915</v>
      </c>
      <c r="E5027" s="28" t="s">
        <v>16027</v>
      </c>
      <c r="F5027" s="28" t="s">
        <v>16028</v>
      </c>
      <c r="G5027" s="28" t="s">
        <v>20</v>
      </c>
      <c r="H5027" s="28" t="s">
        <v>566</v>
      </c>
      <c r="I5027" s="28" t="s">
        <v>10070</v>
      </c>
      <c r="J5027" s="28" t="s">
        <v>16029</v>
      </c>
      <c r="K5027" s="28" t="s">
        <v>21</v>
      </c>
      <c r="L5027" s="28" t="s">
        <v>14909</v>
      </c>
      <c r="M5027" s="28" t="s">
        <v>21</v>
      </c>
      <c r="O5027" s="94">
        <v>41961</v>
      </c>
      <c r="P5027" s="28" t="s">
        <v>21</v>
      </c>
      <c r="Q5027" s="26" t="b">
        <v>0</v>
      </c>
      <c r="R5027" s="22">
        <f t="shared" si="85"/>
        <v>45</v>
      </c>
    </row>
    <row r="5028" spans="1:19">
      <c r="A5028" s="26">
        <v>10419</v>
      </c>
      <c r="B5028" s="27">
        <v>41922</v>
      </c>
      <c r="C5028" s="28" t="s">
        <v>16030</v>
      </c>
      <c r="D5028" s="27">
        <v>41921</v>
      </c>
      <c r="E5028" s="28" t="s">
        <v>38</v>
      </c>
      <c r="F5028" s="28" t="s">
        <v>3430</v>
      </c>
      <c r="G5028" s="28" t="s">
        <v>20</v>
      </c>
      <c r="H5028" s="28" t="s">
        <v>71</v>
      </c>
      <c r="I5028" s="28" t="s">
        <v>15699</v>
      </c>
      <c r="J5028" s="28" t="s">
        <v>4690</v>
      </c>
      <c r="K5028" s="28" t="s">
        <v>16031</v>
      </c>
      <c r="L5028" s="28" t="s">
        <v>14411</v>
      </c>
      <c r="M5028" s="28" t="s">
        <v>21</v>
      </c>
      <c r="O5028" s="94">
        <v>41922</v>
      </c>
      <c r="P5028" s="28" t="s">
        <v>21</v>
      </c>
      <c r="Q5028" s="26" t="b">
        <v>0</v>
      </c>
      <c r="R5028" s="22">
        <f t="shared" ref="R5028:R5059" si="86">IF(O5028=" ", " ", INT(YEARFRAC(O5028, B5028)*365))</f>
        <v>0</v>
      </c>
    </row>
    <row r="5029" spans="1:19">
      <c r="A5029" s="26">
        <v>10422</v>
      </c>
      <c r="B5029" s="27">
        <v>41925</v>
      </c>
      <c r="C5029" s="28" t="s">
        <v>16026</v>
      </c>
      <c r="D5029" s="27">
        <v>41924</v>
      </c>
      <c r="E5029" s="28" t="s">
        <v>16032</v>
      </c>
      <c r="F5029" s="28" t="s">
        <v>16033</v>
      </c>
      <c r="G5029" s="28" t="s">
        <v>20</v>
      </c>
      <c r="H5029" s="28" t="s">
        <v>566</v>
      </c>
      <c r="I5029" s="28" t="s">
        <v>566</v>
      </c>
      <c r="J5029" s="28" t="s">
        <v>16034</v>
      </c>
      <c r="K5029" s="28" t="s">
        <v>16035</v>
      </c>
      <c r="L5029" s="28" t="s">
        <v>14909</v>
      </c>
      <c r="M5029" s="28" t="s">
        <v>21</v>
      </c>
      <c r="O5029" s="92">
        <v>41971</v>
      </c>
      <c r="P5029" s="28" t="s">
        <v>21</v>
      </c>
      <c r="Q5029" s="26" t="b">
        <v>0</v>
      </c>
      <c r="R5029" s="22">
        <f t="shared" si="86"/>
        <v>45</v>
      </c>
    </row>
    <row r="5030" spans="1:19">
      <c r="A5030" s="26">
        <v>10425</v>
      </c>
      <c r="B5030" s="27">
        <v>41932</v>
      </c>
      <c r="C5030" s="28" t="s">
        <v>19054</v>
      </c>
      <c r="D5030" s="27">
        <v>41918</v>
      </c>
      <c r="E5030" s="28" t="s">
        <v>16036</v>
      </c>
      <c r="F5030" s="28" t="s">
        <v>3171</v>
      </c>
      <c r="G5030" s="28" t="s">
        <v>20</v>
      </c>
      <c r="H5030" s="28" t="s">
        <v>566</v>
      </c>
      <c r="I5030" s="28" t="s">
        <v>566</v>
      </c>
      <c r="J5030" s="28" t="s">
        <v>16037</v>
      </c>
      <c r="K5030" s="28" t="s">
        <v>16038</v>
      </c>
      <c r="L5030" s="28" t="s">
        <v>4282</v>
      </c>
      <c r="M5030" s="28" t="s">
        <v>21</v>
      </c>
      <c r="O5030" s="92">
        <v>43117</v>
      </c>
      <c r="P5030" s="28" t="s">
        <v>21</v>
      </c>
      <c r="Q5030" s="26" t="b">
        <v>0</v>
      </c>
      <c r="R5030" s="22">
        <f t="shared" si="86"/>
        <v>1183</v>
      </c>
      <c r="S5030" s="37" t="s">
        <v>21</v>
      </c>
    </row>
    <row r="5031" spans="1:19" ht="32">
      <c r="A5031" s="33">
        <v>10426</v>
      </c>
      <c r="B5031" s="34">
        <v>41932</v>
      </c>
      <c r="C5031" s="35" t="s">
        <v>17575</v>
      </c>
      <c r="D5031" s="34">
        <v>41929</v>
      </c>
      <c r="E5031" s="35" t="s">
        <v>16039</v>
      </c>
      <c r="F5031" s="35" t="s">
        <v>283</v>
      </c>
      <c r="G5031" s="35" t="s">
        <v>20</v>
      </c>
      <c r="H5031" s="35" t="s">
        <v>71</v>
      </c>
      <c r="I5031" s="35" t="s">
        <v>72</v>
      </c>
      <c r="J5031" s="35" t="s">
        <v>16040</v>
      </c>
      <c r="K5031" s="35" t="s">
        <v>21</v>
      </c>
      <c r="L5031" s="35" t="s">
        <v>7167</v>
      </c>
      <c r="M5031" s="35" t="s">
        <v>21</v>
      </c>
      <c r="N5031" s="36"/>
      <c r="O5031" s="97">
        <v>42465</v>
      </c>
      <c r="P5031" s="35" t="s">
        <v>21</v>
      </c>
      <c r="Q5031" s="33" t="b">
        <v>0</v>
      </c>
      <c r="R5031" s="22">
        <f t="shared" si="86"/>
        <v>532</v>
      </c>
    </row>
    <row r="5032" spans="1:19">
      <c r="A5032" s="26">
        <v>10427</v>
      </c>
      <c r="B5032" s="27">
        <v>41932</v>
      </c>
      <c r="C5032" s="28" t="s">
        <v>19050</v>
      </c>
      <c r="D5032" s="27">
        <v>41932</v>
      </c>
      <c r="E5032" s="28" t="s">
        <v>16041</v>
      </c>
      <c r="F5032" s="28" t="s">
        <v>11050</v>
      </c>
      <c r="G5032" s="28" t="s">
        <v>20</v>
      </c>
      <c r="H5032" s="28" t="s">
        <v>189</v>
      </c>
      <c r="I5032" s="28" t="s">
        <v>189</v>
      </c>
      <c r="J5032" s="28" t="s">
        <v>16042</v>
      </c>
      <c r="K5032" s="28" t="s">
        <v>14825</v>
      </c>
      <c r="L5032" s="28" t="s">
        <v>4282</v>
      </c>
      <c r="M5032" s="28" t="s">
        <v>21</v>
      </c>
      <c r="N5032" s="18"/>
      <c r="O5032" s="92">
        <v>43111</v>
      </c>
      <c r="P5032" s="28" t="s">
        <v>21</v>
      </c>
      <c r="Q5032" s="43" t="b">
        <v>0</v>
      </c>
      <c r="R5032" s="22">
        <f t="shared" si="86"/>
        <v>1177</v>
      </c>
      <c r="S5032" s="37" t="s">
        <v>21</v>
      </c>
    </row>
    <row r="5033" spans="1:19">
      <c r="A5033" s="38">
        <v>10428</v>
      </c>
      <c r="B5033" s="39">
        <v>41932</v>
      </c>
      <c r="C5033" s="40" t="s">
        <v>18866</v>
      </c>
      <c r="D5033" s="39">
        <v>41932</v>
      </c>
      <c r="E5033" s="40" t="s">
        <v>16043</v>
      </c>
      <c r="F5033" s="40" t="s">
        <v>3457</v>
      </c>
      <c r="G5033" s="40" t="s">
        <v>20</v>
      </c>
      <c r="H5033" s="40" t="s">
        <v>212</v>
      </c>
      <c r="I5033" s="40" t="s">
        <v>212</v>
      </c>
      <c r="J5033" s="40" t="s">
        <v>16044</v>
      </c>
      <c r="K5033" s="40" t="s">
        <v>6193</v>
      </c>
      <c r="L5033" s="40" t="s">
        <v>1946</v>
      </c>
      <c r="M5033" s="40" t="s">
        <v>14909</v>
      </c>
      <c r="N5033" s="18"/>
      <c r="O5033" s="100">
        <v>43234</v>
      </c>
      <c r="P5033" s="41" t="s">
        <v>21</v>
      </c>
      <c r="Q5033" s="44" t="b">
        <v>0</v>
      </c>
      <c r="R5033" s="22">
        <f t="shared" si="86"/>
        <v>1301</v>
      </c>
    </row>
    <row r="5034" spans="1:19" ht="32">
      <c r="A5034" s="33">
        <v>10431</v>
      </c>
      <c r="B5034" s="34">
        <v>41933</v>
      </c>
      <c r="C5034" s="35" t="s">
        <v>17618</v>
      </c>
      <c r="D5034" s="34">
        <v>41932</v>
      </c>
      <c r="E5034" s="35" t="s">
        <v>16048</v>
      </c>
      <c r="F5034" s="35" t="s">
        <v>16049</v>
      </c>
      <c r="G5034" s="35" t="s">
        <v>20</v>
      </c>
      <c r="H5034" s="35" t="s">
        <v>71</v>
      </c>
      <c r="I5034" s="35" t="s">
        <v>72</v>
      </c>
      <c r="J5034" s="35" t="s">
        <v>14553</v>
      </c>
      <c r="K5034" s="35" t="s">
        <v>21</v>
      </c>
      <c r="L5034" s="35" t="s">
        <v>14518</v>
      </c>
      <c r="M5034" s="35" t="s">
        <v>14909</v>
      </c>
      <c r="N5034" s="36"/>
      <c r="O5034" s="96">
        <v>42482</v>
      </c>
      <c r="P5034" s="35" t="s">
        <v>21</v>
      </c>
      <c r="Q5034" s="33" t="b">
        <v>0</v>
      </c>
      <c r="R5034" s="22">
        <f t="shared" si="86"/>
        <v>548</v>
      </c>
    </row>
    <row r="5035" spans="1:19">
      <c r="A5035" s="38">
        <v>10429</v>
      </c>
      <c r="B5035" s="39">
        <v>41934</v>
      </c>
      <c r="C5035" s="40" t="s">
        <v>16045</v>
      </c>
      <c r="D5035" s="39">
        <v>41932</v>
      </c>
      <c r="E5035" s="40" t="s">
        <v>16046</v>
      </c>
      <c r="F5035" s="40" t="s">
        <v>16047</v>
      </c>
      <c r="G5035" s="40" t="s">
        <v>20</v>
      </c>
      <c r="H5035" s="40" t="s">
        <v>212</v>
      </c>
      <c r="I5035" s="40" t="s">
        <v>212</v>
      </c>
      <c r="J5035" s="40" t="s">
        <v>16043</v>
      </c>
      <c r="K5035" s="40" t="s">
        <v>6193</v>
      </c>
      <c r="L5035" s="40" t="s">
        <v>1946</v>
      </c>
      <c r="M5035" s="40" t="s">
        <v>14909</v>
      </c>
      <c r="O5035" s="100">
        <v>43234</v>
      </c>
      <c r="P5035" s="41" t="s">
        <v>21</v>
      </c>
      <c r="Q5035" s="42" t="b">
        <v>0</v>
      </c>
      <c r="R5035" s="22">
        <f t="shared" si="86"/>
        <v>1299</v>
      </c>
    </row>
    <row r="5036" spans="1:19">
      <c r="A5036" s="26">
        <v>10436</v>
      </c>
      <c r="B5036" s="27">
        <v>41934</v>
      </c>
      <c r="C5036" s="28" t="s">
        <v>16045</v>
      </c>
      <c r="D5036" s="27">
        <v>41931</v>
      </c>
      <c r="E5036" s="28" t="s">
        <v>16064</v>
      </c>
      <c r="F5036" s="28" t="s">
        <v>124</v>
      </c>
      <c r="G5036" s="28" t="s">
        <v>20</v>
      </c>
      <c r="H5036" s="28" t="s">
        <v>71</v>
      </c>
      <c r="I5036" s="28" t="s">
        <v>72</v>
      </c>
      <c r="J5036" s="28" t="s">
        <v>16065</v>
      </c>
      <c r="K5036" s="28" t="s">
        <v>16066</v>
      </c>
      <c r="L5036" s="28" t="s">
        <v>14518</v>
      </c>
      <c r="M5036" s="28" t="s">
        <v>21</v>
      </c>
      <c r="O5036" s="92">
        <v>41974</v>
      </c>
      <c r="P5036" s="28" t="s">
        <v>21</v>
      </c>
      <c r="Q5036" s="26" t="b">
        <v>0</v>
      </c>
      <c r="R5036" s="22">
        <f t="shared" si="86"/>
        <v>39</v>
      </c>
    </row>
    <row r="5037" spans="1:19">
      <c r="A5037" s="26">
        <v>10432</v>
      </c>
      <c r="B5037" s="27">
        <v>41935</v>
      </c>
      <c r="C5037" s="28" t="s">
        <v>16050</v>
      </c>
      <c r="D5037" s="27">
        <v>41935</v>
      </c>
      <c r="E5037" s="28" t="s">
        <v>16051</v>
      </c>
      <c r="F5037" s="28" t="s">
        <v>27</v>
      </c>
      <c r="G5037" s="28" t="s">
        <v>20</v>
      </c>
      <c r="H5037" s="28" t="s">
        <v>71</v>
      </c>
      <c r="I5037" s="28" t="s">
        <v>72</v>
      </c>
      <c r="J5037" s="28" t="s">
        <v>16052</v>
      </c>
      <c r="K5037" s="28" t="s">
        <v>13358</v>
      </c>
      <c r="L5037" s="28" t="s">
        <v>4282</v>
      </c>
      <c r="M5037" s="28" t="s">
        <v>21</v>
      </c>
      <c r="O5037" s="92">
        <v>41941</v>
      </c>
      <c r="P5037" s="28" t="s">
        <v>21</v>
      </c>
      <c r="Q5037" s="26" t="b">
        <v>0</v>
      </c>
      <c r="R5037" s="22">
        <f t="shared" si="86"/>
        <v>6</v>
      </c>
    </row>
    <row r="5038" spans="1:19">
      <c r="A5038" s="38">
        <v>10433</v>
      </c>
      <c r="B5038" s="39">
        <v>41935</v>
      </c>
      <c r="C5038" s="40" t="s">
        <v>18882</v>
      </c>
      <c r="D5038" s="39">
        <v>41935</v>
      </c>
      <c r="E5038" s="40" t="s">
        <v>16053</v>
      </c>
      <c r="F5038" s="40" t="s">
        <v>16054</v>
      </c>
      <c r="G5038" s="40" t="s">
        <v>20</v>
      </c>
      <c r="H5038" s="40" t="s">
        <v>189</v>
      </c>
      <c r="I5038" s="40" t="s">
        <v>189</v>
      </c>
      <c r="J5038" s="40" t="s">
        <v>6647</v>
      </c>
      <c r="K5038" s="40" t="s">
        <v>16055</v>
      </c>
      <c r="L5038" s="40" t="s">
        <v>4282</v>
      </c>
      <c r="M5038" s="40" t="s">
        <v>14909</v>
      </c>
      <c r="O5038" s="100">
        <v>43230</v>
      </c>
      <c r="P5038" s="41" t="s">
        <v>21</v>
      </c>
      <c r="Q5038" s="42" t="b">
        <v>0</v>
      </c>
      <c r="R5038" s="22">
        <f t="shared" si="86"/>
        <v>1294</v>
      </c>
    </row>
    <row r="5039" spans="1:19">
      <c r="A5039" s="26">
        <v>10435</v>
      </c>
      <c r="B5039" s="27">
        <v>41940</v>
      </c>
      <c r="C5039" s="28" t="s">
        <v>16059</v>
      </c>
      <c r="D5039" s="27">
        <v>41940</v>
      </c>
      <c r="E5039" s="28" t="s">
        <v>16060</v>
      </c>
      <c r="F5039" s="28" t="s">
        <v>16061</v>
      </c>
      <c r="G5039" s="28" t="s">
        <v>20</v>
      </c>
      <c r="H5039" s="28" t="s">
        <v>71</v>
      </c>
      <c r="I5039" s="28" t="s">
        <v>1061</v>
      </c>
      <c r="J5039" s="28" t="s">
        <v>16062</v>
      </c>
      <c r="K5039" s="28" t="s">
        <v>16063</v>
      </c>
      <c r="L5039" s="28" t="s">
        <v>3271</v>
      </c>
      <c r="M5039" s="28" t="s">
        <v>21</v>
      </c>
      <c r="O5039" s="92">
        <v>42111</v>
      </c>
      <c r="P5039" s="28" t="s">
        <v>21</v>
      </c>
      <c r="Q5039" s="26" t="b">
        <v>0</v>
      </c>
      <c r="R5039" s="22">
        <f t="shared" si="86"/>
        <v>171</v>
      </c>
    </row>
    <row r="5040" spans="1:19">
      <c r="A5040" s="26">
        <v>10438</v>
      </c>
      <c r="B5040" s="27">
        <v>41940</v>
      </c>
      <c r="C5040" s="28" t="s">
        <v>16067</v>
      </c>
      <c r="D5040" s="27">
        <v>41928</v>
      </c>
      <c r="E5040" s="28" t="s">
        <v>38</v>
      </c>
      <c r="F5040" s="28" t="s">
        <v>2296</v>
      </c>
      <c r="G5040" s="28" t="s">
        <v>20</v>
      </c>
      <c r="H5040" s="28" t="s">
        <v>566</v>
      </c>
      <c r="I5040" s="28" t="s">
        <v>566</v>
      </c>
      <c r="J5040" s="28" t="s">
        <v>16068</v>
      </c>
      <c r="K5040" s="28" t="s">
        <v>16069</v>
      </c>
      <c r="L5040" s="28" t="s">
        <v>1946</v>
      </c>
      <c r="M5040" s="28" t="s">
        <v>21</v>
      </c>
      <c r="O5040" s="92">
        <v>41948</v>
      </c>
      <c r="P5040" s="28" t="s">
        <v>21</v>
      </c>
      <c r="Q5040" s="26" t="b">
        <v>0</v>
      </c>
      <c r="R5040" s="22">
        <f t="shared" si="86"/>
        <v>7</v>
      </c>
    </row>
    <row r="5041" spans="1:19">
      <c r="A5041" s="26">
        <v>10441</v>
      </c>
      <c r="B5041" s="27">
        <v>41940</v>
      </c>
      <c r="C5041" s="28" t="s">
        <v>16075</v>
      </c>
      <c r="D5041" s="27">
        <v>41940</v>
      </c>
      <c r="E5041" s="28" t="s">
        <v>38</v>
      </c>
      <c r="F5041" s="28" t="s">
        <v>14336</v>
      </c>
      <c r="G5041" s="28" t="s">
        <v>20</v>
      </c>
      <c r="H5041" s="28" t="s">
        <v>189</v>
      </c>
      <c r="I5041" s="28" t="s">
        <v>189</v>
      </c>
      <c r="J5041" s="28" t="s">
        <v>16076</v>
      </c>
      <c r="K5041" s="28" t="s">
        <v>15269</v>
      </c>
      <c r="L5041" s="28" t="s">
        <v>1946</v>
      </c>
      <c r="M5041" s="28" t="s">
        <v>21</v>
      </c>
      <c r="O5041" s="92">
        <v>41940</v>
      </c>
      <c r="P5041" s="28" t="s">
        <v>21</v>
      </c>
      <c r="Q5041" s="26" t="b">
        <v>0</v>
      </c>
      <c r="R5041" s="22">
        <f t="shared" si="86"/>
        <v>0</v>
      </c>
    </row>
    <row r="5042" spans="1:19" ht="36">
      <c r="A5042" s="38">
        <v>10439</v>
      </c>
      <c r="B5042" s="39">
        <v>41941</v>
      </c>
      <c r="C5042" s="40" t="s">
        <v>18883</v>
      </c>
      <c r="D5042" s="39">
        <v>41940</v>
      </c>
      <c r="E5042" s="40" t="s">
        <v>16070</v>
      </c>
      <c r="F5042" s="40" t="s">
        <v>16071</v>
      </c>
      <c r="G5042" s="40" t="s">
        <v>20</v>
      </c>
      <c r="H5042" s="40" t="s">
        <v>71</v>
      </c>
      <c r="I5042" s="40" t="s">
        <v>72</v>
      </c>
      <c r="J5042" s="40" t="s">
        <v>9199</v>
      </c>
      <c r="K5042" s="40" t="s">
        <v>16072</v>
      </c>
      <c r="L5042" s="40" t="s">
        <v>14909</v>
      </c>
      <c r="M5042" s="40" t="s">
        <v>14518</v>
      </c>
      <c r="O5042" s="100">
        <v>43279</v>
      </c>
      <c r="P5042" s="41" t="s">
        <v>21</v>
      </c>
      <c r="Q5042" s="42" t="b">
        <v>0</v>
      </c>
      <c r="R5042" s="22">
        <f t="shared" si="86"/>
        <v>1337</v>
      </c>
      <c r="S5042" s="46" t="s">
        <v>19299</v>
      </c>
    </row>
    <row r="5043" spans="1:19" ht="32">
      <c r="A5043" s="33">
        <v>10440</v>
      </c>
      <c r="B5043" s="34">
        <v>41941</v>
      </c>
      <c r="C5043" s="35" t="s">
        <v>17938</v>
      </c>
      <c r="D5043" s="34">
        <v>41941</v>
      </c>
      <c r="E5043" s="35" t="s">
        <v>16073</v>
      </c>
      <c r="F5043" s="35" t="s">
        <v>149</v>
      </c>
      <c r="G5043" s="35" t="s">
        <v>20</v>
      </c>
      <c r="H5043" s="35" t="s">
        <v>71</v>
      </c>
      <c r="I5043" s="35" t="s">
        <v>72</v>
      </c>
      <c r="J5043" s="35" t="s">
        <v>16074</v>
      </c>
      <c r="K5043" s="35" t="s">
        <v>21</v>
      </c>
      <c r="L5043" s="35" t="s">
        <v>4282</v>
      </c>
      <c r="M5043" s="35" t="s">
        <v>21</v>
      </c>
      <c r="N5043" s="36"/>
      <c r="O5043" s="97">
        <v>42643</v>
      </c>
      <c r="P5043" s="35" t="s">
        <v>21</v>
      </c>
      <c r="Q5043" s="33" t="b">
        <v>0</v>
      </c>
      <c r="R5043" s="22">
        <f t="shared" si="86"/>
        <v>700</v>
      </c>
    </row>
    <row r="5044" spans="1:19">
      <c r="A5044" s="26">
        <v>10442</v>
      </c>
      <c r="B5044" s="27">
        <v>41943</v>
      </c>
      <c r="C5044" s="28" t="s">
        <v>16077</v>
      </c>
      <c r="D5044" s="27">
        <v>41964</v>
      </c>
      <c r="E5044" s="28" t="s">
        <v>16078</v>
      </c>
      <c r="F5044" s="28" t="s">
        <v>13960</v>
      </c>
      <c r="G5044" s="28" t="s">
        <v>20</v>
      </c>
      <c r="H5044" s="28" t="s">
        <v>71</v>
      </c>
      <c r="I5044" s="28" t="s">
        <v>72</v>
      </c>
      <c r="J5044" s="28" t="s">
        <v>16079</v>
      </c>
      <c r="K5044" s="28" t="s">
        <v>16080</v>
      </c>
      <c r="L5044" s="28" t="s">
        <v>1946</v>
      </c>
      <c r="M5044" s="28" t="s">
        <v>21</v>
      </c>
      <c r="O5044" s="92">
        <v>41964</v>
      </c>
      <c r="P5044" s="28" t="s">
        <v>21</v>
      </c>
      <c r="Q5044" s="26" t="b">
        <v>0</v>
      </c>
      <c r="R5044" s="22">
        <f t="shared" si="86"/>
        <v>21</v>
      </c>
    </row>
    <row r="5045" spans="1:19">
      <c r="A5045" s="26">
        <v>10443</v>
      </c>
      <c r="B5045" s="27">
        <v>41946</v>
      </c>
      <c r="C5045" s="28" t="s">
        <v>19158</v>
      </c>
      <c r="D5045" s="27">
        <v>41946</v>
      </c>
      <c r="E5045" s="28" t="s">
        <v>16081</v>
      </c>
      <c r="F5045" s="28" t="s">
        <v>371</v>
      </c>
      <c r="G5045" s="28" t="s">
        <v>20</v>
      </c>
      <c r="H5045" s="28" t="s">
        <v>71</v>
      </c>
      <c r="I5045" s="28" t="s">
        <v>72</v>
      </c>
      <c r="J5045" s="28" t="s">
        <v>16082</v>
      </c>
      <c r="K5045" s="28" t="s">
        <v>10189</v>
      </c>
      <c r="L5045" s="28" t="s">
        <v>14518</v>
      </c>
      <c r="M5045" s="28" t="s">
        <v>21</v>
      </c>
      <c r="O5045" s="92">
        <v>42914</v>
      </c>
      <c r="P5045" s="28" t="s">
        <v>21</v>
      </c>
      <c r="Q5045" s="26" t="b">
        <v>0</v>
      </c>
      <c r="R5045" s="22">
        <f t="shared" si="86"/>
        <v>968</v>
      </c>
      <c r="S5045" s="37" t="s">
        <v>21</v>
      </c>
    </row>
    <row r="5046" spans="1:19">
      <c r="A5046" s="26">
        <v>10444</v>
      </c>
      <c r="B5046" s="27">
        <v>41950</v>
      </c>
      <c r="C5046" s="28" t="s">
        <v>16083</v>
      </c>
      <c r="D5046" s="27">
        <v>41946</v>
      </c>
      <c r="E5046" s="28" t="s">
        <v>1928</v>
      </c>
      <c r="F5046" s="28" t="s">
        <v>11050</v>
      </c>
      <c r="G5046" s="28" t="s">
        <v>20</v>
      </c>
      <c r="H5046" s="28" t="s">
        <v>189</v>
      </c>
      <c r="I5046" s="28" t="s">
        <v>189</v>
      </c>
      <c r="J5046" s="28" t="s">
        <v>16041</v>
      </c>
      <c r="K5046" s="28" t="s">
        <v>21</v>
      </c>
      <c r="L5046" s="28" t="s">
        <v>4282</v>
      </c>
      <c r="M5046" s="28" t="s">
        <v>21</v>
      </c>
      <c r="O5046" s="94">
        <v>41956</v>
      </c>
      <c r="P5046" s="28" t="s">
        <v>21</v>
      </c>
      <c r="Q5046" s="26" t="b">
        <v>0</v>
      </c>
      <c r="R5046" s="22">
        <f t="shared" si="86"/>
        <v>6</v>
      </c>
    </row>
    <row r="5047" spans="1:19" ht="24">
      <c r="A5047" s="26">
        <v>10445</v>
      </c>
      <c r="B5047" s="27">
        <v>41953</v>
      </c>
      <c r="C5047" s="28" t="s">
        <v>16084</v>
      </c>
      <c r="D5047" s="27">
        <v>41948</v>
      </c>
      <c r="E5047" s="28" t="s">
        <v>38</v>
      </c>
      <c r="F5047" s="28" t="s">
        <v>16085</v>
      </c>
      <c r="G5047" s="28" t="s">
        <v>20</v>
      </c>
      <c r="H5047" s="28" t="s">
        <v>71</v>
      </c>
      <c r="I5047" s="28" t="s">
        <v>72</v>
      </c>
      <c r="J5047" s="28" t="s">
        <v>6561</v>
      </c>
      <c r="K5047" s="28" t="s">
        <v>16086</v>
      </c>
      <c r="L5047" s="28" t="s">
        <v>7167</v>
      </c>
      <c r="M5047" s="28" t="s">
        <v>21</v>
      </c>
      <c r="O5047" s="94">
        <v>41956</v>
      </c>
      <c r="P5047" s="28" t="s">
        <v>21</v>
      </c>
      <c r="Q5047" s="26" t="b">
        <v>0</v>
      </c>
      <c r="R5047" s="22">
        <f t="shared" si="86"/>
        <v>3</v>
      </c>
    </row>
    <row r="5048" spans="1:19">
      <c r="A5048" s="26">
        <v>10446</v>
      </c>
      <c r="B5048" s="27">
        <v>41953</v>
      </c>
      <c r="C5048" s="28" t="s">
        <v>16087</v>
      </c>
      <c r="D5048" s="27">
        <v>41946</v>
      </c>
      <c r="E5048" s="28" t="s">
        <v>16088</v>
      </c>
      <c r="F5048" s="28" t="s">
        <v>689</v>
      </c>
      <c r="G5048" s="28" t="s">
        <v>20</v>
      </c>
      <c r="H5048" s="28" t="s">
        <v>212</v>
      </c>
      <c r="I5048" s="28" t="s">
        <v>212</v>
      </c>
      <c r="J5048" s="28" t="s">
        <v>6081</v>
      </c>
      <c r="K5048" s="28" t="s">
        <v>16089</v>
      </c>
      <c r="L5048" s="28" t="s">
        <v>1946</v>
      </c>
      <c r="M5048" s="28" t="s">
        <v>21</v>
      </c>
      <c r="O5048" s="94">
        <v>41964</v>
      </c>
      <c r="P5048" s="28" t="s">
        <v>21</v>
      </c>
      <c r="Q5048" s="26" t="b">
        <v>0</v>
      </c>
      <c r="R5048" s="22">
        <f t="shared" si="86"/>
        <v>11</v>
      </c>
    </row>
    <row r="5049" spans="1:19">
      <c r="A5049" s="26">
        <v>10447</v>
      </c>
      <c r="B5049" s="27">
        <v>41953</v>
      </c>
      <c r="C5049" s="28" t="s">
        <v>16090</v>
      </c>
      <c r="D5049" s="27">
        <v>41949</v>
      </c>
      <c r="E5049" s="28" t="s">
        <v>16091</v>
      </c>
      <c r="F5049" s="28" t="s">
        <v>242</v>
      </c>
      <c r="G5049" s="28" t="s">
        <v>20</v>
      </c>
      <c r="H5049" s="28" t="s">
        <v>71</v>
      </c>
      <c r="I5049" s="28" t="s">
        <v>72</v>
      </c>
      <c r="J5049" s="28" t="s">
        <v>6043</v>
      </c>
      <c r="K5049" s="28" t="s">
        <v>16092</v>
      </c>
      <c r="L5049" s="28" t="s">
        <v>14909</v>
      </c>
      <c r="M5049" s="28" t="s">
        <v>21</v>
      </c>
      <c r="O5049" s="92">
        <v>41985</v>
      </c>
      <c r="P5049" s="28" t="s">
        <v>21</v>
      </c>
      <c r="Q5049" s="26" t="b">
        <v>0</v>
      </c>
      <c r="R5049" s="22">
        <f t="shared" si="86"/>
        <v>32</v>
      </c>
    </row>
    <row r="5050" spans="1:19">
      <c r="A5050" s="26">
        <v>10448</v>
      </c>
      <c r="B5050" s="27">
        <v>41955</v>
      </c>
      <c r="C5050" s="28" t="s">
        <v>16093</v>
      </c>
      <c r="D5050" s="27">
        <v>41949</v>
      </c>
      <c r="E5050" s="28" t="s">
        <v>1928</v>
      </c>
      <c r="F5050" s="28" t="s">
        <v>11050</v>
      </c>
      <c r="G5050" s="28" t="s">
        <v>20</v>
      </c>
      <c r="H5050" s="28" t="s">
        <v>189</v>
      </c>
      <c r="I5050" s="28" t="s">
        <v>189</v>
      </c>
      <c r="J5050" s="28" t="s">
        <v>16094</v>
      </c>
      <c r="K5050" s="28" t="s">
        <v>16095</v>
      </c>
      <c r="L5050" s="28" t="s">
        <v>1946</v>
      </c>
      <c r="M5050" s="28" t="s">
        <v>21</v>
      </c>
      <c r="O5050" s="92">
        <v>41953</v>
      </c>
      <c r="P5050" s="28" t="s">
        <v>21</v>
      </c>
      <c r="Q5050" s="26" t="b">
        <v>0</v>
      </c>
      <c r="R5050" s="22">
        <f t="shared" si="86"/>
        <v>2</v>
      </c>
    </row>
    <row r="5051" spans="1:19">
      <c r="A5051" s="26">
        <v>10449</v>
      </c>
      <c r="B5051" s="27">
        <v>41955</v>
      </c>
      <c r="C5051" s="28" t="s">
        <v>16096</v>
      </c>
      <c r="D5051" s="27">
        <v>41955</v>
      </c>
      <c r="E5051" s="28" t="s">
        <v>1928</v>
      </c>
      <c r="F5051" s="28" t="s">
        <v>11050</v>
      </c>
      <c r="G5051" s="28" t="s">
        <v>20</v>
      </c>
      <c r="H5051" s="28" t="s">
        <v>189</v>
      </c>
      <c r="I5051" s="28" t="s">
        <v>189</v>
      </c>
      <c r="J5051" s="28" t="s">
        <v>16097</v>
      </c>
      <c r="K5051" s="28" t="s">
        <v>16098</v>
      </c>
      <c r="L5051" s="28" t="s">
        <v>4282</v>
      </c>
      <c r="M5051" s="28" t="s">
        <v>21</v>
      </c>
      <c r="O5051" s="92">
        <v>41956</v>
      </c>
      <c r="P5051" s="28" t="s">
        <v>21</v>
      </c>
      <c r="Q5051" s="26" t="b">
        <v>0</v>
      </c>
      <c r="R5051" s="22">
        <f t="shared" si="86"/>
        <v>1</v>
      </c>
    </row>
    <row r="5052" spans="1:19">
      <c r="A5052" s="26">
        <v>10450</v>
      </c>
      <c r="B5052" s="27">
        <v>41955</v>
      </c>
      <c r="C5052" s="28" t="s">
        <v>16099</v>
      </c>
      <c r="D5052" s="27">
        <v>41955</v>
      </c>
      <c r="E5052" s="28" t="s">
        <v>1928</v>
      </c>
      <c r="F5052" s="28" t="s">
        <v>11050</v>
      </c>
      <c r="G5052" s="28" t="s">
        <v>20</v>
      </c>
      <c r="H5052" s="28" t="s">
        <v>189</v>
      </c>
      <c r="I5052" s="28" t="s">
        <v>189</v>
      </c>
      <c r="J5052" s="28" t="s">
        <v>16100</v>
      </c>
      <c r="K5052" s="28" t="s">
        <v>16098</v>
      </c>
      <c r="L5052" s="28" t="s">
        <v>4282</v>
      </c>
      <c r="M5052" s="28" t="s">
        <v>21</v>
      </c>
      <c r="O5052" s="94">
        <v>41955</v>
      </c>
      <c r="P5052" s="28" t="s">
        <v>21</v>
      </c>
      <c r="Q5052" s="26" t="b">
        <v>0</v>
      </c>
      <c r="R5052" s="22">
        <f t="shared" si="86"/>
        <v>0</v>
      </c>
    </row>
    <row r="5053" spans="1:19">
      <c r="A5053" s="26">
        <v>10452</v>
      </c>
      <c r="B5053" s="27">
        <v>41957</v>
      </c>
      <c r="C5053" s="28" t="s">
        <v>16101</v>
      </c>
      <c r="D5053" s="27">
        <v>41957</v>
      </c>
      <c r="E5053" s="28" t="s">
        <v>16102</v>
      </c>
      <c r="F5053" s="28" t="s">
        <v>124</v>
      </c>
      <c r="G5053" s="28" t="s">
        <v>20</v>
      </c>
      <c r="H5053" s="28" t="s">
        <v>71</v>
      </c>
      <c r="I5053" s="28" t="s">
        <v>72</v>
      </c>
      <c r="J5053" s="28" t="s">
        <v>16103</v>
      </c>
      <c r="K5053" s="28" t="s">
        <v>16104</v>
      </c>
      <c r="L5053" s="28" t="s">
        <v>14909</v>
      </c>
      <c r="M5053" s="28" t="s">
        <v>21</v>
      </c>
      <c r="O5053" s="92">
        <v>41995</v>
      </c>
      <c r="P5053" s="28" t="s">
        <v>21</v>
      </c>
      <c r="Q5053" s="26" t="b">
        <v>0</v>
      </c>
      <c r="R5053" s="22">
        <f t="shared" si="86"/>
        <v>38</v>
      </c>
    </row>
    <row r="5054" spans="1:19" ht="24">
      <c r="A5054" s="26">
        <v>10453</v>
      </c>
      <c r="B5054" s="27">
        <v>41961</v>
      </c>
      <c r="C5054" s="28" t="s">
        <v>16105</v>
      </c>
      <c r="D5054" s="27">
        <v>41961</v>
      </c>
      <c r="E5054" s="28" t="s">
        <v>16106</v>
      </c>
      <c r="F5054" s="28" t="s">
        <v>16107</v>
      </c>
      <c r="G5054" s="28" t="s">
        <v>20</v>
      </c>
      <c r="H5054" s="28" t="s">
        <v>71</v>
      </c>
      <c r="I5054" s="28" t="s">
        <v>72</v>
      </c>
      <c r="J5054" s="28" t="s">
        <v>16108</v>
      </c>
      <c r="K5054" s="28" t="s">
        <v>21</v>
      </c>
      <c r="L5054" s="28" t="s">
        <v>7167</v>
      </c>
      <c r="M5054" s="28" t="s">
        <v>21</v>
      </c>
      <c r="O5054" s="94">
        <v>42026</v>
      </c>
      <c r="P5054" s="28" t="s">
        <v>21</v>
      </c>
      <c r="Q5054" s="26" t="b">
        <v>0</v>
      </c>
      <c r="R5054" s="22">
        <f t="shared" si="86"/>
        <v>64</v>
      </c>
    </row>
    <row r="5055" spans="1:19">
      <c r="A5055" s="26">
        <v>10454</v>
      </c>
      <c r="B5055" s="27">
        <v>41962</v>
      </c>
      <c r="C5055" s="28" t="s">
        <v>16109</v>
      </c>
      <c r="D5055" s="27">
        <v>41961</v>
      </c>
      <c r="E5055" s="28" t="s">
        <v>16110</v>
      </c>
      <c r="F5055" s="28" t="s">
        <v>85</v>
      </c>
      <c r="G5055" s="28" t="s">
        <v>20</v>
      </c>
      <c r="H5055" s="28" t="s">
        <v>71</v>
      </c>
      <c r="I5055" s="28" t="s">
        <v>72</v>
      </c>
      <c r="J5055" s="28" t="s">
        <v>16111</v>
      </c>
      <c r="K5055" s="28" t="s">
        <v>16112</v>
      </c>
      <c r="L5055" s="28" t="s">
        <v>7167</v>
      </c>
      <c r="M5055" s="28" t="s">
        <v>21</v>
      </c>
      <c r="O5055" s="92">
        <v>42003</v>
      </c>
      <c r="P5055" s="28" t="s">
        <v>21</v>
      </c>
      <c r="Q5055" s="26" t="b">
        <v>0</v>
      </c>
      <c r="R5055" s="22">
        <f t="shared" si="86"/>
        <v>41</v>
      </c>
    </row>
    <row r="5056" spans="1:19" ht="24">
      <c r="A5056" s="26">
        <v>10455</v>
      </c>
      <c r="B5056" s="27">
        <v>41963</v>
      </c>
      <c r="C5056" s="28" t="s">
        <v>16113</v>
      </c>
      <c r="D5056" s="27">
        <v>41952</v>
      </c>
      <c r="E5056" s="28" t="s">
        <v>16114</v>
      </c>
      <c r="F5056" s="28" t="s">
        <v>16115</v>
      </c>
      <c r="G5056" s="28" t="s">
        <v>20</v>
      </c>
      <c r="H5056" s="28" t="s">
        <v>566</v>
      </c>
      <c r="I5056" s="28" t="s">
        <v>566</v>
      </c>
      <c r="J5056" s="28" t="s">
        <v>16116</v>
      </c>
      <c r="K5056" s="28" t="s">
        <v>16117</v>
      </c>
      <c r="L5056" s="28" t="s">
        <v>1946</v>
      </c>
      <c r="M5056" s="28" t="s">
        <v>21</v>
      </c>
      <c r="O5056" s="92">
        <v>42004</v>
      </c>
      <c r="P5056" s="28" t="s">
        <v>21</v>
      </c>
      <c r="Q5056" s="26" t="b">
        <v>0</v>
      </c>
      <c r="R5056" s="22">
        <f t="shared" si="86"/>
        <v>41</v>
      </c>
    </row>
    <row r="5057" spans="1:19">
      <c r="A5057" s="38">
        <v>10456</v>
      </c>
      <c r="B5057" s="39">
        <v>41964</v>
      </c>
      <c r="C5057" s="40" t="s">
        <v>18884</v>
      </c>
      <c r="D5057" s="39">
        <v>41963</v>
      </c>
      <c r="E5057" s="40" t="s">
        <v>16118</v>
      </c>
      <c r="F5057" s="40" t="s">
        <v>13422</v>
      </c>
      <c r="G5057" s="40" t="s">
        <v>20</v>
      </c>
      <c r="H5057" s="40" t="s">
        <v>189</v>
      </c>
      <c r="I5057" s="40" t="s">
        <v>72</v>
      </c>
      <c r="J5057" s="40" t="s">
        <v>16119</v>
      </c>
      <c r="K5057" s="40" t="s">
        <v>16120</v>
      </c>
      <c r="L5057" s="40" t="s">
        <v>4282</v>
      </c>
      <c r="M5057" s="40" t="s">
        <v>21</v>
      </c>
      <c r="O5057" s="100">
        <v>43236</v>
      </c>
      <c r="P5057" s="41" t="s">
        <v>21</v>
      </c>
      <c r="Q5057" s="42" t="b">
        <v>0</v>
      </c>
      <c r="R5057" s="22">
        <f t="shared" si="86"/>
        <v>1272</v>
      </c>
    </row>
    <row r="5058" spans="1:19">
      <c r="A5058" s="26">
        <v>10457</v>
      </c>
      <c r="B5058" s="27">
        <v>41964</v>
      </c>
      <c r="C5058" s="28" t="s">
        <v>16121</v>
      </c>
      <c r="D5058" s="27">
        <v>41963</v>
      </c>
      <c r="E5058" s="28" t="s">
        <v>16122</v>
      </c>
      <c r="F5058" s="28" t="s">
        <v>16123</v>
      </c>
      <c r="G5058" s="28" t="s">
        <v>20</v>
      </c>
      <c r="H5058" s="28" t="s">
        <v>71</v>
      </c>
      <c r="I5058" s="28" t="s">
        <v>72</v>
      </c>
      <c r="J5058" s="28" t="s">
        <v>16124</v>
      </c>
      <c r="K5058" s="28" t="s">
        <v>16125</v>
      </c>
      <c r="L5058" s="28" t="s">
        <v>4282</v>
      </c>
      <c r="M5058" s="28" t="s">
        <v>21</v>
      </c>
      <c r="O5058" s="92">
        <v>42047</v>
      </c>
      <c r="P5058" s="28" t="s">
        <v>21</v>
      </c>
      <c r="Q5058" s="26" t="b">
        <v>0</v>
      </c>
      <c r="R5058" s="22">
        <f t="shared" si="86"/>
        <v>82</v>
      </c>
    </row>
    <row r="5059" spans="1:19" ht="32">
      <c r="A5059" s="33">
        <v>10460</v>
      </c>
      <c r="B5059" s="34">
        <v>41964</v>
      </c>
      <c r="C5059" s="35" t="s">
        <v>17768</v>
      </c>
      <c r="D5059" s="34">
        <v>41964</v>
      </c>
      <c r="E5059" s="35" t="s">
        <v>16128</v>
      </c>
      <c r="F5059" s="35" t="s">
        <v>861</v>
      </c>
      <c r="G5059" s="35" t="s">
        <v>20</v>
      </c>
      <c r="H5059" s="35" t="s">
        <v>566</v>
      </c>
      <c r="I5059" s="35" t="s">
        <v>10070</v>
      </c>
      <c r="J5059" s="35" t="s">
        <v>16129</v>
      </c>
      <c r="K5059" s="35" t="s">
        <v>16130</v>
      </c>
      <c r="L5059" s="35" t="s">
        <v>14909</v>
      </c>
      <c r="M5059" s="35" t="s">
        <v>21</v>
      </c>
      <c r="N5059" s="36"/>
      <c r="O5059" s="97">
        <v>42579</v>
      </c>
      <c r="P5059" s="35" t="s">
        <v>21</v>
      </c>
      <c r="Q5059" s="33" t="b">
        <v>0</v>
      </c>
      <c r="R5059" s="22">
        <f t="shared" si="86"/>
        <v>615</v>
      </c>
    </row>
    <row r="5060" spans="1:19">
      <c r="A5060" s="26">
        <v>10459</v>
      </c>
      <c r="B5060" s="27">
        <v>41967</v>
      </c>
      <c r="C5060" s="28" t="s">
        <v>16126</v>
      </c>
      <c r="D5060" s="27">
        <v>41967</v>
      </c>
      <c r="E5060" s="28" t="s">
        <v>1928</v>
      </c>
      <c r="F5060" s="28" t="s">
        <v>14552</v>
      </c>
      <c r="G5060" s="28" t="s">
        <v>20</v>
      </c>
      <c r="H5060" s="28" t="s">
        <v>71</v>
      </c>
      <c r="I5060" s="28" t="s">
        <v>72</v>
      </c>
      <c r="J5060" s="28" t="s">
        <v>16127</v>
      </c>
      <c r="K5060" s="28" t="s">
        <v>15911</v>
      </c>
      <c r="L5060" s="28" t="s">
        <v>1946</v>
      </c>
      <c r="M5060" s="28" t="s">
        <v>21</v>
      </c>
      <c r="O5060" s="94">
        <v>41967</v>
      </c>
      <c r="P5060" s="28" t="s">
        <v>21</v>
      </c>
      <c r="Q5060" s="26" t="b">
        <v>0</v>
      </c>
      <c r="R5060" s="22">
        <f t="shared" ref="R5060:R5073" si="87">IF(O5060=" ", " ", INT(YEARFRAC(O5060, B5060)*365))</f>
        <v>0</v>
      </c>
    </row>
    <row r="5061" spans="1:19">
      <c r="A5061" s="26">
        <v>10461</v>
      </c>
      <c r="B5061" s="27">
        <v>41967</v>
      </c>
      <c r="C5061" s="28" t="s">
        <v>19166</v>
      </c>
      <c r="D5061" s="27">
        <v>41967</v>
      </c>
      <c r="E5061" s="28" t="s">
        <v>16131</v>
      </c>
      <c r="F5061" s="28" t="s">
        <v>733</v>
      </c>
      <c r="G5061" s="28" t="s">
        <v>20</v>
      </c>
      <c r="H5061" s="28" t="s">
        <v>71</v>
      </c>
      <c r="I5061" s="28" t="s">
        <v>72</v>
      </c>
      <c r="J5061" s="28" t="s">
        <v>15924</v>
      </c>
      <c r="K5061" s="28" t="s">
        <v>16132</v>
      </c>
      <c r="L5061" s="28" t="s">
        <v>7167</v>
      </c>
      <c r="M5061" s="28" t="s">
        <v>21</v>
      </c>
      <c r="O5061" s="92">
        <v>42916</v>
      </c>
      <c r="P5061" s="28" t="s">
        <v>21</v>
      </c>
      <c r="Q5061" s="26" t="b">
        <v>0</v>
      </c>
      <c r="R5061" s="22">
        <f t="shared" si="87"/>
        <v>949</v>
      </c>
      <c r="S5061" s="37" t="s">
        <v>21</v>
      </c>
    </row>
    <row r="5062" spans="1:19">
      <c r="A5062" s="38">
        <v>10462</v>
      </c>
      <c r="B5062" s="39">
        <v>41967</v>
      </c>
      <c r="C5062" s="40" t="s">
        <v>18885</v>
      </c>
      <c r="D5062" s="39">
        <v>41967</v>
      </c>
      <c r="E5062" s="40" t="s">
        <v>16133</v>
      </c>
      <c r="F5062" s="40" t="s">
        <v>12334</v>
      </c>
      <c r="G5062" s="40" t="s">
        <v>20</v>
      </c>
      <c r="H5062" s="40" t="s">
        <v>189</v>
      </c>
      <c r="I5062" s="40" t="s">
        <v>20</v>
      </c>
      <c r="J5062" s="40" t="s">
        <v>6950</v>
      </c>
      <c r="K5062" s="40" t="s">
        <v>16134</v>
      </c>
      <c r="L5062" s="40" t="s">
        <v>7167</v>
      </c>
      <c r="M5062" s="40" t="s">
        <v>21</v>
      </c>
      <c r="O5062" s="100">
        <v>43280</v>
      </c>
      <c r="P5062" s="41" t="s">
        <v>21</v>
      </c>
      <c r="Q5062" s="42" t="b">
        <v>0</v>
      </c>
      <c r="R5062" s="22">
        <f t="shared" si="87"/>
        <v>1312</v>
      </c>
    </row>
    <row r="5063" spans="1:19">
      <c r="A5063" s="26">
        <v>10463</v>
      </c>
      <c r="B5063" s="27">
        <v>41968</v>
      </c>
      <c r="C5063" s="28" t="s">
        <v>16135</v>
      </c>
      <c r="D5063" s="27">
        <v>41968</v>
      </c>
      <c r="E5063" s="28" t="s">
        <v>1928</v>
      </c>
      <c r="F5063" s="28" t="s">
        <v>16136</v>
      </c>
      <c r="G5063" s="28" t="s">
        <v>20</v>
      </c>
      <c r="H5063" s="28" t="s">
        <v>71</v>
      </c>
      <c r="I5063" s="28" t="s">
        <v>71</v>
      </c>
      <c r="J5063" s="28" t="s">
        <v>16137</v>
      </c>
      <c r="K5063" s="28" t="s">
        <v>16138</v>
      </c>
      <c r="L5063" s="28" t="s">
        <v>7167</v>
      </c>
      <c r="M5063" s="28" t="s">
        <v>21</v>
      </c>
      <c r="O5063" s="92">
        <v>41985</v>
      </c>
      <c r="P5063" s="28" t="s">
        <v>21</v>
      </c>
      <c r="Q5063" s="26" t="b">
        <v>0</v>
      </c>
      <c r="R5063" s="22">
        <f t="shared" si="87"/>
        <v>17</v>
      </c>
    </row>
    <row r="5064" spans="1:19">
      <c r="A5064" s="26">
        <v>10464</v>
      </c>
      <c r="B5064" s="27">
        <v>41968</v>
      </c>
      <c r="C5064" s="28" t="s">
        <v>16139</v>
      </c>
      <c r="D5064" s="27">
        <v>41968</v>
      </c>
      <c r="E5064" s="28" t="s">
        <v>1928</v>
      </c>
      <c r="F5064" s="28" t="s">
        <v>16136</v>
      </c>
      <c r="G5064" s="28" t="s">
        <v>20</v>
      </c>
      <c r="H5064" s="28" t="s">
        <v>71</v>
      </c>
      <c r="I5064" s="28" t="s">
        <v>72</v>
      </c>
      <c r="J5064" s="28" t="s">
        <v>16140</v>
      </c>
      <c r="K5064" s="28" t="s">
        <v>15875</v>
      </c>
      <c r="L5064" s="28" t="s">
        <v>1946</v>
      </c>
      <c r="M5064" s="28" t="s">
        <v>21</v>
      </c>
      <c r="O5064" s="94">
        <v>41981</v>
      </c>
      <c r="P5064" s="28" t="s">
        <v>21</v>
      </c>
      <c r="Q5064" s="26" t="b">
        <v>0</v>
      </c>
      <c r="R5064" s="22">
        <f t="shared" si="87"/>
        <v>13</v>
      </c>
    </row>
    <row r="5065" spans="1:19">
      <c r="A5065" s="26">
        <v>10465</v>
      </c>
      <c r="B5065" s="27">
        <v>41968</v>
      </c>
      <c r="C5065" s="28" t="s">
        <v>16141</v>
      </c>
      <c r="D5065" s="27">
        <v>41968</v>
      </c>
      <c r="E5065" s="28" t="s">
        <v>1928</v>
      </c>
      <c r="F5065" s="28" t="s">
        <v>16136</v>
      </c>
      <c r="G5065" s="28" t="s">
        <v>20</v>
      </c>
      <c r="H5065" s="28" t="s">
        <v>71</v>
      </c>
      <c r="I5065" s="28" t="s">
        <v>72</v>
      </c>
      <c r="J5065" s="28" t="s">
        <v>16142</v>
      </c>
      <c r="K5065" s="28" t="s">
        <v>16143</v>
      </c>
      <c r="L5065" s="28" t="s">
        <v>8744</v>
      </c>
      <c r="M5065" s="28" t="s">
        <v>21</v>
      </c>
      <c r="O5065" s="92">
        <v>41982</v>
      </c>
      <c r="P5065" s="28" t="s">
        <v>21</v>
      </c>
      <c r="Q5065" s="26" t="b">
        <v>0</v>
      </c>
      <c r="R5065" s="22">
        <f t="shared" si="87"/>
        <v>14</v>
      </c>
    </row>
    <row r="5066" spans="1:19">
      <c r="A5066" s="38">
        <v>10466</v>
      </c>
      <c r="B5066" s="39">
        <v>41969</v>
      </c>
      <c r="C5066" s="40" t="s">
        <v>18886</v>
      </c>
      <c r="D5066" s="39">
        <v>41969</v>
      </c>
      <c r="E5066" s="40" t="s">
        <v>16144</v>
      </c>
      <c r="F5066" s="40" t="s">
        <v>2146</v>
      </c>
      <c r="G5066" s="40" t="s">
        <v>20</v>
      </c>
      <c r="H5066" s="40" t="s">
        <v>20</v>
      </c>
      <c r="I5066" s="40" t="s">
        <v>20</v>
      </c>
      <c r="J5066" s="40" t="s">
        <v>16145</v>
      </c>
      <c r="K5066" s="40" t="s">
        <v>9348</v>
      </c>
      <c r="L5066" s="40" t="s">
        <v>1946</v>
      </c>
      <c r="M5066" s="40" t="s">
        <v>21</v>
      </c>
      <c r="O5066" s="100">
        <v>43188</v>
      </c>
      <c r="P5066" s="41" t="s">
        <v>21</v>
      </c>
      <c r="Q5066" s="42" t="b">
        <v>0</v>
      </c>
      <c r="R5066" s="22">
        <f t="shared" si="87"/>
        <v>1219</v>
      </c>
    </row>
    <row r="5067" spans="1:19">
      <c r="A5067" s="26">
        <v>10467</v>
      </c>
      <c r="B5067" s="27">
        <v>41971</v>
      </c>
      <c r="C5067" s="28" t="s">
        <v>16146</v>
      </c>
      <c r="D5067" s="27">
        <v>41964</v>
      </c>
      <c r="E5067" s="28" t="s">
        <v>16147</v>
      </c>
      <c r="F5067" s="28" t="s">
        <v>350</v>
      </c>
      <c r="G5067" s="28" t="s">
        <v>20</v>
      </c>
      <c r="H5067" s="28" t="s">
        <v>11905</v>
      </c>
      <c r="I5067" s="28" t="s">
        <v>72</v>
      </c>
      <c r="J5067" s="28" t="s">
        <v>9218</v>
      </c>
      <c r="K5067" s="28" t="s">
        <v>16148</v>
      </c>
      <c r="L5067" s="28" t="s">
        <v>1946</v>
      </c>
      <c r="M5067" s="28" t="s">
        <v>21</v>
      </c>
      <c r="O5067" s="94">
        <v>42178</v>
      </c>
      <c r="P5067" s="28" t="s">
        <v>21</v>
      </c>
      <c r="Q5067" s="26" t="b">
        <v>0</v>
      </c>
      <c r="R5067" s="22">
        <f t="shared" si="87"/>
        <v>207</v>
      </c>
    </row>
    <row r="5068" spans="1:19">
      <c r="A5068" s="26">
        <v>10472</v>
      </c>
      <c r="B5068" s="27">
        <v>41975</v>
      </c>
      <c r="C5068" s="28" t="s">
        <v>16155</v>
      </c>
      <c r="D5068" s="27">
        <v>41975</v>
      </c>
      <c r="E5068" s="28" t="s">
        <v>16156</v>
      </c>
      <c r="F5068" s="28" t="s">
        <v>129</v>
      </c>
      <c r="G5068" s="28" t="s">
        <v>20</v>
      </c>
      <c r="H5068" s="28" t="s">
        <v>71</v>
      </c>
      <c r="I5068" s="28" t="s">
        <v>72</v>
      </c>
      <c r="J5068" s="28" t="s">
        <v>16157</v>
      </c>
      <c r="K5068" s="28" t="s">
        <v>21</v>
      </c>
      <c r="L5068" s="28" t="s">
        <v>4282</v>
      </c>
      <c r="M5068" s="28" t="s">
        <v>21</v>
      </c>
      <c r="O5068" s="94">
        <v>42111</v>
      </c>
      <c r="P5068" s="28" t="s">
        <v>21</v>
      </c>
      <c r="Q5068" s="26" t="b">
        <v>0</v>
      </c>
      <c r="R5068" s="22">
        <f t="shared" si="87"/>
        <v>136</v>
      </c>
    </row>
    <row r="5069" spans="1:19">
      <c r="A5069" s="26">
        <v>10473</v>
      </c>
      <c r="B5069" s="27">
        <v>41975</v>
      </c>
      <c r="C5069" s="28" t="s">
        <v>16149</v>
      </c>
      <c r="D5069" s="27">
        <v>41968</v>
      </c>
      <c r="E5069" s="28" t="s">
        <v>38</v>
      </c>
      <c r="F5069" s="28" t="s">
        <v>6580</v>
      </c>
      <c r="G5069" s="28" t="s">
        <v>20</v>
      </c>
      <c r="H5069" s="28" t="s">
        <v>71</v>
      </c>
      <c r="I5069" s="28" t="s">
        <v>72</v>
      </c>
      <c r="J5069" s="28" t="s">
        <v>16158</v>
      </c>
      <c r="K5069" s="28" t="s">
        <v>16159</v>
      </c>
      <c r="L5069" s="28" t="s">
        <v>14518</v>
      </c>
      <c r="M5069" s="28" t="s">
        <v>21</v>
      </c>
      <c r="O5069" s="92">
        <v>42047</v>
      </c>
      <c r="P5069" s="28" t="s">
        <v>21</v>
      </c>
      <c r="Q5069" s="26" t="b">
        <v>0</v>
      </c>
      <c r="R5069" s="22">
        <f t="shared" si="87"/>
        <v>70</v>
      </c>
    </row>
    <row r="5070" spans="1:19">
      <c r="A5070" s="26">
        <v>10474</v>
      </c>
      <c r="B5070" s="27">
        <v>41975</v>
      </c>
      <c r="C5070" s="28" t="s">
        <v>16160</v>
      </c>
      <c r="D5070" s="27">
        <v>41968</v>
      </c>
      <c r="E5070" s="28" t="s">
        <v>16161</v>
      </c>
      <c r="F5070" s="28" t="s">
        <v>6580</v>
      </c>
      <c r="G5070" s="28" t="s">
        <v>20</v>
      </c>
      <c r="H5070" s="28" t="s">
        <v>71</v>
      </c>
      <c r="I5070" s="28" t="s">
        <v>72</v>
      </c>
      <c r="J5070" s="28" t="s">
        <v>14828</v>
      </c>
      <c r="K5070" s="28" t="s">
        <v>13358</v>
      </c>
      <c r="L5070" s="28" t="s">
        <v>14518</v>
      </c>
      <c r="M5070" s="28" t="s">
        <v>21</v>
      </c>
      <c r="O5070" s="94">
        <v>42138</v>
      </c>
      <c r="P5070" s="28" t="s">
        <v>21</v>
      </c>
      <c r="Q5070" s="26" t="b">
        <v>0</v>
      </c>
      <c r="R5070" s="22">
        <f t="shared" si="87"/>
        <v>164</v>
      </c>
    </row>
    <row r="5071" spans="1:19" ht="32">
      <c r="A5071" s="33">
        <v>10470</v>
      </c>
      <c r="B5071" s="34">
        <v>41977</v>
      </c>
      <c r="C5071" s="35" t="s">
        <v>17617</v>
      </c>
      <c r="D5071" s="34">
        <v>41977</v>
      </c>
      <c r="E5071" s="35" t="s">
        <v>16150</v>
      </c>
      <c r="F5071" s="35" t="s">
        <v>1686</v>
      </c>
      <c r="G5071" s="35" t="s">
        <v>20</v>
      </c>
      <c r="H5071" s="35" t="s">
        <v>71</v>
      </c>
      <c r="I5071" s="35" t="s">
        <v>72</v>
      </c>
      <c r="J5071" s="35" t="s">
        <v>16151</v>
      </c>
      <c r="K5071" s="35" t="s">
        <v>9348</v>
      </c>
      <c r="L5071" s="35" t="s">
        <v>1946</v>
      </c>
      <c r="M5071" s="35" t="s">
        <v>17616</v>
      </c>
      <c r="N5071" s="36"/>
      <c r="O5071" s="96">
        <v>42482</v>
      </c>
      <c r="P5071" s="35" t="s">
        <v>21</v>
      </c>
      <c r="Q5071" s="33" t="b">
        <v>0</v>
      </c>
      <c r="R5071" s="22">
        <f t="shared" si="87"/>
        <v>504</v>
      </c>
    </row>
    <row r="5072" spans="1:19">
      <c r="A5072" s="26">
        <v>10471</v>
      </c>
      <c r="B5072" s="27">
        <v>41977</v>
      </c>
      <c r="C5072" s="28" t="s">
        <v>16152</v>
      </c>
      <c r="D5072" s="27">
        <v>41977</v>
      </c>
      <c r="E5072" s="28" t="s">
        <v>38</v>
      </c>
      <c r="F5072" s="28" t="s">
        <v>1232</v>
      </c>
      <c r="G5072" s="28" t="s">
        <v>20</v>
      </c>
      <c r="H5072" s="28" t="s">
        <v>189</v>
      </c>
      <c r="I5072" s="28" t="s">
        <v>189</v>
      </c>
      <c r="J5072" s="28" t="s">
        <v>16153</v>
      </c>
      <c r="K5072" s="28" t="s">
        <v>16154</v>
      </c>
      <c r="L5072" s="28" t="s">
        <v>4282</v>
      </c>
      <c r="M5072" s="28" t="s">
        <v>21</v>
      </c>
      <c r="O5072" s="94">
        <v>41988</v>
      </c>
      <c r="P5072" s="28" t="s">
        <v>21</v>
      </c>
      <c r="Q5072" s="26" t="b">
        <v>0</v>
      </c>
      <c r="R5072" s="22">
        <f t="shared" si="87"/>
        <v>11</v>
      </c>
    </row>
    <row r="5073" spans="1:20">
      <c r="A5073" s="38">
        <v>10477</v>
      </c>
      <c r="B5073" s="39">
        <v>41982</v>
      </c>
      <c r="C5073" s="40" t="s">
        <v>18887</v>
      </c>
      <c r="D5073" s="39">
        <v>41982</v>
      </c>
      <c r="E5073" s="40" t="s">
        <v>16162</v>
      </c>
      <c r="F5073" s="40" t="s">
        <v>11894</v>
      </c>
      <c r="G5073" s="40" t="s">
        <v>20</v>
      </c>
      <c r="H5073" s="40" t="s">
        <v>71</v>
      </c>
      <c r="I5073" s="40" t="s">
        <v>72</v>
      </c>
      <c r="J5073" s="40" t="s">
        <v>16163</v>
      </c>
      <c r="K5073" s="40" t="s">
        <v>16164</v>
      </c>
      <c r="L5073" s="40" t="s">
        <v>14909</v>
      </c>
      <c r="M5073" s="40" t="s">
        <v>21</v>
      </c>
      <c r="O5073" s="100">
        <v>43259</v>
      </c>
      <c r="P5073" s="41" t="s">
        <v>21</v>
      </c>
      <c r="Q5073" s="42" t="b">
        <v>0</v>
      </c>
      <c r="R5073" s="22">
        <f t="shared" si="87"/>
        <v>1276</v>
      </c>
    </row>
    <row r="5074" spans="1:20" ht="24">
      <c r="A5074" s="26">
        <v>10478</v>
      </c>
      <c r="B5074" s="27">
        <v>41983</v>
      </c>
      <c r="C5074" s="28" t="s">
        <v>18888</v>
      </c>
      <c r="D5074" s="27">
        <v>41978</v>
      </c>
      <c r="E5074" s="28" t="s">
        <v>1432</v>
      </c>
      <c r="F5074" s="28" t="s">
        <v>984</v>
      </c>
      <c r="G5074" s="28" t="s">
        <v>20</v>
      </c>
      <c r="H5074" s="28" t="s">
        <v>71</v>
      </c>
      <c r="I5074" s="28" t="s">
        <v>72</v>
      </c>
      <c r="J5074" s="28" t="s">
        <v>19300</v>
      </c>
      <c r="K5074" s="28" t="s">
        <v>18129</v>
      </c>
      <c r="L5074" s="28" t="s">
        <v>4282</v>
      </c>
      <c r="M5074" s="28" t="s">
        <v>21</v>
      </c>
      <c r="O5074" s="98"/>
      <c r="P5074" s="28" t="s">
        <v>21</v>
      </c>
      <c r="Q5074" s="26" t="b">
        <v>0</v>
      </c>
      <c r="R5074" s="59"/>
      <c r="T5074" s="37" t="s">
        <v>21</v>
      </c>
    </row>
    <row r="5075" spans="1:20">
      <c r="A5075" s="26">
        <v>10479</v>
      </c>
      <c r="B5075" s="27">
        <v>41983</v>
      </c>
      <c r="C5075" s="28" t="s">
        <v>16165</v>
      </c>
      <c r="D5075" s="27">
        <v>41983</v>
      </c>
      <c r="E5075" s="28" t="s">
        <v>16166</v>
      </c>
      <c r="F5075" s="28" t="s">
        <v>3171</v>
      </c>
      <c r="G5075" s="28" t="s">
        <v>20</v>
      </c>
      <c r="H5075" s="28" t="s">
        <v>566</v>
      </c>
      <c r="I5075" s="28" t="s">
        <v>566</v>
      </c>
      <c r="J5075" s="28" t="s">
        <v>16167</v>
      </c>
      <c r="K5075" s="28" t="s">
        <v>21</v>
      </c>
      <c r="L5075" s="28" t="s">
        <v>4282</v>
      </c>
      <c r="M5075" s="28" t="s">
        <v>21</v>
      </c>
      <c r="O5075" s="92">
        <v>42314</v>
      </c>
      <c r="P5075" s="28" t="s">
        <v>21</v>
      </c>
      <c r="Q5075" s="26" t="b">
        <v>0</v>
      </c>
      <c r="R5075" s="22">
        <f t="shared" ref="R5075:R5085" si="88">IF(O5075=" ", " ", INT(YEARFRAC(O5075, B5075)*365))</f>
        <v>330</v>
      </c>
    </row>
    <row r="5076" spans="1:20">
      <c r="A5076" s="38">
        <v>10482</v>
      </c>
      <c r="B5076" s="39">
        <v>41985</v>
      </c>
      <c r="C5076" s="40" t="s">
        <v>18889</v>
      </c>
      <c r="D5076" s="39">
        <v>41985</v>
      </c>
      <c r="E5076" s="40" t="s">
        <v>19367</v>
      </c>
      <c r="F5076" s="40" t="s">
        <v>124</v>
      </c>
      <c r="G5076" s="40" t="s">
        <v>20</v>
      </c>
      <c r="H5076" s="40" t="s">
        <v>71</v>
      </c>
      <c r="I5076" s="40" t="s">
        <v>72</v>
      </c>
      <c r="J5076" s="40" t="s">
        <v>16174</v>
      </c>
      <c r="K5076" s="40" t="s">
        <v>272</v>
      </c>
      <c r="L5076" s="40" t="s">
        <v>14518</v>
      </c>
      <c r="M5076" s="40" t="s">
        <v>21</v>
      </c>
      <c r="O5076" s="100">
        <v>43279</v>
      </c>
      <c r="P5076" s="41" t="s">
        <v>21</v>
      </c>
      <c r="Q5076" s="42" t="b">
        <v>0</v>
      </c>
      <c r="R5076" s="22">
        <f t="shared" si="88"/>
        <v>1293</v>
      </c>
    </row>
    <row r="5077" spans="1:20">
      <c r="A5077" s="26">
        <v>10480</v>
      </c>
      <c r="B5077" s="27">
        <v>41988</v>
      </c>
      <c r="C5077" s="28" t="s">
        <v>16168</v>
      </c>
      <c r="D5077" s="27">
        <v>41984</v>
      </c>
      <c r="E5077" s="28" t="s">
        <v>16169</v>
      </c>
      <c r="F5077" s="28" t="s">
        <v>19</v>
      </c>
      <c r="G5077" s="28" t="s">
        <v>20</v>
      </c>
      <c r="H5077" s="28" t="s">
        <v>566</v>
      </c>
      <c r="I5077" s="28" t="s">
        <v>566</v>
      </c>
      <c r="J5077" s="28" t="s">
        <v>16170</v>
      </c>
      <c r="K5077" s="28" t="s">
        <v>6081</v>
      </c>
      <c r="L5077" s="28" t="s">
        <v>14909</v>
      </c>
      <c r="M5077" s="28" t="s">
        <v>21</v>
      </c>
      <c r="O5077" s="94">
        <v>42012</v>
      </c>
      <c r="P5077" s="28" t="s">
        <v>21</v>
      </c>
      <c r="Q5077" s="26" t="b">
        <v>0</v>
      </c>
      <c r="R5077" s="22">
        <f t="shared" si="88"/>
        <v>23</v>
      </c>
    </row>
    <row r="5078" spans="1:20">
      <c r="A5078" s="26">
        <v>10481</v>
      </c>
      <c r="B5078" s="27">
        <v>41988</v>
      </c>
      <c r="C5078" s="28" t="s">
        <v>16172</v>
      </c>
      <c r="D5078" s="27">
        <v>41984</v>
      </c>
      <c r="E5078" s="28" t="s">
        <v>16171</v>
      </c>
      <c r="F5078" s="28" t="s">
        <v>16173</v>
      </c>
      <c r="G5078" s="28" t="s">
        <v>20</v>
      </c>
      <c r="H5078" s="28" t="s">
        <v>566</v>
      </c>
      <c r="I5078" s="28" t="s">
        <v>566</v>
      </c>
      <c r="J5078" s="28" t="s">
        <v>16170</v>
      </c>
      <c r="K5078" s="28" t="s">
        <v>6081</v>
      </c>
      <c r="L5078" s="28" t="s">
        <v>14909</v>
      </c>
      <c r="M5078" s="28" t="s">
        <v>21</v>
      </c>
      <c r="O5078" s="92">
        <v>42012</v>
      </c>
      <c r="P5078" s="28" t="s">
        <v>21</v>
      </c>
      <c r="Q5078" s="26" t="b">
        <v>0</v>
      </c>
      <c r="R5078" s="22">
        <f t="shared" si="88"/>
        <v>23</v>
      </c>
    </row>
    <row r="5079" spans="1:20">
      <c r="A5079" s="26">
        <v>10483</v>
      </c>
      <c r="B5079" s="27">
        <v>41989</v>
      </c>
      <c r="C5079" s="28" t="s">
        <v>16175</v>
      </c>
      <c r="D5079" s="27">
        <v>41989</v>
      </c>
      <c r="E5079" s="28" t="s">
        <v>11030</v>
      </c>
      <c r="F5079" s="28" t="s">
        <v>984</v>
      </c>
      <c r="G5079" s="28" t="s">
        <v>20</v>
      </c>
      <c r="H5079" s="28" t="s">
        <v>71</v>
      </c>
      <c r="I5079" s="28" t="s">
        <v>72</v>
      </c>
      <c r="J5079" s="28" t="s">
        <v>16176</v>
      </c>
      <c r="K5079" s="28" t="s">
        <v>21</v>
      </c>
      <c r="L5079" s="28" t="s">
        <v>4282</v>
      </c>
      <c r="M5079" s="28" t="s">
        <v>21</v>
      </c>
      <c r="O5079" s="92">
        <v>42019</v>
      </c>
      <c r="P5079" s="28" t="s">
        <v>21</v>
      </c>
      <c r="Q5079" s="26" t="b">
        <v>0</v>
      </c>
      <c r="R5079" s="22">
        <f t="shared" si="88"/>
        <v>29</v>
      </c>
    </row>
    <row r="5080" spans="1:20">
      <c r="A5080" s="26">
        <v>10484</v>
      </c>
      <c r="B5080" s="27">
        <v>41991</v>
      </c>
      <c r="C5080" s="28" t="s">
        <v>16177</v>
      </c>
      <c r="D5080" s="27">
        <v>41991</v>
      </c>
      <c r="E5080" s="28" t="s">
        <v>38</v>
      </c>
      <c r="F5080" s="28" t="s">
        <v>216</v>
      </c>
      <c r="G5080" s="28" t="s">
        <v>20</v>
      </c>
      <c r="H5080" s="28" t="s">
        <v>71</v>
      </c>
      <c r="I5080" s="28" t="s">
        <v>72</v>
      </c>
      <c r="J5080" s="28" t="s">
        <v>16178</v>
      </c>
      <c r="K5080" s="28" t="s">
        <v>16179</v>
      </c>
      <c r="L5080" s="28" t="s">
        <v>14518</v>
      </c>
      <c r="M5080" s="28" t="s">
        <v>21</v>
      </c>
      <c r="O5080" s="92">
        <v>42037</v>
      </c>
      <c r="P5080" s="28" t="s">
        <v>21</v>
      </c>
      <c r="Q5080" s="26" t="b">
        <v>0</v>
      </c>
      <c r="R5080" s="22">
        <f t="shared" si="88"/>
        <v>44</v>
      </c>
    </row>
    <row r="5081" spans="1:20" ht="32">
      <c r="A5081" s="33">
        <v>10485</v>
      </c>
      <c r="B5081" s="34">
        <v>41995</v>
      </c>
      <c r="C5081" s="35" t="s">
        <v>17610</v>
      </c>
      <c r="D5081" s="34">
        <v>41995</v>
      </c>
      <c r="E5081" s="35" t="s">
        <v>16180</v>
      </c>
      <c r="F5081" s="35" t="s">
        <v>3430</v>
      </c>
      <c r="G5081" s="35" t="s">
        <v>20</v>
      </c>
      <c r="H5081" s="35" t="s">
        <v>71</v>
      </c>
      <c r="I5081" s="35" t="s">
        <v>72</v>
      </c>
      <c r="J5081" s="35" t="s">
        <v>16181</v>
      </c>
      <c r="K5081" s="35" t="s">
        <v>21</v>
      </c>
      <c r="L5081" s="35" t="s">
        <v>14909</v>
      </c>
      <c r="M5081" s="35" t="s">
        <v>21</v>
      </c>
      <c r="N5081" s="36"/>
      <c r="O5081" s="96">
        <v>42482</v>
      </c>
      <c r="P5081" s="35" t="s">
        <v>21</v>
      </c>
      <c r="Q5081" s="33" t="b">
        <v>0</v>
      </c>
      <c r="R5081" s="22">
        <f t="shared" si="88"/>
        <v>486</v>
      </c>
    </row>
    <row r="5082" spans="1:20" ht="32">
      <c r="A5082" s="33">
        <v>10486</v>
      </c>
      <c r="B5082" s="34">
        <v>41995</v>
      </c>
      <c r="C5082" s="35" t="s">
        <v>17615</v>
      </c>
      <c r="D5082" s="34">
        <v>41995</v>
      </c>
      <c r="E5082" s="35" t="s">
        <v>18769</v>
      </c>
      <c r="F5082" s="35" t="s">
        <v>16182</v>
      </c>
      <c r="G5082" s="35" t="s">
        <v>20</v>
      </c>
      <c r="H5082" s="35" t="s">
        <v>71</v>
      </c>
      <c r="I5082" s="35" t="s">
        <v>72</v>
      </c>
      <c r="J5082" s="35" t="s">
        <v>16183</v>
      </c>
      <c r="K5082" s="35" t="s">
        <v>8836</v>
      </c>
      <c r="L5082" s="35" t="s">
        <v>1946</v>
      </c>
      <c r="M5082" s="35" t="s">
        <v>17616</v>
      </c>
      <c r="N5082" s="36"/>
      <c r="O5082" s="96">
        <v>42482</v>
      </c>
      <c r="P5082" s="35" t="s">
        <v>21</v>
      </c>
      <c r="Q5082" s="33" t="b">
        <v>0</v>
      </c>
      <c r="R5082" s="22">
        <f t="shared" si="88"/>
        <v>486</v>
      </c>
    </row>
    <row r="5083" spans="1:20">
      <c r="A5083" s="26">
        <v>10487</v>
      </c>
      <c r="B5083" s="27">
        <v>41996</v>
      </c>
      <c r="C5083" s="28" t="s">
        <v>16184</v>
      </c>
      <c r="D5083" s="27">
        <v>41996</v>
      </c>
      <c r="E5083" s="28" t="s">
        <v>16185</v>
      </c>
      <c r="F5083" s="28" t="s">
        <v>306</v>
      </c>
      <c r="G5083" s="28" t="s">
        <v>20</v>
      </c>
      <c r="H5083" s="28" t="s">
        <v>71</v>
      </c>
      <c r="I5083" s="28" t="s">
        <v>72</v>
      </c>
      <c r="J5083" s="28" t="s">
        <v>16186</v>
      </c>
      <c r="K5083" s="28" t="s">
        <v>16187</v>
      </c>
      <c r="L5083" s="28" t="s">
        <v>14518</v>
      </c>
      <c r="M5083" s="28" t="s">
        <v>21</v>
      </c>
      <c r="O5083" s="94">
        <v>42046</v>
      </c>
      <c r="P5083" s="28" t="s">
        <v>21</v>
      </c>
      <c r="Q5083" s="26" t="b">
        <v>0</v>
      </c>
      <c r="R5083" s="22">
        <f t="shared" si="88"/>
        <v>48</v>
      </c>
    </row>
    <row r="5084" spans="1:20" ht="32">
      <c r="A5084" s="33">
        <v>10488</v>
      </c>
      <c r="B5084" s="34">
        <v>41996</v>
      </c>
      <c r="C5084" s="35" t="s">
        <v>17633</v>
      </c>
      <c r="D5084" s="34">
        <v>41996</v>
      </c>
      <c r="E5084" s="35" t="s">
        <v>16188</v>
      </c>
      <c r="F5084" s="35" t="s">
        <v>974</v>
      </c>
      <c r="G5084" s="35" t="s">
        <v>20</v>
      </c>
      <c r="H5084" s="35" t="s">
        <v>212</v>
      </c>
      <c r="I5084" s="35" t="s">
        <v>212</v>
      </c>
      <c r="J5084" s="35" t="s">
        <v>16189</v>
      </c>
      <c r="K5084" s="35" t="s">
        <v>16190</v>
      </c>
      <c r="L5084" s="35" t="s">
        <v>1946</v>
      </c>
      <c r="M5084" s="35" t="s">
        <v>21</v>
      </c>
      <c r="N5084" s="36"/>
      <c r="O5084" s="97">
        <v>42496</v>
      </c>
      <c r="P5084" s="35" t="s">
        <v>21</v>
      </c>
      <c r="Q5084" s="33" t="b">
        <v>0</v>
      </c>
      <c r="R5084" s="22">
        <f t="shared" si="88"/>
        <v>499</v>
      </c>
    </row>
    <row r="5085" spans="1:20" ht="24">
      <c r="A5085" s="26">
        <v>10489</v>
      </c>
      <c r="B5085" s="27">
        <v>41997</v>
      </c>
      <c r="C5085" s="28" t="s">
        <v>16191</v>
      </c>
      <c r="D5085" s="27">
        <v>41997</v>
      </c>
      <c r="E5085" s="28" t="s">
        <v>38</v>
      </c>
      <c r="F5085" s="28" t="s">
        <v>10967</v>
      </c>
      <c r="G5085" s="28" t="s">
        <v>20</v>
      </c>
      <c r="H5085" s="28" t="s">
        <v>71</v>
      </c>
      <c r="I5085" s="28" t="s">
        <v>72</v>
      </c>
      <c r="J5085" s="28" t="s">
        <v>16192</v>
      </c>
      <c r="K5085" s="28" t="s">
        <v>16193</v>
      </c>
      <c r="L5085" s="28" t="s">
        <v>4282</v>
      </c>
      <c r="M5085" s="28" t="s">
        <v>21</v>
      </c>
      <c r="O5085" s="92">
        <v>42076</v>
      </c>
      <c r="P5085" s="28" t="s">
        <v>21</v>
      </c>
      <c r="Q5085" s="26" t="b">
        <v>0</v>
      </c>
      <c r="R5085" s="22">
        <f t="shared" si="88"/>
        <v>80</v>
      </c>
    </row>
    <row r="5086" spans="1:20" ht="32">
      <c r="A5086" s="33">
        <v>10490</v>
      </c>
      <c r="B5086" s="34">
        <v>41999</v>
      </c>
      <c r="C5086" s="35" t="s">
        <v>18102</v>
      </c>
      <c r="D5086" s="34">
        <v>41999</v>
      </c>
      <c r="E5086" s="35" t="s">
        <v>16060</v>
      </c>
      <c r="F5086" s="35" t="s">
        <v>1743</v>
      </c>
      <c r="G5086" s="35" t="s">
        <v>20</v>
      </c>
      <c r="H5086" s="35" t="s">
        <v>71</v>
      </c>
      <c r="I5086" s="35" t="s">
        <v>72</v>
      </c>
      <c r="J5086" s="35" t="s">
        <v>18103</v>
      </c>
      <c r="K5086" s="35" t="s">
        <v>21</v>
      </c>
      <c r="L5086" s="35" t="s">
        <v>4282</v>
      </c>
      <c r="M5086" s="35" t="s">
        <v>21</v>
      </c>
      <c r="N5086" s="36"/>
      <c r="O5086" s="95"/>
      <c r="P5086" s="35" t="s">
        <v>21</v>
      </c>
      <c r="Q5086" s="33" t="b">
        <v>0</v>
      </c>
      <c r="R5086" s="112"/>
    </row>
    <row r="5087" spans="1:20">
      <c r="A5087" s="26">
        <v>10491</v>
      </c>
      <c r="B5087" s="27">
        <v>42003</v>
      </c>
      <c r="C5087" s="28" t="s">
        <v>19100</v>
      </c>
      <c r="D5087" s="27">
        <v>42003</v>
      </c>
      <c r="E5087" s="28" t="s">
        <v>1432</v>
      </c>
      <c r="F5087" s="28" t="s">
        <v>5184</v>
      </c>
      <c r="G5087" s="28" t="s">
        <v>20</v>
      </c>
      <c r="H5087" s="28" t="s">
        <v>71</v>
      </c>
      <c r="I5087" s="28" t="s">
        <v>72</v>
      </c>
      <c r="J5087" s="28" t="s">
        <v>16194</v>
      </c>
      <c r="K5087" s="28" t="s">
        <v>16195</v>
      </c>
      <c r="L5087" s="28" t="s">
        <v>7167</v>
      </c>
      <c r="M5087" s="28" t="s">
        <v>21</v>
      </c>
      <c r="O5087" s="92">
        <v>42804</v>
      </c>
      <c r="P5087" s="28" t="s">
        <v>21</v>
      </c>
      <c r="Q5087" s="26" t="b">
        <v>0</v>
      </c>
      <c r="R5087" s="22">
        <f t="shared" ref="R5087:R5105" si="89">IF(O5087=" ", " ", INT(YEARFRAC(O5087, B5087)*365))</f>
        <v>800</v>
      </c>
      <c r="S5087" s="37" t="s">
        <v>21</v>
      </c>
    </row>
    <row r="5088" spans="1:20" ht="24">
      <c r="A5088" s="26">
        <v>10492</v>
      </c>
      <c r="B5088" s="27">
        <v>42006</v>
      </c>
      <c r="C5088" s="28" t="s">
        <v>16196</v>
      </c>
      <c r="D5088" s="27">
        <v>42003</v>
      </c>
      <c r="E5088" s="28" t="s">
        <v>16197</v>
      </c>
      <c r="F5088" s="28" t="s">
        <v>16198</v>
      </c>
      <c r="G5088" s="28" t="s">
        <v>20</v>
      </c>
      <c r="H5088" s="28" t="s">
        <v>71</v>
      </c>
      <c r="I5088" s="28" t="s">
        <v>72</v>
      </c>
      <c r="J5088" s="28" t="s">
        <v>16199</v>
      </c>
      <c r="K5088" s="28" t="s">
        <v>16200</v>
      </c>
      <c r="L5088" s="28" t="s">
        <v>1946</v>
      </c>
      <c r="M5088" s="28" t="s">
        <v>21</v>
      </c>
      <c r="O5088" s="92">
        <v>42065</v>
      </c>
      <c r="P5088" s="28" t="s">
        <v>21</v>
      </c>
      <c r="Q5088" s="26" t="b">
        <v>0</v>
      </c>
      <c r="R5088" s="22">
        <f t="shared" si="89"/>
        <v>60</v>
      </c>
    </row>
    <row r="5089" spans="1:18">
      <c r="A5089" s="26">
        <v>10493</v>
      </c>
      <c r="B5089" s="27">
        <v>42010</v>
      </c>
      <c r="C5089" s="28" t="s">
        <v>16201</v>
      </c>
      <c r="D5089" s="27">
        <v>42006</v>
      </c>
      <c r="E5089" s="28" t="s">
        <v>16202</v>
      </c>
      <c r="F5089" s="28" t="s">
        <v>533</v>
      </c>
      <c r="G5089" s="28" t="s">
        <v>20</v>
      </c>
      <c r="H5089" s="28" t="s">
        <v>566</v>
      </c>
      <c r="I5089" s="28" t="s">
        <v>566</v>
      </c>
      <c r="J5089" s="28" t="s">
        <v>16203</v>
      </c>
      <c r="K5089" s="28" t="s">
        <v>16204</v>
      </c>
      <c r="L5089" s="28" t="s">
        <v>14518</v>
      </c>
      <c r="M5089" s="28" t="s">
        <v>21</v>
      </c>
      <c r="O5089" s="94">
        <v>42128</v>
      </c>
      <c r="P5089" s="28" t="s">
        <v>21</v>
      </c>
      <c r="Q5089" s="26" t="b">
        <v>0</v>
      </c>
      <c r="R5089" s="22">
        <f t="shared" si="89"/>
        <v>119</v>
      </c>
    </row>
    <row r="5090" spans="1:18">
      <c r="A5090" s="26">
        <v>10494</v>
      </c>
      <c r="B5090" s="27">
        <v>42012</v>
      </c>
      <c r="C5090" s="28" t="s">
        <v>16205</v>
      </c>
      <c r="D5090" s="27">
        <v>42012</v>
      </c>
      <c r="E5090" s="28" t="s">
        <v>38</v>
      </c>
      <c r="F5090" s="28" t="s">
        <v>733</v>
      </c>
      <c r="G5090" s="28" t="s">
        <v>20</v>
      </c>
      <c r="H5090" s="28" t="s">
        <v>71</v>
      </c>
      <c r="I5090" s="28" t="s">
        <v>72</v>
      </c>
      <c r="J5090" s="28" t="s">
        <v>13449</v>
      </c>
      <c r="K5090" s="28" t="s">
        <v>16206</v>
      </c>
      <c r="L5090" s="28" t="s">
        <v>7167</v>
      </c>
      <c r="M5090" s="28" t="s">
        <v>21</v>
      </c>
      <c r="O5090" s="92">
        <v>42016</v>
      </c>
      <c r="P5090" s="28" t="s">
        <v>21</v>
      </c>
      <c r="Q5090" s="26" t="b">
        <v>0</v>
      </c>
      <c r="R5090" s="22">
        <f t="shared" si="89"/>
        <v>4</v>
      </c>
    </row>
    <row r="5091" spans="1:18" ht="24">
      <c r="A5091" s="26">
        <v>10495</v>
      </c>
      <c r="B5091" s="27">
        <v>42012</v>
      </c>
      <c r="C5091" s="28" t="s">
        <v>16207</v>
      </c>
      <c r="D5091" s="27">
        <v>42012</v>
      </c>
      <c r="E5091" s="28" t="s">
        <v>1432</v>
      </c>
      <c r="F5091" s="28" t="s">
        <v>70</v>
      </c>
      <c r="G5091" s="28" t="s">
        <v>20</v>
      </c>
      <c r="H5091" s="28" t="s">
        <v>71</v>
      </c>
      <c r="I5091" s="28" t="s">
        <v>72</v>
      </c>
      <c r="J5091" s="28" t="s">
        <v>16208</v>
      </c>
      <c r="K5091" s="28" t="s">
        <v>16209</v>
      </c>
      <c r="L5091" s="28" t="s">
        <v>1946</v>
      </c>
      <c r="M5091" s="28" t="s">
        <v>21</v>
      </c>
      <c r="O5091" s="92">
        <v>42313</v>
      </c>
      <c r="P5091" s="28" t="s">
        <v>21</v>
      </c>
      <c r="Q5091" s="26" t="b">
        <v>0</v>
      </c>
      <c r="R5091" s="22">
        <f t="shared" si="89"/>
        <v>301</v>
      </c>
    </row>
    <row r="5092" spans="1:18">
      <c r="A5092" s="38">
        <v>10496</v>
      </c>
      <c r="B5092" s="39">
        <v>42013</v>
      </c>
      <c r="C5092" s="40" t="s">
        <v>18890</v>
      </c>
      <c r="D5092" s="39">
        <v>42013</v>
      </c>
      <c r="E5092" s="40" t="s">
        <v>16210</v>
      </c>
      <c r="F5092" s="40" t="s">
        <v>104</v>
      </c>
      <c r="G5092" s="40" t="s">
        <v>20</v>
      </c>
      <c r="H5092" s="40" t="s">
        <v>71</v>
      </c>
      <c r="I5092" s="40" t="s">
        <v>72</v>
      </c>
      <c r="J5092" s="40" t="s">
        <v>16211</v>
      </c>
      <c r="K5092" s="40" t="s">
        <v>16212</v>
      </c>
      <c r="L5092" s="40" t="s">
        <v>7167</v>
      </c>
      <c r="M5092" s="40" t="s">
        <v>21</v>
      </c>
      <c r="O5092" s="101">
        <v>43245</v>
      </c>
      <c r="P5092" s="41" t="s">
        <v>21</v>
      </c>
      <c r="Q5092" s="42" t="b">
        <v>0</v>
      </c>
      <c r="R5092" s="22">
        <f t="shared" si="89"/>
        <v>1232</v>
      </c>
    </row>
    <row r="5093" spans="1:18">
      <c r="A5093" s="26">
        <v>10497</v>
      </c>
      <c r="B5093" s="27">
        <v>42016</v>
      </c>
      <c r="C5093" s="28" t="s">
        <v>16213</v>
      </c>
      <c r="D5093" s="27">
        <v>42016</v>
      </c>
      <c r="E5093" s="28" t="s">
        <v>38</v>
      </c>
      <c r="F5093" s="28" t="s">
        <v>733</v>
      </c>
      <c r="G5093" s="28" t="s">
        <v>20</v>
      </c>
      <c r="H5093" s="28" t="s">
        <v>71</v>
      </c>
      <c r="I5093" s="28" t="s">
        <v>72</v>
      </c>
      <c r="J5093" s="28" t="s">
        <v>14708</v>
      </c>
      <c r="K5093" s="28" t="s">
        <v>16214</v>
      </c>
      <c r="L5093" s="28" t="s">
        <v>7167</v>
      </c>
      <c r="M5093" s="28" t="s">
        <v>21</v>
      </c>
      <c r="O5093" s="94">
        <v>42019</v>
      </c>
      <c r="P5093" s="28" t="s">
        <v>21</v>
      </c>
      <c r="Q5093" s="26" t="b">
        <v>0</v>
      </c>
      <c r="R5093" s="22">
        <f t="shared" si="89"/>
        <v>3</v>
      </c>
    </row>
    <row r="5094" spans="1:18">
      <c r="A5094" s="38">
        <v>10498</v>
      </c>
      <c r="B5094" s="39">
        <v>42016</v>
      </c>
      <c r="C5094" s="40" t="s">
        <v>19476</v>
      </c>
      <c r="D5094" s="39">
        <v>42016</v>
      </c>
      <c r="E5094" s="40" t="s">
        <v>15826</v>
      </c>
      <c r="F5094" s="40" t="s">
        <v>1743</v>
      </c>
      <c r="G5094" s="40" t="s">
        <v>20</v>
      </c>
      <c r="H5094" s="40" t="s">
        <v>71</v>
      </c>
      <c r="I5094" s="40" t="s">
        <v>72</v>
      </c>
      <c r="J5094" s="40" t="s">
        <v>18193</v>
      </c>
      <c r="K5094" s="40" t="s">
        <v>21</v>
      </c>
      <c r="L5094" s="40" t="s">
        <v>7167</v>
      </c>
      <c r="M5094" s="40" t="s">
        <v>21</v>
      </c>
      <c r="O5094" s="101">
        <v>43280</v>
      </c>
      <c r="P5094" s="41" t="s">
        <v>21</v>
      </c>
      <c r="Q5094" s="42" t="b">
        <v>0</v>
      </c>
      <c r="R5094" s="22">
        <f t="shared" si="89"/>
        <v>1264</v>
      </c>
    </row>
    <row r="5095" spans="1:18">
      <c r="A5095" s="26">
        <v>10499</v>
      </c>
      <c r="B5095" s="27">
        <v>42016</v>
      </c>
      <c r="C5095" s="28" t="s">
        <v>16215</v>
      </c>
      <c r="D5095" s="27">
        <v>42013</v>
      </c>
      <c r="E5095" s="28" t="s">
        <v>15826</v>
      </c>
      <c r="F5095" s="28" t="s">
        <v>228</v>
      </c>
      <c r="G5095" s="28" t="s">
        <v>20</v>
      </c>
      <c r="H5095" s="28" t="s">
        <v>71</v>
      </c>
      <c r="I5095" s="28" t="s">
        <v>72</v>
      </c>
      <c r="J5095" s="28" t="s">
        <v>16216</v>
      </c>
      <c r="K5095" s="28" t="s">
        <v>16217</v>
      </c>
      <c r="L5095" s="28" t="s">
        <v>4282</v>
      </c>
      <c r="M5095" s="28" t="s">
        <v>21</v>
      </c>
      <c r="O5095" s="92">
        <v>42038</v>
      </c>
      <c r="P5095" s="28" t="s">
        <v>21</v>
      </c>
      <c r="Q5095" s="26" t="b">
        <v>0</v>
      </c>
      <c r="R5095" s="22">
        <f t="shared" si="89"/>
        <v>21</v>
      </c>
    </row>
    <row r="5096" spans="1:18">
      <c r="A5096" s="26">
        <v>10501</v>
      </c>
      <c r="B5096" s="27">
        <v>42019</v>
      </c>
      <c r="C5096" s="28" t="s">
        <v>16218</v>
      </c>
      <c r="D5096" s="27">
        <v>42019</v>
      </c>
      <c r="E5096" s="28" t="s">
        <v>38</v>
      </c>
      <c r="F5096" s="28" t="s">
        <v>1111</v>
      </c>
      <c r="G5096" s="28" t="s">
        <v>20</v>
      </c>
      <c r="H5096" s="28" t="s">
        <v>71</v>
      </c>
      <c r="I5096" s="28" t="s">
        <v>72</v>
      </c>
      <c r="J5096" s="28" t="s">
        <v>16219</v>
      </c>
      <c r="K5096" s="28" t="s">
        <v>16220</v>
      </c>
      <c r="L5096" s="28" t="s">
        <v>7167</v>
      </c>
      <c r="M5096" s="28" t="s">
        <v>21</v>
      </c>
      <c r="O5096" s="92">
        <v>42020</v>
      </c>
      <c r="P5096" s="28" t="s">
        <v>21</v>
      </c>
      <c r="Q5096" s="26" t="b">
        <v>0</v>
      </c>
      <c r="R5096" s="22">
        <f t="shared" si="89"/>
        <v>1</v>
      </c>
    </row>
    <row r="5097" spans="1:18">
      <c r="A5097" s="26">
        <v>10502</v>
      </c>
      <c r="B5097" s="27">
        <v>42024</v>
      </c>
      <c r="C5097" s="28" t="s">
        <v>16221</v>
      </c>
      <c r="D5097" s="27">
        <v>42024</v>
      </c>
      <c r="E5097" s="28" t="s">
        <v>38</v>
      </c>
      <c r="F5097" s="28" t="s">
        <v>984</v>
      </c>
      <c r="G5097" s="28" t="s">
        <v>20</v>
      </c>
      <c r="H5097" s="28" t="s">
        <v>71</v>
      </c>
      <c r="I5097" s="28" t="s">
        <v>72</v>
      </c>
      <c r="J5097" s="28" t="s">
        <v>16222</v>
      </c>
      <c r="K5097" s="28" t="s">
        <v>16176</v>
      </c>
      <c r="L5097" s="28" t="s">
        <v>4282</v>
      </c>
      <c r="M5097" s="28" t="s">
        <v>21</v>
      </c>
      <c r="O5097" s="92">
        <v>42025</v>
      </c>
      <c r="P5097" s="28" t="s">
        <v>21</v>
      </c>
      <c r="Q5097" s="26" t="b">
        <v>0</v>
      </c>
      <c r="R5097" s="22">
        <f t="shared" si="89"/>
        <v>1</v>
      </c>
    </row>
    <row r="5098" spans="1:18" ht="32">
      <c r="A5098" s="33">
        <v>10503</v>
      </c>
      <c r="B5098" s="34">
        <v>42025</v>
      </c>
      <c r="C5098" s="35" t="s">
        <v>18167</v>
      </c>
      <c r="D5098" s="34">
        <v>42025</v>
      </c>
      <c r="E5098" s="35" t="s">
        <v>15826</v>
      </c>
      <c r="F5098" s="35" t="s">
        <v>1743</v>
      </c>
      <c r="G5098" s="35" t="s">
        <v>20</v>
      </c>
      <c r="H5098" s="35" t="s">
        <v>71</v>
      </c>
      <c r="I5098" s="35" t="s">
        <v>72</v>
      </c>
      <c r="J5098" s="35" t="s">
        <v>18168</v>
      </c>
      <c r="K5098" s="35" t="s">
        <v>18169</v>
      </c>
      <c r="L5098" s="35" t="s">
        <v>18170</v>
      </c>
      <c r="M5098" s="35" t="s">
        <v>21</v>
      </c>
      <c r="N5098" s="36"/>
      <c r="O5098" s="99">
        <v>43010</v>
      </c>
      <c r="P5098" s="35" t="s">
        <v>21</v>
      </c>
      <c r="Q5098" s="33" t="b">
        <v>0</v>
      </c>
      <c r="R5098" s="22">
        <f t="shared" si="89"/>
        <v>984</v>
      </c>
    </row>
    <row r="5099" spans="1:18">
      <c r="A5099" s="26">
        <v>10504</v>
      </c>
      <c r="B5099" s="27">
        <v>42025</v>
      </c>
      <c r="C5099" s="28" t="s">
        <v>16223</v>
      </c>
      <c r="D5099" s="27">
        <v>42025</v>
      </c>
      <c r="E5099" s="28" t="s">
        <v>16224</v>
      </c>
      <c r="F5099" s="28" t="s">
        <v>689</v>
      </c>
      <c r="G5099" s="28" t="s">
        <v>20</v>
      </c>
      <c r="H5099" s="28" t="s">
        <v>212</v>
      </c>
      <c r="I5099" s="28" t="s">
        <v>212</v>
      </c>
      <c r="J5099" s="28" t="s">
        <v>16225</v>
      </c>
      <c r="K5099" s="28" t="s">
        <v>16226</v>
      </c>
      <c r="L5099" s="28" t="s">
        <v>14909</v>
      </c>
      <c r="M5099" s="28" t="s">
        <v>21</v>
      </c>
      <c r="O5099" s="92">
        <v>42067</v>
      </c>
      <c r="P5099" s="28" t="s">
        <v>21</v>
      </c>
      <c r="Q5099" s="26" t="b">
        <v>0</v>
      </c>
      <c r="R5099" s="22">
        <f t="shared" si="89"/>
        <v>43</v>
      </c>
    </row>
    <row r="5100" spans="1:18" ht="32">
      <c r="A5100" s="33">
        <v>10505</v>
      </c>
      <c r="B5100" s="34">
        <v>42031</v>
      </c>
      <c r="C5100" s="35" t="s">
        <v>17614</v>
      </c>
      <c r="D5100" s="34">
        <v>42031</v>
      </c>
      <c r="E5100" s="35" t="s">
        <v>16227</v>
      </c>
      <c r="F5100" s="35" t="s">
        <v>6953</v>
      </c>
      <c r="G5100" s="35" t="s">
        <v>20</v>
      </c>
      <c r="H5100" s="35" t="s">
        <v>71</v>
      </c>
      <c r="I5100" s="35" t="s">
        <v>72</v>
      </c>
      <c r="J5100" s="35" t="s">
        <v>16228</v>
      </c>
      <c r="K5100" s="35" t="s">
        <v>16229</v>
      </c>
      <c r="L5100" s="35" t="s">
        <v>14518</v>
      </c>
      <c r="M5100" s="35" t="s">
        <v>21</v>
      </c>
      <c r="N5100" s="36"/>
      <c r="O5100" s="96">
        <v>42482</v>
      </c>
      <c r="P5100" s="35" t="s">
        <v>21</v>
      </c>
      <c r="Q5100" s="33" t="b">
        <v>0</v>
      </c>
      <c r="R5100" s="22">
        <f t="shared" si="89"/>
        <v>451</v>
      </c>
    </row>
    <row r="5101" spans="1:18" ht="32">
      <c r="A5101" s="33">
        <v>10506</v>
      </c>
      <c r="B5101" s="34">
        <v>42031</v>
      </c>
      <c r="C5101" s="35" t="s">
        <v>17613</v>
      </c>
      <c r="D5101" s="34">
        <v>42031</v>
      </c>
      <c r="E5101" s="35" t="s">
        <v>16230</v>
      </c>
      <c r="F5101" s="35" t="s">
        <v>6953</v>
      </c>
      <c r="G5101" s="35" t="s">
        <v>20</v>
      </c>
      <c r="H5101" s="35" t="s">
        <v>71</v>
      </c>
      <c r="I5101" s="35" t="s">
        <v>72</v>
      </c>
      <c r="J5101" s="35" t="s">
        <v>16231</v>
      </c>
      <c r="K5101" s="35" t="s">
        <v>16232</v>
      </c>
      <c r="L5101" s="35" t="s">
        <v>14518</v>
      </c>
      <c r="M5101" s="35" t="s">
        <v>21</v>
      </c>
      <c r="N5101" s="36"/>
      <c r="O5101" s="96">
        <v>42482</v>
      </c>
      <c r="P5101" s="35" t="s">
        <v>21</v>
      </c>
      <c r="Q5101" s="33" t="b">
        <v>0</v>
      </c>
      <c r="R5101" s="22">
        <f t="shared" si="89"/>
        <v>451</v>
      </c>
    </row>
    <row r="5102" spans="1:18" ht="24">
      <c r="A5102" s="26">
        <v>10510</v>
      </c>
      <c r="B5102" s="27">
        <v>42033</v>
      </c>
      <c r="C5102" s="28" t="s">
        <v>16233</v>
      </c>
      <c r="D5102" s="27">
        <v>42026</v>
      </c>
      <c r="E5102" s="28" t="s">
        <v>16234</v>
      </c>
      <c r="F5102" s="28" t="s">
        <v>124</v>
      </c>
      <c r="G5102" s="28" t="s">
        <v>20</v>
      </c>
      <c r="H5102" s="28" t="s">
        <v>71</v>
      </c>
      <c r="I5102" s="28" t="s">
        <v>72</v>
      </c>
      <c r="J5102" s="28" t="s">
        <v>16235</v>
      </c>
      <c r="K5102" s="28" t="s">
        <v>6081</v>
      </c>
      <c r="L5102" s="28" t="s">
        <v>14909</v>
      </c>
      <c r="M5102" s="28" t="s">
        <v>21</v>
      </c>
      <c r="O5102" s="92">
        <v>42115</v>
      </c>
      <c r="P5102" s="28" t="s">
        <v>21</v>
      </c>
      <c r="Q5102" s="26" t="b">
        <v>0</v>
      </c>
      <c r="R5102" s="22">
        <f t="shared" si="89"/>
        <v>83</v>
      </c>
    </row>
    <row r="5103" spans="1:18">
      <c r="A5103" s="26">
        <v>10512</v>
      </c>
      <c r="B5103" s="27">
        <v>42044</v>
      </c>
      <c r="C5103" s="28" t="s">
        <v>16236</v>
      </c>
      <c r="D5103" s="27">
        <v>42039</v>
      </c>
      <c r="E5103" s="28" t="s">
        <v>38</v>
      </c>
      <c r="F5103" s="28" t="s">
        <v>52</v>
      </c>
      <c r="G5103" s="28" t="s">
        <v>20</v>
      </c>
      <c r="H5103" s="28" t="s">
        <v>71</v>
      </c>
      <c r="I5103" s="28" t="s">
        <v>72</v>
      </c>
      <c r="J5103" s="28" t="s">
        <v>16237</v>
      </c>
      <c r="K5103" s="28" t="s">
        <v>6081</v>
      </c>
      <c r="L5103" s="28" t="s">
        <v>14909</v>
      </c>
      <c r="M5103" s="28" t="s">
        <v>21</v>
      </c>
      <c r="O5103" s="92">
        <v>42053</v>
      </c>
      <c r="P5103" s="28" t="s">
        <v>21</v>
      </c>
      <c r="Q5103" s="26" t="b">
        <v>0</v>
      </c>
      <c r="R5103" s="22">
        <f t="shared" si="89"/>
        <v>9</v>
      </c>
    </row>
    <row r="5104" spans="1:18">
      <c r="A5104" s="26">
        <v>10514</v>
      </c>
      <c r="B5104" s="27">
        <v>42044</v>
      </c>
      <c r="C5104" s="28" t="s">
        <v>16238</v>
      </c>
      <c r="D5104" s="27">
        <v>42044</v>
      </c>
      <c r="E5104" s="28" t="s">
        <v>16239</v>
      </c>
      <c r="F5104" s="28" t="s">
        <v>8358</v>
      </c>
      <c r="G5104" s="28" t="s">
        <v>20</v>
      </c>
      <c r="H5104" s="28" t="s">
        <v>71</v>
      </c>
      <c r="I5104" s="28" t="s">
        <v>72</v>
      </c>
      <c r="J5104" s="28" t="s">
        <v>16240</v>
      </c>
      <c r="K5104" s="28" t="s">
        <v>16241</v>
      </c>
      <c r="L5104" s="28" t="s">
        <v>1946</v>
      </c>
      <c r="M5104" s="28" t="s">
        <v>21</v>
      </c>
      <c r="O5104" s="92">
        <v>42062</v>
      </c>
      <c r="P5104" s="28" t="s">
        <v>21</v>
      </c>
      <c r="Q5104" s="26" t="b">
        <v>0</v>
      </c>
      <c r="R5104" s="22">
        <f t="shared" si="89"/>
        <v>18</v>
      </c>
    </row>
    <row r="5105" spans="1:19">
      <c r="A5105" s="26">
        <v>10517</v>
      </c>
      <c r="B5105" s="27">
        <v>42045</v>
      </c>
      <c r="C5105" s="28" t="s">
        <v>16242</v>
      </c>
      <c r="D5105" s="27">
        <v>42045</v>
      </c>
      <c r="E5105" s="28" t="s">
        <v>3268</v>
      </c>
      <c r="F5105" s="28" t="s">
        <v>16243</v>
      </c>
      <c r="G5105" s="28" t="s">
        <v>20</v>
      </c>
      <c r="H5105" s="28" t="s">
        <v>16244</v>
      </c>
      <c r="I5105" s="28" t="s">
        <v>16244</v>
      </c>
      <c r="J5105" s="28" t="s">
        <v>16245</v>
      </c>
      <c r="K5105" s="28" t="s">
        <v>16246</v>
      </c>
      <c r="L5105" s="28" t="s">
        <v>4282</v>
      </c>
      <c r="M5105" s="28" t="s">
        <v>21</v>
      </c>
      <c r="O5105" s="92">
        <v>42073</v>
      </c>
      <c r="P5105" s="28" t="s">
        <v>21</v>
      </c>
      <c r="Q5105" s="26" t="b">
        <v>0</v>
      </c>
      <c r="R5105" s="22">
        <f t="shared" si="89"/>
        <v>30</v>
      </c>
    </row>
    <row r="5106" spans="1:19" ht="24">
      <c r="A5106" s="26">
        <v>10518</v>
      </c>
      <c r="B5106" s="27">
        <v>42047</v>
      </c>
      <c r="C5106" s="28" t="s">
        <v>18891</v>
      </c>
      <c r="D5106" s="27">
        <v>42045</v>
      </c>
      <c r="E5106" s="28" t="s">
        <v>1432</v>
      </c>
      <c r="F5106" s="28" t="s">
        <v>999</v>
      </c>
      <c r="G5106" s="28" t="s">
        <v>20</v>
      </c>
      <c r="H5106" s="28" t="s">
        <v>71</v>
      </c>
      <c r="I5106" s="28" t="s">
        <v>72</v>
      </c>
      <c r="J5106" s="28" t="s">
        <v>16247</v>
      </c>
      <c r="K5106" s="28" t="s">
        <v>18176</v>
      </c>
      <c r="L5106" s="28" t="s">
        <v>4282</v>
      </c>
      <c r="M5106" s="28" t="s">
        <v>21</v>
      </c>
      <c r="O5106" s="89"/>
      <c r="P5106" s="28" t="s">
        <v>21</v>
      </c>
      <c r="Q5106" s="26" t="b">
        <v>0</v>
      </c>
      <c r="R5106" s="59"/>
      <c r="S5106" s="37" t="s">
        <v>16122</v>
      </c>
    </row>
    <row r="5107" spans="1:19">
      <c r="A5107" s="26">
        <v>10522</v>
      </c>
      <c r="B5107" s="27">
        <v>42052</v>
      </c>
      <c r="C5107" s="28" t="s">
        <v>16251</v>
      </c>
      <c r="D5107" s="27">
        <v>42052</v>
      </c>
      <c r="E5107" s="28" t="s">
        <v>38</v>
      </c>
      <c r="F5107" s="28" t="s">
        <v>8358</v>
      </c>
      <c r="G5107" s="28" t="s">
        <v>20</v>
      </c>
      <c r="H5107" s="28" t="s">
        <v>71</v>
      </c>
      <c r="I5107" s="28" t="s">
        <v>72</v>
      </c>
      <c r="J5107" s="28" t="s">
        <v>16252</v>
      </c>
      <c r="K5107" s="28" t="s">
        <v>16253</v>
      </c>
      <c r="L5107" s="28" t="s">
        <v>1946</v>
      </c>
      <c r="M5107" s="28" t="s">
        <v>21</v>
      </c>
      <c r="O5107" s="92">
        <v>42052</v>
      </c>
      <c r="P5107" s="28" t="s">
        <v>21</v>
      </c>
      <c r="Q5107" s="26" t="b">
        <v>0</v>
      </c>
      <c r="R5107" s="22">
        <f t="shared" ref="R5107:R5122" si="90">IF(O5107=" ", " ", INT(YEARFRAC(O5107, B5107)*365))</f>
        <v>0</v>
      </c>
    </row>
    <row r="5108" spans="1:19">
      <c r="A5108" s="26">
        <v>10519</v>
      </c>
      <c r="B5108" s="27">
        <v>42053</v>
      </c>
      <c r="C5108" s="28" t="s">
        <v>16248</v>
      </c>
      <c r="D5108" s="27">
        <v>42053</v>
      </c>
      <c r="E5108" s="28" t="s">
        <v>16249</v>
      </c>
      <c r="F5108" s="28" t="s">
        <v>52</v>
      </c>
      <c r="G5108" s="28" t="s">
        <v>20</v>
      </c>
      <c r="H5108" s="28" t="s">
        <v>71</v>
      </c>
      <c r="I5108" s="28" t="s">
        <v>72</v>
      </c>
      <c r="J5108" s="28" t="s">
        <v>16250</v>
      </c>
      <c r="K5108" s="28" t="s">
        <v>21</v>
      </c>
      <c r="L5108" s="28" t="s">
        <v>14909</v>
      </c>
      <c r="M5108" s="28" t="s">
        <v>21</v>
      </c>
      <c r="O5108" s="92">
        <v>42282</v>
      </c>
      <c r="P5108" s="28" t="s">
        <v>21</v>
      </c>
      <c r="Q5108" s="26" t="b">
        <v>0</v>
      </c>
      <c r="R5108" s="22">
        <f t="shared" si="90"/>
        <v>230</v>
      </c>
    </row>
    <row r="5109" spans="1:19">
      <c r="A5109" s="38">
        <v>10523</v>
      </c>
      <c r="B5109" s="39">
        <v>42053</v>
      </c>
      <c r="C5109" s="40" t="s">
        <v>18892</v>
      </c>
      <c r="D5109" s="39">
        <v>42052</v>
      </c>
      <c r="E5109" s="40" t="s">
        <v>16254</v>
      </c>
      <c r="F5109" s="40" t="s">
        <v>974</v>
      </c>
      <c r="G5109" s="40" t="s">
        <v>20</v>
      </c>
      <c r="H5109" s="40" t="s">
        <v>212</v>
      </c>
      <c r="I5109" s="40" t="s">
        <v>212</v>
      </c>
      <c r="J5109" s="40" t="s">
        <v>16255</v>
      </c>
      <c r="K5109" s="40" t="s">
        <v>16256</v>
      </c>
      <c r="L5109" s="40" t="s">
        <v>4282</v>
      </c>
      <c r="M5109" s="40" t="s">
        <v>14909</v>
      </c>
      <c r="O5109" s="100">
        <v>43279</v>
      </c>
      <c r="P5109" s="41" t="s">
        <v>21</v>
      </c>
      <c r="Q5109" s="42" t="b">
        <v>0</v>
      </c>
      <c r="R5109" s="22">
        <f t="shared" si="90"/>
        <v>1226</v>
      </c>
    </row>
    <row r="5110" spans="1:19" ht="24">
      <c r="A5110" s="26">
        <v>10526</v>
      </c>
      <c r="B5110" s="27">
        <v>42055</v>
      </c>
      <c r="C5110" s="28" t="s">
        <v>19057</v>
      </c>
      <c r="D5110" s="27">
        <v>42053</v>
      </c>
      <c r="E5110" s="28" t="s">
        <v>16260</v>
      </c>
      <c r="F5110" s="28" t="s">
        <v>689</v>
      </c>
      <c r="G5110" s="28" t="s">
        <v>20</v>
      </c>
      <c r="H5110" s="28" t="s">
        <v>212</v>
      </c>
      <c r="I5110" s="28" t="s">
        <v>212</v>
      </c>
      <c r="J5110" s="28" t="s">
        <v>16261</v>
      </c>
      <c r="K5110" s="28" t="s">
        <v>16262</v>
      </c>
      <c r="L5110" s="28" t="s">
        <v>7167</v>
      </c>
      <c r="M5110" s="28" t="s">
        <v>21</v>
      </c>
      <c r="O5110" s="94">
        <v>43119</v>
      </c>
      <c r="P5110" s="28" t="s">
        <v>21</v>
      </c>
      <c r="Q5110" s="26" t="b">
        <v>0</v>
      </c>
      <c r="R5110" s="22">
        <f t="shared" si="90"/>
        <v>1063</v>
      </c>
      <c r="S5110" s="37" t="s">
        <v>21</v>
      </c>
    </row>
    <row r="5111" spans="1:19" ht="32">
      <c r="A5111" s="33">
        <v>10525</v>
      </c>
      <c r="B5111" s="34">
        <v>42058</v>
      </c>
      <c r="C5111" s="35" t="s">
        <v>17708</v>
      </c>
      <c r="D5111" s="34">
        <v>42053</v>
      </c>
      <c r="E5111" s="35" t="s">
        <v>1432</v>
      </c>
      <c r="F5111" s="35" t="s">
        <v>16257</v>
      </c>
      <c r="G5111" s="35" t="s">
        <v>20</v>
      </c>
      <c r="H5111" s="35" t="s">
        <v>71</v>
      </c>
      <c r="I5111" s="35" t="s">
        <v>72</v>
      </c>
      <c r="J5111" s="35" t="s">
        <v>16258</v>
      </c>
      <c r="K5111" s="35" t="s">
        <v>16259</v>
      </c>
      <c r="L5111" s="35" t="s">
        <v>14909</v>
      </c>
      <c r="M5111" s="35" t="s">
        <v>21</v>
      </c>
      <c r="N5111" s="36"/>
      <c r="O5111" s="97">
        <v>42534</v>
      </c>
      <c r="P5111" s="35" t="s">
        <v>21</v>
      </c>
      <c r="Q5111" s="33" t="b">
        <v>0</v>
      </c>
      <c r="R5111" s="22">
        <f t="shared" si="90"/>
        <v>476</v>
      </c>
    </row>
    <row r="5112" spans="1:19">
      <c r="A5112" s="26">
        <v>10527</v>
      </c>
      <c r="B5112" s="27">
        <v>42059</v>
      </c>
      <c r="C5112" s="28" t="s">
        <v>16263</v>
      </c>
      <c r="D5112" s="27">
        <v>42052</v>
      </c>
      <c r="E5112" s="28" t="s">
        <v>16264</v>
      </c>
      <c r="F5112" s="28" t="s">
        <v>124</v>
      </c>
      <c r="G5112" s="28" t="s">
        <v>20</v>
      </c>
      <c r="H5112" s="28" t="s">
        <v>71</v>
      </c>
      <c r="I5112" s="28" t="s">
        <v>72</v>
      </c>
      <c r="J5112" s="28" t="s">
        <v>16265</v>
      </c>
      <c r="K5112" s="28" t="s">
        <v>16266</v>
      </c>
      <c r="L5112" s="28" t="s">
        <v>14909</v>
      </c>
      <c r="M5112" s="28" t="s">
        <v>21</v>
      </c>
      <c r="O5112" s="92">
        <v>42087</v>
      </c>
      <c r="P5112" s="28" t="s">
        <v>21</v>
      </c>
      <c r="Q5112" s="26" t="b">
        <v>0</v>
      </c>
      <c r="R5112" s="22">
        <f t="shared" si="90"/>
        <v>30</v>
      </c>
    </row>
    <row r="5113" spans="1:19">
      <c r="A5113" s="26">
        <v>10528</v>
      </c>
      <c r="B5113" s="27">
        <v>42060</v>
      </c>
      <c r="C5113" s="28" t="s">
        <v>16267</v>
      </c>
      <c r="D5113" s="27">
        <v>42059</v>
      </c>
      <c r="E5113" s="28" t="s">
        <v>38</v>
      </c>
      <c r="F5113" s="28" t="s">
        <v>7020</v>
      </c>
      <c r="G5113" s="28" t="s">
        <v>20</v>
      </c>
      <c r="H5113" s="28" t="s">
        <v>189</v>
      </c>
      <c r="I5113" s="28" t="s">
        <v>189</v>
      </c>
      <c r="J5113" s="28" t="s">
        <v>16268</v>
      </c>
      <c r="K5113" s="28" t="s">
        <v>16269</v>
      </c>
      <c r="L5113" s="28" t="s">
        <v>7167</v>
      </c>
      <c r="M5113" s="28" t="s">
        <v>21</v>
      </c>
      <c r="O5113" s="92">
        <v>42060</v>
      </c>
      <c r="P5113" s="28" t="s">
        <v>21</v>
      </c>
      <c r="Q5113" s="26" t="b">
        <v>0</v>
      </c>
      <c r="R5113" s="22">
        <f t="shared" si="90"/>
        <v>0</v>
      </c>
    </row>
    <row r="5114" spans="1:19">
      <c r="A5114" s="26">
        <v>10529</v>
      </c>
      <c r="B5114" s="27">
        <v>42060</v>
      </c>
      <c r="C5114" s="28" t="s">
        <v>16270</v>
      </c>
      <c r="D5114" s="27">
        <v>42060</v>
      </c>
      <c r="E5114" s="28" t="s">
        <v>16271</v>
      </c>
      <c r="F5114" s="28" t="s">
        <v>14336</v>
      </c>
      <c r="G5114" s="28" t="s">
        <v>20</v>
      </c>
      <c r="H5114" s="28" t="s">
        <v>71</v>
      </c>
      <c r="I5114" s="28" t="s">
        <v>72</v>
      </c>
      <c r="J5114" s="28" t="s">
        <v>16272</v>
      </c>
      <c r="K5114" s="28" t="s">
        <v>14825</v>
      </c>
      <c r="L5114" s="28" t="s">
        <v>1946</v>
      </c>
      <c r="M5114" s="28" t="s">
        <v>21</v>
      </c>
      <c r="O5114" s="92">
        <v>42181</v>
      </c>
      <c r="P5114" s="28" t="s">
        <v>21</v>
      </c>
      <c r="Q5114" s="26" t="b">
        <v>0</v>
      </c>
      <c r="R5114" s="22">
        <f t="shared" si="90"/>
        <v>122</v>
      </c>
    </row>
    <row r="5115" spans="1:19">
      <c r="A5115" s="38">
        <v>10531</v>
      </c>
      <c r="B5115" s="39">
        <v>42060</v>
      </c>
      <c r="C5115" s="40" t="s">
        <v>18893</v>
      </c>
      <c r="D5115" s="39">
        <v>42060</v>
      </c>
      <c r="E5115" s="40" t="s">
        <v>1432</v>
      </c>
      <c r="F5115" s="40" t="s">
        <v>104</v>
      </c>
      <c r="G5115" s="40" t="s">
        <v>20</v>
      </c>
      <c r="H5115" s="40" t="s">
        <v>71</v>
      </c>
      <c r="I5115" s="40" t="s">
        <v>72</v>
      </c>
      <c r="J5115" s="40" t="s">
        <v>16273</v>
      </c>
      <c r="K5115" s="40" t="s">
        <v>16274</v>
      </c>
      <c r="L5115" s="40" t="s">
        <v>7167</v>
      </c>
      <c r="M5115" s="40" t="s">
        <v>21</v>
      </c>
      <c r="O5115" s="100">
        <v>43322</v>
      </c>
      <c r="P5115" s="41" t="s">
        <v>21</v>
      </c>
      <c r="Q5115" s="42" t="b">
        <v>0</v>
      </c>
      <c r="R5115" s="22">
        <f t="shared" si="90"/>
        <v>1262</v>
      </c>
    </row>
    <row r="5116" spans="1:19">
      <c r="A5116" s="26">
        <v>10534</v>
      </c>
      <c r="B5116" s="27">
        <v>42066</v>
      </c>
      <c r="C5116" s="28" t="s">
        <v>16275</v>
      </c>
      <c r="D5116" s="27">
        <v>42062</v>
      </c>
      <c r="E5116" s="28" t="s">
        <v>16276</v>
      </c>
      <c r="F5116" s="28" t="s">
        <v>149</v>
      </c>
      <c r="G5116" s="28" t="s">
        <v>20</v>
      </c>
      <c r="H5116" s="28" t="s">
        <v>71</v>
      </c>
      <c r="I5116" s="28" t="s">
        <v>72</v>
      </c>
      <c r="J5116" s="28" t="s">
        <v>16277</v>
      </c>
      <c r="K5116" s="28" t="s">
        <v>16278</v>
      </c>
      <c r="L5116" s="28" t="s">
        <v>7167</v>
      </c>
      <c r="M5116" s="28" t="s">
        <v>21</v>
      </c>
      <c r="O5116" s="92">
        <v>42093</v>
      </c>
      <c r="P5116" s="28" t="s">
        <v>21</v>
      </c>
      <c r="Q5116" s="26" t="b">
        <v>0</v>
      </c>
      <c r="R5116" s="22">
        <f t="shared" si="90"/>
        <v>27</v>
      </c>
    </row>
    <row r="5117" spans="1:19">
      <c r="A5117" s="26">
        <v>10535</v>
      </c>
      <c r="B5117" s="27">
        <v>42066</v>
      </c>
      <c r="C5117" s="28" t="s">
        <v>16279</v>
      </c>
      <c r="D5117" s="27">
        <v>42062</v>
      </c>
      <c r="E5117" s="28" t="s">
        <v>38</v>
      </c>
      <c r="F5117" s="28" t="s">
        <v>124</v>
      </c>
      <c r="G5117" s="28" t="s">
        <v>20</v>
      </c>
      <c r="H5117" s="28" t="s">
        <v>71</v>
      </c>
      <c r="I5117" s="28" t="s">
        <v>72</v>
      </c>
      <c r="J5117" s="28" t="s">
        <v>16280</v>
      </c>
      <c r="K5117" s="28" t="s">
        <v>21</v>
      </c>
      <c r="L5117" s="28" t="s">
        <v>14411</v>
      </c>
      <c r="M5117" s="28" t="s">
        <v>21</v>
      </c>
      <c r="O5117" s="94">
        <v>42076</v>
      </c>
      <c r="P5117" s="28" t="s">
        <v>21</v>
      </c>
      <c r="Q5117" s="26" t="b">
        <v>0</v>
      </c>
      <c r="R5117" s="22">
        <f t="shared" si="90"/>
        <v>10</v>
      </c>
    </row>
    <row r="5118" spans="1:19">
      <c r="A5118" s="26">
        <v>10537</v>
      </c>
      <c r="B5118" s="27">
        <v>42066</v>
      </c>
      <c r="C5118" s="28" t="s">
        <v>16281</v>
      </c>
      <c r="D5118" s="27">
        <v>42059</v>
      </c>
      <c r="E5118" s="28" t="s">
        <v>38</v>
      </c>
      <c r="F5118" s="28" t="s">
        <v>371</v>
      </c>
      <c r="G5118" s="28" t="s">
        <v>20</v>
      </c>
      <c r="H5118" s="28" t="s">
        <v>71</v>
      </c>
      <c r="I5118" s="28" t="s">
        <v>72</v>
      </c>
      <c r="J5118" s="28" t="s">
        <v>16282</v>
      </c>
      <c r="K5118" s="28" t="s">
        <v>16283</v>
      </c>
      <c r="L5118" s="28" t="s">
        <v>14909</v>
      </c>
      <c r="M5118" s="28" t="s">
        <v>21</v>
      </c>
      <c r="O5118" s="92">
        <v>42082</v>
      </c>
      <c r="P5118" s="28" t="s">
        <v>21</v>
      </c>
      <c r="Q5118" s="26" t="b">
        <v>0</v>
      </c>
      <c r="R5118" s="22">
        <f t="shared" si="90"/>
        <v>16</v>
      </c>
    </row>
    <row r="5119" spans="1:19">
      <c r="A5119" s="26">
        <v>10538</v>
      </c>
      <c r="B5119" s="27">
        <v>42066</v>
      </c>
      <c r="C5119" s="28" t="s">
        <v>16284</v>
      </c>
      <c r="D5119" s="27">
        <v>42060</v>
      </c>
      <c r="E5119" s="28" t="s">
        <v>38</v>
      </c>
      <c r="F5119" s="28" t="s">
        <v>124</v>
      </c>
      <c r="G5119" s="28" t="s">
        <v>20</v>
      </c>
      <c r="H5119" s="28" t="s">
        <v>71</v>
      </c>
      <c r="I5119" s="28" t="s">
        <v>72</v>
      </c>
      <c r="J5119" s="28" t="s">
        <v>16285</v>
      </c>
      <c r="K5119" s="28" t="s">
        <v>16286</v>
      </c>
      <c r="L5119" s="28" t="s">
        <v>14909</v>
      </c>
      <c r="M5119" s="28" t="s">
        <v>21</v>
      </c>
      <c r="O5119" s="92">
        <v>42072</v>
      </c>
      <c r="P5119" s="28" t="s">
        <v>21</v>
      </c>
      <c r="Q5119" s="26" t="b">
        <v>0</v>
      </c>
      <c r="R5119" s="22">
        <f t="shared" si="90"/>
        <v>6</v>
      </c>
    </row>
    <row r="5120" spans="1:19">
      <c r="A5120" s="26">
        <v>10539</v>
      </c>
      <c r="B5120" s="27">
        <v>42066</v>
      </c>
      <c r="C5120" s="28" t="s">
        <v>16287</v>
      </c>
      <c r="D5120" s="27">
        <v>42060</v>
      </c>
      <c r="E5120" s="28" t="s">
        <v>1432</v>
      </c>
      <c r="F5120" s="28" t="s">
        <v>5184</v>
      </c>
      <c r="G5120" s="28" t="s">
        <v>20</v>
      </c>
      <c r="H5120" s="28" t="s">
        <v>71</v>
      </c>
      <c r="I5120" s="28" t="s">
        <v>72</v>
      </c>
      <c r="J5120" s="28" t="s">
        <v>16288</v>
      </c>
      <c r="K5120" s="28" t="s">
        <v>16289</v>
      </c>
      <c r="L5120" s="28" t="s">
        <v>14909</v>
      </c>
      <c r="M5120" s="28" t="s">
        <v>21</v>
      </c>
      <c r="O5120" s="92">
        <v>42321</v>
      </c>
      <c r="P5120" s="28" t="s">
        <v>21</v>
      </c>
      <c r="Q5120" s="26" t="b">
        <v>0</v>
      </c>
      <c r="R5120" s="22">
        <f t="shared" si="90"/>
        <v>253</v>
      </c>
    </row>
    <row r="5121" spans="1:19">
      <c r="A5121" s="26">
        <v>10540</v>
      </c>
      <c r="B5121" s="27">
        <v>42066</v>
      </c>
      <c r="C5121" s="28" t="s">
        <v>16290</v>
      </c>
      <c r="D5121" s="27">
        <v>42088</v>
      </c>
      <c r="E5121" s="28" t="s">
        <v>1432</v>
      </c>
      <c r="F5121" s="28" t="s">
        <v>5184</v>
      </c>
      <c r="G5121" s="28" t="s">
        <v>20</v>
      </c>
      <c r="H5121" s="28" t="s">
        <v>71</v>
      </c>
      <c r="I5121" s="28" t="s">
        <v>72</v>
      </c>
      <c r="J5121" s="28" t="s">
        <v>16291</v>
      </c>
      <c r="K5121" s="28" t="s">
        <v>16289</v>
      </c>
      <c r="L5121" s="28" t="s">
        <v>14909</v>
      </c>
      <c r="M5121" s="28" t="s">
        <v>21</v>
      </c>
      <c r="O5121" s="92">
        <v>42321</v>
      </c>
      <c r="P5121" s="28" t="s">
        <v>21</v>
      </c>
      <c r="Q5121" s="26" t="b">
        <v>0</v>
      </c>
      <c r="R5121" s="22">
        <f t="shared" si="90"/>
        <v>253</v>
      </c>
    </row>
    <row r="5122" spans="1:19">
      <c r="A5122" s="47">
        <v>10541</v>
      </c>
      <c r="B5122" s="48">
        <v>42066</v>
      </c>
      <c r="C5122" s="49" t="s">
        <v>16292</v>
      </c>
      <c r="D5122" s="48">
        <v>42066</v>
      </c>
      <c r="E5122" s="49" t="s">
        <v>3268</v>
      </c>
      <c r="F5122" s="49" t="s">
        <v>16293</v>
      </c>
      <c r="G5122" s="49" t="s">
        <v>20</v>
      </c>
      <c r="H5122" s="49" t="s">
        <v>71</v>
      </c>
      <c r="I5122" s="49" t="s">
        <v>72</v>
      </c>
      <c r="J5122" s="49" t="s">
        <v>16294</v>
      </c>
      <c r="K5122" s="49" t="s">
        <v>16295</v>
      </c>
      <c r="L5122" s="49" t="s">
        <v>4282</v>
      </c>
      <c r="M5122" s="49" t="s">
        <v>21</v>
      </c>
      <c r="O5122" s="102">
        <v>42073</v>
      </c>
      <c r="P5122" s="49" t="s">
        <v>21</v>
      </c>
      <c r="Q5122" s="47" t="b">
        <v>0</v>
      </c>
      <c r="R5122" s="22">
        <f t="shared" si="90"/>
        <v>7</v>
      </c>
    </row>
    <row r="5123" spans="1:19" ht="32">
      <c r="A5123" s="55">
        <v>10542</v>
      </c>
      <c r="B5123" s="56">
        <v>42067</v>
      </c>
      <c r="C5123" s="57" t="s">
        <v>18132</v>
      </c>
      <c r="D5123" s="56">
        <v>42067</v>
      </c>
      <c r="E5123" s="57" t="s">
        <v>15826</v>
      </c>
      <c r="F5123" s="57" t="s">
        <v>1743</v>
      </c>
      <c r="G5123" s="57" t="s">
        <v>20</v>
      </c>
      <c r="H5123" s="57" t="s">
        <v>71</v>
      </c>
      <c r="I5123" s="57" t="s">
        <v>72</v>
      </c>
      <c r="J5123" s="57" t="s">
        <v>18133</v>
      </c>
      <c r="K5123" s="57" t="s">
        <v>9032</v>
      </c>
      <c r="L5123" s="57" t="s">
        <v>4282</v>
      </c>
      <c r="M5123" s="57" t="s">
        <v>21</v>
      </c>
      <c r="N5123" s="36"/>
      <c r="O5123" s="103"/>
      <c r="P5123" s="57" t="s">
        <v>21</v>
      </c>
      <c r="Q5123" s="55" t="b">
        <v>0</v>
      </c>
      <c r="R5123" s="112"/>
    </row>
    <row r="5124" spans="1:19">
      <c r="A5124" s="50">
        <v>10543</v>
      </c>
      <c r="B5124" s="51">
        <v>42067</v>
      </c>
      <c r="C5124" s="52" t="s">
        <v>18894</v>
      </c>
      <c r="D5124" s="51">
        <v>42067</v>
      </c>
      <c r="E5124" s="52" t="s">
        <v>16296</v>
      </c>
      <c r="F5124" s="52" t="s">
        <v>3171</v>
      </c>
      <c r="G5124" s="52" t="s">
        <v>20</v>
      </c>
      <c r="H5124" s="52" t="s">
        <v>566</v>
      </c>
      <c r="I5124" s="52" t="s">
        <v>566</v>
      </c>
      <c r="J5124" s="52" t="s">
        <v>16297</v>
      </c>
      <c r="K5124" s="52" t="s">
        <v>16298</v>
      </c>
      <c r="L5124" s="52" t="s">
        <v>1946</v>
      </c>
      <c r="M5124" s="52" t="s">
        <v>21</v>
      </c>
      <c r="O5124" s="104">
        <v>43272</v>
      </c>
      <c r="P5124" s="53" t="s">
        <v>21</v>
      </c>
      <c r="Q5124" s="54" t="b">
        <v>0</v>
      </c>
      <c r="R5124" s="22">
        <f t="shared" ref="R5124:R5158" si="91">IF(O5124=" ", " ", INT(YEARFRAC(O5124, B5124)*365))</f>
        <v>1203</v>
      </c>
    </row>
    <row r="5125" spans="1:19">
      <c r="A5125" s="47">
        <v>10544</v>
      </c>
      <c r="B5125" s="48">
        <v>42068</v>
      </c>
      <c r="C5125" s="49" t="s">
        <v>16299</v>
      </c>
      <c r="D5125" s="48">
        <v>42068</v>
      </c>
      <c r="E5125" s="49" t="s">
        <v>16300</v>
      </c>
      <c r="F5125" s="49" t="s">
        <v>39</v>
      </c>
      <c r="G5125" s="49" t="s">
        <v>20</v>
      </c>
      <c r="H5125" s="49" t="s">
        <v>71</v>
      </c>
      <c r="I5125" s="49" t="s">
        <v>72</v>
      </c>
      <c r="J5125" s="49" t="s">
        <v>16301</v>
      </c>
      <c r="K5125" s="49" t="s">
        <v>16302</v>
      </c>
      <c r="L5125" s="49" t="s">
        <v>7167</v>
      </c>
      <c r="M5125" s="49" t="s">
        <v>21</v>
      </c>
      <c r="O5125" s="102">
        <v>42117</v>
      </c>
      <c r="P5125" s="49" t="s">
        <v>21</v>
      </c>
      <c r="Q5125" s="47" t="b">
        <v>0</v>
      </c>
      <c r="R5125" s="22">
        <f t="shared" si="91"/>
        <v>48</v>
      </c>
    </row>
    <row r="5126" spans="1:19">
      <c r="A5126" s="47">
        <v>10546</v>
      </c>
      <c r="B5126" s="48">
        <v>42076</v>
      </c>
      <c r="C5126" s="49" t="s">
        <v>16303</v>
      </c>
      <c r="D5126" s="48">
        <v>42076</v>
      </c>
      <c r="E5126" s="49" t="s">
        <v>38</v>
      </c>
      <c r="F5126" s="49" t="s">
        <v>1232</v>
      </c>
      <c r="G5126" s="49" t="s">
        <v>20</v>
      </c>
      <c r="H5126" s="49" t="s">
        <v>189</v>
      </c>
      <c r="I5126" s="49" t="s">
        <v>189</v>
      </c>
      <c r="J5126" s="49" t="s">
        <v>16304</v>
      </c>
      <c r="K5126" s="49" t="s">
        <v>21</v>
      </c>
      <c r="L5126" s="49" t="s">
        <v>14349</v>
      </c>
      <c r="M5126" s="49" t="s">
        <v>21</v>
      </c>
      <c r="O5126" s="102">
        <v>42180</v>
      </c>
      <c r="P5126" s="49" t="s">
        <v>21</v>
      </c>
      <c r="Q5126" s="47" t="b">
        <v>0</v>
      </c>
      <c r="R5126" s="22">
        <f t="shared" si="91"/>
        <v>103</v>
      </c>
    </row>
    <row r="5127" spans="1:19" ht="24">
      <c r="A5127" s="47">
        <v>10547</v>
      </c>
      <c r="B5127" s="48">
        <v>42079</v>
      </c>
      <c r="C5127" s="49" t="s">
        <v>16305</v>
      </c>
      <c r="D5127" s="48">
        <v>42079</v>
      </c>
      <c r="E5127" s="49" t="s">
        <v>16306</v>
      </c>
      <c r="F5127" s="49" t="s">
        <v>3171</v>
      </c>
      <c r="G5127" s="49" t="s">
        <v>20</v>
      </c>
      <c r="H5127" s="49" t="s">
        <v>566</v>
      </c>
      <c r="I5127" s="49" t="s">
        <v>566</v>
      </c>
      <c r="J5127" s="49" t="s">
        <v>16307</v>
      </c>
      <c r="K5127" s="49" t="s">
        <v>16308</v>
      </c>
      <c r="L5127" s="49" t="s">
        <v>1946</v>
      </c>
      <c r="M5127" s="49" t="s">
        <v>21</v>
      </c>
      <c r="O5127" s="102">
        <v>42314</v>
      </c>
      <c r="P5127" s="49" t="s">
        <v>21</v>
      </c>
      <c r="Q5127" s="47" t="b">
        <v>0</v>
      </c>
      <c r="R5127" s="22">
        <f t="shared" si="91"/>
        <v>233</v>
      </c>
    </row>
    <row r="5128" spans="1:19" ht="24">
      <c r="A5128" s="47">
        <v>10548</v>
      </c>
      <c r="B5128" s="48">
        <v>42088</v>
      </c>
      <c r="C5128" s="49" t="s">
        <v>19098</v>
      </c>
      <c r="D5128" s="48">
        <v>42081</v>
      </c>
      <c r="E5128" s="49" t="s">
        <v>1432</v>
      </c>
      <c r="F5128" s="49" t="s">
        <v>371</v>
      </c>
      <c r="G5128" s="49" t="s">
        <v>20</v>
      </c>
      <c r="H5128" s="49" t="s">
        <v>71</v>
      </c>
      <c r="I5128" s="49" t="s">
        <v>72</v>
      </c>
      <c r="J5128" s="49" t="s">
        <v>16309</v>
      </c>
      <c r="K5128" s="49" t="s">
        <v>18104</v>
      </c>
      <c r="L5128" s="49" t="s">
        <v>7167</v>
      </c>
      <c r="M5128" s="49" t="s">
        <v>21</v>
      </c>
      <c r="O5128" s="102">
        <v>42802</v>
      </c>
      <c r="P5128" s="49" t="s">
        <v>21</v>
      </c>
      <c r="Q5128" s="47" t="b">
        <v>0</v>
      </c>
      <c r="R5128" s="22">
        <f t="shared" si="91"/>
        <v>712</v>
      </c>
      <c r="S5128" s="37" t="s">
        <v>21</v>
      </c>
    </row>
    <row r="5129" spans="1:19" ht="24">
      <c r="A5129" s="47">
        <v>10549</v>
      </c>
      <c r="B5129" s="48">
        <v>42088</v>
      </c>
      <c r="C5129" s="49" t="s">
        <v>19099</v>
      </c>
      <c r="D5129" s="48">
        <v>42081</v>
      </c>
      <c r="E5129" s="49" t="s">
        <v>1432</v>
      </c>
      <c r="F5129" s="49" t="s">
        <v>124</v>
      </c>
      <c r="G5129" s="49" t="s">
        <v>20</v>
      </c>
      <c r="H5129" s="49" t="s">
        <v>71</v>
      </c>
      <c r="I5129" s="49" t="s">
        <v>72</v>
      </c>
      <c r="J5129" s="49" t="s">
        <v>16310</v>
      </c>
      <c r="K5129" s="49" t="s">
        <v>18192</v>
      </c>
      <c r="L5129" s="49" t="s">
        <v>7167</v>
      </c>
      <c r="M5129" s="49" t="s">
        <v>21</v>
      </c>
      <c r="O5129" s="102">
        <v>42802</v>
      </c>
      <c r="P5129" s="49" t="s">
        <v>21</v>
      </c>
      <c r="Q5129" s="47" t="b">
        <v>0</v>
      </c>
      <c r="R5129" s="22">
        <f t="shared" si="91"/>
        <v>712</v>
      </c>
      <c r="S5129" s="37" t="s">
        <v>21</v>
      </c>
    </row>
    <row r="5130" spans="1:19">
      <c r="A5130" s="47">
        <v>10551</v>
      </c>
      <c r="B5130" s="48">
        <v>42089</v>
      </c>
      <c r="C5130" s="49" t="s">
        <v>16314</v>
      </c>
      <c r="D5130" s="48">
        <v>42089</v>
      </c>
      <c r="E5130" s="49" t="s">
        <v>16315</v>
      </c>
      <c r="F5130" s="49" t="s">
        <v>693</v>
      </c>
      <c r="G5130" s="49" t="s">
        <v>20</v>
      </c>
      <c r="H5130" s="49" t="s">
        <v>189</v>
      </c>
      <c r="I5130" s="49" t="s">
        <v>189</v>
      </c>
      <c r="J5130" s="49" t="s">
        <v>16029</v>
      </c>
      <c r="K5130" s="49" t="s">
        <v>16316</v>
      </c>
      <c r="L5130" s="49" t="s">
        <v>7167</v>
      </c>
      <c r="M5130" s="49" t="s">
        <v>21</v>
      </c>
      <c r="O5130" s="102">
        <v>42108</v>
      </c>
      <c r="P5130" s="49" t="s">
        <v>21</v>
      </c>
      <c r="Q5130" s="47" t="b">
        <v>0</v>
      </c>
      <c r="R5130" s="22">
        <f t="shared" si="91"/>
        <v>18</v>
      </c>
    </row>
    <row r="5131" spans="1:19" ht="24">
      <c r="A5131" s="47">
        <v>10550</v>
      </c>
      <c r="B5131" s="48">
        <v>42090</v>
      </c>
      <c r="C5131" s="49" t="s">
        <v>16311</v>
      </c>
      <c r="D5131" s="48">
        <v>42094</v>
      </c>
      <c r="E5131" s="49" t="s">
        <v>16312</v>
      </c>
      <c r="F5131" s="49" t="s">
        <v>124</v>
      </c>
      <c r="G5131" s="49" t="s">
        <v>20</v>
      </c>
      <c r="H5131" s="49" t="s">
        <v>566</v>
      </c>
      <c r="I5131" s="49" t="s">
        <v>566</v>
      </c>
      <c r="J5131" s="49" t="s">
        <v>16313</v>
      </c>
      <c r="K5131" s="49" t="s">
        <v>21</v>
      </c>
      <c r="L5131" s="49" t="s">
        <v>14518</v>
      </c>
      <c r="M5131" s="49" t="s">
        <v>21</v>
      </c>
      <c r="O5131" s="102">
        <v>42307</v>
      </c>
      <c r="P5131" s="49" t="s">
        <v>21</v>
      </c>
      <c r="Q5131" s="47" t="b">
        <v>0</v>
      </c>
      <c r="R5131" s="22">
        <f t="shared" si="91"/>
        <v>215</v>
      </c>
    </row>
    <row r="5132" spans="1:19">
      <c r="A5132" s="47">
        <v>10553</v>
      </c>
      <c r="B5132" s="48">
        <v>42097</v>
      </c>
      <c r="C5132" s="49" t="s">
        <v>16317</v>
      </c>
      <c r="D5132" s="48">
        <v>42096</v>
      </c>
      <c r="E5132" s="49" t="s">
        <v>38</v>
      </c>
      <c r="F5132" s="49" t="s">
        <v>27</v>
      </c>
      <c r="G5132" s="49" t="s">
        <v>20</v>
      </c>
      <c r="H5132" s="49" t="s">
        <v>71</v>
      </c>
      <c r="I5132" s="49" t="s">
        <v>72</v>
      </c>
      <c r="J5132" s="49" t="s">
        <v>16318</v>
      </c>
      <c r="K5132" s="49" t="s">
        <v>802</v>
      </c>
      <c r="L5132" s="49" t="s">
        <v>14411</v>
      </c>
      <c r="M5132" s="49" t="s">
        <v>21</v>
      </c>
      <c r="O5132" s="102">
        <v>42097</v>
      </c>
      <c r="P5132" s="49" t="s">
        <v>21</v>
      </c>
      <c r="Q5132" s="47" t="b">
        <v>0</v>
      </c>
      <c r="R5132" s="22">
        <f t="shared" si="91"/>
        <v>0</v>
      </c>
    </row>
    <row r="5133" spans="1:19">
      <c r="A5133" s="47">
        <v>10554</v>
      </c>
      <c r="B5133" s="48">
        <v>42100</v>
      </c>
      <c r="C5133" s="49" t="s">
        <v>16319</v>
      </c>
      <c r="D5133" s="48">
        <v>42100</v>
      </c>
      <c r="E5133" s="49" t="s">
        <v>16320</v>
      </c>
      <c r="F5133" s="49" t="s">
        <v>16321</v>
      </c>
      <c r="G5133" s="49" t="s">
        <v>20</v>
      </c>
      <c r="H5133" s="49" t="s">
        <v>71</v>
      </c>
      <c r="I5133" s="49" t="s">
        <v>72</v>
      </c>
      <c r="J5133" s="49" t="s">
        <v>6081</v>
      </c>
      <c r="K5133" s="49" t="s">
        <v>16322</v>
      </c>
      <c r="L5133" s="49" t="s">
        <v>1946</v>
      </c>
      <c r="M5133" s="49" t="s">
        <v>21</v>
      </c>
      <c r="O5133" s="102">
        <v>42153</v>
      </c>
      <c r="P5133" s="49" t="s">
        <v>21</v>
      </c>
      <c r="Q5133" s="47" t="b">
        <v>0</v>
      </c>
      <c r="R5133" s="22">
        <f t="shared" si="91"/>
        <v>53</v>
      </c>
    </row>
    <row r="5134" spans="1:19">
      <c r="A5134" s="47">
        <v>10555</v>
      </c>
      <c r="B5134" s="48">
        <v>42101</v>
      </c>
      <c r="C5134" s="49" t="s">
        <v>16323</v>
      </c>
      <c r="D5134" s="48">
        <v>42101</v>
      </c>
      <c r="E5134" s="49" t="s">
        <v>16324</v>
      </c>
      <c r="F5134" s="49" t="s">
        <v>984</v>
      </c>
      <c r="G5134" s="49" t="s">
        <v>20</v>
      </c>
      <c r="H5134" s="49" t="s">
        <v>71</v>
      </c>
      <c r="I5134" s="49" t="s">
        <v>72</v>
      </c>
      <c r="J5134" s="49" t="s">
        <v>16325</v>
      </c>
      <c r="K5134" s="49" t="s">
        <v>21</v>
      </c>
      <c r="L5134" s="49" t="s">
        <v>7167</v>
      </c>
      <c r="M5134" s="49" t="s">
        <v>21</v>
      </c>
      <c r="O5134" s="102">
        <v>42109</v>
      </c>
      <c r="P5134" s="49" t="s">
        <v>21</v>
      </c>
      <c r="Q5134" s="47" t="b">
        <v>0</v>
      </c>
      <c r="R5134" s="22">
        <f t="shared" si="91"/>
        <v>8</v>
      </c>
    </row>
    <row r="5135" spans="1:19" ht="32">
      <c r="A5135" s="55">
        <v>10556</v>
      </c>
      <c r="B5135" s="56">
        <v>42104</v>
      </c>
      <c r="C5135" s="57" t="s">
        <v>17835</v>
      </c>
      <c r="D5135" s="56">
        <v>42104</v>
      </c>
      <c r="E5135" s="57" t="s">
        <v>1432</v>
      </c>
      <c r="F5135" s="57" t="s">
        <v>124</v>
      </c>
      <c r="G5135" s="57" t="s">
        <v>20</v>
      </c>
      <c r="H5135" s="57" t="s">
        <v>71</v>
      </c>
      <c r="I5135" s="57" t="s">
        <v>15699</v>
      </c>
      <c r="J5135" s="57" t="s">
        <v>16326</v>
      </c>
      <c r="K5135" s="57" t="s">
        <v>16327</v>
      </c>
      <c r="L5135" s="57" t="s">
        <v>14909</v>
      </c>
      <c r="M5135" s="57" t="s">
        <v>14518</v>
      </c>
      <c r="N5135" s="36"/>
      <c r="O5135" s="105">
        <v>42612</v>
      </c>
      <c r="P5135" s="57" t="s">
        <v>21</v>
      </c>
      <c r="Q5135" s="55" t="b">
        <v>0</v>
      </c>
      <c r="R5135" s="22">
        <f t="shared" si="91"/>
        <v>506</v>
      </c>
    </row>
    <row r="5136" spans="1:19">
      <c r="A5136" s="47">
        <v>10557</v>
      </c>
      <c r="B5136" s="48">
        <v>42107</v>
      </c>
      <c r="C5136" s="49" t="s">
        <v>16328</v>
      </c>
      <c r="D5136" s="48">
        <v>42107</v>
      </c>
      <c r="E5136" s="49" t="s">
        <v>16329</v>
      </c>
      <c r="F5136" s="49" t="s">
        <v>2359</v>
      </c>
      <c r="G5136" s="49" t="s">
        <v>20</v>
      </c>
      <c r="H5136" s="49" t="s">
        <v>71</v>
      </c>
      <c r="I5136" s="49" t="s">
        <v>72</v>
      </c>
      <c r="J5136" s="49" t="s">
        <v>16330</v>
      </c>
      <c r="K5136" s="49" t="s">
        <v>16331</v>
      </c>
      <c r="L5136" s="49" t="s">
        <v>7167</v>
      </c>
      <c r="M5136" s="49" t="s">
        <v>21</v>
      </c>
      <c r="O5136" s="102">
        <v>42124</v>
      </c>
      <c r="P5136" s="49" t="s">
        <v>21</v>
      </c>
      <c r="Q5136" s="47" t="b">
        <v>0</v>
      </c>
      <c r="R5136" s="22">
        <f t="shared" si="91"/>
        <v>17</v>
      </c>
    </row>
    <row r="5137" spans="1:19">
      <c r="A5137" s="47">
        <v>10558</v>
      </c>
      <c r="B5137" s="48">
        <v>42107</v>
      </c>
      <c r="C5137" s="49" t="s">
        <v>16332</v>
      </c>
      <c r="D5137" s="48">
        <v>42107</v>
      </c>
      <c r="E5137" s="49" t="s">
        <v>16333</v>
      </c>
      <c r="F5137" s="49" t="s">
        <v>984</v>
      </c>
      <c r="G5137" s="49" t="s">
        <v>20</v>
      </c>
      <c r="H5137" s="49" t="s">
        <v>71</v>
      </c>
      <c r="I5137" s="49" t="s">
        <v>72</v>
      </c>
      <c r="J5137" s="49" t="s">
        <v>6081</v>
      </c>
      <c r="K5137" s="49" t="s">
        <v>16334</v>
      </c>
      <c r="L5137" s="49" t="s">
        <v>7167</v>
      </c>
      <c r="M5137" s="49" t="s">
        <v>21</v>
      </c>
      <c r="O5137" s="102">
        <v>42128</v>
      </c>
      <c r="P5137" s="49" t="s">
        <v>21</v>
      </c>
      <c r="Q5137" s="47" t="b">
        <v>0</v>
      </c>
      <c r="R5137" s="22">
        <f t="shared" si="91"/>
        <v>21</v>
      </c>
    </row>
    <row r="5138" spans="1:19">
      <c r="A5138" s="47">
        <v>10559</v>
      </c>
      <c r="B5138" s="48">
        <v>42107</v>
      </c>
      <c r="C5138" s="49" t="s">
        <v>16335</v>
      </c>
      <c r="D5138" s="48">
        <v>42107</v>
      </c>
      <c r="E5138" s="49" t="s">
        <v>16336</v>
      </c>
      <c r="F5138" s="49" t="s">
        <v>984</v>
      </c>
      <c r="G5138" s="49" t="s">
        <v>20</v>
      </c>
      <c r="H5138" s="49" t="s">
        <v>71</v>
      </c>
      <c r="I5138" s="49" t="s">
        <v>72</v>
      </c>
      <c r="J5138" s="49" t="s">
        <v>6081</v>
      </c>
      <c r="K5138" s="49" t="s">
        <v>16337</v>
      </c>
      <c r="L5138" s="49" t="s">
        <v>7167</v>
      </c>
      <c r="M5138" s="49" t="s">
        <v>21</v>
      </c>
      <c r="O5138" s="102">
        <v>42124</v>
      </c>
      <c r="P5138" s="49" t="s">
        <v>21</v>
      </c>
      <c r="Q5138" s="47" t="b">
        <v>0</v>
      </c>
      <c r="R5138" s="22">
        <f t="shared" si="91"/>
        <v>17</v>
      </c>
    </row>
    <row r="5139" spans="1:19">
      <c r="A5139" s="47">
        <v>10560</v>
      </c>
      <c r="B5139" s="48">
        <v>42107</v>
      </c>
      <c r="C5139" s="49" t="s">
        <v>16338</v>
      </c>
      <c r="D5139" s="48">
        <v>42103</v>
      </c>
      <c r="E5139" s="49" t="s">
        <v>16339</v>
      </c>
      <c r="F5139" s="49" t="s">
        <v>4596</v>
      </c>
      <c r="G5139" s="49" t="s">
        <v>20</v>
      </c>
      <c r="H5139" s="49" t="s">
        <v>566</v>
      </c>
      <c r="I5139" s="49" t="s">
        <v>566</v>
      </c>
      <c r="J5139" s="49" t="s">
        <v>16340</v>
      </c>
      <c r="K5139" s="49" t="s">
        <v>16341</v>
      </c>
      <c r="L5139" s="49" t="s">
        <v>14518</v>
      </c>
      <c r="M5139" s="49" t="s">
        <v>21</v>
      </c>
      <c r="O5139" s="102">
        <v>42138</v>
      </c>
      <c r="P5139" s="49" t="s">
        <v>21</v>
      </c>
      <c r="Q5139" s="47" t="b">
        <v>0</v>
      </c>
      <c r="R5139" s="22">
        <f t="shared" si="91"/>
        <v>31</v>
      </c>
    </row>
    <row r="5140" spans="1:19" ht="24">
      <c r="A5140" s="47">
        <v>10562</v>
      </c>
      <c r="B5140" s="48">
        <v>42109</v>
      </c>
      <c r="C5140" s="49" t="s">
        <v>19097</v>
      </c>
      <c r="D5140" s="48">
        <v>42109</v>
      </c>
      <c r="E5140" s="49" t="s">
        <v>1432</v>
      </c>
      <c r="F5140" s="49" t="s">
        <v>5184</v>
      </c>
      <c r="G5140" s="49" t="s">
        <v>20</v>
      </c>
      <c r="H5140" s="49" t="s">
        <v>71</v>
      </c>
      <c r="I5140" s="49" t="s">
        <v>72</v>
      </c>
      <c r="J5140" s="49" t="s">
        <v>16342</v>
      </c>
      <c r="K5140" s="49" t="s">
        <v>16343</v>
      </c>
      <c r="L5140" s="49" t="s">
        <v>7167</v>
      </c>
      <c r="M5140" s="49" t="s">
        <v>21</v>
      </c>
      <c r="O5140" s="102">
        <v>42800</v>
      </c>
      <c r="P5140" s="49" t="s">
        <v>21</v>
      </c>
      <c r="Q5140" s="47" t="b">
        <v>0</v>
      </c>
      <c r="R5140" s="22">
        <f t="shared" si="91"/>
        <v>690</v>
      </c>
      <c r="S5140" s="37" t="s">
        <v>21</v>
      </c>
    </row>
    <row r="5141" spans="1:19">
      <c r="A5141" s="50">
        <v>10563</v>
      </c>
      <c r="B5141" s="51">
        <v>42110</v>
      </c>
      <c r="C5141" s="52" t="s">
        <v>18895</v>
      </c>
      <c r="D5141" s="51">
        <v>42109</v>
      </c>
      <c r="E5141" s="52" t="s">
        <v>16344</v>
      </c>
      <c r="F5141" s="52" t="s">
        <v>16345</v>
      </c>
      <c r="G5141" s="52" t="s">
        <v>20</v>
      </c>
      <c r="H5141" s="52" t="s">
        <v>71</v>
      </c>
      <c r="I5141" s="52" t="s">
        <v>72</v>
      </c>
      <c r="J5141" s="52" t="s">
        <v>16185</v>
      </c>
      <c r="K5141" s="52" t="s">
        <v>21</v>
      </c>
      <c r="L5141" s="52" t="s">
        <v>14518</v>
      </c>
      <c r="M5141" s="52" t="s">
        <v>21</v>
      </c>
      <c r="O5141" s="104">
        <v>43279</v>
      </c>
      <c r="P5141" s="53" t="s">
        <v>21</v>
      </c>
      <c r="Q5141" s="54" t="b">
        <v>0</v>
      </c>
      <c r="R5141" s="22">
        <f t="shared" si="91"/>
        <v>1168</v>
      </c>
    </row>
    <row r="5142" spans="1:19">
      <c r="A5142" s="47">
        <v>10564</v>
      </c>
      <c r="B5142" s="48">
        <v>42110</v>
      </c>
      <c r="C5142" s="49" t="s">
        <v>16346</v>
      </c>
      <c r="D5142" s="48">
        <v>42109</v>
      </c>
      <c r="E5142" s="49" t="s">
        <v>16347</v>
      </c>
      <c r="F5142" s="49" t="s">
        <v>8605</v>
      </c>
      <c r="G5142" s="49" t="s">
        <v>20</v>
      </c>
      <c r="H5142" s="49" t="s">
        <v>212</v>
      </c>
      <c r="I5142" s="49" t="s">
        <v>212</v>
      </c>
      <c r="J5142" s="49" t="s">
        <v>6081</v>
      </c>
      <c r="K5142" s="49" t="s">
        <v>16348</v>
      </c>
      <c r="L5142" s="49" t="s">
        <v>14411</v>
      </c>
      <c r="M5142" s="49" t="s">
        <v>21</v>
      </c>
      <c r="O5142" s="102">
        <v>42272</v>
      </c>
      <c r="P5142" s="49" t="s">
        <v>21</v>
      </c>
      <c r="Q5142" s="47" t="b">
        <v>0</v>
      </c>
      <c r="R5142" s="22">
        <f t="shared" si="91"/>
        <v>161</v>
      </c>
    </row>
    <row r="5143" spans="1:19">
      <c r="A5143" s="47">
        <v>10567</v>
      </c>
      <c r="B5143" s="48">
        <v>42110</v>
      </c>
      <c r="C5143" s="49" t="s">
        <v>16354</v>
      </c>
      <c r="D5143" s="48">
        <v>42110</v>
      </c>
      <c r="E5143" s="49" t="s">
        <v>16355</v>
      </c>
      <c r="F5143" s="49" t="s">
        <v>242</v>
      </c>
      <c r="G5143" s="49" t="s">
        <v>20</v>
      </c>
      <c r="H5143" s="49" t="s">
        <v>71</v>
      </c>
      <c r="I5143" s="49" t="s">
        <v>72</v>
      </c>
      <c r="J5143" s="49" t="s">
        <v>16356</v>
      </c>
      <c r="K5143" s="49" t="s">
        <v>16357</v>
      </c>
      <c r="L5143" s="49" t="s">
        <v>14909</v>
      </c>
      <c r="M5143" s="49" t="s">
        <v>21</v>
      </c>
      <c r="O5143" s="102">
        <v>42341</v>
      </c>
      <c r="P5143" s="49" t="s">
        <v>21</v>
      </c>
      <c r="Q5143" s="47" t="b">
        <v>0</v>
      </c>
      <c r="R5143" s="22">
        <f t="shared" si="91"/>
        <v>230</v>
      </c>
    </row>
    <row r="5144" spans="1:19">
      <c r="A5144" s="47">
        <v>10565</v>
      </c>
      <c r="B5144" s="48">
        <v>42111</v>
      </c>
      <c r="C5144" s="49" t="s">
        <v>16349</v>
      </c>
      <c r="D5144" s="48">
        <v>42110</v>
      </c>
      <c r="E5144" s="49" t="s">
        <v>38</v>
      </c>
      <c r="F5144" s="49" t="s">
        <v>149</v>
      </c>
      <c r="G5144" s="49" t="s">
        <v>20</v>
      </c>
      <c r="H5144" s="49" t="s">
        <v>71</v>
      </c>
      <c r="I5144" s="49" t="s">
        <v>72</v>
      </c>
      <c r="J5144" s="49" t="s">
        <v>16350</v>
      </c>
      <c r="K5144" s="49" t="s">
        <v>3354</v>
      </c>
      <c r="L5144" s="49" t="s">
        <v>14411</v>
      </c>
      <c r="M5144" s="49" t="s">
        <v>21</v>
      </c>
      <c r="O5144" s="102">
        <v>42139</v>
      </c>
      <c r="P5144" s="49" t="s">
        <v>21</v>
      </c>
      <c r="Q5144" s="47" t="b">
        <v>0</v>
      </c>
      <c r="R5144" s="22">
        <f t="shared" si="91"/>
        <v>28</v>
      </c>
    </row>
    <row r="5145" spans="1:19">
      <c r="A5145" s="47">
        <v>10566</v>
      </c>
      <c r="B5145" s="48">
        <v>42111</v>
      </c>
      <c r="C5145" s="49" t="s">
        <v>16351</v>
      </c>
      <c r="D5145" s="48">
        <v>42110</v>
      </c>
      <c r="E5145" s="49" t="s">
        <v>16352</v>
      </c>
      <c r="F5145" s="49" t="s">
        <v>984</v>
      </c>
      <c r="G5145" s="49" t="s">
        <v>20</v>
      </c>
      <c r="H5145" s="49" t="s">
        <v>71</v>
      </c>
      <c r="I5145" s="49" t="s">
        <v>72</v>
      </c>
      <c r="J5145" s="49" t="s">
        <v>16324</v>
      </c>
      <c r="K5145" s="49" t="s">
        <v>16353</v>
      </c>
      <c r="L5145" s="49" t="s">
        <v>7167</v>
      </c>
      <c r="M5145" s="49" t="s">
        <v>21</v>
      </c>
      <c r="O5145" s="102">
        <v>42171</v>
      </c>
      <c r="P5145" s="49" t="s">
        <v>21</v>
      </c>
      <c r="Q5145" s="47" t="b">
        <v>0</v>
      </c>
      <c r="R5145" s="22">
        <f t="shared" si="91"/>
        <v>59</v>
      </c>
    </row>
    <row r="5146" spans="1:19" ht="32">
      <c r="A5146" s="55">
        <v>10568</v>
      </c>
      <c r="B5146" s="56">
        <v>42116</v>
      </c>
      <c r="C5146" s="57" t="s">
        <v>17627</v>
      </c>
      <c r="D5146" s="56">
        <v>42116</v>
      </c>
      <c r="E5146" s="57" t="s">
        <v>38</v>
      </c>
      <c r="F5146" s="57" t="s">
        <v>999</v>
      </c>
      <c r="G5146" s="57" t="s">
        <v>20</v>
      </c>
      <c r="H5146" s="57" t="s">
        <v>71</v>
      </c>
      <c r="I5146" s="57" t="s">
        <v>72</v>
      </c>
      <c r="J5146" s="57" t="s">
        <v>16358</v>
      </c>
      <c r="K5146" s="57" t="s">
        <v>16359</v>
      </c>
      <c r="L5146" s="57" t="s">
        <v>4282</v>
      </c>
      <c r="M5146" s="57" t="s">
        <v>21</v>
      </c>
      <c r="N5146" s="36"/>
      <c r="O5146" s="105">
        <v>42489</v>
      </c>
      <c r="P5146" s="57" t="s">
        <v>21</v>
      </c>
      <c r="Q5146" s="55" t="b">
        <v>0</v>
      </c>
      <c r="R5146" s="22">
        <f t="shared" si="91"/>
        <v>372</v>
      </c>
    </row>
    <row r="5147" spans="1:19" ht="32">
      <c r="A5147" s="55">
        <v>10569</v>
      </c>
      <c r="B5147" s="56">
        <v>42116</v>
      </c>
      <c r="C5147" s="57" t="s">
        <v>17632</v>
      </c>
      <c r="D5147" s="56">
        <v>42116</v>
      </c>
      <c r="E5147" s="57" t="s">
        <v>16360</v>
      </c>
      <c r="F5147" s="57" t="s">
        <v>974</v>
      </c>
      <c r="G5147" s="57" t="s">
        <v>20</v>
      </c>
      <c r="H5147" s="57" t="s">
        <v>212</v>
      </c>
      <c r="I5147" s="57" t="s">
        <v>212</v>
      </c>
      <c r="J5147" s="57" t="s">
        <v>16361</v>
      </c>
      <c r="K5147" s="57" t="s">
        <v>6523</v>
      </c>
      <c r="L5147" s="57" t="s">
        <v>1946</v>
      </c>
      <c r="M5147" s="57" t="s">
        <v>21</v>
      </c>
      <c r="N5147" s="36"/>
      <c r="O5147" s="105">
        <v>42496</v>
      </c>
      <c r="P5147" s="57" t="s">
        <v>21</v>
      </c>
      <c r="Q5147" s="55" t="b">
        <v>0</v>
      </c>
      <c r="R5147" s="22">
        <f t="shared" si="91"/>
        <v>379</v>
      </c>
    </row>
    <row r="5148" spans="1:19" ht="24">
      <c r="A5148" s="47">
        <v>10570</v>
      </c>
      <c r="B5148" s="48">
        <v>42117</v>
      </c>
      <c r="C5148" s="49" t="s">
        <v>16362</v>
      </c>
      <c r="D5148" s="48">
        <v>42117</v>
      </c>
      <c r="E5148" s="49" t="s">
        <v>16363</v>
      </c>
      <c r="F5148" s="49" t="s">
        <v>741</v>
      </c>
      <c r="G5148" s="49" t="s">
        <v>20</v>
      </c>
      <c r="H5148" s="49" t="s">
        <v>71</v>
      </c>
      <c r="I5148" s="49" t="s">
        <v>72</v>
      </c>
      <c r="J5148" s="49" t="s">
        <v>16364</v>
      </c>
      <c r="K5148" s="49" t="s">
        <v>6081</v>
      </c>
      <c r="L5148" s="49" t="s">
        <v>7167</v>
      </c>
      <c r="M5148" s="49" t="s">
        <v>21</v>
      </c>
      <c r="O5148" s="102">
        <v>42121</v>
      </c>
      <c r="P5148" s="49" t="s">
        <v>21</v>
      </c>
      <c r="Q5148" s="47" t="b">
        <v>0</v>
      </c>
      <c r="R5148" s="22">
        <f t="shared" si="91"/>
        <v>4</v>
      </c>
    </row>
    <row r="5149" spans="1:19" ht="24">
      <c r="A5149" s="47">
        <v>10571</v>
      </c>
      <c r="B5149" s="48">
        <v>42118</v>
      </c>
      <c r="C5149" s="49" t="s">
        <v>16365</v>
      </c>
      <c r="D5149" s="48">
        <v>42118</v>
      </c>
      <c r="E5149" s="49" t="s">
        <v>16366</v>
      </c>
      <c r="F5149" s="49" t="s">
        <v>984</v>
      </c>
      <c r="G5149" s="49" t="s">
        <v>20</v>
      </c>
      <c r="H5149" s="49" t="s">
        <v>71</v>
      </c>
      <c r="I5149" s="49" t="s">
        <v>72</v>
      </c>
      <c r="J5149" s="49" t="s">
        <v>16367</v>
      </c>
      <c r="K5149" s="49" t="s">
        <v>6081</v>
      </c>
      <c r="L5149" s="49" t="s">
        <v>1946</v>
      </c>
      <c r="M5149" s="49" t="s">
        <v>21</v>
      </c>
      <c r="O5149" s="102">
        <v>42153</v>
      </c>
      <c r="P5149" s="49" t="s">
        <v>21</v>
      </c>
      <c r="Q5149" s="47" t="b">
        <v>0</v>
      </c>
      <c r="R5149" s="22">
        <f t="shared" si="91"/>
        <v>35</v>
      </c>
    </row>
    <row r="5150" spans="1:19">
      <c r="A5150" s="47">
        <v>10572</v>
      </c>
      <c r="B5150" s="48">
        <v>42121</v>
      </c>
      <c r="C5150" s="49" t="s">
        <v>16368</v>
      </c>
      <c r="D5150" s="48">
        <v>42121</v>
      </c>
      <c r="E5150" s="49" t="s">
        <v>16369</v>
      </c>
      <c r="F5150" s="49" t="s">
        <v>16173</v>
      </c>
      <c r="G5150" s="49" t="s">
        <v>20</v>
      </c>
      <c r="H5150" s="49" t="s">
        <v>566</v>
      </c>
      <c r="I5150" s="49" t="s">
        <v>566</v>
      </c>
      <c r="J5150" s="49" t="s">
        <v>16370</v>
      </c>
      <c r="K5150" s="49" t="s">
        <v>21</v>
      </c>
      <c r="L5150" s="49" t="s">
        <v>14518</v>
      </c>
      <c r="M5150" s="49" t="s">
        <v>21</v>
      </c>
      <c r="O5150" s="102">
        <v>42138</v>
      </c>
      <c r="P5150" s="49" t="s">
        <v>21</v>
      </c>
      <c r="Q5150" s="47" t="b">
        <v>0</v>
      </c>
      <c r="R5150" s="22">
        <f t="shared" si="91"/>
        <v>17</v>
      </c>
    </row>
    <row r="5151" spans="1:19">
      <c r="A5151" s="47">
        <v>10574</v>
      </c>
      <c r="B5151" s="48">
        <v>42124</v>
      </c>
      <c r="C5151" s="49" t="s">
        <v>16371</v>
      </c>
      <c r="D5151" s="48">
        <v>42123</v>
      </c>
      <c r="E5151" s="49" t="s">
        <v>16372</v>
      </c>
      <c r="F5151" s="49" t="s">
        <v>52</v>
      </c>
      <c r="G5151" s="49" t="s">
        <v>20</v>
      </c>
      <c r="H5151" s="49" t="s">
        <v>71</v>
      </c>
      <c r="I5151" s="49" t="s">
        <v>72</v>
      </c>
      <c r="J5151" s="49" t="s">
        <v>14737</v>
      </c>
      <c r="K5151" s="49" t="s">
        <v>13842</v>
      </c>
      <c r="L5151" s="49" t="s">
        <v>14518</v>
      </c>
      <c r="M5151" s="49" t="s">
        <v>21</v>
      </c>
      <c r="O5151" s="102">
        <v>42145</v>
      </c>
      <c r="P5151" s="49" t="s">
        <v>21</v>
      </c>
      <c r="Q5151" s="47" t="b">
        <v>0</v>
      </c>
      <c r="R5151" s="22">
        <f t="shared" si="91"/>
        <v>21</v>
      </c>
    </row>
    <row r="5152" spans="1:19">
      <c r="A5152" s="47">
        <v>10575</v>
      </c>
      <c r="B5152" s="48">
        <v>42128</v>
      </c>
      <c r="C5152" s="49" t="s">
        <v>16373</v>
      </c>
      <c r="D5152" s="48">
        <v>42128</v>
      </c>
      <c r="E5152" s="49" t="s">
        <v>16374</v>
      </c>
      <c r="F5152" s="49" t="s">
        <v>10734</v>
      </c>
      <c r="G5152" s="49" t="s">
        <v>20</v>
      </c>
      <c r="H5152" s="49" t="s">
        <v>566</v>
      </c>
      <c r="I5152" s="49" t="s">
        <v>566</v>
      </c>
      <c r="J5152" s="49" t="s">
        <v>16375</v>
      </c>
      <c r="K5152" s="49" t="s">
        <v>16376</v>
      </c>
      <c r="L5152" s="49" t="s">
        <v>14909</v>
      </c>
      <c r="M5152" s="49" t="s">
        <v>21</v>
      </c>
      <c r="O5152" s="102">
        <v>42282</v>
      </c>
      <c r="P5152" s="49" t="s">
        <v>21</v>
      </c>
      <c r="Q5152" s="47" t="b">
        <v>0</v>
      </c>
      <c r="R5152" s="22">
        <f t="shared" si="91"/>
        <v>153</v>
      </c>
    </row>
    <row r="5153" spans="1:20">
      <c r="A5153" s="47">
        <v>10576</v>
      </c>
      <c r="B5153" s="48">
        <v>42129</v>
      </c>
      <c r="C5153" s="49" t="s">
        <v>16377</v>
      </c>
      <c r="D5153" s="29">
        <v>42129</v>
      </c>
      <c r="E5153" s="49" t="s">
        <v>3268</v>
      </c>
      <c r="F5153" s="49" t="s">
        <v>11319</v>
      </c>
      <c r="G5153" s="49" t="s">
        <v>20</v>
      </c>
      <c r="H5153" s="49" t="s">
        <v>71</v>
      </c>
      <c r="I5153" s="49" t="s">
        <v>72</v>
      </c>
      <c r="J5153" s="49" t="s">
        <v>16378</v>
      </c>
      <c r="K5153" s="49" t="s">
        <v>16379</v>
      </c>
      <c r="L5153" s="49" t="s">
        <v>16380</v>
      </c>
      <c r="M5153" s="49" t="s">
        <v>21</v>
      </c>
      <c r="O5153" s="102">
        <v>42195</v>
      </c>
      <c r="P5153" s="49" t="s">
        <v>21</v>
      </c>
      <c r="Q5153" s="47" t="b">
        <v>0</v>
      </c>
      <c r="R5153" s="22">
        <f t="shared" si="91"/>
        <v>65</v>
      </c>
    </row>
    <row r="5154" spans="1:20">
      <c r="A5154" s="47">
        <v>10577</v>
      </c>
      <c r="B5154" s="48">
        <v>42131</v>
      </c>
      <c r="C5154" s="49" t="s">
        <v>16381</v>
      </c>
      <c r="D5154" s="48">
        <v>42114</v>
      </c>
      <c r="E5154" s="49" t="s">
        <v>16382</v>
      </c>
      <c r="F5154" s="49" t="s">
        <v>27</v>
      </c>
      <c r="G5154" s="49" t="s">
        <v>20</v>
      </c>
      <c r="H5154" s="49" t="s">
        <v>71</v>
      </c>
      <c r="I5154" s="49" t="s">
        <v>72</v>
      </c>
      <c r="J5154" s="49" t="s">
        <v>16383</v>
      </c>
      <c r="K5154" s="49" t="s">
        <v>16384</v>
      </c>
      <c r="L5154" s="49" t="s">
        <v>1946</v>
      </c>
      <c r="M5154" s="49" t="s">
        <v>21</v>
      </c>
      <c r="O5154" s="102">
        <v>42181</v>
      </c>
      <c r="P5154" s="49" t="s">
        <v>21</v>
      </c>
      <c r="Q5154" s="47" t="b">
        <v>0</v>
      </c>
      <c r="R5154" s="22">
        <f t="shared" si="91"/>
        <v>49</v>
      </c>
    </row>
    <row r="5155" spans="1:20">
      <c r="A5155" s="47">
        <v>10578</v>
      </c>
      <c r="B5155" s="48">
        <v>42131</v>
      </c>
      <c r="C5155" s="49" t="s">
        <v>16385</v>
      </c>
      <c r="D5155" s="48">
        <v>42114</v>
      </c>
      <c r="E5155" s="49" t="s">
        <v>16386</v>
      </c>
      <c r="F5155" s="49" t="s">
        <v>984</v>
      </c>
      <c r="G5155" s="49" t="s">
        <v>20</v>
      </c>
      <c r="H5155" s="49" t="s">
        <v>71</v>
      </c>
      <c r="I5155" s="49" t="s">
        <v>72</v>
      </c>
      <c r="J5155" s="49" t="s">
        <v>16387</v>
      </c>
      <c r="K5155" s="49" t="s">
        <v>9348</v>
      </c>
      <c r="L5155" s="49" t="s">
        <v>4282</v>
      </c>
      <c r="M5155" s="49" t="s">
        <v>21</v>
      </c>
      <c r="O5155" s="102">
        <v>42135</v>
      </c>
      <c r="P5155" s="49" t="s">
        <v>21</v>
      </c>
      <c r="Q5155" s="47" t="b">
        <v>0</v>
      </c>
      <c r="R5155" s="22">
        <f t="shared" si="91"/>
        <v>4</v>
      </c>
    </row>
    <row r="5156" spans="1:20" ht="24">
      <c r="A5156" s="47">
        <v>10579</v>
      </c>
      <c r="B5156" s="48">
        <v>42131</v>
      </c>
      <c r="C5156" s="49" t="s">
        <v>16388</v>
      </c>
      <c r="D5156" s="48">
        <v>42109</v>
      </c>
      <c r="E5156" s="49" t="s">
        <v>3268</v>
      </c>
      <c r="F5156" s="49" t="s">
        <v>3171</v>
      </c>
      <c r="G5156" s="49" t="s">
        <v>20</v>
      </c>
      <c r="H5156" s="49" t="s">
        <v>566</v>
      </c>
      <c r="I5156" s="49" t="s">
        <v>566</v>
      </c>
      <c r="J5156" s="49" t="s">
        <v>16389</v>
      </c>
      <c r="K5156" s="49" t="s">
        <v>16390</v>
      </c>
      <c r="L5156" s="49" t="s">
        <v>16391</v>
      </c>
      <c r="M5156" s="49" t="s">
        <v>21</v>
      </c>
      <c r="O5156" s="102">
        <v>42202</v>
      </c>
      <c r="P5156" s="49" t="s">
        <v>21</v>
      </c>
      <c r="Q5156" s="47" t="b">
        <v>0</v>
      </c>
      <c r="R5156" s="22">
        <f t="shared" si="91"/>
        <v>70</v>
      </c>
    </row>
    <row r="5157" spans="1:20" ht="24">
      <c r="A5157" s="47">
        <v>10580</v>
      </c>
      <c r="B5157" s="48">
        <v>42131</v>
      </c>
      <c r="C5157" s="49" t="s">
        <v>16392</v>
      </c>
      <c r="D5157" s="48">
        <v>42131</v>
      </c>
      <c r="E5157" s="49" t="s">
        <v>16393</v>
      </c>
      <c r="F5157" s="49" t="s">
        <v>10114</v>
      </c>
      <c r="G5157" s="49" t="s">
        <v>20</v>
      </c>
      <c r="H5157" s="49" t="s">
        <v>71</v>
      </c>
      <c r="I5157" s="49" t="s">
        <v>72</v>
      </c>
      <c r="J5157" s="49" t="s">
        <v>16394</v>
      </c>
      <c r="K5157" s="49" t="s">
        <v>16395</v>
      </c>
      <c r="L5157" s="49" t="s">
        <v>14518</v>
      </c>
      <c r="M5157" s="49" t="s">
        <v>21</v>
      </c>
      <c r="O5157" s="102">
        <v>42212</v>
      </c>
      <c r="P5157" s="49" t="s">
        <v>21</v>
      </c>
      <c r="Q5157" s="47" t="b">
        <v>0</v>
      </c>
      <c r="R5157" s="22">
        <f t="shared" si="91"/>
        <v>81</v>
      </c>
    </row>
    <row r="5158" spans="1:20">
      <c r="A5158" s="47">
        <v>10581</v>
      </c>
      <c r="B5158" s="48">
        <v>42131</v>
      </c>
      <c r="C5158" s="49" t="s">
        <v>16396</v>
      </c>
      <c r="D5158" s="48">
        <v>42131</v>
      </c>
      <c r="E5158" s="49" t="s">
        <v>16397</v>
      </c>
      <c r="F5158" s="49" t="s">
        <v>14118</v>
      </c>
      <c r="G5158" s="49" t="s">
        <v>20</v>
      </c>
      <c r="H5158" s="49" t="s">
        <v>71</v>
      </c>
      <c r="I5158" s="49" t="s">
        <v>72</v>
      </c>
      <c r="J5158" s="49" t="s">
        <v>16398</v>
      </c>
      <c r="K5158" s="49" t="s">
        <v>16399</v>
      </c>
      <c r="L5158" s="49" t="s">
        <v>7167</v>
      </c>
      <c r="M5158" s="49" t="s">
        <v>21</v>
      </c>
      <c r="O5158" s="102">
        <v>42191</v>
      </c>
      <c r="P5158" s="49" t="s">
        <v>21</v>
      </c>
      <c r="Q5158" s="47" t="b">
        <v>0</v>
      </c>
      <c r="R5158" s="22">
        <f t="shared" si="91"/>
        <v>59</v>
      </c>
    </row>
    <row r="5159" spans="1:20">
      <c r="A5159" s="47">
        <v>10582</v>
      </c>
      <c r="B5159" s="48">
        <v>42132</v>
      </c>
      <c r="C5159" s="49" t="s">
        <v>18896</v>
      </c>
      <c r="D5159" s="48">
        <v>42132</v>
      </c>
      <c r="E5159" s="49" t="s">
        <v>1432</v>
      </c>
      <c r="F5159" s="49" t="s">
        <v>5620</v>
      </c>
      <c r="G5159" s="49" t="s">
        <v>20</v>
      </c>
      <c r="H5159" s="49" t="s">
        <v>71</v>
      </c>
      <c r="I5159" s="49" t="s">
        <v>72</v>
      </c>
      <c r="J5159" s="49" t="s">
        <v>16400</v>
      </c>
      <c r="K5159" s="49" t="s">
        <v>16401</v>
      </c>
      <c r="L5159" s="49" t="s">
        <v>7167</v>
      </c>
      <c r="M5159" s="49" t="s">
        <v>4282</v>
      </c>
      <c r="O5159" s="106"/>
      <c r="P5159" s="49" t="s">
        <v>21</v>
      </c>
      <c r="Q5159" s="47" t="b">
        <v>0</v>
      </c>
      <c r="R5159" s="59"/>
      <c r="T5159" s="37" t="s">
        <v>21</v>
      </c>
    </row>
    <row r="5160" spans="1:20">
      <c r="A5160" s="50">
        <v>10583</v>
      </c>
      <c r="B5160" s="51">
        <v>42136</v>
      </c>
      <c r="C5160" s="52" t="s">
        <v>18897</v>
      </c>
      <c r="D5160" s="51">
        <v>42136</v>
      </c>
      <c r="E5160" s="52" t="s">
        <v>16402</v>
      </c>
      <c r="F5160" s="52" t="s">
        <v>11369</v>
      </c>
      <c r="G5160" s="52" t="s">
        <v>20</v>
      </c>
      <c r="H5160" s="52" t="s">
        <v>71</v>
      </c>
      <c r="I5160" s="52" t="s">
        <v>72</v>
      </c>
      <c r="J5160" s="52" t="s">
        <v>16403</v>
      </c>
      <c r="K5160" s="52" t="s">
        <v>16404</v>
      </c>
      <c r="L5160" s="52" t="s">
        <v>7167</v>
      </c>
      <c r="M5160" s="52" t="s">
        <v>21</v>
      </c>
      <c r="O5160" s="104">
        <v>43210</v>
      </c>
      <c r="P5160" s="53" t="s">
        <v>21</v>
      </c>
      <c r="Q5160" s="54" t="b">
        <v>0</v>
      </c>
      <c r="R5160" s="22">
        <f t="shared" ref="R5160:R5198" si="92">IF(O5160=" ", " ", INT(YEARFRAC(O5160, B5160)*365))</f>
        <v>1072</v>
      </c>
    </row>
    <row r="5161" spans="1:20" ht="24">
      <c r="A5161" s="47">
        <v>10584</v>
      </c>
      <c r="B5161" s="48">
        <v>42136</v>
      </c>
      <c r="C5161" s="49" t="s">
        <v>16405</v>
      </c>
      <c r="D5161" s="48">
        <v>42136</v>
      </c>
      <c r="E5161" s="49" t="s">
        <v>16406</v>
      </c>
      <c r="F5161" s="49" t="s">
        <v>12892</v>
      </c>
      <c r="G5161" s="49" t="s">
        <v>20</v>
      </c>
      <c r="H5161" s="49" t="s">
        <v>71</v>
      </c>
      <c r="I5161" s="49" t="s">
        <v>72</v>
      </c>
      <c r="J5161" s="49" t="s">
        <v>16407</v>
      </c>
      <c r="K5161" s="49" t="s">
        <v>16408</v>
      </c>
      <c r="L5161" s="49" t="s">
        <v>14518</v>
      </c>
      <c r="M5161" s="49" t="s">
        <v>21</v>
      </c>
      <c r="O5161" s="102">
        <v>42255</v>
      </c>
      <c r="P5161" s="49" t="s">
        <v>21</v>
      </c>
      <c r="Q5161" s="47" t="b">
        <v>0</v>
      </c>
      <c r="R5161" s="22">
        <f t="shared" si="92"/>
        <v>117</v>
      </c>
    </row>
    <row r="5162" spans="1:20">
      <c r="A5162" s="47">
        <v>10586</v>
      </c>
      <c r="B5162" s="48">
        <v>42137</v>
      </c>
      <c r="C5162" s="49" t="s">
        <v>16409</v>
      </c>
      <c r="D5162" s="48">
        <v>42137</v>
      </c>
      <c r="E5162" s="49" t="s">
        <v>3268</v>
      </c>
      <c r="F5162" s="49" t="s">
        <v>104</v>
      </c>
      <c r="G5162" s="49" t="s">
        <v>20</v>
      </c>
      <c r="H5162" s="49" t="s">
        <v>71</v>
      </c>
      <c r="I5162" s="49" t="s">
        <v>72</v>
      </c>
      <c r="J5162" s="49" t="s">
        <v>16410</v>
      </c>
      <c r="K5162" s="49" t="s">
        <v>21</v>
      </c>
      <c r="L5162" s="49" t="s">
        <v>3271</v>
      </c>
      <c r="M5162" s="49" t="s">
        <v>21</v>
      </c>
      <c r="O5162" s="102">
        <v>42172</v>
      </c>
      <c r="P5162" s="49" t="s">
        <v>21</v>
      </c>
      <c r="Q5162" s="47" t="b">
        <v>0</v>
      </c>
      <c r="R5162" s="22">
        <f t="shared" si="92"/>
        <v>34</v>
      </c>
    </row>
    <row r="5163" spans="1:20">
      <c r="A5163" s="47">
        <v>10587</v>
      </c>
      <c r="B5163" s="48">
        <v>42137</v>
      </c>
      <c r="C5163" s="49" t="s">
        <v>16411</v>
      </c>
      <c r="D5163" s="48">
        <v>42137</v>
      </c>
      <c r="E5163" s="49" t="s">
        <v>3268</v>
      </c>
      <c r="F5163" s="49" t="s">
        <v>5690</v>
      </c>
      <c r="G5163" s="49" t="s">
        <v>20</v>
      </c>
      <c r="H5163" s="49" t="s">
        <v>71</v>
      </c>
      <c r="I5163" s="49" t="s">
        <v>72</v>
      </c>
      <c r="J5163" s="49" t="s">
        <v>16412</v>
      </c>
      <c r="K5163" s="49" t="s">
        <v>16413</v>
      </c>
      <c r="L5163" s="49" t="s">
        <v>4282</v>
      </c>
      <c r="M5163" s="49" t="s">
        <v>21</v>
      </c>
      <c r="O5163" s="102">
        <v>42184</v>
      </c>
      <c r="P5163" s="49" t="s">
        <v>21</v>
      </c>
      <c r="Q5163" s="47" t="b">
        <v>0</v>
      </c>
      <c r="R5163" s="22">
        <f t="shared" si="92"/>
        <v>46</v>
      </c>
    </row>
    <row r="5164" spans="1:20">
      <c r="A5164" s="50">
        <v>10588</v>
      </c>
      <c r="B5164" s="51">
        <v>42142</v>
      </c>
      <c r="C5164" s="52" t="s">
        <v>18898</v>
      </c>
      <c r="D5164" s="51">
        <v>42142</v>
      </c>
      <c r="E5164" s="52" t="s">
        <v>16414</v>
      </c>
      <c r="F5164" s="52" t="s">
        <v>14118</v>
      </c>
      <c r="G5164" s="52" t="s">
        <v>20</v>
      </c>
      <c r="H5164" s="52" t="s">
        <v>71</v>
      </c>
      <c r="I5164" s="52" t="s">
        <v>72</v>
      </c>
      <c r="J5164" s="52" t="s">
        <v>16415</v>
      </c>
      <c r="K5164" s="52" t="s">
        <v>21</v>
      </c>
      <c r="L5164" s="52" t="s">
        <v>4282</v>
      </c>
      <c r="M5164" s="52" t="s">
        <v>21</v>
      </c>
      <c r="O5164" s="104">
        <v>43258</v>
      </c>
      <c r="P5164" s="53" t="s">
        <v>21</v>
      </c>
      <c r="Q5164" s="54" t="b">
        <v>0</v>
      </c>
      <c r="R5164" s="22">
        <f t="shared" si="92"/>
        <v>1114</v>
      </c>
    </row>
    <row r="5165" spans="1:20" ht="24">
      <c r="A5165" s="47">
        <v>10589</v>
      </c>
      <c r="B5165" s="48">
        <v>42142</v>
      </c>
      <c r="C5165" s="49" t="s">
        <v>18899</v>
      </c>
      <c r="D5165" s="48">
        <v>42142</v>
      </c>
      <c r="E5165" s="49" t="s">
        <v>16416</v>
      </c>
      <c r="F5165" s="49" t="s">
        <v>16417</v>
      </c>
      <c r="G5165" s="49" t="s">
        <v>20</v>
      </c>
      <c r="H5165" s="49" t="s">
        <v>71</v>
      </c>
      <c r="I5165" s="49" t="s">
        <v>72</v>
      </c>
      <c r="J5165" s="49" t="s">
        <v>16418</v>
      </c>
      <c r="K5165" s="49" t="s">
        <v>13817</v>
      </c>
      <c r="L5165" s="49" t="s">
        <v>7167</v>
      </c>
      <c r="M5165" s="49" t="s">
        <v>20680</v>
      </c>
      <c r="O5165" s="48">
        <v>45114</v>
      </c>
      <c r="P5165" s="49" t="s">
        <v>21</v>
      </c>
      <c r="Q5165" s="47" t="b">
        <v>0</v>
      </c>
      <c r="R5165" s="22">
        <f t="shared" si="92"/>
        <v>2969</v>
      </c>
      <c r="S5165" s="37" t="s">
        <v>22137</v>
      </c>
    </row>
    <row r="5166" spans="1:20">
      <c r="A5166" s="47">
        <v>10593</v>
      </c>
      <c r="B5166" s="48">
        <v>42142</v>
      </c>
      <c r="C5166" s="49" t="s">
        <v>16419</v>
      </c>
      <c r="D5166" s="48">
        <v>42136</v>
      </c>
      <c r="E5166" s="49" t="s">
        <v>1928</v>
      </c>
      <c r="F5166" s="49" t="s">
        <v>371</v>
      </c>
      <c r="G5166" s="49" t="s">
        <v>20</v>
      </c>
      <c r="H5166" s="49" t="s">
        <v>71</v>
      </c>
      <c r="I5166" s="49" t="s">
        <v>72</v>
      </c>
      <c r="J5166" s="49" t="s">
        <v>16420</v>
      </c>
      <c r="K5166" s="49" t="s">
        <v>16421</v>
      </c>
      <c r="L5166" s="49" t="s">
        <v>1946</v>
      </c>
      <c r="M5166" s="49" t="s">
        <v>21</v>
      </c>
      <c r="O5166" s="102">
        <v>42157</v>
      </c>
      <c r="P5166" s="49" t="s">
        <v>21</v>
      </c>
      <c r="Q5166" s="47" t="b">
        <v>0</v>
      </c>
      <c r="R5166" s="22">
        <f t="shared" si="92"/>
        <v>14</v>
      </c>
    </row>
    <row r="5167" spans="1:20">
      <c r="A5167" s="47">
        <v>10594</v>
      </c>
      <c r="B5167" s="48">
        <v>42142</v>
      </c>
      <c r="C5167" s="49" t="s">
        <v>16422</v>
      </c>
      <c r="D5167" s="48">
        <v>42136</v>
      </c>
      <c r="E5167" s="49" t="s">
        <v>38</v>
      </c>
      <c r="F5167" s="49" t="s">
        <v>16423</v>
      </c>
      <c r="G5167" s="49" t="s">
        <v>16424</v>
      </c>
      <c r="H5167" s="49" t="s">
        <v>21</v>
      </c>
      <c r="I5167" s="49" t="s">
        <v>21</v>
      </c>
      <c r="J5167" s="49" t="s">
        <v>16425</v>
      </c>
      <c r="K5167" s="49" t="s">
        <v>16426</v>
      </c>
      <c r="L5167" s="49" t="s">
        <v>14518</v>
      </c>
      <c r="M5167" s="49" t="s">
        <v>21</v>
      </c>
      <c r="O5167" s="102">
        <v>42153</v>
      </c>
      <c r="P5167" s="49" t="s">
        <v>21</v>
      </c>
      <c r="Q5167" s="47" t="b">
        <v>0</v>
      </c>
      <c r="R5167" s="22">
        <f t="shared" si="92"/>
        <v>11</v>
      </c>
    </row>
    <row r="5168" spans="1:20">
      <c r="A5168" s="47">
        <v>10595</v>
      </c>
      <c r="B5168" s="48">
        <v>42142</v>
      </c>
      <c r="C5168" s="49" t="s">
        <v>16427</v>
      </c>
      <c r="D5168" s="48">
        <v>42136</v>
      </c>
      <c r="E5168" s="49" t="s">
        <v>38</v>
      </c>
      <c r="F5168" s="49" t="s">
        <v>124</v>
      </c>
      <c r="G5168" s="49" t="s">
        <v>20</v>
      </c>
      <c r="H5168" s="49" t="s">
        <v>71</v>
      </c>
      <c r="I5168" s="49" t="s">
        <v>72</v>
      </c>
      <c r="J5168" s="49" t="s">
        <v>16428</v>
      </c>
      <c r="K5168" s="49" t="s">
        <v>16429</v>
      </c>
      <c r="L5168" s="49" t="s">
        <v>14518</v>
      </c>
      <c r="M5168" s="49" t="s">
        <v>21</v>
      </c>
      <c r="O5168" s="102">
        <v>42153</v>
      </c>
      <c r="P5168" s="49" t="s">
        <v>21</v>
      </c>
      <c r="Q5168" s="47" t="b">
        <v>0</v>
      </c>
      <c r="R5168" s="22">
        <f t="shared" si="92"/>
        <v>11</v>
      </c>
    </row>
    <row r="5169" spans="1:18" ht="24">
      <c r="A5169" s="47">
        <v>10596</v>
      </c>
      <c r="B5169" s="48">
        <v>42142</v>
      </c>
      <c r="C5169" s="49" t="s">
        <v>16430</v>
      </c>
      <c r="D5169" s="48">
        <v>42136</v>
      </c>
      <c r="E5169" s="49" t="s">
        <v>1432</v>
      </c>
      <c r="F5169" s="49" t="s">
        <v>371</v>
      </c>
      <c r="G5169" s="49" t="s">
        <v>20</v>
      </c>
      <c r="H5169" s="49" t="s">
        <v>71</v>
      </c>
      <c r="I5169" s="49" t="s">
        <v>72</v>
      </c>
      <c r="J5169" s="49" t="s">
        <v>14920</v>
      </c>
      <c r="K5169" s="49" t="s">
        <v>16431</v>
      </c>
      <c r="L5169" s="49" t="s">
        <v>14518</v>
      </c>
      <c r="M5169" s="49" t="s">
        <v>21</v>
      </c>
      <c r="O5169" s="102">
        <v>42297</v>
      </c>
      <c r="P5169" s="49" t="s">
        <v>21</v>
      </c>
      <c r="Q5169" s="47" t="b">
        <v>0</v>
      </c>
      <c r="R5169" s="22">
        <f t="shared" si="92"/>
        <v>154</v>
      </c>
    </row>
    <row r="5170" spans="1:18" ht="24">
      <c r="A5170" s="47">
        <v>10597</v>
      </c>
      <c r="B5170" s="48">
        <v>42142</v>
      </c>
      <c r="C5170" s="49" t="s">
        <v>16432</v>
      </c>
      <c r="D5170" s="48">
        <v>42136</v>
      </c>
      <c r="E5170" s="49" t="s">
        <v>1432</v>
      </c>
      <c r="F5170" s="49" t="s">
        <v>371</v>
      </c>
      <c r="G5170" s="49" t="s">
        <v>20</v>
      </c>
      <c r="H5170" s="49" t="s">
        <v>71</v>
      </c>
      <c r="I5170" s="49" t="s">
        <v>72</v>
      </c>
      <c r="J5170" s="49" t="s">
        <v>16433</v>
      </c>
      <c r="K5170" s="49" t="s">
        <v>16434</v>
      </c>
      <c r="L5170" s="49" t="s">
        <v>14518</v>
      </c>
      <c r="M5170" s="49" t="s">
        <v>21</v>
      </c>
      <c r="O5170" s="102">
        <v>42297</v>
      </c>
      <c r="P5170" s="49" t="s">
        <v>21</v>
      </c>
      <c r="Q5170" s="47" t="b">
        <v>0</v>
      </c>
      <c r="R5170" s="22">
        <f t="shared" si="92"/>
        <v>154</v>
      </c>
    </row>
    <row r="5171" spans="1:18">
      <c r="A5171" s="47">
        <v>10598</v>
      </c>
      <c r="B5171" s="48">
        <v>42142</v>
      </c>
      <c r="C5171" s="49" t="s">
        <v>16435</v>
      </c>
      <c r="D5171" s="48">
        <v>42136</v>
      </c>
      <c r="E5171" s="49" t="s">
        <v>1432</v>
      </c>
      <c r="F5171" s="49" t="s">
        <v>371</v>
      </c>
      <c r="G5171" s="49" t="s">
        <v>20</v>
      </c>
      <c r="H5171" s="49" t="s">
        <v>71</v>
      </c>
      <c r="I5171" s="49" t="s">
        <v>72</v>
      </c>
      <c r="J5171" s="49" t="s">
        <v>16436</v>
      </c>
      <c r="K5171" s="49" t="s">
        <v>16437</v>
      </c>
      <c r="L5171" s="49" t="s">
        <v>14518</v>
      </c>
      <c r="M5171" s="49" t="s">
        <v>21</v>
      </c>
      <c r="O5171" s="102">
        <v>42297</v>
      </c>
      <c r="P5171" s="49" t="s">
        <v>21</v>
      </c>
      <c r="Q5171" s="47" t="b">
        <v>0</v>
      </c>
      <c r="R5171" s="22">
        <f t="shared" si="92"/>
        <v>154</v>
      </c>
    </row>
    <row r="5172" spans="1:18">
      <c r="A5172" s="50">
        <v>10599</v>
      </c>
      <c r="B5172" s="51">
        <v>42145</v>
      </c>
      <c r="C5172" s="52" t="s">
        <v>18900</v>
      </c>
      <c r="D5172" s="51">
        <v>42145</v>
      </c>
      <c r="E5172" s="52" t="s">
        <v>16438</v>
      </c>
      <c r="F5172" s="52" t="s">
        <v>16198</v>
      </c>
      <c r="G5172" s="52" t="s">
        <v>20</v>
      </c>
      <c r="H5172" s="52" t="s">
        <v>71</v>
      </c>
      <c r="I5172" s="52" t="s">
        <v>72</v>
      </c>
      <c r="J5172" s="52" t="s">
        <v>16439</v>
      </c>
      <c r="K5172" s="52" t="s">
        <v>16440</v>
      </c>
      <c r="L5172" s="52" t="s">
        <v>7167</v>
      </c>
      <c r="M5172" s="52" t="s">
        <v>21</v>
      </c>
      <c r="O5172" s="104">
        <v>43279</v>
      </c>
      <c r="P5172" s="53" t="s">
        <v>21</v>
      </c>
      <c r="Q5172" s="54" t="b">
        <v>0</v>
      </c>
      <c r="R5172" s="22">
        <f t="shared" si="92"/>
        <v>1132</v>
      </c>
    </row>
    <row r="5173" spans="1:18">
      <c r="A5173" s="47">
        <v>10600</v>
      </c>
      <c r="B5173" s="48">
        <v>42145</v>
      </c>
      <c r="C5173" s="49" t="s">
        <v>16441</v>
      </c>
      <c r="D5173" s="48">
        <v>42123</v>
      </c>
      <c r="E5173" s="49" t="s">
        <v>38</v>
      </c>
      <c r="F5173" s="49" t="s">
        <v>19</v>
      </c>
      <c r="G5173" s="49" t="s">
        <v>20</v>
      </c>
      <c r="H5173" s="49" t="s">
        <v>71</v>
      </c>
      <c r="I5173" s="49" t="s">
        <v>72</v>
      </c>
      <c r="J5173" s="49" t="s">
        <v>16442</v>
      </c>
      <c r="K5173" s="49" t="s">
        <v>16443</v>
      </c>
      <c r="L5173" s="49" t="s">
        <v>14909</v>
      </c>
      <c r="M5173" s="49" t="s">
        <v>21</v>
      </c>
      <c r="O5173" s="102">
        <v>42145</v>
      </c>
      <c r="P5173" s="49" t="s">
        <v>21</v>
      </c>
      <c r="Q5173" s="47" t="b">
        <v>0</v>
      </c>
      <c r="R5173" s="22">
        <f t="shared" si="92"/>
        <v>0</v>
      </c>
    </row>
    <row r="5174" spans="1:18">
      <c r="A5174" s="50">
        <v>10601</v>
      </c>
      <c r="B5174" s="51">
        <v>42150</v>
      </c>
      <c r="C5174" s="52" t="s">
        <v>18901</v>
      </c>
      <c r="D5174" s="51">
        <v>42150</v>
      </c>
      <c r="E5174" s="52" t="s">
        <v>16444</v>
      </c>
      <c r="F5174" s="52" t="s">
        <v>12986</v>
      </c>
      <c r="G5174" s="52" t="s">
        <v>20</v>
      </c>
      <c r="H5174" s="52" t="s">
        <v>189</v>
      </c>
      <c r="I5174" s="52" t="s">
        <v>189</v>
      </c>
      <c r="J5174" s="52" t="s">
        <v>11151</v>
      </c>
      <c r="K5174" s="52" t="s">
        <v>16445</v>
      </c>
      <c r="L5174" s="52" t="s">
        <v>14909</v>
      </c>
      <c r="M5174" s="52" t="s">
        <v>21</v>
      </c>
      <c r="O5174" s="104">
        <v>43280</v>
      </c>
      <c r="P5174" s="53" t="s">
        <v>21</v>
      </c>
      <c r="Q5174" s="54" t="b">
        <v>0</v>
      </c>
      <c r="R5174" s="22">
        <f t="shared" si="92"/>
        <v>1128</v>
      </c>
    </row>
    <row r="5175" spans="1:18">
      <c r="A5175" s="50">
        <v>10602</v>
      </c>
      <c r="B5175" s="51">
        <v>42156</v>
      </c>
      <c r="C5175" s="52" t="s">
        <v>18902</v>
      </c>
      <c r="D5175" s="51">
        <v>42156</v>
      </c>
      <c r="E5175" s="52" t="s">
        <v>16382</v>
      </c>
      <c r="F5175" s="52" t="s">
        <v>16446</v>
      </c>
      <c r="G5175" s="52" t="s">
        <v>20</v>
      </c>
      <c r="H5175" s="52" t="s">
        <v>71</v>
      </c>
      <c r="I5175" s="52" t="s">
        <v>72</v>
      </c>
      <c r="J5175" s="52" t="s">
        <v>14825</v>
      </c>
      <c r="K5175" s="52" t="s">
        <v>21</v>
      </c>
      <c r="L5175" s="52" t="s">
        <v>14518</v>
      </c>
      <c r="M5175" s="52" t="s">
        <v>21</v>
      </c>
      <c r="O5175" s="104">
        <v>43213</v>
      </c>
      <c r="P5175" s="53" t="s">
        <v>21</v>
      </c>
      <c r="Q5175" s="54" t="b">
        <v>0</v>
      </c>
      <c r="R5175" s="22">
        <f t="shared" si="92"/>
        <v>1056</v>
      </c>
    </row>
    <row r="5176" spans="1:18" ht="24">
      <c r="A5176" s="47">
        <v>10660</v>
      </c>
      <c r="B5176" s="48">
        <v>42156</v>
      </c>
      <c r="C5176" s="49" t="s">
        <v>16560</v>
      </c>
      <c r="D5176" s="48">
        <v>42152</v>
      </c>
      <c r="E5176" s="49" t="s">
        <v>16561</v>
      </c>
      <c r="F5176" s="49" t="s">
        <v>6580</v>
      </c>
      <c r="G5176" s="49" t="s">
        <v>20</v>
      </c>
      <c r="H5176" s="49" t="s">
        <v>71</v>
      </c>
      <c r="I5176" s="49" t="s">
        <v>72</v>
      </c>
      <c r="J5176" s="49" t="s">
        <v>16562</v>
      </c>
      <c r="K5176" s="49" t="s">
        <v>21</v>
      </c>
      <c r="L5176" s="49" t="s">
        <v>14518</v>
      </c>
      <c r="M5176" s="49" t="s">
        <v>21</v>
      </c>
      <c r="O5176" s="102">
        <v>42227</v>
      </c>
      <c r="P5176" s="49" t="s">
        <v>21</v>
      </c>
      <c r="Q5176" s="47" t="b">
        <v>0</v>
      </c>
      <c r="R5176" s="22">
        <f t="shared" si="92"/>
        <v>70</v>
      </c>
    </row>
    <row r="5177" spans="1:18">
      <c r="A5177" s="47">
        <v>10603</v>
      </c>
      <c r="B5177" s="48">
        <v>42157</v>
      </c>
      <c r="C5177" s="49" t="s">
        <v>16447</v>
      </c>
      <c r="D5177" s="48">
        <v>42152</v>
      </c>
      <c r="E5177" s="49" t="s">
        <v>16448</v>
      </c>
      <c r="F5177" s="49" t="s">
        <v>6580</v>
      </c>
      <c r="G5177" s="49" t="s">
        <v>20</v>
      </c>
      <c r="H5177" s="49" t="s">
        <v>71</v>
      </c>
      <c r="I5177" s="49" t="s">
        <v>72</v>
      </c>
      <c r="J5177" s="49" t="s">
        <v>16161</v>
      </c>
      <c r="K5177" s="49" t="s">
        <v>16449</v>
      </c>
      <c r="L5177" s="49" t="s">
        <v>14518</v>
      </c>
      <c r="M5177" s="49" t="s">
        <v>21</v>
      </c>
      <c r="O5177" s="102">
        <v>42227</v>
      </c>
      <c r="P5177" s="49" t="s">
        <v>21</v>
      </c>
      <c r="Q5177" s="47" t="b">
        <v>0</v>
      </c>
      <c r="R5177" s="22">
        <f t="shared" si="92"/>
        <v>69</v>
      </c>
    </row>
    <row r="5178" spans="1:18">
      <c r="A5178" s="47">
        <v>10604</v>
      </c>
      <c r="B5178" s="48">
        <v>42158</v>
      </c>
      <c r="C5178" s="49" t="s">
        <v>16450</v>
      </c>
      <c r="D5178" s="48">
        <v>42147</v>
      </c>
      <c r="E5178" s="49" t="s">
        <v>38</v>
      </c>
      <c r="F5178" s="49" t="s">
        <v>371</v>
      </c>
      <c r="G5178" s="49" t="s">
        <v>20</v>
      </c>
      <c r="H5178" s="49" t="s">
        <v>71</v>
      </c>
      <c r="I5178" s="49" t="s">
        <v>72</v>
      </c>
      <c r="J5178" s="49" t="s">
        <v>16451</v>
      </c>
      <c r="K5178" s="49" t="s">
        <v>16452</v>
      </c>
      <c r="L5178" s="49" t="s">
        <v>14909</v>
      </c>
      <c r="M5178" s="49" t="s">
        <v>21</v>
      </c>
      <c r="O5178" s="102">
        <v>42208</v>
      </c>
      <c r="P5178" s="49" t="s">
        <v>21</v>
      </c>
      <c r="Q5178" s="47" t="b">
        <v>0</v>
      </c>
      <c r="R5178" s="22">
        <f t="shared" si="92"/>
        <v>50</v>
      </c>
    </row>
    <row r="5179" spans="1:18" ht="24">
      <c r="A5179" s="47">
        <v>10606</v>
      </c>
      <c r="B5179" s="48">
        <v>42158</v>
      </c>
      <c r="C5179" s="49" t="s">
        <v>16453</v>
      </c>
      <c r="D5179" s="48">
        <v>42147</v>
      </c>
      <c r="E5179" s="49" t="s">
        <v>38</v>
      </c>
      <c r="F5179" s="49" t="s">
        <v>124</v>
      </c>
      <c r="G5179" s="49" t="s">
        <v>20</v>
      </c>
      <c r="H5179" s="49" t="s">
        <v>71</v>
      </c>
      <c r="I5179" s="49" t="s">
        <v>72</v>
      </c>
      <c r="J5179" s="49" t="s">
        <v>16454</v>
      </c>
      <c r="K5179" s="49" t="s">
        <v>16455</v>
      </c>
      <c r="L5179" s="49" t="s">
        <v>14909</v>
      </c>
      <c r="M5179" s="49" t="s">
        <v>21</v>
      </c>
      <c r="O5179" s="102">
        <v>42185</v>
      </c>
      <c r="P5179" s="49" t="s">
        <v>21</v>
      </c>
      <c r="Q5179" s="47" t="b">
        <v>0</v>
      </c>
      <c r="R5179" s="22">
        <f t="shared" si="92"/>
        <v>27</v>
      </c>
    </row>
    <row r="5180" spans="1:18">
      <c r="A5180" s="47">
        <v>10607</v>
      </c>
      <c r="B5180" s="48">
        <v>42158</v>
      </c>
      <c r="C5180" s="49" t="s">
        <v>16456</v>
      </c>
      <c r="D5180" s="48">
        <v>42147</v>
      </c>
      <c r="E5180" s="49" t="s">
        <v>38</v>
      </c>
      <c r="F5180" s="49" t="s">
        <v>228</v>
      </c>
      <c r="G5180" s="49" t="s">
        <v>20</v>
      </c>
      <c r="H5180" s="49" t="s">
        <v>71</v>
      </c>
      <c r="I5180" s="49" t="s">
        <v>72</v>
      </c>
      <c r="J5180" s="49" t="s">
        <v>16451</v>
      </c>
      <c r="K5180" s="49" t="s">
        <v>16457</v>
      </c>
      <c r="L5180" s="49" t="s">
        <v>14909</v>
      </c>
      <c r="M5180" s="49" t="s">
        <v>21</v>
      </c>
      <c r="O5180" s="102">
        <v>42208</v>
      </c>
      <c r="P5180" s="49" t="s">
        <v>21</v>
      </c>
      <c r="Q5180" s="47" t="b">
        <v>0</v>
      </c>
      <c r="R5180" s="22">
        <f t="shared" si="92"/>
        <v>50</v>
      </c>
    </row>
    <row r="5181" spans="1:18" ht="24">
      <c r="A5181" s="47">
        <v>10610</v>
      </c>
      <c r="B5181" s="48">
        <v>42163</v>
      </c>
      <c r="C5181" s="49" t="s">
        <v>16458</v>
      </c>
      <c r="D5181" s="48">
        <v>42159</v>
      </c>
      <c r="E5181" s="49" t="s">
        <v>3268</v>
      </c>
      <c r="F5181" s="49" t="s">
        <v>4242</v>
      </c>
      <c r="G5181" s="49" t="s">
        <v>20</v>
      </c>
      <c r="H5181" s="49" t="s">
        <v>189</v>
      </c>
      <c r="I5181" s="49" t="s">
        <v>189</v>
      </c>
      <c r="J5181" s="49" t="s">
        <v>16459</v>
      </c>
      <c r="K5181" s="49" t="s">
        <v>16460</v>
      </c>
      <c r="L5181" s="49" t="s">
        <v>14349</v>
      </c>
      <c r="M5181" s="49" t="s">
        <v>21</v>
      </c>
      <c r="O5181" s="102">
        <v>42229</v>
      </c>
      <c r="P5181" s="49" t="s">
        <v>21</v>
      </c>
      <c r="Q5181" s="47" t="b">
        <v>0</v>
      </c>
      <c r="R5181" s="22">
        <f t="shared" si="92"/>
        <v>65</v>
      </c>
    </row>
    <row r="5182" spans="1:18">
      <c r="A5182" s="47">
        <v>10611</v>
      </c>
      <c r="B5182" s="48">
        <v>42164</v>
      </c>
      <c r="C5182" s="49" t="s">
        <v>16461</v>
      </c>
      <c r="D5182" s="48">
        <v>42164</v>
      </c>
      <c r="E5182" s="49" t="s">
        <v>3268</v>
      </c>
      <c r="F5182" s="49" t="s">
        <v>1232</v>
      </c>
      <c r="G5182" s="49" t="s">
        <v>20</v>
      </c>
      <c r="H5182" s="49" t="s">
        <v>189</v>
      </c>
      <c r="I5182" s="49" t="s">
        <v>189</v>
      </c>
      <c r="J5182" s="49" t="s">
        <v>16462</v>
      </c>
      <c r="K5182" s="49" t="s">
        <v>16463</v>
      </c>
      <c r="L5182" s="49" t="s">
        <v>4282</v>
      </c>
      <c r="M5182" s="49" t="s">
        <v>21</v>
      </c>
      <c r="O5182" s="102">
        <v>42257</v>
      </c>
      <c r="P5182" s="49" t="s">
        <v>21</v>
      </c>
      <c r="Q5182" s="47" t="b">
        <v>0</v>
      </c>
      <c r="R5182" s="22">
        <f t="shared" si="92"/>
        <v>92</v>
      </c>
    </row>
    <row r="5183" spans="1:18">
      <c r="A5183" s="47">
        <v>10614</v>
      </c>
      <c r="B5183" s="48">
        <v>42170</v>
      </c>
      <c r="C5183" s="49" t="s">
        <v>16464</v>
      </c>
      <c r="D5183" s="48">
        <v>42170</v>
      </c>
      <c r="E5183" s="49" t="s">
        <v>3268</v>
      </c>
      <c r="F5183" s="49" t="s">
        <v>104</v>
      </c>
      <c r="G5183" s="49" t="s">
        <v>20</v>
      </c>
      <c r="H5183" s="49" t="s">
        <v>71</v>
      </c>
      <c r="I5183" s="49" t="s">
        <v>72</v>
      </c>
      <c r="J5183" s="49" t="s">
        <v>13481</v>
      </c>
      <c r="K5183" s="49" t="s">
        <v>16465</v>
      </c>
      <c r="L5183" s="49" t="s">
        <v>3271</v>
      </c>
      <c r="M5183" s="49" t="s">
        <v>21</v>
      </c>
      <c r="O5183" s="102">
        <v>42172</v>
      </c>
      <c r="P5183" s="49" t="s">
        <v>21</v>
      </c>
      <c r="Q5183" s="47" t="b">
        <v>0</v>
      </c>
      <c r="R5183" s="22">
        <f t="shared" si="92"/>
        <v>2</v>
      </c>
    </row>
    <row r="5184" spans="1:18">
      <c r="A5184" s="47">
        <v>10615</v>
      </c>
      <c r="B5184" s="48">
        <v>42170</v>
      </c>
      <c r="C5184" s="49" t="s">
        <v>16466</v>
      </c>
      <c r="D5184" s="48">
        <v>42170</v>
      </c>
      <c r="E5184" s="49" t="s">
        <v>3268</v>
      </c>
      <c r="F5184" s="49" t="s">
        <v>85</v>
      </c>
      <c r="G5184" s="49" t="s">
        <v>20</v>
      </c>
      <c r="H5184" s="49" t="s">
        <v>71</v>
      </c>
      <c r="I5184" s="49" t="s">
        <v>72</v>
      </c>
      <c r="J5184" s="49" t="s">
        <v>13481</v>
      </c>
      <c r="K5184" s="49" t="s">
        <v>16467</v>
      </c>
      <c r="L5184" s="49" t="s">
        <v>3271</v>
      </c>
      <c r="M5184" s="49" t="s">
        <v>21</v>
      </c>
      <c r="O5184" s="102">
        <v>42178</v>
      </c>
      <c r="P5184" s="49" t="s">
        <v>21</v>
      </c>
      <c r="Q5184" s="47" t="b">
        <v>0</v>
      </c>
      <c r="R5184" s="22">
        <f t="shared" si="92"/>
        <v>8</v>
      </c>
    </row>
    <row r="5185" spans="1:20">
      <c r="A5185" s="47">
        <v>10616</v>
      </c>
      <c r="B5185" s="48">
        <v>42170</v>
      </c>
      <c r="C5185" s="49" t="s">
        <v>16468</v>
      </c>
      <c r="D5185" s="48">
        <v>42146</v>
      </c>
      <c r="E5185" s="49" t="s">
        <v>1432</v>
      </c>
      <c r="F5185" s="49" t="s">
        <v>371</v>
      </c>
      <c r="G5185" s="49" t="s">
        <v>20</v>
      </c>
      <c r="H5185" s="49" t="s">
        <v>71</v>
      </c>
      <c r="I5185" s="49" t="s">
        <v>72</v>
      </c>
      <c r="J5185" s="49" t="s">
        <v>16469</v>
      </c>
      <c r="K5185" s="49" t="s">
        <v>16470</v>
      </c>
      <c r="L5185" s="49" t="s">
        <v>14411</v>
      </c>
      <c r="M5185" s="49" t="s">
        <v>21</v>
      </c>
      <c r="O5185" s="102">
        <v>42297</v>
      </c>
      <c r="P5185" s="49" t="s">
        <v>21</v>
      </c>
      <c r="Q5185" s="47" t="b">
        <v>0</v>
      </c>
      <c r="R5185" s="22">
        <f t="shared" si="92"/>
        <v>126</v>
      </c>
    </row>
    <row r="5186" spans="1:20">
      <c r="A5186" s="47">
        <v>10617</v>
      </c>
      <c r="B5186" s="48">
        <v>42170</v>
      </c>
      <c r="C5186" s="49" t="s">
        <v>16471</v>
      </c>
      <c r="D5186" s="48">
        <v>42146</v>
      </c>
      <c r="E5186" s="49" t="s">
        <v>1432</v>
      </c>
      <c r="F5186" s="49" t="s">
        <v>371</v>
      </c>
      <c r="G5186" s="49" t="s">
        <v>20</v>
      </c>
      <c r="H5186" s="49" t="s">
        <v>71</v>
      </c>
      <c r="I5186" s="49" t="s">
        <v>72</v>
      </c>
      <c r="J5186" s="49" t="s">
        <v>16472</v>
      </c>
      <c r="K5186" s="49" t="s">
        <v>16470</v>
      </c>
      <c r="L5186" s="49" t="s">
        <v>14411</v>
      </c>
      <c r="M5186" s="49" t="s">
        <v>21</v>
      </c>
      <c r="O5186" s="102">
        <v>42297</v>
      </c>
      <c r="P5186" s="49" t="s">
        <v>21</v>
      </c>
      <c r="Q5186" s="47" t="b">
        <v>0</v>
      </c>
      <c r="R5186" s="22">
        <f t="shared" si="92"/>
        <v>126</v>
      </c>
    </row>
    <row r="5187" spans="1:20" ht="24">
      <c r="A5187" s="47">
        <v>10618</v>
      </c>
      <c r="B5187" s="48">
        <v>42170</v>
      </c>
      <c r="C5187" s="49" t="s">
        <v>16473</v>
      </c>
      <c r="D5187" s="48">
        <v>42147</v>
      </c>
      <c r="E5187" s="49" t="s">
        <v>38</v>
      </c>
      <c r="F5187" s="49" t="s">
        <v>228</v>
      </c>
      <c r="G5187" s="49" t="s">
        <v>20</v>
      </c>
      <c r="H5187" s="49" t="s">
        <v>71</v>
      </c>
      <c r="I5187" s="49" t="s">
        <v>72</v>
      </c>
      <c r="J5187" s="49" t="s">
        <v>16474</v>
      </c>
      <c r="K5187" s="49" t="s">
        <v>16475</v>
      </c>
      <c r="L5187" s="49" t="s">
        <v>14518</v>
      </c>
      <c r="M5187" s="49" t="s">
        <v>21</v>
      </c>
      <c r="O5187" s="102">
        <v>42215</v>
      </c>
      <c r="P5187" s="49" t="s">
        <v>21</v>
      </c>
      <c r="Q5187" s="47" t="b">
        <v>0</v>
      </c>
      <c r="R5187" s="22">
        <f t="shared" si="92"/>
        <v>45</v>
      </c>
    </row>
    <row r="5188" spans="1:20" ht="24">
      <c r="A5188" s="47">
        <v>10619</v>
      </c>
      <c r="B5188" s="48">
        <v>42170</v>
      </c>
      <c r="C5188" s="49" t="s">
        <v>16476</v>
      </c>
      <c r="D5188" s="48">
        <v>42147</v>
      </c>
      <c r="E5188" s="49" t="s">
        <v>38</v>
      </c>
      <c r="F5188" s="49" t="s">
        <v>228</v>
      </c>
      <c r="G5188" s="49" t="s">
        <v>20</v>
      </c>
      <c r="H5188" s="49" t="s">
        <v>71</v>
      </c>
      <c r="I5188" s="49" t="s">
        <v>72</v>
      </c>
      <c r="J5188" s="49" t="s">
        <v>16474</v>
      </c>
      <c r="K5188" s="49" t="s">
        <v>16477</v>
      </c>
      <c r="L5188" s="49" t="s">
        <v>14518</v>
      </c>
      <c r="M5188" s="49" t="s">
        <v>21</v>
      </c>
      <c r="O5188" s="102">
        <v>42215</v>
      </c>
      <c r="P5188" s="49" t="s">
        <v>21</v>
      </c>
      <c r="Q5188" s="47" t="b">
        <v>0</v>
      </c>
      <c r="R5188" s="22">
        <f t="shared" si="92"/>
        <v>45</v>
      </c>
    </row>
    <row r="5189" spans="1:20" ht="24">
      <c r="A5189" s="47">
        <v>10620</v>
      </c>
      <c r="B5189" s="48">
        <v>42170</v>
      </c>
      <c r="C5189" s="49" t="s">
        <v>16478</v>
      </c>
      <c r="D5189" s="48">
        <v>42150</v>
      </c>
      <c r="E5189" s="49" t="s">
        <v>38</v>
      </c>
      <c r="F5189" s="49" t="s">
        <v>228</v>
      </c>
      <c r="G5189" s="49" t="s">
        <v>20</v>
      </c>
      <c r="H5189" s="49" t="s">
        <v>71</v>
      </c>
      <c r="I5189" s="49" t="s">
        <v>72</v>
      </c>
      <c r="J5189" s="49" t="s">
        <v>16479</v>
      </c>
      <c r="K5189" s="49" t="s">
        <v>16480</v>
      </c>
      <c r="L5189" s="49" t="s">
        <v>14518</v>
      </c>
      <c r="M5189" s="49" t="s">
        <v>21</v>
      </c>
      <c r="O5189" s="102">
        <v>42215</v>
      </c>
      <c r="P5189" s="49" t="s">
        <v>21</v>
      </c>
      <c r="Q5189" s="47" t="b">
        <v>0</v>
      </c>
      <c r="R5189" s="22">
        <f t="shared" si="92"/>
        <v>45</v>
      </c>
    </row>
    <row r="5190" spans="1:20" ht="24">
      <c r="A5190" s="47">
        <v>10621</v>
      </c>
      <c r="B5190" s="48">
        <v>42170</v>
      </c>
      <c r="C5190" s="49" t="s">
        <v>16481</v>
      </c>
      <c r="D5190" s="48">
        <v>42150</v>
      </c>
      <c r="E5190" s="49" t="s">
        <v>38</v>
      </c>
      <c r="F5190" s="49" t="s">
        <v>228</v>
      </c>
      <c r="G5190" s="49" t="s">
        <v>20</v>
      </c>
      <c r="H5190" s="49" t="s">
        <v>71</v>
      </c>
      <c r="I5190" s="49" t="s">
        <v>72</v>
      </c>
      <c r="J5190" s="49" t="s">
        <v>16482</v>
      </c>
      <c r="K5190" s="49" t="s">
        <v>16480</v>
      </c>
      <c r="L5190" s="49" t="s">
        <v>14518</v>
      </c>
      <c r="M5190" s="49" t="s">
        <v>21</v>
      </c>
      <c r="O5190" s="102">
        <v>42215</v>
      </c>
      <c r="P5190" s="49" t="s">
        <v>21</v>
      </c>
      <c r="Q5190" s="47" t="b">
        <v>0</v>
      </c>
      <c r="R5190" s="22">
        <f t="shared" si="92"/>
        <v>45</v>
      </c>
    </row>
    <row r="5191" spans="1:20">
      <c r="A5191" s="47">
        <v>10622</v>
      </c>
      <c r="B5191" s="48">
        <v>42170</v>
      </c>
      <c r="C5191" s="49" t="s">
        <v>16483</v>
      </c>
      <c r="D5191" s="48">
        <v>42150</v>
      </c>
      <c r="E5191" s="49" t="s">
        <v>38</v>
      </c>
      <c r="F5191" s="49" t="s">
        <v>228</v>
      </c>
      <c r="G5191" s="49" t="s">
        <v>20</v>
      </c>
      <c r="H5191" s="49" t="s">
        <v>71</v>
      </c>
      <c r="I5191" s="49" t="s">
        <v>72</v>
      </c>
      <c r="J5191" s="49" t="s">
        <v>16484</v>
      </c>
      <c r="K5191" s="49" t="s">
        <v>16485</v>
      </c>
      <c r="L5191" s="49" t="s">
        <v>14518</v>
      </c>
      <c r="M5191" s="49" t="s">
        <v>21</v>
      </c>
      <c r="O5191" s="102">
        <v>42215</v>
      </c>
      <c r="P5191" s="49" t="s">
        <v>21</v>
      </c>
      <c r="Q5191" s="47" t="b">
        <v>0</v>
      </c>
      <c r="R5191" s="22">
        <f t="shared" si="92"/>
        <v>45</v>
      </c>
    </row>
    <row r="5192" spans="1:20">
      <c r="A5192" s="47">
        <v>10623</v>
      </c>
      <c r="B5192" s="48">
        <v>42170</v>
      </c>
      <c r="C5192" s="49" t="s">
        <v>16486</v>
      </c>
      <c r="D5192" s="48">
        <v>42150</v>
      </c>
      <c r="E5192" s="49" t="s">
        <v>38</v>
      </c>
      <c r="F5192" s="49" t="s">
        <v>228</v>
      </c>
      <c r="G5192" s="49" t="s">
        <v>20</v>
      </c>
      <c r="H5192" s="49" t="s">
        <v>71</v>
      </c>
      <c r="I5192" s="49" t="s">
        <v>72</v>
      </c>
      <c r="J5192" s="49" t="s">
        <v>16484</v>
      </c>
      <c r="K5192" s="49" t="s">
        <v>16487</v>
      </c>
      <c r="L5192" s="49" t="s">
        <v>14518</v>
      </c>
      <c r="M5192" s="49" t="s">
        <v>21</v>
      </c>
      <c r="O5192" s="102">
        <v>42215</v>
      </c>
      <c r="P5192" s="49" t="s">
        <v>21</v>
      </c>
      <c r="Q5192" s="47" t="b">
        <v>0</v>
      </c>
      <c r="R5192" s="22">
        <f t="shared" si="92"/>
        <v>45</v>
      </c>
    </row>
    <row r="5193" spans="1:20">
      <c r="A5193" s="47">
        <v>10624</v>
      </c>
      <c r="B5193" s="48">
        <v>42170</v>
      </c>
      <c r="C5193" s="49" t="s">
        <v>16488</v>
      </c>
      <c r="D5193" s="48">
        <v>42170</v>
      </c>
      <c r="E5193" s="49" t="s">
        <v>38</v>
      </c>
      <c r="F5193" s="49" t="s">
        <v>3430</v>
      </c>
      <c r="G5193" s="49" t="s">
        <v>20</v>
      </c>
      <c r="H5193" s="49" t="s">
        <v>71</v>
      </c>
      <c r="I5193" s="49" t="s">
        <v>72</v>
      </c>
      <c r="J5193" s="49" t="s">
        <v>16489</v>
      </c>
      <c r="K5193" s="49" t="s">
        <v>16490</v>
      </c>
      <c r="L5193" s="49" t="s">
        <v>14411</v>
      </c>
      <c r="M5193" s="49" t="s">
        <v>21</v>
      </c>
      <c r="O5193" s="102">
        <v>42180</v>
      </c>
      <c r="P5193" s="49" t="s">
        <v>21</v>
      </c>
      <c r="Q5193" s="47" t="b">
        <v>0</v>
      </c>
      <c r="R5193" s="22">
        <f t="shared" si="92"/>
        <v>10</v>
      </c>
    </row>
    <row r="5194" spans="1:20">
      <c r="A5194" s="47">
        <v>10625</v>
      </c>
      <c r="B5194" s="48">
        <v>42170</v>
      </c>
      <c r="C5194" s="49" t="s">
        <v>16491</v>
      </c>
      <c r="D5194" s="48">
        <v>42165</v>
      </c>
      <c r="E5194" s="49" t="s">
        <v>38</v>
      </c>
      <c r="F5194" s="49" t="s">
        <v>228</v>
      </c>
      <c r="G5194" s="49" t="s">
        <v>20</v>
      </c>
      <c r="H5194" s="49" t="s">
        <v>71</v>
      </c>
      <c r="I5194" s="49" t="s">
        <v>72</v>
      </c>
      <c r="J5194" s="49" t="s">
        <v>4041</v>
      </c>
      <c r="K5194" s="49" t="s">
        <v>16492</v>
      </c>
      <c r="L5194" s="49" t="s">
        <v>14518</v>
      </c>
      <c r="M5194" s="49" t="s">
        <v>21</v>
      </c>
      <c r="O5194" s="102">
        <v>42216</v>
      </c>
      <c r="P5194" s="49" t="s">
        <v>21</v>
      </c>
      <c r="Q5194" s="47" t="b">
        <v>0</v>
      </c>
      <c r="R5194" s="22">
        <f t="shared" si="92"/>
        <v>46</v>
      </c>
    </row>
    <row r="5195" spans="1:20">
      <c r="A5195" s="47">
        <v>10626</v>
      </c>
      <c r="B5195" s="48">
        <v>42173</v>
      </c>
      <c r="C5195" s="49" t="s">
        <v>16493</v>
      </c>
      <c r="D5195" s="48">
        <v>42172</v>
      </c>
      <c r="E5195" s="49" t="s">
        <v>16494</v>
      </c>
      <c r="F5195" s="49" t="s">
        <v>16495</v>
      </c>
      <c r="G5195" s="49" t="s">
        <v>20</v>
      </c>
      <c r="H5195" s="49" t="s">
        <v>71</v>
      </c>
      <c r="I5195" s="49" t="s">
        <v>72</v>
      </c>
      <c r="J5195" s="49" t="s">
        <v>16496</v>
      </c>
      <c r="K5195" s="49" t="s">
        <v>16497</v>
      </c>
      <c r="L5195" s="49" t="s">
        <v>14909</v>
      </c>
      <c r="M5195" s="49" t="s">
        <v>21</v>
      </c>
      <c r="N5195" s="13"/>
      <c r="O5195" s="102">
        <v>42205</v>
      </c>
      <c r="P5195" s="49" t="s">
        <v>21</v>
      </c>
      <c r="Q5195" s="47" t="b">
        <v>0</v>
      </c>
      <c r="R5195" s="22">
        <f t="shared" si="92"/>
        <v>32</v>
      </c>
    </row>
    <row r="5196" spans="1:20" ht="24">
      <c r="A5196" s="50">
        <v>10627</v>
      </c>
      <c r="B5196" s="51">
        <v>42174</v>
      </c>
      <c r="C5196" s="52" t="s">
        <v>18903</v>
      </c>
      <c r="D5196" s="51">
        <v>42174</v>
      </c>
      <c r="E5196" s="52" t="s">
        <v>16498</v>
      </c>
      <c r="F5196" s="52" t="s">
        <v>16499</v>
      </c>
      <c r="G5196" s="52" t="s">
        <v>20</v>
      </c>
      <c r="H5196" s="52" t="s">
        <v>71</v>
      </c>
      <c r="I5196" s="52" t="s">
        <v>72</v>
      </c>
      <c r="J5196" s="52" t="s">
        <v>16500</v>
      </c>
      <c r="K5196" s="52" t="s">
        <v>16501</v>
      </c>
      <c r="L5196" s="52" t="s">
        <v>14518</v>
      </c>
      <c r="M5196" s="52" t="s">
        <v>14909</v>
      </c>
      <c r="O5196" s="104">
        <v>43182</v>
      </c>
      <c r="P5196" s="53" t="s">
        <v>21</v>
      </c>
      <c r="Q5196" s="54" t="b">
        <v>0</v>
      </c>
      <c r="R5196" s="22">
        <f t="shared" si="92"/>
        <v>1007</v>
      </c>
    </row>
    <row r="5197" spans="1:20" ht="32">
      <c r="A5197" s="55">
        <v>10628</v>
      </c>
      <c r="B5197" s="56">
        <v>42178</v>
      </c>
      <c r="C5197" s="57" t="s">
        <v>17701</v>
      </c>
      <c r="D5197" s="56">
        <v>42178</v>
      </c>
      <c r="E5197" s="57" t="s">
        <v>16502</v>
      </c>
      <c r="F5197" s="57" t="s">
        <v>12986</v>
      </c>
      <c r="G5197" s="57" t="s">
        <v>20</v>
      </c>
      <c r="H5197" s="57" t="s">
        <v>189</v>
      </c>
      <c r="I5197" s="57" t="s">
        <v>189</v>
      </c>
      <c r="J5197" s="57" t="s">
        <v>16503</v>
      </c>
      <c r="K5197" s="57" t="s">
        <v>6081</v>
      </c>
      <c r="L5197" s="57" t="s">
        <v>1946</v>
      </c>
      <c r="M5197" s="57" t="s">
        <v>21</v>
      </c>
      <c r="N5197" s="117"/>
      <c r="O5197" s="105">
        <v>42530</v>
      </c>
      <c r="P5197" s="57" t="s">
        <v>21</v>
      </c>
      <c r="Q5197" s="55" t="b">
        <v>0</v>
      </c>
      <c r="R5197" s="22">
        <f t="shared" si="92"/>
        <v>350</v>
      </c>
    </row>
    <row r="5198" spans="1:20">
      <c r="A5198" s="47">
        <v>10629</v>
      </c>
      <c r="B5198" s="48">
        <v>42179</v>
      </c>
      <c r="C5198" s="49" t="s">
        <v>16504</v>
      </c>
      <c r="D5198" s="48">
        <v>42179</v>
      </c>
      <c r="E5198" s="49" t="s">
        <v>38</v>
      </c>
      <c r="F5198" s="49" t="s">
        <v>350</v>
      </c>
      <c r="G5198" s="49" t="s">
        <v>20</v>
      </c>
      <c r="H5198" s="49" t="s">
        <v>71</v>
      </c>
      <c r="I5198" s="49" t="s">
        <v>72</v>
      </c>
      <c r="J5198" s="49" t="s">
        <v>936</v>
      </c>
      <c r="K5198" s="49" t="s">
        <v>15802</v>
      </c>
      <c r="L5198" s="49" t="s">
        <v>14518</v>
      </c>
      <c r="M5198" s="49" t="s">
        <v>21</v>
      </c>
      <c r="O5198" s="102">
        <v>42216</v>
      </c>
      <c r="P5198" s="49" t="s">
        <v>21</v>
      </c>
      <c r="Q5198" s="47" t="b">
        <v>0</v>
      </c>
      <c r="R5198" s="22">
        <f t="shared" si="92"/>
        <v>37</v>
      </c>
    </row>
    <row r="5199" spans="1:20" ht="24">
      <c r="A5199" s="47">
        <v>10631</v>
      </c>
      <c r="B5199" s="48">
        <v>42181</v>
      </c>
      <c r="C5199" s="49" t="s">
        <v>18904</v>
      </c>
      <c r="D5199" s="48">
        <v>42180</v>
      </c>
      <c r="E5199" s="49" t="s">
        <v>1432</v>
      </c>
      <c r="F5199" s="49" t="s">
        <v>104</v>
      </c>
      <c r="G5199" s="49" t="s">
        <v>20</v>
      </c>
      <c r="H5199" s="49" t="s">
        <v>71</v>
      </c>
      <c r="I5199" s="49" t="s">
        <v>72</v>
      </c>
      <c r="J5199" s="49" t="s">
        <v>16505</v>
      </c>
      <c r="K5199" s="49" t="s">
        <v>16506</v>
      </c>
      <c r="L5199" s="49" t="s">
        <v>1946</v>
      </c>
      <c r="M5199" s="49" t="s">
        <v>21</v>
      </c>
      <c r="N5199" s="13"/>
      <c r="O5199" s="106"/>
      <c r="P5199" s="49" t="s">
        <v>21</v>
      </c>
      <c r="Q5199" s="47" t="b">
        <v>0</v>
      </c>
      <c r="R5199" s="59"/>
      <c r="T5199" s="37" t="s">
        <v>21</v>
      </c>
    </row>
    <row r="5200" spans="1:20">
      <c r="A5200" s="47">
        <v>10637</v>
      </c>
      <c r="B5200" s="48">
        <v>42184</v>
      </c>
      <c r="C5200" s="49" t="s">
        <v>16517</v>
      </c>
      <c r="D5200" s="48">
        <v>42184</v>
      </c>
      <c r="E5200" s="49" t="s">
        <v>38</v>
      </c>
      <c r="F5200" s="49" t="s">
        <v>194</v>
      </c>
      <c r="G5200" s="49" t="s">
        <v>20</v>
      </c>
      <c r="H5200" s="49" t="s">
        <v>71</v>
      </c>
      <c r="I5200" s="49" t="s">
        <v>72</v>
      </c>
      <c r="J5200" s="49" t="s">
        <v>16518</v>
      </c>
      <c r="K5200" s="49" t="s">
        <v>16519</v>
      </c>
      <c r="L5200" s="49" t="s">
        <v>7167</v>
      </c>
      <c r="M5200" s="49" t="s">
        <v>21</v>
      </c>
      <c r="O5200" s="102">
        <v>42185</v>
      </c>
      <c r="P5200" s="49" t="s">
        <v>21</v>
      </c>
      <c r="Q5200" s="47" t="b">
        <v>0</v>
      </c>
      <c r="R5200" s="22">
        <f t="shared" ref="R5200:R5224" si="93">IF(O5200=" ", " ", INT(YEARFRAC(O5200, B5200)*365))</f>
        <v>1</v>
      </c>
    </row>
    <row r="5201" spans="1:19">
      <c r="A5201" s="47">
        <v>10639</v>
      </c>
      <c r="B5201" s="48">
        <v>42184</v>
      </c>
      <c r="C5201" s="49" t="s">
        <v>16520</v>
      </c>
      <c r="D5201" s="48">
        <v>42181</v>
      </c>
      <c r="E5201" s="49" t="s">
        <v>16521</v>
      </c>
      <c r="F5201" s="49" t="s">
        <v>12986</v>
      </c>
      <c r="G5201" s="49" t="s">
        <v>20</v>
      </c>
      <c r="H5201" s="49" t="s">
        <v>189</v>
      </c>
      <c r="I5201" s="49" t="s">
        <v>189</v>
      </c>
      <c r="J5201" s="49" t="s">
        <v>16522</v>
      </c>
      <c r="K5201" s="49" t="s">
        <v>6081</v>
      </c>
      <c r="L5201" s="49" t="s">
        <v>4282</v>
      </c>
      <c r="M5201" s="49" t="s">
        <v>21</v>
      </c>
      <c r="O5201" s="102">
        <v>42291</v>
      </c>
      <c r="P5201" s="49" t="s">
        <v>21</v>
      </c>
      <c r="Q5201" s="47" t="b">
        <v>0</v>
      </c>
      <c r="R5201" s="22">
        <f t="shared" si="93"/>
        <v>106</v>
      </c>
    </row>
    <row r="5202" spans="1:19">
      <c r="A5202" s="47">
        <v>10632</v>
      </c>
      <c r="B5202" s="48">
        <v>42186</v>
      </c>
      <c r="C5202" s="49" t="s">
        <v>16507</v>
      </c>
      <c r="D5202" s="48">
        <v>42181</v>
      </c>
      <c r="E5202" s="49" t="s">
        <v>16508</v>
      </c>
      <c r="F5202" s="49" t="s">
        <v>14336</v>
      </c>
      <c r="G5202" s="49" t="s">
        <v>20</v>
      </c>
      <c r="H5202" s="49" t="s">
        <v>71</v>
      </c>
      <c r="I5202" s="49" t="s">
        <v>72</v>
      </c>
      <c r="J5202" s="49" t="s">
        <v>15219</v>
      </c>
      <c r="K5202" s="49" t="s">
        <v>16509</v>
      </c>
      <c r="L5202" s="49" t="s">
        <v>1946</v>
      </c>
      <c r="M5202" s="49" t="s">
        <v>21</v>
      </c>
      <c r="O5202" s="102">
        <v>42219</v>
      </c>
      <c r="P5202" s="49" t="s">
        <v>21</v>
      </c>
      <c r="Q5202" s="47" t="b">
        <v>0</v>
      </c>
      <c r="R5202" s="22">
        <f t="shared" si="93"/>
        <v>32</v>
      </c>
    </row>
    <row r="5203" spans="1:19">
      <c r="A5203" s="47">
        <v>10633</v>
      </c>
      <c r="B5203" s="48">
        <v>42186</v>
      </c>
      <c r="C5203" s="49" t="s">
        <v>16510</v>
      </c>
      <c r="D5203" s="48">
        <v>42181</v>
      </c>
      <c r="E5203" s="49" t="s">
        <v>16511</v>
      </c>
      <c r="F5203" s="49" t="s">
        <v>14336</v>
      </c>
      <c r="G5203" s="49" t="s">
        <v>20</v>
      </c>
      <c r="H5203" s="49" t="s">
        <v>71</v>
      </c>
      <c r="I5203" s="49" t="s">
        <v>72</v>
      </c>
      <c r="J5203" s="49" t="s">
        <v>15625</v>
      </c>
      <c r="K5203" s="49" t="s">
        <v>16509</v>
      </c>
      <c r="L5203" s="49" t="s">
        <v>1946</v>
      </c>
      <c r="M5203" s="49" t="s">
        <v>21</v>
      </c>
      <c r="O5203" s="102">
        <v>42219</v>
      </c>
      <c r="P5203" s="49" t="s">
        <v>21</v>
      </c>
      <c r="Q5203" s="47" t="b">
        <v>0</v>
      </c>
      <c r="R5203" s="22">
        <f t="shared" si="93"/>
        <v>32</v>
      </c>
    </row>
    <row r="5204" spans="1:19">
      <c r="A5204" s="47">
        <v>10634</v>
      </c>
      <c r="B5204" s="48">
        <v>42186</v>
      </c>
      <c r="C5204" s="49" t="s">
        <v>16507</v>
      </c>
      <c r="D5204" s="48">
        <v>42181</v>
      </c>
      <c r="E5204" s="49" t="s">
        <v>16512</v>
      </c>
      <c r="F5204" s="49" t="s">
        <v>14336</v>
      </c>
      <c r="G5204" s="49" t="s">
        <v>20</v>
      </c>
      <c r="H5204" s="49" t="s">
        <v>71</v>
      </c>
      <c r="I5204" s="49" t="s">
        <v>72</v>
      </c>
      <c r="J5204" s="49" t="s">
        <v>15635</v>
      </c>
      <c r="K5204" s="49" t="s">
        <v>16509</v>
      </c>
      <c r="L5204" s="49" t="s">
        <v>1946</v>
      </c>
      <c r="M5204" s="49" t="s">
        <v>21</v>
      </c>
      <c r="O5204" s="102">
        <v>42219</v>
      </c>
      <c r="P5204" s="49" t="s">
        <v>21</v>
      </c>
      <c r="Q5204" s="47" t="b">
        <v>0</v>
      </c>
      <c r="R5204" s="22">
        <f t="shared" si="93"/>
        <v>32</v>
      </c>
    </row>
    <row r="5205" spans="1:19">
      <c r="A5205" s="47">
        <v>10635</v>
      </c>
      <c r="B5205" s="48">
        <v>42186</v>
      </c>
      <c r="C5205" s="49" t="s">
        <v>16513</v>
      </c>
      <c r="D5205" s="48">
        <v>42181</v>
      </c>
      <c r="E5205" s="49" t="s">
        <v>16514</v>
      </c>
      <c r="F5205" s="49" t="s">
        <v>14336</v>
      </c>
      <c r="G5205" s="49" t="s">
        <v>20</v>
      </c>
      <c r="H5205" s="49" t="s">
        <v>71</v>
      </c>
      <c r="I5205" s="49" t="s">
        <v>72</v>
      </c>
      <c r="J5205" s="49" t="s">
        <v>16271</v>
      </c>
      <c r="K5205" s="49" t="s">
        <v>16509</v>
      </c>
      <c r="L5205" s="49" t="s">
        <v>1946</v>
      </c>
      <c r="M5205" s="49" t="s">
        <v>21</v>
      </c>
      <c r="O5205" s="102">
        <v>42219</v>
      </c>
      <c r="P5205" s="49" t="s">
        <v>21</v>
      </c>
      <c r="Q5205" s="47" t="b">
        <v>0</v>
      </c>
      <c r="R5205" s="22">
        <f t="shared" si="93"/>
        <v>32</v>
      </c>
    </row>
    <row r="5206" spans="1:19">
      <c r="A5206" s="47">
        <v>10636</v>
      </c>
      <c r="B5206" s="48">
        <v>42186</v>
      </c>
      <c r="C5206" s="49" t="s">
        <v>16515</v>
      </c>
      <c r="D5206" s="48">
        <v>42181</v>
      </c>
      <c r="E5206" s="49" t="s">
        <v>16516</v>
      </c>
      <c r="F5206" s="49" t="s">
        <v>14336</v>
      </c>
      <c r="G5206" s="49" t="s">
        <v>20</v>
      </c>
      <c r="H5206" s="49" t="s">
        <v>71</v>
      </c>
      <c r="I5206" s="49" t="s">
        <v>72</v>
      </c>
      <c r="J5206" s="49" t="s">
        <v>16382</v>
      </c>
      <c r="K5206" s="49" t="s">
        <v>16509</v>
      </c>
      <c r="L5206" s="49" t="s">
        <v>1946</v>
      </c>
      <c r="M5206" s="49" t="s">
        <v>21</v>
      </c>
      <c r="O5206" s="102">
        <v>42219</v>
      </c>
      <c r="P5206" s="49" t="s">
        <v>21</v>
      </c>
      <c r="Q5206" s="47" t="b">
        <v>0</v>
      </c>
      <c r="R5206" s="22">
        <f t="shared" si="93"/>
        <v>32</v>
      </c>
    </row>
    <row r="5207" spans="1:19">
      <c r="A5207" s="47">
        <v>10641</v>
      </c>
      <c r="B5207" s="48">
        <v>42187</v>
      </c>
      <c r="C5207" s="49" t="s">
        <v>16523</v>
      </c>
      <c r="D5207" s="48">
        <v>42174</v>
      </c>
      <c r="E5207" s="49" t="s">
        <v>3268</v>
      </c>
      <c r="F5207" s="49" t="s">
        <v>13960</v>
      </c>
      <c r="G5207" s="49" t="s">
        <v>20</v>
      </c>
      <c r="H5207" s="49" t="s">
        <v>71</v>
      </c>
      <c r="I5207" s="49" t="s">
        <v>72</v>
      </c>
      <c r="J5207" s="49" t="s">
        <v>13116</v>
      </c>
      <c r="K5207" s="49" t="s">
        <v>16524</v>
      </c>
      <c r="L5207" s="49" t="s">
        <v>1946</v>
      </c>
      <c r="M5207" s="49" t="s">
        <v>21</v>
      </c>
      <c r="O5207" s="102">
        <v>42200</v>
      </c>
      <c r="P5207" s="49" t="s">
        <v>21</v>
      </c>
      <c r="Q5207" s="47" t="b">
        <v>0</v>
      </c>
      <c r="R5207" s="22">
        <f t="shared" si="93"/>
        <v>13</v>
      </c>
    </row>
    <row r="5208" spans="1:19">
      <c r="A5208" s="47">
        <v>10644</v>
      </c>
      <c r="B5208" s="48">
        <v>42195</v>
      </c>
      <c r="C5208" s="49" t="s">
        <v>19187</v>
      </c>
      <c r="D5208" s="48">
        <v>42195</v>
      </c>
      <c r="E5208" s="49" t="s">
        <v>1432</v>
      </c>
      <c r="F5208" s="49" t="s">
        <v>194</v>
      </c>
      <c r="G5208" s="49" t="s">
        <v>20</v>
      </c>
      <c r="H5208" s="49" t="s">
        <v>71</v>
      </c>
      <c r="I5208" s="49" t="s">
        <v>72</v>
      </c>
      <c r="J5208" s="49" t="s">
        <v>16525</v>
      </c>
      <c r="K5208" s="49" t="s">
        <v>16526</v>
      </c>
      <c r="L5208" s="49" t="s">
        <v>1946</v>
      </c>
      <c r="M5208" s="49" t="s">
        <v>21</v>
      </c>
      <c r="O5208" s="102">
        <v>42929</v>
      </c>
      <c r="P5208" s="49" t="s">
        <v>21</v>
      </c>
      <c r="Q5208" s="47" t="b">
        <v>0</v>
      </c>
      <c r="R5208" s="22">
        <f t="shared" si="93"/>
        <v>733</v>
      </c>
      <c r="S5208" s="37" t="s">
        <v>21</v>
      </c>
    </row>
    <row r="5209" spans="1:19">
      <c r="A5209" s="47">
        <v>10646</v>
      </c>
      <c r="B5209" s="48">
        <v>42207</v>
      </c>
      <c r="C5209" s="49" t="s">
        <v>16527</v>
      </c>
      <c r="D5209" s="48">
        <v>42202</v>
      </c>
      <c r="E5209" s="49" t="s">
        <v>16528</v>
      </c>
      <c r="F5209" s="49" t="s">
        <v>16529</v>
      </c>
      <c r="G5209" s="49" t="s">
        <v>20</v>
      </c>
      <c r="H5209" s="49" t="s">
        <v>71</v>
      </c>
      <c r="I5209" s="49" t="s">
        <v>72</v>
      </c>
      <c r="J5209" s="49" t="s">
        <v>16530</v>
      </c>
      <c r="K5209" s="49" t="s">
        <v>16531</v>
      </c>
      <c r="L5209" s="49" t="s">
        <v>14909</v>
      </c>
      <c r="M5209" s="49" t="s">
        <v>21</v>
      </c>
      <c r="O5209" s="102">
        <v>42276</v>
      </c>
      <c r="P5209" s="49" t="s">
        <v>21</v>
      </c>
      <c r="Q5209" s="47" t="b">
        <v>0</v>
      </c>
      <c r="R5209" s="22">
        <f t="shared" si="93"/>
        <v>67</v>
      </c>
    </row>
    <row r="5210" spans="1:19" ht="24">
      <c r="A5210" s="50">
        <v>10647</v>
      </c>
      <c r="B5210" s="51">
        <v>42208</v>
      </c>
      <c r="C5210" s="52" t="s">
        <v>18905</v>
      </c>
      <c r="D5210" s="51">
        <v>42208</v>
      </c>
      <c r="E5210" s="52" t="s">
        <v>16532</v>
      </c>
      <c r="F5210" s="52" t="s">
        <v>19</v>
      </c>
      <c r="G5210" s="52" t="s">
        <v>20</v>
      </c>
      <c r="H5210" s="52" t="s">
        <v>71</v>
      </c>
      <c r="I5210" s="52" t="s">
        <v>72</v>
      </c>
      <c r="J5210" s="52" t="s">
        <v>16533</v>
      </c>
      <c r="K5210" s="52" t="s">
        <v>16534</v>
      </c>
      <c r="L5210" s="52" t="s">
        <v>7167</v>
      </c>
      <c r="M5210" s="52" t="s">
        <v>21</v>
      </c>
      <c r="O5210" s="104">
        <v>43320</v>
      </c>
      <c r="P5210" s="53" t="s">
        <v>21</v>
      </c>
      <c r="Q5210" s="54" t="b">
        <v>0</v>
      </c>
      <c r="R5210" s="22">
        <f t="shared" si="93"/>
        <v>1110</v>
      </c>
    </row>
    <row r="5211" spans="1:19" ht="24">
      <c r="A5211" s="50">
        <v>10649</v>
      </c>
      <c r="B5211" s="51">
        <v>42209</v>
      </c>
      <c r="C5211" s="52" t="s">
        <v>18906</v>
      </c>
      <c r="D5211" s="51">
        <v>42209</v>
      </c>
      <c r="E5211" s="52" t="s">
        <v>16535</v>
      </c>
      <c r="F5211" s="52" t="s">
        <v>104</v>
      </c>
      <c r="G5211" s="52" t="s">
        <v>20</v>
      </c>
      <c r="H5211" s="52" t="s">
        <v>71</v>
      </c>
      <c r="I5211" s="52" t="s">
        <v>72</v>
      </c>
      <c r="J5211" s="52" t="s">
        <v>16536</v>
      </c>
      <c r="K5211" s="52" t="s">
        <v>16537</v>
      </c>
      <c r="L5211" s="52" t="s">
        <v>7167</v>
      </c>
      <c r="M5211" s="52" t="s">
        <v>21</v>
      </c>
      <c r="O5211" s="104">
        <v>43312</v>
      </c>
      <c r="P5211" s="53" t="s">
        <v>21</v>
      </c>
      <c r="Q5211" s="54" t="b">
        <v>0</v>
      </c>
      <c r="R5211" s="22">
        <f t="shared" si="93"/>
        <v>1102</v>
      </c>
    </row>
    <row r="5212" spans="1:19">
      <c r="A5212" s="50">
        <v>10650</v>
      </c>
      <c r="B5212" s="51">
        <v>42212</v>
      </c>
      <c r="C5212" s="52" t="s">
        <v>18907</v>
      </c>
      <c r="D5212" s="51">
        <v>42212</v>
      </c>
      <c r="E5212" s="52" t="s">
        <v>16538</v>
      </c>
      <c r="F5212" s="52" t="s">
        <v>13960</v>
      </c>
      <c r="G5212" s="52" t="s">
        <v>20</v>
      </c>
      <c r="H5212" s="52" t="s">
        <v>71</v>
      </c>
      <c r="I5212" s="52" t="s">
        <v>72</v>
      </c>
      <c r="J5212" s="52" t="s">
        <v>16539</v>
      </c>
      <c r="K5212" s="52" t="s">
        <v>16540</v>
      </c>
      <c r="L5212" s="52" t="s">
        <v>4282</v>
      </c>
      <c r="M5212" s="52" t="s">
        <v>21</v>
      </c>
      <c r="O5212" s="104">
        <v>43431</v>
      </c>
      <c r="P5212" s="53" t="s">
        <v>21</v>
      </c>
      <c r="Q5212" s="54" t="b">
        <v>0</v>
      </c>
      <c r="R5212" s="22">
        <f t="shared" si="93"/>
        <v>1216</v>
      </c>
    </row>
    <row r="5213" spans="1:19">
      <c r="A5213" s="47">
        <v>10651</v>
      </c>
      <c r="B5213" s="48">
        <v>42212</v>
      </c>
      <c r="C5213" s="49" t="s">
        <v>16541</v>
      </c>
      <c r="D5213" s="48">
        <v>42212</v>
      </c>
      <c r="E5213" s="49" t="s">
        <v>16542</v>
      </c>
      <c r="F5213" s="49" t="s">
        <v>16543</v>
      </c>
      <c r="G5213" s="49" t="s">
        <v>20</v>
      </c>
      <c r="H5213" s="49" t="s">
        <v>71</v>
      </c>
      <c r="I5213" s="49" t="s">
        <v>72</v>
      </c>
      <c r="J5213" s="49" t="s">
        <v>16544</v>
      </c>
      <c r="K5213" s="49" t="s">
        <v>16545</v>
      </c>
      <c r="L5213" s="49" t="s">
        <v>7167</v>
      </c>
      <c r="M5213" s="49" t="s">
        <v>21</v>
      </c>
      <c r="O5213" s="102">
        <v>42229</v>
      </c>
      <c r="P5213" s="49" t="s">
        <v>182</v>
      </c>
      <c r="Q5213" s="47" t="b">
        <v>0</v>
      </c>
      <c r="R5213" s="22">
        <f t="shared" si="93"/>
        <v>16</v>
      </c>
    </row>
    <row r="5214" spans="1:19">
      <c r="A5214" s="47">
        <v>10653</v>
      </c>
      <c r="B5214" s="48">
        <v>42219</v>
      </c>
      <c r="C5214" s="49" t="s">
        <v>16546</v>
      </c>
      <c r="D5214" s="48">
        <v>42218</v>
      </c>
      <c r="E5214" s="49" t="s">
        <v>38</v>
      </c>
      <c r="F5214" s="49" t="s">
        <v>733</v>
      </c>
      <c r="G5214" s="49" t="s">
        <v>20</v>
      </c>
      <c r="H5214" s="49" t="s">
        <v>71</v>
      </c>
      <c r="I5214" s="49" t="s">
        <v>21</v>
      </c>
      <c r="J5214" s="49" t="s">
        <v>16547</v>
      </c>
      <c r="K5214" s="49" t="s">
        <v>21</v>
      </c>
      <c r="L5214" s="49" t="s">
        <v>7167</v>
      </c>
      <c r="M5214" s="49" t="s">
        <v>21</v>
      </c>
      <c r="N5214" s="13"/>
      <c r="O5214" s="102">
        <v>42233</v>
      </c>
      <c r="P5214" s="49" t="s">
        <v>21</v>
      </c>
      <c r="Q5214" s="47" t="b">
        <v>0</v>
      </c>
      <c r="R5214" s="22">
        <f t="shared" si="93"/>
        <v>14</v>
      </c>
    </row>
    <row r="5215" spans="1:19" ht="24">
      <c r="A5215" s="47">
        <v>10655</v>
      </c>
      <c r="B5215" s="48">
        <v>42221</v>
      </c>
      <c r="C5215" s="49" t="s">
        <v>16548</v>
      </c>
      <c r="D5215" s="48">
        <v>42221</v>
      </c>
      <c r="E5215" s="49" t="s">
        <v>16549</v>
      </c>
      <c r="F5215" s="49" t="s">
        <v>3171</v>
      </c>
      <c r="G5215" s="49" t="s">
        <v>20</v>
      </c>
      <c r="H5215" s="49" t="s">
        <v>566</v>
      </c>
      <c r="I5215" s="49" t="s">
        <v>566</v>
      </c>
      <c r="J5215" s="49" t="s">
        <v>16550</v>
      </c>
      <c r="K5215" s="49" t="s">
        <v>8892</v>
      </c>
      <c r="L5215" s="49" t="s">
        <v>1946</v>
      </c>
      <c r="M5215" s="49" t="s">
        <v>21</v>
      </c>
      <c r="O5215" s="102">
        <v>42306</v>
      </c>
      <c r="P5215" s="49" t="s">
        <v>21</v>
      </c>
      <c r="Q5215" s="47" t="b">
        <v>0</v>
      </c>
      <c r="R5215" s="22">
        <f t="shared" si="93"/>
        <v>85</v>
      </c>
    </row>
    <row r="5216" spans="1:19">
      <c r="A5216" s="47">
        <v>10657</v>
      </c>
      <c r="B5216" s="48">
        <v>42222</v>
      </c>
      <c r="C5216" s="49" t="s">
        <v>16551</v>
      </c>
      <c r="D5216" s="48">
        <v>42222</v>
      </c>
      <c r="E5216" s="49" t="s">
        <v>16552</v>
      </c>
      <c r="F5216" s="49" t="s">
        <v>15525</v>
      </c>
      <c r="G5216" s="49" t="s">
        <v>20</v>
      </c>
      <c r="H5216" s="49" t="s">
        <v>71</v>
      </c>
      <c r="I5216" s="49" t="s">
        <v>21</v>
      </c>
      <c r="J5216" s="49" t="s">
        <v>16553</v>
      </c>
      <c r="K5216" s="49" t="s">
        <v>16554</v>
      </c>
      <c r="L5216" s="49" t="s">
        <v>14411</v>
      </c>
      <c r="M5216" s="49" t="s">
        <v>21</v>
      </c>
      <c r="O5216" s="102">
        <v>42272</v>
      </c>
      <c r="P5216" s="49" t="s">
        <v>21</v>
      </c>
      <c r="Q5216" s="47" t="b">
        <v>0</v>
      </c>
      <c r="R5216" s="22">
        <f t="shared" si="93"/>
        <v>49</v>
      </c>
    </row>
    <row r="5217" spans="1:20">
      <c r="A5217" s="47">
        <v>10658</v>
      </c>
      <c r="B5217" s="48">
        <v>42222</v>
      </c>
      <c r="C5217" s="49" t="s">
        <v>16555</v>
      </c>
      <c r="D5217" s="48">
        <v>42222</v>
      </c>
      <c r="E5217" s="49" t="s">
        <v>16556</v>
      </c>
      <c r="F5217" s="49" t="s">
        <v>104</v>
      </c>
      <c r="G5217" s="49" t="s">
        <v>20</v>
      </c>
      <c r="H5217" s="49" t="s">
        <v>71</v>
      </c>
      <c r="I5217" s="49" t="s">
        <v>21</v>
      </c>
      <c r="J5217" s="49" t="s">
        <v>16557</v>
      </c>
      <c r="K5217" s="49" t="s">
        <v>21</v>
      </c>
      <c r="L5217" s="49" t="s">
        <v>7167</v>
      </c>
      <c r="M5217" s="49" t="s">
        <v>21</v>
      </c>
      <c r="O5217" s="102">
        <v>42241</v>
      </c>
      <c r="P5217" s="49" t="s">
        <v>21</v>
      </c>
      <c r="Q5217" s="47" t="b">
        <v>0</v>
      </c>
      <c r="R5217" s="22">
        <f t="shared" si="93"/>
        <v>19</v>
      </c>
    </row>
    <row r="5218" spans="1:20">
      <c r="A5218" s="47">
        <v>10659</v>
      </c>
      <c r="B5218" s="48">
        <v>42229</v>
      </c>
      <c r="C5218" s="49" t="s">
        <v>16558</v>
      </c>
      <c r="D5218" s="48">
        <v>42229</v>
      </c>
      <c r="E5218" s="49" t="s">
        <v>1928</v>
      </c>
      <c r="F5218" s="49" t="s">
        <v>27</v>
      </c>
      <c r="G5218" s="49" t="s">
        <v>20</v>
      </c>
      <c r="H5218" s="49" t="s">
        <v>71</v>
      </c>
      <c r="I5218" s="49" t="s">
        <v>21</v>
      </c>
      <c r="J5218" s="49" t="s">
        <v>16559</v>
      </c>
      <c r="K5218" s="49" t="s">
        <v>21</v>
      </c>
      <c r="L5218" s="49" t="s">
        <v>4282</v>
      </c>
      <c r="M5218" s="49" t="s">
        <v>21</v>
      </c>
      <c r="N5218" s="29">
        <v>42244</v>
      </c>
      <c r="O5218" s="102">
        <v>42234</v>
      </c>
      <c r="P5218" s="49" t="s">
        <v>21</v>
      </c>
      <c r="Q5218" s="47" t="b">
        <v>0</v>
      </c>
      <c r="R5218" s="22">
        <f t="shared" si="93"/>
        <v>5</v>
      </c>
    </row>
    <row r="5219" spans="1:20">
      <c r="A5219" s="47">
        <v>10663</v>
      </c>
      <c r="B5219" s="48">
        <v>42235</v>
      </c>
      <c r="C5219" s="49" t="s">
        <v>16563</v>
      </c>
      <c r="D5219" s="48">
        <v>42234</v>
      </c>
      <c r="E5219" s="49" t="s">
        <v>3268</v>
      </c>
      <c r="F5219" s="49" t="s">
        <v>16564</v>
      </c>
      <c r="G5219" s="49" t="s">
        <v>20</v>
      </c>
      <c r="H5219" s="49" t="s">
        <v>71</v>
      </c>
      <c r="I5219" s="49" t="s">
        <v>21</v>
      </c>
      <c r="J5219" s="49" t="s">
        <v>9930</v>
      </c>
      <c r="K5219" s="49" t="s">
        <v>16565</v>
      </c>
      <c r="L5219" s="49" t="s">
        <v>4282</v>
      </c>
      <c r="M5219" s="49" t="s">
        <v>21</v>
      </c>
      <c r="O5219" s="102">
        <v>42264</v>
      </c>
      <c r="P5219" s="49" t="s">
        <v>21</v>
      </c>
      <c r="Q5219" s="47" t="b">
        <v>0</v>
      </c>
      <c r="R5219" s="22">
        <f t="shared" si="93"/>
        <v>28</v>
      </c>
    </row>
    <row r="5220" spans="1:20">
      <c r="A5220" s="47">
        <v>10665</v>
      </c>
      <c r="B5220" s="48">
        <v>42248</v>
      </c>
      <c r="C5220" s="49" t="s">
        <v>16566</v>
      </c>
      <c r="D5220" s="48">
        <v>42247</v>
      </c>
      <c r="E5220" s="49" t="s">
        <v>16567</v>
      </c>
      <c r="F5220" s="49" t="s">
        <v>19</v>
      </c>
      <c r="G5220" s="49" t="s">
        <v>20</v>
      </c>
      <c r="H5220" s="49" t="s">
        <v>189</v>
      </c>
      <c r="I5220" s="49" t="s">
        <v>21</v>
      </c>
      <c r="J5220" s="49" t="s">
        <v>16568</v>
      </c>
      <c r="K5220" s="49" t="s">
        <v>16569</v>
      </c>
      <c r="L5220" s="49" t="s">
        <v>14909</v>
      </c>
      <c r="M5220" s="49" t="s">
        <v>21</v>
      </c>
      <c r="O5220" s="102">
        <v>42276</v>
      </c>
      <c r="P5220" s="49" t="s">
        <v>21</v>
      </c>
      <c r="Q5220" s="47" t="b">
        <v>0</v>
      </c>
      <c r="R5220" s="22">
        <f t="shared" si="93"/>
        <v>28</v>
      </c>
    </row>
    <row r="5221" spans="1:20">
      <c r="A5221" s="47">
        <v>10666</v>
      </c>
      <c r="B5221" s="48">
        <v>42255</v>
      </c>
      <c r="C5221" s="49" t="s">
        <v>16570</v>
      </c>
      <c r="D5221" s="48">
        <v>42247</v>
      </c>
      <c r="E5221" s="49" t="s">
        <v>16571</v>
      </c>
      <c r="F5221" s="49" t="s">
        <v>124</v>
      </c>
      <c r="G5221" s="49" t="s">
        <v>20</v>
      </c>
      <c r="H5221" s="49" t="s">
        <v>71</v>
      </c>
      <c r="I5221" s="49" t="s">
        <v>21</v>
      </c>
      <c r="J5221" s="49" t="s">
        <v>16572</v>
      </c>
      <c r="K5221" s="49" t="s">
        <v>16573</v>
      </c>
      <c r="L5221" s="49" t="s">
        <v>14909</v>
      </c>
      <c r="M5221" s="49" t="s">
        <v>21</v>
      </c>
      <c r="O5221" s="102">
        <v>42283</v>
      </c>
      <c r="P5221" s="49" t="s">
        <v>21</v>
      </c>
      <c r="Q5221" s="47" t="b">
        <v>0</v>
      </c>
      <c r="R5221" s="22">
        <f t="shared" si="93"/>
        <v>28</v>
      </c>
    </row>
    <row r="5222" spans="1:20">
      <c r="A5222" s="47">
        <v>10668</v>
      </c>
      <c r="B5222" s="48">
        <v>42258</v>
      </c>
      <c r="C5222" s="49" t="s">
        <v>16574</v>
      </c>
      <c r="D5222" s="48">
        <v>42254</v>
      </c>
      <c r="E5222" s="49" t="s">
        <v>16575</v>
      </c>
      <c r="F5222" s="49" t="s">
        <v>124</v>
      </c>
      <c r="G5222" s="49" t="s">
        <v>20</v>
      </c>
      <c r="H5222" s="49" t="s">
        <v>71</v>
      </c>
      <c r="I5222" s="49" t="s">
        <v>72</v>
      </c>
      <c r="J5222" s="49" t="s">
        <v>16576</v>
      </c>
      <c r="K5222" s="49" t="s">
        <v>16577</v>
      </c>
      <c r="L5222" s="49" t="s">
        <v>14518</v>
      </c>
      <c r="M5222" s="49" t="s">
        <v>21</v>
      </c>
      <c r="O5222" s="102">
        <v>42374</v>
      </c>
      <c r="P5222" s="49" t="s">
        <v>21</v>
      </c>
      <c r="Q5222" s="47" t="b">
        <v>0</v>
      </c>
      <c r="R5222" s="22">
        <f t="shared" si="93"/>
        <v>115</v>
      </c>
    </row>
    <row r="5223" spans="1:20" ht="24">
      <c r="A5223" s="47">
        <v>10670</v>
      </c>
      <c r="B5223" s="48">
        <v>42258</v>
      </c>
      <c r="C5223" s="49" t="s">
        <v>16578</v>
      </c>
      <c r="D5223" s="48">
        <v>42254</v>
      </c>
      <c r="E5223" s="49" t="s">
        <v>16579</v>
      </c>
      <c r="F5223" s="49" t="s">
        <v>124</v>
      </c>
      <c r="G5223" s="49" t="s">
        <v>20</v>
      </c>
      <c r="H5223" s="49" t="s">
        <v>71</v>
      </c>
      <c r="I5223" s="49" t="s">
        <v>72</v>
      </c>
      <c r="J5223" s="49" t="s">
        <v>16580</v>
      </c>
      <c r="K5223" s="49" t="s">
        <v>4488</v>
      </c>
      <c r="L5223" s="49" t="s">
        <v>14518</v>
      </c>
      <c r="M5223" s="49" t="s">
        <v>21</v>
      </c>
      <c r="O5223" s="102">
        <v>42374</v>
      </c>
      <c r="P5223" s="49" t="s">
        <v>21</v>
      </c>
      <c r="Q5223" s="47" t="b">
        <v>0</v>
      </c>
      <c r="R5223" s="22">
        <f t="shared" si="93"/>
        <v>115</v>
      </c>
    </row>
    <row r="5224" spans="1:20" ht="24">
      <c r="A5224" s="47">
        <v>10671</v>
      </c>
      <c r="B5224" s="48">
        <v>42258</v>
      </c>
      <c r="C5224" s="49" t="s">
        <v>16581</v>
      </c>
      <c r="D5224" s="48">
        <v>42254</v>
      </c>
      <c r="E5224" s="49" t="s">
        <v>16582</v>
      </c>
      <c r="F5224" s="49" t="s">
        <v>124</v>
      </c>
      <c r="G5224" s="49" t="s">
        <v>20</v>
      </c>
      <c r="H5224" s="49" t="s">
        <v>71</v>
      </c>
      <c r="I5224" s="49" t="s">
        <v>72</v>
      </c>
      <c r="J5224" s="49" t="s">
        <v>16583</v>
      </c>
      <c r="K5224" s="49" t="s">
        <v>16584</v>
      </c>
      <c r="L5224" s="49" t="s">
        <v>14518</v>
      </c>
      <c r="M5224" s="49" t="s">
        <v>21</v>
      </c>
      <c r="O5224" s="102">
        <v>42374</v>
      </c>
      <c r="P5224" s="49" t="s">
        <v>21</v>
      </c>
      <c r="Q5224" s="47" t="b">
        <v>0</v>
      </c>
      <c r="R5224" s="22">
        <f t="shared" si="93"/>
        <v>115</v>
      </c>
    </row>
    <row r="5225" spans="1:20">
      <c r="A5225" s="47">
        <v>10674</v>
      </c>
      <c r="B5225" s="48">
        <v>42263</v>
      </c>
      <c r="C5225" s="49" t="s">
        <v>18908</v>
      </c>
      <c r="D5225" s="48">
        <v>42262</v>
      </c>
      <c r="E5225" s="49" t="s">
        <v>1432</v>
      </c>
      <c r="F5225" s="49" t="s">
        <v>194</v>
      </c>
      <c r="G5225" s="49" t="s">
        <v>189</v>
      </c>
      <c r="H5225" s="49" t="s">
        <v>21</v>
      </c>
      <c r="I5225" s="49" t="s">
        <v>21</v>
      </c>
      <c r="J5225" s="49" t="s">
        <v>16585</v>
      </c>
      <c r="K5225" s="49" t="s">
        <v>16586</v>
      </c>
      <c r="L5225" s="49" t="s">
        <v>1946</v>
      </c>
      <c r="M5225" s="49" t="s">
        <v>14411</v>
      </c>
      <c r="O5225" s="106"/>
      <c r="P5225" s="49" t="s">
        <v>21</v>
      </c>
      <c r="Q5225" s="47" t="b">
        <v>0</v>
      </c>
      <c r="R5225" s="59"/>
      <c r="T5225" s="37" t="s">
        <v>21</v>
      </c>
    </row>
    <row r="5226" spans="1:20">
      <c r="A5226" s="47">
        <v>10676</v>
      </c>
      <c r="B5226" s="48">
        <v>42265</v>
      </c>
      <c r="C5226" s="49" t="s">
        <v>16587</v>
      </c>
      <c r="D5226" s="48">
        <v>42264</v>
      </c>
      <c r="E5226" s="49" t="s">
        <v>16588</v>
      </c>
      <c r="F5226" s="49" t="s">
        <v>7212</v>
      </c>
      <c r="G5226" s="49" t="s">
        <v>20</v>
      </c>
      <c r="H5226" s="49" t="s">
        <v>21</v>
      </c>
      <c r="I5226" s="49" t="s">
        <v>21</v>
      </c>
      <c r="J5226" s="49" t="s">
        <v>16589</v>
      </c>
      <c r="K5226" s="49" t="s">
        <v>16590</v>
      </c>
      <c r="L5226" s="49" t="s">
        <v>7167</v>
      </c>
      <c r="M5226" s="49" t="s">
        <v>21</v>
      </c>
      <c r="O5226" s="102">
        <v>42283</v>
      </c>
      <c r="P5226" s="49" t="s">
        <v>21</v>
      </c>
      <c r="Q5226" s="47" t="b">
        <v>0</v>
      </c>
      <c r="R5226" s="22">
        <f t="shared" ref="R5226:R5257" si="94">IF(O5226=" ", " ", INT(YEARFRAC(O5226, B5226)*365))</f>
        <v>18</v>
      </c>
    </row>
    <row r="5227" spans="1:20">
      <c r="A5227" s="47">
        <v>10678</v>
      </c>
      <c r="B5227" s="48">
        <v>42268</v>
      </c>
      <c r="C5227" s="49" t="s">
        <v>16591</v>
      </c>
      <c r="D5227" s="48">
        <v>42266</v>
      </c>
      <c r="E5227" s="49" t="s">
        <v>38</v>
      </c>
      <c r="F5227" s="49" t="s">
        <v>9630</v>
      </c>
      <c r="G5227" s="49" t="s">
        <v>20</v>
      </c>
      <c r="H5227" s="49" t="s">
        <v>21</v>
      </c>
      <c r="I5227" s="49" t="s">
        <v>21</v>
      </c>
      <c r="J5227" s="49" t="s">
        <v>16592</v>
      </c>
      <c r="K5227" s="49" t="s">
        <v>9630</v>
      </c>
      <c r="L5227" s="49" t="s">
        <v>7167</v>
      </c>
      <c r="M5227" s="49" t="s">
        <v>21</v>
      </c>
      <c r="O5227" s="102">
        <v>42299</v>
      </c>
      <c r="P5227" s="49" t="s">
        <v>21</v>
      </c>
      <c r="Q5227" s="47" t="b">
        <v>0</v>
      </c>
      <c r="R5227" s="22">
        <f t="shared" si="94"/>
        <v>31</v>
      </c>
    </row>
    <row r="5228" spans="1:20">
      <c r="A5228" s="47">
        <v>10680</v>
      </c>
      <c r="B5228" s="48">
        <v>42269</v>
      </c>
      <c r="C5228" s="49" t="s">
        <v>16593</v>
      </c>
      <c r="D5228" s="48">
        <v>42269</v>
      </c>
      <c r="E5228" s="49" t="s">
        <v>3268</v>
      </c>
      <c r="F5228" s="49" t="s">
        <v>27</v>
      </c>
      <c r="G5228" s="49" t="s">
        <v>20</v>
      </c>
      <c r="H5228" s="49" t="s">
        <v>71</v>
      </c>
      <c r="I5228" s="49" t="s">
        <v>21</v>
      </c>
      <c r="J5228" s="49" t="s">
        <v>15840</v>
      </c>
      <c r="K5228" s="49" t="s">
        <v>16594</v>
      </c>
      <c r="L5228" s="49" t="s">
        <v>3271</v>
      </c>
      <c r="M5228" s="49" t="s">
        <v>21</v>
      </c>
      <c r="O5228" s="102">
        <v>42290</v>
      </c>
      <c r="P5228" s="49" t="s">
        <v>21</v>
      </c>
      <c r="Q5228" s="47" t="b">
        <v>0</v>
      </c>
      <c r="R5228" s="22">
        <f t="shared" si="94"/>
        <v>21</v>
      </c>
    </row>
    <row r="5229" spans="1:20">
      <c r="A5229" s="47">
        <v>10681</v>
      </c>
      <c r="B5229" s="48">
        <v>42269</v>
      </c>
      <c r="C5229" s="49" t="s">
        <v>16595</v>
      </c>
      <c r="D5229" s="48">
        <v>42268</v>
      </c>
      <c r="E5229" s="49" t="s">
        <v>16596</v>
      </c>
      <c r="F5229" s="49" t="s">
        <v>34</v>
      </c>
      <c r="G5229" s="49" t="s">
        <v>20</v>
      </c>
      <c r="H5229" s="49" t="s">
        <v>71</v>
      </c>
      <c r="I5229" s="49" t="s">
        <v>72</v>
      </c>
      <c r="J5229" s="49" t="s">
        <v>16597</v>
      </c>
      <c r="K5229" s="49" t="s">
        <v>16598</v>
      </c>
      <c r="L5229" s="49" t="s">
        <v>14909</v>
      </c>
      <c r="M5229" s="49" t="s">
        <v>21</v>
      </c>
      <c r="O5229" s="102">
        <v>42298</v>
      </c>
      <c r="P5229" s="49" t="s">
        <v>21</v>
      </c>
      <c r="Q5229" s="47" t="b">
        <v>0</v>
      </c>
      <c r="R5229" s="22">
        <f t="shared" si="94"/>
        <v>29</v>
      </c>
    </row>
    <row r="5230" spans="1:20" ht="24">
      <c r="A5230" s="47">
        <v>10682</v>
      </c>
      <c r="B5230" s="48">
        <v>42269</v>
      </c>
      <c r="C5230" s="49" t="s">
        <v>18909</v>
      </c>
      <c r="D5230" s="48">
        <v>42269</v>
      </c>
      <c r="E5230" s="49" t="s">
        <v>16599</v>
      </c>
      <c r="F5230" s="49" t="s">
        <v>13422</v>
      </c>
      <c r="G5230" s="49" t="s">
        <v>20</v>
      </c>
      <c r="H5230" s="49" t="s">
        <v>71</v>
      </c>
      <c r="I5230" s="49" t="s">
        <v>72</v>
      </c>
      <c r="J5230" s="49" t="s">
        <v>16600</v>
      </c>
      <c r="K5230" s="49" t="s">
        <v>16601</v>
      </c>
      <c r="L5230" s="49" t="s">
        <v>7167</v>
      </c>
      <c r="M5230" s="49" t="s">
        <v>21</v>
      </c>
      <c r="O5230" s="104">
        <v>43529</v>
      </c>
      <c r="P5230" s="49" t="s">
        <v>21</v>
      </c>
      <c r="Q5230" s="47" t="b">
        <v>0</v>
      </c>
      <c r="R5230" s="22">
        <f t="shared" si="94"/>
        <v>1260</v>
      </c>
      <c r="S5230" s="37" t="s">
        <v>21</v>
      </c>
    </row>
    <row r="5231" spans="1:20">
      <c r="A5231" s="47">
        <v>10683</v>
      </c>
      <c r="B5231" s="48">
        <v>42270</v>
      </c>
      <c r="C5231" s="49" t="s">
        <v>16602</v>
      </c>
      <c r="D5231" s="48">
        <v>42269</v>
      </c>
      <c r="E5231" s="49" t="s">
        <v>16603</v>
      </c>
      <c r="F5231" s="49" t="s">
        <v>12986</v>
      </c>
      <c r="G5231" s="49" t="s">
        <v>20</v>
      </c>
      <c r="H5231" s="49" t="s">
        <v>189</v>
      </c>
      <c r="I5231" s="49" t="s">
        <v>21</v>
      </c>
      <c r="J5231" s="49" t="s">
        <v>16604</v>
      </c>
      <c r="K5231" s="49" t="s">
        <v>16605</v>
      </c>
      <c r="L5231" s="49" t="s">
        <v>1946</v>
      </c>
      <c r="M5231" s="49" t="s">
        <v>21</v>
      </c>
      <c r="O5231" s="102">
        <v>42292</v>
      </c>
      <c r="P5231" s="49" t="s">
        <v>21</v>
      </c>
      <c r="Q5231" s="47" t="b">
        <v>0</v>
      </c>
      <c r="R5231" s="22">
        <f t="shared" si="94"/>
        <v>22</v>
      </c>
    </row>
    <row r="5232" spans="1:20">
      <c r="A5232" s="47">
        <v>10684</v>
      </c>
      <c r="B5232" s="48">
        <v>42275</v>
      </c>
      <c r="C5232" s="49" t="s">
        <v>16606</v>
      </c>
      <c r="D5232" s="48">
        <v>42272</v>
      </c>
      <c r="E5232" s="49" t="s">
        <v>16607</v>
      </c>
      <c r="F5232" s="49" t="s">
        <v>19</v>
      </c>
      <c r="G5232" s="49" t="s">
        <v>20</v>
      </c>
      <c r="H5232" s="49" t="s">
        <v>71</v>
      </c>
      <c r="I5232" s="49" t="s">
        <v>21</v>
      </c>
      <c r="J5232" s="49" t="s">
        <v>16608</v>
      </c>
      <c r="K5232" s="49" t="s">
        <v>16609</v>
      </c>
      <c r="L5232" s="49" t="s">
        <v>1946</v>
      </c>
      <c r="M5232" s="49" t="s">
        <v>21</v>
      </c>
      <c r="O5232" s="102">
        <v>42367</v>
      </c>
      <c r="P5232" s="49" t="s">
        <v>21</v>
      </c>
      <c r="Q5232" s="47" t="b">
        <v>0</v>
      </c>
      <c r="R5232" s="22">
        <f t="shared" si="94"/>
        <v>92</v>
      </c>
    </row>
    <row r="5233" spans="1:19" ht="84">
      <c r="A5233" s="47">
        <v>10688</v>
      </c>
      <c r="B5233" s="48">
        <v>42275</v>
      </c>
      <c r="C5233" s="49" t="s">
        <v>19115</v>
      </c>
      <c r="D5233" s="48">
        <v>42275</v>
      </c>
      <c r="E5233" s="49" t="s">
        <v>16613</v>
      </c>
      <c r="F5233" s="49" t="s">
        <v>116</v>
      </c>
      <c r="G5233" s="49" t="s">
        <v>20</v>
      </c>
      <c r="H5233" s="49" t="s">
        <v>71</v>
      </c>
      <c r="I5233" s="49" t="s">
        <v>72</v>
      </c>
      <c r="J5233" s="49" t="s">
        <v>16614</v>
      </c>
      <c r="K5233" s="49" t="s">
        <v>16615</v>
      </c>
      <c r="L5233" s="49" t="s">
        <v>7167</v>
      </c>
      <c r="M5233" s="49" t="s">
        <v>21</v>
      </c>
      <c r="O5233" s="102">
        <v>42817</v>
      </c>
      <c r="P5233" s="49" t="s">
        <v>21</v>
      </c>
      <c r="Q5233" s="47" t="b">
        <v>0</v>
      </c>
      <c r="R5233" s="22">
        <f t="shared" si="94"/>
        <v>542</v>
      </c>
      <c r="S5233" s="37" t="s">
        <v>19295</v>
      </c>
    </row>
    <row r="5234" spans="1:19" ht="84">
      <c r="A5234" s="47">
        <v>10689</v>
      </c>
      <c r="B5234" s="48">
        <v>42275</v>
      </c>
      <c r="C5234" s="49" t="s">
        <v>19116</v>
      </c>
      <c r="D5234" s="48">
        <v>42275</v>
      </c>
      <c r="E5234" s="49" t="s">
        <v>16616</v>
      </c>
      <c r="F5234" s="49" t="s">
        <v>116</v>
      </c>
      <c r="G5234" s="49" t="s">
        <v>20</v>
      </c>
      <c r="H5234" s="49" t="s">
        <v>71</v>
      </c>
      <c r="I5234" s="49" t="s">
        <v>72</v>
      </c>
      <c r="J5234" s="49" t="s">
        <v>16617</v>
      </c>
      <c r="K5234" s="49" t="s">
        <v>16615</v>
      </c>
      <c r="L5234" s="49" t="s">
        <v>7167</v>
      </c>
      <c r="M5234" s="49" t="s">
        <v>21</v>
      </c>
      <c r="O5234" s="102">
        <v>42817</v>
      </c>
      <c r="P5234" s="37" t="s">
        <v>21</v>
      </c>
      <c r="Q5234" s="47" t="b">
        <v>0</v>
      </c>
      <c r="R5234" s="22">
        <f t="shared" si="94"/>
        <v>542</v>
      </c>
      <c r="S5234" s="37" t="s">
        <v>19296</v>
      </c>
    </row>
    <row r="5235" spans="1:19">
      <c r="A5235" s="47">
        <v>10690</v>
      </c>
      <c r="B5235" s="48">
        <v>42275</v>
      </c>
      <c r="C5235" s="49" t="s">
        <v>16618</v>
      </c>
      <c r="D5235" s="48">
        <v>42275</v>
      </c>
      <c r="E5235" s="49" t="s">
        <v>38</v>
      </c>
      <c r="F5235" s="49" t="s">
        <v>3434</v>
      </c>
      <c r="G5235" s="49" t="s">
        <v>20</v>
      </c>
      <c r="H5235" s="49" t="s">
        <v>71</v>
      </c>
      <c r="I5235" s="49" t="s">
        <v>72</v>
      </c>
      <c r="J5235" s="49" t="s">
        <v>16619</v>
      </c>
      <c r="K5235" s="49" t="s">
        <v>12041</v>
      </c>
      <c r="L5235" s="49" t="s">
        <v>7167</v>
      </c>
      <c r="M5235" s="49" t="s">
        <v>21</v>
      </c>
      <c r="O5235" s="102">
        <v>42282</v>
      </c>
      <c r="P5235" s="37" t="s">
        <v>21</v>
      </c>
      <c r="Q5235" s="47" t="b">
        <v>0</v>
      </c>
      <c r="R5235" s="22">
        <f t="shared" si="94"/>
        <v>7</v>
      </c>
    </row>
    <row r="5236" spans="1:19">
      <c r="A5236" s="50">
        <v>10687</v>
      </c>
      <c r="B5236" s="51">
        <v>42276</v>
      </c>
      <c r="C5236" s="52" t="s">
        <v>18910</v>
      </c>
      <c r="D5236" s="51">
        <v>42271</v>
      </c>
      <c r="E5236" s="52" t="s">
        <v>16610</v>
      </c>
      <c r="F5236" s="52" t="s">
        <v>104</v>
      </c>
      <c r="G5236" s="52" t="s">
        <v>20</v>
      </c>
      <c r="H5236" s="52" t="s">
        <v>21</v>
      </c>
      <c r="I5236" s="52" t="s">
        <v>21</v>
      </c>
      <c r="J5236" s="52" t="s">
        <v>16611</v>
      </c>
      <c r="K5236" s="52" t="s">
        <v>16612</v>
      </c>
      <c r="L5236" s="52" t="s">
        <v>4282</v>
      </c>
      <c r="M5236" s="52" t="s">
        <v>21</v>
      </c>
      <c r="O5236" s="104">
        <v>43461</v>
      </c>
      <c r="P5236" s="53" t="s">
        <v>21</v>
      </c>
      <c r="Q5236" s="54" t="b">
        <v>0</v>
      </c>
      <c r="R5236" s="22">
        <f t="shared" si="94"/>
        <v>1184</v>
      </c>
    </row>
    <row r="5237" spans="1:19">
      <c r="A5237" s="47">
        <v>10691</v>
      </c>
      <c r="B5237" s="48">
        <v>42278</v>
      </c>
      <c r="C5237" s="49" t="s">
        <v>16620</v>
      </c>
      <c r="D5237" s="48">
        <v>42276</v>
      </c>
      <c r="E5237" s="49" t="s">
        <v>16621</v>
      </c>
      <c r="F5237" s="49" t="s">
        <v>124</v>
      </c>
      <c r="G5237" s="49" t="s">
        <v>20</v>
      </c>
      <c r="H5237" s="49" t="s">
        <v>71</v>
      </c>
      <c r="I5237" s="49" t="s">
        <v>21</v>
      </c>
      <c r="J5237" s="49" t="s">
        <v>16622</v>
      </c>
      <c r="K5237" s="49" t="s">
        <v>16623</v>
      </c>
      <c r="L5237" s="49" t="s">
        <v>14518</v>
      </c>
      <c r="M5237" s="49" t="s">
        <v>21</v>
      </c>
      <c r="O5237" s="102">
        <v>42300</v>
      </c>
      <c r="P5237" s="49" t="s">
        <v>21</v>
      </c>
      <c r="Q5237" s="47" t="b">
        <v>0</v>
      </c>
      <c r="R5237" s="22">
        <f t="shared" si="94"/>
        <v>22</v>
      </c>
    </row>
    <row r="5238" spans="1:19">
      <c r="A5238" s="47">
        <v>10692</v>
      </c>
      <c r="B5238" s="48">
        <v>42278</v>
      </c>
      <c r="C5238" s="49" t="s">
        <v>16624</v>
      </c>
      <c r="D5238" s="48">
        <v>42276</v>
      </c>
      <c r="E5238" s="49" t="s">
        <v>16625</v>
      </c>
      <c r="F5238" s="49" t="s">
        <v>56</v>
      </c>
      <c r="G5238" s="49" t="s">
        <v>20</v>
      </c>
      <c r="H5238" s="49" t="s">
        <v>21</v>
      </c>
      <c r="I5238" s="49" t="s">
        <v>21</v>
      </c>
      <c r="J5238" s="49" t="s">
        <v>16626</v>
      </c>
      <c r="K5238" s="49" t="s">
        <v>16627</v>
      </c>
      <c r="L5238" s="49" t="s">
        <v>1946</v>
      </c>
      <c r="M5238" s="49" t="s">
        <v>21</v>
      </c>
      <c r="O5238" s="102">
        <v>42286</v>
      </c>
      <c r="P5238" s="49" t="s">
        <v>21</v>
      </c>
      <c r="Q5238" s="47" t="b">
        <v>0</v>
      </c>
      <c r="R5238" s="22">
        <f t="shared" si="94"/>
        <v>8</v>
      </c>
    </row>
    <row r="5239" spans="1:19">
      <c r="A5239" s="50">
        <v>10694</v>
      </c>
      <c r="B5239" s="51">
        <v>42278</v>
      </c>
      <c r="C5239" s="52" t="s">
        <v>19477</v>
      </c>
      <c r="D5239" s="51">
        <v>42278</v>
      </c>
      <c r="E5239" s="52" t="s">
        <v>15826</v>
      </c>
      <c r="F5239" s="52" t="s">
        <v>1743</v>
      </c>
      <c r="G5239" s="52" t="s">
        <v>20</v>
      </c>
      <c r="H5239" s="52" t="s">
        <v>71</v>
      </c>
      <c r="I5239" s="52" t="s">
        <v>21</v>
      </c>
      <c r="J5239" s="52" t="s">
        <v>18247</v>
      </c>
      <c r="K5239" s="52" t="s">
        <v>18248</v>
      </c>
      <c r="L5239" s="52" t="s">
        <v>4282</v>
      </c>
      <c r="M5239" s="52" t="s">
        <v>21</v>
      </c>
      <c r="O5239" s="104">
        <v>43320</v>
      </c>
      <c r="P5239" s="53" t="s">
        <v>21</v>
      </c>
      <c r="Q5239" s="54" t="b">
        <v>0</v>
      </c>
      <c r="R5239" s="22">
        <f t="shared" si="94"/>
        <v>1041</v>
      </c>
    </row>
    <row r="5240" spans="1:19" ht="24">
      <c r="A5240" s="47">
        <v>10695</v>
      </c>
      <c r="B5240" s="48">
        <v>42279</v>
      </c>
      <c r="C5240" s="49" t="s">
        <v>16628</v>
      </c>
      <c r="D5240" s="48">
        <v>42278</v>
      </c>
      <c r="E5240" s="49" t="s">
        <v>16629</v>
      </c>
      <c r="F5240" s="49" t="s">
        <v>149</v>
      </c>
      <c r="G5240" s="49" t="s">
        <v>20</v>
      </c>
      <c r="H5240" s="49" t="s">
        <v>21</v>
      </c>
      <c r="I5240" s="49" t="s">
        <v>21</v>
      </c>
      <c r="J5240" s="49" t="s">
        <v>16630</v>
      </c>
      <c r="K5240" s="49" t="s">
        <v>6080</v>
      </c>
      <c r="L5240" s="49" t="s">
        <v>1946</v>
      </c>
      <c r="M5240" s="49" t="s">
        <v>21</v>
      </c>
      <c r="O5240" s="102">
        <v>42286</v>
      </c>
      <c r="P5240" s="49" t="s">
        <v>21</v>
      </c>
      <c r="Q5240" s="47" t="b">
        <v>0</v>
      </c>
      <c r="R5240" s="22">
        <f t="shared" si="94"/>
        <v>7</v>
      </c>
    </row>
    <row r="5241" spans="1:19">
      <c r="A5241" s="47">
        <v>10696</v>
      </c>
      <c r="B5241" s="48">
        <v>42282</v>
      </c>
      <c r="C5241" s="49" t="s">
        <v>18911</v>
      </c>
      <c r="D5241" s="48">
        <v>42282</v>
      </c>
      <c r="E5241" s="49" t="s">
        <v>16631</v>
      </c>
      <c r="F5241" s="49" t="s">
        <v>13422</v>
      </c>
      <c r="G5241" s="49" t="s">
        <v>20</v>
      </c>
      <c r="H5241" s="49" t="s">
        <v>21</v>
      </c>
      <c r="I5241" s="49" t="s">
        <v>21</v>
      </c>
      <c r="J5241" s="49" t="s">
        <v>16632</v>
      </c>
      <c r="K5241" s="49" t="s">
        <v>16633</v>
      </c>
      <c r="L5241" s="49" t="s">
        <v>7167</v>
      </c>
      <c r="M5241" s="49" t="s">
        <v>21</v>
      </c>
      <c r="O5241" s="104">
        <v>43529</v>
      </c>
      <c r="P5241" s="49" t="s">
        <v>21</v>
      </c>
      <c r="Q5241" s="47" t="b">
        <v>0</v>
      </c>
      <c r="R5241" s="22">
        <f t="shared" si="94"/>
        <v>1247</v>
      </c>
      <c r="S5241" s="37" t="s">
        <v>21</v>
      </c>
    </row>
    <row r="5242" spans="1:19" ht="24">
      <c r="A5242" s="47">
        <v>10699</v>
      </c>
      <c r="B5242" s="48">
        <v>42284</v>
      </c>
      <c r="C5242" s="49" t="s">
        <v>16634</v>
      </c>
      <c r="D5242" s="48">
        <v>42284</v>
      </c>
      <c r="E5242" s="49" t="s">
        <v>38</v>
      </c>
      <c r="F5242" s="49" t="s">
        <v>124</v>
      </c>
      <c r="G5242" s="49" t="s">
        <v>189</v>
      </c>
      <c r="H5242" s="49" t="s">
        <v>71</v>
      </c>
      <c r="I5242" s="49" t="s">
        <v>21</v>
      </c>
      <c r="J5242" s="49" t="s">
        <v>16635</v>
      </c>
      <c r="K5242" s="49" t="s">
        <v>16636</v>
      </c>
      <c r="L5242" s="49" t="s">
        <v>14909</v>
      </c>
      <c r="M5242" s="49" t="s">
        <v>21</v>
      </c>
      <c r="O5242" s="102">
        <v>42297</v>
      </c>
      <c r="P5242" s="49" t="s">
        <v>21</v>
      </c>
      <c r="Q5242" s="47" t="b">
        <v>0</v>
      </c>
      <c r="R5242" s="22">
        <f t="shared" si="94"/>
        <v>13</v>
      </c>
    </row>
    <row r="5243" spans="1:19">
      <c r="A5243" s="47">
        <v>10700</v>
      </c>
      <c r="B5243" s="48">
        <v>42286</v>
      </c>
      <c r="C5243" s="49" t="s">
        <v>16637</v>
      </c>
      <c r="D5243" s="48">
        <v>42286</v>
      </c>
      <c r="E5243" s="49" t="s">
        <v>38</v>
      </c>
      <c r="F5243" s="49" t="s">
        <v>11178</v>
      </c>
      <c r="G5243" s="49" t="s">
        <v>16638</v>
      </c>
      <c r="H5243" s="49" t="s">
        <v>16639</v>
      </c>
      <c r="I5243" s="49" t="s">
        <v>21</v>
      </c>
      <c r="J5243" s="49" t="s">
        <v>21</v>
      </c>
      <c r="K5243" s="49" t="s">
        <v>21</v>
      </c>
      <c r="L5243" s="49" t="s">
        <v>14349</v>
      </c>
      <c r="M5243" s="49" t="s">
        <v>21</v>
      </c>
      <c r="O5243" s="102">
        <v>42286</v>
      </c>
      <c r="P5243" s="49" t="s">
        <v>21</v>
      </c>
      <c r="Q5243" s="47" t="b">
        <v>0</v>
      </c>
      <c r="R5243" s="22">
        <f t="shared" si="94"/>
        <v>0</v>
      </c>
    </row>
    <row r="5244" spans="1:19" ht="32">
      <c r="A5244" s="55">
        <v>10702</v>
      </c>
      <c r="B5244" s="56">
        <v>42291</v>
      </c>
      <c r="C5244" s="57" t="s">
        <v>17700</v>
      </c>
      <c r="D5244" s="56">
        <v>42290</v>
      </c>
      <c r="E5244" s="57" t="s">
        <v>38</v>
      </c>
      <c r="F5244" s="57" t="s">
        <v>27</v>
      </c>
      <c r="G5244" s="57" t="s">
        <v>189</v>
      </c>
      <c r="H5244" s="57" t="s">
        <v>21</v>
      </c>
      <c r="I5244" s="57" t="s">
        <v>21</v>
      </c>
      <c r="J5244" s="57" t="s">
        <v>16640</v>
      </c>
      <c r="K5244" s="57" t="s">
        <v>21</v>
      </c>
      <c r="L5244" s="57" t="s">
        <v>4282</v>
      </c>
      <c r="M5244" s="57" t="s">
        <v>21</v>
      </c>
      <c r="N5244" s="36"/>
      <c r="O5244" s="105">
        <v>42530</v>
      </c>
      <c r="P5244" s="57" t="s">
        <v>21</v>
      </c>
      <c r="Q5244" s="55" t="b">
        <v>0</v>
      </c>
      <c r="R5244" s="22">
        <f t="shared" si="94"/>
        <v>238</v>
      </c>
    </row>
    <row r="5245" spans="1:19" ht="24">
      <c r="A5245" s="47">
        <v>10703</v>
      </c>
      <c r="B5245" s="48">
        <v>42291</v>
      </c>
      <c r="C5245" s="49" t="s">
        <v>16641</v>
      </c>
      <c r="D5245" s="48">
        <v>42289</v>
      </c>
      <c r="E5245" s="49" t="s">
        <v>1928</v>
      </c>
      <c r="F5245" s="49" t="s">
        <v>1928</v>
      </c>
      <c r="G5245" s="49" t="s">
        <v>189</v>
      </c>
      <c r="H5245" s="49" t="s">
        <v>21</v>
      </c>
      <c r="I5245" s="49" t="s">
        <v>21</v>
      </c>
      <c r="J5245" s="49" t="s">
        <v>16642</v>
      </c>
      <c r="K5245" s="49" t="s">
        <v>21</v>
      </c>
      <c r="L5245" s="49" t="s">
        <v>14909</v>
      </c>
      <c r="M5245" s="49" t="s">
        <v>21</v>
      </c>
      <c r="O5245" s="102">
        <v>42297</v>
      </c>
      <c r="P5245" s="49" t="s">
        <v>21</v>
      </c>
      <c r="Q5245" s="47" t="b">
        <v>0</v>
      </c>
      <c r="R5245" s="22">
        <f t="shared" si="94"/>
        <v>6</v>
      </c>
    </row>
    <row r="5246" spans="1:19">
      <c r="A5246" s="47">
        <v>10704</v>
      </c>
      <c r="B5246" s="48">
        <v>42291</v>
      </c>
      <c r="C5246" s="49" t="s">
        <v>16643</v>
      </c>
      <c r="D5246" s="48">
        <v>42290</v>
      </c>
      <c r="E5246" s="49" t="s">
        <v>16644</v>
      </c>
      <c r="F5246" s="49" t="s">
        <v>149</v>
      </c>
      <c r="G5246" s="49" t="s">
        <v>189</v>
      </c>
      <c r="H5246" s="49" t="s">
        <v>566</v>
      </c>
      <c r="I5246" s="49" t="s">
        <v>21</v>
      </c>
      <c r="J5246" s="49" t="s">
        <v>16645</v>
      </c>
      <c r="K5246" s="49" t="s">
        <v>16646</v>
      </c>
      <c r="L5246" s="49" t="s">
        <v>14909</v>
      </c>
      <c r="M5246" s="49" t="s">
        <v>21</v>
      </c>
      <c r="O5246" s="102">
        <v>42312</v>
      </c>
      <c r="P5246" s="49" t="s">
        <v>21</v>
      </c>
      <c r="Q5246" s="47" t="b">
        <v>0</v>
      </c>
      <c r="R5246" s="22">
        <f t="shared" si="94"/>
        <v>20</v>
      </c>
    </row>
    <row r="5247" spans="1:19" ht="32">
      <c r="A5247" s="55">
        <v>10705</v>
      </c>
      <c r="B5247" s="56">
        <v>42291</v>
      </c>
      <c r="C5247" s="57" t="s">
        <v>17512</v>
      </c>
      <c r="D5247" s="56">
        <v>42289</v>
      </c>
      <c r="E5247" s="57" t="s">
        <v>16647</v>
      </c>
      <c r="F5247" s="57" t="s">
        <v>16648</v>
      </c>
      <c r="G5247" s="57" t="s">
        <v>189</v>
      </c>
      <c r="H5247" s="57" t="s">
        <v>566</v>
      </c>
      <c r="I5247" s="57" t="s">
        <v>21</v>
      </c>
      <c r="J5247" s="57" t="s">
        <v>272</v>
      </c>
      <c r="K5247" s="57" t="s">
        <v>21</v>
      </c>
      <c r="L5247" s="57" t="s">
        <v>14411</v>
      </c>
      <c r="M5247" s="57" t="s">
        <v>21</v>
      </c>
      <c r="N5247" s="36"/>
      <c r="O5247" s="105">
        <v>42411</v>
      </c>
      <c r="P5247" s="57" t="s">
        <v>21</v>
      </c>
      <c r="Q5247" s="55" t="b">
        <v>0</v>
      </c>
      <c r="R5247" s="22">
        <f t="shared" si="94"/>
        <v>118</v>
      </c>
    </row>
    <row r="5248" spans="1:19">
      <c r="A5248" s="47">
        <v>10707</v>
      </c>
      <c r="B5248" s="48">
        <v>42297</v>
      </c>
      <c r="C5248" s="49" t="s">
        <v>16649</v>
      </c>
      <c r="D5248" s="48">
        <v>42291</v>
      </c>
      <c r="E5248" s="49" t="s">
        <v>16650</v>
      </c>
      <c r="F5248" s="49" t="s">
        <v>16651</v>
      </c>
      <c r="G5248" s="49" t="s">
        <v>189</v>
      </c>
      <c r="H5248" s="49" t="s">
        <v>21</v>
      </c>
      <c r="I5248" s="49" t="s">
        <v>21</v>
      </c>
      <c r="J5248" s="49" t="s">
        <v>272</v>
      </c>
      <c r="K5248" s="49" t="s">
        <v>21</v>
      </c>
      <c r="L5248" s="49" t="s">
        <v>14909</v>
      </c>
      <c r="M5248" s="49" t="s">
        <v>21</v>
      </c>
      <c r="O5248" s="102">
        <v>42349</v>
      </c>
      <c r="P5248" s="49" t="s">
        <v>21</v>
      </c>
      <c r="Q5248" s="47" t="b">
        <v>0</v>
      </c>
      <c r="R5248" s="22">
        <f t="shared" si="94"/>
        <v>51</v>
      </c>
    </row>
    <row r="5249" spans="1:19" ht="24">
      <c r="A5249" s="47">
        <v>10708</v>
      </c>
      <c r="B5249" s="48">
        <v>42297</v>
      </c>
      <c r="C5249" s="49" t="s">
        <v>18912</v>
      </c>
      <c r="D5249" s="48">
        <v>42296</v>
      </c>
      <c r="E5249" s="49" t="s">
        <v>16652</v>
      </c>
      <c r="F5249" s="49" t="s">
        <v>16653</v>
      </c>
      <c r="G5249" s="49" t="s">
        <v>189</v>
      </c>
      <c r="H5249" s="49" t="s">
        <v>21</v>
      </c>
      <c r="I5249" s="49" t="s">
        <v>21</v>
      </c>
      <c r="J5249" s="49" t="s">
        <v>16654</v>
      </c>
      <c r="K5249" s="49" t="s">
        <v>16655</v>
      </c>
      <c r="L5249" s="49" t="s">
        <v>7167</v>
      </c>
      <c r="M5249" s="49" t="s">
        <v>21</v>
      </c>
      <c r="O5249" s="104">
        <v>43557</v>
      </c>
      <c r="P5249" s="49" t="s">
        <v>21</v>
      </c>
      <c r="Q5249" s="47" t="b">
        <v>0</v>
      </c>
      <c r="R5249" s="22">
        <f t="shared" si="94"/>
        <v>1259</v>
      </c>
      <c r="S5249" s="37" t="s">
        <v>21</v>
      </c>
    </row>
    <row r="5250" spans="1:19">
      <c r="A5250" s="47">
        <v>10710</v>
      </c>
      <c r="B5250" s="48">
        <v>42297</v>
      </c>
      <c r="C5250" s="49" t="s">
        <v>16656</v>
      </c>
      <c r="D5250" s="48">
        <v>42297</v>
      </c>
      <c r="E5250" s="49" t="s">
        <v>16657</v>
      </c>
      <c r="F5250" s="49" t="s">
        <v>52</v>
      </c>
      <c r="G5250" s="49" t="s">
        <v>189</v>
      </c>
      <c r="H5250" s="49" t="s">
        <v>71</v>
      </c>
      <c r="I5250" s="49" t="s">
        <v>21</v>
      </c>
      <c r="J5250" s="49" t="s">
        <v>16658</v>
      </c>
      <c r="K5250" s="49" t="s">
        <v>16659</v>
      </c>
      <c r="L5250" s="49" t="s">
        <v>1946</v>
      </c>
      <c r="M5250" s="49" t="s">
        <v>21</v>
      </c>
      <c r="O5250" s="102">
        <v>42354</v>
      </c>
      <c r="P5250" s="49" t="s">
        <v>21</v>
      </c>
      <c r="Q5250" s="47" t="b">
        <v>0</v>
      </c>
      <c r="R5250" s="22">
        <f t="shared" si="94"/>
        <v>56</v>
      </c>
    </row>
    <row r="5251" spans="1:19" ht="24">
      <c r="A5251" s="47">
        <v>10712</v>
      </c>
      <c r="B5251" s="48">
        <v>42297</v>
      </c>
      <c r="C5251" s="49" t="s">
        <v>19260</v>
      </c>
      <c r="D5251" s="48">
        <v>42296</v>
      </c>
      <c r="E5251" s="49" t="s">
        <v>1432</v>
      </c>
      <c r="F5251" s="49" t="s">
        <v>5184</v>
      </c>
      <c r="G5251" s="49" t="s">
        <v>189</v>
      </c>
      <c r="H5251" s="49" t="s">
        <v>21</v>
      </c>
      <c r="I5251" s="49" t="s">
        <v>21</v>
      </c>
      <c r="J5251" s="49" t="s">
        <v>18214</v>
      </c>
      <c r="K5251" s="49" t="s">
        <v>16660</v>
      </c>
      <c r="L5251" s="49" t="s">
        <v>14518</v>
      </c>
      <c r="M5251" s="49" t="s">
        <v>21</v>
      </c>
      <c r="O5251" s="102">
        <v>43038</v>
      </c>
      <c r="P5251" s="49" t="s">
        <v>21</v>
      </c>
      <c r="Q5251" s="47" t="b">
        <v>0</v>
      </c>
      <c r="R5251" s="22">
        <f t="shared" si="94"/>
        <v>740</v>
      </c>
      <c r="S5251" s="37" t="s">
        <v>16661</v>
      </c>
    </row>
    <row r="5252" spans="1:19" ht="32">
      <c r="A5252" s="55">
        <v>10713</v>
      </c>
      <c r="B5252" s="56">
        <v>42297</v>
      </c>
      <c r="C5252" s="57" t="s">
        <v>17651</v>
      </c>
      <c r="D5252" s="56">
        <v>42296</v>
      </c>
      <c r="E5252" s="57" t="s">
        <v>1432</v>
      </c>
      <c r="F5252" s="57" t="s">
        <v>124</v>
      </c>
      <c r="G5252" s="57" t="s">
        <v>189</v>
      </c>
      <c r="H5252" s="57" t="s">
        <v>21</v>
      </c>
      <c r="I5252" s="57" t="s">
        <v>21</v>
      </c>
      <c r="J5252" s="57" t="s">
        <v>16661</v>
      </c>
      <c r="K5252" s="57" t="s">
        <v>21</v>
      </c>
      <c r="L5252" s="57" t="s">
        <v>14518</v>
      </c>
      <c r="M5252" s="57" t="s">
        <v>21</v>
      </c>
      <c r="N5252" s="36"/>
      <c r="O5252" s="105">
        <v>42506</v>
      </c>
      <c r="P5252" s="57" t="s">
        <v>21</v>
      </c>
      <c r="Q5252" s="55" t="b">
        <v>0</v>
      </c>
      <c r="R5252" s="22">
        <f t="shared" si="94"/>
        <v>208</v>
      </c>
    </row>
    <row r="5253" spans="1:19" ht="24">
      <c r="A5253" s="47">
        <v>10714</v>
      </c>
      <c r="B5253" s="48">
        <v>42297</v>
      </c>
      <c r="C5253" s="49" t="s">
        <v>16662</v>
      </c>
      <c r="D5253" s="48">
        <v>42297</v>
      </c>
      <c r="E5253" s="49" t="s">
        <v>16663</v>
      </c>
      <c r="F5253" s="49" t="s">
        <v>6277</v>
      </c>
      <c r="G5253" s="49" t="s">
        <v>189</v>
      </c>
      <c r="H5253" s="49" t="s">
        <v>212</v>
      </c>
      <c r="I5253" s="49" t="s">
        <v>21</v>
      </c>
      <c r="J5253" s="49" t="s">
        <v>16664</v>
      </c>
      <c r="K5253" s="49" t="s">
        <v>21</v>
      </c>
      <c r="L5253" s="49" t="s">
        <v>14411</v>
      </c>
      <c r="M5253" s="49" t="s">
        <v>21</v>
      </c>
      <c r="O5253" s="102">
        <v>42320</v>
      </c>
      <c r="P5253" s="49" t="s">
        <v>21</v>
      </c>
      <c r="Q5253" s="47" t="b">
        <v>0</v>
      </c>
      <c r="R5253" s="22">
        <f t="shared" si="94"/>
        <v>22</v>
      </c>
    </row>
    <row r="5254" spans="1:19" ht="32">
      <c r="A5254" s="55">
        <v>10715</v>
      </c>
      <c r="B5254" s="56">
        <v>42303</v>
      </c>
      <c r="C5254" s="57" t="s">
        <v>18010</v>
      </c>
      <c r="D5254" s="56">
        <v>42303</v>
      </c>
      <c r="E5254" s="57" t="s">
        <v>15826</v>
      </c>
      <c r="F5254" s="57" t="s">
        <v>1743</v>
      </c>
      <c r="G5254" s="57" t="s">
        <v>189</v>
      </c>
      <c r="H5254" s="57" t="s">
        <v>71</v>
      </c>
      <c r="I5254" s="57" t="s">
        <v>21</v>
      </c>
      <c r="J5254" s="57" t="s">
        <v>5930</v>
      </c>
      <c r="K5254" s="57" t="s">
        <v>18011</v>
      </c>
      <c r="L5254" s="57" t="s">
        <v>4282</v>
      </c>
      <c r="M5254" s="57" t="s">
        <v>21</v>
      </c>
      <c r="N5254" s="36"/>
      <c r="O5254" s="105">
        <v>42692</v>
      </c>
      <c r="P5254" s="57" t="s">
        <v>21</v>
      </c>
      <c r="Q5254" s="55" t="b">
        <v>0</v>
      </c>
      <c r="R5254" s="22">
        <f t="shared" si="94"/>
        <v>387</v>
      </c>
    </row>
    <row r="5255" spans="1:19">
      <c r="A5255" s="47">
        <v>10716</v>
      </c>
      <c r="B5255" s="48">
        <v>42303</v>
      </c>
      <c r="C5255" s="49" t="s">
        <v>16665</v>
      </c>
      <c r="D5255" s="48">
        <v>42303</v>
      </c>
      <c r="E5255" s="49" t="s">
        <v>16666</v>
      </c>
      <c r="F5255" s="49" t="s">
        <v>211</v>
      </c>
      <c r="G5255" s="49" t="s">
        <v>189</v>
      </c>
      <c r="H5255" s="49" t="s">
        <v>212</v>
      </c>
      <c r="I5255" s="49" t="s">
        <v>21</v>
      </c>
      <c r="J5255" s="49" t="s">
        <v>16667</v>
      </c>
      <c r="K5255" s="49" t="s">
        <v>16668</v>
      </c>
      <c r="L5255" s="49" t="s">
        <v>14518</v>
      </c>
      <c r="M5255" s="49" t="s">
        <v>21</v>
      </c>
      <c r="O5255" s="102">
        <v>42352</v>
      </c>
      <c r="P5255" s="49" t="s">
        <v>21</v>
      </c>
      <c r="Q5255" s="47" t="b">
        <v>0</v>
      </c>
      <c r="R5255" s="22">
        <f t="shared" si="94"/>
        <v>48</v>
      </c>
    </row>
    <row r="5256" spans="1:19">
      <c r="A5256" s="47">
        <v>10719</v>
      </c>
      <c r="B5256" s="48">
        <v>42304</v>
      </c>
      <c r="C5256" s="49" t="s">
        <v>16669</v>
      </c>
      <c r="D5256" s="48">
        <v>42303</v>
      </c>
      <c r="E5256" s="49" t="s">
        <v>38</v>
      </c>
      <c r="F5256" s="49" t="s">
        <v>741</v>
      </c>
      <c r="G5256" s="49" t="s">
        <v>189</v>
      </c>
      <c r="H5256" s="49" t="s">
        <v>71</v>
      </c>
      <c r="I5256" s="49" t="s">
        <v>21</v>
      </c>
      <c r="J5256" s="49" t="s">
        <v>16670</v>
      </c>
      <c r="K5256" s="49" t="s">
        <v>1316</v>
      </c>
      <c r="L5256" s="49" t="s">
        <v>14909</v>
      </c>
      <c r="M5256" s="49" t="s">
        <v>21</v>
      </c>
      <c r="O5256" s="102">
        <v>42312</v>
      </c>
      <c r="P5256" s="49" t="s">
        <v>21</v>
      </c>
      <c r="Q5256" s="47" t="b">
        <v>0</v>
      </c>
      <c r="R5256" s="22">
        <f t="shared" si="94"/>
        <v>7</v>
      </c>
    </row>
    <row r="5257" spans="1:19">
      <c r="A5257" s="47">
        <v>10720</v>
      </c>
      <c r="B5257" s="48">
        <v>42304</v>
      </c>
      <c r="C5257" s="49" t="s">
        <v>16671</v>
      </c>
      <c r="D5257" s="48">
        <v>42303</v>
      </c>
      <c r="E5257" s="49" t="s">
        <v>38</v>
      </c>
      <c r="F5257" s="49" t="s">
        <v>11178</v>
      </c>
      <c r="G5257" s="49" t="s">
        <v>189</v>
      </c>
      <c r="H5257" s="49" t="s">
        <v>566</v>
      </c>
      <c r="I5257" s="49" t="s">
        <v>21</v>
      </c>
      <c r="J5257" s="49" t="s">
        <v>16672</v>
      </c>
      <c r="K5257" s="49" t="s">
        <v>21</v>
      </c>
      <c r="L5257" s="49" t="s">
        <v>1946</v>
      </c>
      <c r="M5257" s="49" t="s">
        <v>21</v>
      </c>
      <c r="O5257" s="102">
        <v>42310</v>
      </c>
      <c r="P5257" s="49" t="s">
        <v>21</v>
      </c>
      <c r="Q5257" s="47" t="b">
        <v>0</v>
      </c>
      <c r="R5257" s="22">
        <f t="shared" si="94"/>
        <v>5</v>
      </c>
    </row>
    <row r="5258" spans="1:19" ht="32">
      <c r="A5258" s="55">
        <v>10723</v>
      </c>
      <c r="B5258" s="56">
        <v>42307</v>
      </c>
      <c r="C5258" s="57" t="s">
        <v>18097</v>
      </c>
      <c r="D5258" s="56">
        <v>42307</v>
      </c>
      <c r="E5258" s="57" t="s">
        <v>15826</v>
      </c>
      <c r="F5258" s="57" t="s">
        <v>1743</v>
      </c>
      <c r="G5258" s="57" t="s">
        <v>189</v>
      </c>
      <c r="H5258" s="57" t="s">
        <v>71</v>
      </c>
      <c r="I5258" s="57" t="s">
        <v>21</v>
      </c>
      <c r="J5258" s="57" t="s">
        <v>18098</v>
      </c>
      <c r="K5258" s="57" t="s">
        <v>18099</v>
      </c>
      <c r="L5258" s="57" t="s">
        <v>18100</v>
      </c>
      <c r="M5258" s="57" t="s">
        <v>21</v>
      </c>
      <c r="N5258" s="36"/>
      <c r="O5258" s="105">
        <v>42746</v>
      </c>
      <c r="P5258" s="57" t="s">
        <v>21</v>
      </c>
      <c r="Q5258" s="55" t="b">
        <v>0</v>
      </c>
      <c r="R5258" s="22">
        <f t="shared" ref="R5258:R5277" si="95">IF(O5258=" ", " ", INT(YEARFRAC(O5258, B5258)*365))</f>
        <v>436</v>
      </c>
    </row>
    <row r="5259" spans="1:19" ht="32">
      <c r="A5259" s="55">
        <v>10724</v>
      </c>
      <c r="B5259" s="56">
        <v>42310</v>
      </c>
      <c r="C5259" s="57" t="s">
        <v>17570</v>
      </c>
      <c r="D5259" s="56">
        <v>42307</v>
      </c>
      <c r="E5259" s="57" t="s">
        <v>16673</v>
      </c>
      <c r="F5259" s="57" t="s">
        <v>14118</v>
      </c>
      <c r="G5259" s="57" t="s">
        <v>189</v>
      </c>
      <c r="H5259" s="57" t="s">
        <v>71</v>
      </c>
      <c r="I5259" s="57" t="s">
        <v>21</v>
      </c>
      <c r="J5259" s="57" t="s">
        <v>15856</v>
      </c>
      <c r="K5259" s="57" t="s">
        <v>21</v>
      </c>
      <c r="L5259" s="57" t="s">
        <v>14411</v>
      </c>
      <c r="M5259" s="57" t="s">
        <v>21</v>
      </c>
      <c r="N5259" s="36"/>
      <c r="O5259" s="105">
        <v>42464</v>
      </c>
      <c r="P5259" s="57" t="s">
        <v>21</v>
      </c>
      <c r="Q5259" s="55" t="b">
        <v>0</v>
      </c>
      <c r="R5259" s="22">
        <f t="shared" si="95"/>
        <v>154</v>
      </c>
    </row>
    <row r="5260" spans="1:19" ht="48">
      <c r="A5260" s="55">
        <v>10725</v>
      </c>
      <c r="B5260" s="56">
        <v>42310</v>
      </c>
      <c r="C5260" s="57" t="s">
        <v>18006</v>
      </c>
      <c r="D5260" s="56">
        <v>42310</v>
      </c>
      <c r="E5260" s="57" t="s">
        <v>15826</v>
      </c>
      <c r="F5260" s="57" t="s">
        <v>13122</v>
      </c>
      <c r="G5260" s="57" t="s">
        <v>189</v>
      </c>
      <c r="H5260" s="57" t="s">
        <v>71</v>
      </c>
      <c r="I5260" s="57" t="s">
        <v>21</v>
      </c>
      <c r="J5260" s="57" t="s">
        <v>16674</v>
      </c>
      <c r="K5260" s="57" t="s">
        <v>16675</v>
      </c>
      <c r="L5260" s="57" t="s">
        <v>4282</v>
      </c>
      <c r="M5260" s="57" t="s">
        <v>21</v>
      </c>
      <c r="N5260" s="36"/>
      <c r="O5260" s="105">
        <v>42690</v>
      </c>
      <c r="P5260" s="57" t="s">
        <v>21</v>
      </c>
      <c r="Q5260" s="55" t="b">
        <v>0</v>
      </c>
      <c r="R5260" s="22">
        <f t="shared" si="95"/>
        <v>379</v>
      </c>
    </row>
    <row r="5261" spans="1:19">
      <c r="A5261" s="47">
        <v>10728</v>
      </c>
      <c r="B5261" s="48">
        <v>42313</v>
      </c>
      <c r="C5261" s="49" t="s">
        <v>16676</v>
      </c>
      <c r="D5261" s="48">
        <v>42312</v>
      </c>
      <c r="E5261" s="49" t="s">
        <v>16677</v>
      </c>
      <c r="F5261" s="49" t="s">
        <v>104</v>
      </c>
      <c r="G5261" s="49" t="s">
        <v>189</v>
      </c>
      <c r="H5261" s="49" t="s">
        <v>71</v>
      </c>
      <c r="I5261" s="49" t="s">
        <v>21</v>
      </c>
      <c r="J5261" s="49" t="s">
        <v>16678</v>
      </c>
      <c r="K5261" s="49" t="s">
        <v>16679</v>
      </c>
      <c r="L5261" s="49" t="s">
        <v>4282</v>
      </c>
      <c r="M5261" s="49" t="s">
        <v>21</v>
      </c>
      <c r="O5261" s="102">
        <v>42376</v>
      </c>
      <c r="P5261" s="49" t="s">
        <v>21</v>
      </c>
      <c r="Q5261" s="47" t="b">
        <v>0</v>
      </c>
      <c r="R5261" s="22">
        <f t="shared" si="95"/>
        <v>62</v>
      </c>
    </row>
    <row r="5262" spans="1:19" ht="24">
      <c r="A5262" s="47">
        <v>10730</v>
      </c>
      <c r="B5262" s="48">
        <v>42313</v>
      </c>
      <c r="C5262" s="49" t="s">
        <v>16680</v>
      </c>
      <c r="D5262" s="48">
        <v>42313</v>
      </c>
      <c r="E5262" s="49" t="s">
        <v>38</v>
      </c>
      <c r="F5262" s="49" t="s">
        <v>228</v>
      </c>
      <c r="G5262" s="49" t="s">
        <v>189</v>
      </c>
      <c r="H5262" s="49" t="s">
        <v>71</v>
      </c>
      <c r="I5262" s="49" t="s">
        <v>21</v>
      </c>
      <c r="J5262" s="49" t="s">
        <v>16681</v>
      </c>
      <c r="K5262" s="49" t="s">
        <v>21</v>
      </c>
      <c r="L5262" s="49" t="s">
        <v>14411</v>
      </c>
      <c r="M5262" s="49" t="s">
        <v>21</v>
      </c>
      <c r="O5262" s="102">
        <v>42321</v>
      </c>
      <c r="P5262" s="49" t="s">
        <v>21</v>
      </c>
      <c r="Q5262" s="47" t="b">
        <v>0</v>
      </c>
      <c r="R5262" s="22">
        <f t="shared" si="95"/>
        <v>8</v>
      </c>
    </row>
    <row r="5263" spans="1:19" ht="24">
      <c r="A5263" s="47">
        <v>10731</v>
      </c>
      <c r="B5263" s="48">
        <v>42318</v>
      </c>
      <c r="C5263" s="49" t="s">
        <v>16682</v>
      </c>
      <c r="D5263" s="48">
        <v>42317</v>
      </c>
      <c r="E5263" s="49" t="s">
        <v>38</v>
      </c>
      <c r="F5263" s="49" t="s">
        <v>16683</v>
      </c>
      <c r="G5263" s="49" t="s">
        <v>189</v>
      </c>
      <c r="H5263" s="49" t="s">
        <v>71</v>
      </c>
      <c r="I5263" s="49" t="s">
        <v>21</v>
      </c>
      <c r="J5263" s="49" t="s">
        <v>16684</v>
      </c>
      <c r="K5263" s="49" t="s">
        <v>21</v>
      </c>
      <c r="L5263" s="49" t="s">
        <v>4282</v>
      </c>
      <c r="M5263" s="49" t="s">
        <v>21</v>
      </c>
      <c r="O5263" s="102">
        <v>42331</v>
      </c>
      <c r="P5263" s="49" t="s">
        <v>21</v>
      </c>
      <c r="Q5263" s="47" t="b">
        <v>0</v>
      </c>
      <c r="R5263" s="22">
        <f t="shared" si="95"/>
        <v>13</v>
      </c>
    </row>
    <row r="5264" spans="1:19">
      <c r="A5264" s="47">
        <v>10732</v>
      </c>
      <c r="B5264" s="48">
        <v>42318</v>
      </c>
      <c r="C5264" s="49" t="s">
        <v>16685</v>
      </c>
      <c r="D5264" s="48">
        <v>42317</v>
      </c>
      <c r="E5264" s="49" t="s">
        <v>38</v>
      </c>
      <c r="F5264" s="49" t="s">
        <v>124</v>
      </c>
      <c r="G5264" s="49" t="s">
        <v>189</v>
      </c>
      <c r="H5264" s="49" t="s">
        <v>71</v>
      </c>
      <c r="I5264" s="49" t="s">
        <v>21</v>
      </c>
      <c r="J5264" s="49" t="s">
        <v>7480</v>
      </c>
      <c r="K5264" s="49" t="s">
        <v>16686</v>
      </c>
      <c r="L5264" s="49" t="s">
        <v>14909</v>
      </c>
      <c r="M5264" s="49" t="s">
        <v>21</v>
      </c>
      <c r="O5264" s="102">
        <v>42328</v>
      </c>
      <c r="P5264" s="49" t="s">
        <v>21</v>
      </c>
      <c r="Q5264" s="47" t="b">
        <v>0</v>
      </c>
      <c r="R5264" s="22">
        <f t="shared" si="95"/>
        <v>10</v>
      </c>
    </row>
    <row r="5265" spans="1:20" ht="32">
      <c r="A5265" s="55">
        <v>10733</v>
      </c>
      <c r="B5265" s="56">
        <v>42318</v>
      </c>
      <c r="C5265" s="57" t="s">
        <v>17990</v>
      </c>
      <c r="D5265" s="56">
        <v>42318</v>
      </c>
      <c r="E5265" s="57" t="s">
        <v>3268</v>
      </c>
      <c r="F5265" s="57" t="s">
        <v>16061</v>
      </c>
      <c r="G5265" s="57" t="s">
        <v>189</v>
      </c>
      <c r="H5265" s="57" t="s">
        <v>21</v>
      </c>
      <c r="I5265" s="57" t="s">
        <v>21</v>
      </c>
      <c r="J5265" s="57" t="s">
        <v>16687</v>
      </c>
      <c r="K5265" s="57" t="s">
        <v>16688</v>
      </c>
      <c r="L5265" s="57" t="s">
        <v>16689</v>
      </c>
      <c r="M5265" s="57" t="s">
        <v>21</v>
      </c>
      <c r="N5265" s="36"/>
      <c r="O5265" s="105">
        <v>42681</v>
      </c>
      <c r="P5265" s="57" t="s">
        <v>21</v>
      </c>
      <c r="Q5265" s="55" t="b">
        <v>0</v>
      </c>
      <c r="R5265" s="22">
        <f t="shared" si="95"/>
        <v>361</v>
      </c>
    </row>
    <row r="5266" spans="1:20" ht="24">
      <c r="A5266" s="47">
        <v>10734</v>
      </c>
      <c r="B5266" s="48">
        <v>42318</v>
      </c>
      <c r="C5266" s="49" t="s">
        <v>18913</v>
      </c>
      <c r="D5266" s="48">
        <v>42317</v>
      </c>
      <c r="E5266" s="49" t="s">
        <v>16690</v>
      </c>
      <c r="F5266" s="49" t="s">
        <v>6277</v>
      </c>
      <c r="G5266" s="49" t="s">
        <v>189</v>
      </c>
      <c r="H5266" s="49" t="s">
        <v>212</v>
      </c>
      <c r="I5266" s="49" t="s">
        <v>21</v>
      </c>
      <c r="J5266" s="49" t="s">
        <v>16691</v>
      </c>
      <c r="K5266" s="49" t="s">
        <v>21</v>
      </c>
      <c r="L5266" s="49" t="s">
        <v>14909</v>
      </c>
      <c r="M5266" s="49" t="s">
        <v>14411</v>
      </c>
      <c r="O5266" s="104">
        <v>43607</v>
      </c>
      <c r="P5266" s="49" t="s">
        <v>21</v>
      </c>
      <c r="Q5266" s="47" t="b">
        <v>0</v>
      </c>
      <c r="R5266" s="22">
        <f t="shared" si="95"/>
        <v>1289</v>
      </c>
      <c r="S5266" s="37" t="s">
        <v>16663</v>
      </c>
    </row>
    <row r="5267" spans="1:20" ht="32">
      <c r="A5267" s="55">
        <v>10735</v>
      </c>
      <c r="B5267" s="56">
        <v>42319</v>
      </c>
      <c r="C5267" s="57" t="s">
        <v>17517</v>
      </c>
      <c r="D5267" s="56">
        <v>42320</v>
      </c>
      <c r="E5267" s="57" t="s">
        <v>16692</v>
      </c>
      <c r="F5267" s="57" t="s">
        <v>11178</v>
      </c>
      <c r="G5267" s="57" t="s">
        <v>189</v>
      </c>
      <c r="H5267" s="57" t="s">
        <v>566</v>
      </c>
      <c r="I5267" s="57" t="s">
        <v>21</v>
      </c>
      <c r="J5267" s="57" t="s">
        <v>16672</v>
      </c>
      <c r="K5267" s="57" t="s">
        <v>21</v>
      </c>
      <c r="L5267" s="57" t="s">
        <v>1946</v>
      </c>
      <c r="M5267" s="57" t="s">
        <v>21</v>
      </c>
      <c r="N5267" s="36"/>
      <c r="O5267" s="105">
        <v>42412</v>
      </c>
      <c r="P5267" s="57" t="s">
        <v>21</v>
      </c>
      <c r="Q5267" s="55" t="b">
        <v>0</v>
      </c>
      <c r="R5267" s="22">
        <f t="shared" si="95"/>
        <v>92</v>
      </c>
    </row>
    <row r="5268" spans="1:20" ht="24">
      <c r="A5268" s="47">
        <v>10736</v>
      </c>
      <c r="B5268" s="48">
        <v>42321</v>
      </c>
      <c r="C5268" s="49" t="s">
        <v>18914</v>
      </c>
      <c r="D5268" s="48">
        <v>42320</v>
      </c>
      <c r="E5268" s="49" t="s">
        <v>16693</v>
      </c>
      <c r="F5268" s="49" t="s">
        <v>16173</v>
      </c>
      <c r="G5268" s="49" t="s">
        <v>189</v>
      </c>
      <c r="H5268" s="49" t="s">
        <v>566</v>
      </c>
      <c r="I5268" s="49" t="s">
        <v>21</v>
      </c>
      <c r="J5268" s="49" t="s">
        <v>23</v>
      </c>
      <c r="K5268" s="49" t="s">
        <v>16694</v>
      </c>
      <c r="L5268" s="49" t="s">
        <v>7167</v>
      </c>
      <c r="M5268" s="49" t="s">
        <v>21</v>
      </c>
      <c r="O5268" s="104">
        <v>43535</v>
      </c>
      <c r="P5268" s="49" t="s">
        <v>21</v>
      </c>
      <c r="Q5268" s="47" t="b">
        <v>0</v>
      </c>
      <c r="R5268" s="22">
        <f t="shared" si="95"/>
        <v>1214</v>
      </c>
      <c r="S5268" s="37" t="s">
        <v>21</v>
      </c>
    </row>
    <row r="5269" spans="1:20" ht="24">
      <c r="A5269" s="47">
        <v>10738</v>
      </c>
      <c r="B5269" s="48">
        <v>42327</v>
      </c>
      <c r="C5269" s="49" t="s">
        <v>16695</v>
      </c>
      <c r="D5269" s="48">
        <v>42326</v>
      </c>
      <c r="E5269" s="49" t="s">
        <v>16696</v>
      </c>
      <c r="F5269" s="49" t="s">
        <v>124</v>
      </c>
      <c r="G5269" s="49" t="s">
        <v>189</v>
      </c>
      <c r="H5269" s="49" t="s">
        <v>71</v>
      </c>
      <c r="I5269" s="49" t="s">
        <v>21</v>
      </c>
      <c r="J5269" s="49" t="s">
        <v>16697</v>
      </c>
      <c r="K5269" s="49" t="s">
        <v>16698</v>
      </c>
      <c r="L5269" s="49" t="s">
        <v>14518</v>
      </c>
      <c r="M5269" s="49" t="s">
        <v>21</v>
      </c>
      <c r="O5269" s="102">
        <v>42360</v>
      </c>
      <c r="P5269" s="49" t="s">
        <v>21</v>
      </c>
      <c r="Q5269" s="47" t="b">
        <v>0</v>
      </c>
      <c r="R5269" s="22">
        <f t="shared" si="95"/>
        <v>33</v>
      </c>
    </row>
    <row r="5270" spans="1:20">
      <c r="A5270" s="47">
        <v>10739</v>
      </c>
      <c r="B5270" s="48">
        <v>42332</v>
      </c>
      <c r="C5270" s="49" t="s">
        <v>16699</v>
      </c>
      <c r="D5270" s="48">
        <v>42331</v>
      </c>
      <c r="E5270" s="49" t="s">
        <v>38</v>
      </c>
      <c r="F5270" s="49" t="s">
        <v>52</v>
      </c>
      <c r="G5270" s="49" t="s">
        <v>189</v>
      </c>
      <c r="H5270" s="49" t="s">
        <v>71</v>
      </c>
      <c r="I5270" s="49" t="s">
        <v>21</v>
      </c>
      <c r="J5270" s="49" t="s">
        <v>16700</v>
      </c>
      <c r="K5270" s="49" t="s">
        <v>16701</v>
      </c>
      <c r="L5270" s="49" t="s">
        <v>14518</v>
      </c>
      <c r="M5270" s="49" t="s">
        <v>21</v>
      </c>
      <c r="O5270" s="102">
        <v>42333</v>
      </c>
      <c r="P5270" s="49" t="s">
        <v>21</v>
      </c>
      <c r="Q5270" s="47" t="b">
        <v>0</v>
      </c>
      <c r="R5270" s="22">
        <f t="shared" si="95"/>
        <v>1</v>
      </c>
    </row>
    <row r="5271" spans="1:20">
      <c r="A5271" s="47">
        <v>10740</v>
      </c>
      <c r="B5271" s="48">
        <v>42333</v>
      </c>
      <c r="C5271" s="49" t="s">
        <v>16702</v>
      </c>
      <c r="D5271" s="48">
        <v>42333</v>
      </c>
      <c r="E5271" s="49" t="s">
        <v>16703</v>
      </c>
      <c r="F5271" s="49" t="s">
        <v>12743</v>
      </c>
      <c r="G5271" s="49" t="s">
        <v>189</v>
      </c>
      <c r="H5271" s="49" t="s">
        <v>71</v>
      </c>
      <c r="I5271" s="49" t="s">
        <v>21</v>
      </c>
      <c r="J5271" s="49" t="s">
        <v>3052</v>
      </c>
      <c r="K5271" s="49" t="s">
        <v>16704</v>
      </c>
      <c r="L5271" s="49" t="s">
        <v>14411</v>
      </c>
      <c r="M5271" s="49" t="s">
        <v>21</v>
      </c>
      <c r="O5271" s="102">
        <v>42348</v>
      </c>
      <c r="P5271" s="49" t="s">
        <v>21</v>
      </c>
      <c r="Q5271" s="47" t="b">
        <v>0</v>
      </c>
      <c r="R5271" s="22">
        <f t="shared" si="95"/>
        <v>15</v>
      </c>
    </row>
    <row r="5272" spans="1:20" ht="24">
      <c r="A5272" s="50">
        <v>10741</v>
      </c>
      <c r="B5272" s="51">
        <v>42333</v>
      </c>
      <c r="C5272" s="52" t="s">
        <v>18915</v>
      </c>
      <c r="D5272" s="51">
        <v>42333</v>
      </c>
      <c r="E5272" s="52" t="s">
        <v>16705</v>
      </c>
      <c r="F5272" s="52" t="s">
        <v>52</v>
      </c>
      <c r="G5272" s="52" t="s">
        <v>189</v>
      </c>
      <c r="H5272" s="52" t="s">
        <v>71</v>
      </c>
      <c r="I5272" s="52" t="s">
        <v>21</v>
      </c>
      <c r="J5272" s="52" t="s">
        <v>16700</v>
      </c>
      <c r="K5272" s="52" t="s">
        <v>16706</v>
      </c>
      <c r="L5272" s="52" t="s">
        <v>14518</v>
      </c>
      <c r="M5272" s="52" t="s">
        <v>21</v>
      </c>
      <c r="O5272" s="104">
        <v>43325</v>
      </c>
      <c r="P5272" s="53" t="s">
        <v>21</v>
      </c>
      <c r="Q5272" s="54" t="b">
        <v>0</v>
      </c>
      <c r="R5272" s="22">
        <f t="shared" si="95"/>
        <v>991</v>
      </c>
      <c r="S5272" s="46" t="s">
        <v>19301</v>
      </c>
    </row>
    <row r="5273" spans="1:20">
      <c r="A5273" s="47">
        <v>10742</v>
      </c>
      <c r="B5273" s="48">
        <v>42338</v>
      </c>
      <c r="C5273" s="49" t="s">
        <v>16707</v>
      </c>
      <c r="D5273" s="48">
        <v>42338</v>
      </c>
      <c r="E5273" s="49" t="s">
        <v>38</v>
      </c>
      <c r="F5273" s="49" t="s">
        <v>52</v>
      </c>
      <c r="G5273" s="49" t="s">
        <v>189</v>
      </c>
      <c r="H5273" s="49" t="s">
        <v>71</v>
      </c>
      <c r="I5273" s="49" t="s">
        <v>21</v>
      </c>
      <c r="J5273" s="49" t="s">
        <v>16708</v>
      </c>
      <c r="K5273" s="49" t="s">
        <v>16709</v>
      </c>
      <c r="L5273" s="49" t="s">
        <v>7167</v>
      </c>
      <c r="M5273" s="49" t="s">
        <v>21</v>
      </c>
      <c r="O5273" s="102">
        <v>42341</v>
      </c>
      <c r="P5273" s="49" t="s">
        <v>21</v>
      </c>
      <c r="Q5273" s="47" t="b">
        <v>0</v>
      </c>
      <c r="R5273" s="22">
        <f t="shared" si="95"/>
        <v>3</v>
      </c>
    </row>
    <row r="5274" spans="1:20">
      <c r="A5274" s="47">
        <v>10743</v>
      </c>
      <c r="B5274" s="48">
        <v>42338</v>
      </c>
      <c r="C5274" s="49" t="s">
        <v>16710</v>
      </c>
      <c r="D5274" s="48">
        <v>42338</v>
      </c>
      <c r="E5274" s="49" t="s">
        <v>16711</v>
      </c>
      <c r="F5274" s="49" t="s">
        <v>124</v>
      </c>
      <c r="G5274" s="49" t="s">
        <v>20</v>
      </c>
      <c r="H5274" s="49" t="s">
        <v>71</v>
      </c>
      <c r="I5274" s="49" t="s">
        <v>21</v>
      </c>
      <c r="J5274" s="49" t="s">
        <v>16712</v>
      </c>
      <c r="K5274" s="49" t="s">
        <v>21</v>
      </c>
      <c r="L5274" s="49" t="s">
        <v>14909</v>
      </c>
      <c r="M5274" s="49" t="s">
        <v>21</v>
      </c>
      <c r="O5274" s="102">
        <v>42384</v>
      </c>
      <c r="P5274" s="49" t="s">
        <v>21</v>
      </c>
      <c r="Q5274" s="47" t="b">
        <v>0</v>
      </c>
      <c r="R5274" s="22">
        <f t="shared" si="95"/>
        <v>45</v>
      </c>
    </row>
    <row r="5275" spans="1:20">
      <c r="A5275" s="47">
        <v>10744</v>
      </c>
      <c r="B5275" s="48">
        <v>42340</v>
      </c>
      <c r="C5275" s="49" t="s">
        <v>16713</v>
      </c>
      <c r="D5275" s="48">
        <v>42340</v>
      </c>
      <c r="E5275" s="49" t="s">
        <v>38</v>
      </c>
      <c r="F5275" s="49" t="s">
        <v>16173</v>
      </c>
      <c r="G5275" s="49" t="s">
        <v>20</v>
      </c>
      <c r="H5275" s="49" t="s">
        <v>566</v>
      </c>
      <c r="I5275" s="49" t="s">
        <v>21</v>
      </c>
      <c r="J5275" s="49" t="s">
        <v>16714</v>
      </c>
      <c r="K5275" s="49" t="s">
        <v>16715</v>
      </c>
      <c r="L5275" s="49" t="s">
        <v>4282</v>
      </c>
      <c r="M5275" s="49" t="s">
        <v>21</v>
      </c>
      <c r="O5275" s="102">
        <v>42348</v>
      </c>
      <c r="P5275" s="49" t="s">
        <v>21</v>
      </c>
      <c r="Q5275" s="47" t="b">
        <v>0</v>
      </c>
      <c r="R5275" s="22">
        <f t="shared" si="95"/>
        <v>8</v>
      </c>
    </row>
    <row r="5276" spans="1:20" ht="24">
      <c r="A5276" s="47">
        <v>10745</v>
      </c>
      <c r="B5276" s="48">
        <v>42345</v>
      </c>
      <c r="C5276" s="49" t="s">
        <v>16716</v>
      </c>
      <c r="D5276" s="48">
        <v>42343</v>
      </c>
      <c r="E5276" s="49" t="s">
        <v>16717</v>
      </c>
      <c r="F5276" s="49" t="s">
        <v>149</v>
      </c>
      <c r="G5276" s="49" t="s">
        <v>20</v>
      </c>
      <c r="H5276" s="49" t="s">
        <v>71</v>
      </c>
      <c r="I5276" s="49" t="s">
        <v>21</v>
      </c>
      <c r="J5276" s="49" t="s">
        <v>16718</v>
      </c>
      <c r="K5276" s="49" t="s">
        <v>16719</v>
      </c>
      <c r="L5276" s="49" t="s">
        <v>1946</v>
      </c>
      <c r="M5276" s="49" t="s">
        <v>21</v>
      </c>
      <c r="O5276" s="102">
        <v>42354</v>
      </c>
      <c r="P5276" s="49" t="s">
        <v>21</v>
      </c>
      <c r="Q5276" s="47" t="b">
        <v>0</v>
      </c>
      <c r="R5276" s="22">
        <f t="shared" si="95"/>
        <v>9</v>
      </c>
    </row>
    <row r="5277" spans="1:20" ht="32">
      <c r="A5277" s="55">
        <v>10746</v>
      </c>
      <c r="B5277" s="56">
        <v>42345</v>
      </c>
      <c r="C5277" s="57" t="s">
        <v>17586</v>
      </c>
      <c r="D5277" s="56">
        <v>42342</v>
      </c>
      <c r="E5277" s="57" t="s">
        <v>38</v>
      </c>
      <c r="F5277" s="57" t="s">
        <v>16720</v>
      </c>
      <c r="G5277" s="57" t="s">
        <v>20</v>
      </c>
      <c r="H5277" s="57" t="s">
        <v>71</v>
      </c>
      <c r="I5277" s="57" t="s">
        <v>21</v>
      </c>
      <c r="J5277" s="57" t="s">
        <v>16721</v>
      </c>
      <c r="K5277" s="57" t="s">
        <v>21</v>
      </c>
      <c r="L5277" s="57" t="s">
        <v>4282</v>
      </c>
      <c r="M5277" s="57" t="s">
        <v>21</v>
      </c>
      <c r="N5277" s="36"/>
      <c r="O5277" s="105">
        <v>42473</v>
      </c>
      <c r="P5277" s="57" t="s">
        <v>21</v>
      </c>
      <c r="Q5277" s="55" t="b">
        <v>0</v>
      </c>
      <c r="R5277" s="22">
        <f t="shared" si="95"/>
        <v>127</v>
      </c>
    </row>
    <row r="5278" spans="1:20">
      <c r="A5278" s="47">
        <v>10747</v>
      </c>
      <c r="B5278" s="48">
        <v>42346</v>
      </c>
      <c r="C5278" s="49" t="s">
        <v>18916</v>
      </c>
      <c r="D5278" s="48">
        <v>42345</v>
      </c>
      <c r="E5278" s="49" t="s">
        <v>1432</v>
      </c>
      <c r="F5278" s="49" t="s">
        <v>1743</v>
      </c>
      <c r="G5278" s="49" t="s">
        <v>20</v>
      </c>
      <c r="H5278" s="49" t="s">
        <v>71</v>
      </c>
      <c r="I5278" s="49" t="s">
        <v>21</v>
      </c>
      <c r="J5278" s="49" t="s">
        <v>19302</v>
      </c>
      <c r="K5278" s="49" t="s">
        <v>18145</v>
      </c>
      <c r="L5278" s="49" t="s">
        <v>7167</v>
      </c>
      <c r="M5278" s="49" t="s">
        <v>21</v>
      </c>
      <c r="O5278" s="106"/>
      <c r="P5278" s="49" t="s">
        <v>21</v>
      </c>
      <c r="Q5278" s="47" t="b">
        <v>0</v>
      </c>
      <c r="R5278" s="59"/>
      <c r="T5278" s="37" t="s">
        <v>21</v>
      </c>
    </row>
    <row r="5279" spans="1:20" ht="32">
      <c r="A5279" s="55">
        <v>10748</v>
      </c>
      <c r="B5279" s="56">
        <v>42348</v>
      </c>
      <c r="C5279" s="57" t="s">
        <v>17681</v>
      </c>
      <c r="D5279" s="56">
        <v>42347</v>
      </c>
      <c r="E5279" s="57" t="s">
        <v>38</v>
      </c>
      <c r="F5279" s="57" t="s">
        <v>16173</v>
      </c>
      <c r="G5279" s="57" t="s">
        <v>20</v>
      </c>
      <c r="H5279" s="57" t="s">
        <v>566</v>
      </c>
      <c r="I5279" s="57" t="s">
        <v>21</v>
      </c>
      <c r="J5279" s="57" t="s">
        <v>16722</v>
      </c>
      <c r="K5279" s="57" t="s">
        <v>16723</v>
      </c>
      <c r="L5279" s="57" t="s">
        <v>4282</v>
      </c>
      <c r="M5279" s="57" t="s">
        <v>21</v>
      </c>
      <c r="N5279" s="36"/>
      <c r="O5279" s="105">
        <v>42522</v>
      </c>
      <c r="P5279" s="57" t="s">
        <v>21</v>
      </c>
      <c r="Q5279" s="55" t="b">
        <v>0</v>
      </c>
      <c r="R5279" s="22">
        <f t="shared" ref="R5279:R5292" si="96">IF(O5279=" ", " ", INT(YEARFRAC(O5279, B5279)*365))</f>
        <v>173</v>
      </c>
    </row>
    <row r="5280" spans="1:20" ht="24">
      <c r="A5280" s="47">
        <v>10750</v>
      </c>
      <c r="B5280" s="48">
        <v>42349</v>
      </c>
      <c r="C5280" s="49" t="s">
        <v>18917</v>
      </c>
      <c r="D5280" s="48">
        <v>42348</v>
      </c>
      <c r="E5280" s="49" t="s">
        <v>16724</v>
      </c>
      <c r="F5280" s="49" t="s">
        <v>350</v>
      </c>
      <c r="G5280" s="49" t="s">
        <v>20</v>
      </c>
      <c r="H5280" s="49" t="s">
        <v>566</v>
      </c>
      <c r="I5280" s="49" t="s">
        <v>21</v>
      </c>
      <c r="J5280" s="49" t="s">
        <v>16725</v>
      </c>
      <c r="K5280" s="49" t="s">
        <v>16726</v>
      </c>
      <c r="L5280" s="49" t="s">
        <v>14909</v>
      </c>
      <c r="M5280" s="49" t="s">
        <v>14411</v>
      </c>
      <c r="O5280" s="104">
        <v>43622</v>
      </c>
      <c r="P5280" s="49" t="s">
        <v>21</v>
      </c>
      <c r="Q5280" s="47" t="b">
        <v>0</v>
      </c>
      <c r="R5280" s="22">
        <f t="shared" si="96"/>
        <v>1272</v>
      </c>
      <c r="S5280" s="37" t="s">
        <v>21</v>
      </c>
    </row>
    <row r="5281" spans="1:20" ht="32">
      <c r="A5281" s="55">
        <v>10751</v>
      </c>
      <c r="B5281" s="56">
        <v>42352</v>
      </c>
      <c r="C5281" s="57" t="s">
        <v>17881</v>
      </c>
      <c r="D5281" s="56">
        <v>42352</v>
      </c>
      <c r="E5281" s="57" t="s">
        <v>15826</v>
      </c>
      <c r="F5281" s="57" t="s">
        <v>1743</v>
      </c>
      <c r="G5281" s="57" t="s">
        <v>20</v>
      </c>
      <c r="H5281" s="57" t="s">
        <v>71</v>
      </c>
      <c r="I5281" s="57" t="s">
        <v>21</v>
      </c>
      <c r="J5281" s="57" t="s">
        <v>17882</v>
      </c>
      <c r="K5281" s="57" t="s">
        <v>17883</v>
      </c>
      <c r="L5281" s="57" t="s">
        <v>7167</v>
      </c>
      <c r="M5281" s="57" t="s">
        <v>21</v>
      </c>
      <c r="N5281" s="36"/>
      <c r="O5281" s="105">
        <v>42622</v>
      </c>
      <c r="P5281" s="57" t="s">
        <v>21</v>
      </c>
      <c r="Q5281" s="55" t="b">
        <v>0</v>
      </c>
      <c r="R5281" s="22">
        <f t="shared" si="96"/>
        <v>268</v>
      </c>
    </row>
    <row r="5282" spans="1:20" ht="32">
      <c r="A5282" s="55">
        <v>10752</v>
      </c>
      <c r="B5282" s="56">
        <v>42353</v>
      </c>
      <c r="C5282" s="57" t="s">
        <v>17628</v>
      </c>
      <c r="D5282" s="56">
        <v>42352</v>
      </c>
      <c r="E5282" s="57" t="s">
        <v>16727</v>
      </c>
      <c r="F5282" s="57" t="s">
        <v>104</v>
      </c>
      <c r="G5282" s="57" t="s">
        <v>20</v>
      </c>
      <c r="H5282" s="57" t="s">
        <v>189</v>
      </c>
      <c r="I5282" s="57" t="s">
        <v>21</v>
      </c>
      <c r="J5282" s="57" t="s">
        <v>16728</v>
      </c>
      <c r="K5282" s="57" t="s">
        <v>16729</v>
      </c>
      <c r="L5282" s="57" t="s">
        <v>4282</v>
      </c>
      <c r="M5282" s="57" t="s">
        <v>21</v>
      </c>
      <c r="N5282" s="36"/>
      <c r="O5282" s="105">
        <v>42489</v>
      </c>
      <c r="P5282" s="57" t="s">
        <v>21</v>
      </c>
      <c r="Q5282" s="55" t="b">
        <v>0</v>
      </c>
      <c r="R5282" s="22">
        <f t="shared" si="96"/>
        <v>135</v>
      </c>
    </row>
    <row r="5283" spans="1:20" ht="32">
      <c r="A5283" s="55">
        <v>10753</v>
      </c>
      <c r="B5283" s="56">
        <v>42353</v>
      </c>
      <c r="C5283" s="57" t="s">
        <v>17725</v>
      </c>
      <c r="D5283" s="56">
        <v>42348</v>
      </c>
      <c r="E5283" s="57" t="s">
        <v>16730</v>
      </c>
      <c r="F5283" s="57" t="s">
        <v>16731</v>
      </c>
      <c r="G5283" s="57" t="s">
        <v>20</v>
      </c>
      <c r="H5283" s="57" t="s">
        <v>189</v>
      </c>
      <c r="I5283" s="57" t="s">
        <v>21</v>
      </c>
      <c r="J5283" s="57" t="s">
        <v>16732</v>
      </c>
      <c r="K5283" s="57" t="s">
        <v>14825</v>
      </c>
      <c r="L5283" s="57" t="s">
        <v>1946</v>
      </c>
      <c r="M5283" s="57" t="s">
        <v>21</v>
      </c>
      <c r="N5283" s="36"/>
      <c r="O5283" s="105">
        <v>42549</v>
      </c>
      <c r="P5283" s="57" t="s">
        <v>21</v>
      </c>
      <c r="Q5283" s="55" t="b">
        <v>0</v>
      </c>
      <c r="R5283" s="22">
        <f t="shared" si="96"/>
        <v>195</v>
      </c>
    </row>
    <row r="5284" spans="1:20" ht="24">
      <c r="A5284" s="50">
        <v>10754</v>
      </c>
      <c r="B5284" s="51">
        <v>42355</v>
      </c>
      <c r="C5284" s="52" t="s">
        <v>18918</v>
      </c>
      <c r="D5284" s="51">
        <v>42354</v>
      </c>
      <c r="E5284" s="52" t="s">
        <v>16733</v>
      </c>
      <c r="F5284" s="52" t="s">
        <v>216</v>
      </c>
      <c r="G5284" s="52" t="s">
        <v>189</v>
      </c>
      <c r="H5284" s="52" t="s">
        <v>71</v>
      </c>
      <c r="I5284" s="52" t="s">
        <v>21</v>
      </c>
      <c r="J5284" s="52" t="s">
        <v>16734</v>
      </c>
      <c r="K5284" s="52" t="s">
        <v>7085</v>
      </c>
      <c r="L5284" s="52" t="s">
        <v>14518</v>
      </c>
      <c r="M5284" s="52" t="s">
        <v>21</v>
      </c>
      <c r="O5284" s="104">
        <v>43364</v>
      </c>
      <c r="P5284" s="53" t="s">
        <v>21</v>
      </c>
      <c r="Q5284" s="54" t="b">
        <v>0</v>
      </c>
      <c r="R5284" s="22">
        <f t="shared" si="96"/>
        <v>1007</v>
      </c>
    </row>
    <row r="5285" spans="1:20" ht="24">
      <c r="A5285" s="50">
        <v>10756</v>
      </c>
      <c r="B5285" s="51">
        <v>42359</v>
      </c>
      <c r="C5285" s="52" t="s">
        <v>18919</v>
      </c>
      <c r="D5285" s="51">
        <v>42356</v>
      </c>
      <c r="E5285" s="52" t="s">
        <v>16735</v>
      </c>
      <c r="F5285" s="52" t="s">
        <v>1771</v>
      </c>
      <c r="G5285" s="52" t="s">
        <v>20</v>
      </c>
      <c r="H5285" s="52" t="s">
        <v>189</v>
      </c>
      <c r="I5285" s="52" t="s">
        <v>21</v>
      </c>
      <c r="J5285" s="52" t="s">
        <v>16736</v>
      </c>
      <c r="K5285" s="52" t="s">
        <v>9152</v>
      </c>
      <c r="L5285" s="52" t="s">
        <v>14518</v>
      </c>
      <c r="M5285" s="52" t="s">
        <v>21</v>
      </c>
      <c r="O5285" s="104">
        <v>43332</v>
      </c>
      <c r="P5285" s="53" t="s">
        <v>21</v>
      </c>
      <c r="Q5285" s="54" t="b">
        <v>0</v>
      </c>
      <c r="R5285" s="22">
        <f t="shared" si="96"/>
        <v>972</v>
      </c>
    </row>
    <row r="5286" spans="1:20">
      <c r="A5286" s="47">
        <v>10757</v>
      </c>
      <c r="B5286" s="48">
        <v>42366</v>
      </c>
      <c r="C5286" s="49" t="s">
        <v>16737</v>
      </c>
      <c r="D5286" s="48">
        <v>42365</v>
      </c>
      <c r="E5286" s="49" t="s">
        <v>16738</v>
      </c>
      <c r="F5286" s="49" t="s">
        <v>306</v>
      </c>
      <c r="G5286" s="49" t="s">
        <v>20</v>
      </c>
      <c r="H5286" s="49" t="s">
        <v>71</v>
      </c>
      <c r="I5286" s="49" t="s">
        <v>21</v>
      </c>
      <c r="J5286" s="49" t="s">
        <v>16739</v>
      </c>
      <c r="K5286" s="49" t="s">
        <v>21</v>
      </c>
      <c r="L5286" s="49" t="s">
        <v>14518</v>
      </c>
      <c r="M5286" s="49" t="s">
        <v>21</v>
      </c>
      <c r="O5286" s="102">
        <v>42369</v>
      </c>
      <c r="P5286" s="49" t="s">
        <v>21</v>
      </c>
      <c r="Q5286" s="47" t="b">
        <v>0</v>
      </c>
      <c r="R5286" s="22">
        <f t="shared" si="96"/>
        <v>3</v>
      </c>
    </row>
    <row r="5287" spans="1:20">
      <c r="A5287" s="47">
        <v>10758</v>
      </c>
      <c r="B5287" s="48">
        <v>42369</v>
      </c>
      <c r="C5287" s="49" t="s">
        <v>16740</v>
      </c>
      <c r="D5287" s="48">
        <v>42369</v>
      </c>
      <c r="E5287" s="49" t="s">
        <v>38</v>
      </c>
      <c r="F5287" s="49" t="s">
        <v>27</v>
      </c>
      <c r="G5287" s="49" t="s">
        <v>20</v>
      </c>
      <c r="H5287" s="49" t="s">
        <v>71</v>
      </c>
      <c r="I5287" s="49" t="s">
        <v>21</v>
      </c>
      <c r="J5287" s="49" t="s">
        <v>15995</v>
      </c>
      <c r="K5287" s="49" t="s">
        <v>16741</v>
      </c>
      <c r="L5287" s="49" t="s">
        <v>7167</v>
      </c>
      <c r="M5287" s="49" t="s">
        <v>21</v>
      </c>
      <c r="O5287" s="102">
        <v>42369</v>
      </c>
      <c r="P5287" s="49" t="s">
        <v>21</v>
      </c>
      <c r="Q5287" s="47" t="b">
        <v>0</v>
      </c>
      <c r="R5287" s="22">
        <f t="shared" si="96"/>
        <v>0</v>
      </c>
    </row>
    <row r="5288" spans="1:20" ht="32">
      <c r="A5288" s="55">
        <v>10759</v>
      </c>
      <c r="B5288" s="56">
        <v>42373</v>
      </c>
      <c r="C5288" s="57" t="s">
        <v>17539</v>
      </c>
      <c r="D5288" s="56">
        <v>42373</v>
      </c>
      <c r="E5288" s="57" t="s">
        <v>16742</v>
      </c>
      <c r="F5288" s="57" t="s">
        <v>149</v>
      </c>
      <c r="G5288" s="57" t="s">
        <v>20</v>
      </c>
      <c r="H5288" s="57" t="s">
        <v>71</v>
      </c>
      <c r="I5288" s="57" t="s">
        <v>21</v>
      </c>
      <c r="J5288" s="57" t="s">
        <v>16743</v>
      </c>
      <c r="K5288" s="57" t="s">
        <v>16744</v>
      </c>
      <c r="L5288" s="57" t="s">
        <v>14518</v>
      </c>
      <c r="M5288" s="57" t="s">
        <v>21</v>
      </c>
      <c r="N5288" s="36"/>
      <c r="O5288" s="105">
        <v>42433</v>
      </c>
      <c r="P5288" s="57" t="s">
        <v>21</v>
      </c>
      <c r="Q5288" s="55" t="b">
        <v>0</v>
      </c>
      <c r="R5288" s="22">
        <f t="shared" si="96"/>
        <v>60</v>
      </c>
    </row>
    <row r="5289" spans="1:20" ht="32">
      <c r="A5289" s="55">
        <v>10760</v>
      </c>
      <c r="B5289" s="56">
        <v>42373</v>
      </c>
      <c r="C5289" s="57" t="s">
        <v>17511</v>
      </c>
      <c r="D5289" s="56">
        <v>42373</v>
      </c>
      <c r="E5289" s="57" t="s">
        <v>16745</v>
      </c>
      <c r="F5289" s="57" t="s">
        <v>27</v>
      </c>
      <c r="G5289" s="57" t="s">
        <v>20</v>
      </c>
      <c r="H5289" s="57" t="s">
        <v>71</v>
      </c>
      <c r="I5289" s="57" t="s">
        <v>21</v>
      </c>
      <c r="J5289" s="57" t="s">
        <v>16746</v>
      </c>
      <c r="K5289" s="57" t="s">
        <v>16747</v>
      </c>
      <c r="L5289" s="57" t="s">
        <v>14518</v>
      </c>
      <c r="M5289" s="57" t="s">
        <v>21</v>
      </c>
      <c r="N5289" s="36"/>
      <c r="O5289" s="105">
        <v>42405</v>
      </c>
      <c r="P5289" s="57" t="s">
        <v>21</v>
      </c>
      <c r="Q5289" s="55" t="b">
        <v>0</v>
      </c>
      <c r="R5289" s="22">
        <f t="shared" si="96"/>
        <v>31</v>
      </c>
    </row>
    <row r="5290" spans="1:20">
      <c r="A5290" s="47">
        <v>10761</v>
      </c>
      <c r="B5290" s="48">
        <v>42374</v>
      </c>
      <c r="C5290" s="49" t="s">
        <v>16748</v>
      </c>
      <c r="D5290" s="48">
        <v>42373</v>
      </c>
      <c r="E5290" s="49" t="s">
        <v>16749</v>
      </c>
      <c r="F5290" s="49" t="s">
        <v>104</v>
      </c>
      <c r="G5290" s="49" t="s">
        <v>20</v>
      </c>
      <c r="H5290" s="49" t="s">
        <v>189</v>
      </c>
      <c r="I5290" s="49" t="s">
        <v>21</v>
      </c>
      <c r="J5290" s="49" t="s">
        <v>16750</v>
      </c>
      <c r="K5290" s="49" t="s">
        <v>6081</v>
      </c>
      <c r="L5290" s="49" t="s">
        <v>7167</v>
      </c>
      <c r="M5290" s="49" t="s">
        <v>21</v>
      </c>
      <c r="O5290" s="102">
        <v>42384</v>
      </c>
      <c r="P5290" s="49" t="s">
        <v>21</v>
      </c>
      <c r="Q5290" s="47" t="b">
        <v>0</v>
      </c>
      <c r="R5290" s="22">
        <f t="shared" si="96"/>
        <v>10</v>
      </c>
    </row>
    <row r="5291" spans="1:20" ht="32">
      <c r="A5291" s="55">
        <v>10762</v>
      </c>
      <c r="B5291" s="56">
        <v>42374</v>
      </c>
      <c r="C5291" s="57" t="s">
        <v>17529</v>
      </c>
      <c r="D5291" s="56">
        <v>42374</v>
      </c>
      <c r="E5291" s="57" t="s">
        <v>1928</v>
      </c>
      <c r="F5291" s="57" t="s">
        <v>1743</v>
      </c>
      <c r="G5291" s="57" t="s">
        <v>20</v>
      </c>
      <c r="H5291" s="57" t="s">
        <v>71</v>
      </c>
      <c r="I5291" s="57" t="s">
        <v>21</v>
      </c>
      <c r="J5291" s="57" t="s">
        <v>17530</v>
      </c>
      <c r="K5291" s="57" t="s">
        <v>17531</v>
      </c>
      <c r="L5291" s="57" t="s">
        <v>4282</v>
      </c>
      <c r="M5291" s="57" t="s">
        <v>21</v>
      </c>
      <c r="N5291" s="36"/>
      <c r="O5291" s="105">
        <v>42429</v>
      </c>
      <c r="P5291" s="57" t="s">
        <v>21</v>
      </c>
      <c r="Q5291" s="55" t="b">
        <v>0</v>
      </c>
      <c r="R5291" s="22">
        <f t="shared" si="96"/>
        <v>54</v>
      </c>
    </row>
    <row r="5292" spans="1:20" ht="32">
      <c r="A5292" s="55">
        <v>10763</v>
      </c>
      <c r="B5292" s="56">
        <v>42376</v>
      </c>
      <c r="C5292" s="57" t="s">
        <v>17720</v>
      </c>
      <c r="D5292" s="56">
        <v>42376</v>
      </c>
      <c r="E5292" s="57" t="s">
        <v>15826</v>
      </c>
      <c r="F5292" s="57" t="s">
        <v>1743</v>
      </c>
      <c r="G5292" s="57" t="s">
        <v>20</v>
      </c>
      <c r="H5292" s="57" t="s">
        <v>71</v>
      </c>
      <c r="I5292" s="57" t="s">
        <v>21</v>
      </c>
      <c r="J5292" s="57" t="s">
        <v>17721</v>
      </c>
      <c r="K5292" s="57" t="s">
        <v>17722</v>
      </c>
      <c r="L5292" s="57" t="s">
        <v>7167</v>
      </c>
      <c r="M5292" s="57" t="s">
        <v>21</v>
      </c>
      <c r="N5292" s="36"/>
      <c r="O5292" s="105">
        <v>42545</v>
      </c>
      <c r="P5292" s="57" t="s">
        <v>21</v>
      </c>
      <c r="Q5292" s="55" t="b">
        <v>0</v>
      </c>
      <c r="R5292" s="22">
        <f t="shared" si="96"/>
        <v>169</v>
      </c>
    </row>
    <row r="5293" spans="1:20" ht="32">
      <c r="A5293" s="55">
        <v>10764</v>
      </c>
      <c r="B5293" s="56">
        <v>42376</v>
      </c>
      <c r="C5293" s="57" t="s">
        <v>18180</v>
      </c>
      <c r="D5293" s="56">
        <v>42376</v>
      </c>
      <c r="E5293" s="57" t="s">
        <v>15826</v>
      </c>
      <c r="F5293" s="57" t="s">
        <v>1743</v>
      </c>
      <c r="G5293" s="57" t="s">
        <v>20</v>
      </c>
      <c r="H5293" s="57" t="s">
        <v>71</v>
      </c>
      <c r="I5293" s="57" t="s">
        <v>21</v>
      </c>
      <c r="J5293" s="57" t="s">
        <v>17721</v>
      </c>
      <c r="K5293" s="57" t="s">
        <v>18181</v>
      </c>
      <c r="L5293" s="57" t="s">
        <v>4282</v>
      </c>
      <c r="M5293" s="57" t="s">
        <v>21</v>
      </c>
      <c r="N5293" s="36"/>
      <c r="O5293" s="103"/>
      <c r="P5293" s="57" t="s">
        <v>21</v>
      </c>
      <c r="Q5293" s="55" t="b">
        <v>0</v>
      </c>
      <c r="R5293" s="112"/>
    </row>
    <row r="5294" spans="1:20">
      <c r="A5294" s="50">
        <v>10766</v>
      </c>
      <c r="B5294" s="51">
        <v>42382</v>
      </c>
      <c r="C5294" s="52" t="s">
        <v>18920</v>
      </c>
      <c r="D5294" s="51">
        <v>42382</v>
      </c>
      <c r="E5294" s="52" t="s">
        <v>16751</v>
      </c>
      <c r="F5294" s="52" t="s">
        <v>52</v>
      </c>
      <c r="G5294" s="52" t="s">
        <v>20</v>
      </c>
      <c r="H5294" s="52" t="s">
        <v>71</v>
      </c>
      <c r="I5294" s="52" t="s">
        <v>21</v>
      </c>
      <c r="J5294" s="52" t="s">
        <v>9152</v>
      </c>
      <c r="K5294" s="52" t="s">
        <v>16752</v>
      </c>
      <c r="L5294" s="52" t="s">
        <v>7167</v>
      </c>
      <c r="M5294" s="52" t="s">
        <v>21</v>
      </c>
      <c r="O5294" s="104">
        <v>43321</v>
      </c>
      <c r="P5294" s="53" t="s">
        <v>21</v>
      </c>
      <c r="Q5294" s="54" t="b">
        <v>0</v>
      </c>
      <c r="R5294" s="22">
        <f>IF(O5294=" ", " ", INT(YEARFRAC(O5294, B5294)*365))</f>
        <v>938</v>
      </c>
    </row>
    <row r="5295" spans="1:20" ht="32">
      <c r="A5295" s="55">
        <v>10767</v>
      </c>
      <c r="B5295" s="56">
        <v>42383</v>
      </c>
      <c r="C5295" s="57" t="s">
        <v>17516</v>
      </c>
      <c r="D5295" s="56">
        <v>42383</v>
      </c>
      <c r="E5295" s="57" t="s">
        <v>16753</v>
      </c>
      <c r="F5295" s="57" t="s">
        <v>98</v>
      </c>
      <c r="G5295" s="57" t="s">
        <v>20</v>
      </c>
      <c r="H5295" s="57" t="s">
        <v>71</v>
      </c>
      <c r="I5295" s="57" t="s">
        <v>21</v>
      </c>
      <c r="J5295" s="57" t="s">
        <v>16754</v>
      </c>
      <c r="K5295" s="57" t="s">
        <v>9152</v>
      </c>
      <c r="L5295" s="57" t="s">
        <v>1946</v>
      </c>
      <c r="M5295" s="57" t="s">
        <v>21</v>
      </c>
      <c r="N5295" s="36"/>
      <c r="O5295" s="105">
        <v>42412</v>
      </c>
      <c r="P5295" s="57" t="s">
        <v>21</v>
      </c>
      <c r="Q5295" s="55" t="b">
        <v>0</v>
      </c>
      <c r="R5295" s="22">
        <f>IF(O5295=" ", " ", INT(YEARFRAC(O5295, B5295)*365))</f>
        <v>28</v>
      </c>
    </row>
    <row r="5296" spans="1:20">
      <c r="A5296" s="47">
        <v>10768</v>
      </c>
      <c r="B5296" s="48">
        <v>42384</v>
      </c>
      <c r="C5296" s="49" t="s">
        <v>18921</v>
      </c>
      <c r="D5296" s="48">
        <v>42384</v>
      </c>
      <c r="E5296" s="49" t="s">
        <v>1432</v>
      </c>
      <c r="F5296" s="49" t="s">
        <v>104</v>
      </c>
      <c r="G5296" s="49" t="s">
        <v>20</v>
      </c>
      <c r="H5296" s="49" t="s">
        <v>71</v>
      </c>
      <c r="I5296" s="49" t="s">
        <v>21</v>
      </c>
      <c r="J5296" s="49" t="s">
        <v>16755</v>
      </c>
      <c r="K5296" s="49" t="s">
        <v>18186</v>
      </c>
      <c r="L5296" s="49" t="s">
        <v>7167</v>
      </c>
      <c r="M5296" s="49" t="s">
        <v>21</v>
      </c>
      <c r="O5296" s="106"/>
      <c r="P5296" s="49" t="s">
        <v>21</v>
      </c>
      <c r="Q5296" s="47" t="b">
        <v>0</v>
      </c>
      <c r="R5296" s="59"/>
      <c r="T5296" s="37" t="s">
        <v>21</v>
      </c>
    </row>
    <row r="5297" spans="1:18" ht="32">
      <c r="A5297" s="55">
        <v>10771</v>
      </c>
      <c r="B5297" s="56">
        <v>42384</v>
      </c>
      <c r="C5297" s="57" t="s">
        <v>17519</v>
      </c>
      <c r="D5297" s="56">
        <v>42384</v>
      </c>
      <c r="E5297" s="57" t="s">
        <v>16761</v>
      </c>
      <c r="F5297" s="57" t="s">
        <v>15525</v>
      </c>
      <c r="G5297" s="57" t="s">
        <v>20</v>
      </c>
      <c r="H5297" s="57" t="s">
        <v>71</v>
      </c>
      <c r="I5297" s="57" t="s">
        <v>21</v>
      </c>
      <c r="J5297" s="57" t="s">
        <v>16762</v>
      </c>
      <c r="K5297" s="57" t="s">
        <v>21</v>
      </c>
      <c r="L5297" s="57" t="s">
        <v>14411</v>
      </c>
      <c r="M5297" s="57" t="s">
        <v>21</v>
      </c>
      <c r="N5297" s="36"/>
      <c r="O5297" s="105">
        <v>42418</v>
      </c>
      <c r="P5297" s="57" t="s">
        <v>21</v>
      </c>
      <c r="Q5297" s="55" t="b">
        <v>0</v>
      </c>
      <c r="R5297" s="22">
        <f t="shared" ref="R5297:R5339" si="97">IF(O5297=" ", " ", INT(YEARFRAC(O5297, B5297)*365))</f>
        <v>33</v>
      </c>
    </row>
    <row r="5298" spans="1:18" ht="32">
      <c r="A5298" s="55">
        <v>10769</v>
      </c>
      <c r="B5298" s="56">
        <v>42388</v>
      </c>
      <c r="C5298" s="57" t="s">
        <v>17541</v>
      </c>
      <c r="D5298" s="56">
        <v>42386</v>
      </c>
      <c r="E5298" s="57" t="s">
        <v>16756</v>
      </c>
      <c r="F5298" s="57" t="s">
        <v>16757</v>
      </c>
      <c r="G5298" s="57" t="s">
        <v>20</v>
      </c>
      <c r="H5298" s="57" t="s">
        <v>71</v>
      </c>
      <c r="I5298" s="57" t="s">
        <v>21</v>
      </c>
      <c r="J5298" s="57" t="s">
        <v>16758</v>
      </c>
      <c r="K5298" s="57" t="s">
        <v>16729</v>
      </c>
      <c r="L5298" s="57" t="s">
        <v>14909</v>
      </c>
      <c r="M5298" s="57" t="s">
        <v>21</v>
      </c>
      <c r="N5298" s="36"/>
      <c r="O5298" s="105">
        <v>42438</v>
      </c>
      <c r="P5298" s="57" t="s">
        <v>21</v>
      </c>
      <c r="Q5298" s="55" t="b">
        <v>0</v>
      </c>
      <c r="R5298" s="22">
        <f t="shared" si="97"/>
        <v>50</v>
      </c>
    </row>
    <row r="5299" spans="1:18" ht="32">
      <c r="A5299" s="55">
        <v>10770</v>
      </c>
      <c r="B5299" s="56">
        <v>42389</v>
      </c>
      <c r="C5299" s="57" t="s">
        <v>17520</v>
      </c>
      <c r="D5299" s="56">
        <v>42382</v>
      </c>
      <c r="E5299" s="57" t="s">
        <v>16759</v>
      </c>
      <c r="F5299" s="57" t="s">
        <v>15525</v>
      </c>
      <c r="G5299" s="57" t="s">
        <v>20</v>
      </c>
      <c r="H5299" s="57" t="s">
        <v>71</v>
      </c>
      <c r="I5299" s="57" t="s">
        <v>21</v>
      </c>
      <c r="J5299" s="57" t="s">
        <v>16760</v>
      </c>
      <c r="K5299" s="57" t="s">
        <v>21</v>
      </c>
      <c r="L5299" s="57" t="s">
        <v>14411</v>
      </c>
      <c r="M5299" s="57" t="s">
        <v>21</v>
      </c>
      <c r="N5299" s="36"/>
      <c r="O5299" s="105">
        <v>42418</v>
      </c>
      <c r="P5299" s="57" t="s">
        <v>21</v>
      </c>
      <c r="Q5299" s="55" t="b">
        <v>0</v>
      </c>
      <c r="R5299" s="22">
        <f t="shared" si="97"/>
        <v>28</v>
      </c>
    </row>
    <row r="5300" spans="1:18" ht="32">
      <c r="A5300" s="55">
        <v>10772</v>
      </c>
      <c r="B5300" s="56">
        <v>42391</v>
      </c>
      <c r="C5300" s="57" t="s">
        <v>17515</v>
      </c>
      <c r="D5300" s="56">
        <v>42391</v>
      </c>
      <c r="E5300" s="57" t="s">
        <v>16763</v>
      </c>
      <c r="F5300" s="57" t="s">
        <v>52</v>
      </c>
      <c r="G5300" s="57" t="s">
        <v>20</v>
      </c>
      <c r="H5300" s="57" t="s">
        <v>71</v>
      </c>
      <c r="I5300" s="57" t="s">
        <v>21</v>
      </c>
      <c r="J5300" s="57" t="s">
        <v>16764</v>
      </c>
      <c r="K5300" s="57" t="s">
        <v>6081</v>
      </c>
      <c r="L5300" s="57" t="s">
        <v>14411</v>
      </c>
      <c r="M5300" s="57" t="s">
        <v>21</v>
      </c>
      <c r="N5300" s="36"/>
      <c r="O5300" s="105">
        <v>42411</v>
      </c>
      <c r="P5300" s="57" t="s">
        <v>21</v>
      </c>
      <c r="Q5300" s="55" t="b">
        <v>0</v>
      </c>
      <c r="R5300" s="22">
        <f t="shared" si="97"/>
        <v>19</v>
      </c>
    </row>
    <row r="5301" spans="1:18" ht="32">
      <c r="A5301" s="55">
        <v>10773</v>
      </c>
      <c r="B5301" s="56">
        <v>42391</v>
      </c>
      <c r="C5301" s="57" t="s">
        <v>17509</v>
      </c>
      <c r="D5301" s="56">
        <v>42391</v>
      </c>
      <c r="E5301" s="57" t="s">
        <v>38</v>
      </c>
      <c r="F5301" s="57" t="s">
        <v>124</v>
      </c>
      <c r="G5301" s="57" t="s">
        <v>20</v>
      </c>
      <c r="H5301" s="57" t="s">
        <v>71</v>
      </c>
      <c r="I5301" s="57" t="s">
        <v>21</v>
      </c>
      <c r="J5301" s="57" t="s">
        <v>16765</v>
      </c>
      <c r="K5301" s="57" t="s">
        <v>16766</v>
      </c>
      <c r="L5301" s="57" t="s">
        <v>14411</v>
      </c>
      <c r="M5301" s="57" t="s">
        <v>21</v>
      </c>
      <c r="N5301" s="36"/>
      <c r="O5301" s="105">
        <v>42401</v>
      </c>
      <c r="P5301" s="57" t="s">
        <v>21</v>
      </c>
      <c r="Q5301" s="55" t="b">
        <v>0</v>
      </c>
      <c r="R5301" s="22">
        <f t="shared" si="97"/>
        <v>9</v>
      </c>
    </row>
    <row r="5302" spans="1:18" ht="32">
      <c r="A5302" s="55">
        <v>10774</v>
      </c>
      <c r="B5302" s="56">
        <v>42395</v>
      </c>
      <c r="C5302" s="57" t="s">
        <v>17513</v>
      </c>
      <c r="D5302" s="56">
        <v>42394</v>
      </c>
      <c r="E5302" s="57" t="s">
        <v>38</v>
      </c>
      <c r="F5302" s="57" t="s">
        <v>1743</v>
      </c>
      <c r="G5302" s="57" t="s">
        <v>20</v>
      </c>
      <c r="H5302" s="57" t="s">
        <v>71</v>
      </c>
      <c r="I5302" s="57" t="s">
        <v>21</v>
      </c>
      <c r="J5302" s="57" t="s">
        <v>17514</v>
      </c>
      <c r="K5302" s="57" t="s">
        <v>21</v>
      </c>
      <c r="L5302" s="57" t="s">
        <v>7167</v>
      </c>
      <c r="M5302" s="57" t="s">
        <v>21</v>
      </c>
      <c r="N5302" s="36"/>
      <c r="O5302" s="105">
        <v>42411</v>
      </c>
      <c r="P5302" s="57" t="s">
        <v>21</v>
      </c>
      <c r="Q5302" s="55" t="b">
        <v>0</v>
      </c>
      <c r="R5302" s="22">
        <f t="shared" si="97"/>
        <v>15</v>
      </c>
    </row>
    <row r="5303" spans="1:18" ht="32">
      <c r="A5303" s="55">
        <v>10775</v>
      </c>
      <c r="B5303" s="56">
        <v>42395</v>
      </c>
      <c r="C5303" s="57" t="s">
        <v>17542</v>
      </c>
      <c r="D5303" s="56">
        <v>42395</v>
      </c>
      <c r="E5303" s="57" t="s">
        <v>16767</v>
      </c>
      <c r="F5303" s="57" t="s">
        <v>242</v>
      </c>
      <c r="G5303" s="57" t="s">
        <v>20</v>
      </c>
      <c r="H5303" s="57" t="s">
        <v>71</v>
      </c>
      <c r="I5303" s="57" t="s">
        <v>21</v>
      </c>
      <c r="J5303" s="57" t="s">
        <v>16768</v>
      </c>
      <c r="K5303" s="57" t="s">
        <v>6081</v>
      </c>
      <c r="L5303" s="57" t="s">
        <v>14909</v>
      </c>
      <c r="M5303" s="57" t="s">
        <v>21</v>
      </c>
      <c r="N5303" s="36"/>
      <c r="O5303" s="105">
        <v>42443</v>
      </c>
      <c r="P5303" s="57" t="s">
        <v>21</v>
      </c>
      <c r="Q5303" s="55" t="b">
        <v>0</v>
      </c>
      <c r="R5303" s="22">
        <f t="shared" si="97"/>
        <v>48</v>
      </c>
    </row>
    <row r="5304" spans="1:18" ht="24">
      <c r="A5304" s="50">
        <v>10776</v>
      </c>
      <c r="B5304" s="51">
        <v>42401</v>
      </c>
      <c r="C5304" s="52" t="s">
        <v>18922</v>
      </c>
      <c r="D5304" s="51">
        <v>42401</v>
      </c>
      <c r="E5304" s="52" t="s">
        <v>16769</v>
      </c>
      <c r="F5304" s="52" t="s">
        <v>15525</v>
      </c>
      <c r="G5304" s="52" t="s">
        <v>20</v>
      </c>
      <c r="H5304" s="52" t="s">
        <v>71</v>
      </c>
      <c r="I5304" s="52" t="s">
        <v>21</v>
      </c>
      <c r="J5304" s="52" t="s">
        <v>16770</v>
      </c>
      <c r="K5304" s="52" t="s">
        <v>16771</v>
      </c>
      <c r="L5304" s="52" t="s">
        <v>1946</v>
      </c>
      <c r="M5304" s="52" t="s">
        <v>21</v>
      </c>
      <c r="O5304" s="104">
        <v>43306</v>
      </c>
      <c r="P5304" s="53" t="s">
        <v>21</v>
      </c>
      <c r="Q5304" s="54" t="b">
        <v>0</v>
      </c>
      <c r="R5304" s="22">
        <f t="shared" si="97"/>
        <v>906</v>
      </c>
    </row>
    <row r="5305" spans="1:18" ht="32">
      <c r="A5305" s="55">
        <v>10777</v>
      </c>
      <c r="B5305" s="56">
        <v>42401</v>
      </c>
      <c r="C5305" s="57" t="s">
        <v>17518</v>
      </c>
      <c r="D5305" s="56">
        <v>42396</v>
      </c>
      <c r="E5305" s="57" t="s">
        <v>16772</v>
      </c>
      <c r="F5305" s="57" t="s">
        <v>2296</v>
      </c>
      <c r="G5305" s="57" t="s">
        <v>20</v>
      </c>
      <c r="H5305" s="57" t="s">
        <v>566</v>
      </c>
      <c r="I5305" s="57" t="s">
        <v>21</v>
      </c>
      <c r="J5305" s="57" t="s">
        <v>16773</v>
      </c>
      <c r="K5305" s="57" t="s">
        <v>16774</v>
      </c>
      <c r="L5305" s="57" t="s">
        <v>1946</v>
      </c>
      <c r="M5305" s="57" t="s">
        <v>21</v>
      </c>
      <c r="N5305" s="36"/>
      <c r="O5305" s="105">
        <v>42412</v>
      </c>
      <c r="P5305" s="57" t="s">
        <v>21</v>
      </c>
      <c r="Q5305" s="55" t="b">
        <v>0</v>
      </c>
      <c r="R5305" s="22">
        <f t="shared" si="97"/>
        <v>11</v>
      </c>
    </row>
    <row r="5306" spans="1:18" ht="32">
      <c r="A5306" s="55">
        <v>10778</v>
      </c>
      <c r="B5306" s="56">
        <v>42402</v>
      </c>
      <c r="C5306" s="57" t="s">
        <v>17510</v>
      </c>
      <c r="D5306" s="56">
        <v>42401</v>
      </c>
      <c r="E5306" s="57" t="s">
        <v>38</v>
      </c>
      <c r="F5306" s="57" t="s">
        <v>124</v>
      </c>
      <c r="G5306" s="57" t="s">
        <v>20</v>
      </c>
      <c r="H5306" s="57" t="s">
        <v>71</v>
      </c>
      <c r="I5306" s="57" t="s">
        <v>21</v>
      </c>
      <c r="J5306" s="57" t="s">
        <v>16775</v>
      </c>
      <c r="K5306" s="57" t="s">
        <v>16776</v>
      </c>
      <c r="L5306" s="57" t="s">
        <v>14411</v>
      </c>
      <c r="M5306" s="57" t="s">
        <v>21</v>
      </c>
      <c r="N5306" s="36"/>
      <c r="O5306" s="105">
        <v>42404</v>
      </c>
      <c r="P5306" s="57" t="s">
        <v>21</v>
      </c>
      <c r="Q5306" s="55" t="b">
        <v>0</v>
      </c>
      <c r="R5306" s="22">
        <f t="shared" si="97"/>
        <v>2</v>
      </c>
    </row>
    <row r="5307" spans="1:18" ht="32">
      <c r="A5307" s="55">
        <v>10779</v>
      </c>
      <c r="B5307" s="56">
        <v>42403</v>
      </c>
      <c r="C5307" s="57" t="s">
        <v>17576</v>
      </c>
      <c r="D5307" s="56">
        <v>42402</v>
      </c>
      <c r="E5307" s="57" t="s">
        <v>16777</v>
      </c>
      <c r="F5307" s="57" t="s">
        <v>39</v>
      </c>
      <c r="G5307" s="57" t="s">
        <v>20</v>
      </c>
      <c r="H5307" s="57" t="s">
        <v>71</v>
      </c>
      <c r="I5307" s="57" t="s">
        <v>21</v>
      </c>
      <c r="J5307" s="57" t="s">
        <v>16778</v>
      </c>
      <c r="K5307" s="57" t="s">
        <v>16779</v>
      </c>
      <c r="L5307" s="57" t="s">
        <v>1946</v>
      </c>
      <c r="M5307" s="57" t="s">
        <v>21</v>
      </c>
      <c r="N5307" s="36"/>
      <c r="O5307" s="105">
        <v>42466</v>
      </c>
      <c r="P5307" s="57" t="s">
        <v>21</v>
      </c>
      <c r="Q5307" s="55" t="b">
        <v>0</v>
      </c>
      <c r="R5307" s="22">
        <f t="shared" si="97"/>
        <v>63</v>
      </c>
    </row>
    <row r="5308" spans="1:18">
      <c r="A5308" s="50">
        <v>10780</v>
      </c>
      <c r="B5308" s="51">
        <v>42412</v>
      </c>
      <c r="C5308" s="52" t="s">
        <v>18923</v>
      </c>
      <c r="D5308" s="51">
        <v>42412</v>
      </c>
      <c r="E5308" s="52" t="s">
        <v>16780</v>
      </c>
      <c r="F5308" s="52" t="s">
        <v>27</v>
      </c>
      <c r="G5308" s="52" t="s">
        <v>20</v>
      </c>
      <c r="H5308" s="52" t="s">
        <v>71</v>
      </c>
      <c r="I5308" s="52" t="s">
        <v>21</v>
      </c>
      <c r="J5308" s="52" t="s">
        <v>16781</v>
      </c>
      <c r="K5308" s="52" t="s">
        <v>16782</v>
      </c>
      <c r="L5308" s="52" t="s">
        <v>1946</v>
      </c>
      <c r="M5308" s="52" t="s">
        <v>21</v>
      </c>
      <c r="O5308" s="104">
        <v>43290</v>
      </c>
      <c r="P5308" s="53" t="s">
        <v>21</v>
      </c>
      <c r="Q5308" s="54" t="b">
        <v>0</v>
      </c>
      <c r="R5308" s="22">
        <f t="shared" si="97"/>
        <v>879</v>
      </c>
    </row>
    <row r="5309" spans="1:18" ht="32">
      <c r="A5309" s="55">
        <v>10781</v>
      </c>
      <c r="B5309" s="56">
        <v>42416</v>
      </c>
      <c r="C5309" s="57" t="s">
        <v>17566</v>
      </c>
      <c r="D5309" s="56">
        <v>42415</v>
      </c>
      <c r="E5309" s="57" t="s">
        <v>16783</v>
      </c>
      <c r="F5309" s="57" t="s">
        <v>52</v>
      </c>
      <c r="G5309" s="57" t="s">
        <v>20</v>
      </c>
      <c r="H5309" s="57" t="s">
        <v>71</v>
      </c>
      <c r="I5309" s="57" t="s">
        <v>21</v>
      </c>
      <c r="J5309" s="57" t="s">
        <v>16784</v>
      </c>
      <c r="K5309" s="57" t="s">
        <v>13842</v>
      </c>
      <c r="L5309" s="57" t="s">
        <v>1946</v>
      </c>
      <c r="M5309" s="57" t="s">
        <v>21</v>
      </c>
      <c r="N5309" s="36"/>
      <c r="O5309" s="105">
        <v>42460</v>
      </c>
      <c r="P5309" s="57" t="s">
        <v>21</v>
      </c>
      <c r="Q5309" s="55" t="b">
        <v>0</v>
      </c>
      <c r="R5309" s="22">
        <f t="shared" si="97"/>
        <v>45</v>
      </c>
    </row>
    <row r="5310" spans="1:18" ht="48">
      <c r="A5310" s="55">
        <v>10782</v>
      </c>
      <c r="B5310" s="56">
        <v>42416</v>
      </c>
      <c r="C5310" s="57" t="s">
        <v>17540</v>
      </c>
      <c r="D5310" s="56">
        <v>42415</v>
      </c>
      <c r="E5310" s="57" t="s">
        <v>16785</v>
      </c>
      <c r="F5310" s="57" t="s">
        <v>27</v>
      </c>
      <c r="G5310" s="57" t="s">
        <v>20</v>
      </c>
      <c r="H5310" s="57" t="s">
        <v>71</v>
      </c>
      <c r="I5310" s="57" t="s">
        <v>21</v>
      </c>
      <c r="J5310" s="57" t="s">
        <v>16786</v>
      </c>
      <c r="K5310" s="57" t="s">
        <v>21</v>
      </c>
      <c r="L5310" s="57" t="s">
        <v>7167</v>
      </c>
      <c r="M5310" s="57" t="s">
        <v>21</v>
      </c>
      <c r="N5310" s="36"/>
      <c r="O5310" s="105">
        <v>42433</v>
      </c>
      <c r="P5310" s="57" t="s">
        <v>21</v>
      </c>
      <c r="Q5310" s="55" t="b">
        <v>0</v>
      </c>
      <c r="R5310" s="22">
        <f t="shared" si="97"/>
        <v>18</v>
      </c>
    </row>
    <row r="5311" spans="1:18" ht="32">
      <c r="A5311" s="55">
        <v>10783</v>
      </c>
      <c r="B5311" s="56">
        <v>42417</v>
      </c>
      <c r="C5311" s="57" t="s">
        <v>17547</v>
      </c>
      <c r="D5311" s="56">
        <v>42416</v>
      </c>
      <c r="E5311" s="57" t="s">
        <v>16787</v>
      </c>
      <c r="F5311" s="57" t="s">
        <v>824</v>
      </c>
      <c r="G5311" s="57" t="s">
        <v>20</v>
      </c>
      <c r="H5311" s="57" t="s">
        <v>71</v>
      </c>
      <c r="I5311" s="57" t="s">
        <v>21</v>
      </c>
      <c r="J5311" s="57" t="s">
        <v>16788</v>
      </c>
      <c r="K5311" s="57" t="s">
        <v>16747</v>
      </c>
      <c r="L5311" s="57" t="s">
        <v>14518</v>
      </c>
      <c r="M5311" s="57" t="s">
        <v>21</v>
      </c>
      <c r="N5311" s="36"/>
      <c r="O5311" s="105">
        <v>42446</v>
      </c>
      <c r="P5311" s="57" t="s">
        <v>21</v>
      </c>
      <c r="Q5311" s="55" t="b">
        <v>0</v>
      </c>
      <c r="R5311" s="22">
        <f t="shared" si="97"/>
        <v>30</v>
      </c>
    </row>
    <row r="5312" spans="1:18" ht="32">
      <c r="A5312" s="55">
        <v>10784</v>
      </c>
      <c r="B5312" s="56">
        <v>42417</v>
      </c>
      <c r="C5312" s="57" t="s">
        <v>17534</v>
      </c>
      <c r="D5312" s="56">
        <v>42416</v>
      </c>
      <c r="E5312" s="57" t="s">
        <v>38</v>
      </c>
      <c r="F5312" s="57" t="s">
        <v>1743</v>
      </c>
      <c r="G5312" s="57" t="s">
        <v>20</v>
      </c>
      <c r="H5312" s="57" t="s">
        <v>71</v>
      </c>
      <c r="I5312" s="57" t="s">
        <v>21</v>
      </c>
      <c r="J5312" s="57" t="s">
        <v>17514</v>
      </c>
      <c r="K5312" s="57" t="s">
        <v>21</v>
      </c>
      <c r="L5312" s="57" t="s">
        <v>7167</v>
      </c>
      <c r="M5312" s="57" t="s">
        <v>21</v>
      </c>
      <c r="N5312" s="36"/>
      <c r="O5312" s="105">
        <v>42431</v>
      </c>
      <c r="P5312" s="57" t="s">
        <v>21</v>
      </c>
      <c r="Q5312" s="55" t="b">
        <v>0</v>
      </c>
      <c r="R5312" s="22">
        <f t="shared" si="97"/>
        <v>15</v>
      </c>
    </row>
    <row r="5313" spans="1:18" ht="32">
      <c r="A5313" s="55">
        <v>10785</v>
      </c>
      <c r="B5313" s="56">
        <v>42417</v>
      </c>
      <c r="C5313" s="57" t="s">
        <v>17676</v>
      </c>
      <c r="D5313" s="56">
        <v>42417</v>
      </c>
      <c r="E5313" s="57" t="s">
        <v>16789</v>
      </c>
      <c r="F5313" s="57" t="s">
        <v>15525</v>
      </c>
      <c r="G5313" s="57" t="s">
        <v>20</v>
      </c>
      <c r="H5313" s="57" t="s">
        <v>71</v>
      </c>
      <c r="I5313" s="57" t="s">
        <v>21</v>
      </c>
      <c r="J5313" s="57" t="s">
        <v>16790</v>
      </c>
      <c r="K5313" s="57" t="s">
        <v>16791</v>
      </c>
      <c r="L5313" s="57" t="s">
        <v>14909</v>
      </c>
      <c r="M5313" s="57" t="s">
        <v>14411</v>
      </c>
      <c r="N5313" s="36"/>
      <c r="O5313" s="105">
        <v>42521</v>
      </c>
      <c r="P5313" s="57" t="s">
        <v>21</v>
      </c>
      <c r="Q5313" s="55" t="b">
        <v>0</v>
      </c>
      <c r="R5313" s="22">
        <f t="shared" si="97"/>
        <v>105</v>
      </c>
    </row>
    <row r="5314" spans="1:18" ht="32">
      <c r="A5314" s="55">
        <v>10786</v>
      </c>
      <c r="B5314" s="56">
        <v>42417</v>
      </c>
      <c r="C5314" s="57" t="s">
        <v>17522</v>
      </c>
      <c r="D5314" s="56">
        <v>42416</v>
      </c>
      <c r="E5314" s="57" t="s">
        <v>1928</v>
      </c>
      <c r="F5314" s="57" t="s">
        <v>1743</v>
      </c>
      <c r="G5314" s="57" t="s">
        <v>20</v>
      </c>
      <c r="H5314" s="57" t="s">
        <v>71</v>
      </c>
      <c r="I5314" s="57" t="s">
        <v>21</v>
      </c>
      <c r="J5314" s="57" t="s">
        <v>17523</v>
      </c>
      <c r="K5314" s="57" t="s">
        <v>17524</v>
      </c>
      <c r="L5314" s="57" t="s">
        <v>7167</v>
      </c>
      <c r="M5314" s="57" t="s">
        <v>21</v>
      </c>
      <c r="N5314" s="36"/>
      <c r="O5314" s="105">
        <v>42418</v>
      </c>
      <c r="P5314" s="57" t="s">
        <v>21</v>
      </c>
      <c r="Q5314" s="55" t="b">
        <v>0</v>
      </c>
      <c r="R5314" s="22">
        <f t="shared" si="97"/>
        <v>1</v>
      </c>
    </row>
    <row r="5315" spans="1:18" ht="32">
      <c r="A5315" s="55">
        <v>10787</v>
      </c>
      <c r="B5315" s="56">
        <v>42418</v>
      </c>
      <c r="C5315" s="57" t="s">
        <v>17533</v>
      </c>
      <c r="D5315" s="56">
        <v>42417</v>
      </c>
      <c r="E5315" s="57" t="s">
        <v>38</v>
      </c>
      <c r="F5315" s="57" t="s">
        <v>1743</v>
      </c>
      <c r="G5315" s="57" t="s">
        <v>20</v>
      </c>
      <c r="H5315" s="57" t="s">
        <v>71</v>
      </c>
      <c r="I5315" s="57" t="s">
        <v>21</v>
      </c>
      <c r="J5315" s="57" t="s">
        <v>17514</v>
      </c>
      <c r="K5315" s="57" t="s">
        <v>21</v>
      </c>
      <c r="L5315" s="57" t="s">
        <v>7167</v>
      </c>
      <c r="M5315" s="57" t="s">
        <v>21</v>
      </c>
      <c r="N5315" s="36"/>
      <c r="O5315" s="105">
        <v>42431</v>
      </c>
      <c r="P5315" s="57" t="s">
        <v>21</v>
      </c>
      <c r="Q5315" s="55" t="b">
        <v>0</v>
      </c>
      <c r="R5315" s="22">
        <f t="shared" si="97"/>
        <v>14</v>
      </c>
    </row>
    <row r="5316" spans="1:18" ht="32">
      <c r="A5316" s="55">
        <v>10788</v>
      </c>
      <c r="B5316" s="56">
        <v>42419</v>
      </c>
      <c r="C5316" s="57" t="s">
        <v>17690</v>
      </c>
      <c r="D5316" s="56">
        <v>42419</v>
      </c>
      <c r="E5316" s="57" t="s">
        <v>3268</v>
      </c>
      <c r="F5316" s="57" t="s">
        <v>11681</v>
      </c>
      <c r="G5316" s="57" t="s">
        <v>20</v>
      </c>
      <c r="H5316" s="57" t="s">
        <v>71</v>
      </c>
      <c r="I5316" s="57" t="s">
        <v>72</v>
      </c>
      <c r="J5316" s="57" t="s">
        <v>17691</v>
      </c>
      <c r="K5316" s="57" t="s">
        <v>17692</v>
      </c>
      <c r="L5316" s="57" t="s">
        <v>17693</v>
      </c>
      <c r="M5316" s="57" t="s">
        <v>21</v>
      </c>
      <c r="N5316" s="36"/>
      <c r="O5316" s="105">
        <v>42530</v>
      </c>
      <c r="P5316" s="57" t="s">
        <v>21</v>
      </c>
      <c r="Q5316" s="55" t="b">
        <v>0</v>
      </c>
      <c r="R5316" s="22">
        <f t="shared" si="97"/>
        <v>111</v>
      </c>
    </row>
    <row r="5317" spans="1:18" ht="32">
      <c r="A5317" s="55">
        <v>10789</v>
      </c>
      <c r="B5317" s="56">
        <v>42419</v>
      </c>
      <c r="C5317" s="57" t="s">
        <v>17694</v>
      </c>
      <c r="D5317" s="56">
        <v>42419</v>
      </c>
      <c r="E5317" s="57" t="s">
        <v>3268</v>
      </c>
      <c r="F5317" s="57" t="s">
        <v>6277</v>
      </c>
      <c r="G5317" s="57" t="s">
        <v>20</v>
      </c>
      <c r="H5317" s="57" t="s">
        <v>212</v>
      </c>
      <c r="I5317" s="57" t="s">
        <v>21</v>
      </c>
      <c r="J5317" s="57" t="s">
        <v>17695</v>
      </c>
      <c r="K5317" s="57" t="s">
        <v>17692</v>
      </c>
      <c r="L5317" s="57" t="s">
        <v>17693</v>
      </c>
      <c r="M5317" s="57" t="s">
        <v>21</v>
      </c>
      <c r="N5317" s="36"/>
      <c r="O5317" s="105">
        <v>42530</v>
      </c>
      <c r="P5317" s="57" t="s">
        <v>21</v>
      </c>
      <c r="Q5317" s="55" t="b">
        <v>0</v>
      </c>
      <c r="R5317" s="22">
        <f t="shared" si="97"/>
        <v>111</v>
      </c>
    </row>
    <row r="5318" spans="1:18" ht="32">
      <c r="A5318" s="55">
        <v>10790</v>
      </c>
      <c r="B5318" s="56">
        <v>42419</v>
      </c>
      <c r="C5318" s="57" t="s">
        <v>17696</v>
      </c>
      <c r="D5318" s="56">
        <v>42419</v>
      </c>
      <c r="E5318" s="57" t="s">
        <v>3268</v>
      </c>
      <c r="F5318" s="57" t="s">
        <v>4242</v>
      </c>
      <c r="G5318" s="57" t="s">
        <v>20</v>
      </c>
      <c r="H5318" s="57" t="s">
        <v>189</v>
      </c>
      <c r="I5318" s="57" t="s">
        <v>21</v>
      </c>
      <c r="J5318" s="57" t="s">
        <v>17697</v>
      </c>
      <c r="K5318" s="57" t="s">
        <v>17692</v>
      </c>
      <c r="L5318" s="57" t="s">
        <v>17693</v>
      </c>
      <c r="M5318" s="57" t="s">
        <v>21</v>
      </c>
      <c r="N5318" s="36"/>
      <c r="O5318" s="105">
        <v>42530</v>
      </c>
      <c r="P5318" s="57" t="s">
        <v>21</v>
      </c>
      <c r="Q5318" s="55" t="b">
        <v>0</v>
      </c>
      <c r="R5318" s="22">
        <f t="shared" si="97"/>
        <v>111</v>
      </c>
    </row>
    <row r="5319" spans="1:18" ht="32">
      <c r="A5319" s="55">
        <v>10791</v>
      </c>
      <c r="B5319" s="56">
        <v>42419</v>
      </c>
      <c r="C5319" s="57" t="s">
        <v>17698</v>
      </c>
      <c r="D5319" s="56">
        <v>42419</v>
      </c>
      <c r="E5319" s="57" t="s">
        <v>3268</v>
      </c>
      <c r="F5319" s="57" t="s">
        <v>2296</v>
      </c>
      <c r="G5319" s="57" t="s">
        <v>20</v>
      </c>
      <c r="H5319" s="57" t="s">
        <v>566</v>
      </c>
      <c r="I5319" s="57" t="s">
        <v>21</v>
      </c>
      <c r="J5319" s="57" t="s">
        <v>17699</v>
      </c>
      <c r="K5319" s="57" t="s">
        <v>17692</v>
      </c>
      <c r="L5319" s="57" t="s">
        <v>17693</v>
      </c>
      <c r="M5319" s="57" t="s">
        <v>21</v>
      </c>
      <c r="N5319" s="36"/>
      <c r="O5319" s="105">
        <v>42530</v>
      </c>
      <c r="P5319" s="57" t="s">
        <v>21</v>
      </c>
      <c r="Q5319" s="55" t="b">
        <v>0</v>
      </c>
      <c r="R5319" s="22">
        <f t="shared" si="97"/>
        <v>111</v>
      </c>
    </row>
    <row r="5320" spans="1:18" ht="32">
      <c r="A5320" s="55">
        <v>10792</v>
      </c>
      <c r="B5320" s="56">
        <v>42423</v>
      </c>
      <c r="C5320" s="57" t="s">
        <v>17532</v>
      </c>
      <c r="D5320" s="56">
        <v>42423</v>
      </c>
      <c r="E5320" s="57" t="s">
        <v>38</v>
      </c>
      <c r="F5320" s="57" t="s">
        <v>1743</v>
      </c>
      <c r="G5320" s="57" t="s">
        <v>20</v>
      </c>
      <c r="H5320" s="57" t="s">
        <v>71</v>
      </c>
      <c r="I5320" s="57" t="s">
        <v>21</v>
      </c>
      <c r="J5320" s="57" t="s">
        <v>17514</v>
      </c>
      <c r="K5320" s="57" t="s">
        <v>21</v>
      </c>
      <c r="L5320" s="57" t="s">
        <v>7167</v>
      </c>
      <c r="M5320" s="57" t="s">
        <v>21</v>
      </c>
      <c r="N5320" s="36"/>
      <c r="O5320" s="105">
        <v>42431</v>
      </c>
      <c r="P5320" s="57" t="s">
        <v>21</v>
      </c>
      <c r="Q5320" s="55" t="b">
        <v>0</v>
      </c>
      <c r="R5320" s="22">
        <f t="shared" si="97"/>
        <v>9</v>
      </c>
    </row>
    <row r="5321" spans="1:18" ht="32">
      <c r="A5321" s="55">
        <v>10793</v>
      </c>
      <c r="B5321" s="56">
        <v>42423</v>
      </c>
      <c r="C5321" s="57" t="s">
        <v>17526</v>
      </c>
      <c r="D5321" s="56">
        <v>42423</v>
      </c>
      <c r="E5321" s="57" t="s">
        <v>1928</v>
      </c>
      <c r="F5321" s="57" t="s">
        <v>1743</v>
      </c>
      <c r="G5321" s="57" t="s">
        <v>20</v>
      </c>
      <c r="H5321" s="57" t="s">
        <v>71</v>
      </c>
      <c r="I5321" s="57" t="s">
        <v>21</v>
      </c>
      <c r="J5321" s="57" t="s">
        <v>13765</v>
      </c>
      <c r="K5321" s="57" t="s">
        <v>17527</v>
      </c>
      <c r="L5321" s="57" t="s">
        <v>14909</v>
      </c>
      <c r="M5321" s="57" t="s">
        <v>21</v>
      </c>
      <c r="N5321" s="36"/>
      <c r="O5321" s="105">
        <v>42424</v>
      </c>
      <c r="P5321" s="57" t="s">
        <v>21</v>
      </c>
      <c r="Q5321" s="55" t="b">
        <v>0</v>
      </c>
      <c r="R5321" s="22">
        <f t="shared" si="97"/>
        <v>1</v>
      </c>
    </row>
    <row r="5322" spans="1:18" ht="48">
      <c r="A5322" s="55">
        <v>10794</v>
      </c>
      <c r="B5322" s="56">
        <v>42430</v>
      </c>
      <c r="C5322" s="57" t="s">
        <v>17563</v>
      </c>
      <c r="D5322" s="56">
        <v>42429</v>
      </c>
      <c r="E5322" s="57" t="s">
        <v>17564</v>
      </c>
      <c r="F5322" s="57" t="s">
        <v>19</v>
      </c>
      <c r="G5322" s="57" t="s">
        <v>20</v>
      </c>
      <c r="H5322" s="57" t="s">
        <v>71</v>
      </c>
      <c r="I5322" s="57" t="s">
        <v>21</v>
      </c>
      <c r="J5322" s="57" t="s">
        <v>17565</v>
      </c>
      <c r="K5322" s="57" t="s">
        <v>6081</v>
      </c>
      <c r="L5322" s="57" t="s">
        <v>14909</v>
      </c>
      <c r="M5322" s="57" t="s">
        <v>21</v>
      </c>
      <c r="N5322" s="36"/>
      <c r="O5322" s="105">
        <v>42459</v>
      </c>
      <c r="P5322" s="57" t="s">
        <v>21</v>
      </c>
      <c r="Q5322" s="55" t="b">
        <v>0</v>
      </c>
      <c r="R5322" s="22">
        <f t="shared" si="97"/>
        <v>29</v>
      </c>
    </row>
    <row r="5323" spans="1:18" ht="32">
      <c r="A5323" s="55">
        <v>10795</v>
      </c>
      <c r="B5323" s="56">
        <v>42431</v>
      </c>
      <c r="C5323" s="57" t="s">
        <v>17577</v>
      </c>
      <c r="D5323" s="56">
        <v>42430</v>
      </c>
      <c r="E5323" s="57" t="s">
        <v>17578</v>
      </c>
      <c r="F5323" s="57" t="s">
        <v>13422</v>
      </c>
      <c r="G5323" s="57" t="s">
        <v>20</v>
      </c>
      <c r="H5323" s="57" t="s">
        <v>71</v>
      </c>
      <c r="I5323" s="57" t="s">
        <v>21</v>
      </c>
      <c r="J5323" s="57" t="s">
        <v>17579</v>
      </c>
      <c r="K5323" s="57" t="s">
        <v>6081</v>
      </c>
      <c r="L5323" s="57" t="s">
        <v>14411</v>
      </c>
      <c r="M5323" s="57" t="s">
        <v>21</v>
      </c>
      <c r="N5323" s="36"/>
      <c r="O5323" s="105">
        <v>42467</v>
      </c>
      <c r="P5323" s="57" t="s">
        <v>21</v>
      </c>
      <c r="Q5323" s="55" t="b">
        <v>0</v>
      </c>
      <c r="R5323" s="22">
        <f t="shared" si="97"/>
        <v>35</v>
      </c>
    </row>
    <row r="5324" spans="1:18" ht="32">
      <c r="A5324" s="55">
        <v>10796</v>
      </c>
      <c r="B5324" s="56">
        <v>42431</v>
      </c>
      <c r="C5324" s="57" t="s">
        <v>17606</v>
      </c>
      <c r="D5324" s="56">
        <v>42430</v>
      </c>
      <c r="E5324" s="57" t="s">
        <v>17607</v>
      </c>
      <c r="F5324" s="57" t="s">
        <v>17608</v>
      </c>
      <c r="G5324" s="57" t="s">
        <v>20</v>
      </c>
      <c r="H5324" s="57" t="s">
        <v>212</v>
      </c>
      <c r="I5324" s="57" t="s">
        <v>21</v>
      </c>
      <c r="J5324" s="57" t="s">
        <v>17609</v>
      </c>
      <c r="K5324" s="57" t="s">
        <v>9348</v>
      </c>
      <c r="L5324" s="57" t="s">
        <v>14518</v>
      </c>
      <c r="M5324" s="57" t="s">
        <v>21</v>
      </c>
      <c r="N5324" s="36"/>
      <c r="O5324" s="105">
        <v>42481</v>
      </c>
      <c r="P5324" s="57" t="s">
        <v>21</v>
      </c>
      <c r="Q5324" s="55" t="b">
        <v>0</v>
      </c>
      <c r="R5324" s="22">
        <f t="shared" si="97"/>
        <v>49</v>
      </c>
    </row>
    <row r="5325" spans="1:18" ht="48">
      <c r="A5325" s="55">
        <v>10797</v>
      </c>
      <c r="B5325" s="56">
        <v>42432</v>
      </c>
      <c r="C5325" s="57" t="s">
        <v>17543</v>
      </c>
      <c r="D5325" s="56">
        <v>42431</v>
      </c>
      <c r="E5325" s="57" t="s">
        <v>1928</v>
      </c>
      <c r="F5325" s="57" t="s">
        <v>1743</v>
      </c>
      <c r="G5325" s="57" t="s">
        <v>20</v>
      </c>
      <c r="H5325" s="57" t="s">
        <v>71</v>
      </c>
      <c r="I5325" s="57" t="s">
        <v>21</v>
      </c>
      <c r="J5325" s="57" t="s">
        <v>17544</v>
      </c>
      <c r="K5325" s="57" t="s">
        <v>16745</v>
      </c>
      <c r="L5325" s="57" t="s">
        <v>1946</v>
      </c>
      <c r="M5325" s="57" t="s">
        <v>21</v>
      </c>
      <c r="N5325" s="36"/>
      <c r="O5325" s="105">
        <v>42443</v>
      </c>
      <c r="P5325" s="57" t="s">
        <v>21</v>
      </c>
      <c r="Q5325" s="55" t="b">
        <v>0</v>
      </c>
      <c r="R5325" s="22">
        <f t="shared" si="97"/>
        <v>11</v>
      </c>
    </row>
    <row r="5326" spans="1:18" ht="32">
      <c r="A5326" s="55">
        <v>10798</v>
      </c>
      <c r="B5326" s="56">
        <v>42432</v>
      </c>
      <c r="C5326" s="57" t="s">
        <v>17536</v>
      </c>
      <c r="D5326" s="56">
        <v>42432</v>
      </c>
      <c r="E5326" s="57" t="s">
        <v>1928</v>
      </c>
      <c r="F5326" s="57" t="s">
        <v>1743</v>
      </c>
      <c r="G5326" s="57" t="s">
        <v>20</v>
      </c>
      <c r="H5326" s="57" t="s">
        <v>71</v>
      </c>
      <c r="I5326" s="57" t="s">
        <v>21</v>
      </c>
      <c r="J5326" s="57" t="s">
        <v>17537</v>
      </c>
      <c r="K5326" s="57" t="s">
        <v>17538</v>
      </c>
      <c r="L5326" s="57" t="s">
        <v>7167</v>
      </c>
      <c r="M5326" s="57" t="s">
        <v>21</v>
      </c>
      <c r="N5326" s="36"/>
      <c r="O5326" s="105">
        <v>42433</v>
      </c>
      <c r="P5326" s="57" t="s">
        <v>21</v>
      </c>
      <c r="Q5326" s="55" t="b">
        <v>0</v>
      </c>
      <c r="R5326" s="22">
        <f t="shared" si="97"/>
        <v>1</v>
      </c>
    </row>
    <row r="5327" spans="1:18" ht="32">
      <c r="A5327" s="55">
        <v>10799</v>
      </c>
      <c r="B5327" s="56">
        <v>42440</v>
      </c>
      <c r="C5327" s="57" t="s">
        <v>17587</v>
      </c>
      <c r="D5327" s="56">
        <v>42439</v>
      </c>
      <c r="E5327" s="57" t="s">
        <v>17588</v>
      </c>
      <c r="F5327" s="57" t="s">
        <v>17589</v>
      </c>
      <c r="G5327" s="57" t="s">
        <v>20</v>
      </c>
      <c r="H5327" s="57" t="s">
        <v>71</v>
      </c>
      <c r="I5327" s="57" t="s">
        <v>21</v>
      </c>
      <c r="J5327" s="57" t="s">
        <v>17590</v>
      </c>
      <c r="K5327" s="57" t="s">
        <v>17591</v>
      </c>
      <c r="L5327" s="57" t="s">
        <v>14518</v>
      </c>
      <c r="M5327" s="57" t="s">
        <v>21</v>
      </c>
      <c r="N5327" s="36"/>
      <c r="O5327" s="105">
        <v>42474</v>
      </c>
      <c r="P5327" s="57" t="s">
        <v>21</v>
      </c>
      <c r="Q5327" s="55" t="b">
        <v>0</v>
      </c>
      <c r="R5327" s="22">
        <f t="shared" si="97"/>
        <v>33</v>
      </c>
    </row>
    <row r="5328" spans="1:18" ht="32">
      <c r="A5328" s="55">
        <v>10800</v>
      </c>
      <c r="B5328" s="56">
        <v>42440</v>
      </c>
      <c r="C5328" s="57" t="s">
        <v>17592</v>
      </c>
      <c r="D5328" s="56">
        <v>42439</v>
      </c>
      <c r="E5328" s="57" t="s">
        <v>17593</v>
      </c>
      <c r="F5328" s="57" t="s">
        <v>17589</v>
      </c>
      <c r="G5328" s="57" t="s">
        <v>20</v>
      </c>
      <c r="H5328" s="57" t="s">
        <v>71</v>
      </c>
      <c r="I5328" s="57" t="s">
        <v>21</v>
      </c>
      <c r="J5328" s="57" t="s">
        <v>17594</v>
      </c>
      <c r="K5328" s="57" t="s">
        <v>17595</v>
      </c>
      <c r="L5328" s="57" t="s">
        <v>14518</v>
      </c>
      <c r="M5328" s="57" t="s">
        <v>21</v>
      </c>
      <c r="N5328" s="36"/>
      <c r="O5328" s="105">
        <v>42474</v>
      </c>
      <c r="P5328" s="57" t="s">
        <v>21</v>
      </c>
      <c r="Q5328" s="55" t="b">
        <v>0</v>
      </c>
      <c r="R5328" s="22">
        <f t="shared" si="97"/>
        <v>33</v>
      </c>
    </row>
    <row r="5329" spans="1:19" ht="32">
      <c r="A5329" s="55">
        <v>10801</v>
      </c>
      <c r="B5329" s="56">
        <v>42443</v>
      </c>
      <c r="C5329" s="57" t="s">
        <v>17548</v>
      </c>
      <c r="D5329" s="56">
        <v>42443</v>
      </c>
      <c r="E5329" s="57" t="s">
        <v>38</v>
      </c>
      <c r="F5329" s="57" t="s">
        <v>149</v>
      </c>
      <c r="G5329" s="57" t="s">
        <v>20</v>
      </c>
      <c r="H5329" s="57" t="s">
        <v>71</v>
      </c>
      <c r="I5329" s="57" t="s">
        <v>21</v>
      </c>
      <c r="J5329" s="57" t="s">
        <v>17549</v>
      </c>
      <c r="K5329" s="57" t="s">
        <v>17550</v>
      </c>
      <c r="L5329" s="57" t="s">
        <v>14909</v>
      </c>
      <c r="M5329" s="57" t="s">
        <v>21</v>
      </c>
      <c r="N5329" s="36"/>
      <c r="O5329" s="105">
        <v>42450</v>
      </c>
      <c r="P5329" s="57" t="s">
        <v>21</v>
      </c>
      <c r="Q5329" s="55" t="b">
        <v>0</v>
      </c>
      <c r="R5329" s="22">
        <f t="shared" si="97"/>
        <v>7</v>
      </c>
    </row>
    <row r="5330" spans="1:19" ht="32">
      <c r="A5330" s="55">
        <v>10802</v>
      </c>
      <c r="B5330" s="56">
        <v>42443</v>
      </c>
      <c r="C5330" s="57" t="s">
        <v>17545</v>
      </c>
      <c r="D5330" s="56">
        <v>42443</v>
      </c>
      <c r="E5330" s="57" t="s">
        <v>1928</v>
      </c>
      <c r="F5330" s="57" t="s">
        <v>1743</v>
      </c>
      <c r="G5330" s="57" t="s">
        <v>20</v>
      </c>
      <c r="H5330" s="57" t="s">
        <v>71</v>
      </c>
      <c r="I5330" s="57" t="s">
        <v>21</v>
      </c>
      <c r="J5330" s="57" t="s">
        <v>17546</v>
      </c>
      <c r="K5330" s="57" t="s">
        <v>21</v>
      </c>
      <c r="L5330" s="57" t="s">
        <v>7167</v>
      </c>
      <c r="M5330" s="57" t="s">
        <v>21</v>
      </c>
      <c r="N5330" s="36"/>
      <c r="O5330" s="105">
        <v>42444</v>
      </c>
      <c r="P5330" s="57" t="s">
        <v>21</v>
      </c>
      <c r="Q5330" s="55" t="b">
        <v>0</v>
      </c>
      <c r="R5330" s="22">
        <f t="shared" si="97"/>
        <v>1</v>
      </c>
    </row>
    <row r="5331" spans="1:19" ht="32">
      <c r="A5331" s="55">
        <v>10803</v>
      </c>
      <c r="B5331" s="56">
        <v>42444</v>
      </c>
      <c r="C5331" s="57" t="s">
        <v>17573</v>
      </c>
      <c r="D5331" s="56">
        <v>42443</v>
      </c>
      <c r="E5331" s="57" t="s">
        <v>38</v>
      </c>
      <c r="F5331" s="57" t="s">
        <v>124</v>
      </c>
      <c r="G5331" s="57" t="s">
        <v>20</v>
      </c>
      <c r="H5331" s="57" t="s">
        <v>71</v>
      </c>
      <c r="I5331" s="57" t="s">
        <v>21</v>
      </c>
      <c r="J5331" s="57" t="s">
        <v>17574</v>
      </c>
      <c r="K5331" s="57" t="s">
        <v>21</v>
      </c>
      <c r="L5331" s="57" t="s">
        <v>14411</v>
      </c>
      <c r="M5331" s="57" t="s">
        <v>21</v>
      </c>
      <c r="N5331" s="36"/>
      <c r="O5331" s="105">
        <v>42464</v>
      </c>
      <c r="P5331" s="57" t="s">
        <v>21</v>
      </c>
      <c r="Q5331" s="55" t="b">
        <v>0</v>
      </c>
      <c r="R5331" s="22">
        <f t="shared" si="97"/>
        <v>19</v>
      </c>
    </row>
    <row r="5332" spans="1:19" ht="32">
      <c r="A5332" s="55">
        <v>10804</v>
      </c>
      <c r="B5332" s="56">
        <v>42444</v>
      </c>
      <c r="C5332" s="57" t="s">
        <v>17653</v>
      </c>
      <c r="D5332" s="56">
        <v>42444</v>
      </c>
      <c r="E5332" s="57" t="s">
        <v>17654</v>
      </c>
      <c r="F5332" s="57" t="s">
        <v>149</v>
      </c>
      <c r="G5332" s="57" t="s">
        <v>20</v>
      </c>
      <c r="H5332" s="57" t="s">
        <v>71</v>
      </c>
      <c r="I5332" s="57" t="s">
        <v>21</v>
      </c>
      <c r="J5332" s="57" t="s">
        <v>17655</v>
      </c>
      <c r="K5332" s="57" t="s">
        <v>17656</v>
      </c>
      <c r="L5332" s="57" t="s">
        <v>1946</v>
      </c>
      <c r="M5332" s="57" t="s">
        <v>21</v>
      </c>
      <c r="N5332" s="36"/>
      <c r="O5332" s="105">
        <v>42507</v>
      </c>
      <c r="P5332" s="57" t="s">
        <v>21</v>
      </c>
      <c r="Q5332" s="55" t="b">
        <v>0</v>
      </c>
      <c r="R5332" s="22">
        <f t="shared" si="97"/>
        <v>62</v>
      </c>
    </row>
    <row r="5333" spans="1:19" ht="32">
      <c r="A5333" s="55">
        <v>10805</v>
      </c>
      <c r="B5333" s="56">
        <v>42447</v>
      </c>
      <c r="C5333" s="57" t="s">
        <v>17551</v>
      </c>
      <c r="D5333" s="56">
        <v>42447</v>
      </c>
      <c r="E5333" s="57" t="s">
        <v>1928</v>
      </c>
      <c r="F5333" s="57" t="s">
        <v>1743</v>
      </c>
      <c r="G5333" s="57" t="s">
        <v>20</v>
      </c>
      <c r="H5333" s="57" t="s">
        <v>71</v>
      </c>
      <c r="I5333" s="57" t="s">
        <v>21</v>
      </c>
      <c r="J5333" s="57" t="s">
        <v>17552</v>
      </c>
      <c r="K5333" s="57" t="s">
        <v>21</v>
      </c>
      <c r="L5333" s="57" t="s">
        <v>14518</v>
      </c>
      <c r="M5333" s="57" t="s">
        <v>21</v>
      </c>
      <c r="N5333" s="36"/>
      <c r="O5333" s="105">
        <v>42451</v>
      </c>
      <c r="P5333" s="57" t="s">
        <v>21</v>
      </c>
      <c r="Q5333" s="55" t="b">
        <v>0</v>
      </c>
      <c r="R5333" s="22">
        <f t="shared" si="97"/>
        <v>4</v>
      </c>
    </row>
    <row r="5334" spans="1:19" ht="24">
      <c r="A5334" s="47">
        <v>10806</v>
      </c>
      <c r="B5334" s="48">
        <v>42447</v>
      </c>
      <c r="C5334" s="49" t="s">
        <v>18924</v>
      </c>
      <c r="D5334" s="48">
        <v>42447</v>
      </c>
      <c r="E5334" s="49" t="s">
        <v>18162</v>
      </c>
      <c r="F5334" s="49" t="s">
        <v>14118</v>
      </c>
      <c r="G5334" s="49" t="s">
        <v>20</v>
      </c>
      <c r="H5334" s="49" t="s">
        <v>71</v>
      </c>
      <c r="I5334" s="49" t="s">
        <v>21</v>
      </c>
      <c r="J5334" s="49" t="s">
        <v>18163</v>
      </c>
      <c r="K5334" s="49" t="s">
        <v>9152</v>
      </c>
      <c r="L5334" s="49" t="s">
        <v>1946</v>
      </c>
      <c r="M5334" s="49" t="s">
        <v>21</v>
      </c>
      <c r="O5334" s="104">
        <v>43763</v>
      </c>
      <c r="P5334" s="49" t="s">
        <v>21</v>
      </c>
      <c r="Q5334" s="47" t="b">
        <v>0</v>
      </c>
      <c r="R5334" s="22">
        <f t="shared" si="97"/>
        <v>1315</v>
      </c>
      <c r="S5334" s="37" t="s">
        <v>21</v>
      </c>
    </row>
    <row r="5335" spans="1:19" ht="32">
      <c r="A5335" s="55">
        <v>10807</v>
      </c>
      <c r="B5335" s="56">
        <v>42450</v>
      </c>
      <c r="C5335" s="57" t="s">
        <v>17567</v>
      </c>
      <c r="D5335" s="56">
        <v>42450</v>
      </c>
      <c r="E5335" s="57" t="s">
        <v>1928</v>
      </c>
      <c r="F5335" s="57" t="s">
        <v>1743</v>
      </c>
      <c r="G5335" s="57" t="s">
        <v>20</v>
      </c>
      <c r="H5335" s="57" t="s">
        <v>71</v>
      </c>
      <c r="I5335" s="57" t="s">
        <v>21</v>
      </c>
      <c r="J5335" s="57" t="s">
        <v>17568</v>
      </c>
      <c r="K5335" s="57" t="s">
        <v>17569</v>
      </c>
      <c r="L5335" s="57" t="s">
        <v>1946</v>
      </c>
      <c r="M5335" s="57" t="s">
        <v>21</v>
      </c>
      <c r="N5335" s="36"/>
      <c r="O5335" s="105">
        <v>42461</v>
      </c>
      <c r="P5335" s="57" t="s">
        <v>21</v>
      </c>
      <c r="Q5335" s="55" t="b">
        <v>0</v>
      </c>
      <c r="R5335" s="22">
        <f t="shared" si="97"/>
        <v>10</v>
      </c>
    </row>
    <row r="5336" spans="1:19" ht="32">
      <c r="A5336" s="55">
        <v>10808</v>
      </c>
      <c r="B5336" s="56">
        <v>42450</v>
      </c>
      <c r="C5336" s="57" t="s">
        <v>17557</v>
      </c>
      <c r="D5336" s="56">
        <v>42447</v>
      </c>
      <c r="E5336" s="57" t="s">
        <v>38</v>
      </c>
      <c r="F5336" s="57" t="s">
        <v>194</v>
      </c>
      <c r="G5336" s="57" t="s">
        <v>20</v>
      </c>
      <c r="H5336" s="57" t="s">
        <v>71</v>
      </c>
      <c r="I5336" s="57" t="s">
        <v>21</v>
      </c>
      <c r="J5336" s="57" t="s">
        <v>17558</v>
      </c>
      <c r="K5336" s="57" t="s">
        <v>17559</v>
      </c>
      <c r="L5336" s="57" t="s">
        <v>1946</v>
      </c>
      <c r="M5336" s="57" t="s">
        <v>21</v>
      </c>
      <c r="N5336" s="36"/>
      <c r="O5336" s="105">
        <v>42452</v>
      </c>
      <c r="P5336" s="57" t="s">
        <v>21</v>
      </c>
      <c r="Q5336" s="55" t="b">
        <v>0</v>
      </c>
      <c r="R5336" s="22">
        <f t="shared" si="97"/>
        <v>2</v>
      </c>
    </row>
    <row r="5337" spans="1:19" ht="32">
      <c r="A5337" s="55">
        <v>10809</v>
      </c>
      <c r="B5337" s="56">
        <v>42450</v>
      </c>
      <c r="C5337" s="57" t="s">
        <v>17560</v>
      </c>
      <c r="D5337" s="56">
        <v>42450</v>
      </c>
      <c r="E5337" s="57" t="s">
        <v>38</v>
      </c>
      <c r="F5337" s="57" t="s">
        <v>39</v>
      </c>
      <c r="G5337" s="57" t="s">
        <v>20</v>
      </c>
      <c r="H5337" s="57" t="s">
        <v>71</v>
      </c>
      <c r="I5337" s="57" t="s">
        <v>21</v>
      </c>
      <c r="J5337" s="57" t="s">
        <v>17561</v>
      </c>
      <c r="K5337" s="57" t="s">
        <v>17562</v>
      </c>
      <c r="L5337" s="57" t="s">
        <v>14349</v>
      </c>
      <c r="M5337" s="57" t="s">
        <v>21</v>
      </c>
      <c r="N5337" s="36"/>
      <c r="O5337" s="105">
        <v>42452</v>
      </c>
      <c r="P5337" s="57" t="s">
        <v>21</v>
      </c>
      <c r="Q5337" s="55" t="b">
        <v>0</v>
      </c>
      <c r="R5337" s="22">
        <f t="shared" si="97"/>
        <v>2</v>
      </c>
    </row>
    <row r="5338" spans="1:19" ht="32">
      <c r="A5338" s="55">
        <v>10810</v>
      </c>
      <c r="B5338" s="56">
        <v>42451</v>
      </c>
      <c r="C5338" s="57" t="s">
        <v>17571</v>
      </c>
      <c r="D5338" s="56">
        <v>42450</v>
      </c>
      <c r="E5338" s="57" t="s">
        <v>38</v>
      </c>
      <c r="F5338" s="57" t="s">
        <v>3519</v>
      </c>
      <c r="G5338" s="57" t="s">
        <v>20</v>
      </c>
      <c r="H5338" s="57" t="s">
        <v>566</v>
      </c>
      <c r="I5338" s="57" t="s">
        <v>21</v>
      </c>
      <c r="J5338" s="57" t="s">
        <v>17572</v>
      </c>
      <c r="K5338" s="57" t="s">
        <v>6081</v>
      </c>
      <c r="L5338" s="57" t="s">
        <v>14411</v>
      </c>
      <c r="M5338" s="57" t="s">
        <v>21</v>
      </c>
      <c r="N5338" s="36"/>
      <c r="O5338" s="105">
        <v>42464</v>
      </c>
      <c r="P5338" s="57" t="s">
        <v>21</v>
      </c>
      <c r="Q5338" s="55" t="b">
        <v>0</v>
      </c>
      <c r="R5338" s="22">
        <f t="shared" si="97"/>
        <v>12</v>
      </c>
    </row>
    <row r="5339" spans="1:19" ht="32">
      <c r="A5339" s="55">
        <v>10811</v>
      </c>
      <c r="B5339" s="56">
        <v>42451</v>
      </c>
      <c r="C5339" s="57" t="s">
        <v>17554</v>
      </c>
      <c r="D5339" s="56">
        <v>42451</v>
      </c>
      <c r="E5339" s="57" t="s">
        <v>1928</v>
      </c>
      <c r="F5339" s="57" t="s">
        <v>1743</v>
      </c>
      <c r="G5339" s="57" t="s">
        <v>20</v>
      </c>
      <c r="H5339" s="57" t="s">
        <v>71</v>
      </c>
      <c r="I5339" s="57" t="s">
        <v>21</v>
      </c>
      <c r="J5339" s="57" t="s">
        <v>17555</v>
      </c>
      <c r="K5339" s="57" t="s">
        <v>17556</v>
      </c>
      <c r="L5339" s="57" t="s">
        <v>14518</v>
      </c>
      <c r="M5339" s="57" t="s">
        <v>21</v>
      </c>
      <c r="N5339" s="36"/>
      <c r="O5339" s="105">
        <v>42452</v>
      </c>
      <c r="P5339" s="57" t="s">
        <v>21</v>
      </c>
      <c r="Q5339" s="55" t="b">
        <v>0</v>
      </c>
      <c r="R5339" s="22">
        <f t="shared" si="97"/>
        <v>1</v>
      </c>
    </row>
    <row r="5340" spans="1:19" ht="32">
      <c r="A5340" s="55">
        <v>10812</v>
      </c>
      <c r="B5340" s="56">
        <v>42451</v>
      </c>
      <c r="C5340" s="57" t="s">
        <v>18156</v>
      </c>
      <c r="D5340" s="56">
        <v>42451</v>
      </c>
      <c r="E5340" s="57" t="s">
        <v>255</v>
      </c>
      <c r="F5340" s="57" t="s">
        <v>1743</v>
      </c>
      <c r="G5340" s="57" t="s">
        <v>20</v>
      </c>
      <c r="H5340" s="57" t="s">
        <v>71</v>
      </c>
      <c r="I5340" s="57" t="s">
        <v>21</v>
      </c>
      <c r="J5340" s="57" t="s">
        <v>18157</v>
      </c>
      <c r="K5340" s="57" t="s">
        <v>18158</v>
      </c>
      <c r="L5340" s="57" t="s">
        <v>1946</v>
      </c>
      <c r="M5340" s="57" t="s">
        <v>21</v>
      </c>
      <c r="N5340" s="36"/>
      <c r="O5340" s="103"/>
      <c r="P5340" s="57" t="s">
        <v>21</v>
      </c>
      <c r="Q5340" s="55" t="b">
        <v>0</v>
      </c>
      <c r="R5340" s="112"/>
    </row>
    <row r="5341" spans="1:19" ht="32">
      <c r="A5341" s="55">
        <v>10813</v>
      </c>
      <c r="B5341" s="56">
        <v>42452</v>
      </c>
      <c r="C5341" s="57" t="s">
        <v>17583</v>
      </c>
      <c r="D5341" s="56">
        <v>42451</v>
      </c>
      <c r="E5341" s="57" t="s">
        <v>1928</v>
      </c>
      <c r="F5341" s="57" t="s">
        <v>1743</v>
      </c>
      <c r="G5341" s="57" t="s">
        <v>20</v>
      </c>
      <c r="H5341" s="57" t="s">
        <v>71</v>
      </c>
      <c r="I5341" s="57" t="s">
        <v>21</v>
      </c>
      <c r="J5341" s="57" t="s">
        <v>17584</v>
      </c>
      <c r="K5341" s="57" t="s">
        <v>17585</v>
      </c>
      <c r="L5341" s="57" t="s">
        <v>7167</v>
      </c>
      <c r="M5341" s="57" t="s">
        <v>21</v>
      </c>
      <c r="N5341" s="36"/>
      <c r="O5341" s="105">
        <v>42472</v>
      </c>
      <c r="P5341" s="57" t="s">
        <v>21</v>
      </c>
      <c r="Q5341" s="55" t="b">
        <v>0</v>
      </c>
      <c r="R5341" s="22">
        <f t="shared" ref="R5341:R5372" si="98">IF(O5341=" ", " ", INT(YEARFRAC(O5341, B5341)*365))</f>
        <v>19</v>
      </c>
    </row>
    <row r="5342" spans="1:19" ht="32">
      <c r="A5342" s="55">
        <v>10814</v>
      </c>
      <c r="B5342" s="56">
        <v>42458</v>
      </c>
      <c r="C5342" s="57" t="s">
        <v>17657</v>
      </c>
      <c r="D5342" s="56">
        <v>42457</v>
      </c>
      <c r="E5342" s="57" t="s">
        <v>17658</v>
      </c>
      <c r="F5342" s="57" t="s">
        <v>793</v>
      </c>
      <c r="G5342" s="57" t="s">
        <v>20</v>
      </c>
      <c r="H5342" s="57" t="s">
        <v>71</v>
      </c>
      <c r="I5342" s="57" t="s">
        <v>21</v>
      </c>
      <c r="J5342" s="57" t="s">
        <v>17659</v>
      </c>
      <c r="K5342" s="57" t="s">
        <v>17660</v>
      </c>
      <c r="L5342" s="57" t="s">
        <v>14518</v>
      </c>
      <c r="M5342" s="57" t="s">
        <v>21</v>
      </c>
      <c r="N5342" s="36"/>
      <c r="O5342" s="105">
        <v>42508</v>
      </c>
      <c r="P5342" s="57" t="s">
        <v>21</v>
      </c>
      <c r="Q5342" s="55" t="b">
        <v>0</v>
      </c>
      <c r="R5342" s="22">
        <f t="shared" si="98"/>
        <v>49</v>
      </c>
    </row>
    <row r="5343" spans="1:19" ht="32">
      <c r="A5343" s="55">
        <v>10815</v>
      </c>
      <c r="B5343" s="56">
        <v>42464</v>
      </c>
      <c r="C5343" s="57" t="s">
        <v>17596</v>
      </c>
      <c r="D5343" s="56">
        <v>42461</v>
      </c>
      <c r="E5343" s="57" t="s">
        <v>17597</v>
      </c>
      <c r="F5343" s="57" t="s">
        <v>52</v>
      </c>
      <c r="G5343" s="57" t="s">
        <v>20</v>
      </c>
      <c r="H5343" s="57" t="s">
        <v>189</v>
      </c>
      <c r="I5343" s="57" t="s">
        <v>21</v>
      </c>
      <c r="J5343" s="57" t="s">
        <v>17598</v>
      </c>
      <c r="K5343" s="57" t="s">
        <v>17599</v>
      </c>
      <c r="L5343" s="57" t="s">
        <v>14518</v>
      </c>
      <c r="M5343" s="57" t="s">
        <v>21</v>
      </c>
      <c r="N5343" s="36"/>
      <c r="O5343" s="105">
        <v>42474</v>
      </c>
      <c r="P5343" s="57" t="s">
        <v>21</v>
      </c>
      <c r="Q5343" s="55" t="b">
        <v>0</v>
      </c>
      <c r="R5343" s="22">
        <f t="shared" si="98"/>
        <v>10</v>
      </c>
    </row>
    <row r="5344" spans="1:19" ht="32">
      <c r="A5344" s="55">
        <v>10816</v>
      </c>
      <c r="B5344" s="56">
        <v>42465</v>
      </c>
      <c r="C5344" s="57" t="s">
        <v>17645</v>
      </c>
      <c r="D5344" s="56">
        <v>42461</v>
      </c>
      <c r="E5344" s="57" t="s">
        <v>17646</v>
      </c>
      <c r="F5344" s="57" t="s">
        <v>194</v>
      </c>
      <c r="G5344" s="57" t="s">
        <v>20</v>
      </c>
      <c r="H5344" s="57" t="s">
        <v>71</v>
      </c>
      <c r="I5344" s="57" t="s">
        <v>21</v>
      </c>
      <c r="J5344" s="57" t="s">
        <v>17647</v>
      </c>
      <c r="K5344" s="57" t="s">
        <v>9348</v>
      </c>
      <c r="L5344" s="57" t="s">
        <v>4282</v>
      </c>
      <c r="M5344" s="57" t="s">
        <v>21</v>
      </c>
      <c r="N5344" s="36"/>
      <c r="O5344" s="105">
        <v>42503</v>
      </c>
      <c r="P5344" s="57" t="s">
        <v>21</v>
      </c>
      <c r="Q5344" s="55" t="b">
        <v>0</v>
      </c>
      <c r="R5344" s="22">
        <f t="shared" si="98"/>
        <v>38</v>
      </c>
    </row>
    <row r="5345" spans="1:19" ht="32">
      <c r="A5345" s="55">
        <v>10817</v>
      </c>
      <c r="B5345" s="56">
        <v>42467</v>
      </c>
      <c r="C5345" s="57" t="s">
        <v>17580</v>
      </c>
      <c r="D5345" s="56">
        <v>42466</v>
      </c>
      <c r="E5345" s="57" t="s">
        <v>1928</v>
      </c>
      <c r="F5345" s="57" t="s">
        <v>1743</v>
      </c>
      <c r="G5345" s="57" t="s">
        <v>20</v>
      </c>
      <c r="H5345" s="57" t="s">
        <v>71</v>
      </c>
      <c r="I5345" s="57" t="s">
        <v>21</v>
      </c>
      <c r="J5345" s="57" t="s">
        <v>17581</v>
      </c>
      <c r="K5345" s="57" t="s">
        <v>17582</v>
      </c>
      <c r="L5345" s="57" t="s">
        <v>7167</v>
      </c>
      <c r="M5345" s="57" t="s">
        <v>21</v>
      </c>
      <c r="N5345" s="36"/>
      <c r="O5345" s="105">
        <v>42472</v>
      </c>
      <c r="P5345" s="57" t="s">
        <v>21</v>
      </c>
      <c r="Q5345" s="55" t="b">
        <v>0</v>
      </c>
      <c r="R5345" s="22">
        <f t="shared" si="98"/>
        <v>5</v>
      </c>
    </row>
    <row r="5346" spans="1:19" ht="24">
      <c r="A5346" s="50">
        <v>10818</v>
      </c>
      <c r="B5346" s="51">
        <v>42473</v>
      </c>
      <c r="C5346" s="52" t="s">
        <v>18925</v>
      </c>
      <c r="D5346" s="51">
        <v>42472</v>
      </c>
      <c r="E5346" s="52" t="s">
        <v>18155</v>
      </c>
      <c r="F5346" s="52" t="s">
        <v>16198</v>
      </c>
      <c r="G5346" s="52" t="s">
        <v>20</v>
      </c>
      <c r="H5346" s="52" t="s">
        <v>71</v>
      </c>
      <c r="I5346" s="52" t="s">
        <v>21</v>
      </c>
      <c r="J5346" s="52" t="s">
        <v>18153</v>
      </c>
      <c r="K5346" s="52" t="s">
        <v>6081</v>
      </c>
      <c r="L5346" s="52" t="s">
        <v>1946</v>
      </c>
      <c r="M5346" s="52" t="s">
        <v>21</v>
      </c>
      <c r="O5346" s="104">
        <v>43301</v>
      </c>
      <c r="P5346" s="53" t="s">
        <v>21</v>
      </c>
      <c r="Q5346" s="54" t="b">
        <v>0</v>
      </c>
      <c r="R5346" s="22">
        <f t="shared" si="98"/>
        <v>828</v>
      </c>
    </row>
    <row r="5347" spans="1:19" ht="24">
      <c r="A5347" s="50">
        <v>10819</v>
      </c>
      <c r="B5347" s="51">
        <v>42473</v>
      </c>
      <c r="C5347" s="52" t="s">
        <v>18926</v>
      </c>
      <c r="D5347" s="51">
        <v>42472</v>
      </c>
      <c r="E5347" s="52" t="s">
        <v>18154</v>
      </c>
      <c r="F5347" s="52" t="s">
        <v>1159</v>
      </c>
      <c r="G5347" s="52" t="s">
        <v>20</v>
      </c>
      <c r="H5347" s="52" t="s">
        <v>71</v>
      </c>
      <c r="I5347" s="52" t="s">
        <v>21</v>
      </c>
      <c r="J5347" s="52" t="s">
        <v>18153</v>
      </c>
      <c r="K5347" s="52" t="s">
        <v>6081</v>
      </c>
      <c r="L5347" s="52" t="s">
        <v>1946</v>
      </c>
      <c r="M5347" s="52" t="s">
        <v>21</v>
      </c>
      <c r="O5347" s="104">
        <v>43278</v>
      </c>
      <c r="P5347" s="53" t="s">
        <v>21</v>
      </c>
      <c r="Q5347" s="54" t="b">
        <v>0</v>
      </c>
      <c r="R5347" s="22">
        <f t="shared" si="98"/>
        <v>805</v>
      </c>
    </row>
    <row r="5348" spans="1:19" ht="24">
      <c r="A5348" s="50">
        <v>10820</v>
      </c>
      <c r="B5348" s="51">
        <v>42473</v>
      </c>
      <c r="C5348" s="52" t="s">
        <v>18927</v>
      </c>
      <c r="D5348" s="51">
        <v>42472</v>
      </c>
      <c r="E5348" s="52" t="s">
        <v>18152</v>
      </c>
      <c r="F5348" s="52" t="s">
        <v>5620</v>
      </c>
      <c r="G5348" s="52" t="s">
        <v>20</v>
      </c>
      <c r="H5348" s="52" t="s">
        <v>71</v>
      </c>
      <c r="I5348" s="52" t="s">
        <v>21</v>
      </c>
      <c r="J5348" s="52" t="s">
        <v>18153</v>
      </c>
      <c r="K5348" s="52" t="s">
        <v>6081</v>
      </c>
      <c r="L5348" s="52" t="s">
        <v>1946</v>
      </c>
      <c r="M5348" s="52" t="s">
        <v>21</v>
      </c>
      <c r="O5348" s="104">
        <v>43278</v>
      </c>
      <c r="P5348" s="53" t="s">
        <v>21</v>
      </c>
      <c r="Q5348" s="54" t="b">
        <v>0</v>
      </c>
      <c r="R5348" s="22">
        <f t="shared" si="98"/>
        <v>805</v>
      </c>
    </row>
    <row r="5349" spans="1:19" ht="32">
      <c r="A5349" s="55">
        <v>10821</v>
      </c>
      <c r="B5349" s="56">
        <v>42474</v>
      </c>
      <c r="C5349" s="57" t="s">
        <v>17603</v>
      </c>
      <c r="D5349" s="56">
        <v>42473</v>
      </c>
      <c r="E5349" s="57" t="s">
        <v>17604</v>
      </c>
      <c r="F5349" s="57" t="s">
        <v>861</v>
      </c>
      <c r="G5349" s="57" t="s">
        <v>20</v>
      </c>
      <c r="H5349" s="57" t="s">
        <v>566</v>
      </c>
      <c r="I5349" s="57" t="s">
        <v>21</v>
      </c>
      <c r="J5349" s="57" t="s">
        <v>17605</v>
      </c>
      <c r="K5349" s="57" t="s">
        <v>9348</v>
      </c>
      <c r="L5349" s="57" t="s">
        <v>14518</v>
      </c>
      <c r="M5349" s="57" t="s">
        <v>21</v>
      </c>
      <c r="N5349" s="36"/>
      <c r="O5349" s="105">
        <v>42479</v>
      </c>
      <c r="P5349" s="57" t="s">
        <v>21</v>
      </c>
      <c r="Q5349" s="55" t="b">
        <v>0</v>
      </c>
      <c r="R5349" s="22">
        <f t="shared" si="98"/>
        <v>5</v>
      </c>
    </row>
    <row r="5350" spans="1:19" ht="32">
      <c r="A5350" s="55">
        <v>10822</v>
      </c>
      <c r="B5350" s="56">
        <v>42478</v>
      </c>
      <c r="C5350" s="57" t="s">
        <v>17601</v>
      </c>
      <c r="D5350" s="56">
        <v>42478</v>
      </c>
      <c r="E5350" s="57" t="s">
        <v>1928</v>
      </c>
      <c r="F5350" s="57" t="s">
        <v>1743</v>
      </c>
      <c r="G5350" s="57" t="s">
        <v>20</v>
      </c>
      <c r="H5350" s="57" t="s">
        <v>71</v>
      </c>
      <c r="I5350" s="57" t="s">
        <v>21</v>
      </c>
      <c r="J5350" s="57" t="s">
        <v>17602</v>
      </c>
      <c r="K5350" s="57" t="s">
        <v>14004</v>
      </c>
      <c r="L5350" s="57" t="s">
        <v>1946</v>
      </c>
      <c r="M5350" s="57" t="s">
        <v>21</v>
      </c>
      <c r="N5350" s="36"/>
      <c r="O5350" s="105">
        <v>42478</v>
      </c>
      <c r="P5350" s="57" t="s">
        <v>21</v>
      </c>
      <c r="Q5350" s="55" t="b">
        <v>0</v>
      </c>
      <c r="R5350" s="22">
        <f t="shared" si="98"/>
        <v>0</v>
      </c>
    </row>
    <row r="5351" spans="1:19" ht="32">
      <c r="A5351" s="55">
        <v>10823</v>
      </c>
      <c r="B5351" s="56">
        <v>42478</v>
      </c>
      <c r="C5351" s="57" t="s">
        <v>17601</v>
      </c>
      <c r="D5351" s="56">
        <v>42478</v>
      </c>
      <c r="E5351" s="57" t="s">
        <v>17714</v>
      </c>
      <c r="F5351" s="57" t="s">
        <v>15525</v>
      </c>
      <c r="G5351" s="57" t="s">
        <v>20</v>
      </c>
      <c r="H5351" s="57" t="s">
        <v>71</v>
      </c>
      <c r="I5351" s="57" t="s">
        <v>21</v>
      </c>
      <c r="J5351" s="57" t="s">
        <v>17715</v>
      </c>
      <c r="K5351" s="57" t="s">
        <v>6081</v>
      </c>
      <c r="L5351" s="57" t="s">
        <v>14909</v>
      </c>
      <c r="M5351" s="57" t="s">
        <v>21</v>
      </c>
      <c r="N5351" s="36"/>
      <c r="O5351" s="105">
        <v>42542</v>
      </c>
      <c r="P5351" s="57" t="s">
        <v>21</v>
      </c>
      <c r="Q5351" s="55" t="b">
        <v>0</v>
      </c>
      <c r="R5351" s="22">
        <f t="shared" si="98"/>
        <v>63</v>
      </c>
    </row>
    <row r="5352" spans="1:19">
      <c r="A5352" s="50">
        <v>10824</v>
      </c>
      <c r="B5352" s="51">
        <v>42479</v>
      </c>
      <c r="C5352" s="52" t="s">
        <v>18928</v>
      </c>
      <c r="D5352" s="51">
        <v>42478</v>
      </c>
      <c r="E5352" s="52" t="s">
        <v>18150</v>
      </c>
      <c r="F5352" s="52" t="s">
        <v>52</v>
      </c>
      <c r="G5352" s="52" t="s">
        <v>20</v>
      </c>
      <c r="H5352" s="52" t="s">
        <v>71</v>
      </c>
      <c r="I5352" s="52" t="s">
        <v>21</v>
      </c>
      <c r="J5352" s="52" t="s">
        <v>18151</v>
      </c>
      <c r="K5352" s="52" t="s">
        <v>16729</v>
      </c>
      <c r="L5352" s="52" t="s">
        <v>14909</v>
      </c>
      <c r="M5352" s="52" t="s">
        <v>21</v>
      </c>
      <c r="O5352" s="104">
        <v>43333</v>
      </c>
      <c r="P5352" s="53" t="s">
        <v>21</v>
      </c>
      <c r="Q5352" s="54" t="b">
        <v>0</v>
      </c>
      <c r="R5352" s="22">
        <f t="shared" si="98"/>
        <v>853</v>
      </c>
    </row>
    <row r="5353" spans="1:19" ht="32">
      <c r="A5353" s="55">
        <v>10825</v>
      </c>
      <c r="B5353" s="56">
        <v>42480</v>
      </c>
      <c r="C5353" s="57" t="s">
        <v>17761</v>
      </c>
      <c r="D5353" s="56">
        <v>42479</v>
      </c>
      <c r="E5353" s="57" t="s">
        <v>38</v>
      </c>
      <c r="F5353" s="57" t="s">
        <v>13422</v>
      </c>
      <c r="G5353" s="57" t="s">
        <v>20</v>
      </c>
      <c r="H5353" s="57" t="s">
        <v>71</v>
      </c>
      <c r="I5353" s="57" t="s">
        <v>21</v>
      </c>
      <c r="J5353" s="57" t="s">
        <v>17762</v>
      </c>
      <c r="K5353" s="57" t="s">
        <v>17763</v>
      </c>
      <c r="L5353" s="57" t="s">
        <v>14518</v>
      </c>
      <c r="M5353" s="57" t="s">
        <v>21</v>
      </c>
      <c r="N5353" s="36"/>
      <c r="O5353" s="105">
        <v>42571</v>
      </c>
      <c r="P5353" s="57" t="s">
        <v>21</v>
      </c>
      <c r="Q5353" s="55" t="b">
        <v>0</v>
      </c>
      <c r="R5353" s="22">
        <f t="shared" si="98"/>
        <v>91</v>
      </c>
    </row>
    <row r="5354" spans="1:19" ht="32">
      <c r="A5354" s="55">
        <v>10826</v>
      </c>
      <c r="B5354" s="56">
        <v>42481</v>
      </c>
      <c r="C5354" s="57" t="s">
        <v>17666</v>
      </c>
      <c r="D5354" s="56">
        <v>42480</v>
      </c>
      <c r="E5354" s="57" t="s">
        <v>38</v>
      </c>
      <c r="F5354" s="57" t="s">
        <v>124</v>
      </c>
      <c r="G5354" s="57" t="s">
        <v>20</v>
      </c>
      <c r="H5354" s="57" t="s">
        <v>71</v>
      </c>
      <c r="I5354" s="57" t="s">
        <v>21</v>
      </c>
      <c r="J5354" s="57" t="s">
        <v>17667</v>
      </c>
      <c r="K5354" s="57" t="s">
        <v>6081</v>
      </c>
      <c r="L5354" s="57" t="s">
        <v>14518</v>
      </c>
      <c r="M5354" s="57" t="s">
        <v>21</v>
      </c>
      <c r="N5354" s="36"/>
      <c r="O5354" s="105">
        <v>42509</v>
      </c>
      <c r="P5354" s="57" t="s">
        <v>21</v>
      </c>
      <c r="Q5354" s="55" t="b">
        <v>0</v>
      </c>
      <c r="R5354" s="22">
        <f t="shared" si="98"/>
        <v>28</v>
      </c>
    </row>
    <row r="5355" spans="1:19" ht="32">
      <c r="A5355" s="55">
        <v>10827</v>
      </c>
      <c r="B5355" s="56">
        <v>42482</v>
      </c>
      <c r="C5355" s="57" t="s">
        <v>17668</v>
      </c>
      <c r="D5355" s="56">
        <v>42481</v>
      </c>
      <c r="E5355" s="57" t="s">
        <v>17669</v>
      </c>
      <c r="F5355" s="57" t="s">
        <v>3519</v>
      </c>
      <c r="G5355" s="57" t="s">
        <v>20</v>
      </c>
      <c r="H5355" s="57" t="s">
        <v>566</v>
      </c>
      <c r="I5355" s="57" t="s">
        <v>21</v>
      </c>
      <c r="J5355" s="57" t="s">
        <v>17572</v>
      </c>
      <c r="K5355" s="57" t="s">
        <v>6081</v>
      </c>
      <c r="L5355" s="57" t="s">
        <v>14518</v>
      </c>
      <c r="M5355" s="57" t="s">
        <v>21</v>
      </c>
      <c r="N5355" s="36"/>
      <c r="O5355" s="105">
        <v>42509</v>
      </c>
      <c r="P5355" s="57" t="s">
        <v>21</v>
      </c>
      <c r="Q5355" s="55" t="b">
        <v>0</v>
      </c>
      <c r="R5355" s="22">
        <f t="shared" si="98"/>
        <v>27</v>
      </c>
    </row>
    <row r="5356" spans="1:19">
      <c r="A5356" s="47">
        <v>10828</v>
      </c>
      <c r="B5356" s="48">
        <v>42482</v>
      </c>
      <c r="C5356" s="49" t="s">
        <v>18929</v>
      </c>
      <c r="D5356" s="48">
        <v>42482</v>
      </c>
      <c r="E5356" s="49" t="s">
        <v>18189</v>
      </c>
      <c r="F5356" s="49" t="s">
        <v>5620</v>
      </c>
      <c r="G5356" s="49" t="s">
        <v>20</v>
      </c>
      <c r="H5356" s="49" t="s">
        <v>71</v>
      </c>
      <c r="I5356" s="49" t="s">
        <v>21</v>
      </c>
      <c r="J5356" s="49" t="s">
        <v>1405</v>
      </c>
      <c r="K5356" s="49" t="s">
        <v>9348</v>
      </c>
      <c r="L5356" s="49" t="s">
        <v>4282</v>
      </c>
      <c r="M5356" s="49" t="s">
        <v>21</v>
      </c>
      <c r="O5356" s="104">
        <v>43579</v>
      </c>
      <c r="P5356" s="49" t="s">
        <v>21</v>
      </c>
      <c r="Q5356" s="47" t="b">
        <v>0</v>
      </c>
      <c r="R5356" s="22">
        <f t="shared" si="98"/>
        <v>1097</v>
      </c>
      <c r="S5356" s="37" t="s">
        <v>21</v>
      </c>
    </row>
    <row r="5357" spans="1:19" ht="32">
      <c r="A5357" s="55">
        <v>10829</v>
      </c>
      <c r="B5357" s="56">
        <v>42485</v>
      </c>
      <c r="C5357" s="57" t="s">
        <v>17623</v>
      </c>
      <c r="D5357" s="56">
        <v>42484</v>
      </c>
      <c r="E5357" s="57" t="s">
        <v>1928</v>
      </c>
      <c r="F5357" s="57" t="s">
        <v>1743</v>
      </c>
      <c r="G5357" s="57" t="s">
        <v>20</v>
      </c>
      <c r="H5357" s="57" t="s">
        <v>71</v>
      </c>
      <c r="I5357" s="57" t="s">
        <v>21</v>
      </c>
      <c r="J5357" s="57" t="s">
        <v>17624</v>
      </c>
      <c r="K5357" s="57" t="s">
        <v>21</v>
      </c>
      <c r="L5357" s="57" t="s">
        <v>1946</v>
      </c>
      <c r="M5357" s="57" t="s">
        <v>21</v>
      </c>
      <c r="N5357" s="36"/>
      <c r="O5357" s="105">
        <v>42485</v>
      </c>
      <c r="P5357" s="57" t="s">
        <v>21</v>
      </c>
      <c r="Q5357" s="55" t="b">
        <v>0</v>
      </c>
      <c r="R5357" s="22">
        <f t="shared" si="98"/>
        <v>0</v>
      </c>
    </row>
    <row r="5358" spans="1:19" ht="32">
      <c r="A5358" s="55">
        <v>10830</v>
      </c>
      <c r="B5358" s="56">
        <v>42485</v>
      </c>
      <c r="C5358" s="57" t="s">
        <v>17642</v>
      </c>
      <c r="D5358" s="56">
        <v>42483</v>
      </c>
      <c r="E5358" s="57" t="s">
        <v>17643</v>
      </c>
      <c r="F5358" s="57" t="s">
        <v>149</v>
      </c>
      <c r="G5358" s="57" t="s">
        <v>20</v>
      </c>
      <c r="H5358" s="57" t="s">
        <v>71</v>
      </c>
      <c r="I5358" s="57" t="s">
        <v>21</v>
      </c>
      <c r="J5358" s="57" t="s">
        <v>17644</v>
      </c>
      <c r="K5358" s="57" t="s">
        <v>6081</v>
      </c>
      <c r="L5358" s="57" t="s">
        <v>14909</v>
      </c>
      <c r="M5358" s="57" t="s">
        <v>21</v>
      </c>
      <c r="N5358" s="36"/>
      <c r="O5358" s="105">
        <v>42502</v>
      </c>
      <c r="P5358" s="57" t="s">
        <v>21</v>
      </c>
      <c r="Q5358" s="55" t="b">
        <v>0</v>
      </c>
      <c r="R5358" s="22">
        <f t="shared" si="98"/>
        <v>17</v>
      </c>
    </row>
    <row r="5359" spans="1:19">
      <c r="A5359" s="50">
        <v>10831</v>
      </c>
      <c r="B5359" s="51">
        <v>42492</v>
      </c>
      <c r="C5359" s="52" t="s">
        <v>18930</v>
      </c>
      <c r="D5359" s="51">
        <v>42492</v>
      </c>
      <c r="E5359" s="52" t="s">
        <v>18164</v>
      </c>
      <c r="F5359" s="52" t="s">
        <v>1771</v>
      </c>
      <c r="G5359" s="52" t="s">
        <v>20</v>
      </c>
      <c r="H5359" s="52" t="s">
        <v>189</v>
      </c>
      <c r="I5359" s="52" t="s">
        <v>21</v>
      </c>
      <c r="J5359" s="52" t="s">
        <v>18165</v>
      </c>
      <c r="K5359" s="52" t="s">
        <v>18166</v>
      </c>
      <c r="L5359" s="52" t="s">
        <v>14518</v>
      </c>
      <c r="M5359" s="52" t="s">
        <v>21</v>
      </c>
      <c r="O5359" s="104">
        <v>43311</v>
      </c>
      <c r="P5359" s="53" t="s">
        <v>21</v>
      </c>
      <c r="Q5359" s="54" t="b">
        <v>0</v>
      </c>
      <c r="R5359" s="22">
        <f t="shared" si="98"/>
        <v>819</v>
      </c>
    </row>
    <row r="5360" spans="1:19" ht="32">
      <c r="A5360" s="55">
        <v>10832</v>
      </c>
      <c r="B5360" s="56">
        <v>42494</v>
      </c>
      <c r="C5360" s="57" t="s">
        <v>17757</v>
      </c>
      <c r="D5360" s="56">
        <v>42493</v>
      </c>
      <c r="E5360" s="57" t="s">
        <v>17758</v>
      </c>
      <c r="F5360" s="57" t="s">
        <v>1771</v>
      </c>
      <c r="G5360" s="57" t="s">
        <v>20</v>
      </c>
      <c r="H5360" s="57" t="s">
        <v>71</v>
      </c>
      <c r="I5360" s="57" t="s">
        <v>21</v>
      </c>
      <c r="J5360" s="57" t="s">
        <v>17759</v>
      </c>
      <c r="K5360" s="57" t="s">
        <v>17760</v>
      </c>
      <c r="L5360" s="57" t="s">
        <v>14518</v>
      </c>
      <c r="M5360" s="57" t="s">
        <v>21</v>
      </c>
      <c r="N5360" s="36"/>
      <c r="O5360" s="105">
        <v>42571</v>
      </c>
      <c r="P5360" s="57" t="s">
        <v>21</v>
      </c>
      <c r="Q5360" s="55" t="b">
        <v>0</v>
      </c>
      <c r="R5360" s="22">
        <f t="shared" si="98"/>
        <v>77</v>
      </c>
    </row>
    <row r="5361" spans="1:19" ht="32">
      <c r="A5361" s="55">
        <v>10833</v>
      </c>
      <c r="B5361" s="56">
        <v>42494</v>
      </c>
      <c r="C5361" s="57" t="s">
        <v>17639</v>
      </c>
      <c r="D5361" s="56">
        <v>42494</v>
      </c>
      <c r="E5361" s="57" t="s">
        <v>1928</v>
      </c>
      <c r="F5361" s="57" t="s">
        <v>1743</v>
      </c>
      <c r="G5361" s="57" t="s">
        <v>20</v>
      </c>
      <c r="H5361" s="57" t="s">
        <v>71</v>
      </c>
      <c r="I5361" s="57" t="s">
        <v>21</v>
      </c>
      <c r="J5361" s="57" t="s">
        <v>17640</v>
      </c>
      <c r="K5361" s="57" t="s">
        <v>17641</v>
      </c>
      <c r="L5361" s="57" t="s">
        <v>3271</v>
      </c>
      <c r="M5361" s="57" t="s">
        <v>21</v>
      </c>
      <c r="N5361" s="36"/>
      <c r="O5361" s="105">
        <v>42500</v>
      </c>
      <c r="P5361" s="57" t="s">
        <v>21</v>
      </c>
      <c r="Q5361" s="55" t="b">
        <v>0</v>
      </c>
      <c r="R5361" s="22">
        <f t="shared" si="98"/>
        <v>6</v>
      </c>
    </row>
    <row r="5362" spans="1:19">
      <c r="A5362" s="47">
        <v>10834</v>
      </c>
      <c r="B5362" s="48">
        <v>42496</v>
      </c>
      <c r="C5362" s="49" t="s">
        <v>18931</v>
      </c>
      <c r="D5362" s="48">
        <v>42496</v>
      </c>
      <c r="E5362" s="49" t="s">
        <v>18171</v>
      </c>
      <c r="F5362" s="49" t="s">
        <v>8428</v>
      </c>
      <c r="G5362" s="49" t="s">
        <v>20</v>
      </c>
      <c r="H5362" s="49" t="s">
        <v>71</v>
      </c>
      <c r="I5362" s="49" t="s">
        <v>21</v>
      </c>
      <c r="J5362" s="49" t="s">
        <v>18172</v>
      </c>
      <c r="K5362" s="49" t="s">
        <v>9348</v>
      </c>
      <c r="L5362" s="49" t="s">
        <v>4282</v>
      </c>
      <c r="M5362" s="49" t="s">
        <v>21</v>
      </c>
      <c r="O5362" s="104">
        <v>43518</v>
      </c>
      <c r="P5362" s="49" t="s">
        <v>21</v>
      </c>
      <c r="Q5362" s="47" t="b">
        <v>0</v>
      </c>
      <c r="R5362" s="22">
        <f t="shared" si="98"/>
        <v>1019</v>
      </c>
      <c r="S5362" s="37" t="s">
        <v>21</v>
      </c>
    </row>
    <row r="5363" spans="1:19" ht="24">
      <c r="A5363" s="50">
        <v>10835</v>
      </c>
      <c r="B5363" s="51">
        <v>42499</v>
      </c>
      <c r="C5363" s="52" t="s">
        <v>18932</v>
      </c>
      <c r="D5363" s="51">
        <v>42499</v>
      </c>
      <c r="E5363" s="52" t="s">
        <v>18206</v>
      </c>
      <c r="F5363" s="52" t="s">
        <v>15525</v>
      </c>
      <c r="G5363" s="52" t="s">
        <v>20</v>
      </c>
      <c r="H5363" s="52" t="s">
        <v>71</v>
      </c>
      <c r="I5363" s="52" t="s">
        <v>21</v>
      </c>
      <c r="J5363" s="52" t="s">
        <v>18207</v>
      </c>
      <c r="K5363" s="52" t="s">
        <v>9348</v>
      </c>
      <c r="L5363" s="52" t="s">
        <v>14909</v>
      </c>
      <c r="M5363" s="52" t="s">
        <v>21</v>
      </c>
      <c r="O5363" s="104">
        <v>43371</v>
      </c>
      <c r="P5363" s="53" t="s">
        <v>21</v>
      </c>
      <c r="Q5363" s="54" t="b">
        <v>0</v>
      </c>
      <c r="R5363" s="22">
        <f t="shared" si="98"/>
        <v>870</v>
      </c>
    </row>
    <row r="5364" spans="1:19">
      <c r="A5364" s="50">
        <v>10836</v>
      </c>
      <c r="B5364" s="51">
        <v>42499</v>
      </c>
      <c r="C5364" s="52" t="s">
        <v>18933</v>
      </c>
      <c r="D5364" s="51">
        <v>42499</v>
      </c>
      <c r="E5364" s="52" t="s">
        <v>18204</v>
      </c>
      <c r="F5364" s="52" t="s">
        <v>15525</v>
      </c>
      <c r="G5364" s="52" t="s">
        <v>20</v>
      </c>
      <c r="H5364" s="52" t="s">
        <v>71</v>
      </c>
      <c r="I5364" s="52" t="s">
        <v>21</v>
      </c>
      <c r="J5364" s="52" t="s">
        <v>18205</v>
      </c>
      <c r="K5364" s="52" t="s">
        <v>9348</v>
      </c>
      <c r="L5364" s="52" t="s">
        <v>14909</v>
      </c>
      <c r="M5364" s="52" t="s">
        <v>21</v>
      </c>
      <c r="O5364" s="104">
        <v>43371</v>
      </c>
      <c r="P5364" s="53" t="s">
        <v>21</v>
      </c>
      <c r="Q5364" s="54" t="b">
        <v>0</v>
      </c>
      <c r="R5364" s="22">
        <f t="shared" si="98"/>
        <v>870</v>
      </c>
    </row>
    <row r="5365" spans="1:19">
      <c r="A5365" s="50">
        <v>10837</v>
      </c>
      <c r="B5365" s="51">
        <v>42499</v>
      </c>
      <c r="C5365" s="52" t="s">
        <v>18934</v>
      </c>
      <c r="D5365" s="51">
        <v>42499</v>
      </c>
      <c r="E5365" s="52" t="s">
        <v>18202</v>
      </c>
      <c r="F5365" s="52" t="s">
        <v>15525</v>
      </c>
      <c r="G5365" s="52" t="s">
        <v>20</v>
      </c>
      <c r="H5365" s="52" t="s">
        <v>71</v>
      </c>
      <c r="I5365" s="52" t="s">
        <v>21</v>
      </c>
      <c r="J5365" s="52" t="s">
        <v>18203</v>
      </c>
      <c r="K5365" s="52" t="s">
        <v>9348</v>
      </c>
      <c r="L5365" s="52" t="s">
        <v>14909</v>
      </c>
      <c r="M5365" s="52" t="s">
        <v>21</v>
      </c>
      <c r="O5365" s="104">
        <v>43384</v>
      </c>
      <c r="P5365" s="53" t="s">
        <v>21</v>
      </c>
      <c r="Q5365" s="54" t="b">
        <v>0</v>
      </c>
      <c r="R5365" s="22">
        <f t="shared" si="98"/>
        <v>884</v>
      </c>
    </row>
    <row r="5366" spans="1:19" ht="32">
      <c r="A5366" s="55">
        <v>10838</v>
      </c>
      <c r="B5366" s="56">
        <v>42499</v>
      </c>
      <c r="C5366" s="57" t="s">
        <v>17849</v>
      </c>
      <c r="D5366" s="56">
        <v>42499</v>
      </c>
      <c r="E5366" s="57" t="s">
        <v>17850</v>
      </c>
      <c r="F5366" s="57" t="s">
        <v>15525</v>
      </c>
      <c r="G5366" s="57" t="s">
        <v>20</v>
      </c>
      <c r="H5366" s="57" t="s">
        <v>71</v>
      </c>
      <c r="I5366" s="57" t="s">
        <v>21</v>
      </c>
      <c r="J5366" s="57" t="s">
        <v>17851</v>
      </c>
      <c r="K5366" s="57" t="s">
        <v>6081</v>
      </c>
      <c r="L5366" s="57" t="s">
        <v>14909</v>
      </c>
      <c r="M5366" s="57" t="s">
        <v>21</v>
      </c>
      <c r="N5366" s="36"/>
      <c r="O5366" s="105">
        <v>42619</v>
      </c>
      <c r="P5366" s="57" t="s">
        <v>21</v>
      </c>
      <c r="Q5366" s="55" t="b">
        <v>0</v>
      </c>
      <c r="R5366" s="22">
        <f t="shared" si="98"/>
        <v>118</v>
      </c>
    </row>
    <row r="5367" spans="1:19" ht="32">
      <c r="A5367" s="55">
        <v>10839</v>
      </c>
      <c r="B5367" s="56">
        <v>42499</v>
      </c>
      <c r="C5367" s="57" t="s">
        <v>17778</v>
      </c>
      <c r="D5367" s="56">
        <v>42499</v>
      </c>
      <c r="E5367" s="57" t="s">
        <v>17779</v>
      </c>
      <c r="F5367" s="57" t="s">
        <v>15525</v>
      </c>
      <c r="G5367" s="57" t="s">
        <v>20</v>
      </c>
      <c r="H5367" s="57" t="s">
        <v>71</v>
      </c>
      <c r="I5367" s="57" t="s">
        <v>21</v>
      </c>
      <c r="J5367" s="57" t="s">
        <v>17780</v>
      </c>
      <c r="K5367" s="57" t="s">
        <v>6081</v>
      </c>
      <c r="L5367" s="57" t="s">
        <v>14909</v>
      </c>
      <c r="M5367" s="57" t="s">
        <v>21</v>
      </c>
      <c r="N5367" s="36"/>
      <c r="O5367" s="105">
        <v>42580</v>
      </c>
      <c r="P5367" s="57" t="s">
        <v>21</v>
      </c>
      <c r="Q5367" s="55" t="b">
        <v>0</v>
      </c>
      <c r="R5367" s="22">
        <f t="shared" si="98"/>
        <v>81</v>
      </c>
    </row>
    <row r="5368" spans="1:19" ht="32">
      <c r="A5368" s="55">
        <v>10840</v>
      </c>
      <c r="B5368" s="56">
        <v>42499</v>
      </c>
      <c r="C5368" s="57" t="s">
        <v>17772</v>
      </c>
      <c r="D5368" s="56">
        <v>42499</v>
      </c>
      <c r="E5368" s="57" t="s">
        <v>17773</v>
      </c>
      <c r="F5368" s="57" t="s">
        <v>15525</v>
      </c>
      <c r="G5368" s="57" t="s">
        <v>20</v>
      </c>
      <c r="H5368" s="57" t="s">
        <v>71</v>
      </c>
      <c r="I5368" s="57" t="s">
        <v>21</v>
      </c>
      <c r="J5368" s="57" t="s">
        <v>17774</v>
      </c>
      <c r="K5368" s="57" t="s">
        <v>6081</v>
      </c>
      <c r="L5368" s="57" t="s">
        <v>14909</v>
      </c>
      <c r="M5368" s="57" t="s">
        <v>21</v>
      </c>
      <c r="N5368" s="36"/>
      <c r="O5368" s="105">
        <v>42580</v>
      </c>
      <c r="P5368" s="57" t="s">
        <v>21</v>
      </c>
      <c r="Q5368" s="55" t="b">
        <v>0</v>
      </c>
      <c r="R5368" s="22">
        <f t="shared" si="98"/>
        <v>81</v>
      </c>
    </row>
    <row r="5369" spans="1:19">
      <c r="A5369" s="47">
        <v>10841</v>
      </c>
      <c r="B5369" s="48">
        <v>42500</v>
      </c>
      <c r="C5369" s="49" t="s">
        <v>18935</v>
      </c>
      <c r="D5369" s="48">
        <v>42500</v>
      </c>
      <c r="E5369" s="49" t="s">
        <v>18200</v>
      </c>
      <c r="F5369" s="49" t="s">
        <v>124</v>
      </c>
      <c r="G5369" s="49" t="s">
        <v>20</v>
      </c>
      <c r="H5369" s="49" t="s">
        <v>71</v>
      </c>
      <c r="I5369" s="49" t="s">
        <v>21</v>
      </c>
      <c r="J5369" s="49" t="s">
        <v>18201</v>
      </c>
      <c r="K5369" s="49" t="s">
        <v>9348</v>
      </c>
      <c r="L5369" s="49" t="s">
        <v>7167</v>
      </c>
      <c r="M5369" s="49" t="s">
        <v>21</v>
      </c>
      <c r="O5369" s="104">
        <v>43595</v>
      </c>
      <c r="P5369" s="49" t="s">
        <v>21</v>
      </c>
      <c r="Q5369" s="47" t="b">
        <v>0</v>
      </c>
      <c r="R5369" s="22">
        <f t="shared" si="98"/>
        <v>1095</v>
      </c>
      <c r="S5369" s="37" t="s">
        <v>21</v>
      </c>
    </row>
    <row r="5370" spans="1:19" ht="32">
      <c r="A5370" s="55">
        <v>10842</v>
      </c>
      <c r="B5370" s="56">
        <v>42502</v>
      </c>
      <c r="C5370" s="57" t="s">
        <v>17672</v>
      </c>
      <c r="D5370" s="56">
        <v>42501</v>
      </c>
      <c r="E5370" s="57" t="s">
        <v>38</v>
      </c>
      <c r="F5370" s="57" t="s">
        <v>16198</v>
      </c>
      <c r="G5370" s="57" t="s">
        <v>20</v>
      </c>
      <c r="H5370" s="57" t="s">
        <v>71</v>
      </c>
      <c r="I5370" s="57" t="s">
        <v>21</v>
      </c>
      <c r="J5370" s="57" t="s">
        <v>17673</v>
      </c>
      <c r="K5370" s="57" t="s">
        <v>17674</v>
      </c>
      <c r="L5370" s="57" t="s">
        <v>14518</v>
      </c>
      <c r="M5370" s="57" t="s">
        <v>21</v>
      </c>
      <c r="N5370" s="36"/>
      <c r="O5370" s="105">
        <v>42515</v>
      </c>
      <c r="P5370" s="57" t="s">
        <v>21</v>
      </c>
      <c r="Q5370" s="55" t="b">
        <v>0</v>
      </c>
      <c r="R5370" s="22">
        <f t="shared" si="98"/>
        <v>13</v>
      </c>
    </row>
    <row r="5371" spans="1:19" ht="32">
      <c r="A5371" s="55">
        <v>10843</v>
      </c>
      <c r="B5371" s="56">
        <v>42502</v>
      </c>
      <c r="C5371" s="57" t="s">
        <v>17702</v>
      </c>
      <c r="D5371" s="56">
        <v>42502</v>
      </c>
      <c r="E5371" s="57" t="s">
        <v>17703</v>
      </c>
      <c r="F5371" s="57" t="s">
        <v>14379</v>
      </c>
      <c r="G5371" s="57" t="s">
        <v>20</v>
      </c>
      <c r="H5371" s="57" t="s">
        <v>71</v>
      </c>
      <c r="I5371" s="57" t="s">
        <v>21</v>
      </c>
      <c r="J5371" s="57" t="s">
        <v>17704</v>
      </c>
      <c r="K5371" s="57" t="s">
        <v>6081</v>
      </c>
      <c r="L5371" s="57" t="s">
        <v>14518</v>
      </c>
      <c r="M5371" s="57" t="s">
        <v>21</v>
      </c>
      <c r="N5371" s="36"/>
      <c r="O5371" s="105">
        <v>42530</v>
      </c>
      <c r="P5371" s="57" t="s">
        <v>21</v>
      </c>
      <c r="Q5371" s="55" t="b">
        <v>0</v>
      </c>
      <c r="R5371" s="22">
        <f t="shared" si="98"/>
        <v>27</v>
      </c>
    </row>
    <row r="5372" spans="1:19" ht="48">
      <c r="A5372" s="55">
        <v>10844</v>
      </c>
      <c r="B5372" s="56">
        <v>42506</v>
      </c>
      <c r="C5372" s="57" t="s">
        <v>17663</v>
      </c>
      <c r="D5372" s="56">
        <v>42503</v>
      </c>
      <c r="E5372" s="57" t="s">
        <v>38</v>
      </c>
      <c r="F5372" s="57" t="s">
        <v>1743</v>
      </c>
      <c r="G5372" s="57" t="s">
        <v>20</v>
      </c>
      <c r="H5372" s="57" t="s">
        <v>71</v>
      </c>
      <c r="I5372" s="57" t="s">
        <v>21</v>
      </c>
      <c r="J5372" s="57" t="s">
        <v>17664</v>
      </c>
      <c r="K5372" s="57" t="s">
        <v>17665</v>
      </c>
      <c r="L5372" s="57" t="s">
        <v>7167</v>
      </c>
      <c r="M5372" s="57" t="s">
        <v>21</v>
      </c>
      <c r="N5372" s="36"/>
      <c r="O5372" s="105">
        <v>42509</v>
      </c>
      <c r="P5372" s="57" t="s">
        <v>21</v>
      </c>
      <c r="Q5372" s="55" t="b">
        <v>0</v>
      </c>
      <c r="R5372" s="22">
        <f t="shared" si="98"/>
        <v>3</v>
      </c>
    </row>
    <row r="5373" spans="1:19" ht="32">
      <c r="A5373" s="55">
        <v>10845</v>
      </c>
      <c r="B5373" s="56">
        <v>42508</v>
      </c>
      <c r="C5373" s="57" t="s">
        <v>17661</v>
      </c>
      <c r="D5373" s="56">
        <v>42503</v>
      </c>
      <c r="E5373" s="57" t="s">
        <v>1928</v>
      </c>
      <c r="F5373" s="57" t="s">
        <v>1743</v>
      </c>
      <c r="G5373" s="57" t="s">
        <v>20</v>
      </c>
      <c r="H5373" s="57" t="s">
        <v>71</v>
      </c>
      <c r="I5373" s="57" t="s">
        <v>21</v>
      </c>
      <c r="J5373" s="57" t="s">
        <v>17662</v>
      </c>
      <c r="K5373" s="57" t="s">
        <v>21</v>
      </c>
      <c r="L5373" s="57" t="s">
        <v>3271</v>
      </c>
      <c r="M5373" s="57" t="s">
        <v>21</v>
      </c>
      <c r="N5373" s="36"/>
      <c r="O5373" s="105">
        <v>42508</v>
      </c>
      <c r="P5373" s="57" t="s">
        <v>21</v>
      </c>
      <c r="Q5373" s="55" t="b">
        <v>0</v>
      </c>
      <c r="R5373" s="22">
        <f t="shared" ref="R5373:R5390" si="99">IF(O5373=" ", " ", INT(YEARFRAC(O5373, B5373)*365))</f>
        <v>0</v>
      </c>
    </row>
    <row r="5374" spans="1:19" ht="32">
      <c r="A5374" s="55">
        <v>10846</v>
      </c>
      <c r="B5374" s="56">
        <v>42508</v>
      </c>
      <c r="C5374" s="57" t="s">
        <v>17677</v>
      </c>
      <c r="D5374" s="56">
        <v>42507</v>
      </c>
      <c r="E5374" s="57" t="s">
        <v>17678</v>
      </c>
      <c r="F5374" s="57" t="s">
        <v>3171</v>
      </c>
      <c r="G5374" s="57" t="s">
        <v>20</v>
      </c>
      <c r="H5374" s="57" t="s">
        <v>566</v>
      </c>
      <c r="I5374" s="57" t="s">
        <v>21</v>
      </c>
      <c r="J5374" s="57" t="s">
        <v>17679</v>
      </c>
      <c r="K5374" s="57" t="s">
        <v>17680</v>
      </c>
      <c r="L5374" s="57" t="s">
        <v>14909</v>
      </c>
      <c r="M5374" s="57" t="s">
        <v>21</v>
      </c>
      <c r="N5374" s="36"/>
      <c r="O5374" s="105">
        <v>42521</v>
      </c>
      <c r="P5374" s="57" t="s">
        <v>21</v>
      </c>
      <c r="Q5374" s="55" t="b">
        <v>0</v>
      </c>
      <c r="R5374" s="22">
        <f t="shared" si="99"/>
        <v>13</v>
      </c>
    </row>
    <row r="5375" spans="1:19" ht="32">
      <c r="A5375" s="55">
        <v>10847</v>
      </c>
      <c r="B5375" s="56">
        <v>42508</v>
      </c>
      <c r="C5375" s="57" t="s">
        <v>17705</v>
      </c>
      <c r="D5375" s="56">
        <v>42508</v>
      </c>
      <c r="E5375" s="57" t="s">
        <v>17706</v>
      </c>
      <c r="F5375" s="57" t="s">
        <v>16173</v>
      </c>
      <c r="G5375" s="57" t="s">
        <v>20</v>
      </c>
      <c r="H5375" s="57" t="s">
        <v>566</v>
      </c>
      <c r="I5375" s="57" t="s">
        <v>21</v>
      </c>
      <c r="J5375" s="57" t="s">
        <v>17707</v>
      </c>
      <c r="K5375" s="57" t="s">
        <v>6081</v>
      </c>
      <c r="L5375" s="57" t="s">
        <v>14909</v>
      </c>
      <c r="M5375" s="57" t="s">
        <v>21</v>
      </c>
      <c r="N5375" s="36"/>
      <c r="O5375" s="105">
        <v>42534</v>
      </c>
      <c r="P5375" s="57" t="s">
        <v>21</v>
      </c>
      <c r="Q5375" s="55" t="b">
        <v>0</v>
      </c>
      <c r="R5375" s="22">
        <f t="shared" si="99"/>
        <v>25</v>
      </c>
    </row>
    <row r="5376" spans="1:19">
      <c r="A5376" s="47">
        <v>10848</v>
      </c>
      <c r="B5376" s="48">
        <v>42513</v>
      </c>
      <c r="C5376" s="49" t="s">
        <v>18936</v>
      </c>
      <c r="D5376" s="48">
        <v>42510</v>
      </c>
      <c r="E5376" s="49" t="s">
        <v>18196</v>
      </c>
      <c r="F5376" s="49" t="s">
        <v>2359</v>
      </c>
      <c r="G5376" s="49" t="s">
        <v>20</v>
      </c>
      <c r="H5376" s="49" t="s">
        <v>71</v>
      </c>
      <c r="I5376" s="49" t="s">
        <v>21</v>
      </c>
      <c r="J5376" s="49" t="s">
        <v>18197</v>
      </c>
      <c r="K5376" s="49" t="s">
        <v>9348</v>
      </c>
      <c r="L5376" s="49" t="s">
        <v>1946</v>
      </c>
      <c r="M5376" s="49" t="s">
        <v>21</v>
      </c>
      <c r="O5376" s="104">
        <v>43497</v>
      </c>
      <c r="P5376" s="49" t="s">
        <v>21</v>
      </c>
      <c r="Q5376" s="47" t="b">
        <v>0</v>
      </c>
      <c r="R5376" s="22">
        <f t="shared" si="99"/>
        <v>981</v>
      </c>
      <c r="S5376" s="37" t="s">
        <v>21</v>
      </c>
    </row>
    <row r="5377" spans="1:20" ht="36">
      <c r="A5377" s="47">
        <v>10849</v>
      </c>
      <c r="B5377" s="48">
        <v>42513</v>
      </c>
      <c r="C5377" s="49" t="s">
        <v>19075</v>
      </c>
      <c r="D5377" s="48">
        <v>42510</v>
      </c>
      <c r="E5377" s="49" t="s">
        <v>18194</v>
      </c>
      <c r="F5377" s="49" t="s">
        <v>149</v>
      </c>
      <c r="G5377" s="49" t="s">
        <v>20</v>
      </c>
      <c r="H5377" s="49" t="s">
        <v>71</v>
      </c>
      <c r="I5377" s="49" t="s">
        <v>21</v>
      </c>
      <c r="J5377" s="49" t="s">
        <v>17644</v>
      </c>
      <c r="K5377" s="49" t="s">
        <v>18195</v>
      </c>
      <c r="L5377" s="49" t="s">
        <v>14909</v>
      </c>
      <c r="M5377" s="49" t="s">
        <v>21</v>
      </c>
      <c r="O5377" s="102">
        <v>42765</v>
      </c>
      <c r="P5377" s="49" t="s">
        <v>21</v>
      </c>
      <c r="Q5377" s="47" t="b">
        <v>0</v>
      </c>
      <c r="R5377" s="22">
        <f t="shared" si="99"/>
        <v>250</v>
      </c>
      <c r="S5377" s="37" t="s">
        <v>19288</v>
      </c>
    </row>
    <row r="5378" spans="1:20" ht="32">
      <c r="A5378" s="55">
        <v>10850</v>
      </c>
      <c r="B5378" s="56">
        <v>42515</v>
      </c>
      <c r="C5378" s="57" t="s">
        <v>17730</v>
      </c>
      <c r="D5378" s="56">
        <v>42515</v>
      </c>
      <c r="E5378" s="57" t="s">
        <v>16060</v>
      </c>
      <c r="F5378" s="57" t="s">
        <v>1743</v>
      </c>
      <c r="G5378" s="57" t="s">
        <v>20</v>
      </c>
      <c r="H5378" s="57" t="s">
        <v>71</v>
      </c>
      <c r="I5378" s="57" t="s">
        <v>21</v>
      </c>
      <c r="J5378" s="57" t="s">
        <v>17731</v>
      </c>
      <c r="K5378" s="57" t="s">
        <v>17732</v>
      </c>
      <c r="L5378" s="57" t="s">
        <v>4282</v>
      </c>
      <c r="M5378" s="57" t="s">
        <v>21</v>
      </c>
      <c r="N5378" s="36"/>
      <c r="O5378" s="105">
        <v>42550</v>
      </c>
      <c r="P5378" s="57" t="s">
        <v>21</v>
      </c>
      <c r="Q5378" s="55" t="b">
        <v>0</v>
      </c>
      <c r="R5378" s="22">
        <f t="shared" si="99"/>
        <v>34</v>
      </c>
    </row>
    <row r="5379" spans="1:20" ht="32">
      <c r="A5379" s="55">
        <v>10851</v>
      </c>
      <c r="B5379" s="56">
        <v>42516</v>
      </c>
      <c r="C5379" s="57" t="s">
        <v>17716</v>
      </c>
      <c r="D5379" s="56">
        <v>42515</v>
      </c>
      <c r="E5379" s="57" t="s">
        <v>16785</v>
      </c>
      <c r="F5379" s="57" t="s">
        <v>4596</v>
      </c>
      <c r="G5379" s="57" t="s">
        <v>20</v>
      </c>
      <c r="H5379" s="57" t="s">
        <v>189</v>
      </c>
      <c r="I5379" s="57" t="s">
        <v>21</v>
      </c>
      <c r="J5379" s="57" t="s">
        <v>17717</v>
      </c>
      <c r="K5379" s="57" t="s">
        <v>21</v>
      </c>
      <c r="L5379" s="57" t="s">
        <v>4282</v>
      </c>
      <c r="M5379" s="57" t="s">
        <v>21</v>
      </c>
      <c r="N5379" s="36"/>
      <c r="O5379" s="105">
        <v>42543</v>
      </c>
      <c r="P5379" s="57" t="s">
        <v>21</v>
      </c>
      <c r="Q5379" s="55" t="b">
        <v>0</v>
      </c>
      <c r="R5379" s="22">
        <f t="shared" si="99"/>
        <v>26</v>
      </c>
    </row>
    <row r="5380" spans="1:20" ht="32">
      <c r="A5380" s="55">
        <v>10852</v>
      </c>
      <c r="B5380" s="56">
        <v>42516</v>
      </c>
      <c r="C5380" s="57" t="s">
        <v>17685</v>
      </c>
      <c r="D5380" s="56">
        <v>42515</v>
      </c>
      <c r="E5380" s="57" t="s">
        <v>38</v>
      </c>
      <c r="F5380" s="57" t="s">
        <v>345</v>
      </c>
      <c r="G5380" s="57" t="s">
        <v>20</v>
      </c>
      <c r="H5380" s="57" t="s">
        <v>71</v>
      </c>
      <c r="I5380" s="57" t="s">
        <v>21</v>
      </c>
      <c r="J5380" s="57" t="s">
        <v>17686</v>
      </c>
      <c r="K5380" s="57" t="s">
        <v>13082</v>
      </c>
      <c r="L5380" s="57" t="s">
        <v>1946</v>
      </c>
      <c r="M5380" s="57" t="s">
        <v>21</v>
      </c>
      <c r="N5380" s="36"/>
      <c r="O5380" s="105">
        <v>42522</v>
      </c>
      <c r="P5380" s="57" t="s">
        <v>21</v>
      </c>
      <c r="Q5380" s="55" t="b">
        <v>0</v>
      </c>
      <c r="R5380" s="22">
        <f t="shared" si="99"/>
        <v>5</v>
      </c>
    </row>
    <row r="5381" spans="1:20">
      <c r="A5381" s="47">
        <v>10853</v>
      </c>
      <c r="B5381" s="48">
        <v>42521</v>
      </c>
      <c r="C5381" s="49" t="s">
        <v>18937</v>
      </c>
      <c r="D5381" s="48">
        <v>42516</v>
      </c>
      <c r="E5381" s="49" t="s">
        <v>18177</v>
      </c>
      <c r="F5381" s="49" t="s">
        <v>13422</v>
      </c>
      <c r="G5381" s="49" t="s">
        <v>20</v>
      </c>
      <c r="H5381" s="49" t="s">
        <v>71</v>
      </c>
      <c r="I5381" s="49" t="s">
        <v>21</v>
      </c>
      <c r="J5381" s="49" t="s">
        <v>18178</v>
      </c>
      <c r="K5381" s="49" t="s">
        <v>18179</v>
      </c>
      <c r="L5381" s="49" t="s">
        <v>4282</v>
      </c>
      <c r="M5381" s="49" t="s">
        <v>21</v>
      </c>
      <c r="O5381" s="104">
        <v>43605</v>
      </c>
      <c r="P5381" s="49" t="s">
        <v>21</v>
      </c>
      <c r="Q5381" s="47" t="b">
        <v>0</v>
      </c>
      <c r="R5381" s="22">
        <f t="shared" si="99"/>
        <v>1084</v>
      </c>
      <c r="S5381" s="37" t="s">
        <v>21</v>
      </c>
    </row>
    <row r="5382" spans="1:20" ht="32">
      <c r="A5382" s="55">
        <v>10854</v>
      </c>
      <c r="B5382" s="56">
        <v>42522</v>
      </c>
      <c r="C5382" s="57" t="s">
        <v>17682</v>
      </c>
      <c r="D5382" s="56">
        <v>42521</v>
      </c>
      <c r="E5382" s="57" t="s">
        <v>1928</v>
      </c>
      <c r="F5382" s="57" t="s">
        <v>1743</v>
      </c>
      <c r="G5382" s="57" t="s">
        <v>20</v>
      </c>
      <c r="H5382" s="57" t="s">
        <v>71</v>
      </c>
      <c r="I5382" s="57" t="s">
        <v>21</v>
      </c>
      <c r="J5382" s="57" t="s">
        <v>17683</v>
      </c>
      <c r="K5382" s="57" t="s">
        <v>17684</v>
      </c>
      <c r="L5382" s="57" t="s">
        <v>4282</v>
      </c>
      <c r="M5382" s="57" t="s">
        <v>21</v>
      </c>
      <c r="N5382" s="36"/>
      <c r="O5382" s="105">
        <v>42522</v>
      </c>
      <c r="P5382" s="57" t="s">
        <v>21</v>
      </c>
      <c r="Q5382" s="55" t="b">
        <v>0</v>
      </c>
      <c r="R5382" s="22">
        <f t="shared" si="99"/>
        <v>0</v>
      </c>
    </row>
    <row r="5383" spans="1:20" ht="24">
      <c r="A5383" s="50">
        <v>10855</v>
      </c>
      <c r="B5383" s="51">
        <v>42522</v>
      </c>
      <c r="C5383" s="52" t="s">
        <v>18938</v>
      </c>
      <c r="D5383" s="51">
        <v>42521</v>
      </c>
      <c r="E5383" s="52" t="s">
        <v>18190</v>
      </c>
      <c r="F5383" s="52" t="s">
        <v>565</v>
      </c>
      <c r="G5383" s="52" t="s">
        <v>20</v>
      </c>
      <c r="H5383" s="52" t="s">
        <v>566</v>
      </c>
      <c r="I5383" s="52" t="s">
        <v>21</v>
      </c>
      <c r="J5383" s="52" t="s">
        <v>18191</v>
      </c>
      <c r="K5383" s="52" t="s">
        <v>6081</v>
      </c>
      <c r="L5383" s="52" t="s">
        <v>1946</v>
      </c>
      <c r="M5383" s="52" t="s">
        <v>21</v>
      </c>
      <c r="O5383" s="104">
        <v>43326</v>
      </c>
      <c r="P5383" s="53" t="s">
        <v>21</v>
      </c>
      <c r="Q5383" s="54" t="b">
        <v>0</v>
      </c>
      <c r="R5383" s="22">
        <f t="shared" si="99"/>
        <v>804</v>
      </c>
    </row>
    <row r="5384" spans="1:20" ht="24">
      <c r="A5384" s="26">
        <v>10856</v>
      </c>
      <c r="B5384" s="27">
        <v>42522</v>
      </c>
      <c r="C5384" s="28" t="s">
        <v>19068</v>
      </c>
      <c r="D5384" s="27">
        <v>42521</v>
      </c>
      <c r="E5384" s="28" t="s">
        <v>18208</v>
      </c>
      <c r="F5384" s="28" t="s">
        <v>4484</v>
      </c>
      <c r="G5384" s="28" t="s">
        <v>20</v>
      </c>
      <c r="H5384" s="28" t="s">
        <v>71</v>
      </c>
      <c r="I5384" s="28" t="s">
        <v>21</v>
      </c>
      <c r="J5384" s="28" t="s">
        <v>18209</v>
      </c>
      <c r="K5384" s="28" t="s">
        <v>18210</v>
      </c>
      <c r="L5384" s="28" t="s">
        <v>14518</v>
      </c>
      <c r="M5384" s="28" t="s">
        <v>21</v>
      </c>
      <c r="O5384" s="92">
        <v>42755</v>
      </c>
      <c r="P5384" s="28" t="s">
        <v>21</v>
      </c>
      <c r="Q5384" s="26" t="b">
        <v>0</v>
      </c>
      <c r="R5384" s="22">
        <f t="shared" si="99"/>
        <v>232</v>
      </c>
      <c r="S5384" s="37" t="s">
        <v>17658</v>
      </c>
    </row>
    <row r="5385" spans="1:20">
      <c r="A5385" s="26">
        <v>10857</v>
      </c>
      <c r="B5385" s="27">
        <v>42523</v>
      </c>
      <c r="C5385" s="28" t="s">
        <v>19263</v>
      </c>
      <c r="D5385" s="27">
        <v>42522</v>
      </c>
      <c r="E5385" s="28" t="s">
        <v>38</v>
      </c>
      <c r="F5385" s="28" t="s">
        <v>1743</v>
      </c>
      <c r="G5385" s="28" t="s">
        <v>20</v>
      </c>
      <c r="H5385" s="28" t="s">
        <v>71</v>
      </c>
      <c r="I5385" s="28" t="s">
        <v>21</v>
      </c>
      <c r="J5385" s="28" t="s">
        <v>18187</v>
      </c>
      <c r="K5385" s="28" t="s">
        <v>18188</v>
      </c>
      <c r="L5385" s="28" t="s">
        <v>1946</v>
      </c>
      <c r="M5385" s="28" t="s">
        <v>21</v>
      </c>
      <c r="O5385" s="92">
        <v>43039</v>
      </c>
      <c r="P5385" s="28" t="s">
        <v>21</v>
      </c>
      <c r="Q5385" s="26" t="b">
        <v>0</v>
      </c>
      <c r="R5385" s="22">
        <f t="shared" si="99"/>
        <v>516</v>
      </c>
      <c r="S5385" s="37" t="s">
        <v>21</v>
      </c>
    </row>
    <row r="5386" spans="1:20" ht="32">
      <c r="A5386" s="33">
        <v>10858</v>
      </c>
      <c r="B5386" s="34">
        <v>42527</v>
      </c>
      <c r="C5386" s="35" t="s">
        <v>17687</v>
      </c>
      <c r="D5386" s="34">
        <v>42524</v>
      </c>
      <c r="E5386" s="35" t="s">
        <v>38</v>
      </c>
      <c r="F5386" s="35" t="s">
        <v>1743</v>
      </c>
      <c r="G5386" s="35" t="s">
        <v>20</v>
      </c>
      <c r="H5386" s="35" t="s">
        <v>71</v>
      </c>
      <c r="I5386" s="35" t="s">
        <v>21</v>
      </c>
      <c r="J5386" s="35" t="s">
        <v>17688</v>
      </c>
      <c r="K5386" s="35" t="s">
        <v>17689</v>
      </c>
      <c r="L5386" s="35" t="s">
        <v>14909</v>
      </c>
      <c r="M5386" s="35" t="s">
        <v>21</v>
      </c>
      <c r="N5386" s="36"/>
      <c r="O5386" s="96">
        <v>42529</v>
      </c>
      <c r="P5386" s="35" t="s">
        <v>21</v>
      </c>
      <c r="Q5386" s="33" t="b">
        <v>0</v>
      </c>
      <c r="R5386" s="22">
        <f t="shared" si="99"/>
        <v>2</v>
      </c>
    </row>
    <row r="5387" spans="1:20" ht="32">
      <c r="A5387" s="33">
        <v>10859</v>
      </c>
      <c r="B5387" s="34">
        <v>42530</v>
      </c>
      <c r="C5387" s="35" t="s">
        <v>17769</v>
      </c>
      <c r="D5387" s="34">
        <v>42528</v>
      </c>
      <c r="E5387" s="35" t="s">
        <v>17770</v>
      </c>
      <c r="F5387" s="35" t="s">
        <v>14118</v>
      </c>
      <c r="G5387" s="35" t="s">
        <v>20</v>
      </c>
      <c r="H5387" s="35" t="s">
        <v>71</v>
      </c>
      <c r="I5387" s="35" t="s">
        <v>21</v>
      </c>
      <c r="J5387" s="35" t="s">
        <v>17771</v>
      </c>
      <c r="K5387" s="35" t="s">
        <v>6081</v>
      </c>
      <c r="L5387" s="35" t="s">
        <v>14518</v>
      </c>
      <c r="M5387" s="35" t="s">
        <v>21</v>
      </c>
      <c r="N5387" s="36"/>
      <c r="O5387" s="96">
        <v>42580</v>
      </c>
      <c r="P5387" s="35" t="s">
        <v>21</v>
      </c>
      <c r="Q5387" s="33" t="b">
        <v>0</v>
      </c>
      <c r="R5387" s="22">
        <f t="shared" si="99"/>
        <v>50</v>
      </c>
    </row>
    <row r="5388" spans="1:20">
      <c r="A5388" s="38">
        <v>10860</v>
      </c>
      <c r="B5388" s="39">
        <v>42530</v>
      </c>
      <c r="C5388" s="40" t="s">
        <v>18939</v>
      </c>
      <c r="D5388" s="39">
        <v>42529</v>
      </c>
      <c r="E5388" s="40" t="s">
        <v>18184</v>
      </c>
      <c r="F5388" s="40" t="s">
        <v>3171</v>
      </c>
      <c r="G5388" s="40" t="s">
        <v>20</v>
      </c>
      <c r="H5388" s="40" t="s">
        <v>566</v>
      </c>
      <c r="I5388" s="40" t="s">
        <v>21</v>
      </c>
      <c r="J5388" s="40" t="s">
        <v>18185</v>
      </c>
      <c r="K5388" s="40" t="s">
        <v>14825</v>
      </c>
      <c r="L5388" s="40" t="s">
        <v>7167</v>
      </c>
      <c r="M5388" s="40" t="s">
        <v>21</v>
      </c>
      <c r="O5388" s="100">
        <v>43297</v>
      </c>
      <c r="P5388" s="41" t="s">
        <v>21</v>
      </c>
      <c r="Q5388" s="42" t="b">
        <v>0</v>
      </c>
      <c r="R5388" s="22">
        <f t="shared" si="99"/>
        <v>767</v>
      </c>
    </row>
    <row r="5389" spans="1:20" ht="32">
      <c r="A5389" s="33">
        <v>10861</v>
      </c>
      <c r="B5389" s="34">
        <v>42535</v>
      </c>
      <c r="C5389" s="35" t="s">
        <v>17710</v>
      </c>
      <c r="D5389" s="34">
        <v>42533</v>
      </c>
      <c r="E5389" s="35" t="s">
        <v>38</v>
      </c>
      <c r="F5389" s="35" t="s">
        <v>1743</v>
      </c>
      <c r="G5389" s="35" t="s">
        <v>20</v>
      </c>
      <c r="H5389" s="35" t="s">
        <v>71</v>
      </c>
      <c r="I5389" s="35" t="s">
        <v>21</v>
      </c>
      <c r="J5389" s="35" t="s">
        <v>17711</v>
      </c>
      <c r="K5389" s="35" t="s">
        <v>328</v>
      </c>
      <c r="L5389" s="35" t="s">
        <v>14909</v>
      </c>
      <c r="M5389" s="35" t="s">
        <v>21</v>
      </c>
      <c r="N5389" s="36"/>
      <c r="O5389" s="96">
        <v>42538</v>
      </c>
      <c r="P5389" s="35" t="s">
        <v>21</v>
      </c>
      <c r="Q5389" s="33" t="b">
        <v>0</v>
      </c>
      <c r="R5389" s="22">
        <f t="shared" si="99"/>
        <v>3</v>
      </c>
    </row>
    <row r="5390" spans="1:20" ht="32">
      <c r="A5390" s="33">
        <v>10862</v>
      </c>
      <c r="B5390" s="34">
        <v>42535</v>
      </c>
      <c r="C5390" s="35" t="s">
        <v>17917</v>
      </c>
      <c r="D5390" s="34">
        <v>42535</v>
      </c>
      <c r="E5390" s="35" t="s">
        <v>1432</v>
      </c>
      <c r="F5390" s="35" t="s">
        <v>17918</v>
      </c>
      <c r="G5390" s="35" t="s">
        <v>20</v>
      </c>
      <c r="H5390" s="35" t="s">
        <v>71</v>
      </c>
      <c r="I5390" s="35" t="s">
        <v>21</v>
      </c>
      <c r="J5390" s="35" t="s">
        <v>17919</v>
      </c>
      <c r="K5390" s="35" t="s">
        <v>17920</v>
      </c>
      <c r="L5390" s="35" t="s">
        <v>1946</v>
      </c>
      <c r="M5390" s="35" t="s">
        <v>21</v>
      </c>
      <c r="N5390" s="36"/>
      <c r="O5390" s="96">
        <v>42640</v>
      </c>
      <c r="P5390" s="35" t="s">
        <v>21</v>
      </c>
      <c r="Q5390" s="33" t="b">
        <v>0</v>
      </c>
      <c r="R5390" s="22">
        <f t="shared" si="99"/>
        <v>104</v>
      </c>
    </row>
    <row r="5391" spans="1:20">
      <c r="A5391" s="26">
        <v>10863</v>
      </c>
      <c r="B5391" s="27">
        <v>42535</v>
      </c>
      <c r="C5391" s="28" t="s">
        <v>18940</v>
      </c>
      <c r="D5391" s="27">
        <v>42535</v>
      </c>
      <c r="E5391" s="28" t="s">
        <v>1432</v>
      </c>
      <c r="F5391" s="28" t="s">
        <v>27</v>
      </c>
      <c r="G5391" s="28" t="s">
        <v>20</v>
      </c>
      <c r="H5391" s="28" t="s">
        <v>71</v>
      </c>
      <c r="I5391" s="28" t="s">
        <v>21</v>
      </c>
      <c r="J5391" s="28" t="s">
        <v>18182</v>
      </c>
      <c r="K5391" s="28" t="s">
        <v>18183</v>
      </c>
      <c r="L5391" s="28" t="s">
        <v>1946</v>
      </c>
      <c r="M5391" s="28" t="s">
        <v>21</v>
      </c>
      <c r="O5391" s="98"/>
      <c r="P5391" s="28" t="s">
        <v>21</v>
      </c>
      <c r="Q5391" s="26" t="b">
        <v>0</v>
      </c>
      <c r="R5391" s="59"/>
      <c r="T5391" s="37" t="s">
        <v>21</v>
      </c>
    </row>
    <row r="5392" spans="1:20" ht="32">
      <c r="A5392" s="33">
        <v>10864</v>
      </c>
      <c r="B5392" s="34">
        <v>42536</v>
      </c>
      <c r="C5392" s="35" t="s">
        <v>17718</v>
      </c>
      <c r="D5392" s="34">
        <v>42530</v>
      </c>
      <c r="E5392" s="35" t="s">
        <v>38</v>
      </c>
      <c r="F5392" s="35" t="s">
        <v>19</v>
      </c>
      <c r="G5392" s="35" t="s">
        <v>20</v>
      </c>
      <c r="H5392" s="35" t="s">
        <v>189</v>
      </c>
      <c r="I5392" s="35" t="s">
        <v>21</v>
      </c>
      <c r="J5392" s="35" t="s">
        <v>17719</v>
      </c>
      <c r="K5392" s="35" t="s">
        <v>9348</v>
      </c>
      <c r="L5392" s="35" t="s">
        <v>14518</v>
      </c>
      <c r="M5392" s="35" t="s">
        <v>21</v>
      </c>
      <c r="N5392" s="36"/>
      <c r="O5392" s="96">
        <v>42544</v>
      </c>
      <c r="P5392" s="35" t="s">
        <v>21</v>
      </c>
      <c r="Q5392" s="33" t="b">
        <v>0</v>
      </c>
      <c r="R5392" s="22">
        <f t="shared" ref="R5392:R5416" si="100">IF(O5392=" ", " ", INT(YEARFRAC(O5392, B5392)*365))</f>
        <v>8</v>
      </c>
    </row>
    <row r="5393" spans="1:19" ht="32">
      <c r="A5393" s="33">
        <v>10865</v>
      </c>
      <c r="B5393" s="34">
        <v>42538</v>
      </c>
      <c r="C5393" s="35" t="s">
        <v>17712</v>
      </c>
      <c r="D5393" s="34">
        <v>42537</v>
      </c>
      <c r="E5393" s="35" t="s">
        <v>1928</v>
      </c>
      <c r="F5393" s="35" t="s">
        <v>1743</v>
      </c>
      <c r="G5393" s="35" t="s">
        <v>20</v>
      </c>
      <c r="H5393" s="35" t="s">
        <v>71</v>
      </c>
      <c r="I5393" s="35" t="s">
        <v>21</v>
      </c>
      <c r="J5393" s="35" t="s">
        <v>17713</v>
      </c>
      <c r="K5393" s="35" t="s">
        <v>21</v>
      </c>
      <c r="L5393" s="35" t="s">
        <v>7167</v>
      </c>
      <c r="M5393" s="35" t="s">
        <v>21</v>
      </c>
      <c r="N5393" s="36"/>
      <c r="O5393" s="96">
        <v>42542</v>
      </c>
      <c r="P5393" s="35" t="s">
        <v>21</v>
      </c>
      <c r="Q5393" s="33" t="b">
        <v>0</v>
      </c>
      <c r="R5393" s="22">
        <f t="shared" si="100"/>
        <v>4</v>
      </c>
      <c r="S5393" s="18"/>
    </row>
    <row r="5394" spans="1:19" ht="32">
      <c r="A5394" s="33">
        <v>10866</v>
      </c>
      <c r="B5394" s="34">
        <v>42538</v>
      </c>
      <c r="C5394" s="35" t="s">
        <v>17755</v>
      </c>
      <c r="D5394" s="34">
        <v>42538</v>
      </c>
      <c r="E5394" s="35" t="s">
        <v>3268</v>
      </c>
      <c r="F5394" s="35" t="s">
        <v>1743</v>
      </c>
      <c r="G5394" s="35" t="s">
        <v>20</v>
      </c>
      <c r="H5394" s="35" t="s">
        <v>71</v>
      </c>
      <c r="I5394" s="35" t="s">
        <v>21</v>
      </c>
      <c r="J5394" s="35" t="s">
        <v>16410</v>
      </c>
      <c r="K5394" s="35" t="s">
        <v>17756</v>
      </c>
      <c r="L5394" s="35" t="s">
        <v>3271</v>
      </c>
      <c r="M5394" s="35" t="s">
        <v>21</v>
      </c>
      <c r="N5394" s="36"/>
      <c r="O5394" s="96">
        <v>42571</v>
      </c>
      <c r="P5394" s="35" t="s">
        <v>21</v>
      </c>
      <c r="Q5394" s="33" t="b">
        <v>0</v>
      </c>
      <c r="R5394" s="22">
        <f t="shared" si="100"/>
        <v>33</v>
      </c>
    </row>
    <row r="5395" spans="1:19" ht="32">
      <c r="A5395" s="33">
        <v>10867</v>
      </c>
      <c r="B5395" s="34">
        <v>42541</v>
      </c>
      <c r="C5395" s="35" t="s">
        <v>17836</v>
      </c>
      <c r="D5395" s="34">
        <v>42541</v>
      </c>
      <c r="E5395" s="35" t="s">
        <v>3268</v>
      </c>
      <c r="F5395" s="35" t="s">
        <v>9937</v>
      </c>
      <c r="G5395" s="35" t="s">
        <v>20</v>
      </c>
      <c r="H5395" s="35" t="s">
        <v>71</v>
      </c>
      <c r="I5395" s="35" t="s">
        <v>21</v>
      </c>
      <c r="J5395" s="35" t="s">
        <v>17837</v>
      </c>
      <c r="K5395" s="35" t="s">
        <v>17838</v>
      </c>
      <c r="L5395" s="35" t="s">
        <v>14349</v>
      </c>
      <c r="M5395" s="35" t="s">
        <v>21</v>
      </c>
      <c r="N5395" s="36"/>
      <c r="O5395" s="96">
        <v>42613</v>
      </c>
      <c r="P5395" s="35" t="s">
        <v>21</v>
      </c>
      <c r="Q5395" s="33" t="b">
        <v>0</v>
      </c>
      <c r="R5395" s="22">
        <f t="shared" si="100"/>
        <v>71</v>
      </c>
    </row>
    <row r="5396" spans="1:19" ht="48">
      <c r="A5396" s="33">
        <v>10868</v>
      </c>
      <c r="B5396" s="34">
        <v>42543</v>
      </c>
      <c r="C5396" s="35" t="s">
        <v>17740</v>
      </c>
      <c r="D5396" s="34">
        <v>42543</v>
      </c>
      <c r="E5396" s="35" t="s">
        <v>1928</v>
      </c>
      <c r="F5396" s="35" t="s">
        <v>1743</v>
      </c>
      <c r="G5396" s="35" t="s">
        <v>20</v>
      </c>
      <c r="H5396" s="35" t="s">
        <v>71</v>
      </c>
      <c r="I5396" s="35" t="s">
        <v>21</v>
      </c>
      <c r="J5396" s="35" t="s">
        <v>17741</v>
      </c>
      <c r="K5396" s="35" t="s">
        <v>21</v>
      </c>
      <c r="L5396" s="35" t="s">
        <v>4282</v>
      </c>
      <c r="M5396" s="35" t="s">
        <v>21</v>
      </c>
      <c r="N5396" s="36"/>
      <c r="O5396" s="96">
        <v>42558</v>
      </c>
      <c r="P5396" s="35" t="s">
        <v>21</v>
      </c>
      <c r="Q5396" s="33" t="b">
        <v>0</v>
      </c>
      <c r="R5396" s="22">
        <f t="shared" si="100"/>
        <v>15</v>
      </c>
    </row>
    <row r="5397" spans="1:19" ht="32">
      <c r="A5397" s="33">
        <v>10869</v>
      </c>
      <c r="B5397" s="34">
        <v>42550</v>
      </c>
      <c r="C5397" s="35" t="s">
        <v>17775</v>
      </c>
      <c r="D5397" s="34">
        <v>42550</v>
      </c>
      <c r="E5397" s="35" t="s">
        <v>17776</v>
      </c>
      <c r="F5397" s="35" t="s">
        <v>7020</v>
      </c>
      <c r="G5397" s="35" t="s">
        <v>20</v>
      </c>
      <c r="H5397" s="35" t="s">
        <v>189</v>
      </c>
      <c r="I5397" s="35" t="s">
        <v>21</v>
      </c>
      <c r="J5397" s="35" t="s">
        <v>17777</v>
      </c>
      <c r="K5397" s="35" t="s">
        <v>6081</v>
      </c>
      <c r="L5397" s="35" t="s">
        <v>7167</v>
      </c>
      <c r="M5397" s="35" t="s">
        <v>21</v>
      </c>
      <c r="N5397" s="36"/>
      <c r="O5397" s="96">
        <v>42580</v>
      </c>
      <c r="P5397" s="35" t="s">
        <v>21</v>
      </c>
      <c r="Q5397" s="33" t="b">
        <v>0</v>
      </c>
      <c r="R5397" s="22">
        <f t="shared" si="100"/>
        <v>30</v>
      </c>
    </row>
    <row r="5398" spans="1:19" ht="32">
      <c r="A5398" s="33">
        <v>10870</v>
      </c>
      <c r="B5398" s="34">
        <v>42551</v>
      </c>
      <c r="C5398" s="35" t="s">
        <v>17814</v>
      </c>
      <c r="D5398" s="34">
        <v>42550</v>
      </c>
      <c r="E5398" s="35" t="s">
        <v>1928</v>
      </c>
      <c r="F5398" s="35" t="s">
        <v>1743</v>
      </c>
      <c r="G5398" s="35" t="s">
        <v>20</v>
      </c>
      <c r="H5398" s="35" t="s">
        <v>71</v>
      </c>
      <c r="I5398" s="35" t="s">
        <v>21</v>
      </c>
      <c r="J5398" s="35" t="s">
        <v>17815</v>
      </c>
      <c r="K5398" s="35" t="s">
        <v>21</v>
      </c>
      <c r="L5398" s="35" t="s">
        <v>14518</v>
      </c>
      <c r="M5398" s="35" t="s">
        <v>21</v>
      </c>
      <c r="N5398" s="36"/>
      <c r="O5398" s="96">
        <v>42597</v>
      </c>
      <c r="P5398" s="35" t="s">
        <v>21</v>
      </c>
      <c r="Q5398" s="33" t="b">
        <v>0</v>
      </c>
      <c r="R5398" s="22">
        <f t="shared" si="100"/>
        <v>45</v>
      </c>
    </row>
    <row r="5399" spans="1:19" ht="32">
      <c r="A5399" s="33">
        <v>10871</v>
      </c>
      <c r="B5399" s="34">
        <v>42552</v>
      </c>
      <c r="C5399" s="35" t="s">
        <v>18045</v>
      </c>
      <c r="D5399" s="34">
        <v>42551</v>
      </c>
      <c r="E5399" s="35" t="s">
        <v>38</v>
      </c>
      <c r="F5399" s="35" t="s">
        <v>14118</v>
      </c>
      <c r="G5399" s="35" t="s">
        <v>20</v>
      </c>
      <c r="H5399" s="35" t="s">
        <v>71</v>
      </c>
      <c r="I5399" s="35" t="s">
        <v>21</v>
      </c>
      <c r="J5399" s="35" t="s">
        <v>18046</v>
      </c>
      <c r="K5399" s="35" t="s">
        <v>21</v>
      </c>
      <c r="L5399" s="35" t="s">
        <v>14518</v>
      </c>
      <c r="M5399" s="35" t="s">
        <v>21</v>
      </c>
      <c r="N5399" s="36"/>
      <c r="O5399" s="96">
        <v>42711</v>
      </c>
      <c r="P5399" s="35" t="s">
        <v>21</v>
      </c>
      <c r="Q5399" s="33" t="b">
        <v>0</v>
      </c>
      <c r="R5399" s="22">
        <f t="shared" si="100"/>
        <v>158</v>
      </c>
    </row>
    <row r="5400" spans="1:19" ht="32">
      <c r="A5400" s="33">
        <v>10872</v>
      </c>
      <c r="B5400" s="34">
        <v>42556</v>
      </c>
      <c r="C5400" s="35" t="s">
        <v>17735</v>
      </c>
      <c r="D5400" s="34">
        <v>42552</v>
      </c>
      <c r="E5400" s="35" t="s">
        <v>38</v>
      </c>
      <c r="F5400" s="35" t="s">
        <v>1743</v>
      </c>
      <c r="G5400" s="35" t="s">
        <v>20</v>
      </c>
      <c r="H5400" s="35" t="s">
        <v>71</v>
      </c>
      <c r="I5400" s="35" t="s">
        <v>21</v>
      </c>
      <c r="J5400" s="35" t="s">
        <v>17736</v>
      </c>
      <c r="K5400" s="35" t="s">
        <v>17737</v>
      </c>
      <c r="L5400" s="35" t="s">
        <v>7167</v>
      </c>
      <c r="M5400" s="35" t="s">
        <v>21</v>
      </c>
      <c r="N5400" s="36"/>
      <c r="O5400" s="96">
        <v>42557</v>
      </c>
      <c r="P5400" s="35" t="s">
        <v>21</v>
      </c>
      <c r="Q5400" s="33" t="b">
        <v>0</v>
      </c>
      <c r="R5400" s="22">
        <f t="shared" si="100"/>
        <v>1</v>
      </c>
      <c r="S5400" s="18"/>
    </row>
    <row r="5401" spans="1:19" ht="32">
      <c r="A5401" s="33">
        <v>10873</v>
      </c>
      <c r="B5401" s="34">
        <v>42556</v>
      </c>
      <c r="C5401" s="35" t="s">
        <v>17751</v>
      </c>
      <c r="D5401" s="34">
        <v>42556</v>
      </c>
      <c r="E5401" s="35" t="s">
        <v>15826</v>
      </c>
      <c r="F5401" s="35" t="s">
        <v>1743</v>
      </c>
      <c r="G5401" s="35" t="s">
        <v>20</v>
      </c>
      <c r="H5401" s="35" t="s">
        <v>71</v>
      </c>
      <c r="I5401" s="35" t="s">
        <v>21</v>
      </c>
      <c r="J5401" s="35" t="s">
        <v>17752</v>
      </c>
      <c r="K5401" s="35" t="s">
        <v>17753</v>
      </c>
      <c r="L5401" s="35" t="s">
        <v>17754</v>
      </c>
      <c r="M5401" s="35" t="s">
        <v>21</v>
      </c>
      <c r="N5401" s="36"/>
      <c r="O5401" s="96">
        <v>42570</v>
      </c>
      <c r="P5401" s="35" t="s">
        <v>21</v>
      </c>
      <c r="Q5401" s="33" t="b">
        <v>0</v>
      </c>
      <c r="R5401" s="22">
        <f t="shared" si="100"/>
        <v>14</v>
      </c>
      <c r="S5401" s="18"/>
    </row>
    <row r="5402" spans="1:19" ht="32">
      <c r="A5402" s="33">
        <v>10874</v>
      </c>
      <c r="B5402" s="34">
        <v>42557</v>
      </c>
      <c r="C5402" s="35" t="s">
        <v>17742</v>
      </c>
      <c r="D5402" s="34">
        <v>42556</v>
      </c>
      <c r="E5402" s="35" t="s">
        <v>38</v>
      </c>
      <c r="F5402" s="35" t="s">
        <v>15525</v>
      </c>
      <c r="G5402" s="35" t="s">
        <v>20</v>
      </c>
      <c r="H5402" s="35" t="s">
        <v>566</v>
      </c>
      <c r="I5402" s="35" t="s">
        <v>21</v>
      </c>
      <c r="J5402" s="35" t="s">
        <v>17739</v>
      </c>
      <c r="K5402" s="35" t="s">
        <v>21</v>
      </c>
      <c r="L5402" s="35" t="s">
        <v>7167</v>
      </c>
      <c r="M5402" s="35" t="s">
        <v>21</v>
      </c>
      <c r="N5402" s="36"/>
      <c r="O5402" s="96">
        <v>42558</v>
      </c>
      <c r="P5402" s="35" t="s">
        <v>21</v>
      </c>
      <c r="Q5402" s="33" t="b">
        <v>0</v>
      </c>
      <c r="R5402" s="22">
        <f t="shared" si="100"/>
        <v>1</v>
      </c>
      <c r="S5402" s="18"/>
    </row>
    <row r="5403" spans="1:19" ht="32">
      <c r="A5403" s="33">
        <v>10875</v>
      </c>
      <c r="B5403" s="34">
        <v>42557</v>
      </c>
      <c r="C5403" s="35" t="s">
        <v>17738</v>
      </c>
      <c r="D5403" s="34">
        <v>42556</v>
      </c>
      <c r="E5403" s="35" t="s">
        <v>38</v>
      </c>
      <c r="F5403" s="35" t="s">
        <v>149</v>
      </c>
      <c r="G5403" s="35" t="s">
        <v>20</v>
      </c>
      <c r="H5403" s="35" t="s">
        <v>566</v>
      </c>
      <c r="I5403" s="35" t="s">
        <v>21</v>
      </c>
      <c r="J5403" s="35" t="s">
        <v>17739</v>
      </c>
      <c r="K5403" s="35" t="s">
        <v>21</v>
      </c>
      <c r="L5403" s="35" t="s">
        <v>7167</v>
      </c>
      <c r="M5403" s="35" t="s">
        <v>21</v>
      </c>
      <c r="N5403" s="36"/>
      <c r="O5403" s="96">
        <v>42558</v>
      </c>
      <c r="P5403" s="35" t="s">
        <v>21</v>
      </c>
      <c r="Q5403" s="33" t="b">
        <v>0</v>
      </c>
      <c r="R5403" s="22">
        <f t="shared" si="100"/>
        <v>1</v>
      </c>
      <c r="S5403" s="18"/>
    </row>
    <row r="5404" spans="1:19" ht="32">
      <c r="A5404" s="33">
        <v>10876</v>
      </c>
      <c r="B5404" s="34">
        <v>42558</v>
      </c>
      <c r="C5404" s="35" t="s">
        <v>17743</v>
      </c>
      <c r="D5404" s="34">
        <v>42557</v>
      </c>
      <c r="E5404" s="35" t="s">
        <v>1928</v>
      </c>
      <c r="F5404" s="35" t="s">
        <v>1743</v>
      </c>
      <c r="G5404" s="35" t="s">
        <v>20</v>
      </c>
      <c r="H5404" s="35" t="s">
        <v>71</v>
      </c>
      <c r="I5404" s="35" t="s">
        <v>21</v>
      </c>
      <c r="J5404" s="35" t="s">
        <v>17744</v>
      </c>
      <c r="K5404" s="35" t="s">
        <v>17745</v>
      </c>
      <c r="L5404" s="35" t="s">
        <v>7167</v>
      </c>
      <c r="M5404" s="35" t="s">
        <v>21</v>
      </c>
      <c r="N5404" s="36"/>
      <c r="O5404" s="96">
        <v>42559</v>
      </c>
      <c r="P5404" s="35" t="s">
        <v>21</v>
      </c>
      <c r="Q5404" s="33" t="b">
        <v>0</v>
      </c>
      <c r="R5404" s="22">
        <f t="shared" si="100"/>
        <v>1</v>
      </c>
      <c r="S5404" s="18"/>
    </row>
    <row r="5405" spans="1:19" ht="32">
      <c r="A5405" s="33">
        <v>10877</v>
      </c>
      <c r="B5405" s="34">
        <v>42559</v>
      </c>
      <c r="C5405" s="35" t="s">
        <v>17748</v>
      </c>
      <c r="D5405" s="34">
        <v>42558</v>
      </c>
      <c r="E5405" s="35" t="s">
        <v>17749</v>
      </c>
      <c r="F5405" s="35" t="s">
        <v>52</v>
      </c>
      <c r="G5405" s="35" t="s">
        <v>20</v>
      </c>
      <c r="H5405" s="35" t="s">
        <v>71</v>
      </c>
      <c r="I5405" s="35" t="s">
        <v>21</v>
      </c>
      <c r="J5405" s="35" t="s">
        <v>17750</v>
      </c>
      <c r="K5405" s="35" t="s">
        <v>6081</v>
      </c>
      <c r="L5405" s="35" t="s">
        <v>14909</v>
      </c>
      <c r="M5405" s="35" t="s">
        <v>21</v>
      </c>
      <c r="N5405" s="36"/>
      <c r="O5405" s="96">
        <v>42570</v>
      </c>
      <c r="P5405" s="35" t="s">
        <v>21</v>
      </c>
      <c r="Q5405" s="33" t="b">
        <v>0</v>
      </c>
      <c r="R5405" s="22">
        <f t="shared" si="100"/>
        <v>11</v>
      </c>
      <c r="S5405" s="18"/>
    </row>
    <row r="5406" spans="1:19" ht="32">
      <c r="A5406" s="33">
        <v>10878</v>
      </c>
      <c r="B5406" s="34">
        <v>42562</v>
      </c>
      <c r="C5406" s="35" t="s">
        <v>17909</v>
      </c>
      <c r="D5406" s="34">
        <v>42559</v>
      </c>
      <c r="E5406" s="35" t="s">
        <v>38</v>
      </c>
      <c r="F5406" s="35" t="s">
        <v>124</v>
      </c>
      <c r="G5406" s="35" t="s">
        <v>20</v>
      </c>
      <c r="H5406" s="35" t="s">
        <v>71</v>
      </c>
      <c r="I5406" s="35" t="s">
        <v>21</v>
      </c>
      <c r="J5406" s="35" t="s">
        <v>11803</v>
      </c>
      <c r="K5406" s="35" t="s">
        <v>21</v>
      </c>
      <c r="L5406" s="35" t="s">
        <v>14518</v>
      </c>
      <c r="M5406" s="35" t="s">
        <v>21</v>
      </c>
      <c r="N5406" s="36"/>
      <c r="O5406" s="96">
        <v>42635</v>
      </c>
      <c r="P5406" s="35" t="s">
        <v>21</v>
      </c>
      <c r="Q5406" s="33" t="b">
        <v>0</v>
      </c>
      <c r="R5406" s="22">
        <f t="shared" si="100"/>
        <v>71</v>
      </c>
      <c r="S5406" s="18"/>
    </row>
    <row r="5407" spans="1:19" ht="32">
      <c r="A5407" s="33">
        <v>10879</v>
      </c>
      <c r="B5407" s="34">
        <v>42562</v>
      </c>
      <c r="C5407" s="35" t="s">
        <v>17798</v>
      </c>
      <c r="D5407" s="34">
        <v>42562</v>
      </c>
      <c r="E5407" s="35" t="s">
        <v>17799</v>
      </c>
      <c r="F5407" s="35" t="s">
        <v>7020</v>
      </c>
      <c r="G5407" s="35" t="s">
        <v>20</v>
      </c>
      <c r="H5407" s="35" t="s">
        <v>71</v>
      </c>
      <c r="I5407" s="35" t="s">
        <v>21</v>
      </c>
      <c r="J5407" s="35" t="s">
        <v>17796</v>
      </c>
      <c r="K5407" s="35" t="s">
        <v>17800</v>
      </c>
      <c r="L5407" s="35" t="s">
        <v>7167</v>
      </c>
      <c r="M5407" s="35" t="s">
        <v>21</v>
      </c>
      <c r="N5407" s="36"/>
      <c r="O5407" s="96">
        <v>42587</v>
      </c>
      <c r="P5407" s="35" t="s">
        <v>21</v>
      </c>
      <c r="Q5407" s="33" t="b">
        <v>0</v>
      </c>
      <c r="R5407" s="22">
        <f t="shared" si="100"/>
        <v>24</v>
      </c>
      <c r="S5407" s="18"/>
    </row>
    <row r="5408" spans="1:19" ht="32">
      <c r="A5408" s="33">
        <v>10880</v>
      </c>
      <c r="B5408" s="34">
        <v>42564</v>
      </c>
      <c r="C5408" s="35" t="s">
        <v>17811</v>
      </c>
      <c r="D5408" s="34">
        <v>42563</v>
      </c>
      <c r="E5408" s="35" t="s">
        <v>1928</v>
      </c>
      <c r="F5408" s="35" t="s">
        <v>1743</v>
      </c>
      <c r="G5408" s="35" t="s">
        <v>20</v>
      </c>
      <c r="H5408" s="35" t="s">
        <v>71</v>
      </c>
      <c r="I5408" s="35" t="s">
        <v>21</v>
      </c>
      <c r="J5408" s="35" t="s">
        <v>17812</v>
      </c>
      <c r="K5408" s="35" t="s">
        <v>17813</v>
      </c>
      <c r="L5408" s="35" t="s">
        <v>1946</v>
      </c>
      <c r="M5408" s="35" t="s">
        <v>21</v>
      </c>
      <c r="N5408" s="36"/>
      <c r="O5408" s="96">
        <v>42597</v>
      </c>
      <c r="P5408" s="35" t="s">
        <v>21</v>
      </c>
      <c r="Q5408" s="33" t="b">
        <v>0</v>
      </c>
      <c r="R5408" s="22">
        <f t="shared" si="100"/>
        <v>32</v>
      </c>
      <c r="S5408" s="18"/>
    </row>
    <row r="5409" spans="1:20" ht="32">
      <c r="A5409" s="33">
        <v>10881</v>
      </c>
      <c r="B5409" s="34">
        <v>42565</v>
      </c>
      <c r="C5409" s="35" t="s">
        <v>17746</v>
      </c>
      <c r="D5409" s="34">
        <v>42564</v>
      </c>
      <c r="E5409" s="35" t="s">
        <v>38</v>
      </c>
      <c r="F5409" s="35" t="s">
        <v>124</v>
      </c>
      <c r="G5409" s="35" t="s">
        <v>20</v>
      </c>
      <c r="H5409" s="35" t="s">
        <v>71</v>
      </c>
      <c r="I5409" s="35" t="s">
        <v>21</v>
      </c>
      <c r="J5409" s="35" t="s">
        <v>17747</v>
      </c>
      <c r="K5409" s="35" t="s">
        <v>21</v>
      </c>
      <c r="L5409" s="35" t="s">
        <v>14909</v>
      </c>
      <c r="M5409" s="35" t="s">
        <v>21</v>
      </c>
      <c r="N5409" s="36"/>
      <c r="O5409" s="96">
        <v>42565</v>
      </c>
      <c r="P5409" s="35" t="s">
        <v>21</v>
      </c>
      <c r="Q5409" s="33" t="b">
        <v>0</v>
      </c>
      <c r="R5409" s="22">
        <f t="shared" si="100"/>
        <v>0</v>
      </c>
      <c r="S5409" s="18"/>
    </row>
    <row r="5410" spans="1:20" ht="32">
      <c r="A5410" s="33">
        <v>10882</v>
      </c>
      <c r="B5410" s="34">
        <v>42565</v>
      </c>
      <c r="C5410" s="35" t="s">
        <v>18072</v>
      </c>
      <c r="D5410" s="34">
        <v>42564</v>
      </c>
      <c r="E5410" s="35" t="s">
        <v>18073</v>
      </c>
      <c r="F5410" s="35" t="s">
        <v>1939</v>
      </c>
      <c r="G5410" s="35" t="s">
        <v>20</v>
      </c>
      <c r="H5410" s="35" t="s">
        <v>71</v>
      </c>
      <c r="I5410" s="35" t="s">
        <v>21</v>
      </c>
      <c r="J5410" s="35" t="s">
        <v>18074</v>
      </c>
      <c r="K5410" s="35" t="s">
        <v>18075</v>
      </c>
      <c r="L5410" s="35" t="s">
        <v>4282</v>
      </c>
      <c r="M5410" s="35" t="s">
        <v>21</v>
      </c>
      <c r="N5410" s="36"/>
      <c r="O5410" s="96">
        <v>42726</v>
      </c>
      <c r="P5410" s="35" t="s">
        <v>21</v>
      </c>
      <c r="Q5410" s="33" t="b">
        <v>0</v>
      </c>
      <c r="R5410" s="22">
        <f t="shared" si="100"/>
        <v>160</v>
      </c>
      <c r="S5410" s="18"/>
    </row>
    <row r="5411" spans="1:20" ht="24">
      <c r="A5411" s="26">
        <v>10883</v>
      </c>
      <c r="B5411" s="27">
        <v>42565</v>
      </c>
      <c r="C5411" s="28" t="s">
        <v>19206</v>
      </c>
      <c r="D5411" s="27">
        <v>42564</v>
      </c>
      <c r="E5411" s="28" t="s">
        <v>18148</v>
      </c>
      <c r="F5411" s="28" t="s">
        <v>12892</v>
      </c>
      <c r="G5411" s="28" t="s">
        <v>20</v>
      </c>
      <c r="H5411" s="28" t="s">
        <v>71</v>
      </c>
      <c r="I5411" s="28" t="s">
        <v>21</v>
      </c>
      <c r="J5411" s="28" t="s">
        <v>18149</v>
      </c>
      <c r="K5411" s="28" t="s">
        <v>6081</v>
      </c>
      <c r="L5411" s="28" t="s">
        <v>14909</v>
      </c>
      <c r="M5411" s="28" t="s">
        <v>21</v>
      </c>
      <c r="O5411" s="92">
        <v>42958</v>
      </c>
      <c r="P5411" s="28" t="s">
        <v>21</v>
      </c>
      <c r="Q5411" s="26" t="b">
        <v>0</v>
      </c>
      <c r="R5411" s="22">
        <f t="shared" si="100"/>
        <v>392</v>
      </c>
      <c r="S5411" s="28" t="s">
        <v>21</v>
      </c>
    </row>
    <row r="5412" spans="1:20" ht="32">
      <c r="A5412" s="33">
        <v>10884</v>
      </c>
      <c r="B5412" s="34">
        <v>42565</v>
      </c>
      <c r="C5412" s="35" t="s">
        <v>17801</v>
      </c>
      <c r="D5412" s="34">
        <v>42564</v>
      </c>
      <c r="E5412" s="35" t="s">
        <v>17802</v>
      </c>
      <c r="F5412" s="35" t="s">
        <v>149</v>
      </c>
      <c r="G5412" s="35" t="s">
        <v>20</v>
      </c>
      <c r="H5412" s="35" t="s">
        <v>71</v>
      </c>
      <c r="I5412" s="35" t="s">
        <v>21</v>
      </c>
      <c r="J5412" s="35" t="s">
        <v>17803</v>
      </c>
      <c r="K5412" s="35" t="s">
        <v>6081</v>
      </c>
      <c r="L5412" s="35" t="s">
        <v>14909</v>
      </c>
      <c r="M5412" s="35" t="s">
        <v>21</v>
      </c>
      <c r="N5412" s="36"/>
      <c r="O5412" s="96">
        <v>42594</v>
      </c>
      <c r="P5412" s="35" t="s">
        <v>21</v>
      </c>
      <c r="Q5412" s="33" t="b">
        <v>0</v>
      </c>
      <c r="R5412" s="22">
        <f t="shared" si="100"/>
        <v>28</v>
      </c>
      <c r="S5412" s="18"/>
    </row>
    <row r="5413" spans="1:20" ht="32">
      <c r="A5413" s="33">
        <v>10885</v>
      </c>
      <c r="B5413" s="34">
        <v>42565</v>
      </c>
      <c r="C5413" s="35" t="s">
        <v>17845</v>
      </c>
      <c r="D5413" s="34">
        <v>42564</v>
      </c>
      <c r="E5413" s="35" t="s">
        <v>17846</v>
      </c>
      <c r="F5413" s="35" t="s">
        <v>14552</v>
      </c>
      <c r="G5413" s="35" t="s">
        <v>20</v>
      </c>
      <c r="H5413" s="35" t="s">
        <v>71</v>
      </c>
      <c r="I5413" s="35" t="s">
        <v>21</v>
      </c>
      <c r="J5413" s="35" t="s">
        <v>17847</v>
      </c>
      <c r="K5413" s="35" t="s">
        <v>17848</v>
      </c>
      <c r="L5413" s="35" t="s">
        <v>14909</v>
      </c>
      <c r="M5413" s="35" t="s">
        <v>21</v>
      </c>
      <c r="N5413" s="36"/>
      <c r="O5413" s="96">
        <v>42615</v>
      </c>
      <c r="P5413" s="35" t="s">
        <v>21</v>
      </c>
      <c r="Q5413" s="33" t="b">
        <v>0</v>
      </c>
      <c r="R5413" s="22">
        <f t="shared" si="100"/>
        <v>48</v>
      </c>
      <c r="S5413" s="18"/>
    </row>
    <row r="5414" spans="1:20" ht="32">
      <c r="A5414" s="33">
        <v>10886</v>
      </c>
      <c r="B5414" s="34">
        <v>42566</v>
      </c>
      <c r="C5414" s="35" t="s">
        <v>17788</v>
      </c>
      <c r="D5414" s="34">
        <v>42565</v>
      </c>
      <c r="E5414" s="35" t="s">
        <v>38</v>
      </c>
      <c r="F5414" s="35" t="s">
        <v>149</v>
      </c>
      <c r="G5414" s="35" t="s">
        <v>20</v>
      </c>
      <c r="H5414" s="35" t="s">
        <v>71</v>
      </c>
      <c r="I5414" s="35" t="s">
        <v>21</v>
      </c>
      <c r="J5414" s="35" t="s">
        <v>17789</v>
      </c>
      <c r="K5414" s="35" t="s">
        <v>17790</v>
      </c>
      <c r="L5414" s="35" t="s">
        <v>14518</v>
      </c>
      <c r="M5414" s="35" t="s">
        <v>21</v>
      </c>
      <c r="N5414" s="36"/>
      <c r="O5414" s="96">
        <v>42583</v>
      </c>
      <c r="P5414" s="35" t="s">
        <v>21</v>
      </c>
      <c r="Q5414" s="33" t="b">
        <v>0</v>
      </c>
      <c r="R5414" s="22">
        <f t="shared" si="100"/>
        <v>16</v>
      </c>
      <c r="S5414" s="18"/>
    </row>
    <row r="5415" spans="1:20" ht="24">
      <c r="A5415" s="26">
        <v>10887</v>
      </c>
      <c r="B5415" s="27">
        <v>42569</v>
      </c>
      <c r="C5415" s="28" t="s">
        <v>18941</v>
      </c>
      <c r="D5415" s="27">
        <v>42569</v>
      </c>
      <c r="E5415" s="28" t="s">
        <v>18126</v>
      </c>
      <c r="F5415" s="28" t="s">
        <v>27</v>
      </c>
      <c r="G5415" s="28" t="s">
        <v>20</v>
      </c>
      <c r="H5415" s="28" t="s">
        <v>71</v>
      </c>
      <c r="I5415" s="28" t="s">
        <v>21</v>
      </c>
      <c r="J5415" s="28" t="s">
        <v>18127</v>
      </c>
      <c r="K5415" s="28" t="s">
        <v>18128</v>
      </c>
      <c r="L5415" s="28" t="s">
        <v>14518</v>
      </c>
      <c r="M5415" s="28" t="s">
        <v>21</v>
      </c>
      <c r="O5415" s="100">
        <v>43488</v>
      </c>
      <c r="P5415" s="28" t="s">
        <v>21</v>
      </c>
      <c r="Q5415" s="26" t="b">
        <v>0</v>
      </c>
      <c r="R5415" s="22">
        <f t="shared" si="100"/>
        <v>917</v>
      </c>
      <c r="S5415" s="28" t="s">
        <v>21</v>
      </c>
    </row>
    <row r="5416" spans="1:20" ht="32">
      <c r="A5416" s="33">
        <v>10888</v>
      </c>
      <c r="B5416" s="34">
        <v>42569</v>
      </c>
      <c r="C5416" s="35" t="s">
        <v>17956</v>
      </c>
      <c r="D5416" s="34">
        <v>42562</v>
      </c>
      <c r="E5416" s="35" t="s">
        <v>3268</v>
      </c>
      <c r="F5416" s="35" t="s">
        <v>27</v>
      </c>
      <c r="G5416" s="35" t="s">
        <v>20</v>
      </c>
      <c r="H5416" s="35" t="s">
        <v>71</v>
      </c>
      <c r="I5416" s="35" t="s">
        <v>21</v>
      </c>
      <c r="J5416" s="35" t="s">
        <v>17957</v>
      </c>
      <c r="K5416" s="35" t="s">
        <v>17958</v>
      </c>
      <c r="L5416" s="35" t="s">
        <v>7167</v>
      </c>
      <c r="M5416" s="35" t="s">
        <v>21</v>
      </c>
      <c r="N5416" s="36"/>
      <c r="O5416" s="96">
        <v>42667</v>
      </c>
      <c r="P5416" s="35" t="s">
        <v>21</v>
      </c>
      <c r="Q5416" s="33" t="b">
        <v>0</v>
      </c>
      <c r="R5416" s="22">
        <f t="shared" si="100"/>
        <v>97</v>
      </c>
      <c r="S5416" s="18"/>
    </row>
    <row r="5417" spans="1:20">
      <c r="A5417" s="26">
        <v>10889</v>
      </c>
      <c r="B5417" s="27">
        <v>42569</v>
      </c>
      <c r="C5417" s="28" t="s">
        <v>18942</v>
      </c>
      <c r="D5417" s="27">
        <v>42569</v>
      </c>
      <c r="E5417" s="28" t="s">
        <v>1432</v>
      </c>
      <c r="F5417" s="28" t="s">
        <v>70</v>
      </c>
      <c r="G5417" s="28" t="s">
        <v>20</v>
      </c>
      <c r="H5417" s="28" t="s">
        <v>71</v>
      </c>
      <c r="I5417" s="28" t="s">
        <v>21</v>
      </c>
      <c r="J5417" s="28" t="s">
        <v>18124</v>
      </c>
      <c r="K5417" s="28" t="s">
        <v>18125</v>
      </c>
      <c r="L5417" s="28" t="s">
        <v>4282</v>
      </c>
      <c r="M5417" s="28" t="s">
        <v>21</v>
      </c>
      <c r="O5417" s="98"/>
      <c r="P5417" s="28" t="s">
        <v>21</v>
      </c>
      <c r="Q5417" s="26" t="b">
        <v>0</v>
      </c>
      <c r="R5417" s="59"/>
      <c r="S5417" s="18"/>
      <c r="T5417" s="37" t="s">
        <v>21</v>
      </c>
    </row>
    <row r="5418" spans="1:20" ht="24">
      <c r="A5418" s="26">
        <v>10890</v>
      </c>
      <c r="B5418" s="27">
        <v>42572</v>
      </c>
      <c r="C5418" s="28" t="s">
        <v>18943</v>
      </c>
      <c r="D5418" s="27">
        <v>42571</v>
      </c>
      <c r="E5418" s="28" t="s">
        <v>18122</v>
      </c>
      <c r="F5418" s="28" t="s">
        <v>359</v>
      </c>
      <c r="G5418" s="28" t="s">
        <v>20</v>
      </c>
      <c r="H5418" s="28" t="s">
        <v>71</v>
      </c>
      <c r="I5418" s="28" t="s">
        <v>21</v>
      </c>
      <c r="J5418" s="28" t="s">
        <v>18123</v>
      </c>
      <c r="K5418" s="28" t="s">
        <v>9348</v>
      </c>
      <c r="L5418" s="28" t="s">
        <v>4282</v>
      </c>
      <c r="M5418" s="28" t="s">
        <v>21</v>
      </c>
      <c r="O5418" s="100">
        <v>43644</v>
      </c>
      <c r="P5418" s="28" t="s">
        <v>21</v>
      </c>
      <c r="Q5418" s="26" t="b">
        <v>0</v>
      </c>
      <c r="R5418" s="22">
        <f t="shared" ref="R5418:R5431" si="101">IF(O5418=" ", " ", INT(YEARFRAC(O5418, B5418)*365))</f>
        <v>1071</v>
      </c>
      <c r="S5418" s="28" t="s">
        <v>21</v>
      </c>
    </row>
    <row r="5419" spans="1:20" ht="32">
      <c r="A5419" s="33">
        <v>10891</v>
      </c>
      <c r="B5419" s="34">
        <v>42572</v>
      </c>
      <c r="C5419" s="35" t="s">
        <v>17764</v>
      </c>
      <c r="D5419" s="34">
        <v>42565</v>
      </c>
      <c r="E5419" s="35" t="s">
        <v>1928</v>
      </c>
      <c r="F5419" s="35" t="s">
        <v>1743</v>
      </c>
      <c r="G5419" s="35" t="s">
        <v>20</v>
      </c>
      <c r="H5419" s="35" t="s">
        <v>71</v>
      </c>
      <c r="I5419" s="35" t="s">
        <v>21</v>
      </c>
      <c r="J5419" s="35" t="s">
        <v>17765</v>
      </c>
      <c r="K5419" s="35" t="s">
        <v>21</v>
      </c>
      <c r="L5419" s="35" t="s">
        <v>14518</v>
      </c>
      <c r="M5419" s="35" t="s">
        <v>21</v>
      </c>
      <c r="N5419" s="36"/>
      <c r="O5419" s="96">
        <v>42573</v>
      </c>
      <c r="P5419" s="35" t="s">
        <v>21</v>
      </c>
      <c r="Q5419" s="33" t="b">
        <v>0</v>
      </c>
      <c r="R5419" s="22">
        <f t="shared" si="101"/>
        <v>1</v>
      </c>
      <c r="S5419" s="18"/>
    </row>
    <row r="5420" spans="1:20" ht="32">
      <c r="A5420" s="33">
        <v>10892</v>
      </c>
      <c r="B5420" s="34">
        <v>42572</v>
      </c>
      <c r="C5420" s="35" t="s">
        <v>17885</v>
      </c>
      <c r="D5420" s="34">
        <v>42571</v>
      </c>
      <c r="E5420" s="35" t="s">
        <v>38</v>
      </c>
      <c r="F5420" s="35" t="s">
        <v>124</v>
      </c>
      <c r="G5420" s="35" t="s">
        <v>20</v>
      </c>
      <c r="H5420" s="35" t="s">
        <v>71</v>
      </c>
      <c r="I5420" s="35" t="s">
        <v>21</v>
      </c>
      <c r="J5420" s="35" t="s">
        <v>17886</v>
      </c>
      <c r="K5420" s="35" t="s">
        <v>17887</v>
      </c>
      <c r="L5420" s="35" t="s">
        <v>14518</v>
      </c>
      <c r="M5420" s="35" t="s">
        <v>21</v>
      </c>
      <c r="N5420" s="36"/>
      <c r="O5420" s="96">
        <v>42626</v>
      </c>
      <c r="P5420" s="35" t="s">
        <v>21</v>
      </c>
      <c r="Q5420" s="33" t="b">
        <v>0</v>
      </c>
      <c r="R5420" s="22">
        <f t="shared" si="101"/>
        <v>52</v>
      </c>
      <c r="S5420" s="18"/>
    </row>
    <row r="5421" spans="1:20">
      <c r="A5421" s="38">
        <v>10893</v>
      </c>
      <c r="B5421" s="39">
        <v>42576</v>
      </c>
      <c r="C5421" s="40" t="s">
        <v>18944</v>
      </c>
      <c r="D5421" s="39">
        <v>42576</v>
      </c>
      <c r="E5421" s="40" t="s">
        <v>18118</v>
      </c>
      <c r="F5421" s="40" t="s">
        <v>18119</v>
      </c>
      <c r="G5421" s="40" t="s">
        <v>20</v>
      </c>
      <c r="H5421" s="40" t="s">
        <v>71</v>
      </c>
      <c r="I5421" s="40" t="s">
        <v>21</v>
      </c>
      <c r="J5421" s="40" t="s">
        <v>18120</v>
      </c>
      <c r="K5421" s="40" t="s">
        <v>18121</v>
      </c>
      <c r="L5421" s="40" t="s">
        <v>1946</v>
      </c>
      <c r="M5421" s="40" t="s">
        <v>21</v>
      </c>
      <c r="O5421" s="100">
        <v>43328</v>
      </c>
      <c r="P5421" s="41" t="s">
        <v>21</v>
      </c>
      <c r="Q5421" s="42" t="b">
        <v>0</v>
      </c>
      <c r="R5421" s="22">
        <f t="shared" si="101"/>
        <v>751</v>
      </c>
      <c r="S5421" s="18"/>
    </row>
    <row r="5422" spans="1:20" ht="32">
      <c r="A5422" s="33">
        <v>10894</v>
      </c>
      <c r="B5422" s="34">
        <v>42577</v>
      </c>
      <c r="C5422" s="35" t="s">
        <v>17784</v>
      </c>
      <c r="D5422" s="34">
        <v>42576</v>
      </c>
      <c r="E5422" s="35" t="s">
        <v>17785</v>
      </c>
      <c r="F5422" s="35" t="s">
        <v>984</v>
      </c>
      <c r="G5422" s="35" t="s">
        <v>20</v>
      </c>
      <c r="H5422" s="35" t="s">
        <v>71</v>
      </c>
      <c r="I5422" s="35" t="s">
        <v>21</v>
      </c>
      <c r="J5422" s="35" t="s">
        <v>17786</v>
      </c>
      <c r="K5422" s="35" t="s">
        <v>17787</v>
      </c>
      <c r="L5422" s="35" t="s">
        <v>1946</v>
      </c>
      <c r="M5422" s="35" t="s">
        <v>21</v>
      </c>
      <c r="N5422" s="36"/>
      <c r="O5422" s="96">
        <v>42583</v>
      </c>
      <c r="P5422" s="35" t="s">
        <v>21</v>
      </c>
      <c r="Q5422" s="33" t="b">
        <v>0</v>
      </c>
      <c r="R5422" s="22">
        <f t="shared" si="101"/>
        <v>5</v>
      </c>
      <c r="S5422" s="18"/>
    </row>
    <row r="5423" spans="1:20" ht="32">
      <c r="A5423" s="33">
        <v>10895</v>
      </c>
      <c r="B5423" s="34">
        <v>42577</v>
      </c>
      <c r="C5423" s="35" t="s">
        <v>17791</v>
      </c>
      <c r="D5423" s="34">
        <v>42576</v>
      </c>
      <c r="E5423" s="35" t="s">
        <v>38</v>
      </c>
      <c r="F5423" s="35" t="s">
        <v>34</v>
      </c>
      <c r="G5423" s="35" t="s">
        <v>20</v>
      </c>
      <c r="H5423" s="35" t="s">
        <v>71</v>
      </c>
      <c r="I5423" s="35" t="s">
        <v>21</v>
      </c>
      <c r="J5423" s="35" t="s">
        <v>17792</v>
      </c>
      <c r="K5423" s="35" t="s">
        <v>21</v>
      </c>
      <c r="L5423" s="35" t="s">
        <v>14909</v>
      </c>
      <c r="M5423" s="35" t="s">
        <v>21</v>
      </c>
      <c r="N5423" s="36"/>
      <c r="O5423" s="96">
        <v>42584</v>
      </c>
      <c r="P5423" s="35" t="s">
        <v>21</v>
      </c>
      <c r="Q5423" s="33" t="b">
        <v>0</v>
      </c>
      <c r="R5423" s="22">
        <f t="shared" si="101"/>
        <v>6</v>
      </c>
      <c r="S5423" s="18"/>
    </row>
    <row r="5424" spans="1:20" ht="24">
      <c r="A5424" s="38">
        <v>10896</v>
      </c>
      <c r="B5424" s="39">
        <v>42577</v>
      </c>
      <c r="C5424" s="40" t="s">
        <v>18945</v>
      </c>
      <c r="D5424" s="39">
        <v>42577</v>
      </c>
      <c r="E5424" s="40" t="s">
        <v>1432</v>
      </c>
      <c r="F5424" s="40" t="s">
        <v>18115</v>
      </c>
      <c r="G5424" s="40" t="s">
        <v>20</v>
      </c>
      <c r="H5424" s="40" t="s">
        <v>71</v>
      </c>
      <c r="I5424" s="40" t="s">
        <v>21</v>
      </c>
      <c r="J5424" s="40" t="s">
        <v>18116</v>
      </c>
      <c r="K5424" s="40" t="s">
        <v>18117</v>
      </c>
      <c r="L5424" s="40" t="s">
        <v>14518</v>
      </c>
      <c r="M5424" s="40" t="s">
        <v>21</v>
      </c>
      <c r="O5424" s="100">
        <v>43441</v>
      </c>
      <c r="P5424" s="41" t="s">
        <v>21</v>
      </c>
      <c r="Q5424" s="42" t="b">
        <v>0</v>
      </c>
      <c r="R5424" s="22">
        <f t="shared" si="101"/>
        <v>862</v>
      </c>
      <c r="S5424" s="18"/>
    </row>
    <row r="5425" spans="1:19" ht="32">
      <c r="A5425" s="33">
        <v>10897</v>
      </c>
      <c r="B5425" s="34">
        <v>42578</v>
      </c>
      <c r="C5425" s="35" t="s">
        <v>17833</v>
      </c>
      <c r="D5425" s="34">
        <v>42578</v>
      </c>
      <c r="E5425" s="35" t="s">
        <v>38</v>
      </c>
      <c r="F5425" s="35" t="s">
        <v>1743</v>
      </c>
      <c r="G5425" s="35" t="s">
        <v>20</v>
      </c>
      <c r="H5425" s="35" t="s">
        <v>71</v>
      </c>
      <c r="I5425" s="35" t="s">
        <v>21</v>
      </c>
      <c r="J5425" s="35" t="s">
        <v>17834</v>
      </c>
      <c r="K5425" s="35" t="s">
        <v>21</v>
      </c>
      <c r="L5425" s="35" t="s">
        <v>14909</v>
      </c>
      <c r="M5425" s="35" t="s">
        <v>21</v>
      </c>
      <c r="N5425" s="36"/>
      <c r="O5425" s="96">
        <v>42611</v>
      </c>
      <c r="P5425" s="35" t="s">
        <v>21</v>
      </c>
      <c r="Q5425" s="33" t="b">
        <v>0</v>
      </c>
      <c r="R5425" s="22">
        <f t="shared" si="101"/>
        <v>32</v>
      </c>
      <c r="S5425" s="18"/>
    </row>
    <row r="5426" spans="1:19" ht="32">
      <c r="A5426" s="33">
        <v>10898</v>
      </c>
      <c r="B5426" s="34">
        <v>42579</v>
      </c>
      <c r="C5426" s="35" t="s">
        <v>17793</v>
      </c>
      <c r="D5426" s="34">
        <v>42578</v>
      </c>
      <c r="E5426" s="35" t="s">
        <v>38</v>
      </c>
      <c r="F5426" s="35" t="s">
        <v>1743</v>
      </c>
      <c r="G5426" s="35" t="s">
        <v>20</v>
      </c>
      <c r="H5426" s="35" t="s">
        <v>71</v>
      </c>
      <c r="I5426" s="35" t="s">
        <v>21</v>
      </c>
      <c r="J5426" s="35" t="s">
        <v>17794</v>
      </c>
      <c r="K5426" s="35" t="s">
        <v>21</v>
      </c>
      <c r="L5426" s="35" t="s">
        <v>14518</v>
      </c>
      <c r="M5426" s="35" t="s">
        <v>21</v>
      </c>
      <c r="N5426" s="36"/>
      <c r="O5426" s="96">
        <v>42585</v>
      </c>
      <c r="P5426" s="35" t="s">
        <v>21</v>
      </c>
      <c r="Q5426" s="33" t="b">
        <v>0</v>
      </c>
      <c r="R5426" s="22">
        <f t="shared" si="101"/>
        <v>5</v>
      </c>
      <c r="S5426" s="18"/>
    </row>
    <row r="5427" spans="1:19" ht="32">
      <c r="A5427" s="33">
        <v>10899</v>
      </c>
      <c r="B5427" s="34">
        <v>42583</v>
      </c>
      <c r="C5427" s="35" t="s">
        <v>18112</v>
      </c>
      <c r="D5427" s="34">
        <v>42583</v>
      </c>
      <c r="E5427" s="35" t="s">
        <v>15826</v>
      </c>
      <c r="F5427" s="35" t="s">
        <v>1743</v>
      </c>
      <c r="G5427" s="35" t="s">
        <v>20</v>
      </c>
      <c r="H5427" s="35" t="s">
        <v>71</v>
      </c>
      <c r="I5427" s="35" t="s">
        <v>21</v>
      </c>
      <c r="J5427" s="35" t="s">
        <v>18113</v>
      </c>
      <c r="K5427" s="35" t="s">
        <v>18114</v>
      </c>
      <c r="L5427" s="35" t="s">
        <v>16391</v>
      </c>
      <c r="M5427" s="35" t="s">
        <v>21</v>
      </c>
      <c r="N5427" s="36"/>
      <c r="O5427" s="95">
        <v>42948</v>
      </c>
      <c r="P5427" s="35" t="s">
        <v>21</v>
      </c>
      <c r="Q5427" s="33" t="b">
        <v>0</v>
      </c>
      <c r="R5427" s="22">
        <f t="shared" si="101"/>
        <v>365</v>
      </c>
      <c r="S5427" s="18"/>
    </row>
    <row r="5428" spans="1:19" ht="32">
      <c r="A5428" s="33">
        <v>10900</v>
      </c>
      <c r="B5428" s="34">
        <v>42583</v>
      </c>
      <c r="C5428" s="35" t="s">
        <v>17804</v>
      </c>
      <c r="D5428" s="34">
        <v>42583</v>
      </c>
      <c r="E5428" s="35" t="s">
        <v>38</v>
      </c>
      <c r="F5428" s="35" t="s">
        <v>3171</v>
      </c>
      <c r="G5428" s="35" t="s">
        <v>20</v>
      </c>
      <c r="H5428" s="35" t="s">
        <v>566</v>
      </c>
      <c r="I5428" s="35" t="s">
        <v>21</v>
      </c>
      <c r="J5428" s="35" t="s">
        <v>17805</v>
      </c>
      <c r="K5428" s="35" t="s">
        <v>17806</v>
      </c>
      <c r="L5428" s="35" t="s">
        <v>4282</v>
      </c>
      <c r="M5428" s="35" t="s">
        <v>21</v>
      </c>
      <c r="N5428" s="36"/>
      <c r="O5428" s="96">
        <v>42594</v>
      </c>
      <c r="P5428" s="35" t="s">
        <v>21</v>
      </c>
      <c r="Q5428" s="33" t="b">
        <v>0</v>
      </c>
      <c r="R5428" s="22">
        <f t="shared" si="101"/>
        <v>11</v>
      </c>
      <c r="S5428" s="18"/>
    </row>
    <row r="5429" spans="1:19" ht="32">
      <c r="A5429" s="33">
        <v>10901</v>
      </c>
      <c r="B5429" s="34">
        <v>42584</v>
      </c>
      <c r="C5429" s="35" t="s">
        <v>17839</v>
      </c>
      <c r="D5429" s="34">
        <v>42583</v>
      </c>
      <c r="E5429" s="35" t="s">
        <v>17840</v>
      </c>
      <c r="F5429" s="35" t="s">
        <v>8605</v>
      </c>
      <c r="G5429" s="35" t="s">
        <v>20</v>
      </c>
      <c r="H5429" s="35" t="s">
        <v>189</v>
      </c>
      <c r="I5429" s="35" t="s">
        <v>21</v>
      </c>
      <c r="J5429" s="35" t="s">
        <v>17841</v>
      </c>
      <c r="K5429" s="35" t="s">
        <v>17842</v>
      </c>
      <c r="L5429" s="35" t="s">
        <v>14909</v>
      </c>
      <c r="M5429" s="35" t="s">
        <v>21</v>
      </c>
      <c r="N5429" s="36"/>
      <c r="O5429" s="96">
        <v>42613</v>
      </c>
      <c r="P5429" s="35" t="s">
        <v>21</v>
      </c>
      <c r="Q5429" s="33" t="b">
        <v>0</v>
      </c>
      <c r="R5429" s="22">
        <f t="shared" si="101"/>
        <v>29</v>
      </c>
      <c r="S5429" s="18"/>
    </row>
    <row r="5430" spans="1:19" ht="32">
      <c r="A5430" s="33">
        <v>10902</v>
      </c>
      <c r="B5430" s="34">
        <v>42584</v>
      </c>
      <c r="C5430" s="35" t="s">
        <v>17807</v>
      </c>
      <c r="D5430" s="34">
        <v>42583</v>
      </c>
      <c r="E5430" s="35" t="s">
        <v>17808</v>
      </c>
      <c r="F5430" s="35" t="s">
        <v>8605</v>
      </c>
      <c r="G5430" s="35" t="s">
        <v>20</v>
      </c>
      <c r="H5430" s="35" t="s">
        <v>189</v>
      </c>
      <c r="I5430" s="35" t="s">
        <v>21</v>
      </c>
      <c r="J5430" s="35" t="s">
        <v>17809</v>
      </c>
      <c r="K5430" s="35" t="s">
        <v>17810</v>
      </c>
      <c r="L5430" s="35" t="s">
        <v>7167</v>
      </c>
      <c r="M5430" s="35" t="s">
        <v>21</v>
      </c>
      <c r="N5430" s="36"/>
      <c r="O5430" s="96">
        <v>42597</v>
      </c>
      <c r="P5430" s="35" t="s">
        <v>21</v>
      </c>
      <c r="Q5430" s="33" t="b">
        <v>0</v>
      </c>
      <c r="R5430" s="22">
        <f t="shared" si="101"/>
        <v>13</v>
      </c>
      <c r="S5430" s="18"/>
    </row>
    <row r="5431" spans="1:19" ht="32">
      <c r="A5431" s="33">
        <v>10903</v>
      </c>
      <c r="B5431" s="34">
        <v>42584</v>
      </c>
      <c r="C5431" s="35" t="s">
        <v>17928</v>
      </c>
      <c r="D5431" s="34">
        <v>42583</v>
      </c>
      <c r="E5431" s="35" t="s">
        <v>38</v>
      </c>
      <c r="F5431" s="35" t="s">
        <v>1743</v>
      </c>
      <c r="G5431" s="35" t="s">
        <v>20</v>
      </c>
      <c r="H5431" s="35" t="s">
        <v>71</v>
      </c>
      <c r="I5431" s="35" t="s">
        <v>21</v>
      </c>
      <c r="J5431" s="35" t="s">
        <v>17929</v>
      </c>
      <c r="K5431" s="35" t="s">
        <v>17930</v>
      </c>
      <c r="L5431" s="35" t="s">
        <v>1946</v>
      </c>
      <c r="M5431" s="35" t="s">
        <v>21</v>
      </c>
      <c r="N5431" s="36"/>
      <c r="O5431" s="96">
        <v>42641</v>
      </c>
      <c r="P5431" s="35" t="s">
        <v>21</v>
      </c>
      <c r="Q5431" s="33" t="b">
        <v>0</v>
      </c>
      <c r="R5431" s="22">
        <f t="shared" si="101"/>
        <v>56</v>
      </c>
      <c r="S5431" s="18"/>
    </row>
    <row r="5432" spans="1:19" ht="32">
      <c r="A5432" s="33">
        <v>10904</v>
      </c>
      <c r="B5432" s="34">
        <v>42585</v>
      </c>
      <c r="C5432" s="35" t="s">
        <v>18108</v>
      </c>
      <c r="D5432" s="34">
        <v>42585</v>
      </c>
      <c r="E5432" s="35" t="s">
        <v>15826</v>
      </c>
      <c r="F5432" s="35" t="s">
        <v>1743</v>
      </c>
      <c r="G5432" s="35" t="s">
        <v>20</v>
      </c>
      <c r="H5432" s="35" t="s">
        <v>71</v>
      </c>
      <c r="I5432" s="35" t="s">
        <v>21</v>
      </c>
      <c r="J5432" s="35" t="s">
        <v>18109</v>
      </c>
      <c r="K5432" s="35" t="s">
        <v>21</v>
      </c>
      <c r="L5432" s="35" t="s">
        <v>14518</v>
      </c>
      <c r="M5432" s="35" t="s">
        <v>21</v>
      </c>
      <c r="N5432" s="36"/>
      <c r="O5432" s="95"/>
      <c r="P5432" s="35" t="s">
        <v>21</v>
      </c>
      <c r="Q5432" s="33" t="b">
        <v>0</v>
      </c>
      <c r="R5432" s="112"/>
      <c r="S5432" s="18"/>
    </row>
    <row r="5433" spans="1:19" ht="32">
      <c r="A5433" s="33">
        <v>10905</v>
      </c>
      <c r="B5433" s="34">
        <v>42586</v>
      </c>
      <c r="C5433" s="35" t="s">
        <v>17795</v>
      </c>
      <c r="D5433" s="34">
        <v>42586</v>
      </c>
      <c r="E5433" s="35" t="s">
        <v>38</v>
      </c>
      <c r="F5433" s="35" t="s">
        <v>1743</v>
      </c>
      <c r="G5433" s="35" t="s">
        <v>20</v>
      </c>
      <c r="H5433" s="35" t="s">
        <v>71</v>
      </c>
      <c r="I5433" s="35" t="s">
        <v>21</v>
      </c>
      <c r="J5433" s="35" t="s">
        <v>17796</v>
      </c>
      <c r="K5433" s="35" t="s">
        <v>17797</v>
      </c>
      <c r="L5433" s="35" t="s">
        <v>7167</v>
      </c>
      <c r="M5433" s="35" t="s">
        <v>21</v>
      </c>
      <c r="N5433" s="36"/>
      <c r="O5433" s="96">
        <v>42587</v>
      </c>
      <c r="P5433" s="35" t="s">
        <v>21</v>
      </c>
      <c r="Q5433" s="33" t="b">
        <v>0</v>
      </c>
      <c r="R5433" s="22">
        <f t="shared" ref="R5433:R5479" si="102">IF(O5433=" ", " ", INT(YEARFRAC(O5433, B5433)*365))</f>
        <v>1</v>
      </c>
      <c r="S5433" s="18"/>
    </row>
    <row r="5434" spans="1:19" ht="32">
      <c r="A5434" s="33">
        <v>10906</v>
      </c>
      <c r="B5434" s="34">
        <v>42590</v>
      </c>
      <c r="C5434" s="35" t="s">
        <v>17830</v>
      </c>
      <c r="D5434" s="34">
        <v>42590</v>
      </c>
      <c r="E5434" s="35" t="s">
        <v>17831</v>
      </c>
      <c r="F5434" s="35" t="s">
        <v>741</v>
      </c>
      <c r="G5434" s="35" t="s">
        <v>20</v>
      </c>
      <c r="H5434" s="35" t="s">
        <v>71</v>
      </c>
      <c r="I5434" s="35" t="s">
        <v>21</v>
      </c>
      <c r="J5434" s="35" t="s">
        <v>17832</v>
      </c>
      <c r="K5434" s="35" t="s">
        <v>6081</v>
      </c>
      <c r="L5434" s="35" t="s">
        <v>7167</v>
      </c>
      <c r="M5434" s="35" t="s">
        <v>21</v>
      </c>
      <c r="N5434" s="36"/>
      <c r="O5434" s="96">
        <v>42611</v>
      </c>
      <c r="P5434" s="35" t="s">
        <v>21</v>
      </c>
      <c r="Q5434" s="33" t="b">
        <v>0</v>
      </c>
      <c r="R5434" s="22">
        <f t="shared" si="102"/>
        <v>21</v>
      </c>
      <c r="S5434" s="18"/>
    </row>
    <row r="5435" spans="1:19" ht="32">
      <c r="A5435" s="33">
        <v>10907</v>
      </c>
      <c r="B5435" s="34">
        <v>42594</v>
      </c>
      <c r="C5435" s="35" t="s">
        <v>17825</v>
      </c>
      <c r="D5435" s="34">
        <v>42593</v>
      </c>
      <c r="E5435" s="35" t="s">
        <v>17826</v>
      </c>
      <c r="F5435" s="35" t="s">
        <v>17827</v>
      </c>
      <c r="G5435" s="35" t="s">
        <v>20</v>
      </c>
      <c r="H5435" s="35" t="s">
        <v>71</v>
      </c>
      <c r="I5435" s="35" t="s">
        <v>21</v>
      </c>
      <c r="J5435" s="35" t="s">
        <v>17828</v>
      </c>
      <c r="K5435" s="35" t="s">
        <v>17829</v>
      </c>
      <c r="L5435" s="35" t="s">
        <v>7167</v>
      </c>
      <c r="M5435" s="35" t="s">
        <v>21</v>
      </c>
      <c r="N5435" s="36"/>
      <c r="O5435" s="96">
        <v>42607</v>
      </c>
      <c r="P5435" s="35" t="s">
        <v>21</v>
      </c>
      <c r="Q5435" s="33" t="b">
        <v>0</v>
      </c>
      <c r="R5435" s="22">
        <f t="shared" si="102"/>
        <v>13</v>
      </c>
      <c r="S5435" s="18"/>
    </row>
    <row r="5436" spans="1:19" ht="32">
      <c r="A5436" s="33">
        <v>10908</v>
      </c>
      <c r="B5436" s="34">
        <v>42594</v>
      </c>
      <c r="C5436" s="35" t="s">
        <v>17939</v>
      </c>
      <c r="D5436" s="34">
        <v>42594</v>
      </c>
      <c r="E5436" s="35" t="s">
        <v>38</v>
      </c>
      <c r="F5436" s="35" t="s">
        <v>12633</v>
      </c>
      <c r="G5436" s="35" t="s">
        <v>20</v>
      </c>
      <c r="H5436" s="35" t="s">
        <v>71</v>
      </c>
      <c r="I5436" s="35" t="s">
        <v>21</v>
      </c>
      <c r="J5436" s="35" t="s">
        <v>17940</v>
      </c>
      <c r="K5436" s="35" t="s">
        <v>17941</v>
      </c>
      <c r="L5436" s="35" t="s">
        <v>1946</v>
      </c>
      <c r="M5436" s="35" t="s">
        <v>21</v>
      </c>
      <c r="N5436" s="36"/>
      <c r="O5436" s="96">
        <v>42646</v>
      </c>
      <c r="P5436" s="35" t="s">
        <v>21</v>
      </c>
      <c r="Q5436" s="33" t="b">
        <v>0</v>
      </c>
      <c r="R5436" s="22">
        <f t="shared" si="102"/>
        <v>51</v>
      </c>
      <c r="S5436" s="18"/>
    </row>
    <row r="5437" spans="1:19" ht="32">
      <c r="A5437" s="33">
        <v>10909</v>
      </c>
      <c r="B5437" s="34">
        <v>42597</v>
      </c>
      <c r="C5437" s="35" t="s">
        <v>17888</v>
      </c>
      <c r="D5437" s="34">
        <v>42593</v>
      </c>
      <c r="E5437" s="35" t="s">
        <v>17889</v>
      </c>
      <c r="F5437" s="35" t="s">
        <v>12892</v>
      </c>
      <c r="G5437" s="35" t="s">
        <v>20</v>
      </c>
      <c r="H5437" s="35" t="s">
        <v>71</v>
      </c>
      <c r="I5437" s="35" t="s">
        <v>21</v>
      </c>
      <c r="J5437" s="35" t="s">
        <v>17890</v>
      </c>
      <c r="K5437" s="35" t="s">
        <v>6081</v>
      </c>
      <c r="L5437" s="35" t="s">
        <v>14909</v>
      </c>
      <c r="M5437" s="35" t="s">
        <v>21</v>
      </c>
      <c r="N5437" s="36"/>
      <c r="O5437" s="96">
        <v>42626</v>
      </c>
      <c r="P5437" s="35" t="s">
        <v>21</v>
      </c>
      <c r="Q5437" s="33" t="b">
        <v>0</v>
      </c>
      <c r="R5437" s="22">
        <f t="shared" si="102"/>
        <v>28</v>
      </c>
      <c r="S5437" s="18"/>
    </row>
    <row r="5438" spans="1:19" ht="32">
      <c r="A5438" s="33">
        <v>10910</v>
      </c>
      <c r="B5438" s="34">
        <v>42599</v>
      </c>
      <c r="C5438" s="35" t="s">
        <v>17903</v>
      </c>
      <c r="D5438" s="34">
        <v>42598</v>
      </c>
      <c r="E5438" s="35" t="s">
        <v>17904</v>
      </c>
      <c r="F5438" s="35" t="s">
        <v>34</v>
      </c>
      <c r="G5438" s="35" t="s">
        <v>20</v>
      </c>
      <c r="H5438" s="35" t="s">
        <v>71</v>
      </c>
      <c r="I5438" s="35" t="s">
        <v>21</v>
      </c>
      <c r="J5438" s="35" t="s">
        <v>17905</v>
      </c>
      <c r="K5438" s="35" t="s">
        <v>13842</v>
      </c>
      <c r="L5438" s="35" t="s">
        <v>14909</v>
      </c>
      <c r="M5438" s="35" t="s">
        <v>21</v>
      </c>
      <c r="N5438" s="36"/>
      <c r="O5438" s="96">
        <v>42632</v>
      </c>
      <c r="P5438" s="35" t="s">
        <v>21</v>
      </c>
      <c r="Q5438" s="33" t="b">
        <v>0</v>
      </c>
      <c r="R5438" s="22">
        <f t="shared" si="102"/>
        <v>32</v>
      </c>
      <c r="S5438" s="18"/>
    </row>
    <row r="5439" spans="1:19">
      <c r="A5439" s="38">
        <v>10911</v>
      </c>
      <c r="B5439" s="39">
        <v>42600</v>
      </c>
      <c r="C5439" s="40" t="s">
        <v>18946</v>
      </c>
      <c r="D5439" s="39">
        <v>42598</v>
      </c>
      <c r="E5439" s="40" t="s">
        <v>18105</v>
      </c>
      <c r="F5439" s="40" t="s">
        <v>149</v>
      </c>
      <c r="G5439" s="40" t="s">
        <v>20</v>
      </c>
      <c r="H5439" s="40" t="s">
        <v>71</v>
      </c>
      <c r="I5439" s="40" t="s">
        <v>21</v>
      </c>
      <c r="J5439" s="40" t="s">
        <v>18106</v>
      </c>
      <c r="K5439" s="40" t="s">
        <v>18107</v>
      </c>
      <c r="L5439" s="40" t="s">
        <v>14909</v>
      </c>
      <c r="M5439" s="40" t="s">
        <v>21</v>
      </c>
      <c r="O5439" s="100">
        <v>43423</v>
      </c>
      <c r="P5439" s="41" t="s">
        <v>21</v>
      </c>
      <c r="Q5439" s="42" t="b">
        <v>0</v>
      </c>
      <c r="R5439" s="22">
        <f t="shared" si="102"/>
        <v>822</v>
      </c>
      <c r="S5439" s="18"/>
    </row>
    <row r="5440" spans="1:19" ht="32">
      <c r="A5440" s="33">
        <v>10912</v>
      </c>
      <c r="B5440" s="34">
        <v>42600</v>
      </c>
      <c r="C5440" s="35" t="s">
        <v>17819</v>
      </c>
      <c r="D5440" s="34">
        <v>42598</v>
      </c>
      <c r="E5440" s="35" t="s">
        <v>38</v>
      </c>
      <c r="F5440" s="35" t="s">
        <v>149</v>
      </c>
      <c r="G5440" s="35" t="s">
        <v>20</v>
      </c>
      <c r="H5440" s="35" t="s">
        <v>71</v>
      </c>
      <c r="I5440" s="35" t="s">
        <v>21</v>
      </c>
      <c r="J5440" s="35" t="s">
        <v>17820</v>
      </c>
      <c r="K5440" s="35" t="s">
        <v>17821</v>
      </c>
      <c r="L5440" s="35" t="s">
        <v>14909</v>
      </c>
      <c r="M5440" s="35" t="s">
        <v>21</v>
      </c>
      <c r="N5440" s="36"/>
      <c r="O5440" s="96">
        <v>42605</v>
      </c>
      <c r="P5440" s="35" t="s">
        <v>21</v>
      </c>
      <c r="Q5440" s="33" t="b">
        <v>0</v>
      </c>
      <c r="R5440" s="22">
        <f t="shared" si="102"/>
        <v>5</v>
      </c>
      <c r="S5440" s="18"/>
    </row>
    <row r="5441" spans="1:19" ht="32">
      <c r="A5441" s="33">
        <v>10913</v>
      </c>
      <c r="B5441" s="34">
        <v>42604</v>
      </c>
      <c r="C5441" s="35" t="s">
        <v>17863</v>
      </c>
      <c r="D5441" s="34">
        <v>42601</v>
      </c>
      <c r="E5441" s="35" t="s">
        <v>1928</v>
      </c>
      <c r="F5441" s="35" t="s">
        <v>1743</v>
      </c>
      <c r="G5441" s="35" t="s">
        <v>20</v>
      </c>
      <c r="H5441" s="35" t="s">
        <v>71</v>
      </c>
      <c r="I5441" s="35" t="s">
        <v>21</v>
      </c>
      <c r="J5441" s="35" t="s">
        <v>17864</v>
      </c>
      <c r="K5441" s="35" t="s">
        <v>17865</v>
      </c>
      <c r="L5441" s="35" t="s">
        <v>4282</v>
      </c>
      <c r="M5441" s="35" t="s">
        <v>21</v>
      </c>
      <c r="N5441" s="36"/>
      <c r="O5441" s="96">
        <v>42619</v>
      </c>
      <c r="P5441" s="35" t="s">
        <v>21</v>
      </c>
      <c r="Q5441" s="33" t="b">
        <v>0</v>
      </c>
      <c r="R5441" s="22">
        <f t="shared" si="102"/>
        <v>14</v>
      </c>
      <c r="S5441" s="18"/>
    </row>
    <row r="5442" spans="1:19" ht="32">
      <c r="A5442" s="33">
        <v>10914</v>
      </c>
      <c r="B5442" s="34">
        <v>42604</v>
      </c>
      <c r="C5442" s="35" t="s">
        <v>17816</v>
      </c>
      <c r="D5442" s="34">
        <v>42604</v>
      </c>
      <c r="E5442" s="35" t="s">
        <v>38</v>
      </c>
      <c r="F5442" s="35" t="s">
        <v>129</v>
      </c>
      <c r="G5442" s="35" t="s">
        <v>20</v>
      </c>
      <c r="H5442" s="35" t="s">
        <v>71</v>
      </c>
      <c r="I5442" s="35" t="s">
        <v>21</v>
      </c>
      <c r="J5442" s="35" t="s">
        <v>17817</v>
      </c>
      <c r="K5442" s="35" t="s">
        <v>17818</v>
      </c>
      <c r="L5442" s="35" t="s">
        <v>14518</v>
      </c>
      <c r="M5442" s="35" t="s">
        <v>21</v>
      </c>
      <c r="N5442" s="36"/>
      <c r="O5442" s="96">
        <v>42604</v>
      </c>
      <c r="P5442" s="35" t="s">
        <v>21</v>
      </c>
      <c r="Q5442" s="33" t="b">
        <v>0</v>
      </c>
      <c r="R5442" s="22">
        <f t="shared" si="102"/>
        <v>0</v>
      </c>
      <c r="S5442" s="18"/>
    </row>
    <row r="5443" spans="1:19" ht="32">
      <c r="A5443" s="33">
        <v>10915</v>
      </c>
      <c r="B5443" s="34">
        <v>42604</v>
      </c>
      <c r="C5443" s="35" t="s">
        <v>17822</v>
      </c>
      <c r="D5443" s="34">
        <v>42604</v>
      </c>
      <c r="E5443" s="35" t="s">
        <v>38</v>
      </c>
      <c r="F5443" s="35" t="s">
        <v>17823</v>
      </c>
      <c r="G5443" s="35" t="s">
        <v>20</v>
      </c>
      <c r="H5443" s="35" t="s">
        <v>71</v>
      </c>
      <c r="I5443" s="35" t="s">
        <v>21</v>
      </c>
      <c r="J5443" s="35" t="s">
        <v>17817</v>
      </c>
      <c r="K5443" s="35" t="s">
        <v>21</v>
      </c>
      <c r="L5443" s="35" t="s">
        <v>14909</v>
      </c>
      <c r="M5443" s="35" t="s">
        <v>21</v>
      </c>
      <c r="N5443" s="36"/>
      <c r="O5443" s="96">
        <v>42605</v>
      </c>
      <c r="P5443" s="35" t="s">
        <v>21</v>
      </c>
      <c r="Q5443" s="33" t="b">
        <v>0</v>
      </c>
      <c r="R5443" s="22">
        <f t="shared" si="102"/>
        <v>1</v>
      </c>
      <c r="S5443" s="18"/>
    </row>
    <row r="5444" spans="1:19" ht="32">
      <c r="A5444" s="33">
        <v>10916</v>
      </c>
      <c r="B5444" s="34">
        <v>42604</v>
      </c>
      <c r="C5444" s="35" t="s">
        <v>17984</v>
      </c>
      <c r="D5444" s="34">
        <v>42604</v>
      </c>
      <c r="E5444" s="35" t="s">
        <v>38</v>
      </c>
      <c r="F5444" s="35" t="s">
        <v>17985</v>
      </c>
      <c r="G5444" s="35" t="s">
        <v>20</v>
      </c>
      <c r="H5444" s="35" t="s">
        <v>71</v>
      </c>
      <c r="I5444" s="35" t="s">
        <v>21</v>
      </c>
      <c r="J5444" s="35" t="s">
        <v>17986</v>
      </c>
      <c r="K5444" s="35" t="s">
        <v>17987</v>
      </c>
      <c r="L5444" s="35" t="s">
        <v>1946</v>
      </c>
      <c r="M5444" s="35" t="s">
        <v>21</v>
      </c>
      <c r="N5444" s="36"/>
      <c r="O5444" s="96">
        <v>42674</v>
      </c>
      <c r="P5444" s="35" t="s">
        <v>21</v>
      </c>
      <c r="Q5444" s="33" t="b">
        <v>0</v>
      </c>
      <c r="R5444" s="22">
        <f t="shared" si="102"/>
        <v>69</v>
      </c>
      <c r="S5444" s="18"/>
    </row>
    <row r="5445" spans="1:19" ht="32">
      <c r="A5445" s="33">
        <v>10917</v>
      </c>
      <c r="B5445" s="34">
        <v>42604</v>
      </c>
      <c r="C5445" s="35" t="s">
        <v>17824</v>
      </c>
      <c r="D5445" s="34">
        <v>42604</v>
      </c>
      <c r="E5445" s="35" t="s">
        <v>38</v>
      </c>
      <c r="F5445" s="35" t="s">
        <v>27</v>
      </c>
      <c r="G5445" s="35" t="s">
        <v>20</v>
      </c>
      <c r="H5445" s="35" t="s">
        <v>71</v>
      </c>
      <c r="I5445" s="35" t="s">
        <v>21</v>
      </c>
      <c r="J5445" s="35" t="s">
        <v>14004</v>
      </c>
      <c r="K5445" s="35" t="s">
        <v>27</v>
      </c>
      <c r="L5445" s="35" t="s">
        <v>14518</v>
      </c>
      <c r="M5445" s="35" t="s">
        <v>21</v>
      </c>
      <c r="N5445" s="36"/>
      <c r="O5445" s="96">
        <v>42605</v>
      </c>
      <c r="P5445" s="35" t="s">
        <v>21</v>
      </c>
      <c r="Q5445" s="33" t="b">
        <v>0</v>
      </c>
      <c r="R5445" s="22">
        <f t="shared" si="102"/>
        <v>1</v>
      </c>
      <c r="S5445" s="18"/>
    </row>
    <row r="5446" spans="1:19" ht="32">
      <c r="A5446" s="33">
        <v>10918</v>
      </c>
      <c r="B5446" s="34">
        <v>42605</v>
      </c>
      <c r="C5446" s="35" t="s">
        <v>17974</v>
      </c>
      <c r="D5446" s="34">
        <v>42604</v>
      </c>
      <c r="E5446" s="35" t="s">
        <v>17975</v>
      </c>
      <c r="F5446" s="35" t="s">
        <v>12892</v>
      </c>
      <c r="G5446" s="35" t="s">
        <v>20</v>
      </c>
      <c r="H5446" s="35" t="s">
        <v>71</v>
      </c>
      <c r="I5446" s="35" t="s">
        <v>21</v>
      </c>
      <c r="J5446" s="35" t="s">
        <v>17868</v>
      </c>
      <c r="K5446" s="35" t="s">
        <v>6081</v>
      </c>
      <c r="L5446" s="35" t="s">
        <v>14909</v>
      </c>
      <c r="M5446" s="35" t="s">
        <v>21</v>
      </c>
      <c r="N5446" s="36"/>
      <c r="O5446" s="96">
        <v>42669</v>
      </c>
      <c r="P5446" s="35" t="s">
        <v>21</v>
      </c>
      <c r="Q5446" s="33" t="b">
        <v>0</v>
      </c>
      <c r="R5446" s="22">
        <f t="shared" si="102"/>
        <v>63</v>
      </c>
      <c r="S5446" s="18"/>
    </row>
    <row r="5447" spans="1:19" ht="32">
      <c r="A5447" s="33">
        <v>10919</v>
      </c>
      <c r="B5447" s="34">
        <v>42605</v>
      </c>
      <c r="C5447" s="35" t="s">
        <v>17870</v>
      </c>
      <c r="D5447" s="34">
        <v>42604</v>
      </c>
      <c r="E5447" s="35" t="s">
        <v>17871</v>
      </c>
      <c r="F5447" s="35" t="s">
        <v>149</v>
      </c>
      <c r="G5447" s="35" t="s">
        <v>20</v>
      </c>
      <c r="H5447" s="35" t="s">
        <v>71</v>
      </c>
      <c r="I5447" s="35" t="s">
        <v>21</v>
      </c>
      <c r="J5447" s="35" t="s">
        <v>17872</v>
      </c>
      <c r="K5447" s="35" t="s">
        <v>6081</v>
      </c>
      <c r="L5447" s="35" t="s">
        <v>14909</v>
      </c>
      <c r="M5447" s="35" t="s">
        <v>21</v>
      </c>
      <c r="N5447" s="36"/>
      <c r="O5447" s="96">
        <v>42621</v>
      </c>
      <c r="P5447" s="35" t="s">
        <v>21</v>
      </c>
      <c r="Q5447" s="33" t="b">
        <v>0</v>
      </c>
      <c r="R5447" s="22">
        <f t="shared" si="102"/>
        <v>15</v>
      </c>
      <c r="S5447" s="18"/>
    </row>
    <row r="5448" spans="1:19" ht="24">
      <c r="A5448" s="26">
        <v>10920</v>
      </c>
      <c r="B5448" s="27">
        <v>42605</v>
      </c>
      <c r="C5448" s="28" t="s">
        <v>19087</v>
      </c>
      <c r="D5448" s="27">
        <v>42605</v>
      </c>
      <c r="E5448" s="28" t="s">
        <v>38</v>
      </c>
      <c r="F5448" s="28" t="s">
        <v>1743</v>
      </c>
      <c r="G5448" s="28" t="s">
        <v>20</v>
      </c>
      <c r="H5448" s="28" t="s">
        <v>71</v>
      </c>
      <c r="I5448" s="28" t="s">
        <v>21</v>
      </c>
      <c r="J5448" s="28" t="s">
        <v>18110</v>
      </c>
      <c r="K5448" s="28" t="s">
        <v>18111</v>
      </c>
      <c r="L5448" s="28" t="s">
        <v>1946</v>
      </c>
      <c r="M5448" s="28" t="s">
        <v>21</v>
      </c>
      <c r="O5448" s="92">
        <v>42779</v>
      </c>
      <c r="P5448" s="28" t="s">
        <v>21</v>
      </c>
      <c r="Q5448" s="26" t="b">
        <v>0</v>
      </c>
      <c r="R5448" s="22">
        <f t="shared" si="102"/>
        <v>172</v>
      </c>
      <c r="S5448" s="28" t="s">
        <v>21</v>
      </c>
    </row>
    <row r="5449" spans="1:19" ht="32">
      <c r="A5449" s="33">
        <v>10921</v>
      </c>
      <c r="B5449" s="34">
        <v>42607</v>
      </c>
      <c r="C5449" s="35" t="s">
        <v>17859</v>
      </c>
      <c r="D5449" s="34">
        <v>42606</v>
      </c>
      <c r="E5449" s="35" t="s">
        <v>17860</v>
      </c>
      <c r="F5449" s="35" t="s">
        <v>129</v>
      </c>
      <c r="G5449" s="35" t="s">
        <v>20</v>
      </c>
      <c r="H5449" s="35" t="s">
        <v>71</v>
      </c>
      <c r="I5449" s="35" t="s">
        <v>21</v>
      </c>
      <c r="J5449" s="35" t="s">
        <v>17861</v>
      </c>
      <c r="K5449" s="35" t="s">
        <v>17862</v>
      </c>
      <c r="L5449" s="35" t="s">
        <v>7167</v>
      </c>
      <c r="M5449" s="35" t="s">
        <v>21</v>
      </c>
      <c r="N5449" s="36"/>
      <c r="O5449" s="96">
        <v>42619</v>
      </c>
      <c r="P5449" s="35" t="s">
        <v>21</v>
      </c>
      <c r="Q5449" s="33" t="b">
        <v>0</v>
      </c>
      <c r="R5449" s="22">
        <f t="shared" si="102"/>
        <v>11</v>
      </c>
      <c r="S5449" s="18"/>
    </row>
    <row r="5450" spans="1:19" ht="32">
      <c r="A5450" s="33">
        <v>10922</v>
      </c>
      <c r="B5450" s="34">
        <v>42607</v>
      </c>
      <c r="C5450" s="35" t="s">
        <v>17855</v>
      </c>
      <c r="D5450" s="34">
        <v>42606</v>
      </c>
      <c r="E5450" s="35" t="s">
        <v>17856</v>
      </c>
      <c r="F5450" s="35" t="s">
        <v>129</v>
      </c>
      <c r="G5450" s="35" t="s">
        <v>20</v>
      </c>
      <c r="H5450" s="35" t="s">
        <v>71</v>
      </c>
      <c r="I5450" s="35" t="s">
        <v>21</v>
      </c>
      <c r="J5450" s="35" t="s">
        <v>17857</v>
      </c>
      <c r="K5450" s="35" t="s">
        <v>17858</v>
      </c>
      <c r="L5450" s="35" t="s">
        <v>7167</v>
      </c>
      <c r="M5450" s="35" t="s">
        <v>21</v>
      </c>
      <c r="N5450" s="36"/>
      <c r="O5450" s="96">
        <v>42619</v>
      </c>
      <c r="P5450" s="35" t="s">
        <v>21</v>
      </c>
      <c r="Q5450" s="33" t="b">
        <v>0</v>
      </c>
      <c r="R5450" s="22">
        <f t="shared" si="102"/>
        <v>11</v>
      </c>
      <c r="S5450" s="18"/>
    </row>
    <row r="5451" spans="1:19" ht="32">
      <c r="A5451" s="33">
        <v>10923</v>
      </c>
      <c r="B5451" s="34">
        <v>42611</v>
      </c>
      <c r="C5451" s="35" t="s">
        <v>17971</v>
      </c>
      <c r="D5451" s="34">
        <v>42607</v>
      </c>
      <c r="E5451" s="35" t="s">
        <v>17972</v>
      </c>
      <c r="F5451" s="35" t="s">
        <v>149</v>
      </c>
      <c r="G5451" s="35" t="s">
        <v>20</v>
      </c>
      <c r="H5451" s="35" t="s">
        <v>71</v>
      </c>
      <c r="I5451" s="35" t="s">
        <v>21</v>
      </c>
      <c r="J5451" s="35" t="s">
        <v>17973</v>
      </c>
      <c r="K5451" s="35" t="s">
        <v>6081</v>
      </c>
      <c r="L5451" s="35" t="s">
        <v>7167</v>
      </c>
      <c r="M5451" s="35" t="s">
        <v>21</v>
      </c>
      <c r="N5451" s="36"/>
      <c r="O5451" s="96">
        <v>42669</v>
      </c>
      <c r="P5451" s="35" t="s">
        <v>21</v>
      </c>
      <c r="Q5451" s="33" t="b">
        <v>0</v>
      </c>
      <c r="R5451" s="22">
        <f t="shared" si="102"/>
        <v>57</v>
      </c>
      <c r="S5451" s="18"/>
    </row>
    <row r="5452" spans="1:19" ht="32">
      <c r="A5452" s="33">
        <v>10924</v>
      </c>
      <c r="B5452" s="34">
        <v>42611</v>
      </c>
      <c r="C5452" s="35" t="s">
        <v>17997</v>
      </c>
      <c r="D5452" s="34">
        <v>42604</v>
      </c>
      <c r="E5452" s="35" t="s">
        <v>38</v>
      </c>
      <c r="F5452" s="35" t="s">
        <v>16173</v>
      </c>
      <c r="G5452" s="35" t="s">
        <v>20</v>
      </c>
      <c r="H5452" s="35" t="s">
        <v>566</v>
      </c>
      <c r="I5452" s="35" t="s">
        <v>21</v>
      </c>
      <c r="J5452" s="35" t="s">
        <v>17998</v>
      </c>
      <c r="K5452" s="35" t="s">
        <v>17999</v>
      </c>
      <c r="L5452" s="35" t="s">
        <v>4282</v>
      </c>
      <c r="M5452" s="35" t="s">
        <v>21</v>
      </c>
      <c r="N5452" s="36"/>
      <c r="O5452" s="96">
        <v>42688</v>
      </c>
      <c r="P5452" s="35" t="s">
        <v>21</v>
      </c>
      <c r="Q5452" s="33" t="b">
        <v>0</v>
      </c>
      <c r="R5452" s="22">
        <f t="shared" si="102"/>
        <v>76</v>
      </c>
      <c r="S5452" s="18"/>
    </row>
    <row r="5453" spans="1:19" ht="32">
      <c r="A5453" s="33">
        <v>10925</v>
      </c>
      <c r="B5453" s="34">
        <v>42611</v>
      </c>
      <c r="C5453" s="35" t="s">
        <v>17876</v>
      </c>
      <c r="D5453" s="34">
        <v>42608</v>
      </c>
      <c r="E5453" s="35" t="s">
        <v>1928</v>
      </c>
      <c r="F5453" s="35" t="s">
        <v>1743</v>
      </c>
      <c r="G5453" s="35" t="s">
        <v>20</v>
      </c>
      <c r="H5453" s="35" t="s">
        <v>71</v>
      </c>
      <c r="I5453" s="35" t="s">
        <v>21</v>
      </c>
      <c r="J5453" s="35" t="s">
        <v>17877</v>
      </c>
      <c r="K5453" s="35" t="s">
        <v>17878</v>
      </c>
      <c r="L5453" s="35" t="s">
        <v>7167</v>
      </c>
      <c r="M5453" s="35" t="s">
        <v>21</v>
      </c>
      <c r="N5453" s="36"/>
      <c r="O5453" s="96">
        <v>42622</v>
      </c>
      <c r="P5453" s="35" t="s">
        <v>21</v>
      </c>
      <c r="Q5453" s="33" t="b">
        <v>0</v>
      </c>
      <c r="R5453" s="22">
        <f t="shared" si="102"/>
        <v>10</v>
      </c>
      <c r="S5453" s="18"/>
    </row>
    <row r="5454" spans="1:19" ht="32">
      <c r="A5454" s="33">
        <v>10926</v>
      </c>
      <c r="B5454" s="34">
        <v>42612</v>
      </c>
      <c r="C5454" s="35" t="s">
        <v>17873</v>
      </c>
      <c r="D5454" s="34">
        <v>42611</v>
      </c>
      <c r="E5454" s="35" t="s">
        <v>17874</v>
      </c>
      <c r="F5454" s="35" t="s">
        <v>124</v>
      </c>
      <c r="G5454" s="35" t="s">
        <v>20</v>
      </c>
      <c r="H5454" s="35" t="s">
        <v>71</v>
      </c>
      <c r="I5454" s="35" t="s">
        <v>21</v>
      </c>
      <c r="J5454" s="35" t="s">
        <v>17875</v>
      </c>
      <c r="K5454" s="35" t="s">
        <v>6081</v>
      </c>
      <c r="L5454" s="35" t="s">
        <v>14909</v>
      </c>
      <c r="M5454" s="35" t="s">
        <v>21</v>
      </c>
      <c r="N5454" s="36"/>
      <c r="O5454" s="96">
        <v>42621</v>
      </c>
      <c r="P5454" s="35" t="s">
        <v>21</v>
      </c>
      <c r="Q5454" s="33" t="b">
        <v>0</v>
      </c>
      <c r="R5454" s="22">
        <f t="shared" si="102"/>
        <v>8</v>
      </c>
      <c r="S5454" s="18"/>
    </row>
    <row r="5455" spans="1:19" ht="32">
      <c r="A5455" s="33">
        <v>10927</v>
      </c>
      <c r="B5455" s="34">
        <v>42612</v>
      </c>
      <c r="C5455" s="35" t="s">
        <v>17921</v>
      </c>
      <c r="D5455" s="34">
        <v>42611</v>
      </c>
      <c r="E5455" s="35" t="s">
        <v>17922</v>
      </c>
      <c r="F5455" s="35" t="s">
        <v>15716</v>
      </c>
      <c r="G5455" s="35" t="s">
        <v>20</v>
      </c>
      <c r="H5455" s="35" t="s">
        <v>566</v>
      </c>
      <c r="I5455" s="35" t="s">
        <v>21</v>
      </c>
      <c r="J5455" s="35" t="s">
        <v>17923</v>
      </c>
      <c r="K5455" s="35" t="s">
        <v>17924</v>
      </c>
      <c r="L5455" s="35" t="s">
        <v>14518</v>
      </c>
      <c r="M5455" s="35" t="s">
        <v>21</v>
      </c>
      <c r="N5455" s="36"/>
      <c r="O5455" s="96">
        <v>42641</v>
      </c>
      <c r="P5455" s="35" t="s">
        <v>21</v>
      </c>
      <c r="Q5455" s="33" t="b">
        <v>0</v>
      </c>
      <c r="R5455" s="22">
        <f t="shared" si="102"/>
        <v>28</v>
      </c>
      <c r="S5455" s="18"/>
    </row>
    <row r="5456" spans="1:19" ht="32">
      <c r="A5456" s="33">
        <v>10928</v>
      </c>
      <c r="B5456" s="34">
        <v>42612</v>
      </c>
      <c r="C5456" s="35" t="s">
        <v>17913</v>
      </c>
      <c r="D5456" s="34">
        <v>42611</v>
      </c>
      <c r="E5456" s="35" t="s">
        <v>38</v>
      </c>
      <c r="F5456" s="35" t="s">
        <v>371</v>
      </c>
      <c r="G5456" s="35" t="s">
        <v>20</v>
      </c>
      <c r="H5456" s="35" t="s">
        <v>71</v>
      </c>
      <c r="I5456" s="35" t="s">
        <v>21</v>
      </c>
      <c r="J5456" s="35" t="s">
        <v>4041</v>
      </c>
      <c r="K5456" s="35" t="s">
        <v>21</v>
      </c>
      <c r="L5456" s="35" t="s">
        <v>14518</v>
      </c>
      <c r="M5456" s="35" t="s">
        <v>21</v>
      </c>
      <c r="N5456" s="36"/>
      <c r="O5456" s="96">
        <v>42640</v>
      </c>
      <c r="P5456" s="35" t="s">
        <v>21</v>
      </c>
      <c r="Q5456" s="33" t="b">
        <v>0</v>
      </c>
      <c r="R5456" s="22">
        <f t="shared" si="102"/>
        <v>27</v>
      </c>
      <c r="S5456" s="18"/>
    </row>
    <row r="5457" spans="1:19" ht="32">
      <c r="A5457" s="33">
        <v>10929</v>
      </c>
      <c r="B5457" s="34">
        <v>42612</v>
      </c>
      <c r="C5457" s="35" t="s">
        <v>17852</v>
      </c>
      <c r="D5457" s="34">
        <v>42611</v>
      </c>
      <c r="E5457" s="35" t="s">
        <v>38</v>
      </c>
      <c r="F5457" s="35" t="s">
        <v>149</v>
      </c>
      <c r="G5457" s="35" t="s">
        <v>20</v>
      </c>
      <c r="H5457" s="35" t="s">
        <v>71</v>
      </c>
      <c r="I5457" s="35" t="s">
        <v>21</v>
      </c>
      <c r="J5457" s="35" t="s">
        <v>17853</v>
      </c>
      <c r="K5457" s="35" t="s">
        <v>17854</v>
      </c>
      <c r="L5457" s="35" t="s">
        <v>7167</v>
      </c>
      <c r="M5457" s="35" t="s">
        <v>21</v>
      </c>
      <c r="N5457" s="36"/>
      <c r="O5457" s="96">
        <v>42619</v>
      </c>
      <c r="P5457" s="35" t="s">
        <v>21</v>
      </c>
      <c r="Q5457" s="33" t="b">
        <v>0</v>
      </c>
      <c r="R5457" s="22">
        <f t="shared" si="102"/>
        <v>6</v>
      </c>
      <c r="S5457" s="18"/>
    </row>
    <row r="5458" spans="1:19" ht="32">
      <c r="A5458" s="33">
        <v>10930</v>
      </c>
      <c r="B5458" s="34">
        <v>42613</v>
      </c>
      <c r="C5458" s="35" t="s">
        <v>18024</v>
      </c>
      <c r="D5458" s="34">
        <v>42612</v>
      </c>
      <c r="E5458" s="35" t="s">
        <v>18025</v>
      </c>
      <c r="F5458" s="35" t="s">
        <v>34</v>
      </c>
      <c r="G5458" s="35" t="s">
        <v>20</v>
      </c>
      <c r="H5458" s="35" t="s">
        <v>71</v>
      </c>
      <c r="I5458" s="35" t="s">
        <v>21</v>
      </c>
      <c r="J5458" s="35" t="s">
        <v>18026</v>
      </c>
      <c r="K5458" s="35" t="s">
        <v>6081</v>
      </c>
      <c r="L5458" s="35" t="s">
        <v>14909</v>
      </c>
      <c r="M5458" s="35" t="s">
        <v>21</v>
      </c>
      <c r="N5458" s="36"/>
      <c r="O5458" s="96">
        <v>42702</v>
      </c>
      <c r="P5458" s="35" t="s">
        <v>21</v>
      </c>
      <c r="Q5458" s="33" t="b">
        <v>0</v>
      </c>
      <c r="R5458" s="22">
        <f t="shared" si="102"/>
        <v>89</v>
      </c>
      <c r="S5458" s="18"/>
    </row>
    <row r="5459" spans="1:19" ht="32">
      <c r="A5459" s="33">
        <v>10931</v>
      </c>
      <c r="B5459" s="34">
        <v>42613</v>
      </c>
      <c r="C5459" s="35" t="s">
        <v>17866</v>
      </c>
      <c r="D5459" s="34">
        <v>42608</v>
      </c>
      <c r="E5459" s="35" t="s">
        <v>17867</v>
      </c>
      <c r="F5459" s="35" t="s">
        <v>149</v>
      </c>
      <c r="G5459" s="35" t="s">
        <v>20</v>
      </c>
      <c r="H5459" s="35" t="s">
        <v>71</v>
      </c>
      <c r="I5459" s="35" t="s">
        <v>21</v>
      </c>
      <c r="J5459" s="35" t="s">
        <v>17868</v>
      </c>
      <c r="K5459" s="35" t="s">
        <v>17869</v>
      </c>
      <c r="L5459" s="35" t="s">
        <v>14909</v>
      </c>
      <c r="M5459" s="35" t="s">
        <v>21</v>
      </c>
      <c r="N5459" s="36"/>
      <c r="O5459" s="96">
        <v>42621</v>
      </c>
      <c r="P5459" s="35" t="s">
        <v>21</v>
      </c>
      <c r="Q5459" s="33" t="b">
        <v>0</v>
      </c>
      <c r="R5459" s="22">
        <f t="shared" si="102"/>
        <v>8</v>
      </c>
      <c r="S5459" s="18"/>
    </row>
    <row r="5460" spans="1:19" ht="32">
      <c r="A5460" s="33">
        <v>10932</v>
      </c>
      <c r="B5460" s="34">
        <v>42613</v>
      </c>
      <c r="C5460" s="35" t="s">
        <v>17965</v>
      </c>
      <c r="D5460" s="34">
        <v>42608</v>
      </c>
      <c r="E5460" s="35" t="s">
        <v>17966</v>
      </c>
      <c r="F5460" s="35" t="s">
        <v>12892</v>
      </c>
      <c r="G5460" s="35" t="s">
        <v>20</v>
      </c>
      <c r="H5460" s="35" t="s">
        <v>71</v>
      </c>
      <c r="I5460" s="35" t="s">
        <v>21</v>
      </c>
      <c r="J5460" s="35" t="s">
        <v>17868</v>
      </c>
      <c r="K5460" s="35" t="s">
        <v>17967</v>
      </c>
      <c r="L5460" s="35" t="s">
        <v>14909</v>
      </c>
      <c r="M5460" s="35" t="s">
        <v>21</v>
      </c>
      <c r="N5460" s="36"/>
      <c r="O5460" s="96">
        <v>42669</v>
      </c>
      <c r="P5460" s="35" t="s">
        <v>21</v>
      </c>
      <c r="Q5460" s="33" t="b">
        <v>0</v>
      </c>
      <c r="R5460" s="22">
        <f t="shared" si="102"/>
        <v>56</v>
      </c>
      <c r="S5460" s="18"/>
    </row>
    <row r="5461" spans="1:19" ht="32">
      <c r="A5461" s="33">
        <v>10933</v>
      </c>
      <c r="B5461" s="34">
        <v>42614</v>
      </c>
      <c r="C5461" s="35" t="s">
        <v>17899</v>
      </c>
      <c r="D5461" s="34">
        <v>42614</v>
      </c>
      <c r="E5461" s="35" t="s">
        <v>1928</v>
      </c>
      <c r="F5461" s="35" t="s">
        <v>1743</v>
      </c>
      <c r="G5461" s="35" t="s">
        <v>20</v>
      </c>
      <c r="H5461" s="35" t="s">
        <v>71</v>
      </c>
      <c r="I5461" s="35" t="s">
        <v>21</v>
      </c>
      <c r="J5461" s="35" t="s">
        <v>17900</v>
      </c>
      <c r="K5461" s="35" t="s">
        <v>17901</v>
      </c>
      <c r="L5461" s="35" t="s">
        <v>17902</v>
      </c>
      <c r="M5461" s="35" t="s">
        <v>21</v>
      </c>
      <c r="N5461" s="36"/>
      <c r="O5461" s="96">
        <v>42632</v>
      </c>
      <c r="P5461" s="35" t="s">
        <v>21</v>
      </c>
      <c r="Q5461" s="33" t="b">
        <v>0</v>
      </c>
      <c r="R5461" s="22">
        <f t="shared" si="102"/>
        <v>18</v>
      </c>
      <c r="S5461" s="18"/>
    </row>
    <row r="5462" spans="1:19" ht="32">
      <c r="A5462" s="33">
        <v>10934</v>
      </c>
      <c r="B5462" s="34">
        <v>42614</v>
      </c>
      <c r="C5462" s="35" t="s">
        <v>17879</v>
      </c>
      <c r="D5462" s="34">
        <v>42611</v>
      </c>
      <c r="E5462" s="35" t="s">
        <v>1928</v>
      </c>
      <c r="F5462" s="35" t="s">
        <v>1743</v>
      </c>
      <c r="G5462" s="35" t="s">
        <v>20</v>
      </c>
      <c r="H5462" s="35" t="s">
        <v>71</v>
      </c>
      <c r="I5462" s="35" t="s">
        <v>21</v>
      </c>
      <c r="J5462" s="35" t="s">
        <v>17877</v>
      </c>
      <c r="K5462" s="35" t="s">
        <v>17880</v>
      </c>
      <c r="L5462" s="35" t="s">
        <v>7167</v>
      </c>
      <c r="M5462" s="35" t="s">
        <v>21</v>
      </c>
      <c r="N5462" s="36"/>
      <c r="O5462" s="96">
        <v>42622</v>
      </c>
      <c r="P5462" s="35" t="s">
        <v>21</v>
      </c>
      <c r="Q5462" s="33" t="b">
        <v>0</v>
      </c>
      <c r="R5462" s="22">
        <f t="shared" si="102"/>
        <v>8</v>
      </c>
      <c r="S5462" s="18"/>
    </row>
    <row r="5463" spans="1:19" ht="24">
      <c r="A5463" s="26">
        <v>10935</v>
      </c>
      <c r="B5463" s="27">
        <v>42615</v>
      </c>
      <c r="C5463" s="28" t="s">
        <v>18947</v>
      </c>
      <c r="D5463" s="27">
        <v>42614</v>
      </c>
      <c r="E5463" s="28" t="s">
        <v>18146</v>
      </c>
      <c r="F5463" s="28" t="s">
        <v>34</v>
      </c>
      <c r="G5463" s="28" t="s">
        <v>20</v>
      </c>
      <c r="H5463" s="28" t="s">
        <v>71</v>
      </c>
      <c r="I5463" s="28" t="s">
        <v>21</v>
      </c>
      <c r="J5463" s="28" t="s">
        <v>18147</v>
      </c>
      <c r="K5463" s="28" t="s">
        <v>9152</v>
      </c>
      <c r="L5463" s="28" t="s">
        <v>14909</v>
      </c>
      <c r="M5463" s="28" t="s">
        <v>21</v>
      </c>
      <c r="O5463" s="100">
        <v>43636</v>
      </c>
      <c r="P5463" s="28" t="s">
        <v>21</v>
      </c>
      <c r="Q5463" s="26" t="b">
        <v>0</v>
      </c>
      <c r="R5463" s="22">
        <f t="shared" si="102"/>
        <v>1022</v>
      </c>
      <c r="S5463" s="28" t="s">
        <v>21</v>
      </c>
    </row>
    <row r="5464" spans="1:19">
      <c r="A5464" s="38">
        <v>10936</v>
      </c>
      <c r="B5464" s="39">
        <v>42615</v>
      </c>
      <c r="C5464" s="40" t="s">
        <v>19478</v>
      </c>
      <c r="D5464" s="39">
        <v>42615</v>
      </c>
      <c r="E5464" s="40" t="s">
        <v>15826</v>
      </c>
      <c r="F5464" s="40" t="s">
        <v>1743</v>
      </c>
      <c r="G5464" s="40" t="s">
        <v>20</v>
      </c>
      <c r="H5464" s="40" t="s">
        <v>71</v>
      </c>
      <c r="I5464" s="40" t="s">
        <v>21</v>
      </c>
      <c r="J5464" s="40" t="s">
        <v>18141</v>
      </c>
      <c r="K5464" s="40" t="s">
        <v>18142</v>
      </c>
      <c r="L5464" s="40" t="s">
        <v>4282</v>
      </c>
      <c r="M5464" s="40" t="s">
        <v>21</v>
      </c>
      <c r="O5464" s="100">
        <v>43320</v>
      </c>
      <c r="P5464" s="41" t="s">
        <v>21</v>
      </c>
      <c r="Q5464" s="42" t="b">
        <v>0</v>
      </c>
      <c r="R5464" s="22">
        <f t="shared" si="102"/>
        <v>705</v>
      </c>
      <c r="S5464" s="18"/>
    </row>
    <row r="5465" spans="1:19" ht="32">
      <c r="A5465" s="33">
        <v>10937</v>
      </c>
      <c r="B5465" s="34">
        <v>42615</v>
      </c>
      <c r="C5465" s="35" t="s">
        <v>17843</v>
      </c>
      <c r="D5465" s="34">
        <v>42615</v>
      </c>
      <c r="E5465" s="35" t="s">
        <v>38</v>
      </c>
      <c r="F5465" s="35" t="s">
        <v>12892</v>
      </c>
      <c r="G5465" s="35" t="s">
        <v>20</v>
      </c>
      <c r="H5465" s="35" t="s">
        <v>71</v>
      </c>
      <c r="I5465" s="35" t="s">
        <v>21</v>
      </c>
      <c r="J5465" s="35" t="s">
        <v>17844</v>
      </c>
      <c r="K5465" s="35" t="s">
        <v>12079</v>
      </c>
      <c r="L5465" s="35" t="s">
        <v>14909</v>
      </c>
      <c r="M5465" s="35" t="s">
        <v>21</v>
      </c>
      <c r="N5465" s="36"/>
      <c r="O5465" s="96">
        <v>42615</v>
      </c>
      <c r="P5465" s="35" t="s">
        <v>21</v>
      </c>
      <c r="Q5465" s="33" t="b">
        <v>0</v>
      </c>
      <c r="R5465" s="22">
        <f t="shared" si="102"/>
        <v>0</v>
      </c>
      <c r="S5465" s="18"/>
    </row>
    <row r="5466" spans="1:19" ht="24">
      <c r="A5466" s="26">
        <v>10938</v>
      </c>
      <c r="B5466" s="27">
        <v>42619</v>
      </c>
      <c r="C5466" s="28" t="s">
        <v>19125</v>
      </c>
      <c r="D5466" s="27">
        <v>42619</v>
      </c>
      <c r="E5466" s="28" t="s">
        <v>18138</v>
      </c>
      <c r="F5466" s="28" t="s">
        <v>34</v>
      </c>
      <c r="G5466" s="28" t="s">
        <v>20</v>
      </c>
      <c r="H5466" s="28" t="s">
        <v>71</v>
      </c>
      <c r="I5466" s="28" t="s">
        <v>21</v>
      </c>
      <c r="J5466" s="28" t="s">
        <v>18139</v>
      </c>
      <c r="K5466" s="28" t="s">
        <v>6081</v>
      </c>
      <c r="L5466" s="28" t="s">
        <v>14909</v>
      </c>
      <c r="M5466" s="28" t="s">
        <v>21</v>
      </c>
      <c r="O5466" s="92">
        <v>42832</v>
      </c>
      <c r="P5466" s="28" t="s">
        <v>21</v>
      </c>
      <c r="Q5466" s="26" t="b">
        <v>0</v>
      </c>
      <c r="R5466" s="22">
        <f t="shared" si="102"/>
        <v>213</v>
      </c>
      <c r="S5466" s="28" t="s">
        <v>21</v>
      </c>
    </row>
    <row r="5467" spans="1:19" ht="32">
      <c r="A5467" s="33">
        <v>10939</v>
      </c>
      <c r="B5467" s="34">
        <v>42619</v>
      </c>
      <c r="C5467" s="35" t="s">
        <v>17935</v>
      </c>
      <c r="D5467" s="34">
        <v>42619</v>
      </c>
      <c r="E5467" s="35" t="s">
        <v>17936</v>
      </c>
      <c r="F5467" s="35" t="s">
        <v>19</v>
      </c>
      <c r="G5467" s="35" t="s">
        <v>20</v>
      </c>
      <c r="H5467" s="35" t="s">
        <v>71</v>
      </c>
      <c r="I5467" s="35" t="s">
        <v>21</v>
      </c>
      <c r="J5467" s="35" t="s">
        <v>17937</v>
      </c>
      <c r="K5467" s="35" t="s">
        <v>6081</v>
      </c>
      <c r="L5467" s="35" t="s">
        <v>4282</v>
      </c>
      <c r="M5467" s="35" t="s">
        <v>21</v>
      </c>
      <c r="N5467" s="36"/>
      <c r="O5467" s="96">
        <v>42643</v>
      </c>
      <c r="P5467" s="35" t="s">
        <v>21</v>
      </c>
      <c r="Q5467" s="33" t="b">
        <v>0</v>
      </c>
      <c r="R5467" s="22">
        <f t="shared" si="102"/>
        <v>24</v>
      </c>
      <c r="S5467" s="18"/>
    </row>
    <row r="5468" spans="1:19" ht="32">
      <c r="A5468" s="33">
        <v>10940</v>
      </c>
      <c r="B5468" s="34">
        <v>42621</v>
      </c>
      <c r="C5468" s="35" t="s">
        <v>17943</v>
      </c>
      <c r="D5468" s="34">
        <v>42620</v>
      </c>
      <c r="E5468" s="35" t="s">
        <v>17944</v>
      </c>
      <c r="F5468" s="35" t="s">
        <v>149</v>
      </c>
      <c r="G5468" s="35" t="s">
        <v>20</v>
      </c>
      <c r="H5468" s="35" t="s">
        <v>71</v>
      </c>
      <c r="I5468" s="35" t="s">
        <v>21</v>
      </c>
      <c r="J5468" s="35" t="s">
        <v>17945</v>
      </c>
      <c r="K5468" s="35" t="s">
        <v>9152</v>
      </c>
      <c r="L5468" s="35" t="s">
        <v>7167</v>
      </c>
      <c r="M5468" s="35" t="s">
        <v>21</v>
      </c>
      <c r="N5468" s="36"/>
      <c r="O5468" s="96">
        <v>42657</v>
      </c>
      <c r="P5468" s="35" t="s">
        <v>21</v>
      </c>
      <c r="Q5468" s="33" t="b">
        <v>0</v>
      </c>
      <c r="R5468" s="22">
        <f t="shared" si="102"/>
        <v>36</v>
      </c>
      <c r="S5468" s="18"/>
    </row>
    <row r="5469" spans="1:19" ht="32">
      <c r="A5469" s="33">
        <v>10941</v>
      </c>
      <c r="B5469" s="34">
        <v>42621</v>
      </c>
      <c r="C5469" s="35" t="s">
        <v>17994</v>
      </c>
      <c r="D5469" s="34">
        <v>42620</v>
      </c>
      <c r="E5469" s="35" t="s">
        <v>17995</v>
      </c>
      <c r="F5469" s="35" t="s">
        <v>14118</v>
      </c>
      <c r="G5469" s="35" t="s">
        <v>20</v>
      </c>
      <c r="H5469" s="35" t="s">
        <v>71</v>
      </c>
      <c r="I5469" s="35" t="s">
        <v>21</v>
      </c>
      <c r="J5469" s="35" t="s">
        <v>17996</v>
      </c>
      <c r="K5469" s="35" t="s">
        <v>6081</v>
      </c>
      <c r="L5469" s="35" t="s">
        <v>7167</v>
      </c>
      <c r="M5469" s="35" t="s">
        <v>21</v>
      </c>
      <c r="N5469" s="36"/>
      <c r="O5469" s="96">
        <v>42684</v>
      </c>
      <c r="P5469" s="35" t="s">
        <v>21</v>
      </c>
      <c r="Q5469" s="33" t="b">
        <v>0</v>
      </c>
      <c r="R5469" s="22">
        <f t="shared" si="102"/>
        <v>62</v>
      </c>
      <c r="S5469" s="18"/>
    </row>
    <row r="5470" spans="1:19" ht="32">
      <c r="A5470" s="33">
        <v>10942</v>
      </c>
      <c r="B5470" s="34">
        <v>42621</v>
      </c>
      <c r="C5470" s="35" t="s">
        <v>17906</v>
      </c>
      <c r="D5470" s="34">
        <v>42559</v>
      </c>
      <c r="E5470" s="35" t="s">
        <v>38</v>
      </c>
      <c r="F5470" s="35" t="s">
        <v>124</v>
      </c>
      <c r="G5470" s="35" t="s">
        <v>20</v>
      </c>
      <c r="H5470" s="35" t="s">
        <v>71</v>
      </c>
      <c r="I5470" s="35" t="s">
        <v>21</v>
      </c>
      <c r="J5470" s="35" t="s">
        <v>17907</v>
      </c>
      <c r="K5470" s="35" t="s">
        <v>2803</v>
      </c>
      <c r="L5470" s="35" t="s">
        <v>14518</v>
      </c>
      <c r="M5470" s="35" t="s">
        <v>21</v>
      </c>
      <c r="N5470" s="36"/>
      <c r="O5470" s="96">
        <v>42635</v>
      </c>
      <c r="P5470" s="35" t="s">
        <v>21</v>
      </c>
      <c r="Q5470" s="33" t="b">
        <v>0</v>
      </c>
      <c r="R5470" s="22">
        <f t="shared" si="102"/>
        <v>14</v>
      </c>
      <c r="S5470" s="18"/>
    </row>
    <row r="5471" spans="1:19" ht="32">
      <c r="A5471" s="33">
        <v>10943</v>
      </c>
      <c r="B5471" s="34">
        <v>42625</v>
      </c>
      <c r="C5471" s="35" t="s">
        <v>18035</v>
      </c>
      <c r="D5471" s="34">
        <v>42625</v>
      </c>
      <c r="E5471" s="35" t="s">
        <v>18036</v>
      </c>
      <c r="F5471" s="35" t="s">
        <v>8605</v>
      </c>
      <c r="G5471" s="35" t="s">
        <v>20</v>
      </c>
      <c r="H5471" s="35" t="s">
        <v>212</v>
      </c>
      <c r="I5471" s="35" t="s">
        <v>21</v>
      </c>
      <c r="J5471" s="35" t="s">
        <v>18037</v>
      </c>
      <c r="K5471" s="35" t="s">
        <v>18038</v>
      </c>
      <c r="L5471" s="35" t="s">
        <v>7167</v>
      </c>
      <c r="M5471" s="35" t="s">
        <v>21</v>
      </c>
      <c r="N5471" s="36"/>
      <c r="O5471" s="96">
        <v>42706</v>
      </c>
      <c r="P5471" s="35" t="s">
        <v>21</v>
      </c>
      <c r="Q5471" s="33" t="b">
        <v>0</v>
      </c>
      <c r="R5471" s="22">
        <f t="shared" si="102"/>
        <v>81</v>
      </c>
      <c r="S5471" s="18"/>
    </row>
    <row r="5472" spans="1:19" ht="32">
      <c r="A5472" s="33">
        <v>10944</v>
      </c>
      <c r="B5472" s="34">
        <v>42625</v>
      </c>
      <c r="C5472" s="35" t="s">
        <v>17894</v>
      </c>
      <c r="D5472" s="34">
        <v>42625</v>
      </c>
      <c r="E5472" s="35" t="s">
        <v>38</v>
      </c>
      <c r="F5472" s="35" t="s">
        <v>34</v>
      </c>
      <c r="G5472" s="35" t="s">
        <v>20</v>
      </c>
      <c r="H5472" s="35" t="s">
        <v>71</v>
      </c>
      <c r="I5472" s="35" t="s">
        <v>21</v>
      </c>
      <c r="J5472" s="35" t="s">
        <v>17895</v>
      </c>
      <c r="K5472" s="35" t="s">
        <v>21</v>
      </c>
      <c r="L5472" s="35" t="s">
        <v>14909</v>
      </c>
      <c r="M5472" s="35" t="s">
        <v>21</v>
      </c>
      <c r="N5472" s="36"/>
      <c r="O5472" s="96">
        <v>42627</v>
      </c>
      <c r="P5472" s="35" t="s">
        <v>21</v>
      </c>
      <c r="Q5472" s="33" t="b">
        <v>0</v>
      </c>
      <c r="R5472" s="22">
        <f t="shared" si="102"/>
        <v>2</v>
      </c>
      <c r="S5472" s="18"/>
    </row>
    <row r="5473" spans="1:20" ht="32">
      <c r="A5473" s="33">
        <v>10945</v>
      </c>
      <c r="B5473" s="34">
        <v>42625</v>
      </c>
      <c r="C5473" s="35" t="s">
        <v>17891</v>
      </c>
      <c r="D5473" s="34">
        <v>42625</v>
      </c>
      <c r="E5473" s="35" t="s">
        <v>38</v>
      </c>
      <c r="F5473" s="35" t="s">
        <v>1762</v>
      </c>
      <c r="G5473" s="35" t="s">
        <v>20</v>
      </c>
      <c r="H5473" s="35" t="s">
        <v>71</v>
      </c>
      <c r="I5473" s="35" t="s">
        <v>21</v>
      </c>
      <c r="J5473" s="35" t="s">
        <v>17892</v>
      </c>
      <c r="K5473" s="35" t="s">
        <v>17893</v>
      </c>
      <c r="L5473" s="35" t="s">
        <v>14909</v>
      </c>
      <c r="M5473" s="35" t="s">
        <v>21</v>
      </c>
      <c r="N5473" s="36"/>
      <c r="O5473" s="96">
        <v>42627</v>
      </c>
      <c r="P5473" s="35" t="s">
        <v>21</v>
      </c>
      <c r="Q5473" s="33" t="b">
        <v>0</v>
      </c>
      <c r="R5473" s="22">
        <f t="shared" si="102"/>
        <v>2</v>
      </c>
      <c r="S5473" s="18"/>
    </row>
    <row r="5474" spans="1:20">
      <c r="A5474" s="26">
        <v>10946</v>
      </c>
      <c r="B5474" s="27">
        <v>42625</v>
      </c>
      <c r="C5474" s="28" t="s">
        <v>19118</v>
      </c>
      <c r="D5474" s="27">
        <v>42594</v>
      </c>
      <c r="E5474" s="28" t="s">
        <v>38</v>
      </c>
      <c r="F5474" s="28" t="s">
        <v>12892</v>
      </c>
      <c r="G5474" s="28" t="s">
        <v>20</v>
      </c>
      <c r="H5474" s="28" t="s">
        <v>71</v>
      </c>
      <c r="I5474" s="28" t="s">
        <v>21</v>
      </c>
      <c r="J5474" s="28" t="s">
        <v>18136</v>
      </c>
      <c r="K5474" s="28" t="s">
        <v>18137</v>
      </c>
      <c r="L5474" s="28" t="s">
        <v>14909</v>
      </c>
      <c r="M5474" s="28" t="s">
        <v>21</v>
      </c>
      <c r="O5474" s="92">
        <v>42822</v>
      </c>
      <c r="P5474" s="28" t="s">
        <v>21</v>
      </c>
      <c r="Q5474" s="26" t="b">
        <v>0</v>
      </c>
      <c r="R5474" s="22">
        <f t="shared" si="102"/>
        <v>198</v>
      </c>
      <c r="S5474" s="28" t="s">
        <v>21</v>
      </c>
    </row>
    <row r="5475" spans="1:20" ht="32">
      <c r="A5475" s="33">
        <v>10947</v>
      </c>
      <c r="B5475" s="34">
        <v>42626</v>
      </c>
      <c r="C5475" s="35" t="s">
        <v>17931</v>
      </c>
      <c r="D5475" s="34">
        <v>42626</v>
      </c>
      <c r="E5475" s="35" t="s">
        <v>17932</v>
      </c>
      <c r="F5475" s="35" t="s">
        <v>14552</v>
      </c>
      <c r="G5475" s="35" t="s">
        <v>20</v>
      </c>
      <c r="H5475" s="35" t="s">
        <v>71</v>
      </c>
      <c r="I5475" s="35" t="s">
        <v>21</v>
      </c>
      <c r="J5475" s="35" t="s">
        <v>17933</v>
      </c>
      <c r="K5475" s="35" t="s">
        <v>21</v>
      </c>
      <c r="L5475" s="35" t="s">
        <v>1946</v>
      </c>
      <c r="M5475" s="35" t="s">
        <v>21</v>
      </c>
      <c r="N5475" s="36"/>
      <c r="O5475" s="96">
        <v>42641</v>
      </c>
      <c r="P5475" s="35" t="s">
        <v>21</v>
      </c>
      <c r="Q5475" s="33" t="b">
        <v>0</v>
      </c>
      <c r="R5475" s="22">
        <f t="shared" si="102"/>
        <v>15</v>
      </c>
      <c r="S5475" s="18"/>
    </row>
    <row r="5476" spans="1:20" ht="84">
      <c r="A5476" s="26">
        <v>10948</v>
      </c>
      <c r="B5476" s="27">
        <v>42626</v>
      </c>
      <c r="C5476" s="28" t="s">
        <v>19096</v>
      </c>
      <c r="D5476" s="27">
        <v>42571</v>
      </c>
      <c r="E5476" s="28" t="s">
        <v>18134</v>
      </c>
      <c r="F5476" s="28" t="s">
        <v>124</v>
      </c>
      <c r="G5476" s="28" t="s">
        <v>20</v>
      </c>
      <c r="H5476" s="28" t="s">
        <v>71</v>
      </c>
      <c r="I5476" s="28" t="s">
        <v>21</v>
      </c>
      <c r="J5476" s="28" t="s">
        <v>17886</v>
      </c>
      <c r="K5476" s="28" t="s">
        <v>18135</v>
      </c>
      <c r="L5476" s="28" t="s">
        <v>14518</v>
      </c>
      <c r="M5476" s="28" t="s">
        <v>21</v>
      </c>
      <c r="O5476" s="92">
        <v>42790</v>
      </c>
      <c r="P5476" s="28" t="s">
        <v>21</v>
      </c>
      <c r="Q5476" s="26" t="b">
        <v>0</v>
      </c>
      <c r="R5476" s="22">
        <f t="shared" si="102"/>
        <v>163</v>
      </c>
      <c r="S5476" s="28" t="s">
        <v>19294</v>
      </c>
    </row>
    <row r="5477" spans="1:20" ht="24">
      <c r="A5477" s="26">
        <v>10949</v>
      </c>
      <c r="B5477" s="27">
        <v>42627</v>
      </c>
      <c r="C5477" s="28" t="s">
        <v>19229</v>
      </c>
      <c r="D5477" s="27">
        <v>42625</v>
      </c>
      <c r="E5477" s="28" t="s">
        <v>18130</v>
      </c>
      <c r="F5477" s="28" t="s">
        <v>12892</v>
      </c>
      <c r="G5477" s="28" t="s">
        <v>20</v>
      </c>
      <c r="H5477" s="28" t="s">
        <v>71</v>
      </c>
      <c r="I5477" s="28" t="s">
        <v>21</v>
      </c>
      <c r="J5477" s="28" t="s">
        <v>18131</v>
      </c>
      <c r="K5477" s="28" t="s">
        <v>6081</v>
      </c>
      <c r="L5477" s="28" t="s">
        <v>14909</v>
      </c>
      <c r="M5477" s="28" t="s">
        <v>21</v>
      </c>
      <c r="O5477" s="92">
        <v>42990</v>
      </c>
      <c r="P5477" s="28" t="s">
        <v>21</v>
      </c>
      <c r="Q5477" s="26" t="b">
        <v>0</v>
      </c>
      <c r="R5477" s="22">
        <f t="shared" si="102"/>
        <v>362</v>
      </c>
      <c r="S5477" s="28" t="s">
        <v>21</v>
      </c>
    </row>
    <row r="5478" spans="1:20" ht="32">
      <c r="A5478" s="33">
        <v>10950</v>
      </c>
      <c r="B5478" s="34">
        <v>42627</v>
      </c>
      <c r="C5478" s="35" t="s">
        <v>17896</v>
      </c>
      <c r="D5478" s="34">
        <v>42625</v>
      </c>
      <c r="E5478" s="35" t="s">
        <v>38</v>
      </c>
      <c r="F5478" s="35" t="s">
        <v>12892</v>
      </c>
      <c r="G5478" s="35" t="s">
        <v>20</v>
      </c>
      <c r="H5478" s="35" t="s">
        <v>71</v>
      </c>
      <c r="I5478" s="35" t="s">
        <v>21</v>
      </c>
      <c r="J5478" s="35" t="s">
        <v>17897</v>
      </c>
      <c r="K5478" s="35" t="s">
        <v>17898</v>
      </c>
      <c r="L5478" s="35" t="s">
        <v>14909</v>
      </c>
      <c r="M5478" s="35" t="s">
        <v>21</v>
      </c>
      <c r="N5478" s="36"/>
      <c r="O5478" s="96">
        <v>42628</v>
      </c>
      <c r="P5478" s="35" t="s">
        <v>21</v>
      </c>
      <c r="Q5478" s="33" t="b">
        <v>0</v>
      </c>
      <c r="R5478" s="22">
        <f t="shared" si="102"/>
        <v>1</v>
      </c>
      <c r="S5478" s="18"/>
    </row>
    <row r="5479" spans="1:20" ht="32">
      <c r="A5479" s="33">
        <v>10951</v>
      </c>
      <c r="B5479" s="34">
        <v>42628</v>
      </c>
      <c r="C5479" s="35" t="s">
        <v>17951</v>
      </c>
      <c r="D5479" s="34">
        <v>42628</v>
      </c>
      <c r="E5479" s="35" t="s">
        <v>17952</v>
      </c>
      <c r="F5479" s="35" t="s">
        <v>8605</v>
      </c>
      <c r="G5479" s="35" t="s">
        <v>20</v>
      </c>
      <c r="H5479" s="35" t="s">
        <v>212</v>
      </c>
      <c r="I5479" s="35" t="s">
        <v>21</v>
      </c>
      <c r="J5479" s="35" t="s">
        <v>17953</v>
      </c>
      <c r="K5479" s="35" t="s">
        <v>9152</v>
      </c>
      <c r="L5479" s="35" t="s">
        <v>7167</v>
      </c>
      <c r="M5479" s="35" t="s">
        <v>21</v>
      </c>
      <c r="N5479" s="36"/>
      <c r="O5479" s="96">
        <v>42664</v>
      </c>
      <c r="P5479" s="35" t="s">
        <v>21</v>
      </c>
      <c r="Q5479" s="33" t="b">
        <v>0</v>
      </c>
      <c r="R5479" s="22">
        <f t="shared" si="102"/>
        <v>36</v>
      </c>
      <c r="S5479" s="18"/>
    </row>
    <row r="5480" spans="1:20">
      <c r="A5480" s="26">
        <v>10952</v>
      </c>
      <c r="B5480" s="27">
        <v>42629</v>
      </c>
      <c r="C5480" s="28" t="s">
        <v>18948</v>
      </c>
      <c r="D5480" s="27">
        <v>42629</v>
      </c>
      <c r="E5480" s="28" t="s">
        <v>1432</v>
      </c>
      <c r="F5480" s="28" t="s">
        <v>56</v>
      </c>
      <c r="G5480" s="28" t="s">
        <v>20</v>
      </c>
      <c r="H5480" s="28" t="s">
        <v>71</v>
      </c>
      <c r="I5480" s="28" t="s">
        <v>21</v>
      </c>
      <c r="J5480" s="28" t="s">
        <v>18283</v>
      </c>
      <c r="K5480" s="28" t="s">
        <v>18284</v>
      </c>
      <c r="L5480" s="28" t="s">
        <v>14909</v>
      </c>
      <c r="M5480" s="28" t="s">
        <v>21</v>
      </c>
      <c r="O5480" s="98"/>
      <c r="P5480" s="28" t="s">
        <v>21</v>
      </c>
      <c r="Q5480" s="26" t="b">
        <v>0</v>
      </c>
      <c r="R5480" s="59"/>
      <c r="S5480" s="18"/>
      <c r="T5480" s="37" t="s">
        <v>21</v>
      </c>
    </row>
    <row r="5481" spans="1:20">
      <c r="A5481" s="26">
        <v>10954</v>
      </c>
      <c r="B5481" s="27">
        <v>42632</v>
      </c>
      <c r="C5481" s="28" t="s">
        <v>18949</v>
      </c>
      <c r="D5481" s="27">
        <v>42633</v>
      </c>
      <c r="E5481" s="28" t="s">
        <v>18280</v>
      </c>
      <c r="F5481" s="28" t="s">
        <v>9937</v>
      </c>
      <c r="G5481" s="28" t="s">
        <v>20</v>
      </c>
      <c r="H5481" s="28" t="s">
        <v>71</v>
      </c>
      <c r="I5481" s="28" t="s">
        <v>21</v>
      </c>
      <c r="J5481" s="28" t="s">
        <v>18281</v>
      </c>
      <c r="K5481" s="28" t="s">
        <v>18282</v>
      </c>
      <c r="L5481" s="28" t="s">
        <v>4282</v>
      </c>
      <c r="M5481" s="28" t="s">
        <v>21</v>
      </c>
      <c r="O5481" s="100">
        <v>43626</v>
      </c>
      <c r="P5481" s="28" t="s">
        <v>21</v>
      </c>
      <c r="Q5481" s="26" t="b">
        <v>0</v>
      </c>
      <c r="R5481" s="22">
        <f t="shared" ref="R5481:R5512" si="103">IF(O5481=" ", " ", INT(YEARFRAC(O5481, B5481)*365))</f>
        <v>994</v>
      </c>
      <c r="S5481" s="28" t="s">
        <v>21</v>
      </c>
    </row>
    <row r="5482" spans="1:20" ht="32">
      <c r="A5482" s="33">
        <v>10953</v>
      </c>
      <c r="B5482" s="34">
        <v>42633</v>
      </c>
      <c r="C5482" s="35" t="s">
        <v>17962</v>
      </c>
      <c r="D5482" s="34">
        <v>42632</v>
      </c>
      <c r="E5482" s="35" t="s">
        <v>17963</v>
      </c>
      <c r="F5482" s="35" t="s">
        <v>124</v>
      </c>
      <c r="G5482" s="35" t="s">
        <v>20</v>
      </c>
      <c r="H5482" s="35" t="s">
        <v>71</v>
      </c>
      <c r="I5482" s="35" t="s">
        <v>21</v>
      </c>
      <c r="J5482" s="35" t="s">
        <v>17964</v>
      </c>
      <c r="K5482" s="35" t="s">
        <v>6081</v>
      </c>
      <c r="L5482" s="35" t="s">
        <v>14909</v>
      </c>
      <c r="M5482" s="35" t="s">
        <v>21</v>
      </c>
      <c r="N5482" s="36"/>
      <c r="O5482" s="96">
        <v>42669</v>
      </c>
      <c r="P5482" s="35" t="s">
        <v>21</v>
      </c>
      <c r="Q5482" s="33" t="b">
        <v>0</v>
      </c>
      <c r="R5482" s="22">
        <f t="shared" si="103"/>
        <v>36</v>
      </c>
      <c r="S5482" s="18"/>
    </row>
    <row r="5483" spans="1:20" ht="32">
      <c r="A5483" s="33">
        <v>10955</v>
      </c>
      <c r="B5483" s="34">
        <v>42634</v>
      </c>
      <c r="C5483" s="35" t="s">
        <v>18076</v>
      </c>
      <c r="D5483" s="34">
        <v>42633</v>
      </c>
      <c r="E5483" s="35" t="s">
        <v>18077</v>
      </c>
      <c r="F5483" s="35" t="s">
        <v>8605</v>
      </c>
      <c r="G5483" s="35" t="s">
        <v>20</v>
      </c>
      <c r="H5483" s="35" t="s">
        <v>71</v>
      </c>
      <c r="I5483" s="35" t="s">
        <v>21</v>
      </c>
      <c r="J5483" s="35" t="s">
        <v>18029</v>
      </c>
      <c r="K5483" s="35" t="s">
        <v>18030</v>
      </c>
      <c r="L5483" s="35" t="s">
        <v>7167</v>
      </c>
      <c r="M5483" s="35" t="s">
        <v>21</v>
      </c>
      <c r="N5483" s="36"/>
      <c r="O5483" s="96">
        <v>42731</v>
      </c>
      <c r="P5483" s="35" t="s">
        <v>21</v>
      </c>
      <c r="Q5483" s="33" t="b">
        <v>0</v>
      </c>
      <c r="R5483" s="22">
        <f t="shared" si="103"/>
        <v>97</v>
      </c>
      <c r="S5483" s="18"/>
    </row>
    <row r="5484" spans="1:20">
      <c r="A5484" s="26">
        <v>10956</v>
      </c>
      <c r="B5484" s="27">
        <v>42634</v>
      </c>
      <c r="C5484" s="28" t="s">
        <v>18950</v>
      </c>
      <c r="D5484" s="27">
        <v>42634</v>
      </c>
      <c r="E5484" s="28" t="s">
        <v>18277</v>
      </c>
      <c r="F5484" s="28" t="s">
        <v>14118</v>
      </c>
      <c r="G5484" s="28" t="s">
        <v>20</v>
      </c>
      <c r="H5484" s="28" t="s">
        <v>71</v>
      </c>
      <c r="I5484" s="28" t="s">
        <v>21</v>
      </c>
      <c r="J5484" s="28" t="s">
        <v>18278</v>
      </c>
      <c r="K5484" s="28" t="s">
        <v>18279</v>
      </c>
      <c r="L5484" s="28" t="s">
        <v>1946</v>
      </c>
      <c r="M5484" s="28" t="s">
        <v>21</v>
      </c>
      <c r="O5484" s="100">
        <v>43584</v>
      </c>
      <c r="P5484" s="28" t="s">
        <v>21</v>
      </c>
      <c r="Q5484" s="26" t="b">
        <v>0</v>
      </c>
      <c r="R5484" s="22">
        <f t="shared" si="103"/>
        <v>951</v>
      </c>
      <c r="S5484" s="28" t="s">
        <v>21</v>
      </c>
    </row>
    <row r="5485" spans="1:20" ht="32">
      <c r="A5485" s="33">
        <v>10957</v>
      </c>
      <c r="B5485" s="34">
        <v>42634</v>
      </c>
      <c r="C5485" s="35" t="s">
        <v>17911</v>
      </c>
      <c r="D5485" s="34">
        <v>42634</v>
      </c>
      <c r="E5485" s="35" t="s">
        <v>38</v>
      </c>
      <c r="F5485" s="35" t="s">
        <v>1762</v>
      </c>
      <c r="G5485" s="35" t="s">
        <v>20</v>
      </c>
      <c r="H5485" s="35" t="s">
        <v>71</v>
      </c>
      <c r="I5485" s="35" t="s">
        <v>21</v>
      </c>
      <c r="J5485" s="35" t="s">
        <v>17912</v>
      </c>
      <c r="K5485" s="35" t="s">
        <v>21</v>
      </c>
      <c r="L5485" s="35" t="s">
        <v>14909</v>
      </c>
      <c r="M5485" s="35" t="s">
        <v>21</v>
      </c>
      <c r="N5485" s="36"/>
      <c r="O5485" s="96">
        <v>42636</v>
      </c>
      <c r="P5485" s="35" t="s">
        <v>21</v>
      </c>
      <c r="Q5485" s="33" t="b">
        <v>0</v>
      </c>
      <c r="R5485" s="22">
        <f t="shared" si="103"/>
        <v>2</v>
      </c>
      <c r="S5485" s="18"/>
    </row>
    <row r="5486" spans="1:20" ht="32">
      <c r="A5486" s="33">
        <v>10958</v>
      </c>
      <c r="B5486" s="34">
        <v>42635</v>
      </c>
      <c r="C5486" s="35" t="s">
        <v>18027</v>
      </c>
      <c r="D5486" s="34">
        <v>42635</v>
      </c>
      <c r="E5486" s="35" t="s">
        <v>18028</v>
      </c>
      <c r="F5486" s="35" t="s">
        <v>8605</v>
      </c>
      <c r="G5486" s="35" t="s">
        <v>20</v>
      </c>
      <c r="H5486" s="35" t="s">
        <v>212</v>
      </c>
      <c r="I5486" s="35" t="s">
        <v>21</v>
      </c>
      <c r="J5486" s="35" t="s">
        <v>18029</v>
      </c>
      <c r="K5486" s="35" t="s">
        <v>18030</v>
      </c>
      <c r="L5486" s="35" t="s">
        <v>7167</v>
      </c>
      <c r="M5486" s="35" t="s">
        <v>21</v>
      </c>
      <c r="N5486" s="36"/>
      <c r="O5486" s="96">
        <v>42705</v>
      </c>
      <c r="P5486" s="35" t="s">
        <v>21</v>
      </c>
      <c r="Q5486" s="33" t="b">
        <v>0</v>
      </c>
      <c r="R5486" s="22">
        <f t="shared" si="103"/>
        <v>69</v>
      </c>
      <c r="S5486" s="18"/>
    </row>
    <row r="5487" spans="1:20" ht="24">
      <c r="A5487" s="26">
        <v>10959</v>
      </c>
      <c r="B5487" s="27">
        <v>42635</v>
      </c>
      <c r="C5487" s="28" t="s">
        <v>19059</v>
      </c>
      <c r="D5487" s="27">
        <v>42635</v>
      </c>
      <c r="E5487" s="28" t="s">
        <v>18092</v>
      </c>
      <c r="F5487" s="28" t="s">
        <v>56</v>
      </c>
      <c r="G5487" s="28" t="s">
        <v>20</v>
      </c>
      <c r="H5487" s="28" t="s">
        <v>71</v>
      </c>
      <c r="I5487" s="28" t="s">
        <v>21</v>
      </c>
      <c r="J5487" s="28" t="s">
        <v>18093</v>
      </c>
      <c r="K5487" s="28" t="s">
        <v>6081</v>
      </c>
      <c r="L5487" s="28" t="s">
        <v>14518</v>
      </c>
      <c r="M5487" s="28" t="s">
        <v>21</v>
      </c>
      <c r="O5487" s="92">
        <v>42738</v>
      </c>
      <c r="P5487" s="28" t="s">
        <v>21</v>
      </c>
      <c r="Q5487" s="26" t="b">
        <v>0</v>
      </c>
      <c r="R5487" s="22">
        <f t="shared" si="103"/>
        <v>102</v>
      </c>
      <c r="S5487" s="18"/>
    </row>
    <row r="5488" spans="1:20" ht="32">
      <c r="A5488" s="33">
        <v>10960</v>
      </c>
      <c r="B5488" s="34">
        <v>42636</v>
      </c>
      <c r="C5488" s="35" t="s">
        <v>17949</v>
      </c>
      <c r="D5488" s="34">
        <v>42636</v>
      </c>
      <c r="E5488" s="35" t="s">
        <v>38</v>
      </c>
      <c r="F5488" s="35" t="s">
        <v>1762</v>
      </c>
      <c r="G5488" s="35" t="s">
        <v>20</v>
      </c>
      <c r="H5488" s="35" t="s">
        <v>71</v>
      </c>
      <c r="I5488" s="35" t="s">
        <v>21</v>
      </c>
      <c r="J5488" s="35" t="s">
        <v>17950</v>
      </c>
      <c r="K5488" s="35" t="s">
        <v>21</v>
      </c>
      <c r="L5488" s="35" t="s">
        <v>14909</v>
      </c>
      <c r="M5488" s="35" t="s">
        <v>21</v>
      </c>
      <c r="N5488" s="36"/>
      <c r="O5488" s="96">
        <v>42661</v>
      </c>
      <c r="P5488" s="35" t="s">
        <v>21</v>
      </c>
      <c r="Q5488" s="33" t="b">
        <v>0</v>
      </c>
      <c r="R5488" s="22">
        <f t="shared" si="103"/>
        <v>25</v>
      </c>
      <c r="S5488" s="18"/>
    </row>
    <row r="5489" spans="1:19" ht="36">
      <c r="A5489" s="26">
        <v>10961</v>
      </c>
      <c r="B5489" s="27">
        <v>42636</v>
      </c>
      <c r="C5489" s="28" t="s">
        <v>19077</v>
      </c>
      <c r="D5489" s="27">
        <v>42636</v>
      </c>
      <c r="E5489" s="28" t="s">
        <v>3268</v>
      </c>
      <c r="F5489" s="28" t="s">
        <v>8615</v>
      </c>
      <c r="G5489" s="28" t="s">
        <v>20</v>
      </c>
      <c r="H5489" s="28" t="s">
        <v>71</v>
      </c>
      <c r="I5489" s="28" t="s">
        <v>21</v>
      </c>
      <c r="J5489" s="28" t="s">
        <v>19289</v>
      </c>
      <c r="K5489" s="28" t="s">
        <v>18272</v>
      </c>
      <c r="L5489" s="28" t="s">
        <v>7167</v>
      </c>
      <c r="M5489" s="28" t="s">
        <v>21</v>
      </c>
      <c r="O5489" s="92">
        <v>42767</v>
      </c>
      <c r="P5489" s="28" t="s">
        <v>21</v>
      </c>
      <c r="Q5489" s="26" t="b">
        <v>0</v>
      </c>
      <c r="R5489" s="22">
        <f t="shared" si="103"/>
        <v>129</v>
      </c>
      <c r="S5489" s="28" t="s">
        <v>19290</v>
      </c>
    </row>
    <row r="5490" spans="1:19" ht="24">
      <c r="A5490" s="38">
        <v>10962</v>
      </c>
      <c r="B5490" s="39">
        <v>42639</v>
      </c>
      <c r="C5490" s="40" t="s">
        <v>18951</v>
      </c>
      <c r="D5490" s="39">
        <v>42636</v>
      </c>
      <c r="E5490" s="40" t="s">
        <v>18270</v>
      </c>
      <c r="F5490" s="40" t="s">
        <v>27</v>
      </c>
      <c r="G5490" s="40" t="s">
        <v>20</v>
      </c>
      <c r="H5490" s="40" t="s">
        <v>71</v>
      </c>
      <c r="I5490" s="40" t="s">
        <v>21</v>
      </c>
      <c r="J5490" s="40" t="s">
        <v>18271</v>
      </c>
      <c r="K5490" s="40" t="s">
        <v>9152</v>
      </c>
      <c r="L5490" s="40" t="s">
        <v>14518</v>
      </c>
      <c r="M5490" s="40" t="s">
        <v>21</v>
      </c>
      <c r="O5490" s="100">
        <v>43420</v>
      </c>
      <c r="P5490" s="41" t="s">
        <v>21</v>
      </c>
      <c r="Q5490" s="42" t="b">
        <v>0</v>
      </c>
      <c r="R5490" s="22">
        <f t="shared" si="103"/>
        <v>780</v>
      </c>
      <c r="S5490" s="18"/>
    </row>
    <row r="5491" spans="1:19" ht="32">
      <c r="A5491" s="33">
        <v>10963</v>
      </c>
      <c r="B5491" s="34">
        <v>42639</v>
      </c>
      <c r="C5491" s="35" t="s">
        <v>17925</v>
      </c>
      <c r="D5491" s="34">
        <v>42639</v>
      </c>
      <c r="E5491" s="35" t="s">
        <v>38</v>
      </c>
      <c r="F5491" s="35" t="s">
        <v>8605</v>
      </c>
      <c r="G5491" s="35" t="s">
        <v>20</v>
      </c>
      <c r="H5491" s="35" t="s">
        <v>212</v>
      </c>
      <c r="I5491" s="35" t="s">
        <v>21</v>
      </c>
      <c r="J5491" s="35" t="s">
        <v>17926</v>
      </c>
      <c r="K5491" s="35" t="s">
        <v>17927</v>
      </c>
      <c r="L5491" s="35" t="s">
        <v>7167</v>
      </c>
      <c r="M5491" s="35" t="s">
        <v>21</v>
      </c>
      <c r="N5491" s="36"/>
      <c r="O5491" s="96">
        <v>42641</v>
      </c>
      <c r="P5491" s="35" t="s">
        <v>21</v>
      </c>
      <c r="Q5491" s="33" t="b">
        <v>0</v>
      </c>
      <c r="R5491" s="22">
        <f t="shared" si="103"/>
        <v>2</v>
      </c>
      <c r="S5491" s="18"/>
    </row>
    <row r="5492" spans="1:19" ht="32">
      <c r="A5492" s="33">
        <v>10964</v>
      </c>
      <c r="B5492" s="34">
        <v>42639</v>
      </c>
      <c r="C5492" s="35" t="s">
        <v>17914</v>
      </c>
      <c r="D5492" s="34">
        <v>42639</v>
      </c>
      <c r="E5492" s="35" t="s">
        <v>15826</v>
      </c>
      <c r="F5492" s="35" t="s">
        <v>1743</v>
      </c>
      <c r="G5492" s="35" t="s">
        <v>20</v>
      </c>
      <c r="H5492" s="35" t="s">
        <v>71</v>
      </c>
      <c r="I5492" s="35" t="s">
        <v>21</v>
      </c>
      <c r="J5492" s="35" t="s">
        <v>17915</v>
      </c>
      <c r="K5492" s="35" t="s">
        <v>17916</v>
      </c>
      <c r="L5492" s="35" t="s">
        <v>1946</v>
      </c>
      <c r="M5492" s="35" t="s">
        <v>21</v>
      </c>
      <c r="N5492" s="36"/>
      <c r="O5492" s="96">
        <v>42640</v>
      </c>
      <c r="P5492" s="35" t="s">
        <v>21</v>
      </c>
      <c r="Q5492" s="33" t="b">
        <v>0</v>
      </c>
      <c r="R5492" s="22">
        <f t="shared" si="103"/>
        <v>1</v>
      </c>
      <c r="S5492" s="18"/>
    </row>
    <row r="5493" spans="1:19" ht="32">
      <c r="A5493" s="33">
        <v>10965</v>
      </c>
      <c r="B5493" s="34">
        <v>42639</v>
      </c>
      <c r="C5493" s="35" t="s">
        <v>18020</v>
      </c>
      <c r="D5493" s="34">
        <v>42639</v>
      </c>
      <c r="E5493" s="35" t="s">
        <v>18021</v>
      </c>
      <c r="F5493" s="35" t="s">
        <v>18022</v>
      </c>
      <c r="G5493" s="35" t="s">
        <v>20</v>
      </c>
      <c r="H5493" s="35" t="s">
        <v>71</v>
      </c>
      <c r="I5493" s="35" t="s">
        <v>21</v>
      </c>
      <c r="J5493" s="35" t="s">
        <v>18023</v>
      </c>
      <c r="K5493" s="35" t="s">
        <v>9152</v>
      </c>
      <c r="L5493" s="35" t="s">
        <v>14909</v>
      </c>
      <c r="M5493" s="35" t="s">
        <v>21</v>
      </c>
      <c r="N5493" s="36"/>
      <c r="O5493" s="96">
        <v>42702</v>
      </c>
      <c r="P5493" s="35" t="s">
        <v>21</v>
      </c>
      <c r="Q5493" s="33" t="b">
        <v>0</v>
      </c>
      <c r="R5493" s="22">
        <f t="shared" si="103"/>
        <v>62</v>
      </c>
      <c r="S5493" s="18"/>
    </row>
    <row r="5494" spans="1:19">
      <c r="A5494" s="26">
        <v>10966</v>
      </c>
      <c r="B5494" s="27">
        <v>42639</v>
      </c>
      <c r="C5494" s="28" t="s">
        <v>18952</v>
      </c>
      <c r="D5494" s="27">
        <v>42639</v>
      </c>
      <c r="E5494" s="28" t="s">
        <v>18264</v>
      </c>
      <c r="F5494" s="28" t="s">
        <v>1762</v>
      </c>
      <c r="G5494" s="28" t="s">
        <v>20</v>
      </c>
      <c r="H5494" s="28" t="s">
        <v>71</v>
      </c>
      <c r="I5494" s="28" t="s">
        <v>21</v>
      </c>
      <c r="J5494" s="28" t="s">
        <v>18265</v>
      </c>
      <c r="K5494" s="28" t="s">
        <v>18266</v>
      </c>
      <c r="L5494" s="28" t="s">
        <v>14909</v>
      </c>
      <c r="M5494" s="28" t="s">
        <v>21</v>
      </c>
      <c r="O5494" s="100">
        <v>43636</v>
      </c>
      <c r="P5494" s="28" t="s">
        <v>21</v>
      </c>
      <c r="Q5494" s="26" t="b">
        <v>0</v>
      </c>
      <c r="R5494" s="22">
        <f t="shared" si="103"/>
        <v>997</v>
      </c>
      <c r="S5494" s="28" t="s">
        <v>21</v>
      </c>
    </row>
    <row r="5495" spans="1:19" ht="32">
      <c r="A5495" s="33">
        <v>10967</v>
      </c>
      <c r="B5495" s="34">
        <v>42640</v>
      </c>
      <c r="C5495" s="35" t="s">
        <v>17968</v>
      </c>
      <c r="D5495" s="34">
        <v>42635</v>
      </c>
      <c r="E5495" s="35" t="s">
        <v>17969</v>
      </c>
      <c r="F5495" s="35" t="s">
        <v>15525</v>
      </c>
      <c r="G5495" s="35" t="s">
        <v>20</v>
      </c>
      <c r="H5495" s="35" t="s">
        <v>71</v>
      </c>
      <c r="I5495" s="35" t="s">
        <v>21</v>
      </c>
      <c r="J5495" s="35" t="s">
        <v>17970</v>
      </c>
      <c r="K5495" s="35" t="s">
        <v>6081</v>
      </c>
      <c r="L5495" s="35" t="s">
        <v>14909</v>
      </c>
      <c r="M5495" s="35" t="s">
        <v>21</v>
      </c>
      <c r="N5495" s="36"/>
      <c r="O5495" s="96">
        <v>42669</v>
      </c>
      <c r="P5495" s="35" t="s">
        <v>21</v>
      </c>
      <c r="Q5495" s="33" t="b">
        <v>0</v>
      </c>
      <c r="R5495" s="22">
        <f t="shared" si="103"/>
        <v>29</v>
      </c>
      <c r="S5495" s="18"/>
    </row>
    <row r="5496" spans="1:19" ht="24">
      <c r="A5496" s="26">
        <v>10968</v>
      </c>
      <c r="B5496" s="27">
        <v>42640</v>
      </c>
      <c r="C5496" s="28" t="s">
        <v>18953</v>
      </c>
      <c r="D5496" s="27">
        <v>42640</v>
      </c>
      <c r="E5496" s="28" t="s">
        <v>18273</v>
      </c>
      <c r="F5496" s="28" t="s">
        <v>194</v>
      </c>
      <c r="G5496" s="28" t="s">
        <v>20</v>
      </c>
      <c r="H5496" s="28" t="s">
        <v>71</v>
      </c>
      <c r="I5496" s="28" t="s">
        <v>21</v>
      </c>
      <c r="J5496" s="28" t="s">
        <v>18274</v>
      </c>
      <c r="K5496" s="28" t="s">
        <v>9152</v>
      </c>
      <c r="L5496" s="28" t="s">
        <v>4282</v>
      </c>
      <c r="M5496" s="28" t="s">
        <v>21</v>
      </c>
      <c r="O5496" s="100">
        <v>43642</v>
      </c>
      <c r="P5496" s="28" t="s">
        <v>21</v>
      </c>
      <c r="Q5496" s="26" t="b">
        <v>0</v>
      </c>
      <c r="R5496" s="22">
        <f t="shared" si="103"/>
        <v>1002</v>
      </c>
      <c r="S5496" s="28" t="s">
        <v>21</v>
      </c>
    </row>
    <row r="5497" spans="1:19" ht="24">
      <c r="A5497" s="26">
        <v>10969</v>
      </c>
      <c r="B5497" s="27">
        <v>42641</v>
      </c>
      <c r="C5497" s="28" t="s">
        <v>19273</v>
      </c>
      <c r="D5497" s="27">
        <v>42641</v>
      </c>
      <c r="E5497" s="28" t="s">
        <v>18275</v>
      </c>
      <c r="F5497" s="28" t="s">
        <v>8605</v>
      </c>
      <c r="G5497" s="28" t="s">
        <v>20</v>
      </c>
      <c r="H5497" s="28" t="s">
        <v>71</v>
      </c>
      <c r="I5497" s="28" t="s">
        <v>21</v>
      </c>
      <c r="J5497" s="28" t="s">
        <v>18276</v>
      </c>
      <c r="K5497" s="28" t="s">
        <v>18030</v>
      </c>
      <c r="L5497" s="28" t="s">
        <v>7167</v>
      </c>
      <c r="M5497" s="28" t="s">
        <v>21</v>
      </c>
      <c r="O5497" s="92">
        <v>43066</v>
      </c>
      <c r="P5497" s="28" t="s">
        <v>21</v>
      </c>
      <c r="Q5497" s="26" t="b">
        <v>0</v>
      </c>
      <c r="R5497" s="22">
        <f t="shared" si="103"/>
        <v>424</v>
      </c>
      <c r="S5497" s="28" t="s">
        <v>21</v>
      </c>
    </row>
    <row r="5498" spans="1:19" ht="24">
      <c r="A5498" s="26">
        <v>10970</v>
      </c>
      <c r="B5498" s="27">
        <v>42643</v>
      </c>
      <c r="C5498" s="28" t="s">
        <v>18954</v>
      </c>
      <c r="D5498" s="27">
        <v>42640</v>
      </c>
      <c r="E5498" s="28" t="s">
        <v>18307</v>
      </c>
      <c r="F5498" s="28" t="s">
        <v>1762</v>
      </c>
      <c r="G5498" s="28" t="s">
        <v>20</v>
      </c>
      <c r="H5498" s="28" t="s">
        <v>71</v>
      </c>
      <c r="I5498" s="28" t="s">
        <v>21</v>
      </c>
      <c r="J5498" s="28" t="s">
        <v>18308</v>
      </c>
      <c r="K5498" s="28" t="s">
        <v>18309</v>
      </c>
      <c r="L5498" s="28" t="s">
        <v>14909</v>
      </c>
      <c r="M5498" s="28" t="s">
        <v>21</v>
      </c>
      <c r="O5498" s="100">
        <v>43636</v>
      </c>
      <c r="P5498" s="28" t="s">
        <v>21</v>
      </c>
      <c r="Q5498" s="26" t="b">
        <v>0</v>
      </c>
      <c r="R5498" s="22">
        <f t="shared" si="103"/>
        <v>993</v>
      </c>
      <c r="S5498" s="28" t="s">
        <v>21</v>
      </c>
    </row>
    <row r="5499" spans="1:19" ht="32">
      <c r="A5499" s="33">
        <v>10971</v>
      </c>
      <c r="B5499" s="34">
        <v>42643</v>
      </c>
      <c r="C5499" s="35" t="s">
        <v>18031</v>
      </c>
      <c r="D5499" s="34">
        <v>42642</v>
      </c>
      <c r="E5499" s="35" t="s">
        <v>18032</v>
      </c>
      <c r="F5499" s="35" t="s">
        <v>8605</v>
      </c>
      <c r="G5499" s="35" t="s">
        <v>20</v>
      </c>
      <c r="H5499" s="35" t="s">
        <v>212</v>
      </c>
      <c r="I5499" s="35" t="s">
        <v>21</v>
      </c>
      <c r="J5499" s="35" t="s">
        <v>18033</v>
      </c>
      <c r="K5499" s="35" t="s">
        <v>18034</v>
      </c>
      <c r="L5499" s="35" t="s">
        <v>7167</v>
      </c>
      <c r="M5499" s="35" t="s">
        <v>21</v>
      </c>
      <c r="N5499" s="36"/>
      <c r="O5499" s="96">
        <v>42706</v>
      </c>
      <c r="P5499" s="35" t="s">
        <v>21</v>
      </c>
      <c r="Q5499" s="33" t="b">
        <v>0</v>
      </c>
      <c r="R5499" s="22">
        <f t="shared" si="103"/>
        <v>62</v>
      </c>
      <c r="S5499" s="18"/>
    </row>
    <row r="5500" spans="1:19">
      <c r="A5500" s="26">
        <v>10972</v>
      </c>
      <c r="B5500" s="27">
        <v>42646</v>
      </c>
      <c r="C5500" s="28" t="s">
        <v>18955</v>
      </c>
      <c r="D5500" s="27">
        <v>42643</v>
      </c>
      <c r="E5500" s="28" t="s">
        <v>18304</v>
      </c>
      <c r="F5500" s="28" t="s">
        <v>211</v>
      </c>
      <c r="G5500" s="28" t="s">
        <v>20</v>
      </c>
      <c r="H5500" s="28" t="s">
        <v>212</v>
      </c>
      <c r="I5500" s="28" t="s">
        <v>21</v>
      </c>
      <c r="J5500" s="28" t="s">
        <v>18305</v>
      </c>
      <c r="K5500" s="28" t="s">
        <v>18306</v>
      </c>
      <c r="L5500" s="28" t="s">
        <v>7167</v>
      </c>
      <c r="M5500" s="28" t="s">
        <v>21</v>
      </c>
      <c r="O5500" s="100">
        <v>43556</v>
      </c>
      <c r="P5500" s="28" t="s">
        <v>21</v>
      </c>
      <c r="Q5500" s="26" t="b">
        <v>0</v>
      </c>
      <c r="R5500" s="22">
        <f t="shared" si="103"/>
        <v>910</v>
      </c>
      <c r="S5500" s="28" t="s">
        <v>21</v>
      </c>
    </row>
    <row r="5501" spans="1:19">
      <c r="A5501" s="26">
        <v>10973</v>
      </c>
      <c r="B5501" s="27">
        <v>42646</v>
      </c>
      <c r="C5501" s="28" t="s">
        <v>19231</v>
      </c>
      <c r="D5501" s="27">
        <v>42642</v>
      </c>
      <c r="E5501" s="28" t="s">
        <v>18302</v>
      </c>
      <c r="F5501" s="28" t="s">
        <v>149</v>
      </c>
      <c r="G5501" s="28" t="s">
        <v>20</v>
      </c>
      <c r="H5501" s="28" t="s">
        <v>71</v>
      </c>
      <c r="I5501" s="28" t="s">
        <v>21</v>
      </c>
      <c r="J5501" s="28" t="s">
        <v>18303</v>
      </c>
      <c r="K5501" s="28" t="s">
        <v>6081</v>
      </c>
      <c r="L5501" s="28" t="s">
        <v>14909</v>
      </c>
      <c r="M5501" s="28" t="s">
        <v>21</v>
      </c>
      <c r="O5501" s="92">
        <v>42991</v>
      </c>
      <c r="P5501" s="28" t="s">
        <v>21</v>
      </c>
      <c r="Q5501" s="26" t="b">
        <v>0</v>
      </c>
      <c r="R5501" s="22">
        <f t="shared" si="103"/>
        <v>344</v>
      </c>
      <c r="S5501" s="28" t="s">
        <v>21</v>
      </c>
    </row>
    <row r="5502" spans="1:19" ht="32">
      <c r="A5502" s="33">
        <v>10974</v>
      </c>
      <c r="B5502" s="34">
        <v>42647</v>
      </c>
      <c r="C5502" s="35" t="s">
        <v>18012</v>
      </c>
      <c r="D5502" s="34">
        <v>42646</v>
      </c>
      <c r="E5502" s="35" t="s">
        <v>18013</v>
      </c>
      <c r="F5502" s="35" t="s">
        <v>1771</v>
      </c>
      <c r="G5502" s="35" t="s">
        <v>20</v>
      </c>
      <c r="H5502" s="35" t="s">
        <v>189</v>
      </c>
      <c r="I5502" s="35" t="s">
        <v>21</v>
      </c>
      <c r="J5502" s="35" t="s">
        <v>18014</v>
      </c>
      <c r="K5502" s="35" t="s">
        <v>6081</v>
      </c>
      <c r="L5502" s="35" t="s">
        <v>14518</v>
      </c>
      <c r="M5502" s="35" t="s">
        <v>21</v>
      </c>
      <c r="N5502" s="36"/>
      <c r="O5502" s="96">
        <v>42692</v>
      </c>
      <c r="P5502" s="35" t="s">
        <v>21</v>
      </c>
      <c r="Q5502" s="33" t="b">
        <v>0</v>
      </c>
      <c r="R5502" s="22">
        <f t="shared" si="103"/>
        <v>44</v>
      </c>
      <c r="S5502" s="18"/>
    </row>
    <row r="5503" spans="1:19" ht="24">
      <c r="A5503" s="26">
        <v>10975</v>
      </c>
      <c r="B5503" s="27">
        <v>42647</v>
      </c>
      <c r="C5503" s="28" t="s">
        <v>19110</v>
      </c>
      <c r="D5503" s="27">
        <v>42646</v>
      </c>
      <c r="E5503" s="28" t="s">
        <v>18300</v>
      </c>
      <c r="F5503" s="28" t="s">
        <v>17608</v>
      </c>
      <c r="G5503" s="28" t="s">
        <v>20</v>
      </c>
      <c r="H5503" s="28" t="s">
        <v>212</v>
      </c>
      <c r="I5503" s="28" t="s">
        <v>21</v>
      </c>
      <c r="J5503" s="28" t="s">
        <v>18301</v>
      </c>
      <c r="K5503" s="28" t="s">
        <v>6081</v>
      </c>
      <c r="L5503" s="28" t="s">
        <v>14518</v>
      </c>
      <c r="M5503" s="28" t="s">
        <v>21</v>
      </c>
      <c r="O5503" s="92">
        <v>42814</v>
      </c>
      <c r="P5503" s="28" t="s">
        <v>21</v>
      </c>
      <c r="Q5503" s="26" t="b">
        <v>0</v>
      </c>
      <c r="R5503" s="22">
        <f t="shared" si="103"/>
        <v>168</v>
      </c>
      <c r="S5503" s="28" t="s">
        <v>21</v>
      </c>
    </row>
    <row r="5504" spans="1:19" ht="24">
      <c r="A5504" s="26">
        <v>10976</v>
      </c>
      <c r="B5504" s="27">
        <v>42648</v>
      </c>
      <c r="C5504" s="28" t="s">
        <v>18956</v>
      </c>
      <c r="D5504" s="27">
        <v>42648</v>
      </c>
      <c r="E5504" s="28" t="s">
        <v>18298</v>
      </c>
      <c r="F5504" s="28" t="s">
        <v>1762</v>
      </c>
      <c r="G5504" s="28" t="s">
        <v>20</v>
      </c>
      <c r="H5504" s="28" t="s">
        <v>71</v>
      </c>
      <c r="I5504" s="28" t="s">
        <v>21</v>
      </c>
      <c r="J5504" s="28" t="s">
        <v>18299</v>
      </c>
      <c r="K5504" s="28" t="s">
        <v>9348</v>
      </c>
      <c r="L5504" s="28" t="s">
        <v>14909</v>
      </c>
      <c r="M5504" s="28" t="s">
        <v>21</v>
      </c>
      <c r="O5504" s="100">
        <v>43636</v>
      </c>
      <c r="P5504" s="28" t="s">
        <v>21</v>
      </c>
      <c r="Q5504" s="26" t="b">
        <v>0</v>
      </c>
      <c r="R5504" s="22">
        <f t="shared" si="103"/>
        <v>988</v>
      </c>
      <c r="S5504" s="28" t="s">
        <v>21</v>
      </c>
    </row>
    <row r="5505" spans="1:19" ht="24">
      <c r="A5505" s="26">
        <v>10977</v>
      </c>
      <c r="B5505" s="27">
        <v>42649</v>
      </c>
      <c r="C5505" s="28" t="s">
        <v>19135</v>
      </c>
      <c r="D5505" s="27">
        <v>42648</v>
      </c>
      <c r="E5505" s="28" t="s">
        <v>18285</v>
      </c>
      <c r="F5505" s="28" t="s">
        <v>56</v>
      </c>
      <c r="G5505" s="28" t="s">
        <v>20</v>
      </c>
      <c r="H5505" s="28" t="s">
        <v>71</v>
      </c>
      <c r="I5505" s="28" t="s">
        <v>21</v>
      </c>
      <c r="J5505" s="28" t="s">
        <v>18286</v>
      </c>
      <c r="K5505" s="28" t="s">
        <v>6081</v>
      </c>
      <c r="L5505" s="28" t="s">
        <v>4282</v>
      </c>
      <c r="M5505" s="28" t="s">
        <v>21</v>
      </c>
      <c r="O5505" s="92">
        <v>42853</v>
      </c>
      <c r="P5505" s="28" t="s">
        <v>21</v>
      </c>
      <c r="Q5505" s="26" t="b">
        <v>0</v>
      </c>
      <c r="R5505" s="22">
        <f t="shared" si="103"/>
        <v>204</v>
      </c>
      <c r="S5505" s="28" t="s">
        <v>21</v>
      </c>
    </row>
    <row r="5506" spans="1:19">
      <c r="A5506" s="26">
        <v>10978</v>
      </c>
      <c r="B5506" s="27">
        <v>42649</v>
      </c>
      <c r="C5506" s="28" t="s">
        <v>19196</v>
      </c>
      <c r="D5506" s="27">
        <v>42649</v>
      </c>
      <c r="E5506" s="28" t="s">
        <v>18294</v>
      </c>
      <c r="F5506" s="28" t="s">
        <v>39</v>
      </c>
      <c r="G5506" s="28" t="s">
        <v>20</v>
      </c>
      <c r="H5506" s="28" t="s">
        <v>71</v>
      </c>
      <c r="I5506" s="28" t="s">
        <v>21</v>
      </c>
      <c r="J5506" s="28" t="s">
        <v>18295</v>
      </c>
      <c r="K5506" s="28" t="s">
        <v>14825</v>
      </c>
      <c r="L5506" s="28" t="s">
        <v>1946</v>
      </c>
      <c r="M5506" s="28" t="s">
        <v>21</v>
      </c>
      <c r="O5506" s="92">
        <v>42947</v>
      </c>
      <c r="P5506" s="28" t="s">
        <v>21</v>
      </c>
      <c r="Q5506" s="26" t="b">
        <v>0</v>
      </c>
      <c r="R5506" s="22">
        <f t="shared" si="103"/>
        <v>299</v>
      </c>
      <c r="S5506" s="28" t="s">
        <v>21</v>
      </c>
    </row>
    <row r="5507" spans="1:19" ht="32">
      <c r="A5507" s="33">
        <v>10979</v>
      </c>
      <c r="B5507" s="34">
        <v>42656</v>
      </c>
      <c r="C5507" s="35" t="s">
        <v>17946</v>
      </c>
      <c r="D5507" s="34">
        <v>42656</v>
      </c>
      <c r="E5507" s="35" t="s">
        <v>38</v>
      </c>
      <c r="F5507" s="35" t="s">
        <v>8605</v>
      </c>
      <c r="G5507" s="35" t="s">
        <v>20</v>
      </c>
      <c r="H5507" s="35" t="s">
        <v>212</v>
      </c>
      <c r="I5507" s="35" t="s">
        <v>21</v>
      </c>
      <c r="J5507" s="35" t="s">
        <v>17947</v>
      </c>
      <c r="K5507" s="35" t="s">
        <v>17948</v>
      </c>
      <c r="L5507" s="35" t="s">
        <v>7167</v>
      </c>
      <c r="M5507" s="35" t="s">
        <v>21</v>
      </c>
      <c r="N5507" s="36"/>
      <c r="O5507" s="96">
        <v>42660</v>
      </c>
      <c r="P5507" s="35" t="s">
        <v>21</v>
      </c>
      <c r="Q5507" s="33" t="b">
        <v>0</v>
      </c>
      <c r="R5507" s="22">
        <f t="shared" si="103"/>
        <v>4</v>
      </c>
      <c r="S5507" s="18"/>
    </row>
    <row r="5508" spans="1:19" ht="32">
      <c r="A5508" s="33">
        <v>10980</v>
      </c>
      <c r="B5508" s="34">
        <v>42657</v>
      </c>
      <c r="C5508" s="35" t="s">
        <v>17976</v>
      </c>
      <c r="D5508" s="34">
        <v>42657</v>
      </c>
      <c r="E5508" s="35" t="s">
        <v>38</v>
      </c>
      <c r="F5508" s="35" t="s">
        <v>145</v>
      </c>
      <c r="G5508" s="35" t="s">
        <v>20</v>
      </c>
      <c r="H5508" s="35" t="s">
        <v>71</v>
      </c>
      <c r="I5508" s="35" t="s">
        <v>21</v>
      </c>
      <c r="J5508" s="35" t="s">
        <v>17977</v>
      </c>
      <c r="K5508" s="35" t="s">
        <v>17978</v>
      </c>
      <c r="L5508" s="35" t="s">
        <v>7167</v>
      </c>
      <c r="M5508" s="35" t="s">
        <v>21</v>
      </c>
      <c r="N5508" s="36"/>
      <c r="O5508" s="96">
        <v>42671</v>
      </c>
      <c r="P5508" s="35" t="s">
        <v>21</v>
      </c>
      <c r="Q5508" s="33" t="b">
        <v>0</v>
      </c>
      <c r="R5508" s="22">
        <f t="shared" si="103"/>
        <v>14</v>
      </c>
      <c r="S5508" s="18"/>
    </row>
    <row r="5509" spans="1:19" ht="32">
      <c r="A5509" s="33">
        <v>10981</v>
      </c>
      <c r="B5509" s="34">
        <v>42657</v>
      </c>
      <c r="C5509" s="35" t="s">
        <v>17954</v>
      </c>
      <c r="D5509" s="34">
        <v>42656</v>
      </c>
      <c r="E5509" s="35" t="s">
        <v>38</v>
      </c>
      <c r="F5509" s="35" t="s">
        <v>124</v>
      </c>
      <c r="G5509" s="35" t="s">
        <v>20</v>
      </c>
      <c r="H5509" s="35" t="s">
        <v>71</v>
      </c>
      <c r="I5509" s="35" t="s">
        <v>21</v>
      </c>
      <c r="J5509" s="35" t="s">
        <v>17955</v>
      </c>
      <c r="K5509" s="35" t="s">
        <v>21</v>
      </c>
      <c r="L5509" s="35" t="s">
        <v>14909</v>
      </c>
      <c r="M5509" s="35" t="s">
        <v>21</v>
      </c>
      <c r="N5509" s="36"/>
      <c r="O5509" s="96">
        <v>42667</v>
      </c>
      <c r="P5509" s="35" t="s">
        <v>21</v>
      </c>
      <c r="Q5509" s="33" t="b">
        <v>0</v>
      </c>
      <c r="R5509" s="22">
        <f t="shared" si="103"/>
        <v>10</v>
      </c>
      <c r="S5509" s="18"/>
    </row>
    <row r="5510" spans="1:19">
      <c r="A5510" s="38">
        <v>10982</v>
      </c>
      <c r="B5510" s="39">
        <v>42657</v>
      </c>
      <c r="C5510" s="40" t="s">
        <v>18957</v>
      </c>
      <c r="D5510" s="39">
        <v>42656</v>
      </c>
      <c r="E5510" s="40" t="s">
        <v>18293</v>
      </c>
      <c r="F5510" s="40" t="s">
        <v>124</v>
      </c>
      <c r="G5510" s="40" t="s">
        <v>20</v>
      </c>
      <c r="H5510" s="40" t="s">
        <v>71</v>
      </c>
      <c r="I5510" s="40" t="s">
        <v>21</v>
      </c>
      <c r="J5510" s="40" t="s">
        <v>5135</v>
      </c>
      <c r="K5510" s="40" t="s">
        <v>9152</v>
      </c>
      <c r="L5510" s="40" t="s">
        <v>14518</v>
      </c>
      <c r="M5510" s="40" t="s">
        <v>21</v>
      </c>
      <c r="O5510" s="100">
        <v>43427</v>
      </c>
      <c r="P5510" s="41" t="s">
        <v>21</v>
      </c>
      <c r="Q5510" s="42" t="b">
        <v>0</v>
      </c>
      <c r="R5510" s="22">
        <f t="shared" si="103"/>
        <v>769</v>
      </c>
      <c r="S5510" s="18"/>
    </row>
    <row r="5511" spans="1:19" ht="32">
      <c r="A5511" s="33">
        <v>10983</v>
      </c>
      <c r="B5511" s="34">
        <v>42663</v>
      </c>
      <c r="C5511" s="35" t="s">
        <v>17980</v>
      </c>
      <c r="D5511" s="34">
        <v>42650</v>
      </c>
      <c r="E5511" s="35" t="s">
        <v>38</v>
      </c>
      <c r="F5511" s="35" t="s">
        <v>3171</v>
      </c>
      <c r="G5511" s="35" t="s">
        <v>20</v>
      </c>
      <c r="H5511" s="35" t="s">
        <v>566</v>
      </c>
      <c r="I5511" s="35" t="s">
        <v>566</v>
      </c>
      <c r="J5511" s="35" t="s">
        <v>17981</v>
      </c>
      <c r="K5511" s="35" t="s">
        <v>17982</v>
      </c>
      <c r="L5511" s="35" t="s">
        <v>4282</v>
      </c>
      <c r="M5511" s="35" t="s">
        <v>21</v>
      </c>
      <c r="N5511" s="36"/>
      <c r="O5511" s="96">
        <v>42674</v>
      </c>
      <c r="P5511" s="35" t="s">
        <v>21</v>
      </c>
      <c r="Q5511" s="33" t="b">
        <v>0</v>
      </c>
      <c r="R5511" s="22">
        <f t="shared" si="103"/>
        <v>11</v>
      </c>
      <c r="S5511" s="18"/>
    </row>
    <row r="5512" spans="1:19" ht="32">
      <c r="A5512" s="33">
        <v>10984</v>
      </c>
      <c r="B5512" s="34">
        <v>42664</v>
      </c>
      <c r="C5512" s="35" t="s">
        <v>17959</v>
      </c>
      <c r="D5512" s="34">
        <v>42664</v>
      </c>
      <c r="E5512" s="35" t="s">
        <v>38</v>
      </c>
      <c r="F5512" s="35" t="s">
        <v>70</v>
      </c>
      <c r="G5512" s="35" t="s">
        <v>20</v>
      </c>
      <c r="H5512" s="35" t="s">
        <v>71</v>
      </c>
      <c r="I5512" s="35" t="s">
        <v>72</v>
      </c>
      <c r="J5512" s="35" t="s">
        <v>17960</v>
      </c>
      <c r="K5512" s="35" t="s">
        <v>17961</v>
      </c>
      <c r="L5512" s="35" t="s">
        <v>14518</v>
      </c>
      <c r="M5512" s="35" t="s">
        <v>21</v>
      </c>
      <c r="N5512" s="36"/>
      <c r="O5512" s="96">
        <v>42667</v>
      </c>
      <c r="P5512" s="35" t="s">
        <v>21</v>
      </c>
      <c r="Q5512" s="33" t="b">
        <v>0</v>
      </c>
      <c r="R5512" s="22">
        <f t="shared" si="103"/>
        <v>3</v>
      </c>
      <c r="S5512" s="18"/>
    </row>
    <row r="5513" spans="1:19" ht="32">
      <c r="A5513" s="33">
        <v>10985</v>
      </c>
      <c r="B5513" s="34">
        <v>42669</v>
      </c>
      <c r="C5513" s="35" t="s">
        <v>17988</v>
      </c>
      <c r="D5513" s="34">
        <v>42669</v>
      </c>
      <c r="E5513" s="35" t="s">
        <v>38</v>
      </c>
      <c r="F5513" s="35" t="s">
        <v>124</v>
      </c>
      <c r="G5513" s="35" t="s">
        <v>20</v>
      </c>
      <c r="H5513" s="35" t="s">
        <v>71</v>
      </c>
      <c r="I5513" s="35" t="s">
        <v>21</v>
      </c>
      <c r="J5513" s="35" t="s">
        <v>16712</v>
      </c>
      <c r="K5513" s="35" t="s">
        <v>17989</v>
      </c>
      <c r="L5513" s="35" t="s">
        <v>14909</v>
      </c>
      <c r="M5513" s="35" t="s">
        <v>21</v>
      </c>
      <c r="N5513" s="36"/>
      <c r="O5513" s="96">
        <v>42675</v>
      </c>
      <c r="P5513" s="35" t="s">
        <v>21</v>
      </c>
      <c r="Q5513" s="33" t="b">
        <v>0</v>
      </c>
      <c r="R5513" s="22">
        <f t="shared" ref="R5513:R5544" si="104">IF(O5513=" ", " ", INT(YEARFRAC(O5513, B5513)*365))</f>
        <v>5</v>
      </c>
      <c r="S5513" s="18"/>
    </row>
    <row r="5514" spans="1:19" ht="32">
      <c r="A5514" s="33">
        <v>10986</v>
      </c>
      <c r="B5514" s="34">
        <v>42670</v>
      </c>
      <c r="C5514" s="35" t="s">
        <v>18063</v>
      </c>
      <c r="D5514" s="34">
        <v>42670</v>
      </c>
      <c r="E5514" s="35" t="s">
        <v>18064</v>
      </c>
      <c r="F5514" s="35" t="s">
        <v>6456</v>
      </c>
      <c r="G5514" s="35" t="s">
        <v>20</v>
      </c>
      <c r="H5514" s="35" t="s">
        <v>189</v>
      </c>
      <c r="I5514" s="35" t="s">
        <v>21</v>
      </c>
      <c r="J5514" s="35" t="s">
        <v>18065</v>
      </c>
      <c r="K5514" s="35" t="s">
        <v>18066</v>
      </c>
      <c r="L5514" s="35" t="s">
        <v>7167</v>
      </c>
      <c r="M5514" s="35" t="s">
        <v>21</v>
      </c>
      <c r="N5514" s="36"/>
      <c r="O5514" s="96">
        <v>42719</v>
      </c>
      <c r="P5514" s="35" t="s">
        <v>21</v>
      </c>
      <c r="Q5514" s="33" t="b">
        <v>0</v>
      </c>
      <c r="R5514" s="22">
        <f t="shared" si="104"/>
        <v>48</v>
      </c>
      <c r="S5514" s="18"/>
    </row>
    <row r="5515" spans="1:19" ht="32">
      <c r="A5515" s="33">
        <v>10987</v>
      </c>
      <c r="B5515" s="34">
        <v>42670</v>
      </c>
      <c r="C5515" s="35" t="s">
        <v>18016</v>
      </c>
      <c r="D5515" s="34">
        <v>42670</v>
      </c>
      <c r="E5515" s="35" t="s">
        <v>18017</v>
      </c>
      <c r="F5515" s="35" t="s">
        <v>124</v>
      </c>
      <c r="G5515" s="35" t="s">
        <v>20</v>
      </c>
      <c r="H5515" s="35" t="s">
        <v>71</v>
      </c>
      <c r="I5515" s="35" t="s">
        <v>21</v>
      </c>
      <c r="J5515" s="35" t="s">
        <v>18018</v>
      </c>
      <c r="K5515" s="35" t="s">
        <v>18019</v>
      </c>
      <c r="L5515" s="35" t="s">
        <v>14909</v>
      </c>
      <c r="M5515" s="35" t="s">
        <v>21</v>
      </c>
      <c r="N5515" s="36"/>
      <c r="O5515" s="96">
        <v>42696</v>
      </c>
      <c r="P5515" s="35" t="s">
        <v>21</v>
      </c>
      <c r="Q5515" s="33" t="b">
        <v>0</v>
      </c>
      <c r="R5515" s="22">
        <f t="shared" si="104"/>
        <v>25</v>
      </c>
      <c r="S5515" s="18"/>
    </row>
    <row r="5516" spans="1:19" ht="32">
      <c r="A5516" s="33">
        <v>10988</v>
      </c>
      <c r="B5516" s="34">
        <v>42671</v>
      </c>
      <c r="C5516" s="35" t="s">
        <v>18052</v>
      </c>
      <c r="D5516" s="34">
        <v>42670</v>
      </c>
      <c r="E5516" s="35" t="s">
        <v>38</v>
      </c>
      <c r="F5516" s="35" t="s">
        <v>124</v>
      </c>
      <c r="G5516" s="35" t="s">
        <v>20</v>
      </c>
      <c r="H5516" s="35" t="s">
        <v>71</v>
      </c>
      <c r="I5516" s="35" t="s">
        <v>21</v>
      </c>
      <c r="J5516" s="35" t="s">
        <v>18053</v>
      </c>
      <c r="K5516" s="35" t="s">
        <v>21</v>
      </c>
      <c r="L5516" s="35" t="s">
        <v>14518</v>
      </c>
      <c r="M5516" s="35" t="s">
        <v>21</v>
      </c>
      <c r="N5516" s="36"/>
      <c r="O5516" s="96">
        <v>42716</v>
      </c>
      <c r="P5516" s="35" t="s">
        <v>21</v>
      </c>
      <c r="Q5516" s="33" t="b">
        <v>0</v>
      </c>
      <c r="R5516" s="22">
        <f t="shared" si="104"/>
        <v>44</v>
      </c>
      <c r="S5516" s="18"/>
    </row>
    <row r="5517" spans="1:19">
      <c r="A5517" s="26">
        <v>10989</v>
      </c>
      <c r="B5517" s="27">
        <v>42674</v>
      </c>
      <c r="C5517" s="28" t="s">
        <v>18958</v>
      </c>
      <c r="D5517" s="27">
        <v>42674</v>
      </c>
      <c r="E5517" s="28" t="s">
        <v>18232</v>
      </c>
      <c r="F5517" s="28" t="s">
        <v>18233</v>
      </c>
      <c r="G5517" s="28" t="s">
        <v>20</v>
      </c>
      <c r="H5517" s="28" t="s">
        <v>566</v>
      </c>
      <c r="I5517" s="28" t="s">
        <v>21</v>
      </c>
      <c r="J5517" s="28" t="s">
        <v>18234</v>
      </c>
      <c r="K5517" s="28" t="s">
        <v>9348</v>
      </c>
      <c r="L5517" s="28" t="s">
        <v>1946</v>
      </c>
      <c r="M5517" s="28" t="s">
        <v>21</v>
      </c>
      <c r="O5517" s="100">
        <v>43656</v>
      </c>
      <c r="P5517" s="28" t="s">
        <v>21</v>
      </c>
      <c r="Q5517" s="26" t="b">
        <v>0</v>
      </c>
      <c r="R5517" s="22">
        <f t="shared" si="104"/>
        <v>983</v>
      </c>
      <c r="S5517" s="28" t="s">
        <v>21</v>
      </c>
    </row>
    <row r="5518" spans="1:19">
      <c r="A5518" s="26">
        <v>10990</v>
      </c>
      <c r="B5518" s="27">
        <v>42675</v>
      </c>
      <c r="C5518" s="28" t="s">
        <v>19109</v>
      </c>
      <c r="D5518" s="27">
        <v>42674</v>
      </c>
      <c r="E5518" s="28" t="s">
        <v>1928</v>
      </c>
      <c r="F5518" s="28" t="s">
        <v>1743</v>
      </c>
      <c r="G5518" s="28" t="s">
        <v>20</v>
      </c>
      <c r="H5518" s="28" t="s">
        <v>71</v>
      </c>
      <c r="I5518" s="28" t="s">
        <v>21</v>
      </c>
      <c r="J5518" s="28" t="s">
        <v>18231</v>
      </c>
      <c r="K5518" s="28" t="s">
        <v>21</v>
      </c>
      <c r="L5518" s="28" t="s">
        <v>7167</v>
      </c>
      <c r="M5518" s="28" t="s">
        <v>21</v>
      </c>
      <c r="O5518" s="92">
        <v>42811</v>
      </c>
      <c r="P5518" s="28" t="s">
        <v>21</v>
      </c>
      <c r="Q5518" s="26" t="b">
        <v>0</v>
      </c>
      <c r="R5518" s="22">
        <f t="shared" si="104"/>
        <v>137</v>
      </c>
      <c r="S5518" s="28" t="s">
        <v>21</v>
      </c>
    </row>
    <row r="5519" spans="1:19" ht="32">
      <c r="A5519" s="33">
        <v>10991</v>
      </c>
      <c r="B5519" s="34">
        <v>42675</v>
      </c>
      <c r="C5519" s="35" t="s">
        <v>18001</v>
      </c>
      <c r="D5519" s="34">
        <v>42674</v>
      </c>
      <c r="E5519" s="35" t="s">
        <v>1928</v>
      </c>
      <c r="F5519" s="35" t="s">
        <v>1743</v>
      </c>
      <c r="G5519" s="35" t="s">
        <v>20</v>
      </c>
      <c r="H5519" s="35" t="s">
        <v>71</v>
      </c>
      <c r="I5519" s="35" t="s">
        <v>21</v>
      </c>
      <c r="J5519" s="35" t="s">
        <v>18002</v>
      </c>
      <c r="K5519" s="35" t="s">
        <v>21</v>
      </c>
      <c r="L5519" s="35" t="s">
        <v>7167</v>
      </c>
      <c r="M5519" s="35" t="s">
        <v>21</v>
      </c>
      <c r="N5519" s="36"/>
      <c r="O5519" s="96">
        <v>42689</v>
      </c>
      <c r="P5519" s="35" t="s">
        <v>21</v>
      </c>
      <c r="Q5519" s="33" t="b">
        <v>0</v>
      </c>
      <c r="R5519" s="22">
        <f t="shared" si="104"/>
        <v>14</v>
      </c>
      <c r="S5519" s="18"/>
    </row>
    <row r="5520" spans="1:19" ht="24">
      <c r="A5520" s="26">
        <v>10992</v>
      </c>
      <c r="B5520" s="27">
        <v>42676</v>
      </c>
      <c r="C5520" s="28" t="s">
        <v>19088</v>
      </c>
      <c r="D5520" s="27">
        <v>42675</v>
      </c>
      <c r="E5520" s="28" t="s">
        <v>38</v>
      </c>
      <c r="F5520" s="28" t="s">
        <v>1743</v>
      </c>
      <c r="G5520" s="28" t="s">
        <v>20</v>
      </c>
      <c r="H5520" s="28" t="s">
        <v>71</v>
      </c>
      <c r="I5520" s="28" t="s">
        <v>21</v>
      </c>
      <c r="J5520" s="28" t="s">
        <v>18211</v>
      </c>
      <c r="K5520" s="28" t="s">
        <v>21</v>
      </c>
      <c r="L5520" s="28" t="s">
        <v>1946</v>
      </c>
      <c r="M5520" s="28" t="s">
        <v>21</v>
      </c>
      <c r="O5520" s="92">
        <v>42779</v>
      </c>
      <c r="P5520" s="28" t="s">
        <v>21</v>
      </c>
      <c r="Q5520" s="26" t="b">
        <v>0</v>
      </c>
      <c r="R5520" s="22">
        <f t="shared" si="104"/>
        <v>102</v>
      </c>
      <c r="S5520" s="28" t="s">
        <v>21</v>
      </c>
    </row>
    <row r="5521" spans="1:19" ht="32">
      <c r="A5521" s="33">
        <v>10993</v>
      </c>
      <c r="B5521" s="34">
        <v>42676</v>
      </c>
      <c r="C5521" s="35" t="s">
        <v>18007</v>
      </c>
      <c r="D5521" s="34">
        <v>42676</v>
      </c>
      <c r="E5521" s="35" t="s">
        <v>18008</v>
      </c>
      <c r="F5521" s="35" t="s">
        <v>6456</v>
      </c>
      <c r="G5521" s="35" t="s">
        <v>20</v>
      </c>
      <c r="H5521" s="35" t="s">
        <v>189</v>
      </c>
      <c r="I5521" s="35" t="s">
        <v>21</v>
      </c>
      <c r="J5521" s="35" t="s">
        <v>18009</v>
      </c>
      <c r="K5521" s="35" t="s">
        <v>6081</v>
      </c>
      <c r="L5521" s="35" t="s">
        <v>7167</v>
      </c>
      <c r="M5521" s="35" t="s">
        <v>21</v>
      </c>
      <c r="N5521" s="36"/>
      <c r="O5521" s="96">
        <v>42691</v>
      </c>
      <c r="P5521" s="35" t="s">
        <v>21</v>
      </c>
      <c r="Q5521" s="33" t="b">
        <v>0</v>
      </c>
      <c r="R5521" s="22">
        <f t="shared" si="104"/>
        <v>15</v>
      </c>
      <c r="S5521" s="18"/>
    </row>
    <row r="5522" spans="1:19" ht="24">
      <c r="A5522" s="26">
        <v>10994</v>
      </c>
      <c r="B5522" s="27">
        <v>42681</v>
      </c>
      <c r="C5522" s="28" t="s">
        <v>19183</v>
      </c>
      <c r="D5522" s="27">
        <v>42678</v>
      </c>
      <c r="E5522" s="28" t="s">
        <v>18218</v>
      </c>
      <c r="F5522" s="28" t="s">
        <v>124</v>
      </c>
      <c r="G5522" s="28" t="s">
        <v>20</v>
      </c>
      <c r="H5522" s="28" t="s">
        <v>71</v>
      </c>
      <c r="I5522" s="28" t="s">
        <v>21</v>
      </c>
      <c r="J5522" s="28" t="s">
        <v>17963</v>
      </c>
      <c r="K5522" s="28" t="s">
        <v>17955</v>
      </c>
      <c r="L5522" s="28" t="s">
        <v>14909</v>
      </c>
      <c r="M5522" s="28" t="s">
        <v>21</v>
      </c>
      <c r="O5522" s="92">
        <v>42926</v>
      </c>
      <c r="P5522" s="28" t="s">
        <v>21</v>
      </c>
      <c r="Q5522" s="26" t="b">
        <v>0</v>
      </c>
      <c r="R5522" s="22">
        <f t="shared" si="104"/>
        <v>246</v>
      </c>
      <c r="S5522" s="28" t="s">
        <v>21</v>
      </c>
    </row>
    <row r="5523" spans="1:19" ht="24">
      <c r="A5523" s="26">
        <v>10995</v>
      </c>
      <c r="B5523" s="27">
        <v>42684</v>
      </c>
      <c r="C5523" s="28" t="s">
        <v>19136</v>
      </c>
      <c r="D5523" s="27">
        <v>42683</v>
      </c>
      <c r="E5523" s="28" t="s">
        <v>18215</v>
      </c>
      <c r="F5523" s="28" t="s">
        <v>7030</v>
      </c>
      <c r="G5523" s="28" t="s">
        <v>20</v>
      </c>
      <c r="H5523" s="28" t="s">
        <v>71</v>
      </c>
      <c r="I5523" s="28" t="s">
        <v>21</v>
      </c>
      <c r="J5523" s="28" t="s">
        <v>18216</v>
      </c>
      <c r="K5523" s="28" t="s">
        <v>18217</v>
      </c>
      <c r="L5523" s="28" t="s">
        <v>4282</v>
      </c>
      <c r="M5523" s="28" t="s">
        <v>21</v>
      </c>
      <c r="O5523" s="92">
        <v>42853</v>
      </c>
      <c r="P5523" s="28" t="s">
        <v>21</v>
      </c>
      <c r="Q5523" s="26" t="b">
        <v>0</v>
      </c>
      <c r="R5523" s="22">
        <f t="shared" si="104"/>
        <v>170</v>
      </c>
      <c r="S5523" s="28" t="s">
        <v>21</v>
      </c>
    </row>
    <row r="5524" spans="1:19" ht="32">
      <c r="A5524" s="33">
        <v>10996</v>
      </c>
      <c r="B5524" s="34">
        <v>42684</v>
      </c>
      <c r="C5524" s="35" t="s">
        <v>17991</v>
      </c>
      <c r="D5524" s="34">
        <v>42684</v>
      </c>
      <c r="E5524" s="35" t="s">
        <v>38</v>
      </c>
      <c r="F5524" s="35" t="s">
        <v>6097</v>
      </c>
      <c r="G5524" s="35" t="s">
        <v>20</v>
      </c>
      <c r="H5524" s="35" t="s">
        <v>71</v>
      </c>
      <c r="I5524" s="35" t="s">
        <v>21</v>
      </c>
      <c r="J5524" s="35" t="s">
        <v>17992</v>
      </c>
      <c r="K5524" s="35" t="s">
        <v>17993</v>
      </c>
      <c r="L5524" s="35" t="s">
        <v>7167</v>
      </c>
      <c r="M5524" s="35" t="s">
        <v>21</v>
      </c>
      <c r="N5524" s="36"/>
      <c r="O5524" s="96">
        <v>42684</v>
      </c>
      <c r="P5524" s="35" t="s">
        <v>21</v>
      </c>
      <c r="Q5524" s="33" t="b">
        <v>0</v>
      </c>
      <c r="R5524" s="22">
        <f t="shared" si="104"/>
        <v>0</v>
      </c>
      <c r="S5524" s="18"/>
    </row>
    <row r="5525" spans="1:19" ht="32">
      <c r="A5525" s="33">
        <v>10997</v>
      </c>
      <c r="B5525" s="34">
        <v>42684</v>
      </c>
      <c r="C5525" s="35" t="s">
        <v>18000</v>
      </c>
      <c r="D5525" s="34">
        <v>42684</v>
      </c>
      <c r="E5525" s="35" t="s">
        <v>38</v>
      </c>
      <c r="F5525" s="35" t="s">
        <v>124</v>
      </c>
      <c r="G5525" s="35" t="s">
        <v>20</v>
      </c>
      <c r="H5525" s="35" t="s">
        <v>71</v>
      </c>
      <c r="I5525" s="35" t="s">
        <v>21</v>
      </c>
      <c r="J5525" s="35" t="s">
        <v>15521</v>
      </c>
      <c r="K5525" s="35" t="s">
        <v>8764</v>
      </c>
      <c r="L5525" s="35" t="s">
        <v>7167</v>
      </c>
      <c r="M5525" s="35" t="s">
        <v>21</v>
      </c>
      <c r="N5525" s="36"/>
      <c r="O5525" s="96">
        <v>42689</v>
      </c>
      <c r="P5525" s="35" t="s">
        <v>21</v>
      </c>
      <c r="Q5525" s="33" t="b">
        <v>0</v>
      </c>
      <c r="R5525" s="22">
        <f t="shared" si="104"/>
        <v>5</v>
      </c>
      <c r="S5525" s="18"/>
    </row>
    <row r="5526" spans="1:19" ht="32">
      <c r="A5526" s="33">
        <v>10998</v>
      </c>
      <c r="B5526" s="34">
        <v>42688</v>
      </c>
      <c r="C5526" s="35" t="s">
        <v>18078</v>
      </c>
      <c r="D5526" s="34">
        <v>42688</v>
      </c>
      <c r="E5526" s="35" t="s">
        <v>18079</v>
      </c>
      <c r="F5526" s="35" t="s">
        <v>52</v>
      </c>
      <c r="G5526" s="35" t="s">
        <v>20</v>
      </c>
      <c r="H5526" s="35" t="s">
        <v>71</v>
      </c>
      <c r="I5526" s="35" t="s">
        <v>21</v>
      </c>
      <c r="J5526" s="35" t="s">
        <v>18080</v>
      </c>
      <c r="K5526" s="35" t="s">
        <v>9152</v>
      </c>
      <c r="L5526" s="35" t="s">
        <v>14518</v>
      </c>
      <c r="M5526" s="35" t="s">
        <v>21</v>
      </c>
      <c r="N5526" s="36"/>
      <c r="O5526" s="96">
        <v>42733</v>
      </c>
      <c r="P5526" s="35" t="s">
        <v>21</v>
      </c>
      <c r="Q5526" s="33" t="b">
        <v>0</v>
      </c>
      <c r="R5526" s="22">
        <f t="shared" si="104"/>
        <v>45</v>
      </c>
      <c r="S5526" s="18"/>
    </row>
    <row r="5527" spans="1:19" ht="32">
      <c r="A5527" s="33">
        <v>10999</v>
      </c>
      <c r="B5527" s="34">
        <v>42688</v>
      </c>
      <c r="C5527" s="35" t="s">
        <v>18061</v>
      </c>
      <c r="D5527" s="34">
        <v>42688</v>
      </c>
      <c r="E5527" s="35" t="s">
        <v>38</v>
      </c>
      <c r="F5527" s="35" t="s">
        <v>3171</v>
      </c>
      <c r="G5527" s="35" t="s">
        <v>20</v>
      </c>
      <c r="H5527" s="35" t="s">
        <v>566</v>
      </c>
      <c r="I5527" s="35" t="s">
        <v>21</v>
      </c>
      <c r="J5527" s="35" t="s">
        <v>18062</v>
      </c>
      <c r="K5527" s="35" t="s">
        <v>17680</v>
      </c>
      <c r="L5527" s="35" t="s">
        <v>14909</v>
      </c>
      <c r="M5527" s="35" t="s">
        <v>21</v>
      </c>
      <c r="N5527" s="36"/>
      <c r="O5527" s="96">
        <v>42719</v>
      </c>
      <c r="P5527" s="35" t="s">
        <v>21</v>
      </c>
      <c r="Q5527" s="33" t="b">
        <v>0</v>
      </c>
      <c r="R5527" s="22">
        <f t="shared" si="104"/>
        <v>31</v>
      </c>
      <c r="S5527" s="18"/>
    </row>
    <row r="5528" spans="1:19" ht="32">
      <c r="A5528" s="33">
        <v>11000</v>
      </c>
      <c r="B5528" s="34">
        <v>42690</v>
      </c>
      <c r="C5528" s="35" t="s">
        <v>18003</v>
      </c>
      <c r="D5528" s="34">
        <v>42689</v>
      </c>
      <c r="E5528" s="35" t="s">
        <v>38</v>
      </c>
      <c r="F5528" s="35" t="s">
        <v>1743</v>
      </c>
      <c r="G5528" s="35" t="s">
        <v>20</v>
      </c>
      <c r="H5528" s="35" t="s">
        <v>71</v>
      </c>
      <c r="I5528" s="35" t="s">
        <v>21</v>
      </c>
      <c r="J5528" s="35" t="s">
        <v>18004</v>
      </c>
      <c r="K5528" s="35" t="s">
        <v>18005</v>
      </c>
      <c r="L5528" s="35" t="s">
        <v>14349</v>
      </c>
      <c r="M5528" s="35" t="s">
        <v>21</v>
      </c>
      <c r="N5528" s="36"/>
      <c r="O5528" s="96">
        <v>42690</v>
      </c>
      <c r="P5528" s="35" t="s">
        <v>21</v>
      </c>
      <c r="Q5528" s="33" t="b">
        <v>0</v>
      </c>
      <c r="R5528" s="22">
        <f t="shared" si="104"/>
        <v>0</v>
      </c>
      <c r="S5528" s="18"/>
    </row>
    <row r="5529" spans="1:19" ht="32">
      <c r="A5529" s="33">
        <v>11001</v>
      </c>
      <c r="B5529" s="34">
        <v>42690</v>
      </c>
      <c r="C5529" s="35" t="s">
        <v>18056</v>
      </c>
      <c r="D5529" s="34">
        <v>42690</v>
      </c>
      <c r="E5529" s="35" t="s">
        <v>38</v>
      </c>
      <c r="F5529" s="35" t="s">
        <v>1762</v>
      </c>
      <c r="G5529" s="35" t="s">
        <v>20</v>
      </c>
      <c r="H5529" s="35" t="s">
        <v>71</v>
      </c>
      <c r="I5529" s="35" t="s">
        <v>21</v>
      </c>
      <c r="J5529" s="35" t="s">
        <v>18057</v>
      </c>
      <c r="K5529" s="35" t="s">
        <v>18058</v>
      </c>
      <c r="L5529" s="35" t="s">
        <v>14909</v>
      </c>
      <c r="M5529" s="35" t="s">
        <v>21</v>
      </c>
      <c r="N5529" s="36"/>
      <c r="O5529" s="96">
        <v>42718</v>
      </c>
      <c r="P5529" s="35" t="s">
        <v>21</v>
      </c>
      <c r="Q5529" s="33" t="b">
        <v>0</v>
      </c>
      <c r="R5529" s="22">
        <f t="shared" si="104"/>
        <v>28</v>
      </c>
      <c r="S5529" s="18"/>
    </row>
    <row r="5530" spans="1:19" ht="24">
      <c r="A5530" s="26">
        <v>11002</v>
      </c>
      <c r="B5530" s="27">
        <v>42695</v>
      </c>
      <c r="C5530" s="28" t="s">
        <v>18959</v>
      </c>
      <c r="D5530" s="27">
        <v>42692</v>
      </c>
      <c r="E5530" s="28" t="s">
        <v>18251</v>
      </c>
      <c r="F5530" s="28" t="s">
        <v>990</v>
      </c>
      <c r="G5530" s="28" t="s">
        <v>20</v>
      </c>
      <c r="H5530" s="28" t="s">
        <v>71</v>
      </c>
      <c r="I5530" s="28" t="s">
        <v>21</v>
      </c>
      <c r="J5530" s="28" t="s">
        <v>18252</v>
      </c>
      <c r="K5530" s="28" t="s">
        <v>18253</v>
      </c>
      <c r="L5530" s="28" t="s">
        <v>4282</v>
      </c>
      <c r="M5530" s="28" t="s">
        <v>21</v>
      </c>
      <c r="O5530" s="100">
        <v>43602</v>
      </c>
      <c r="P5530" s="28" t="s">
        <v>21</v>
      </c>
      <c r="Q5530" s="26" t="b">
        <v>0</v>
      </c>
      <c r="R5530" s="22">
        <f t="shared" si="104"/>
        <v>908</v>
      </c>
      <c r="S5530" s="28" t="s">
        <v>21</v>
      </c>
    </row>
    <row r="5531" spans="1:19">
      <c r="A5531" s="38">
        <v>11003</v>
      </c>
      <c r="B5531" s="39">
        <v>42695</v>
      </c>
      <c r="C5531" s="40" t="s">
        <v>18960</v>
      </c>
      <c r="D5531" s="39">
        <v>42692</v>
      </c>
      <c r="E5531" s="40" t="s">
        <v>1432</v>
      </c>
      <c r="F5531" s="40" t="s">
        <v>13422</v>
      </c>
      <c r="G5531" s="40" t="s">
        <v>20</v>
      </c>
      <c r="H5531" s="40" t="s">
        <v>71</v>
      </c>
      <c r="I5531" s="40" t="s">
        <v>21</v>
      </c>
      <c r="J5531" s="40" t="s">
        <v>18249</v>
      </c>
      <c r="K5531" s="40" t="s">
        <v>18250</v>
      </c>
      <c r="L5531" s="40" t="s">
        <v>4282</v>
      </c>
      <c r="M5531" s="40" t="s">
        <v>21</v>
      </c>
      <c r="O5531" s="100">
        <v>43327</v>
      </c>
      <c r="P5531" s="41" t="s">
        <v>21</v>
      </c>
      <c r="Q5531" s="42" t="b">
        <v>0</v>
      </c>
      <c r="R5531" s="22">
        <f t="shared" si="104"/>
        <v>632</v>
      </c>
      <c r="S5531" s="18"/>
    </row>
    <row r="5532" spans="1:19" ht="32">
      <c r="A5532" s="33">
        <v>11004</v>
      </c>
      <c r="B5532" s="34">
        <v>42695</v>
      </c>
      <c r="C5532" s="35" t="s">
        <v>18081</v>
      </c>
      <c r="D5532" s="34">
        <v>42695</v>
      </c>
      <c r="E5532" s="35" t="s">
        <v>38</v>
      </c>
      <c r="F5532" s="35" t="s">
        <v>1743</v>
      </c>
      <c r="G5532" s="35" t="s">
        <v>20</v>
      </c>
      <c r="H5532" s="35" t="s">
        <v>71</v>
      </c>
      <c r="I5532" s="35" t="s">
        <v>21</v>
      </c>
      <c r="J5532" s="35" t="s">
        <v>18082</v>
      </c>
      <c r="K5532" s="35" t="s">
        <v>18083</v>
      </c>
      <c r="L5532" s="35" t="s">
        <v>7167</v>
      </c>
      <c r="M5532" s="35" t="s">
        <v>21</v>
      </c>
      <c r="N5532" s="36"/>
      <c r="O5532" s="96">
        <v>42733</v>
      </c>
      <c r="P5532" s="35" t="s">
        <v>21</v>
      </c>
      <c r="Q5532" s="33" t="b">
        <v>0</v>
      </c>
      <c r="R5532" s="22">
        <f t="shared" si="104"/>
        <v>38</v>
      </c>
      <c r="S5532" s="18"/>
    </row>
    <row r="5533" spans="1:19" ht="32">
      <c r="A5533" s="33">
        <v>11005</v>
      </c>
      <c r="B5533" s="34">
        <v>42696</v>
      </c>
      <c r="C5533" s="35" t="s">
        <v>18050</v>
      </c>
      <c r="D5533" s="34">
        <v>42696</v>
      </c>
      <c r="E5533" s="35" t="s">
        <v>18051</v>
      </c>
      <c r="F5533" s="35" t="s">
        <v>2146</v>
      </c>
      <c r="G5533" s="35" t="s">
        <v>20</v>
      </c>
      <c r="H5533" s="35" t="s">
        <v>189</v>
      </c>
      <c r="I5533" s="35" t="s">
        <v>21</v>
      </c>
      <c r="J5533" s="35" t="s">
        <v>6373</v>
      </c>
      <c r="K5533" s="35" t="s">
        <v>6081</v>
      </c>
      <c r="L5533" s="35" t="s">
        <v>7167</v>
      </c>
      <c r="M5533" s="35" t="s">
        <v>21</v>
      </c>
      <c r="N5533" s="36"/>
      <c r="O5533" s="96">
        <v>42716</v>
      </c>
      <c r="P5533" s="35" t="s">
        <v>21</v>
      </c>
      <c r="Q5533" s="33" t="b">
        <v>0</v>
      </c>
      <c r="R5533" s="22">
        <f t="shared" si="104"/>
        <v>20</v>
      </c>
      <c r="S5533" s="18"/>
    </row>
    <row r="5534" spans="1:19" ht="24">
      <c r="A5534" s="26">
        <v>11006</v>
      </c>
      <c r="B5534" s="27">
        <v>42702</v>
      </c>
      <c r="C5534" s="28" t="s">
        <v>19106</v>
      </c>
      <c r="D5534" s="27">
        <v>42702</v>
      </c>
      <c r="E5534" s="28" t="s">
        <v>18091</v>
      </c>
      <c r="F5534" s="28" t="s">
        <v>10999</v>
      </c>
      <c r="G5534" s="28" t="s">
        <v>20</v>
      </c>
      <c r="H5534" s="28" t="s">
        <v>71</v>
      </c>
      <c r="I5534" s="28" t="s">
        <v>21</v>
      </c>
      <c r="J5534" s="28" t="s">
        <v>18245</v>
      </c>
      <c r="K5534" s="28" t="s">
        <v>21</v>
      </c>
      <c r="L5534" s="28" t="s">
        <v>7167</v>
      </c>
      <c r="M5534" s="28" t="s">
        <v>21</v>
      </c>
      <c r="O5534" s="92">
        <v>42810</v>
      </c>
      <c r="P5534" s="28" t="s">
        <v>21</v>
      </c>
      <c r="Q5534" s="26" t="b">
        <v>0</v>
      </c>
      <c r="R5534" s="22">
        <f t="shared" si="104"/>
        <v>109</v>
      </c>
      <c r="S5534" s="28" t="s">
        <v>21</v>
      </c>
    </row>
    <row r="5535" spans="1:19" ht="32">
      <c r="A5535" s="33">
        <v>11007</v>
      </c>
      <c r="B5535" s="34">
        <v>42703</v>
      </c>
      <c r="C5535" s="35" t="s">
        <v>18054</v>
      </c>
      <c r="D5535" s="34">
        <v>42703</v>
      </c>
      <c r="E5535" s="35" t="s">
        <v>38</v>
      </c>
      <c r="F5535" s="35" t="s">
        <v>124</v>
      </c>
      <c r="G5535" s="35" t="s">
        <v>20</v>
      </c>
      <c r="H5535" s="35" t="s">
        <v>71</v>
      </c>
      <c r="I5535" s="35" t="s">
        <v>21</v>
      </c>
      <c r="J5535" s="35" t="s">
        <v>18055</v>
      </c>
      <c r="K5535" s="35" t="s">
        <v>6025</v>
      </c>
      <c r="L5535" s="35" t="s">
        <v>14518</v>
      </c>
      <c r="M5535" s="35" t="s">
        <v>21</v>
      </c>
      <c r="N5535" s="36"/>
      <c r="O5535" s="96">
        <v>42717</v>
      </c>
      <c r="P5535" s="35" t="s">
        <v>21</v>
      </c>
      <c r="Q5535" s="33" t="b">
        <v>0</v>
      </c>
      <c r="R5535" s="22">
        <f t="shared" si="104"/>
        <v>14</v>
      </c>
      <c r="S5535" s="18"/>
    </row>
    <row r="5536" spans="1:19">
      <c r="A5536" s="26">
        <v>11008</v>
      </c>
      <c r="B5536" s="27">
        <v>42703</v>
      </c>
      <c r="C5536" s="28" t="s">
        <v>19238</v>
      </c>
      <c r="D5536" s="27">
        <v>42699</v>
      </c>
      <c r="E5536" s="28" t="s">
        <v>18296</v>
      </c>
      <c r="F5536" s="28" t="s">
        <v>15525</v>
      </c>
      <c r="G5536" s="28" t="s">
        <v>20</v>
      </c>
      <c r="H5536" s="28" t="s">
        <v>71</v>
      </c>
      <c r="I5536" s="28" t="s">
        <v>21</v>
      </c>
      <c r="J5536" s="28" t="s">
        <v>18297</v>
      </c>
      <c r="K5536" s="28" t="s">
        <v>6081</v>
      </c>
      <c r="L5536" s="28" t="s">
        <v>14909</v>
      </c>
      <c r="M5536" s="28" t="s">
        <v>21</v>
      </c>
      <c r="O5536" s="92">
        <v>43003</v>
      </c>
      <c r="P5536" s="28" t="s">
        <v>21</v>
      </c>
      <c r="Q5536" s="26" t="b">
        <v>0</v>
      </c>
      <c r="R5536" s="22">
        <f t="shared" si="104"/>
        <v>300</v>
      </c>
      <c r="S5536" s="28" t="s">
        <v>21</v>
      </c>
    </row>
    <row r="5537" spans="1:19">
      <c r="A5537" s="38">
        <v>11009</v>
      </c>
      <c r="B5537" s="39">
        <v>42704</v>
      </c>
      <c r="C5537" s="40" t="s">
        <v>18961</v>
      </c>
      <c r="D5537" s="39">
        <v>42703</v>
      </c>
      <c r="E5537" s="40" t="s">
        <v>18238</v>
      </c>
      <c r="F5537" s="40" t="s">
        <v>6456</v>
      </c>
      <c r="G5537" s="40" t="s">
        <v>20</v>
      </c>
      <c r="H5537" s="40" t="s">
        <v>71</v>
      </c>
      <c r="I5537" s="40" t="s">
        <v>21</v>
      </c>
      <c r="J5537" s="40" t="s">
        <v>18239</v>
      </c>
      <c r="K5537" s="40" t="s">
        <v>6081</v>
      </c>
      <c r="L5537" s="40" t="s">
        <v>4282</v>
      </c>
      <c r="M5537" s="40" t="s">
        <v>21</v>
      </c>
      <c r="O5537" s="100">
        <v>43314</v>
      </c>
      <c r="P5537" s="41" t="s">
        <v>21</v>
      </c>
      <c r="Q5537" s="42" t="b">
        <v>0</v>
      </c>
      <c r="R5537" s="22">
        <f t="shared" si="104"/>
        <v>610</v>
      </c>
      <c r="S5537" s="18"/>
    </row>
    <row r="5538" spans="1:19" ht="32">
      <c r="A5538" s="33">
        <v>11010</v>
      </c>
      <c r="B5538" s="34">
        <v>42704</v>
      </c>
      <c r="C5538" s="35" t="s">
        <v>18039</v>
      </c>
      <c r="D5538" s="34">
        <v>42704</v>
      </c>
      <c r="E5538" s="35" t="s">
        <v>38</v>
      </c>
      <c r="F5538" s="35" t="s">
        <v>7020</v>
      </c>
      <c r="G5538" s="35" t="s">
        <v>20</v>
      </c>
      <c r="H5538" s="35" t="s">
        <v>71</v>
      </c>
      <c r="I5538" s="35" t="s">
        <v>21</v>
      </c>
      <c r="J5538" s="35" t="s">
        <v>8769</v>
      </c>
      <c r="K5538" s="35" t="s">
        <v>18040</v>
      </c>
      <c r="L5538" s="35" t="s">
        <v>7167</v>
      </c>
      <c r="M5538" s="35" t="s">
        <v>21</v>
      </c>
      <c r="N5538" s="36"/>
      <c r="O5538" s="96">
        <v>42706</v>
      </c>
      <c r="P5538" s="35" t="s">
        <v>21</v>
      </c>
      <c r="Q5538" s="33" t="b">
        <v>0</v>
      </c>
      <c r="R5538" s="22">
        <f t="shared" si="104"/>
        <v>2</v>
      </c>
      <c r="S5538" s="18"/>
    </row>
    <row r="5539" spans="1:19" ht="32">
      <c r="A5539" s="33">
        <v>11011</v>
      </c>
      <c r="B5539" s="34">
        <v>42709</v>
      </c>
      <c r="C5539" s="35" t="s">
        <v>18084</v>
      </c>
      <c r="D5539" s="34">
        <v>42706</v>
      </c>
      <c r="E5539" s="35" t="s">
        <v>38</v>
      </c>
      <c r="F5539" s="35" t="s">
        <v>27</v>
      </c>
      <c r="G5539" s="35" t="s">
        <v>20</v>
      </c>
      <c r="H5539" s="35" t="s">
        <v>71</v>
      </c>
      <c r="I5539" s="35" t="s">
        <v>21</v>
      </c>
      <c r="J5539" s="35" t="s">
        <v>18085</v>
      </c>
      <c r="K5539" s="35" t="s">
        <v>6081</v>
      </c>
      <c r="L5539" s="35" t="s">
        <v>14518</v>
      </c>
      <c r="M5539" s="35" t="s">
        <v>21</v>
      </c>
      <c r="N5539" s="36"/>
      <c r="O5539" s="96">
        <v>42734</v>
      </c>
      <c r="P5539" s="35" t="s">
        <v>21</v>
      </c>
      <c r="Q5539" s="33" t="b">
        <v>0</v>
      </c>
      <c r="R5539" s="22">
        <f t="shared" si="104"/>
        <v>25</v>
      </c>
      <c r="S5539" s="18"/>
    </row>
    <row r="5540" spans="1:19" ht="32">
      <c r="A5540" s="33">
        <v>11012</v>
      </c>
      <c r="B5540" s="34">
        <v>42710</v>
      </c>
      <c r="C5540" s="35" t="s">
        <v>18043</v>
      </c>
      <c r="D5540" s="34">
        <v>42709</v>
      </c>
      <c r="E5540" s="35" t="s">
        <v>1928</v>
      </c>
      <c r="F5540" s="35" t="s">
        <v>1743</v>
      </c>
      <c r="G5540" s="35" t="s">
        <v>20</v>
      </c>
      <c r="H5540" s="35" t="s">
        <v>71</v>
      </c>
      <c r="I5540" s="35" t="s">
        <v>21</v>
      </c>
      <c r="J5540" s="35" t="s">
        <v>984</v>
      </c>
      <c r="K5540" s="35" t="s">
        <v>18044</v>
      </c>
      <c r="L5540" s="35" t="s">
        <v>4282</v>
      </c>
      <c r="M5540" s="35" t="s">
        <v>21</v>
      </c>
      <c r="N5540" s="36"/>
      <c r="O5540" s="96">
        <v>42710</v>
      </c>
      <c r="P5540" s="35" t="s">
        <v>21</v>
      </c>
      <c r="Q5540" s="33" t="b">
        <v>0</v>
      </c>
      <c r="R5540" s="22">
        <f t="shared" si="104"/>
        <v>0</v>
      </c>
      <c r="S5540" s="18"/>
    </row>
    <row r="5541" spans="1:19">
      <c r="A5541" s="26">
        <v>11013</v>
      </c>
      <c r="B5541" s="27">
        <v>42710</v>
      </c>
      <c r="C5541" s="28" t="s">
        <v>19083</v>
      </c>
      <c r="D5541" s="27">
        <v>42709</v>
      </c>
      <c r="E5541" s="28" t="s">
        <v>18240</v>
      </c>
      <c r="F5541" s="28" t="s">
        <v>8358</v>
      </c>
      <c r="G5541" s="28" t="s">
        <v>20</v>
      </c>
      <c r="H5541" s="28" t="s">
        <v>71</v>
      </c>
      <c r="I5541" s="28" t="s">
        <v>21</v>
      </c>
      <c r="J5541" s="28" t="s">
        <v>18241</v>
      </c>
      <c r="K5541" s="28" t="s">
        <v>7369</v>
      </c>
      <c r="L5541" s="28" t="s">
        <v>1946</v>
      </c>
      <c r="M5541" s="28" t="s">
        <v>21</v>
      </c>
      <c r="O5541" s="92">
        <v>42775</v>
      </c>
      <c r="P5541" s="28" t="s">
        <v>21</v>
      </c>
      <c r="Q5541" s="26" t="b">
        <v>0</v>
      </c>
      <c r="R5541" s="22">
        <f t="shared" si="104"/>
        <v>63</v>
      </c>
      <c r="S5541" s="28" t="s">
        <v>21</v>
      </c>
    </row>
    <row r="5542" spans="1:19">
      <c r="A5542" s="26">
        <v>11014</v>
      </c>
      <c r="B5542" s="27">
        <v>42710</v>
      </c>
      <c r="C5542" s="28" t="s">
        <v>19060</v>
      </c>
      <c r="D5542" s="27">
        <v>42709</v>
      </c>
      <c r="E5542" s="28" t="s">
        <v>1928</v>
      </c>
      <c r="F5542" s="28" t="s">
        <v>1743</v>
      </c>
      <c r="G5542" s="28" t="s">
        <v>20</v>
      </c>
      <c r="H5542" s="28" t="s">
        <v>71</v>
      </c>
      <c r="I5542" s="28" t="s">
        <v>21</v>
      </c>
      <c r="J5542" s="28" t="s">
        <v>18090</v>
      </c>
      <c r="K5542" s="28" t="s">
        <v>18091</v>
      </c>
      <c r="L5542" s="28" t="s">
        <v>1946</v>
      </c>
      <c r="M5542" s="28" t="s">
        <v>21</v>
      </c>
      <c r="O5542" s="92">
        <v>42738</v>
      </c>
      <c r="P5542" s="28" t="s">
        <v>21</v>
      </c>
      <c r="Q5542" s="26" t="b">
        <v>0</v>
      </c>
      <c r="R5542" s="22">
        <f t="shared" si="104"/>
        <v>27</v>
      </c>
      <c r="S5542" s="18"/>
    </row>
    <row r="5543" spans="1:19" ht="32">
      <c r="A5543" s="33">
        <v>11015</v>
      </c>
      <c r="B5543" s="34">
        <v>42710</v>
      </c>
      <c r="C5543" s="35" t="s">
        <v>18041</v>
      </c>
      <c r="D5543" s="34">
        <v>42710</v>
      </c>
      <c r="E5543" s="35" t="s">
        <v>1928</v>
      </c>
      <c r="F5543" s="35" t="s">
        <v>1743</v>
      </c>
      <c r="G5543" s="35" t="s">
        <v>20</v>
      </c>
      <c r="H5543" s="35" t="s">
        <v>71</v>
      </c>
      <c r="I5543" s="35" t="s">
        <v>21</v>
      </c>
      <c r="J5543" s="35" t="s">
        <v>18042</v>
      </c>
      <c r="K5543" s="35" t="s">
        <v>21</v>
      </c>
      <c r="L5543" s="35" t="s">
        <v>4282</v>
      </c>
      <c r="M5543" s="35" t="s">
        <v>21</v>
      </c>
      <c r="N5543" s="36"/>
      <c r="O5543" s="96">
        <v>42710</v>
      </c>
      <c r="P5543" s="35" t="s">
        <v>21</v>
      </c>
      <c r="Q5543" s="33" t="b">
        <v>0</v>
      </c>
      <c r="R5543" s="22">
        <f t="shared" si="104"/>
        <v>0</v>
      </c>
      <c r="S5543" s="18"/>
    </row>
    <row r="5544" spans="1:19">
      <c r="A5544" s="26">
        <v>11016</v>
      </c>
      <c r="B5544" s="27">
        <v>42711</v>
      </c>
      <c r="C5544" s="28" t="s">
        <v>19197</v>
      </c>
      <c r="D5544" s="27">
        <v>42709</v>
      </c>
      <c r="E5544" s="28" t="s">
        <v>18242</v>
      </c>
      <c r="F5544" s="28" t="s">
        <v>8358</v>
      </c>
      <c r="G5544" s="28" t="s">
        <v>20</v>
      </c>
      <c r="H5544" s="28" t="s">
        <v>71</v>
      </c>
      <c r="I5544" s="28" t="s">
        <v>21</v>
      </c>
      <c r="J5544" s="28" t="s">
        <v>18243</v>
      </c>
      <c r="K5544" s="28" t="s">
        <v>18244</v>
      </c>
      <c r="L5544" s="28" t="s">
        <v>1946</v>
      </c>
      <c r="M5544" s="28" t="s">
        <v>21</v>
      </c>
      <c r="O5544" s="92">
        <v>42947</v>
      </c>
      <c r="P5544" s="28" t="s">
        <v>21</v>
      </c>
      <c r="Q5544" s="26" t="b">
        <v>0</v>
      </c>
      <c r="R5544" s="22">
        <f t="shared" si="104"/>
        <v>237</v>
      </c>
      <c r="S5544" s="28" t="s">
        <v>21</v>
      </c>
    </row>
    <row r="5545" spans="1:19">
      <c r="A5545" s="26">
        <v>11017</v>
      </c>
      <c r="B5545" s="27">
        <v>42711</v>
      </c>
      <c r="C5545" s="28" t="s">
        <v>19065</v>
      </c>
      <c r="D5545" s="27">
        <v>42709</v>
      </c>
      <c r="E5545" s="28" t="s">
        <v>38</v>
      </c>
      <c r="F5545" s="28" t="s">
        <v>124</v>
      </c>
      <c r="G5545" s="28" t="s">
        <v>20</v>
      </c>
      <c r="H5545" s="28" t="s">
        <v>71</v>
      </c>
      <c r="I5545" s="28" t="s">
        <v>21</v>
      </c>
      <c r="J5545" s="28" t="s">
        <v>15575</v>
      </c>
      <c r="K5545" s="28" t="s">
        <v>18101</v>
      </c>
      <c r="L5545" s="28" t="s">
        <v>14518</v>
      </c>
      <c r="M5545" s="28" t="s">
        <v>21</v>
      </c>
      <c r="O5545" s="92">
        <v>42746</v>
      </c>
      <c r="P5545" s="28" t="s">
        <v>21</v>
      </c>
      <c r="Q5545" s="26" t="b">
        <v>0</v>
      </c>
      <c r="R5545" s="22">
        <f t="shared" ref="R5545:R5572" si="105">IF(O5545=" ", " ", INT(YEARFRAC(O5545, B5545)*365))</f>
        <v>34</v>
      </c>
      <c r="S5545" s="18"/>
    </row>
    <row r="5546" spans="1:19">
      <c r="A5546" s="26">
        <v>11018</v>
      </c>
      <c r="B5546" s="27">
        <v>42712</v>
      </c>
      <c r="C5546" s="28" t="s">
        <v>18962</v>
      </c>
      <c r="D5546" s="27">
        <v>42712</v>
      </c>
      <c r="E5546" s="28" t="s">
        <v>18235</v>
      </c>
      <c r="F5546" s="28" t="s">
        <v>18236</v>
      </c>
      <c r="G5546" s="28" t="s">
        <v>20</v>
      </c>
      <c r="H5546" s="28" t="s">
        <v>71</v>
      </c>
      <c r="I5546" s="28" t="s">
        <v>21</v>
      </c>
      <c r="J5546" s="28" t="s">
        <v>14825</v>
      </c>
      <c r="K5546" s="28" t="s">
        <v>18237</v>
      </c>
      <c r="L5546" s="40" t="s">
        <v>4282</v>
      </c>
      <c r="M5546" s="40" t="s">
        <v>20149</v>
      </c>
      <c r="O5546" s="100">
        <v>43707</v>
      </c>
      <c r="P5546" s="28" t="s">
        <v>21</v>
      </c>
      <c r="Q5546" s="26" t="b">
        <v>0</v>
      </c>
      <c r="R5546" s="22">
        <f t="shared" si="105"/>
        <v>995</v>
      </c>
      <c r="S5546" s="28" t="s">
        <v>21</v>
      </c>
    </row>
    <row r="5547" spans="1:19" ht="32">
      <c r="A5547" s="33">
        <v>11019</v>
      </c>
      <c r="B5547" s="34">
        <v>42713</v>
      </c>
      <c r="C5547" s="35" t="s">
        <v>18069</v>
      </c>
      <c r="D5547" s="34">
        <v>42713</v>
      </c>
      <c r="E5547" s="35" t="s">
        <v>18070</v>
      </c>
      <c r="F5547" s="35" t="s">
        <v>149</v>
      </c>
      <c r="G5547" s="35" t="s">
        <v>20</v>
      </c>
      <c r="H5547" s="35" t="s">
        <v>71</v>
      </c>
      <c r="I5547" s="35" t="s">
        <v>21</v>
      </c>
      <c r="J5547" s="35" t="s">
        <v>18071</v>
      </c>
      <c r="K5547" s="35" t="s">
        <v>21</v>
      </c>
      <c r="L5547" s="35" t="s">
        <v>7167</v>
      </c>
      <c r="M5547" s="35" t="s">
        <v>21</v>
      </c>
      <c r="N5547" s="36"/>
      <c r="O5547" s="96">
        <v>42726</v>
      </c>
      <c r="P5547" s="35" t="s">
        <v>21</v>
      </c>
      <c r="Q5547" s="33" t="b">
        <v>0</v>
      </c>
      <c r="R5547" s="22">
        <f t="shared" si="105"/>
        <v>13</v>
      </c>
      <c r="S5547" s="18"/>
    </row>
    <row r="5548" spans="1:19" ht="24">
      <c r="A5548" s="26">
        <v>11020</v>
      </c>
      <c r="B5548" s="27">
        <v>42716</v>
      </c>
      <c r="C5548" s="28" t="s">
        <v>19069</v>
      </c>
      <c r="D5548" s="27">
        <v>42670</v>
      </c>
      <c r="E5548" s="28" t="s">
        <v>18246</v>
      </c>
      <c r="F5548" s="28" t="s">
        <v>124</v>
      </c>
      <c r="G5548" s="28" t="s">
        <v>20</v>
      </c>
      <c r="H5548" s="28" t="s">
        <v>71</v>
      </c>
      <c r="I5548" s="28" t="s">
        <v>21</v>
      </c>
      <c r="J5548" s="28" t="s">
        <v>18053</v>
      </c>
      <c r="K5548" s="28" t="s">
        <v>21</v>
      </c>
      <c r="L5548" s="28" t="s">
        <v>14518</v>
      </c>
      <c r="M5548" s="28" t="s">
        <v>21</v>
      </c>
      <c r="O5548" s="92">
        <v>42755</v>
      </c>
      <c r="P5548" s="28" t="s">
        <v>21</v>
      </c>
      <c r="Q5548" s="26" t="b">
        <v>0</v>
      </c>
      <c r="R5548" s="22">
        <f t="shared" si="105"/>
        <v>38</v>
      </c>
      <c r="S5548" s="18"/>
    </row>
    <row r="5549" spans="1:19" ht="32">
      <c r="A5549" s="33">
        <v>11021</v>
      </c>
      <c r="B5549" s="34">
        <v>42716</v>
      </c>
      <c r="C5549" s="35" t="s">
        <v>18059</v>
      </c>
      <c r="D5549" s="34">
        <v>42716</v>
      </c>
      <c r="E5549" s="35" t="s">
        <v>38</v>
      </c>
      <c r="F5549" s="35" t="s">
        <v>14118</v>
      </c>
      <c r="G5549" s="35" t="s">
        <v>20</v>
      </c>
      <c r="H5549" s="35" t="s">
        <v>71</v>
      </c>
      <c r="I5549" s="35" t="s">
        <v>21</v>
      </c>
      <c r="J5549" s="35" t="s">
        <v>18060</v>
      </c>
      <c r="K5549" s="35" t="s">
        <v>6081</v>
      </c>
      <c r="L5549" s="35" t="s">
        <v>7167</v>
      </c>
      <c r="M5549" s="35" t="s">
        <v>21</v>
      </c>
      <c r="N5549" s="36"/>
      <c r="O5549" s="96">
        <v>42719</v>
      </c>
      <c r="P5549" s="35" t="s">
        <v>21</v>
      </c>
      <c r="Q5549" s="33" t="b">
        <v>0</v>
      </c>
      <c r="R5549" s="22">
        <f t="shared" si="105"/>
        <v>3</v>
      </c>
      <c r="S5549" s="18"/>
    </row>
    <row r="5550" spans="1:19">
      <c r="A5550" s="26">
        <v>11022</v>
      </c>
      <c r="B5550" s="27">
        <v>42718</v>
      </c>
      <c r="C5550" s="28" t="s">
        <v>19133</v>
      </c>
      <c r="D5550" s="27">
        <v>42718</v>
      </c>
      <c r="E5550" s="28" t="s">
        <v>18254</v>
      </c>
      <c r="F5550" s="28" t="s">
        <v>984</v>
      </c>
      <c r="G5550" s="28" t="s">
        <v>20</v>
      </c>
      <c r="H5550" s="28" t="s">
        <v>71</v>
      </c>
      <c r="I5550" s="28" t="s">
        <v>21</v>
      </c>
      <c r="J5550" s="28" t="s">
        <v>18255</v>
      </c>
      <c r="K5550" s="28" t="s">
        <v>18256</v>
      </c>
      <c r="L5550" s="28" t="s">
        <v>4282</v>
      </c>
      <c r="M5550" s="28" t="s">
        <v>21</v>
      </c>
      <c r="O5550" s="92">
        <v>42852</v>
      </c>
      <c r="P5550" s="28" t="s">
        <v>21</v>
      </c>
      <c r="Q5550" s="26" t="b">
        <v>0</v>
      </c>
      <c r="R5550" s="22">
        <f t="shared" si="105"/>
        <v>134</v>
      </c>
      <c r="S5550" s="28" t="s">
        <v>21</v>
      </c>
    </row>
    <row r="5551" spans="1:19">
      <c r="A5551" s="26">
        <v>11023</v>
      </c>
      <c r="B5551" s="27">
        <v>42719</v>
      </c>
      <c r="C5551" s="28" t="s">
        <v>18963</v>
      </c>
      <c r="D5551" s="27">
        <v>42719</v>
      </c>
      <c r="E5551" s="28" t="s">
        <v>18257</v>
      </c>
      <c r="F5551" s="28" t="s">
        <v>228</v>
      </c>
      <c r="G5551" s="28" t="s">
        <v>20</v>
      </c>
      <c r="H5551" s="28" t="s">
        <v>71</v>
      </c>
      <c r="I5551" s="28" t="s">
        <v>21</v>
      </c>
      <c r="J5551" s="28" t="s">
        <v>18258</v>
      </c>
      <c r="K5551" s="28" t="s">
        <v>18259</v>
      </c>
      <c r="L5551" s="28" t="s">
        <v>4282</v>
      </c>
      <c r="M5551" s="28" t="s">
        <v>21</v>
      </c>
      <c r="O5551" s="100">
        <v>43644</v>
      </c>
      <c r="P5551" s="28" t="s">
        <v>21</v>
      </c>
      <c r="Q5551" s="26" t="b">
        <v>0</v>
      </c>
      <c r="R5551" s="22">
        <f t="shared" si="105"/>
        <v>925</v>
      </c>
      <c r="S5551" s="28" t="s">
        <v>21</v>
      </c>
    </row>
    <row r="5552" spans="1:19">
      <c r="A5552" s="26">
        <v>11024</v>
      </c>
      <c r="B5552" s="27">
        <v>42719</v>
      </c>
      <c r="C5552" s="28" t="s">
        <v>19084</v>
      </c>
      <c r="D5552" s="27">
        <v>42713</v>
      </c>
      <c r="E5552" s="28" t="s">
        <v>18260</v>
      </c>
      <c r="F5552" s="28" t="s">
        <v>3430</v>
      </c>
      <c r="G5552" s="28" t="s">
        <v>20</v>
      </c>
      <c r="H5552" s="28" t="s">
        <v>71</v>
      </c>
      <c r="I5552" s="28" t="s">
        <v>21</v>
      </c>
      <c r="J5552" s="28" t="s">
        <v>18261</v>
      </c>
      <c r="K5552" s="28" t="s">
        <v>9958</v>
      </c>
      <c r="L5552" s="28" t="s">
        <v>7167</v>
      </c>
      <c r="M5552" s="28" t="s">
        <v>21</v>
      </c>
      <c r="O5552" s="92">
        <v>42775</v>
      </c>
      <c r="P5552" s="28" t="s">
        <v>21</v>
      </c>
      <c r="Q5552" s="26" t="b">
        <v>0</v>
      </c>
      <c r="R5552" s="22">
        <f t="shared" si="105"/>
        <v>54</v>
      </c>
      <c r="S5552" s="28" t="s">
        <v>21</v>
      </c>
    </row>
    <row r="5553" spans="1:19" ht="24">
      <c r="A5553" s="26">
        <v>11025</v>
      </c>
      <c r="B5553" s="27">
        <v>42720</v>
      </c>
      <c r="C5553" s="28" t="s">
        <v>19181</v>
      </c>
      <c r="D5553" s="27">
        <v>42719</v>
      </c>
      <c r="E5553" s="28" t="s">
        <v>18221</v>
      </c>
      <c r="F5553" s="28" t="s">
        <v>6456</v>
      </c>
      <c r="G5553" s="28" t="s">
        <v>20</v>
      </c>
      <c r="H5553" s="28" t="s">
        <v>189</v>
      </c>
      <c r="I5553" s="28" t="s">
        <v>21</v>
      </c>
      <c r="J5553" s="28" t="s">
        <v>18065</v>
      </c>
      <c r="K5553" s="28" t="s">
        <v>18066</v>
      </c>
      <c r="L5553" s="28" t="s">
        <v>7167</v>
      </c>
      <c r="M5553" s="28" t="s">
        <v>21</v>
      </c>
      <c r="O5553" s="92">
        <v>42921</v>
      </c>
      <c r="P5553" s="28" t="s">
        <v>21</v>
      </c>
      <c r="Q5553" s="26" t="b">
        <v>0</v>
      </c>
      <c r="R5553" s="22">
        <f t="shared" si="105"/>
        <v>201</v>
      </c>
      <c r="S5553" s="28" t="s">
        <v>18064</v>
      </c>
    </row>
    <row r="5554" spans="1:19" ht="32">
      <c r="A5554" s="33">
        <v>11026</v>
      </c>
      <c r="B5554" s="34">
        <v>42723</v>
      </c>
      <c r="C5554" s="35" t="s">
        <v>18067</v>
      </c>
      <c r="D5554" s="34">
        <v>42720</v>
      </c>
      <c r="E5554" s="35" t="s">
        <v>38</v>
      </c>
      <c r="F5554" s="35" t="s">
        <v>16173</v>
      </c>
      <c r="G5554" s="35" t="s">
        <v>20</v>
      </c>
      <c r="H5554" s="35" t="s">
        <v>566</v>
      </c>
      <c r="I5554" s="35" t="s">
        <v>21</v>
      </c>
      <c r="J5554" s="35" t="s">
        <v>18068</v>
      </c>
      <c r="K5554" s="35" t="s">
        <v>21</v>
      </c>
      <c r="L5554" s="35" t="s">
        <v>14909</v>
      </c>
      <c r="M5554" s="35" t="s">
        <v>21</v>
      </c>
      <c r="N5554" s="36"/>
      <c r="O5554" s="96">
        <v>42724</v>
      </c>
      <c r="P5554" s="35" t="s">
        <v>21</v>
      </c>
      <c r="Q5554" s="33" t="b">
        <v>0</v>
      </c>
      <c r="R5554" s="22">
        <f t="shared" si="105"/>
        <v>1</v>
      </c>
      <c r="S5554" s="18"/>
    </row>
    <row r="5555" spans="1:19" ht="24">
      <c r="A5555" s="26">
        <v>11027</v>
      </c>
      <c r="B5555" s="27">
        <v>42723</v>
      </c>
      <c r="C5555" s="28" t="s">
        <v>19061</v>
      </c>
      <c r="D5555" s="27">
        <v>42723</v>
      </c>
      <c r="E5555" s="28" t="s">
        <v>38</v>
      </c>
      <c r="F5555" s="28" t="s">
        <v>124</v>
      </c>
      <c r="G5555" s="28" t="s">
        <v>20</v>
      </c>
      <c r="H5555" s="28" t="s">
        <v>71</v>
      </c>
      <c r="I5555" s="28" t="s">
        <v>21</v>
      </c>
      <c r="J5555" s="28" t="s">
        <v>18094</v>
      </c>
      <c r="K5555" s="28" t="s">
        <v>21</v>
      </c>
      <c r="L5555" s="28" t="s">
        <v>14909</v>
      </c>
      <c r="M5555" s="28" t="s">
        <v>21</v>
      </c>
      <c r="O5555" s="92">
        <v>42739</v>
      </c>
      <c r="P5555" s="28" t="s">
        <v>21</v>
      </c>
      <c r="Q5555" s="26" t="b">
        <v>0</v>
      </c>
      <c r="R5555" s="22">
        <f t="shared" si="105"/>
        <v>15</v>
      </c>
      <c r="S5555" s="18"/>
    </row>
    <row r="5556" spans="1:19">
      <c r="A5556" s="26">
        <v>11028</v>
      </c>
      <c r="B5556" s="27">
        <v>42723</v>
      </c>
      <c r="C5556" s="28" t="s">
        <v>18964</v>
      </c>
      <c r="D5556" s="27">
        <v>42723</v>
      </c>
      <c r="E5556" s="28" t="s">
        <v>18212</v>
      </c>
      <c r="F5556" s="28" t="s">
        <v>216</v>
      </c>
      <c r="G5556" s="28" t="s">
        <v>20</v>
      </c>
      <c r="H5556" s="28" t="s">
        <v>71</v>
      </c>
      <c r="I5556" s="28" t="s">
        <v>21</v>
      </c>
      <c r="J5556" s="28" t="s">
        <v>18213</v>
      </c>
      <c r="K5556" s="28" t="s">
        <v>6081</v>
      </c>
      <c r="L5556" s="28" t="s">
        <v>4282</v>
      </c>
      <c r="M5556" s="28" t="s">
        <v>21</v>
      </c>
      <c r="O5556" s="100">
        <v>43612</v>
      </c>
      <c r="P5556" s="28" t="s">
        <v>21</v>
      </c>
      <c r="Q5556" s="26" t="b">
        <v>0</v>
      </c>
      <c r="R5556" s="22">
        <f t="shared" si="105"/>
        <v>890</v>
      </c>
      <c r="S5556" s="28" t="s">
        <v>21</v>
      </c>
    </row>
    <row r="5557" spans="1:19">
      <c r="A5557" s="26">
        <v>11029</v>
      </c>
      <c r="B5557" s="27">
        <v>42724</v>
      </c>
      <c r="C5557" s="28" t="s">
        <v>19117</v>
      </c>
      <c r="D5557" s="27">
        <v>42724</v>
      </c>
      <c r="E5557" s="28" t="s">
        <v>1432</v>
      </c>
      <c r="F5557" s="28" t="s">
        <v>14118</v>
      </c>
      <c r="G5557" s="28" t="s">
        <v>20</v>
      </c>
      <c r="H5557" s="28" t="s">
        <v>71</v>
      </c>
      <c r="I5557" s="28" t="s">
        <v>21</v>
      </c>
      <c r="J5557" s="28" t="s">
        <v>18219</v>
      </c>
      <c r="K5557" s="28" t="s">
        <v>18220</v>
      </c>
      <c r="L5557" s="28" t="s">
        <v>14518</v>
      </c>
      <c r="M5557" s="28" t="s">
        <v>21</v>
      </c>
      <c r="O5557" s="92">
        <v>42817</v>
      </c>
      <c r="P5557" s="28" t="s">
        <v>21</v>
      </c>
      <c r="Q5557" s="26" t="b">
        <v>0</v>
      </c>
      <c r="R5557" s="22">
        <f t="shared" si="105"/>
        <v>94</v>
      </c>
      <c r="S5557" s="28" t="s">
        <v>21</v>
      </c>
    </row>
    <row r="5558" spans="1:19" ht="32">
      <c r="A5558" s="33">
        <v>11030</v>
      </c>
      <c r="B5558" s="34">
        <v>42726</v>
      </c>
      <c r="C5558" s="35" t="s">
        <v>18086</v>
      </c>
      <c r="D5558" s="34">
        <v>42726</v>
      </c>
      <c r="E5558" s="35" t="s">
        <v>1928</v>
      </c>
      <c r="F5558" s="35" t="s">
        <v>1743</v>
      </c>
      <c r="G5558" s="35" t="s">
        <v>20</v>
      </c>
      <c r="H5558" s="35" t="s">
        <v>71</v>
      </c>
      <c r="I5558" s="35" t="s">
        <v>21</v>
      </c>
      <c r="J5558" s="35" t="s">
        <v>18087</v>
      </c>
      <c r="K5558" s="35" t="s">
        <v>21</v>
      </c>
      <c r="L5558" s="35" t="s">
        <v>7167</v>
      </c>
      <c r="M5558" s="35" t="s">
        <v>21</v>
      </c>
      <c r="N5558" s="36"/>
      <c r="O5558" s="96">
        <v>42734</v>
      </c>
      <c r="P5558" s="35" t="s">
        <v>21</v>
      </c>
      <c r="Q5558" s="33" t="b">
        <v>0</v>
      </c>
      <c r="R5558" s="22">
        <f t="shared" si="105"/>
        <v>8</v>
      </c>
      <c r="S5558" s="18"/>
    </row>
    <row r="5559" spans="1:19">
      <c r="A5559" s="26">
        <v>11031</v>
      </c>
      <c r="B5559" s="27">
        <v>42732</v>
      </c>
      <c r="C5559" s="28" t="s">
        <v>18965</v>
      </c>
      <c r="D5559" s="27">
        <v>42732</v>
      </c>
      <c r="E5559" s="28" t="s">
        <v>18222</v>
      </c>
      <c r="F5559" s="28" t="s">
        <v>13422</v>
      </c>
      <c r="G5559" s="28" t="s">
        <v>20</v>
      </c>
      <c r="H5559" s="28" t="s">
        <v>71</v>
      </c>
      <c r="I5559" s="28" t="s">
        <v>21</v>
      </c>
      <c r="J5559" s="28" t="s">
        <v>18223</v>
      </c>
      <c r="K5559" s="28" t="s">
        <v>18224</v>
      </c>
      <c r="L5559" s="28" t="s">
        <v>14909</v>
      </c>
      <c r="M5559" s="28" t="s">
        <v>21</v>
      </c>
      <c r="O5559" s="100">
        <v>43767</v>
      </c>
      <c r="P5559" s="28" t="s">
        <v>21</v>
      </c>
      <c r="Q5559" s="26" t="b">
        <v>0</v>
      </c>
      <c r="R5559" s="22">
        <f t="shared" si="105"/>
        <v>1035</v>
      </c>
      <c r="S5559" s="28" t="s">
        <v>21</v>
      </c>
    </row>
    <row r="5560" spans="1:19" ht="32">
      <c r="A5560" s="33">
        <v>11032</v>
      </c>
      <c r="B5560" s="34">
        <v>42734</v>
      </c>
      <c r="C5560" s="35" t="s">
        <v>18088</v>
      </c>
      <c r="D5560" s="34">
        <v>42734</v>
      </c>
      <c r="E5560" s="35" t="s">
        <v>38</v>
      </c>
      <c r="F5560" s="35" t="s">
        <v>1743</v>
      </c>
      <c r="G5560" s="35" t="s">
        <v>20</v>
      </c>
      <c r="H5560" s="35" t="s">
        <v>71</v>
      </c>
      <c r="I5560" s="35" t="s">
        <v>21</v>
      </c>
      <c r="J5560" s="35" t="s">
        <v>4041</v>
      </c>
      <c r="K5560" s="35" t="s">
        <v>18089</v>
      </c>
      <c r="L5560" s="35" t="s">
        <v>14518</v>
      </c>
      <c r="M5560" s="35" t="s">
        <v>21</v>
      </c>
      <c r="N5560" s="36"/>
      <c r="O5560" s="96">
        <v>42734</v>
      </c>
      <c r="P5560" s="35" t="s">
        <v>21</v>
      </c>
      <c r="Q5560" s="33" t="b">
        <v>0</v>
      </c>
      <c r="R5560" s="22">
        <f t="shared" si="105"/>
        <v>0</v>
      </c>
      <c r="S5560" s="18"/>
    </row>
    <row r="5561" spans="1:19">
      <c r="A5561" s="26">
        <v>11033</v>
      </c>
      <c r="B5561" s="27">
        <v>42734</v>
      </c>
      <c r="C5561" s="28" t="s">
        <v>19067</v>
      </c>
      <c r="D5561" s="27">
        <v>42733</v>
      </c>
      <c r="E5561" s="28" t="s">
        <v>1928</v>
      </c>
      <c r="F5561" s="28" t="s">
        <v>1743</v>
      </c>
      <c r="G5561" s="28" t="s">
        <v>20</v>
      </c>
      <c r="H5561" s="28" t="s">
        <v>71</v>
      </c>
      <c r="I5561" s="28" t="s">
        <v>21</v>
      </c>
      <c r="J5561" s="28" t="s">
        <v>18225</v>
      </c>
      <c r="K5561" s="28" t="s">
        <v>18226</v>
      </c>
      <c r="L5561" s="28" t="s">
        <v>3271</v>
      </c>
      <c r="M5561" s="28" t="s">
        <v>21</v>
      </c>
      <c r="O5561" s="92">
        <v>42753</v>
      </c>
      <c r="P5561" s="28" t="s">
        <v>21</v>
      </c>
      <c r="Q5561" s="26" t="b">
        <v>0</v>
      </c>
      <c r="R5561" s="22">
        <f t="shared" si="105"/>
        <v>18</v>
      </c>
      <c r="S5561" s="18"/>
    </row>
    <row r="5562" spans="1:19">
      <c r="A5562" s="26">
        <v>11034</v>
      </c>
      <c r="B5562" s="27">
        <v>42738</v>
      </c>
      <c r="C5562" s="28" t="s">
        <v>19208</v>
      </c>
      <c r="D5562" s="27">
        <v>42734</v>
      </c>
      <c r="E5562" s="28" t="s">
        <v>18227</v>
      </c>
      <c r="F5562" s="28" t="s">
        <v>16173</v>
      </c>
      <c r="G5562" s="28" t="s">
        <v>20</v>
      </c>
      <c r="H5562" s="28" t="s">
        <v>566</v>
      </c>
      <c r="I5562" s="28" t="s">
        <v>21</v>
      </c>
      <c r="J5562" s="28" t="s">
        <v>18228</v>
      </c>
      <c r="K5562" s="28" t="s">
        <v>21</v>
      </c>
      <c r="L5562" s="28" t="s">
        <v>14909</v>
      </c>
      <c r="M5562" s="28" t="s">
        <v>21</v>
      </c>
      <c r="O5562" s="92">
        <v>42962</v>
      </c>
      <c r="P5562" s="28" t="s">
        <v>21</v>
      </c>
      <c r="Q5562" s="26" t="b">
        <v>0</v>
      </c>
      <c r="R5562" s="22">
        <f t="shared" si="105"/>
        <v>225</v>
      </c>
      <c r="S5562" s="28" t="s">
        <v>21</v>
      </c>
    </row>
    <row r="5563" spans="1:19">
      <c r="A5563" s="26">
        <v>11035</v>
      </c>
      <c r="B5563" s="27">
        <v>42738</v>
      </c>
      <c r="C5563" s="28" t="s">
        <v>19081</v>
      </c>
      <c r="D5563" s="27">
        <v>42734</v>
      </c>
      <c r="E5563" s="28" t="s">
        <v>18229</v>
      </c>
      <c r="F5563" s="28" t="s">
        <v>3171</v>
      </c>
      <c r="G5563" s="28" t="s">
        <v>20</v>
      </c>
      <c r="H5563" s="28" t="s">
        <v>566</v>
      </c>
      <c r="I5563" s="28" t="s">
        <v>21</v>
      </c>
      <c r="J5563" s="28" t="s">
        <v>18230</v>
      </c>
      <c r="K5563" s="28" t="s">
        <v>14825</v>
      </c>
      <c r="L5563" s="28" t="s">
        <v>7167</v>
      </c>
      <c r="M5563" s="28" t="s">
        <v>21</v>
      </c>
      <c r="O5563" s="92">
        <v>42774</v>
      </c>
      <c r="P5563" s="28" t="s">
        <v>21</v>
      </c>
      <c r="Q5563" s="26" t="b">
        <v>0</v>
      </c>
      <c r="R5563" s="22">
        <f t="shared" si="105"/>
        <v>35</v>
      </c>
      <c r="S5563" s="28" t="s">
        <v>21</v>
      </c>
    </row>
    <row r="5564" spans="1:19">
      <c r="A5564" s="26">
        <v>11036</v>
      </c>
      <c r="B5564" s="27">
        <v>42738</v>
      </c>
      <c r="C5564" s="28" t="s">
        <v>19062</v>
      </c>
      <c r="D5564" s="27">
        <v>42734</v>
      </c>
      <c r="E5564" s="28" t="s">
        <v>38</v>
      </c>
      <c r="F5564" s="28" t="s">
        <v>70</v>
      </c>
      <c r="G5564" s="28" t="s">
        <v>20</v>
      </c>
      <c r="H5564" s="28" t="s">
        <v>71</v>
      </c>
      <c r="I5564" s="28" t="s">
        <v>21</v>
      </c>
      <c r="J5564" s="28" t="s">
        <v>6346</v>
      </c>
      <c r="K5564" s="28" t="s">
        <v>6950</v>
      </c>
      <c r="L5564" s="28" t="s">
        <v>7167</v>
      </c>
      <c r="M5564" s="28" t="s">
        <v>21</v>
      </c>
      <c r="O5564" s="92">
        <v>42745</v>
      </c>
      <c r="P5564" s="28" t="s">
        <v>21</v>
      </c>
      <c r="Q5564" s="26" t="b">
        <v>0</v>
      </c>
      <c r="R5564" s="22">
        <f t="shared" si="105"/>
        <v>7</v>
      </c>
      <c r="S5564" s="18"/>
    </row>
    <row r="5565" spans="1:19">
      <c r="A5565" s="26">
        <v>11037</v>
      </c>
      <c r="B5565" s="27">
        <v>42738</v>
      </c>
      <c r="C5565" s="28" t="s">
        <v>19063</v>
      </c>
      <c r="D5565" s="27">
        <v>42734</v>
      </c>
      <c r="E5565" s="28" t="s">
        <v>38</v>
      </c>
      <c r="F5565" s="28" t="s">
        <v>124</v>
      </c>
      <c r="G5565" s="28" t="s">
        <v>20</v>
      </c>
      <c r="H5565" s="28" t="s">
        <v>71</v>
      </c>
      <c r="I5565" s="28" t="s">
        <v>21</v>
      </c>
      <c r="J5565" s="28" t="s">
        <v>18095</v>
      </c>
      <c r="K5565" s="28" t="s">
        <v>21</v>
      </c>
      <c r="L5565" s="28" t="s">
        <v>14909</v>
      </c>
      <c r="M5565" s="28" t="s">
        <v>21</v>
      </c>
      <c r="O5565" s="92">
        <v>42745</v>
      </c>
      <c r="P5565" s="28" t="s">
        <v>21</v>
      </c>
      <c r="Q5565" s="26" t="b">
        <v>0</v>
      </c>
      <c r="R5565" s="22">
        <f t="shared" si="105"/>
        <v>7</v>
      </c>
      <c r="S5565" s="18"/>
    </row>
    <row r="5566" spans="1:19">
      <c r="A5566" s="38">
        <v>11038</v>
      </c>
      <c r="B5566" s="39">
        <v>42739</v>
      </c>
      <c r="C5566" s="40" t="s">
        <v>18966</v>
      </c>
      <c r="D5566" s="39">
        <v>42739</v>
      </c>
      <c r="E5566" s="40" t="s">
        <v>18262</v>
      </c>
      <c r="F5566" s="40" t="s">
        <v>6084</v>
      </c>
      <c r="G5566" s="40" t="s">
        <v>20</v>
      </c>
      <c r="H5566" s="40" t="s">
        <v>71</v>
      </c>
      <c r="I5566" s="40" t="s">
        <v>21</v>
      </c>
      <c r="J5566" s="40" t="s">
        <v>18263</v>
      </c>
      <c r="K5566" s="40" t="s">
        <v>9152</v>
      </c>
      <c r="L5566" s="40" t="s">
        <v>4282</v>
      </c>
      <c r="M5566" s="40" t="s">
        <v>21</v>
      </c>
      <c r="O5566" s="100">
        <v>43318</v>
      </c>
      <c r="P5566" s="41" t="s">
        <v>21</v>
      </c>
      <c r="Q5566" s="42" t="b">
        <v>0</v>
      </c>
      <c r="R5566" s="22">
        <f t="shared" si="105"/>
        <v>579</v>
      </c>
      <c r="S5566" s="18"/>
    </row>
    <row r="5567" spans="1:19" ht="48">
      <c r="A5567" s="26">
        <v>11039</v>
      </c>
      <c r="B5567" s="27">
        <v>42739</v>
      </c>
      <c r="C5567" s="28" t="s">
        <v>19091</v>
      </c>
      <c r="D5567" s="27">
        <v>42738</v>
      </c>
      <c r="E5567" s="28" t="s">
        <v>1928</v>
      </c>
      <c r="F5567" s="28" t="s">
        <v>1743</v>
      </c>
      <c r="G5567" s="28" t="s">
        <v>20</v>
      </c>
      <c r="H5567" s="28" t="s">
        <v>71</v>
      </c>
      <c r="I5567" s="28" t="s">
        <v>21</v>
      </c>
      <c r="J5567" s="28" t="s">
        <v>18287</v>
      </c>
      <c r="K5567" s="28" t="s">
        <v>18091</v>
      </c>
      <c r="L5567" s="28" t="s">
        <v>14518</v>
      </c>
      <c r="M5567" s="28" t="s">
        <v>4282</v>
      </c>
      <c r="O5567" s="92">
        <v>42781</v>
      </c>
      <c r="P5567" s="28" t="s">
        <v>21</v>
      </c>
      <c r="Q5567" s="26" t="b">
        <v>0</v>
      </c>
      <c r="R5567" s="22">
        <f t="shared" si="105"/>
        <v>41</v>
      </c>
      <c r="S5567" s="28" t="s">
        <v>19291</v>
      </c>
    </row>
    <row r="5568" spans="1:19">
      <c r="A5568" s="26">
        <v>11040</v>
      </c>
      <c r="B5568" s="27">
        <v>42739</v>
      </c>
      <c r="C5568" s="28" t="s">
        <v>19107</v>
      </c>
      <c r="D5568" s="27">
        <v>42738</v>
      </c>
      <c r="E5568" s="28" t="s">
        <v>18288</v>
      </c>
      <c r="F5568" s="28" t="s">
        <v>18289</v>
      </c>
      <c r="G5568" s="28" t="s">
        <v>20</v>
      </c>
      <c r="H5568" s="28" t="s">
        <v>71</v>
      </c>
      <c r="I5568" s="28" t="s">
        <v>21</v>
      </c>
      <c r="J5568" s="28" t="s">
        <v>18290</v>
      </c>
      <c r="K5568" s="28" t="s">
        <v>18291</v>
      </c>
      <c r="L5568" s="28" t="s">
        <v>7167</v>
      </c>
      <c r="M5568" s="28" t="s">
        <v>21</v>
      </c>
      <c r="O5568" s="92">
        <v>42810</v>
      </c>
      <c r="P5568" s="28" t="s">
        <v>21</v>
      </c>
      <c r="Q5568" s="26" t="b">
        <v>0</v>
      </c>
      <c r="R5568" s="22">
        <f t="shared" si="105"/>
        <v>73</v>
      </c>
      <c r="S5568" s="28" t="s">
        <v>21</v>
      </c>
    </row>
    <row r="5569" spans="1:20">
      <c r="A5569" s="38">
        <v>11041</v>
      </c>
      <c r="B5569" s="39">
        <v>42740</v>
      </c>
      <c r="C5569" s="40" t="s">
        <v>18967</v>
      </c>
      <c r="D5569" s="39">
        <v>42739</v>
      </c>
      <c r="E5569" s="40" t="s">
        <v>38</v>
      </c>
      <c r="F5569" s="40" t="s">
        <v>345</v>
      </c>
      <c r="G5569" s="40" t="s">
        <v>20</v>
      </c>
      <c r="H5569" s="40" t="s">
        <v>71</v>
      </c>
      <c r="I5569" s="40" t="s">
        <v>21</v>
      </c>
      <c r="J5569" s="40" t="s">
        <v>18292</v>
      </c>
      <c r="K5569" s="40" t="s">
        <v>21</v>
      </c>
      <c r="L5569" s="40" t="s">
        <v>7167</v>
      </c>
      <c r="M5569" s="40" t="s">
        <v>21</v>
      </c>
      <c r="O5569" s="100">
        <v>43131</v>
      </c>
      <c r="P5569" s="41" t="s">
        <v>21</v>
      </c>
      <c r="Q5569" s="42" t="b">
        <v>0</v>
      </c>
      <c r="R5569" s="22">
        <f t="shared" si="105"/>
        <v>391</v>
      </c>
      <c r="S5569" s="18"/>
    </row>
    <row r="5570" spans="1:20">
      <c r="A5570" s="38">
        <v>11042</v>
      </c>
      <c r="B5570" s="39">
        <v>42744</v>
      </c>
      <c r="C5570" s="40" t="s">
        <v>18867</v>
      </c>
      <c r="D5570" s="39">
        <v>42741</v>
      </c>
      <c r="E5570" s="40" t="s">
        <v>18602</v>
      </c>
      <c r="F5570" s="40" t="s">
        <v>149</v>
      </c>
      <c r="G5570" s="40" t="s">
        <v>20</v>
      </c>
      <c r="H5570" s="40" t="s">
        <v>71</v>
      </c>
      <c r="I5570" s="40" t="s">
        <v>21</v>
      </c>
      <c r="J5570" s="40" t="s">
        <v>18603</v>
      </c>
      <c r="K5570" s="40" t="s">
        <v>18224</v>
      </c>
      <c r="L5570" s="40" t="s">
        <v>1946</v>
      </c>
      <c r="M5570" s="40" t="s">
        <v>21</v>
      </c>
      <c r="O5570" s="100">
        <v>43367</v>
      </c>
      <c r="P5570" s="41" t="s">
        <v>21</v>
      </c>
      <c r="Q5570" s="42" t="b">
        <v>0</v>
      </c>
      <c r="R5570" s="22">
        <f t="shared" si="105"/>
        <v>623</v>
      </c>
      <c r="S5570" s="18"/>
    </row>
    <row r="5571" spans="1:20">
      <c r="A5571" s="26">
        <v>11043</v>
      </c>
      <c r="B5571" s="27">
        <v>42745</v>
      </c>
      <c r="C5571" s="28" t="s">
        <v>19064</v>
      </c>
      <c r="D5571" s="27">
        <v>42744</v>
      </c>
      <c r="E5571" s="28" t="s">
        <v>1928</v>
      </c>
      <c r="F5571" s="28" t="s">
        <v>1743</v>
      </c>
      <c r="G5571" s="28" t="s">
        <v>20</v>
      </c>
      <c r="H5571" s="28" t="s">
        <v>71</v>
      </c>
      <c r="I5571" s="28" t="s">
        <v>21</v>
      </c>
      <c r="J5571" s="28" t="s">
        <v>11973</v>
      </c>
      <c r="K5571" s="28" t="s">
        <v>18096</v>
      </c>
      <c r="L5571" s="28" t="s">
        <v>17754</v>
      </c>
      <c r="M5571" s="28" t="s">
        <v>21</v>
      </c>
      <c r="O5571" s="92">
        <v>42745</v>
      </c>
      <c r="P5571" s="28" t="s">
        <v>21</v>
      </c>
      <c r="Q5571" s="26" t="b">
        <v>0</v>
      </c>
      <c r="R5571" s="22">
        <f t="shared" si="105"/>
        <v>0</v>
      </c>
      <c r="S5571" s="18"/>
    </row>
    <row r="5572" spans="1:20">
      <c r="A5572" s="26">
        <v>11044</v>
      </c>
      <c r="B5572" s="27">
        <v>42745</v>
      </c>
      <c r="C5572" s="28" t="s">
        <v>19080</v>
      </c>
      <c r="D5572" s="27">
        <v>42741</v>
      </c>
      <c r="E5572" s="28" t="s">
        <v>1928</v>
      </c>
      <c r="F5572" s="28" t="s">
        <v>1743</v>
      </c>
      <c r="G5572" s="28" t="s">
        <v>20</v>
      </c>
      <c r="H5572" s="28" t="s">
        <v>71</v>
      </c>
      <c r="I5572" s="28" t="s">
        <v>21</v>
      </c>
      <c r="J5572" s="28" t="s">
        <v>18314</v>
      </c>
      <c r="K5572" s="28" t="s">
        <v>18288</v>
      </c>
      <c r="L5572" s="28" t="s">
        <v>7167</v>
      </c>
      <c r="M5572" s="28" t="s">
        <v>21</v>
      </c>
      <c r="O5572" s="92">
        <v>42773</v>
      </c>
      <c r="P5572" s="28" t="s">
        <v>21</v>
      </c>
      <c r="Q5572" s="26" t="b">
        <v>0</v>
      </c>
      <c r="R5572" s="22">
        <f t="shared" si="105"/>
        <v>27</v>
      </c>
      <c r="S5572" s="28" t="s">
        <v>21</v>
      </c>
    </row>
    <row r="5573" spans="1:20">
      <c r="A5573" s="26">
        <v>11045</v>
      </c>
      <c r="B5573" s="27">
        <v>42745</v>
      </c>
      <c r="C5573" s="28" t="s">
        <v>18968</v>
      </c>
      <c r="D5573" s="27">
        <v>42744</v>
      </c>
      <c r="E5573" s="28" t="s">
        <v>1432</v>
      </c>
      <c r="F5573" s="28" t="s">
        <v>12633</v>
      </c>
      <c r="G5573" s="28" t="s">
        <v>20</v>
      </c>
      <c r="H5573" s="28" t="s">
        <v>71</v>
      </c>
      <c r="I5573" s="28" t="s">
        <v>21</v>
      </c>
      <c r="J5573" s="28" t="s">
        <v>18604</v>
      </c>
      <c r="K5573" s="28" t="s">
        <v>18605</v>
      </c>
      <c r="L5573" s="28" t="s">
        <v>14518</v>
      </c>
      <c r="M5573" s="28" t="s">
        <v>21</v>
      </c>
      <c r="O5573" s="98"/>
      <c r="P5573" s="28" t="s">
        <v>21</v>
      </c>
      <c r="Q5573" s="26" t="b">
        <v>0</v>
      </c>
      <c r="R5573" s="59"/>
      <c r="S5573" s="18"/>
      <c r="T5573" s="37" t="s">
        <v>21</v>
      </c>
    </row>
    <row r="5574" spans="1:20">
      <c r="A5574" s="26">
        <v>11046</v>
      </c>
      <c r="B5574" s="27">
        <v>42745</v>
      </c>
      <c r="C5574" s="28" t="s">
        <v>19090</v>
      </c>
      <c r="D5574" s="27">
        <v>42745</v>
      </c>
      <c r="E5574" s="28" t="s">
        <v>38</v>
      </c>
      <c r="F5574" s="28" t="s">
        <v>1743</v>
      </c>
      <c r="G5574" s="28" t="s">
        <v>20</v>
      </c>
      <c r="H5574" s="28" t="s">
        <v>71</v>
      </c>
      <c r="I5574" s="28" t="s">
        <v>21</v>
      </c>
      <c r="J5574" s="28" t="s">
        <v>18315</v>
      </c>
      <c r="K5574" s="28" t="s">
        <v>18316</v>
      </c>
      <c r="L5574" s="28" t="s">
        <v>14518</v>
      </c>
      <c r="M5574" s="28" t="s">
        <v>21</v>
      </c>
      <c r="O5574" s="92">
        <v>42780</v>
      </c>
      <c r="P5574" s="28" t="s">
        <v>21</v>
      </c>
      <c r="Q5574" s="26" t="b">
        <v>0</v>
      </c>
      <c r="R5574" s="22">
        <f>IF(O5574=" ", " ", INT(YEARFRAC(O5574, B5574)*365))</f>
        <v>34</v>
      </c>
      <c r="S5574" s="28" t="s">
        <v>21</v>
      </c>
    </row>
    <row r="5575" spans="1:20">
      <c r="A5575" s="26">
        <v>11047</v>
      </c>
      <c r="B5575" s="27">
        <v>42745</v>
      </c>
      <c r="C5575" s="28" t="s">
        <v>19072</v>
      </c>
      <c r="D5575" s="27">
        <v>42744</v>
      </c>
      <c r="E5575" s="28" t="s">
        <v>18310</v>
      </c>
      <c r="F5575" s="28" t="s">
        <v>18311</v>
      </c>
      <c r="G5575" s="28" t="s">
        <v>20</v>
      </c>
      <c r="H5575" s="28" t="s">
        <v>71</v>
      </c>
      <c r="I5575" s="28" t="s">
        <v>21</v>
      </c>
      <c r="J5575" s="28" t="s">
        <v>18312</v>
      </c>
      <c r="K5575" s="28" t="s">
        <v>18313</v>
      </c>
      <c r="L5575" s="28" t="s">
        <v>7167</v>
      </c>
      <c r="M5575" s="28" t="s">
        <v>21</v>
      </c>
      <c r="O5575" s="92">
        <v>42759</v>
      </c>
      <c r="P5575" s="28" t="s">
        <v>21</v>
      </c>
      <c r="Q5575" s="26" t="b">
        <v>0</v>
      </c>
      <c r="R5575" s="22">
        <f>IF(O5575=" ", " ", INT(YEARFRAC(O5575, B5575)*365))</f>
        <v>14</v>
      </c>
      <c r="S5575" s="18"/>
    </row>
    <row r="5576" spans="1:20">
      <c r="A5576" s="26">
        <v>11048</v>
      </c>
      <c r="B5576" s="27">
        <v>42746</v>
      </c>
      <c r="C5576" s="28" t="s">
        <v>19082</v>
      </c>
      <c r="D5576" s="27">
        <v>42745</v>
      </c>
      <c r="E5576" s="28" t="s">
        <v>18317</v>
      </c>
      <c r="F5576" s="28" t="s">
        <v>3171</v>
      </c>
      <c r="G5576" s="28" t="s">
        <v>20</v>
      </c>
      <c r="H5576" s="28" t="s">
        <v>566</v>
      </c>
      <c r="I5576" s="28" t="s">
        <v>21</v>
      </c>
      <c r="J5576" s="28" t="s">
        <v>18318</v>
      </c>
      <c r="K5576" s="28" t="s">
        <v>14825</v>
      </c>
      <c r="L5576" s="28" t="s">
        <v>7167</v>
      </c>
      <c r="M5576" s="28" t="s">
        <v>21</v>
      </c>
      <c r="O5576" s="92">
        <v>42774</v>
      </c>
      <c r="P5576" s="28" t="s">
        <v>21</v>
      </c>
      <c r="Q5576" s="26" t="b">
        <v>0</v>
      </c>
      <c r="R5576" s="22">
        <f>IF(O5576=" ", " ", INT(YEARFRAC(O5576, B5576)*365))</f>
        <v>27</v>
      </c>
      <c r="S5576" s="28" t="s">
        <v>21</v>
      </c>
    </row>
    <row r="5577" spans="1:20">
      <c r="A5577" s="38">
        <v>11049</v>
      </c>
      <c r="B5577" s="39">
        <v>42746</v>
      </c>
      <c r="C5577" s="40" t="s">
        <v>18969</v>
      </c>
      <c r="D5577" s="39">
        <v>42746</v>
      </c>
      <c r="E5577" s="40" t="s">
        <v>18606</v>
      </c>
      <c r="F5577" s="40" t="s">
        <v>145</v>
      </c>
      <c r="G5577" s="40" t="s">
        <v>20</v>
      </c>
      <c r="H5577" s="40" t="s">
        <v>71</v>
      </c>
      <c r="I5577" s="40" t="s">
        <v>21</v>
      </c>
      <c r="J5577" s="40" t="s">
        <v>18607</v>
      </c>
      <c r="K5577" s="40" t="s">
        <v>18608</v>
      </c>
      <c r="L5577" s="40" t="s">
        <v>4282</v>
      </c>
      <c r="M5577" s="40" t="s">
        <v>21</v>
      </c>
      <c r="O5577" s="100">
        <v>43313</v>
      </c>
      <c r="P5577" s="41" t="s">
        <v>21</v>
      </c>
      <c r="Q5577" s="42" t="b">
        <v>0</v>
      </c>
      <c r="R5577" s="22">
        <f>IF(O5577=" ", " ", INT(YEARFRAC(O5577, B5577)*365))</f>
        <v>567</v>
      </c>
      <c r="S5577" s="18"/>
    </row>
    <row r="5578" spans="1:20">
      <c r="A5578" s="26">
        <v>11050</v>
      </c>
      <c r="B5578" s="27">
        <v>42746</v>
      </c>
      <c r="C5578" s="28" t="s">
        <v>18970</v>
      </c>
      <c r="D5578" s="27">
        <v>42746</v>
      </c>
      <c r="E5578" s="28" t="s">
        <v>1432</v>
      </c>
      <c r="F5578" s="28" t="s">
        <v>974</v>
      </c>
      <c r="G5578" s="28" t="s">
        <v>20</v>
      </c>
      <c r="H5578" s="28" t="s">
        <v>212</v>
      </c>
      <c r="I5578" s="28" t="s">
        <v>21</v>
      </c>
      <c r="J5578" s="28" t="s">
        <v>18609</v>
      </c>
      <c r="K5578" s="28" t="s">
        <v>18610</v>
      </c>
      <c r="L5578" s="28" t="s">
        <v>14909</v>
      </c>
      <c r="M5578" s="28" t="s">
        <v>21</v>
      </c>
      <c r="O5578" s="98"/>
      <c r="P5578" s="28" t="s">
        <v>21</v>
      </c>
      <c r="Q5578" s="26" t="b">
        <v>0</v>
      </c>
      <c r="R5578" s="59"/>
      <c r="S5578" s="18"/>
      <c r="T5578" s="37" t="s">
        <v>21</v>
      </c>
    </row>
    <row r="5579" spans="1:20">
      <c r="A5579" s="26">
        <v>11051</v>
      </c>
      <c r="B5579" s="27">
        <v>42747</v>
      </c>
      <c r="C5579" s="28" t="s">
        <v>19066</v>
      </c>
      <c r="D5579" s="27">
        <v>42747</v>
      </c>
      <c r="E5579" s="28" t="s">
        <v>38</v>
      </c>
      <c r="F5579" s="28" t="s">
        <v>1743</v>
      </c>
      <c r="G5579" s="28" t="s">
        <v>20</v>
      </c>
      <c r="H5579" s="28" t="s">
        <v>71</v>
      </c>
      <c r="I5579" s="28" t="s">
        <v>21</v>
      </c>
      <c r="J5579" s="28" t="s">
        <v>18070</v>
      </c>
      <c r="K5579" s="28" t="s">
        <v>18319</v>
      </c>
      <c r="L5579" s="28" t="s">
        <v>7167</v>
      </c>
      <c r="M5579" s="28" t="s">
        <v>21</v>
      </c>
      <c r="O5579" s="92">
        <v>42752</v>
      </c>
      <c r="P5579" s="28" t="s">
        <v>21</v>
      </c>
      <c r="Q5579" s="26" t="b">
        <v>0</v>
      </c>
      <c r="R5579" s="22">
        <f>IF(O5579=" ", " ", INT(YEARFRAC(O5579, B5579)*365))</f>
        <v>5</v>
      </c>
      <c r="S5579" s="18"/>
    </row>
    <row r="5580" spans="1:20">
      <c r="A5580" s="26">
        <v>11052</v>
      </c>
      <c r="B5580" s="27">
        <v>42752</v>
      </c>
      <c r="C5580" s="28" t="s">
        <v>19123</v>
      </c>
      <c r="D5580" s="27">
        <v>42748</v>
      </c>
      <c r="E5580" s="28" t="s">
        <v>18323</v>
      </c>
      <c r="F5580" s="28" t="s">
        <v>13422</v>
      </c>
      <c r="G5580" s="28" t="s">
        <v>20</v>
      </c>
      <c r="H5580" s="28" t="s">
        <v>71</v>
      </c>
      <c r="I5580" s="28" t="s">
        <v>21</v>
      </c>
      <c r="J5580" s="28" t="s">
        <v>18324</v>
      </c>
      <c r="K5580" s="28" t="s">
        <v>9348</v>
      </c>
      <c r="L5580" s="28" t="s">
        <v>14909</v>
      </c>
      <c r="M5580" s="28" t="s">
        <v>21</v>
      </c>
      <c r="O5580" s="92">
        <v>42830</v>
      </c>
      <c r="P5580" s="28" t="s">
        <v>21</v>
      </c>
      <c r="Q5580" s="26" t="b">
        <v>0</v>
      </c>
      <c r="R5580" s="22">
        <f>IF(O5580=" ", " ", INT(YEARFRAC(O5580, B5580)*365))</f>
        <v>79</v>
      </c>
      <c r="S5580" s="28" t="s">
        <v>21</v>
      </c>
    </row>
    <row r="5581" spans="1:20">
      <c r="A5581" s="38">
        <v>11053</v>
      </c>
      <c r="B5581" s="39">
        <v>42752</v>
      </c>
      <c r="C5581" s="40" t="s">
        <v>18971</v>
      </c>
      <c r="D5581" s="39">
        <v>42752</v>
      </c>
      <c r="E5581" s="40" t="s">
        <v>38</v>
      </c>
      <c r="F5581" s="40" t="s">
        <v>6084</v>
      </c>
      <c r="G5581" s="40" t="s">
        <v>20</v>
      </c>
      <c r="H5581" s="40" t="s">
        <v>71</v>
      </c>
      <c r="I5581" s="40" t="s">
        <v>21</v>
      </c>
      <c r="J5581" s="40" t="s">
        <v>18611</v>
      </c>
      <c r="K5581" s="40" t="s">
        <v>1639</v>
      </c>
      <c r="L5581" s="40" t="s">
        <v>4282</v>
      </c>
      <c r="M5581" s="40" t="s">
        <v>21</v>
      </c>
      <c r="O5581" s="100">
        <v>43245</v>
      </c>
      <c r="P5581" s="41" t="s">
        <v>21</v>
      </c>
      <c r="Q5581" s="42" t="b">
        <v>0</v>
      </c>
      <c r="R5581" s="22">
        <f>IF(O5581=" ", " ", INT(YEARFRAC(O5581, B5581)*365))</f>
        <v>494</v>
      </c>
      <c r="S5581" s="18"/>
    </row>
    <row r="5582" spans="1:20">
      <c r="A5582" s="26">
        <v>11054</v>
      </c>
      <c r="B5582" s="27">
        <v>42752</v>
      </c>
      <c r="C5582" s="28" t="s">
        <v>19104</v>
      </c>
      <c r="D5582" s="27">
        <v>42752</v>
      </c>
      <c r="E5582" s="28" t="s">
        <v>18320</v>
      </c>
      <c r="F5582" s="28" t="s">
        <v>52</v>
      </c>
      <c r="G5582" s="28" t="s">
        <v>20</v>
      </c>
      <c r="H5582" s="28" t="s">
        <v>71</v>
      </c>
      <c r="I5582" s="28" t="s">
        <v>21</v>
      </c>
      <c r="J5582" s="28" t="s">
        <v>18321</v>
      </c>
      <c r="K5582" s="28" t="s">
        <v>18322</v>
      </c>
      <c r="L5582" s="28" t="s">
        <v>1946</v>
      </c>
      <c r="M5582" s="28" t="s">
        <v>21</v>
      </c>
      <c r="O5582" s="92">
        <v>42809</v>
      </c>
      <c r="P5582" s="28" t="s">
        <v>21</v>
      </c>
      <c r="Q5582" s="26" t="b">
        <v>0</v>
      </c>
      <c r="R5582" s="22">
        <f>IF(O5582=" ", " ", INT(YEARFRAC(O5582, B5582)*365))</f>
        <v>58</v>
      </c>
      <c r="S5582" s="28" t="s">
        <v>21</v>
      </c>
    </row>
    <row r="5583" spans="1:20">
      <c r="A5583" s="26">
        <v>11055</v>
      </c>
      <c r="B5583" s="27">
        <v>42754</v>
      </c>
      <c r="C5583" s="28" t="s">
        <v>19070</v>
      </c>
      <c r="D5583" s="27">
        <v>42753</v>
      </c>
      <c r="E5583" s="28" t="s">
        <v>1928</v>
      </c>
      <c r="F5583" s="28" t="s">
        <v>1743</v>
      </c>
      <c r="G5583" s="28" t="s">
        <v>20</v>
      </c>
      <c r="H5583" s="28" t="s">
        <v>71</v>
      </c>
      <c r="I5583" s="28" t="s">
        <v>21</v>
      </c>
      <c r="J5583" s="28" t="s">
        <v>18325</v>
      </c>
      <c r="K5583" s="28" t="s">
        <v>18326</v>
      </c>
      <c r="L5583" s="28" t="s">
        <v>1946</v>
      </c>
      <c r="M5583" s="28" t="s">
        <v>21</v>
      </c>
      <c r="O5583" s="92">
        <v>42758</v>
      </c>
      <c r="P5583" s="28" t="s">
        <v>21</v>
      </c>
      <c r="Q5583" s="26" t="b">
        <v>0</v>
      </c>
      <c r="R5583" s="22">
        <f>IF(O5583=" ", " ", INT(YEARFRAC(O5583, B5583)*365))</f>
        <v>4</v>
      </c>
      <c r="S5583" s="18"/>
    </row>
    <row r="5584" spans="1:20" ht="30">
      <c r="A5584" s="18"/>
      <c r="B5584" s="19">
        <v>42754</v>
      </c>
      <c r="C5584" s="115" t="s">
        <v>18612</v>
      </c>
      <c r="D5584" s="115"/>
      <c r="E5584" s="115" t="s">
        <v>255</v>
      </c>
      <c r="F5584" s="115" t="s">
        <v>1743</v>
      </c>
      <c r="G5584" s="115"/>
      <c r="H5584" s="115"/>
      <c r="I5584" s="115"/>
      <c r="J5584" s="115" t="s">
        <v>18613</v>
      </c>
      <c r="K5584" s="115" t="s">
        <v>21</v>
      </c>
      <c r="L5584" s="115" t="s">
        <v>1946</v>
      </c>
      <c r="M5584" s="115"/>
      <c r="N5584" s="58"/>
      <c r="O5584" s="118"/>
      <c r="P5584" s="115"/>
      <c r="Q5584" s="18"/>
      <c r="R5584" s="22"/>
      <c r="S5584" s="18"/>
    </row>
    <row r="5585" spans="1:20">
      <c r="A5585" s="26">
        <v>11057</v>
      </c>
      <c r="B5585" s="27">
        <v>42755</v>
      </c>
      <c r="C5585" s="28" t="s">
        <v>19092</v>
      </c>
      <c r="D5585" s="27">
        <v>42754</v>
      </c>
      <c r="E5585" s="28" t="s">
        <v>38</v>
      </c>
      <c r="F5585" s="28" t="s">
        <v>1743</v>
      </c>
      <c r="G5585" s="28" t="s">
        <v>20</v>
      </c>
      <c r="H5585" s="28" t="s">
        <v>71</v>
      </c>
      <c r="I5585" s="28" t="s">
        <v>21</v>
      </c>
      <c r="J5585" s="28" t="s">
        <v>18328</v>
      </c>
      <c r="K5585" s="28" t="s">
        <v>6025</v>
      </c>
      <c r="L5585" s="28" t="s">
        <v>14518</v>
      </c>
      <c r="M5585" s="28" t="s">
        <v>21</v>
      </c>
      <c r="O5585" s="92">
        <v>42782</v>
      </c>
      <c r="P5585" s="28" t="s">
        <v>21</v>
      </c>
      <c r="Q5585" s="26" t="b">
        <v>0</v>
      </c>
      <c r="R5585" s="22">
        <f t="shared" ref="R5585:R5596" si="106">IF(O5585=" ", " ", INT(YEARFRAC(O5585, B5585)*365))</f>
        <v>26</v>
      </c>
      <c r="S5585" s="28" t="s">
        <v>21</v>
      </c>
    </row>
    <row r="5586" spans="1:20">
      <c r="A5586" s="26">
        <v>11058</v>
      </c>
      <c r="B5586" s="27">
        <v>42755</v>
      </c>
      <c r="C5586" s="28" t="s">
        <v>19071</v>
      </c>
      <c r="D5586" s="27">
        <v>42755</v>
      </c>
      <c r="E5586" s="28" t="s">
        <v>38</v>
      </c>
      <c r="F5586" s="28" t="s">
        <v>1743</v>
      </c>
      <c r="G5586" s="28" t="s">
        <v>20</v>
      </c>
      <c r="H5586" s="28" t="s">
        <v>71</v>
      </c>
      <c r="I5586" s="28" t="s">
        <v>21</v>
      </c>
      <c r="J5586" s="28" t="s">
        <v>18327</v>
      </c>
      <c r="K5586" s="28" t="s">
        <v>21</v>
      </c>
      <c r="L5586" s="28" t="s">
        <v>14518</v>
      </c>
      <c r="M5586" s="28" t="s">
        <v>21</v>
      </c>
      <c r="O5586" s="92">
        <v>42758</v>
      </c>
      <c r="P5586" s="28" t="s">
        <v>21</v>
      </c>
      <c r="Q5586" s="26" t="b">
        <v>0</v>
      </c>
      <c r="R5586" s="22">
        <f t="shared" si="106"/>
        <v>3</v>
      </c>
      <c r="S5586" s="18"/>
    </row>
    <row r="5587" spans="1:20">
      <c r="A5587" s="26">
        <v>11059</v>
      </c>
      <c r="B5587" s="27">
        <v>42758</v>
      </c>
      <c r="C5587" s="28" t="s">
        <v>19093</v>
      </c>
      <c r="D5587" s="27">
        <v>42758</v>
      </c>
      <c r="E5587" s="28" t="s">
        <v>1928</v>
      </c>
      <c r="F5587" s="28" t="s">
        <v>1743</v>
      </c>
      <c r="G5587" s="28" t="s">
        <v>20</v>
      </c>
      <c r="H5587" s="28" t="s">
        <v>71</v>
      </c>
      <c r="I5587" s="28" t="s">
        <v>21</v>
      </c>
      <c r="J5587" s="28" t="s">
        <v>18329</v>
      </c>
      <c r="K5587" s="28" t="s">
        <v>18310</v>
      </c>
      <c r="L5587" s="28" t="s">
        <v>7167</v>
      </c>
      <c r="M5587" s="28" t="s">
        <v>21</v>
      </c>
      <c r="O5587" s="92">
        <v>42787</v>
      </c>
      <c r="P5587" s="28" t="s">
        <v>21</v>
      </c>
      <c r="Q5587" s="26" t="b">
        <v>0</v>
      </c>
      <c r="R5587" s="22">
        <f t="shared" si="106"/>
        <v>28</v>
      </c>
      <c r="S5587" s="28" t="s">
        <v>21</v>
      </c>
    </row>
    <row r="5588" spans="1:20">
      <c r="A5588" s="38">
        <v>11060</v>
      </c>
      <c r="B5588" s="39">
        <v>42759</v>
      </c>
      <c r="C5588" s="40" t="s">
        <v>18972</v>
      </c>
      <c r="D5588" s="39">
        <v>42758</v>
      </c>
      <c r="E5588" s="40" t="s">
        <v>18614</v>
      </c>
      <c r="F5588" s="40" t="s">
        <v>15716</v>
      </c>
      <c r="G5588" s="40" t="s">
        <v>20</v>
      </c>
      <c r="H5588" s="40" t="s">
        <v>566</v>
      </c>
      <c r="I5588" s="40" t="s">
        <v>21</v>
      </c>
      <c r="J5588" s="40" t="s">
        <v>18615</v>
      </c>
      <c r="K5588" s="40" t="s">
        <v>18616</v>
      </c>
      <c r="L5588" s="40" t="s">
        <v>14518</v>
      </c>
      <c r="M5588" s="40" t="s">
        <v>21</v>
      </c>
      <c r="O5588" s="100">
        <v>43357</v>
      </c>
      <c r="P5588" s="41" t="s">
        <v>21</v>
      </c>
      <c r="Q5588" s="42" t="b">
        <v>0</v>
      </c>
      <c r="R5588" s="22">
        <f t="shared" si="106"/>
        <v>598</v>
      </c>
      <c r="S5588" s="18"/>
    </row>
    <row r="5589" spans="1:20" ht="24">
      <c r="A5589" s="26">
        <v>11061</v>
      </c>
      <c r="B5589" s="27">
        <v>42759</v>
      </c>
      <c r="C5589" s="28" t="s">
        <v>19073</v>
      </c>
      <c r="D5589" s="27">
        <v>42758</v>
      </c>
      <c r="E5589" s="28" t="s">
        <v>38</v>
      </c>
      <c r="F5589" s="28" t="s">
        <v>1743</v>
      </c>
      <c r="G5589" s="28" t="s">
        <v>20</v>
      </c>
      <c r="H5589" s="28" t="s">
        <v>71</v>
      </c>
      <c r="I5589" s="28" t="s">
        <v>21</v>
      </c>
      <c r="J5589" s="28" t="s">
        <v>18330</v>
      </c>
      <c r="K5589" s="28" t="s">
        <v>21</v>
      </c>
      <c r="L5589" s="28" t="s">
        <v>14518</v>
      </c>
      <c r="M5589" s="28" t="s">
        <v>21</v>
      </c>
      <c r="O5589" s="92">
        <v>42762</v>
      </c>
      <c r="P5589" s="28" t="s">
        <v>21</v>
      </c>
      <c r="Q5589" s="26" t="b">
        <v>0</v>
      </c>
      <c r="R5589" s="22">
        <f t="shared" si="106"/>
        <v>3</v>
      </c>
      <c r="S5589" s="18"/>
    </row>
    <row r="5590" spans="1:20">
      <c r="A5590" s="26">
        <v>11062</v>
      </c>
      <c r="B5590" s="27">
        <v>42760</v>
      </c>
      <c r="C5590" s="28" t="s">
        <v>19105</v>
      </c>
      <c r="D5590" s="27">
        <v>42759</v>
      </c>
      <c r="E5590" s="28" t="s">
        <v>18332</v>
      </c>
      <c r="F5590" s="28" t="s">
        <v>741</v>
      </c>
      <c r="G5590" s="28" t="s">
        <v>20</v>
      </c>
      <c r="H5590" s="28" t="s">
        <v>71</v>
      </c>
      <c r="I5590" s="28" t="s">
        <v>21</v>
      </c>
      <c r="J5590" s="28" t="s">
        <v>18333</v>
      </c>
      <c r="K5590" s="28" t="s">
        <v>18334</v>
      </c>
      <c r="L5590" s="28" t="s">
        <v>1946</v>
      </c>
      <c r="M5590" s="28" t="s">
        <v>21</v>
      </c>
      <c r="O5590" s="92">
        <v>42809</v>
      </c>
      <c r="P5590" s="28" t="s">
        <v>21</v>
      </c>
      <c r="Q5590" s="26" t="b">
        <v>0</v>
      </c>
      <c r="R5590" s="22">
        <f t="shared" si="106"/>
        <v>50</v>
      </c>
      <c r="S5590" s="28" t="s">
        <v>21</v>
      </c>
    </row>
    <row r="5591" spans="1:20">
      <c r="A5591" s="26">
        <v>11063</v>
      </c>
      <c r="B5591" s="27">
        <v>42760</v>
      </c>
      <c r="C5591" s="28" t="s">
        <v>19127</v>
      </c>
      <c r="D5591" s="27">
        <v>42755</v>
      </c>
      <c r="E5591" s="28" t="s">
        <v>18335</v>
      </c>
      <c r="F5591" s="28" t="s">
        <v>124</v>
      </c>
      <c r="G5591" s="28" t="s">
        <v>20</v>
      </c>
      <c r="H5591" s="28" t="s">
        <v>71</v>
      </c>
      <c r="I5591" s="28" t="s">
        <v>21</v>
      </c>
      <c r="J5591" s="28" t="s">
        <v>18336</v>
      </c>
      <c r="K5591" s="28" t="s">
        <v>18329</v>
      </c>
      <c r="L5591" s="28" t="s">
        <v>14909</v>
      </c>
      <c r="M5591" s="28" t="s">
        <v>21</v>
      </c>
      <c r="O5591" s="92">
        <v>42837</v>
      </c>
      <c r="P5591" s="28" t="s">
        <v>21</v>
      </c>
      <c r="Q5591" s="26" t="b">
        <v>0</v>
      </c>
      <c r="R5591" s="22">
        <f t="shared" si="106"/>
        <v>78</v>
      </c>
      <c r="S5591" s="28" t="s">
        <v>21</v>
      </c>
    </row>
    <row r="5592" spans="1:20">
      <c r="A5592" s="26">
        <v>11064</v>
      </c>
      <c r="B5592" s="27">
        <v>42760</v>
      </c>
      <c r="C5592" s="28" t="s">
        <v>19085</v>
      </c>
      <c r="D5592" s="27">
        <v>42760</v>
      </c>
      <c r="E5592" s="28" t="s">
        <v>38</v>
      </c>
      <c r="F5592" s="28" t="s">
        <v>3171</v>
      </c>
      <c r="G5592" s="28" t="s">
        <v>20</v>
      </c>
      <c r="H5592" s="28" t="s">
        <v>566</v>
      </c>
      <c r="I5592" s="28" t="s">
        <v>21</v>
      </c>
      <c r="J5592" s="28" t="s">
        <v>18331</v>
      </c>
      <c r="K5592" s="28" t="s">
        <v>14537</v>
      </c>
      <c r="L5592" s="28" t="s">
        <v>14518</v>
      </c>
      <c r="M5592" s="28" t="s">
        <v>21</v>
      </c>
      <c r="O5592" s="92">
        <v>42775</v>
      </c>
      <c r="P5592" s="28" t="s">
        <v>21</v>
      </c>
      <c r="Q5592" s="26" t="b">
        <v>0</v>
      </c>
      <c r="R5592" s="22">
        <f t="shared" si="106"/>
        <v>14</v>
      </c>
      <c r="S5592" s="28" t="s">
        <v>21</v>
      </c>
    </row>
    <row r="5593" spans="1:20">
      <c r="A5593" s="26">
        <v>11065</v>
      </c>
      <c r="B5593" s="27">
        <v>42761</v>
      </c>
      <c r="C5593" s="28" t="s">
        <v>19078</v>
      </c>
      <c r="D5593" s="27">
        <v>42760</v>
      </c>
      <c r="E5593" s="28" t="s">
        <v>38</v>
      </c>
      <c r="F5593" s="28" t="s">
        <v>1743</v>
      </c>
      <c r="G5593" s="28" t="s">
        <v>20</v>
      </c>
      <c r="H5593" s="28" t="s">
        <v>71</v>
      </c>
      <c r="I5593" s="28" t="s">
        <v>21</v>
      </c>
      <c r="J5593" s="28" t="s">
        <v>18340</v>
      </c>
      <c r="K5593" s="28" t="s">
        <v>18341</v>
      </c>
      <c r="L5593" s="28" t="s">
        <v>14909</v>
      </c>
      <c r="M5593" s="28" t="s">
        <v>21</v>
      </c>
      <c r="O5593" s="92">
        <v>42767</v>
      </c>
      <c r="P5593" s="28" t="s">
        <v>21</v>
      </c>
      <c r="Q5593" s="26" t="b">
        <v>0</v>
      </c>
      <c r="R5593" s="22">
        <f t="shared" si="106"/>
        <v>5</v>
      </c>
      <c r="S5593" s="28" t="s">
        <v>21</v>
      </c>
    </row>
    <row r="5594" spans="1:20">
      <c r="A5594" s="26">
        <v>11066</v>
      </c>
      <c r="B5594" s="27">
        <v>42761</v>
      </c>
      <c r="C5594" s="28" t="s">
        <v>19074</v>
      </c>
      <c r="D5594" s="27">
        <v>42761</v>
      </c>
      <c r="E5594" s="28" t="s">
        <v>38</v>
      </c>
      <c r="F5594" s="28" t="s">
        <v>1743</v>
      </c>
      <c r="G5594" s="28" t="s">
        <v>20</v>
      </c>
      <c r="H5594" s="28" t="s">
        <v>71</v>
      </c>
      <c r="I5594" s="28" t="s">
        <v>21</v>
      </c>
      <c r="J5594" s="28" t="s">
        <v>18337</v>
      </c>
      <c r="K5594" s="28" t="s">
        <v>18338</v>
      </c>
      <c r="L5594" s="28" t="s">
        <v>14518</v>
      </c>
      <c r="M5594" s="28" t="s">
        <v>21</v>
      </c>
      <c r="O5594" s="92">
        <v>42762</v>
      </c>
      <c r="P5594" s="28" t="s">
        <v>21</v>
      </c>
      <c r="Q5594" s="26" t="b">
        <v>0</v>
      </c>
      <c r="R5594" s="22">
        <f t="shared" si="106"/>
        <v>1</v>
      </c>
      <c r="S5594" s="18"/>
    </row>
    <row r="5595" spans="1:20">
      <c r="A5595" s="26">
        <v>11067</v>
      </c>
      <c r="B5595" s="27">
        <v>42761</v>
      </c>
      <c r="C5595" s="28" t="s">
        <v>19076</v>
      </c>
      <c r="D5595" s="27">
        <v>42761</v>
      </c>
      <c r="E5595" s="28" t="s">
        <v>1928</v>
      </c>
      <c r="F5595" s="28" t="s">
        <v>1743</v>
      </c>
      <c r="G5595" s="28" t="s">
        <v>20</v>
      </c>
      <c r="H5595" s="28" t="s">
        <v>71</v>
      </c>
      <c r="I5595" s="28" t="s">
        <v>21</v>
      </c>
      <c r="J5595" s="28" t="s">
        <v>18339</v>
      </c>
      <c r="K5595" s="28" t="s">
        <v>21</v>
      </c>
      <c r="L5595" s="28" t="s">
        <v>7167</v>
      </c>
      <c r="M5595" s="28" t="s">
        <v>21</v>
      </c>
      <c r="O5595" s="92">
        <v>42766</v>
      </c>
      <c r="P5595" s="28" t="s">
        <v>21</v>
      </c>
      <c r="Q5595" s="26" t="b">
        <v>0</v>
      </c>
      <c r="R5595" s="22">
        <f t="shared" si="106"/>
        <v>5</v>
      </c>
      <c r="S5595" s="28" t="s">
        <v>21</v>
      </c>
    </row>
    <row r="5596" spans="1:20">
      <c r="A5596" s="26">
        <v>11068</v>
      </c>
      <c r="B5596" s="27">
        <v>42762</v>
      </c>
      <c r="C5596" s="28" t="s">
        <v>19182</v>
      </c>
      <c r="D5596" s="27">
        <v>42761</v>
      </c>
      <c r="E5596" s="28" t="s">
        <v>38</v>
      </c>
      <c r="F5596" s="28" t="s">
        <v>1743</v>
      </c>
      <c r="G5596" s="28" t="s">
        <v>20</v>
      </c>
      <c r="H5596" s="28" t="s">
        <v>71</v>
      </c>
      <c r="I5596" s="28" t="s">
        <v>21</v>
      </c>
      <c r="J5596" s="28" t="s">
        <v>18342</v>
      </c>
      <c r="K5596" s="28" t="s">
        <v>6025</v>
      </c>
      <c r="L5596" s="28" t="s">
        <v>14909</v>
      </c>
      <c r="M5596" s="28" t="s">
        <v>21</v>
      </c>
      <c r="O5596" s="92">
        <v>42923</v>
      </c>
      <c r="P5596" s="28" t="s">
        <v>21</v>
      </c>
      <c r="Q5596" s="26" t="b">
        <v>0</v>
      </c>
      <c r="R5596" s="22">
        <f t="shared" si="106"/>
        <v>162</v>
      </c>
      <c r="S5596" s="28" t="s">
        <v>21</v>
      </c>
    </row>
    <row r="5597" spans="1:20">
      <c r="A5597" s="26">
        <v>11069</v>
      </c>
      <c r="B5597" s="27">
        <v>42762</v>
      </c>
      <c r="C5597" s="28" t="s">
        <v>18973</v>
      </c>
      <c r="D5597" s="27">
        <v>42762</v>
      </c>
      <c r="E5597" s="28" t="s">
        <v>1432</v>
      </c>
      <c r="F5597" s="28" t="s">
        <v>2782</v>
      </c>
      <c r="G5597" s="28" t="s">
        <v>20</v>
      </c>
      <c r="H5597" s="28" t="s">
        <v>71</v>
      </c>
      <c r="I5597" s="28" t="s">
        <v>21</v>
      </c>
      <c r="J5597" s="28" t="s">
        <v>18617</v>
      </c>
      <c r="K5597" s="28" t="s">
        <v>18618</v>
      </c>
      <c r="L5597" s="28" t="s">
        <v>14518</v>
      </c>
      <c r="M5597" s="28" t="s">
        <v>21</v>
      </c>
      <c r="O5597" s="98"/>
      <c r="P5597" s="28" t="s">
        <v>21</v>
      </c>
      <c r="Q5597" s="26" t="b">
        <v>0</v>
      </c>
      <c r="R5597" s="59"/>
      <c r="S5597" s="18"/>
      <c r="T5597" s="37" t="s">
        <v>21</v>
      </c>
    </row>
    <row r="5598" spans="1:20">
      <c r="A5598" s="26">
        <v>11070</v>
      </c>
      <c r="B5598" s="27">
        <v>42765</v>
      </c>
      <c r="C5598" s="28" t="s">
        <v>19101</v>
      </c>
      <c r="D5598" s="27">
        <v>42765</v>
      </c>
      <c r="E5598" s="28" t="s">
        <v>18343</v>
      </c>
      <c r="F5598" s="28" t="s">
        <v>6084</v>
      </c>
      <c r="G5598" s="28" t="s">
        <v>20</v>
      </c>
      <c r="H5598" s="28" t="s">
        <v>71</v>
      </c>
      <c r="I5598" s="28" t="s">
        <v>21</v>
      </c>
      <c r="J5598" s="28" t="s">
        <v>18344</v>
      </c>
      <c r="K5598" s="28" t="s">
        <v>18345</v>
      </c>
      <c r="L5598" s="28" t="s">
        <v>4282</v>
      </c>
      <c r="M5598" s="28" t="s">
        <v>21</v>
      </c>
      <c r="O5598" s="92">
        <v>42807</v>
      </c>
      <c r="P5598" s="28" t="s">
        <v>21</v>
      </c>
      <c r="Q5598" s="26" t="b">
        <v>0</v>
      </c>
      <c r="R5598" s="22">
        <f t="shared" ref="R5598:R5629" si="107">IF(O5598=" ", " ", INT(YEARFRAC(O5598, B5598)*365))</f>
        <v>43</v>
      </c>
      <c r="S5598" s="28" t="s">
        <v>21</v>
      </c>
    </row>
    <row r="5599" spans="1:20">
      <c r="A5599" s="26">
        <v>11071</v>
      </c>
      <c r="B5599" s="27">
        <v>42766</v>
      </c>
      <c r="C5599" s="28" t="s">
        <v>18974</v>
      </c>
      <c r="D5599" s="27">
        <v>42766</v>
      </c>
      <c r="E5599" s="28" t="s">
        <v>18619</v>
      </c>
      <c r="F5599" s="28" t="s">
        <v>1546</v>
      </c>
      <c r="G5599" s="28" t="s">
        <v>20</v>
      </c>
      <c r="H5599" s="28" t="s">
        <v>71</v>
      </c>
      <c r="I5599" s="28" t="s">
        <v>21</v>
      </c>
      <c r="J5599" s="28" t="s">
        <v>18620</v>
      </c>
      <c r="K5599" s="28" t="s">
        <v>18621</v>
      </c>
      <c r="L5599" s="28" t="s">
        <v>1946</v>
      </c>
      <c r="M5599" s="28" t="s">
        <v>21</v>
      </c>
      <c r="O5599" s="100">
        <v>43789</v>
      </c>
      <c r="P5599" s="28" t="s">
        <v>21</v>
      </c>
      <c r="Q5599" s="26" t="b">
        <v>0</v>
      </c>
      <c r="R5599" s="22">
        <f t="shared" si="107"/>
        <v>1024</v>
      </c>
      <c r="S5599" s="28" t="s">
        <v>21</v>
      </c>
    </row>
    <row r="5600" spans="1:20">
      <c r="A5600" s="26">
        <v>11072</v>
      </c>
      <c r="B5600" s="27">
        <v>42767</v>
      </c>
      <c r="C5600" s="28" t="s">
        <v>18975</v>
      </c>
      <c r="D5600" s="27">
        <v>42765</v>
      </c>
      <c r="E5600" s="28" t="s">
        <v>18622</v>
      </c>
      <c r="F5600" s="28" t="s">
        <v>149</v>
      </c>
      <c r="G5600" s="28" t="s">
        <v>20</v>
      </c>
      <c r="H5600" s="28" t="s">
        <v>71</v>
      </c>
      <c r="I5600" s="28" t="s">
        <v>21</v>
      </c>
      <c r="J5600" s="28" t="s">
        <v>18623</v>
      </c>
      <c r="K5600" s="28" t="s">
        <v>18066</v>
      </c>
      <c r="L5600" s="40" t="s">
        <v>7167</v>
      </c>
      <c r="M5600" s="40" t="s">
        <v>14909</v>
      </c>
      <c r="O5600" s="100">
        <v>43874</v>
      </c>
      <c r="P5600" s="28" t="s">
        <v>21</v>
      </c>
      <c r="Q5600" s="26" t="b">
        <v>0</v>
      </c>
      <c r="R5600" s="22">
        <f t="shared" si="107"/>
        <v>1107</v>
      </c>
      <c r="S5600" s="28" t="s">
        <v>21</v>
      </c>
    </row>
    <row r="5601" spans="1:19">
      <c r="A5601" s="26">
        <v>11073</v>
      </c>
      <c r="B5601" s="27">
        <v>42767</v>
      </c>
      <c r="C5601" s="28" t="s">
        <v>19079</v>
      </c>
      <c r="D5601" s="27">
        <v>42766</v>
      </c>
      <c r="E5601" s="28" t="s">
        <v>1928</v>
      </c>
      <c r="F5601" s="28" t="s">
        <v>1743</v>
      </c>
      <c r="G5601" s="28" t="s">
        <v>20</v>
      </c>
      <c r="H5601" s="28" t="s">
        <v>71</v>
      </c>
      <c r="I5601" s="28" t="s">
        <v>21</v>
      </c>
      <c r="J5601" s="28" t="s">
        <v>18346</v>
      </c>
      <c r="K5601" s="28" t="s">
        <v>16690</v>
      </c>
      <c r="L5601" s="28" t="s">
        <v>14909</v>
      </c>
      <c r="M5601" s="28" t="s">
        <v>21</v>
      </c>
      <c r="O5601" s="92">
        <v>42768</v>
      </c>
      <c r="P5601" s="28" t="s">
        <v>21</v>
      </c>
      <c r="Q5601" s="26" t="b">
        <v>0</v>
      </c>
      <c r="R5601" s="22">
        <f t="shared" si="107"/>
        <v>1</v>
      </c>
      <c r="S5601" s="28" t="s">
        <v>21</v>
      </c>
    </row>
    <row r="5602" spans="1:19" ht="30">
      <c r="A5602" s="18"/>
      <c r="B5602" s="114">
        <v>42768</v>
      </c>
      <c r="C5602" s="115" t="s">
        <v>18347</v>
      </c>
      <c r="D5602" s="115"/>
      <c r="E5602" s="115" t="s">
        <v>15826</v>
      </c>
      <c r="F5602" s="115" t="s">
        <v>1743</v>
      </c>
      <c r="G5602" s="115"/>
      <c r="H5602" s="115"/>
      <c r="I5602" s="115"/>
      <c r="J5602" s="115" t="s">
        <v>18348</v>
      </c>
      <c r="K5602" s="115" t="s">
        <v>18349</v>
      </c>
      <c r="L5602" s="115" t="s">
        <v>14349</v>
      </c>
      <c r="M5602" s="115"/>
      <c r="N5602" s="58"/>
      <c r="O5602" s="121">
        <v>42783</v>
      </c>
      <c r="P5602" s="18"/>
      <c r="Q5602" s="18"/>
      <c r="R5602" s="22">
        <f t="shared" si="107"/>
        <v>15</v>
      </c>
      <c r="S5602" s="18"/>
    </row>
    <row r="5603" spans="1:19">
      <c r="A5603" s="26">
        <v>11075</v>
      </c>
      <c r="B5603" s="27">
        <v>42769</v>
      </c>
      <c r="C5603" s="28" t="s">
        <v>19089</v>
      </c>
      <c r="D5603" s="27">
        <v>42769</v>
      </c>
      <c r="E5603" s="28" t="s">
        <v>38</v>
      </c>
      <c r="F5603" s="28" t="s">
        <v>52</v>
      </c>
      <c r="G5603" s="28" t="s">
        <v>20</v>
      </c>
      <c r="H5603" s="28" t="s">
        <v>71</v>
      </c>
      <c r="I5603" s="28" t="s">
        <v>21</v>
      </c>
      <c r="J5603" s="28" t="s">
        <v>18350</v>
      </c>
      <c r="K5603" s="28" t="s">
        <v>18351</v>
      </c>
      <c r="L5603" s="28" t="s">
        <v>4282</v>
      </c>
      <c r="M5603" s="28" t="s">
        <v>21</v>
      </c>
      <c r="O5603" s="92">
        <v>42779</v>
      </c>
      <c r="P5603" s="28" t="s">
        <v>21</v>
      </c>
      <c r="Q5603" s="26" t="b">
        <v>0</v>
      </c>
      <c r="R5603" s="22">
        <f t="shared" si="107"/>
        <v>10</v>
      </c>
      <c r="S5603" s="28" t="s">
        <v>21</v>
      </c>
    </row>
    <row r="5604" spans="1:19">
      <c r="A5604" s="26">
        <v>11076</v>
      </c>
      <c r="B5604" s="27">
        <v>42772</v>
      </c>
      <c r="C5604" s="28" t="s">
        <v>18976</v>
      </c>
      <c r="D5604" s="27">
        <v>42769</v>
      </c>
      <c r="E5604" s="28" t="s">
        <v>18624</v>
      </c>
      <c r="F5604" s="28" t="s">
        <v>3171</v>
      </c>
      <c r="G5604" s="28" t="s">
        <v>20</v>
      </c>
      <c r="H5604" s="28" t="s">
        <v>566</v>
      </c>
      <c r="I5604" s="28" t="s">
        <v>21</v>
      </c>
      <c r="J5604" s="28" t="s">
        <v>7025</v>
      </c>
      <c r="K5604" s="28" t="s">
        <v>18625</v>
      </c>
      <c r="L5604" s="40" t="s">
        <v>4282</v>
      </c>
      <c r="M5604" s="40" t="s">
        <v>14518</v>
      </c>
      <c r="O5604" s="100">
        <v>43819</v>
      </c>
      <c r="P5604" s="28" t="s">
        <v>21</v>
      </c>
      <c r="Q5604" s="26" t="b">
        <v>0</v>
      </c>
      <c r="R5604" s="22">
        <f t="shared" si="107"/>
        <v>1048</v>
      </c>
      <c r="S5604" s="28" t="s">
        <v>21</v>
      </c>
    </row>
    <row r="5605" spans="1:19">
      <c r="A5605" s="26">
        <v>11077</v>
      </c>
      <c r="B5605" s="27">
        <v>42772</v>
      </c>
      <c r="C5605" s="28" t="s">
        <v>19192</v>
      </c>
      <c r="D5605" s="27">
        <v>42772</v>
      </c>
      <c r="E5605" s="28" t="s">
        <v>3268</v>
      </c>
      <c r="F5605" s="28" t="s">
        <v>10929</v>
      </c>
      <c r="G5605" s="28" t="s">
        <v>20</v>
      </c>
      <c r="H5605" s="28" t="s">
        <v>71</v>
      </c>
      <c r="I5605" s="28" t="s">
        <v>21</v>
      </c>
      <c r="J5605" s="28" t="s">
        <v>18352</v>
      </c>
      <c r="K5605" s="28" t="s">
        <v>10929</v>
      </c>
      <c r="L5605" s="28" t="s">
        <v>1946</v>
      </c>
      <c r="M5605" s="28" t="s">
        <v>21</v>
      </c>
      <c r="O5605" s="92">
        <v>42933</v>
      </c>
      <c r="P5605" s="28" t="s">
        <v>21</v>
      </c>
      <c r="Q5605" s="26" t="b">
        <v>0</v>
      </c>
      <c r="R5605" s="22">
        <f t="shared" si="107"/>
        <v>163</v>
      </c>
      <c r="S5605" s="28" t="s">
        <v>21</v>
      </c>
    </row>
    <row r="5606" spans="1:19">
      <c r="A5606" s="26">
        <v>11078</v>
      </c>
      <c r="B5606" s="27">
        <v>42779</v>
      </c>
      <c r="C5606" s="28" t="s">
        <v>18977</v>
      </c>
      <c r="D5606" s="27">
        <v>42779</v>
      </c>
      <c r="E5606" s="28" t="s">
        <v>18542</v>
      </c>
      <c r="F5606" s="28" t="s">
        <v>1844</v>
      </c>
      <c r="G5606" s="28" t="s">
        <v>20</v>
      </c>
      <c r="H5606" s="28" t="s">
        <v>71</v>
      </c>
      <c r="I5606" s="28" t="s">
        <v>21</v>
      </c>
      <c r="J5606" s="28" t="s">
        <v>18626</v>
      </c>
      <c r="K5606" s="28" t="s">
        <v>18066</v>
      </c>
      <c r="L5606" s="28" t="s">
        <v>1946</v>
      </c>
      <c r="M5606" s="28" t="s">
        <v>21</v>
      </c>
      <c r="O5606" s="100">
        <v>43623</v>
      </c>
      <c r="P5606" s="28" t="s">
        <v>21</v>
      </c>
      <c r="Q5606" s="26" t="b">
        <v>0</v>
      </c>
      <c r="R5606" s="22">
        <f t="shared" si="107"/>
        <v>845</v>
      </c>
      <c r="S5606" s="28" t="s">
        <v>21</v>
      </c>
    </row>
    <row r="5607" spans="1:19" ht="24">
      <c r="A5607" s="26">
        <v>11079</v>
      </c>
      <c r="B5607" s="27">
        <v>42780</v>
      </c>
      <c r="C5607" s="28" t="s">
        <v>19094</v>
      </c>
      <c r="D5607" s="27">
        <v>42780</v>
      </c>
      <c r="E5607" s="28" t="s">
        <v>38</v>
      </c>
      <c r="F5607" s="28" t="s">
        <v>3171</v>
      </c>
      <c r="G5607" s="28" t="s">
        <v>20</v>
      </c>
      <c r="H5607" s="28" t="s">
        <v>566</v>
      </c>
      <c r="I5607" s="28" t="s">
        <v>21</v>
      </c>
      <c r="J5607" s="28" t="s">
        <v>18331</v>
      </c>
      <c r="K5607" s="28" t="s">
        <v>14537</v>
      </c>
      <c r="L5607" s="28" t="s">
        <v>14518</v>
      </c>
      <c r="M5607" s="28" t="s">
        <v>21</v>
      </c>
      <c r="O5607" s="92">
        <v>42787</v>
      </c>
      <c r="P5607" s="28" t="s">
        <v>21</v>
      </c>
      <c r="Q5607" s="26" t="b">
        <v>0</v>
      </c>
      <c r="R5607" s="22">
        <f t="shared" si="107"/>
        <v>7</v>
      </c>
      <c r="S5607" s="28" t="s">
        <v>19292</v>
      </c>
    </row>
    <row r="5608" spans="1:19">
      <c r="A5608" s="26">
        <v>11080</v>
      </c>
      <c r="B5608" s="27">
        <v>42782</v>
      </c>
      <c r="C5608" s="28" t="s">
        <v>19153</v>
      </c>
      <c r="D5608" s="27">
        <v>42780</v>
      </c>
      <c r="E5608" s="28" t="s">
        <v>18355</v>
      </c>
      <c r="F5608" s="28" t="s">
        <v>984</v>
      </c>
      <c r="G5608" s="28" t="s">
        <v>20</v>
      </c>
      <c r="H5608" s="28" t="s">
        <v>71</v>
      </c>
      <c r="I5608" s="28" t="s">
        <v>21</v>
      </c>
      <c r="J5608" s="28" t="s">
        <v>18356</v>
      </c>
      <c r="K5608" s="28" t="s">
        <v>21</v>
      </c>
      <c r="L5608" s="28" t="s">
        <v>14518</v>
      </c>
      <c r="M5608" s="28" t="s">
        <v>21</v>
      </c>
      <c r="O5608" s="92">
        <v>42908</v>
      </c>
      <c r="P5608" s="28" t="s">
        <v>21</v>
      </c>
      <c r="Q5608" s="26" t="b">
        <v>0</v>
      </c>
      <c r="R5608" s="22">
        <f t="shared" si="107"/>
        <v>127</v>
      </c>
      <c r="S5608" s="28" t="s">
        <v>21</v>
      </c>
    </row>
    <row r="5609" spans="1:19" ht="24">
      <c r="A5609" s="26">
        <v>11081</v>
      </c>
      <c r="B5609" s="27">
        <v>42782</v>
      </c>
      <c r="C5609" s="28" t="s">
        <v>19138</v>
      </c>
      <c r="D5609" s="27">
        <v>42781</v>
      </c>
      <c r="E5609" s="28" t="s">
        <v>3268</v>
      </c>
      <c r="F5609" s="28" t="s">
        <v>104</v>
      </c>
      <c r="G5609" s="28" t="s">
        <v>20</v>
      </c>
      <c r="H5609" s="28" t="s">
        <v>71</v>
      </c>
      <c r="I5609" s="28" t="s">
        <v>21</v>
      </c>
      <c r="J5609" s="28" t="s">
        <v>18353</v>
      </c>
      <c r="K5609" s="28" t="s">
        <v>18354</v>
      </c>
      <c r="L5609" s="28" t="s">
        <v>4282</v>
      </c>
      <c r="M5609" s="28" t="s">
        <v>21</v>
      </c>
      <c r="O5609" s="92">
        <v>42858</v>
      </c>
      <c r="P5609" s="28" t="s">
        <v>21</v>
      </c>
      <c r="Q5609" s="26" t="b">
        <v>0</v>
      </c>
      <c r="R5609" s="22">
        <f t="shared" si="107"/>
        <v>78</v>
      </c>
      <c r="S5609" s="28" t="s">
        <v>19297</v>
      </c>
    </row>
    <row r="5610" spans="1:19">
      <c r="A5610" s="26">
        <v>11082</v>
      </c>
      <c r="B5610" s="27">
        <v>42783</v>
      </c>
      <c r="C5610" s="28" t="s">
        <v>19286</v>
      </c>
      <c r="D5610" s="27">
        <v>42782</v>
      </c>
      <c r="E5610" s="28" t="s">
        <v>38</v>
      </c>
      <c r="F5610" s="28" t="s">
        <v>18357</v>
      </c>
      <c r="G5610" s="28" t="s">
        <v>20</v>
      </c>
      <c r="H5610" s="28" t="s">
        <v>566</v>
      </c>
      <c r="I5610" s="28" t="s">
        <v>21</v>
      </c>
      <c r="J5610" s="28" t="s">
        <v>18358</v>
      </c>
      <c r="K5610" s="28" t="s">
        <v>18359</v>
      </c>
      <c r="L5610" s="28" t="s">
        <v>14518</v>
      </c>
      <c r="M5610" s="28" t="s">
        <v>21</v>
      </c>
      <c r="O5610" s="92">
        <v>43097</v>
      </c>
      <c r="P5610" s="28" t="s">
        <v>21</v>
      </c>
      <c r="Q5610" s="26" t="b">
        <v>0</v>
      </c>
      <c r="R5610" s="22">
        <f t="shared" si="107"/>
        <v>315</v>
      </c>
      <c r="S5610" s="28" t="s">
        <v>21</v>
      </c>
    </row>
    <row r="5611" spans="1:19">
      <c r="A5611" s="26">
        <v>11083</v>
      </c>
      <c r="B5611" s="27">
        <v>42783</v>
      </c>
      <c r="C5611" s="28" t="s">
        <v>18978</v>
      </c>
      <c r="D5611" s="27">
        <v>42783</v>
      </c>
      <c r="E5611" s="28" t="s">
        <v>18627</v>
      </c>
      <c r="F5611" s="28" t="s">
        <v>15716</v>
      </c>
      <c r="G5611" s="28" t="s">
        <v>20</v>
      </c>
      <c r="H5611" s="28" t="s">
        <v>566</v>
      </c>
      <c r="I5611" s="28" t="s">
        <v>21</v>
      </c>
      <c r="J5611" s="28" t="s">
        <v>18628</v>
      </c>
      <c r="K5611" s="28" t="s">
        <v>21</v>
      </c>
      <c r="L5611" s="40" t="s">
        <v>18572</v>
      </c>
      <c r="M5611" s="40" t="s">
        <v>14909</v>
      </c>
      <c r="O5611" s="100">
        <v>43614</v>
      </c>
      <c r="P5611" s="28" t="s">
        <v>21</v>
      </c>
      <c r="Q5611" s="26" t="b">
        <v>0</v>
      </c>
      <c r="R5611" s="22">
        <f t="shared" si="107"/>
        <v>833</v>
      </c>
      <c r="S5611" s="28" t="s">
        <v>21</v>
      </c>
    </row>
    <row r="5612" spans="1:19" ht="24">
      <c r="A5612" s="26">
        <v>11084</v>
      </c>
      <c r="B5612" s="27">
        <v>42787</v>
      </c>
      <c r="C5612" s="28" t="s">
        <v>19095</v>
      </c>
      <c r="D5612" s="27">
        <v>42787</v>
      </c>
      <c r="E5612" s="28" t="s">
        <v>3268</v>
      </c>
      <c r="F5612" s="28" t="s">
        <v>9607</v>
      </c>
      <c r="G5612" s="28" t="s">
        <v>20</v>
      </c>
      <c r="H5612" s="28" t="s">
        <v>71</v>
      </c>
      <c r="I5612" s="28" t="s">
        <v>21</v>
      </c>
      <c r="J5612" s="28" t="s">
        <v>18360</v>
      </c>
      <c r="K5612" s="28" t="s">
        <v>9607</v>
      </c>
      <c r="L5612" s="28" t="s">
        <v>14349</v>
      </c>
      <c r="M5612" s="28" t="s">
        <v>21</v>
      </c>
      <c r="O5612" s="92">
        <v>42787</v>
      </c>
      <c r="P5612" s="28" t="s">
        <v>21</v>
      </c>
      <c r="Q5612" s="26" t="b">
        <v>0</v>
      </c>
      <c r="R5612" s="22">
        <f t="shared" si="107"/>
        <v>0</v>
      </c>
      <c r="S5612" s="28" t="s">
        <v>19293</v>
      </c>
    </row>
    <row r="5613" spans="1:19">
      <c r="A5613" s="26">
        <v>11085</v>
      </c>
      <c r="B5613" s="27">
        <v>42787</v>
      </c>
      <c r="C5613" s="28" t="s">
        <v>19103</v>
      </c>
      <c r="D5613" s="27">
        <v>42787</v>
      </c>
      <c r="E5613" s="28" t="s">
        <v>3268</v>
      </c>
      <c r="F5613" s="28" t="s">
        <v>283</v>
      </c>
      <c r="G5613" s="28" t="s">
        <v>20</v>
      </c>
      <c r="H5613" s="28" t="s">
        <v>71</v>
      </c>
      <c r="I5613" s="28" t="s">
        <v>21</v>
      </c>
      <c r="J5613" s="28" t="s">
        <v>18361</v>
      </c>
      <c r="K5613" s="28" t="s">
        <v>18362</v>
      </c>
      <c r="L5613" s="28" t="s">
        <v>14349</v>
      </c>
      <c r="M5613" s="28" t="s">
        <v>21</v>
      </c>
      <c r="O5613" s="92">
        <v>42808</v>
      </c>
      <c r="P5613" s="28" t="s">
        <v>21</v>
      </c>
      <c r="Q5613" s="26" t="b">
        <v>0</v>
      </c>
      <c r="R5613" s="22">
        <f t="shared" si="107"/>
        <v>23</v>
      </c>
      <c r="S5613" s="28" t="s">
        <v>21</v>
      </c>
    </row>
    <row r="5614" spans="1:19">
      <c r="A5614" s="26">
        <v>11086</v>
      </c>
      <c r="B5614" s="27">
        <v>42787</v>
      </c>
      <c r="C5614" s="28" t="s">
        <v>19113</v>
      </c>
      <c r="D5614" s="27">
        <v>42787</v>
      </c>
      <c r="E5614" s="28" t="s">
        <v>3268</v>
      </c>
      <c r="F5614" s="28" t="s">
        <v>6084</v>
      </c>
      <c r="G5614" s="28" t="s">
        <v>20</v>
      </c>
      <c r="H5614" s="28" t="s">
        <v>71</v>
      </c>
      <c r="I5614" s="28" t="s">
        <v>21</v>
      </c>
      <c r="J5614" s="28" t="s">
        <v>18363</v>
      </c>
      <c r="K5614" s="28" t="s">
        <v>6383</v>
      </c>
      <c r="L5614" s="28" t="s">
        <v>14349</v>
      </c>
      <c r="M5614" s="28" t="s">
        <v>21</v>
      </c>
      <c r="O5614" s="92">
        <v>42815</v>
      </c>
      <c r="P5614" s="28" t="s">
        <v>21</v>
      </c>
      <c r="Q5614" s="26" t="b">
        <v>0</v>
      </c>
      <c r="R5614" s="22">
        <f t="shared" si="107"/>
        <v>30</v>
      </c>
      <c r="S5614" s="28" t="s">
        <v>21</v>
      </c>
    </row>
    <row r="5615" spans="1:19" ht="24">
      <c r="A5615" s="26">
        <v>11087</v>
      </c>
      <c r="B5615" s="27">
        <v>42787</v>
      </c>
      <c r="C5615" s="28" t="s">
        <v>18979</v>
      </c>
      <c r="D5615" s="27">
        <v>42782</v>
      </c>
      <c r="E5615" s="28" t="s">
        <v>18629</v>
      </c>
      <c r="F5615" s="28" t="s">
        <v>15525</v>
      </c>
      <c r="G5615" s="28" t="s">
        <v>20</v>
      </c>
      <c r="H5615" s="28" t="s">
        <v>71</v>
      </c>
      <c r="I5615" s="28" t="s">
        <v>21</v>
      </c>
      <c r="J5615" s="28" t="s">
        <v>18630</v>
      </c>
      <c r="K5615" s="28" t="s">
        <v>21</v>
      </c>
      <c r="L5615" s="28" t="s">
        <v>14909</v>
      </c>
      <c r="M5615" s="28" t="s">
        <v>21</v>
      </c>
      <c r="O5615" s="100">
        <v>43481</v>
      </c>
      <c r="P5615" s="28" t="s">
        <v>21</v>
      </c>
      <c r="Q5615" s="26" t="b">
        <v>0</v>
      </c>
      <c r="R5615" s="22">
        <f t="shared" si="107"/>
        <v>694</v>
      </c>
      <c r="S5615" s="28" t="s">
        <v>21</v>
      </c>
    </row>
    <row r="5616" spans="1:19">
      <c r="A5616" s="26">
        <v>11088</v>
      </c>
      <c r="B5616" s="27">
        <v>42788</v>
      </c>
      <c r="C5616" s="28" t="s">
        <v>19128</v>
      </c>
      <c r="D5616" s="27">
        <v>42787</v>
      </c>
      <c r="E5616" s="28" t="s">
        <v>18364</v>
      </c>
      <c r="F5616" s="28" t="s">
        <v>13960</v>
      </c>
      <c r="G5616" s="28" t="s">
        <v>20</v>
      </c>
      <c r="H5616" s="28" t="s">
        <v>71</v>
      </c>
      <c r="I5616" s="28" t="s">
        <v>21</v>
      </c>
      <c r="J5616" s="28" t="s">
        <v>18365</v>
      </c>
      <c r="K5616" s="28" t="s">
        <v>18366</v>
      </c>
      <c r="L5616" s="28" t="s">
        <v>1946</v>
      </c>
      <c r="M5616" s="28" t="s">
        <v>21</v>
      </c>
      <c r="O5616" s="92">
        <v>42845</v>
      </c>
      <c r="P5616" s="28" t="s">
        <v>21</v>
      </c>
      <c r="Q5616" s="26" t="b">
        <v>0</v>
      </c>
      <c r="R5616" s="22">
        <f t="shared" si="107"/>
        <v>58</v>
      </c>
      <c r="S5616" s="28" t="s">
        <v>21</v>
      </c>
    </row>
    <row r="5617" spans="1:19">
      <c r="A5617" s="26">
        <v>11089</v>
      </c>
      <c r="B5617" s="27">
        <v>42793</v>
      </c>
      <c r="C5617" s="28" t="s">
        <v>18980</v>
      </c>
      <c r="D5617" s="27">
        <v>42790</v>
      </c>
      <c r="E5617" s="28" t="s">
        <v>18631</v>
      </c>
      <c r="F5617" s="28" t="s">
        <v>13422</v>
      </c>
      <c r="G5617" s="28" t="s">
        <v>20</v>
      </c>
      <c r="H5617" s="28" t="s">
        <v>71</v>
      </c>
      <c r="I5617" s="28" t="s">
        <v>21</v>
      </c>
      <c r="J5617" s="28" t="s">
        <v>15009</v>
      </c>
      <c r="K5617" s="28" t="s">
        <v>9348</v>
      </c>
      <c r="L5617" s="28" t="s">
        <v>7167</v>
      </c>
      <c r="M5617" s="28" t="s">
        <v>21</v>
      </c>
      <c r="O5617" s="100">
        <v>44069</v>
      </c>
      <c r="P5617" s="28" t="s">
        <v>21</v>
      </c>
      <c r="Q5617" s="26" t="b">
        <v>0</v>
      </c>
      <c r="R5617" s="22">
        <f t="shared" si="107"/>
        <v>1276</v>
      </c>
      <c r="S5617" s="28" t="s">
        <v>21</v>
      </c>
    </row>
    <row r="5618" spans="1:19">
      <c r="A5618" s="26">
        <v>11090</v>
      </c>
      <c r="B5618" s="27">
        <v>42793</v>
      </c>
      <c r="C5618" s="28" t="s">
        <v>19102</v>
      </c>
      <c r="D5618" s="27">
        <v>42793</v>
      </c>
      <c r="E5618" s="28" t="s">
        <v>1928</v>
      </c>
      <c r="F5618" s="28" t="s">
        <v>1743</v>
      </c>
      <c r="G5618" s="28" t="s">
        <v>20</v>
      </c>
      <c r="H5618" s="28" t="s">
        <v>71</v>
      </c>
      <c r="I5618" s="28" t="s">
        <v>21</v>
      </c>
      <c r="J5618" s="28" t="s">
        <v>18367</v>
      </c>
      <c r="K5618" s="28" t="s">
        <v>18368</v>
      </c>
      <c r="L5618" s="28" t="s">
        <v>7167</v>
      </c>
      <c r="M5618" s="28" t="s">
        <v>21</v>
      </c>
      <c r="O5618" s="92">
        <v>42807</v>
      </c>
      <c r="P5618" s="28" t="s">
        <v>21</v>
      </c>
      <c r="Q5618" s="26" t="b">
        <v>0</v>
      </c>
      <c r="R5618" s="22">
        <f t="shared" si="107"/>
        <v>16</v>
      </c>
      <c r="S5618" s="28" t="s">
        <v>21</v>
      </c>
    </row>
    <row r="5619" spans="1:19">
      <c r="A5619" s="26">
        <v>11091</v>
      </c>
      <c r="B5619" s="27">
        <v>42797</v>
      </c>
      <c r="C5619" s="28" t="s">
        <v>19248</v>
      </c>
      <c r="D5619" s="27">
        <v>42796</v>
      </c>
      <c r="E5619" s="28" t="s">
        <v>18369</v>
      </c>
      <c r="F5619" s="28" t="s">
        <v>15525</v>
      </c>
      <c r="G5619" s="28" t="s">
        <v>20</v>
      </c>
      <c r="H5619" s="28" t="s">
        <v>566</v>
      </c>
      <c r="I5619" s="28" t="s">
        <v>21</v>
      </c>
      <c r="J5619" s="28" t="s">
        <v>18370</v>
      </c>
      <c r="K5619" s="28" t="s">
        <v>18371</v>
      </c>
      <c r="L5619" s="28" t="s">
        <v>14909</v>
      </c>
      <c r="M5619" s="28" t="s">
        <v>21</v>
      </c>
      <c r="O5619" s="92">
        <v>43019</v>
      </c>
      <c r="P5619" s="28" t="s">
        <v>21</v>
      </c>
      <c r="Q5619" s="26" t="b">
        <v>0</v>
      </c>
      <c r="R5619" s="22">
        <f t="shared" si="107"/>
        <v>221</v>
      </c>
      <c r="S5619" s="28" t="s">
        <v>21</v>
      </c>
    </row>
    <row r="5620" spans="1:19">
      <c r="A5620" s="26">
        <v>11092</v>
      </c>
      <c r="B5620" s="27">
        <v>42800</v>
      </c>
      <c r="C5620" s="28" t="s">
        <v>18981</v>
      </c>
      <c r="D5620" s="27">
        <v>42796</v>
      </c>
      <c r="E5620" s="28" t="s">
        <v>18632</v>
      </c>
      <c r="F5620" s="28" t="s">
        <v>10205</v>
      </c>
      <c r="G5620" s="28" t="s">
        <v>20</v>
      </c>
      <c r="H5620" s="28" t="s">
        <v>566</v>
      </c>
      <c r="I5620" s="28" t="s">
        <v>21</v>
      </c>
      <c r="J5620" s="28" t="s">
        <v>18633</v>
      </c>
      <c r="K5620" s="28" t="s">
        <v>18634</v>
      </c>
      <c r="L5620" s="28" t="s">
        <v>1946</v>
      </c>
      <c r="M5620" s="28" t="s">
        <v>21</v>
      </c>
      <c r="O5620" s="100">
        <v>43959</v>
      </c>
      <c r="P5620" s="28" t="s">
        <v>21</v>
      </c>
      <c r="Q5620" s="26" t="b">
        <v>0</v>
      </c>
      <c r="R5620" s="22">
        <f t="shared" si="107"/>
        <v>1157</v>
      </c>
      <c r="S5620" s="28" t="s">
        <v>21</v>
      </c>
    </row>
    <row r="5621" spans="1:19">
      <c r="A5621" s="26">
        <v>11093</v>
      </c>
      <c r="B5621" s="27">
        <v>42800</v>
      </c>
      <c r="C5621" s="28" t="s">
        <v>19111</v>
      </c>
      <c r="D5621" s="27">
        <v>42797</v>
      </c>
      <c r="E5621" s="28" t="s">
        <v>18372</v>
      </c>
      <c r="F5621" s="28" t="s">
        <v>149</v>
      </c>
      <c r="G5621" s="28" t="s">
        <v>20</v>
      </c>
      <c r="H5621" s="28" t="s">
        <v>71</v>
      </c>
      <c r="I5621" s="28" t="s">
        <v>21</v>
      </c>
      <c r="J5621" s="28" t="s">
        <v>18373</v>
      </c>
      <c r="K5621" s="28" t="s">
        <v>18374</v>
      </c>
      <c r="L5621" s="28" t="s">
        <v>7167</v>
      </c>
      <c r="M5621" s="28" t="s">
        <v>21</v>
      </c>
      <c r="O5621" s="92">
        <v>42814</v>
      </c>
      <c r="P5621" s="28" t="s">
        <v>21</v>
      </c>
      <c r="Q5621" s="26" t="b">
        <v>0</v>
      </c>
      <c r="R5621" s="22">
        <f t="shared" si="107"/>
        <v>14</v>
      </c>
      <c r="S5621" s="28" t="s">
        <v>21</v>
      </c>
    </row>
    <row r="5622" spans="1:19">
      <c r="A5622" s="26">
        <v>11094</v>
      </c>
      <c r="B5622" s="27">
        <v>42801</v>
      </c>
      <c r="C5622" s="28" t="s">
        <v>19112</v>
      </c>
      <c r="D5622" s="27">
        <v>42800</v>
      </c>
      <c r="E5622" s="28" t="s">
        <v>38</v>
      </c>
      <c r="F5622" s="28" t="s">
        <v>12881</v>
      </c>
      <c r="G5622" s="28" t="s">
        <v>20</v>
      </c>
      <c r="H5622" s="28" t="s">
        <v>71</v>
      </c>
      <c r="I5622" s="28" t="s">
        <v>21</v>
      </c>
      <c r="J5622" s="28" t="s">
        <v>18375</v>
      </c>
      <c r="K5622" s="28" t="s">
        <v>18376</v>
      </c>
      <c r="L5622" s="28" t="s">
        <v>14518</v>
      </c>
      <c r="M5622" s="28" t="s">
        <v>21</v>
      </c>
      <c r="O5622" s="92">
        <v>42814</v>
      </c>
      <c r="P5622" s="28" t="s">
        <v>21</v>
      </c>
      <c r="Q5622" s="26" t="b">
        <v>0</v>
      </c>
      <c r="R5622" s="22">
        <f t="shared" si="107"/>
        <v>13</v>
      </c>
      <c r="S5622" s="28" t="s">
        <v>21</v>
      </c>
    </row>
    <row r="5623" spans="1:19">
      <c r="A5623" s="26">
        <v>11095</v>
      </c>
      <c r="B5623" s="27">
        <v>42802</v>
      </c>
      <c r="C5623" s="28" t="s">
        <v>19249</v>
      </c>
      <c r="D5623" s="27">
        <v>42800</v>
      </c>
      <c r="E5623" s="28" t="s">
        <v>18377</v>
      </c>
      <c r="F5623" s="28" t="s">
        <v>15525</v>
      </c>
      <c r="G5623" s="28" t="s">
        <v>20</v>
      </c>
      <c r="H5623" s="28" t="s">
        <v>566</v>
      </c>
      <c r="I5623" s="28" t="s">
        <v>21</v>
      </c>
      <c r="J5623" s="28" t="s">
        <v>18378</v>
      </c>
      <c r="K5623" s="28" t="s">
        <v>21</v>
      </c>
      <c r="L5623" s="28" t="s">
        <v>14909</v>
      </c>
      <c r="M5623" s="28" t="s">
        <v>21</v>
      </c>
      <c r="O5623" s="92">
        <v>43019</v>
      </c>
      <c r="P5623" s="28" t="s">
        <v>21</v>
      </c>
      <c r="Q5623" s="26" t="b">
        <v>0</v>
      </c>
      <c r="R5623" s="22">
        <f t="shared" si="107"/>
        <v>215</v>
      </c>
      <c r="S5623" s="28" t="s">
        <v>21</v>
      </c>
    </row>
    <row r="5624" spans="1:19" ht="24">
      <c r="A5624" s="26">
        <v>11096</v>
      </c>
      <c r="B5624" s="27">
        <v>42802</v>
      </c>
      <c r="C5624" s="28" t="s">
        <v>19250</v>
      </c>
      <c r="D5624" s="27">
        <v>42800</v>
      </c>
      <c r="E5624" s="28" t="s">
        <v>18379</v>
      </c>
      <c r="F5624" s="28" t="s">
        <v>15525</v>
      </c>
      <c r="G5624" s="28" t="s">
        <v>20</v>
      </c>
      <c r="H5624" s="28" t="s">
        <v>566</v>
      </c>
      <c r="I5624" s="28" t="s">
        <v>21</v>
      </c>
      <c r="J5624" s="28" t="s">
        <v>18380</v>
      </c>
      <c r="K5624" s="28" t="s">
        <v>21</v>
      </c>
      <c r="L5624" s="28" t="s">
        <v>14909</v>
      </c>
      <c r="M5624" s="28" t="s">
        <v>21</v>
      </c>
      <c r="O5624" s="94">
        <v>43019</v>
      </c>
      <c r="P5624" s="28" t="s">
        <v>21</v>
      </c>
      <c r="Q5624" s="26" t="b">
        <v>0</v>
      </c>
      <c r="R5624" s="22">
        <f t="shared" si="107"/>
        <v>215</v>
      </c>
      <c r="S5624" s="37" t="s">
        <v>21</v>
      </c>
    </row>
    <row r="5625" spans="1:19">
      <c r="A5625" s="38">
        <v>11097</v>
      </c>
      <c r="B5625" s="39">
        <v>42802</v>
      </c>
      <c r="C5625" s="40" t="s">
        <v>18982</v>
      </c>
      <c r="D5625" s="39">
        <v>42800</v>
      </c>
      <c r="E5625" s="40" t="s">
        <v>18635</v>
      </c>
      <c r="F5625" s="40" t="s">
        <v>15525</v>
      </c>
      <c r="G5625" s="40" t="s">
        <v>20</v>
      </c>
      <c r="H5625" s="40" t="s">
        <v>566</v>
      </c>
      <c r="I5625" s="40" t="s">
        <v>21</v>
      </c>
      <c r="J5625" s="40" t="s">
        <v>18636</v>
      </c>
      <c r="K5625" s="40" t="s">
        <v>18371</v>
      </c>
      <c r="L5625" s="40" t="s">
        <v>14909</v>
      </c>
      <c r="M5625" s="40" t="s">
        <v>21</v>
      </c>
      <c r="O5625" s="101">
        <v>43455</v>
      </c>
      <c r="P5625" s="41" t="s">
        <v>21</v>
      </c>
      <c r="Q5625" s="42" t="b">
        <v>0</v>
      </c>
      <c r="R5625" s="22">
        <f t="shared" si="107"/>
        <v>651</v>
      </c>
    </row>
    <row r="5626" spans="1:19">
      <c r="A5626" s="26">
        <v>11098</v>
      </c>
      <c r="B5626" s="27">
        <v>42808</v>
      </c>
      <c r="C5626" s="28" t="s">
        <v>19160</v>
      </c>
      <c r="D5626" s="27">
        <v>42808</v>
      </c>
      <c r="E5626" s="28" t="s">
        <v>18381</v>
      </c>
      <c r="F5626" s="28" t="s">
        <v>19298</v>
      </c>
      <c r="G5626" s="28" t="s">
        <v>20</v>
      </c>
      <c r="H5626" s="28" t="s">
        <v>71</v>
      </c>
      <c r="I5626" s="28" t="s">
        <v>21</v>
      </c>
      <c r="J5626" s="28" t="s">
        <v>18382</v>
      </c>
      <c r="K5626" s="28" t="s">
        <v>18383</v>
      </c>
      <c r="L5626" s="28" t="s">
        <v>14518</v>
      </c>
      <c r="M5626" s="28" t="s">
        <v>21</v>
      </c>
      <c r="O5626" s="94">
        <v>42915</v>
      </c>
      <c r="P5626" s="28" t="s">
        <v>21</v>
      </c>
      <c r="Q5626" s="26" t="b">
        <v>0</v>
      </c>
      <c r="R5626" s="22">
        <f t="shared" si="107"/>
        <v>106</v>
      </c>
      <c r="S5626" s="37" t="s">
        <v>21</v>
      </c>
    </row>
    <row r="5627" spans="1:19">
      <c r="A5627" s="26">
        <v>11099</v>
      </c>
      <c r="B5627" s="27">
        <v>42810</v>
      </c>
      <c r="C5627" s="28" t="s">
        <v>19108</v>
      </c>
      <c r="D5627" s="27">
        <v>42810</v>
      </c>
      <c r="E5627" s="28" t="s">
        <v>1432</v>
      </c>
      <c r="F5627" s="28" t="s">
        <v>6383</v>
      </c>
      <c r="G5627" s="28" t="s">
        <v>20</v>
      </c>
      <c r="H5627" s="28" t="s">
        <v>71</v>
      </c>
      <c r="I5627" s="28" t="s">
        <v>21</v>
      </c>
      <c r="J5627" s="28" t="s">
        <v>18384</v>
      </c>
      <c r="K5627" s="28" t="s">
        <v>18385</v>
      </c>
      <c r="L5627" s="28" t="s">
        <v>7167</v>
      </c>
      <c r="M5627" s="28" t="s">
        <v>21</v>
      </c>
      <c r="O5627" s="94">
        <v>42810</v>
      </c>
      <c r="P5627" s="28" t="s">
        <v>21</v>
      </c>
      <c r="Q5627" s="26" t="b">
        <v>0</v>
      </c>
      <c r="R5627" s="22">
        <f t="shared" si="107"/>
        <v>0</v>
      </c>
      <c r="S5627" s="37" t="s">
        <v>21</v>
      </c>
    </row>
    <row r="5628" spans="1:19" ht="36">
      <c r="A5628" s="26">
        <v>11100</v>
      </c>
      <c r="B5628" s="27">
        <v>42811</v>
      </c>
      <c r="C5628" s="28" t="s">
        <v>19055</v>
      </c>
      <c r="D5628" s="27">
        <v>42811</v>
      </c>
      <c r="E5628" s="28" t="s">
        <v>18637</v>
      </c>
      <c r="F5628" s="28" t="s">
        <v>124</v>
      </c>
      <c r="G5628" s="28" t="s">
        <v>20</v>
      </c>
      <c r="H5628" s="28" t="s">
        <v>71</v>
      </c>
      <c r="I5628" s="28" t="s">
        <v>21</v>
      </c>
      <c r="J5628" s="28" t="s">
        <v>18638</v>
      </c>
      <c r="K5628" s="28" t="s">
        <v>4488</v>
      </c>
      <c r="L5628" s="28" t="s">
        <v>14518</v>
      </c>
      <c r="M5628" s="28" t="s">
        <v>21</v>
      </c>
      <c r="O5628" s="94">
        <v>43118</v>
      </c>
      <c r="P5628" s="28" t="s">
        <v>21</v>
      </c>
      <c r="Q5628" s="26" t="b">
        <v>0</v>
      </c>
      <c r="R5628" s="22">
        <f t="shared" si="107"/>
        <v>305</v>
      </c>
      <c r="S5628" s="28" t="s">
        <v>19056</v>
      </c>
    </row>
    <row r="5629" spans="1:19">
      <c r="A5629" s="38">
        <v>11101</v>
      </c>
      <c r="B5629" s="39">
        <v>42815</v>
      </c>
      <c r="C5629" s="40" t="s">
        <v>18983</v>
      </c>
      <c r="D5629" s="39">
        <v>42809</v>
      </c>
      <c r="E5629" s="40" t="s">
        <v>18639</v>
      </c>
      <c r="F5629" s="40" t="s">
        <v>15525</v>
      </c>
      <c r="G5629" s="40" t="s">
        <v>20</v>
      </c>
      <c r="H5629" s="40" t="s">
        <v>566</v>
      </c>
      <c r="I5629" s="40" t="s">
        <v>21</v>
      </c>
      <c r="J5629" s="40" t="s">
        <v>18640</v>
      </c>
      <c r="K5629" s="40" t="s">
        <v>18641</v>
      </c>
      <c r="L5629" s="40" t="s">
        <v>14909</v>
      </c>
      <c r="M5629" s="40" t="s">
        <v>21</v>
      </c>
      <c r="O5629" s="101">
        <v>43454</v>
      </c>
      <c r="P5629" s="41" t="s">
        <v>21</v>
      </c>
      <c r="Q5629" s="42" t="b">
        <v>0</v>
      </c>
      <c r="R5629" s="22">
        <f t="shared" si="107"/>
        <v>637</v>
      </c>
      <c r="S5629" s="18"/>
    </row>
    <row r="5630" spans="1:19">
      <c r="A5630" s="26">
        <v>11102</v>
      </c>
      <c r="B5630" s="27">
        <v>42815</v>
      </c>
      <c r="C5630" s="28" t="s">
        <v>18984</v>
      </c>
      <c r="D5630" s="27">
        <v>42815</v>
      </c>
      <c r="E5630" s="28" t="s">
        <v>18642</v>
      </c>
      <c r="F5630" s="28" t="s">
        <v>18500</v>
      </c>
      <c r="G5630" s="28" t="s">
        <v>20</v>
      </c>
      <c r="H5630" s="28" t="s">
        <v>71</v>
      </c>
      <c r="I5630" s="28" t="s">
        <v>21</v>
      </c>
      <c r="J5630" s="28" t="s">
        <v>18643</v>
      </c>
      <c r="K5630" s="28" t="s">
        <v>18644</v>
      </c>
      <c r="L5630" s="40" t="s">
        <v>7167</v>
      </c>
      <c r="M5630" s="40" t="s">
        <v>14518</v>
      </c>
      <c r="O5630" s="101">
        <v>43887</v>
      </c>
      <c r="P5630" s="28" t="s">
        <v>21</v>
      </c>
      <c r="Q5630" s="26" t="b">
        <v>0</v>
      </c>
      <c r="R5630" s="22">
        <f t="shared" ref="R5630:R5655" si="108">IF(O5630=" ", " ", INT(YEARFRAC(O5630, B5630)*365))</f>
        <v>1069</v>
      </c>
      <c r="S5630" s="28" t="s">
        <v>21</v>
      </c>
    </row>
    <row r="5631" spans="1:19" ht="24">
      <c r="A5631" s="26">
        <v>11103</v>
      </c>
      <c r="B5631" s="27">
        <v>42815</v>
      </c>
      <c r="C5631" s="28" t="s">
        <v>19114</v>
      </c>
      <c r="D5631" s="27">
        <v>42815</v>
      </c>
      <c r="E5631" s="28" t="s">
        <v>38</v>
      </c>
      <c r="F5631" s="28" t="s">
        <v>18386</v>
      </c>
      <c r="G5631" s="28" t="s">
        <v>20</v>
      </c>
      <c r="H5631" s="28" t="s">
        <v>71</v>
      </c>
      <c r="I5631" s="28" t="s">
        <v>21</v>
      </c>
      <c r="J5631" s="28" t="s">
        <v>18387</v>
      </c>
      <c r="K5631" s="28" t="s">
        <v>14825</v>
      </c>
      <c r="L5631" s="28" t="s">
        <v>14518</v>
      </c>
      <c r="M5631" s="28" t="s">
        <v>21</v>
      </c>
      <c r="O5631" s="94">
        <v>42815</v>
      </c>
      <c r="P5631" s="28" t="s">
        <v>21</v>
      </c>
      <c r="Q5631" s="26" t="b">
        <v>0</v>
      </c>
      <c r="R5631" s="22">
        <f t="shared" si="108"/>
        <v>0</v>
      </c>
      <c r="S5631" s="28" t="s">
        <v>21</v>
      </c>
    </row>
    <row r="5632" spans="1:19">
      <c r="A5632" s="26">
        <v>11104</v>
      </c>
      <c r="B5632" s="27">
        <v>42817</v>
      </c>
      <c r="C5632" s="28" t="s">
        <v>19119</v>
      </c>
      <c r="D5632" s="27">
        <v>42816</v>
      </c>
      <c r="E5632" s="28" t="s">
        <v>38</v>
      </c>
      <c r="F5632" s="28" t="s">
        <v>52</v>
      </c>
      <c r="G5632" s="28" t="s">
        <v>20</v>
      </c>
      <c r="H5632" s="28" t="s">
        <v>71</v>
      </c>
      <c r="I5632" s="28" t="s">
        <v>21</v>
      </c>
      <c r="J5632" s="28" t="s">
        <v>18388</v>
      </c>
      <c r="K5632" s="28" t="s">
        <v>18389</v>
      </c>
      <c r="L5632" s="28" t="s">
        <v>14909</v>
      </c>
      <c r="M5632" s="28" t="s">
        <v>21</v>
      </c>
      <c r="O5632" s="94">
        <v>42822</v>
      </c>
      <c r="P5632" s="28" t="s">
        <v>21</v>
      </c>
      <c r="Q5632" s="26" t="b">
        <v>0</v>
      </c>
      <c r="R5632" s="22">
        <f t="shared" si="108"/>
        <v>5</v>
      </c>
      <c r="S5632" s="28" t="s">
        <v>21</v>
      </c>
    </row>
    <row r="5633" spans="1:19">
      <c r="A5633" s="26">
        <v>11105</v>
      </c>
      <c r="B5633" s="27">
        <v>42817</v>
      </c>
      <c r="C5633" s="28" t="s">
        <v>19155</v>
      </c>
      <c r="D5633" s="27">
        <v>42817</v>
      </c>
      <c r="E5633" s="28" t="s">
        <v>3268</v>
      </c>
      <c r="F5633" s="28" t="s">
        <v>12404</v>
      </c>
      <c r="G5633" s="28" t="s">
        <v>20</v>
      </c>
      <c r="H5633" s="28" t="s">
        <v>71</v>
      </c>
      <c r="I5633" s="28" t="s">
        <v>21</v>
      </c>
      <c r="J5633" s="28" t="s">
        <v>18390</v>
      </c>
      <c r="K5633" s="28" t="s">
        <v>12404</v>
      </c>
      <c r="L5633" s="28" t="s">
        <v>4282</v>
      </c>
      <c r="M5633" s="28" t="s">
        <v>21</v>
      </c>
      <c r="O5633" s="94">
        <v>42912</v>
      </c>
      <c r="P5633" s="28" t="s">
        <v>21</v>
      </c>
      <c r="Q5633" s="26" t="b">
        <v>0</v>
      </c>
      <c r="R5633" s="22">
        <f t="shared" si="108"/>
        <v>94</v>
      </c>
      <c r="S5633" s="28" t="s">
        <v>21</v>
      </c>
    </row>
    <row r="5634" spans="1:19" ht="24">
      <c r="A5634" s="26">
        <v>11106</v>
      </c>
      <c r="B5634" s="27">
        <v>42822</v>
      </c>
      <c r="C5634" s="28" t="s">
        <v>18985</v>
      </c>
      <c r="D5634" s="27">
        <v>42822</v>
      </c>
      <c r="E5634" s="28" t="s">
        <v>18645</v>
      </c>
      <c r="F5634" s="28" t="s">
        <v>13032</v>
      </c>
      <c r="G5634" s="28" t="s">
        <v>20</v>
      </c>
      <c r="H5634" s="28" t="s">
        <v>566</v>
      </c>
      <c r="I5634" s="28" t="s">
        <v>21</v>
      </c>
      <c r="J5634" s="28" t="s">
        <v>18646</v>
      </c>
      <c r="K5634" s="28" t="s">
        <v>14825</v>
      </c>
      <c r="L5634" s="28" t="s">
        <v>7167</v>
      </c>
      <c r="M5634" s="28" t="s">
        <v>21</v>
      </c>
      <c r="O5634" s="101">
        <v>43725</v>
      </c>
      <c r="P5634" s="28" t="s">
        <v>21</v>
      </c>
      <c r="Q5634" s="26" t="b">
        <v>0</v>
      </c>
      <c r="R5634" s="22">
        <f t="shared" si="108"/>
        <v>901</v>
      </c>
      <c r="S5634" s="28" t="s">
        <v>19303</v>
      </c>
    </row>
    <row r="5635" spans="1:19">
      <c r="A5635" s="26">
        <v>11107</v>
      </c>
      <c r="B5635" s="27">
        <v>42823</v>
      </c>
      <c r="C5635" s="28" t="s">
        <v>19122</v>
      </c>
      <c r="D5635" s="27">
        <v>42822</v>
      </c>
      <c r="E5635" s="28" t="s">
        <v>18392</v>
      </c>
      <c r="F5635" s="28" t="s">
        <v>149</v>
      </c>
      <c r="G5635" s="28" t="s">
        <v>20</v>
      </c>
      <c r="H5635" s="28" t="s">
        <v>71</v>
      </c>
      <c r="I5635" s="28" t="s">
        <v>21</v>
      </c>
      <c r="J5635" s="28" t="s">
        <v>18393</v>
      </c>
      <c r="K5635" s="28" t="s">
        <v>6081</v>
      </c>
      <c r="L5635" s="28" t="s">
        <v>14909</v>
      </c>
      <c r="M5635" s="28" t="s">
        <v>21</v>
      </c>
      <c r="O5635" s="94">
        <v>42829</v>
      </c>
      <c r="P5635" s="28" t="s">
        <v>21</v>
      </c>
      <c r="Q5635" s="26" t="b">
        <v>0</v>
      </c>
      <c r="R5635" s="22">
        <f t="shared" si="108"/>
        <v>5</v>
      </c>
      <c r="S5635" s="28" t="s">
        <v>21</v>
      </c>
    </row>
    <row r="5636" spans="1:19">
      <c r="A5636" s="59">
        <v>11108</v>
      </c>
      <c r="B5636" s="60">
        <v>42823</v>
      </c>
      <c r="C5636" s="61" t="s">
        <v>19132</v>
      </c>
      <c r="D5636" s="60">
        <v>42822</v>
      </c>
      <c r="E5636" s="61" t="s">
        <v>18396</v>
      </c>
      <c r="F5636" s="61" t="s">
        <v>124</v>
      </c>
      <c r="G5636" s="61" t="s">
        <v>20</v>
      </c>
      <c r="H5636" s="61" t="s">
        <v>71</v>
      </c>
      <c r="I5636" s="61" t="s">
        <v>21</v>
      </c>
      <c r="J5636" s="61" t="s">
        <v>18397</v>
      </c>
      <c r="K5636" s="61" t="s">
        <v>6081</v>
      </c>
      <c r="L5636" s="61" t="s">
        <v>7167</v>
      </c>
      <c r="M5636" s="61" t="s">
        <v>21</v>
      </c>
      <c r="O5636" s="107">
        <v>42851</v>
      </c>
      <c r="P5636" s="61" t="s">
        <v>21</v>
      </c>
      <c r="Q5636" s="59" t="b">
        <v>0</v>
      </c>
      <c r="R5636" s="22">
        <f t="shared" si="108"/>
        <v>27</v>
      </c>
      <c r="S5636" s="37" t="s">
        <v>21</v>
      </c>
    </row>
    <row r="5637" spans="1:19">
      <c r="A5637" s="59">
        <v>11109</v>
      </c>
      <c r="B5637" s="60">
        <v>42823</v>
      </c>
      <c r="C5637" s="61" t="s">
        <v>19124</v>
      </c>
      <c r="D5637" s="60">
        <v>42822</v>
      </c>
      <c r="E5637" s="61" t="s">
        <v>1928</v>
      </c>
      <c r="F5637" s="61" t="s">
        <v>1743</v>
      </c>
      <c r="G5637" s="61" t="s">
        <v>20</v>
      </c>
      <c r="H5637" s="61" t="s">
        <v>71</v>
      </c>
      <c r="I5637" s="61" t="s">
        <v>21</v>
      </c>
      <c r="J5637" s="61" t="s">
        <v>18394</v>
      </c>
      <c r="K5637" s="61" t="s">
        <v>18395</v>
      </c>
      <c r="L5637" s="61" t="s">
        <v>7167</v>
      </c>
      <c r="M5637" s="61" t="s">
        <v>21</v>
      </c>
      <c r="O5637" s="107">
        <v>42830</v>
      </c>
      <c r="P5637" s="61" t="s">
        <v>21</v>
      </c>
      <c r="Q5637" s="59" t="b">
        <v>0</v>
      </c>
      <c r="R5637" s="22">
        <f t="shared" si="108"/>
        <v>6</v>
      </c>
      <c r="S5637" s="37" t="s">
        <v>21</v>
      </c>
    </row>
    <row r="5638" spans="1:19">
      <c r="A5638" s="26">
        <v>11110</v>
      </c>
      <c r="B5638" s="27">
        <v>42823</v>
      </c>
      <c r="C5638" s="28" t="s">
        <v>19120</v>
      </c>
      <c r="D5638" s="27">
        <v>42823</v>
      </c>
      <c r="E5638" s="28" t="s">
        <v>1928</v>
      </c>
      <c r="F5638" s="28" t="s">
        <v>1743</v>
      </c>
      <c r="G5638" s="28" t="s">
        <v>20</v>
      </c>
      <c r="H5638" s="28" t="s">
        <v>71</v>
      </c>
      <c r="I5638" s="28" t="s">
        <v>21</v>
      </c>
      <c r="J5638" s="28" t="s">
        <v>18391</v>
      </c>
      <c r="K5638" s="28" t="s">
        <v>21</v>
      </c>
      <c r="L5638" s="28" t="s">
        <v>7167</v>
      </c>
      <c r="M5638" s="28" t="s">
        <v>21</v>
      </c>
      <c r="O5638" s="94">
        <v>42823</v>
      </c>
      <c r="P5638" s="28" t="s">
        <v>21</v>
      </c>
      <c r="Q5638" s="26" t="b">
        <v>0</v>
      </c>
      <c r="R5638" s="22">
        <f t="shared" si="108"/>
        <v>0</v>
      </c>
      <c r="S5638" s="28" t="s">
        <v>21</v>
      </c>
    </row>
    <row r="5639" spans="1:19">
      <c r="A5639" s="26">
        <v>11111</v>
      </c>
      <c r="B5639" s="27">
        <v>42824</v>
      </c>
      <c r="C5639" s="28" t="s">
        <v>19121</v>
      </c>
      <c r="D5639" s="27">
        <v>42824</v>
      </c>
      <c r="E5639" s="28" t="s">
        <v>1928</v>
      </c>
      <c r="F5639" s="28" t="s">
        <v>1743</v>
      </c>
      <c r="G5639" s="28" t="s">
        <v>20</v>
      </c>
      <c r="H5639" s="28" t="s">
        <v>71</v>
      </c>
      <c r="I5639" s="28" t="s">
        <v>21</v>
      </c>
      <c r="J5639" s="28" t="s">
        <v>18391</v>
      </c>
      <c r="K5639" s="28" t="s">
        <v>21</v>
      </c>
      <c r="L5639" s="28" t="s">
        <v>14518</v>
      </c>
      <c r="M5639" s="28" t="s">
        <v>21</v>
      </c>
      <c r="O5639" s="94">
        <v>42824</v>
      </c>
      <c r="P5639" s="28" t="s">
        <v>21</v>
      </c>
      <c r="Q5639" s="26" t="b">
        <v>0</v>
      </c>
      <c r="R5639" s="22">
        <f t="shared" si="108"/>
        <v>0</v>
      </c>
      <c r="S5639" s="28" t="s">
        <v>21</v>
      </c>
    </row>
    <row r="5640" spans="1:19" ht="48">
      <c r="A5640" s="26">
        <v>11112</v>
      </c>
      <c r="B5640" s="27">
        <v>42828</v>
      </c>
      <c r="C5640" s="28" t="s">
        <v>18986</v>
      </c>
      <c r="D5640" s="27">
        <v>42828</v>
      </c>
      <c r="E5640" s="28" t="s">
        <v>18647</v>
      </c>
      <c r="F5640" s="28" t="s">
        <v>13032</v>
      </c>
      <c r="G5640" s="28" t="s">
        <v>20</v>
      </c>
      <c r="H5640" s="28" t="s">
        <v>566</v>
      </c>
      <c r="I5640" s="28" t="s">
        <v>21</v>
      </c>
      <c r="J5640" s="28" t="s">
        <v>18646</v>
      </c>
      <c r="K5640" s="28" t="s">
        <v>14825</v>
      </c>
      <c r="L5640" s="28" t="s">
        <v>7167</v>
      </c>
      <c r="M5640" s="28" t="s">
        <v>21</v>
      </c>
      <c r="O5640" s="101">
        <v>43719</v>
      </c>
      <c r="P5640" s="28" t="s">
        <v>21</v>
      </c>
      <c r="Q5640" s="26" t="b">
        <v>0</v>
      </c>
      <c r="R5640" s="22">
        <f t="shared" si="108"/>
        <v>890</v>
      </c>
      <c r="S5640" s="28" t="s">
        <v>19304</v>
      </c>
    </row>
    <row r="5641" spans="1:19">
      <c r="A5641" s="59">
        <v>11113</v>
      </c>
      <c r="B5641" s="60">
        <v>42835</v>
      </c>
      <c r="C5641" s="61" t="s">
        <v>19126</v>
      </c>
      <c r="D5641" s="60">
        <v>42793</v>
      </c>
      <c r="E5641" s="61" t="s">
        <v>18398</v>
      </c>
      <c r="F5641" s="61" t="s">
        <v>7212</v>
      </c>
      <c r="G5641" s="61" t="s">
        <v>20</v>
      </c>
      <c r="H5641" s="61" t="s">
        <v>71</v>
      </c>
      <c r="I5641" s="61" t="s">
        <v>21</v>
      </c>
      <c r="J5641" s="61" t="s">
        <v>4488</v>
      </c>
      <c r="K5641" s="61" t="s">
        <v>18399</v>
      </c>
      <c r="L5641" s="61" t="s">
        <v>7167</v>
      </c>
      <c r="M5641" s="61" t="s">
        <v>21</v>
      </c>
      <c r="O5641" s="107">
        <v>42835</v>
      </c>
      <c r="P5641" s="61" t="s">
        <v>21</v>
      </c>
      <c r="Q5641" s="59" t="b">
        <v>0</v>
      </c>
      <c r="R5641" s="22">
        <f t="shared" si="108"/>
        <v>0</v>
      </c>
      <c r="S5641" s="37" t="s">
        <v>21</v>
      </c>
    </row>
    <row r="5642" spans="1:19">
      <c r="A5642" s="59">
        <v>11114</v>
      </c>
      <c r="B5642" s="60">
        <v>42835</v>
      </c>
      <c r="C5642" s="61" t="s">
        <v>19167</v>
      </c>
      <c r="D5642" s="60">
        <v>42831</v>
      </c>
      <c r="E5642" s="61" t="s">
        <v>18400</v>
      </c>
      <c r="F5642" s="61" t="s">
        <v>124</v>
      </c>
      <c r="G5642" s="61" t="s">
        <v>20</v>
      </c>
      <c r="H5642" s="61" t="s">
        <v>71</v>
      </c>
      <c r="I5642" s="61" t="s">
        <v>21</v>
      </c>
      <c r="J5642" s="61" t="s">
        <v>18401</v>
      </c>
      <c r="K5642" s="61" t="s">
        <v>18402</v>
      </c>
      <c r="L5642" s="61" t="s">
        <v>14518</v>
      </c>
      <c r="M5642" s="61" t="s">
        <v>21</v>
      </c>
      <c r="O5642" s="107">
        <v>42916</v>
      </c>
      <c r="P5642" s="61" t="s">
        <v>21</v>
      </c>
      <c r="Q5642" s="59" t="b">
        <v>0</v>
      </c>
      <c r="R5642" s="22">
        <f t="shared" si="108"/>
        <v>81</v>
      </c>
      <c r="S5642" s="37" t="s">
        <v>21</v>
      </c>
    </row>
    <row r="5643" spans="1:19">
      <c r="A5643" s="59">
        <v>11115</v>
      </c>
      <c r="B5643" s="60">
        <v>42836</v>
      </c>
      <c r="C5643" s="61" t="s">
        <v>19251</v>
      </c>
      <c r="D5643" s="60">
        <v>42835</v>
      </c>
      <c r="E5643" s="61" t="s">
        <v>18403</v>
      </c>
      <c r="F5643" s="61" t="s">
        <v>15525</v>
      </c>
      <c r="G5643" s="61" t="s">
        <v>20</v>
      </c>
      <c r="H5643" s="61" t="s">
        <v>566</v>
      </c>
      <c r="I5643" s="61" t="s">
        <v>21</v>
      </c>
      <c r="J5643" s="61" t="s">
        <v>18404</v>
      </c>
      <c r="K5643" s="61" t="s">
        <v>6081</v>
      </c>
      <c r="L5643" s="61" t="s">
        <v>14909</v>
      </c>
      <c r="M5643" s="61" t="s">
        <v>21</v>
      </c>
      <c r="O5643" s="107">
        <v>43019</v>
      </c>
      <c r="P5643" s="61" t="s">
        <v>21</v>
      </c>
      <c r="Q5643" s="59" t="b">
        <v>0</v>
      </c>
      <c r="R5643" s="22">
        <f t="shared" si="108"/>
        <v>182</v>
      </c>
      <c r="S5643" s="37" t="s">
        <v>21</v>
      </c>
    </row>
    <row r="5644" spans="1:19">
      <c r="A5644" s="59">
        <v>11116</v>
      </c>
      <c r="B5644" s="60">
        <v>42842</v>
      </c>
      <c r="C5644" s="61" t="s">
        <v>19284</v>
      </c>
      <c r="D5644" s="60">
        <v>42842</v>
      </c>
      <c r="E5644" s="61" t="s">
        <v>18407</v>
      </c>
      <c r="F5644" s="61" t="s">
        <v>19</v>
      </c>
      <c r="G5644" s="61" t="s">
        <v>20</v>
      </c>
      <c r="H5644" s="61" t="s">
        <v>71</v>
      </c>
      <c r="I5644" s="61" t="s">
        <v>21</v>
      </c>
      <c r="J5644" s="61" t="s">
        <v>18408</v>
      </c>
      <c r="K5644" s="61" t="s">
        <v>6081</v>
      </c>
      <c r="L5644" s="61" t="s">
        <v>14518</v>
      </c>
      <c r="M5644" s="61" t="s">
        <v>21</v>
      </c>
      <c r="O5644" s="107">
        <v>43091</v>
      </c>
      <c r="P5644" s="61" t="s">
        <v>21</v>
      </c>
      <c r="Q5644" s="59" t="b">
        <v>0</v>
      </c>
      <c r="R5644" s="22">
        <f t="shared" si="108"/>
        <v>248</v>
      </c>
      <c r="S5644" s="37" t="s">
        <v>21</v>
      </c>
    </row>
    <row r="5645" spans="1:19">
      <c r="A5645" s="59">
        <v>11117</v>
      </c>
      <c r="B5645" s="60">
        <v>42842</v>
      </c>
      <c r="C5645" s="61" t="s">
        <v>19130</v>
      </c>
      <c r="D5645" s="60">
        <v>42842</v>
      </c>
      <c r="E5645" s="61" t="s">
        <v>38</v>
      </c>
      <c r="F5645" s="61" t="s">
        <v>1743</v>
      </c>
      <c r="G5645" s="61" t="s">
        <v>20</v>
      </c>
      <c r="H5645" s="61" t="s">
        <v>71</v>
      </c>
      <c r="I5645" s="61" t="s">
        <v>21</v>
      </c>
      <c r="J5645" s="61" t="s">
        <v>18405</v>
      </c>
      <c r="K5645" s="61" t="s">
        <v>18406</v>
      </c>
      <c r="L5645" s="61" t="s">
        <v>7167</v>
      </c>
      <c r="M5645" s="61" t="s">
        <v>21</v>
      </c>
      <c r="O5645" s="107">
        <v>42846</v>
      </c>
      <c r="P5645" s="61" t="s">
        <v>21</v>
      </c>
      <c r="Q5645" s="59" t="b">
        <v>0</v>
      </c>
      <c r="R5645" s="22">
        <f t="shared" si="108"/>
        <v>4</v>
      </c>
      <c r="S5645" s="37" t="s">
        <v>21</v>
      </c>
    </row>
    <row r="5646" spans="1:19" ht="24">
      <c r="A5646" s="59">
        <v>11118</v>
      </c>
      <c r="B5646" s="60">
        <v>42843</v>
      </c>
      <c r="C5646" s="61" t="s">
        <v>18987</v>
      </c>
      <c r="D5646" s="60">
        <v>42842</v>
      </c>
      <c r="E5646" s="61" t="s">
        <v>18648</v>
      </c>
      <c r="F5646" s="61" t="s">
        <v>7212</v>
      </c>
      <c r="G5646" s="61" t="s">
        <v>20</v>
      </c>
      <c r="H5646" s="61" t="s">
        <v>71</v>
      </c>
      <c r="I5646" s="61" t="s">
        <v>21</v>
      </c>
      <c r="J5646" s="61" t="s">
        <v>4488</v>
      </c>
      <c r="K5646" s="61" t="s">
        <v>18066</v>
      </c>
      <c r="L5646" s="61" t="s">
        <v>7167</v>
      </c>
      <c r="M5646" s="61" t="s">
        <v>21</v>
      </c>
      <c r="O5646" s="108">
        <v>43551</v>
      </c>
      <c r="P5646" s="61" t="s">
        <v>21</v>
      </c>
      <c r="Q5646" s="59" t="b">
        <v>0</v>
      </c>
      <c r="R5646" s="22">
        <f t="shared" si="108"/>
        <v>708</v>
      </c>
      <c r="S5646" s="37" t="s">
        <v>18398</v>
      </c>
    </row>
    <row r="5647" spans="1:19">
      <c r="A5647" s="59">
        <v>11119</v>
      </c>
      <c r="B5647" s="60">
        <v>42845</v>
      </c>
      <c r="C5647" s="61" t="s">
        <v>19129</v>
      </c>
      <c r="D5647" s="60">
        <v>42845</v>
      </c>
      <c r="E5647" s="61" t="s">
        <v>38</v>
      </c>
      <c r="F5647" s="61" t="s">
        <v>1743</v>
      </c>
      <c r="G5647" s="61" t="s">
        <v>20</v>
      </c>
      <c r="H5647" s="61" t="s">
        <v>71</v>
      </c>
      <c r="I5647" s="61" t="s">
        <v>21</v>
      </c>
      <c r="J5647" s="61" t="s">
        <v>18406</v>
      </c>
      <c r="K5647" s="61" t="s">
        <v>21</v>
      </c>
      <c r="L5647" s="61" t="s">
        <v>7167</v>
      </c>
      <c r="M5647" s="61" t="s">
        <v>21</v>
      </c>
      <c r="O5647" s="107">
        <v>42845</v>
      </c>
      <c r="P5647" s="61" t="s">
        <v>21</v>
      </c>
      <c r="Q5647" s="59" t="b">
        <v>0</v>
      </c>
      <c r="R5647" s="22">
        <f t="shared" si="108"/>
        <v>0</v>
      </c>
      <c r="S5647" s="37" t="s">
        <v>21</v>
      </c>
    </row>
    <row r="5648" spans="1:19">
      <c r="A5648" s="59">
        <v>11120</v>
      </c>
      <c r="B5648" s="60">
        <v>42845</v>
      </c>
      <c r="C5648" s="61" t="s">
        <v>18988</v>
      </c>
      <c r="D5648" s="60">
        <v>42845</v>
      </c>
      <c r="E5648" s="61" t="s">
        <v>18649</v>
      </c>
      <c r="F5648" s="61" t="s">
        <v>14118</v>
      </c>
      <c r="G5648" s="61" t="s">
        <v>20</v>
      </c>
      <c r="H5648" s="61" t="s">
        <v>71</v>
      </c>
      <c r="I5648" s="61" t="s">
        <v>21</v>
      </c>
      <c r="J5648" s="61" t="s">
        <v>18650</v>
      </c>
      <c r="K5648" s="61" t="s">
        <v>16399</v>
      </c>
      <c r="L5648" s="61" t="s">
        <v>4282</v>
      </c>
      <c r="M5648" s="61" t="s">
        <v>21</v>
      </c>
      <c r="O5648" s="108">
        <v>43760</v>
      </c>
      <c r="P5648" s="61" t="s">
        <v>21</v>
      </c>
      <c r="Q5648" s="59" t="b">
        <v>0</v>
      </c>
      <c r="R5648" s="22">
        <f t="shared" si="108"/>
        <v>914</v>
      </c>
      <c r="S5648" s="37" t="s">
        <v>21</v>
      </c>
    </row>
    <row r="5649" spans="1:20" ht="24">
      <c r="A5649" s="59">
        <v>11121</v>
      </c>
      <c r="B5649" s="60">
        <v>42849</v>
      </c>
      <c r="C5649" s="61" t="s">
        <v>18989</v>
      </c>
      <c r="D5649" s="60">
        <v>42849</v>
      </c>
      <c r="E5649" s="61" t="s">
        <v>18651</v>
      </c>
      <c r="F5649" s="61" t="s">
        <v>11319</v>
      </c>
      <c r="G5649" s="61" t="s">
        <v>20</v>
      </c>
      <c r="H5649" s="61" t="s">
        <v>71</v>
      </c>
      <c r="I5649" s="61" t="s">
        <v>21</v>
      </c>
      <c r="J5649" s="61" t="s">
        <v>18652</v>
      </c>
      <c r="K5649" s="61" t="s">
        <v>18389</v>
      </c>
      <c r="L5649" s="61" t="s">
        <v>1946</v>
      </c>
      <c r="M5649" s="61" t="s">
        <v>21</v>
      </c>
      <c r="O5649" s="108">
        <v>43635</v>
      </c>
      <c r="P5649" s="61" t="s">
        <v>21</v>
      </c>
      <c r="Q5649" s="59" t="b">
        <v>0</v>
      </c>
      <c r="R5649" s="22">
        <f t="shared" si="108"/>
        <v>785</v>
      </c>
      <c r="S5649" s="37" t="s">
        <v>21</v>
      </c>
    </row>
    <row r="5650" spans="1:20">
      <c r="A5650" s="59">
        <v>11122</v>
      </c>
      <c r="B5650" s="60">
        <v>42852</v>
      </c>
      <c r="C5650" s="61" t="s">
        <v>19142</v>
      </c>
      <c r="D5650" s="60">
        <v>42851</v>
      </c>
      <c r="E5650" s="61" t="s">
        <v>18411</v>
      </c>
      <c r="F5650" s="61" t="s">
        <v>7030</v>
      </c>
      <c r="G5650" s="61" t="s">
        <v>20</v>
      </c>
      <c r="H5650" s="61" t="s">
        <v>71</v>
      </c>
      <c r="I5650" s="61" t="s">
        <v>21</v>
      </c>
      <c r="J5650" s="61" t="s">
        <v>18412</v>
      </c>
      <c r="K5650" s="61" t="s">
        <v>18413</v>
      </c>
      <c r="L5650" s="61" t="s">
        <v>1946</v>
      </c>
      <c r="M5650" s="61" t="s">
        <v>21</v>
      </c>
      <c r="O5650" s="107">
        <v>42877</v>
      </c>
      <c r="P5650" s="61" t="s">
        <v>21</v>
      </c>
      <c r="Q5650" s="59" t="b">
        <v>0</v>
      </c>
      <c r="R5650" s="22">
        <f t="shared" si="108"/>
        <v>25</v>
      </c>
      <c r="S5650" s="37" t="s">
        <v>21</v>
      </c>
    </row>
    <row r="5651" spans="1:20">
      <c r="A5651" s="59">
        <v>11123</v>
      </c>
      <c r="B5651" s="60">
        <v>42852</v>
      </c>
      <c r="C5651" s="61" t="s">
        <v>19137</v>
      </c>
      <c r="D5651" s="60">
        <v>42851</v>
      </c>
      <c r="E5651" s="61" t="s">
        <v>38</v>
      </c>
      <c r="F5651" s="61" t="s">
        <v>1743</v>
      </c>
      <c r="G5651" s="61" t="s">
        <v>20</v>
      </c>
      <c r="H5651" s="61" t="s">
        <v>71</v>
      </c>
      <c r="I5651" s="61" t="s">
        <v>21</v>
      </c>
      <c r="J5651" s="61" t="s">
        <v>18409</v>
      </c>
      <c r="K5651" s="61" t="s">
        <v>18410</v>
      </c>
      <c r="L5651" s="61" t="s">
        <v>7167</v>
      </c>
      <c r="M5651" s="61" t="s">
        <v>21</v>
      </c>
      <c r="O5651" s="107">
        <v>42857</v>
      </c>
      <c r="P5651" s="61" t="s">
        <v>21</v>
      </c>
      <c r="Q5651" s="59" t="b">
        <v>0</v>
      </c>
      <c r="R5651" s="22">
        <f t="shared" si="108"/>
        <v>5</v>
      </c>
      <c r="S5651" s="37" t="s">
        <v>21</v>
      </c>
    </row>
    <row r="5652" spans="1:20" ht="24">
      <c r="A5652" s="59">
        <v>11124</v>
      </c>
      <c r="B5652" s="60">
        <v>42852</v>
      </c>
      <c r="C5652" s="61" t="s">
        <v>19168</v>
      </c>
      <c r="D5652" s="60">
        <v>42852</v>
      </c>
      <c r="E5652" s="61" t="s">
        <v>18414</v>
      </c>
      <c r="F5652" s="61" t="s">
        <v>984</v>
      </c>
      <c r="G5652" s="61" t="s">
        <v>20</v>
      </c>
      <c r="H5652" s="61" t="s">
        <v>71</v>
      </c>
      <c r="I5652" s="61" t="s">
        <v>21</v>
      </c>
      <c r="J5652" s="61" t="s">
        <v>18255</v>
      </c>
      <c r="K5652" s="61" t="s">
        <v>18256</v>
      </c>
      <c r="L5652" s="61" t="s">
        <v>4282</v>
      </c>
      <c r="M5652" s="61" t="s">
        <v>21</v>
      </c>
      <c r="O5652" s="107">
        <v>42916</v>
      </c>
      <c r="P5652" s="61" t="s">
        <v>21</v>
      </c>
      <c r="Q5652" s="59" t="b">
        <v>0</v>
      </c>
      <c r="R5652" s="22">
        <f t="shared" si="108"/>
        <v>63</v>
      </c>
      <c r="S5652" s="37" t="s">
        <v>18254</v>
      </c>
    </row>
    <row r="5653" spans="1:20">
      <c r="A5653" s="59">
        <v>11125</v>
      </c>
      <c r="B5653" s="60">
        <v>42853</v>
      </c>
      <c r="C5653" s="61" t="s">
        <v>19141</v>
      </c>
      <c r="D5653" s="60">
        <v>42853</v>
      </c>
      <c r="E5653" s="61" t="s">
        <v>3268</v>
      </c>
      <c r="F5653" s="61" t="s">
        <v>194</v>
      </c>
      <c r="G5653" s="61" t="s">
        <v>20</v>
      </c>
      <c r="H5653" s="61" t="s">
        <v>71</v>
      </c>
      <c r="I5653" s="61" t="s">
        <v>21</v>
      </c>
      <c r="J5653" s="61" t="s">
        <v>18415</v>
      </c>
      <c r="K5653" s="61" t="s">
        <v>194</v>
      </c>
      <c r="L5653" s="61" t="s">
        <v>14349</v>
      </c>
      <c r="M5653" s="61" t="s">
        <v>21</v>
      </c>
      <c r="O5653" s="107">
        <v>42872</v>
      </c>
      <c r="P5653" s="61" t="s">
        <v>21</v>
      </c>
      <c r="Q5653" s="59" t="b">
        <v>0</v>
      </c>
      <c r="R5653" s="22">
        <f t="shared" si="108"/>
        <v>19</v>
      </c>
      <c r="S5653" s="37" t="s">
        <v>21</v>
      </c>
    </row>
    <row r="5654" spans="1:20" ht="24">
      <c r="A5654" s="59">
        <v>11126</v>
      </c>
      <c r="B5654" s="60">
        <v>42856</v>
      </c>
      <c r="C5654" s="61" t="s">
        <v>19146</v>
      </c>
      <c r="D5654" s="60">
        <v>42856</v>
      </c>
      <c r="E5654" s="61" t="s">
        <v>18416</v>
      </c>
      <c r="F5654" s="61" t="s">
        <v>98</v>
      </c>
      <c r="G5654" s="61" t="s">
        <v>20</v>
      </c>
      <c r="H5654" s="61" t="s">
        <v>71</v>
      </c>
      <c r="I5654" s="61" t="s">
        <v>21</v>
      </c>
      <c r="J5654" s="61" t="s">
        <v>18417</v>
      </c>
      <c r="K5654" s="61" t="s">
        <v>21</v>
      </c>
      <c r="L5654" s="61" t="s">
        <v>7167</v>
      </c>
      <c r="M5654" s="61" t="s">
        <v>21</v>
      </c>
      <c r="O5654" s="107">
        <v>42885</v>
      </c>
      <c r="P5654" s="61" t="s">
        <v>21</v>
      </c>
      <c r="Q5654" s="59" t="b">
        <v>0</v>
      </c>
      <c r="R5654" s="22">
        <f t="shared" si="108"/>
        <v>29</v>
      </c>
      <c r="S5654" s="37" t="s">
        <v>21</v>
      </c>
    </row>
    <row r="5655" spans="1:20">
      <c r="A5655" s="26">
        <v>11127</v>
      </c>
      <c r="B5655" s="27">
        <v>42863</v>
      </c>
      <c r="C5655" s="28" t="s">
        <v>19185</v>
      </c>
      <c r="D5655" s="27">
        <v>42860</v>
      </c>
      <c r="E5655" s="28" t="s">
        <v>38</v>
      </c>
      <c r="F5655" s="28" t="s">
        <v>545</v>
      </c>
      <c r="G5655" s="28" t="s">
        <v>20</v>
      </c>
      <c r="H5655" s="28" t="s">
        <v>71</v>
      </c>
      <c r="I5655" s="28" t="s">
        <v>21</v>
      </c>
      <c r="J5655" s="28" t="s">
        <v>18420</v>
      </c>
      <c r="K5655" s="28" t="s">
        <v>18421</v>
      </c>
      <c r="L5655" s="28" t="s">
        <v>14518</v>
      </c>
      <c r="M5655" s="28" t="s">
        <v>21</v>
      </c>
      <c r="O5655" s="94">
        <v>42927</v>
      </c>
      <c r="P5655" s="28" t="s">
        <v>21</v>
      </c>
      <c r="Q5655" s="26" t="b">
        <v>0</v>
      </c>
      <c r="R5655" s="22">
        <f t="shared" si="108"/>
        <v>63</v>
      </c>
      <c r="S5655" s="28" t="s">
        <v>21</v>
      </c>
    </row>
    <row r="5656" spans="1:20">
      <c r="A5656" s="59">
        <v>11128</v>
      </c>
      <c r="B5656" s="60">
        <v>42863</v>
      </c>
      <c r="C5656" s="61" t="s">
        <v>18990</v>
      </c>
      <c r="D5656" s="60">
        <v>42860</v>
      </c>
      <c r="E5656" s="61" t="s">
        <v>1432</v>
      </c>
      <c r="F5656" s="61" t="s">
        <v>13032</v>
      </c>
      <c r="G5656" s="61" t="s">
        <v>20</v>
      </c>
      <c r="H5656" s="61" t="s">
        <v>566</v>
      </c>
      <c r="I5656" s="61" t="s">
        <v>21</v>
      </c>
      <c r="J5656" s="61" t="s">
        <v>18653</v>
      </c>
      <c r="K5656" s="61" t="s">
        <v>18654</v>
      </c>
      <c r="L5656" s="61" t="s">
        <v>7167</v>
      </c>
      <c r="M5656" s="61" t="s">
        <v>21</v>
      </c>
      <c r="O5656" s="90"/>
      <c r="P5656" s="61" t="s">
        <v>21</v>
      </c>
      <c r="Q5656" s="59" t="b">
        <v>0</v>
      </c>
      <c r="R5656" s="59"/>
      <c r="T5656" s="37" t="s">
        <v>21</v>
      </c>
    </row>
    <row r="5657" spans="1:20">
      <c r="A5657" s="26">
        <v>11129</v>
      </c>
      <c r="B5657" s="27">
        <v>42863</v>
      </c>
      <c r="C5657" s="28" t="s">
        <v>19139</v>
      </c>
      <c r="D5657" s="27">
        <v>42863</v>
      </c>
      <c r="E5657" s="28" t="s">
        <v>38</v>
      </c>
      <c r="F5657" s="28" t="s">
        <v>350</v>
      </c>
      <c r="G5657" s="28" t="s">
        <v>20</v>
      </c>
      <c r="H5657" s="28" t="s">
        <v>189</v>
      </c>
      <c r="I5657" s="28" t="s">
        <v>21</v>
      </c>
      <c r="J5657" s="28" t="s">
        <v>18418</v>
      </c>
      <c r="K5657" s="28" t="s">
        <v>18419</v>
      </c>
      <c r="L5657" s="28" t="s">
        <v>14518</v>
      </c>
      <c r="M5657" s="28" t="s">
        <v>21</v>
      </c>
      <c r="O5657" s="94">
        <v>42866</v>
      </c>
      <c r="P5657" s="28" t="s">
        <v>21</v>
      </c>
      <c r="Q5657" s="26" t="b">
        <v>0</v>
      </c>
      <c r="R5657" s="22">
        <f t="shared" ref="R5657:R5681" si="109">IF(O5657=" ", " ", INT(YEARFRAC(O5657, B5657)*365))</f>
        <v>3</v>
      </c>
      <c r="S5657" s="28" t="s">
        <v>21</v>
      </c>
    </row>
    <row r="5658" spans="1:20">
      <c r="A5658" s="59">
        <v>11130</v>
      </c>
      <c r="B5658" s="60">
        <v>42865</v>
      </c>
      <c r="C5658" s="61" t="s">
        <v>19190</v>
      </c>
      <c r="D5658" s="60">
        <v>42864</v>
      </c>
      <c r="E5658" s="61" t="s">
        <v>18422</v>
      </c>
      <c r="F5658" s="61" t="s">
        <v>104</v>
      </c>
      <c r="G5658" s="61" t="s">
        <v>20</v>
      </c>
      <c r="H5658" s="61" t="s">
        <v>71</v>
      </c>
      <c r="I5658" s="61" t="s">
        <v>21</v>
      </c>
      <c r="J5658" s="61" t="s">
        <v>16729</v>
      </c>
      <c r="K5658" s="61" t="s">
        <v>18423</v>
      </c>
      <c r="L5658" s="61" t="s">
        <v>4282</v>
      </c>
      <c r="M5658" s="61" t="s">
        <v>21</v>
      </c>
      <c r="O5658" s="107">
        <v>42930</v>
      </c>
      <c r="P5658" s="61" t="s">
        <v>21</v>
      </c>
      <c r="Q5658" s="59" t="b">
        <v>0</v>
      </c>
      <c r="R5658" s="22">
        <f t="shared" si="109"/>
        <v>64</v>
      </c>
      <c r="S5658" s="37" t="s">
        <v>21</v>
      </c>
    </row>
    <row r="5659" spans="1:20">
      <c r="A5659" s="59">
        <v>11131</v>
      </c>
      <c r="B5659" s="60">
        <v>42866</v>
      </c>
      <c r="C5659" s="61" t="s">
        <v>19151</v>
      </c>
      <c r="D5659" s="60">
        <v>42865</v>
      </c>
      <c r="E5659" s="61" t="s">
        <v>3268</v>
      </c>
      <c r="F5659" s="61" t="s">
        <v>27</v>
      </c>
      <c r="G5659" s="61" t="s">
        <v>20</v>
      </c>
      <c r="H5659" s="61" t="s">
        <v>71</v>
      </c>
      <c r="I5659" s="61" t="s">
        <v>21</v>
      </c>
      <c r="J5659" s="61" t="s">
        <v>18424</v>
      </c>
      <c r="K5659" s="61" t="s">
        <v>12660</v>
      </c>
      <c r="L5659" s="61" t="s">
        <v>7167</v>
      </c>
      <c r="M5659" s="61" t="s">
        <v>21</v>
      </c>
      <c r="O5659" s="107">
        <v>42906</v>
      </c>
      <c r="P5659" s="61" t="s">
        <v>21</v>
      </c>
      <c r="Q5659" s="59" t="b">
        <v>0</v>
      </c>
      <c r="R5659" s="22">
        <f t="shared" si="109"/>
        <v>39</v>
      </c>
      <c r="S5659" s="37" t="s">
        <v>21</v>
      </c>
    </row>
    <row r="5660" spans="1:20" ht="24">
      <c r="A5660" s="26">
        <v>11132</v>
      </c>
      <c r="B5660" s="27">
        <v>42867</v>
      </c>
      <c r="C5660" s="28" t="s">
        <v>18991</v>
      </c>
      <c r="D5660" s="27">
        <v>42866</v>
      </c>
      <c r="E5660" s="28" t="s">
        <v>18655</v>
      </c>
      <c r="F5660" s="28" t="s">
        <v>350</v>
      </c>
      <c r="G5660" s="28" t="s">
        <v>20</v>
      </c>
      <c r="H5660" s="28" t="s">
        <v>71</v>
      </c>
      <c r="I5660" s="28" t="s">
        <v>21</v>
      </c>
      <c r="J5660" s="28" t="s">
        <v>18656</v>
      </c>
      <c r="K5660" s="28" t="s">
        <v>18418</v>
      </c>
      <c r="L5660" s="40" t="s">
        <v>1152</v>
      </c>
      <c r="M5660" s="40" t="s">
        <v>18572</v>
      </c>
      <c r="O5660" s="101">
        <v>43776</v>
      </c>
      <c r="P5660" s="28" t="s">
        <v>21</v>
      </c>
      <c r="Q5660" s="26" t="b">
        <v>0</v>
      </c>
      <c r="R5660" s="22">
        <f t="shared" si="109"/>
        <v>907</v>
      </c>
      <c r="S5660" s="28" t="s">
        <v>21</v>
      </c>
    </row>
    <row r="5661" spans="1:20">
      <c r="A5661" s="59">
        <v>11133</v>
      </c>
      <c r="B5661" s="60">
        <v>42871</v>
      </c>
      <c r="C5661" s="61" t="s">
        <v>19143</v>
      </c>
      <c r="D5661" s="60">
        <v>42870</v>
      </c>
      <c r="E5661" s="61" t="s">
        <v>38</v>
      </c>
      <c r="F5661" s="61" t="s">
        <v>228</v>
      </c>
      <c r="G5661" s="61" t="s">
        <v>20</v>
      </c>
      <c r="H5661" s="61" t="s">
        <v>189</v>
      </c>
      <c r="I5661" s="61" t="s">
        <v>21</v>
      </c>
      <c r="J5661" s="61" t="s">
        <v>18425</v>
      </c>
      <c r="K5661" s="61" t="s">
        <v>9630</v>
      </c>
      <c r="L5661" s="61" t="s">
        <v>7167</v>
      </c>
      <c r="M5661" s="61" t="s">
        <v>21</v>
      </c>
      <c r="O5661" s="107">
        <v>42877</v>
      </c>
      <c r="P5661" s="61" t="s">
        <v>21</v>
      </c>
      <c r="Q5661" s="59" t="b">
        <v>0</v>
      </c>
      <c r="R5661" s="22">
        <f t="shared" si="109"/>
        <v>6</v>
      </c>
      <c r="S5661" s="37" t="s">
        <v>21</v>
      </c>
    </row>
    <row r="5662" spans="1:20">
      <c r="A5662" s="59">
        <v>11134</v>
      </c>
      <c r="B5662" s="60">
        <v>42872</v>
      </c>
      <c r="C5662" s="61" t="s">
        <v>19202</v>
      </c>
      <c r="D5662" s="60">
        <v>42872</v>
      </c>
      <c r="E5662" s="61" t="s">
        <v>1928</v>
      </c>
      <c r="F5662" s="61" t="s">
        <v>1743</v>
      </c>
      <c r="G5662" s="61" t="s">
        <v>20</v>
      </c>
      <c r="H5662" s="61" t="s">
        <v>71</v>
      </c>
      <c r="I5662" s="61" t="s">
        <v>21</v>
      </c>
      <c r="J5662" s="61" t="s">
        <v>18428</v>
      </c>
      <c r="K5662" s="61" t="s">
        <v>18429</v>
      </c>
      <c r="L5662" s="61" t="s">
        <v>7167</v>
      </c>
      <c r="M5662" s="61" t="s">
        <v>21</v>
      </c>
      <c r="O5662" s="107">
        <v>42951</v>
      </c>
      <c r="P5662" s="61" t="s">
        <v>21</v>
      </c>
      <c r="Q5662" s="59" t="b">
        <v>0</v>
      </c>
      <c r="R5662" s="22">
        <f t="shared" si="109"/>
        <v>78</v>
      </c>
      <c r="S5662" s="37" t="s">
        <v>21</v>
      </c>
    </row>
    <row r="5663" spans="1:20">
      <c r="A5663" s="26">
        <v>11135</v>
      </c>
      <c r="B5663" s="27">
        <v>42872</v>
      </c>
      <c r="C5663" s="28" t="s">
        <v>19194</v>
      </c>
      <c r="D5663" s="27">
        <v>42872</v>
      </c>
      <c r="E5663" s="28" t="s">
        <v>18426</v>
      </c>
      <c r="F5663" s="28" t="s">
        <v>56</v>
      </c>
      <c r="G5663" s="28" t="s">
        <v>20</v>
      </c>
      <c r="H5663" s="28" t="s">
        <v>71</v>
      </c>
      <c r="I5663" s="28" t="s">
        <v>21</v>
      </c>
      <c r="J5663" s="28" t="s">
        <v>18427</v>
      </c>
      <c r="K5663" s="28" t="s">
        <v>16729</v>
      </c>
      <c r="L5663" s="28" t="s">
        <v>7167</v>
      </c>
      <c r="M5663" s="28" t="s">
        <v>21</v>
      </c>
      <c r="O5663" s="94">
        <v>42936</v>
      </c>
      <c r="P5663" s="28" t="s">
        <v>21</v>
      </c>
      <c r="Q5663" s="26" t="b">
        <v>0</v>
      </c>
      <c r="R5663" s="22">
        <f t="shared" si="109"/>
        <v>63</v>
      </c>
      <c r="S5663" s="28" t="s">
        <v>21</v>
      </c>
    </row>
    <row r="5664" spans="1:20">
      <c r="A5664" s="59">
        <v>11136</v>
      </c>
      <c r="B5664" s="60">
        <v>42874</v>
      </c>
      <c r="C5664" s="61" t="s">
        <v>19144</v>
      </c>
      <c r="D5664" s="60">
        <v>42873</v>
      </c>
      <c r="E5664" s="61" t="s">
        <v>38</v>
      </c>
      <c r="F5664" s="61" t="s">
        <v>18430</v>
      </c>
      <c r="G5664" s="61" t="s">
        <v>20</v>
      </c>
      <c r="H5664" s="61" t="s">
        <v>71</v>
      </c>
      <c r="I5664" s="61" t="s">
        <v>21</v>
      </c>
      <c r="J5664" s="61" t="s">
        <v>18431</v>
      </c>
      <c r="K5664" s="61" t="s">
        <v>18432</v>
      </c>
      <c r="L5664" s="61" t="s">
        <v>14909</v>
      </c>
      <c r="M5664" s="61" t="s">
        <v>21</v>
      </c>
      <c r="O5664" s="107">
        <v>42877</v>
      </c>
      <c r="P5664" s="61" t="s">
        <v>21</v>
      </c>
      <c r="Q5664" s="59" t="b">
        <v>0</v>
      </c>
      <c r="R5664" s="22">
        <f t="shared" si="109"/>
        <v>3</v>
      </c>
      <c r="S5664" s="37" t="s">
        <v>21</v>
      </c>
    </row>
    <row r="5665" spans="1:19" ht="24">
      <c r="A5665" s="59">
        <v>11137</v>
      </c>
      <c r="B5665" s="60">
        <v>42877</v>
      </c>
      <c r="C5665" s="61" t="s">
        <v>19145</v>
      </c>
      <c r="D5665" s="60">
        <v>42877</v>
      </c>
      <c r="E5665" s="61" t="s">
        <v>1928</v>
      </c>
      <c r="F5665" s="61" t="s">
        <v>1743</v>
      </c>
      <c r="G5665" s="61" t="s">
        <v>20</v>
      </c>
      <c r="H5665" s="61" t="s">
        <v>71</v>
      </c>
      <c r="I5665" s="61" t="s">
        <v>21</v>
      </c>
      <c r="J5665" s="61" t="s">
        <v>18433</v>
      </c>
      <c r="K5665" s="61" t="s">
        <v>18411</v>
      </c>
      <c r="L5665" s="61" t="s">
        <v>1946</v>
      </c>
      <c r="M5665" s="61" t="s">
        <v>21</v>
      </c>
      <c r="O5665" s="107">
        <v>42878</v>
      </c>
      <c r="P5665" s="61" t="s">
        <v>21</v>
      </c>
      <c r="Q5665" s="59" t="b">
        <v>0</v>
      </c>
      <c r="R5665" s="22">
        <f t="shared" si="109"/>
        <v>1</v>
      </c>
      <c r="S5665" s="37" t="s">
        <v>21</v>
      </c>
    </row>
    <row r="5666" spans="1:19" ht="24">
      <c r="A5666" s="26">
        <v>11138</v>
      </c>
      <c r="B5666" s="27">
        <v>42878</v>
      </c>
      <c r="C5666" s="28" t="s">
        <v>19285</v>
      </c>
      <c r="D5666" s="27">
        <v>42877</v>
      </c>
      <c r="E5666" s="28" t="s">
        <v>38</v>
      </c>
      <c r="F5666" s="28" t="s">
        <v>1743</v>
      </c>
      <c r="G5666" s="28" t="s">
        <v>20</v>
      </c>
      <c r="H5666" s="28" t="s">
        <v>71</v>
      </c>
      <c r="I5666" s="28" t="s">
        <v>21</v>
      </c>
      <c r="J5666" s="28" t="s">
        <v>18437</v>
      </c>
      <c r="K5666" s="28" t="s">
        <v>21</v>
      </c>
      <c r="L5666" s="28" t="s">
        <v>14518</v>
      </c>
      <c r="M5666" s="28" t="s">
        <v>21</v>
      </c>
      <c r="O5666" s="94">
        <v>43096</v>
      </c>
      <c r="P5666" s="28" t="s">
        <v>21</v>
      </c>
      <c r="Q5666" s="26" t="b">
        <v>0</v>
      </c>
      <c r="R5666" s="22">
        <f t="shared" si="109"/>
        <v>216</v>
      </c>
      <c r="S5666" s="28" t="s">
        <v>21</v>
      </c>
    </row>
    <row r="5667" spans="1:19">
      <c r="A5667" s="59">
        <v>11139</v>
      </c>
      <c r="B5667" s="60">
        <v>42878</v>
      </c>
      <c r="C5667" s="61" t="s">
        <v>19148</v>
      </c>
      <c r="D5667" s="60">
        <v>42877</v>
      </c>
      <c r="E5667" s="61" t="s">
        <v>1928</v>
      </c>
      <c r="F5667" s="61" t="s">
        <v>1743</v>
      </c>
      <c r="G5667" s="61" t="s">
        <v>20</v>
      </c>
      <c r="H5667" s="61" t="s">
        <v>71</v>
      </c>
      <c r="I5667" s="61" t="s">
        <v>21</v>
      </c>
      <c r="J5667" s="61" t="s">
        <v>18436</v>
      </c>
      <c r="K5667" s="61" t="s">
        <v>21</v>
      </c>
      <c r="L5667" s="61" t="s">
        <v>14518</v>
      </c>
      <c r="M5667" s="61" t="s">
        <v>21</v>
      </c>
      <c r="O5667" s="107">
        <v>42892</v>
      </c>
      <c r="P5667" s="61" t="s">
        <v>21</v>
      </c>
      <c r="Q5667" s="59" t="b">
        <v>0</v>
      </c>
      <c r="R5667" s="22">
        <f t="shared" si="109"/>
        <v>13</v>
      </c>
      <c r="S5667" s="37" t="s">
        <v>21</v>
      </c>
    </row>
    <row r="5668" spans="1:19">
      <c r="A5668" s="59">
        <v>11140</v>
      </c>
      <c r="B5668" s="60">
        <v>42878</v>
      </c>
      <c r="C5668" s="61" t="s">
        <v>19147</v>
      </c>
      <c r="D5668" s="60">
        <v>42878</v>
      </c>
      <c r="E5668" s="61" t="s">
        <v>38</v>
      </c>
      <c r="F5668" s="61" t="s">
        <v>14336</v>
      </c>
      <c r="G5668" s="61" t="s">
        <v>20</v>
      </c>
      <c r="H5668" s="61" t="s">
        <v>189</v>
      </c>
      <c r="I5668" s="61" t="s">
        <v>21</v>
      </c>
      <c r="J5668" s="61" t="s">
        <v>18434</v>
      </c>
      <c r="K5668" s="61" t="s">
        <v>18435</v>
      </c>
      <c r="L5668" s="61" t="s">
        <v>7167</v>
      </c>
      <c r="M5668" s="61" t="s">
        <v>21</v>
      </c>
      <c r="O5668" s="107">
        <v>42885</v>
      </c>
      <c r="P5668" s="61" t="s">
        <v>21</v>
      </c>
      <c r="Q5668" s="59" t="b">
        <v>0</v>
      </c>
      <c r="R5668" s="22">
        <f t="shared" si="109"/>
        <v>7</v>
      </c>
      <c r="S5668" s="37" t="s">
        <v>21</v>
      </c>
    </row>
    <row r="5669" spans="1:19">
      <c r="A5669" s="26">
        <v>11141</v>
      </c>
      <c r="B5669" s="27">
        <v>42885</v>
      </c>
      <c r="C5669" s="28" t="s">
        <v>19154</v>
      </c>
      <c r="D5669" s="27">
        <v>42879</v>
      </c>
      <c r="E5669" s="28" t="s">
        <v>38</v>
      </c>
      <c r="F5669" s="28" t="s">
        <v>327</v>
      </c>
      <c r="G5669" s="28" t="s">
        <v>20</v>
      </c>
      <c r="H5669" s="28" t="s">
        <v>71</v>
      </c>
      <c r="I5669" s="28" t="s">
        <v>21</v>
      </c>
      <c r="J5669" s="28" t="s">
        <v>18439</v>
      </c>
      <c r="K5669" s="28" t="s">
        <v>21</v>
      </c>
      <c r="L5669" s="28" t="s">
        <v>7167</v>
      </c>
      <c r="M5669" s="28" t="s">
        <v>21</v>
      </c>
      <c r="O5669" s="94">
        <v>42909</v>
      </c>
      <c r="P5669" s="28" t="s">
        <v>21</v>
      </c>
      <c r="Q5669" s="26" t="b">
        <v>0</v>
      </c>
      <c r="R5669" s="22">
        <f t="shared" si="109"/>
        <v>23</v>
      </c>
      <c r="S5669" s="28" t="s">
        <v>21</v>
      </c>
    </row>
    <row r="5670" spans="1:19">
      <c r="A5670" s="59">
        <v>11142</v>
      </c>
      <c r="B5670" s="60">
        <v>42885</v>
      </c>
      <c r="C5670" s="61" t="s">
        <v>19150</v>
      </c>
      <c r="D5670" s="60">
        <v>42885</v>
      </c>
      <c r="E5670" s="61" t="s">
        <v>1928</v>
      </c>
      <c r="F5670" s="61" t="s">
        <v>1743</v>
      </c>
      <c r="G5670" s="61" t="s">
        <v>20</v>
      </c>
      <c r="H5670" s="61" t="s">
        <v>71</v>
      </c>
      <c r="I5670" s="61" t="s">
        <v>21</v>
      </c>
      <c r="J5670" s="61" t="s">
        <v>18438</v>
      </c>
      <c r="K5670" s="61" t="s">
        <v>21</v>
      </c>
      <c r="L5670" s="61" t="s">
        <v>7167</v>
      </c>
      <c r="M5670" s="61" t="s">
        <v>21</v>
      </c>
      <c r="O5670" s="107">
        <v>42900</v>
      </c>
      <c r="P5670" s="61" t="s">
        <v>21</v>
      </c>
      <c r="Q5670" s="59" t="b">
        <v>0</v>
      </c>
      <c r="R5670" s="22">
        <f t="shared" si="109"/>
        <v>14</v>
      </c>
      <c r="S5670" s="37" t="s">
        <v>21</v>
      </c>
    </row>
    <row r="5671" spans="1:19">
      <c r="A5671" s="59">
        <v>11143</v>
      </c>
      <c r="B5671" s="60">
        <v>42885</v>
      </c>
      <c r="C5671" s="61" t="s">
        <v>18992</v>
      </c>
      <c r="D5671" s="60">
        <v>42885</v>
      </c>
      <c r="E5671" s="61" t="s">
        <v>18657</v>
      </c>
      <c r="F5671" s="61" t="s">
        <v>283</v>
      </c>
      <c r="G5671" s="61" t="s">
        <v>20</v>
      </c>
      <c r="H5671" s="61" t="s">
        <v>71</v>
      </c>
      <c r="I5671" s="61" t="s">
        <v>21</v>
      </c>
      <c r="J5671" s="61" t="s">
        <v>18658</v>
      </c>
      <c r="K5671" s="61" t="s">
        <v>9152</v>
      </c>
      <c r="L5671" s="63" t="s">
        <v>4282</v>
      </c>
      <c r="M5671" s="63" t="s">
        <v>14909</v>
      </c>
      <c r="O5671" s="108">
        <v>43644</v>
      </c>
      <c r="P5671" s="61" t="s">
        <v>21</v>
      </c>
      <c r="Q5671" s="59" t="b">
        <v>0</v>
      </c>
      <c r="R5671" s="22">
        <f t="shared" si="109"/>
        <v>758</v>
      </c>
      <c r="S5671" s="37" t="s">
        <v>21</v>
      </c>
    </row>
    <row r="5672" spans="1:19">
      <c r="A5672" s="59">
        <v>11144</v>
      </c>
      <c r="B5672" s="60">
        <v>42886</v>
      </c>
      <c r="C5672" s="61" t="s">
        <v>18993</v>
      </c>
      <c r="D5672" s="60">
        <v>42885</v>
      </c>
      <c r="E5672" s="61" t="s">
        <v>18659</v>
      </c>
      <c r="F5672" s="61" t="s">
        <v>974</v>
      </c>
      <c r="G5672" s="61" t="s">
        <v>20</v>
      </c>
      <c r="H5672" s="61" t="s">
        <v>212</v>
      </c>
      <c r="I5672" s="61" t="s">
        <v>21</v>
      </c>
      <c r="J5672" s="61" t="s">
        <v>18660</v>
      </c>
      <c r="K5672" s="61" t="s">
        <v>18661</v>
      </c>
      <c r="L5672" s="63" t="s">
        <v>1946</v>
      </c>
      <c r="M5672" s="63" t="s">
        <v>21</v>
      </c>
      <c r="O5672" s="108">
        <v>43852</v>
      </c>
      <c r="P5672" s="61" t="s">
        <v>21</v>
      </c>
      <c r="Q5672" s="59" t="b">
        <v>0</v>
      </c>
      <c r="R5672" s="22">
        <f t="shared" si="109"/>
        <v>965</v>
      </c>
      <c r="S5672" s="37" t="s">
        <v>21</v>
      </c>
    </row>
    <row r="5673" spans="1:19">
      <c r="A5673" s="59">
        <v>11145</v>
      </c>
      <c r="B5673" s="60">
        <v>42888</v>
      </c>
      <c r="C5673" s="61" t="s">
        <v>19198</v>
      </c>
      <c r="D5673" s="60">
        <v>42845</v>
      </c>
      <c r="E5673" s="61" t="s">
        <v>18440</v>
      </c>
      <c r="F5673" s="61" t="s">
        <v>18441</v>
      </c>
      <c r="G5673" s="61" t="s">
        <v>20</v>
      </c>
      <c r="H5673" s="61" t="s">
        <v>189</v>
      </c>
      <c r="I5673" s="61" t="s">
        <v>21</v>
      </c>
      <c r="J5673" s="61" t="s">
        <v>18442</v>
      </c>
      <c r="K5673" s="61" t="s">
        <v>18389</v>
      </c>
      <c r="L5673" s="61" t="s">
        <v>4282</v>
      </c>
      <c r="M5673" s="61" t="s">
        <v>21</v>
      </c>
      <c r="O5673" s="107">
        <v>42947</v>
      </c>
      <c r="P5673" s="61" t="s">
        <v>21</v>
      </c>
      <c r="Q5673" s="59" t="b">
        <v>0</v>
      </c>
      <c r="R5673" s="22">
        <f t="shared" si="109"/>
        <v>59</v>
      </c>
      <c r="S5673" s="37" t="s">
        <v>21</v>
      </c>
    </row>
    <row r="5674" spans="1:19" ht="24">
      <c r="A5674" s="38">
        <v>11146</v>
      </c>
      <c r="B5674" s="39">
        <v>42892</v>
      </c>
      <c r="C5674" s="40" t="s">
        <v>18994</v>
      </c>
      <c r="D5674" s="39">
        <v>42892</v>
      </c>
      <c r="E5674" s="40" t="s">
        <v>1432</v>
      </c>
      <c r="F5674" s="40" t="s">
        <v>455</v>
      </c>
      <c r="G5674" s="40" t="s">
        <v>20</v>
      </c>
      <c r="H5674" s="40" t="s">
        <v>71</v>
      </c>
      <c r="I5674" s="40" t="s">
        <v>21</v>
      </c>
      <c r="J5674" s="40" t="s">
        <v>18662</v>
      </c>
      <c r="K5674" s="40" t="s">
        <v>11151</v>
      </c>
      <c r="L5674" s="40" t="s">
        <v>14909</v>
      </c>
      <c r="M5674" s="40" t="s">
        <v>21</v>
      </c>
      <c r="O5674" s="101">
        <v>43326</v>
      </c>
      <c r="P5674" s="41" t="s">
        <v>21</v>
      </c>
      <c r="Q5674" s="42" t="b">
        <v>0</v>
      </c>
      <c r="R5674" s="22">
        <f t="shared" si="109"/>
        <v>433</v>
      </c>
      <c r="S5674" s="40" t="s">
        <v>19305</v>
      </c>
    </row>
    <row r="5675" spans="1:19">
      <c r="A5675" s="64">
        <v>11147</v>
      </c>
      <c r="B5675" s="62">
        <v>42892</v>
      </c>
      <c r="C5675" s="63" t="s">
        <v>18995</v>
      </c>
      <c r="D5675" s="62">
        <v>42891</v>
      </c>
      <c r="E5675" s="63" t="s">
        <v>18663</v>
      </c>
      <c r="F5675" s="63" t="s">
        <v>124</v>
      </c>
      <c r="G5675" s="63" t="s">
        <v>20</v>
      </c>
      <c r="H5675" s="63" t="s">
        <v>71</v>
      </c>
      <c r="I5675" s="63" t="s">
        <v>21</v>
      </c>
      <c r="J5675" s="63" t="s">
        <v>18664</v>
      </c>
      <c r="K5675" s="63" t="s">
        <v>6081</v>
      </c>
      <c r="L5675" s="63" t="s">
        <v>14518</v>
      </c>
      <c r="M5675" s="63" t="s">
        <v>21</v>
      </c>
      <c r="O5675" s="108">
        <v>43291</v>
      </c>
      <c r="P5675" s="65" t="s">
        <v>21</v>
      </c>
      <c r="Q5675" s="66" t="b">
        <v>0</v>
      </c>
      <c r="R5675" s="22">
        <f t="shared" si="109"/>
        <v>399</v>
      </c>
    </row>
    <row r="5676" spans="1:19">
      <c r="A5676" s="59">
        <v>11148</v>
      </c>
      <c r="B5676" s="60">
        <v>42893</v>
      </c>
      <c r="C5676" s="61" t="s">
        <v>18996</v>
      </c>
      <c r="D5676" s="60">
        <v>42893</v>
      </c>
      <c r="E5676" s="61" t="s">
        <v>18665</v>
      </c>
      <c r="F5676" s="61" t="s">
        <v>19</v>
      </c>
      <c r="G5676" s="61" t="s">
        <v>20</v>
      </c>
      <c r="H5676" s="61" t="s">
        <v>71</v>
      </c>
      <c r="I5676" s="61" t="s">
        <v>21</v>
      </c>
      <c r="J5676" s="61" t="s">
        <v>18666</v>
      </c>
      <c r="K5676" s="61" t="s">
        <v>18667</v>
      </c>
      <c r="L5676" s="61" t="s">
        <v>4282</v>
      </c>
      <c r="M5676" s="61" t="s">
        <v>21</v>
      </c>
      <c r="O5676" s="108">
        <v>43641</v>
      </c>
      <c r="P5676" s="61" t="s">
        <v>21</v>
      </c>
      <c r="Q5676" s="59" t="b">
        <v>0</v>
      </c>
      <c r="R5676" s="22">
        <f t="shared" si="109"/>
        <v>748</v>
      </c>
      <c r="S5676" s="37" t="s">
        <v>21</v>
      </c>
    </row>
    <row r="5677" spans="1:19">
      <c r="A5677" s="59">
        <v>11149</v>
      </c>
      <c r="B5677" s="60">
        <v>42894</v>
      </c>
      <c r="C5677" s="61" t="s">
        <v>19149</v>
      </c>
      <c r="D5677" s="60">
        <v>42893</v>
      </c>
      <c r="E5677" s="61" t="s">
        <v>38</v>
      </c>
      <c r="F5677" s="61" t="s">
        <v>27</v>
      </c>
      <c r="G5677" s="61" t="s">
        <v>20</v>
      </c>
      <c r="H5677" s="61" t="s">
        <v>71</v>
      </c>
      <c r="I5677" s="61" t="s">
        <v>21</v>
      </c>
      <c r="J5677" s="61" t="s">
        <v>18443</v>
      </c>
      <c r="K5677" s="61" t="s">
        <v>18444</v>
      </c>
      <c r="L5677" s="61" t="s">
        <v>7167</v>
      </c>
      <c r="M5677" s="61" t="s">
        <v>21</v>
      </c>
      <c r="O5677" s="107">
        <v>42894</v>
      </c>
      <c r="P5677" s="61" t="s">
        <v>21</v>
      </c>
      <c r="Q5677" s="59" t="b">
        <v>0</v>
      </c>
      <c r="R5677" s="22">
        <f t="shared" si="109"/>
        <v>0</v>
      </c>
      <c r="S5677" s="37" t="s">
        <v>21</v>
      </c>
    </row>
    <row r="5678" spans="1:19">
      <c r="A5678" s="26">
        <v>11150</v>
      </c>
      <c r="B5678" s="27">
        <v>42894</v>
      </c>
      <c r="C5678" s="28" t="s">
        <v>19169</v>
      </c>
      <c r="D5678" s="27">
        <v>42893</v>
      </c>
      <c r="E5678" s="28" t="s">
        <v>38</v>
      </c>
      <c r="F5678" s="28" t="s">
        <v>1537</v>
      </c>
      <c r="G5678" s="28" t="s">
        <v>20</v>
      </c>
      <c r="H5678" s="28" t="s">
        <v>71</v>
      </c>
      <c r="I5678" s="28" t="s">
        <v>21</v>
      </c>
      <c r="J5678" s="28" t="s">
        <v>18445</v>
      </c>
      <c r="K5678" s="28" t="s">
        <v>18446</v>
      </c>
      <c r="L5678" s="28" t="s">
        <v>4282</v>
      </c>
      <c r="M5678" s="28" t="s">
        <v>21</v>
      </c>
      <c r="O5678" s="94">
        <v>42916</v>
      </c>
      <c r="P5678" s="28" t="s">
        <v>21</v>
      </c>
      <c r="Q5678" s="26" t="b">
        <v>0</v>
      </c>
      <c r="R5678" s="22">
        <f t="shared" si="109"/>
        <v>22</v>
      </c>
      <c r="S5678" s="28" t="s">
        <v>21</v>
      </c>
    </row>
    <row r="5679" spans="1:19">
      <c r="A5679" s="26">
        <v>11151</v>
      </c>
      <c r="B5679" s="27">
        <v>42895</v>
      </c>
      <c r="C5679" s="28" t="s">
        <v>19232</v>
      </c>
      <c r="D5679" s="27">
        <v>42895</v>
      </c>
      <c r="E5679" s="28" t="s">
        <v>1928</v>
      </c>
      <c r="F5679" s="28" t="s">
        <v>1743</v>
      </c>
      <c r="G5679" s="28" t="s">
        <v>20</v>
      </c>
      <c r="H5679" s="28" t="s">
        <v>71</v>
      </c>
      <c r="I5679" s="28" t="s">
        <v>21</v>
      </c>
      <c r="J5679" s="28" t="s">
        <v>18447</v>
      </c>
      <c r="K5679" s="28" t="s">
        <v>18448</v>
      </c>
      <c r="L5679" s="28" t="s">
        <v>7167</v>
      </c>
      <c r="M5679" s="28" t="s">
        <v>21</v>
      </c>
      <c r="O5679" s="94">
        <v>42991</v>
      </c>
      <c r="P5679" s="28" t="s">
        <v>21</v>
      </c>
      <c r="Q5679" s="26" t="b">
        <v>0</v>
      </c>
      <c r="R5679" s="22">
        <f t="shared" si="109"/>
        <v>95</v>
      </c>
      <c r="S5679" s="28" t="s">
        <v>21</v>
      </c>
    </row>
    <row r="5680" spans="1:19">
      <c r="A5680" s="64">
        <v>11152</v>
      </c>
      <c r="B5680" s="62">
        <v>42895</v>
      </c>
      <c r="C5680" s="63" t="s">
        <v>18997</v>
      </c>
      <c r="D5680" s="62">
        <v>42894</v>
      </c>
      <c r="E5680" s="63" t="s">
        <v>18668</v>
      </c>
      <c r="F5680" s="63" t="s">
        <v>19</v>
      </c>
      <c r="G5680" s="63" t="s">
        <v>20</v>
      </c>
      <c r="H5680" s="63" t="s">
        <v>71</v>
      </c>
      <c r="I5680" s="63" t="s">
        <v>21</v>
      </c>
      <c r="J5680" s="63" t="s">
        <v>18669</v>
      </c>
      <c r="K5680" s="63" t="s">
        <v>6081</v>
      </c>
      <c r="L5680" s="63" t="s">
        <v>1946</v>
      </c>
      <c r="M5680" s="63" t="s">
        <v>21</v>
      </c>
      <c r="O5680" s="108">
        <v>43194</v>
      </c>
      <c r="P5680" s="65" t="s">
        <v>21</v>
      </c>
      <c r="Q5680" s="66" t="b">
        <v>0</v>
      </c>
      <c r="R5680" s="22">
        <f t="shared" si="109"/>
        <v>299</v>
      </c>
    </row>
    <row r="5681" spans="1:20" ht="24">
      <c r="A5681" s="59">
        <v>11153</v>
      </c>
      <c r="B5681" s="60">
        <v>42899</v>
      </c>
      <c r="C5681" s="61" t="s">
        <v>19170</v>
      </c>
      <c r="D5681" s="60">
        <v>42899</v>
      </c>
      <c r="E5681" s="61" t="s">
        <v>38</v>
      </c>
      <c r="F5681" s="61" t="s">
        <v>27</v>
      </c>
      <c r="G5681" s="61" t="s">
        <v>20</v>
      </c>
      <c r="H5681" s="61" t="s">
        <v>71</v>
      </c>
      <c r="I5681" s="61" t="s">
        <v>21</v>
      </c>
      <c r="J5681" s="61" t="s">
        <v>18449</v>
      </c>
      <c r="K5681" s="61" t="s">
        <v>18444</v>
      </c>
      <c r="L5681" s="61" t="s">
        <v>7167</v>
      </c>
      <c r="M5681" s="61" t="s">
        <v>21</v>
      </c>
      <c r="O5681" s="107">
        <v>42916</v>
      </c>
      <c r="P5681" s="61" t="s">
        <v>21</v>
      </c>
      <c r="Q5681" s="59" t="b">
        <v>0</v>
      </c>
      <c r="R5681" s="22">
        <f t="shared" si="109"/>
        <v>17</v>
      </c>
      <c r="S5681" s="37" t="s">
        <v>21</v>
      </c>
    </row>
    <row r="5682" spans="1:20">
      <c r="A5682" s="26">
        <v>11154</v>
      </c>
      <c r="B5682" s="27">
        <v>42899</v>
      </c>
      <c r="C5682" s="28" t="s">
        <v>18998</v>
      </c>
      <c r="D5682" s="27">
        <v>42895</v>
      </c>
      <c r="E5682" s="28" t="s">
        <v>3268</v>
      </c>
      <c r="F5682" s="28" t="s">
        <v>8358</v>
      </c>
      <c r="G5682" s="28" t="s">
        <v>20</v>
      </c>
      <c r="H5682" s="28" t="s">
        <v>71</v>
      </c>
      <c r="I5682" s="28" t="s">
        <v>21</v>
      </c>
      <c r="J5682" s="28" t="s">
        <v>18670</v>
      </c>
      <c r="K5682" s="28" t="s">
        <v>10929</v>
      </c>
      <c r="L5682" s="28" t="s">
        <v>1946</v>
      </c>
      <c r="M5682" s="28" t="s">
        <v>21</v>
      </c>
      <c r="O5682" s="89"/>
      <c r="P5682" s="28" t="s">
        <v>21</v>
      </c>
      <c r="Q5682" s="26" t="b">
        <v>0</v>
      </c>
      <c r="R5682" s="59"/>
      <c r="S5682" s="18"/>
      <c r="T5682" s="37" t="s">
        <v>21</v>
      </c>
    </row>
    <row r="5683" spans="1:20">
      <c r="A5683" s="26">
        <v>11155</v>
      </c>
      <c r="B5683" s="27">
        <v>42900</v>
      </c>
      <c r="C5683" s="28" t="s">
        <v>19240</v>
      </c>
      <c r="D5683" s="27">
        <v>42900</v>
      </c>
      <c r="E5683" s="28" t="s">
        <v>38</v>
      </c>
      <c r="F5683" s="28" t="s">
        <v>27</v>
      </c>
      <c r="G5683" s="28" t="s">
        <v>20</v>
      </c>
      <c r="H5683" s="28" t="s">
        <v>71</v>
      </c>
      <c r="I5683" s="28" t="s">
        <v>21</v>
      </c>
      <c r="J5683" s="28" t="s">
        <v>18450</v>
      </c>
      <c r="K5683" s="28" t="s">
        <v>18451</v>
      </c>
      <c r="L5683" s="28" t="s">
        <v>1946</v>
      </c>
      <c r="M5683" s="28" t="s">
        <v>21</v>
      </c>
      <c r="O5683" s="94">
        <v>43006</v>
      </c>
      <c r="P5683" s="28" t="s">
        <v>21</v>
      </c>
      <c r="Q5683" s="26" t="b">
        <v>0</v>
      </c>
      <c r="R5683" s="22">
        <f t="shared" ref="R5683:R5714" si="110">IF(O5683=" ", " ", INT(YEARFRAC(O5683, B5683)*365))</f>
        <v>105</v>
      </c>
      <c r="S5683" s="28" t="s">
        <v>21</v>
      </c>
    </row>
    <row r="5684" spans="1:20">
      <c r="A5684" s="26">
        <v>11156</v>
      </c>
      <c r="B5684" s="27">
        <v>42901</v>
      </c>
      <c r="C5684" s="28" t="s">
        <v>19171</v>
      </c>
      <c r="D5684" s="27">
        <v>42900</v>
      </c>
      <c r="E5684" s="28" t="s">
        <v>18453</v>
      </c>
      <c r="F5684" s="28" t="s">
        <v>116</v>
      </c>
      <c r="G5684" s="28" t="s">
        <v>20</v>
      </c>
      <c r="H5684" s="28" t="s">
        <v>71</v>
      </c>
      <c r="I5684" s="28" t="s">
        <v>21</v>
      </c>
      <c r="J5684" s="28" t="s">
        <v>18454</v>
      </c>
      <c r="K5684" s="28" t="s">
        <v>6081</v>
      </c>
      <c r="L5684" s="28" t="s">
        <v>1946</v>
      </c>
      <c r="M5684" s="28" t="s">
        <v>21</v>
      </c>
      <c r="O5684" s="94">
        <v>42916</v>
      </c>
      <c r="P5684" s="28" t="s">
        <v>21</v>
      </c>
      <c r="Q5684" s="26" t="b">
        <v>0</v>
      </c>
      <c r="R5684" s="22">
        <f t="shared" si="110"/>
        <v>15</v>
      </c>
      <c r="S5684" s="28" t="s">
        <v>21</v>
      </c>
    </row>
    <row r="5685" spans="1:20">
      <c r="A5685" s="26">
        <v>11157</v>
      </c>
      <c r="B5685" s="27">
        <v>42901</v>
      </c>
      <c r="C5685" s="28" t="s">
        <v>19172</v>
      </c>
      <c r="D5685" s="27">
        <v>42900</v>
      </c>
      <c r="E5685" s="28" t="s">
        <v>18455</v>
      </c>
      <c r="F5685" s="28" t="s">
        <v>116</v>
      </c>
      <c r="G5685" s="28" t="s">
        <v>20</v>
      </c>
      <c r="H5685" s="28" t="s">
        <v>71</v>
      </c>
      <c r="I5685" s="28" t="s">
        <v>21</v>
      </c>
      <c r="J5685" s="28" t="s">
        <v>18456</v>
      </c>
      <c r="K5685" s="28" t="s">
        <v>6081</v>
      </c>
      <c r="L5685" s="28" t="s">
        <v>1946</v>
      </c>
      <c r="M5685" s="28" t="s">
        <v>21</v>
      </c>
      <c r="O5685" s="94">
        <v>42916</v>
      </c>
      <c r="P5685" s="28" t="s">
        <v>21</v>
      </c>
      <c r="Q5685" s="26" t="b">
        <v>0</v>
      </c>
      <c r="R5685" s="22">
        <f t="shared" si="110"/>
        <v>15</v>
      </c>
      <c r="S5685" s="28" t="s">
        <v>21</v>
      </c>
    </row>
    <row r="5686" spans="1:20">
      <c r="A5686" s="59">
        <v>11158</v>
      </c>
      <c r="B5686" s="60">
        <v>42901</v>
      </c>
      <c r="C5686" s="61" t="s">
        <v>19173</v>
      </c>
      <c r="D5686" s="60">
        <v>42900</v>
      </c>
      <c r="E5686" s="61" t="s">
        <v>18457</v>
      </c>
      <c r="F5686" s="61" t="s">
        <v>116</v>
      </c>
      <c r="G5686" s="61" t="s">
        <v>20</v>
      </c>
      <c r="H5686" s="61" t="s">
        <v>71</v>
      </c>
      <c r="I5686" s="61" t="s">
        <v>21</v>
      </c>
      <c r="J5686" s="61" t="s">
        <v>18458</v>
      </c>
      <c r="K5686" s="61" t="s">
        <v>6081</v>
      </c>
      <c r="L5686" s="61" t="s">
        <v>1946</v>
      </c>
      <c r="M5686" s="61" t="s">
        <v>21</v>
      </c>
      <c r="O5686" s="107">
        <v>42916</v>
      </c>
      <c r="P5686" s="61" t="s">
        <v>21</v>
      </c>
      <c r="Q5686" s="59" t="b">
        <v>0</v>
      </c>
      <c r="R5686" s="22">
        <f t="shared" si="110"/>
        <v>15</v>
      </c>
      <c r="S5686" s="37" t="s">
        <v>21</v>
      </c>
    </row>
    <row r="5687" spans="1:20" ht="24">
      <c r="A5687" s="26">
        <v>11159</v>
      </c>
      <c r="B5687" s="27">
        <v>42901</v>
      </c>
      <c r="C5687" s="28" t="s">
        <v>19174</v>
      </c>
      <c r="D5687" s="27">
        <v>42900</v>
      </c>
      <c r="E5687" s="28" t="s">
        <v>18459</v>
      </c>
      <c r="F5687" s="28" t="s">
        <v>116</v>
      </c>
      <c r="G5687" s="28" t="s">
        <v>20</v>
      </c>
      <c r="H5687" s="28" t="s">
        <v>71</v>
      </c>
      <c r="I5687" s="28" t="s">
        <v>21</v>
      </c>
      <c r="J5687" s="28" t="s">
        <v>18460</v>
      </c>
      <c r="K5687" s="28" t="s">
        <v>6081</v>
      </c>
      <c r="L5687" s="28" t="s">
        <v>1946</v>
      </c>
      <c r="M5687" s="28" t="s">
        <v>21</v>
      </c>
      <c r="O5687" s="94">
        <v>42916</v>
      </c>
      <c r="P5687" s="28" t="s">
        <v>21</v>
      </c>
      <c r="Q5687" s="26" t="b">
        <v>0</v>
      </c>
      <c r="R5687" s="22">
        <f t="shared" si="110"/>
        <v>15</v>
      </c>
      <c r="S5687" s="28" t="s">
        <v>21</v>
      </c>
    </row>
    <row r="5688" spans="1:20">
      <c r="A5688" s="26">
        <v>11160</v>
      </c>
      <c r="B5688" s="27">
        <v>42901</v>
      </c>
      <c r="C5688" s="28" t="s">
        <v>19175</v>
      </c>
      <c r="D5688" s="27">
        <v>42900</v>
      </c>
      <c r="E5688" s="28" t="s">
        <v>18461</v>
      </c>
      <c r="F5688" s="28" t="s">
        <v>3434</v>
      </c>
      <c r="G5688" s="28" t="s">
        <v>20</v>
      </c>
      <c r="H5688" s="28" t="s">
        <v>71</v>
      </c>
      <c r="I5688" s="28" t="s">
        <v>21</v>
      </c>
      <c r="J5688" s="28" t="s">
        <v>18462</v>
      </c>
      <c r="K5688" s="28" t="s">
        <v>6081</v>
      </c>
      <c r="L5688" s="28" t="s">
        <v>1946</v>
      </c>
      <c r="M5688" s="28" t="s">
        <v>21</v>
      </c>
      <c r="O5688" s="94">
        <v>42916</v>
      </c>
      <c r="P5688" s="28" t="s">
        <v>21</v>
      </c>
      <c r="Q5688" s="26" t="b">
        <v>0</v>
      </c>
      <c r="R5688" s="22">
        <f t="shared" si="110"/>
        <v>15</v>
      </c>
      <c r="S5688" s="28" t="s">
        <v>21</v>
      </c>
    </row>
    <row r="5689" spans="1:20">
      <c r="A5689" s="59">
        <v>11161</v>
      </c>
      <c r="B5689" s="60">
        <v>42901</v>
      </c>
      <c r="C5689" s="61" t="s">
        <v>19176</v>
      </c>
      <c r="D5689" s="60">
        <v>42900</v>
      </c>
      <c r="E5689" s="61" t="s">
        <v>18463</v>
      </c>
      <c r="F5689" s="61" t="s">
        <v>3434</v>
      </c>
      <c r="G5689" s="61" t="s">
        <v>20</v>
      </c>
      <c r="H5689" s="61" t="s">
        <v>71</v>
      </c>
      <c r="I5689" s="61" t="s">
        <v>21</v>
      </c>
      <c r="J5689" s="61" t="s">
        <v>18464</v>
      </c>
      <c r="K5689" s="61" t="s">
        <v>6081</v>
      </c>
      <c r="L5689" s="61" t="s">
        <v>1946</v>
      </c>
      <c r="M5689" s="61" t="s">
        <v>21</v>
      </c>
      <c r="O5689" s="107">
        <v>42916</v>
      </c>
      <c r="P5689" s="61" t="s">
        <v>21</v>
      </c>
      <c r="Q5689" s="59" t="b">
        <v>0</v>
      </c>
      <c r="R5689" s="22">
        <f t="shared" si="110"/>
        <v>15</v>
      </c>
      <c r="S5689" s="37" t="s">
        <v>21</v>
      </c>
    </row>
    <row r="5690" spans="1:20">
      <c r="A5690" s="59">
        <v>11162</v>
      </c>
      <c r="B5690" s="60">
        <v>42901</v>
      </c>
      <c r="C5690" s="61" t="s">
        <v>19177</v>
      </c>
      <c r="D5690" s="60">
        <v>42900</v>
      </c>
      <c r="E5690" s="61" t="s">
        <v>18465</v>
      </c>
      <c r="F5690" s="61" t="s">
        <v>3434</v>
      </c>
      <c r="G5690" s="61" t="s">
        <v>20</v>
      </c>
      <c r="H5690" s="61" t="s">
        <v>71</v>
      </c>
      <c r="I5690" s="61" t="s">
        <v>21</v>
      </c>
      <c r="J5690" s="61" t="s">
        <v>18466</v>
      </c>
      <c r="K5690" s="61" t="s">
        <v>6081</v>
      </c>
      <c r="L5690" s="61" t="s">
        <v>1946</v>
      </c>
      <c r="M5690" s="61" t="s">
        <v>21</v>
      </c>
      <c r="O5690" s="107">
        <v>42916</v>
      </c>
      <c r="P5690" s="61" t="s">
        <v>21</v>
      </c>
      <c r="Q5690" s="59" t="b">
        <v>0</v>
      </c>
      <c r="R5690" s="22">
        <f t="shared" si="110"/>
        <v>15</v>
      </c>
      <c r="S5690" s="37" t="s">
        <v>21</v>
      </c>
    </row>
    <row r="5691" spans="1:20">
      <c r="A5691" s="26">
        <v>11163</v>
      </c>
      <c r="B5691" s="27">
        <v>42901</v>
      </c>
      <c r="C5691" s="28" t="s">
        <v>19178</v>
      </c>
      <c r="D5691" s="27">
        <v>42900</v>
      </c>
      <c r="E5691" s="28" t="s">
        <v>18467</v>
      </c>
      <c r="F5691" s="28" t="s">
        <v>3434</v>
      </c>
      <c r="G5691" s="28" t="s">
        <v>20</v>
      </c>
      <c r="H5691" s="28" t="s">
        <v>71</v>
      </c>
      <c r="I5691" s="28" t="s">
        <v>21</v>
      </c>
      <c r="J5691" s="28" t="s">
        <v>18468</v>
      </c>
      <c r="K5691" s="28" t="s">
        <v>6081</v>
      </c>
      <c r="L5691" s="28" t="s">
        <v>1946</v>
      </c>
      <c r="M5691" s="28" t="s">
        <v>21</v>
      </c>
      <c r="O5691" s="94">
        <v>42916</v>
      </c>
      <c r="P5691" s="28" t="s">
        <v>21</v>
      </c>
      <c r="Q5691" s="26" t="b">
        <v>0</v>
      </c>
      <c r="R5691" s="22">
        <f t="shared" si="110"/>
        <v>15</v>
      </c>
      <c r="S5691" s="28" t="s">
        <v>21</v>
      </c>
    </row>
    <row r="5692" spans="1:20">
      <c r="A5692" s="59">
        <v>11164</v>
      </c>
      <c r="B5692" s="60">
        <v>42901</v>
      </c>
      <c r="C5692" s="61" t="s">
        <v>19179</v>
      </c>
      <c r="D5692" s="60">
        <v>42900</v>
      </c>
      <c r="E5692" s="61" t="s">
        <v>18469</v>
      </c>
      <c r="F5692" s="61" t="s">
        <v>3434</v>
      </c>
      <c r="G5692" s="61" t="s">
        <v>20</v>
      </c>
      <c r="H5692" s="61" t="s">
        <v>71</v>
      </c>
      <c r="I5692" s="61" t="s">
        <v>21</v>
      </c>
      <c r="J5692" s="61" t="s">
        <v>18470</v>
      </c>
      <c r="K5692" s="61" t="s">
        <v>6081</v>
      </c>
      <c r="L5692" s="61" t="s">
        <v>1946</v>
      </c>
      <c r="M5692" s="61" t="s">
        <v>21</v>
      </c>
      <c r="O5692" s="107">
        <v>42916</v>
      </c>
      <c r="P5692" s="61" t="s">
        <v>21</v>
      </c>
      <c r="Q5692" s="59" t="b">
        <v>0</v>
      </c>
      <c r="R5692" s="22">
        <f t="shared" si="110"/>
        <v>15</v>
      </c>
      <c r="S5692" s="37" t="s">
        <v>21</v>
      </c>
    </row>
    <row r="5693" spans="1:20">
      <c r="A5693" s="26">
        <v>11165</v>
      </c>
      <c r="B5693" s="27">
        <v>42901</v>
      </c>
      <c r="C5693" s="28" t="s">
        <v>19161</v>
      </c>
      <c r="D5693" s="27">
        <v>42901</v>
      </c>
      <c r="E5693" s="28" t="s">
        <v>1928</v>
      </c>
      <c r="F5693" s="28" t="s">
        <v>1743</v>
      </c>
      <c r="G5693" s="28" t="s">
        <v>20</v>
      </c>
      <c r="H5693" s="28" t="s">
        <v>71</v>
      </c>
      <c r="I5693" s="28" t="s">
        <v>21</v>
      </c>
      <c r="J5693" s="28" t="s">
        <v>11890</v>
      </c>
      <c r="K5693" s="28" t="s">
        <v>18452</v>
      </c>
      <c r="L5693" s="28" t="s">
        <v>7167</v>
      </c>
      <c r="M5693" s="28" t="s">
        <v>21</v>
      </c>
      <c r="O5693" s="94">
        <v>42915</v>
      </c>
      <c r="P5693" s="28" t="s">
        <v>21</v>
      </c>
      <c r="Q5693" s="26" t="b">
        <v>0</v>
      </c>
      <c r="R5693" s="22">
        <f t="shared" si="110"/>
        <v>14</v>
      </c>
      <c r="S5693" s="28" t="s">
        <v>21</v>
      </c>
    </row>
    <row r="5694" spans="1:20">
      <c r="A5694" s="59">
        <v>11166</v>
      </c>
      <c r="B5694" s="60">
        <v>42902</v>
      </c>
      <c r="C5694" s="61" t="s">
        <v>19162</v>
      </c>
      <c r="D5694" s="60">
        <v>42902</v>
      </c>
      <c r="E5694" s="61" t="s">
        <v>1928</v>
      </c>
      <c r="F5694" s="61" t="s">
        <v>1743</v>
      </c>
      <c r="G5694" s="61" t="s">
        <v>20</v>
      </c>
      <c r="H5694" s="61" t="s">
        <v>71</v>
      </c>
      <c r="I5694" s="61" t="s">
        <v>21</v>
      </c>
      <c r="J5694" s="61" t="s">
        <v>18471</v>
      </c>
      <c r="K5694" s="61" t="s">
        <v>7217</v>
      </c>
      <c r="L5694" s="61" t="s">
        <v>14909</v>
      </c>
      <c r="M5694" s="61" t="s">
        <v>21</v>
      </c>
      <c r="O5694" s="107">
        <v>42915</v>
      </c>
      <c r="P5694" s="61" t="s">
        <v>21</v>
      </c>
      <c r="Q5694" s="59" t="b">
        <v>0</v>
      </c>
      <c r="R5694" s="22">
        <f t="shared" si="110"/>
        <v>13</v>
      </c>
      <c r="S5694" s="37" t="s">
        <v>21</v>
      </c>
    </row>
    <row r="5695" spans="1:20">
      <c r="A5695" s="59">
        <v>11167</v>
      </c>
      <c r="B5695" s="60">
        <v>42907</v>
      </c>
      <c r="C5695" s="61" t="s">
        <v>19221</v>
      </c>
      <c r="D5695" s="60">
        <v>42906</v>
      </c>
      <c r="E5695" s="61" t="s">
        <v>1928</v>
      </c>
      <c r="F5695" s="61" t="s">
        <v>1743</v>
      </c>
      <c r="G5695" s="61" t="s">
        <v>20</v>
      </c>
      <c r="H5695" s="61" t="s">
        <v>71</v>
      </c>
      <c r="I5695" s="61" t="s">
        <v>21</v>
      </c>
      <c r="J5695" s="61" t="s">
        <v>18472</v>
      </c>
      <c r="K5695" s="61" t="s">
        <v>18473</v>
      </c>
      <c r="L5695" s="61" t="s">
        <v>7167</v>
      </c>
      <c r="M5695" s="61" t="s">
        <v>21</v>
      </c>
      <c r="O5695" s="107">
        <v>42984</v>
      </c>
      <c r="P5695" s="61" t="s">
        <v>21</v>
      </c>
      <c r="Q5695" s="59" t="b">
        <v>0</v>
      </c>
      <c r="R5695" s="22">
        <f t="shared" si="110"/>
        <v>76</v>
      </c>
      <c r="S5695" s="37" t="s">
        <v>21</v>
      </c>
    </row>
    <row r="5696" spans="1:20">
      <c r="A5696" s="26">
        <v>11168</v>
      </c>
      <c r="B5696" s="27">
        <v>42909</v>
      </c>
      <c r="C5696" s="28" t="s">
        <v>19184</v>
      </c>
      <c r="D5696" s="27">
        <v>42909</v>
      </c>
      <c r="E5696" s="28" t="s">
        <v>38</v>
      </c>
      <c r="F5696" s="28" t="s">
        <v>16173</v>
      </c>
      <c r="G5696" s="28" t="s">
        <v>20</v>
      </c>
      <c r="H5696" s="28" t="s">
        <v>71</v>
      </c>
      <c r="I5696" s="28" t="s">
        <v>21</v>
      </c>
      <c r="J5696" s="28" t="s">
        <v>18474</v>
      </c>
      <c r="K5696" s="28" t="s">
        <v>18475</v>
      </c>
      <c r="L5696" s="28" t="s">
        <v>14909</v>
      </c>
      <c r="M5696" s="28" t="s">
        <v>21</v>
      </c>
      <c r="O5696" s="94">
        <v>42926</v>
      </c>
      <c r="P5696" s="28" t="s">
        <v>21</v>
      </c>
      <c r="Q5696" s="26" t="b">
        <v>0</v>
      </c>
      <c r="R5696" s="22">
        <f t="shared" si="110"/>
        <v>17</v>
      </c>
      <c r="S5696" s="28" t="s">
        <v>21</v>
      </c>
    </row>
    <row r="5697" spans="1:19">
      <c r="A5697" s="26">
        <v>11169</v>
      </c>
      <c r="B5697" s="27">
        <v>42913</v>
      </c>
      <c r="C5697" s="28" t="s">
        <v>19272</v>
      </c>
      <c r="D5697" s="27">
        <v>42912</v>
      </c>
      <c r="E5697" s="28" t="s">
        <v>38</v>
      </c>
      <c r="F5697" s="28" t="s">
        <v>124</v>
      </c>
      <c r="G5697" s="28" t="s">
        <v>20</v>
      </c>
      <c r="H5697" s="28" t="s">
        <v>71</v>
      </c>
      <c r="I5697" s="28" t="s">
        <v>21</v>
      </c>
      <c r="J5697" s="28" t="s">
        <v>18478</v>
      </c>
      <c r="K5697" s="28" t="s">
        <v>6025</v>
      </c>
      <c r="L5697" s="28" t="s">
        <v>14518</v>
      </c>
      <c r="M5697" s="28" t="s">
        <v>21</v>
      </c>
      <c r="O5697" s="94">
        <v>43063</v>
      </c>
      <c r="P5697" s="28" t="s">
        <v>21</v>
      </c>
      <c r="Q5697" s="26" t="b">
        <v>0</v>
      </c>
      <c r="R5697" s="22">
        <f t="shared" si="110"/>
        <v>149</v>
      </c>
      <c r="S5697" s="28" t="s">
        <v>21</v>
      </c>
    </row>
    <row r="5698" spans="1:19">
      <c r="A5698" s="59">
        <v>11170</v>
      </c>
      <c r="B5698" s="60">
        <v>42913</v>
      </c>
      <c r="C5698" s="61" t="s">
        <v>19195</v>
      </c>
      <c r="D5698" s="60">
        <v>42912</v>
      </c>
      <c r="E5698" s="61" t="s">
        <v>18469</v>
      </c>
      <c r="F5698" s="61" t="s">
        <v>5620</v>
      </c>
      <c r="G5698" s="61" t="s">
        <v>20</v>
      </c>
      <c r="H5698" s="61" t="s">
        <v>71</v>
      </c>
      <c r="I5698" s="61" t="s">
        <v>21</v>
      </c>
      <c r="J5698" s="61" t="s">
        <v>18476</v>
      </c>
      <c r="K5698" s="61" t="s">
        <v>18477</v>
      </c>
      <c r="L5698" s="61" t="s">
        <v>14909</v>
      </c>
      <c r="M5698" s="61" t="s">
        <v>21</v>
      </c>
      <c r="O5698" s="107">
        <v>42941</v>
      </c>
      <c r="P5698" s="61" t="s">
        <v>21</v>
      </c>
      <c r="Q5698" s="59" t="b">
        <v>0</v>
      </c>
      <c r="R5698" s="22">
        <f t="shared" si="110"/>
        <v>28</v>
      </c>
      <c r="S5698" s="37" t="s">
        <v>21</v>
      </c>
    </row>
    <row r="5699" spans="1:19">
      <c r="A5699" s="59">
        <v>11171</v>
      </c>
      <c r="B5699" s="60">
        <v>42914</v>
      </c>
      <c r="C5699" s="61" t="s">
        <v>19188</v>
      </c>
      <c r="D5699" s="60">
        <v>42914</v>
      </c>
      <c r="E5699" s="61" t="s">
        <v>1928</v>
      </c>
      <c r="F5699" s="61" t="s">
        <v>1743</v>
      </c>
      <c r="G5699" s="61" t="s">
        <v>20</v>
      </c>
      <c r="H5699" s="61" t="s">
        <v>71</v>
      </c>
      <c r="I5699" s="61" t="s">
        <v>21</v>
      </c>
      <c r="J5699" s="61" t="s">
        <v>18479</v>
      </c>
      <c r="K5699" s="61" t="s">
        <v>7217</v>
      </c>
      <c r="L5699" s="61" t="s">
        <v>7167</v>
      </c>
      <c r="M5699" s="61" t="s">
        <v>21</v>
      </c>
      <c r="O5699" s="107">
        <v>42929</v>
      </c>
      <c r="P5699" s="61" t="s">
        <v>21</v>
      </c>
      <c r="Q5699" s="59" t="b">
        <v>0</v>
      </c>
      <c r="R5699" s="22">
        <f t="shared" si="110"/>
        <v>15</v>
      </c>
      <c r="S5699" s="37" t="s">
        <v>21</v>
      </c>
    </row>
    <row r="5700" spans="1:19">
      <c r="A5700" s="59">
        <v>11172</v>
      </c>
      <c r="B5700" s="60">
        <v>42914</v>
      </c>
      <c r="C5700" s="61" t="s">
        <v>19252</v>
      </c>
      <c r="D5700" s="60">
        <v>42913</v>
      </c>
      <c r="E5700" s="61" t="s">
        <v>18480</v>
      </c>
      <c r="F5700" s="61" t="s">
        <v>5184</v>
      </c>
      <c r="G5700" s="61" t="s">
        <v>20</v>
      </c>
      <c r="H5700" s="61" t="s">
        <v>71</v>
      </c>
      <c r="I5700" s="61" t="s">
        <v>21</v>
      </c>
      <c r="J5700" s="61" t="s">
        <v>18481</v>
      </c>
      <c r="K5700" s="61" t="s">
        <v>9348</v>
      </c>
      <c r="L5700" s="61" t="s">
        <v>14518</v>
      </c>
      <c r="M5700" s="61" t="s">
        <v>21</v>
      </c>
      <c r="O5700" s="107">
        <v>43019</v>
      </c>
      <c r="P5700" s="61" t="s">
        <v>21</v>
      </c>
      <c r="Q5700" s="59" t="b">
        <v>0</v>
      </c>
      <c r="R5700" s="22">
        <f t="shared" si="110"/>
        <v>104</v>
      </c>
      <c r="S5700" s="61" t="s">
        <v>21</v>
      </c>
    </row>
    <row r="5701" spans="1:19" ht="24">
      <c r="A5701" s="59">
        <v>11173</v>
      </c>
      <c r="B5701" s="60">
        <v>42915</v>
      </c>
      <c r="C5701" s="61" t="s">
        <v>19189</v>
      </c>
      <c r="D5701" s="60">
        <v>42914</v>
      </c>
      <c r="E5701" s="61" t="s">
        <v>1928</v>
      </c>
      <c r="F5701" s="61" t="s">
        <v>1743</v>
      </c>
      <c r="G5701" s="61" t="s">
        <v>20</v>
      </c>
      <c r="H5701" s="61" t="s">
        <v>71</v>
      </c>
      <c r="I5701" s="61" t="s">
        <v>21</v>
      </c>
      <c r="J5701" s="61" t="s">
        <v>18482</v>
      </c>
      <c r="K5701" s="61" t="s">
        <v>21</v>
      </c>
      <c r="L5701" s="61" t="s">
        <v>7167</v>
      </c>
      <c r="M5701" s="61" t="s">
        <v>21</v>
      </c>
      <c r="O5701" s="107">
        <v>42929</v>
      </c>
      <c r="P5701" s="61" t="s">
        <v>21</v>
      </c>
      <c r="Q5701" s="59" t="b">
        <v>0</v>
      </c>
      <c r="R5701" s="22">
        <f t="shared" si="110"/>
        <v>14</v>
      </c>
      <c r="S5701" s="37" t="s">
        <v>21</v>
      </c>
    </row>
    <row r="5702" spans="1:19">
      <c r="A5702" s="26">
        <v>11174</v>
      </c>
      <c r="B5702" s="27">
        <v>42915</v>
      </c>
      <c r="C5702" s="28" t="s">
        <v>19200</v>
      </c>
      <c r="D5702" s="27">
        <v>42914</v>
      </c>
      <c r="E5702" s="28" t="s">
        <v>38</v>
      </c>
      <c r="F5702" s="28" t="s">
        <v>1743</v>
      </c>
      <c r="G5702" s="28" t="s">
        <v>20</v>
      </c>
      <c r="H5702" s="28" t="s">
        <v>71</v>
      </c>
      <c r="I5702" s="28" t="s">
        <v>21</v>
      </c>
      <c r="J5702" s="28" t="s">
        <v>18483</v>
      </c>
      <c r="K5702" s="28" t="s">
        <v>18484</v>
      </c>
      <c r="L5702" s="28" t="s">
        <v>7167</v>
      </c>
      <c r="M5702" s="28" t="s">
        <v>21</v>
      </c>
      <c r="O5702" s="94">
        <v>42950</v>
      </c>
      <c r="P5702" s="28" t="s">
        <v>21</v>
      </c>
      <c r="Q5702" s="26" t="b">
        <v>0</v>
      </c>
      <c r="R5702" s="22">
        <f t="shared" si="110"/>
        <v>34</v>
      </c>
      <c r="S5702" s="28" t="s">
        <v>21</v>
      </c>
    </row>
    <row r="5703" spans="1:19">
      <c r="A5703" s="64">
        <v>11175</v>
      </c>
      <c r="B5703" s="62">
        <v>42915</v>
      </c>
      <c r="C5703" s="63" t="s">
        <v>18999</v>
      </c>
      <c r="D5703" s="62">
        <v>42914</v>
      </c>
      <c r="E5703" s="63" t="s">
        <v>18671</v>
      </c>
      <c r="F5703" s="63" t="s">
        <v>984</v>
      </c>
      <c r="G5703" s="63" t="s">
        <v>20</v>
      </c>
      <c r="H5703" s="63" t="s">
        <v>71</v>
      </c>
      <c r="I5703" s="63" t="s">
        <v>21</v>
      </c>
      <c r="J5703" s="63" t="s">
        <v>18672</v>
      </c>
      <c r="K5703" s="63" t="s">
        <v>18673</v>
      </c>
      <c r="L5703" s="63" t="s">
        <v>1946</v>
      </c>
      <c r="M5703" s="63" t="s">
        <v>21</v>
      </c>
      <c r="O5703" s="108">
        <v>43280</v>
      </c>
      <c r="P5703" s="65" t="s">
        <v>21</v>
      </c>
      <c r="Q5703" s="66" t="b">
        <v>0</v>
      </c>
      <c r="R5703" s="22">
        <f t="shared" si="110"/>
        <v>365</v>
      </c>
    </row>
    <row r="5704" spans="1:19">
      <c r="A5704" s="26">
        <v>11176</v>
      </c>
      <c r="B5704" s="27">
        <v>42915</v>
      </c>
      <c r="C5704" s="28" t="s">
        <v>19163</v>
      </c>
      <c r="D5704" s="27">
        <v>42915</v>
      </c>
      <c r="E5704" s="28" t="s">
        <v>1928</v>
      </c>
      <c r="F5704" s="28" t="s">
        <v>1743</v>
      </c>
      <c r="G5704" s="28" t="s">
        <v>20</v>
      </c>
      <c r="H5704" s="28" t="s">
        <v>71</v>
      </c>
      <c r="I5704" s="28" t="s">
        <v>21</v>
      </c>
      <c r="J5704" s="28" t="s">
        <v>18471</v>
      </c>
      <c r="K5704" s="28" t="s">
        <v>7217</v>
      </c>
      <c r="L5704" s="28" t="s">
        <v>14909</v>
      </c>
      <c r="M5704" s="28" t="s">
        <v>21</v>
      </c>
      <c r="O5704" s="94">
        <v>42915</v>
      </c>
      <c r="P5704" s="28" t="s">
        <v>21</v>
      </c>
      <c r="Q5704" s="26" t="b">
        <v>0</v>
      </c>
      <c r="R5704" s="22">
        <f t="shared" si="110"/>
        <v>0</v>
      </c>
      <c r="S5704" s="28" t="s">
        <v>21</v>
      </c>
    </row>
    <row r="5705" spans="1:19" ht="48">
      <c r="A5705" s="59">
        <v>11177</v>
      </c>
      <c r="B5705" s="60">
        <v>42916</v>
      </c>
      <c r="C5705" s="61" t="s">
        <v>19000</v>
      </c>
      <c r="D5705" s="60">
        <v>42852</v>
      </c>
      <c r="E5705" s="61" t="s">
        <v>20358</v>
      </c>
      <c r="F5705" s="61" t="s">
        <v>984</v>
      </c>
      <c r="G5705" s="61" t="s">
        <v>20</v>
      </c>
      <c r="H5705" s="61" t="s">
        <v>71</v>
      </c>
      <c r="I5705" s="61" t="s">
        <v>21</v>
      </c>
      <c r="J5705" s="61" t="s">
        <v>18255</v>
      </c>
      <c r="K5705" s="61" t="s">
        <v>18256</v>
      </c>
      <c r="L5705" s="61" t="s">
        <v>4282</v>
      </c>
      <c r="M5705" s="61" t="s">
        <v>21</v>
      </c>
      <c r="O5705" s="108">
        <v>43595</v>
      </c>
      <c r="P5705" s="61" t="s">
        <v>21</v>
      </c>
      <c r="Q5705" s="59" t="b">
        <v>0</v>
      </c>
      <c r="R5705" s="22">
        <f t="shared" si="110"/>
        <v>679</v>
      </c>
      <c r="S5705" s="37" t="s">
        <v>19306</v>
      </c>
    </row>
    <row r="5706" spans="1:19">
      <c r="A5706" s="59">
        <v>11178</v>
      </c>
      <c r="B5706" s="60">
        <v>42921</v>
      </c>
      <c r="C5706" s="61" t="s">
        <v>19191</v>
      </c>
      <c r="D5706" s="60">
        <v>42916</v>
      </c>
      <c r="E5706" s="61" t="s">
        <v>1928</v>
      </c>
      <c r="F5706" s="61" t="s">
        <v>1743</v>
      </c>
      <c r="G5706" s="61" t="s">
        <v>20</v>
      </c>
      <c r="H5706" s="61" t="s">
        <v>71</v>
      </c>
      <c r="I5706" s="61" t="s">
        <v>21</v>
      </c>
      <c r="J5706" s="61" t="s">
        <v>18485</v>
      </c>
      <c r="K5706" s="61" t="s">
        <v>18486</v>
      </c>
      <c r="L5706" s="61" t="s">
        <v>7167</v>
      </c>
      <c r="M5706" s="61" t="s">
        <v>21</v>
      </c>
      <c r="O5706" s="107">
        <v>42930</v>
      </c>
      <c r="P5706" s="61" t="s">
        <v>21</v>
      </c>
      <c r="Q5706" s="59" t="b">
        <v>0</v>
      </c>
      <c r="R5706" s="22">
        <f t="shared" si="110"/>
        <v>9</v>
      </c>
      <c r="S5706" s="37" t="s">
        <v>21</v>
      </c>
    </row>
    <row r="5707" spans="1:19">
      <c r="A5707" s="59">
        <v>11179</v>
      </c>
      <c r="B5707" s="60">
        <v>42921</v>
      </c>
      <c r="C5707" s="61" t="s">
        <v>19203</v>
      </c>
      <c r="D5707" s="60">
        <v>42919</v>
      </c>
      <c r="E5707" s="61" t="s">
        <v>38</v>
      </c>
      <c r="F5707" s="61" t="s">
        <v>1743</v>
      </c>
      <c r="G5707" s="61" t="s">
        <v>20</v>
      </c>
      <c r="H5707" s="61" t="s">
        <v>71</v>
      </c>
      <c r="I5707" s="61" t="s">
        <v>21</v>
      </c>
      <c r="J5707" s="61" t="s">
        <v>18487</v>
      </c>
      <c r="K5707" s="61" t="s">
        <v>18488</v>
      </c>
      <c r="L5707" s="61" t="s">
        <v>7167</v>
      </c>
      <c r="M5707" s="61" t="s">
        <v>21</v>
      </c>
      <c r="O5707" s="107">
        <v>42951</v>
      </c>
      <c r="P5707" s="61" t="s">
        <v>21</v>
      </c>
      <c r="Q5707" s="59" t="b">
        <v>0</v>
      </c>
      <c r="R5707" s="22">
        <f t="shared" si="110"/>
        <v>29</v>
      </c>
      <c r="S5707" s="37" t="s">
        <v>21</v>
      </c>
    </row>
    <row r="5708" spans="1:19">
      <c r="A5708" s="26">
        <v>11180</v>
      </c>
      <c r="B5708" s="27">
        <v>42921</v>
      </c>
      <c r="C5708" s="28" t="s">
        <v>19282</v>
      </c>
      <c r="D5708" s="27">
        <v>42912</v>
      </c>
      <c r="E5708" s="28" t="s">
        <v>38</v>
      </c>
      <c r="F5708" s="28" t="s">
        <v>13422</v>
      </c>
      <c r="G5708" s="28" t="s">
        <v>20</v>
      </c>
      <c r="H5708" s="28" t="s">
        <v>71</v>
      </c>
      <c r="I5708" s="28" t="s">
        <v>21</v>
      </c>
      <c r="J5708" s="28" t="s">
        <v>18489</v>
      </c>
      <c r="K5708" s="28" t="s">
        <v>18490</v>
      </c>
      <c r="L5708" s="28" t="s">
        <v>4282</v>
      </c>
      <c r="M5708" s="28" t="s">
        <v>21</v>
      </c>
      <c r="O5708" s="94">
        <v>43089</v>
      </c>
      <c r="P5708" s="28" t="s">
        <v>21</v>
      </c>
      <c r="Q5708" s="26" t="b">
        <v>0</v>
      </c>
      <c r="R5708" s="22">
        <f t="shared" si="110"/>
        <v>167</v>
      </c>
      <c r="S5708" s="28" t="s">
        <v>21</v>
      </c>
    </row>
    <row r="5709" spans="1:19">
      <c r="A5709" s="26">
        <v>11181</v>
      </c>
      <c r="B5709" s="27">
        <v>42922</v>
      </c>
      <c r="C5709" s="28" t="s">
        <v>19222</v>
      </c>
      <c r="D5709" s="27">
        <v>42922</v>
      </c>
      <c r="E5709" s="28" t="s">
        <v>1928</v>
      </c>
      <c r="F5709" s="28" t="s">
        <v>1743</v>
      </c>
      <c r="G5709" s="28" t="s">
        <v>20</v>
      </c>
      <c r="H5709" s="28" t="s">
        <v>71</v>
      </c>
      <c r="I5709" s="28" t="s">
        <v>21</v>
      </c>
      <c r="J5709" s="28" t="s">
        <v>18491</v>
      </c>
      <c r="K5709" s="28" t="s">
        <v>18492</v>
      </c>
      <c r="L5709" s="28" t="s">
        <v>7167</v>
      </c>
      <c r="M5709" s="28" t="s">
        <v>21</v>
      </c>
      <c r="O5709" s="94">
        <v>42984</v>
      </c>
      <c r="P5709" s="28" t="s">
        <v>21</v>
      </c>
      <c r="Q5709" s="26" t="b">
        <v>0</v>
      </c>
      <c r="R5709" s="22">
        <f t="shared" si="110"/>
        <v>60</v>
      </c>
      <c r="S5709" s="28" t="s">
        <v>21</v>
      </c>
    </row>
    <row r="5710" spans="1:19">
      <c r="A5710" s="26">
        <v>11182</v>
      </c>
      <c r="B5710" s="27">
        <v>42923</v>
      </c>
      <c r="C5710" s="28" t="s">
        <v>19270</v>
      </c>
      <c r="D5710" s="27">
        <v>42922</v>
      </c>
      <c r="E5710" s="28" t="s">
        <v>38</v>
      </c>
      <c r="F5710" s="28" t="s">
        <v>137</v>
      </c>
      <c r="G5710" s="28" t="s">
        <v>20</v>
      </c>
      <c r="H5710" s="28" t="s">
        <v>71</v>
      </c>
      <c r="I5710" s="28" t="s">
        <v>21</v>
      </c>
      <c r="J5710" s="28" t="s">
        <v>18493</v>
      </c>
      <c r="K5710" s="28" t="s">
        <v>18494</v>
      </c>
      <c r="L5710" s="28" t="s">
        <v>14518</v>
      </c>
      <c r="M5710" s="28" t="s">
        <v>21</v>
      </c>
      <c r="O5710" s="94">
        <v>43048</v>
      </c>
      <c r="P5710" s="28" t="s">
        <v>21</v>
      </c>
      <c r="Q5710" s="26" t="b">
        <v>0</v>
      </c>
      <c r="R5710" s="22">
        <f t="shared" si="110"/>
        <v>123</v>
      </c>
      <c r="S5710" s="28" t="s">
        <v>21</v>
      </c>
    </row>
    <row r="5711" spans="1:19">
      <c r="A5711" s="59">
        <v>11183</v>
      </c>
      <c r="B5711" s="60">
        <v>42926</v>
      </c>
      <c r="C5711" s="61" t="s">
        <v>19204</v>
      </c>
      <c r="D5711" s="60">
        <v>42926</v>
      </c>
      <c r="E5711" s="61" t="s">
        <v>18495</v>
      </c>
      <c r="F5711" s="61" t="s">
        <v>14118</v>
      </c>
      <c r="G5711" s="61" t="s">
        <v>20</v>
      </c>
      <c r="H5711" s="61" t="s">
        <v>71</v>
      </c>
      <c r="I5711" s="61" t="s">
        <v>21</v>
      </c>
      <c r="J5711" s="61" t="s">
        <v>18342</v>
      </c>
      <c r="K5711" s="61" t="s">
        <v>6081</v>
      </c>
      <c r="L5711" s="61" t="s">
        <v>14518</v>
      </c>
      <c r="M5711" s="61" t="s">
        <v>21</v>
      </c>
      <c r="O5711" s="107">
        <v>42951</v>
      </c>
      <c r="P5711" s="61" t="s">
        <v>21</v>
      </c>
      <c r="Q5711" s="59" t="b">
        <v>0</v>
      </c>
      <c r="R5711" s="22">
        <f t="shared" si="110"/>
        <v>24</v>
      </c>
      <c r="S5711" s="37" t="s">
        <v>21</v>
      </c>
    </row>
    <row r="5712" spans="1:19">
      <c r="A5712" s="59">
        <v>11184</v>
      </c>
      <c r="B5712" s="60">
        <v>42927</v>
      </c>
      <c r="C5712" s="61" t="s">
        <v>19201</v>
      </c>
      <c r="D5712" s="60">
        <v>42926</v>
      </c>
      <c r="E5712" s="61" t="s">
        <v>38</v>
      </c>
      <c r="F5712" s="61" t="s">
        <v>5184</v>
      </c>
      <c r="G5712" s="61" t="s">
        <v>20</v>
      </c>
      <c r="H5712" s="61" t="s">
        <v>71</v>
      </c>
      <c r="I5712" s="61" t="s">
        <v>21</v>
      </c>
      <c r="J5712" s="61" t="s">
        <v>18497</v>
      </c>
      <c r="K5712" s="61" t="s">
        <v>21</v>
      </c>
      <c r="L5712" s="61" t="s">
        <v>14518</v>
      </c>
      <c r="M5712" s="61" t="s">
        <v>21</v>
      </c>
      <c r="O5712" s="107">
        <v>42950</v>
      </c>
      <c r="P5712" s="61" t="s">
        <v>21</v>
      </c>
      <c r="Q5712" s="59" t="b">
        <v>0</v>
      </c>
      <c r="R5712" s="22">
        <f t="shared" si="110"/>
        <v>22</v>
      </c>
      <c r="S5712" s="37" t="s">
        <v>21</v>
      </c>
    </row>
    <row r="5713" spans="1:19">
      <c r="A5713" s="26">
        <v>11185</v>
      </c>
      <c r="B5713" s="27">
        <v>42927</v>
      </c>
      <c r="C5713" s="28" t="s">
        <v>19186</v>
      </c>
      <c r="D5713" s="27">
        <v>42926</v>
      </c>
      <c r="E5713" s="28" t="s">
        <v>1928</v>
      </c>
      <c r="F5713" s="28" t="s">
        <v>1743</v>
      </c>
      <c r="G5713" s="28" t="s">
        <v>20</v>
      </c>
      <c r="H5713" s="28" t="s">
        <v>71</v>
      </c>
      <c r="I5713" s="28" t="s">
        <v>21</v>
      </c>
      <c r="J5713" s="28" t="s">
        <v>15528</v>
      </c>
      <c r="K5713" s="28" t="s">
        <v>18496</v>
      </c>
      <c r="L5713" s="28" t="s">
        <v>14518</v>
      </c>
      <c r="M5713" s="28" t="s">
        <v>21</v>
      </c>
      <c r="O5713" s="94">
        <v>42927</v>
      </c>
      <c r="P5713" s="28" t="s">
        <v>21</v>
      </c>
      <c r="Q5713" s="26" t="b">
        <v>0</v>
      </c>
      <c r="R5713" s="22">
        <f t="shared" si="110"/>
        <v>0</v>
      </c>
      <c r="S5713" s="28" t="s">
        <v>21</v>
      </c>
    </row>
    <row r="5714" spans="1:19">
      <c r="A5714" s="38">
        <v>11186</v>
      </c>
      <c r="B5714" s="39">
        <v>42930</v>
      </c>
      <c r="C5714" s="40" t="s">
        <v>19001</v>
      </c>
      <c r="D5714" s="39">
        <v>42929</v>
      </c>
      <c r="E5714" s="40" t="s">
        <v>18571</v>
      </c>
      <c r="F5714" s="40" t="s">
        <v>5184</v>
      </c>
      <c r="G5714" s="40" t="s">
        <v>20</v>
      </c>
      <c r="H5714" s="40" t="s">
        <v>189</v>
      </c>
      <c r="I5714" s="40" t="s">
        <v>21</v>
      </c>
      <c r="J5714" s="40" t="s">
        <v>18552</v>
      </c>
      <c r="K5714" s="40" t="s">
        <v>18674</v>
      </c>
      <c r="L5714" s="40" t="s">
        <v>14518</v>
      </c>
      <c r="M5714" s="40" t="s">
        <v>21</v>
      </c>
      <c r="O5714" s="101">
        <v>43384</v>
      </c>
      <c r="P5714" s="41" t="s">
        <v>21</v>
      </c>
      <c r="Q5714" s="42" t="b">
        <v>0</v>
      </c>
      <c r="R5714" s="22">
        <f t="shared" si="110"/>
        <v>453</v>
      </c>
      <c r="S5714" s="18"/>
    </row>
    <row r="5715" spans="1:19">
      <c r="A5715" s="26">
        <v>11187</v>
      </c>
      <c r="B5715" s="27">
        <v>42933</v>
      </c>
      <c r="C5715" s="28" t="s">
        <v>19193</v>
      </c>
      <c r="D5715" s="27">
        <v>42930</v>
      </c>
      <c r="E5715" s="28" t="s">
        <v>38</v>
      </c>
      <c r="F5715" s="28" t="s">
        <v>149</v>
      </c>
      <c r="G5715" s="28" t="s">
        <v>20</v>
      </c>
      <c r="H5715" s="28" t="s">
        <v>189</v>
      </c>
      <c r="I5715" s="28" t="s">
        <v>21</v>
      </c>
      <c r="J5715" s="28" t="s">
        <v>18498</v>
      </c>
      <c r="K5715" s="28" t="s">
        <v>18499</v>
      </c>
      <c r="L5715" s="28" t="s">
        <v>14909</v>
      </c>
      <c r="M5715" s="28" t="s">
        <v>21</v>
      </c>
      <c r="O5715" s="94">
        <v>42934</v>
      </c>
      <c r="P5715" s="28" t="s">
        <v>21</v>
      </c>
      <c r="Q5715" s="26" t="b">
        <v>0</v>
      </c>
      <c r="R5715" s="22">
        <f t="shared" ref="R5715:R5746" si="111">IF(O5715=" ", " ", INT(YEARFRAC(O5715, B5715)*365))</f>
        <v>1</v>
      </c>
      <c r="S5715" s="28" t="s">
        <v>21</v>
      </c>
    </row>
    <row r="5716" spans="1:19" ht="24">
      <c r="A5716" s="26">
        <v>11188</v>
      </c>
      <c r="B5716" s="27">
        <v>42933</v>
      </c>
      <c r="C5716" s="28" t="s">
        <v>19212</v>
      </c>
      <c r="D5716" s="27">
        <v>42933</v>
      </c>
      <c r="E5716" s="28" t="s">
        <v>38</v>
      </c>
      <c r="F5716" s="28" t="s">
        <v>18500</v>
      </c>
      <c r="G5716" s="28" t="s">
        <v>20</v>
      </c>
      <c r="H5716" s="28" t="s">
        <v>71</v>
      </c>
      <c r="I5716" s="28" t="s">
        <v>21</v>
      </c>
      <c r="J5716" s="28" t="s">
        <v>18501</v>
      </c>
      <c r="K5716" s="28" t="s">
        <v>14825</v>
      </c>
      <c r="L5716" s="28" t="s">
        <v>14518</v>
      </c>
      <c r="M5716" s="28" t="s">
        <v>21</v>
      </c>
      <c r="O5716" s="94">
        <v>42970</v>
      </c>
      <c r="P5716" s="28" t="s">
        <v>21</v>
      </c>
      <c r="Q5716" s="26" t="b">
        <v>0</v>
      </c>
      <c r="R5716" s="22">
        <f t="shared" si="111"/>
        <v>36</v>
      </c>
      <c r="S5716" s="28" t="s">
        <v>21</v>
      </c>
    </row>
    <row r="5717" spans="1:19">
      <c r="A5717" s="59">
        <v>11189</v>
      </c>
      <c r="B5717" s="60">
        <v>42934</v>
      </c>
      <c r="C5717" s="61" t="s">
        <v>19002</v>
      </c>
      <c r="D5717" s="60">
        <v>42933</v>
      </c>
      <c r="E5717" s="61" t="s">
        <v>18675</v>
      </c>
      <c r="F5717" s="61" t="s">
        <v>129</v>
      </c>
      <c r="G5717" s="61" t="s">
        <v>20</v>
      </c>
      <c r="H5717" s="61" t="s">
        <v>71</v>
      </c>
      <c r="I5717" s="61" t="s">
        <v>21</v>
      </c>
      <c r="J5717" s="61" t="s">
        <v>18676</v>
      </c>
      <c r="K5717" s="61" t="s">
        <v>18677</v>
      </c>
      <c r="L5717" s="63" t="s">
        <v>1152</v>
      </c>
      <c r="M5717" s="63" t="s">
        <v>18572</v>
      </c>
      <c r="O5717" s="108">
        <v>43909</v>
      </c>
      <c r="P5717" s="61" t="s">
        <v>21</v>
      </c>
      <c r="Q5717" s="59" t="b">
        <v>0</v>
      </c>
      <c r="R5717" s="22">
        <f t="shared" si="111"/>
        <v>974</v>
      </c>
      <c r="S5717" s="37" t="s">
        <v>21</v>
      </c>
    </row>
    <row r="5718" spans="1:19">
      <c r="A5718" s="59">
        <v>11190</v>
      </c>
      <c r="B5718" s="60">
        <v>42934</v>
      </c>
      <c r="C5718" s="61" t="s">
        <v>19207</v>
      </c>
      <c r="D5718" s="60">
        <v>42934</v>
      </c>
      <c r="E5718" s="61" t="s">
        <v>18502</v>
      </c>
      <c r="F5718" s="61" t="s">
        <v>741</v>
      </c>
      <c r="G5718" s="61" t="s">
        <v>20</v>
      </c>
      <c r="H5718" s="61" t="s">
        <v>71</v>
      </c>
      <c r="I5718" s="61" t="s">
        <v>21</v>
      </c>
      <c r="J5718" s="61" t="s">
        <v>18503</v>
      </c>
      <c r="K5718" s="61" t="s">
        <v>6081</v>
      </c>
      <c r="L5718" s="61" t="s">
        <v>7167</v>
      </c>
      <c r="M5718" s="61" t="s">
        <v>21</v>
      </c>
      <c r="O5718" s="107">
        <v>42961</v>
      </c>
      <c r="P5718" s="61" t="s">
        <v>21</v>
      </c>
      <c r="Q5718" s="59" t="b">
        <v>0</v>
      </c>
      <c r="R5718" s="22">
        <f t="shared" si="111"/>
        <v>26</v>
      </c>
      <c r="S5718" s="37" t="s">
        <v>21</v>
      </c>
    </row>
    <row r="5719" spans="1:19">
      <c r="A5719" s="38">
        <v>11191</v>
      </c>
      <c r="B5719" s="39">
        <v>42935</v>
      </c>
      <c r="C5719" s="40" t="s">
        <v>19003</v>
      </c>
      <c r="D5719" s="39">
        <v>42935</v>
      </c>
      <c r="E5719" s="40" t="s">
        <v>18678</v>
      </c>
      <c r="F5719" s="40" t="s">
        <v>17827</v>
      </c>
      <c r="G5719" s="40" t="s">
        <v>20</v>
      </c>
      <c r="H5719" s="40" t="s">
        <v>71</v>
      </c>
      <c r="I5719" s="40" t="s">
        <v>21</v>
      </c>
      <c r="J5719" s="40" t="s">
        <v>18679</v>
      </c>
      <c r="K5719" s="40" t="s">
        <v>6081</v>
      </c>
      <c r="L5719" s="40" t="s">
        <v>4282</v>
      </c>
      <c r="M5719" s="40" t="s">
        <v>21</v>
      </c>
      <c r="O5719" s="101">
        <v>43314</v>
      </c>
      <c r="P5719" s="41" t="s">
        <v>21</v>
      </c>
      <c r="Q5719" s="42" t="b">
        <v>0</v>
      </c>
      <c r="R5719" s="22">
        <f t="shared" si="111"/>
        <v>378</v>
      </c>
      <c r="S5719" s="18"/>
    </row>
    <row r="5720" spans="1:19" ht="24">
      <c r="A5720" s="59">
        <v>11192</v>
      </c>
      <c r="B5720" s="60">
        <v>42935</v>
      </c>
      <c r="C5720" s="61" t="s">
        <v>19223</v>
      </c>
      <c r="D5720" s="60">
        <v>42935</v>
      </c>
      <c r="E5720" s="61" t="s">
        <v>3268</v>
      </c>
      <c r="F5720" s="61" t="s">
        <v>1743</v>
      </c>
      <c r="G5720" s="61" t="s">
        <v>20</v>
      </c>
      <c r="H5720" s="61" t="s">
        <v>71</v>
      </c>
      <c r="I5720" s="61" t="s">
        <v>21</v>
      </c>
      <c r="J5720" s="61" t="s">
        <v>18504</v>
      </c>
      <c r="K5720" s="61" t="s">
        <v>18505</v>
      </c>
      <c r="L5720" s="61" t="s">
        <v>16689</v>
      </c>
      <c r="M5720" s="61" t="s">
        <v>21</v>
      </c>
      <c r="O5720" s="107">
        <v>42984</v>
      </c>
      <c r="P5720" s="61" t="s">
        <v>21</v>
      </c>
      <c r="Q5720" s="59" t="b">
        <v>0</v>
      </c>
      <c r="R5720" s="22">
        <f t="shared" si="111"/>
        <v>47</v>
      </c>
      <c r="S5720" s="37" t="s">
        <v>21</v>
      </c>
    </row>
    <row r="5721" spans="1:19" ht="24">
      <c r="A5721" s="26">
        <v>11193</v>
      </c>
      <c r="B5721" s="27">
        <v>42935</v>
      </c>
      <c r="C5721" s="28" t="s">
        <v>19226</v>
      </c>
      <c r="D5721" s="27">
        <v>42935</v>
      </c>
      <c r="E5721" s="28" t="s">
        <v>3268</v>
      </c>
      <c r="F5721" s="28" t="s">
        <v>1743</v>
      </c>
      <c r="G5721" s="28" t="s">
        <v>20</v>
      </c>
      <c r="H5721" s="28" t="s">
        <v>189</v>
      </c>
      <c r="I5721" s="28" t="s">
        <v>21</v>
      </c>
      <c r="J5721" s="28" t="s">
        <v>18506</v>
      </c>
      <c r="K5721" s="28" t="s">
        <v>18507</v>
      </c>
      <c r="L5721" s="28" t="s">
        <v>16689</v>
      </c>
      <c r="M5721" s="28" t="s">
        <v>21</v>
      </c>
      <c r="O5721" s="94">
        <v>42986</v>
      </c>
      <c r="P5721" s="28" t="s">
        <v>21</v>
      </c>
      <c r="Q5721" s="26" t="b">
        <v>0</v>
      </c>
      <c r="R5721" s="22">
        <f t="shared" si="111"/>
        <v>49</v>
      </c>
      <c r="S5721" s="28" t="s">
        <v>21</v>
      </c>
    </row>
    <row r="5722" spans="1:19" ht="24">
      <c r="A5722" s="59">
        <v>11194</v>
      </c>
      <c r="B5722" s="60">
        <v>42935</v>
      </c>
      <c r="C5722" s="61" t="s">
        <v>19230</v>
      </c>
      <c r="D5722" s="60">
        <v>42935</v>
      </c>
      <c r="E5722" s="61" t="s">
        <v>3268</v>
      </c>
      <c r="F5722" s="61" t="s">
        <v>1743</v>
      </c>
      <c r="G5722" s="61" t="s">
        <v>20</v>
      </c>
      <c r="H5722" s="61" t="s">
        <v>212</v>
      </c>
      <c r="I5722" s="61" t="s">
        <v>21</v>
      </c>
      <c r="J5722" s="61" t="s">
        <v>18508</v>
      </c>
      <c r="K5722" s="61" t="s">
        <v>18509</v>
      </c>
      <c r="L5722" s="61" t="s">
        <v>16689</v>
      </c>
      <c r="M5722" s="61" t="s">
        <v>21</v>
      </c>
      <c r="O5722" s="107">
        <v>42990</v>
      </c>
      <c r="P5722" s="61" t="s">
        <v>21</v>
      </c>
      <c r="Q5722" s="59" t="b">
        <v>0</v>
      </c>
      <c r="R5722" s="22">
        <f t="shared" si="111"/>
        <v>53</v>
      </c>
      <c r="S5722" s="37" t="s">
        <v>21</v>
      </c>
    </row>
    <row r="5723" spans="1:19" ht="24">
      <c r="A5723" s="26">
        <v>11195</v>
      </c>
      <c r="B5723" s="27">
        <v>42935</v>
      </c>
      <c r="C5723" s="28" t="s">
        <v>19235</v>
      </c>
      <c r="D5723" s="27">
        <v>42935</v>
      </c>
      <c r="E5723" s="28" t="s">
        <v>3268</v>
      </c>
      <c r="F5723" s="28" t="s">
        <v>1743</v>
      </c>
      <c r="G5723" s="28" t="s">
        <v>20</v>
      </c>
      <c r="H5723" s="28" t="s">
        <v>566</v>
      </c>
      <c r="I5723" s="28" t="s">
        <v>21</v>
      </c>
      <c r="J5723" s="28" t="s">
        <v>18510</v>
      </c>
      <c r="K5723" s="28" t="s">
        <v>18511</v>
      </c>
      <c r="L5723" s="28" t="s">
        <v>16689</v>
      </c>
      <c r="M5723" s="28" t="s">
        <v>21</v>
      </c>
      <c r="O5723" s="94">
        <v>42993</v>
      </c>
      <c r="P5723" s="28" t="s">
        <v>21</v>
      </c>
      <c r="Q5723" s="26" t="b">
        <v>0</v>
      </c>
      <c r="R5723" s="22">
        <f t="shared" si="111"/>
        <v>56</v>
      </c>
      <c r="S5723" s="28" t="s">
        <v>21</v>
      </c>
    </row>
    <row r="5724" spans="1:19">
      <c r="A5724" s="26">
        <v>11196</v>
      </c>
      <c r="B5724" s="27">
        <v>42936</v>
      </c>
      <c r="C5724" s="28" t="s">
        <v>19217</v>
      </c>
      <c r="D5724" s="27">
        <v>42933</v>
      </c>
      <c r="E5724" s="28" t="s">
        <v>1928</v>
      </c>
      <c r="F5724" s="28" t="s">
        <v>15588</v>
      </c>
      <c r="G5724" s="28" t="s">
        <v>20</v>
      </c>
      <c r="H5724" s="28" t="s">
        <v>71</v>
      </c>
      <c r="I5724" s="28" t="s">
        <v>21</v>
      </c>
      <c r="J5724" s="28" t="s">
        <v>18512</v>
      </c>
      <c r="K5724" s="28" t="s">
        <v>18513</v>
      </c>
      <c r="L5724" s="28" t="s">
        <v>7167</v>
      </c>
      <c r="M5724" s="28" t="s">
        <v>21</v>
      </c>
      <c r="O5724" s="94">
        <v>42978</v>
      </c>
      <c r="P5724" s="28" t="s">
        <v>21</v>
      </c>
      <c r="Q5724" s="26" t="b">
        <v>0</v>
      </c>
      <c r="R5724" s="22">
        <f t="shared" si="111"/>
        <v>41</v>
      </c>
      <c r="S5724" s="28" t="s">
        <v>21</v>
      </c>
    </row>
    <row r="5725" spans="1:19">
      <c r="A5725" s="26">
        <v>11197</v>
      </c>
      <c r="B5725" s="27">
        <v>42941</v>
      </c>
      <c r="C5725" s="28" t="s">
        <v>19228</v>
      </c>
      <c r="D5725" s="27">
        <v>42928</v>
      </c>
      <c r="E5725" s="28" t="s">
        <v>18519</v>
      </c>
      <c r="F5725" s="28" t="s">
        <v>741</v>
      </c>
      <c r="G5725" s="28" t="s">
        <v>20</v>
      </c>
      <c r="H5725" s="28" t="s">
        <v>71</v>
      </c>
      <c r="I5725" s="28" t="s">
        <v>21</v>
      </c>
      <c r="J5725" s="28" t="s">
        <v>18520</v>
      </c>
      <c r="K5725" s="28" t="s">
        <v>6081</v>
      </c>
      <c r="L5725" s="28" t="s">
        <v>14909</v>
      </c>
      <c r="M5725" s="28" t="s">
        <v>21</v>
      </c>
      <c r="O5725" s="94">
        <v>42989</v>
      </c>
      <c r="P5725" s="28" t="s">
        <v>21</v>
      </c>
      <c r="Q5725" s="26" t="b">
        <v>0</v>
      </c>
      <c r="R5725" s="22">
        <f t="shared" si="111"/>
        <v>46</v>
      </c>
      <c r="S5725" s="28" t="s">
        <v>21</v>
      </c>
    </row>
    <row r="5726" spans="1:19">
      <c r="A5726" s="59">
        <v>11198</v>
      </c>
      <c r="B5726" s="60">
        <v>42941</v>
      </c>
      <c r="C5726" s="61" t="s">
        <v>19215</v>
      </c>
      <c r="D5726" s="60">
        <v>42928</v>
      </c>
      <c r="E5726" s="61" t="s">
        <v>18514</v>
      </c>
      <c r="F5726" s="61" t="s">
        <v>14118</v>
      </c>
      <c r="G5726" s="61" t="s">
        <v>20</v>
      </c>
      <c r="H5726" s="61" t="s">
        <v>71</v>
      </c>
      <c r="I5726" s="61" t="s">
        <v>21</v>
      </c>
      <c r="J5726" s="61" t="s">
        <v>18515</v>
      </c>
      <c r="K5726" s="61" t="s">
        <v>6081</v>
      </c>
      <c r="L5726" s="61" t="s">
        <v>14909</v>
      </c>
      <c r="M5726" s="61" t="s">
        <v>21</v>
      </c>
      <c r="O5726" s="107">
        <v>42976</v>
      </c>
      <c r="P5726" s="61" t="s">
        <v>21</v>
      </c>
      <c r="Q5726" s="59" t="b">
        <v>0</v>
      </c>
      <c r="R5726" s="22">
        <f t="shared" si="111"/>
        <v>34</v>
      </c>
      <c r="S5726" s="37" t="s">
        <v>21</v>
      </c>
    </row>
    <row r="5727" spans="1:19">
      <c r="A5727" s="26">
        <v>11199</v>
      </c>
      <c r="B5727" s="27">
        <v>42941</v>
      </c>
      <c r="C5727" s="28" t="s">
        <v>19216</v>
      </c>
      <c r="D5727" s="27">
        <v>42940</v>
      </c>
      <c r="E5727" s="28" t="s">
        <v>18516</v>
      </c>
      <c r="F5727" s="28" t="s">
        <v>3519</v>
      </c>
      <c r="G5727" s="28" t="s">
        <v>20</v>
      </c>
      <c r="H5727" s="28" t="s">
        <v>566</v>
      </c>
      <c r="I5727" s="28" t="s">
        <v>21</v>
      </c>
      <c r="J5727" s="28" t="s">
        <v>18517</v>
      </c>
      <c r="K5727" s="28" t="s">
        <v>6081</v>
      </c>
      <c r="L5727" s="28" t="s">
        <v>14909</v>
      </c>
      <c r="M5727" s="28" t="s">
        <v>21</v>
      </c>
      <c r="O5727" s="94">
        <v>42976</v>
      </c>
      <c r="P5727" s="28" t="s">
        <v>21</v>
      </c>
      <c r="Q5727" s="26" t="b">
        <v>0</v>
      </c>
      <c r="R5727" s="22">
        <f t="shared" si="111"/>
        <v>34</v>
      </c>
      <c r="S5727" s="28" t="s">
        <v>21</v>
      </c>
    </row>
    <row r="5728" spans="1:19" ht="24">
      <c r="A5728" s="26">
        <v>11200</v>
      </c>
      <c r="B5728" s="27">
        <v>42941</v>
      </c>
      <c r="C5728" s="28" t="s">
        <v>19224</v>
      </c>
      <c r="D5728" s="27">
        <v>42940</v>
      </c>
      <c r="E5728" s="28" t="s">
        <v>1928</v>
      </c>
      <c r="F5728" s="28" t="s">
        <v>1743</v>
      </c>
      <c r="G5728" s="28" t="s">
        <v>20</v>
      </c>
      <c r="H5728" s="28" t="s">
        <v>71</v>
      </c>
      <c r="I5728" s="28" t="s">
        <v>21</v>
      </c>
      <c r="J5728" s="28" t="s">
        <v>18518</v>
      </c>
      <c r="K5728" s="28" t="s">
        <v>21</v>
      </c>
      <c r="L5728" s="28" t="s">
        <v>7167</v>
      </c>
      <c r="M5728" s="28" t="s">
        <v>21</v>
      </c>
      <c r="O5728" s="94">
        <v>42985</v>
      </c>
      <c r="P5728" s="28" t="s">
        <v>21</v>
      </c>
      <c r="Q5728" s="26" t="b">
        <v>0</v>
      </c>
      <c r="R5728" s="22">
        <f t="shared" si="111"/>
        <v>42</v>
      </c>
      <c r="S5728" s="28" t="s">
        <v>21</v>
      </c>
    </row>
    <row r="5729" spans="1:20">
      <c r="A5729" s="26">
        <v>11201</v>
      </c>
      <c r="B5729" s="27">
        <v>42944</v>
      </c>
      <c r="C5729" s="28" t="s">
        <v>19261</v>
      </c>
      <c r="D5729" s="27">
        <v>42944</v>
      </c>
      <c r="E5729" s="28" t="s">
        <v>38</v>
      </c>
      <c r="F5729" s="28" t="s">
        <v>39</v>
      </c>
      <c r="G5729" s="28" t="s">
        <v>20</v>
      </c>
      <c r="H5729" s="28" t="s">
        <v>71</v>
      </c>
      <c r="I5729" s="28" t="s">
        <v>21</v>
      </c>
      <c r="J5729" s="28" t="s">
        <v>18521</v>
      </c>
      <c r="K5729" s="28" t="s">
        <v>18522</v>
      </c>
      <c r="L5729" s="28" t="s">
        <v>14518</v>
      </c>
      <c r="M5729" s="28" t="s">
        <v>21</v>
      </c>
      <c r="O5729" s="94">
        <v>43038</v>
      </c>
      <c r="P5729" s="28" t="s">
        <v>21</v>
      </c>
      <c r="Q5729" s="26" t="b">
        <v>0</v>
      </c>
      <c r="R5729" s="22">
        <f t="shared" si="111"/>
        <v>93</v>
      </c>
      <c r="S5729" s="28" t="s">
        <v>21</v>
      </c>
    </row>
    <row r="5730" spans="1:20">
      <c r="A5730" s="26">
        <v>11203</v>
      </c>
      <c r="B5730" s="27">
        <v>42944</v>
      </c>
      <c r="C5730" s="28" t="s">
        <v>19276</v>
      </c>
      <c r="D5730" s="27">
        <v>42947</v>
      </c>
      <c r="E5730" s="28" t="s">
        <v>38</v>
      </c>
      <c r="F5730" s="28" t="s">
        <v>5184</v>
      </c>
      <c r="G5730" s="28" t="s">
        <v>20</v>
      </c>
      <c r="H5730" s="28" t="s">
        <v>71</v>
      </c>
      <c r="I5730" s="28" t="s">
        <v>21</v>
      </c>
      <c r="J5730" s="28" t="s">
        <v>18523</v>
      </c>
      <c r="K5730" s="28" t="s">
        <v>18524</v>
      </c>
      <c r="L5730" s="28" t="s">
        <v>14518</v>
      </c>
      <c r="M5730" s="28" t="s">
        <v>21</v>
      </c>
      <c r="O5730" s="94">
        <v>43075</v>
      </c>
      <c r="P5730" s="28" t="s">
        <v>21</v>
      </c>
      <c r="Q5730" s="26" t="b">
        <v>0</v>
      </c>
      <c r="R5730" s="22">
        <f t="shared" si="111"/>
        <v>129</v>
      </c>
      <c r="S5730" s="28" t="s">
        <v>21</v>
      </c>
    </row>
    <row r="5731" spans="1:20">
      <c r="A5731" s="26">
        <v>11202</v>
      </c>
      <c r="B5731" s="27">
        <v>42947</v>
      </c>
      <c r="C5731" s="28" t="s">
        <v>19205</v>
      </c>
      <c r="D5731" s="27">
        <v>42944</v>
      </c>
      <c r="E5731" s="28" t="s">
        <v>38</v>
      </c>
      <c r="F5731" s="28" t="s">
        <v>104</v>
      </c>
      <c r="G5731" s="28" t="s">
        <v>20</v>
      </c>
      <c r="H5731" s="28" t="s">
        <v>71</v>
      </c>
      <c r="I5731" s="28" t="s">
        <v>21</v>
      </c>
      <c r="J5731" s="28" t="s">
        <v>18525</v>
      </c>
      <c r="K5731" s="28" t="s">
        <v>18526</v>
      </c>
      <c r="L5731" s="28" t="s">
        <v>14909</v>
      </c>
      <c r="M5731" s="28" t="s">
        <v>21</v>
      </c>
      <c r="O5731" s="94">
        <v>42955</v>
      </c>
      <c r="P5731" s="28" t="s">
        <v>21</v>
      </c>
      <c r="Q5731" s="26" t="b">
        <v>0</v>
      </c>
      <c r="R5731" s="22">
        <f t="shared" si="111"/>
        <v>8</v>
      </c>
      <c r="S5731" s="28" t="s">
        <v>21</v>
      </c>
    </row>
    <row r="5732" spans="1:20">
      <c r="A5732" s="59">
        <v>11204</v>
      </c>
      <c r="B5732" s="60">
        <v>42948</v>
      </c>
      <c r="C5732" s="61" t="s">
        <v>19199</v>
      </c>
      <c r="D5732" s="60">
        <v>42948</v>
      </c>
      <c r="E5732" s="61" t="s">
        <v>38</v>
      </c>
      <c r="F5732" s="61" t="s">
        <v>1743</v>
      </c>
      <c r="G5732" s="61" t="s">
        <v>20</v>
      </c>
      <c r="H5732" s="61" t="s">
        <v>71</v>
      </c>
      <c r="I5732" s="61" t="s">
        <v>21</v>
      </c>
      <c r="J5732" s="61" t="s">
        <v>18527</v>
      </c>
      <c r="K5732" s="61" t="s">
        <v>21</v>
      </c>
      <c r="L5732" s="61" t="s">
        <v>14349</v>
      </c>
      <c r="M5732" s="61" t="s">
        <v>21</v>
      </c>
      <c r="O5732" s="107">
        <v>42949</v>
      </c>
      <c r="P5732" s="61" t="s">
        <v>21</v>
      </c>
      <c r="Q5732" s="59" t="b">
        <v>0</v>
      </c>
      <c r="R5732" s="22">
        <f t="shared" si="111"/>
        <v>1</v>
      </c>
      <c r="S5732" s="37" t="s">
        <v>21</v>
      </c>
    </row>
    <row r="5733" spans="1:20">
      <c r="A5733" s="26">
        <v>11205</v>
      </c>
      <c r="B5733" s="27">
        <v>42957</v>
      </c>
      <c r="C5733" s="28" t="s">
        <v>19211</v>
      </c>
      <c r="D5733" s="27">
        <v>42956</v>
      </c>
      <c r="E5733" s="28" t="s">
        <v>38</v>
      </c>
      <c r="F5733" s="28" t="s">
        <v>14118</v>
      </c>
      <c r="G5733" s="28" t="s">
        <v>20</v>
      </c>
      <c r="H5733" s="28" t="s">
        <v>71</v>
      </c>
      <c r="I5733" s="28" t="s">
        <v>21</v>
      </c>
      <c r="J5733" s="28" t="s">
        <v>18530</v>
      </c>
      <c r="K5733" s="28" t="s">
        <v>18495</v>
      </c>
      <c r="L5733" s="28" t="s">
        <v>14518</v>
      </c>
      <c r="M5733" s="28" t="s">
        <v>21</v>
      </c>
      <c r="O5733" s="94">
        <v>42969</v>
      </c>
      <c r="P5733" s="28" t="s">
        <v>21</v>
      </c>
      <c r="Q5733" s="26" t="b">
        <v>0</v>
      </c>
      <c r="R5733" s="22">
        <f t="shared" si="111"/>
        <v>12</v>
      </c>
      <c r="S5733" s="28" t="s">
        <v>21</v>
      </c>
      <c r="T5733" s="18"/>
    </row>
    <row r="5734" spans="1:20">
      <c r="A5734" s="26">
        <v>11206</v>
      </c>
      <c r="B5734" s="27">
        <v>42957</v>
      </c>
      <c r="C5734" s="28" t="s">
        <v>19209</v>
      </c>
      <c r="D5734" s="27">
        <v>42956</v>
      </c>
      <c r="E5734" s="28" t="s">
        <v>38</v>
      </c>
      <c r="F5734" s="28" t="s">
        <v>6191</v>
      </c>
      <c r="G5734" s="28" t="s">
        <v>20</v>
      </c>
      <c r="H5734" s="28" t="s">
        <v>189</v>
      </c>
      <c r="I5734" s="28" t="s">
        <v>21</v>
      </c>
      <c r="J5734" s="28" t="s">
        <v>18528</v>
      </c>
      <c r="K5734" s="28" t="s">
        <v>18529</v>
      </c>
      <c r="L5734" s="28" t="s">
        <v>14909</v>
      </c>
      <c r="M5734" s="28" t="s">
        <v>21</v>
      </c>
      <c r="O5734" s="94">
        <v>42962</v>
      </c>
      <c r="P5734" s="28" t="s">
        <v>21</v>
      </c>
      <c r="Q5734" s="26" t="b">
        <v>0</v>
      </c>
      <c r="R5734" s="22">
        <f t="shared" si="111"/>
        <v>5</v>
      </c>
      <c r="S5734" s="28" t="s">
        <v>21</v>
      </c>
    </row>
    <row r="5735" spans="1:20">
      <c r="A5735" s="59">
        <v>11207</v>
      </c>
      <c r="B5735" s="60">
        <v>42957</v>
      </c>
      <c r="C5735" s="61" t="s">
        <v>19243</v>
      </c>
      <c r="D5735" s="60">
        <v>42957</v>
      </c>
      <c r="E5735" s="61" t="s">
        <v>18531</v>
      </c>
      <c r="F5735" s="61" t="s">
        <v>56</v>
      </c>
      <c r="G5735" s="61" t="s">
        <v>20</v>
      </c>
      <c r="H5735" s="61" t="s">
        <v>71</v>
      </c>
      <c r="I5735" s="61" t="s">
        <v>21</v>
      </c>
      <c r="J5735" s="61" t="s">
        <v>18532</v>
      </c>
      <c r="K5735" s="61" t="s">
        <v>18533</v>
      </c>
      <c r="L5735" s="61" t="s">
        <v>14909</v>
      </c>
      <c r="M5735" s="61" t="s">
        <v>21</v>
      </c>
      <c r="O5735" s="107">
        <v>43012</v>
      </c>
      <c r="P5735" s="61" t="s">
        <v>21</v>
      </c>
      <c r="Q5735" s="59" t="b">
        <v>0</v>
      </c>
      <c r="R5735" s="22">
        <f t="shared" si="111"/>
        <v>54</v>
      </c>
      <c r="S5735" s="37" t="s">
        <v>21</v>
      </c>
    </row>
    <row r="5736" spans="1:20">
      <c r="A5736" s="64">
        <v>11208</v>
      </c>
      <c r="B5736" s="62">
        <v>42958</v>
      </c>
      <c r="C5736" s="63" t="s">
        <v>19004</v>
      </c>
      <c r="D5736" s="62">
        <v>42957</v>
      </c>
      <c r="E5736" s="63" t="s">
        <v>38</v>
      </c>
      <c r="F5736" s="63" t="s">
        <v>5184</v>
      </c>
      <c r="G5736" s="63" t="s">
        <v>20</v>
      </c>
      <c r="H5736" s="63" t="s">
        <v>71</v>
      </c>
      <c r="I5736" s="63" t="s">
        <v>21</v>
      </c>
      <c r="J5736" s="63" t="s">
        <v>15528</v>
      </c>
      <c r="K5736" s="63" t="s">
        <v>18680</v>
      </c>
      <c r="L5736" s="63" t="s">
        <v>14518</v>
      </c>
      <c r="M5736" s="63" t="s">
        <v>21</v>
      </c>
      <c r="O5736" s="108">
        <v>43276</v>
      </c>
      <c r="P5736" s="65" t="s">
        <v>21</v>
      </c>
      <c r="Q5736" s="66" t="b">
        <v>0</v>
      </c>
      <c r="R5736" s="22">
        <f t="shared" si="111"/>
        <v>318</v>
      </c>
    </row>
    <row r="5737" spans="1:20" ht="24">
      <c r="A5737" s="26">
        <v>11209</v>
      </c>
      <c r="B5737" s="27">
        <v>42961</v>
      </c>
      <c r="C5737" s="28" t="s">
        <v>19246</v>
      </c>
      <c r="D5737" s="27">
        <v>42958</v>
      </c>
      <c r="E5737" s="28" t="s">
        <v>18537</v>
      </c>
      <c r="F5737" s="28" t="s">
        <v>145</v>
      </c>
      <c r="G5737" s="28" t="s">
        <v>20</v>
      </c>
      <c r="H5737" s="28" t="s">
        <v>71</v>
      </c>
      <c r="I5737" s="28" t="s">
        <v>21</v>
      </c>
      <c r="J5737" s="28" t="s">
        <v>18538</v>
      </c>
      <c r="K5737" s="28" t="s">
        <v>9348</v>
      </c>
      <c r="L5737" s="28" t="s">
        <v>7167</v>
      </c>
      <c r="M5737" s="28" t="s">
        <v>21</v>
      </c>
      <c r="O5737" s="94">
        <v>43014</v>
      </c>
      <c r="P5737" s="28" t="s">
        <v>21</v>
      </c>
      <c r="Q5737" s="26" t="b">
        <v>0</v>
      </c>
      <c r="R5737" s="22">
        <f t="shared" si="111"/>
        <v>52</v>
      </c>
      <c r="S5737" s="28" t="s">
        <v>21</v>
      </c>
    </row>
    <row r="5738" spans="1:20">
      <c r="A5738" s="26">
        <v>11210</v>
      </c>
      <c r="B5738" s="27">
        <v>42961</v>
      </c>
      <c r="C5738" s="28" t="s">
        <v>19244</v>
      </c>
      <c r="D5738" s="27">
        <v>42958</v>
      </c>
      <c r="E5738" s="28" t="s">
        <v>18534</v>
      </c>
      <c r="F5738" s="28" t="s">
        <v>56</v>
      </c>
      <c r="G5738" s="28" t="s">
        <v>20</v>
      </c>
      <c r="H5738" s="28" t="s">
        <v>71</v>
      </c>
      <c r="I5738" s="28" t="s">
        <v>21</v>
      </c>
      <c r="J5738" s="28" t="s">
        <v>18535</v>
      </c>
      <c r="K5738" s="28" t="s">
        <v>18536</v>
      </c>
      <c r="L5738" s="28" t="s">
        <v>14909</v>
      </c>
      <c r="M5738" s="28" t="s">
        <v>21</v>
      </c>
      <c r="O5738" s="94">
        <v>43012</v>
      </c>
      <c r="P5738" s="28" t="s">
        <v>21</v>
      </c>
      <c r="Q5738" s="26" t="b">
        <v>0</v>
      </c>
      <c r="R5738" s="22">
        <f t="shared" si="111"/>
        <v>50</v>
      </c>
      <c r="S5738" s="28" t="s">
        <v>21</v>
      </c>
    </row>
    <row r="5739" spans="1:20">
      <c r="A5739" s="26">
        <v>11211</v>
      </c>
      <c r="B5739" s="27">
        <v>42962</v>
      </c>
      <c r="C5739" s="28" t="s">
        <v>19210</v>
      </c>
      <c r="D5739" s="27">
        <v>42961</v>
      </c>
      <c r="E5739" s="28" t="s">
        <v>38</v>
      </c>
      <c r="F5739" s="28" t="s">
        <v>2296</v>
      </c>
      <c r="G5739" s="28" t="s">
        <v>20</v>
      </c>
      <c r="H5739" s="28" t="s">
        <v>566</v>
      </c>
      <c r="I5739" s="28" t="s">
        <v>21</v>
      </c>
      <c r="J5739" s="28" t="s">
        <v>18539</v>
      </c>
      <c r="K5739" s="28" t="s">
        <v>18540</v>
      </c>
      <c r="L5739" s="28" t="s">
        <v>14909</v>
      </c>
      <c r="M5739" s="28" t="s">
        <v>21</v>
      </c>
      <c r="O5739" s="94">
        <v>42963</v>
      </c>
      <c r="P5739" s="28" t="s">
        <v>21</v>
      </c>
      <c r="Q5739" s="26" t="b">
        <v>0</v>
      </c>
      <c r="R5739" s="22">
        <f t="shared" si="111"/>
        <v>1</v>
      </c>
      <c r="S5739" s="28" t="s">
        <v>21</v>
      </c>
    </row>
    <row r="5740" spans="1:20">
      <c r="A5740" s="26">
        <v>11212</v>
      </c>
      <c r="B5740" s="27">
        <v>42962</v>
      </c>
      <c r="C5740" s="28" t="s">
        <v>19214</v>
      </c>
      <c r="D5740" s="27">
        <v>42961</v>
      </c>
      <c r="E5740" s="28" t="s">
        <v>38</v>
      </c>
      <c r="F5740" s="28" t="s">
        <v>124</v>
      </c>
      <c r="G5740" s="28" t="s">
        <v>20</v>
      </c>
      <c r="H5740" s="28" t="s">
        <v>71</v>
      </c>
      <c r="I5740" s="28" t="s">
        <v>21</v>
      </c>
      <c r="J5740" s="28" t="s">
        <v>18541</v>
      </c>
      <c r="K5740" s="28" t="s">
        <v>16729</v>
      </c>
      <c r="L5740" s="28" t="s">
        <v>14909</v>
      </c>
      <c r="M5740" s="28" t="s">
        <v>21</v>
      </c>
      <c r="O5740" s="94">
        <v>42971</v>
      </c>
      <c r="P5740" s="28" t="s">
        <v>21</v>
      </c>
      <c r="Q5740" s="26" t="b">
        <v>0</v>
      </c>
      <c r="R5740" s="22">
        <f t="shared" si="111"/>
        <v>9</v>
      </c>
      <c r="S5740" s="28" t="s">
        <v>21</v>
      </c>
    </row>
    <row r="5741" spans="1:20">
      <c r="A5741" s="64">
        <v>11213</v>
      </c>
      <c r="B5741" s="62">
        <v>42963</v>
      </c>
      <c r="C5741" s="63" t="s">
        <v>19005</v>
      </c>
      <c r="D5741" s="62">
        <v>42962</v>
      </c>
      <c r="E5741" s="63" t="s">
        <v>18681</v>
      </c>
      <c r="F5741" s="63" t="s">
        <v>327</v>
      </c>
      <c r="G5741" s="63" t="s">
        <v>20</v>
      </c>
      <c r="H5741" s="63" t="s">
        <v>71</v>
      </c>
      <c r="I5741" s="63" t="s">
        <v>21</v>
      </c>
      <c r="J5741" s="63" t="s">
        <v>18682</v>
      </c>
      <c r="K5741" s="63" t="s">
        <v>9348</v>
      </c>
      <c r="L5741" s="63" t="s">
        <v>4282</v>
      </c>
      <c r="M5741" s="63" t="s">
        <v>21</v>
      </c>
      <c r="O5741" s="108">
        <v>43461</v>
      </c>
      <c r="P5741" s="65" t="s">
        <v>21</v>
      </c>
      <c r="Q5741" s="66" t="b">
        <v>0</v>
      </c>
      <c r="R5741" s="22">
        <f t="shared" si="111"/>
        <v>497</v>
      </c>
    </row>
    <row r="5742" spans="1:20">
      <c r="A5742" s="59">
        <v>11214</v>
      </c>
      <c r="B5742" s="60">
        <v>42964</v>
      </c>
      <c r="C5742" s="61" t="s">
        <v>19218</v>
      </c>
      <c r="D5742" s="60">
        <v>42964</v>
      </c>
      <c r="E5742" s="61" t="s">
        <v>1928</v>
      </c>
      <c r="F5742" s="61" t="s">
        <v>1743</v>
      </c>
      <c r="G5742" s="61" t="s">
        <v>20</v>
      </c>
      <c r="H5742" s="61" t="s">
        <v>71</v>
      </c>
      <c r="I5742" s="61" t="s">
        <v>21</v>
      </c>
      <c r="J5742" s="61" t="s">
        <v>18542</v>
      </c>
      <c r="K5742" s="61" t="s">
        <v>18543</v>
      </c>
      <c r="L5742" s="61" t="s">
        <v>1946</v>
      </c>
      <c r="M5742" s="61" t="s">
        <v>21</v>
      </c>
      <c r="O5742" s="107">
        <v>42978</v>
      </c>
      <c r="P5742" s="61" t="s">
        <v>21</v>
      </c>
      <c r="Q5742" s="59" t="b">
        <v>0</v>
      </c>
      <c r="R5742" s="22">
        <f t="shared" si="111"/>
        <v>14</v>
      </c>
      <c r="S5742" s="37" t="s">
        <v>21</v>
      </c>
    </row>
    <row r="5743" spans="1:20">
      <c r="A5743" s="59">
        <v>11215</v>
      </c>
      <c r="B5743" s="60">
        <v>42964</v>
      </c>
      <c r="C5743" s="61" t="s">
        <v>19265</v>
      </c>
      <c r="D5743" s="60">
        <v>42957</v>
      </c>
      <c r="E5743" s="61" t="s">
        <v>18544</v>
      </c>
      <c r="F5743" s="61" t="s">
        <v>27</v>
      </c>
      <c r="G5743" s="61" t="s">
        <v>20</v>
      </c>
      <c r="H5743" s="61" t="s">
        <v>71</v>
      </c>
      <c r="I5743" s="61" t="s">
        <v>21</v>
      </c>
      <c r="J5743" s="61" t="s">
        <v>18545</v>
      </c>
      <c r="K5743" s="61" t="s">
        <v>6081</v>
      </c>
      <c r="L5743" s="61" t="s">
        <v>1946</v>
      </c>
      <c r="M5743" s="61" t="s">
        <v>21</v>
      </c>
      <c r="O5743" s="107">
        <v>43040</v>
      </c>
      <c r="P5743" s="61" t="s">
        <v>21</v>
      </c>
      <c r="Q5743" s="59" t="b">
        <v>0</v>
      </c>
      <c r="R5743" s="22">
        <f t="shared" si="111"/>
        <v>75</v>
      </c>
      <c r="S5743" s="37" t="s">
        <v>21</v>
      </c>
    </row>
    <row r="5744" spans="1:20">
      <c r="A5744" s="26">
        <v>11216</v>
      </c>
      <c r="B5744" s="27">
        <v>42968</v>
      </c>
      <c r="C5744" s="28" t="s">
        <v>19253</v>
      </c>
      <c r="D5744" s="27">
        <v>42964</v>
      </c>
      <c r="E5744" s="28" t="s">
        <v>38</v>
      </c>
      <c r="F5744" s="28" t="s">
        <v>5184</v>
      </c>
      <c r="G5744" s="28" t="s">
        <v>20</v>
      </c>
      <c r="H5744" s="28" t="s">
        <v>71</v>
      </c>
      <c r="I5744" s="28" t="s">
        <v>21</v>
      </c>
      <c r="J5744" s="28" t="s">
        <v>18546</v>
      </c>
      <c r="K5744" s="28" t="s">
        <v>9597</v>
      </c>
      <c r="L5744" s="28" t="s">
        <v>14518</v>
      </c>
      <c r="M5744" s="28" t="s">
        <v>21</v>
      </c>
      <c r="O5744" s="94">
        <v>43020</v>
      </c>
      <c r="P5744" s="28" t="s">
        <v>21</v>
      </c>
      <c r="Q5744" s="26" t="b">
        <v>0</v>
      </c>
      <c r="R5744" s="22">
        <f t="shared" si="111"/>
        <v>51</v>
      </c>
      <c r="S5744" s="28" t="s">
        <v>21</v>
      </c>
    </row>
    <row r="5745" spans="1:20">
      <c r="A5745" s="59">
        <v>11217</v>
      </c>
      <c r="B5745" s="60">
        <v>42970</v>
      </c>
      <c r="C5745" s="61" t="s">
        <v>19213</v>
      </c>
      <c r="D5745" s="60">
        <v>42969</v>
      </c>
      <c r="E5745" s="61" t="s">
        <v>38</v>
      </c>
      <c r="F5745" s="61" t="s">
        <v>124</v>
      </c>
      <c r="G5745" s="61" t="s">
        <v>20</v>
      </c>
      <c r="H5745" s="61" t="s">
        <v>71</v>
      </c>
      <c r="I5745" s="61" t="s">
        <v>21</v>
      </c>
      <c r="J5745" s="61" t="s">
        <v>18547</v>
      </c>
      <c r="K5745" s="61" t="s">
        <v>18548</v>
      </c>
      <c r="L5745" s="61" t="s">
        <v>14909</v>
      </c>
      <c r="M5745" s="61" t="s">
        <v>21</v>
      </c>
      <c r="O5745" s="107">
        <v>42970</v>
      </c>
      <c r="P5745" s="61" t="s">
        <v>21</v>
      </c>
      <c r="Q5745" s="59" t="b">
        <v>0</v>
      </c>
      <c r="R5745" s="22">
        <f t="shared" si="111"/>
        <v>0</v>
      </c>
      <c r="S5745" s="37" t="s">
        <v>21</v>
      </c>
    </row>
    <row r="5746" spans="1:20">
      <c r="A5746" s="38">
        <v>11218</v>
      </c>
      <c r="B5746" s="39">
        <v>42971</v>
      </c>
      <c r="C5746" s="40" t="s">
        <v>19006</v>
      </c>
      <c r="D5746" s="39">
        <v>42969</v>
      </c>
      <c r="E5746" s="40" t="s">
        <v>38</v>
      </c>
      <c r="F5746" s="40" t="s">
        <v>5184</v>
      </c>
      <c r="G5746" s="40" t="s">
        <v>20</v>
      </c>
      <c r="H5746" s="40" t="s">
        <v>71</v>
      </c>
      <c r="I5746" s="40" t="s">
        <v>21</v>
      </c>
      <c r="J5746" s="40" t="s">
        <v>18683</v>
      </c>
      <c r="K5746" s="40" t="s">
        <v>18684</v>
      </c>
      <c r="L5746" s="40" t="s">
        <v>14518</v>
      </c>
      <c r="M5746" s="40" t="s">
        <v>21</v>
      </c>
      <c r="O5746" s="101">
        <v>43153</v>
      </c>
      <c r="P5746" s="41" t="s">
        <v>21</v>
      </c>
      <c r="Q5746" s="42" t="b">
        <v>0</v>
      </c>
      <c r="R5746" s="22">
        <f t="shared" si="111"/>
        <v>180</v>
      </c>
      <c r="S5746" s="18"/>
    </row>
    <row r="5747" spans="1:20">
      <c r="A5747" s="59">
        <v>11219</v>
      </c>
      <c r="B5747" s="60">
        <v>42975</v>
      </c>
      <c r="C5747" s="61" t="s">
        <v>19219</v>
      </c>
      <c r="D5747" s="60">
        <v>42972</v>
      </c>
      <c r="E5747" s="61" t="s">
        <v>18549</v>
      </c>
      <c r="F5747" s="61" t="s">
        <v>5184</v>
      </c>
      <c r="G5747" s="61" t="s">
        <v>20</v>
      </c>
      <c r="H5747" s="61" t="s">
        <v>71</v>
      </c>
      <c r="I5747" s="61" t="s">
        <v>21</v>
      </c>
      <c r="J5747" s="61" t="s">
        <v>18550</v>
      </c>
      <c r="K5747" s="61" t="s">
        <v>18551</v>
      </c>
      <c r="L5747" s="61" t="s">
        <v>7167</v>
      </c>
      <c r="M5747" s="61" t="s">
        <v>21</v>
      </c>
      <c r="O5747" s="107">
        <v>42983</v>
      </c>
      <c r="P5747" s="61" t="s">
        <v>21</v>
      </c>
      <c r="Q5747" s="59" t="b">
        <v>0</v>
      </c>
      <c r="R5747" s="22">
        <f t="shared" ref="R5747:R5752" si="112">IF(O5747=" ", " ", INT(YEARFRAC(O5747, B5747)*365))</f>
        <v>7</v>
      </c>
      <c r="S5747" s="37" t="s">
        <v>21</v>
      </c>
    </row>
    <row r="5748" spans="1:20">
      <c r="A5748" s="59">
        <v>11220</v>
      </c>
      <c r="B5748" s="60">
        <v>42976</v>
      </c>
      <c r="C5748" s="61" t="s">
        <v>19220</v>
      </c>
      <c r="D5748" s="60">
        <v>42975</v>
      </c>
      <c r="E5748" s="61" t="s">
        <v>1928</v>
      </c>
      <c r="F5748" s="61" t="s">
        <v>1743</v>
      </c>
      <c r="G5748" s="61" t="s">
        <v>20</v>
      </c>
      <c r="H5748" s="61" t="s">
        <v>71</v>
      </c>
      <c r="I5748" s="61" t="s">
        <v>21</v>
      </c>
      <c r="J5748" s="61" t="s">
        <v>18552</v>
      </c>
      <c r="K5748" s="61" t="s">
        <v>18553</v>
      </c>
      <c r="L5748" s="61" t="s">
        <v>7167</v>
      </c>
      <c r="M5748" s="61" t="s">
        <v>21</v>
      </c>
      <c r="O5748" s="107">
        <v>42983</v>
      </c>
      <c r="P5748" s="61" t="s">
        <v>21</v>
      </c>
      <c r="Q5748" s="59" t="b">
        <v>0</v>
      </c>
      <c r="R5748" s="22">
        <f t="shared" si="112"/>
        <v>6</v>
      </c>
      <c r="S5748" s="37" t="s">
        <v>21</v>
      </c>
    </row>
    <row r="5749" spans="1:20" ht="24">
      <c r="A5749" s="26">
        <v>11221</v>
      </c>
      <c r="B5749" s="27">
        <v>42983</v>
      </c>
      <c r="C5749" s="28" t="s">
        <v>19007</v>
      </c>
      <c r="D5749" s="27">
        <v>42983</v>
      </c>
      <c r="E5749" s="28" t="s">
        <v>18685</v>
      </c>
      <c r="F5749" s="28" t="s">
        <v>18686</v>
      </c>
      <c r="G5749" s="28" t="s">
        <v>20</v>
      </c>
      <c r="H5749" s="28" t="s">
        <v>71</v>
      </c>
      <c r="I5749" s="28" t="s">
        <v>21</v>
      </c>
      <c r="J5749" s="28" t="s">
        <v>18687</v>
      </c>
      <c r="K5749" s="28" t="s">
        <v>9348</v>
      </c>
      <c r="L5749" s="28" t="s">
        <v>7167</v>
      </c>
      <c r="M5749" s="28" t="s">
        <v>21</v>
      </c>
      <c r="O5749" s="101">
        <v>43865</v>
      </c>
      <c r="P5749" s="28" t="s">
        <v>21</v>
      </c>
      <c r="Q5749" s="26" t="b">
        <v>0</v>
      </c>
      <c r="R5749" s="22">
        <f t="shared" si="112"/>
        <v>881</v>
      </c>
      <c r="S5749" s="28" t="s">
        <v>21</v>
      </c>
    </row>
    <row r="5750" spans="1:20">
      <c r="A5750" s="26">
        <v>11222</v>
      </c>
      <c r="B5750" s="27">
        <v>42983</v>
      </c>
      <c r="C5750" s="28" t="s">
        <v>19225</v>
      </c>
      <c r="D5750" s="27">
        <v>42983</v>
      </c>
      <c r="E5750" s="28" t="s">
        <v>38</v>
      </c>
      <c r="F5750" s="28" t="s">
        <v>1743</v>
      </c>
      <c r="G5750" s="28" t="s">
        <v>20</v>
      </c>
      <c r="H5750" s="28" t="s">
        <v>71</v>
      </c>
      <c r="I5750" s="28" t="s">
        <v>21</v>
      </c>
      <c r="J5750" s="28" t="s">
        <v>18554</v>
      </c>
      <c r="K5750" s="28" t="s">
        <v>18555</v>
      </c>
      <c r="L5750" s="28" t="s">
        <v>14909</v>
      </c>
      <c r="M5750" s="28" t="s">
        <v>21</v>
      </c>
      <c r="O5750" s="94">
        <v>42985</v>
      </c>
      <c r="P5750" s="28" t="s">
        <v>21</v>
      </c>
      <c r="Q5750" s="26" t="b">
        <v>0</v>
      </c>
      <c r="R5750" s="22">
        <f t="shared" si="112"/>
        <v>2</v>
      </c>
      <c r="S5750" s="28" t="s">
        <v>21</v>
      </c>
    </row>
    <row r="5751" spans="1:20">
      <c r="A5751" s="26">
        <v>11223</v>
      </c>
      <c r="B5751" s="27">
        <v>42983</v>
      </c>
      <c r="C5751" s="28" t="s">
        <v>19233</v>
      </c>
      <c r="D5751" s="27">
        <v>42984</v>
      </c>
      <c r="E5751" s="28" t="s">
        <v>38</v>
      </c>
      <c r="F5751" s="28" t="s">
        <v>1771</v>
      </c>
      <c r="G5751" s="28" t="s">
        <v>20</v>
      </c>
      <c r="H5751" s="28" t="s">
        <v>189</v>
      </c>
      <c r="I5751" s="28" t="s">
        <v>21</v>
      </c>
      <c r="J5751" s="28" t="s">
        <v>18556</v>
      </c>
      <c r="K5751" s="28" t="s">
        <v>21</v>
      </c>
      <c r="L5751" s="28" t="s">
        <v>14909</v>
      </c>
      <c r="M5751" s="28" t="s">
        <v>21</v>
      </c>
      <c r="O5751" s="94">
        <v>42991</v>
      </c>
      <c r="P5751" s="28" t="s">
        <v>21</v>
      </c>
      <c r="Q5751" s="26" t="b">
        <v>0</v>
      </c>
      <c r="R5751" s="22">
        <f t="shared" si="112"/>
        <v>8</v>
      </c>
      <c r="S5751" s="28" t="s">
        <v>21</v>
      </c>
    </row>
    <row r="5752" spans="1:20">
      <c r="A5752" s="26">
        <v>11224</v>
      </c>
      <c r="B5752" s="27">
        <v>42983</v>
      </c>
      <c r="C5752" s="28" t="s">
        <v>19234</v>
      </c>
      <c r="D5752" s="27">
        <v>42984</v>
      </c>
      <c r="E5752" s="28" t="s">
        <v>38</v>
      </c>
      <c r="F5752" s="28" t="s">
        <v>6191</v>
      </c>
      <c r="G5752" s="28" t="s">
        <v>20</v>
      </c>
      <c r="H5752" s="28" t="s">
        <v>189</v>
      </c>
      <c r="I5752" s="28" t="s">
        <v>21</v>
      </c>
      <c r="J5752" s="28" t="s">
        <v>18556</v>
      </c>
      <c r="K5752" s="28" t="s">
        <v>21</v>
      </c>
      <c r="L5752" s="28" t="s">
        <v>14909</v>
      </c>
      <c r="M5752" s="28" t="s">
        <v>21</v>
      </c>
      <c r="O5752" s="94">
        <v>42991</v>
      </c>
      <c r="P5752" s="28" t="s">
        <v>21</v>
      </c>
      <c r="Q5752" s="26" t="b">
        <v>0</v>
      </c>
      <c r="R5752" s="22">
        <f t="shared" si="112"/>
        <v>8</v>
      </c>
      <c r="S5752" s="28" t="s">
        <v>21</v>
      </c>
    </row>
    <row r="5753" spans="1:20">
      <c r="A5753" s="26">
        <v>11225</v>
      </c>
      <c r="B5753" s="27">
        <v>42985</v>
      </c>
      <c r="C5753" s="28" t="s">
        <v>19008</v>
      </c>
      <c r="D5753" s="27">
        <v>42985</v>
      </c>
      <c r="E5753" s="28" t="s">
        <v>1432</v>
      </c>
      <c r="F5753" s="28" t="s">
        <v>11782</v>
      </c>
      <c r="G5753" s="28" t="s">
        <v>20</v>
      </c>
      <c r="H5753" s="28" t="s">
        <v>71</v>
      </c>
      <c r="I5753" s="28" t="s">
        <v>21</v>
      </c>
      <c r="J5753" s="28" t="s">
        <v>18688</v>
      </c>
      <c r="K5753" s="28" t="s">
        <v>18689</v>
      </c>
      <c r="L5753" s="28" t="s">
        <v>1946</v>
      </c>
      <c r="M5753" s="28" t="s">
        <v>21</v>
      </c>
      <c r="O5753" s="89"/>
      <c r="P5753" s="28" t="s">
        <v>21</v>
      </c>
      <c r="Q5753" s="26" t="b">
        <v>0</v>
      </c>
      <c r="R5753" s="59"/>
      <c r="S5753" s="18"/>
      <c r="T5753" s="37" t="s">
        <v>21</v>
      </c>
    </row>
    <row r="5754" spans="1:20">
      <c r="A5754" s="26">
        <v>11226</v>
      </c>
      <c r="B5754" s="27">
        <v>42986</v>
      </c>
      <c r="C5754" s="28" t="s">
        <v>19227</v>
      </c>
      <c r="D5754" s="27">
        <v>42985</v>
      </c>
      <c r="E5754" s="28" t="s">
        <v>38</v>
      </c>
      <c r="F5754" s="28" t="s">
        <v>2296</v>
      </c>
      <c r="G5754" s="28" t="s">
        <v>20</v>
      </c>
      <c r="H5754" s="28" t="s">
        <v>566</v>
      </c>
      <c r="I5754" s="28" t="s">
        <v>21</v>
      </c>
      <c r="J5754" s="28" t="s">
        <v>18557</v>
      </c>
      <c r="K5754" s="28" t="s">
        <v>18558</v>
      </c>
      <c r="L5754" s="28" t="s">
        <v>14909</v>
      </c>
      <c r="M5754" s="28" t="s">
        <v>21</v>
      </c>
      <c r="O5754" s="94">
        <v>42986</v>
      </c>
      <c r="P5754" s="28" t="s">
        <v>21</v>
      </c>
      <c r="Q5754" s="26" t="b">
        <v>0</v>
      </c>
      <c r="R5754" s="22">
        <f t="shared" ref="R5754:R5759" si="113">IF(O5754=" ", " ", INT(YEARFRAC(O5754, B5754)*365))</f>
        <v>0</v>
      </c>
      <c r="S5754" s="28" t="s">
        <v>21</v>
      </c>
    </row>
    <row r="5755" spans="1:20">
      <c r="A5755" s="26">
        <v>11227</v>
      </c>
      <c r="B5755" s="27">
        <v>42989</v>
      </c>
      <c r="C5755" s="28" t="s">
        <v>19241</v>
      </c>
      <c r="D5755" s="27">
        <v>42989</v>
      </c>
      <c r="E5755" s="28" t="s">
        <v>3268</v>
      </c>
      <c r="F5755" s="28" t="s">
        <v>9937</v>
      </c>
      <c r="G5755" s="28" t="s">
        <v>20</v>
      </c>
      <c r="H5755" s="28" t="s">
        <v>71</v>
      </c>
      <c r="I5755" s="28" t="s">
        <v>21</v>
      </c>
      <c r="J5755" s="28" t="s">
        <v>18559</v>
      </c>
      <c r="K5755" s="28" t="s">
        <v>18560</v>
      </c>
      <c r="L5755" s="28" t="s">
        <v>4282</v>
      </c>
      <c r="M5755" s="28" t="s">
        <v>21</v>
      </c>
      <c r="O5755" s="94">
        <v>43006</v>
      </c>
      <c r="P5755" s="28" t="s">
        <v>21</v>
      </c>
      <c r="Q5755" s="26" t="b">
        <v>0</v>
      </c>
      <c r="R5755" s="22">
        <f t="shared" si="113"/>
        <v>17</v>
      </c>
      <c r="S5755" s="28" t="s">
        <v>21</v>
      </c>
    </row>
    <row r="5756" spans="1:20">
      <c r="A5756" s="26">
        <v>11228</v>
      </c>
      <c r="B5756" s="27">
        <v>42991</v>
      </c>
      <c r="C5756" s="28" t="s">
        <v>19236</v>
      </c>
      <c r="D5756" s="27">
        <v>42990</v>
      </c>
      <c r="E5756" s="28" t="s">
        <v>38</v>
      </c>
      <c r="F5756" s="28" t="s">
        <v>10079</v>
      </c>
      <c r="G5756" s="28" t="s">
        <v>20</v>
      </c>
      <c r="H5756" s="28" t="s">
        <v>71</v>
      </c>
      <c r="I5756" s="28" t="s">
        <v>21</v>
      </c>
      <c r="J5756" s="28" t="s">
        <v>18561</v>
      </c>
      <c r="K5756" s="28" t="s">
        <v>14825</v>
      </c>
      <c r="L5756" s="28" t="s">
        <v>7167</v>
      </c>
      <c r="M5756" s="28" t="s">
        <v>21</v>
      </c>
      <c r="O5756" s="94">
        <v>42993</v>
      </c>
      <c r="P5756" s="28" t="s">
        <v>21</v>
      </c>
      <c r="Q5756" s="26" t="b">
        <v>0</v>
      </c>
      <c r="R5756" s="22">
        <f t="shared" si="113"/>
        <v>2</v>
      </c>
      <c r="S5756" s="28" t="s">
        <v>21</v>
      </c>
    </row>
    <row r="5757" spans="1:20">
      <c r="A5757" s="38">
        <v>11229</v>
      </c>
      <c r="B5757" s="39">
        <v>42991</v>
      </c>
      <c r="C5757" s="40" t="s">
        <v>19009</v>
      </c>
      <c r="D5757" s="39">
        <v>42990</v>
      </c>
      <c r="E5757" s="40" t="s">
        <v>18690</v>
      </c>
      <c r="F5757" s="40" t="s">
        <v>5184</v>
      </c>
      <c r="G5757" s="40" t="s">
        <v>20</v>
      </c>
      <c r="H5757" s="40" t="s">
        <v>71</v>
      </c>
      <c r="I5757" s="40" t="s">
        <v>21</v>
      </c>
      <c r="J5757" s="40" t="s">
        <v>18691</v>
      </c>
      <c r="K5757" s="40" t="s">
        <v>18692</v>
      </c>
      <c r="L5757" s="40" t="s">
        <v>14518</v>
      </c>
      <c r="M5757" s="40" t="s">
        <v>21</v>
      </c>
      <c r="O5757" s="101">
        <v>43413</v>
      </c>
      <c r="P5757" s="41" t="s">
        <v>21</v>
      </c>
      <c r="Q5757" s="42" t="b">
        <v>0</v>
      </c>
      <c r="R5757" s="22">
        <f t="shared" si="113"/>
        <v>421</v>
      </c>
      <c r="S5757" s="18"/>
    </row>
    <row r="5758" spans="1:20">
      <c r="A5758" s="64">
        <v>11230</v>
      </c>
      <c r="B5758" s="62">
        <v>42992</v>
      </c>
      <c r="C5758" s="63" t="s">
        <v>19010</v>
      </c>
      <c r="D5758" s="62">
        <v>42992</v>
      </c>
      <c r="E5758" s="63" t="s">
        <v>38</v>
      </c>
      <c r="F5758" s="63" t="s">
        <v>3171</v>
      </c>
      <c r="G5758" s="63" t="s">
        <v>20</v>
      </c>
      <c r="H5758" s="63" t="s">
        <v>566</v>
      </c>
      <c r="I5758" s="63" t="s">
        <v>21</v>
      </c>
      <c r="J5758" s="63" t="s">
        <v>18693</v>
      </c>
      <c r="K5758" s="63" t="s">
        <v>18694</v>
      </c>
      <c r="L5758" s="63" t="s">
        <v>1946</v>
      </c>
      <c r="M5758" s="63" t="s">
        <v>21</v>
      </c>
      <c r="O5758" s="108">
        <v>43371</v>
      </c>
      <c r="P5758" s="65" t="s">
        <v>21</v>
      </c>
      <c r="Q5758" s="66" t="b">
        <v>0</v>
      </c>
      <c r="R5758" s="22">
        <f t="shared" si="113"/>
        <v>379</v>
      </c>
    </row>
    <row r="5759" spans="1:20">
      <c r="A5759" s="59">
        <v>11231</v>
      </c>
      <c r="B5759" s="60">
        <v>42996</v>
      </c>
      <c r="C5759" s="61" t="s">
        <v>19245</v>
      </c>
      <c r="D5759" s="60">
        <v>42993</v>
      </c>
      <c r="E5759" s="61" t="s">
        <v>18562</v>
      </c>
      <c r="F5759" s="61" t="s">
        <v>124</v>
      </c>
      <c r="G5759" s="61" t="s">
        <v>20</v>
      </c>
      <c r="H5759" s="61" t="s">
        <v>189</v>
      </c>
      <c r="I5759" s="61" t="s">
        <v>21</v>
      </c>
      <c r="J5759" s="61" t="s">
        <v>18563</v>
      </c>
      <c r="K5759" s="61" t="s">
        <v>6081</v>
      </c>
      <c r="L5759" s="61" t="s">
        <v>14909</v>
      </c>
      <c r="M5759" s="61" t="s">
        <v>21</v>
      </c>
      <c r="O5759" s="107">
        <v>43012</v>
      </c>
      <c r="P5759" s="61" t="s">
        <v>21</v>
      </c>
      <c r="Q5759" s="59" t="b">
        <v>0</v>
      </c>
      <c r="R5759" s="22">
        <f t="shared" si="113"/>
        <v>16</v>
      </c>
      <c r="S5759" s="37" t="s">
        <v>21</v>
      </c>
    </row>
    <row r="5760" spans="1:20" ht="30">
      <c r="A5760" s="18"/>
      <c r="B5760" s="19">
        <v>42999</v>
      </c>
      <c r="C5760" s="115" t="s">
        <v>18695</v>
      </c>
      <c r="D5760" s="115"/>
      <c r="E5760" s="115" t="s">
        <v>15826</v>
      </c>
      <c r="F5760" s="115" t="s">
        <v>1743</v>
      </c>
      <c r="G5760" s="115"/>
      <c r="H5760" s="115"/>
      <c r="I5760" s="115"/>
      <c r="J5760" s="115" t="s">
        <v>18696</v>
      </c>
      <c r="K5760" s="115" t="s">
        <v>18697</v>
      </c>
      <c r="L5760" s="115" t="s">
        <v>7167</v>
      </c>
      <c r="M5760" s="115"/>
      <c r="N5760" s="58"/>
      <c r="O5760" s="110"/>
      <c r="P5760" s="115"/>
      <c r="Q5760" s="18"/>
      <c r="R5760" s="22"/>
      <c r="S5760" s="18"/>
    </row>
    <row r="5761" spans="1:20">
      <c r="A5761" s="38">
        <v>11233</v>
      </c>
      <c r="B5761" s="39">
        <v>43000</v>
      </c>
      <c r="C5761" s="40" t="s">
        <v>19011</v>
      </c>
      <c r="D5761" s="39">
        <v>42999</v>
      </c>
      <c r="E5761" s="40" t="s">
        <v>18698</v>
      </c>
      <c r="F5761" s="40" t="s">
        <v>974</v>
      </c>
      <c r="G5761" s="40" t="s">
        <v>20</v>
      </c>
      <c r="H5761" s="40" t="s">
        <v>212</v>
      </c>
      <c r="I5761" s="40" t="s">
        <v>21</v>
      </c>
      <c r="J5761" s="40" t="s">
        <v>18699</v>
      </c>
      <c r="K5761" s="40" t="s">
        <v>18700</v>
      </c>
      <c r="L5761" s="40" t="s">
        <v>7167</v>
      </c>
      <c r="M5761" s="40" t="s">
        <v>21</v>
      </c>
      <c r="O5761" s="101">
        <v>43238</v>
      </c>
      <c r="P5761" s="41" t="s">
        <v>21</v>
      </c>
      <c r="Q5761" s="42" t="b">
        <v>0</v>
      </c>
      <c r="R5761" s="22">
        <f t="shared" ref="R5761:R5776" si="114">IF(O5761=" ", " ", INT(YEARFRAC(O5761, B5761)*365))</f>
        <v>239</v>
      </c>
      <c r="S5761" s="18"/>
    </row>
    <row r="5762" spans="1:20">
      <c r="A5762" s="26">
        <v>11234</v>
      </c>
      <c r="B5762" s="27">
        <v>43003</v>
      </c>
      <c r="C5762" s="28" t="s">
        <v>19012</v>
      </c>
      <c r="D5762" s="27">
        <v>43000</v>
      </c>
      <c r="E5762" s="28" t="s">
        <v>18583</v>
      </c>
      <c r="F5762" s="28" t="s">
        <v>6314</v>
      </c>
      <c r="G5762" s="28" t="s">
        <v>20</v>
      </c>
      <c r="H5762" s="28" t="s">
        <v>189</v>
      </c>
      <c r="I5762" s="28" t="s">
        <v>21</v>
      </c>
      <c r="J5762" s="28" t="s">
        <v>18701</v>
      </c>
      <c r="K5762" s="28" t="s">
        <v>18702</v>
      </c>
      <c r="L5762" s="40" t="s">
        <v>7167</v>
      </c>
      <c r="M5762" s="40" t="s">
        <v>14909</v>
      </c>
      <c r="O5762" s="101">
        <v>43900</v>
      </c>
      <c r="P5762" s="28" t="s">
        <v>21</v>
      </c>
      <c r="Q5762" s="26" t="b">
        <v>0</v>
      </c>
      <c r="R5762" s="22">
        <f t="shared" si="114"/>
        <v>897</v>
      </c>
      <c r="S5762" s="28" t="s">
        <v>21</v>
      </c>
    </row>
    <row r="5763" spans="1:20">
      <c r="A5763" s="26">
        <v>11235</v>
      </c>
      <c r="B5763" s="27">
        <v>43004</v>
      </c>
      <c r="C5763" s="28" t="s">
        <v>19013</v>
      </c>
      <c r="D5763" s="27">
        <v>43000</v>
      </c>
      <c r="E5763" s="28" t="s">
        <v>18703</v>
      </c>
      <c r="F5763" s="28" t="s">
        <v>2296</v>
      </c>
      <c r="G5763" s="28" t="s">
        <v>20</v>
      </c>
      <c r="H5763" s="28" t="s">
        <v>566</v>
      </c>
      <c r="I5763" s="28" t="s">
        <v>21</v>
      </c>
      <c r="J5763" s="28" t="s">
        <v>18557</v>
      </c>
      <c r="K5763" s="28" t="s">
        <v>9348</v>
      </c>
      <c r="L5763" s="40" t="s">
        <v>1946</v>
      </c>
      <c r="M5763" s="40" t="s">
        <v>20641</v>
      </c>
      <c r="O5763" s="101">
        <v>43959</v>
      </c>
      <c r="P5763" s="28" t="s">
        <v>21</v>
      </c>
      <c r="Q5763" s="26" t="b">
        <v>0</v>
      </c>
      <c r="R5763" s="22">
        <f t="shared" si="114"/>
        <v>955</v>
      </c>
      <c r="S5763" s="28" t="s">
        <v>21</v>
      </c>
    </row>
    <row r="5764" spans="1:20">
      <c r="A5764" s="26">
        <v>11236</v>
      </c>
      <c r="B5764" s="27">
        <v>43005</v>
      </c>
      <c r="C5764" s="28" t="s">
        <v>19239</v>
      </c>
      <c r="D5764" s="27">
        <v>43005</v>
      </c>
      <c r="E5764" s="28" t="s">
        <v>18564</v>
      </c>
      <c r="F5764" s="28" t="s">
        <v>104</v>
      </c>
      <c r="G5764" s="28" t="s">
        <v>20</v>
      </c>
      <c r="H5764" s="28" t="s">
        <v>71</v>
      </c>
      <c r="I5764" s="28" t="s">
        <v>21</v>
      </c>
      <c r="J5764" s="28" t="s">
        <v>18565</v>
      </c>
      <c r="K5764" s="28" t="s">
        <v>18566</v>
      </c>
      <c r="L5764" s="28" t="s">
        <v>4282</v>
      </c>
      <c r="M5764" s="28" t="s">
        <v>21</v>
      </c>
      <c r="O5764" s="94">
        <v>43005</v>
      </c>
      <c r="P5764" s="28" t="s">
        <v>21</v>
      </c>
      <c r="Q5764" s="26" t="b">
        <v>0</v>
      </c>
      <c r="R5764" s="22">
        <f t="shared" si="114"/>
        <v>0</v>
      </c>
      <c r="S5764" s="28" t="s">
        <v>21</v>
      </c>
      <c r="T5764" s="18"/>
    </row>
    <row r="5765" spans="1:20">
      <c r="A5765" s="38">
        <v>11237</v>
      </c>
      <c r="B5765" s="39">
        <v>43006</v>
      </c>
      <c r="C5765" s="40" t="s">
        <v>19014</v>
      </c>
      <c r="D5765" s="39">
        <v>43005</v>
      </c>
      <c r="E5765" s="40" t="s">
        <v>18704</v>
      </c>
      <c r="F5765" s="40" t="s">
        <v>345</v>
      </c>
      <c r="G5765" s="40" t="s">
        <v>20</v>
      </c>
      <c r="H5765" s="40" t="s">
        <v>71</v>
      </c>
      <c r="I5765" s="40" t="s">
        <v>21</v>
      </c>
      <c r="J5765" s="40" t="s">
        <v>18705</v>
      </c>
      <c r="K5765" s="40" t="s">
        <v>16729</v>
      </c>
      <c r="L5765" s="40" t="s">
        <v>7167</v>
      </c>
      <c r="M5765" s="40" t="s">
        <v>21</v>
      </c>
      <c r="O5765" s="101">
        <v>43166</v>
      </c>
      <c r="P5765" s="41" t="s">
        <v>21</v>
      </c>
      <c r="Q5765" s="42" t="b">
        <v>0</v>
      </c>
      <c r="R5765" s="22">
        <f t="shared" si="114"/>
        <v>161</v>
      </c>
      <c r="S5765" s="18"/>
    </row>
    <row r="5766" spans="1:20">
      <c r="A5766" s="26">
        <v>11238</v>
      </c>
      <c r="B5766" s="27">
        <v>43010</v>
      </c>
      <c r="C5766" s="28" t="s">
        <v>19247</v>
      </c>
      <c r="D5766" s="27">
        <v>43007</v>
      </c>
      <c r="E5766" s="28" t="s">
        <v>38</v>
      </c>
      <c r="F5766" s="28" t="s">
        <v>741</v>
      </c>
      <c r="G5766" s="28" t="s">
        <v>20</v>
      </c>
      <c r="H5766" s="28" t="s">
        <v>71</v>
      </c>
      <c r="I5766" s="28" t="s">
        <v>21</v>
      </c>
      <c r="J5766" s="28" t="s">
        <v>18519</v>
      </c>
      <c r="K5766" s="28" t="s">
        <v>18567</v>
      </c>
      <c r="L5766" s="28" t="s">
        <v>14909</v>
      </c>
      <c r="M5766" s="28" t="s">
        <v>21</v>
      </c>
      <c r="O5766" s="94">
        <v>43018</v>
      </c>
      <c r="P5766" s="28" t="s">
        <v>21</v>
      </c>
      <c r="Q5766" s="26" t="b">
        <v>0</v>
      </c>
      <c r="R5766" s="22">
        <f t="shared" si="114"/>
        <v>8</v>
      </c>
      <c r="S5766" s="28" t="s">
        <v>21</v>
      </c>
    </row>
    <row r="5767" spans="1:20">
      <c r="A5767" s="38">
        <v>11239</v>
      </c>
      <c r="B5767" s="39">
        <v>43010</v>
      </c>
      <c r="C5767" s="40" t="s">
        <v>19015</v>
      </c>
      <c r="D5767" s="39">
        <v>43007</v>
      </c>
      <c r="E5767" s="40" t="s">
        <v>18706</v>
      </c>
      <c r="F5767" s="40" t="s">
        <v>124</v>
      </c>
      <c r="G5767" s="40" t="s">
        <v>20</v>
      </c>
      <c r="H5767" s="40" t="s">
        <v>71</v>
      </c>
      <c r="I5767" s="40" t="s">
        <v>21</v>
      </c>
      <c r="J5767" s="40" t="s">
        <v>18707</v>
      </c>
      <c r="K5767" s="40" t="s">
        <v>16729</v>
      </c>
      <c r="L5767" s="40" t="s">
        <v>14909</v>
      </c>
      <c r="M5767" s="40" t="s">
        <v>21</v>
      </c>
      <c r="O5767" s="101">
        <v>43280</v>
      </c>
      <c r="P5767" s="41" t="s">
        <v>21</v>
      </c>
      <c r="Q5767" s="42" t="b">
        <v>0</v>
      </c>
      <c r="R5767" s="22">
        <f t="shared" si="114"/>
        <v>270</v>
      </c>
      <c r="S5767" s="18"/>
    </row>
    <row r="5768" spans="1:20">
      <c r="A5768" s="26">
        <v>11240</v>
      </c>
      <c r="B5768" s="27">
        <v>43011</v>
      </c>
      <c r="C5768" s="28" t="s">
        <v>19242</v>
      </c>
      <c r="D5768" s="27">
        <v>43010</v>
      </c>
      <c r="E5768" s="28" t="s">
        <v>38</v>
      </c>
      <c r="F5768" s="28" t="s">
        <v>2296</v>
      </c>
      <c r="G5768" s="28" t="s">
        <v>20</v>
      </c>
      <c r="H5768" s="28" t="s">
        <v>566</v>
      </c>
      <c r="I5768" s="28" t="s">
        <v>21</v>
      </c>
      <c r="J5768" s="28" t="s">
        <v>18568</v>
      </c>
      <c r="K5768" s="28" t="s">
        <v>18569</v>
      </c>
      <c r="L5768" s="28" t="s">
        <v>14909</v>
      </c>
      <c r="M5768" s="28" t="s">
        <v>21</v>
      </c>
      <c r="O5768" s="94">
        <v>43011</v>
      </c>
      <c r="P5768" s="28" t="s">
        <v>21</v>
      </c>
      <c r="Q5768" s="26" t="b">
        <v>0</v>
      </c>
      <c r="R5768" s="22">
        <f t="shared" si="114"/>
        <v>0</v>
      </c>
      <c r="S5768" s="28" t="s">
        <v>21</v>
      </c>
    </row>
    <row r="5769" spans="1:20">
      <c r="A5769" s="26">
        <v>11241</v>
      </c>
      <c r="B5769" s="27">
        <v>43011</v>
      </c>
      <c r="C5769" s="28" t="s">
        <v>19254</v>
      </c>
      <c r="D5769" s="27">
        <v>43010</v>
      </c>
      <c r="E5769" s="28" t="s">
        <v>1928</v>
      </c>
      <c r="F5769" s="28" t="s">
        <v>1743</v>
      </c>
      <c r="G5769" s="28" t="s">
        <v>20</v>
      </c>
      <c r="H5769" s="28" t="s">
        <v>71</v>
      </c>
      <c r="I5769" s="28" t="s">
        <v>21</v>
      </c>
      <c r="J5769" s="28" t="s">
        <v>18570</v>
      </c>
      <c r="K5769" s="28" t="s">
        <v>18571</v>
      </c>
      <c r="L5769" s="28" t="s">
        <v>18572</v>
      </c>
      <c r="M5769" s="28" t="s">
        <v>21</v>
      </c>
      <c r="O5769" s="94">
        <v>43020</v>
      </c>
      <c r="P5769" s="28" t="s">
        <v>21</v>
      </c>
      <c r="Q5769" s="26" t="b">
        <v>0</v>
      </c>
      <c r="R5769" s="22">
        <f t="shared" si="114"/>
        <v>9</v>
      </c>
      <c r="S5769" s="28" t="s">
        <v>21</v>
      </c>
      <c r="T5769" s="18"/>
    </row>
    <row r="5770" spans="1:20">
      <c r="A5770" s="59">
        <v>11242</v>
      </c>
      <c r="B5770" s="60">
        <v>43012</v>
      </c>
      <c r="C5770" s="61" t="s">
        <v>19016</v>
      </c>
      <c r="D5770" s="60">
        <v>43012</v>
      </c>
      <c r="E5770" s="61" t="s">
        <v>18704</v>
      </c>
      <c r="F5770" s="61" t="s">
        <v>56</v>
      </c>
      <c r="G5770" s="61" t="s">
        <v>20</v>
      </c>
      <c r="H5770" s="61" t="s">
        <v>71</v>
      </c>
      <c r="I5770" s="61" t="s">
        <v>21</v>
      </c>
      <c r="J5770" s="61" t="s">
        <v>18708</v>
      </c>
      <c r="K5770" s="61" t="s">
        <v>18536</v>
      </c>
      <c r="L5770" s="61" t="s">
        <v>14909</v>
      </c>
      <c r="M5770" s="61" t="s">
        <v>21</v>
      </c>
      <c r="O5770" s="108">
        <v>43741</v>
      </c>
      <c r="P5770" s="61" t="s">
        <v>21</v>
      </c>
      <c r="Q5770" s="59" t="b">
        <v>0</v>
      </c>
      <c r="R5770" s="22">
        <f t="shared" si="114"/>
        <v>728</v>
      </c>
      <c r="S5770" s="37" t="s">
        <v>21</v>
      </c>
    </row>
    <row r="5771" spans="1:20">
      <c r="A5771" s="59">
        <v>11243</v>
      </c>
      <c r="B5771" s="60">
        <v>43013</v>
      </c>
      <c r="C5771" s="61" t="s">
        <v>19268</v>
      </c>
      <c r="D5771" s="60">
        <v>43013</v>
      </c>
      <c r="E5771" s="61" t="s">
        <v>1928</v>
      </c>
      <c r="F5771" s="61" t="s">
        <v>1743</v>
      </c>
      <c r="G5771" s="61" t="s">
        <v>20</v>
      </c>
      <c r="H5771" s="61" t="s">
        <v>71</v>
      </c>
      <c r="I5771" s="61" t="s">
        <v>21</v>
      </c>
      <c r="J5771" s="61" t="s">
        <v>18573</v>
      </c>
      <c r="K5771" s="61" t="s">
        <v>21</v>
      </c>
      <c r="L5771" s="61" t="s">
        <v>3271</v>
      </c>
      <c r="M5771" s="61" t="s">
        <v>21</v>
      </c>
      <c r="O5771" s="107">
        <v>43046</v>
      </c>
      <c r="P5771" s="61" t="s">
        <v>21</v>
      </c>
      <c r="Q5771" s="59" t="b">
        <v>0</v>
      </c>
      <c r="R5771" s="22">
        <f t="shared" si="114"/>
        <v>32</v>
      </c>
      <c r="S5771" s="37" t="s">
        <v>21</v>
      </c>
    </row>
    <row r="5772" spans="1:20">
      <c r="A5772" s="38">
        <v>11244</v>
      </c>
      <c r="B5772" s="39">
        <v>43014</v>
      </c>
      <c r="C5772" s="40" t="s">
        <v>19017</v>
      </c>
      <c r="D5772" s="39">
        <v>43014</v>
      </c>
      <c r="E5772" s="40" t="s">
        <v>18709</v>
      </c>
      <c r="F5772" s="40" t="s">
        <v>124</v>
      </c>
      <c r="G5772" s="40" t="s">
        <v>20</v>
      </c>
      <c r="H5772" s="40" t="s">
        <v>71</v>
      </c>
      <c r="I5772" s="40" t="s">
        <v>21</v>
      </c>
      <c r="J5772" s="40" t="s">
        <v>18710</v>
      </c>
      <c r="K5772" s="40" t="s">
        <v>18711</v>
      </c>
      <c r="L5772" s="40" t="s">
        <v>14909</v>
      </c>
      <c r="M5772" s="40" t="s">
        <v>21</v>
      </c>
      <c r="O5772" s="101">
        <v>43139</v>
      </c>
      <c r="P5772" s="41" t="s">
        <v>21</v>
      </c>
      <c r="Q5772" s="42" t="b">
        <v>0</v>
      </c>
      <c r="R5772" s="22">
        <f t="shared" si="114"/>
        <v>123</v>
      </c>
      <c r="S5772" s="18"/>
    </row>
    <row r="5773" spans="1:20">
      <c r="A5773" s="64">
        <v>11245</v>
      </c>
      <c r="B5773" s="62">
        <v>43018</v>
      </c>
      <c r="C5773" s="63" t="s">
        <v>19018</v>
      </c>
      <c r="D5773" s="62">
        <v>43017</v>
      </c>
      <c r="E5773" s="63" t="s">
        <v>18712</v>
      </c>
      <c r="F5773" s="63" t="s">
        <v>3171</v>
      </c>
      <c r="G5773" s="63" t="s">
        <v>20</v>
      </c>
      <c r="H5773" s="63" t="s">
        <v>566</v>
      </c>
      <c r="I5773" s="63" t="s">
        <v>21</v>
      </c>
      <c r="J5773" s="63" t="s">
        <v>18713</v>
      </c>
      <c r="K5773" s="63" t="s">
        <v>18714</v>
      </c>
      <c r="L5773" s="63" t="s">
        <v>1946</v>
      </c>
      <c r="M5773" s="63" t="s">
        <v>21</v>
      </c>
      <c r="O5773" s="108">
        <v>43367</v>
      </c>
      <c r="P5773" s="65" t="s">
        <v>21</v>
      </c>
      <c r="Q5773" s="66" t="b">
        <v>0</v>
      </c>
      <c r="R5773" s="22">
        <f t="shared" si="114"/>
        <v>348</v>
      </c>
    </row>
    <row r="5774" spans="1:20" ht="24">
      <c r="A5774" s="26">
        <v>11246</v>
      </c>
      <c r="B5774" s="27">
        <v>43018</v>
      </c>
      <c r="C5774" s="28" t="s">
        <v>19256</v>
      </c>
      <c r="D5774" s="27">
        <v>43018</v>
      </c>
      <c r="E5774" s="28" t="s">
        <v>1928</v>
      </c>
      <c r="F5774" s="28" t="s">
        <v>1743</v>
      </c>
      <c r="G5774" s="28" t="s">
        <v>20</v>
      </c>
      <c r="H5774" s="28" t="s">
        <v>71</v>
      </c>
      <c r="I5774" s="28" t="s">
        <v>21</v>
      </c>
      <c r="J5774" s="28" t="s">
        <v>18574</v>
      </c>
      <c r="K5774" s="28" t="s">
        <v>18575</v>
      </c>
      <c r="L5774" s="28" t="s">
        <v>14909</v>
      </c>
      <c r="M5774" s="28" t="s">
        <v>21</v>
      </c>
      <c r="O5774" s="94">
        <v>43025</v>
      </c>
      <c r="P5774" s="28" t="s">
        <v>21</v>
      </c>
      <c r="Q5774" s="26" t="b">
        <v>0</v>
      </c>
      <c r="R5774" s="22">
        <f t="shared" si="114"/>
        <v>7</v>
      </c>
      <c r="S5774" s="28" t="s">
        <v>21</v>
      </c>
    </row>
    <row r="5775" spans="1:20">
      <c r="A5775" s="64">
        <v>11247</v>
      </c>
      <c r="B5775" s="62">
        <v>43019</v>
      </c>
      <c r="C5775" s="63" t="s">
        <v>19019</v>
      </c>
      <c r="D5775" s="62">
        <v>43018</v>
      </c>
      <c r="E5775" s="63" t="s">
        <v>38</v>
      </c>
      <c r="F5775" s="63" t="s">
        <v>5184</v>
      </c>
      <c r="G5775" s="63" t="s">
        <v>20</v>
      </c>
      <c r="H5775" s="63" t="s">
        <v>71</v>
      </c>
      <c r="I5775" s="63" t="s">
        <v>21</v>
      </c>
      <c r="J5775" s="63" t="s">
        <v>18576</v>
      </c>
      <c r="K5775" s="63" t="s">
        <v>18571</v>
      </c>
      <c r="L5775" s="63" t="s">
        <v>18572</v>
      </c>
      <c r="M5775" s="63" t="s">
        <v>21</v>
      </c>
      <c r="O5775" s="108">
        <v>43153</v>
      </c>
      <c r="P5775" s="65" t="s">
        <v>21</v>
      </c>
      <c r="Q5775" s="66" t="b">
        <v>0</v>
      </c>
      <c r="R5775" s="22">
        <f t="shared" si="114"/>
        <v>132</v>
      </c>
    </row>
    <row r="5776" spans="1:20">
      <c r="A5776" s="26">
        <v>11248</v>
      </c>
      <c r="B5776" s="27">
        <v>43019</v>
      </c>
      <c r="C5776" s="28" t="s">
        <v>19257</v>
      </c>
      <c r="D5776" s="27">
        <v>42913</v>
      </c>
      <c r="E5776" s="28" t="s">
        <v>38</v>
      </c>
      <c r="F5776" s="28" t="s">
        <v>5184</v>
      </c>
      <c r="G5776" s="28" t="s">
        <v>20</v>
      </c>
      <c r="H5776" s="28" t="s">
        <v>71</v>
      </c>
      <c r="I5776" s="28" t="s">
        <v>21</v>
      </c>
      <c r="J5776" s="28" t="s">
        <v>18576</v>
      </c>
      <c r="K5776" s="28" t="s">
        <v>18571</v>
      </c>
      <c r="L5776" s="28" t="s">
        <v>18572</v>
      </c>
      <c r="M5776" s="28" t="s">
        <v>21</v>
      </c>
      <c r="O5776" s="94">
        <v>43025</v>
      </c>
      <c r="P5776" s="28" t="s">
        <v>21</v>
      </c>
      <c r="Q5776" s="26" t="b">
        <v>0</v>
      </c>
      <c r="R5776" s="22">
        <f t="shared" si="114"/>
        <v>6</v>
      </c>
      <c r="S5776" s="28" t="s">
        <v>21</v>
      </c>
    </row>
    <row r="5777" spans="1:20" ht="30">
      <c r="A5777" s="22"/>
      <c r="B5777" s="23">
        <v>43020</v>
      </c>
      <c r="C5777" s="67" t="s">
        <v>18715</v>
      </c>
      <c r="D5777" s="67"/>
      <c r="E5777" s="67" t="s">
        <v>15826</v>
      </c>
      <c r="F5777" s="67" t="s">
        <v>1743</v>
      </c>
      <c r="G5777" s="67"/>
      <c r="H5777" s="67"/>
      <c r="I5777" s="67"/>
      <c r="J5777" s="67" t="s">
        <v>18716</v>
      </c>
      <c r="K5777" s="67" t="s">
        <v>18717</v>
      </c>
      <c r="L5777" s="67" t="s">
        <v>7167</v>
      </c>
      <c r="M5777" s="67"/>
      <c r="N5777" s="58"/>
      <c r="O5777" s="120"/>
      <c r="P5777" s="67"/>
      <c r="Q5777" s="22"/>
      <c r="R5777" s="22"/>
    </row>
    <row r="5778" spans="1:20">
      <c r="A5778" s="26">
        <v>11250</v>
      </c>
      <c r="B5778" s="27">
        <v>43024</v>
      </c>
      <c r="C5778" s="28" t="s">
        <v>19262</v>
      </c>
      <c r="D5778" s="27">
        <v>43024</v>
      </c>
      <c r="E5778" s="28" t="s">
        <v>1928</v>
      </c>
      <c r="F5778" s="28" t="s">
        <v>1743</v>
      </c>
      <c r="G5778" s="28" t="s">
        <v>20</v>
      </c>
      <c r="H5778" s="28" t="s">
        <v>71</v>
      </c>
      <c r="I5778" s="28" t="s">
        <v>21</v>
      </c>
      <c r="J5778" s="28" t="s">
        <v>18577</v>
      </c>
      <c r="K5778" s="28" t="s">
        <v>18578</v>
      </c>
      <c r="L5778" s="28" t="s">
        <v>18572</v>
      </c>
      <c r="M5778" s="28" t="s">
        <v>21</v>
      </c>
      <c r="O5778" s="94">
        <v>43038</v>
      </c>
      <c r="P5778" s="28" t="s">
        <v>21</v>
      </c>
      <c r="Q5778" s="26" t="b">
        <v>0</v>
      </c>
      <c r="R5778" s="22">
        <f t="shared" ref="R5778:R5789" si="115">IF(O5778=" ", " ", INT(YEARFRAC(O5778, B5778)*365))</f>
        <v>14</v>
      </c>
      <c r="S5778" s="28" t="s">
        <v>21</v>
      </c>
    </row>
    <row r="5779" spans="1:20">
      <c r="A5779" s="59">
        <v>11251</v>
      </c>
      <c r="B5779" s="60">
        <v>43025</v>
      </c>
      <c r="C5779" s="61" t="s">
        <v>19287</v>
      </c>
      <c r="D5779" s="60">
        <v>43025</v>
      </c>
      <c r="E5779" s="61" t="s">
        <v>18579</v>
      </c>
      <c r="F5779" s="61" t="s">
        <v>8605</v>
      </c>
      <c r="G5779" s="61" t="s">
        <v>20</v>
      </c>
      <c r="H5779" s="61" t="s">
        <v>212</v>
      </c>
      <c r="I5779" s="61" t="s">
        <v>21</v>
      </c>
      <c r="J5779" s="61" t="s">
        <v>18580</v>
      </c>
      <c r="K5779" s="61" t="s">
        <v>18581</v>
      </c>
      <c r="L5779" s="61" t="s">
        <v>7167</v>
      </c>
      <c r="M5779" s="61" t="s">
        <v>21</v>
      </c>
      <c r="O5779" s="107">
        <v>43097</v>
      </c>
      <c r="P5779" s="61" t="s">
        <v>21</v>
      </c>
      <c r="Q5779" s="59" t="b">
        <v>0</v>
      </c>
      <c r="R5779" s="22">
        <f t="shared" si="115"/>
        <v>71</v>
      </c>
      <c r="S5779" s="37" t="s">
        <v>21</v>
      </c>
    </row>
    <row r="5780" spans="1:20">
      <c r="A5780" s="59">
        <v>11252</v>
      </c>
      <c r="B5780" s="60">
        <v>43025</v>
      </c>
      <c r="C5780" s="61" t="s">
        <v>19020</v>
      </c>
      <c r="D5780" s="60">
        <v>43025</v>
      </c>
      <c r="E5780" s="61" t="s">
        <v>18718</v>
      </c>
      <c r="F5780" s="61" t="s">
        <v>242</v>
      </c>
      <c r="G5780" s="61" t="s">
        <v>20</v>
      </c>
      <c r="H5780" s="61" t="s">
        <v>71</v>
      </c>
      <c r="I5780" s="61" t="s">
        <v>21</v>
      </c>
      <c r="J5780" s="61" t="s">
        <v>18719</v>
      </c>
      <c r="K5780" s="61" t="s">
        <v>18720</v>
      </c>
      <c r="L5780" s="63" t="s">
        <v>1152</v>
      </c>
      <c r="M5780" s="63" t="s">
        <v>18572</v>
      </c>
      <c r="O5780" s="108">
        <v>43754</v>
      </c>
      <c r="P5780" s="61" t="s">
        <v>21</v>
      </c>
      <c r="Q5780" s="59" t="b">
        <v>0</v>
      </c>
      <c r="R5780" s="22">
        <f t="shared" si="115"/>
        <v>728</v>
      </c>
      <c r="S5780" s="37" t="s">
        <v>21</v>
      </c>
    </row>
    <row r="5781" spans="1:20">
      <c r="A5781" s="59">
        <v>11253</v>
      </c>
      <c r="B5781" s="60">
        <v>43038</v>
      </c>
      <c r="C5781" s="61" t="s">
        <v>19264</v>
      </c>
      <c r="D5781" s="60">
        <v>43033</v>
      </c>
      <c r="E5781" s="61" t="s">
        <v>1928</v>
      </c>
      <c r="F5781" s="61" t="s">
        <v>1743</v>
      </c>
      <c r="G5781" s="61" t="s">
        <v>20</v>
      </c>
      <c r="H5781" s="61" t="s">
        <v>71</v>
      </c>
      <c r="I5781" s="61" t="s">
        <v>21</v>
      </c>
      <c r="J5781" s="61" t="s">
        <v>18582</v>
      </c>
      <c r="K5781" s="61" t="s">
        <v>18583</v>
      </c>
      <c r="L5781" s="61" t="s">
        <v>14909</v>
      </c>
      <c r="M5781" s="61" t="s">
        <v>21</v>
      </c>
      <c r="O5781" s="107">
        <v>43039</v>
      </c>
      <c r="P5781" s="61" t="s">
        <v>21</v>
      </c>
      <c r="Q5781" s="59" t="b">
        <v>0</v>
      </c>
      <c r="R5781" s="22">
        <f t="shared" si="115"/>
        <v>0</v>
      </c>
      <c r="S5781" s="37" t="s">
        <v>21</v>
      </c>
    </row>
    <row r="5782" spans="1:20">
      <c r="A5782" s="59">
        <v>11254</v>
      </c>
      <c r="B5782" s="60">
        <v>43038</v>
      </c>
      <c r="C5782" s="61" t="s">
        <v>19269</v>
      </c>
      <c r="D5782" s="60">
        <v>43033</v>
      </c>
      <c r="E5782" s="61" t="s">
        <v>38</v>
      </c>
      <c r="F5782" s="61" t="s">
        <v>1743</v>
      </c>
      <c r="G5782" s="61" t="s">
        <v>20</v>
      </c>
      <c r="H5782" s="61" t="s">
        <v>71</v>
      </c>
      <c r="I5782" s="61" t="s">
        <v>21</v>
      </c>
      <c r="J5782" s="61" t="s">
        <v>18586</v>
      </c>
      <c r="K5782" s="61" t="s">
        <v>18587</v>
      </c>
      <c r="L5782" s="61" t="s">
        <v>14349</v>
      </c>
      <c r="M5782" s="61" t="s">
        <v>21</v>
      </c>
      <c r="O5782" s="107">
        <v>43046</v>
      </c>
      <c r="P5782" s="61" t="s">
        <v>21</v>
      </c>
      <c r="Q5782" s="59" t="b">
        <v>0</v>
      </c>
      <c r="R5782" s="22">
        <f t="shared" si="115"/>
        <v>7</v>
      </c>
      <c r="S5782" s="37" t="s">
        <v>21</v>
      </c>
    </row>
    <row r="5783" spans="1:20">
      <c r="A5783" s="26">
        <v>11255</v>
      </c>
      <c r="B5783" s="27">
        <v>43038</v>
      </c>
      <c r="C5783" s="28" t="s">
        <v>19266</v>
      </c>
      <c r="D5783" s="27">
        <v>43033</v>
      </c>
      <c r="E5783" s="28" t="s">
        <v>38</v>
      </c>
      <c r="F5783" s="28" t="s">
        <v>2296</v>
      </c>
      <c r="G5783" s="28" t="s">
        <v>20</v>
      </c>
      <c r="H5783" s="28" t="s">
        <v>566</v>
      </c>
      <c r="I5783" s="28" t="s">
        <v>21</v>
      </c>
      <c r="J5783" s="28" t="s">
        <v>18316</v>
      </c>
      <c r="K5783" s="28" t="s">
        <v>18584</v>
      </c>
      <c r="L5783" s="28" t="s">
        <v>14909</v>
      </c>
      <c r="M5783" s="28" t="s">
        <v>21</v>
      </c>
      <c r="O5783" s="94">
        <v>43042</v>
      </c>
      <c r="P5783" s="28" t="s">
        <v>21</v>
      </c>
      <c r="Q5783" s="26" t="b">
        <v>0</v>
      </c>
      <c r="R5783" s="22">
        <f t="shared" si="115"/>
        <v>3</v>
      </c>
      <c r="S5783" s="28" t="s">
        <v>21</v>
      </c>
    </row>
    <row r="5784" spans="1:20">
      <c r="A5784" s="26">
        <v>11256</v>
      </c>
      <c r="B5784" s="27">
        <v>43038</v>
      </c>
      <c r="C5784" s="28" t="s">
        <v>19267</v>
      </c>
      <c r="D5784" s="27">
        <v>43027</v>
      </c>
      <c r="E5784" s="28" t="s">
        <v>38</v>
      </c>
      <c r="F5784" s="28" t="s">
        <v>824</v>
      </c>
      <c r="G5784" s="28" t="s">
        <v>20</v>
      </c>
      <c r="H5784" s="28" t="s">
        <v>71</v>
      </c>
      <c r="I5784" s="28" t="s">
        <v>21</v>
      </c>
      <c r="J5784" s="28" t="s">
        <v>18585</v>
      </c>
      <c r="K5784" s="28" t="s">
        <v>21</v>
      </c>
      <c r="L5784" s="28" t="s">
        <v>14909</v>
      </c>
      <c r="M5784" s="28" t="s">
        <v>21</v>
      </c>
      <c r="O5784" s="94">
        <v>43042</v>
      </c>
      <c r="P5784" s="28" t="s">
        <v>21</v>
      </c>
      <c r="Q5784" s="26" t="b">
        <v>0</v>
      </c>
      <c r="R5784" s="22">
        <f t="shared" si="115"/>
        <v>3</v>
      </c>
      <c r="S5784" s="28" t="s">
        <v>21</v>
      </c>
    </row>
    <row r="5785" spans="1:20">
      <c r="A5785" s="59">
        <v>11257</v>
      </c>
      <c r="B5785" s="60">
        <v>43038</v>
      </c>
      <c r="C5785" s="61" t="s">
        <v>19058</v>
      </c>
      <c r="D5785" s="60">
        <v>43035</v>
      </c>
      <c r="E5785" s="61" t="s">
        <v>18721</v>
      </c>
      <c r="F5785" s="61" t="s">
        <v>350</v>
      </c>
      <c r="G5785" s="61" t="s">
        <v>20</v>
      </c>
      <c r="H5785" s="61" t="s">
        <v>71</v>
      </c>
      <c r="I5785" s="61" t="s">
        <v>21</v>
      </c>
      <c r="J5785" s="61" t="s">
        <v>328</v>
      </c>
      <c r="K5785" s="61" t="s">
        <v>18722</v>
      </c>
      <c r="L5785" s="61" t="s">
        <v>18572</v>
      </c>
      <c r="M5785" s="61" t="s">
        <v>21</v>
      </c>
      <c r="O5785" s="107">
        <v>43124</v>
      </c>
      <c r="P5785" s="61" t="s">
        <v>21</v>
      </c>
      <c r="Q5785" s="59" t="b">
        <v>0</v>
      </c>
      <c r="R5785" s="22">
        <f t="shared" si="115"/>
        <v>85</v>
      </c>
      <c r="S5785" s="37" t="s">
        <v>21</v>
      </c>
    </row>
    <row r="5786" spans="1:20">
      <c r="A5786" s="64">
        <v>11258</v>
      </c>
      <c r="B5786" s="62">
        <v>43038</v>
      </c>
      <c r="C5786" s="63" t="s">
        <v>19021</v>
      </c>
      <c r="D5786" s="62">
        <v>43033</v>
      </c>
      <c r="E5786" s="63" t="s">
        <v>18723</v>
      </c>
      <c r="F5786" s="63" t="s">
        <v>824</v>
      </c>
      <c r="G5786" s="63" t="s">
        <v>20</v>
      </c>
      <c r="H5786" s="63" t="s">
        <v>71</v>
      </c>
      <c r="I5786" s="63" t="s">
        <v>21</v>
      </c>
      <c r="J5786" s="63" t="s">
        <v>18724</v>
      </c>
      <c r="K5786" s="63" t="s">
        <v>18725</v>
      </c>
      <c r="L5786" s="63" t="s">
        <v>7167</v>
      </c>
      <c r="M5786" s="63" t="s">
        <v>21</v>
      </c>
      <c r="O5786" s="108">
        <v>43360</v>
      </c>
      <c r="P5786" s="65" t="s">
        <v>21</v>
      </c>
      <c r="Q5786" s="66" t="b">
        <v>0</v>
      </c>
      <c r="R5786" s="22">
        <f t="shared" si="115"/>
        <v>321</v>
      </c>
    </row>
    <row r="5787" spans="1:20">
      <c r="A5787" s="59">
        <v>11259</v>
      </c>
      <c r="B5787" s="60">
        <v>43038</v>
      </c>
      <c r="C5787" s="61" t="s">
        <v>19279</v>
      </c>
      <c r="D5787" s="60">
        <v>43025</v>
      </c>
      <c r="E5787" s="61" t="s">
        <v>18590</v>
      </c>
      <c r="F5787" s="61" t="s">
        <v>3519</v>
      </c>
      <c r="G5787" s="61" t="s">
        <v>20</v>
      </c>
      <c r="H5787" s="61" t="s">
        <v>566</v>
      </c>
      <c r="I5787" s="61" t="s">
        <v>21</v>
      </c>
      <c r="J5787" s="61" t="s">
        <v>18591</v>
      </c>
      <c r="K5787" s="61" t="s">
        <v>6081</v>
      </c>
      <c r="L5787" s="61" t="s">
        <v>14909</v>
      </c>
      <c r="M5787" s="61" t="s">
        <v>21</v>
      </c>
      <c r="O5787" s="107">
        <v>43087</v>
      </c>
      <c r="P5787" s="61" t="s">
        <v>21</v>
      </c>
      <c r="Q5787" s="59" t="b">
        <v>0</v>
      </c>
      <c r="R5787" s="22">
        <f t="shared" si="115"/>
        <v>48</v>
      </c>
      <c r="S5787" s="37" t="s">
        <v>21</v>
      </c>
    </row>
    <row r="5788" spans="1:20">
      <c r="A5788" s="26">
        <v>11260</v>
      </c>
      <c r="B5788" s="27">
        <v>43038</v>
      </c>
      <c r="C5788" s="28" t="s">
        <v>19275</v>
      </c>
      <c r="D5788" s="27">
        <v>43031</v>
      </c>
      <c r="E5788" s="28" t="s">
        <v>18588</v>
      </c>
      <c r="F5788" s="28" t="s">
        <v>149</v>
      </c>
      <c r="G5788" s="28" t="s">
        <v>20</v>
      </c>
      <c r="H5788" s="28" t="s">
        <v>71</v>
      </c>
      <c r="I5788" s="28" t="s">
        <v>21</v>
      </c>
      <c r="J5788" s="28" t="s">
        <v>18589</v>
      </c>
      <c r="K5788" s="28" t="s">
        <v>21</v>
      </c>
      <c r="L5788" s="28" t="s">
        <v>1946</v>
      </c>
      <c r="M5788" s="28" t="s">
        <v>21</v>
      </c>
      <c r="O5788" s="94">
        <v>43069</v>
      </c>
      <c r="P5788" s="28" t="s">
        <v>21</v>
      </c>
      <c r="Q5788" s="26" t="b">
        <v>0</v>
      </c>
      <c r="R5788" s="22">
        <f t="shared" si="115"/>
        <v>30</v>
      </c>
      <c r="S5788" s="28" t="s">
        <v>21</v>
      </c>
    </row>
    <row r="5789" spans="1:20">
      <c r="A5789" s="38">
        <v>11261</v>
      </c>
      <c r="B5789" s="39">
        <v>43039</v>
      </c>
      <c r="C5789" s="40" t="s">
        <v>19022</v>
      </c>
      <c r="D5789" s="39">
        <v>43039</v>
      </c>
      <c r="E5789" s="40" t="s">
        <v>1432</v>
      </c>
      <c r="F5789" s="40" t="s">
        <v>19</v>
      </c>
      <c r="G5789" s="40" t="s">
        <v>20</v>
      </c>
      <c r="H5789" s="40" t="s">
        <v>71</v>
      </c>
      <c r="I5789" s="40" t="s">
        <v>21</v>
      </c>
      <c r="J5789" s="40" t="s">
        <v>18726</v>
      </c>
      <c r="K5789" s="40" t="s">
        <v>18727</v>
      </c>
      <c r="L5789" s="40" t="s">
        <v>14909</v>
      </c>
      <c r="M5789" s="40" t="s">
        <v>21</v>
      </c>
      <c r="O5789" s="101">
        <v>43419</v>
      </c>
      <c r="P5789" s="41" t="s">
        <v>21</v>
      </c>
      <c r="Q5789" s="42" t="b">
        <v>0</v>
      </c>
      <c r="R5789" s="22">
        <f t="shared" si="115"/>
        <v>380</v>
      </c>
      <c r="S5789" s="18"/>
    </row>
    <row r="5790" spans="1:20">
      <c r="A5790" s="59">
        <v>11262</v>
      </c>
      <c r="B5790" s="60">
        <v>43039</v>
      </c>
      <c r="C5790" s="61" t="s">
        <v>19023</v>
      </c>
      <c r="D5790" s="60">
        <v>43039</v>
      </c>
      <c r="E5790" s="61" t="s">
        <v>1432</v>
      </c>
      <c r="F5790" s="61" t="s">
        <v>16173</v>
      </c>
      <c r="G5790" s="61" t="s">
        <v>20</v>
      </c>
      <c r="H5790" s="61" t="s">
        <v>566</v>
      </c>
      <c r="I5790" s="61" t="s">
        <v>21</v>
      </c>
      <c r="J5790" s="61" t="s">
        <v>18728</v>
      </c>
      <c r="K5790" s="61" t="s">
        <v>18584</v>
      </c>
      <c r="L5790" s="61" t="s">
        <v>14909</v>
      </c>
      <c r="M5790" s="61" t="s">
        <v>21</v>
      </c>
      <c r="O5790" s="90"/>
      <c r="P5790" s="61" t="s">
        <v>21</v>
      </c>
      <c r="Q5790" s="59" t="b">
        <v>0</v>
      </c>
      <c r="R5790" s="59"/>
      <c r="T5790" s="37" t="s">
        <v>21</v>
      </c>
    </row>
    <row r="5791" spans="1:20" ht="30">
      <c r="A5791" s="22"/>
      <c r="B5791" s="23">
        <v>43040</v>
      </c>
      <c r="C5791" s="67" t="s">
        <v>18729</v>
      </c>
      <c r="D5791" s="67"/>
      <c r="E5791" s="67" t="s">
        <v>15826</v>
      </c>
      <c r="F5791" s="67" t="s">
        <v>1743</v>
      </c>
      <c r="G5791" s="67"/>
      <c r="H5791" s="67"/>
      <c r="I5791" s="67"/>
      <c r="J5791" s="67" t="s">
        <v>18730</v>
      </c>
      <c r="K5791" s="67" t="s">
        <v>18731</v>
      </c>
      <c r="L5791" s="67" t="s">
        <v>4282</v>
      </c>
      <c r="M5791" s="67"/>
      <c r="N5791" s="58"/>
      <c r="O5791" s="120"/>
      <c r="P5791" s="67"/>
      <c r="Q5791" s="22"/>
      <c r="R5791" s="22"/>
    </row>
    <row r="5792" spans="1:20">
      <c r="A5792" s="26">
        <v>11264</v>
      </c>
      <c r="B5792" s="27">
        <v>43041</v>
      </c>
      <c r="C5792" s="28" t="s">
        <v>19049</v>
      </c>
      <c r="D5792" s="27">
        <v>43041</v>
      </c>
      <c r="E5792" s="28" t="s">
        <v>1432</v>
      </c>
      <c r="F5792" s="28" t="s">
        <v>1743</v>
      </c>
      <c r="G5792" s="28" t="s">
        <v>20</v>
      </c>
      <c r="H5792" s="28" t="s">
        <v>71</v>
      </c>
      <c r="I5792" s="28" t="s">
        <v>21</v>
      </c>
      <c r="J5792" s="28" t="s">
        <v>18732</v>
      </c>
      <c r="K5792" s="28" t="s">
        <v>18733</v>
      </c>
      <c r="L5792" s="28" t="s">
        <v>14909</v>
      </c>
      <c r="M5792" s="28" t="s">
        <v>21</v>
      </c>
      <c r="O5792" s="94">
        <v>43111</v>
      </c>
      <c r="P5792" s="28" t="s">
        <v>21</v>
      </c>
      <c r="Q5792" s="26" t="b">
        <v>0</v>
      </c>
      <c r="R5792" s="22">
        <f>IF(O5792=" ", " ", INT(YEARFRAC(O5792, B5792)*365))</f>
        <v>69</v>
      </c>
      <c r="S5792" s="28" t="s">
        <v>21</v>
      </c>
    </row>
    <row r="5793" spans="1:19">
      <c r="A5793" s="59">
        <v>11265</v>
      </c>
      <c r="B5793" s="60">
        <v>43045</v>
      </c>
      <c r="C5793" s="61" t="s">
        <v>19271</v>
      </c>
      <c r="D5793" s="60">
        <v>43042</v>
      </c>
      <c r="E5793" s="61" t="s">
        <v>18592</v>
      </c>
      <c r="F5793" s="61" t="s">
        <v>19</v>
      </c>
      <c r="G5793" s="61" t="s">
        <v>20</v>
      </c>
      <c r="H5793" s="61" t="s">
        <v>71</v>
      </c>
      <c r="I5793" s="61" t="s">
        <v>21</v>
      </c>
      <c r="J5793" s="61" t="s">
        <v>18593</v>
      </c>
      <c r="K5793" s="61" t="s">
        <v>6081</v>
      </c>
      <c r="L5793" s="61" t="s">
        <v>7167</v>
      </c>
      <c r="M5793" s="61" t="s">
        <v>21</v>
      </c>
      <c r="O5793" s="107">
        <v>43060</v>
      </c>
      <c r="P5793" s="61" t="s">
        <v>21</v>
      </c>
      <c r="Q5793" s="59" t="b">
        <v>0</v>
      </c>
      <c r="R5793" s="22">
        <f>IF(O5793=" ", " ", INT(YEARFRAC(O5793, B5793)*365))</f>
        <v>15</v>
      </c>
      <c r="S5793" s="37" t="s">
        <v>21</v>
      </c>
    </row>
    <row r="5794" spans="1:19">
      <c r="A5794" s="64">
        <v>11266</v>
      </c>
      <c r="B5794" s="62">
        <v>43045</v>
      </c>
      <c r="C5794" s="63" t="s">
        <v>19024</v>
      </c>
      <c r="D5794" s="62">
        <v>43045</v>
      </c>
      <c r="E5794" s="63" t="s">
        <v>18734</v>
      </c>
      <c r="F5794" s="63" t="s">
        <v>11319</v>
      </c>
      <c r="G5794" s="63" t="s">
        <v>20</v>
      </c>
      <c r="H5794" s="63" t="s">
        <v>212</v>
      </c>
      <c r="I5794" s="63" t="s">
        <v>21</v>
      </c>
      <c r="J5794" s="63" t="s">
        <v>18735</v>
      </c>
      <c r="K5794" s="63" t="s">
        <v>18736</v>
      </c>
      <c r="L5794" s="63" t="s">
        <v>4282</v>
      </c>
      <c r="M5794" s="63" t="s">
        <v>21</v>
      </c>
      <c r="O5794" s="108">
        <v>43236</v>
      </c>
      <c r="P5794" s="65" t="s">
        <v>21</v>
      </c>
      <c r="Q5794" s="66" t="b">
        <v>0</v>
      </c>
      <c r="R5794" s="22">
        <f>IF(O5794=" ", " ", INT(YEARFRAC(O5794, B5794)*365))</f>
        <v>192</v>
      </c>
    </row>
    <row r="5795" spans="1:19">
      <c r="A5795" s="64">
        <v>11267</v>
      </c>
      <c r="B5795" s="62">
        <v>43046</v>
      </c>
      <c r="C5795" s="63" t="s">
        <v>19025</v>
      </c>
      <c r="D5795" s="62">
        <v>43045</v>
      </c>
      <c r="E5795" s="63" t="s">
        <v>38</v>
      </c>
      <c r="F5795" s="63" t="s">
        <v>2296</v>
      </c>
      <c r="G5795" s="63" t="s">
        <v>20</v>
      </c>
      <c r="H5795" s="63" t="s">
        <v>566</v>
      </c>
      <c r="I5795" s="63" t="s">
        <v>21</v>
      </c>
      <c r="J5795" s="63" t="s">
        <v>18737</v>
      </c>
      <c r="K5795" s="63" t="s">
        <v>14239</v>
      </c>
      <c r="L5795" s="63" t="s">
        <v>14909</v>
      </c>
      <c r="M5795" s="63" t="s">
        <v>21</v>
      </c>
      <c r="O5795" s="108">
        <v>43306</v>
      </c>
      <c r="P5795" s="65" t="s">
        <v>21</v>
      </c>
      <c r="Q5795" s="66" t="b">
        <v>0</v>
      </c>
      <c r="R5795" s="22">
        <f>IF(O5795=" ", " ", INT(YEARFRAC(O5795, B5795)*365))</f>
        <v>261</v>
      </c>
    </row>
    <row r="5796" spans="1:19">
      <c r="A5796" s="26">
        <v>11268</v>
      </c>
      <c r="B5796" s="27">
        <v>43046</v>
      </c>
      <c r="C5796" s="28" t="s">
        <v>19026</v>
      </c>
      <c r="D5796" s="27">
        <v>43046</v>
      </c>
      <c r="E5796" s="28" t="s">
        <v>18738</v>
      </c>
      <c r="F5796" s="28" t="s">
        <v>3430</v>
      </c>
      <c r="G5796" s="28" t="s">
        <v>20</v>
      </c>
      <c r="H5796" s="28" t="s">
        <v>71</v>
      </c>
      <c r="I5796" s="28" t="s">
        <v>21</v>
      </c>
      <c r="J5796" s="28" t="s">
        <v>18739</v>
      </c>
      <c r="K5796" s="28" t="s">
        <v>14825</v>
      </c>
      <c r="L5796" s="40" t="s">
        <v>1152</v>
      </c>
      <c r="M5796" s="40" t="s">
        <v>18572</v>
      </c>
      <c r="O5796" s="101">
        <v>43965</v>
      </c>
      <c r="P5796" s="28" t="s">
        <v>21</v>
      </c>
      <c r="Q5796" s="26" t="b">
        <v>0</v>
      </c>
      <c r="R5796" s="22">
        <f>IF(O5796=" ", " ", INT(YEARFRAC(O5796, B5796)*365))</f>
        <v>919</v>
      </c>
      <c r="S5796" s="28" t="s">
        <v>21</v>
      </c>
    </row>
    <row r="5797" spans="1:19" ht="30">
      <c r="A5797" s="22"/>
      <c r="B5797" s="23">
        <v>43046</v>
      </c>
      <c r="C5797" s="67" t="s">
        <v>18740</v>
      </c>
      <c r="D5797" s="67"/>
      <c r="E5797" s="67" t="s">
        <v>15826</v>
      </c>
      <c r="F5797" s="67" t="s">
        <v>1743</v>
      </c>
      <c r="G5797" s="67"/>
      <c r="H5797" s="67"/>
      <c r="I5797" s="67"/>
      <c r="J5797" s="67" t="s">
        <v>18741</v>
      </c>
      <c r="K5797" s="67" t="s">
        <v>18742</v>
      </c>
      <c r="L5797" s="67" t="s">
        <v>7167</v>
      </c>
      <c r="M5797" s="67"/>
      <c r="N5797" s="58"/>
      <c r="O5797" s="120"/>
      <c r="P5797" s="67"/>
      <c r="Q5797" s="22"/>
      <c r="R5797" s="22"/>
    </row>
    <row r="5798" spans="1:19" ht="24">
      <c r="A5798" s="59">
        <v>11270</v>
      </c>
      <c r="B5798" s="60">
        <v>43053</v>
      </c>
      <c r="C5798" s="61" t="s">
        <v>19274</v>
      </c>
      <c r="D5798" s="60">
        <v>43053</v>
      </c>
      <c r="E5798" s="61" t="s">
        <v>1928</v>
      </c>
      <c r="F5798" s="61" t="s">
        <v>1743</v>
      </c>
      <c r="G5798" s="61" t="s">
        <v>20</v>
      </c>
      <c r="H5798" s="61" t="s">
        <v>71</v>
      </c>
      <c r="I5798" s="61" t="s">
        <v>21</v>
      </c>
      <c r="J5798" s="61" t="s">
        <v>18594</v>
      </c>
      <c r="K5798" s="61" t="s">
        <v>18595</v>
      </c>
      <c r="L5798" s="61" t="s">
        <v>7167</v>
      </c>
      <c r="M5798" s="61" t="s">
        <v>21</v>
      </c>
      <c r="O5798" s="107">
        <v>43067</v>
      </c>
      <c r="P5798" s="61" t="s">
        <v>21</v>
      </c>
      <c r="Q5798" s="59" t="b">
        <v>0</v>
      </c>
      <c r="R5798" s="22">
        <f t="shared" ref="R5798:R5805" si="116">IF(O5798=" ", " ", INT(YEARFRAC(O5798, B5798)*365))</f>
        <v>14</v>
      </c>
      <c r="S5798" s="37" t="s">
        <v>21</v>
      </c>
    </row>
    <row r="5799" spans="1:19">
      <c r="A5799" s="26">
        <v>11271</v>
      </c>
      <c r="B5799" s="27">
        <v>43060</v>
      </c>
      <c r="C5799" s="28" t="s">
        <v>19283</v>
      </c>
      <c r="D5799" s="27">
        <v>43060</v>
      </c>
      <c r="E5799" s="28" t="s">
        <v>3268</v>
      </c>
      <c r="F5799" s="28" t="s">
        <v>999</v>
      </c>
      <c r="G5799" s="28" t="s">
        <v>20</v>
      </c>
      <c r="H5799" s="28" t="s">
        <v>71</v>
      </c>
      <c r="I5799" s="28" t="s">
        <v>21</v>
      </c>
      <c r="J5799" s="28" t="s">
        <v>18596</v>
      </c>
      <c r="K5799" s="28" t="s">
        <v>18597</v>
      </c>
      <c r="L5799" s="28" t="s">
        <v>18598</v>
      </c>
      <c r="M5799" s="28" t="s">
        <v>21</v>
      </c>
      <c r="O5799" s="94">
        <v>43089</v>
      </c>
      <c r="P5799" s="28" t="s">
        <v>21</v>
      </c>
      <c r="Q5799" s="26" t="b">
        <v>0</v>
      </c>
      <c r="R5799" s="22">
        <f t="shared" si="116"/>
        <v>29</v>
      </c>
      <c r="S5799" s="28" t="s">
        <v>21</v>
      </c>
    </row>
    <row r="5800" spans="1:19">
      <c r="A5800" s="59">
        <v>11272</v>
      </c>
      <c r="B5800" s="60">
        <v>43066</v>
      </c>
      <c r="C5800" s="61" t="s">
        <v>19277</v>
      </c>
      <c r="D5800" s="60">
        <v>43063</v>
      </c>
      <c r="E5800" s="61" t="s">
        <v>1928</v>
      </c>
      <c r="F5800" s="61" t="s">
        <v>1743</v>
      </c>
      <c r="G5800" s="61" t="s">
        <v>20</v>
      </c>
      <c r="H5800" s="61" t="s">
        <v>71</v>
      </c>
      <c r="I5800" s="61" t="s">
        <v>21</v>
      </c>
      <c r="J5800" s="61" t="s">
        <v>18502</v>
      </c>
      <c r="K5800" s="61" t="s">
        <v>18599</v>
      </c>
      <c r="L5800" s="61" t="s">
        <v>7167</v>
      </c>
      <c r="M5800" s="61" t="s">
        <v>21</v>
      </c>
      <c r="O5800" s="107">
        <v>43077</v>
      </c>
      <c r="P5800" s="61" t="s">
        <v>21</v>
      </c>
      <c r="Q5800" s="59" t="b">
        <v>0</v>
      </c>
      <c r="R5800" s="22">
        <f t="shared" si="116"/>
        <v>11</v>
      </c>
      <c r="S5800" s="37" t="s">
        <v>21</v>
      </c>
    </row>
    <row r="5801" spans="1:19">
      <c r="A5801" s="59">
        <v>11273</v>
      </c>
      <c r="B5801" s="60">
        <v>43066</v>
      </c>
      <c r="C5801" s="61" t="s">
        <v>19027</v>
      </c>
      <c r="D5801" s="60">
        <v>43066</v>
      </c>
      <c r="E5801" s="61" t="s">
        <v>18743</v>
      </c>
      <c r="F5801" s="61" t="s">
        <v>3430</v>
      </c>
      <c r="G5801" s="61" t="s">
        <v>20</v>
      </c>
      <c r="H5801" s="61" t="s">
        <v>71</v>
      </c>
      <c r="I5801" s="61" t="s">
        <v>21</v>
      </c>
      <c r="J5801" s="61" t="s">
        <v>18744</v>
      </c>
      <c r="K5801" s="61" t="s">
        <v>14825</v>
      </c>
      <c r="L5801" s="63" t="s">
        <v>1152</v>
      </c>
      <c r="M5801" s="63" t="s">
        <v>18572</v>
      </c>
      <c r="O5801" s="108">
        <v>43965</v>
      </c>
      <c r="P5801" s="61" t="s">
        <v>21</v>
      </c>
      <c r="Q5801" s="59" t="b">
        <v>0</v>
      </c>
      <c r="R5801" s="22">
        <f t="shared" si="116"/>
        <v>899</v>
      </c>
      <c r="S5801" s="37" t="s">
        <v>21</v>
      </c>
    </row>
    <row r="5802" spans="1:19">
      <c r="A5802" s="43">
        <v>11274</v>
      </c>
      <c r="B5802" s="48">
        <v>43073</v>
      </c>
      <c r="C5802" s="49" t="s">
        <v>19280</v>
      </c>
      <c r="D5802" s="48">
        <v>43073</v>
      </c>
      <c r="E5802" s="49" t="s">
        <v>1928</v>
      </c>
      <c r="F5802" s="49" t="s">
        <v>1743</v>
      </c>
      <c r="G5802" s="49" t="s">
        <v>20</v>
      </c>
      <c r="H5802" s="49" t="s">
        <v>71</v>
      </c>
      <c r="I5802" s="49" t="s">
        <v>21</v>
      </c>
      <c r="J5802" s="49" t="s">
        <v>18600</v>
      </c>
      <c r="K5802" s="49" t="s">
        <v>18601</v>
      </c>
      <c r="L5802" s="49" t="s">
        <v>3271</v>
      </c>
      <c r="M5802" s="49" t="s">
        <v>21</v>
      </c>
      <c r="N5802" s="13"/>
      <c r="O5802" s="102">
        <v>43087</v>
      </c>
      <c r="P5802" s="37" t="s">
        <v>21</v>
      </c>
      <c r="Q5802" s="43" t="b">
        <v>0</v>
      </c>
      <c r="R5802" s="22">
        <f t="shared" si="116"/>
        <v>14</v>
      </c>
      <c r="S5802" s="37" t="s">
        <v>21</v>
      </c>
    </row>
    <row r="5803" spans="1:19">
      <c r="A5803" s="43">
        <v>11275</v>
      </c>
      <c r="B5803" s="48">
        <v>43080</v>
      </c>
      <c r="C5803" s="49" t="s">
        <v>19281</v>
      </c>
      <c r="D5803" s="48">
        <v>43077</v>
      </c>
      <c r="E5803" s="49" t="s">
        <v>38</v>
      </c>
      <c r="F5803" s="49" t="s">
        <v>1743</v>
      </c>
      <c r="G5803" s="49" t="s">
        <v>20</v>
      </c>
      <c r="H5803" s="49" t="s">
        <v>71</v>
      </c>
      <c r="I5803" s="49" t="s">
        <v>21</v>
      </c>
      <c r="J5803" s="49" t="s">
        <v>11320</v>
      </c>
      <c r="K5803" s="49" t="s">
        <v>21</v>
      </c>
      <c r="L5803" s="49" t="s">
        <v>14349</v>
      </c>
      <c r="M5803" s="49" t="s">
        <v>21</v>
      </c>
      <c r="N5803" s="13"/>
      <c r="O5803" s="102">
        <v>43087</v>
      </c>
      <c r="P5803" s="37" t="s">
        <v>21</v>
      </c>
      <c r="Q5803" s="43" t="b">
        <v>0</v>
      </c>
      <c r="R5803" s="22">
        <f t="shared" si="116"/>
        <v>7</v>
      </c>
      <c r="S5803" s="37" t="s">
        <v>21</v>
      </c>
    </row>
    <row r="5804" spans="1:19">
      <c r="A5804" s="64">
        <v>11276</v>
      </c>
      <c r="B5804" s="62">
        <v>43080</v>
      </c>
      <c r="C5804" s="63" t="s">
        <v>19028</v>
      </c>
      <c r="D5804" s="62">
        <v>43080</v>
      </c>
      <c r="E5804" s="63" t="s">
        <v>38</v>
      </c>
      <c r="F5804" s="63" t="s">
        <v>1743</v>
      </c>
      <c r="G5804" s="63" t="s">
        <v>20</v>
      </c>
      <c r="H5804" s="63" t="s">
        <v>71</v>
      </c>
      <c r="I5804" s="63" t="s">
        <v>21</v>
      </c>
      <c r="J5804" s="63" t="s">
        <v>18745</v>
      </c>
      <c r="K5804" s="63" t="s">
        <v>6031</v>
      </c>
      <c r="L5804" s="63" t="s">
        <v>7167</v>
      </c>
      <c r="M5804" s="63" t="s">
        <v>21</v>
      </c>
      <c r="O5804" s="108">
        <v>43158</v>
      </c>
      <c r="P5804" s="65" t="s">
        <v>21</v>
      </c>
      <c r="Q5804" s="66" t="b">
        <v>0</v>
      </c>
      <c r="R5804" s="22">
        <f t="shared" si="116"/>
        <v>77</v>
      </c>
    </row>
    <row r="5805" spans="1:19">
      <c r="A5805" s="43">
        <v>11277</v>
      </c>
      <c r="B5805" s="48">
        <v>43082</v>
      </c>
      <c r="C5805" s="49" t="s">
        <v>19029</v>
      </c>
      <c r="D5805" s="48">
        <v>43082</v>
      </c>
      <c r="E5805" s="49" t="s">
        <v>18746</v>
      </c>
      <c r="F5805" s="49" t="s">
        <v>6752</v>
      </c>
      <c r="G5805" s="49" t="s">
        <v>20</v>
      </c>
      <c r="H5805" s="49" t="s">
        <v>71</v>
      </c>
      <c r="I5805" s="49" t="s">
        <v>21</v>
      </c>
      <c r="J5805" s="49" t="s">
        <v>18747</v>
      </c>
      <c r="K5805" s="49" t="s">
        <v>14825</v>
      </c>
      <c r="L5805" s="52" t="s">
        <v>7167</v>
      </c>
      <c r="M5805" s="52" t="s">
        <v>20680</v>
      </c>
      <c r="N5805" s="13"/>
      <c r="O5805" s="104">
        <v>43991</v>
      </c>
      <c r="P5805" s="37" t="s">
        <v>21</v>
      </c>
      <c r="Q5805" s="43" t="b">
        <v>0</v>
      </c>
      <c r="R5805" s="22">
        <f t="shared" si="116"/>
        <v>908</v>
      </c>
      <c r="S5805" s="37" t="s">
        <v>21</v>
      </c>
    </row>
    <row r="5806" spans="1:19" ht="30">
      <c r="A5806" s="22"/>
      <c r="B5806" s="23">
        <v>43088</v>
      </c>
      <c r="C5806" s="67" t="s">
        <v>18748</v>
      </c>
      <c r="D5806" s="67"/>
      <c r="E5806" s="67" t="s">
        <v>15826</v>
      </c>
      <c r="F5806" s="67" t="s">
        <v>19</v>
      </c>
      <c r="G5806" s="67"/>
      <c r="H5806" s="67"/>
      <c r="I5806" s="67"/>
      <c r="J5806" s="67" t="s">
        <v>18749</v>
      </c>
      <c r="K5806" s="67" t="s">
        <v>21</v>
      </c>
      <c r="L5806" s="67" t="s">
        <v>18572</v>
      </c>
      <c r="M5806" s="67"/>
      <c r="N5806" s="58"/>
      <c r="O5806" s="120"/>
      <c r="P5806" s="67"/>
      <c r="Q5806" s="22"/>
      <c r="R5806" s="22"/>
    </row>
    <row r="5807" spans="1:19">
      <c r="A5807" s="43">
        <v>11279</v>
      </c>
      <c r="B5807" s="48">
        <v>43089</v>
      </c>
      <c r="C5807" s="49" t="s">
        <v>19043</v>
      </c>
      <c r="D5807" s="48">
        <v>43088</v>
      </c>
      <c r="E5807" s="49" t="s">
        <v>18750</v>
      </c>
      <c r="F5807" s="49" t="s">
        <v>16173</v>
      </c>
      <c r="G5807" s="49" t="s">
        <v>20</v>
      </c>
      <c r="H5807" s="49" t="s">
        <v>566</v>
      </c>
      <c r="I5807" s="49" t="s">
        <v>21</v>
      </c>
      <c r="J5807" s="49" t="s">
        <v>18751</v>
      </c>
      <c r="K5807" s="49" t="s">
        <v>6081</v>
      </c>
      <c r="L5807" s="49" t="s">
        <v>18572</v>
      </c>
      <c r="M5807" s="49" t="s">
        <v>21</v>
      </c>
      <c r="N5807" s="13"/>
      <c r="O5807" s="102">
        <v>43104</v>
      </c>
      <c r="P5807" s="37" t="s">
        <v>21</v>
      </c>
      <c r="Q5807" s="43" t="b">
        <v>0</v>
      </c>
      <c r="R5807" s="22">
        <f t="shared" ref="R5807:R5838" si="117">IF(O5807=" ", " ", INT(YEARFRAC(O5807, B5807)*365))</f>
        <v>14</v>
      </c>
      <c r="S5807" s="37" t="s">
        <v>21</v>
      </c>
    </row>
    <row r="5808" spans="1:19">
      <c r="A5808" s="68">
        <v>11281</v>
      </c>
      <c r="B5808" s="51">
        <v>43089</v>
      </c>
      <c r="C5808" s="52" t="s">
        <v>19030</v>
      </c>
      <c r="D5808" s="51">
        <v>43089</v>
      </c>
      <c r="E5808" s="52" t="s">
        <v>18752</v>
      </c>
      <c r="F5808" s="52" t="s">
        <v>18753</v>
      </c>
      <c r="G5808" s="52" t="s">
        <v>20</v>
      </c>
      <c r="H5808" s="52" t="s">
        <v>189</v>
      </c>
      <c r="I5808" s="52" t="s">
        <v>21</v>
      </c>
      <c r="J5808" s="52" t="s">
        <v>18754</v>
      </c>
      <c r="K5808" s="52" t="s">
        <v>18755</v>
      </c>
      <c r="L5808" s="52" t="s">
        <v>7167</v>
      </c>
      <c r="M5808" s="52" t="s">
        <v>21</v>
      </c>
      <c r="N5808" s="13"/>
      <c r="O5808" s="104">
        <v>43343</v>
      </c>
      <c r="P5808" s="69" t="s">
        <v>21</v>
      </c>
      <c r="Q5808" s="44" t="b">
        <v>0</v>
      </c>
      <c r="R5808" s="22">
        <f t="shared" si="117"/>
        <v>254</v>
      </c>
    </row>
    <row r="5809" spans="1:19" ht="24">
      <c r="A5809" s="59">
        <v>11282</v>
      </c>
      <c r="B5809" s="60">
        <v>43091</v>
      </c>
      <c r="C5809" s="61" t="s">
        <v>19042</v>
      </c>
      <c r="D5809" s="60">
        <v>43090</v>
      </c>
      <c r="E5809" s="61" t="s">
        <v>38</v>
      </c>
      <c r="F5809" s="61" t="s">
        <v>124</v>
      </c>
      <c r="G5809" s="61" t="s">
        <v>20</v>
      </c>
      <c r="H5809" s="61" t="s">
        <v>71</v>
      </c>
      <c r="I5809" s="61" t="s">
        <v>21</v>
      </c>
      <c r="J5809" s="61" t="s">
        <v>18756</v>
      </c>
      <c r="K5809" s="61" t="s">
        <v>21</v>
      </c>
      <c r="L5809" s="61" t="s">
        <v>14909</v>
      </c>
      <c r="M5809" s="61" t="s">
        <v>21</v>
      </c>
      <c r="O5809" s="107">
        <v>43103</v>
      </c>
      <c r="P5809" s="61" t="s">
        <v>21</v>
      </c>
      <c r="Q5809" s="59" t="b">
        <v>0</v>
      </c>
      <c r="R5809" s="22">
        <f t="shared" si="117"/>
        <v>11</v>
      </c>
      <c r="S5809" s="37" t="s">
        <v>21</v>
      </c>
    </row>
    <row r="5810" spans="1:19">
      <c r="A5810" s="43">
        <v>11283</v>
      </c>
      <c r="B5810" s="48">
        <v>43091</v>
      </c>
      <c r="C5810" s="49" t="s">
        <v>19031</v>
      </c>
      <c r="D5810" s="48">
        <v>43091</v>
      </c>
      <c r="E5810" s="49" t="s">
        <v>18757</v>
      </c>
      <c r="F5810" s="49" t="s">
        <v>56</v>
      </c>
      <c r="G5810" s="49" t="s">
        <v>20</v>
      </c>
      <c r="H5810" s="49" t="s">
        <v>71</v>
      </c>
      <c r="I5810" s="49" t="s">
        <v>21</v>
      </c>
      <c r="J5810" s="49" t="s">
        <v>18758</v>
      </c>
      <c r="K5810" s="49" t="s">
        <v>18759</v>
      </c>
      <c r="L5810" s="49" t="s">
        <v>1946</v>
      </c>
      <c r="M5810" s="49" t="s">
        <v>21</v>
      </c>
      <c r="N5810" s="13"/>
      <c r="O5810" s="104">
        <v>43910</v>
      </c>
      <c r="P5810" s="37" t="s">
        <v>21</v>
      </c>
      <c r="Q5810" s="43" t="b">
        <v>0</v>
      </c>
      <c r="R5810" s="22">
        <f t="shared" si="117"/>
        <v>819</v>
      </c>
      <c r="S5810" s="37" t="s">
        <v>21</v>
      </c>
    </row>
    <row r="5811" spans="1:19">
      <c r="A5811" s="43">
        <v>11284</v>
      </c>
      <c r="B5811" s="48">
        <v>43096</v>
      </c>
      <c r="C5811" s="49" t="s">
        <v>19032</v>
      </c>
      <c r="D5811" s="48">
        <v>43095</v>
      </c>
      <c r="E5811" s="49" t="s">
        <v>18760</v>
      </c>
      <c r="F5811" s="49" t="s">
        <v>6752</v>
      </c>
      <c r="G5811" s="49" t="s">
        <v>20</v>
      </c>
      <c r="H5811" s="49" t="s">
        <v>71</v>
      </c>
      <c r="I5811" s="49" t="s">
        <v>21</v>
      </c>
      <c r="J5811" s="49" t="s">
        <v>18761</v>
      </c>
      <c r="K5811" s="49" t="s">
        <v>9348</v>
      </c>
      <c r="L5811" s="49" t="s">
        <v>7167</v>
      </c>
      <c r="M5811" s="49" t="s">
        <v>20680</v>
      </c>
      <c r="N5811" s="13"/>
      <c r="O5811" s="104">
        <v>43991</v>
      </c>
      <c r="P5811" s="37" t="s">
        <v>21</v>
      </c>
      <c r="Q5811" s="43" t="b">
        <v>0</v>
      </c>
      <c r="R5811" s="22">
        <f t="shared" si="117"/>
        <v>894</v>
      </c>
      <c r="S5811" s="37" t="s">
        <v>21</v>
      </c>
    </row>
    <row r="5812" spans="1:19">
      <c r="A5812" s="64">
        <v>11285</v>
      </c>
      <c r="B5812" s="62">
        <v>43097</v>
      </c>
      <c r="C5812" s="63" t="s">
        <v>19033</v>
      </c>
      <c r="D5812" s="62">
        <v>43096</v>
      </c>
      <c r="E5812" s="63" t="s">
        <v>18762</v>
      </c>
      <c r="F5812" s="63" t="s">
        <v>18763</v>
      </c>
      <c r="G5812" s="63" t="s">
        <v>20</v>
      </c>
      <c r="H5812" s="63" t="s">
        <v>71</v>
      </c>
      <c r="I5812" s="63" t="s">
        <v>21</v>
      </c>
      <c r="J5812" s="63" t="s">
        <v>18764</v>
      </c>
      <c r="K5812" s="63" t="s">
        <v>18765</v>
      </c>
      <c r="L5812" s="63" t="s">
        <v>1946</v>
      </c>
      <c r="M5812" s="63" t="s">
        <v>21</v>
      </c>
      <c r="O5812" s="108">
        <v>43188</v>
      </c>
      <c r="P5812" s="65" t="s">
        <v>21</v>
      </c>
      <c r="Q5812" s="66" t="b">
        <v>0</v>
      </c>
      <c r="R5812" s="22">
        <f t="shared" si="117"/>
        <v>92</v>
      </c>
    </row>
    <row r="5813" spans="1:19">
      <c r="A5813" s="43">
        <v>11286</v>
      </c>
      <c r="B5813" s="48">
        <v>43102</v>
      </c>
      <c r="C5813" s="49" t="s">
        <v>19034</v>
      </c>
      <c r="D5813" s="48">
        <v>43097</v>
      </c>
      <c r="E5813" s="49" t="s">
        <v>18766</v>
      </c>
      <c r="F5813" s="49" t="s">
        <v>56</v>
      </c>
      <c r="G5813" s="49" t="s">
        <v>20</v>
      </c>
      <c r="H5813" s="49" t="s">
        <v>71</v>
      </c>
      <c r="I5813" s="49" t="s">
        <v>21</v>
      </c>
      <c r="J5813" s="49" t="s">
        <v>18767</v>
      </c>
      <c r="K5813" s="49" t="s">
        <v>18448</v>
      </c>
      <c r="L5813" s="49" t="s">
        <v>4282</v>
      </c>
      <c r="M5813" s="49" t="s">
        <v>21</v>
      </c>
      <c r="N5813" s="13"/>
      <c r="O5813" s="104">
        <v>43965</v>
      </c>
      <c r="P5813" s="37" t="s">
        <v>21</v>
      </c>
      <c r="Q5813" s="43" t="b">
        <v>0</v>
      </c>
      <c r="R5813" s="22">
        <f t="shared" si="117"/>
        <v>863</v>
      </c>
      <c r="S5813" s="37" t="s">
        <v>21</v>
      </c>
    </row>
    <row r="5814" spans="1:19" ht="24">
      <c r="A5814" s="59">
        <v>11287</v>
      </c>
      <c r="B5814" s="60">
        <v>43102</v>
      </c>
      <c r="C5814" s="61" t="s">
        <v>19048</v>
      </c>
      <c r="D5814" s="60">
        <v>43102</v>
      </c>
      <c r="E5814" s="61" t="s">
        <v>1928</v>
      </c>
      <c r="F5814" s="61" t="s">
        <v>1743</v>
      </c>
      <c r="G5814" s="61" t="s">
        <v>20</v>
      </c>
      <c r="H5814" s="61" t="s">
        <v>71</v>
      </c>
      <c r="I5814" s="61" t="s">
        <v>21</v>
      </c>
      <c r="J5814" s="61" t="s">
        <v>18768</v>
      </c>
      <c r="K5814" s="61" t="s">
        <v>21</v>
      </c>
      <c r="L5814" s="61" t="s">
        <v>7167</v>
      </c>
      <c r="M5814" s="61" t="s">
        <v>21</v>
      </c>
      <c r="O5814" s="107">
        <v>43108</v>
      </c>
      <c r="P5814" s="61" t="s">
        <v>21</v>
      </c>
      <c r="Q5814" s="59" t="b">
        <v>0</v>
      </c>
      <c r="R5814" s="22">
        <f t="shared" si="117"/>
        <v>6</v>
      </c>
      <c r="S5814" s="37" t="s">
        <v>21</v>
      </c>
    </row>
    <row r="5815" spans="1:19" ht="24">
      <c r="A5815" s="43">
        <v>11288</v>
      </c>
      <c r="B5815" s="29">
        <v>43103</v>
      </c>
      <c r="C5815" s="49" t="s">
        <v>19044</v>
      </c>
      <c r="D5815" s="48">
        <v>43102</v>
      </c>
      <c r="E5815" s="49" t="s">
        <v>38</v>
      </c>
      <c r="F5815" s="49" t="s">
        <v>19045</v>
      </c>
      <c r="G5815" s="49" t="s">
        <v>20</v>
      </c>
      <c r="H5815" s="49" t="s">
        <v>71</v>
      </c>
      <c r="I5815" s="49" t="s">
        <v>21</v>
      </c>
      <c r="J5815" s="49" t="s">
        <v>19046</v>
      </c>
      <c r="K5815" s="49" t="s">
        <v>19047</v>
      </c>
      <c r="L5815" s="49" t="s">
        <v>7167</v>
      </c>
      <c r="M5815" s="37" t="s">
        <v>21</v>
      </c>
      <c r="O5815" s="94">
        <v>43105</v>
      </c>
      <c r="P5815" s="49" t="s">
        <v>21</v>
      </c>
      <c r="Q5815" s="43" t="b">
        <v>0</v>
      </c>
      <c r="R5815" s="22">
        <f t="shared" si="117"/>
        <v>2</v>
      </c>
      <c r="S5815" s="37" t="s">
        <v>21</v>
      </c>
    </row>
    <row r="5816" spans="1:19">
      <c r="A5816" s="68">
        <v>11291</v>
      </c>
      <c r="B5816" s="45">
        <v>43108</v>
      </c>
      <c r="C5816" s="52" t="s">
        <v>19035</v>
      </c>
      <c r="D5816" s="51">
        <v>43108</v>
      </c>
      <c r="E5816" s="52" t="s">
        <v>38</v>
      </c>
      <c r="F5816" s="52" t="s">
        <v>327</v>
      </c>
      <c r="G5816" s="52" t="s">
        <v>20</v>
      </c>
      <c r="H5816" s="52" t="s">
        <v>71</v>
      </c>
      <c r="I5816" s="52" t="s">
        <v>21</v>
      </c>
      <c r="J5816" s="52" t="s">
        <v>19308</v>
      </c>
      <c r="K5816" s="52" t="s">
        <v>19309</v>
      </c>
      <c r="L5816" s="52" t="s">
        <v>7167</v>
      </c>
      <c r="M5816" s="46" t="s">
        <v>21</v>
      </c>
      <c r="O5816" s="101">
        <v>43168</v>
      </c>
      <c r="P5816" s="53" t="s">
        <v>21</v>
      </c>
      <c r="Q5816" s="44" t="b">
        <v>0</v>
      </c>
      <c r="R5816" s="22">
        <f t="shared" si="117"/>
        <v>61</v>
      </c>
    </row>
    <row r="5817" spans="1:19" ht="24">
      <c r="A5817" s="64">
        <v>11292</v>
      </c>
      <c r="B5817" s="62">
        <v>43112</v>
      </c>
      <c r="C5817" s="63" t="s">
        <v>19036</v>
      </c>
      <c r="D5817" s="62">
        <v>43112</v>
      </c>
      <c r="E5817" s="63" t="s">
        <v>1928</v>
      </c>
      <c r="F5817" s="63" t="s">
        <v>1743</v>
      </c>
      <c r="G5817" s="63" t="s">
        <v>20</v>
      </c>
      <c r="H5817" s="63" t="s">
        <v>71</v>
      </c>
      <c r="I5817" s="63" t="s">
        <v>21</v>
      </c>
      <c r="J5817" s="63" t="s">
        <v>19310</v>
      </c>
      <c r="K5817" s="63" t="s">
        <v>21</v>
      </c>
      <c r="L5817" s="63" t="s">
        <v>4282</v>
      </c>
      <c r="M5817" s="63" t="s">
        <v>21</v>
      </c>
      <c r="O5817" s="108">
        <v>43126</v>
      </c>
      <c r="P5817" s="65" t="s">
        <v>21</v>
      </c>
      <c r="Q5817" s="66" t="b">
        <v>0</v>
      </c>
      <c r="R5817" s="22">
        <f t="shared" si="117"/>
        <v>14</v>
      </c>
    </row>
    <row r="5818" spans="1:19">
      <c r="A5818" s="43">
        <v>11293</v>
      </c>
      <c r="B5818" s="29">
        <v>43116</v>
      </c>
      <c r="C5818" s="49" t="s">
        <v>19037</v>
      </c>
      <c r="D5818" s="48">
        <v>43112</v>
      </c>
      <c r="E5818" s="49" t="s">
        <v>19311</v>
      </c>
      <c r="F5818" s="49" t="s">
        <v>18500</v>
      </c>
      <c r="G5818" s="49" t="s">
        <v>20</v>
      </c>
      <c r="H5818" s="49" t="s">
        <v>71</v>
      </c>
      <c r="I5818" s="49" t="s">
        <v>21</v>
      </c>
      <c r="J5818" s="49" t="s">
        <v>19312</v>
      </c>
      <c r="K5818" s="49" t="s">
        <v>14825</v>
      </c>
      <c r="L5818" s="52" t="s">
        <v>7167</v>
      </c>
      <c r="M5818" s="46" t="s">
        <v>18572</v>
      </c>
      <c r="O5818" s="101">
        <v>43887</v>
      </c>
      <c r="P5818" s="49" t="s">
        <v>21</v>
      </c>
      <c r="Q5818" s="43" t="b">
        <v>0</v>
      </c>
      <c r="R5818" s="22">
        <f t="shared" si="117"/>
        <v>770</v>
      </c>
      <c r="S5818" s="37" t="s">
        <v>21</v>
      </c>
    </row>
    <row r="5819" spans="1:19">
      <c r="A5819" s="43">
        <v>11294</v>
      </c>
      <c r="B5819" s="29">
        <v>43116</v>
      </c>
      <c r="C5819" s="49" t="s">
        <v>19051</v>
      </c>
      <c r="D5819" s="48">
        <v>43112</v>
      </c>
      <c r="E5819" s="49" t="s">
        <v>38</v>
      </c>
      <c r="F5819" s="49" t="s">
        <v>17608</v>
      </c>
      <c r="G5819" s="49" t="s">
        <v>20</v>
      </c>
      <c r="H5819" s="49" t="s">
        <v>71</v>
      </c>
      <c r="I5819" s="49" t="s">
        <v>21</v>
      </c>
      <c r="J5819" s="49" t="s">
        <v>19052</v>
      </c>
      <c r="K5819" s="49" t="s">
        <v>19053</v>
      </c>
      <c r="L5819" s="49" t="s">
        <v>4282</v>
      </c>
      <c r="M5819" s="37" t="s">
        <v>21</v>
      </c>
      <c r="O5819" s="94">
        <v>43116</v>
      </c>
      <c r="P5819" s="49" t="s">
        <v>21</v>
      </c>
      <c r="Q5819" s="43" t="b">
        <v>0</v>
      </c>
      <c r="R5819" s="22">
        <f t="shared" si="117"/>
        <v>0</v>
      </c>
      <c r="S5819" s="37" t="s">
        <v>21</v>
      </c>
    </row>
    <row r="5820" spans="1:19">
      <c r="A5820" s="50">
        <v>11295</v>
      </c>
      <c r="B5820" s="51">
        <v>43119</v>
      </c>
      <c r="C5820" s="52" t="s">
        <v>19038</v>
      </c>
      <c r="D5820" s="51">
        <v>43118</v>
      </c>
      <c r="E5820" s="52" t="s">
        <v>19313</v>
      </c>
      <c r="F5820" s="52" t="s">
        <v>1783</v>
      </c>
      <c r="G5820" s="52" t="s">
        <v>20</v>
      </c>
      <c r="H5820" s="52" t="s">
        <v>71</v>
      </c>
      <c r="I5820" s="52" t="s">
        <v>21</v>
      </c>
      <c r="J5820" s="52" t="s">
        <v>19314</v>
      </c>
      <c r="K5820" s="52" t="s">
        <v>15287</v>
      </c>
      <c r="L5820" s="52" t="s">
        <v>7167</v>
      </c>
      <c r="M5820" s="52" t="s">
        <v>21</v>
      </c>
      <c r="O5820" s="104">
        <v>43224</v>
      </c>
      <c r="P5820" s="53" t="s">
        <v>21</v>
      </c>
      <c r="Q5820" s="54" t="b">
        <v>0</v>
      </c>
      <c r="R5820" s="22">
        <f t="shared" si="117"/>
        <v>106</v>
      </c>
    </row>
    <row r="5821" spans="1:19">
      <c r="A5821" s="47">
        <v>11296</v>
      </c>
      <c r="B5821" s="48">
        <v>43119</v>
      </c>
      <c r="C5821" s="49" t="s">
        <v>19039</v>
      </c>
      <c r="D5821" s="48">
        <v>43118</v>
      </c>
      <c r="E5821" s="49" t="s">
        <v>19315</v>
      </c>
      <c r="F5821" s="49" t="s">
        <v>211</v>
      </c>
      <c r="G5821" s="49" t="s">
        <v>20</v>
      </c>
      <c r="H5821" s="49" t="s">
        <v>212</v>
      </c>
      <c r="I5821" s="49" t="s">
        <v>21</v>
      </c>
      <c r="J5821" s="49" t="s">
        <v>19052</v>
      </c>
      <c r="K5821" s="49" t="s">
        <v>19053</v>
      </c>
      <c r="L5821" s="49" t="s">
        <v>4282</v>
      </c>
      <c r="M5821" s="49" t="s">
        <v>21</v>
      </c>
      <c r="O5821" s="104">
        <v>43992</v>
      </c>
      <c r="P5821" s="49" t="s">
        <v>21</v>
      </c>
      <c r="Q5821" s="47" t="b">
        <v>0</v>
      </c>
      <c r="R5821" s="22">
        <f t="shared" si="117"/>
        <v>872</v>
      </c>
      <c r="S5821" s="37" t="s">
        <v>21</v>
      </c>
    </row>
    <row r="5822" spans="1:19">
      <c r="A5822" s="47">
        <v>11297</v>
      </c>
      <c r="B5822" s="48">
        <v>43119</v>
      </c>
      <c r="C5822" s="49" t="s">
        <v>19040</v>
      </c>
      <c r="D5822" s="48">
        <v>43118</v>
      </c>
      <c r="E5822" s="49" t="s">
        <v>19316</v>
      </c>
      <c r="F5822" s="49" t="s">
        <v>124</v>
      </c>
      <c r="G5822" s="49" t="s">
        <v>20</v>
      </c>
      <c r="H5822" s="49" t="s">
        <v>71</v>
      </c>
      <c r="I5822" s="49" t="s">
        <v>21</v>
      </c>
      <c r="J5822" s="49" t="s">
        <v>19317</v>
      </c>
      <c r="K5822" s="49" t="s">
        <v>9348</v>
      </c>
      <c r="L5822" s="52" t="s">
        <v>1152</v>
      </c>
      <c r="M5822" s="52" t="s">
        <v>18572</v>
      </c>
      <c r="O5822" s="104">
        <v>43986</v>
      </c>
      <c r="P5822" s="49" t="s">
        <v>21</v>
      </c>
      <c r="Q5822" s="47" t="b">
        <v>0</v>
      </c>
      <c r="R5822" s="22">
        <f t="shared" si="117"/>
        <v>866</v>
      </c>
      <c r="S5822" s="37" t="s">
        <v>21</v>
      </c>
    </row>
    <row r="5823" spans="1:19">
      <c r="A5823" s="38">
        <v>11298</v>
      </c>
      <c r="B5823" s="39">
        <v>43124</v>
      </c>
      <c r="C5823" s="40" t="s">
        <v>19041</v>
      </c>
      <c r="D5823" s="39">
        <v>43122</v>
      </c>
      <c r="E5823" s="40" t="s">
        <v>19307</v>
      </c>
      <c r="F5823" s="40" t="s">
        <v>124</v>
      </c>
      <c r="G5823" s="40" t="s">
        <v>20</v>
      </c>
      <c r="H5823" s="40" t="s">
        <v>71</v>
      </c>
      <c r="I5823" s="40" t="s">
        <v>21</v>
      </c>
      <c r="J5823" s="40" t="s">
        <v>19318</v>
      </c>
      <c r="K5823" s="40" t="s">
        <v>6081</v>
      </c>
      <c r="L5823" s="40" t="s">
        <v>18572</v>
      </c>
      <c r="M5823" s="40" t="s">
        <v>21</v>
      </c>
      <c r="O5823" s="101">
        <v>43154</v>
      </c>
      <c r="P5823" s="41" t="s">
        <v>21</v>
      </c>
      <c r="Q5823" s="42" t="b">
        <v>0</v>
      </c>
      <c r="R5823" s="22">
        <f t="shared" si="117"/>
        <v>29</v>
      </c>
    </row>
    <row r="5824" spans="1:19">
      <c r="A5824" s="64">
        <v>11299</v>
      </c>
      <c r="B5824" s="62">
        <v>43126</v>
      </c>
      <c r="C5824" s="63" t="s">
        <v>19479</v>
      </c>
      <c r="D5824" s="62">
        <v>43119</v>
      </c>
      <c r="E5824" s="63" t="s">
        <v>38</v>
      </c>
      <c r="F5824" s="63" t="s">
        <v>741</v>
      </c>
      <c r="G5824" s="63" t="s">
        <v>20</v>
      </c>
      <c r="H5824" s="63" t="s">
        <v>71</v>
      </c>
      <c r="I5824" s="63" t="s">
        <v>21</v>
      </c>
      <c r="J5824" s="63" t="s">
        <v>19480</v>
      </c>
      <c r="K5824" s="63" t="s">
        <v>19481</v>
      </c>
      <c r="L5824" s="63" t="s">
        <v>7167</v>
      </c>
      <c r="M5824" s="63" t="s">
        <v>21</v>
      </c>
      <c r="O5824" s="108">
        <v>43131</v>
      </c>
      <c r="P5824" s="65" t="s">
        <v>21</v>
      </c>
      <c r="Q5824" s="66" t="b">
        <v>0</v>
      </c>
      <c r="R5824" s="22">
        <f t="shared" si="117"/>
        <v>5</v>
      </c>
    </row>
    <row r="5825" spans="1:19">
      <c r="A5825" s="64">
        <v>11300</v>
      </c>
      <c r="B5825" s="62">
        <v>43130</v>
      </c>
      <c r="C5825" s="63" t="s">
        <v>19482</v>
      </c>
      <c r="D5825" s="62">
        <v>43130</v>
      </c>
      <c r="E5825" s="63" t="s">
        <v>38</v>
      </c>
      <c r="F5825" s="63" t="s">
        <v>2296</v>
      </c>
      <c r="G5825" s="63" t="s">
        <v>20</v>
      </c>
      <c r="H5825" s="63" t="s">
        <v>566</v>
      </c>
      <c r="I5825" s="63" t="s">
        <v>21</v>
      </c>
      <c r="J5825" s="63" t="s">
        <v>19483</v>
      </c>
      <c r="K5825" s="63" t="s">
        <v>2296</v>
      </c>
      <c r="L5825" s="63" t="s">
        <v>14909</v>
      </c>
      <c r="M5825" s="63" t="s">
        <v>21</v>
      </c>
      <c r="O5825" s="108">
        <v>43306</v>
      </c>
      <c r="P5825" s="65" t="s">
        <v>21</v>
      </c>
      <c r="Q5825" s="66" t="b">
        <v>0</v>
      </c>
      <c r="R5825" s="22">
        <f t="shared" si="117"/>
        <v>177</v>
      </c>
    </row>
    <row r="5826" spans="1:19">
      <c r="A5826" s="64">
        <v>11301</v>
      </c>
      <c r="B5826" s="62">
        <v>43131</v>
      </c>
      <c r="C5826" s="63" t="s">
        <v>19484</v>
      </c>
      <c r="D5826" s="62">
        <v>43130</v>
      </c>
      <c r="E5826" s="63" t="s">
        <v>19485</v>
      </c>
      <c r="F5826" s="63" t="s">
        <v>19486</v>
      </c>
      <c r="G5826" s="63" t="s">
        <v>20</v>
      </c>
      <c r="H5826" s="63" t="s">
        <v>566</v>
      </c>
      <c r="I5826" s="63" t="s">
        <v>21</v>
      </c>
      <c r="J5826" s="63" t="s">
        <v>877</v>
      </c>
      <c r="K5826" s="63" t="s">
        <v>19487</v>
      </c>
      <c r="L5826" s="63" t="s">
        <v>18572</v>
      </c>
      <c r="M5826" s="63" t="s">
        <v>21</v>
      </c>
      <c r="O5826" s="108">
        <v>43145</v>
      </c>
      <c r="P5826" s="65" t="s">
        <v>21</v>
      </c>
      <c r="Q5826" s="66" t="b">
        <v>0</v>
      </c>
      <c r="R5826" s="22">
        <f t="shared" si="117"/>
        <v>14</v>
      </c>
    </row>
    <row r="5827" spans="1:19">
      <c r="A5827" s="64">
        <v>11302</v>
      </c>
      <c r="B5827" s="62">
        <v>43131</v>
      </c>
      <c r="C5827" s="63" t="s">
        <v>19488</v>
      </c>
      <c r="D5827" s="62">
        <v>43130</v>
      </c>
      <c r="E5827" s="63" t="s">
        <v>19489</v>
      </c>
      <c r="F5827" s="63" t="s">
        <v>2296</v>
      </c>
      <c r="G5827" s="63" t="s">
        <v>20</v>
      </c>
      <c r="H5827" s="63" t="s">
        <v>566</v>
      </c>
      <c r="I5827" s="63" t="s">
        <v>21</v>
      </c>
      <c r="J5827" s="63" t="s">
        <v>18714</v>
      </c>
      <c r="K5827" s="63" t="s">
        <v>19490</v>
      </c>
      <c r="L5827" s="63" t="s">
        <v>18572</v>
      </c>
      <c r="M5827" s="63" t="s">
        <v>21</v>
      </c>
      <c r="O5827" s="101">
        <v>43145</v>
      </c>
      <c r="P5827" s="65" t="s">
        <v>21</v>
      </c>
      <c r="Q5827" s="66" t="b">
        <v>0</v>
      </c>
      <c r="R5827" s="22">
        <f t="shared" si="117"/>
        <v>14</v>
      </c>
    </row>
    <row r="5828" spans="1:19">
      <c r="A5828" s="64">
        <v>11303</v>
      </c>
      <c r="B5828" s="62">
        <v>43131</v>
      </c>
      <c r="C5828" s="63" t="s">
        <v>19491</v>
      </c>
      <c r="D5828" s="62">
        <v>43130</v>
      </c>
      <c r="E5828" s="63" t="s">
        <v>19492</v>
      </c>
      <c r="F5828" s="63" t="s">
        <v>3171</v>
      </c>
      <c r="G5828" s="63" t="s">
        <v>20</v>
      </c>
      <c r="H5828" s="63" t="s">
        <v>566</v>
      </c>
      <c r="I5828" s="63" t="s">
        <v>21</v>
      </c>
      <c r="J5828" s="63" t="s">
        <v>19493</v>
      </c>
      <c r="K5828" s="63" t="s">
        <v>19494</v>
      </c>
      <c r="L5828" s="63" t="s">
        <v>18572</v>
      </c>
      <c r="M5828" s="63" t="s">
        <v>21</v>
      </c>
      <c r="O5828" s="108">
        <v>43145</v>
      </c>
      <c r="P5828" s="65" t="s">
        <v>21</v>
      </c>
      <c r="Q5828" s="66" t="b">
        <v>0</v>
      </c>
      <c r="R5828" s="22">
        <f t="shared" si="117"/>
        <v>14</v>
      </c>
    </row>
    <row r="5829" spans="1:19">
      <c r="A5829" s="64">
        <v>11304</v>
      </c>
      <c r="B5829" s="62">
        <v>43131</v>
      </c>
      <c r="C5829" s="63" t="s">
        <v>19495</v>
      </c>
      <c r="D5829" s="62">
        <v>43130</v>
      </c>
      <c r="E5829" s="63" t="s">
        <v>38</v>
      </c>
      <c r="F5829" s="63" t="s">
        <v>124</v>
      </c>
      <c r="G5829" s="63" t="s">
        <v>20</v>
      </c>
      <c r="H5829" s="63" t="s">
        <v>71</v>
      </c>
      <c r="I5829" s="63" t="s">
        <v>21</v>
      </c>
      <c r="J5829" s="63" t="s">
        <v>8764</v>
      </c>
      <c r="K5829" s="63" t="s">
        <v>970</v>
      </c>
      <c r="L5829" s="63" t="s">
        <v>14909</v>
      </c>
      <c r="M5829" s="63" t="s">
        <v>21</v>
      </c>
      <c r="O5829" s="108">
        <v>43297</v>
      </c>
      <c r="P5829" s="65" t="s">
        <v>21</v>
      </c>
      <c r="Q5829" s="66" t="b">
        <v>0</v>
      </c>
      <c r="R5829" s="22">
        <f t="shared" si="117"/>
        <v>168</v>
      </c>
    </row>
    <row r="5830" spans="1:19">
      <c r="A5830" s="64">
        <v>11305</v>
      </c>
      <c r="B5830" s="62">
        <v>43133</v>
      </c>
      <c r="C5830" s="63" t="s">
        <v>19496</v>
      </c>
      <c r="D5830" s="62">
        <v>43130</v>
      </c>
      <c r="E5830" s="63" t="s">
        <v>19497</v>
      </c>
      <c r="F5830" s="63" t="s">
        <v>2296</v>
      </c>
      <c r="G5830" s="63" t="s">
        <v>20</v>
      </c>
      <c r="H5830" s="63" t="s">
        <v>566</v>
      </c>
      <c r="I5830" s="63" t="s">
        <v>21</v>
      </c>
      <c r="J5830" s="63" t="s">
        <v>19498</v>
      </c>
      <c r="K5830" s="63" t="s">
        <v>19499</v>
      </c>
      <c r="L5830" s="63" t="s">
        <v>18572</v>
      </c>
      <c r="M5830" s="63" t="s">
        <v>21</v>
      </c>
      <c r="O5830" s="108">
        <v>43145</v>
      </c>
      <c r="P5830" s="65" t="s">
        <v>21</v>
      </c>
      <c r="Q5830" s="66" t="b">
        <v>0</v>
      </c>
      <c r="R5830" s="22">
        <f t="shared" si="117"/>
        <v>12</v>
      </c>
    </row>
    <row r="5831" spans="1:19">
      <c r="A5831" s="64">
        <v>11306</v>
      </c>
      <c r="B5831" s="62">
        <v>43133</v>
      </c>
      <c r="C5831" s="63" t="s">
        <v>19500</v>
      </c>
      <c r="D5831" s="62">
        <v>43130</v>
      </c>
      <c r="E5831" s="63" t="s">
        <v>19501</v>
      </c>
      <c r="F5831" s="63" t="s">
        <v>19486</v>
      </c>
      <c r="G5831" s="63" t="s">
        <v>20</v>
      </c>
      <c r="H5831" s="63" t="s">
        <v>566</v>
      </c>
      <c r="I5831" s="63" t="s">
        <v>21</v>
      </c>
      <c r="J5831" s="63" t="s">
        <v>877</v>
      </c>
      <c r="K5831" s="63" t="s">
        <v>19502</v>
      </c>
      <c r="L5831" s="63" t="s">
        <v>18572</v>
      </c>
      <c r="M5831" s="63" t="s">
        <v>21</v>
      </c>
      <c r="O5831" s="108">
        <v>43145</v>
      </c>
      <c r="P5831" s="65" t="s">
        <v>21</v>
      </c>
      <c r="Q5831" s="66" t="b">
        <v>0</v>
      </c>
      <c r="R5831" s="22">
        <f t="shared" si="117"/>
        <v>12</v>
      </c>
    </row>
    <row r="5832" spans="1:19">
      <c r="A5832" s="64">
        <v>11307</v>
      </c>
      <c r="B5832" s="62">
        <v>43139</v>
      </c>
      <c r="C5832" s="63" t="s">
        <v>19503</v>
      </c>
      <c r="D5832" s="62">
        <v>43139</v>
      </c>
      <c r="E5832" s="63" t="s">
        <v>15826</v>
      </c>
      <c r="F5832" s="63" t="s">
        <v>1743</v>
      </c>
      <c r="G5832" s="63" t="s">
        <v>20</v>
      </c>
      <c r="H5832" s="63" t="s">
        <v>71</v>
      </c>
      <c r="I5832" s="63" t="s">
        <v>21</v>
      </c>
      <c r="J5832" s="63" t="s">
        <v>19504</v>
      </c>
      <c r="K5832" s="63" t="s">
        <v>6536</v>
      </c>
      <c r="L5832" s="63" t="s">
        <v>18572</v>
      </c>
      <c r="M5832" s="63" t="s">
        <v>21</v>
      </c>
      <c r="O5832" s="108">
        <v>43315</v>
      </c>
      <c r="P5832" s="65" t="s">
        <v>21</v>
      </c>
      <c r="Q5832" s="66" t="b">
        <v>0</v>
      </c>
      <c r="R5832" s="22">
        <f t="shared" si="117"/>
        <v>177</v>
      </c>
    </row>
    <row r="5833" spans="1:19">
      <c r="A5833" s="64">
        <v>11308</v>
      </c>
      <c r="B5833" s="62">
        <v>43140</v>
      </c>
      <c r="C5833" s="63" t="s">
        <v>19505</v>
      </c>
      <c r="D5833" s="62">
        <v>43139</v>
      </c>
      <c r="E5833" s="63" t="s">
        <v>19506</v>
      </c>
      <c r="F5833" s="63" t="s">
        <v>19507</v>
      </c>
      <c r="G5833" s="63" t="s">
        <v>20</v>
      </c>
      <c r="H5833" s="63" t="s">
        <v>71</v>
      </c>
      <c r="I5833" s="63" t="s">
        <v>21</v>
      </c>
      <c r="J5833" s="63" t="s">
        <v>19508</v>
      </c>
      <c r="K5833" s="63" t="s">
        <v>19509</v>
      </c>
      <c r="L5833" s="63" t="s">
        <v>7167</v>
      </c>
      <c r="M5833" s="63" t="s">
        <v>21</v>
      </c>
      <c r="O5833" s="108">
        <v>43207</v>
      </c>
      <c r="P5833" s="65" t="s">
        <v>21</v>
      </c>
      <c r="Q5833" s="66" t="b">
        <v>0</v>
      </c>
      <c r="R5833" s="22">
        <f t="shared" si="117"/>
        <v>68</v>
      </c>
    </row>
    <row r="5834" spans="1:19">
      <c r="A5834" s="64">
        <v>11309</v>
      </c>
      <c r="B5834" s="62">
        <v>43143</v>
      </c>
      <c r="C5834" s="63" t="s">
        <v>19402</v>
      </c>
      <c r="D5834" s="62">
        <v>43140</v>
      </c>
      <c r="E5834" s="63" t="s">
        <v>19403</v>
      </c>
      <c r="F5834" s="63" t="s">
        <v>13422</v>
      </c>
      <c r="G5834" s="63" t="s">
        <v>20</v>
      </c>
      <c r="H5834" s="63" t="s">
        <v>71</v>
      </c>
      <c r="I5834" s="63" t="s">
        <v>21</v>
      </c>
      <c r="J5834" s="63" t="s">
        <v>19404</v>
      </c>
      <c r="K5834" s="63" t="s">
        <v>14825</v>
      </c>
      <c r="L5834" s="63" t="s">
        <v>14909</v>
      </c>
      <c r="M5834" s="63" t="s">
        <v>21</v>
      </c>
      <c r="O5834" s="108">
        <v>43741</v>
      </c>
      <c r="P5834" s="65" t="s">
        <v>21</v>
      </c>
      <c r="Q5834" s="66" t="b">
        <v>0</v>
      </c>
      <c r="R5834" s="22">
        <f t="shared" si="117"/>
        <v>599</v>
      </c>
    </row>
    <row r="5835" spans="1:19">
      <c r="A5835" s="64">
        <v>11310</v>
      </c>
      <c r="B5835" s="62">
        <v>43143</v>
      </c>
      <c r="C5835" s="63" t="s">
        <v>19510</v>
      </c>
      <c r="D5835" s="62">
        <v>43140</v>
      </c>
      <c r="E5835" s="63" t="s">
        <v>38</v>
      </c>
      <c r="F5835" s="63" t="s">
        <v>124</v>
      </c>
      <c r="G5835" s="63" t="s">
        <v>20</v>
      </c>
      <c r="H5835" s="63" t="s">
        <v>71</v>
      </c>
      <c r="I5835" s="63" t="s">
        <v>21</v>
      </c>
      <c r="J5835" s="63" t="s">
        <v>19511</v>
      </c>
      <c r="K5835" s="63" t="s">
        <v>6025</v>
      </c>
      <c r="L5835" s="63" t="s">
        <v>18572</v>
      </c>
      <c r="M5835" s="63" t="s">
        <v>21</v>
      </c>
      <c r="O5835" s="108">
        <v>43179</v>
      </c>
      <c r="P5835" s="65" t="s">
        <v>21</v>
      </c>
      <c r="Q5835" s="66" t="b">
        <v>0</v>
      </c>
      <c r="R5835" s="22">
        <f t="shared" si="117"/>
        <v>38</v>
      </c>
    </row>
    <row r="5836" spans="1:19">
      <c r="A5836" s="64">
        <v>11311</v>
      </c>
      <c r="B5836" s="62">
        <v>43143</v>
      </c>
      <c r="C5836" s="63" t="s">
        <v>19512</v>
      </c>
      <c r="D5836" s="62">
        <v>43143</v>
      </c>
      <c r="E5836" s="63" t="s">
        <v>38</v>
      </c>
      <c r="F5836" s="63" t="s">
        <v>15588</v>
      </c>
      <c r="G5836" s="63" t="s">
        <v>20</v>
      </c>
      <c r="H5836" s="63" t="s">
        <v>71</v>
      </c>
      <c r="I5836" s="63" t="s">
        <v>21</v>
      </c>
      <c r="J5836" s="63" t="s">
        <v>18664</v>
      </c>
      <c r="K5836" s="63" t="s">
        <v>19513</v>
      </c>
      <c r="L5836" s="63" t="s">
        <v>7167</v>
      </c>
      <c r="M5836" s="63" t="s">
        <v>21</v>
      </c>
      <c r="O5836" s="108">
        <v>43195</v>
      </c>
      <c r="P5836" s="65" t="s">
        <v>21</v>
      </c>
      <c r="Q5836" s="66" t="b">
        <v>0</v>
      </c>
      <c r="R5836" s="22">
        <f t="shared" si="117"/>
        <v>53</v>
      </c>
    </row>
    <row r="5837" spans="1:19">
      <c r="A5837" s="64">
        <v>11312</v>
      </c>
      <c r="B5837" s="62">
        <v>43145</v>
      </c>
      <c r="C5837" s="63" t="s">
        <v>19514</v>
      </c>
      <c r="D5837" s="62">
        <v>43144</v>
      </c>
      <c r="E5837" s="63" t="s">
        <v>38</v>
      </c>
      <c r="F5837" s="63" t="s">
        <v>149</v>
      </c>
      <c r="G5837" s="63" t="s">
        <v>20</v>
      </c>
      <c r="H5837" s="63" t="s">
        <v>71</v>
      </c>
      <c r="I5837" s="63" t="s">
        <v>21</v>
      </c>
      <c r="J5837" s="63" t="s">
        <v>5182</v>
      </c>
      <c r="K5837" s="63" t="s">
        <v>19515</v>
      </c>
      <c r="L5837" s="63" t="s">
        <v>18572</v>
      </c>
      <c r="M5837" s="63" t="s">
        <v>21</v>
      </c>
      <c r="O5837" s="108">
        <v>43159</v>
      </c>
      <c r="P5837" s="65" t="s">
        <v>21</v>
      </c>
      <c r="Q5837" s="66" t="b">
        <v>0</v>
      </c>
      <c r="R5837" s="22">
        <f t="shared" si="117"/>
        <v>14</v>
      </c>
      <c r="S5837" s="22"/>
    </row>
    <row r="5838" spans="1:19">
      <c r="A5838" s="64">
        <v>11313</v>
      </c>
      <c r="B5838" s="62">
        <v>43152</v>
      </c>
      <c r="C5838" s="63" t="s">
        <v>19372</v>
      </c>
      <c r="D5838" s="62">
        <v>43151</v>
      </c>
      <c r="E5838" s="63" t="s">
        <v>19373</v>
      </c>
      <c r="F5838" s="63" t="s">
        <v>974</v>
      </c>
      <c r="G5838" s="63" t="s">
        <v>20</v>
      </c>
      <c r="H5838" s="63" t="s">
        <v>212</v>
      </c>
      <c r="I5838" s="63" t="s">
        <v>21</v>
      </c>
      <c r="J5838" s="63" t="s">
        <v>19374</v>
      </c>
      <c r="K5838" s="63" t="s">
        <v>15882</v>
      </c>
      <c r="L5838" s="63" t="s">
        <v>7167</v>
      </c>
      <c r="M5838" s="63" t="s">
        <v>21</v>
      </c>
      <c r="O5838" s="101">
        <v>43294</v>
      </c>
      <c r="P5838" s="65" t="s">
        <v>21</v>
      </c>
      <c r="Q5838" s="66" t="b">
        <v>0</v>
      </c>
      <c r="R5838" s="22">
        <f t="shared" si="117"/>
        <v>143</v>
      </c>
    </row>
    <row r="5839" spans="1:19">
      <c r="A5839" s="64">
        <v>11314</v>
      </c>
      <c r="B5839" s="62">
        <v>43157</v>
      </c>
      <c r="C5839" s="63" t="s">
        <v>19516</v>
      </c>
      <c r="D5839" s="62">
        <v>43157</v>
      </c>
      <c r="E5839" s="63" t="s">
        <v>1928</v>
      </c>
      <c r="F5839" s="63" t="s">
        <v>1743</v>
      </c>
      <c r="G5839" s="63" t="s">
        <v>20</v>
      </c>
      <c r="H5839" s="63" t="s">
        <v>71</v>
      </c>
      <c r="I5839" s="63" t="s">
        <v>21</v>
      </c>
      <c r="J5839" s="63" t="s">
        <v>19517</v>
      </c>
      <c r="K5839" s="63" t="s">
        <v>19518</v>
      </c>
      <c r="L5839" s="63" t="s">
        <v>7167</v>
      </c>
      <c r="M5839" s="63" t="s">
        <v>21</v>
      </c>
      <c r="O5839" s="108">
        <v>43159</v>
      </c>
      <c r="P5839" s="65" t="s">
        <v>21</v>
      </c>
      <c r="Q5839" s="66" t="b">
        <v>0</v>
      </c>
      <c r="R5839" s="22">
        <f t="shared" ref="R5839:R5856" si="118">IF(O5839=" ", " ", INT(YEARFRAC(O5839, B5839)*365))</f>
        <v>2</v>
      </c>
    </row>
    <row r="5840" spans="1:19">
      <c r="A5840" s="64">
        <v>11315</v>
      </c>
      <c r="B5840" s="62">
        <v>43157</v>
      </c>
      <c r="C5840" s="63" t="s">
        <v>19519</v>
      </c>
      <c r="D5840" s="62">
        <v>43157</v>
      </c>
      <c r="E5840" s="63" t="s">
        <v>1928</v>
      </c>
      <c r="F5840" s="63" t="s">
        <v>1743</v>
      </c>
      <c r="G5840" s="63" t="s">
        <v>20</v>
      </c>
      <c r="H5840" s="63" t="s">
        <v>71</v>
      </c>
      <c r="I5840" s="63" t="s">
        <v>21</v>
      </c>
      <c r="J5840" s="63" t="s">
        <v>19520</v>
      </c>
      <c r="K5840" s="63" t="s">
        <v>21</v>
      </c>
      <c r="L5840" s="63" t="s">
        <v>7167</v>
      </c>
      <c r="M5840" s="63" t="s">
        <v>21</v>
      </c>
      <c r="O5840" s="108">
        <v>43168</v>
      </c>
      <c r="P5840" s="65" t="s">
        <v>21</v>
      </c>
      <c r="Q5840" s="66" t="b">
        <v>0</v>
      </c>
      <c r="R5840" s="22">
        <f t="shared" si="118"/>
        <v>13</v>
      </c>
    </row>
    <row r="5841" spans="1:18">
      <c r="A5841" s="64">
        <v>11316</v>
      </c>
      <c r="B5841" s="62">
        <v>43158</v>
      </c>
      <c r="C5841" s="63" t="s">
        <v>19521</v>
      </c>
      <c r="D5841" s="62">
        <v>43157</v>
      </c>
      <c r="E5841" s="63" t="s">
        <v>38</v>
      </c>
      <c r="F5841" s="63" t="s">
        <v>27</v>
      </c>
      <c r="G5841" s="63" t="s">
        <v>20</v>
      </c>
      <c r="H5841" s="63" t="s">
        <v>71</v>
      </c>
      <c r="I5841" s="63" t="s">
        <v>21</v>
      </c>
      <c r="J5841" s="63" t="s">
        <v>19522</v>
      </c>
      <c r="K5841" s="63" t="s">
        <v>19523</v>
      </c>
      <c r="L5841" s="63" t="s">
        <v>7167</v>
      </c>
      <c r="M5841" s="63" t="s">
        <v>21</v>
      </c>
      <c r="O5841" s="108">
        <v>43187</v>
      </c>
      <c r="P5841" s="65" t="s">
        <v>21</v>
      </c>
      <c r="Q5841" s="66" t="b">
        <v>0</v>
      </c>
      <c r="R5841" s="22">
        <f t="shared" si="118"/>
        <v>31</v>
      </c>
    </row>
    <row r="5842" spans="1:18">
      <c r="A5842" s="64">
        <v>11317</v>
      </c>
      <c r="B5842" s="62">
        <v>43159</v>
      </c>
      <c r="C5842" s="63" t="s">
        <v>19524</v>
      </c>
      <c r="D5842" s="62">
        <v>43159</v>
      </c>
      <c r="E5842" s="63" t="s">
        <v>1928</v>
      </c>
      <c r="F5842" s="63" t="s">
        <v>56</v>
      </c>
      <c r="G5842" s="63" t="s">
        <v>20</v>
      </c>
      <c r="H5842" s="63" t="s">
        <v>71</v>
      </c>
      <c r="I5842" s="63" t="s">
        <v>21</v>
      </c>
      <c r="J5842" s="63" t="s">
        <v>19525</v>
      </c>
      <c r="K5842" s="63" t="s">
        <v>21</v>
      </c>
      <c r="L5842" s="63" t="s">
        <v>7167</v>
      </c>
      <c r="M5842" s="63" t="s">
        <v>21</v>
      </c>
      <c r="O5842" s="108">
        <v>43171</v>
      </c>
      <c r="P5842" s="65" t="s">
        <v>21</v>
      </c>
      <c r="Q5842" s="66" t="b">
        <v>0</v>
      </c>
      <c r="R5842" s="22">
        <f t="shared" si="118"/>
        <v>12</v>
      </c>
    </row>
    <row r="5843" spans="1:18">
      <c r="A5843" s="64">
        <v>11318</v>
      </c>
      <c r="B5843" s="62">
        <v>43159</v>
      </c>
      <c r="C5843" s="63" t="s">
        <v>19526</v>
      </c>
      <c r="D5843" s="62">
        <v>43159</v>
      </c>
      <c r="E5843" s="63" t="s">
        <v>38</v>
      </c>
      <c r="F5843" s="63" t="s">
        <v>1743</v>
      </c>
      <c r="G5843" s="63" t="s">
        <v>20</v>
      </c>
      <c r="H5843" s="63" t="s">
        <v>71</v>
      </c>
      <c r="I5843" s="63" t="s">
        <v>21</v>
      </c>
      <c r="J5843" s="63" t="s">
        <v>19527</v>
      </c>
      <c r="K5843" s="63" t="s">
        <v>19528</v>
      </c>
      <c r="L5843" s="63" t="s">
        <v>7167</v>
      </c>
      <c r="M5843" s="63" t="s">
        <v>21</v>
      </c>
      <c r="O5843" s="108">
        <v>43221</v>
      </c>
      <c r="P5843" s="65" t="s">
        <v>21</v>
      </c>
      <c r="Q5843" s="66" t="b">
        <v>0</v>
      </c>
      <c r="R5843" s="22">
        <f t="shared" si="118"/>
        <v>61</v>
      </c>
    </row>
    <row r="5844" spans="1:18">
      <c r="A5844" s="64">
        <v>11319</v>
      </c>
      <c r="B5844" s="62">
        <v>43160</v>
      </c>
      <c r="C5844" s="63" t="s">
        <v>19529</v>
      </c>
      <c r="D5844" s="62">
        <v>43158</v>
      </c>
      <c r="E5844" s="63" t="s">
        <v>38</v>
      </c>
      <c r="F5844" s="63" t="s">
        <v>1743</v>
      </c>
      <c r="G5844" s="63" t="s">
        <v>20</v>
      </c>
      <c r="H5844" s="63" t="s">
        <v>71</v>
      </c>
      <c r="I5844" s="63" t="s">
        <v>21</v>
      </c>
      <c r="J5844" s="63" t="s">
        <v>19530</v>
      </c>
      <c r="K5844" s="63" t="s">
        <v>14825</v>
      </c>
      <c r="L5844" s="63" t="s">
        <v>14909</v>
      </c>
      <c r="M5844" s="63" t="s">
        <v>21</v>
      </c>
      <c r="O5844" s="108">
        <v>43196</v>
      </c>
      <c r="P5844" s="65" t="s">
        <v>21</v>
      </c>
      <c r="Q5844" s="66" t="b">
        <v>0</v>
      </c>
      <c r="R5844" s="22">
        <f t="shared" si="118"/>
        <v>35</v>
      </c>
    </row>
    <row r="5845" spans="1:18">
      <c r="A5845" s="64">
        <v>11320</v>
      </c>
      <c r="B5845" s="62">
        <v>43160</v>
      </c>
      <c r="C5845" s="63" t="s">
        <v>19531</v>
      </c>
      <c r="D5845" s="62">
        <v>43160</v>
      </c>
      <c r="E5845" s="63" t="s">
        <v>38</v>
      </c>
      <c r="F5845" s="63" t="s">
        <v>984</v>
      </c>
      <c r="G5845" s="63" t="s">
        <v>20</v>
      </c>
      <c r="H5845" s="63" t="s">
        <v>71</v>
      </c>
      <c r="I5845" s="63" t="s">
        <v>21</v>
      </c>
      <c r="J5845" s="63" t="s">
        <v>19532</v>
      </c>
      <c r="K5845" s="63" t="s">
        <v>6025</v>
      </c>
      <c r="L5845" s="63" t="s">
        <v>4282</v>
      </c>
      <c r="M5845" s="63" t="s">
        <v>21</v>
      </c>
      <c r="O5845" s="101">
        <v>43626</v>
      </c>
      <c r="P5845" s="65" t="s">
        <v>21</v>
      </c>
      <c r="Q5845" s="66" t="b">
        <v>0</v>
      </c>
      <c r="R5845" s="22">
        <f t="shared" si="118"/>
        <v>465</v>
      </c>
    </row>
    <row r="5846" spans="1:18">
      <c r="A5846" s="64">
        <v>11321</v>
      </c>
      <c r="B5846" s="62">
        <v>43171</v>
      </c>
      <c r="C5846" s="63" t="s">
        <v>19533</v>
      </c>
      <c r="D5846" s="62">
        <v>43171</v>
      </c>
      <c r="E5846" s="63" t="s">
        <v>19534</v>
      </c>
      <c r="F5846" s="63" t="s">
        <v>984</v>
      </c>
      <c r="G5846" s="63" t="s">
        <v>20</v>
      </c>
      <c r="H5846" s="63" t="s">
        <v>71</v>
      </c>
      <c r="I5846" s="63" t="s">
        <v>21</v>
      </c>
      <c r="J5846" s="63" t="s">
        <v>19535</v>
      </c>
      <c r="K5846" s="63" t="s">
        <v>6081</v>
      </c>
      <c r="L5846" s="63" t="s">
        <v>7167</v>
      </c>
      <c r="M5846" s="63" t="s">
        <v>21</v>
      </c>
      <c r="O5846" s="108">
        <v>43187</v>
      </c>
      <c r="P5846" s="65" t="s">
        <v>21</v>
      </c>
      <c r="Q5846" s="66" t="b">
        <v>0</v>
      </c>
      <c r="R5846" s="22">
        <f t="shared" si="118"/>
        <v>16</v>
      </c>
    </row>
    <row r="5847" spans="1:18">
      <c r="A5847" s="64">
        <v>11322</v>
      </c>
      <c r="B5847" s="62">
        <v>43173</v>
      </c>
      <c r="C5847" s="63" t="s">
        <v>19536</v>
      </c>
      <c r="D5847" s="62">
        <v>43173</v>
      </c>
      <c r="E5847" s="63" t="s">
        <v>38</v>
      </c>
      <c r="F5847" s="63" t="s">
        <v>1743</v>
      </c>
      <c r="G5847" s="63" t="s">
        <v>20</v>
      </c>
      <c r="H5847" s="63" t="s">
        <v>71</v>
      </c>
      <c r="I5847" s="63" t="s">
        <v>21</v>
      </c>
      <c r="J5847" s="63" t="s">
        <v>19537</v>
      </c>
      <c r="K5847" s="63" t="s">
        <v>21</v>
      </c>
      <c r="L5847" s="63" t="s">
        <v>7167</v>
      </c>
      <c r="M5847" s="63" t="s">
        <v>21</v>
      </c>
      <c r="O5847" s="108">
        <v>43227</v>
      </c>
      <c r="P5847" s="65" t="s">
        <v>21</v>
      </c>
      <c r="Q5847" s="66" t="b">
        <v>0</v>
      </c>
      <c r="R5847" s="22">
        <f t="shared" si="118"/>
        <v>53</v>
      </c>
    </row>
    <row r="5848" spans="1:18">
      <c r="A5848" s="64">
        <v>11323</v>
      </c>
      <c r="B5848" s="62">
        <v>43174</v>
      </c>
      <c r="C5848" s="63" t="s">
        <v>19541</v>
      </c>
      <c r="D5848" s="62">
        <v>43173</v>
      </c>
      <c r="E5848" s="63" t="s">
        <v>38</v>
      </c>
      <c r="F5848" s="63" t="s">
        <v>98</v>
      </c>
      <c r="G5848" s="63" t="s">
        <v>20</v>
      </c>
      <c r="H5848" s="63" t="s">
        <v>71</v>
      </c>
      <c r="I5848" s="63" t="s">
        <v>21</v>
      </c>
      <c r="J5848" s="63" t="s">
        <v>19542</v>
      </c>
      <c r="K5848" s="63" t="s">
        <v>19540</v>
      </c>
      <c r="L5848" s="63" t="s">
        <v>1946</v>
      </c>
      <c r="M5848" s="63" t="s">
        <v>21</v>
      </c>
      <c r="O5848" s="108">
        <v>43186</v>
      </c>
      <c r="P5848" s="65" t="s">
        <v>21</v>
      </c>
      <c r="Q5848" s="66" t="b">
        <v>0</v>
      </c>
      <c r="R5848" s="22">
        <f t="shared" si="118"/>
        <v>12</v>
      </c>
    </row>
    <row r="5849" spans="1:18">
      <c r="A5849" s="64">
        <v>11324</v>
      </c>
      <c r="B5849" s="62">
        <v>43174</v>
      </c>
      <c r="C5849" s="63" t="s">
        <v>19538</v>
      </c>
      <c r="D5849" s="62">
        <v>43173</v>
      </c>
      <c r="E5849" s="63" t="s">
        <v>38</v>
      </c>
      <c r="F5849" s="63" t="s">
        <v>124</v>
      </c>
      <c r="G5849" s="63" t="s">
        <v>20</v>
      </c>
      <c r="H5849" s="63" t="s">
        <v>71</v>
      </c>
      <c r="I5849" s="63" t="s">
        <v>21</v>
      </c>
      <c r="J5849" s="63" t="s">
        <v>19539</v>
      </c>
      <c r="K5849" s="63" t="s">
        <v>19540</v>
      </c>
      <c r="L5849" s="63" t="s">
        <v>18572</v>
      </c>
      <c r="M5849" s="63" t="s">
        <v>21</v>
      </c>
      <c r="O5849" s="108">
        <v>43182</v>
      </c>
      <c r="P5849" s="65" t="s">
        <v>21</v>
      </c>
      <c r="Q5849" s="66" t="b">
        <v>0</v>
      </c>
      <c r="R5849" s="22">
        <f t="shared" si="118"/>
        <v>8</v>
      </c>
    </row>
    <row r="5850" spans="1:18">
      <c r="A5850" s="64">
        <v>11325</v>
      </c>
      <c r="B5850" s="62">
        <v>43180</v>
      </c>
      <c r="C5850" s="63" t="s">
        <v>19543</v>
      </c>
      <c r="D5850" s="62">
        <v>43179</v>
      </c>
      <c r="E5850" s="63" t="s">
        <v>38</v>
      </c>
      <c r="F5850" s="63" t="s">
        <v>12660</v>
      </c>
      <c r="G5850" s="63" t="s">
        <v>20</v>
      </c>
      <c r="H5850" s="63" t="s">
        <v>71</v>
      </c>
      <c r="I5850" s="63" t="s">
        <v>21</v>
      </c>
      <c r="J5850" s="63" t="s">
        <v>19544</v>
      </c>
      <c r="K5850" s="63" t="s">
        <v>19545</v>
      </c>
      <c r="L5850" s="63" t="s">
        <v>7167</v>
      </c>
      <c r="M5850" s="63" t="s">
        <v>21</v>
      </c>
      <c r="O5850" s="101">
        <v>43203</v>
      </c>
      <c r="P5850" s="65" t="s">
        <v>21</v>
      </c>
      <c r="Q5850" s="66" t="b">
        <v>0</v>
      </c>
      <c r="R5850" s="22">
        <f t="shared" si="118"/>
        <v>22</v>
      </c>
    </row>
    <row r="5851" spans="1:18">
      <c r="A5851" s="64">
        <v>11326</v>
      </c>
      <c r="B5851" s="62">
        <v>43181</v>
      </c>
      <c r="C5851" s="63" t="s">
        <v>19546</v>
      </c>
      <c r="D5851" s="62">
        <v>43179</v>
      </c>
      <c r="E5851" s="63" t="s">
        <v>38</v>
      </c>
      <c r="F5851" s="63" t="s">
        <v>14118</v>
      </c>
      <c r="G5851" s="63" t="s">
        <v>20</v>
      </c>
      <c r="H5851" s="63" t="s">
        <v>71</v>
      </c>
      <c r="I5851" s="63" t="s">
        <v>21</v>
      </c>
      <c r="J5851" s="63" t="s">
        <v>19547</v>
      </c>
      <c r="K5851" s="63" t="s">
        <v>19548</v>
      </c>
      <c r="L5851" s="63" t="s">
        <v>18572</v>
      </c>
      <c r="M5851" s="63" t="s">
        <v>21</v>
      </c>
      <c r="O5851" s="108">
        <v>43236</v>
      </c>
      <c r="P5851" s="65" t="s">
        <v>21</v>
      </c>
      <c r="Q5851" s="66" t="b">
        <v>0</v>
      </c>
      <c r="R5851" s="22">
        <f t="shared" si="118"/>
        <v>54</v>
      </c>
    </row>
    <row r="5852" spans="1:18">
      <c r="A5852" s="64">
        <v>11327</v>
      </c>
      <c r="B5852" s="62">
        <v>43182</v>
      </c>
      <c r="C5852" s="63" t="s">
        <v>19421</v>
      </c>
      <c r="D5852" s="62">
        <v>43182</v>
      </c>
      <c r="E5852" s="63" t="s">
        <v>19422</v>
      </c>
      <c r="F5852" s="63" t="s">
        <v>1783</v>
      </c>
      <c r="G5852" s="63" t="s">
        <v>20</v>
      </c>
      <c r="H5852" s="63" t="s">
        <v>71</v>
      </c>
      <c r="I5852" s="63" t="s">
        <v>21</v>
      </c>
      <c r="J5852" s="63" t="s">
        <v>19423</v>
      </c>
      <c r="K5852" s="63" t="s">
        <v>19424</v>
      </c>
      <c r="L5852" s="63" t="s">
        <v>4282</v>
      </c>
      <c r="M5852" s="63" t="s">
        <v>21</v>
      </c>
      <c r="O5852" s="90">
        <v>44742</v>
      </c>
      <c r="P5852" s="65" t="s">
        <v>21</v>
      </c>
      <c r="Q5852" s="66" t="b">
        <v>0</v>
      </c>
      <c r="R5852" s="22">
        <f t="shared" si="118"/>
        <v>1558</v>
      </c>
    </row>
    <row r="5853" spans="1:18">
      <c r="A5853" s="64">
        <v>11328</v>
      </c>
      <c r="B5853" s="62">
        <v>43186</v>
      </c>
      <c r="C5853" s="63" t="s">
        <v>19549</v>
      </c>
      <c r="D5853" s="62">
        <v>43186</v>
      </c>
      <c r="E5853" s="63" t="s">
        <v>19550</v>
      </c>
      <c r="F5853" s="63" t="s">
        <v>16173</v>
      </c>
      <c r="G5853" s="63" t="s">
        <v>20</v>
      </c>
      <c r="H5853" s="63" t="s">
        <v>566</v>
      </c>
      <c r="I5853" s="63" t="s">
        <v>21</v>
      </c>
      <c r="J5853" s="63" t="s">
        <v>19551</v>
      </c>
      <c r="K5853" s="63" t="s">
        <v>19552</v>
      </c>
      <c r="L5853" s="63" t="s">
        <v>1946</v>
      </c>
      <c r="M5853" s="63" t="s">
        <v>21</v>
      </c>
      <c r="O5853" s="108">
        <v>43193</v>
      </c>
      <c r="P5853" s="65" t="s">
        <v>21</v>
      </c>
      <c r="Q5853" s="66" t="b">
        <v>0</v>
      </c>
      <c r="R5853" s="22">
        <f t="shared" si="118"/>
        <v>6</v>
      </c>
    </row>
    <row r="5854" spans="1:18">
      <c r="A5854" s="64">
        <v>11329</v>
      </c>
      <c r="B5854" s="62">
        <v>43193</v>
      </c>
      <c r="C5854" s="63" t="s">
        <v>19553</v>
      </c>
      <c r="D5854" s="62">
        <v>43192</v>
      </c>
      <c r="E5854" s="63" t="s">
        <v>38</v>
      </c>
      <c r="F5854" s="63" t="s">
        <v>149</v>
      </c>
      <c r="G5854" s="63" t="s">
        <v>20</v>
      </c>
      <c r="H5854" s="63" t="s">
        <v>71</v>
      </c>
      <c r="I5854" s="63" t="s">
        <v>21</v>
      </c>
      <c r="J5854" s="63" t="s">
        <v>19554</v>
      </c>
      <c r="K5854" s="63" t="s">
        <v>4037</v>
      </c>
      <c r="L5854" s="63" t="s">
        <v>1946</v>
      </c>
      <c r="M5854" s="63" t="s">
        <v>21</v>
      </c>
      <c r="O5854" s="108">
        <v>43304</v>
      </c>
      <c r="P5854" s="65" t="s">
        <v>21</v>
      </c>
      <c r="Q5854" s="66" t="b">
        <v>0</v>
      </c>
      <c r="R5854" s="22">
        <f t="shared" si="118"/>
        <v>111</v>
      </c>
    </row>
    <row r="5855" spans="1:18">
      <c r="A5855" s="64">
        <v>11330</v>
      </c>
      <c r="B5855" s="62">
        <v>43194</v>
      </c>
      <c r="C5855" s="63" t="s">
        <v>19555</v>
      </c>
      <c r="D5855" s="62">
        <v>43192</v>
      </c>
      <c r="E5855" s="63" t="s">
        <v>1928</v>
      </c>
      <c r="F5855" s="63" t="s">
        <v>1743</v>
      </c>
      <c r="G5855" s="63" t="s">
        <v>20</v>
      </c>
      <c r="H5855" s="63" t="s">
        <v>71</v>
      </c>
      <c r="I5855" s="63" t="s">
        <v>21</v>
      </c>
      <c r="J5855" s="63" t="s">
        <v>19556</v>
      </c>
      <c r="K5855" s="63" t="s">
        <v>19316</v>
      </c>
      <c r="L5855" s="63" t="s">
        <v>18572</v>
      </c>
      <c r="M5855" s="63" t="s">
        <v>21</v>
      </c>
      <c r="O5855" s="108">
        <v>43196</v>
      </c>
      <c r="P5855" s="65" t="s">
        <v>21</v>
      </c>
      <c r="Q5855" s="66" t="b">
        <v>0</v>
      </c>
      <c r="R5855" s="22">
        <f t="shared" si="118"/>
        <v>2</v>
      </c>
    </row>
    <row r="5856" spans="1:18" ht="24">
      <c r="A5856" s="64">
        <v>11331</v>
      </c>
      <c r="B5856" s="62">
        <v>43195</v>
      </c>
      <c r="C5856" s="63" t="s">
        <v>19557</v>
      </c>
      <c r="D5856" s="62">
        <v>43195</v>
      </c>
      <c r="E5856" s="63" t="s">
        <v>19558</v>
      </c>
      <c r="F5856" s="63" t="s">
        <v>14305</v>
      </c>
      <c r="G5856" s="63" t="s">
        <v>20</v>
      </c>
      <c r="H5856" s="63" t="s">
        <v>71</v>
      </c>
      <c r="I5856" s="63" t="s">
        <v>21</v>
      </c>
      <c r="J5856" s="63" t="s">
        <v>3639</v>
      </c>
      <c r="K5856" s="63" t="s">
        <v>19559</v>
      </c>
      <c r="L5856" s="63" t="s">
        <v>4282</v>
      </c>
      <c r="M5856" s="63" t="s">
        <v>21</v>
      </c>
      <c r="O5856" s="108">
        <v>43280</v>
      </c>
      <c r="P5856" s="65" t="s">
        <v>21</v>
      </c>
      <c r="Q5856" s="66" t="b">
        <v>0</v>
      </c>
      <c r="R5856" s="22">
        <f t="shared" si="118"/>
        <v>85</v>
      </c>
    </row>
    <row r="5857" spans="1:18">
      <c r="A5857" s="64">
        <v>11332</v>
      </c>
      <c r="B5857" s="62">
        <v>43200</v>
      </c>
      <c r="C5857" s="63" t="s">
        <v>19560</v>
      </c>
      <c r="D5857" s="62">
        <v>43200</v>
      </c>
      <c r="E5857" s="63" t="s">
        <v>1432</v>
      </c>
      <c r="F5857" s="63" t="s">
        <v>6752</v>
      </c>
      <c r="G5857" s="63" t="s">
        <v>20</v>
      </c>
      <c r="H5857" s="63" t="s">
        <v>566</v>
      </c>
      <c r="I5857" s="63" t="s">
        <v>21</v>
      </c>
      <c r="J5857" s="63" t="s">
        <v>19561</v>
      </c>
      <c r="K5857" s="63" t="s">
        <v>19562</v>
      </c>
      <c r="L5857" s="63" t="s">
        <v>14909</v>
      </c>
      <c r="M5857" s="63" t="s">
        <v>21</v>
      </c>
      <c r="O5857" s="90"/>
      <c r="P5857" s="65" t="s">
        <v>21</v>
      </c>
      <c r="Q5857" s="66" t="b">
        <v>0</v>
      </c>
      <c r="R5857" s="66"/>
    </row>
    <row r="5858" spans="1:18">
      <c r="A5858" s="64">
        <v>11333</v>
      </c>
      <c r="B5858" s="62">
        <v>43203</v>
      </c>
      <c r="C5858" s="63" t="s">
        <v>19563</v>
      </c>
      <c r="D5858" s="62">
        <v>43202</v>
      </c>
      <c r="E5858" s="63" t="s">
        <v>38</v>
      </c>
      <c r="F5858" s="63" t="s">
        <v>6383</v>
      </c>
      <c r="G5858" s="63" t="s">
        <v>20</v>
      </c>
      <c r="H5858" s="63" t="s">
        <v>71</v>
      </c>
      <c r="I5858" s="63" t="s">
        <v>21</v>
      </c>
      <c r="J5858" s="63" t="s">
        <v>19564</v>
      </c>
      <c r="K5858" s="63" t="s">
        <v>14825</v>
      </c>
      <c r="L5858" s="63" t="s">
        <v>16689</v>
      </c>
      <c r="M5858" s="63" t="s">
        <v>21</v>
      </c>
      <c r="O5858" s="108">
        <v>43203</v>
      </c>
      <c r="P5858" s="65" t="s">
        <v>21</v>
      </c>
      <c r="Q5858" s="66" t="b">
        <v>0</v>
      </c>
      <c r="R5858" s="22">
        <f t="shared" ref="R5858:R5868" si="119">IF(O5858=" ", " ", INT(YEARFRAC(O5858, B5858)*365))</f>
        <v>0</v>
      </c>
    </row>
    <row r="5859" spans="1:18">
      <c r="A5859" s="64">
        <v>11334</v>
      </c>
      <c r="B5859" s="62">
        <v>43203</v>
      </c>
      <c r="C5859" s="63" t="s">
        <v>19565</v>
      </c>
      <c r="D5859" s="62">
        <v>43202</v>
      </c>
      <c r="E5859" s="63" t="s">
        <v>19566</v>
      </c>
      <c r="F5859" s="63" t="s">
        <v>7179</v>
      </c>
      <c r="G5859" s="63" t="s">
        <v>20</v>
      </c>
      <c r="H5859" s="63" t="s">
        <v>71</v>
      </c>
      <c r="I5859" s="63" t="s">
        <v>21</v>
      </c>
      <c r="J5859" s="63" t="s">
        <v>19567</v>
      </c>
      <c r="K5859" s="63" t="s">
        <v>19568</v>
      </c>
      <c r="L5859" s="63" t="s">
        <v>1946</v>
      </c>
      <c r="M5859" s="63" t="s">
        <v>21</v>
      </c>
      <c r="O5859" s="108">
        <v>43294</v>
      </c>
      <c r="P5859" s="65" t="s">
        <v>21</v>
      </c>
      <c r="Q5859" s="66" t="b">
        <v>0</v>
      </c>
      <c r="R5859" s="22">
        <f t="shared" si="119"/>
        <v>91</v>
      </c>
    </row>
    <row r="5860" spans="1:18">
      <c r="A5860" s="64">
        <v>11335</v>
      </c>
      <c r="B5860" s="62">
        <v>43206</v>
      </c>
      <c r="C5860" s="63" t="s">
        <v>19425</v>
      </c>
      <c r="D5860" s="62">
        <v>43206</v>
      </c>
      <c r="E5860" s="63" t="s">
        <v>19426</v>
      </c>
      <c r="F5860" s="63" t="s">
        <v>19427</v>
      </c>
      <c r="G5860" s="63" t="s">
        <v>20</v>
      </c>
      <c r="H5860" s="63" t="s">
        <v>212</v>
      </c>
      <c r="I5860" s="63" t="s">
        <v>21</v>
      </c>
      <c r="J5860" s="63" t="s">
        <v>19428</v>
      </c>
      <c r="K5860" s="63" t="s">
        <v>13877</v>
      </c>
      <c r="L5860" s="63" t="s">
        <v>1946</v>
      </c>
      <c r="M5860" s="63" t="s">
        <v>21</v>
      </c>
      <c r="O5860" s="108">
        <v>43910</v>
      </c>
      <c r="P5860" s="65" t="s">
        <v>21</v>
      </c>
      <c r="Q5860" s="66" t="b">
        <v>0</v>
      </c>
      <c r="R5860" s="22">
        <f t="shared" si="119"/>
        <v>703</v>
      </c>
    </row>
    <row r="5861" spans="1:18">
      <c r="A5861" s="64">
        <v>11336</v>
      </c>
      <c r="B5861" s="62">
        <v>43207</v>
      </c>
      <c r="C5861" s="63" t="s">
        <v>19569</v>
      </c>
      <c r="D5861" s="62">
        <v>43206</v>
      </c>
      <c r="E5861" s="63" t="s">
        <v>38</v>
      </c>
      <c r="F5861" s="63" t="s">
        <v>124</v>
      </c>
      <c r="G5861" s="63" t="s">
        <v>20</v>
      </c>
      <c r="H5861" s="63" t="s">
        <v>71</v>
      </c>
      <c r="I5861" s="63" t="s">
        <v>21</v>
      </c>
      <c r="J5861" s="63" t="s">
        <v>19570</v>
      </c>
      <c r="K5861" s="63" t="s">
        <v>19571</v>
      </c>
      <c r="L5861" s="63" t="s">
        <v>18572</v>
      </c>
      <c r="M5861" s="63" t="s">
        <v>21</v>
      </c>
      <c r="O5861" s="101">
        <v>43265</v>
      </c>
      <c r="P5861" s="65" t="s">
        <v>21</v>
      </c>
      <c r="Q5861" s="66" t="b">
        <v>0</v>
      </c>
      <c r="R5861" s="22">
        <f t="shared" si="119"/>
        <v>57</v>
      </c>
    </row>
    <row r="5862" spans="1:18">
      <c r="A5862" s="64">
        <v>11337</v>
      </c>
      <c r="B5862" s="62">
        <v>43210</v>
      </c>
      <c r="C5862" s="63" t="s">
        <v>19572</v>
      </c>
      <c r="D5862" s="62">
        <v>43209</v>
      </c>
      <c r="E5862" s="63" t="s">
        <v>19573</v>
      </c>
      <c r="F5862" s="63" t="s">
        <v>56</v>
      </c>
      <c r="G5862" s="63" t="s">
        <v>20</v>
      </c>
      <c r="H5862" s="63" t="s">
        <v>71</v>
      </c>
      <c r="I5862" s="63" t="s">
        <v>21</v>
      </c>
      <c r="J5862" s="63" t="s">
        <v>19574</v>
      </c>
      <c r="K5862" s="63" t="s">
        <v>19575</v>
      </c>
      <c r="L5862" s="63" t="s">
        <v>18572</v>
      </c>
      <c r="M5862" s="63" t="s">
        <v>21</v>
      </c>
      <c r="O5862" s="101">
        <v>43280</v>
      </c>
      <c r="P5862" s="65" t="s">
        <v>21</v>
      </c>
      <c r="Q5862" s="66" t="b">
        <v>0</v>
      </c>
      <c r="R5862" s="22">
        <f t="shared" si="119"/>
        <v>69</v>
      </c>
    </row>
    <row r="5863" spans="1:18">
      <c r="A5863" s="64">
        <v>11338</v>
      </c>
      <c r="B5863" s="62">
        <v>43210</v>
      </c>
      <c r="C5863" s="63" t="s">
        <v>19368</v>
      </c>
      <c r="D5863" s="62">
        <v>43209</v>
      </c>
      <c r="E5863" s="63" t="s">
        <v>19369</v>
      </c>
      <c r="F5863" s="63" t="s">
        <v>8605</v>
      </c>
      <c r="G5863" s="63" t="s">
        <v>20</v>
      </c>
      <c r="H5863" s="63" t="s">
        <v>212</v>
      </c>
      <c r="I5863" s="63" t="s">
        <v>21</v>
      </c>
      <c r="J5863" s="63" t="s">
        <v>19370</v>
      </c>
      <c r="K5863" s="63" t="s">
        <v>19371</v>
      </c>
      <c r="L5863" s="63" t="s">
        <v>7167</v>
      </c>
      <c r="M5863" s="63" t="s">
        <v>21</v>
      </c>
      <c r="O5863" s="108">
        <v>43291</v>
      </c>
      <c r="P5863" s="65" t="s">
        <v>21</v>
      </c>
      <c r="Q5863" s="66" t="b">
        <v>0</v>
      </c>
      <c r="R5863" s="22">
        <f t="shared" si="119"/>
        <v>81</v>
      </c>
    </row>
    <row r="5864" spans="1:18">
      <c r="A5864" s="64">
        <v>11339</v>
      </c>
      <c r="B5864" s="62">
        <v>43213</v>
      </c>
      <c r="C5864" s="63" t="s">
        <v>19576</v>
      </c>
      <c r="D5864" s="62">
        <v>43210</v>
      </c>
      <c r="E5864" s="63" t="s">
        <v>1928</v>
      </c>
      <c r="F5864" s="63" t="s">
        <v>1743</v>
      </c>
      <c r="G5864" s="63" t="s">
        <v>20</v>
      </c>
      <c r="H5864" s="63" t="s">
        <v>71</v>
      </c>
      <c r="I5864" s="63" t="s">
        <v>21</v>
      </c>
      <c r="J5864" s="63" t="s">
        <v>19577</v>
      </c>
      <c r="K5864" s="63" t="s">
        <v>19578</v>
      </c>
      <c r="L5864" s="63" t="s">
        <v>7167</v>
      </c>
      <c r="M5864" s="63" t="s">
        <v>21</v>
      </c>
      <c r="O5864" s="108">
        <v>43217</v>
      </c>
      <c r="P5864" s="65" t="s">
        <v>21</v>
      </c>
      <c r="Q5864" s="66" t="b">
        <v>0</v>
      </c>
      <c r="R5864" s="22">
        <f t="shared" si="119"/>
        <v>4</v>
      </c>
    </row>
    <row r="5865" spans="1:18">
      <c r="A5865" s="64">
        <v>11340</v>
      </c>
      <c r="B5865" s="62">
        <v>43213</v>
      </c>
      <c r="C5865" s="63" t="s">
        <v>19579</v>
      </c>
      <c r="D5865" s="62">
        <v>43213</v>
      </c>
      <c r="E5865" s="63" t="s">
        <v>1928</v>
      </c>
      <c r="F5865" s="63" t="s">
        <v>1743</v>
      </c>
      <c r="G5865" s="63" t="s">
        <v>20</v>
      </c>
      <c r="H5865" s="63" t="s">
        <v>71</v>
      </c>
      <c r="I5865" s="63" t="s">
        <v>21</v>
      </c>
      <c r="J5865" s="63" t="s">
        <v>19580</v>
      </c>
      <c r="K5865" s="63" t="s">
        <v>21</v>
      </c>
      <c r="L5865" s="63" t="s">
        <v>7167</v>
      </c>
      <c r="M5865" s="63" t="s">
        <v>21</v>
      </c>
      <c r="O5865" s="108">
        <v>43227</v>
      </c>
      <c r="P5865" s="65" t="s">
        <v>21</v>
      </c>
      <c r="Q5865" s="66" t="b">
        <v>0</v>
      </c>
      <c r="R5865" s="22">
        <f t="shared" si="119"/>
        <v>14</v>
      </c>
    </row>
    <row r="5866" spans="1:18">
      <c r="A5866" s="64">
        <v>11341</v>
      </c>
      <c r="B5866" s="62">
        <v>43213</v>
      </c>
      <c r="C5866" s="63" t="s">
        <v>19579</v>
      </c>
      <c r="D5866" s="62">
        <v>43213</v>
      </c>
      <c r="E5866" s="63" t="s">
        <v>38</v>
      </c>
      <c r="F5866" s="63" t="s">
        <v>15588</v>
      </c>
      <c r="G5866" s="63" t="s">
        <v>20</v>
      </c>
      <c r="H5866" s="63" t="s">
        <v>71</v>
      </c>
      <c r="I5866" s="63" t="s">
        <v>21</v>
      </c>
      <c r="J5866" s="63" t="s">
        <v>6097</v>
      </c>
      <c r="K5866" s="63" t="s">
        <v>272</v>
      </c>
      <c r="L5866" s="63" t="s">
        <v>7167</v>
      </c>
      <c r="M5866" s="63" t="s">
        <v>21</v>
      </c>
      <c r="O5866" s="108">
        <v>43280</v>
      </c>
      <c r="P5866" s="65" t="s">
        <v>21</v>
      </c>
      <c r="Q5866" s="66" t="b">
        <v>0</v>
      </c>
      <c r="R5866" s="22">
        <f t="shared" si="119"/>
        <v>66</v>
      </c>
    </row>
    <row r="5867" spans="1:18">
      <c r="A5867" s="64">
        <v>11342</v>
      </c>
      <c r="B5867" s="62">
        <v>43215</v>
      </c>
      <c r="C5867" s="63" t="s">
        <v>19581</v>
      </c>
      <c r="D5867" s="62">
        <v>43214</v>
      </c>
      <c r="E5867" s="63" t="s">
        <v>38</v>
      </c>
      <c r="F5867" s="63" t="s">
        <v>85</v>
      </c>
      <c r="G5867" s="63" t="s">
        <v>20</v>
      </c>
      <c r="H5867" s="63" t="s">
        <v>71</v>
      </c>
      <c r="I5867" s="63" t="s">
        <v>21</v>
      </c>
      <c r="J5867" s="63" t="s">
        <v>19582</v>
      </c>
      <c r="K5867" s="63" t="s">
        <v>16498</v>
      </c>
      <c r="L5867" s="63" t="s">
        <v>18572</v>
      </c>
      <c r="M5867" s="63" t="s">
        <v>21</v>
      </c>
      <c r="O5867" s="108">
        <v>43236</v>
      </c>
      <c r="P5867" s="65" t="s">
        <v>21</v>
      </c>
      <c r="Q5867" s="66" t="b">
        <v>0</v>
      </c>
      <c r="R5867" s="22">
        <f t="shared" si="119"/>
        <v>21</v>
      </c>
    </row>
    <row r="5868" spans="1:18" ht="24">
      <c r="A5868" s="64">
        <v>11343</v>
      </c>
      <c r="B5868" s="62">
        <v>43215</v>
      </c>
      <c r="C5868" s="63" t="s">
        <v>19429</v>
      </c>
      <c r="D5868" s="62">
        <v>43214</v>
      </c>
      <c r="E5868" s="63" t="s">
        <v>19430</v>
      </c>
      <c r="F5868" s="63" t="s">
        <v>824</v>
      </c>
      <c r="G5868" s="63" t="s">
        <v>20</v>
      </c>
      <c r="H5868" s="63" t="s">
        <v>71</v>
      </c>
      <c r="I5868" s="63" t="s">
        <v>21</v>
      </c>
      <c r="J5868" s="63" t="s">
        <v>19431</v>
      </c>
      <c r="K5868" s="63" t="s">
        <v>19432</v>
      </c>
      <c r="L5868" s="63" t="s">
        <v>4282</v>
      </c>
      <c r="M5868" s="63" t="s">
        <v>21</v>
      </c>
      <c r="O5868" s="108">
        <v>43965</v>
      </c>
      <c r="P5868" s="65" t="s">
        <v>21</v>
      </c>
      <c r="Q5868" s="66" t="b">
        <v>0</v>
      </c>
      <c r="R5868" s="22">
        <f t="shared" si="119"/>
        <v>749</v>
      </c>
    </row>
    <row r="5869" spans="1:18">
      <c r="A5869" s="64">
        <v>11344</v>
      </c>
      <c r="B5869" s="62">
        <v>43216</v>
      </c>
      <c r="C5869" s="63" t="s">
        <v>19583</v>
      </c>
      <c r="D5869" s="62">
        <v>43216</v>
      </c>
      <c r="E5869" s="63" t="s">
        <v>16060</v>
      </c>
      <c r="F5869" s="63" t="s">
        <v>116</v>
      </c>
      <c r="G5869" s="63" t="s">
        <v>20</v>
      </c>
      <c r="H5869" s="63" t="s">
        <v>71</v>
      </c>
      <c r="I5869" s="63" t="s">
        <v>21</v>
      </c>
      <c r="J5869" s="63" t="s">
        <v>19584</v>
      </c>
      <c r="K5869" s="63" t="s">
        <v>19585</v>
      </c>
      <c r="L5869" s="63" t="s">
        <v>4282</v>
      </c>
      <c r="M5869" s="63" t="s">
        <v>21</v>
      </c>
      <c r="O5869" s="90"/>
      <c r="P5869" s="65" t="s">
        <v>21</v>
      </c>
      <c r="Q5869" s="66" t="b">
        <v>0</v>
      </c>
      <c r="R5869" s="66"/>
    </row>
    <row r="5870" spans="1:18">
      <c r="A5870" s="64">
        <v>11345</v>
      </c>
      <c r="B5870" s="62">
        <v>43217</v>
      </c>
      <c r="C5870" s="63" t="s">
        <v>19142</v>
      </c>
      <c r="D5870" s="62">
        <v>43217</v>
      </c>
      <c r="E5870" s="63" t="s">
        <v>19592</v>
      </c>
      <c r="F5870" s="63" t="s">
        <v>1783</v>
      </c>
      <c r="G5870" s="63" t="s">
        <v>20</v>
      </c>
      <c r="H5870" s="63" t="s">
        <v>71</v>
      </c>
      <c r="I5870" s="63" t="s">
        <v>21</v>
      </c>
      <c r="J5870" s="63" t="s">
        <v>19593</v>
      </c>
      <c r="K5870" s="63" t="s">
        <v>21</v>
      </c>
      <c r="L5870" s="63" t="s">
        <v>1946</v>
      </c>
      <c r="M5870" s="63" t="s">
        <v>21</v>
      </c>
      <c r="O5870" s="108">
        <v>43319</v>
      </c>
      <c r="P5870" s="65" t="s">
        <v>21</v>
      </c>
      <c r="Q5870" s="66" t="b">
        <v>0</v>
      </c>
      <c r="R5870" s="22">
        <f t="shared" ref="R5870:R5885" si="120">IF(O5870=" ", " ", INT(YEARFRAC(O5870, B5870)*365))</f>
        <v>101</v>
      </c>
    </row>
    <row r="5871" spans="1:18">
      <c r="A5871" s="64">
        <v>11346</v>
      </c>
      <c r="B5871" s="62">
        <v>43217</v>
      </c>
      <c r="C5871" s="63" t="s">
        <v>19586</v>
      </c>
      <c r="D5871" s="62">
        <v>43216</v>
      </c>
      <c r="E5871" s="63" t="s">
        <v>38</v>
      </c>
      <c r="F5871" s="63" t="s">
        <v>19045</v>
      </c>
      <c r="G5871" s="63" t="s">
        <v>20</v>
      </c>
      <c r="H5871" s="63" t="s">
        <v>71</v>
      </c>
      <c r="I5871" s="63" t="s">
        <v>21</v>
      </c>
      <c r="J5871" s="63" t="s">
        <v>19587</v>
      </c>
      <c r="K5871" s="63" t="s">
        <v>19588</v>
      </c>
      <c r="L5871" s="63" t="s">
        <v>7167</v>
      </c>
      <c r="M5871" s="63" t="s">
        <v>21</v>
      </c>
      <c r="O5871" s="108">
        <v>43217</v>
      </c>
      <c r="P5871" s="65" t="s">
        <v>21</v>
      </c>
      <c r="Q5871" s="66" t="b">
        <v>0</v>
      </c>
      <c r="R5871" s="22">
        <f t="shared" si="120"/>
        <v>0</v>
      </c>
    </row>
    <row r="5872" spans="1:18">
      <c r="A5872" s="64">
        <v>11347</v>
      </c>
      <c r="B5872" s="62">
        <v>43217</v>
      </c>
      <c r="C5872" s="63" t="s">
        <v>19589</v>
      </c>
      <c r="D5872" s="62">
        <v>43217</v>
      </c>
      <c r="E5872" s="63" t="s">
        <v>38</v>
      </c>
      <c r="F5872" s="63" t="s">
        <v>19045</v>
      </c>
      <c r="G5872" s="63" t="s">
        <v>20</v>
      </c>
      <c r="H5872" s="63" t="s">
        <v>71</v>
      </c>
      <c r="I5872" s="63" t="s">
        <v>21</v>
      </c>
      <c r="J5872" s="63" t="s">
        <v>19590</v>
      </c>
      <c r="K5872" s="63" t="s">
        <v>19591</v>
      </c>
      <c r="L5872" s="63" t="s">
        <v>7167</v>
      </c>
      <c r="M5872" s="63" t="s">
        <v>21</v>
      </c>
      <c r="O5872" s="108">
        <v>43217</v>
      </c>
      <c r="P5872" s="65" t="s">
        <v>21</v>
      </c>
      <c r="Q5872" s="66" t="b">
        <v>0</v>
      </c>
      <c r="R5872" s="22">
        <f t="shared" si="120"/>
        <v>0</v>
      </c>
    </row>
    <row r="5873" spans="1:19" ht="24">
      <c r="A5873" s="64">
        <v>11348</v>
      </c>
      <c r="B5873" s="62">
        <v>43220</v>
      </c>
      <c r="C5873" s="63" t="s">
        <v>19594</v>
      </c>
      <c r="D5873" s="62">
        <v>43217</v>
      </c>
      <c r="E5873" s="63" t="s">
        <v>19595</v>
      </c>
      <c r="F5873" s="63" t="s">
        <v>11319</v>
      </c>
      <c r="G5873" s="63" t="s">
        <v>20</v>
      </c>
      <c r="H5873" s="63" t="s">
        <v>71</v>
      </c>
      <c r="I5873" s="63" t="s">
        <v>21</v>
      </c>
      <c r="J5873" s="63" t="s">
        <v>19438</v>
      </c>
      <c r="K5873" s="63" t="s">
        <v>19439</v>
      </c>
      <c r="L5873" s="63" t="s">
        <v>7167</v>
      </c>
      <c r="M5873" s="63" t="s">
        <v>21</v>
      </c>
      <c r="O5873" s="108">
        <v>43234</v>
      </c>
      <c r="P5873" s="65" t="s">
        <v>21</v>
      </c>
      <c r="Q5873" s="66" t="b">
        <v>0</v>
      </c>
      <c r="R5873" s="22">
        <f t="shared" si="120"/>
        <v>14</v>
      </c>
    </row>
    <row r="5874" spans="1:19">
      <c r="A5874" s="64">
        <v>11349</v>
      </c>
      <c r="B5874" s="62">
        <v>43220</v>
      </c>
      <c r="C5874" s="63" t="s">
        <v>19433</v>
      </c>
      <c r="D5874" s="62">
        <v>43220</v>
      </c>
      <c r="E5874" s="63" t="s">
        <v>19434</v>
      </c>
      <c r="F5874" s="63" t="s">
        <v>1783</v>
      </c>
      <c r="G5874" s="63" t="s">
        <v>20</v>
      </c>
      <c r="H5874" s="63" t="s">
        <v>71</v>
      </c>
      <c r="I5874" s="63" t="s">
        <v>21</v>
      </c>
      <c r="J5874" s="63" t="s">
        <v>18764</v>
      </c>
      <c r="K5874" s="63" t="s">
        <v>19435</v>
      </c>
      <c r="L5874" s="63" t="s">
        <v>1152</v>
      </c>
      <c r="M5874" s="63" t="s">
        <v>18572</v>
      </c>
      <c r="O5874" s="101">
        <v>43808</v>
      </c>
      <c r="P5874" s="65" t="s">
        <v>21</v>
      </c>
      <c r="Q5874" s="66" t="b">
        <v>0</v>
      </c>
      <c r="R5874" s="22">
        <f t="shared" si="120"/>
        <v>587</v>
      </c>
    </row>
    <row r="5875" spans="1:19" ht="24">
      <c r="A5875" s="64">
        <v>11350</v>
      </c>
      <c r="B5875" s="62">
        <v>43221</v>
      </c>
      <c r="C5875" s="63" t="s">
        <v>19596</v>
      </c>
      <c r="D5875" s="62">
        <v>43221</v>
      </c>
      <c r="E5875" s="63" t="s">
        <v>38</v>
      </c>
      <c r="F5875" s="63" t="s">
        <v>19045</v>
      </c>
      <c r="G5875" s="63" t="s">
        <v>20</v>
      </c>
      <c r="H5875" s="63" t="s">
        <v>71</v>
      </c>
      <c r="I5875" s="63" t="s">
        <v>21</v>
      </c>
      <c r="J5875" s="63" t="s">
        <v>19597</v>
      </c>
      <c r="K5875" s="63" t="s">
        <v>21</v>
      </c>
      <c r="L5875" s="63" t="s">
        <v>14349</v>
      </c>
      <c r="M5875" s="63" t="s">
        <v>21</v>
      </c>
      <c r="O5875" s="108">
        <v>43222</v>
      </c>
      <c r="P5875" s="65" t="s">
        <v>21</v>
      </c>
      <c r="Q5875" s="66" t="b">
        <v>0</v>
      </c>
      <c r="R5875" s="22">
        <f t="shared" si="120"/>
        <v>1</v>
      </c>
    </row>
    <row r="5876" spans="1:19">
      <c r="A5876" s="64">
        <v>11351</v>
      </c>
      <c r="B5876" s="62">
        <v>43222</v>
      </c>
      <c r="C5876" s="63" t="s">
        <v>19599</v>
      </c>
      <c r="D5876" s="62">
        <v>43222</v>
      </c>
      <c r="E5876" s="63" t="s">
        <v>19600</v>
      </c>
      <c r="F5876" s="63" t="s">
        <v>861</v>
      </c>
      <c r="G5876" s="63" t="s">
        <v>20</v>
      </c>
      <c r="H5876" s="63" t="s">
        <v>566</v>
      </c>
      <c r="I5876" s="63" t="s">
        <v>21</v>
      </c>
      <c r="J5876" s="63" t="s">
        <v>19601</v>
      </c>
      <c r="K5876" s="63" t="s">
        <v>19602</v>
      </c>
      <c r="L5876" s="63" t="s">
        <v>18572</v>
      </c>
      <c r="M5876" s="63" t="s">
        <v>21</v>
      </c>
      <c r="O5876" s="101">
        <v>43236</v>
      </c>
      <c r="P5876" s="65" t="s">
        <v>21</v>
      </c>
      <c r="Q5876" s="66" t="b">
        <v>0</v>
      </c>
      <c r="R5876" s="22">
        <f t="shared" si="120"/>
        <v>14</v>
      </c>
    </row>
    <row r="5877" spans="1:19">
      <c r="A5877" s="64">
        <v>11352</v>
      </c>
      <c r="B5877" s="62">
        <v>43222</v>
      </c>
      <c r="C5877" s="63" t="s">
        <v>19598</v>
      </c>
      <c r="D5877" s="62">
        <v>43221</v>
      </c>
      <c r="E5877" s="63" t="s">
        <v>38</v>
      </c>
      <c r="F5877" s="63" t="s">
        <v>19045</v>
      </c>
      <c r="G5877" s="63" t="s">
        <v>20</v>
      </c>
      <c r="H5877" s="63" t="s">
        <v>71</v>
      </c>
      <c r="I5877" s="63" t="s">
        <v>21</v>
      </c>
      <c r="J5877" s="63" t="s">
        <v>19045</v>
      </c>
      <c r="K5877" s="63" t="s">
        <v>12838</v>
      </c>
      <c r="L5877" s="63" t="s">
        <v>18572</v>
      </c>
      <c r="M5877" s="63" t="s">
        <v>21</v>
      </c>
      <c r="O5877" s="108">
        <v>43235</v>
      </c>
      <c r="P5877" s="65" t="s">
        <v>21</v>
      </c>
      <c r="Q5877" s="66" t="b">
        <v>0</v>
      </c>
      <c r="R5877" s="22">
        <f t="shared" si="120"/>
        <v>13</v>
      </c>
    </row>
    <row r="5878" spans="1:19" ht="24">
      <c r="A5878" s="64">
        <v>11353</v>
      </c>
      <c r="B5878" s="62">
        <v>43222</v>
      </c>
      <c r="C5878" s="63" t="s">
        <v>19398</v>
      </c>
      <c r="D5878" s="62">
        <v>43222</v>
      </c>
      <c r="E5878" s="63" t="s">
        <v>19399</v>
      </c>
      <c r="F5878" s="63" t="s">
        <v>6383</v>
      </c>
      <c r="G5878" s="63" t="s">
        <v>20</v>
      </c>
      <c r="H5878" s="63" t="s">
        <v>71</v>
      </c>
      <c r="I5878" s="63" t="s">
        <v>21</v>
      </c>
      <c r="J5878" s="63" t="s">
        <v>19400</v>
      </c>
      <c r="K5878" s="63" t="s">
        <v>14825</v>
      </c>
      <c r="L5878" s="63" t="s">
        <v>4282</v>
      </c>
      <c r="M5878" s="63" t="s">
        <v>21</v>
      </c>
      <c r="O5878" s="108">
        <v>43446</v>
      </c>
      <c r="P5878" s="65" t="s">
        <v>21</v>
      </c>
      <c r="Q5878" s="66" t="b">
        <v>0</v>
      </c>
      <c r="R5878" s="22">
        <f t="shared" si="120"/>
        <v>223</v>
      </c>
      <c r="S5878" s="46" t="s">
        <v>19401</v>
      </c>
    </row>
    <row r="5879" spans="1:19">
      <c r="A5879" s="64">
        <v>11354</v>
      </c>
      <c r="B5879" s="62">
        <v>43223</v>
      </c>
      <c r="C5879" s="63" t="s">
        <v>19440</v>
      </c>
      <c r="D5879" s="62">
        <v>43220</v>
      </c>
      <c r="E5879" s="63" t="s">
        <v>1928</v>
      </c>
      <c r="F5879" s="63" t="s">
        <v>1743</v>
      </c>
      <c r="G5879" s="63" t="s">
        <v>20</v>
      </c>
      <c r="H5879" s="63" t="s">
        <v>71</v>
      </c>
      <c r="I5879" s="63" t="s">
        <v>21</v>
      </c>
      <c r="J5879" s="63" t="s">
        <v>19603</v>
      </c>
      <c r="K5879" s="63" t="s">
        <v>19604</v>
      </c>
      <c r="L5879" s="63" t="s">
        <v>18572</v>
      </c>
      <c r="M5879" s="63" t="s">
        <v>21</v>
      </c>
      <c r="O5879" s="101">
        <v>43235</v>
      </c>
      <c r="P5879" s="65" t="s">
        <v>21</v>
      </c>
      <c r="Q5879" s="66" t="b">
        <v>0</v>
      </c>
      <c r="R5879" s="22">
        <f t="shared" si="120"/>
        <v>12</v>
      </c>
    </row>
    <row r="5880" spans="1:19">
      <c r="A5880" s="64">
        <v>11355</v>
      </c>
      <c r="B5880" s="62">
        <v>43223</v>
      </c>
      <c r="C5880" s="63" t="s">
        <v>19605</v>
      </c>
      <c r="D5880" s="62">
        <v>43222</v>
      </c>
      <c r="E5880" s="63" t="s">
        <v>1928</v>
      </c>
      <c r="F5880" s="63" t="s">
        <v>1743</v>
      </c>
      <c r="G5880" s="63" t="s">
        <v>20</v>
      </c>
      <c r="H5880" s="63" t="s">
        <v>71</v>
      </c>
      <c r="I5880" s="63" t="s">
        <v>21</v>
      </c>
      <c r="J5880" s="63" t="s">
        <v>19606</v>
      </c>
      <c r="K5880" s="63" t="s">
        <v>19607</v>
      </c>
      <c r="L5880" s="63" t="s">
        <v>18572</v>
      </c>
      <c r="M5880" s="63" t="s">
        <v>21</v>
      </c>
      <c r="O5880" s="108">
        <v>43236</v>
      </c>
      <c r="P5880" s="65" t="s">
        <v>21</v>
      </c>
      <c r="Q5880" s="66" t="b">
        <v>0</v>
      </c>
      <c r="R5880" s="22">
        <f t="shared" si="120"/>
        <v>13</v>
      </c>
    </row>
    <row r="5881" spans="1:19">
      <c r="A5881" s="64">
        <v>11356</v>
      </c>
      <c r="B5881" s="62">
        <v>43224</v>
      </c>
      <c r="C5881" s="63" t="s">
        <v>19405</v>
      </c>
      <c r="D5881" s="62">
        <v>43224</v>
      </c>
      <c r="E5881" s="63" t="s">
        <v>19406</v>
      </c>
      <c r="F5881" s="63" t="s">
        <v>16198</v>
      </c>
      <c r="G5881" s="63" t="s">
        <v>20</v>
      </c>
      <c r="H5881" s="63" t="s">
        <v>71</v>
      </c>
      <c r="I5881" s="63" t="s">
        <v>21</v>
      </c>
      <c r="J5881" s="63" t="s">
        <v>19407</v>
      </c>
      <c r="K5881" s="63" t="s">
        <v>14825</v>
      </c>
      <c r="L5881" s="63" t="s">
        <v>7167</v>
      </c>
      <c r="M5881" s="63" t="s">
        <v>21</v>
      </c>
      <c r="O5881" s="108">
        <v>43556</v>
      </c>
      <c r="P5881" s="65" t="s">
        <v>21</v>
      </c>
      <c r="Q5881" s="66" t="b">
        <v>0</v>
      </c>
      <c r="R5881" s="22">
        <f t="shared" si="120"/>
        <v>331</v>
      </c>
    </row>
    <row r="5882" spans="1:19">
      <c r="A5882" s="64">
        <v>11357</v>
      </c>
      <c r="B5882" s="62">
        <v>43227</v>
      </c>
      <c r="C5882" s="63" t="s">
        <v>19363</v>
      </c>
      <c r="D5882" s="62">
        <v>43227</v>
      </c>
      <c r="E5882" s="63" t="s">
        <v>19364</v>
      </c>
      <c r="F5882" s="63" t="s">
        <v>27</v>
      </c>
      <c r="G5882" s="63" t="s">
        <v>20</v>
      </c>
      <c r="H5882" s="63" t="s">
        <v>71</v>
      </c>
      <c r="I5882" s="63" t="s">
        <v>21</v>
      </c>
      <c r="J5882" s="63" t="s">
        <v>19365</v>
      </c>
      <c r="K5882" s="63" t="s">
        <v>19366</v>
      </c>
      <c r="L5882" s="63" t="s">
        <v>1946</v>
      </c>
      <c r="M5882" s="63" t="s">
        <v>21</v>
      </c>
      <c r="O5882" s="108">
        <v>43278</v>
      </c>
      <c r="P5882" s="65" t="s">
        <v>21</v>
      </c>
      <c r="Q5882" s="66" t="b">
        <v>0</v>
      </c>
      <c r="R5882" s="22">
        <f t="shared" si="120"/>
        <v>50</v>
      </c>
    </row>
    <row r="5883" spans="1:19" ht="24">
      <c r="A5883" s="64">
        <v>11358</v>
      </c>
      <c r="B5883" s="62">
        <v>43228</v>
      </c>
      <c r="C5883" s="63" t="s">
        <v>19436</v>
      </c>
      <c r="D5883" s="62">
        <v>43227</v>
      </c>
      <c r="E5883" s="63" t="s">
        <v>19437</v>
      </c>
      <c r="F5883" s="63" t="s">
        <v>19</v>
      </c>
      <c r="G5883" s="63" t="s">
        <v>20</v>
      </c>
      <c r="H5883" s="63" t="s">
        <v>189</v>
      </c>
      <c r="I5883" s="63" t="s">
        <v>21</v>
      </c>
      <c r="J5883" s="63" t="s">
        <v>19438</v>
      </c>
      <c r="K5883" s="63" t="s">
        <v>19439</v>
      </c>
      <c r="L5883" s="63" t="s">
        <v>7167</v>
      </c>
      <c r="M5883" s="63" t="s">
        <v>21</v>
      </c>
      <c r="O5883" s="108">
        <v>43487</v>
      </c>
      <c r="P5883" s="65" t="s">
        <v>21</v>
      </c>
      <c r="Q5883" s="66" t="b">
        <v>0</v>
      </c>
      <c r="R5883" s="22">
        <f t="shared" si="120"/>
        <v>257</v>
      </c>
    </row>
    <row r="5884" spans="1:19">
      <c r="A5884" s="64">
        <v>11359</v>
      </c>
      <c r="B5884" s="62">
        <v>43236</v>
      </c>
      <c r="C5884" s="63" t="s">
        <v>19608</v>
      </c>
      <c r="D5884" s="62">
        <v>43236</v>
      </c>
      <c r="E5884" s="63" t="s">
        <v>38</v>
      </c>
      <c r="F5884" s="63" t="s">
        <v>3171</v>
      </c>
      <c r="G5884" s="63" t="s">
        <v>20</v>
      </c>
      <c r="H5884" s="63" t="s">
        <v>566</v>
      </c>
      <c r="I5884" s="63" t="s">
        <v>21</v>
      </c>
      <c r="J5884" s="63" t="s">
        <v>5668</v>
      </c>
      <c r="K5884" s="63" t="s">
        <v>19609</v>
      </c>
      <c r="L5884" s="63" t="s">
        <v>14909</v>
      </c>
      <c r="M5884" s="63" t="s">
        <v>21</v>
      </c>
      <c r="O5884" s="108">
        <v>43236</v>
      </c>
      <c r="P5884" s="65" t="s">
        <v>21</v>
      </c>
      <c r="Q5884" s="66" t="b">
        <v>0</v>
      </c>
      <c r="R5884" s="22">
        <f t="shared" si="120"/>
        <v>0</v>
      </c>
    </row>
    <row r="5885" spans="1:19">
      <c r="A5885" s="64">
        <v>11360</v>
      </c>
      <c r="B5885" s="62">
        <v>43241</v>
      </c>
      <c r="C5885" s="63" t="s">
        <v>19610</v>
      </c>
      <c r="D5885" s="62">
        <v>43241</v>
      </c>
      <c r="E5885" s="63" t="s">
        <v>1928</v>
      </c>
      <c r="F5885" s="63" t="s">
        <v>1743</v>
      </c>
      <c r="G5885" s="63" t="s">
        <v>20</v>
      </c>
      <c r="H5885" s="63" t="s">
        <v>71</v>
      </c>
      <c r="I5885" s="63" t="s">
        <v>21</v>
      </c>
      <c r="J5885" s="63" t="s">
        <v>19611</v>
      </c>
      <c r="K5885" s="63" t="s">
        <v>21</v>
      </c>
      <c r="L5885" s="63" t="s">
        <v>7167</v>
      </c>
      <c r="M5885" s="63" t="s">
        <v>21</v>
      </c>
      <c r="O5885" s="101">
        <v>43245</v>
      </c>
      <c r="P5885" s="65" t="s">
        <v>21</v>
      </c>
      <c r="Q5885" s="66" t="b">
        <v>0</v>
      </c>
      <c r="R5885" s="22">
        <f t="shared" si="120"/>
        <v>4</v>
      </c>
    </row>
    <row r="5886" spans="1:19">
      <c r="A5886" s="64">
        <v>11361</v>
      </c>
      <c r="B5886" s="62">
        <v>43242</v>
      </c>
      <c r="C5886" s="63" t="s">
        <v>19612</v>
      </c>
      <c r="D5886" s="62">
        <v>43242</v>
      </c>
      <c r="E5886" s="63" t="s">
        <v>1432</v>
      </c>
      <c r="F5886" s="63" t="s">
        <v>6752</v>
      </c>
      <c r="G5886" s="63" t="s">
        <v>20</v>
      </c>
      <c r="H5886" s="63" t="s">
        <v>566</v>
      </c>
      <c r="I5886" s="63" t="s">
        <v>21</v>
      </c>
      <c r="J5886" s="63" t="s">
        <v>19613</v>
      </c>
      <c r="K5886" s="63" t="s">
        <v>19562</v>
      </c>
      <c r="L5886" s="63" t="s">
        <v>7167</v>
      </c>
      <c r="M5886" s="63" t="s">
        <v>21</v>
      </c>
      <c r="O5886" s="90"/>
      <c r="P5886" s="65" t="s">
        <v>21</v>
      </c>
      <c r="Q5886" s="66" t="b">
        <v>0</v>
      </c>
      <c r="R5886" s="66"/>
    </row>
    <row r="5887" spans="1:19">
      <c r="A5887" s="64">
        <v>11362</v>
      </c>
      <c r="B5887" s="62">
        <v>43243</v>
      </c>
      <c r="C5887" s="63" t="s">
        <v>19614</v>
      </c>
      <c r="D5887" s="62">
        <v>43242</v>
      </c>
      <c r="E5887" s="63" t="s">
        <v>38</v>
      </c>
      <c r="F5887" s="63" t="s">
        <v>98</v>
      </c>
      <c r="G5887" s="63" t="s">
        <v>20</v>
      </c>
      <c r="H5887" s="63" t="s">
        <v>71</v>
      </c>
      <c r="I5887" s="63" t="s">
        <v>21</v>
      </c>
      <c r="J5887" s="63" t="s">
        <v>18737</v>
      </c>
      <c r="K5887" s="63" t="s">
        <v>375</v>
      </c>
      <c r="L5887" s="63" t="s">
        <v>7167</v>
      </c>
      <c r="M5887" s="63" t="s">
        <v>21</v>
      </c>
      <c r="O5887" s="108">
        <v>43243</v>
      </c>
      <c r="P5887" s="65" t="s">
        <v>21</v>
      </c>
      <c r="Q5887" s="66" t="b">
        <v>0</v>
      </c>
      <c r="R5887" s="22">
        <f t="shared" ref="R5887:R5899" si="121">IF(O5887=" ", " ", INT(YEARFRAC(O5887, B5887)*365))</f>
        <v>0</v>
      </c>
    </row>
    <row r="5888" spans="1:19">
      <c r="A5888" s="64">
        <v>11363</v>
      </c>
      <c r="B5888" s="62">
        <v>43244</v>
      </c>
      <c r="C5888" s="63" t="s">
        <v>19615</v>
      </c>
      <c r="D5888" s="62">
        <v>43244</v>
      </c>
      <c r="E5888" s="63" t="s">
        <v>38</v>
      </c>
      <c r="F5888" s="63" t="s">
        <v>741</v>
      </c>
      <c r="G5888" s="63" t="s">
        <v>20</v>
      </c>
      <c r="H5888" s="63" t="s">
        <v>71</v>
      </c>
      <c r="I5888" s="63" t="s">
        <v>21</v>
      </c>
      <c r="J5888" s="63" t="s">
        <v>19616</v>
      </c>
      <c r="K5888" s="63" t="s">
        <v>1316</v>
      </c>
      <c r="L5888" s="63" t="s">
        <v>7167</v>
      </c>
      <c r="M5888" s="63" t="s">
        <v>21</v>
      </c>
      <c r="O5888" s="108">
        <v>43280</v>
      </c>
      <c r="P5888" s="65" t="s">
        <v>21</v>
      </c>
      <c r="Q5888" s="66" t="b">
        <v>0</v>
      </c>
      <c r="R5888" s="22">
        <f t="shared" si="121"/>
        <v>35</v>
      </c>
    </row>
    <row r="5889" spans="1:19" ht="24">
      <c r="A5889" s="64">
        <v>11364</v>
      </c>
      <c r="B5889" s="62">
        <v>43257</v>
      </c>
      <c r="C5889" s="63" t="s">
        <v>19621</v>
      </c>
      <c r="D5889" s="62">
        <v>43250</v>
      </c>
      <c r="E5889" s="63" t="s">
        <v>1928</v>
      </c>
      <c r="F5889" s="63" t="s">
        <v>1743</v>
      </c>
      <c r="G5889" s="63" t="s">
        <v>20</v>
      </c>
      <c r="H5889" s="63" t="s">
        <v>71</v>
      </c>
      <c r="I5889" s="63" t="s">
        <v>21</v>
      </c>
      <c r="J5889" s="63" t="s">
        <v>19622</v>
      </c>
      <c r="K5889" s="63" t="s">
        <v>19623</v>
      </c>
      <c r="L5889" s="63" t="s">
        <v>18572</v>
      </c>
      <c r="M5889" s="63" t="s">
        <v>21</v>
      </c>
      <c r="O5889" s="108">
        <v>43265</v>
      </c>
      <c r="P5889" s="65" t="s">
        <v>21</v>
      </c>
      <c r="Q5889" s="66" t="b">
        <v>0</v>
      </c>
      <c r="R5889" s="22">
        <f t="shared" si="121"/>
        <v>8</v>
      </c>
      <c r="S5889" s="46" t="s">
        <v>19624</v>
      </c>
    </row>
    <row r="5890" spans="1:19">
      <c r="A5890" s="64">
        <v>11365</v>
      </c>
      <c r="B5890" s="62">
        <v>43257</v>
      </c>
      <c r="C5890" s="63" t="s">
        <v>19617</v>
      </c>
      <c r="D5890" s="62">
        <v>43255</v>
      </c>
      <c r="E5890" s="63" t="s">
        <v>19618</v>
      </c>
      <c r="F5890" s="63" t="s">
        <v>18441</v>
      </c>
      <c r="G5890" s="63" t="s">
        <v>20</v>
      </c>
      <c r="H5890" s="63" t="s">
        <v>189</v>
      </c>
      <c r="I5890" s="63" t="s">
        <v>21</v>
      </c>
      <c r="J5890" s="63" t="s">
        <v>19619</v>
      </c>
      <c r="K5890" s="63" t="s">
        <v>19620</v>
      </c>
      <c r="L5890" s="63" t="s">
        <v>7167</v>
      </c>
      <c r="M5890" s="63" t="s">
        <v>21</v>
      </c>
      <c r="O5890" s="108">
        <v>43259</v>
      </c>
      <c r="P5890" s="65" t="s">
        <v>21</v>
      </c>
      <c r="Q5890" s="66" t="b">
        <v>0</v>
      </c>
      <c r="R5890" s="22">
        <f t="shared" si="121"/>
        <v>2</v>
      </c>
    </row>
    <row r="5891" spans="1:19">
      <c r="A5891" s="64">
        <v>11366</v>
      </c>
      <c r="B5891" s="62">
        <v>43258</v>
      </c>
      <c r="C5891" s="63" t="s">
        <v>19625</v>
      </c>
      <c r="D5891" s="62">
        <v>43251</v>
      </c>
      <c r="E5891" s="63" t="s">
        <v>38</v>
      </c>
      <c r="F5891" s="63" t="s">
        <v>124</v>
      </c>
      <c r="G5891" s="63" t="s">
        <v>20</v>
      </c>
      <c r="H5891" s="63" t="s">
        <v>71</v>
      </c>
      <c r="I5891" s="63" t="s">
        <v>21</v>
      </c>
      <c r="J5891" s="63" t="s">
        <v>18090</v>
      </c>
      <c r="K5891" s="63" t="s">
        <v>21</v>
      </c>
      <c r="L5891" s="63" t="s">
        <v>18572</v>
      </c>
      <c r="M5891" s="63" t="s">
        <v>21</v>
      </c>
      <c r="O5891" s="108">
        <v>43280</v>
      </c>
      <c r="P5891" s="65" t="s">
        <v>21</v>
      </c>
      <c r="Q5891" s="66" t="b">
        <v>0</v>
      </c>
      <c r="R5891" s="22">
        <f t="shared" si="121"/>
        <v>22</v>
      </c>
    </row>
    <row r="5892" spans="1:19">
      <c r="A5892" s="64">
        <v>11367</v>
      </c>
      <c r="B5892" s="62">
        <v>43264</v>
      </c>
      <c r="C5892" s="63" t="s">
        <v>19440</v>
      </c>
      <c r="D5892" s="62">
        <v>43264</v>
      </c>
      <c r="E5892" s="63" t="s">
        <v>19441</v>
      </c>
      <c r="F5892" s="63" t="s">
        <v>149</v>
      </c>
      <c r="G5892" s="63" t="s">
        <v>20</v>
      </c>
      <c r="H5892" s="63" t="s">
        <v>71</v>
      </c>
      <c r="I5892" s="63" t="s">
        <v>21</v>
      </c>
      <c r="J5892" s="63" t="s">
        <v>19442</v>
      </c>
      <c r="K5892" s="63" t="s">
        <v>18037</v>
      </c>
      <c r="L5892" s="63" t="s">
        <v>4282</v>
      </c>
      <c r="M5892" s="63" t="s">
        <v>21</v>
      </c>
      <c r="O5892" s="108">
        <v>43957</v>
      </c>
      <c r="P5892" s="65" t="s">
        <v>21</v>
      </c>
      <c r="Q5892" s="66" t="b">
        <v>0</v>
      </c>
      <c r="R5892" s="22">
        <f t="shared" si="121"/>
        <v>692</v>
      </c>
    </row>
    <row r="5893" spans="1:19">
      <c r="A5893" s="64">
        <v>11368</v>
      </c>
      <c r="B5893" s="62">
        <v>43265</v>
      </c>
      <c r="C5893" s="63" t="s">
        <v>19630</v>
      </c>
      <c r="D5893" s="62">
        <v>43264</v>
      </c>
      <c r="E5893" s="63" t="s">
        <v>38</v>
      </c>
      <c r="F5893" s="63" t="s">
        <v>19045</v>
      </c>
      <c r="G5893" s="63" t="s">
        <v>20</v>
      </c>
      <c r="H5893" s="63" t="s">
        <v>71</v>
      </c>
      <c r="I5893" s="63" t="s">
        <v>21</v>
      </c>
      <c r="J5893" s="63" t="s">
        <v>19631</v>
      </c>
      <c r="K5893" s="63" t="s">
        <v>11818</v>
      </c>
      <c r="L5893" s="63" t="s">
        <v>18572</v>
      </c>
      <c r="M5893" s="63" t="s">
        <v>21</v>
      </c>
      <c r="O5893" s="101">
        <v>43320</v>
      </c>
      <c r="P5893" s="65" t="s">
        <v>21</v>
      </c>
      <c r="Q5893" s="66" t="b">
        <v>0</v>
      </c>
      <c r="R5893" s="22">
        <f t="shared" si="121"/>
        <v>54</v>
      </c>
    </row>
    <row r="5894" spans="1:19">
      <c r="A5894" s="64">
        <v>11369</v>
      </c>
      <c r="B5894" s="62">
        <v>43265</v>
      </c>
      <c r="C5894" s="63" t="s">
        <v>19627</v>
      </c>
      <c r="D5894" s="62">
        <v>43264</v>
      </c>
      <c r="E5894" s="63" t="s">
        <v>38</v>
      </c>
      <c r="F5894" s="63" t="s">
        <v>15716</v>
      </c>
      <c r="G5894" s="63" t="s">
        <v>20</v>
      </c>
      <c r="H5894" s="63" t="s">
        <v>566</v>
      </c>
      <c r="I5894" s="63" t="s">
        <v>21</v>
      </c>
      <c r="J5894" s="63" t="s">
        <v>19628</v>
      </c>
      <c r="K5894" s="63" t="s">
        <v>19629</v>
      </c>
      <c r="L5894" s="63" t="s">
        <v>1946</v>
      </c>
      <c r="M5894" s="63" t="s">
        <v>21</v>
      </c>
      <c r="O5894" s="108">
        <v>43294</v>
      </c>
      <c r="P5894" s="65" t="s">
        <v>21</v>
      </c>
      <c r="Q5894" s="66" t="b">
        <v>0</v>
      </c>
      <c r="R5894" s="22">
        <f t="shared" si="121"/>
        <v>29</v>
      </c>
    </row>
    <row r="5895" spans="1:19">
      <c r="A5895" s="64">
        <v>11370</v>
      </c>
      <c r="B5895" s="62">
        <v>43265</v>
      </c>
      <c r="C5895" s="63" t="s">
        <v>19626</v>
      </c>
      <c r="D5895" s="62">
        <v>43264</v>
      </c>
      <c r="E5895" s="63" t="s">
        <v>38</v>
      </c>
      <c r="F5895" s="63" t="s">
        <v>124</v>
      </c>
      <c r="G5895" s="63" t="s">
        <v>20</v>
      </c>
      <c r="H5895" s="63" t="s">
        <v>71</v>
      </c>
      <c r="I5895" s="63" t="s">
        <v>21</v>
      </c>
      <c r="J5895" s="63" t="s">
        <v>6950</v>
      </c>
      <c r="K5895" s="63" t="s">
        <v>18402</v>
      </c>
      <c r="L5895" s="63" t="s">
        <v>18572</v>
      </c>
      <c r="M5895" s="63" t="s">
        <v>21</v>
      </c>
      <c r="O5895" s="108">
        <v>43291</v>
      </c>
      <c r="P5895" s="65" t="s">
        <v>21</v>
      </c>
      <c r="Q5895" s="66" t="b">
        <v>0</v>
      </c>
      <c r="R5895" s="22">
        <f t="shared" si="121"/>
        <v>26</v>
      </c>
    </row>
    <row r="5896" spans="1:19">
      <c r="A5896" s="64">
        <v>11371</v>
      </c>
      <c r="B5896" s="62">
        <v>43266</v>
      </c>
      <c r="C5896" s="63" t="s">
        <v>19632</v>
      </c>
      <c r="D5896" s="62">
        <v>43265</v>
      </c>
      <c r="E5896" s="63" t="s">
        <v>19633</v>
      </c>
      <c r="F5896" s="63" t="s">
        <v>3171</v>
      </c>
      <c r="G5896" s="63" t="s">
        <v>20</v>
      </c>
      <c r="H5896" s="63" t="s">
        <v>566</v>
      </c>
      <c r="I5896" s="63" t="s">
        <v>21</v>
      </c>
      <c r="J5896" s="63" t="s">
        <v>19634</v>
      </c>
      <c r="K5896" s="63" t="s">
        <v>19635</v>
      </c>
      <c r="L5896" s="63" t="s">
        <v>18572</v>
      </c>
      <c r="M5896" s="63" t="s">
        <v>21</v>
      </c>
      <c r="O5896" s="108">
        <v>43294</v>
      </c>
      <c r="P5896" s="65" t="s">
        <v>21</v>
      </c>
      <c r="Q5896" s="66" t="b">
        <v>0</v>
      </c>
      <c r="R5896" s="22">
        <f t="shared" si="121"/>
        <v>28</v>
      </c>
    </row>
    <row r="5897" spans="1:19">
      <c r="A5897" s="64">
        <v>11372</v>
      </c>
      <c r="B5897" s="62">
        <v>43266</v>
      </c>
      <c r="C5897" s="63" t="s">
        <v>19636</v>
      </c>
      <c r="D5897" s="62">
        <v>43265</v>
      </c>
      <c r="E5897" s="63" t="s">
        <v>19637</v>
      </c>
      <c r="F5897" s="63" t="s">
        <v>3171</v>
      </c>
      <c r="G5897" s="63" t="s">
        <v>20</v>
      </c>
      <c r="H5897" s="63" t="s">
        <v>566</v>
      </c>
      <c r="I5897" s="63" t="s">
        <v>21</v>
      </c>
      <c r="J5897" s="63" t="s">
        <v>19638</v>
      </c>
      <c r="K5897" s="63" t="s">
        <v>19635</v>
      </c>
      <c r="L5897" s="63" t="s">
        <v>18572</v>
      </c>
      <c r="M5897" s="63" t="s">
        <v>21</v>
      </c>
      <c r="O5897" s="108">
        <v>43325</v>
      </c>
      <c r="P5897" s="65" t="s">
        <v>21</v>
      </c>
      <c r="Q5897" s="66" t="b">
        <v>0</v>
      </c>
      <c r="R5897" s="22">
        <f t="shared" si="121"/>
        <v>58</v>
      </c>
    </row>
    <row r="5898" spans="1:19">
      <c r="A5898" s="64">
        <v>11373</v>
      </c>
      <c r="B5898" s="62">
        <v>43266</v>
      </c>
      <c r="C5898" s="63" t="s">
        <v>19639</v>
      </c>
      <c r="D5898" s="62">
        <v>43265</v>
      </c>
      <c r="E5898" s="63" t="s">
        <v>19640</v>
      </c>
      <c r="F5898" s="63" t="s">
        <v>3171</v>
      </c>
      <c r="G5898" s="63" t="s">
        <v>20</v>
      </c>
      <c r="H5898" s="63" t="s">
        <v>566</v>
      </c>
      <c r="I5898" s="63" t="s">
        <v>21</v>
      </c>
      <c r="J5898" s="63" t="s">
        <v>19641</v>
      </c>
      <c r="K5898" s="63" t="s">
        <v>19635</v>
      </c>
      <c r="L5898" s="63" t="s">
        <v>18572</v>
      </c>
      <c r="M5898" s="63" t="s">
        <v>21</v>
      </c>
      <c r="O5898" s="108">
        <v>43325</v>
      </c>
      <c r="P5898" s="65" t="s">
        <v>21</v>
      </c>
      <c r="Q5898" s="66" t="b">
        <v>0</v>
      </c>
      <c r="R5898" s="22">
        <f t="shared" si="121"/>
        <v>58</v>
      </c>
    </row>
    <row r="5899" spans="1:19">
      <c r="A5899" s="64">
        <v>11374</v>
      </c>
      <c r="B5899" s="62">
        <v>43266</v>
      </c>
      <c r="C5899" s="63" t="s">
        <v>19642</v>
      </c>
      <c r="D5899" s="62">
        <v>43265</v>
      </c>
      <c r="E5899" s="63" t="s">
        <v>19643</v>
      </c>
      <c r="F5899" s="63" t="s">
        <v>3171</v>
      </c>
      <c r="G5899" s="63" t="s">
        <v>20</v>
      </c>
      <c r="H5899" s="63" t="s">
        <v>566</v>
      </c>
      <c r="I5899" s="63" t="s">
        <v>21</v>
      </c>
      <c r="J5899" s="63" t="s">
        <v>19644</v>
      </c>
      <c r="K5899" s="63" t="s">
        <v>19645</v>
      </c>
      <c r="L5899" s="63" t="s">
        <v>18572</v>
      </c>
      <c r="M5899" s="63" t="s">
        <v>21</v>
      </c>
      <c r="O5899" s="108">
        <v>43325</v>
      </c>
      <c r="P5899" s="65" t="s">
        <v>21</v>
      </c>
      <c r="Q5899" s="66" t="b">
        <v>0</v>
      </c>
      <c r="R5899" s="22">
        <f t="shared" si="121"/>
        <v>58</v>
      </c>
    </row>
    <row r="5900" spans="1:19">
      <c r="A5900" s="64">
        <v>11375</v>
      </c>
      <c r="B5900" s="62">
        <v>43269</v>
      </c>
      <c r="C5900" s="63" t="s">
        <v>19646</v>
      </c>
      <c r="D5900" s="62">
        <v>43269</v>
      </c>
      <c r="E5900" s="63" t="s">
        <v>1432</v>
      </c>
      <c r="F5900" s="63" t="s">
        <v>56</v>
      </c>
      <c r="G5900" s="63" t="s">
        <v>20</v>
      </c>
      <c r="H5900" s="63" t="s">
        <v>71</v>
      </c>
      <c r="I5900" s="63" t="s">
        <v>21</v>
      </c>
      <c r="J5900" s="63" t="s">
        <v>19647</v>
      </c>
      <c r="K5900" s="63" t="s">
        <v>19648</v>
      </c>
      <c r="L5900" s="63" t="s">
        <v>4282</v>
      </c>
      <c r="M5900" s="63" t="s">
        <v>21</v>
      </c>
      <c r="O5900" s="90"/>
      <c r="P5900" s="65" t="s">
        <v>21</v>
      </c>
      <c r="Q5900" s="66" t="b">
        <v>0</v>
      </c>
      <c r="R5900" s="66"/>
    </row>
    <row r="5901" spans="1:19">
      <c r="A5901" s="64">
        <v>11376</v>
      </c>
      <c r="B5901" s="62">
        <v>43270</v>
      </c>
      <c r="C5901" s="63" t="s">
        <v>19649</v>
      </c>
      <c r="D5901" s="62">
        <v>43266</v>
      </c>
      <c r="E5901" s="63" t="s">
        <v>38</v>
      </c>
      <c r="F5901" s="63" t="s">
        <v>124</v>
      </c>
      <c r="G5901" s="63" t="s">
        <v>20</v>
      </c>
      <c r="H5901" s="63" t="s">
        <v>71</v>
      </c>
      <c r="I5901" s="63" t="s">
        <v>21</v>
      </c>
      <c r="J5901" s="63" t="s">
        <v>19650</v>
      </c>
      <c r="K5901" s="63" t="s">
        <v>21</v>
      </c>
      <c r="L5901" s="63" t="s">
        <v>18572</v>
      </c>
      <c r="M5901" s="63" t="s">
        <v>21</v>
      </c>
      <c r="O5901" s="108">
        <v>43277</v>
      </c>
      <c r="P5901" s="65" t="s">
        <v>21</v>
      </c>
      <c r="Q5901" s="66" t="b">
        <v>0</v>
      </c>
      <c r="R5901" s="22">
        <f t="shared" ref="R5901:R5920" si="122">IF(O5901=" ", " ", INT(YEARFRAC(O5901, B5901)*365))</f>
        <v>7</v>
      </c>
    </row>
    <row r="5902" spans="1:19" ht="24">
      <c r="A5902" s="64">
        <v>11377</v>
      </c>
      <c r="B5902" s="62">
        <v>43270</v>
      </c>
      <c r="C5902" s="63" t="s">
        <v>19651</v>
      </c>
      <c r="D5902" s="62">
        <v>43270</v>
      </c>
      <c r="E5902" s="63" t="s">
        <v>1928</v>
      </c>
      <c r="F5902" s="63" t="s">
        <v>1743</v>
      </c>
      <c r="G5902" s="63" t="s">
        <v>20</v>
      </c>
      <c r="H5902" s="63" t="s">
        <v>71</v>
      </c>
      <c r="I5902" s="63" t="s">
        <v>21</v>
      </c>
      <c r="J5902" s="63" t="s">
        <v>19652</v>
      </c>
      <c r="K5902" s="63" t="s">
        <v>19653</v>
      </c>
      <c r="L5902" s="63" t="s">
        <v>7167</v>
      </c>
      <c r="M5902" s="63" t="s">
        <v>21</v>
      </c>
      <c r="O5902" s="101">
        <v>43279</v>
      </c>
      <c r="P5902" s="65" t="s">
        <v>21</v>
      </c>
      <c r="Q5902" s="66" t="b">
        <v>0</v>
      </c>
      <c r="R5902" s="22">
        <f t="shared" si="122"/>
        <v>9</v>
      </c>
    </row>
    <row r="5903" spans="1:19">
      <c r="A5903" s="64">
        <v>11378</v>
      </c>
      <c r="B5903" s="62">
        <v>43272</v>
      </c>
      <c r="C5903" s="63" t="s">
        <v>19654</v>
      </c>
      <c r="D5903" s="62">
        <v>43272</v>
      </c>
      <c r="E5903" s="63" t="s">
        <v>19655</v>
      </c>
      <c r="F5903" s="63" t="s">
        <v>228</v>
      </c>
      <c r="G5903" s="63" t="s">
        <v>20</v>
      </c>
      <c r="H5903" s="63" t="s">
        <v>71</v>
      </c>
      <c r="I5903" s="63" t="s">
        <v>21</v>
      </c>
      <c r="J5903" s="63" t="s">
        <v>19656</v>
      </c>
      <c r="K5903" s="63" t="s">
        <v>6081</v>
      </c>
      <c r="L5903" s="63" t="s">
        <v>1946</v>
      </c>
      <c r="M5903" s="63" t="s">
        <v>21</v>
      </c>
      <c r="O5903" s="101">
        <v>43287</v>
      </c>
      <c r="P5903" s="65" t="s">
        <v>21</v>
      </c>
      <c r="Q5903" s="66" t="b">
        <v>0</v>
      </c>
      <c r="R5903" s="22">
        <f t="shared" si="122"/>
        <v>15</v>
      </c>
    </row>
    <row r="5904" spans="1:19">
      <c r="A5904" s="64">
        <v>11379</v>
      </c>
      <c r="B5904" s="62">
        <v>43272</v>
      </c>
      <c r="C5904" s="63" t="s">
        <v>19657</v>
      </c>
      <c r="D5904" s="62">
        <v>43271</v>
      </c>
      <c r="E5904" s="63" t="s">
        <v>38</v>
      </c>
      <c r="F5904" s="63" t="s">
        <v>1771</v>
      </c>
      <c r="G5904" s="63" t="s">
        <v>20</v>
      </c>
      <c r="H5904" s="63" t="s">
        <v>189</v>
      </c>
      <c r="I5904" s="63" t="s">
        <v>21</v>
      </c>
      <c r="J5904" s="63" t="s">
        <v>19658</v>
      </c>
      <c r="K5904" s="63" t="s">
        <v>3335</v>
      </c>
      <c r="L5904" s="63" t="s">
        <v>18572</v>
      </c>
      <c r="M5904" s="63" t="s">
        <v>21</v>
      </c>
      <c r="O5904" s="108">
        <v>43342</v>
      </c>
      <c r="P5904" s="65" t="s">
        <v>21</v>
      </c>
      <c r="Q5904" s="66" t="b">
        <v>0</v>
      </c>
      <c r="R5904" s="22">
        <f t="shared" si="122"/>
        <v>69</v>
      </c>
    </row>
    <row r="5905" spans="1:19">
      <c r="A5905" s="64">
        <v>11380</v>
      </c>
      <c r="B5905" s="62">
        <v>43276</v>
      </c>
      <c r="C5905" s="63" t="s">
        <v>19659</v>
      </c>
      <c r="D5905" s="62">
        <v>43273</v>
      </c>
      <c r="E5905" s="63" t="s">
        <v>38</v>
      </c>
      <c r="F5905" s="63" t="s">
        <v>2882</v>
      </c>
      <c r="G5905" s="63" t="s">
        <v>20</v>
      </c>
      <c r="H5905" s="63" t="s">
        <v>566</v>
      </c>
      <c r="I5905" s="63" t="s">
        <v>21</v>
      </c>
      <c r="J5905" s="63" t="s">
        <v>17895</v>
      </c>
      <c r="K5905" s="63" t="s">
        <v>21</v>
      </c>
      <c r="L5905" s="63" t="s">
        <v>14909</v>
      </c>
      <c r="M5905" s="63" t="s">
        <v>21</v>
      </c>
      <c r="O5905" s="108">
        <v>43286</v>
      </c>
      <c r="P5905" s="65" t="s">
        <v>21</v>
      </c>
      <c r="Q5905" s="66" t="b">
        <v>0</v>
      </c>
      <c r="R5905" s="22">
        <f t="shared" si="122"/>
        <v>10</v>
      </c>
    </row>
    <row r="5906" spans="1:19">
      <c r="A5906" s="64">
        <v>11381</v>
      </c>
      <c r="B5906" s="62">
        <v>43276</v>
      </c>
      <c r="C5906" s="63" t="s">
        <v>19660</v>
      </c>
      <c r="D5906" s="62">
        <v>43276</v>
      </c>
      <c r="E5906" s="63" t="s">
        <v>38</v>
      </c>
      <c r="F5906" s="63" t="s">
        <v>15724</v>
      </c>
      <c r="G5906" s="63" t="s">
        <v>20</v>
      </c>
      <c r="H5906" s="63" t="s">
        <v>71</v>
      </c>
      <c r="I5906" s="63" t="s">
        <v>21</v>
      </c>
      <c r="J5906" s="63" t="s">
        <v>19661</v>
      </c>
      <c r="K5906" s="63" t="s">
        <v>19662</v>
      </c>
      <c r="L5906" s="63" t="s">
        <v>7167</v>
      </c>
      <c r="M5906" s="63" t="s">
        <v>21</v>
      </c>
      <c r="O5906" s="108">
        <v>43286</v>
      </c>
      <c r="P5906" s="65" t="s">
        <v>21</v>
      </c>
      <c r="Q5906" s="66" t="b">
        <v>0</v>
      </c>
      <c r="R5906" s="22">
        <f t="shared" si="122"/>
        <v>10</v>
      </c>
    </row>
    <row r="5907" spans="1:19">
      <c r="A5907" s="64">
        <v>11382</v>
      </c>
      <c r="B5907" s="62">
        <v>43278</v>
      </c>
      <c r="C5907" s="63" t="s">
        <v>19663</v>
      </c>
      <c r="D5907" s="62">
        <v>43277</v>
      </c>
      <c r="E5907" s="63" t="s">
        <v>38</v>
      </c>
      <c r="F5907" s="63" t="s">
        <v>124</v>
      </c>
      <c r="G5907" s="63" t="s">
        <v>20</v>
      </c>
      <c r="H5907" s="63" t="s">
        <v>71</v>
      </c>
      <c r="I5907" s="63" t="s">
        <v>21</v>
      </c>
      <c r="J5907" s="63" t="s">
        <v>19539</v>
      </c>
      <c r="K5907" s="63" t="s">
        <v>19629</v>
      </c>
      <c r="L5907" s="63" t="s">
        <v>18572</v>
      </c>
      <c r="M5907" s="63" t="s">
        <v>21</v>
      </c>
      <c r="O5907" s="108">
        <v>43299</v>
      </c>
      <c r="P5907" s="65" t="s">
        <v>21</v>
      </c>
      <c r="Q5907" s="66" t="b">
        <v>0</v>
      </c>
      <c r="R5907" s="22">
        <f t="shared" si="122"/>
        <v>21</v>
      </c>
    </row>
    <row r="5908" spans="1:19">
      <c r="A5908" s="64">
        <v>11383</v>
      </c>
      <c r="B5908" s="62">
        <v>43286</v>
      </c>
      <c r="C5908" s="63" t="s">
        <v>19664</v>
      </c>
      <c r="D5908" s="62">
        <v>43286</v>
      </c>
      <c r="E5908" s="63" t="s">
        <v>19665</v>
      </c>
      <c r="F5908" s="63" t="s">
        <v>52</v>
      </c>
      <c r="G5908" s="63" t="s">
        <v>20</v>
      </c>
      <c r="H5908" s="63" t="s">
        <v>71</v>
      </c>
      <c r="I5908" s="63" t="s">
        <v>21</v>
      </c>
      <c r="J5908" s="63" t="s">
        <v>19666</v>
      </c>
      <c r="K5908" s="63" t="s">
        <v>19667</v>
      </c>
      <c r="L5908" s="63" t="s">
        <v>7167</v>
      </c>
      <c r="M5908" s="63" t="s">
        <v>21</v>
      </c>
      <c r="O5908" s="101">
        <v>43301</v>
      </c>
      <c r="P5908" s="65" t="s">
        <v>21</v>
      </c>
      <c r="Q5908" s="66" t="b">
        <v>0</v>
      </c>
      <c r="R5908" s="22">
        <f t="shared" si="122"/>
        <v>15</v>
      </c>
    </row>
    <row r="5909" spans="1:19">
      <c r="A5909" s="64">
        <v>11384</v>
      </c>
      <c r="B5909" s="62">
        <v>43290</v>
      </c>
      <c r="C5909" s="63" t="s">
        <v>19443</v>
      </c>
      <c r="D5909" s="62">
        <v>43290</v>
      </c>
      <c r="E5909" s="63" t="s">
        <v>19444</v>
      </c>
      <c r="F5909" s="63" t="s">
        <v>98</v>
      </c>
      <c r="G5909" s="63" t="s">
        <v>20</v>
      </c>
      <c r="H5909" s="63" t="s">
        <v>71</v>
      </c>
      <c r="I5909" s="63" t="s">
        <v>21</v>
      </c>
      <c r="J5909" s="63" t="s">
        <v>19445</v>
      </c>
      <c r="K5909" s="63" t="s">
        <v>19446</v>
      </c>
      <c r="L5909" s="63" t="s">
        <v>1946</v>
      </c>
      <c r="M5909" s="63" t="s">
        <v>7167</v>
      </c>
      <c r="O5909" s="108">
        <v>43913</v>
      </c>
      <c r="P5909" s="65" t="s">
        <v>21</v>
      </c>
      <c r="Q5909" s="66" t="b">
        <v>0</v>
      </c>
      <c r="R5909" s="22">
        <f t="shared" si="122"/>
        <v>622</v>
      </c>
    </row>
    <row r="5910" spans="1:19">
      <c r="A5910" s="64">
        <v>11385</v>
      </c>
      <c r="B5910" s="62">
        <v>43290</v>
      </c>
      <c r="C5910" s="63" t="s">
        <v>19668</v>
      </c>
      <c r="D5910" s="62">
        <v>43290</v>
      </c>
      <c r="E5910" s="63" t="s">
        <v>19669</v>
      </c>
      <c r="F5910" s="63" t="s">
        <v>129</v>
      </c>
      <c r="G5910" s="63" t="s">
        <v>20</v>
      </c>
      <c r="H5910" s="63" t="s">
        <v>71</v>
      </c>
      <c r="I5910" s="63" t="s">
        <v>21</v>
      </c>
      <c r="J5910" s="63" t="s">
        <v>19670</v>
      </c>
      <c r="K5910" s="63" t="s">
        <v>19671</v>
      </c>
      <c r="L5910" s="63" t="s">
        <v>4282</v>
      </c>
      <c r="M5910" s="63" t="s">
        <v>21</v>
      </c>
      <c r="O5910" s="108">
        <v>43619</v>
      </c>
      <c r="P5910" s="65" t="s">
        <v>21</v>
      </c>
      <c r="Q5910" s="66" t="b">
        <v>0</v>
      </c>
      <c r="R5910" s="22">
        <f t="shared" si="122"/>
        <v>328</v>
      </c>
    </row>
    <row r="5911" spans="1:19">
      <c r="A5911" s="64">
        <v>11386</v>
      </c>
      <c r="B5911" s="62">
        <v>43291</v>
      </c>
      <c r="C5911" s="63" t="s">
        <v>19204</v>
      </c>
      <c r="D5911" s="62">
        <v>43290</v>
      </c>
      <c r="E5911" s="63" t="s">
        <v>19467</v>
      </c>
      <c r="F5911" s="63" t="s">
        <v>8395</v>
      </c>
      <c r="G5911" s="63" t="s">
        <v>20</v>
      </c>
      <c r="H5911" s="63" t="s">
        <v>566</v>
      </c>
      <c r="I5911" s="63" t="s">
        <v>21</v>
      </c>
      <c r="J5911" s="63" t="s">
        <v>19468</v>
      </c>
      <c r="K5911" s="63" t="s">
        <v>9348</v>
      </c>
      <c r="L5911" s="63" t="s">
        <v>1946</v>
      </c>
      <c r="M5911" s="63" t="s">
        <v>21</v>
      </c>
      <c r="O5911" s="108">
        <v>43578</v>
      </c>
      <c r="P5911" s="65" t="s">
        <v>21</v>
      </c>
      <c r="Q5911" s="66" t="b">
        <v>0</v>
      </c>
      <c r="R5911" s="22">
        <f t="shared" si="122"/>
        <v>286</v>
      </c>
    </row>
    <row r="5912" spans="1:19">
      <c r="A5912" s="64">
        <v>11387</v>
      </c>
      <c r="B5912" s="62">
        <v>43292</v>
      </c>
      <c r="C5912" s="63" t="s">
        <v>19672</v>
      </c>
      <c r="D5912" s="62">
        <v>43292</v>
      </c>
      <c r="E5912" s="63" t="s">
        <v>38</v>
      </c>
      <c r="F5912" s="63" t="s">
        <v>14118</v>
      </c>
      <c r="G5912" s="63" t="s">
        <v>20</v>
      </c>
      <c r="H5912" s="63" t="s">
        <v>71</v>
      </c>
      <c r="I5912" s="63" t="s">
        <v>21</v>
      </c>
      <c r="J5912" s="63" t="s">
        <v>19673</v>
      </c>
      <c r="K5912" s="63" t="s">
        <v>1928</v>
      </c>
      <c r="L5912" s="63" t="s">
        <v>4282</v>
      </c>
      <c r="M5912" s="63" t="s">
        <v>21</v>
      </c>
      <c r="O5912" s="108">
        <v>43686</v>
      </c>
      <c r="P5912" s="65" t="s">
        <v>21</v>
      </c>
      <c r="Q5912" s="66" t="b">
        <v>0</v>
      </c>
      <c r="R5912" s="22">
        <f t="shared" si="122"/>
        <v>393</v>
      </c>
    </row>
    <row r="5913" spans="1:19" ht="24">
      <c r="A5913" s="64">
        <v>11388</v>
      </c>
      <c r="B5913" s="62">
        <v>43294</v>
      </c>
      <c r="C5913" s="63" t="s">
        <v>19674</v>
      </c>
      <c r="D5913" s="62">
        <v>43294</v>
      </c>
      <c r="E5913" s="63" t="s">
        <v>38</v>
      </c>
      <c r="F5913" s="63" t="s">
        <v>3171</v>
      </c>
      <c r="G5913" s="63" t="s">
        <v>20</v>
      </c>
      <c r="H5913" s="63" t="s">
        <v>566</v>
      </c>
      <c r="I5913" s="63" t="s">
        <v>21</v>
      </c>
      <c r="J5913" s="63" t="s">
        <v>19675</v>
      </c>
      <c r="K5913" s="63" t="s">
        <v>19676</v>
      </c>
      <c r="L5913" s="63" t="s">
        <v>18572</v>
      </c>
      <c r="M5913" s="63" t="s">
        <v>21</v>
      </c>
      <c r="O5913" s="108">
        <v>43294</v>
      </c>
      <c r="P5913" s="65" t="s">
        <v>21</v>
      </c>
      <c r="Q5913" s="66" t="b">
        <v>0</v>
      </c>
      <c r="R5913" s="22">
        <f t="shared" si="122"/>
        <v>0</v>
      </c>
      <c r="S5913" s="46" t="s">
        <v>19633</v>
      </c>
    </row>
    <row r="5914" spans="1:19">
      <c r="A5914" s="64">
        <v>11389</v>
      </c>
      <c r="B5914" s="62">
        <v>43297</v>
      </c>
      <c r="C5914" s="63" t="s">
        <v>19469</v>
      </c>
      <c r="D5914" s="62">
        <v>43297</v>
      </c>
      <c r="E5914" s="63" t="s">
        <v>19470</v>
      </c>
      <c r="F5914" s="63" t="s">
        <v>98</v>
      </c>
      <c r="G5914" s="63" t="s">
        <v>20</v>
      </c>
      <c r="H5914" s="63" t="s">
        <v>71</v>
      </c>
      <c r="I5914" s="63" t="s">
        <v>21</v>
      </c>
      <c r="J5914" s="63" t="s">
        <v>1524</v>
      </c>
      <c r="K5914" s="63" t="s">
        <v>19471</v>
      </c>
      <c r="L5914" s="63" t="s">
        <v>1946</v>
      </c>
      <c r="M5914" s="63" t="s">
        <v>21</v>
      </c>
      <c r="O5914" s="108">
        <v>43913</v>
      </c>
      <c r="P5914" s="65" t="s">
        <v>21</v>
      </c>
      <c r="Q5914" s="66" t="b">
        <v>0</v>
      </c>
      <c r="R5914" s="22">
        <f t="shared" si="122"/>
        <v>615</v>
      </c>
    </row>
    <row r="5915" spans="1:19">
      <c r="A5915" s="64">
        <v>11390</v>
      </c>
      <c r="B5915" s="62">
        <v>43298</v>
      </c>
      <c r="C5915" s="63" t="s">
        <v>19677</v>
      </c>
      <c r="D5915" s="62">
        <v>43297</v>
      </c>
      <c r="E5915" s="63" t="s">
        <v>19678</v>
      </c>
      <c r="F5915" s="63" t="s">
        <v>6298</v>
      </c>
      <c r="G5915" s="63" t="s">
        <v>20</v>
      </c>
      <c r="H5915" s="63" t="s">
        <v>71</v>
      </c>
      <c r="I5915" s="63" t="s">
        <v>21</v>
      </c>
      <c r="J5915" s="63" t="s">
        <v>19679</v>
      </c>
      <c r="K5915" s="63" t="s">
        <v>13842</v>
      </c>
      <c r="L5915" s="63" t="s">
        <v>7167</v>
      </c>
      <c r="M5915" s="63" t="s">
        <v>21</v>
      </c>
      <c r="O5915" s="108">
        <v>43312</v>
      </c>
      <c r="P5915" s="65" t="s">
        <v>21</v>
      </c>
      <c r="Q5915" s="66" t="b">
        <v>0</v>
      </c>
      <c r="R5915" s="22">
        <f t="shared" si="122"/>
        <v>14</v>
      </c>
    </row>
    <row r="5916" spans="1:19">
      <c r="A5916" s="64">
        <v>11391</v>
      </c>
      <c r="B5916" s="62">
        <v>43300</v>
      </c>
      <c r="C5916" s="63" t="s">
        <v>19394</v>
      </c>
      <c r="D5916" s="62">
        <v>43299</v>
      </c>
      <c r="E5916" s="63" t="s">
        <v>19395</v>
      </c>
      <c r="F5916" s="63" t="s">
        <v>19396</v>
      </c>
      <c r="G5916" s="63" t="s">
        <v>20</v>
      </c>
      <c r="H5916" s="63" t="s">
        <v>566</v>
      </c>
      <c r="I5916" s="63" t="s">
        <v>21</v>
      </c>
      <c r="J5916" s="63" t="s">
        <v>19397</v>
      </c>
      <c r="K5916" s="63" t="s">
        <v>9348</v>
      </c>
      <c r="L5916" s="63" t="s">
        <v>7167</v>
      </c>
      <c r="M5916" s="63" t="s">
        <v>21</v>
      </c>
      <c r="O5916" s="108">
        <v>43409</v>
      </c>
      <c r="P5916" s="65" t="s">
        <v>21</v>
      </c>
      <c r="Q5916" s="66" t="b">
        <v>0</v>
      </c>
      <c r="R5916" s="22">
        <f t="shared" si="122"/>
        <v>107</v>
      </c>
    </row>
    <row r="5917" spans="1:19">
      <c r="A5917" s="64">
        <v>11392</v>
      </c>
      <c r="B5917" s="62">
        <v>43300</v>
      </c>
      <c r="C5917" s="63" t="s">
        <v>19680</v>
      </c>
      <c r="D5917" s="62">
        <v>43299</v>
      </c>
      <c r="E5917" s="63" t="s">
        <v>19681</v>
      </c>
      <c r="F5917" s="63" t="s">
        <v>741</v>
      </c>
      <c r="G5917" s="63" t="s">
        <v>20</v>
      </c>
      <c r="H5917" s="63" t="s">
        <v>71</v>
      </c>
      <c r="I5917" s="63" t="s">
        <v>21</v>
      </c>
      <c r="J5917" s="63" t="s">
        <v>19682</v>
      </c>
      <c r="K5917" s="63" t="s">
        <v>13842</v>
      </c>
      <c r="L5917" s="63" t="s">
        <v>14909</v>
      </c>
      <c r="M5917" s="63" t="s">
        <v>21</v>
      </c>
      <c r="O5917" s="108">
        <v>43368</v>
      </c>
      <c r="P5917" s="65" t="s">
        <v>21</v>
      </c>
      <c r="Q5917" s="66" t="b">
        <v>0</v>
      </c>
      <c r="R5917" s="22">
        <f t="shared" si="122"/>
        <v>66</v>
      </c>
    </row>
    <row r="5918" spans="1:19">
      <c r="A5918" s="64">
        <v>11393</v>
      </c>
      <c r="B5918" s="62">
        <v>43304</v>
      </c>
      <c r="C5918" s="63" t="s">
        <v>19683</v>
      </c>
      <c r="D5918" s="62">
        <v>43304</v>
      </c>
      <c r="E5918" s="63" t="s">
        <v>19684</v>
      </c>
      <c r="F5918" s="63" t="s">
        <v>27</v>
      </c>
      <c r="G5918" s="63" t="s">
        <v>20</v>
      </c>
      <c r="H5918" s="63" t="s">
        <v>71</v>
      </c>
      <c r="I5918" s="63" t="s">
        <v>21</v>
      </c>
      <c r="J5918" s="63" t="s">
        <v>19685</v>
      </c>
      <c r="K5918" s="63" t="s">
        <v>6081</v>
      </c>
      <c r="L5918" s="63" t="s">
        <v>18572</v>
      </c>
      <c r="M5918" s="63" t="s">
        <v>21</v>
      </c>
      <c r="O5918" s="101">
        <v>43340</v>
      </c>
      <c r="P5918" s="65" t="s">
        <v>21</v>
      </c>
      <c r="Q5918" s="66" t="b">
        <v>0</v>
      </c>
      <c r="R5918" s="22">
        <f t="shared" si="122"/>
        <v>35</v>
      </c>
    </row>
    <row r="5919" spans="1:19">
      <c r="A5919" s="64">
        <v>11394</v>
      </c>
      <c r="B5919" s="62">
        <v>43307</v>
      </c>
      <c r="C5919" s="63" t="s">
        <v>19686</v>
      </c>
      <c r="D5919" s="62">
        <v>43307</v>
      </c>
      <c r="E5919" s="63" t="s">
        <v>3268</v>
      </c>
      <c r="F5919" s="63" t="s">
        <v>56</v>
      </c>
      <c r="G5919" s="63" t="s">
        <v>20</v>
      </c>
      <c r="H5919" s="63" t="s">
        <v>71</v>
      </c>
      <c r="I5919" s="63" t="s">
        <v>21</v>
      </c>
      <c r="J5919" s="63" t="s">
        <v>19687</v>
      </c>
      <c r="K5919" s="63" t="s">
        <v>19688</v>
      </c>
      <c r="L5919" s="63" t="s">
        <v>4282</v>
      </c>
      <c r="M5919" s="63" t="s">
        <v>21</v>
      </c>
      <c r="O5919" s="108">
        <v>43313</v>
      </c>
      <c r="P5919" s="65" t="s">
        <v>21</v>
      </c>
      <c r="Q5919" s="66" t="b">
        <v>0</v>
      </c>
      <c r="R5919" s="22">
        <f t="shared" si="122"/>
        <v>5</v>
      </c>
    </row>
    <row r="5920" spans="1:19">
      <c r="A5920" s="64">
        <v>11395</v>
      </c>
      <c r="B5920" s="62">
        <v>43307</v>
      </c>
      <c r="C5920" s="63" t="s">
        <v>19689</v>
      </c>
      <c r="D5920" s="62">
        <v>43307</v>
      </c>
      <c r="E5920" s="63" t="s">
        <v>3268</v>
      </c>
      <c r="F5920" s="63" t="s">
        <v>27</v>
      </c>
      <c r="G5920" s="63" t="s">
        <v>20</v>
      </c>
      <c r="H5920" s="63" t="s">
        <v>71</v>
      </c>
      <c r="I5920" s="63" t="s">
        <v>21</v>
      </c>
      <c r="J5920" s="63" t="s">
        <v>19690</v>
      </c>
      <c r="K5920" s="63" t="s">
        <v>19691</v>
      </c>
      <c r="L5920" s="63" t="s">
        <v>4282</v>
      </c>
      <c r="M5920" s="63" t="s">
        <v>21</v>
      </c>
      <c r="O5920" s="108">
        <v>43313</v>
      </c>
      <c r="P5920" s="65" t="s">
        <v>21</v>
      </c>
      <c r="Q5920" s="66" t="b">
        <v>0</v>
      </c>
      <c r="R5920" s="22">
        <f t="shared" si="122"/>
        <v>5</v>
      </c>
    </row>
    <row r="5921" spans="1:18">
      <c r="A5921" s="64">
        <v>11396</v>
      </c>
      <c r="B5921" s="62">
        <v>43307</v>
      </c>
      <c r="C5921" s="63" t="s">
        <v>19692</v>
      </c>
      <c r="D5921" s="62">
        <v>43307</v>
      </c>
      <c r="E5921" s="63" t="s">
        <v>15826</v>
      </c>
      <c r="F5921" s="63" t="s">
        <v>18430</v>
      </c>
      <c r="G5921" s="63" t="s">
        <v>20</v>
      </c>
      <c r="H5921" s="63" t="s">
        <v>71</v>
      </c>
      <c r="I5921" s="63" t="s">
        <v>21</v>
      </c>
      <c r="J5921" s="63" t="s">
        <v>16060</v>
      </c>
      <c r="K5921" s="63" t="s">
        <v>19693</v>
      </c>
      <c r="L5921" s="63" t="s">
        <v>4282</v>
      </c>
      <c r="M5921" s="63" t="s">
        <v>21</v>
      </c>
      <c r="O5921" s="90"/>
      <c r="P5921" s="65" t="s">
        <v>21</v>
      </c>
      <c r="Q5921" s="66" t="b">
        <v>0</v>
      </c>
      <c r="R5921" s="66"/>
    </row>
    <row r="5922" spans="1:18">
      <c r="A5922" s="64">
        <v>11397</v>
      </c>
      <c r="B5922" s="62">
        <v>43311</v>
      </c>
      <c r="C5922" s="63" t="s">
        <v>19694</v>
      </c>
      <c r="D5922" s="62">
        <v>43311</v>
      </c>
      <c r="E5922" s="63" t="s">
        <v>1928</v>
      </c>
      <c r="F5922" s="63" t="s">
        <v>1743</v>
      </c>
      <c r="G5922" s="63" t="s">
        <v>20</v>
      </c>
      <c r="H5922" s="63" t="s">
        <v>71</v>
      </c>
      <c r="I5922" s="63" t="s">
        <v>21</v>
      </c>
      <c r="J5922" s="63" t="s">
        <v>19695</v>
      </c>
      <c r="K5922" s="63" t="s">
        <v>19653</v>
      </c>
      <c r="L5922" s="63" t="s">
        <v>1946</v>
      </c>
      <c r="M5922" s="63" t="s">
        <v>21</v>
      </c>
      <c r="O5922" s="101">
        <v>43325</v>
      </c>
      <c r="P5922" s="65" t="s">
        <v>21</v>
      </c>
      <c r="Q5922" s="66" t="b">
        <v>0</v>
      </c>
      <c r="R5922" s="22">
        <f>IF(O5922=" ", " ", INT(YEARFRAC(O5922, B5922)*365))</f>
        <v>13</v>
      </c>
    </row>
    <row r="5923" spans="1:18">
      <c r="A5923" s="64">
        <v>11398</v>
      </c>
      <c r="B5923" s="62">
        <v>43318</v>
      </c>
      <c r="C5923" s="63" t="s">
        <v>19375</v>
      </c>
      <c r="D5923" s="62">
        <v>43318</v>
      </c>
      <c r="E5923" s="63" t="s">
        <v>19376</v>
      </c>
      <c r="F5923" s="63" t="s">
        <v>1771</v>
      </c>
      <c r="G5923" s="63" t="s">
        <v>20</v>
      </c>
      <c r="H5923" s="63" t="s">
        <v>189</v>
      </c>
      <c r="I5923" s="63" t="s">
        <v>21</v>
      </c>
      <c r="J5923" s="63" t="s">
        <v>19377</v>
      </c>
      <c r="K5923" s="63" t="s">
        <v>9348</v>
      </c>
      <c r="L5923" s="63" t="s">
        <v>7167</v>
      </c>
      <c r="M5923" s="63" t="s">
        <v>21</v>
      </c>
      <c r="O5923" s="108">
        <v>43326</v>
      </c>
      <c r="P5923" s="65" t="s">
        <v>21</v>
      </c>
      <c r="Q5923" s="66" t="b">
        <v>0</v>
      </c>
      <c r="R5923" s="22">
        <f>IF(O5923=" ", " ", INT(YEARFRAC(O5923, B5923)*365))</f>
        <v>8</v>
      </c>
    </row>
    <row r="5924" spans="1:18">
      <c r="A5924" s="64">
        <v>11399</v>
      </c>
      <c r="B5924" s="62">
        <v>43319</v>
      </c>
      <c r="C5924" s="63" t="s">
        <v>19696</v>
      </c>
      <c r="D5924" s="62">
        <v>43319</v>
      </c>
      <c r="E5924" s="63" t="s">
        <v>3268</v>
      </c>
      <c r="F5924" s="63" t="s">
        <v>6383</v>
      </c>
      <c r="G5924" s="63" t="s">
        <v>20</v>
      </c>
      <c r="H5924" s="63" t="s">
        <v>71</v>
      </c>
      <c r="I5924" s="63" t="s">
        <v>21</v>
      </c>
      <c r="J5924" s="63" t="s">
        <v>19697</v>
      </c>
      <c r="K5924" s="63" t="s">
        <v>19698</v>
      </c>
      <c r="L5924" s="63" t="s">
        <v>14349</v>
      </c>
      <c r="M5924" s="63" t="s">
        <v>21</v>
      </c>
      <c r="O5924" s="108">
        <v>43367</v>
      </c>
      <c r="P5924" s="65" t="s">
        <v>21</v>
      </c>
      <c r="Q5924" s="66" t="b">
        <v>0</v>
      </c>
      <c r="R5924" s="22">
        <f>IF(O5924=" ", " ", INT(YEARFRAC(O5924, B5924)*365))</f>
        <v>47</v>
      </c>
    </row>
    <row r="5925" spans="1:18">
      <c r="A5925" s="64">
        <v>11400</v>
      </c>
      <c r="B5925" s="62">
        <v>43320</v>
      </c>
      <c r="C5925" s="63" t="s">
        <v>19699</v>
      </c>
      <c r="D5925" s="62">
        <v>43320</v>
      </c>
      <c r="E5925" s="63" t="s">
        <v>15826</v>
      </c>
      <c r="F5925" s="63" t="s">
        <v>1743</v>
      </c>
      <c r="G5925" s="63" t="s">
        <v>20</v>
      </c>
      <c r="H5925" s="63" t="s">
        <v>71</v>
      </c>
      <c r="I5925" s="63" t="s">
        <v>21</v>
      </c>
      <c r="J5925" s="63" t="s">
        <v>19700</v>
      </c>
      <c r="K5925" s="63" t="s">
        <v>19701</v>
      </c>
      <c r="L5925" s="63" t="s">
        <v>4282</v>
      </c>
      <c r="M5925" s="63" t="s">
        <v>21</v>
      </c>
      <c r="O5925" s="90"/>
      <c r="P5925" s="65" t="s">
        <v>21</v>
      </c>
      <c r="Q5925" s="66" t="b">
        <v>0</v>
      </c>
      <c r="R5925" s="66"/>
    </row>
    <row r="5926" spans="1:18">
      <c r="A5926" s="64">
        <v>11401</v>
      </c>
      <c r="B5926" s="62">
        <v>43321</v>
      </c>
      <c r="C5926" s="63" t="s">
        <v>19702</v>
      </c>
      <c r="D5926" s="62">
        <v>43320</v>
      </c>
      <c r="E5926" s="63" t="s">
        <v>19703</v>
      </c>
      <c r="F5926" s="63" t="s">
        <v>124</v>
      </c>
      <c r="G5926" s="63" t="s">
        <v>20</v>
      </c>
      <c r="H5926" s="63" t="s">
        <v>71</v>
      </c>
      <c r="I5926" s="63" t="s">
        <v>21</v>
      </c>
      <c r="J5926" s="63" t="s">
        <v>11641</v>
      </c>
      <c r="K5926" s="63" t="s">
        <v>19704</v>
      </c>
      <c r="L5926" s="63" t="s">
        <v>18572</v>
      </c>
      <c r="M5926" s="63" t="s">
        <v>21</v>
      </c>
      <c r="O5926" s="108">
        <v>43368</v>
      </c>
      <c r="P5926" s="65" t="s">
        <v>21</v>
      </c>
      <c r="Q5926" s="66" t="b">
        <v>0</v>
      </c>
      <c r="R5926" s="22">
        <f t="shared" ref="R5926:R5932" si="123">IF(O5926=" ", " ", INT(YEARFRAC(O5926, B5926)*365))</f>
        <v>46</v>
      </c>
    </row>
    <row r="5927" spans="1:18">
      <c r="A5927" s="64">
        <v>11402</v>
      </c>
      <c r="B5927" s="62">
        <v>43322</v>
      </c>
      <c r="C5927" s="63" t="s">
        <v>19705</v>
      </c>
      <c r="D5927" s="62">
        <v>43322</v>
      </c>
      <c r="E5927" s="63" t="s">
        <v>19706</v>
      </c>
      <c r="F5927" s="63" t="s">
        <v>3171</v>
      </c>
      <c r="G5927" s="63" t="s">
        <v>20</v>
      </c>
      <c r="H5927" s="63" t="s">
        <v>566</v>
      </c>
      <c r="I5927" s="63" t="s">
        <v>21</v>
      </c>
      <c r="J5927" s="63" t="s">
        <v>19707</v>
      </c>
      <c r="K5927" s="63" t="s">
        <v>19708</v>
      </c>
      <c r="L5927" s="63" t="s">
        <v>14909</v>
      </c>
      <c r="M5927" s="63" t="s">
        <v>21</v>
      </c>
      <c r="O5927" s="108">
        <v>43360</v>
      </c>
      <c r="P5927" s="65" t="s">
        <v>21</v>
      </c>
      <c r="Q5927" s="66" t="b">
        <v>0</v>
      </c>
      <c r="R5927" s="22">
        <f t="shared" si="123"/>
        <v>37</v>
      </c>
    </row>
    <row r="5928" spans="1:18">
      <c r="A5928" s="64">
        <v>11403</v>
      </c>
      <c r="B5928" s="62">
        <v>43325</v>
      </c>
      <c r="C5928" s="63" t="s">
        <v>19378</v>
      </c>
      <c r="D5928" s="62">
        <v>43325</v>
      </c>
      <c r="E5928" s="63" t="s">
        <v>19379</v>
      </c>
      <c r="F5928" s="63" t="s">
        <v>19380</v>
      </c>
      <c r="G5928" s="63" t="s">
        <v>20</v>
      </c>
      <c r="H5928" s="63" t="s">
        <v>212</v>
      </c>
      <c r="I5928" s="63" t="s">
        <v>21</v>
      </c>
      <c r="J5928" s="63" t="s">
        <v>19381</v>
      </c>
      <c r="K5928" s="63" t="s">
        <v>19382</v>
      </c>
      <c r="L5928" s="63" t="s">
        <v>18572</v>
      </c>
      <c r="M5928" s="63" t="s">
        <v>21</v>
      </c>
      <c r="O5928" s="108">
        <v>43356</v>
      </c>
      <c r="P5928" s="65" t="s">
        <v>21</v>
      </c>
      <c r="Q5928" s="66" t="b">
        <v>0</v>
      </c>
      <c r="R5928" s="22">
        <f t="shared" si="123"/>
        <v>30</v>
      </c>
    </row>
    <row r="5929" spans="1:18">
      <c r="A5929" s="64">
        <v>11404</v>
      </c>
      <c r="B5929" s="62">
        <v>43327</v>
      </c>
      <c r="C5929" s="63" t="s">
        <v>19709</v>
      </c>
      <c r="D5929" s="62">
        <v>43326</v>
      </c>
      <c r="E5929" s="63" t="s">
        <v>1928</v>
      </c>
      <c r="F5929" s="63" t="s">
        <v>1743</v>
      </c>
      <c r="G5929" s="63" t="s">
        <v>20</v>
      </c>
      <c r="H5929" s="63" t="s">
        <v>71</v>
      </c>
      <c r="I5929" s="63" t="s">
        <v>21</v>
      </c>
      <c r="J5929" s="63" t="s">
        <v>19710</v>
      </c>
      <c r="K5929" s="63" t="s">
        <v>7083</v>
      </c>
      <c r="L5929" s="63" t="s">
        <v>14909</v>
      </c>
      <c r="M5929" s="63" t="s">
        <v>21</v>
      </c>
      <c r="O5929" s="108">
        <v>43334</v>
      </c>
      <c r="P5929" s="65" t="s">
        <v>21</v>
      </c>
      <c r="Q5929" s="66" t="b">
        <v>0</v>
      </c>
      <c r="R5929" s="22">
        <f t="shared" si="123"/>
        <v>7</v>
      </c>
    </row>
    <row r="5930" spans="1:18">
      <c r="A5930" s="64">
        <v>11405</v>
      </c>
      <c r="B5930" s="62">
        <v>43327</v>
      </c>
      <c r="C5930" s="63" t="s">
        <v>19711</v>
      </c>
      <c r="D5930" s="62">
        <v>43326</v>
      </c>
      <c r="E5930" s="63" t="s">
        <v>19712</v>
      </c>
      <c r="F5930" s="63" t="s">
        <v>3171</v>
      </c>
      <c r="G5930" s="63" t="s">
        <v>20</v>
      </c>
      <c r="H5930" s="63" t="s">
        <v>566</v>
      </c>
      <c r="I5930" s="63" t="s">
        <v>21</v>
      </c>
      <c r="J5930" s="63" t="s">
        <v>19713</v>
      </c>
      <c r="K5930" s="63" t="s">
        <v>19714</v>
      </c>
      <c r="L5930" s="63" t="s">
        <v>18572</v>
      </c>
      <c r="M5930" s="63" t="s">
        <v>21</v>
      </c>
      <c r="O5930" s="108">
        <v>43374</v>
      </c>
      <c r="P5930" s="65" t="s">
        <v>21</v>
      </c>
      <c r="Q5930" s="66" t="b">
        <v>0</v>
      </c>
      <c r="R5930" s="22">
        <f t="shared" si="123"/>
        <v>46</v>
      </c>
    </row>
    <row r="5931" spans="1:18">
      <c r="A5931" s="64">
        <v>11406</v>
      </c>
      <c r="B5931" s="62">
        <v>43328</v>
      </c>
      <c r="C5931" s="63" t="s">
        <v>19715</v>
      </c>
      <c r="D5931" s="62">
        <v>43328</v>
      </c>
      <c r="E5931" s="63" t="s">
        <v>38</v>
      </c>
      <c r="F5931" s="63" t="s">
        <v>19380</v>
      </c>
      <c r="G5931" s="63" t="s">
        <v>20</v>
      </c>
      <c r="H5931" s="63" t="s">
        <v>212</v>
      </c>
      <c r="I5931" s="63" t="s">
        <v>21</v>
      </c>
      <c r="J5931" s="63" t="s">
        <v>19716</v>
      </c>
      <c r="K5931" s="63" t="s">
        <v>19717</v>
      </c>
      <c r="L5931" s="63" t="s">
        <v>18572</v>
      </c>
      <c r="M5931" s="63" t="s">
        <v>21</v>
      </c>
      <c r="O5931" s="108">
        <v>43341</v>
      </c>
      <c r="P5931" s="65" t="s">
        <v>21</v>
      </c>
      <c r="Q5931" s="66" t="b">
        <v>0</v>
      </c>
      <c r="R5931" s="22">
        <f t="shared" si="123"/>
        <v>13</v>
      </c>
    </row>
    <row r="5932" spans="1:18">
      <c r="A5932" s="64">
        <v>11407</v>
      </c>
      <c r="B5932" s="62">
        <v>43340</v>
      </c>
      <c r="C5932" s="63" t="s">
        <v>19472</v>
      </c>
      <c r="D5932" s="62">
        <v>43339</v>
      </c>
      <c r="E5932" s="63" t="s">
        <v>19473</v>
      </c>
      <c r="F5932" s="63" t="s">
        <v>104</v>
      </c>
      <c r="G5932" s="63" t="s">
        <v>20</v>
      </c>
      <c r="H5932" s="63" t="s">
        <v>71</v>
      </c>
      <c r="I5932" s="63" t="s">
        <v>21</v>
      </c>
      <c r="J5932" s="63" t="s">
        <v>19474</v>
      </c>
      <c r="K5932" s="63" t="s">
        <v>19475</v>
      </c>
      <c r="L5932" s="63" t="s">
        <v>21142</v>
      </c>
      <c r="M5932" s="63" t="s">
        <v>10117</v>
      </c>
      <c r="O5932" s="90">
        <v>44712</v>
      </c>
      <c r="P5932" s="65">
        <v>-1</v>
      </c>
      <c r="Q5932" s="66" t="b">
        <v>0</v>
      </c>
      <c r="R5932" s="22">
        <f t="shared" si="123"/>
        <v>1371</v>
      </c>
    </row>
    <row r="5933" spans="1:18">
      <c r="A5933" s="64">
        <v>11408</v>
      </c>
      <c r="B5933" s="62">
        <v>43341</v>
      </c>
      <c r="C5933" s="63" t="s">
        <v>19718</v>
      </c>
      <c r="D5933" s="62">
        <v>43341</v>
      </c>
      <c r="E5933" s="63" t="s">
        <v>1432</v>
      </c>
      <c r="F5933" s="63" t="s">
        <v>1771</v>
      </c>
      <c r="G5933" s="63" t="s">
        <v>20</v>
      </c>
      <c r="H5933" s="63" t="s">
        <v>189</v>
      </c>
      <c r="I5933" s="63" t="s">
        <v>21</v>
      </c>
      <c r="J5933" s="63" t="s">
        <v>19719</v>
      </c>
      <c r="K5933" s="63" t="s">
        <v>19720</v>
      </c>
      <c r="L5933" s="63" t="s">
        <v>1946</v>
      </c>
      <c r="M5933" s="63" t="s">
        <v>21</v>
      </c>
      <c r="O5933" s="90"/>
      <c r="P5933" s="65" t="s">
        <v>21</v>
      </c>
      <c r="Q5933" s="66" t="b">
        <v>0</v>
      </c>
      <c r="R5933" s="66"/>
    </row>
    <row r="5934" spans="1:18">
      <c r="A5934" s="64">
        <v>11409</v>
      </c>
      <c r="B5934" s="62">
        <v>43343</v>
      </c>
      <c r="C5934" s="63" t="s">
        <v>19721</v>
      </c>
      <c r="D5934" s="62">
        <v>43342</v>
      </c>
      <c r="E5934" s="63" t="s">
        <v>19722</v>
      </c>
      <c r="F5934" s="63" t="s">
        <v>52</v>
      </c>
      <c r="G5934" s="63" t="s">
        <v>20</v>
      </c>
      <c r="H5934" s="63" t="s">
        <v>189</v>
      </c>
      <c r="I5934" s="63" t="s">
        <v>21</v>
      </c>
      <c r="J5934" s="63" t="s">
        <v>19723</v>
      </c>
      <c r="K5934" s="63" t="s">
        <v>19724</v>
      </c>
      <c r="L5934" s="63" t="s">
        <v>7167</v>
      </c>
      <c r="M5934" s="63" t="s">
        <v>21</v>
      </c>
      <c r="O5934" s="108">
        <v>43368</v>
      </c>
      <c r="P5934" s="65" t="s">
        <v>21</v>
      </c>
      <c r="Q5934" s="66" t="b">
        <v>0</v>
      </c>
      <c r="R5934" s="22">
        <f t="shared" ref="R5934:R5944" si="124">IF(O5934=" ", " ", INT(YEARFRAC(O5934, B5934)*365))</f>
        <v>25</v>
      </c>
    </row>
    <row r="5935" spans="1:18">
      <c r="A5935" s="64">
        <v>11410</v>
      </c>
      <c r="B5935" s="62">
        <v>43343</v>
      </c>
      <c r="C5935" s="63" t="s">
        <v>19383</v>
      </c>
      <c r="D5935" s="62">
        <v>43343</v>
      </c>
      <c r="E5935" s="63" t="s">
        <v>19384</v>
      </c>
      <c r="F5935" s="63" t="s">
        <v>19380</v>
      </c>
      <c r="G5935" s="63" t="s">
        <v>20</v>
      </c>
      <c r="H5935" s="63" t="s">
        <v>212</v>
      </c>
      <c r="I5935" s="63" t="s">
        <v>21</v>
      </c>
      <c r="J5935" s="63" t="s">
        <v>19385</v>
      </c>
      <c r="K5935" s="63" t="s">
        <v>19386</v>
      </c>
      <c r="L5935" s="63" t="s">
        <v>18572</v>
      </c>
      <c r="M5935" s="63" t="s">
        <v>21</v>
      </c>
      <c r="O5935" s="108">
        <v>43356</v>
      </c>
      <c r="P5935" s="65" t="s">
        <v>21</v>
      </c>
      <c r="Q5935" s="66" t="b">
        <v>0</v>
      </c>
      <c r="R5935" s="22">
        <f t="shared" si="124"/>
        <v>13</v>
      </c>
    </row>
    <row r="5936" spans="1:18" ht="24">
      <c r="A5936" s="64">
        <v>11411</v>
      </c>
      <c r="B5936" s="62">
        <v>43343</v>
      </c>
      <c r="C5936" s="63" t="s">
        <v>19387</v>
      </c>
      <c r="D5936" s="62">
        <v>43343</v>
      </c>
      <c r="E5936" s="63" t="s">
        <v>19388</v>
      </c>
      <c r="F5936" s="63" t="s">
        <v>6298</v>
      </c>
      <c r="G5936" s="63" t="s">
        <v>20</v>
      </c>
      <c r="H5936" s="63" t="s">
        <v>71</v>
      </c>
      <c r="I5936" s="63" t="s">
        <v>21</v>
      </c>
      <c r="J5936" s="63" t="s">
        <v>19389</v>
      </c>
      <c r="K5936" s="63" t="s">
        <v>14825</v>
      </c>
      <c r="L5936" s="63" t="s">
        <v>14909</v>
      </c>
      <c r="M5936" s="63" t="s">
        <v>21</v>
      </c>
      <c r="O5936" s="108">
        <v>43362</v>
      </c>
      <c r="P5936" s="65" t="s">
        <v>21</v>
      </c>
      <c r="Q5936" s="66" t="b">
        <v>0</v>
      </c>
      <c r="R5936" s="22">
        <f t="shared" si="124"/>
        <v>19</v>
      </c>
    </row>
    <row r="5937" spans="1:18" ht="24">
      <c r="A5937" s="64">
        <v>11412</v>
      </c>
      <c r="B5937" s="62">
        <v>43343</v>
      </c>
      <c r="C5937" s="63" t="s">
        <v>19727</v>
      </c>
      <c r="D5937" s="62">
        <v>43343</v>
      </c>
      <c r="E5937" s="63" t="s">
        <v>19728</v>
      </c>
      <c r="F5937" s="63" t="s">
        <v>104</v>
      </c>
      <c r="G5937" s="63" t="s">
        <v>20</v>
      </c>
      <c r="H5937" s="63" t="s">
        <v>71</v>
      </c>
      <c r="I5937" s="63" t="s">
        <v>21</v>
      </c>
      <c r="J5937" s="63" t="s">
        <v>19729</v>
      </c>
      <c r="K5937" s="63" t="s">
        <v>21</v>
      </c>
      <c r="L5937" s="63" t="s">
        <v>1946</v>
      </c>
      <c r="M5937" s="63" t="s">
        <v>21</v>
      </c>
      <c r="O5937" s="108">
        <v>43375</v>
      </c>
      <c r="P5937" s="65" t="s">
        <v>21</v>
      </c>
      <c r="Q5937" s="66" t="b">
        <v>0</v>
      </c>
      <c r="R5937" s="22">
        <f t="shared" si="124"/>
        <v>32</v>
      </c>
    </row>
    <row r="5938" spans="1:18">
      <c r="A5938" s="64">
        <v>11413</v>
      </c>
      <c r="B5938" s="62">
        <v>43343</v>
      </c>
      <c r="C5938" s="63" t="s">
        <v>19725</v>
      </c>
      <c r="D5938" s="62">
        <v>43343</v>
      </c>
      <c r="E5938" s="63" t="s">
        <v>3268</v>
      </c>
      <c r="F5938" s="63" t="s">
        <v>129</v>
      </c>
      <c r="G5938" s="63" t="s">
        <v>20</v>
      </c>
      <c r="H5938" s="63" t="s">
        <v>71</v>
      </c>
      <c r="I5938" s="63" t="s">
        <v>21</v>
      </c>
      <c r="J5938" s="63" t="s">
        <v>1928</v>
      </c>
      <c r="K5938" s="63" t="s">
        <v>19726</v>
      </c>
      <c r="L5938" s="63" t="s">
        <v>1946</v>
      </c>
      <c r="M5938" s="63" t="s">
        <v>21</v>
      </c>
      <c r="O5938" s="108">
        <v>43370</v>
      </c>
      <c r="P5938" s="65" t="s">
        <v>21</v>
      </c>
      <c r="Q5938" s="66" t="b">
        <v>0</v>
      </c>
      <c r="R5938" s="22">
        <f t="shared" si="124"/>
        <v>27</v>
      </c>
    </row>
    <row r="5939" spans="1:18">
      <c r="A5939" s="64">
        <v>11414</v>
      </c>
      <c r="B5939" s="62">
        <v>43347</v>
      </c>
      <c r="C5939" s="63" t="s">
        <v>19730</v>
      </c>
      <c r="D5939" s="62">
        <v>43347</v>
      </c>
      <c r="E5939" s="63" t="s">
        <v>19731</v>
      </c>
      <c r="F5939" s="63" t="s">
        <v>19732</v>
      </c>
      <c r="G5939" s="63" t="s">
        <v>20</v>
      </c>
      <c r="H5939" s="63" t="s">
        <v>566</v>
      </c>
      <c r="I5939" s="63" t="s">
        <v>21</v>
      </c>
      <c r="J5939" s="63" t="s">
        <v>19733</v>
      </c>
      <c r="K5939" s="63" t="s">
        <v>6081</v>
      </c>
      <c r="L5939" s="63" t="s">
        <v>18572</v>
      </c>
      <c r="M5939" s="63" t="s">
        <v>21</v>
      </c>
      <c r="O5939" s="108">
        <v>43441</v>
      </c>
      <c r="P5939" s="65" t="s">
        <v>21</v>
      </c>
      <c r="Q5939" s="66" t="b">
        <v>0</v>
      </c>
      <c r="R5939" s="22">
        <f t="shared" si="124"/>
        <v>94</v>
      </c>
    </row>
    <row r="5940" spans="1:18">
      <c r="A5940" s="64">
        <v>11415</v>
      </c>
      <c r="B5940" s="62">
        <v>43360</v>
      </c>
      <c r="C5940" s="63" t="s">
        <v>19390</v>
      </c>
      <c r="D5940" s="62">
        <v>43360</v>
      </c>
      <c r="E5940" s="63" t="s">
        <v>19391</v>
      </c>
      <c r="F5940" s="63" t="s">
        <v>6191</v>
      </c>
      <c r="G5940" s="63" t="s">
        <v>20</v>
      </c>
      <c r="H5940" s="63" t="s">
        <v>189</v>
      </c>
      <c r="I5940" s="63" t="s">
        <v>21</v>
      </c>
      <c r="J5940" s="63" t="s">
        <v>19392</v>
      </c>
      <c r="K5940" s="63" t="s">
        <v>19393</v>
      </c>
      <c r="L5940" s="63" t="s">
        <v>7167</v>
      </c>
      <c r="M5940" s="63" t="s">
        <v>21</v>
      </c>
      <c r="O5940" s="108">
        <v>43398</v>
      </c>
      <c r="P5940" s="65" t="s">
        <v>21</v>
      </c>
      <c r="Q5940" s="66" t="b">
        <v>0</v>
      </c>
      <c r="R5940" s="22">
        <f t="shared" si="124"/>
        <v>38</v>
      </c>
    </row>
    <row r="5941" spans="1:18">
      <c r="A5941" s="64">
        <v>11416</v>
      </c>
      <c r="B5941" s="62">
        <v>43364</v>
      </c>
      <c r="C5941" s="63" t="s">
        <v>19734</v>
      </c>
      <c r="D5941" s="62">
        <v>43364</v>
      </c>
      <c r="E5941" s="63" t="s">
        <v>38</v>
      </c>
      <c r="F5941" s="63" t="s">
        <v>1743</v>
      </c>
      <c r="G5941" s="63" t="s">
        <v>20</v>
      </c>
      <c r="H5941" s="63" t="s">
        <v>71</v>
      </c>
      <c r="I5941" s="63" t="s">
        <v>21</v>
      </c>
      <c r="J5941" s="63" t="s">
        <v>19735</v>
      </c>
      <c r="K5941" s="63" t="s">
        <v>19736</v>
      </c>
      <c r="L5941" s="63" t="s">
        <v>7167</v>
      </c>
      <c r="M5941" s="63" t="s">
        <v>21</v>
      </c>
      <c r="O5941" s="108">
        <v>43367</v>
      </c>
      <c r="P5941" s="65" t="s">
        <v>21</v>
      </c>
      <c r="Q5941" s="66" t="b">
        <v>0</v>
      </c>
      <c r="R5941" s="22">
        <f t="shared" si="124"/>
        <v>3</v>
      </c>
    </row>
    <row r="5942" spans="1:18">
      <c r="A5942" s="64">
        <v>11417</v>
      </c>
      <c r="B5942" s="62">
        <v>43367</v>
      </c>
      <c r="C5942" s="63" t="s">
        <v>19737</v>
      </c>
      <c r="D5942" s="62">
        <v>43367</v>
      </c>
      <c r="E5942" s="63" t="s">
        <v>19738</v>
      </c>
      <c r="F5942" s="63" t="s">
        <v>19732</v>
      </c>
      <c r="G5942" s="63" t="s">
        <v>20</v>
      </c>
      <c r="H5942" s="63" t="s">
        <v>566</v>
      </c>
      <c r="I5942" s="63" t="s">
        <v>21</v>
      </c>
      <c r="J5942" s="63" t="s">
        <v>19739</v>
      </c>
      <c r="K5942" s="63" t="s">
        <v>6081</v>
      </c>
      <c r="L5942" s="63" t="s">
        <v>18572</v>
      </c>
      <c r="M5942" s="63" t="s">
        <v>21</v>
      </c>
      <c r="O5942" s="108">
        <v>43441</v>
      </c>
      <c r="P5942" s="65" t="s">
        <v>21</v>
      </c>
      <c r="Q5942" s="66" t="b">
        <v>0</v>
      </c>
      <c r="R5942" s="22">
        <f t="shared" si="124"/>
        <v>74</v>
      </c>
    </row>
    <row r="5943" spans="1:18" ht="24">
      <c r="A5943" s="64">
        <v>11418</v>
      </c>
      <c r="B5943" s="62">
        <v>43367</v>
      </c>
      <c r="C5943" s="63" t="s">
        <v>19740</v>
      </c>
      <c r="D5943" s="62">
        <v>43367</v>
      </c>
      <c r="E5943" s="63" t="s">
        <v>19741</v>
      </c>
      <c r="F5943" s="63" t="s">
        <v>19732</v>
      </c>
      <c r="G5943" s="63" t="s">
        <v>20</v>
      </c>
      <c r="H5943" s="63" t="s">
        <v>566</v>
      </c>
      <c r="I5943" s="63" t="s">
        <v>21</v>
      </c>
      <c r="J5943" s="63" t="s">
        <v>19742</v>
      </c>
      <c r="K5943" s="63" t="s">
        <v>21</v>
      </c>
      <c r="L5943" s="63" t="s">
        <v>18572</v>
      </c>
      <c r="M5943" s="63" t="s">
        <v>21</v>
      </c>
      <c r="O5943" s="108">
        <v>43441</v>
      </c>
      <c r="P5943" s="65" t="s">
        <v>21</v>
      </c>
      <c r="Q5943" s="66" t="b">
        <v>0</v>
      </c>
      <c r="R5943" s="22">
        <f t="shared" si="124"/>
        <v>74</v>
      </c>
    </row>
    <row r="5944" spans="1:18" ht="24">
      <c r="A5944" s="64">
        <v>11419</v>
      </c>
      <c r="B5944" s="62">
        <v>43367</v>
      </c>
      <c r="C5944" s="63" t="s">
        <v>19743</v>
      </c>
      <c r="D5944" s="62">
        <v>43367</v>
      </c>
      <c r="E5944" s="63" t="s">
        <v>19744</v>
      </c>
      <c r="F5944" s="63" t="s">
        <v>19732</v>
      </c>
      <c r="G5944" s="63" t="s">
        <v>20</v>
      </c>
      <c r="H5944" s="63" t="s">
        <v>566</v>
      </c>
      <c r="I5944" s="63" t="s">
        <v>21</v>
      </c>
      <c r="J5944" s="63" t="s">
        <v>19745</v>
      </c>
      <c r="K5944" s="63" t="s">
        <v>21</v>
      </c>
      <c r="L5944" s="63" t="s">
        <v>18572</v>
      </c>
      <c r="M5944" s="63" t="s">
        <v>21</v>
      </c>
      <c r="O5944" s="108">
        <v>43441</v>
      </c>
      <c r="P5944" s="65" t="s">
        <v>21</v>
      </c>
      <c r="Q5944" s="66" t="b">
        <v>0</v>
      </c>
      <c r="R5944" s="22">
        <f t="shared" si="124"/>
        <v>74</v>
      </c>
    </row>
    <row r="5945" spans="1:18">
      <c r="A5945" s="64">
        <v>11420</v>
      </c>
      <c r="B5945" s="62">
        <v>43367</v>
      </c>
      <c r="C5945" s="63" t="s">
        <v>19746</v>
      </c>
      <c r="D5945" s="62">
        <v>43367</v>
      </c>
      <c r="E5945" s="63" t="s">
        <v>16060</v>
      </c>
      <c r="F5945" s="63" t="s">
        <v>1743</v>
      </c>
      <c r="G5945" s="63" t="s">
        <v>20</v>
      </c>
      <c r="H5945" s="63" t="s">
        <v>71</v>
      </c>
      <c r="I5945" s="63" t="s">
        <v>21</v>
      </c>
      <c r="J5945" s="63" t="s">
        <v>19747</v>
      </c>
      <c r="K5945" s="63" t="s">
        <v>19748</v>
      </c>
      <c r="L5945" s="63" t="s">
        <v>4282</v>
      </c>
      <c r="M5945" s="63" t="s">
        <v>21</v>
      </c>
      <c r="O5945" s="90"/>
      <c r="P5945" s="65" t="s">
        <v>21</v>
      </c>
      <c r="Q5945" s="66" t="b">
        <v>0</v>
      </c>
      <c r="R5945" s="66"/>
    </row>
    <row r="5946" spans="1:18">
      <c r="A5946" s="64">
        <v>11421</v>
      </c>
      <c r="B5946" s="62">
        <v>43368</v>
      </c>
      <c r="C5946" s="63" t="s">
        <v>19749</v>
      </c>
      <c r="D5946" s="62">
        <v>43362</v>
      </c>
      <c r="E5946" s="63" t="s">
        <v>1928</v>
      </c>
      <c r="F5946" s="63" t="s">
        <v>1743</v>
      </c>
      <c r="G5946" s="63" t="s">
        <v>20</v>
      </c>
      <c r="H5946" s="63" t="s">
        <v>71</v>
      </c>
      <c r="I5946" s="63" t="s">
        <v>21</v>
      </c>
      <c r="J5946" s="63" t="s">
        <v>19750</v>
      </c>
      <c r="K5946" s="63" t="s">
        <v>21</v>
      </c>
      <c r="L5946" s="63" t="s">
        <v>3271</v>
      </c>
      <c r="M5946" s="63" t="s">
        <v>21</v>
      </c>
      <c r="O5946" s="108">
        <v>43369</v>
      </c>
      <c r="P5946" s="65" t="s">
        <v>21</v>
      </c>
      <c r="Q5946" s="66" t="b">
        <v>0</v>
      </c>
      <c r="R5946" s="22">
        <f t="shared" ref="R5946:R5953" si="125">IF(O5946=" ", " ", INT(YEARFRAC(O5946, B5946)*365))</f>
        <v>1</v>
      </c>
    </row>
    <row r="5947" spans="1:18">
      <c r="A5947" s="64">
        <v>11422</v>
      </c>
      <c r="B5947" s="62">
        <v>43369</v>
      </c>
      <c r="C5947" s="63" t="s">
        <v>19751</v>
      </c>
      <c r="D5947" s="62">
        <v>43367</v>
      </c>
      <c r="E5947" s="63" t="s">
        <v>19752</v>
      </c>
      <c r="F5947" s="63" t="s">
        <v>228</v>
      </c>
      <c r="G5947" s="63" t="s">
        <v>20</v>
      </c>
      <c r="H5947" s="63" t="s">
        <v>71</v>
      </c>
      <c r="I5947" s="63" t="s">
        <v>21</v>
      </c>
      <c r="J5947" s="63" t="s">
        <v>19753</v>
      </c>
      <c r="K5947" s="63" t="s">
        <v>6081</v>
      </c>
      <c r="L5947" s="63" t="s">
        <v>1946</v>
      </c>
      <c r="M5947" s="63" t="s">
        <v>21</v>
      </c>
      <c r="O5947" s="108">
        <v>43404</v>
      </c>
      <c r="P5947" s="65" t="s">
        <v>21</v>
      </c>
      <c r="Q5947" s="66" t="b">
        <v>0</v>
      </c>
      <c r="R5947" s="22">
        <f t="shared" si="125"/>
        <v>35</v>
      </c>
    </row>
    <row r="5948" spans="1:18">
      <c r="A5948" s="64">
        <v>11423</v>
      </c>
      <c r="B5948" s="62">
        <v>43375</v>
      </c>
      <c r="C5948" s="63" t="s">
        <v>19754</v>
      </c>
      <c r="D5948" s="62">
        <v>43374</v>
      </c>
      <c r="E5948" s="63" t="s">
        <v>3268</v>
      </c>
      <c r="F5948" s="63" t="s">
        <v>1743</v>
      </c>
      <c r="G5948" s="63" t="s">
        <v>20</v>
      </c>
      <c r="H5948" s="63" t="s">
        <v>71</v>
      </c>
      <c r="I5948" s="63" t="s">
        <v>21</v>
      </c>
      <c r="J5948" s="63" t="s">
        <v>19755</v>
      </c>
      <c r="K5948" s="63" t="s">
        <v>19756</v>
      </c>
      <c r="L5948" s="63" t="s">
        <v>14349</v>
      </c>
      <c r="M5948" s="63" t="s">
        <v>21</v>
      </c>
      <c r="O5948" s="108">
        <v>43375</v>
      </c>
      <c r="P5948" s="65" t="s">
        <v>21</v>
      </c>
      <c r="Q5948" s="66" t="b">
        <v>0</v>
      </c>
      <c r="R5948" s="22">
        <f t="shared" si="125"/>
        <v>0</v>
      </c>
    </row>
    <row r="5949" spans="1:18">
      <c r="A5949" s="64">
        <v>11424</v>
      </c>
      <c r="B5949" s="62">
        <v>43376</v>
      </c>
      <c r="C5949" s="63" t="s">
        <v>19757</v>
      </c>
      <c r="D5949" s="62">
        <v>43375</v>
      </c>
      <c r="E5949" s="63" t="s">
        <v>19758</v>
      </c>
      <c r="F5949" s="63" t="s">
        <v>6191</v>
      </c>
      <c r="G5949" s="63" t="s">
        <v>20</v>
      </c>
      <c r="H5949" s="63" t="s">
        <v>189</v>
      </c>
      <c r="I5949" s="63" t="s">
        <v>21</v>
      </c>
      <c r="J5949" s="63" t="s">
        <v>19759</v>
      </c>
      <c r="K5949" s="63" t="s">
        <v>19760</v>
      </c>
      <c r="L5949" s="63" t="s">
        <v>7167</v>
      </c>
      <c r="M5949" s="63" t="s">
        <v>21</v>
      </c>
      <c r="O5949" s="108">
        <v>43405</v>
      </c>
      <c r="P5949" s="65" t="s">
        <v>21</v>
      </c>
      <c r="Q5949" s="66" t="b">
        <v>0</v>
      </c>
      <c r="R5949" s="22">
        <f t="shared" si="125"/>
        <v>28</v>
      </c>
    </row>
    <row r="5950" spans="1:18">
      <c r="A5950" s="64">
        <v>11425</v>
      </c>
      <c r="B5950" s="62">
        <v>43384</v>
      </c>
      <c r="C5950" s="63" t="s">
        <v>19761</v>
      </c>
      <c r="D5950" s="62">
        <v>43383</v>
      </c>
      <c r="E5950" s="63" t="s">
        <v>38</v>
      </c>
      <c r="F5950" s="63" t="s">
        <v>1743</v>
      </c>
      <c r="G5950" s="63" t="s">
        <v>20</v>
      </c>
      <c r="H5950" s="63" t="s">
        <v>71</v>
      </c>
      <c r="I5950" s="63" t="s">
        <v>21</v>
      </c>
      <c r="J5950" s="63" t="s">
        <v>19762</v>
      </c>
      <c r="K5950" s="63" t="s">
        <v>19763</v>
      </c>
      <c r="L5950" s="63" t="s">
        <v>7167</v>
      </c>
      <c r="M5950" s="63" t="s">
        <v>21</v>
      </c>
      <c r="O5950" s="101">
        <v>43385</v>
      </c>
      <c r="P5950" s="65" t="s">
        <v>21</v>
      </c>
      <c r="Q5950" s="66" t="b">
        <v>0</v>
      </c>
      <c r="R5950" s="22">
        <f t="shared" si="125"/>
        <v>1</v>
      </c>
    </row>
    <row r="5951" spans="1:18">
      <c r="A5951" s="64">
        <v>11426</v>
      </c>
      <c r="B5951" s="62">
        <v>43385</v>
      </c>
      <c r="C5951" s="63" t="s">
        <v>19764</v>
      </c>
      <c r="D5951" s="62">
        <v>43384</v>
      </c>
      <c r="E5951" s="63" t="s">
        <v>19765</v>
      </c>
      <c r="F5951" s="63" t="s">
        <v>124</v>
      </c>
      <c r="G5951" s="63" t="s">
        <v>20</v>
      </c>
      <c r="H5951" s="63" t="s">
        <v>71</v>
      </c>
      <c r="I5951" s="63" t="s">
        <v>21</v>
      </c>
      <c r="J5951" s="63" t="s">
        <v>19766</v>
      </c>
      <c r="K5951" s="63" t="s">
        <v>6081</v>
      </c>
      <c r="L5951" s="63" t="s">
        <v>14909</v>
      </c>
      <c r="M5951" s="63" t="s">
        <v>21</v>
      </c>
      <c r="O5951" s="108">
        <v>43441</v>
      </c>
      <c r="P5951" s="65" t="s">
        <v>21</v>
      </c>
      <c r="Q5951" s="66" t="b">
        <v>0</v>
      </c>
      <c r="R5951" s="22">
        <f t="shared" si="125"/>
        <v>55</v>
      </c>
    </row>
    <row r="5952" spans="1:18">
      <c r="A5952" s="64">
        <v>11427</v>
      </c>
      <c r="B5952" s="62">
        <v>43388</v>
      </c>
      <c r="C5952" s="63" t="s">
        <v>19767</v>
      </c>
      <c r="D5952" s="62">
        <v>43385</v>
      </c>
      <c r="E5952" s="63" t="s">
        <v>19768</v>
      </c>
      <c r="F5952" s="63" t="s">
        <v>13422</v>
      </c>
      <c r="G5952" s="63" t="s">
        <v>20</v>
      </c>
      <c r="H5952" s="63" t="s">
        <v>71</v>
      </c>
      <c r="I5952" s="63" t="s">
        <v>21</v>
      </c>
      <c r="J5952" s="63" t="s">
        <v>19769</v>
      </c>
      <c r="K5952" s="63" t="s">
        <v>19770</v>
      </c>
      <c r="L5952" s="63" t="s">
        <v>18572</v>
      </c>
      <c r="M5952" s="63" t="s">
        <v>21</v>
      </c>
      <c r="O5952" s="108">
        <v>43403</v>
      </c>
      <c r="P5952" s="65" t="s">
        <v>21</v>
      </c>
      <c r="Q5952" s="66" t="b">
        <v>0</v>
      </c>
      <c r="R5952" s="22">
        <f t="shared" si="125"/>
        <v>15</v>
      </c>
    </row>
    <row r="5953" spans="1:18">
      <c r="A5953" s="64">
        <v>11428</v>
      </c>
      <c r="B5953" s="62">
        <v>43390</v>
      </c>
      <c r="C5953" s="63" t="s">
        <v>19771</v>
      </c>
      <c r="D5953" s="62">
        <v>43390</v>
      </c>
      <c r="E5953" s="63" t="s">
        <v>19772</v>
      </c>
      <c r="F5953" s="63" t="s">
        <v>6277</v>
      </c>
      <c r="G5953" s="63" t="s">
        <v>20</v>
      </c>
      <c r="H5953" s="63" t="s">
        <v>212</v>
      </c>
      <c r="I5953" s="63" t="s">
        <v>21</v>
      </c>
      <c r="J5953" s="63" t="s">
        <v>19773</v>
      </c>
      <c r="K5953" s="63" t="s">
        <v>6081</v>
      </c>
      <c r="L5953" s="63" t="s">
        <v>1946</v>
      </c>
      <c r="M5953" s="63" t="s">
        <v>21</v>
      </c>
      <c r="O5953" s="108">
        <v>43747</v>
      </c>
      <c r="P5953" s="65" t="s">
        <v>21</v>
      </c>
      <c r="Q5953" s="66" t="b">
        <v>0</v>
      </c>
      <c r="R5953" s="22">
        <f t="shared" si="125"/>
        <v>356</v>
      </c>
    </row>
    <row r="5954" spans="1:18" ht="24">
      <c r="A5954" s="64">
        <v>11429</v>
      </c>
      <c r="B5954" s="62">
        <v>43391</v>
      </c>
      <c r="C5954" s="63" t="s">
        <v>19774</v>
      </c>
      <c r="D5954" s="62">
        <v>43391</v>
      </c>
      <c r="E5954" s="63" t="s">
        <v>1432</v>
      </c>
      <c r="F5954" s="63" t="s">
        <v>1743</v>
      </c>
      <c r="G5954" s="63" t="s">
        <v>20</v>
      </c>
      <c r="H5954" s="63" t="s">
        <v>71</v>
      </c>
      <c r="I5954" s="63" t="s">
        <v>21</v>
      </c>
      <c r="J5954" s="63" t="s">
        <v>19775</v>
      </c>
      <c r="K5954" s="63" t="s">
        <v>19776</v>
      </c>
      <c r="L5954" s="63" t="s">
        <v>4282</v>
      </c>
      <c r="M5954" s="63" t="s">
        <v>21</v>
      </c>
      <c r="O5954" s="90"/>
      <c r="P5954" s="65" t="s">
        <v>21</v>
      </c>
      <c r="Q5954" s="66" t="b">
        <v>0</v>
      </c>
      <c r="R5954" s="66"/>
    </row>
    <row r="5955" spans="1:18">
      <c r="A5955" s="64">
        <v>11430</v>
      </c>
      <c r="B5955" s="62">
        <v>43392</v>
      </c>
      <c r="C5955" s="63" t="s">
        <v>19447</v>
      </c>
      <c r="D5955" s="62">
        <v>43392</v>
      </c>
      <c r="E5955" s="63" t="s">
        <v>19448</v>
      </c>
      <c r="F5955" s="63" t="s">
        <v>6298</v>
      </c>
      <c r="G5955" s="63" t="s">
        <v>20</v>
      </c>
      <c r="H5955" s="63" t="s">
        <v>71</v>
      </c>
      <c r="I5955" s="63" t="s">
        <v>21</v>
      </c>
      <c r="J5955" s="63" t="s">
        <v>19449</v>
      </c>
      <c r="K5955" s="63" t="s">
        <v>13389</v>
      </c>
      <c r="L5955" s="63" t="s">
        <v>7167</v>
      </c>
      <c r="M5955" s="63" t="s">
        <v>21</v>
      </c>
      <c r="O5955" s="108">
        <v>44011</v>
      </c>
      <c r="P5955" s="65" t="s">
        <v>21</v>
      </c>
      <c r="Q5955" s="66" t="b">
        <v>0</v>
      </c>
      <c r="R5955" s="22">
        <f t="shared" ref="R5955:R5961" si="126">IF(O5955=" ", " ", INT(YEARFRAC(O5955, B5955)*365))</f>
        <v>618</v>
      </c>
    </row>
    <row r="5956" spans="1:18">
      <c r="A5956" s="64">
        <v>11431</v>
      </c>
      <c r="B5956" s="62">
        <v>43396</v>
      </c>
      <c r="C5956" s="63" t="s">
        <v>19777</v>
      </c>
      <c r="D5956" s="62">
        <v>43396</v>
      </c>
      <c r="E5956" s="63" t="s">
        <v>1928</v>
      </c>
      <c r="F5956" s="63" t="s">
        <v>1743</v>
      </c>
      <c r="G5956" s="63" t="s">
        <v>20</v>
      </c>
      <c r="H5956" s="63" t="s">
        <v>71</v>
      </c>
      <c r="I5956" s="63" t="s">
        <v>21</v>
      </c>
      <c r="J5956" s="63" t="s">
        <v>19778</v>
      </c>
      <c r="K5956" s="63" t="s">
        <v>19779</v>
      </c>
      <c r="L5956" s="63" t="s">
        <v>3271</v>
      </c>
      <c r="M5956" s="63" t="s">
        <v>21</v>
      </c>
      <c r="O5956" s="108">
        <v>43413</v>
      </c>
      <c r="P5956" s="65" t="s">
        <v>21</v>
      </c>
      <c r="Q5956" s="66" t="b">
        <v>0</v>
      </c>
      <c r="R5956" s="22">
        <f t="shared" si="126"/>
        <v>16</v>
      </c>
    </row>
    <row r="5957" spans="1:18">
      <c r="A5957" s="64">
        <v>11432</v>
      </c>
      <c r="B5957" s="62">
        <v>43397</v>
      </c>
      <c r="C5957" s="63" t="s">
        <v>19780</v>
      </c>
      <c r="D5957" s="62">
        <v>43397</v>
      </c>
      <c r="E5957" s="63" t="s">
        <v>3268</v>
      </c>
      <c r="F5957" s="63" t="s">
        <v>7020</v>
      </c>
      <c r="G5957" s="63" t="s">
        <v>20</v>
      </c>
      <c r="H5957" s="63" t="s">
        <v>71</v>
      </c>
      <c r="I5957" s="63" t="s">
        <v>21</v>
      </c>
      <c r="J5957" s="63" t="s">
        <v>3268</v>
      </c>
      <c r="K5957" s="63" t="s">
        <v>19781</v>
      </c>
      <c r="L5957" s="63" t="s">
        <v>7167</v>
      </c>
      <c r="M5957" s="63" t="s">
        <v>21</v>
      </c>
      <c r="O5957" s="108">
        <v>43441</v>
      </c>
      <c r="P5957" s="65" t="s">
        <v>21</v>
      </c>
      <c r="Q5957" s="66" t="b">
        <v>0</v>
      </c>
      <c r="R5957" s="22">
        <f t="shared" si="126"/>
        <v>43</v>
      </c>
    </row>
    <row r="5958" spans="1:18">
      <c r="A5958" s="64">
        <v>11433</v>
      </c>
      <c r="B5958" s="62">
        <v>43399</v>
      </c>
      <c r="C5958" s="63" t="s">
        <v>19782</v>
      </c>
      <c r="D5958" s="62">
        <v>43397</v>
      </c>
      <c r="E5958" s="63" t="s">
        <v>19783</v>
      </c>
      <c r="F5958" s="63" t="s">
        <v>5184</v>
      </c>
      <c r="G5958" s="63" t="s">
        <v>20</v>
      </c>
      <c r="H5958" s="63" t="s">
        <v>71</v>
      </c>
      <c r="I5958" s="63" t="s">
        <v>21</v>
      </c>
      <c r="J5958" s="63" t="s">
        <v>19784</v>
      </c>
      <c r="K5958" s="63" t="s">
        <v>18691</v>
      </c>
      <c r="L5958" s="63" t="s">
        <v>18572</v>
      </c>
      <c r="M5958" s="63" t="s">
        <v>21</v>
      </c>
      <c r="O5958" s="108">
        <v>43404</v>
      </c>
      <c r="P5958" s="65" t="s">
        <v>21</v>
      </c>
      <c r="Q5958" s="66" t="b">
        <v>0</v>
      </c>
      <c r="R5958" s="22">
        <f t="shared" si="126"/>
        <v>5</v>
      </c>
    </row>
    <row r="5959" spans="1:18">
      <c r="A5959" s="64">
        <v>11434</v>
      </c>
      <c r="B5959" s="62">
        <v>43399</v>
      </c>
      <c r="C5959" s="63" t="s">
        <v>19785</v>
      </c>
      <c r="D5959" s="62">
        <v>43399</v>
      </c>
      <c r="E5959" s="63" t="s">
        <v>19786</v>
      </c>
      <c r="F5959" s="63" t="s">
        <v>350</v>
      </c>
      <c r="G5959" s="63" t="s">
        <v>20</v>
      </c>
      <c r="H5959" s="63" t="s">
        <v>71</v>
      </c>
      <c r="I5959" s="63" t="s">
        <v>21</v>
      </c>
      <c r="J5959" s="63" t="s">
        <v>19787</v>
      </c>
      <c r="K5959" s="63" t="s">
        <v>6081</v>
      </c>
      <c r="L5959" s="63" t="s">
        <v>4282</v>
      </c>
      <c r="M5959" s="63" t="s">
        <v>21</v>
      </c>
      <c r="O5959" s="108">
        <v>43431</v>
      </c>
      <c r="P5959" s="65" t="s">
        <v>21</v>
      </c>
      <c r="Q5959" s="66" t="b">
        <v>0</v>
      </c>
      <c r="R5959" s="22">
        <f t="shared" si="126"/>
        <v>31</v>
      </c>
    </row>
    <row r="5960" spans="1:18">
      <c r="A5960" s="64">
        <v>11435</v>
      </c>
      <c r="B5960" s="62">
        <v>43402</v>
      </c>
      <c r="C5960" s="63" t="s">
        <v>19791</v>
      </c>
      <c r="D5960" s="62">
        <v>43402</v>
      </c>
      <c r="E5960" s="63" t="s">
        <v>19792</v>
      </c>
      <c r="F5960" s="63" t="s">
        <v>242</v>
      </c>
      <c r="G5960" s="63" t="s">
        <v>20</v>
      </c>
      <c r="H5960" s="63" t="s">
        <v>71</v>
      </c>
      <c r="I5960" s="63" t="s">
        <v>21</v>
      </c>
      <c r="J5960" s="63" t="s">
        <v>19793</v>
      </c>
      <c r="K5960" s="63" t="s">
        <v>6081</v>
      </c>
      <c r="L5960" s="63" t="s">
        <v>7167</v>
      </c>
      <c r="M5960" s="63" t="s">
        <v>21</v>
      </c>
      <c r="O5960" s="108">
        <v>43409</v>
      </c>
      <c r="P5960" s="65" t="s">
        <v>21</v>
      </c>
      <c r="Q5960" s="66" t="b">
        <v>0</v>
      </c>
      <c r="R5960" s="22">
        <f t="shared" si="126"/>
        <v>6</v>
      </c>
    </row>
    <row r="5961" spans="1:18">
      <c r="A5961" s="64">
        <v>11436</v>
      </c>
      <c r="B5961" s="62">
        <v>43402</v>
      </c>
      <c r="C5961" s="63" t="s">
        <v>19788</v>
      </c>
      <c r="D5961" s="62">
        <v>43402</v>
      </c>
      <c r="E5961" s="63" t="s">
        <v>1928</v>
      </c>
      <c r="F5961" s="63" t="s">
        <v>1743</v>
      </c>
      <c r="G5961" s="63" t="s">
        <v>20</v>
      </c>
      <c r="H5961" s="63" t="s">
        <v>71</v>
      </c>
      <c r="I5961" s="63" t="s">
        <v>21</v>
      </c>
      <c r="J5961" s="63" t="s">
        <v>19789</v>
      </c>
      <c r="K5961" s="63" t="s">
        <v>19790</v>
      </c>
      <c r="L5961" s="63" t="s">
        <v>1946</v>
      </c>
      <c r="M5961" s="63" t="s">
        <v>21</v>
      </c>
      <c r="O5961" s="108">
        <v>43403</v>
      </c>
      <c r="P5961" s="65" t="s">
        <v>21</v>
      </c>
      <c r="Q5961" s="66" t="b">
        <v>0</v>
      </c>
      <c r="R5961" s="22">
        <f t="shared" si="126"/>
        <v>1</v>
      </c>
    </row>
    <row r="5962" spans="1:18">
      <c r="A5962" s="64">
        <v>11437</v>
      </c>
      <c r="B5962" s="62">
        <v>43403</v>
      </c>
      <c r="C5962" s="63" t="s">
        <v>19794</v>
      </c>
      <c r="D5962" s="62">
        <v>43403</v>
      </c>
      <c r="E5962" s="63" t="s">
        <v>1432</v>
      </c>
      <c r="F5962" s="63" t="s">
        <v>70</v>
      </c>
      <c r="G5962" s="63" t="s">
        <v>20</v>
      </c>
      <c r="H5962" s="63" t="s">
        <v>71</v>
      </c>
      <c r="I5962" s="63" t="s">
        <v>21</v>
      </c>
      <c r="J5962" s="63" t="s">
        <v>19795</v>
      </c>
      <c r="K5962" s="63" t="s">
        <v>19796</v>
      </c>
      <c r="L5962" s="63" t="s">
        <v>1946</v>
      </c>
      <c r="M5962" s="63" t="s">
        <v>21</v>
      </c>
      <c r="O5962" s="90"/>
      <c r="P5962" s="65" t="s">
        <v>21</v>
      </c>
      <c r="Q5962" s="66" t="b">
        <v>0</v>
      </c>
      <c r="R5962" s="66"/>
    </row>
    <row r="5963" spans="1:18">
      <c r="A5963" s="64">
        <v>11438</v>
      </c>
      <c r="B5963" s="62">
        <v>43404</v>
      </c>
      <c r="C5963" s="63" t="s">
        <v>19797</v>
      </c>
      <c r="D5963" s="62">
        <v>43404</v>
      </c>
      <c r="E5963" s="63" t="s">
        <v>3268</v>
      </c>
      <c r="F5963" s="63" t="s">
        <v>3434</v>
      </c>
      <c r="G5963" s="63" t="s">
        <v>20</v>
      </c>
      <c r="H5963" s="63" t="s">
        <v>71</v>
      </c>
      <c r="I5963" s="63" t="s">
        <v>21</v>
      </c>
      <c r="J5963" s="63" t="s">
        <v>13116</v>
      </c>
      <c r="K5963" s="63" t="s">
        <v>19798</v>
      </c>
      <c r="L5963" s="63" t="s">
        <v>16380</v>
      </c>
      <c r="M5963" s="63" t="s">
        <v>21</v>
      </c>
      <c r="O5963" s="108">
        <v>43430</v>
      </c>
      <c r="P5963" s="65" t="s">
        <v>21</v>
      </c>
      <c r="Q5963" s="66" t="b">
        <v>0</v>
      </c>
      <c r="R5963" s="22">
        <f t="shared" ref="R5963:R5989" si="127">IF(O5963=" ", " ", INT(YEARFRAC(O5963, B5963)*365))</f>
        <v>26</v>
      </c>
    </row>
    <row r="5964" spans="1:18">
      <c r="A5964" s="64">
        <v>11439</v>
      </c>
      <c r="B5964" s="62">
        <v>43405</v>
      </c>
      <c r="C5964" s="63" t="s">
        <v>19799</v>
      </c>
      <c r="D5964" s="62">
        <v>43404</v>
      </c>
      <c r="E5964" s="63" t="s">
        <v>38</v>
      </c>
      <c r="F5964" s="63" t="s">
        <v>5184</v>
      </c>
      <c r="G5964" s="63" t="s">
        <v>20</v>
      </c>
      <c r="H5964" s="63" t="s">
        <v>71</v>
      </c>
      <c r="I5964" s="63" t="s">
        <v>21</v>
      </c>
      <c r="J5964" s="63" t="s">
        <v>19800</v>
      </c>
      <c r="K5964" s="63" t="s">
        <v>19783</v>
      </c>
      <c r="L5964" s="63" t="s">
        <v>18572</v>
      </c>
      <c r="M5964" s="63" t="s">
        <v>21</v>
      </c>
      <c r="O5964" s="101">
        <v>43413</v>
      </c>
      <c r="P5964" s="65" t="s">
        <v>21</v>
      </c>
      <c r="Q5964" s="66" t="b">
        <v>0</v>
      </c>
      <c r="R5964" s="22">
        <f t="shared" si="127"/>
        <v>8</v>
      </c>
    </row>
    <row r="5965" spans="1:18">
      <c r="A5965" s="64">
        <v>11440</v>
      </c>
      <c r="B5965" s="62">
        <v>43405</v>
      </c>
      <c r="C5965" s="63" t="s">
        <v>19801</v>
      </c>
      <c r="D5965" s="62">
        <v>43405</v>
      </c>
      <c r="E5965" s="63" t="s">
        <v>38</v>
      </c>
      <c r="F5965" s="63" t="s">
        <v>242</v>
      </c>
      <c r="G5965" s="63" t="s">
        <v>20</v>
      </c>
      <c r="H5965" s="63" t="s">
        <v>71</v>
      </c>
      <c r="I5965" s="63" t="s">
        <v>21</v>
      </c>
      <c r="J5965" s="63" t="s">
        <v>19802</v>
      </c>
      <c r="K5965" s="63" t="s">
        <v>242</v>
      </c>
      <c r="L5965" s="63" t="s">
        <v>7167</v>
      </c>
      <c r="M5965" s="63" t="s">
        <v>21</v>
      </c>
      <c r="O5965" s="108">
        <v>43418</v>
      </c>
      <c r="P5965" s="65" t="s">
        <v>21</v>
      </c>
      <c r="Q5965" s="66" t="b">
        <v>0</v>
      </c>
      <c r="R5965" s="22">
        <f t="shared" si="127"/>
        <v>13</v>
      </c>
    </row>
    <row r="5966" spans="1:18" ht="24">
      <c r="A5966" s="64">
        <v>11441</v>
      </c>
      <c r="B5966" s="62">
        <v>43409</v>
      </c>
      <c r="C5966" s="63" t="s">
        <v>19805</v>
      </c>
      <c r="D5966" s="62">
        <v>43406</v>
      </c>
      <c r="E5966" s="63" t="s">
        <v>19806</v>
      </c>
      <c r="F5966" s="63" t="s">
        <v>129</v>
      </c>
      <c r="G5966" s="63" t="s">
        <v>20</v>
      </c>
      <c r="H5966" s="63" t="s">
        <v>71</v>
      </c>
      <c r="I5966" s="63" t="s">
        <v>21</v>
      </c>
      <c r="J5966" s="63" t="s">
        <v>19807</v>
      </c>
      <c r="K5966" s="63" t="s">
        <v>3581</v>
      </c>
      <c r="L5966" s="63" t="s">
        <v>1946</v>
      </c>
      <c r="M5966" s="63" t="s">
        <v>21</v>
      </c>
      <c r="O5966" s="108">
        <v>43539</v>
      </c>
      <c r="P5966" s="65" t="s">
        <v>21</v>
      </c>
      <c r="Q5966" s="66" t="b">
        <v>0</v>
      </c>
      <c r="R5966" s="22">
        <f t="shared" si="127"/>
        <v>131</v>
      </c>
    </row>
    <row r="5967" spans="1:18">
      <c r="A5967" s="64">
        <v>11442</v>
      </c>
      <c r="B5967" s="62">
        <v>43409</v>
      </c>
      <c r="C5967" s="63" t="s">
        <v>19803</v>
      </c>
      <c r="D5967" s="62">
        <v>43409</v>
      </c>
      <c r="E5967" s="63" t="s">
        <v>38</v>
      </c>
      <c r="F5967" s="63" t="s">
        <v>149</v>
      </c>
      <c r="G5967" s="63" t="s">
        <v>20</v>
      </c>
      <c r="H5967" s="63" t="s">
        <v>71</v>
      </c>
      <c r="I5967" s="63" t="s">
        <v>21</v>
      </c>
      <c r="J5967" s="63" t="s">
        <v>3581</v>
      </c>
      <c r="K5967" s="63" t="s">
        <v>19804</v>
      </c>
      <c r="L5967" s="63" t="s">
        <v>1946</v>
      </c>
      <c r="M5967" s="63" t="s">
        <v>21</v>
      </c>
      <c r="O5967" s="108">
        <v>43474</v>
      </c>
      <c r="P5967" s="65" t="s">
        <v>21</v>
      </c>
      <c r="Q5967" s="66" t="b">
        <v>0</v>
      </c>
      <c r="R5967" s="22">
        <f t="shared" si="127"/>
        <v>64</v>
      </c>
    </row>
    <row r="5968" spans="1:18">
      <c r="A5968" s="64">
        <v>11443</v>
      </c>
      <c r="B5968" s="62">
        <v>43413</v>
      </c>
      <c r="C5968" s="63" t="s">
        <v>19408</v>
      </c>
      <c r="D5968" s="62">
        <v>43412</v>
      </c>
      <c r="E5968" s="63" t="s">
        <v>19409</v>
      </c>
      <c r="F5968" s="63" t="s">
        <v>16173</v>
      </c>
      <c r="G5968" s="63" t="s">
        <v>20</v>
      </c>
      <c r="H5968" s="63" t="s">
        <v>71</v>
      </c>
      <c r="I5968" s="63" t="s">
        <v>21</v>
      </c>
      <c r="J5968" s="63" t="s">
        <v>19410</v>
      </c>
      <c r="K5968" s="63" t="s">
        <v>14825</v>
      </c>
      <c r="L5968" s="63" t="s">
        <v>4282</v>
      </c>
      <c r="M5968" s="63" t="s">
        <v>21</v>
      </c>
      <c r="O5968" s="101">
        <v>43893</v>
      </c>
      <c r="P5968" s="65" t="s">
        <v>21</v>
      </c>
      <c r="Q5968" s="66" t="b">
        <v>0</v>
      </c>
      <c r="R5968" s="22">
        <f t="shared" si="127"/>
        <v>480</v>
      </c>
    </row>
    <row r="5969" spans="1:18">
      <c r="A5969" s="64">
        <v>11444</v>
      </c>
      <c r="B5969" s="62">
        <v>43413</v>
      </c>
      <c r="C5969" s="63" t="s">
        <v>19808</v>
      </c>
      <c r="D5969" s="62">
        <v>43412</v>
      </c>
      <c r="E5969" s="63" t="s">
        <v>19809</v>
      </c>
      <c r="F5969" s="63" t="s">
        <v>2146</v>
      </c>
      <c r="G5969" s="63" t="s">
        <v>20</v>
      </c>
      <c r="H5969" s="63" t="s">
        <v>189</v>
      </c>
      <c r="I5969" s="63" t="s">
        <v>21</v>
      </c>
      <c r="J5969" s="63" t="s">
        <v>19810</v>
      </c>
      <c r="K5969" s="63" t="s">
        <v>6081</v>
      </c>
      <c r="L5969" s="63" t="s">
        <v>14349</v>
      </c>
      <c r="M5969" s="63" t="s">
        <v>21</v>
      </c>
      <c r="O5969" s="101">
        <v>43413</v>
      </c>
      <c r="P5969" s="65" t="s">
        <v>21</v>
      </c>
      <c r="Q5969" s="66" t="b">
        <v>0</v>
      </c>
      <c r="R5969" s="22">
        <f t="shared" si="127"/>
        <v>0</v>
      </c>
    </row>
    <row r="5970" spans="1:18">
      <c r="A5970" s="64">
        <v>11445</v>
      </c>
      <c r="B5970" s="62">
        <v>43419</v>
      </c>
      <c r="C5970" s="63" t="s">
        <v>19811</v>
      </c>
      <c r="D5970" s="62">
        <v>43419</v>
      </c>
      <c r="E5970" s="63" t="s">
        <v>38</v>
      </c>
      <c r="F5970" s="63" t="s">
        <v>242</v>
      </c>
      <c r="G5970" s="63" t="s">
        <v>20</v>
      </c>
      <c r="H5970" s="63" t="s">
        <v>71</v>
      </c>
      <c r="I5970" s="63" t="s">
        <v>21</v>
      </c>
      <c r="J5970" s="63" t="s">
        <v>19812</v>
      </c>
      <c r="K5970" s="63" t="s">
        <v>19813</v>
      </c>
      <c r="L5970" s="63" t="s">
        <v>7167</v>
      </c>
      <c r="M5970" s="63" t="s">
        <v>21</v>
      </c>
      <c r="O5970" s="108">
        <v>43427</v>
      </c>
      <c r="P5970" s="65" t="s">
        <v>21</v>
      </c>
      <c r="Q5970" s="66" t="b">
        <v>0</v>
      </c>
      <c r="R5970" s="22">
        <f t="shared" si="127"/>
        <v>8</v>
      </c>
    </row>
    <row r="5971" spans="1:18">
      <c r="A5971" s="64">
        <v>11446</v>
      </c>
      <c r="B5971" s="62">
        <v>43419</v>
      </c>
      <c r="C5971" s="63" t="s">
        <v>19814</v>
      </c>
      <c r="D5971" s="62">
        <v>43419</v>
      </c>
      <c r="E5971" s="63" t="s">
        <v>19815</v>
      </c>
      <c r="F5971" s="63" t="s">
        <v>56</v>
      </c>
      <c r="G5971" s="63" t="s">
        <v>20</v>
      </c>
      <c r="H5971" s="63" t="s">
        <v>71</v>
      </c>
      <c r="I5971" s="63" t="s">
        <v>21</v>
      </c>
      <c r="J5971" s="63" t="s">
        <v>19816</v>
      </c>
      <c r="K5971" s="63" t="s">
        <v>19817</v>
      </c>
      <c r="L5971" s="63" t="s">
        <v>1946</v>
      </c>
      <c r="M5971" s="63" t="s">
        <v>21</v>
      </c>
      <c r="O5971" s="108">
        <v>43539</v>
      </c>
      <c r="P5971" s="65" t="s">
        <v>21</v>
      </c>
      <c r="Q5971" s="66" t="b">
        <v>0</v>
      </c>
      <c r="R5971" s="22">
        <f t="shared" si="127"/>
        <v>121</v>
      </c>
    </row>
    <row r="5972" spans="1:18">
      <c r="A5972" s="64">
        <v>11447</v>
      </c>
      <c r="B5972" s="62">
        <v>43420</v>
      </c>
      <c r="C5972" s="63" t="s">
        <v>19411</v>
      </c>
      <c r="D5972" s="62">
        <v>43419</v>
      </c>
      <c r="E5972" s="63" t="s">
        <v>19412</v>
      </c>
      <c r="F5972" s="63" t="s">
        <v>19</v>
      </c>
      <c r="G5972" s="63" t="s">
        <v>20</v>
      </c>
      <c r="H5972" s="63" t="s">
        <v>71</v>
      </c>
      <c r="I5972" s="63" t="s">
        <v>21</v>
      </c>
      <c r="J5972" s="63" t="s">
        <v>19413</v>
      </c>
      <c r="K5972" s="63" t="s">
        <v>14825</v>
      </c>
      <c r="L5972" s="63" t="s">
        <v>1946</v>
      </c>
      <c r="M5972" s="63" t="s">
        <v>21</v>
      </c>
      <c r="O5972" s="101">
        <v>43983</v>
      </c>
      <c r="P5972" s="65" t="s">
        <v>21</v>
      </c>
      <c r="Q5972" s="66" t="b">
        <v>0</v>
      </c>
      <c r="R5972" s="22">
        <f t="shared" si="127"/>
        <v>562</v>
      </c>
    </row>
    <row r="5973" spans="1:18">
      <c r="A5973" s="64">
        <v>11448</v>
      </c>
      <c r="B5973" s="62">
        <v>43420</v>
      </c>
      <c r="C5973" s="63" t="s">
        <v>19818</v>
      </c>
      <c r="D5973" s="62">
        <v>43419</v>
      </c>
      <c r="E5973" s="63" t="s">
        <v>19819</v>
      </c>
      <c r="F5973" s="63" t="s">
        <v>149</v>
      </c>
      <c r="G5973" s="63" t="s">
        <v>20</v>
      </c>
      <c r="H5973" s="63" t="s">
        <v>189</v>
      </c>
      <c r="I5973" s="63" t="s">
        <v>21</v>
      </c>
      <c r="J5973" s="63" t="s">
        <v>19820</v>
      </c>
      <c r="K5973" s="63" t="s">
        <v>18312</v>
      </c>
      <c r="L5973" s="63" t="s">
        <v>18572</v>
      </c>
      <c r="M5973" s="63" t="s">
        <v>21</v>
      </c>
      <c r="O5973" s="101">
        <v>43430</v>
      </c>
      <c r="P5973" s="65" t="s">
        <v>21</v>
      </c>
      <c r="Q5973" s="66" t="b">
        <v>0</v>
      </c>
      <c r="R5973" s="22">
        <f t="shared" si="127"/>
        <v>10</v>
      </c>
    </row>
    <row r="5974" spans="1:18" ht="24">
      <c r="A5974" s="64">
        <v>11449</v>
      </c>
      <c r="B5974" s="62">
        <v>43430</v>
      </c>
      <c r="C5974" s="63" t="s">
        <v>19821</v>
      </c>
      <c r="D5974" s="62">
        <v>43430</v>
      </c>
      <c r="E5974" s="63" t="s">
        <v>38</v>
      </c>
      <c r="F5974" s="63" t="s">
        <v>1743</v>
      </c>
      <c r="G5974" s="63" t="s">
        <v>20</v>
      </c>
      <c r="H5974" s="63" t="s">
        <v>71</v>
      </c>
      <c r="I5974" s="63" t="s">
        <v>21</v>
      </c>
      <c r="J5974" s="63" t="s">
        <v>19812</v>
      </c>
      <c r="K5974" s="63" t="s">
        <v>19822</v>
      </c>
      <c r="L5974" s="63" t="s">
        <v>7167</v>
      </c>
      <c r="M5974" s="63" t="s">
        <v>21</v>
      </c>
      <c r="O5974" s="108">
        <v>43437</v>
      </c>
      <c r="P5974" s="65" t="s">
        <v>21</v>
      </c>
      <c r="Q5974" s="66" t="b">
        <v>0</v>
      </c>
      <c r="R5974" s="22">
        <f t="shared" si="127"/>
        <v>7</v>
      </c>
    </row>
    <row r="5975" spans="1:18">
      <c r="A5975" s="64">
        <v>11450</v>
      </c>
      <c r="B5975" s="62">
        <v>43432</v>
      </c>
      <c r="C5975" s="63" t="s">
        <v>19450</v>
      </c>
      <c r="D5975" s="62">
        <v>43431</v>
      </c>
      <c r="E5975" s="63" t="s">
        <v>19451</v>
      </c>
      <c r="F5975" s="63" t="s">
        <v>1783</v>
      </c>
      <c r="G5975" s="63" t="s">
        <v>20</v>
      </c>
      <c r="H5975" s="63" t="s">
        <v>71</v>
      </c>
      <c r="I5975" s="63" t="s">
        <v>21</v>
      </c>
      <c r="J5975" s="63" t="s">
        <v>19452</v>
      </c>
      <c r="K5975" s="63" t="s">
        <v>9348</v>
      </c>
      <c r="L5975" s="63" t="s">
        <v>4282</v>
      </c>
      <c r="M5975" s="63" t="s">
        <v>1946</v>
      </c>
      <c r="O5975" s="108">
        <v>44371</v>
      </c>
      <c r="P5975" s="65" t="s">
        <v>21</v>
      </c>
      <c r="Q5975" s="66" t="b">
        <v>0</v>
      </c>
      <c r="R5975" s="22">
        <f t="shared" si="127"/>
        <v>938</v>
      </c>
    </row>
    <row r="5976" spans="1:18">
      <c r="A5976" s="64">
        <v>11451</v>
      </c>
      <c r="B5976" s="62">
        <v>43432</v>
      </c>
      <c r="C5976" s="63" t="s">
        <v>19414</v>
      </c>
      <c r="D5976" s="62">
        <v>43431</v>
      </c>
      <c r="E5976" s="63" t="s">
        <v>19415</v>
      </c>
      <c r="F5976" s="63" t="s">
        <v>19416</v>
      </c>
      <c r="G5976" s="63" t="s">
        <v>20</v>
      </c>
      <c r="H5976" s="63" t="s">
        <v>71</v>
      </c>
      <c r="I5976" s="63" t="s">
        <v>21</v>
      </c>
      <c r="J5976" s="63" t="s">
        <v>19417</v>
      </c>
      <c r="K5976" s="63" t="s">
        <v>14825</v>
      </c>
      <c r="L5976" s="63" t="s">
        <v>7167</v>
      </c>
      <c r="M5976" s="63" t="s">
        <v>21</v>
      </c>
      <c r="O5976" s="108">
        <v>43581</v>
      </c>
      <c r="P5976" s="65" t="s">
        <v>21</v>
      </c>
      <c r="Q5976" s="66" t="b">
        <v>0</v>
      </c>
      <c r="R5976" s="22">
        <f t="shared" si="127"/>
        <v>150</v>
      </c>
    </row>
    <row r="5977" spans="1:18">
      <c r="A5977" s="64">
        <v>11452</v>
      </c>
      <c r="B5977" s="62">
        <v>43433</v>
      </c>
      <c r="C5977" s="63" t="s">
        <v>19823</v>
      </c>
      <c r="D5977" s="62">
        <v>43431</v>
      </c>
      <c r="E5977" s="63" t="s">
        <v>19824</v>
      </c>
      <c r="F5977" s="63" t="s">
        <v>19</v>
      </c>
      <c r="G5977" s="63" t="s">
        <v>20</v>
      </c>
      <c r="H5977" s="63" t="s">
        <v>71</v>
      </c>
      <c r="I5977" s="63" t="s">
        <v>21</v>
      </c>
      <c r="J5977" s="63" t="s">
        <v>19462</v>
      </c>
      <c r="K5977" s="63" t="s">
        <v>6081</v>
      </c>
      <c r="L5977" s="63" t="s">
        <v>14909</v>
      </c>
      <c r="M5977" s="63" t="s">
        <v>21</v>
      </c>
      <c r="O5977" s="108">
        <v>43451</v>
      </c>
      <c r="P5977" s="65" t="s">
        <v>21</v>
      </c>
      <c r="Q5977" s="66" t="b">
        <v>0</v>
      </c>
      <c r="R5977" s="22">
        <f t="shared" si="127"/>
        <v>18</v>
      </c>
    </row>
    <row r="5978" spans="1:18">
      <c r="A5978" s="64">
        <v>11453</v>
      </c>
      <c r="B5978" s="62">
        <v>43434</v>
      </c>
      <c r="C5978" s="63" t="s">
        <v>19828</v>
      </c>
      <c r="D5978" s="62">
        <v>43433</v>
      </c>
      <c r="E5978" s="63" t="s">
        <v>19829</v>
      </c>
      <c r="F5978" s="63" t="s">
        <v>149</v>
      </c>
      <c r="G5978" s="63" t="s">
        <v>20</v>
      </c>
      <c r="H5978" s="63" t="s">
        <v>71</v>
      </c>
      <c r="I5978" s="63" t="s">
        <v>21</v>
      </c>
      <c r="J5978" s="63" t="s">
        <v>19830</v>
      </c>
      <c r="K5978" s="63" t="s">
        <v>6081</v>
      </c>
      <c r="L5978" s="63" t="s">
        <v>4282</v>
      </c>
      <c r="M5978" s="63" t="s">
        <v>21</v>
      </c>
      <c r="O5978" s="101">
        <v>43626</v>
      </c>
      <c r="P5978" s="65" t="s">
        <v>21</v>
      </c>
      <c r="Q5978" s="66" t="b">
        <v>0</v>
      </c>
      <c r="R5978" s="22">
        <f t="shared" si="127"/>
        <v>192</v>
      </c>
    </row>
    <row r="5979" spans="1:18">
      <c r="A5979" s="64">
        <v>11454</v>
      </c>
      <c r="B5979" s="62">
        <v>43434</v>
      </c>
      <c r="C5979" s="63" t="s">
        <v>19825</v>
      </c>
      <c r="D5979" s="62">
        <v>43433</v>
      </c>
      <c r="E5979" s="63" t="s">
        <v>38</v>
      </c>
      <c r="F5979" s="63" t="s">
        <v>124</v>
      </c>
      <c r="G5979" s="63" t="s">
        <v>20</v>
      </c>
      <c r="H5979" s="63" t="s">
        <v>71</v>
      </c>
      <c r="I5979" s="63" t="s">
        <v>21</v>
      </c>
      <c r="J5979" s="63" t="s">
        <v>19826</v>
      </c>
      <c r="K5979" s="63" t="s">
        <v>19827</v>
      </c>
      <c r="L5979" s="63" t="s">
        <v>18572</v>
      </c>
      <c r="M5979" s="63" t="s">
        <v>21</v>
      </c>
      <c r="O5979" s="108">
        <v>43441</v>
      </c>
      <c r="P5979" s="65" t="s">
        <v>21</v>
      </c>
      <c r="Q5979" s="66" t="b">
        <v>0</v>
      </c>
      <c r="R5979" s="22">
        <f t="shared" si="127"/>
        <v>7</v>
      </c>
    </row>
    <row r="5980" spans="1:18">
      <c r="A5980" s="64">
        <v>11455</v>
      </c>
      <c r="B5980" s="62">
        <v>43439</v>
      </c>
      <c r="C5980" s="63" t="s">
        <v>19831</v>
      </c>
      <c r="D5980" s="62">
        <v>43439</v>
      </c>
      <c r="E5980" s="63" t="s">
        <v>1928</v>
      </c>
      <c r="F5980" s="63" t="s">
        <v>1743</v>
      </c>
      <c r="G5980" s="63" t="s">
        <v>20</v>
      </c>
      <c r="H5980" s="63" t="s">
        <v>71</v>
      </c>
      <c r="I5980" s="63" t="s">
        <v>21</v>
      </c>
      <c r="J5980" s="63" t="s">
        <v>19832</v>
      </c>
      <c r="K5980" s="63" t="s">
        <v>19833</v>
      </c>
      <c r="L5980" s="63" t="s">
        <v>3271</v>
      </c>
      <c r="M5980" s="63" t="s">
        <v>21</v>
      </c>
      <c r="O5980" s="108">
        <v>43452</v>
      </c>
      <c r="P5980" s="65" t="s">
        <v>21</v>
      </c>
      <c r="Q5980" s="66" t="b">
        <v>0</v>
      </c>
      <c r="R5980" s="22">
        <f t="shared" si="127"/>
        <v>13</v>
      </c>
    </row>
    <row r="5981" spans="1:18">
      <c r="A5981" s="64">
        <v>11456</v>
      </c>
      <c r="B5981" s="62">
        <v>43440</v>
      </c>
      <c r="C5981" s="63" t="s">
        <v>19453</v>
      </c>
      <c r="D5981" s="62">
        <v>43440</v>
      </c>
      <c r="E5981" s="63" t="s">
        <v>19454</v>
      </c>
      <c r="F5981" s="63" t="s">
        <v>16198</v>
      </c>
      <c r="G5981" s="63" t="s">
        <v>20</v>
      </c>
      <c r="H5981" s="63" t="s">
        <v>71</v>
      </c>
      <c r="I5981" s="63" t="s">
        <v>21</v>
      </c>
      <c r="J5981" s="63" t="s">
        <v>19455</v>
      </c>
      <c r="K5981" s="63" t="s">
        <v>9348</v>
      </c>
      <c r="L5981" s="63" t="s">
        <v>4282</v>
      </c>
      <c r="M5981" s="63" t="s">
        <v>21</v>
      </c>
      <c r="O5981" s="101">
        <v>44011</v>
      </c>
      <c r="P5981" s="65" t="s">
        <v>21</v>
      </c>
      <c r="Q5981" s="66" t="b">
        <v>0</v>
      </c>
      <c r="R5981" s="22">
        <f t="shared" si="127"/>
        <v>570</v>
      </c>
    </row>
    <row r="5982" spans="1:18" ht="24">
      <c r="A5982" s="64">
        <v>11457</v>
      </c>
      <c r="B5982" s="62">
        <v>43440</v>
      </c>
      <c r="C5982" s="63" t="s">
        <v>19834</v>
      </c>
      <c r="D5982" s="62">
        <v>43440</v>
      </c>
      <c r="E5982" s="63" t="s">
        <v>1928</v>
      </c>
      <c r="F5982" s="63" t="s">
        <v>1743</v>
      </c>
      <c r="G5982" s="63" t="s">
        <v>20</v>
      </c>
      <c r="H5982" s="63" t="s">
        <v>71</v>
      </c>
      <c r="I5982" s="63" t="s">
        <v>21</v>
      </c>
      <c r="J5982" s="63" t="s">
        <v>19835</v>
      </c>
      <c r="K5982" s="63" t="s">
        <v>21</v>
      </c>
      <c r="L5982" s="63" t="s">
        <v>4282</v>
      </c>
      <c r="M5982" s="63" t="s">
        <v>21</v>
      </c>
      <c r="O5982" s="101">
        <v>43440</v>
      </c>
      <c r="P5982" s="65" t="s">
        <v>21</v>
      </c>
      <c r="Q5982" s="66" t="b">
        <v>0</v>
      </c>
      <c r="R5982" s="22">
        <f t="shared" si="127"/>
        <v>0</v>
      </c>
    </row>
    <row r="5983" spans="1:18">
      <c r="A5983" s="64">
        <v>11458</v>
      </c>
      <c r="B5983" s="62">
        <v>43447</v>
      </c>
      <c r="C5983" s="63" t="s">
        <v>19836</v>
      </c>
      <c r="D5983" s="62">
        <v>43446</v>
      </c>
      <c r="E5983" s="63" t="s">
        <v>19837</v>
      </c>
      <c r="F5983" s="63" t="s">
        <v>19</v>
      </c>
      <c r="G5983" s="63" t="s">
        <v>20</v>
      </c>
      <c r="H5983" s="63" t="s">
        <v>71</v>
      </c>
      <c r="I5983" s="63" t="s">
        <v>21</v>
      </c>
      <c r="J5983" s="63" t="s">
        <v>19838</v>
      </c>
      <c r="K5983" s="63" t="s">
        <v>6081</v>
      </c>
      <c r="L5983" s="63" t="s">
        <v>7167</v>
      </c>
      <c r="M5983" s="63" t="s">
        <v>21</v>
      </c>
      <c r="O5983" s="108">
        <v>43451</v>
      </c>
      <c r="P5983" s="65" t="s">
        <v>21</v>
      </c>
      <c r="Q5983" s="66" t="b">
        <v>0</v>
      </c>
      <c r="R5983" s="22">
        <f t="shared" si="127"/>
        <v>4</v>
      </c>
    </row>
    <row r="5984" spans="1:18" ht="24">
      <c r="A5984" s="64">
        <v>11459</v>
      </c>
      <c r="B5984" s="62">
        <v>43447</v>
      </c>
      <c r="C5984" s="63" t="s">
        <v>19456</v>
      </c>
      <c r="D5984" s="62">
        <v>43446</v>
      </c>
      <c r="E5984" s="63" t="s">
        <v>19457</v>
      </c>
      <c r="F5984" s="63" t="s">
        <v>129</v>
      </c>
      <c r="G5984" s="63" t="s">
        <v>20</v>
      </c>
      <c r="H5984" s="63" t="s">
        <v>71</v>
      </c>
      <c r="I5984" s="63" t="s">
        <v>21</v>
      </c>
      <c r="J5984" s="63" t="s">
        <v>19458</v>
      </c>
      <c r="K5984" s="63" t="s">
        <v>19459</v>
      </c>
      <c r="L5984" s="63" t="s">
        <v>1946</v>
      </c>
      <c r="M5984" s="63" t="s">
        <v>21</v>
      </c>
      <c r="O5984" s="101">
        <v>44004</v>
      </c>
      <c r="P5984" s="65" t="s">
        <v>21</v>
      </c>
      <c r="Q5984" s="66" t="b">
        <v>0</v>
      </c>
      <c r="R5984" s="22">
        <f t="shared" si="127"/>
        <v>556</v>
      </c>
    </row>
    <row r="5985" spans="1:18">
      <c r="A5985" s="64">
        <v>11460</v>
      </c>
      <c r="B5985" s="62">
        <v>43451</v>
      </c>
      <c r="C5985" s="63" t="s">
        <v>19418</v>
      </c>
      <c r="D5985" s="62">
        <v>43451</v>
      </c>
      <c r="E5985" s="63" t="s">
        <v>19419</v>
      </c>
      <c r="F5985" s="63" t="s">
        <v>741</v>
      </c>
      <c r="G5985" s="63" t="s">
        <v>20</v>
      </c>
      <c r="H5985" s="63" t="s">
        <v>71</v>
      </c>
      <c r="I5985" s="63" t="s">
        <v>21</v>
      </c>
      <c r="J5985" s="63" t="s">
        <v>19420</v>
      </c>
      <c r="K5985" s="63" t="s">
        <v>14825</v>
      </c>
      <c r="L5985" s="63" t="s">
        <v>1946</v>
      </c>
      <c r="M5985" s="63" t="s">
        <v>21</v>
      </c>
      <c r="O5985" s="101">
        <v>43538</v>
      </c>
      <c r="P5985" s="65" t="s">
        <v>21</v>
      </c>
      <c r="Q5985" s="66" t="b">
        <v>0</v>
      </c>
      <c r="R5985" s="22">
        <f t="shared" si="127"/>
        <v>88</v>
      </c>
    </row>
    <row r="5986" spans="1:18">
      <c r="A5986" s="64">
        <v>11461</v>
      </c>
      <c r="B5986" s="62">
        <v>43451</v>
      </c>
      <c r="C5986" s="63" t="s">
        <v>19839</v>
      </c>
      <c r="D5986" s="62">
        <v>43446</v>
      </c>
      <c r="E5986" s="63" t="s">
        <v>38</v>
      </c>
      <c r="F5986" s="63" t="s">
        <v>6298</v>
      </c>
      <c r="G5986" s="63" t="s">
        <v>20</v>
      </c>
      <c r="H5986" s="63" t="s">
        <v>71</v>
      </c>
      <c r="I5986" s="63" t="s">
        <v>21</v>
      </c>
      <c r="J5986" s="63" t="s">
        <v>19840</v>
      </c>
      <c r="K5986" s="63" t="s">
        <v>19841</v>
      </c>
      <c r="L5986" s="63" t="s">
        <v>7167</v>
      </c>
      <c r="M5986" s="63" t="s">
        <v>21</v>
      </c>
      <c r="O5986" s="101">
        <v>43451</v>
      </c>
      <c r="P5986" s="65" t="s">
        <v>21</v>
      </c>
      <c r="Q5986" s="66" t="b">
        <v>0</v>
      </c>
      <c r="R5986" s="22">
        <f t="shared" si="127"/>
        <v>0</v>
      </c>
    </row>
    <row r="5987" spans="1:18">
      <c r="A5987" s="64">
        <v>11462</v>
      </c>
      <c r="B5987" s="62">
        <v>43452</v>
      </c>
      <c r="C5987" s="63" t="s">
        <v>19460</v>
      </c>
      <c r="D5987" s="62">
        <v>43451</v>
      </c>
      <c r="E5987" s="63" t="s">
        <v>19461</v>
      </c>
      <c r="F5987" s="63" t="s">
        <v>19</v>
      </c>
      <c r="G5987" s="63" t="s">
        <v>20</v>
      </c>
      <c r="H5987" s="63" t="s">
        <v>71</v>
      </c>
      <c r="I5987" s="63" t="s">
        <v>21</v>
      </c>
      <c r="J5987" s="63" t="s">
        <v>19462</v>
      </c>
      <c r="K5987" s="63" t="s">
        <v>19463</v>
      </c>
      <c r="L5987" s="63" t="s">
        <v>1152</v>
      </c>
      <c r="M5987" s="63" t="s">
        <v>14909</v>
      </c>
      <c r="O5987" s="101">
        <v>43836</v>
      </c>
      <c r="P5987" s="65" t="s">
        <v>21</v>
      </c>
      <c r="Q5987" s="66" t="b">
        <v>0</v>
      </c>
      <c r="R5987" s="22">
        <f t="shared" si="127"/>
        <v>383</v>
      </c>
    </row>
    <row r="5988" spans="1:18">
      <c r="A5988" s="64">
        <v>11463</v>
      </c>
      <c r="B5988" s="62">
        <v>43454</v>
      </c>
      <c r="C5988" s="63" t="s">
        <v>19842</v>
      </c>
      <c r="D5988" s="62">
        <v>43453</v>
      </c>
      <c r="E5988" s="63" t="s">
        <v>1928</v>
      </c>
      <c r="F5988" s="63" t="s">
        <v>984</v>
      </c>
      <c r="G5988" s="63" t="s">
        <v>20</v>
      </c>
      <c r="H5988" s="63" t="s">
        <v>71</v>
      </c>
      <c r="I5988" s="63" t="s">
        <v>21</v>
      </c>
      <c r="J5988" s="63" t="s">
        <v>19843</v>
      </c>
      <c r="K5988" s="63" t="s">
        <v>19844</v>
      </c>
      <c r="L5988" s="63" t="s">
        <v>3271</v>
      </c>
      <c r="M5988" s="63" t="s">
        <v>21</v>
      </c>
      <c r="O5988" s="108">
        <v>43472</v>
      </c>
      <c r="P5988" s="65" t="s">
        <v>21</v>
      </c>
      <c r="Q5988" s="66" t="b">
        <v>0</v>
      </c>
      <c r="R5988" s="22">
        <f t="shared" si="127"/>
        <v>17</v>
      </c>
    </row>
    <row r="5989" spans="1:18">
      <c r="A5989" s="64">
        <v>11464</v>
      </c>
      <c r="B5989" s="62">
        <v>43458</v>
      </c>
      <c r="C5989" s="63" t="s">
        <v>19464</v>
      </c>
      <c r="D5989" s="62">
        <v>43454</v>
      </c>
      <c r="E5989" s="63" t="s">
        <v>19465</v>
      </c>
      <c r="F5989" s="63" t="s">
        <v>2838</v>
      </c>
      <c r="G5989" s="63" t="s">
        <v>20</v>
      </c>
      <c r="H5989" s="63" t="s">
        <v>71</v>
      </c>
      <c r="I5989" s="63" t="s">
        <v>21</v>
      </c>
      <c r="J5989" s="63" t="s">
        <v>19466</v>
      </c>
      <c r="K5989" s="63" t="s">
        <v>9348</v>
      </c>
      <c r="L5989" s="63" t="s">
        <v>7167</v>
      </c>
      <c r="M5989" s="63" t="s">
        <v>21</v>
      </c>
      <c r="O5989" s="101">
        <v>44125</v>
      </c>
      <c r="P5989" s="65" t="s">
        <v>21</v>
      </c>
      <c r="Q5989" s="66" t="b">
        <v>0</v>
      </c>
      <c r="R5989" s="22">
        <f t="shared" si="127"/>
        <v>666</v>
      </c>
    </row>
    <row r="5990" spans="1:18">
      <c r="A5990" s="64">
        <v>11465</v>
      </c>
      <c r="B5990" s="62">
        <v>43458</v>
      </c>
      <c r="C5990" s="63" t="s">
        <v>19845</v>
      </c>
      <c r="D5990" s="62">
        <v>43458</v>
      </c>
      <c r="E5990" s="63" t="s">
        <v>15826</v>
      </c>
      <c r="F5990" s="63" t="s">
        <v>1743</v>
      </c>
      <c r="G5990" s="63" t="s">
        <v>20</v>
      </c>
      <c r="H5990" s="63" t="s">
        <v>71</v>
      </c>
      <c r="I5990" s="63" t="s">
        <v>21</v>
      </c>
      <c r="J5990" s="63" t="s">
        <v>19846</v>
      </c>
      <c r="K5990" s="63" t="s">
        <v>19847</v>
      </c>
      <c r="L5990" s="63" t="s">
        <v>7167</v>
      </c>
      <c r="M5990" s="63" t="s">
        <v>21</v>
      </c>
      <c r="O5990" s="89"/>
      <c r="P5990" s="65" t="s">
        <v>21</v>
      </c>
      <c r="Q5990" s="66" t="b">
        <v>0</v>
      </c>
      <c r="R5990" s="66"/>
    </row>
    <row r="5991" spans="1:18">
      <c r="A5991" s="64">
        <v>11466</v>
      </c>
      <c r="B5991" s="62">
        <v>43461</v>
      </c>
      <c r="C5991" s="63" t="s">
        <v>19848</v>
      </c>
      <c r="D5991" s="62">
        <v>43460</v>
      </c>
      <c r="E5991" s="63" t="s">
        <v>1928</v>
      </c>
      <c r="F5991" s="63" t="s">
        <v>1743</v>
      </c>
      <c r="G5991" s="63" t="s">
        <v>20</v>
      </c>
      <c r="H5991" s="63" t="s">
        <v>71</v>
      </c>
      <c r="I5991" s="63" t="s">
        <v>21</v>
      </c>
      <c r="J5991" s="63" t="s">
        <v>19849</v>
      </c>
      <c r="K5991" s="63" t="s">
        <v>16691</v>
      </c>
      <c r="L5991" s="63" t="s">
        <v>14349</v>
      </c>
      <c r="M5991" s="63" t="s">
        <v>21</v>
      </c>
      <c r="O5991" s="108">
        <v>43469</v>
      </c>
      <c r="P5991" s="65" t="s">
        <v>21</v>
      </c>
      <c r="Q5991" s="66" t="b">
        <v>0</v>
      </c>
      <c r="R5991" s="22">
        <f t="shared" ref="R5991:R6054" si="128">IF(O5991=" ", " ", INT(YEARFRAC(O5991, B5991)*365))</f>
        <v>7</v>
      </c>
    </row>
    <row r="5992" spans="1:18">
      <c r="A5992" s="64">
        <v>11467</v>
      </c>
      <c r="B5992" s="62">
        <v>43462</v>
      </c>
      <c r="C5992" s="63" t="s">
        <v>19850</v>
      </c>
      <c r="D5992" s="62">
        <v>43461</v>
      </c>
      <c r="E5992" s="63" t="s">
        <v>38</v>
      </c>
      <c r="F5992" s="63" t="s">
        <v>85</v>
      </c>
      <c r="G5992" s="63" t="s">
        <v>20</v>
      </c>
      <c r="H5992" s="63" t="s">
        <v>71</v>
      </c>
      <c r="I5992" s="63" t="s">
        <v>21</v>
      </c>
      <c r="J5992" s="63" t="s">
        <v>19851</v>
      </c>
      <c r="K5992" s="63" t="s">
        <v>19852</v>
      </c>
      <c r="L5992" s="63" t="s">
        <v>1946</v>
      </c>
      <c r="M5992" s="63" t="s">
        <v>21</v>
      </c>
      <c r="O5992" s="108">
        <v>43481</v>
      </c>
      <c r="P5992" s="65" t="s">
        <v>21</v>
      </c>
      <c r="Q5992" s="66" t="b">
        <v>0</v>
      </c>
      <c r="R5992" s="22">
        <f t="shared" si="128"/>
        <v>18</v>
      </c>
    </row>
    <row r="5993" spans="1:18">
      <c r="A5993" s="64">
        <v>11468</v>
      </c>
      <c r="B5993" s="62">
        <v>43462</v>
      </c>
      <c r="C5993" s="63" t="s">
        <v>19853</v>
      </c>
      <c r="D5993" s="62">
        <v>43461</v>
      </c>
      <c r="E5993" s="63" t="s">
        <v>38</v>
      </c>
      <c r="F5993" s="63" t="s">
        <v>98</v>
      </c>
      <c r="G5993" s="63" t="s">
        <v>20</v>
      </c>
      <c r="H5993" s="63" t="s">
        <v>71</v>
      </c>
      <c r="I5993" s="63" t="s">
        <v>21</v>
      </c>
      <c r="J5993" s="63" t="s">
        <v>19854</v>
      </c>
      <c r="K5993" s="63" t="s">
        <v>3335</v>
      </c>
      <c r="L5993" s="63" t="s">
        <v>4282</v>
      </c>
      <c r="M5993" s="63" t="s">
        <v>21</v>
      </c>
      <c r="O5993" s="101">
        <v>43480</v>
      </c>
      <c r="P5993" s="65" t="s">
        <v>21</v>
      </c>
      <c r="Q5993" s="66" t="b">
        <v>0</v>
      </c>
      <c r="R5993" s="22">
        <f t="shared" si="128"/>
        <v>17</v>
      </c>
    </row>
    <row r="5994" spans="1:18">
      <c r="A5994" s="64">
        <v>11469</v>
      </c>
      <c r="B5994" s="62">
        <v>43465</v>
      </c>
      <c r="C5994" s="63" t="s">
        <v>19858</v>
      </c>
      <c r="D5994" s="62">
        <v>43460</v>
      </c>
      <c r="E5994" s="63" t="s">
        <v>38</v>
      </c>
      <c r="F5994" s="63" t="s">
        <v>345</v>
      </c>
      <c r="G5994" s="63" t="s">
        <v>20</v>
      </c>
      <c r="H5994" s="63" t="s">
        <v>71</v>
      </c>
      <c r="I5994" s="63" t="s">
        <v>21</v>
      </c>
      <c r="J5994" s="63" t="s">
        <v>19859</v>
      </c>
      <c r="K5994" s="63" t="s">
        <v>19860</v>
      </c>
      <c r="L5994" s="63" t="s">
        <v>18572</v>
      </c>
      <c r="M5994" s="63" t="s">
        <v>21</v>
      </c>
      <c r="O5994" s="108">
        <v>43503</v>
      </c>
      <c r="P5994" s="65" t="s">
        <v>21</v>
      </c>
      <c r="Q5994" s="66" t="b">
        <v>0</v>
      </c>
      <c r="R5994" s="22">
        <f t="shared" si="128"/>
        <v>37</v>
      </c>
    </row>
    <row r="5995" spans="1:18">
      <c r="A5995" s="64">
        <v>11470</v>
      </c>
      <c r="B5995" s="62">
        <v>43465</v>
      </c>
      <c r="C5995" s="63" t="s">
        <v>19855</v>
      </c>
      <c r="D5995" s="62">
        <v>43458</v>
      </c>
      <c r="E5995" s="63" t="s">
        <v>38</v>
      </c>
      <c r="F5995" s="63" t="s">
        <v>1771</v>
      </c>
      <c r="G5995" s="63" t="s">
        <v>20</v>
      </c>
      <c r="H5995" s="63" t="s">
        <v>189</v>
      </c>
      <c r="I5995" s="63" t="s">
        <v>21</v>
      </c>
      <c r="J5995" s="63" t="s">
        <v>19856</v>
      </c>
      <c r="K5995" s="63" t="s">
        <v>19857</v>
      </c>
      <c r="L5995" s="63" t="s">
        <v>14909</v>
      </c>
      <c r="M5995" s="63" t="s">
        <v>21</v>
      </c>
      <c r="O5995" s="108">
        <v>43474</v>
      </c>
      <c r="P5995" s="65" t="s">
        <v>21</v>
      </c>
      <c r="Q5995" s="66" t="b">
        <v>0</v>
      </c>
      <c r="R5995" s="22">
        <f t="shared" si="128"/>
        <v>9</v>
      </c>
    </row>
    <row r="5996" spans="1:18">
      <c r="A5996" s="64">
        <v>11471</v>
      </c>
      <c r="B5996" s="62">
        <v>43465</v>
      </c>
      <c r="C5996" s="63" t="s">
        <v>19861</v>
      </c>
      <c r="D5996" s="62">
        <v>43460</v>
      </c>
      <c r="E5996" s="63" t="s">
        <v>19862</v>
      </c>
      <c r="F5996" s="63" t="s">
        <v>124</v>
      </c>
      <c r="G5996" s="63" t="s">
        <v>20</v>
      </c>
      <c r="H5996" s="63" t="s">
        <v>71</v>
      </c>
      <c r="I5996" s="63" t="s">
        <v>21</v>
      </c>
      <c r="J5996" s="63" t="s">
        <v>19863</v>
      </c>
      <c r="K5996" s="63" t="s">
        <v>6081</v>
      </c>
      <c r="L5996" s="63" t="s">
        <v>18572</v>
      </c>
      <c r="M5996" s="63" t="s">
        <v>21</v>
      </c>
      <c r="O5996" s="108">
        <v>43521</v>
      </c>
      <c r="P5996" s="65" t="s">
        <v>21</v>
      </c>
      <c r="Q5996" s="66" t="b">
        <v>0</v>
      </c>
      <c r="R5996" s="22">
        <f t="shared" si="128"/>
        <v>55</v>
      </c>
    </row>
    <row r="5997" spans="1:18">
      <c r="A5997" s="64">
        <v>11472</v>
      </c>
      <c r="B5997" s="62">
        <v>43467</v>
      </c>
      <c r="C5997" s="63" t="s">
        <v>20185</v>
      </c>
      <c r="D5997" s="62">
        <v>43467</v>
      </c>
      <c r="E5997" s="63" t="s">
        <v>20186</v>
      </c>
      <c r="F5997" s="63" t="s">
        <v>124</v>
      </c>
      <c r="G5997" s="63" t="s">
        <v>20</v>
      </c>
      <c r="H5997" s="63" t="s">
        <v>71</v>
      </c>
      <c r="I5997" s="63" t="s">
        <v>21</v>
      </c>
      <c r="J5997" s="63" t="s">
        <v>20187</v>
      </c>
      <c r="K5997" s="63" t="s">
        <v>6081</v>
      </c>
      <c r="L5997" s="63" t="s">
        <v>18572</v>
      </c>
      <c r="M5997" s="63" t="s">
        <v>21</v>
      </c>
      <c r="O5997" s="108">
        <v>43469</v>
      </c>
      <c r="P5997" s="65" t="s">
        <v>21</v>
      </c>
      <c r="Q5997" s="66" t="b">
        <v>0</v>
      </c>
      <c r="R5997" s="22">
        <f t="shared" si="128"/>
        <v>2</v>
      </c>
    </row>
    <row r="5998" spans="1:18">
      <c r="A5998" s="64">
        <v>11473</v>
      </c>
      <c r="B5998" s="62">
        <v>43468</v>
      </c>
      <c r="C5998" s="63" t="s">
        <v>20359</v>
      </c>
      <c r="D5998" s="62">
        <v>43467</v>
      </c>
      <c r="E5998" s="63" t="s">
        <v>1928</v>
      </c>
      <c r="F5998" s="63" t="s">
        <v>1743</v>
      </c>
      <c r="G5998" s="63" t="s">
        <v>20</v>
      </c>
      <c r="H5998" s="63" t="s">
        <v>71</v>
      </c>
      <c r="I5998" s="63" t="s">
        <v>21</v>
      </c>
      <c r="J5998" s="63" t="s">
        <v>20360</v>
      </c>
      <c r="K5998" s="63" t="s">
        <v>20361</v>
      </c>
      <c r="L5998" s="63" t="s">
        <v>4282</v>
      </c>
      <c r="M5998" s="63" t="s">
        <v>21</v>
      </c>
      <c r="O5998" s="108">
        <v>43489</v>
      </c>
      <c r="P5998" s="65" t="s">
        <v>21</v>
      </c>
      <c r="Q5998" s="66" t="b">
        <v>0</v>
      </c>
      <c r="R5998" s="22">
        <f t="shared" si="128"/>
        <v>21</v>
      </c>
    </row>
    <row r="5999" spans="1:18">
      <c r="A5999" s="64">
        <v>11474</v>
      </c>
      <c r="B5999" s="62">
        <v>43468</v>
      </c>
      <c r="C5999" s="63" t="s">
        <v>20450</v>
      </c>
      <c r="D5999" s="62">
        <v>43467</v>
      </c>
      <c r="E5999" s="63" t="s">
        <v>20451</v>
      </c>
      <c r="F5999" s="63" t="s">
        <v>211</v>
      </c>
      <c r="G5999" s="63" t="s">
        <v>20</v>
      </c>
      <c r="H5999" s="63" t="s">
        <v>212</v>
      </c>
      <c r="I5999" s="63" t="s">
        <v>21</v>
      </c>
      <c r="J5999" s="63" t="s">
        <v>20452</v>
      </c>
      <c r="K5999" s="63" t="s">
        <v>9348</v>
      </c>
      <c r="L5999" s="63" t="s">
        <v>7167</v>
      </c>
      <c r="M5999" s="63" t="s">
        <v>20641</v>
      </c>
      <c r="O5999" s="108">
        <v>44559</v>
      </c>
      <c r="P5999" s="65" t="s">
        <v>21</v>
      </c>
      <c r="Q5999" s="66" t="b">
        <v>0</v>
      </c>
      <c r="R5999" s="22">
        <f t="shared" si="128"/>
        <v>1090</v>
      </c>
    </row>
    <row r="6000" spans="1:18">
      <c r="A6000" s="64">
        <v>11476</v>
      </c>
      <c r="B6000" s="62">
        <v>43472</v>
      </c>
      <c r="C6000" s="63" t="s">
        <v>20362</v>
      </c>
      <c r="D6000" s="62">
        <v>43472</v>
      </c>
      <c r="E6000" s="63" t="s">
        <v>1928</v>
      </c>
      <c r="F6000" s="63" t="s">
        <v>1743</v>
      </c>
      <c r="G6000" s="63" t="s">
        <v>20</v>
      </c>
      <c r="H6000" s="63" t="s">
        <v>71</v>
      </c>
      <c r="I6000" s="63" t="s">
        <v>21</v>
      </c>
      <c r="J6000" s="63" t="s">
        <v>20363</v>
      </c>
      <c r="K6000" s="63" t="s">
        <v>21</v>
      </c>
      <c r="L6000" s="63" t="s">
        <v>14349</v>
      </c>
      <c r="M6000" s="63" t="s">
        <v>21</v>
      </c>
      <c r="O6000" s="108">
        <v>43473</v>
      </c>
      <c r="P6000" s="65" t="s">
        <v>21</v>
      </c>
      <c r="Q6000" s="66" t="b">
        <v>0</v>
      </c>
      <c r="R6000" s="22">
        <f t="shared" si="128"/>
        <v>1</v>
      </c>
    </row>
    <row r="6001" spans="1:18">
      <c r="A6001" s="64">
        <v>11477</v>
      </c>
      <c r="B6001" s="62">
        <v>43473</v>
      </c>
      <c r="C6001" s="63" t="s">
        <v>20364</v>
      </c>
      <c r="D6001" s="62">
        <v>43473</v>
      </c>
      <c r="E6001" s="63" t="s">
        <v>1928</v>
      </c>
      <c r="F6001" s="63" t="s">
        <v>1743</v>
      </c>
      <c r="G6001" s="63" t="s">
        <v>20</v>
      </c>
      <c r="H6001" s="63" t="s">
        <v>71</v>
      </c>
      <c r="I6001" s="63" t="s">
        <v>21</v>
      </c>
      <c r="J6001" s="63" t="s">
        <v>20363</v>
      </c>
      <c r="K6001" s="63" t="s">
        <v>21</v>
      </c>
      <c r="L6001" s="63" t="s">
        <v>14349</v>
      </c>
      <c r="M6001" s="63" t="s">
        <v>21</v>
      </c>
      <c r="O6001" s="108">
        <v>43480</v>
      </c>
      <c r="P6001" s="65" t="s">
        <v>21</v>
      </c>
      <c r="Q6001" s="66" t="b">
        <v>0</v>
      </c>
      <c r="R6001" s="22">
        <f t="shared" si="128"/>
        <v>7</v>
      </c>
    </row>
    <row r="6002" spans="1:18">
      <c r="A6002" s="64">
        <v>11483</v>
      </c>
      <c r="B6002" s="62">
        <v>43476</v>
      </c>
      <c r="C6002" s="63" t="s">
        <v>20365</v>
      </c>
      <c r="D6002" s="62">
        <v>43476</v>
      </c>
      <c r="E6002" s="63" t="s">
        <v>1928</v>
      </c>
      <c r="F6002" s="63" t="s">
        <v>1743</v>
      </c>
      <c r="G6002" s="63" t="s">
        <v>20</v>
      </c>
      <c r="H6002" s="63" t="s">
        <v>71</v>
      </c>
      <c r="I6002" s="63" t="s">
        <v>21</v>
      </c>
      <c r="J6002" s="63" t="s">
        <v>20363</v>
      </c>
      <c r="K6002" s="63" t="s">
        <v>21</v>
      </c>
      <c r="L6002" s="63" t="s">
        <v>14349</v>
      </c>
      <c r="M6002" s="63" t="s">
        <v>21</v>
      </c>
      <c r="O6002" s="108">
        <v>43480</v>
      </c>
      <c r="P6002" s="65" t="s">
        <v>21</v>
      </c>
      <c r="Q6002" s="66" t="b">
        <v>0</v>
      </c>
      <c r="R6002" s="22">
        <f t="shared" si="128"/>
        <v>4</v>
      </c>
    </row>
    <row r="6003" spans="1:18">
      <c r="A6003" s="64">
        <v>11484</v>
      </c>
      <c r="B6003" s="62">
        <v>43479</v>
      </c>
      <c r="C6003" s="63" t="s">
        <v>20140</v>
      </c>
      <c r="D6003" s="62">
        <v>43476</v>
      </c>
      <c r="E6003" s="63" t="s">
        <v>20141</v>
      </c>
      <c r="F6003" s="63" t="s">
        <v>974</v>
      </c>
      <c r="G6003" s="63" t="s">
        <v>20</v>
      </c>
      <c r="H6003" s="63" t="s">
        <v>212</v>
      </c>
      <c r="I6003" s="63" t="s">
        <v>21</v>
      </c>
      <c r="J6003" s="63" t="s">
        <v>20142</v>
      </c>
      <c r="K6003" s="63" t="s">
        <v>14825</v>
      </c>
      <c r="L6003" s="63" t="s">
        <v>7167</v>
      </c>
      <c r="M6003" s="63" t="s">
        <v>21</v>
      </c>
      <c r="O6003" s="108">
        <v>43719</v>
      </c>
      <c r="P6003" s="65" t="s">
        <v>21</v>
      </c>
      <c r="Q6003" s="66" t="b">
        <v>0</v>
      </c>
      <c r="R6003" s="22">
        <f t="shared" si="128"/>
        <v>240</v>
      </c>
    </row>
    <row r="6004" spans="1:18">
      <c r="A6004" s="64">
        <v>11485</v>
      </c>
      <c r="B6004" s="62">
        <v>43479</v>
      </c>
      <c r="C6004" s="63" t="s">
        <v>20188</v>
      </c>
      <c r="D6004" s="62">
        <v>43479</v>
      </c>
      <c r="E6004" s="63" t="s">
        <v>20189</v>
      </c>
      <c r="F6004" s="63" t="s">
        <v>861</v>
      </c>
      <c r="G6004" s="63" t="s">
        <v>20</v>
      </c>
      <c r="H6004" s="63" t="s">
        <v>566</v>
      </c>
      <c r="I6004" s="63" t="s">
        <v>21</v>
      </c>
      <c r="J6004" s="63" t="s">
        <v>18342</v>
      </c>
      <c r="K6004" s="63" t="s">
        <v>6081</v>
      </c>
      <c r="L6004" s="63" t="s">
        <v>1946</v>
      </c>
      <c r="M6004" s="63" t="s">
        <v>21</v>
      </c>
      <c r="O6004" s="108">
        <v>43577</v>
      </c>
      <c r="P6004" s="65" t="s">
        <v>21</v>
      </c>
      <c r="Q6004" s="66" t="b">
        <v>0</v>
      </c>
      <c r="R6004" s="22">
        <f t="shared" si="128"/>
        <v>99</v>
      </c>
    </row>
    <row r="6005" spans="1:18">
      <c r="A6005" s="64">
        <v>11486</v>
      </c>
      <c r="B6005" s="62">
        <v>43480</v>
      </c>
      <c r="C6005" s="63" t="s">
        <v>20190</v>
      </c>
      <c r="D6005" s="62">
        <v>43479</v>
      </c>
      <c r="E6005" s="63" t="s">
        <v>20191</v>
      </c>
      <c r="F6005" s="63" t="s">
        <v>6298</v>
      </c>
      <c r="G6005" s="63" t="s">
        <v>20</v>
      </c>
      <c r="H6005" s="63" t="s">
        <v>71</v>
      </c>
      <c r="I6005" s="63" t="s">
        <v>21</v>
      </c>
      <c r="J6005" s="63" t="s">
        <v>18737</v>
      </c>
      <c r="K6005" s="63" t="s">
        <v>14158</v>
      </c>
      <c r="L6005" s="63" t="s">
        <v>1946</v>
      </c>
      <c r="M6005" s="63" t="s">
        <v>21</v>
      </c>
      <c r="O6005" s="108">
        <v>43616</v>
      </c>
      <c r="P6005" s="65" t="s">
        <v>21</v>
      </c>
      <c r="Q6005" s="66" t="b">
        <v>0</v>
      </c>
      <c r="R6005" s="22">
        <f t="shared" si="128"/>
        <v>137</v>
      </c>
    </row>
    <row r="6006" spans="1:18">
      <c r="A6006" s="64">
        <v>11487</v>
      </c>
      <c r="B6006" s="62">
        <v>43481</v>
      </c>
      <c r="C6006" s="63" t="s">
        <v>20453</v>
      </c>
      <c r="D6006" s="62">
        <v>43480</v>
      </c>
      <c r="E6006" s="63" t="s">
        <v>20454</v>
      </c>
      <c r="F6006" s="63" t="s">
        <v>1771</v>
      </c>
      <c r="G6006" s="63" t="s">
        <v>20</v>
      </c>
      <c r="H6006" s="63" t="s">
        <v>189</v>
      </c>
      <c r="I6006" s="63" t="s">
        <v>21</v>
      </c>
      <c r="J6006" s="63" t="s">
        <v>20455</v>
      </c>
      <c r="K6006" s="63" t="s">
        <v>9348</v>
      </c>
      <c r="L6006" s="63" t="s">
        <v>7167</v>
      </c>
      <c r="M6006" s="63" t="s">
        <v>14909</v>
      </c>
      <c r="O6006" s="108">
        <v>44043</v>
      </c>
      <c r="P6006" s="65" t="s">
        <v>21</v>
      </c>
      <c r="Q6006" s="66" t="b">
        <v>0</v>
      </c>
      <c r="R6006" s="22">
        <f t="shared" si="128"/>
        <v>562</v>
      </c>
    </row>
    <row r="6007" spans="1:18">
      <c r="A6007" s="64">
        <v>11488</v>
      </c>
      <c r="B6007" s="62">
        <v>43481</v>
      </c>
      <c r="C6007" s="63" t="s">
        <v>20456</v>
      </c>
      <c r="D6007" s="62">
        <v>43480</v>
      </c>
      <c r="E6007" s="63" t="s">
        <v>20457</v>
      </c>
      <c r="F6007" s="63" t="s">
        <v>124</v>
      </c>
      <c r="G6007" s="63" t="s">
        <v>20</v>
      </c>
      <c r="H6007" s="63" t="s">
        <v>71</v>
      </c>
      <c r="I6007" s="63" t="s">
        <v>21</v>
      </c>
      <c r="J6007" s="63" t="s">
        <v>19446</v>
      </c>
      <c r="K6007" s="63" t="s">
        <v>20458</v>
      </c>
      <c r="L6007" s="63" t="s">
        <v>4282</v>
      </c>
      <c r="M6007" s="63" t="s">
        <v>14909</v>
      </c>
      <c r="O6007" s="90">
        <v>44733</v>
      </c>
      <c r="P6007" s="65" t="s">
        <v>21</v>
      </c>
      <c r="Q6007" s="66" t="b">
        <v>0</v>
      </c>
      <c r="R6007" s="22">
        <f t="shared" si="128"/>
        <v>1252</v>
      </c>
    </row>
    <row r="6008" spans="1:18">
      <c r="A6008" s="64">
        <v>11489</v>
      </c>
      <c r="B6008" s="62">
        <v>43482</v>
      </c>
      <c r="C6008" s="63" t="s">
        <v>20366</v>
      </c>
      <c r="D6008" s="62">
        <v>43481</v>
      </c>
      <c r="E6008" s="63" t="s">
        <v>1928</v>
      </c>
      <c r="F6008" s="63" t="s">
        <v>1743</v>
      </c>
      <c r="G6008" s="63" t="s">
        <v>20</v>
      </c>
      <c r="H6008" s="63" t="s">
        <v>71</v>
      </c>
      <c r="I6008" s="63" t="s">
        <v>21</v>
      </c>
      <c r="J6008" s="63" t="s">
        <v>20367</v>
      </c>
      <c r="K6008" s="63" t="s">
        <v>21</v>
      </c>
      <c r="L6008" s="63" t="s">
        <v>18572</v>
      </c>
      <c r="M6008" s="63" t="s">
        <v>21</v>
      </c>
      <c r="O6008" s="108">
        <v>43496</v>
      </c>
      <c r="P6008" s="65" t="s">
        <v>21</v>
      </c>
      <c r="Q6008" s="66" t="b">
        <v>0</v>
      </c>
      <c r="R6008" s="22">
        <f t="shared" si="128"/>
        <v>14</v>
      </c>
    </row>
    <row r="6009" spans="1:18">
      <c r="A6009" s="64">
        <v>11490</v>
      </c>
      <c r="B6009" s="62">
        <v>43488</v>
      </c>
      <c r="C6009" s="63" t="s">
        <v>20000</v>
      </c>
      <c r="D6009" s="62">
        <v>43488</v>
      </c>
      <c r="E6009" s="63" t="s">
        <v>38</v>
      </c>
      <c r="F6009" s="63" t="s">
        <v>733</v>
      </c>
      <c r="G6009" s="63" t="s">
        <v>20</v>
      </c>
      <c r="H6009" s="63" t="s">
        <v>71</v>
      </c>
      <c r="I6009" s="63" t="s">
        <v>21</v>
      </c>
      <c r="J6009" s="63" t="s">
        <v>20001</v>
      </c>
      <c r="K6009" s="63" t="s">
        <v>20002</v>
      </c>
      <c r="L6009" s="63" t="s">
        <v>7167</v>
      </c>
      <c r="M6009" s="63" t="s">
        <v>21</v>
      </c>
      <c r="O6009" s="108">
        <v>43493</v>
      </c>
      <c r="P6009" s="65" t="s">
        <v>21</v>
      </c>
      <c r="Q6009" s="66" t="b">
        <v>0</v>
      </c>
      <c r="R6009" s="22">
        <f t="shared" si="128"/>
        <v>5</v>
      </c>
    </row>
    <row r="6010" spans="1:18">
      <c r="A6010" s="64">
        <v>11491</v>
      </c>
      <c r="B6010" s="62">
        <v>43489</v>
      </c>
      <c r="C6010" s="63" t="s">
        <v>20192</v>
      </c>
      <c r="D6010" s="62">
        <v>43483</v>
      </c>
      <c r="E6010" s="63" t="s">
        <v>20193</v>
      </c>
      <c r="F6010" s="63" t="s">
        <v>345</v>
      </c>
      <c r="G6010" s="63" t="s">
        <v>20</v>
      </c>
      <c r="H6010" s="63" t="s">
        <v>71</v>
      </c>
      <c r="I6010" s="63" t="s">
        <v>21</v>
      </c>
      <c r="J6010" s="63" t="s">
        <v>19838</v>
      </c>
      <c r="K6010" s="63" t="s">
        <v>15287</v>
      </c>
      <c r="L6010" s="63" t="s">
        <v>18572</v>
      </c>
      <c r="M6010" s="63" t="s">
        <v>21</v>
      </c>
      <c r="O6010" s="108">
        <v>43503</v>
      </c>
      <c r="P6010" s="65" t="s">
        <v>21</v>
      </c>
      <c r="Q6010" s="66" t="b">
        <v>0</v>
      </c>
      <c r="R6010" s="22">
        <f t="shared" si="128"/>
        <v>13</v>
      </c>
    </row>
    <row r="6011" spans="1:18">
      <c r="A6011" s="64">
        <v>11492</v>
      </c>
      <c r="B6011" s="62">
        <v>43493</v>
      </c>
      <c r="C6011" s="63" t="s">
        <v>20150</v>
      </c>
      <c r="D6011" s="62">
        <v>43493</v>
      </c>
      <c r="E6011" s="63" t="s">
        <v>20151</v>
      </c>
      <c r="F6011" s="63" t="s">
        <v>19</v>
      </c>
      <c r="G6011" s="63" t="s">
        <v>20</v>
      </c>
      <c r="H6011" s="63" t="s">
        <v>71</v>
      </c>
      <c r="I6011" s="63" t="s">
        <v>21</v>
      </c>
      <c r="J6011" s="63" t="s">
        <v>20152</v>
      </c>
      <c r="K6011" s="63" t="s">
        <v>16399</v>
      </c>
      <c r="L6011" s="63" t="s">
        <v>1946</v>
      </c>
      <c r="M6011" s="63" t="s">
        <v>21</v>
      </c>
      <c r="O6011" s="108">
        <v>43598</v>
      </c>
      <c r="P6011" s="65" t="s">
        <v>21</v>
      </c>
      <c r="Q6011" s="66" t="b">
        <v>0</v>
      </c>
      <c r="R6011" s="22">
        <f t="shared" si="128"/>
        <v>106</v>
      </c>
    </row>
    <row r="6012" spans="1:18">
      <c r="A6012" s="64">
        <v>11493</v>
      </c>
      <c r="B6012" s="62">
        <v>43500</v>
      </c>
      <c r="C6012" s="63" t="s">
        <v>20368</v>
      </c>
      <c r="D6012" s="62">
        <v>43500</v>
      </c>
      <c r="E6012" s="63" t="s">
        <v>1928</v>
      </c>
      <c r="F6012" s="63" t="s">
        <v>1743</v>
      </c>
      <c r="G6012" s="63" t="s">
        <v>20</v>
      </c>
      <c r="H6012" s="63" t="s">
        <v>71</v>
      </c>
      <c r="I6012" s="63" t="s">
        <v>21</v>
      </c>
      <c r="J6012" s="63" t="s">
        <v>20369</v>
      </c>
      <c r="K6012" s="63" t="s">
        <v>21</v>
      </c>
      <c r="L6012" s="63" t="s">
        <v>3271</v>
      </c>
      <c r="M6012" s="63" t="s">
        <v>21</v>
      </c>
      <c r="O6012" s="108">
        <v>43508</v>
      </c>
      <c r="P6012" s="65" t="s">
        <v>21</v>
      </c>
      <c r="Q6012" s="66" t="b">
        <v>0</v>
      </c>
      <c r="R6012" s="22">
        <f t="shared" si="128"/>
        <v>8</v>
      </c>
    </row>
    <row r="6013" spans="1:18">
      <c r="A6013" s="64">
        <v>11494</v>
      </c>
      <c r="B6013" s="62">
        <v>43500</v>
      </c>
      <c r="C6013" s="63" t="s">
        <v>20370</v>
      </c>
      <c r="D6013" s="62">
        <v>43500</v>
      </c>
      <c r="E6013" s="63" t="s">
        <v>1928</v>
      </c>
      <c r="F6013" s="63" t="s">
        <v>1743</v>
      </c>
      <c r="G6013" s="63" t="s">
        <v>20</v>
      </c>
      <c r="H6013" s="63" t="s">
        <v>71</v>
      </c>
      <c r="I6013" s="63" t="s">
        <v>21</v>
      </c>
      <c r="J6013" s="63" t="s">
        <v>20371</v>
      </c>
      <c r="K6013" s="63" t="s">
        <v>20006</v>
      </c>
      <c r="L6013" s="63" t="s">
        <v>4282</v>
      </c>
      <c r="M6013" s="63" t="s">
        <v>21</v>
      </c>
      <c r="O6013" s="108">
        <v>43501</v>
      </c>
      <c r="P6013" s="65" t="s">
        <v>21</v>
      </c>
      <c r="Q6013" s="66" t="b">
        <v>0</v>
      </c>
      <c r="R6013" s="22">
        <f t="shared" si="128"/>
        <v>1</v>
      </c>
    </row>
    <row r="6014" spans="1:18">
      <c r="A6014" s="64">
        <v>11495</v>
      </c>
      <c r="B6014" s="62">
        <v>43501</v>
      </c>
      <c r="C6014" s="63" t="s">
        <v>20459</v>
      </c>
      <c r="D6014" s="62">
        <v>43501</v>
      </c>
      <c r="E6014" s="63" t="s">
        <v>20460</v>
      </c>
      <c r="F6014" s="63" t="s">
        <v>52</v>
      </c>
      <c r="G6014" s="63" t="s">
        <v>20</v>
      </c>
      <c r="H6014" s="63" t="s">
        <v>71</v>
      </c>
      <c r="I6014" s="63" t="s">
        <v>21</v>
      </c>
      <c r="J6014" s="63" t="s">
        <v>20461</v>
      </c>
      <c r="K6014" s="63" t="s">
        <v>20462</v>
      </c>
      <c r="L6014" s="63" t="s">
        <v>7167</v>
      </c>
      <c r="M6014" s="63" t="s">
        <v>21</v>
      </c>
      <c r="O6014" s="108">
        <v>44301</v>
      </c>
      <c r="P6014" s="65" t="s">
        <v>21</v>
      </c>
      <c r="Q6014" s="66" t="b">
        <v>0</v>
      </c>
      <c r="R6014" s="22">
        <f t="shared" si="128"/>
        <v>800</v>
      </c>
    </row>
    <row r="6015" spans="1:18">
      <c r="A6015" s="64">
        <v>11497</v>
      </c>
      <c r="B6015" s="62">
        <v>43510</v>
      </c>
      <c r="C6015" s="63" t="s">
        <v>20003</v>
      </c>
      <c r="D6015" s="62">
        <v>43508</v>
      </c>
      <c r="E6015" s="63" t="s">
        <v>38</v>
      </c>
      <c r="F6015" s="63" t="s">
        <v>1743</v>
      </c>
      <c r="G6015" s="63" t="s">
        <v>20</v>
      </c>
      <c r="H6015" s="63" t="s">
        <v>71</v>
      </c>
      <c r="I6015" s="63" t="s">
        <v>21</v>
      </c>
      <c r="J6015" s="63" t="s">
        <v>1841</v>
      </c>
      <c r="K6015" s="63" t="s">
        <v>20004</v>
      </c>
      <c r="L6015" s="63" t="s">
        <v>7167</v>
      </c>
      <c r="M6015" s="63" t="s">
        <v>21</v>
      </c>
      <c r="O6015" s="108">
        <v>43523</v>
      </c>
      <c r="P6015" s="65" t="s">
        <v>21</v>
      </c>
      <c r="Q6015" s="66" t="b">
        <v>0</v>
      </c>
      <c r="R6015" s="22">
        <f t="shared" si="128"/>
        <v>13</v>
      </c>
    </row>
    <row r="6016" spans="1:18">
      <c r="A6016" s="64">
        <v>11498</v>
      </c>
      <c r="B6016" s="62">
        <v>43516</v>
      </c>
      <c r="C6016" s="63" t="s">
        <v>20372</v>
      </c>
      <c r="D6016" s="62">
        <v>43515</v>
      </c>
      <c r="E6016" s="63" t="s">
        <v>1928</v>
      </c>
      <c r="F6016" s="63" t="s">
        <v>1743</v>
      </c>
      <c r="G6016" s="63" t="s">
        <v>20</v>
      </c>
      <c r="H6016" s="63" t="s">
        <v>71</v>
      </c>
      <c r="I6016" s="63" t="s">
        <v>21</v>
      </c>
      <c r="J6016" s="63" t="s">
        <v>16780</v>
      </c>
      <c r="K6016" s="63" t="s">
        <v>18346</v>
      </c>
      <c r="L6016" s="63" t="s">
        <v>1946</v>
      </c>
      <c r="M6016" s="63" t="s">
        <v>21</v>
      </c>
      <c r="O6016" s="108">
        <v>43528</v>
      </c>
      <c r="P6016" s="65" t="s">
        <v>21</v>
      </c>
      <c r="Q6016" s="66" t="b">
        <v>0</v>
      </c>
      <c r="R6016" s="22">
        <f t="shared" si="128"/>
        <v>14</v>
      </c>
    </row>
    <row r="6017" spans="1:18" ht="24">
      <c r="A6017" s="64">
        <v>11499</v>
      </c>
      <c r="B6017" s="62">
        <v>43516</v>
      </c>
      <c r="C6017" s="63" t="s">
        <v>20463</v>
      </c>
      <c r="D6017" s="62">
        <v>43516</v>
      </c>
      <c r="E6017" s="63" t="s">
        <v>20464</v>
      </c>
      <c r="F6017" s="63" t="s">
        <v>52</v>
      </c>
      <c r="G6017" s="63" t="s">
        <v>20</v>
      </c>
      <c r="H6017" s="63" t="s">
        <v>71</v>
      </c>
      <c r="I6017" s="63" t="s">
        <v>21</v>
      </c>
      <c r="J6017" s="63" t="s">
        <v>20465</v>
      </c>
      <c r="K6017" s="63" t="s">
        <v>21</v>
      </c>
      <c r="L6017" s="63" t="s">
        <v>7167</v>
      </c>
      <c r="M6017" s="63" t="s">
        <v>21</v>
      </c>
      <c r="O6017" s="108">
        <v>44301</v>
      </c>
      <c r="P6017" s="65" t="s">
        <v>21</v>
      </c>
      <c r="Q6017" s="66" t="b">
        <v>0</v>
      </c>
      <c r="R6017" s="22">
        <f t="shared" si="128"/>
        <v>785</v>
      </c>
    </row>
    <row r="6018" spans="1:18" ht="24">
      <c r="A6018" s="64">
        <v>11500</v>
      </c>
      <c r="B6018" s="62">
        <v>43517</v>
      </c>
      <c r="C6018" s="63" t="s">
        <v>20143</v>
      </c>
      <c r="D6018" s="62">
        <v>43517</v>
      </c>
      <c r="E6018" s="63" t="s">
        <v>20144</v>
      </c>
      <c r="F6018" s="63" t="s">
        <v>12633</v>
      </c>
      <c r="G6018" s="63" t="s">
        <v>20</v>
      </c>
      <c r="H6018" s="63" t="s">
        <v>212</v>
      </c>
      <c r="I6018" s="63" t="s">
        <v>21</v>
      </c>
      <c r="J6018" s="63" t="s">
        <v>20145</v>
      </c>
      <c r="K6018" s="63" t="s">
        <v>14825</v>
      </c>
      <c r="L6018" s="63" t="s">
        <v>14909</v>
      </c>
      <c r="M6018" s="63" t="s">
        <v>21</v>
      </c>
      <c r="O6018" s="108">
        <v>43567</v>
      </c>
      <c r="P6018" s="65" t="s">
        <v>21</v>
      </c>
      <c r="Q6018" s="66" t="b">
        <v>0</v>
      </c>
      <c r="R6018" s="22">
        <f t="shared" si="128"/>
        <v>51</v>
      </c>
    </row>
    <row r="6019" spans="1:18">
      <c r="A6019" s="64">
        <v>11501</v>
      </c>
      <c r="B6019" s="62">
        <v>43518</v>
      </c>
      <c r="C6019" s="63" t="s">
        <v>20005</v>
      </c>
      <c r="D6019" s="62">
        <v>43514</v>
      </c>
      <c r="E6019" s="63" t="s">
        <v>38</v>
      </c>
      <c r="F6019" s="63" t="s">
        <v>1743</v>
      </c>
      <c r="G6019" s="63" t="s">
        <v>20</v>
      </c>
      <c r="H6019" s="63" t="s">
        <v>71</v>
      </c>
      <c r="I6019" s="63" t="s">
        <v>21</v>
      </c>
      <c r="J6019" s="63" t="s">
        <v>20006</v>
      </c>
      <c r="K6019" s="63" t="s">
        <v>21</v>
      </c>
      <c r="L6019" s="63" t="s">
        <v>18572</v>
      </c>
      <c r="M6019" s="63" t="s">
        <v>21</v>
      </c>
      <c r="O6019" s="108">
        <v>43523</v>
      </c>
      <c r="P6019" s="65" t="s">
        <v>21</v>
      </c>
      <c r="Q6019" s="66" t="b">
        <v>0</v>
      </c>
      <c r="R6019" s="22">
        <f t="shared" si="128"/>
        <v>5</v>
      </c>
    </row>
    <row r="6020" spans="1:18">
      <c r="A6020" s="64">
        <v>11502</v>
      </c>
      <c r="B6020" s="62">
        <v>43523</v>
      </c>
      <c r="C6020" s="63" t="s">
        <v>20007</v>
      </c>
      <c r="D6020" s="62">
        <v>43521</v>
      </c>
      <c r="E6020" s="63" t="s">
        <v>38</v>
      </c>
      <c r="F6020" s="63" t="s">
        <v>1743</v>
      </c>
      <c r="G6020" s="63" t="s">
        <v>20</v>
      </c>
      <c r="H6020" s="63" t="s">
        <v>71</v>
      </c>
      <c r="I6020" s="63" t="s">
        <v>21</v>
      </c>
      <c r="J6020" s="63" t="s">
        <v>20008</v>
      </c>
      <c r="K6020" s="63" t="s">
        <v>21</v>
      </c>
      <c r="L6020" s="63" t="s">
        <v>14909</v>
      </c>
      <c r="M6020" s="63" t="s">
        <v>21</v>
      </c>
      <c r="O6020" s="108">
        <v>43524</v>
      </c>
      <c r="P6020" s="65" t="s">
        <v>21</v>
      </c>
      <c r="Q6020" s="66" t="b">
        <v>0</v>
      </c>
      <c r="R6020" s="22">
        <f t="shared" si="128"/>
        <v>1</v>
      </c>
    </row>
    <row r="6021" spans="1:18">
      <c r="A6021" s="64">
        <v>11503</v>
      </c>
      <c r="B6021" s="62">
        <v>43524</v>
      </c>
      <c r="C6021" s="63" t="s">
        <v>20429</v>
      </c>
      <c r="D6021" s="62">
        <v>43523</v>
      </c>
      <c r="E6021" s="63" t="s">
        <v>20430</v>
      </c>
      <c r="F6021" s="63" t="s">
        <v>3430</v>
      </c>
      <c r="G6021" s="63" t="s">
        <v>20</v>
      </c>
      <c r="H6021" s="63" t="s">
        <v>71</v>
      </c>
      <c r="I6021" s="63" t="s">
        <v>21</v>
      </c>
      <c r="J6021" s="63" t="s">
        <v>20431</v>
      </c>
      <c r="K6021" s="63" t="s">
        <v>14825</v>
      </c>
      <c r="L6021" s="63" t="s">
        <v>1946</v>
      </c>
      <c r="M6021" s="63" t="s">
        <v>14909</v>
      </c>
      <c r="O6021" s="108">
        <v>43970</v>
      </c>
      <c r="P6021" s="65" t="s">
        <v>21</v>
      </c>
      <c r="Q6021" s="66" t="b">
        <v>0</v>
      </c>
      <c r="R6021" s="22">
        <f t="shared" si="128"/>
        <v>445</v>
      </c>
    </row>
    <row r="6022" spans="1:18" ht="24">
      <c r="A6022" s="64">
        <v>11504</v>
      </c>
      <c r="B6022" s="62">
        <v>43524</v>
      </c>
      <c r="C6022" s="63" t="s">
        <v>20194</v>
      </c>
      <c r="D6022" s="62">
        <v>43524</v>
      </c>
      <c r="E6022" s="63" t="s">
        <v>20195</v>
      </c>
      <c r="F6022" s="63" t="s">
        <v>56</v>
      </c>
      <c r="G6022" s="63" t="s">
        <v>20</v>
      </c>
      <c r="H6022" s="63" t="s">
        <v>71</v>
      </c>
      <c r="I6022" s="63" t="s">
        <v>21</v>
      </c>
      <c r="J6022" s="63" t="s">
        <v>20196</v>
      </c>
      <c r="K6022" s="63" t="s">
        <v>6081</v>
      </c>
      <c r="L6022" s="63" t="s">
        <v>4282</v>
      </c>
      <c r="M6022" s="63" t="s">
        <v>21</v>
      </c>
      <c r="O6022" s="108">
        <v>43608</v>
      </c>
      <c r="P6022" s="65" t="s">
        <v>21</v>
      </c>
      <c r="Q6022" s="66" t="b">
        <v>0</v>
      </c>
      <c r="R6022" s="22">
        <f t="shared" si="128"/>
        <v>84</v>
      </c>
    </row>
    <row r="6023" spans="1:18" ht="24">
      <c r="A6023" s="64">
        <v>11505</v>
      </c>
      <c r="B6023" s="62">
        <v>43525</v>
      </c>
      <c r="C6023" s="63" t="s">
        <v>20197</v>
      </c>
      <c r="D6023" s="62">
        <v>43524</v>
      </c>
      <c r="E6023" s="63" t="s">
        <v>20198</v>
      </c>
      <c r="F6023" s="63" t="s">
        <v>984</v>
      </c>
      <c r="G6023" s="63" t="s">
        <v>20</v>
      </c>
      <c r="H6023" s="63" t="s">
        <v>71</v>
      </c>
      <c r="I6023" s="63" t="s">
        <v>21</v>
      </c>
      <c r="J6023" s="63" t="s">
        <v>20199</v>
      </c>
      <c r="K6023" s="63" t="s">
        <v>6081</v>
      </c>
      <c r="L6023" s="63" t="s">
        <v>1946</v>
      </c>
      <c r="M6023" s="63" t="s">
        <v>21</v>
      </c>
      <c r="O6023" s="108">
        <v>43691</v>
      </c>
      <c r="P6023" s="65" t="s">
        <v>21</v>
      </c>
      <c r="Q6023" s="66" t="b">
        <v>0</v>
      </c>
      <c r="R6023" s="22">
        <f t="shared" si="128"/>
        <v>165</v>
      </c>
    </row>
    <row r="6024" spans="1:18">
      <c r="A6024" s="64">
        <v>11506</v>
      </c>
      <c r="B6024" s="62">
        <v>43525</v>
      </c>
      <c r="C6024" s="63" t="s">
        <v>20432</v>
      </c>
      <c r="D6024" s="62">
        <v>43525</v>
      </c>
      <c r="E6024" s="63" t="s">
        <v>20433</v>
      </c>
      <c r="F6024" s="63" t="s">
        <v>3171</v>
      </c>
      <c r="G6024" s="63" t="s">
        <v>20</v>
      </c>
      <c r="H6024" s="63" t="s">
        <v>566</v>
      </c>
      <c r="I6024" s="63" t="s">
        <v>21</v>
      </c>
      <c r="J6024" s="63" t="s">
        <v>13507</v>
      </c>
      <c r="K6024" s="63" t="s">
        <v>14825</v>
      </c>
      <c r="L6024" s="63" t="s">
        <v>7167</v>
      </c>
      <c r="M6024" s="63" t="s">
        <v>21</v>
      </c>
      <c r="O6024" s="108">
        <v>43909</v>
      </c>
      <c r="P6024" s="65" t="s">
        <v>21</v>
      </c>
      <c r="Q6024" s="66" t="b">
        <v>0</v>
      </c>
      <c r="R6024" s="22">
        <f t="shared" si="128"/>
        <v>383</v>
      </c>
    </row>
    <row r="6025" spans="1:18">
      <c r="A6025" s="64">
        <v>11507</v>
      </c>
      <c r="B6025" s="62">
        <v>43525</v>
      </c>
      <c r="C6025" s="63" t="s">
        <v>20009</v>
      </c>
      <c r="D6025" s="62">
        <v>43524</v>
      </c>
      <c r="E6025" s="63" t="s">
        <v>38</v>
      </c>
      <c r="F6025" s="63" t="s">
        <v>124</v>
      </c>
      <c r="G6025" s="63" t="s">
        <v>20</v>
      </c>
      <c r="H6025" s="63" t="s">
        <v>71</v>
      </c>
      <c r="I6025" s="63" t="s">
        <v>21</v>
      </c>
      <c r="J6025" s="63" t="s">
        <v>20010</v>
      </c>
      <c r="K6025" s="63" t="s">
        <v>6025</v>
      </c>
      <c r="L6025" s="63" t="s">
        <v>18572</v>
      </c>
      <c r="M6025" s="63" t="s">
        <v>21</v>
      </c>
      <c r="O6025" s="108">
        <v>43549</v>
      </c>
      <c r="P6025" s="65" t="s">
        <v>21</v>
      </c>
      <c r="Q6025" s="66" t="b">
        <v>0</v>
      </c>
      <c r="R6025" s="22">
        <f t="shared" si="128"/>
        <v>24</v>
      </c>
    </row>
    <row r="6026" spans="1:18">
      <c r="A6026" s="64">
        <v>11508</v>
      </c>
      <c r="B6026" s="62">
        <v>43528</v>
      </c>
      <c r="C6026" s="63" t="s">
        <v>20200</v>
      </c>
      <c r="D6026" s="62">
        <v>43524</v>
      </c>
      <c r="E6026" s="63" t="s">
        <v>20201</v>
      </c>
      <c r="F6026" s="63" t="s">
        <v>6456</v>
      </c>
      <c r="G6026" s="63" t="s">
        <v>20</v>
      </c>
      <c r="H6026" s="63" t="s">
        <v>189</v>
      </c>
      <c r="I6026" s="63" t="s">
        <v>21</v>
      </c>
      <c r="J6026" s="63" t="s">
        <v>20202</v>
      </c>
      <c r="K6026" s="63" t="s">
        <v>6081</v>
      </c>
      <c r="L6026" s="63" t="s">
        <v>1946</v>
      </c>
      <c r="M6026" s="63" t="s">
        <v>21</v>
      </c>
      <c r="O6026" s="108">
        <v>43616</v>
      </c>
      <c r="P6026" s="65" t="s">
        <v>21</v>
      </c>
      <c r="Q6026" s="66" t="b">
        <v>0</v>
      </c>
      <c r="R6026" s="22">
        <f t="shared" si="128"/>
        <v>88</v>
      </c>
    </row>
    <row r="6027" spans="1:18">
      <c r="A6027" s="64">
        <v>11509</v>
      </c>
      <c r="B6027" s="62">
        <v>43528</v>
      </c>
      <c r="C6027" s="63" t="s">
        <v>20203</v>
      </c>
      <c r="D6027" s="62">
        <v>43524</v>
      </c>
      <c r="E6027" s="63" t="s">
        <v>20204</v>
      </c>
      <c r="F6027" s="63" t="s">
        <v>124</v>
      </c>
      <c r="G6027" s="63" t="s">
        <v>20</v>
      </c>
      <c r="H6027" s="63" t="s">
        <v>71</v>
      </c>
      <c r="I6027" s="63" t="s">
        <v>21</v>
      </c>
      <c r="J6027" s="63" t="s">
        <v>20205</v>
      </c>
      <c r="K6027" s="63" t="s">
        <v>20206</v>
      </c>
      <c r="L6027" s="63" t="s">
        <v>14909</v>
      </c>
      <c r="M6027" s="63" t="s">
        <v>21</v>
      </c>
      <c r="O6027" s="108">
        <v>43544</v>
      </c>
      <c r="P6027" s="65" t="s">
        <v>21</v>
      </c>
      <c r="Q6027" s="66" t="b">
        <v>0</v>
      </c>
      <c r="R6027" s="22">
        <f t="shared" si="128"/>
        <v>16</v>
      </c>
    </row>
    <row r="6028" spans="1:18" ht="24">
      <c r="A6028" s="64">
        <v>11510</v>
      </c>
      <c r="B6028" s="62">
        <v>43529</v>
      </c>
      <c r="C6028" s="63" t="s">
        <v>20466</v>
      </c>
      <c r="D6028" s="62">
        <v>43529</v>
      </c>
      <c r="E6028" s="63" t="s">
        <v>20467</v>
      </c>
      <c r="F6028" s="63" t="s">
        <v>104</v>
      </c>
      <c r="G6028" s="63" t="s">
        <v>20</v>
      </c>
      <c r="H6028" s="63" t="s">
        <v>71</v>
      </c>
      <c r="I6028" s="63" t="s">
        <v>21</v>
      </c>
      <c r="J6028" s="63" t="s">
        <v>20468</v>
      </c>
      <c r="K6028" s="63" t="s">
        <v>18224</v>
      </c>
      <c r="L6028" s="63" t="s">
        <v>21142</v>
      </c>
      <c r="M6028" s="63" t="s">
        <v>21571</v>
      </c>
      <c r="O6028" s="90">
        <v>44698</v>
      </c>
      <c r="P6028" s="65" t="s">
        <v>21</v>
      </c>
      <c r="Q6028" s="66" t="b">
        <v>0</v>
      </c>
      <c r="R6028" s="22">
        <f t="shared" si="128"/>
        <v>1168</v>
      </c>
    </row>
    <row r="6029" spans="1:18" ht="24">
      <c r="A6029" s="64">
        <v>11511</v>
      </c>
      <c r="B6029" s="62">
        <v>43537</v>
      </c>
      <c r="C6029" s="63" t="s">
        <v>20207</v>
      </c>
      <c r="D6029" s="62">
        <v>43537</v>
      </c>
      <c r="E6029" s="63" t="s">
        <v>20036</v>
      </c>
      <c r="F6029" s="63" t="s">
        <v>242</v>
      </c>
      <c r="G6029" s="63" t="s">
        <v>20</v>
      </c>
      <c r="H6029" s="63" t="s">
        <v>71</v>
      </c>
      <c r="I6029" s="63" t="s">
        <v>21</v>
      </c>
      <c r="J6029" s="63" t="s">
        <v>20208</v>
      </c>
      <c r="K6029" s="63" t="s">
        <v>6081</v>
      </c>
      <c r="L6029" s="63" t="s">
        <v>7167</v>
      </c>
      <c r="M6029" s="63" t="s">
        <v>21</v>
      </c>
      <c r="O6029" s="108">
        <v>43556</v>
      </c>
      <c r="P6029" s="65" t="s">
        <v>21</v>
      </c>
      <c r="Q6029" s="66" t="b">
        <v>0</v>
      </c>
      <c r="R6029" s="22">
        <f t="shared" si="128"/>
        <v>18</v>
      </c>
    </row>
    <row r="6030" spans="1:18">
      <c r="A6030" s="64">
        <v>11512</v>
      </c>
      <c r="B6030" s="62">
        <v>43539</v>
      </c>
      <c r="C6030" s="63" t="s">
        <v>20011</v>
      </c>
      <c r="D6030" s="62">
        <v>43539</v>
      </c>
      <c r="E6030" s="63" t="s">
        <v>38</v>
      </c>
      <c r="F6030" s="63" t="s">
        <v>242</v>
      </c>
      <c r="G6030" s="63" t="s">
        <v>20</v>
      </c>
      <c r="H6030" s="63" t="s">
        <v>71</v>
      </c>
      <c r="I6030" s="63" t="s">
        <v>21</v>
      </c>
      <c r="J6030" s="63" t="s">
        <v>20012</v>
      </c>
      <c r="K6030" s="63" t="s">
        <v>21</v>
      </c>
      <c r="L6030" s="63" t="s">
        <v>7167</v>
      </c>
      <c r="M6030" s="63" t="s">
        <v>21</v>
      </c>
      <c r="O6030" s="108">
        <v>43567</v>
      </c>
      <c r="P6030" s="65" t="s">
        <v>21</v>
      </c>
      <c r="Q6030" s="66" t="b">
        <v>0</v>
      </c>
      <c r="R6030" s="22">
        <f t="shared" si="128"/>
        <v>27</v>
      </c>
    </row>
    <row r="6031" spans="1:18">
      <c r="A6031" s="64">
        <v>11513</v>
      </c>
      <c r="B6031" s="62">
        <v>43539</v>
      </c>
      <c r="C6031" s="63" t="s">
        <v>20013</v>
      </c>
      <c r="D6031" s="62">
        <v>43538</v>
      </c>
      <c r="E6031" s="63" t="s">
        <v>38</v>
      </c>
      <c r="F6031" s="63" t="s">
        <v>1743</v>
      </c>
      <c r="G6031" s="63" t="s">
        <v>20</v>
      </c>
      <c r="H6031" s="63" t="s">
        <v>71</v>
      </c>
      <c r="I6031" s="63" t="s">
        <v>21</v>
      </c>
      <c r="J6031" s="63" t="s">
        <v>20014</v>
      </c>
      <c r="K6031" s="63" t="s">
        <v>20015</v>
      </c>
      <c r="L6031" s="63" t="s">
        <v>14909</v>
      </c>
      <c r="M6031" s="63" t="s">
        <v>21</v>
      </c>
      <c r="O6031" s="108">
        <v>43545</v>
      </c>
      <c r="P6031" s="65" t="s">
        <v>21</v>
      </c>
      <c r="Q6031" s="66" t="b">
        <v>0</v>
      </c>
      <c r="R6031" s="22">
        <f t="shared" si="128"/>
        <v>6</v>
      </c>
    </row>
    <row r="6032" spans="1:18">
      <c r="A6032" s="64">
        <v>11514</v>
      </c>
      <c r="B6032" s="62">
        <v>43539</v>
      </c>
      <c r="C6032" s="63" t="s">
        <v>20016</v>
      </c>
      <c r="D6032" s="62">
        <v>43539</v>
      </c>
      <c r="E6032" s="63" t="s">
        <v>38</v>
      </c>
      <c r="F6032" s="63" t="s">
        <v>13422</v>
      </c>
      <c r="G6032" s="63" t="s">
        <v>20</v>
      </c>
      <c r="H6032" s="63" t="s">
        <v>71</v>
      </c>
      <c r="I6032" s="63" t="s">
        <v>21</v>
      </c>
      <c r="J6032" s="63" t="s">
        <v>20017</v>
      </c>
      <c r="K6032" s="63" t="s">
        <v>20018</v>
      </c>
      <c r="L6032" s="63" t="s">
        <v>7167</v>
      </c>
      <c r="M6032" s="63" t="s">
        <v>21</v>
      </c>
      <c r="O6032" s="108">
        <v>43539</v>
      </c>
      <c r="P6032" s="65" t="s">
        <v>21</v>
      </c>
      <c r="Q6032" s="66" t="b">
        <v>0</v>
      </c>
      <c r="R6032" s="22">
        <f t="shared" si="128"/>
        <v>0</v>
      </c>
    </row>
    <row r="6033" spans="1:18" ht="24">
      <c r="A6033" s="64">
        <v>11515</v>
      </c>
      <c r="B6033" s="62">
        <v>43539</v>
      </c>
      <c r="C6033" s="63" t="s">
        <v>20019</v>
      </c>
      <c r="D6033" s="62">
        <v>43539</v>
      </c>
      <c r="E6033" s="63" t="s">
        <v>38</v>
      </c>
      <c r="F6033" s="63" t="s">
        <v>242</v>
      </c>
      <c r="G6033" s="63" t="s">
        <v>20</v>
      </c>
      <c r="H6033" s="63" t="s">
        <v>71</v>
      </c>
      <c r="I6033" s="63" t="s">
        <v>21</v>
      </c>
      <c r="J6033" s="63" t="s">
        <v>20020</v>
      </c>
      <c r="K6033" s="63" t="s">
        <v>14825</v>
      </c>
      <c r="L6033" s="63" t="s">
        <v>18572</v>
      </c>
      <c r="M6033" s="63" t="s">
        <v>21</v>
      </c>
      <c r="O6033" s="108">
        <v>43543</v>
      </c>
      <c r="P6033" s="65" t="s">
        <v>21</v>
      </c>
      <c r="Q6033" s="66" t="b">
        <v>0</v>
      </c>
      <c r="R6033" s="22">
        <f t="shared" si="128"/>
        <v>4</v>
      </c>
    </row>
    <row r="6034" spans="1:18">
      <c r="A6034" s="64">
        <v>11517</v>
      </c>
      <c r="B6034" s="62">
        <v>43551</v>
      </c>
      <c r="C6034" s="63" t="s">
        <v>20128</v>
      </c>
      <c r="D6034" s="62">
        <v>43551</v>
      </c>
      <c r="E6034" s="63" t="s">
        <v>20129</v>
      </c>
      <c r="F6034" s="63" t="s">
        <v>94</v>
      </c>
      <c r="G6034" s="63" t="s">
        <v>20</v>
      </c>
      <c r="H6034" s="63" t="s">
        <v>71</v>
      </c>
      <c r="I6034" s="63" t="s">
        <v>21</v>
      </c>
      <c r="J6034" s="63" t="s">
        <v>20018</v>
      </c>
      <c r="K6034" s="63" t="s">
        <v>9263</v>
      </c>
      <c r="L6034" s="63" t="s">
        <v>4282</v>
      </c>
      <c r="M6034" s="63" t="s">
        <v>21</v>
      </c>
      <c r="O6034" s="108">
        <v>43553</v>
      </c>
      <c r="P6034" s="65" t="s">
        <v>21</v>
      </c>
      <c r="Q6034" s="66" t="b">
        <v>0</v>
      </c>
      <c r="R6034" s="22">
        <f t="shared" si="128"/>
        <v>2</v>
      </c>
    </row>
    <row r="6035" spans="1:18">
      <c r="A6035" s="64">
        <v>11518</v>
      </c>
      <c r="B6035" s="62">
        <v>43552</v>
      </c>
      <c r="C6035" s="63" t="s">
        <v>20021</v>
      </c>
      <c r="D6035" s="62">
        <v>43552</v>
      </c>
      <c r="E6035" s="63" t="s">
        <v>38</v>
      </c>
      <c r="F6035" s="63" t="s">
        <v>216</v>
      </c>
      <c r="G6035" s="63" t="s">
        <v>20</v>
      </c>
      <c r="H6035" s="63" t="s">
        <v>71</v>
      </c>
      <c r="I6035" s="63" t="s">
        <v>21</v>
      </c>
      <c r="J6035" s="63" t="s">
        <v>20022</v>
      </c>
      <c r="K6035" s="63" t="s">
        <v>15287</v>
      </c>
      <c r="L6035" s="63" t="s">
        <v>1946</v>
      </c>
      <c r="M6035" s="63" t="s">
        <v>21</v>
      </c>
      <c r="O6035" s="108">
        <v>43570</v>
      </c>
      <c r="P6035" s="65" t="s">
        <v>21</v>
      </c>
      <c r="Q6035" s="66" t="b">
        <v>0</v>
      </c>
      <c r="R6035" s="22">
        <f t="shared" si="128"/>
        <v>17</v>
      </c>
    </row>
    <row r="6036" spans="1:18">
      <c r="A6036" s="64">
        <v>11519</v>
      </c>
      <c r="B6036" s="62">
        <v>43557</v>
      </c>
      <c r="C6036" s="63" t="s">
        <v>20023</v>
      </c>
      <c r="D6036" s="62">
        <v>43556</v>
      </c>
      <c r="E6036" s="63" t="s">
        <v>38</v>
      </c>
      <c r="F6036" s="63" t="s">
        <v>4242</v>
      </c>
      <c r="G6036" s="63" t="s">
        <v>20</v>
      </c>
      <c r="H6036" s="63" t="s">
        <v>71</v>
      </c>
      <c r="I6036" s="63" t="s">
        <v>21</v>
      </c>
      <c r="J6036" s="63" t="s">
        <v>20024</v>
      </c>
      <c r="K6036" s="63" t="s">
        <v>20025</v>
      </c>
      <c r="L6036" s="63" t="s">
        <v>4282</v>
      </c>
      <c r="M6036" s="63" t="s">
        <v>21</v>
      </c>
      <c r="O6036" s="108">
        <v>43558</v>
      </c>
      <c r="P6036" s="65" t="s">
        <v>21</v>
      </c>
      <c r="Q6036" s="66" t="b">
        <v>0</v>
      </c>
      <c r="R6036" s="22">
        <f t="shared" si="128"/>
        <v>1</v>
      </c>
    </row>
    <row r="6037" spans="1:18">
      <c r="A6037" s="64">
        <v>11520</v>
      </c>
      <c r="B6037" s="62">
        <v>43557</v>
      </c>
      <c r="C6037" s="63" t="s">
        <v>20026</v>
      </c>
      <c r="D6037" s="62">
        <v>43557</v>
      </c>
      <c r="E6037" s="63" t="s">
        <v>38</v>
      </c>
      <c r="F6037" s="63" t="s">
        <v>12633</v>
      </c>
      <c r="G6037" s="63" t="s">
        <v>20</v>
      </c>
      <c r="H6037" s="63" t="s">
        <v>71</v>
      </c>
      <c r="I6037" s="63" t="s">
        <v>21</v>
      </c>
      <c r="J6037" s="63" t="s">
        <v>20027</v>
      </c>
      <c r="K6037" s="63" t="s">
        <v>21</v>
      </c>
      <c r="L6037" s="63" t="s">
        <v>18572</v>
      </c>
      <c r="M6037" s="63" t="s">
        <v>21</v>
      </c>
      <c r="O6037" s="108">
        <v>43560</v>
      </c>
      <c r="P6037" s="65" t="s">
        <v>21</v>
      </c>
      <c r="Q6037" s="66" t="b">
        <v>0</v>
      </c>
      <c r="R6037" s="22">
        <f t="shared" si="128"/>
        <v>3</v>
      </c>
    </row>
    <row r="6038" spans="1:18" ht="24">
      <c r="A6038" s="64">
        <v>11521</v>
      </c>
      <c r="B6038" s="62">
        <v>43558</v>
      </c>
      <c r="C6038" s="63" t="s">
        <v>20130</v>
      </c>
      <c r="D6038" s="62">
        <v>43558</v>
      </c>
      <c r="E6038" s="63" t="s">
        <v>20131</v>
      </c>
      <c r="F6038" s="63" t="s">
        <v>16653</v>
      </c>
      <c r="G6038" s="63" t="s">
        <v>20</v>
      </c>
      <c r="H6038" s="63" t="s">
        <v>71</v>
      </c>
      <c r="I6038" s="63" t="s">
        <v>21</v>
      </c>
      <c r="J6038" s="63" t="s">
        <v>20132</v>
      </c>
      <c r="K6038" s="63" t="s">
        <v>16654</v>
      </c>
      <c r="L6038" s="63" t="s">
        <v>4282</v>
      </c>
      <c r="M6038" s="63" t="s">
        <v>21</v>
      </c>
      <c r="O6038" s="108">
        <v>43581</v>
      </c>
      <c r="P6038" s="65" t="s">
        <v>21</v>
      </c>
      <c r="Q6038" s="66" t="b">
        <v>0</v>
      </c>
      <c r="R6038" s="22">
        <f t="shared" si="128"/>
        <v>23</v>
      </c>
    </row>
    <row r="6039" spans="1:18">
      <c r="A6039" s="64">
        <v>11522</v>
      </c>
      <c r="B6039" s="62">
        <v>43558</v>
      </c>
      <c r="C6039" s="63" t="s">
        <v>20028</v>
      </c>
      <c r="D6039" s="62">
        <v>43558</v>
      </c>
      <c r="E6039" s="63" t="s">
        <v>38</v>
      </c>
      <c r="F6039" s="63" t="s">
        <v>124</v>
      </c>
      <c r="G6039" s="63" t="s">
        <v>20</v>
      </c>
      <c r="H6039" s="63" t="s">
        <v>71</v>
      </c>
      <c r="I6039" s="63" t="s">
        <v>21</v>
      </c>
      <c r="J6039" s="63" t="s">
        <v>20029</v>
      </c>
      <c r="K6039" s="63" t="s">
        <v>20030</v>
      </c>
      <c r="L6039" s="63" t="s">
        <v>18572</v>
      </c>
      <c r="M6039" s="63" t="s">
        <v>21</v>
      </c>
      <c r="O6039" s="108">
        <v>43616</v>
      </c>
      <c r="P6039" s="65" t="s">
        <v>21</v>
      </c>
      <c r="Q6039" s="66" t="b">
        <v>0</v>
      </c>
      <c r="R6039" s="22">
        <f t="shared" si="128"/>
        <v>58</v>
      </c>
    </row>
    <row r="6040" spans="1:18">
      <c r="A6040" s="64">
        <v>11523</v>
      </c>
      <c r="B6040" s="62">
        <v>43559</v>
      </c>
      <c r="C6040" s="63" t="s">
        <v>20031</v>
      </c>
      <c r="D6040" s="62">
        <v>43559</v>
      </c>
      <c r="E6040" s="63" t="s">
        <v>38</v>
      </c>
      <c r="F6040" s="63" t="s">
        <v>3430</v>
      </c>
      <c r="G6040" s="63" t="s">
        <v>20</v>
      </c>
      <c r="H6040" s="63" t="s">
        <v>71</v>
      </c>
      <c r="I6040" s="63" t="s">
        <v>21</v>
      </c>
      <c r="J6040" s="63" t="s">
        <v>20032</v>
      </c>
      <c r="K6040" s="63" t="s">
        <v>20033</v>
      </c>
      <c r="L6040" s="63" t="s">
        <v>14349</v>
      </c>
      <c r="M6040" s="63" t="s">
        <v>21</v>
      </c>
      <c r="O6040" s="108">
        <v>43559</v>
      </c>
      <c r="P6040" s="65" t="s">
        <v>21</v>
      </c>
      <c r="Q6040" s="66" t="b">
        <v>0</v>
      </c>
      <c r="R6040" s="22">
        <f t="shared" si="128"/>
        <v>0</v>
      </c>
    </row>
    <row r="6041" spans="1:18">
      <c r="A6041" s="64">
        <v>11524</v>
      </c>
      <c r="B6041" s="62">
        <v>43560</v>
      </c>
      <c r="C6041" s="63" t="s">
        <v>20034</v>
      </c>
      <c r="D6041" s="62">
        <v>43560</v>
      </c>
      <c r="E6041" s="63" t="s">
        <v>38</v>
      </c>
      <c r="F6041" s="63" t="s">
        <v>10106</v>
      </c>
      <c r="G6041" s="63" t="s">
        <v>20</v>
      </c>
      <c r="H6041" s="63" t="s">
        <v>71</v>
      </c>
      <c r="I6041" s="63" t="s">
        <v>21</v>
      </c>
      <c r="J6041" s="63" t="s">
        <v>4690</v>
      </c>
      <c r="K6041" s="63" t="s">
        <v>14825</v>
      </c>
      <c r="L6041" s="63" t="s">
        <v>18572</v>
      </c>
      <c r="M6041" s="63" t="s">
        <v>21</v>
      </c>
      <c r="O6041" s="108">
        <v>43565</v>
      </c>
      <c r="P6041" s="65" t="s">
        <v>21</v>
      </c>
      <c r="Q6041" s="66" t="b">
        <v>0</v>
      </c>
      <c r="R6041" s="22">
        <f t="shared" si="128"/>
        <v>5</v>
      </c>
    </row>
    <row r="6042" spans="1:18">
      <c r="A6042" s="64">
        <v>11525</v>
      </c>
      <c r="B6042" s="62">
        <v>43563</v>
      </c>
      <c r="C6042" s="63" t="s">
        <v>20035</v>
      </c>
      <c r="D6042" s="62">
        <v>43563</v>
      </c>
      <c r="E6042" s="63" t="s">
        <v>38</v>
      </c>
      <c r="F6042" s="63" t="s">
        <v>242</v>
      </c>
      <c r="G6042" s="63" t="s">
        <v>20</v>
      </c>
      <c r="H6042" s="63" t="s">
        <v>71</v>
      </c>
      <c r="I6042" s="63" t="s">
        <v>21</v>
      </c>
      <c r="J6042" s="63" t="s">
        <v>20036</v>
      </c>
      <c r="K6042" s="63" t="s">
        <v>20037</v>
      </c>
      <c r="L6042" s="63" t="s">
        <v>7167</v>
      </c>
      <c r="M6042" s="63" t="s">
        <v>21</v>
      </c>
      <c r="O6042" s="108">
        <v>43567</v>
      </c>
      <c r="P6042" s="65" t="s">
        <v>21</v>
      </c>
      <c r="Q6042" s="66" t="b">
        <v>0</v>
      </c>
      <c r="R6042" s="22">
        <f t="shared" si="128"/>
        <v>4</v>
      </c>
    </row>
    <row r="6043" spans="1:18">
      <c r="A6043" s="64">
        <v>11526</v>
      </c>
      <c r="B6043" s="62">
        <v>43564</v>
      </c>
      <c r="C6043" s="63" t="s">
        <v>20038</v>
      </c>
      <c r="D6043" s="62">
        <v>43563</v>
      </c>
      <c r="E6043" s="63" t="s">
        <v>38</v>
      </c>
      <c r="F6043" s="63" t="s">
        <v>10106</v>
      </c>
      <c r="G6043" s="63" t="s">
        <v>20</v>
      </c>
      <c r="H6043" s="63" t="s">
        <v>71</v>
      </c>
      <c r="I6043" s="63" t="s">
        <v>21</v>
      </c>
      <c r="J6043" s="63" t="s">
        <v>20039</v>
      </c>
      <c r="K6043" s="63" t="s">
        <v>10947</v>
      </c>
      <c r="L6043" s="63" t="s">
        <v>18572</v>
      </c>
      <c r="M6043" s="63" t="s">
        <v>21</v>
      </c>
      <c r="O6043" s="108">
        <v>43567</v>
      </c>
      <c r="P6043" s="65" t="s">
        <v>21</v>
      </c>
      <c r="Q6043" s="66" t="b">
        <v>0</v>
      </c>
      <c r="R6043" s="22">
        <f t="shared" si="128"/>
        <v>3</v>
      </c>
    </row>
    <row r="6044" spans="1:18" ht="24">
      <c r="A6044" s="64">
        <v>11527</v>
      </c>
      <c r="B6044" s="62">
        <v>43564</v>
      </c>
      <c r="C6044" s="63" t="s">
        <v>20040</v>
      </c>
      <c r="D6044" s="62">
        <v>43564</v>
      </c>
      <c r="E6044" s="63" t="s">
        <v>38</v>
      </c>
      <c r="F6044" s="63" t="s">
        <v>7020</v>
      </c>
      <c r="G6044" s="63" t="s">
        <v>20</v>
      </c>
      <c r="H6044" s="63" t="s">
        <v>71</v>
      </c>
      <c r="I6044" s="63" t="s">
        <v>21</v>
      </c>
      <c r="J6044" s="63" t="s">
        <v>20041</v>
      </c>
      <c r="K6044" s="63" t="s">
        <v>21</v>
      </c>
      <c r="L6044" s="63" t="s">
        <v>7167</v>
      </c>
      <c r="M6044" s="63" t="s">
        <v>21</v>
      </c>
      <c r="O6044" s="108">
        <v>43585</v>
      </c>
      <c r="P6044" s="65" t="s">
        <v>21</v>
      </c>
      <c r="Q6044" s="66" t="b">
        <v>0</v>
      </c>
      <c r="R6044" s="22">
        <f t="shared" si="128"/>
        <v>21</v>
      </c>
    </row>
    <row r="6045" spans="1:18">
      <c r="A6045" s="64">
        <v>11528</v>
      </c>
      <c r="B6045" s="62">
        <v>43565</v>
      </c>
      <c r="C6045" s="63" t="s">
        <v>20469</v>
      </c>
      <c r="D6045" s="62">
        <v>43564</v>
      </c>
      <c r="E6045" s="63" t="s">
        <v>20470</v>
      </c>
      <c r="F6045" s="63" t="s">
        <v>7030</v>
      </c>
      <c r="G6045" s="63" t="s">
        <v>20</v>
      </c>
      <c r="H6045" s="63" t="s">
        <v>71</v>
      </c>
      <c r="I6045" s="63" t="s">
        <v>21</v>
      </c>
      <c r="J6045" s="63" t="s">
        <v>20471</v>
      </c>
      <c r="K6045" s="63" t="s">
        <v>20472</v>
      </c>
      <c r="L6045" s="63" t="s">
        <v>4282</v>
      </c>
      <c r="M6045" s="63" t="s">
        <v>21</v>
      </c>
      <c r="O6045" s="90">
        <v>44740</v>
      </c>
      <c r="P6045" s="65" t="s">
        <v>21</v>
      </c>
      <c r="Q6045" s="66" t="b">
        <v>0</v>
      </c>
      <c r="R6045" s="22">
        <f t="shared" si="128"/>
        <v>1174</v>
      </c>
    </row>
    <row r="6046" spans="1:18">
      <c r="A6046" s="64">
        <v>11529</v>
      </c>
      <c r="B6046" s="62">
        <v>43570</v>
      </c>
      <c r="C6046" s="63" t="s">
        <v>20042</v>
      </c>
      <c r="D6046" s="62">
        <v>43570</v>
      </c>
      <c r="E6046" s="63" t="s">
        <v>38</v>
      </c>
      <c r="F6046" s="63" t="s">
        <v>242</v>
      </c>
      <c r="G6046" s="63" t="s">
        <v>20</v>
      </c>
      <c r="H6046" s="63" t="s">
        <v>71</v>
      </c>
      <c r="I6046" s="63" t="s">
        <v>21</v>
      </c>
      <c r="J6046" s="63" t="s">
        <v>20043</v>
      </c>
      <c r="K6046" s="63" t="s">
        <v>20036</v>
      </c>
      <c r="L6046" s="63" t="s">
        <v>7167</v>
      </c>
      <c r="M6046" s="63" t="s">
        <v>21</v>
      </c>
      <c r="O6046" s="108">
        <v>43595</v>
      </c>
      <c r="P6046" s="65" t="s">
        <v>21</v>
      </c>
      <c r="Q6046" s="66" t="b">
        <v>0</v>
      </c>
      <c r="R6046" s="22">
        <f t="shared" si="128"/>
        <v>25</v>
      </c>
    </row>
    <row r="6047" spans="1:18">
      <c r="A6047" s="64">
        <v>11530</v>
      </c>
      <c r="B6047" s="62">
        <v>43570</v>
      </c>
      <c r="C6047" s="63" t="s">
        <v>20044</v>
      </c>
      <c r="D6047" s="62">
        <v>43570</v>
      </c>
      <c r="E6047" s="63" t="s">
        <v>38</v>
      </c>
      <c r="F6047" s="63" t="s">
        <v>98</v>
      </c>
      <c r="G6047" s="63" t="s">
        <v>20</v>
      </c>
      <c r="H6047" s="63" t="s">
        <v>71</v>
      </c>
      <c r="I6047" s="63" t="s">
        <v>21</v>
      </c>
      <c r="J6047" s="63" t="s">
        <v>20045</v>
      </c>
      <c r="K6047" s="63" t="s">
        <v>20046</v>
      </c>
      <c r="L6047" s="63" t="s">
        <v>14909</v>
      </c>
      <c r="M6047" s="63" t="s">
        <v>21</v>
      </c>
      <c r="O6047" s="108">
        <v>43573</v>
      </c>
      <c r="P6047" s="65" t="s">
        <v>21</v>
      </c>
      <c r="Q6047" s="66" t="b">
        <v>0</v>
      </c>
      <c r="R6047" s="22">
        <f t="shared" si="128"/>
        <v>3</v>
      </c>
    </row>
    <row r="6048" spans="1:18">
      <c r="A6048" s="64">
        <v>11531</v>
      </c>
      <c r="B6048" s="62">
        <v>43570</v>
      </c>
      <c r="C6048" s="63" t="s">
        <v>20047</v>
      </c>
      <c r="D6048" s="62">
        <v>43570</v>
      </c>
      <c r="E6048" s="63" t="s">
        <v>38</v>
      </c>
      <c r="F6048" s="63" t="s">
        <v>3430</v>
      </c>
      <c r="G6048" s="63" t="s">
        <v>20</v>
      </c>
      <c r="H6048" s="63" t="s">
        <v>71</v>
      </c>
      <c r="I6048" s="63" t="s">
        <v>21</v>
      </c>
      <c r="J6048" s="63" t="s">
        <v>20048</v>
      </c>
      <c r="K6048" s="63" t="s">
        <v>21</v>
      </c>
      <c r="L6048" s="63" t="s">
        <v>14349</v>
      </c>
      <c r="M6048" s="63" t="s">
        <v>21</v>
      </c>
      <c r="O6048" s="108">
        <v>43571</v>
      </c>
      <c r="P6048" s="65" t="s">
        <v>21</v>
      </c>
      <c r="Q6048" s="66" t="b">
        <v>0</v>
      </c>
      <c r="R6048" s="22">
        <f t="shared" si="128"/>
        <v>1</v>
      </c>
    </row>
    <row r="6049" spans="1:18" ht="24">
      <c r="A6049" s="64">
        <v>11532</v>
      </c>
      <c r="B6049" s="62">
        <v>43571</v>
      </c>
      <c r="C6049" s="63" t="s">
        <v>20209</v>
      </c>
      <c r="D6049" s="62">
        <v>43571</v>
      </c>
      <c r="E6049" s="63" t="s">
        <v>20210</v>
      </c>
      <c r="F6049" s="63" t="s">
        <v>149</v>
      </c>
      <c r="G6049" s="63" t="s">
        <v>20</v>
      </c>
      <c r="H6049" s="63" t="s">
        <v>71</v>
      </c>
      <c r="I6049" s="63" t="s">
        <v>21</v>
      </c>
      <c r="J6049" s="63" t="s">
        <v>20211</v>
      </c>
      <c r="K6049" s="63" t="s">
        <v>20212</v>
      </c>
      <c r="L6049" s="63" t="s">
        <v>4282</v>
      </c>
      <c r="M6049" s="63" t="s">
        <v>21</v>
      </c>
      <c r="O6049" s="108">
        <v>43655</v>
      </c>
      <c r="P6049" s="65" t="s">
        <v>21</v>
      </c>
      <c r="Q6049" s="66" t="b">
        <v>0</v>
      </c>
      <c r="R6049" s="22">
        <f t="shared" si="128"/>
        <v>84</v>
      </c>
    </row>
    <row r="6050" spans="1:18">
      <c r="A6050" s="64">
        <v>11533</v>
      </c>
      <c r="B6050" s="62">
        <v>43572</v>
      </c>
      <c r="C6050" s="63" t="s">
        <v>20425</v>
      </c>
      <c r="D6050" s="62">
        <v>43571</v>
      </c>
      <c r="E6050" s="63" t="s">
        <v>20426</v>
      </c>
      <c r="F6050" s="63" t="s">
        <v>12404</v>
      </c>
      <c r="G6050" s="63" t="s">
        <v>20</v>
      </c>
      <c r="H6050" s="63" t="s">
        <v>71</v>
      </c>
      <c r="I6050" s="63" t="s">
        <v>21</v>
      </c>
      <c r="J6050" s="63" t="s">
        <v>20427</v>
      </c>
      <c r="K6050" s="63" t="s">
        <v>20428</v>
      </c>
      <c r="L6050" s="63" t="s">
        <v>14909</v>
      </c>
      <c r="M6050" s="63" t="s">
        <v>1946</v>
      </c>
      <c r="O6050" s="108">
        <v>44011</v>
      </c>
      <c r="P6050" s="65" t="s">
        <v>21</v>
      </c>
      <c r="Q6050" s="66" t="b">
        <v>0</v>
      </c>
      <c r="R6050" s="22">
        <f t="shared" si="128"/>
        <v>438</v>
      </c>
    </row>
    <row r="6051" spans="1:18">
      <c r="A6051" s="64">
        <v>11535</v>
      </c>
      <c r="B6051" s="62">
        <v>43579</v>
      </c>
      <c r="C6051" s="63" t="s">
        <v>20213</v>
      </c>
      <c r="D6051" s="62">
        <v>43579</v>
      </c>
      <c r="E6051" s="63" t="s">
        <v>20214</v>
      </c>
      <c r="F6051" s="63" t="s">
        <v>6277</v>
      </c>
      <c r="G6051" s="63" t="s">
        <v>20</v>
      </c>
      <c r="H6051" s="63" t="s">
        <v>212</v>
      </c>
      <c r="I6051" s="63" t="s">
        <v>21</v>
      </c>
      <c r="J6051" s="63" t="s">
        <v>18342</v>
      </c>
      <c r="K6051" s="63" t="s">
        <v>6081</v>
      </c>
      <c r="L6051" s="63" t="s">
        <v>4282</v>
      </c>
      <c r="M6051" s="63" t="s">
        <v>21</v>
      </c>
      <c r="O6051" s="108">
        <v>43585</v>
      </c>
      <c r="P6051" s="65" t="s">
        <v>21</v>
      </c>
      <c r="Q6051" s="66" t="b">
        <v>0</v>
      </c>
      <c r="R6051" s="22">
        <f t="shared" si="128"/>
        <v>6</v>
      </c>
    </row>
    <row r="6052" spans="1:18">
      <c r="A6052" s="64">
        <v>11537</v>
      </c>
      <c r="B6052" s="62">
        <v>43581</v>
      </c>
      <c r="C6052" s="63" t="s">
        <v>20049</v>
      </c>
      <c r="D6052" s="62">
        <v>43581</v>
      </c>
      <c r="E6052" s="63" t="s">
        <v>38</v>
      </c>
      <c r="F6052" s="63" t="s">
        <v>7020</v>
      </c>
      <c r="G6052" s="63" t="s">
        <v>20</v>
      </c>
      <c r="H6052" s="63" t="s">
        <v>71</v>
      </c>
      <c r="I6052" s="63" t="s">
        <v>21</v>
      </c>
      <c r="J6052" s="63" t="s">
        <v>20050</v>
      </c>
      <c r="K6052" s="63" t="s">
        <v>20051</v>
      </c>
      <c r="L6052" s="63" t="s">
        <v>4282</v>
      </c>
      <c r="M6052" s="63" t="s">
        <v>21</v>
      </c>
      <c r="O6052" s="108">
        <v>43585</v>
      </c>
      <c r="P6052" s="65" t="s">
        <v>21</v>
      </c>
      <c r="Q6052" s="66" t="b">
        <v>0</v>
      </c>
      <c r="R6052" s="22">
        <f t="shared" si="128"/>
        <v>4</v>
      </c>
    </row>
    <row r="6053" spans="1:18">
      <c r="A6053" s="64">
        <v>11538</v>
      </c>
      <c r="B6053" s="62">
        <v>43584</v>
      </c>
      <c r="C6053" s="63" t="s">
        <v>20052</v>
      </c>
      <c r="D6053" s="62">
        <v>43584</v>
      </c>
      <c r="E6053" s="63" t="s">
        <v>38</v>
      </c>
      <c r="F6053" s="63" t="s">
        <v>242</v>
      </c>
      <c r="G6053" s="63" t="s">
        <v>20</v>
      </c>
      <c r="H6053" s="63" t="s">
        <v>71</v>
      </c>
      <c r="I6053" s="63" t="s">
        <v>21</v>
      </c>
      <c r="J6053" s="63" t="s">
        <v>20053</v>
      </c>
      <c r="K6053" s="63" t="s">
        <v>20054</v>
      </c>
      <c r="L6053" s="63" t="s">
        <v>7167</v>
      </c>
      <c r="M6053" s="63" t="s">
        <v>21</v>
      </c>
      <c r="O6053" s="108">
        <v>43595</v>
      </c>
      <c r="P6053" s="65" t="s">
        <v>21</v>
      </c>
      <c r="Q6053" s="66" t="b">
        <v>0</v>
      </c>
      <c r="R6053" s="22">
        <f t="shared" si="128"/>
        <v>11</v>
      </c>
    </row>
    <row r="6054" spans="1:18">
      <c r="A6054" s="64">
        <v>11540</v>
      </c>
      <c r="B6054" s="62">
        <v>43598</v>
      </c>
      <c r="C6054" s="63" t="s">
        <v>20137</v>
      </c>
      <c r="D6054" s="62">
        <v>43598</v>
      </c>
      <c r="E6054" s="63" t="s">
        <v>20138</v>
      </c>
      <c r="F6054" s="63" t="s">
        <v>350</v>
      </c>
      <c r="G6054" s="63" t="s">
        <v>20</v>
      </c>
      <c r="H6054" s="63" t="s">
        <v>71</v>
      </c>
      <c r="I6054" s="63" t="s">
        <v>21</v>
      </c>
      <c r="J6054" s="63" t="s">
        <v>14825</v>
      </c>
      <c r="K6054" s="63" t="s">
        <v>20139</v>
      </c>
      <c r="L6054" s="63" t="s">
        <v>7167</v>
      </c>
      <c r="M6054" s="63" t="s">
        <v>21</v>
      </c>
      <c r="O6054" s="108">
        <v>43651</v>
      </c>
      <c r="P6054" s="65" t="s">
        <v>21</v>
      </c>
      <c r="Q6054" s="66" t="b">
        <v>0</v>
      </c>
      <c r="R6054" s="22">
        <f t="shared" si="128"/>
        <v>52</v>
      </c>
    </row>
    <row r="6055" spans="1:18">
      <c r="A6055" s="64">
        <v>11542</v>
      </c>
      <c r="B6055" s="62">
        <v>43600</v>
      </c>
      <c r="C6055" s="63" t="s">
        <v>20473</v>
      </c>
      <c r="D6055" s="62">
        <v>43600</v>
      </c>
      <c r="E6055" s="63" t="s">
        <v>20474</v>
      </c>
      <c r="F6055" s="63" t="s">
        <v>19</v>
      </c>
      <c r="G6055" s="63" t="s">
        <v>20</v>
      </c>
      <c r="H6055" s="63" t="s">
        <v>71</v>
      </c>
      <c r="I6055" s="63" t="s">
        <v>21</v>
      </c>
      <c r="J6055" s="63" t="s">
        <v>20475</v>
      </c>
      <c r="K6055" s="63" t="s">
        <v>18224</v>
      </c>
      <c r="L6055" s="63" t="s">
        <v>1152</v>
      </c>
      <c r="M6055" s="63" t="s">
        <v>18572</v>
      </c>
      <c r="O6055" s="108">
        <v>44012</v>
      </c>
      <c r="P6055" s="65" t="s">
        <v>21</v>
      </c>
      <c r="Q6055" s="66" t="b">
        <v>0</v>
      </c>
      <c r="R6055" s="22">
        <f t="shared" ref="R6055:R6118" si="129">IF(O6055=" ", " ", INT(YEARFRAC(O6055, B6055)*365))</f>
        <v>410</v>
      </c>
    </row>
    <row r="6056" spans="1:18">
      <c r="A6056" s="64">
        <v>11543</v>
      </c>
      <c r="B6056" s="62">
        <v>43600</v>
      </c>
      <c r="C6056" s="63" t="s">
        <v>20055</v>
      </c>
      <c r="D6056" s="62">
        <v>43600</v>
      </c>
      <c r="E6056" s="63" t="s">
        <v>38</v>
      </c>
      <c r="F6056" s="63" t="s">
        <v>242</v>
      </c>
      <c r="G6056" s="63" t="s">
        <v>20</v>
      </c>
      <c r="H6056" s="63" t="s">
        <v>71</v>
      </c>
      <c r="I6056" s="63" t="s">
        <v>21</v>
      </c>
      <c r="J6056" s="63" t="s">
        <v>20053</v>
      </c>
      <c r="K6056" s="63" t="s">
        <v>20054</v>
      </c>
      <c r="L6056" s="63" t="s">
        <v>7167</v>
      </c>
      <c r="M6056" s="63" t="s">
        <v>21</v>
      </c>
      <c r="O6056" s="108">
        <v>43613</v>
      </c>
      <c r="P6056" s="65" t="s">
        <v>21</v>
      </c>
      <c r="Q6056" s="66" t="b">
        <v>0</v>
      </c>
      <c r="R6056" s="22">
        <f t="shared" si="129"/>
        <v>13</v>
      </c>
    </row>
    <row r="6057" spans="1:18">
      <c r="A6057" s="64">
        <v>11544</v>
      </c>
      <c r="B6057" s="62">
        <v>43605</v>
      </c>
      <c r="C6057" s="63" t="s">
        <v>20133</v>
      </c>
      <c r="D6057" s="62">
        <v>43605</v>
      </c>
      <c r="E6057" s="63" t="s">
        <v>20134</v>
      </c>
      <c r="F6057" s="63" t="s">
        <v>124</v>
      </c>
      <c r="G6057" s="63" t="s">
        <v>20</v>
      </c>
      <c r="H6057" s="63" t="s">
        <v>71</v>
      </c>
      <c r="I6057" s="63" t="s">
        <v>21</v>
      </c>
      <c r="J6057" s="63" t="s">
        <v>20135</v>
      </c>
      <c r="K6057" s="63" t="s">
        <v>20136</v>
      </c>
      <c r="L6057" s="63" t="s">
        <v>1946</v>
      </c>
      <c r="M6057" s="63" t="s">
        <v>21</v>
      </c>
      <c r="O6057" s="108">
        <v>43668</v>
      </c>
      <c r="P6057" s="65" t="s">
        <v>21</v>
      </c>
      <c r="Q6057" s="66" t="b">
        <v>0</v>
      </c>
      <c r="R6057" s="22">
        <f t="shared" si="129"/>
        <v>62</v>
      </c>
    </row>
    <row r="6058" spans="1:18">
      <c r="A6058" s="64">
        <v>11545</v>
      </c>
      <c r="B6058" s="62">
        <v>43606</v>
      </c>
      <c r="C6058" s="63" t="s">
        <v>20056</v>
      </c>
      <c r="D6058" s="62">
        <v>43605</v>
      </c>
      <c r="E6058" s="63" t="s">
        <v>38</v>
      </c>
      <c r="F6058" s="63" t="s">
        <v>124</v>
      </c>
      <c r="G6058" s="63" t="s">
        <v>20</v>
      </c>
      <c r="H6058" s="63" t="s">
        <v>71</v>
      </c>
      <c r="I6058" s="63" t="s">
        <v>21</v>
      </c>
      <c r="J6058" s="63" t="s">
        <v>18547</v>
      </c>
      <c r="K6058" s="63" t="s">
        <v>21</v>
      </c>
      <c r="L6058" s="63" t="s">
        <v>7167</v>
      </c>
      <c r="M6058" s="63" t="s">
        <v>21</v>
      </c>
      <c r="O6058" s="108">
        <v>43613</v>
      </c>
      <c r="P6058" s="65" t="s">
        <v>21</v>
      </c>
      <c r="Q6058" s="66" t="b">
        <v>0</v>
      </c>
      <c r="R6058" s="22">
        <f t="shared" si="129"/>
        <v>7</v>
      </c>
    </row>
    <row r="6059" spans="1:18">
      <c r="A6059" s="64">
        <v>11546</v>
      </c>
      <c r="B6059" s="62">
        <v>43606</v>
      </c>
      <c r="C6059" s="63" t="s">
        <v>20215</v>
      </c>
      <c r="D6059" s="62">
        <v>43605</v>
      </c>
      <c r="E6059" s="63" t="s">
        <v>20216</v>
      </c>
      <c r="F6059" s="63" t="s">
        <v>149</v>
      </c>
      <c r="G6059" s="63" t="s">
        <v>20</v>
      </c>
      <c r="H6059" s="63" t="s">
        <v>71</v>
      </c>
      <c r="I6059" s="63" t="s">
        <v>21</v>
      </c>
      <c r="J6059" s="63" t="s">
        <v>20217</v>
      </c>
      <c r="K6059" s="63" t="s">
        <v>20218</v>
      </c>
      <c r="L6059" s="63" t="s">
        <v>4282</v>
      </c>
      <c r="M6059" s="63" t="s">
        <v>21</v>
      </c>
      <c r="O6059" s="108">
        <v>43655</v>
      </c>
      <c r="P6059" s="65" t="s">
        <v>21</v>
      </c>
      <c r="Q6059" s="66" t="b">
        <v>0</v>
      </c>
      <c r="R6059" s="22">
        <f t="shared" si="129"/>
        <v>48</v>
      </c>
    </row>
    <row r="6060" spans="1:18">
      <c r="A6060" s="64">
        <v>11547</v>
      </c>
      <c r="B6060" s="62">
        <v>43607</v>
      </c>
      <c r="C6060" s="63" t="s">
        <v>20057</v>
      </c>
      <c r="D6060" s="62">
        <v>43606</v>
      </c>
      <c r="E6060" s="63" t="s">
        <v>38</v>
      </c>
      <c r="F6060" s="63" t="s">
        <v>124</v>
      </c>
      <c r="G6060" s="63" t="s">
        <v>20</v>
      </c>
      <c r="H6060" s="63" t="s">
        <v>71</v>
      </c>
      <c r="I6060" s="63" t="s">
        <v>21</v>
      </c>
      <c r="J6060" s="63" t="s">
        <v>20058</v>
      </c>
      <c r="K6060" s="63" t="s">
        <v>20059</v>
      </c>
      <c r="L6060" s="63" t="s">
        <v>18572</v>
      </c>
      <c r="M6060" s="63" t="s">
        <v>21</v>
      </c>
      <c r="O6060" s="108">
        <v>43615</v>
      </c>
      <c r="P6060" s="65" t="s">
        <v>21</v>
      </c>
      <c r="Q6060" s="66" t="b">
        <v>0</v>
      </c>
      <c r="R6060" s="22">
        <f t="shared" si="129"/>
        <v>8</v>
      </c>
    </row>
    <row r="6061" spans="1:18">
      <c r="A6061" s="64">
        <v>11548</v>
      </c>
      <c r="B6061" s="62">
        <v>43608</v>
      </c>
      <c r="C6061" s="63" t="s">
        <v>20476</v>
      </c>
      <c r="D6061" s="62">
        <v>43607</v>
      </c>
      <c r="E6061" s="63" t="s">
        <v>20477</v>
      </c>
      <c r="F6061" s="63" t="s">
        <v>124</v>
      </c>
      <c r="G6061" s="63" t="s">
        <v>20</v>
      </c>
      <c r="H6061" s="63" t="s">
        <v>71</v>
      </c>
      <c r="I6061" s="63" t="s">
        <v>21</v>
      </c>
      <c r="J6061" s="63" t="s">
        <v>20478</v>
      </c>
      <c r="K6061" s="63" t="s">
        <v>9348</v>
      </c>
      <c r="L6061" s="63" t="s">
        <v>7167</v>
      </c>
      <c r="M6061" s="63" t="s">
        <v>21</v>
      </c>
      <c r="O6061" s="90">
        <v>44728</v>
      </c>
      <c r="P6061" s="65" t="s">
        <v>21</v>
      </c>
      <c r="Q6061" s="66" t="b">
        <v>0</v>
      </c>
      <c r="R6061" s="22">
        <f t="shared" si="129"/>
        <v>1118</v>
      </c>
    </row>
    <row r="6062" spans="1:18">
      <c r="A6062" s="64">
        <v>11549</v>
      </c>
      <c r="B6062" s="62">
        <v>43609</v>
      </c>
      <c r="C6062" s="63" t="s">
        <v>20219</v>
      </c>
      <c r="D6062" s="62">
        <v>43609</v>
      </c>
      <c r="E6062" s="63" t="s">
        <v>20220</v>
      </c>
      <c r="F6062" s="63" t="s">
        <v>6298</v>
      </c>
      <c r="G6062" s="63" t="s">
        <v>20</v>
      </c>
      <c r="H6062" s="63" t="s">
        <v>71</v>
      </c>
      <c r="I6062" s="63" t="s">
        <v>21</v>
      </c>
      <c r="J6062" s="63" t="s">
        <v>20221</v>
      </c>
      <c r="K6062" s="63" t="s">
        <v>20222</v>
      </c>
      <c r="L6062" s="63" t="s">
        <v>1946</v>
      </c>
      <c r="M6062" s="63" t="s">
        <v>21</v>
      </c>
      <c r="O6062" s="108">
        <v>43644</v>
      </c>
      <c r="P6062" s="65" t="s">
        <v>21</v>
      </c>
      <c r="Q6062" s="66" t="b">
        <v>0</v>
      </c>
      <c r="R6062" s="22">
        <f t="shared" si="129"/>
        <v>34</v>
      </c>
    </row>
    <row r="6063" spans="1:18">
      <c r="A6063" s="64">
        <v>11550</v>
      </c>
      <c r="B6063" s="62">
        <v>43609</v>
      </c>
      <c r="C6063" s="63" t="s">
        <v>20223</v>
      </c>
      <c r="D6063" s="62">
        <v>43609</v>
      </c>
      <c r="E6063" s="63" t="s">
        <v>20224</v>
      </c>
      <c r="F6063" s="63" t="s">
        <v>19</v>
      </c>
      <c r="G6063" s="63" t="s">
        <v>20</v>
      </c>
      <c r="H6063" s="63" t="s">
        <v>71</v>
      </c>
      <c r="I6063" s="63" t="s">
        <v>21</v>
      </c>
      <c r="J6063" s="63" t="s">
        <v>20221</v>
      </c>
      <c r="K6063" s="63" t="s">
        <v>20222</v>
      </c>
      <c r="L6063" s="63" t="s">
        <v>1946</v>
      </c>
      <c r="M6063" s="63" t="s">
        <v>21</v>
      </c>
      <c r="O6063" s="108">
        <v>43644</v>
      </c>
      <c r="P6063" s="65" t="s">
        <v>21</v>
      </c>
      <c r="Q6063" s="66" t="b">
        <v>0</v>
      </c>
      <c r="R6063" s="22">
        <f t="shared" si="129"/>
        <v>34</v>
      </c>
    </row>
    <row r="6064" spans="1:18">
      <c r="A6064" s="64">
        <v>11551</v>
      </c>
      <c r="B6064" s="62">
        <v>43609</v>
      </c>
      <c r="C6064" s="63" t="s">
        <v>20225</v>
      </c>
      <c r="D6064" s="62">
        <v>43609</v>
      </c>
      <c r="E6064" s="63" t="s">
        <v>20226</v>
      </c>
      <c r="F6064" s="63" t="s">
        <v>6298</v>
      </c>
      <c r="G6064" s="63" t="s">
        <v>20</v>
      </c>
      <c r="H6064" s="63" t="s">
        <v>71</v>
      </c>
      <c r="I6064" s="63" t="s">
        <v>21</v>
      </c>
      <c r="J6064" s="63" t="s">
        <v>20227</v>
      </c>
      <c r="K6064" s="63" t="s">
        <v>20228</v>
      </c>
      <c r="L6064" s="63" t="s">
        <v>1946</v>
      </c>
      <c r="M6064" s="63" t="s">
        <v>21</v>
      </c>
      <c r="O6064" s="108">
        <v>43644</v>
      </c>
      <c r="P6064" s="65" t="s">
        <v>21</v>
      </c>
      <c r="Q6064" s="66" t="b">
        <v>0</v>
      </c>
      <c r="R6064" s="22">
        <f t="shared" si="129"/>
        <v>34</v>
      </c>
    </row>
    <row r="6065" spans="1:18" ht="24">
      <c r="A6065" s="64">
        <v>11552</v>
      </c>
      <c r="B6065" s="62">
        <v>43613</v>
      </c>
      <c r="C6065" s="63" t="s">
        <v>20479</v>
      </c>
      <c r="D6065" s="62">
        <v>43613</v>
      </c>
      <c r="E6065" s="63" t="s">
        <v>20480</v>
      </c>
      <c r="F6065" s="63" t="s">
        <v>56</v>
      </c>
      <c r="G6065" s="63" t="s">
        <v>20</v>
      </c>
      <c r="H6065" s="63" t="s">
        <v>71</v>
      </c>
      <c r="I6065" s="63" t="s">
        <v>21</v>
      </c>
      <c r="J6065" s="63" t="s">
        <v>20481</v>
      </c>
      <c r="K6065" s="63" t="s">
        <v>9348</v>
      </c>
      <c r="L6065" s="63" t="s">
        <v>4282</v>
      </c>
      <c r="M6065" s="63" t="s">
        <v>21</v>
      </c>
      <c r="O6065" s="90">
        <v>44699</v>
      </c>
      <c r="P6065" s="65" t="s">
        <v>21</v>
      </c>
      <c r="Q6065" s="66" t="b">
        <v>0</v>
      </c>
      <c r="R6065" s="22">
        <f t="shared" si="129"/>
        <v>1084</v>
      </c>
    </row>
    <row r="6066" spans="1:18">
      <c r="A6066" s="64">
        <v>11553</v>
      </c>
      <c r="B6066" s="62">
        <v>43614</v>
      </c>
      <c r="C6066" s="63" t="s">
        <v>20229</v>
      </c>
      <c r="D6066" s="62">
        <v>43613</v>
      </c>
      <c r="E6066" s="63" t="s">
        <v>20230</v>
      </c>
      <c r="F6066" s="63" t="s">
        <v>149</v>
      </c>
      <c r="G6066" s="63" t="s">
        <v>20</v>
      </c>
      <c r="H6066" s="63" t="s">
        <v>71</v>
      </c>
      <c r="I6066" s="63" t="s">
        <v>21</v>
      </c>
      <c r="J6066" s="63" t="s">
        <v>2980</v>
      </c>
      <c r="K6066" s="63" t="s">
        <v>20231</v>
      </c>
      <c r="L6066" s="63" t="s">
        <v>14909</v>
      </c>
      <c r="M6066" s="63" t="s">
        <v>21</v>
      </c>
      <c r="O6066" s="108">
        <v>43769</v>
      </c>
      <c r="P6066" s="65" t="s">
        <v>21</v>
      </c>
      <c r="Q6066" s="66" t="b">
        <v>0</v>
      </c>
      <c r="R6066" s="22">
        <f t="shared" si="129"/>
        <v>154</v>
      </c>
    </row>
    <row r="6067" spans="1:18">
      <c r="A6067" s="64">
        <v>11554</v>
      </c>
      <c r="B6067" s="62">
        <v>43614</v>
      </c>
      <c r="C6067" s="63" t="s">
        <v>20060</v>
      </c>
      <c r="D6067" s="62">
        <v>43614</v>
      </c>
      <c r="E6067" s="63" t="s">
        <v>38</v>
      </c>
      <c r="F6067" s="63" t="s">
        <v>27</v>
      </c>
      <c r="G6067" s="63" t="s">
        <v>20</v>
      </c>
      <c r="H6067" s="63" t="s">
        <v>71</v>
      </c>
      <c r="I6067" s="63" t="s">
        <v>21</v>
      </c>
      <c r="J6067" s="63" t="s">
        <v>20061</v>
      </c>
      <c r="K6067" s="63" t="s">
        <v>14825</v>
      </c>
      <c r="L6067" s="63" t="s">
        <v>18572</v>
      </c>
      <c r="M6067" s="63" t="s">
        <v>21</v>
      </c>
      <c r="O6067" s="108">
        <v>43640</v>
      </c>
      <c r="P6067" s="65" t="s">
        <v>21</v>
      </c>
      <c r="Q6067" s="66" t="b">
        <v>0</v>
      </c>
      <c r="R6067" s="22">
        <f t="shared" si="129"/>
        <v>25</v>
      </c>
    </row>
    <row r="6068" spans="1:18">
      <c r="A6068" s="64">
        <v>11556</v>
      </c>
      <c r="B6068" s="62">
        <v>43619</v>
      </c>
      <c r="C6068" s="63" t="s">
        <v>20634</v>
      </c>
      <c r="D6068" s="62">
        <v>43616</v>
      </c>
      <c r="E6068" s="63" t="s">
        <v>20635</v>
      </c>
      <c r="F6068" s="63" t="s">
        <v>19</v>
      </c>
      <c r="G6068" s="63" t="s">
        <v>20</v>
      </c>
      <c r="H6068" s="63" t="s">
        <v>71</v>
      </c>
      <c r="I6068" s="63" t="s">
        <v>21</v>
      </c>
      <c r="J6068" s="63" t="s">
        <v>20636</v>
      </c>
      <c r="K6068" s="63" t="s">
        <v>20637</v>
      </c>
      <c r="L6068" s="63" t="s">
        <v>7167</v>
      </c>
      <c r="M6068" s="63" t="s">
        <v>21</v>
      </c>
      <c r="O6068" s="90">
        <v>44594</v>
      </c>
      <c r="P6068" s="65" t="s">
        <v>21</v>
      </c>
      <c r="Q6068" s="66" t="b">
        <v>0</v>
      </c>
      <c r="R6068" s="22">
        <f t="shared" si="129"/>
        <v>972</v>
      </c>
    </row>
    <row r="6069" spans="1:18">
      <c r="A6069" s="64">
        <v>11558</v>
      </c>
      <c r="B6069" s="62">
        <v>43622</v>
      </c>
      <c r="C6069" s="63" t="s">
        <v>20232</v>
      </c>
      <c r="D6069" s="62">
        <v>43622</v>
      </c>
      <c r="E6069" s="63" t="s">
        <v>20233</v>
      </c>
      <c r="F6069" s="63" t="s">
        <v>984</v>
      </c>
      <c r="G6069" s="63" t="s">
        <v>20</v>
      </c>
      <c r="H6069" s="63" t="s">
        <v>71</v>
      </c>
      <c r="I6069" s="63" t="s">
        <v>21</v>
      </c>
      <c r="J6069" s="63" t="s">
        <v>20234</v>
      </c>
      <c r="K6069" s="63" t="s">
        <v>20235</v>
      </c>
      <c r="L6069" s="63" t="s">
        <v>7167</v>
      </c>
      <c r="M6069" s="63" t="s">
        <v>21</v>
      </c>
      <c r="O6069" s="108">
        <v>43651</v>
      </c>
      <c r="P6069" s="65" t="s">
        <v>21</v>
      </c>
      <c r="Q6069" s="66" t="b">
        <v>0</v>
      </c>
      <c r="R6069" s="22">
        <f t="shared" si="129"/>
        <v>29</v>
      </c>
    </row>
    <row r="6070" spans="1:18">
      <c r="A6070" s="64">
        <v>11559</v>
      </c>
      <c r="B6070" s="62">
        <v>43623</v>
      </c>
      <c r="C6070" s="63" t="s">
        <v>20236</v>
      </c>
      <c r="D6070" s="62">
        <v>43623</v>
      </c>
      <c r="E6070" s="63" t="s">
        <v>20237</v>
      </c>
      <c r="F6070" s="63" t="s">
        <v>12633</v>
      </c>
      <c r="G6070" s="63" t="s">
        <v>20</v>
      </c>
      <c r="H6070" s="63" t="s">
        <v>189</v>
      </c>
      <c r="I6070" s="63" t="s">
        <v>21</v>
      </c>
      <c r="J6070" s="63" t="s">
        <v>20238</v>
      </c>
      <c r="K6070" s="63" t="s">
        <v>6081</v>
      </c>
      <c r="L6070" s="63" t="s">
        <v>14909</v>
      </c>
      <c r="M6070" s="63" t="s">
        <v>21</v>
      </c>
      <c r="O6070" s="108">
        <v>43663</v>
      </c>
      <c r="P6070" s="65" t="s">
        <v>21</v>
      </c>
      <c r="Q6070" s="66" t="b">
        <v>0</v>
      </c>
      <c r="R6070" s="22">
        <f t="shared" si="129"/>
        <v>40</v>
      </c>
    </row>
    <row r="6071" spans="1:18">
      <c r="A6071" s="64">
        <v>11561</v>
      </c>
      <c r="B6071" s="62">
        <v>43626</v>
      </c>
      <c r="C6071" s="63" t="s">
        <v>20062</v>
      </c>
      <c r="D6071" s="62">
        <v>43626</v>
      </c>
      <c r="E6071" s="63" t="s">
        <v>38</v>
      </c>
      <c r="F6071" s="63" t="s">
        <v>15588</v>
      </c>
      <c r="G6071" s="63" t="s">
        <v>20</v>
      </c>
      <c r="H6071" s="63" t="s">
        <v>71</v>
      </c>
      <c r="I6071" s="63" t="s">
        <v>21</v>
      </c>
      <c r="J6071" s="63" t="s">
        <v>20063</v>
      </c>
      <c r="K6071" s="63" t="s">
        <v>21</v>
      </c>
      <c r="L6071" s="63" t="s">
        <v>7167</v>
      </c>
      <c r="M6071" s="63" t="s">
        <v>21</v>
      </c>
      <c r="O6071" s="108">
        <v>43634</v>
      </c>
      <c r="P6071" s="65" t="s">
        <v>21</v>
      </c>
      <c r="Q6071" s="66" t="b">
        <v>0</v>
      </c>
      <c r="R6071" s="22">
        <f t="shared" si="129"/>
        <v>8</v>
      </c>
    </row>
    <row r="6072" spans="1:18">
      <c r="A6072" s="64">
        <v>11562</v>
      </c>
      <c r="B6072" s="62">
        <v>43628</v>
      </c>
      <c r="C6072" s="63" t="s">
        <v>20630</v>
      </c>
      <c r="D6072" s="62">
        <v>43626</v>
      </c>
      <c r="E6072" s="63" t="s">
        <v>20631</v>
      </c>
      <c r="F6072" s="63" t="s">
        <v>149</v>
      </c>
      <c r="G6072" s="63" t="s">
        <v>20</v>
      </c>
      <c r="H6072" s="63" t="s">
        <v>71</v>
      </c>
      <c r="I6072" s="63" t="s">
        <v>21</v>
      </c>
      <c r="J6072" s="63" t="s">
        <v>20632</v>
      </c>
      <c r="K6072" s="63" t="s">
        <v>20633</v>
      </c>
      <c r="L6072" s="63" t="s">
        <v>4282</v>
      </c>
      <c r="M6072" s="63" t="s">
        <v>21</v>
      </c>
      <c r="O6072" s="108">
        <v>43839</v>
      </c>
      <c r="P6072" s="65" t="s">
        <v>21</v>
      </c>
      <c r="Q6072" s="66" t="b">
        <v>0</v>
      </c>
      <c r="R6072" s="22">
        <f t="shared" si="129"/>
        <v>209</v>
      </c>
    </row>
    <row r="6073" spans="1:18">
      <c r="A6073" s="64">
        <v>11563</v>
      </c>
      <c r="B6073" s="62">
        <v>43628</v>
      </c>
      <c r="C6073" s="63" t="s">
        <v>20239</v>
      </c>
      <c r="D6073" s="62">
        <v>43622</v>
      </c>
      <c r="E6073" s="63" t="s">
        <v>20240</v>
      </c>
      <c r="F6073" s="63" t="s">
        <v>20241</v>
      </c>
      <c r="G6073" s="63" t="s">
        <v>20</v>
      </c>
      <c r="H6073" s="63" t="s">
        <v>71</v>
      </c>
      <c r="I6073" s="63" t="s">
        <v>21</v>
      </c>
      <c r="J6073" s="63" t="s">
        <v>20242</v>
      </c>
      <c r="K6073" s="63" t="s">
        <v>20243</v>
      </c>
      <c r="L6073" s="63" t="s">
        <v>14909</v>
      </c>
      <c r="M6073" s="63" t="s">
        <v>21</v>
      </c>
      <c r="O6073" s="108">
        <v>43738</v>
      </c>
      <c r="P6073" s="65" t="s">
        <v>21</v>
      </c>
      <c r="Q6073" s="66" t="b">
        <v>0</v>
      </c>
      <c r="R6073" s="22">
        <f t="shared" si="129"/>
        <v>109</v>
      </c>
    </row>
    <row r="6074" spans="1:18">
      <c r="A6074" s="64">
        <v>11564</v>
      </c>
      <c r="B6074" s="62">
        <v>43628</v>
      </c>
      <c r="C6074" s="63" t="s">
        <v>20247</v>
      </c>
      <c r="D6074" s="62">
        <v>43628</v>
      </c>
      <c r="E6074" s="63" t="s">
        <v>20248</v>
      </c>
      <c r="F6074" s="63" t="s">
        <v>52</v>
      </c>
      <c r="G6074" s="63" t="s">
        <v>20</v>
      </c>
      <c r="H6074" s="63" t="s">
        <v>71</v>
      </c>
      <c r="I6074" s="63" t="s">
        <v>21</v>
      </c>
      <c r="J6074" s="63" t="s">
        <v>20249</v>
      </c>
      <c r="K6074" s="63" t="s">
        <v>1349</v>
      </c>
      <c r="L6074" s="63" t="s">
        <v>7167</v>
      </c>
      <c r="M6074" s="63" t="s">
        <v>21</v>
      </c>
      <c r="O6074" s="108">
        <v>43640</v>
      </c>
      <c r="P6074" s="65" t="s">
        <v>21</v>
      </c>
      <c r="Q6074" s="66" t="b">
        <v>0</v>
      </c>
      <c r="R6074" s="22">
        <f t="shared" si="129"/>
        <v>12</v>
      </c>
    </row>
    <row r="6075" spans="1:18">
      <c r="A6075" s="64">
        <v>11565</v>
      </c>
      <c r="B6075" s="62">
        <v>43629</v>
      </c>
      <c r="C6075" s="63" t="s">
        <v>20244</v>
      </c>
      <c r="D6075" s="62">
        <v>43629</v>
      </c>
      <c r="E6075" s="63" t="s">
        <v>20245</v>
      </c>
      <c r="F6075" s="63" t="s">
        <v>15525</v>
      </c>
      <c r="G6075" s="63" t="s">
        <v>20</v>
      </c>
      <c r="H6075" s="63" t="s">
        <v>71</v>
      </c>
      <c r="I6075" s="63" t="s">
        <v>21</v>
      </c>
      <c r="J6075" s="63" t="s">
        <v>20246</v>
      </c>
      <c r="K6075" s="63" t="s">
        <v>6081</v>
      </c>
      <c r="L6075" s="63" t="s">
        <v>7167</v>
      </c>
      <c r="M6075" s="63" t="s">
        <v>21</v>
      </c>
      <c r="O6075" s="108">
        <v>43643</v>
      </c>
      <c r="P6075" s="65" t="s">
        <v>21</v>
      </c>
      <c r="Q6075" s="66" t="b">
        <v>0</v>
      </c>
      <c r="R6075" s="22">
        <f t="shared" si="129"/>
        <v>14</v>
      </c>
    </row>
    <row r="6076" spans="1:18">
      <c r="A6076" s="64">
        <v>11566</v>
      </c>
      <c r="B6076" s="62">
        <v>43630</v>
      </c>
      <c r="C6076" s="63" t="s">
        <v>20482</v>
      </c>
      <c r="D6076" s="62">
        <v>43628</v>
      </c>
      <c r="E6076" s="63" t="s">
        <v>20483</v>
      </c>
      <c r="F6076" s="63" t="s">
        <v>104</v>
      </c>
      <c r="G6076" s="63" t="s">
        <v>20</v>
      </c>
      <c r="H6076" s="63" t="s">
        <v>71</v>
      </c>
      <c r="I6076" s="63" t="s">
        <v>21</v>
      </c>
      <c r="J6076" s="63" t="s">
        <v>20484</v>
      </c>
      <c r="K6076" s="63" t="s">
        <v>13389</v>
      </c>
      <c r="L6076" s="63" t="s">
        <v>21243</v>
      </c>
      <c r="M6076" s="63" t="s">
        <v>10117</v>
      </c>
      <c r="O6076" s="90">
        <v>44742</v>
      </c>
      <c r="P6076" s="65" t="s">
        <v>21</v>
      </c>
      <c r="Q6076" s="66" t="b">
        <v>0</v>
      </c>
      <c r="R6076" s="22">
        <f t="shared" si="129"/>
        <v>1111</v>
      </c>
    </row>
    <row r="6077" spans="1:18" ht="24">
      <c r="A6077" s="64">
        <v>11567</v>
      </c>
      <c r="B6077" s="62">
        <v>43630</v>
      </c>
      <c r="C6077" s="63" t="s">
        <v>20064</v>
      </c>
      <c r="D6077" s="62">
        <v>43630</v>
      </c>
      <c r="E6077" s="63" t="s">
        <v>38</v>
      </c>
      <c r="F6077" s="63" t="s">
        <v>861</v>
      </c>
      <c r="G6077" s="63" t="s">
        <v>20</v>
      </c>
      <c r="H6077" s="63" t="s">
        <v>566</v>
      </c>
      <c r="I6077" s="63" t="s">
        <v>21</v>
      </c>
      <c r="J6077" s="63" t="s">
        <v>20065</v>
      </c>
      <c r="K6077" s="63" t="s">
        <v>21</v>
      </c>
      <c r="L6077" s="63" t="s">
        <v>1152</v>
      </c>
      <c r="M6077" s="63" t="s">
        <v>18572</v>
      </c>
      <c r="O6077" s="108">
        <v>43704</v>
      </c>
      <c r="P6077" s="65" t="s">
        <v>21</v>
      </c>
      <c r="Q6077" s="66" t="b">
        <v>0</v>
      </c>
      <c r="R6077" s="22">
        <f t="shared" si="129"/>
        <v>74</v>
      </c>
    </row>
    <row r="6078" spans="1:18" ht="24">
      <c r="A6078" s="64">
        <v>11568</v>
      </c>
      <c r="B6078" s="62">
        <v>43633</v>
      </c>
      <c r="C6078" s="63" t="s">
        <v>20485</v>
      </c>
      <c r="D6078" s="62">
        <v>43629</v>
      </c>
      <c r="E6078" s="63" t="s">
        <v>20486</v>
      </c>
      <c r="F6078" s="63" t="s">
        <v>20487</v>
      </c>
      <c r="G6078" s="63" t="s">
        <v>20</v>
      </c>
      <c r="H6078" s="63" t="s">
        <v>71</v>
      </c>
      <c r="I6078" s="63" t="s">
        <v>21</v>
      </c>
      <c r="J6078" s="63" t="s">
        <v>20488</v>
      </c>
      <c r="K6078" s="63" t="s">
        <v>20489</v>
      </c>
      <c r="L6078" s="63" t="s">
        <v>21573</v>
      </c>
      <c r="M6078" s="63" t="s">
        <v>21574</v>
      </c>
      <c r="O6078" s="90">
        <v>44742</v>
      </c>
      <c r="P6078" s="65" t="s">
        <v>21</v>
      </c>
      <c r="Q6078" s="66" t="b">
        <v>0</v>
      </c>
      <c r="R6078" s="22">
        <f t="shared" si="129"/>
        <v>1108</v>
      </c>
    </row>
    <row r="6079" spans="1:18">
      <c r="A6079" s="64">
        <v>11569</v>
      </c>
      <c r="B6079" s="62">
        <v>43633</v>
      </c>
      <c r="C6079" s="63" t="s">
        <v>20490</v>
      </c>
      <c r="D6079" s="62">
        <v>43630</v>
      </c>
      <c r="E6079" s="63" t="s">
        <v>20491</v>
      </c>
      <c r="F6079" s="63" t="s">
        <v>2838</v>
      </c>
      <c r="G6079" s="63" t="s">
        <v>20</v>
      </c>
      <c r="H6079" s="63" t="s">
        <v>71</v>
      </c>
      <c r="I6079" s="63" t="s">
        <v>21</v>
      </c>
      <c r="J6079" s="63" t="s">
        <v>20492</v>
      </c>
      <c r="K6079" s="63" t="s">
        <v>13389</v>
      </c>
      <c r="L6079" s="63" t="s">
        <v>4282</v>
      </c>
      <c r="M6079" s="63" t="s">
        <v>14909</v>
      </c>
      <c r="O6079" s="108">
        <v>44508</v>
      </c>
      <c r="P6079" s="65" t="s">
        <v>21</v>
      </c>
      <c r="Q6079" s="66" t="b">
        <v>0</v>
      </c>
      <c r="R6079" s="22">
        <f t="shared" si="129"/>
        <v>872</v>
      </c>
    </row>
    <row r="6080" spans="1:18">
      <c r="A6080" s="64">
        <v>11570</v>
      </c>
      <c r="B6080" s="62">
        <v>43634</v>
      </c>
      <c r="C6080" s="63" t="s">
        <v>20250</v>
      </c>
      <c r="D6080" s="62">
        <v>43629</v>
      </c>
      <c r="E6080" s="63" t="s">
        <v>20251</v>
      </c>
      <c r="F6080" s="63" t="s">
        <v>1159</v>
      </c>
      <c r="G6080" s="63" t="s">
        <v>20</v>
      </c>
      <c r="H6080" s="63" t="s">
        <v>71</v>
      </c>
      <c r="I6080" s="63" t="s">
        <v>21</v>
      </c>
      <c r="J6080" s="63" t="s">
        <v>6081</v>
      </c>
      <c r="K6080" s="63" t="s">
        <v>3581</v>
      </c>
      <c r="L6080" s="63" t="s">
        <v>7167</v>
      </c>
      <c r="M6080" s="63" t="s">
        <v>21</v>
      </c>
      <c r="O6080" s="108">
        <v>43665</v>
      </c>
      <c r="P6080" s="65" t="s">
        <v>21</v>
      </c>
      <c r="Q6080" s="66" t="b">
        <v>0</v>
      </c>
      <c r="R6080" s="22">
        <f t="shared" si="129"/>
        <v>31</v>
      </c>
    </row>
    <row r="6081" spans="1:19">
      <c r="A6081" s="64">
        <v>11571</v>
      </c>
      <c r="B6081" s="62">
        <v>43635</v>
      </c>
      <c r="C6081" s="63" t="s">
        <v>20252</v>
      </c>
      <c r="D6081" s="62">
        <v>43634</v>
      </c>
      <c r="E6081" s="63" t="s">
        <v>20253</v>
      </c>
      <c r="F6081" s="63" t="s">
        <v>124</v>
      </c>
      <c r="G6081" s="63" t="s">
        <v>20</v>
      </c>
      <c r="H6081" s="63" t="s">
        <v>71</v>
      </c>
      <c r="I6081" s="63" t="s">
        <v>21</v>
      </c>
      <c r="J6081" s="63" t="s">
        <v>20254</v>
      </c>
      <c r="K6081" s="63" t="s">
        <v>6081</v>
      </c>
      <c r="L6081" s="63" t="s">
        <v>7167</v>
      </c>
      <c r="M6081" s="63" t="s">
        <v>21</v>
      </c>
      <c r="O6081" s="108">
        <v>43658</v>
      </c>
      <c r="P6081" s="65" t="s">
        <v>21</v>
      </c>
      <c r="Q6081" s="66" t="b">
        <v>0</v>
      </c>
      <c r="R6081" s="22">
        <f t="shared" si="129"/>
        <v>23</v>
      </c>
    </row>
    <row r="6082" spans="1:19">
      <c r="A6082" s="64">
        <v>11572</v>
      </c>
      <c r="B6082" s="62">
        <v>43635</v>
      </c>
      <c r="C6082" s="63" t="s">
        <v>20066</v>
      </c>
      <c r="D6082" s="62">
        <v>43635</v>
      </c>
      <c r="E6082" s="63" t="s">
        <v>38</v>
      </c>
      <c r="F6082" s="63" t="s">
        <v>15588</v>
      </c>
      <c r="G6082" s="63" t="s">
        <v>20</v>
      </c>
      <c r="H6082" s="63" t="s">
        <v>71</v>
      </c>
      <c r="I6082" s="63" t="s">
        <v>21</v>
      </c>
      <c r="J6082" s="63" t="s">
        <v>1582</v>
      </c>
      <c r="K6082" s="63" t="s">
        <v>20067</v>
      </c>
      <c r="L6082" s="63" t="s">
        <v>7167</v>
      </c>
      <c r="M6082" s="63" t="s">
        <v>21</v>
      </c>
      <c r="O6082" s="108">
        <v>43640</v>
      </c>
      <c r="P6082" s="65" t="s">
        <v>21</v>
      </c>
      <c r="Q6082" s="66" t="b">
        <v>0</v>
      </c>
      <c r="R6082" s="22">
        <f t="shared" si="129"/>
        <v>5</v>
      </c>
    </row>
    <row r="6083" spans="1:19">
      <c r="A6083" s="64">
        <v>11573</v>
      </c>
      <c r="B6083" s="62">
        <v>43635</v>
      </c>
      <c r="C6083" s="63" t="s">
        <v>20403</v>
      </c>
      <c r="D6083" s="62">
        <v>43634</v>
      </c>
      <c r="E6083" s="63" t="s">
        <v>20404</v>
      </c>
      <c r="F6083" s="63" t="s">
        <v>1743</v>
      </c>
      <c r="G6083" s="63" t="s">
        <v>20</v>
      </c>
      <c r="H6083" s="63" t="s">
        <v>71</v>
      </c>
      <c r="I6083" s="63" t="s">
        <v>21</v>
      </c>
      <c r="J6083" s="63" t="s">
        <v>20405</v>
      </c>
      <c r="K6083" s="63" t="s">
        <v>20406</v>
      </c>
      <c r="L6083" s="63" t="s">
        <v>7167</v>
      </c>
      <c r="M6083" s="63" t="s">
        <v>21</v>
      </c>
      <c r="O6083" s="108">
        <v>43662</v>
      </c>
      <c r="P6083" s="65" t="s">
        <v>21</v>
      </c>
      <c r="Q6083" s="66" t="b">
        <v>0</v>
      </c>
      <c r="R6083" s="22">
        <f t="shared" si="129"/>
        <v>27</v>
      </c>
    </row>
    <row r="6084" spans="1:19">
      <c r="A6084" s="64">
        <v>11575</v>
      </c>
      <c r="B6084" s="62">
        <v>43641</v>
      </c>
      <c r="C6084" s="63" t="s">
        <v>20068</v>
      </c>
      <c r="D6084" s="62">
        <v>43641</v>
      </c>
      <c r="E6084" s="63" t="s">
        <v>38</v>
      </c>
      <c r="F6084" s="63" t="s">
        <v>15588</v>
      </c>
      <c r="G6084" s="63" t="s">
        <v>20</v>
      </c>
      <c r="H6084" s="63" t="s">
        <v>71</v>
      </c>
      <c r="I6084" s="63" t="s">
        <v>21</v>
      </c>
      <c r="J6084" s="63" t="s">
        <v>20069</v>
      </c>
      <c r="K6084" s="63" t="s">
        <v>1582</v>
      </c>
      <c r="L6084" s="63" t="s">
        <v>7167</v>
      </c>
      <c r="M6084" s="63" t="s">
        <v>21</v>
      </c>
      <c r="O6084" s="108">
        <v>43641</v>
      </c>
      <c r="P6084" s="65" t="s">
        <v>21</v>
      </c>
      <c r="Q6084" s="66" t="b">
        <v>0</v>
      </c>
      <c r="R6084" s="22">
        <f t="shared" si="129"/>
        <v>0</v>
      </c>
    </row>
    <row r="6085" spans="1:19">
      <c r="A6085" s="64">
        <v>11576</v>
      </c>
      <c r="B6085" s="62">
        <v>43641</v>
      </c>
      <c r="C6085" s="63" t="s">
        <v>20255</v>
      </c>
      <c r="D6085" s="62">
        <v>43640</v>
      </c>
      <c r="E6085" s="63" t="s">
        <v>20256</v>
      </c>
      <c r="F6085" s="63" t="s">
        <v>124</v>
      </c>
      <c r="G6085" s="63" t="s">
        <v>20</v>
      </c>
      <c r="H6085" s="63" t="s">
        <v>71</v>
      </c>
      <c r="I6085" s="63" t="s">
        <v>21</v>
      </c>
      <c r="J6085" s="63" t="s">
        <v>20257</v>
      </c>
      <c r="K6085" s="63" t="s">
        <v>7245</v>
      </c>
      <c r="L6085" s="63" t="s">
        <v>7167</v>
      </c>
      <c r="M6085" s="63" t="s">
        <v>21</v>
      </c>
      <c r="O6085" s="108">
        <v>43644</v>
      </c>
      <c r="P6085" s="65" t="s">
        <v>21</v>
      </c>
      <c r="Q6085" s="66" t="b">
        <v>0</v>
      </c>
      <c r="R6085" s="22">
        <f t="shared" si="129"/>
        <v>3</v>
      </c>
    </row>
    <row r="6086" spans="1:19">
      <c r="A6086" s="64">
        <v>11577</v>
      </c>
      <c r="B6086" s="62">
        <v>43648</v>
      </c>
      <c r="C6086" s="63" t="s">
        <v>20434</v>
      </c>
      <c r="D6086" s="62">
        <v>43647</v>
      </c>
      <c r="E6086" s="63" t="s">
        <v>20435</v>
      </c>
      <c r="F6086" s="63" t="s">
        <v>984</v>
      </c>
      <c r="G6086" s="63" t="s">
        <v>20</v>
      </c>
      <c r="H6086" s="63" t="s">
        <v>71</v>
      </c>
      <c r="I6086" s="63" t="s">
        <v>21</v>
      </c>
      <c r="J6086" s="63" t="s">
        <v>20436</v>
      </c>
      <c r="K6086" s="63" t="s">
        <v>20437</v>
      </c>
      <c r="L6086" s="63" t="s">
        <v>4282</v>
      </c>
      <c r="M6086" s="63" t="s">
        <v>21</v>
      </c>
      <c r="O6086" s="90">
        <v>44816</v>
      </c>
      <c r="P6086" s="65" t="s">
        <v>21</v>
      </c>
      <c r="Q6086" s="66" t="b">
        <v>0</v>
      </c>
      <c r="R6086" s="22">
        <f t="shared" si="129"/>
        <v>1165</v>
      </c>
      <c r="S6086" t="s">
        <v>21593</v>
      </c>
    </row>
    <row r="6087" spans="1:19">
      <c r="A6087" s="64">
        <v>11578</v>
      </c>
      <c r="B6087" s="62">
        <v>43648</v>
      </c>
      <c r="C6087" s="63" t="s">
        <v>20258</v>
      </c>
      <c r="D6087" s="62">
        <v>43648</v>
      </c>
      <c r="E6087" s="63" t="s">
        <v>20259</v>
      </c>
      <c r="F6087" s="63" t="s">
        <v>1537</v>
      </c>
      <c r="G6087" s="63" t="s">
        <v>20</v>
      </c>
      <c r="H6087" s="63" t="s">
        <v>71</v>
      </c>
      <c r="I6087" s="63" t="s">
        <v>21</v>
      </c>
      <c r="J6087" s="63" t="s">
        <v>20260</v>
      </c>
      <c r="K6087" s="63" t="s">
        <v>6081</v>
      </c>
      <c r="L6087" s="63" t="s">
        <v>1946</v>
      </c>
      <c r="M6087" s="63" t="s">
        <v>21</v>
      </c>
      <c r="O6087" s="108">
        <v>43691</v>
      </c>
      <c r="P6087" s="65" t="s">
        <v>21</v>
      </c>
      <c r="Q6087" s="66" t="b">
        <v>0</v>
      </c>
      <c r="R6087" s="22">
        <f t="shared" si="129"/>
        <v>42</v>
      </c>
    </row>
    <row r="6088" spans="1:19">
      <c r="A6088" s="64">
        <v>11579</v>
      </c>
      <c r="B6088" s="62">
        <v>43648</v>
      </c>
      <c r="C6088" s="63" t="s">
        <v>20070</v>
      </c>
      <c r="D6088" s="62">
        <v>43648</v>
      </c>
      <c r="E6088" s="63" t="s">
        <v>38</v>
      </c>
      <c r="F6088" s="63" t="s">
        <v>149</v>
      </c>
      <c r="G6088" s="63" t="s">
        <v>20</v>
      </c>
      <c r="H6088" s="63" t="s">
        <v>71</v>
      </c>
      <c r="I6088" s="63" t="s">
        <v>21</v>
      </c>
      <c r="J6088" s="63" t="s">
        <v>707</v>
      </c>
      <c r="K6088" s="63" t="s">
        <v>20071</v>
      </c>
      <c r="L6088" s="63" t="s">
        <v>4282</v>
      </c>
      <c r="M6088" s="63" t="s">
        <v>21</v>
      </c>
      <c r="O6088" s="108">
        <v>43655</v>
      </c>
      <c r="P6088" s="65" t="s">
        <v>21</v>
      </c>
      <c r="Q6088" s="66" t="b">
        <v>0</v>
      </c>
      <c r="R6088" s="22">
        <f t="shared" si="129"/>
        <v>7</v>
      </c>
    </row>
    <row r="6089" spans="1:19">
      <c r="A6089" s="64">
        <v>11580</v>
      </c>
      <c r="B6089" s="62">
        <v>43649</v>
      </c>
      <c r="C6089" s="63" t="s">
        <v>20284</v>
      </c>
      <c r="D6089" s="62">
        <v>43649</v>
      </c>
      <c r="E6089" s="63" t="s">
        <v>20285</v>
      </c>
      <c r="F6089" s="63" t="s">
        <v>13422</v>
      </c>
      <c r="G6089" s="63" t="s">
        <v>20</v>
      </c>
      <c r="H6089" s="63" t="s">
        <v>71</v>
      </c>
      <c r="I6089" s="63" t="s">
        <v>21</v>
      </c>
      <c r="J6089" s="63" t="s">
        <v>20155</v>
      </c>
      <c r="K6089" s="63" t="s">
        <v>20218</v>
      </c>
      <c r="L6089" s="63" t="s">
        <v>1946</v>
      </c>
      <c r="M6089" s="63" t="s">
        <v>21</v>
      </c>
      <c r="O6089" s="108">
        <v>43651</v>
      </c>
      <c r="P6089" s="65" t="s">
        <v>21</v>
      </c>
      <c r="Q6089" s="66" t="b">
        <v>0</v>
      </c>
      <c r="R6089" s="22">
        <f t="shared" si="129"/>
        <v>2</v>
      </c>
    </row>
    <row r="6090" spans="1:19">
      <c r="A6090" s="64">
        <v>11581</v>
      </c>
      <c r="B6090" s="62">
        <v>43651</v>
      </c>
      <c r="C6090" s="63" t="s">
        <v>20373</v>
      </c>
      <c r="D6090" s="62">
        <v>43651</v>
      </c>
      <c r="E6090" s="63" t="s">
        <v>1928</v>
      </c>
      <c r="F6090" s="63" t="s">
        <v>1743</v>
      </c>
      <c r="G6090" s="63" t="s">
        <v>20</v>
      </c>
      <c r="H6090" s="63" t="s">
        <v>71</v>
      </c>
      <c r="I6090" s="63" t="s">
        <v>21</v>
      </c>
      <c r="J6090" s="63" t="s">
        <v>20374</v>
      </c>
      <c r="K6090" s="63" t="s">
        <v>20375</v>
      </c>
      <c r="L6090" s="63" t="s">
        <v>4282</v>
      </c>
      <c r="M6090" s="63" t="s">
        <v>21</v>
      </c>
      <c r="O6090" s="108">
        <v>43651</v>
      </c>
      <c r="P6090" s="65" t="s">
        <v>21</v>
      </c>
      <c r="Q6090" s="66" t="b">
        <v>0</v>
      </c>
      <c r="R6090" s="22">
        <f t="shared" si="129"/>
        <v>0</v>
      </c>
    </row>
    <row r="6091" spans="1:19">
      <c r="A6091" s="64">
        <v>11582</v>
      </c>
      <c r="B6091" s="62">
        <v>43654</v>
      </c>
      <c r="C6091" s="63" t="s">
        <v>20153</v>
      </c>
      <c r="D6091" s="62">
        <v>43651</v>
      </c>
      <c r="E6091" s="63" t="s">
        <v>20154</v>
      </c>
      <c r="F6091" s="63" t="s">
        <v>13422</v>
      </c>
      <c r="G6091" s="63" t="s">
        <v>20</v>
      </c>
      <c r="H6091" s="63" t="s">
        <v>71</v>
      </c>
      <c r="I6091" s="63" t="s">
        <v>21</v>
      </c>
      <c r="J6091" s="63" t="s">
        <v>20155</v>
      </c>
      <c r="K6091" s="63" t="s">
        <v>20156</v>
      </c>
      <c r="L6091" s="63" t="s">
        <v>4282</v>
      </c>
      <c r="M6091" s="63" t="s">
        <v>21</v>
      </c>
      <c r="O6091" s="108">
        <v>43705</v>
      </c>
      <c r="P6091" s="65" t="s">
        <v>21</v>
      </c>
      <c r="Q6091" s="66" t="b">
        <v>0</v>
      </c>
      <c r="R6091" s="22">
        <f t="shared" si="129"/>
        <v>50</v>
      </c>
    </row>
    <row r="6092" spans="1:19">
      <c r="A6092" s="64">
        <v>11583</v>
      </c>
      <c r="B6092" s="62">
        <v>43656</v>
      </c>
      <c r="C6092" s="63" t="s">
        <v>20317</v>
      </c>
      <c r="D6092" s="62">
        <v>43655</v>
      </c>
      <c r="E6092" s="63" t="s">
        <v>20318</v>
      </c>
      <c r="F6092" s="63" t="s">
        <v>124</v>
      </c>
      <c r="G6092" s="63" t="s">
        <v>20</v>
      </c>
      <c r="H6092" s="63" t="s">
        <v>71</v>
      </c>
      <c r="I6092" s="63" t="s">
        <v>21</v>
      </c>
      <c r="J6092" s="63" t="s">
        <v>20319</v>
      </c>
      <c r="K6092" s="63" t="s">
        <v>6081</v>
      </c>
      <c r="L6092" s="63" t="s">
        <v>14909</v>
      </c>
      <c r="M6092" s="63" t="s">
        <v>21</v>
      </c>
      <c r="O6092" s="108">
        <v>43677</v>
      </c>
      <c r="P6092" s="65" t="s">
        <v>21</v>
      </c>
      <c r="Q6092" s="66" t="b">
        <v>0</v>
      </c>
      <c r="R6092" s="22">
        <f t="shared" si="129"/>
        <v>21</v>
      </c>
    </row>
    <row r="6093" spans="1:19">
      <c r="A6093" s="64">
        <v>11585</v>
      </c>
      <c r="B6093" s="62">
        <v>43657</v>
      </c>
      <c r="C6093" s="63" t="s">
        <v>20337</v>
      </c>
      <c r="D6093" s="62">
        <v>43656</v>
      </c>
      <c r="E6093" s="63" t="s">
        <v>20338</v>
      </c>
      <c r="F6093" s="63" t="s">
        <v>216</v>
      </c>
      <c r="G6093" s="63" t="s">
        <v>20</v>
      </c>
      <c r="H6093" s="63" t="s">
        <v>71</v>
      </c>
      <c r="I6093" s="63" t="s">
        <v>21</v>
      </c>
      <c r="J6093" s="63" t="s">
        <v>20339</v>
      </c>
      <c r="K6093" s="63" t="s">
        <v>20340</v>
      </c>
      <c r="L6093" s="63" t="s">
        <v>1946</v>
      </c>
      <c r="M6093" s="63" t="s">
        <v>21</v>
      </c>
      <c r="O6093" s="108">
        <v>43738</v>
      </c>
      <c r="P6093" s="65" t="s">
        <v>21</v>
      </c>
      <c r="Q6093" s="66" t="b">
        <v>0</v>
      </c>
      <c r="R6093" s="22">
        <f t="shared" si="129"/>
        <v>80</v>
      </c>
    </row>
    <row r="6094" spans="1:19">
      <c r="A6094" s="64">
        <v>11586</v>
      </c>
      <c r="B6094" s="62">
        <v>43661</v>
      </c>
      <c r="C6094" s="63" t="s">
        <v>20516</v>
      </c>
      <c r="D6094" s="62">
        <v>43661</v>
      </c>
      <c r="E6094" s="63" t="s">
        <v>20517</v>
      </c>
      <c r="F6094" s="63" t="s">
        <v>12633</v>
      </c>
      <c r="G6094" s="63" t="s">
        <v>20</v>
      </c>
      <c r="H6094" s="63" t="s">
        <v>71</v>
      </c>
      <c r="I6094" s="63" t="s">
        <v>21</v>
      </c>
      <c r="J6094" s="63" t="s">
        <v>20518</v>
      </c>
      <c r="K6094" s="63" t="s">
        <v>20238</v>
      </c>
      <c r="L6094" s="63" t="s">
        <v>7167</v>
      </c>
      <c r="M6094" s="63" t="s">
        <v>14909</v>
      </c>
      <c r="O6094" s="108">
        <v>44011</v>
      </c>
      <c r="P6094" s="65" t="s">
        <v>21</v>
      </c>
      <c r="Q6094" s="66" t="b">
        <v>0</v>
      </c>
      <c r="R6094" s="22">
        <f t="shared" si="129"/>
        <v>348</v>
      </c>
    </row>
    <row r="6095" spans="1:19">
      <c r="A6095" s="64">
        <v>11587</v>
      </c>
      <c r="B6095" s="62">
        <v>43662</v>
      </c>
      <c r="C6095" s="63" t="s">
        <v>20376</v>
      </c>
      <c r="D6095" s="62">
        <v>43662</v>
      </c>
      <c r="E6095" s="63" t="s">
        <v>1928</v>
      </c>
      <c r="F6095" s="63" t="s">
        <v>1743</v>
      </c>
      <c r="G6095" s="63" t="s">
        <v>20</v>
      </c>
      <c r="H6095" s="63" t="s">
        <v>71</v>
      </c>
      <c r="I6095" s="63" t="s">
        <v>21</v>
      </c>
      <c r="J6095" s="63" t="s">
        <v>20377</v>
      </c>
      <c r="K6095" s="63" t="s">
        <v>20378</v>
      </c>
      <c r="L6095" s="63" t="s">
        <v>3271</v>
      </c>
      <c r="M6095" s="63" t="s">
        <v>21</v>
      </c>
      <c r="O6095" s="108">
        <v>43663</v>
      </c>
      <c r="P6095" s="65" t="s">
        <v>21</v>
      </c>
      <c r="Q6095" s="66" t="b">
        <v>0</v>
      </c>
      <c r="R6095" s="22">
        <f t="shared" si="129"/>
        <v>1</v>
      </c>
    </row>
    <row r="6096" spans="1:19">
      <c r="A6096" s="64">
        <v>11588</v>
      </c>
      <c r="B6096" s="62">
        <v>43663</v>
      </c>
      <c r="C6096" s="63" t="s">
        <v>20341</v>
      </c>
      <c r="D6096" s="62">
        <v>43663</v>
      </c>
      <c r="E6096" s="63" t="s">
        <v>20342</v>
      </c>
      <c r="F6096" s="63" t="s">
        <v>13960</v>
      </c>
      <c r="G6096" s="63" t="s">
        <v>20</v>
      </c>
      <c r="H6096" s="63" t="s">
        <v>71</v>
      </c>
      <c r="I6096" s="63" t="s">
        <v>21</v>
      </c>
      <c r="J6096" s="63" t="s">
        <v>20343</v>
      </c>
      <c r="K6096" s="63" t="s">
        <v>6081</v>
      </c>
      <c r="L6096" s="63" t="s">
        <v>7167</v>
      </c>
      <c r="M6096" s="63" t="s">
        <v>21</v>
      </c>
      <c r="O6096" s="108">
        <v>43678</v>
      </c>
      <c r="P6096" s="65" t="s">
        <v>21</v>
      </c>
      <c r="Q6096" s="66" t="b">
        <v>0</v>
      </c>
      <c r="R6096" s="22">
        <f t="shared" si="129"/>
        <v>14</v>
      </c>
    </row>
    <row r="6097" spans="1:19">
      <c r="A6097" s="64">
        <v>11589</v>
      </c>
      <c r="B6097" s="62">
        <v>43664</v>
      </c>
      <c r="C6097" s="63" t="s">
        <v>20072</v>
      </c>
      <c r="D6097" s="62">
        <v>43664</v>
      </c>
      <c r="E6097" s="63" t="s">
        <v>38</v>
      </c>
      <c r="F6097" s="63" t="s">
        <v>149</v>
      </c>
      <c r="G6097" s="63" t="s">
        <v>20</v>
      </c>
      <c r="H6097" s="63" t="s">
        <v>71</v>
      </c>
      <c r="I6097" s="63" t="s">
        <v>21</v>
      </c>
      <c r="J6097" s="63" t="s">
        <v>20073</v>
      </c>
      <c r="K6097" s="63" t="s">
        <v>20074</v>
      </c>
      <c r="L6097" s="63" t="s">
        <v>4282</v>
      </c>
      <c r="M6097" s="63" t="s">
        <v>21</v>
      </c>
      <c r="O6097" s="108">
        <v>43677</v>
      </c>
      <c r="P6097" s="65" t="s">
        <v>21</v>
      </c>
      <c r="Q6097" s="66" t="b">
        <v>0</v>
      </c>
      <c r="R6097" s="22">
        <f t="shared" si="129"/>
        <v>13</v>
      </c>
    </row>
    <row r="6098" spans="1:19">
      <c r="A6098" s="64">
        <v>11590</v>
      </c>
      <c r="B6098" s="62">
        <v>43665</v>
      </c>
      <c r="C6098" s="63" t="s">
        <v>20438</v>
      </c>
      <c r="D6098" s="62">
        <v>43664</v>
      </c>
      <c r="E6098" s="63" t="s">
        <v>20147</v>
      </c>
      <c r="F6098" s="63" t="s">
        <v>3171</v>
      </c>
      <c r="G6098" s="63" t="s">
        <v>20</v>
      </c>
      <c r="H6098" s="63" t="s">
        <v>566</v>
      </c>
      <c r="I6098" s="63" t="s">
        <v>21</v>
      </c>
      <c r="J6098" s="63" t="s">
        <v>14825</v>
      </c>
      <c r="K6098" s="63" t="s">
        <v>20439</v>
      </c>
      <c r="L6098" s="63" t="s">
        <v>7167</v>
      </c>
      <c r="M6098" s="63" t="s">
        <v>21</v>
      </c>
      <c r="O6098" s="108">
        <v>44434</v>
      </c>
      <c r="P6098" s="65" t="s">
        <v>21</v>
      </c>
      <c r="Q6098" s="66" t="b">
        <v>0</v>
      </c>
      <c r="R6098" s="22">
        <f t="shared" si="129"/>
        <v>767</v>
      </c>
    </row>
    <row r="6099" spans="1:19">
      <c r="A6099" s="64">
        <v>11591</v>
      </c>
      <c r="B6099" s="62">
        <v>43665</v>
      </c>
      <c r="C6099" s="63" t="s">
        <v>20344</v>
      </c>
      <c r="D6099" s="62">
        <v>43664</v>
      </c>
      <c r="E6099" s="63" t="s">
        <v>20345</v>
      </c>
      <c r="F6099" s="63" t="s">
        <v>98</v>
      </c>
      <c r="G6099" s="63" t="s">
        <v>20</v>
      </c>
      <c r="H6099" s="63" t="s">
        <v>71</v>
      </c>
      <c r="I6099" s="63" t="s">
        <v>21</v>
      </c>
      <c r="J6099" s="63" t="s">
        <v>20346</v>
      </c>
      <c r="K6099" s="63" t="s">
        <v>20347</v>
      </c>
      <c r="L6099" s="63" t="s">
        <v>14909</v>
      </c>
      <c r="M6099" s="63" t="s">
        <v>21</v>
      </c>
      <c r="O6099" s="108">
        <v>43697</v>
      </c>
      <c r="P6099" s="65" t="s">
        <v>21</v>
      </c>
      <c r="Q6099" s="66" t="b">
        <v>0</v>
      </c>
      <c r="R6099" s="22">
        <f t="shared" si="129"/>
        <v>31</v>
      </c>
    </row>
    <row r="6100" spans="1:19">
      <c r="A6100" s="64">
        <v>11592</v>
      </c>
      <c r="B6100" s="62">
        <v>43668</v>
      </c>
      <c r="C6100" s="63" t="s">
        <v>20549</v>
      </c>
      <c r="D6100" s="62">
        <v>43665</v>
      </c>
      <c r="E6100" s="63" t="s">
        <v>20550</v>
      </c>
      <c r="F6100" s="63" t="s">
        <v>1159</v>
      </c>
      <c r="G6100" s="63" t="s">
        <v>20</v>
      </c>
      <c r="H6100" s="63" t="s">
        <v>71</v>
      </c>
      <c r="I6100" s="63" t="s">
        <v>21</v>
      </c>
      <c r="J6100" s="63" t="s">
        <v>20551</v>
      </c>
      <c r="K6100" s="63" t="s">
        <v>20552</v>
      </c>
      <c r="L6100" s="63" t="s">
        <v>21573</v>
      </c>
      <c r="M6100" s="63" t="s">
        <v>10117</v>
      </c>
      <c r="O6100" s="90">
        <v>44742</v>
      </c>
      <c r="P6100" s="65" t="s">
        <v>21</v>
      </c>
      <c r="Q6100" s="66" t="b">
        <v>0</v>
      </c>
      <c r="R6100" s="22">
        <f t="shared" si="129"/>
        <v>1072</v>
      </c>
      <c r="S6100" t="s">
        <v>21</v>
      </c>
    </row>
    <row r="6101" spans="1:19">
      <c r="A6101" s="64">
        <v>11593</v>
      </c>
      <c r="B6101" s="62">
        <v>43675</v>
      </c>
      <c r="C6101" s="63" t="s">
        <v>20577</v>
      </c>
      <c r="D6101" s="62">
        <v>43672</v>
      </c>
      <c r="E6101" s="63" t="s">
        <v>20578</v>
      </c>
      <c r="F6101" s="63" t="s">
        <v>124</v>
      </c>
      <c r="G6101" s="63" t="s">
        <v>20</v>
      </c>
      <c r="H6101" s="63" t="s">
        <v>71</v>
      </c>
      <c r="I6101" s="63" t="s">
        <v>21</v>
      </c>
      <c r="J6101" s="63" t="s">
        <v>20552</v>
      </c>
      <c r="K6101" s="63" t="s">
        <v>9348</v>
      </c>
      <c r="L6101" s="63" t="s">
        <v>4282</v>
      </c>
      <c r="M6101" s="63" t="s">
        <v>1946</v>
      </c>
      <c r="O6101" s="90">
        <v>44643</v>
      </c>
      <c r="P6101" s="65" t="s">
        <v>21</v>
      </c>
      <c r="Q6101" s="66" t="b">
        <v>0</v>
      </c>
      <c r="R6101" s="22">
        <f t="shared" si="129"/>
        <v>967</v>
      </c>
      <c r="S6101" t="s">
        <v>21</v>
      </c>
    </row>
    <row r="6102" spans="1:19">
      <c r="A6102" s="64">
        <v>11594</v>
      </c>
      <c r="B6102" s="62">
        <v>43676</v>
      </c>
      <c r="C6102" s="63" t="s">
        <v>20348</v>
      </c>
      <c r="D6102" s="62">
        <v>43672</v>
      </c>
      <c r="E6102" s="63" t="s">
        <v>20349</v>
      </c>
      <c r="F6102" s="63" t="s">
        <v>124</v>
      </c>
      <c r="G6102" s="63" t="s">
        <v>20</v>
      </c>
      <c r="H6102" s="63" t="s">
        <v>71</v>
      </c>
      <c r="I6102" s="63" t="s">
        <v>21</v>
      </c>
      <c r="J6102" s="63" t="s">
        <v>20350</v>
      </c>
      <c r="K6102" s="63" t="s">
        <v>6081</v>
      </c>
      <c r="L6102" s="63" t="s">
        <v>14909</v>
      </c>
      <c r="M6102" s="63" t="s">
        <v>21</v>
      </c>
      <c r="O6102" s="108">
        <v>43717</v>
      </c>
      <c r="P6102" s="65" t="s">
        <v>21</v>
      </c>
      <c r="Q6102" s="66" t="b">
        <v>0</v>
      </c>
      <c r="R6102" s="22">
        <f t="shared" si="129"/>
        <v>39</v>
      </c>
    </row>
    <row r="6103" spans="1:19">
      <c r="A6103" s="64">
        <v>11595</v>
      </c>
      <c r="B6103" s="62">
        <v>43676</v>
      </c>
      <c r="C6103" s="63" t="s">
        <v>20351</v>
      </c>
      <c r="D6103" s="62">
        <v>43676</v>
      </c>
      <c r="E6103" s="63" t="s">
        <v>20352</v>
      </c>
      <c r="F6103" s="63" t="s">
        <v>7020</v>
      </c>
      <c r="G6103" s="63" t="s">
        <v>20</v>
      </c>
      <c r="H6103" s="63" t="s">
        <v>71</v>
      </c>
      <c r="I6103" s="63" t="s">
        <v>21</v>
      </c>
      <c r="J6103" s="63" t="s">
        <v>20353</v>
      </c>
      <c r="K6103" s="63" t="s">
        <v>20354</v>
      </c>
      <c r="L6103" s="63" t="s">
        <v>7167</v>
      </c>
      <c r="M6103" s="63" t="s">
        <v>21</v>
      </c>
      <c r="O6103" s="108">
        <v>43714</v>
      </c>
      <c r="P6103" s="65" t="s">
        <v>21</v>
      </c>
      <c r="Q6103" s="66" t="b">
        <v>0</v>
      </c>
      <c r="R6103" s="22">
        <f t="shared" si="129"/>
        <v>36</v>
      </c>
    </row>
    <row r="6104" spans="1:19">
      <c r="A6104" s="64">
        <v>11596</v>
      </c>
      <c r="B6104" s="62">
        <v>43676</v>
      </c>
      <c r="C6104" s="63" t="s">
        <v>20379</v>
      </c>
      <c r="D6104" s="62">
        <v>43676</v>
      </c>
      <c r="E6104" s="63" t="s">
        <v>1928</v>
      </c>
      <c r="F6104" s="63" t="s">
        <v>1743</v>
      </c>
      <c r="G6104" s="63" t="s">
        <v>20</v>
      </c>
      <c r="H6104" s="63" t="s">
        <v>71</v>
      </c>
      <c r="I6104" s="63" t="s">
        <v>21</v>
      </c>
      <c r="J6104" s="63" t="s">
        <v>20380</v>
      </c>
      <c r="K6104" s="63" t="s">
        <v>20381</v>
      </c>
      <c r="L6104" s="63" t="s">
        <v>4282</v>
      </c>
      <c r="M6104" s="63" t="s">
        <v>21</v>
      </c>
      <c r="O6104" s="108">
        <v>43676</v>
      </c>
      <c r="P6104" s="65" t="s">
        <v>21</v>
      </c>
      <c r="Q6104" s="66" t="b">
        <v>0</v>
      </c>
      <c r="R6104" s="22">
        <f t="shared" si="129"/>
        <v>0</v>
      </c>
    </row>
    <row r="6105" spans="1:19">
      <c r="A6105" s="64">
        <v>11598</v>
      </c>
      <c r="B6105" s="62">
        <v>43679</v>
      </c>
      <c r="C6105" s="63" t="s">
        <v>20579</v>
      </c>
      <c r="D6105" s="62">
        <v>43677</v>
      </c>
      <c r="E6105" s="63" t="s">
        <v>20580</v>
      </c>
      <c r="F6105" s="63" t="s">
        <v>693</v>
      </c>
      <c r="G6105" s="63" t="s">
        <v>20</v>
      </c>
      <c r="H6105" s="63" t="s">
        <v>189</v>
      </c>
      <c r="I6105" s="63" t="s">
        <v>21</v>
      </c>
      <c r="J6105" s="63" t="s">
        <v>20581</v>
      </c>
      <c r="K6105" s="63" t="s">
        <v>20582</v>
      </c>
      <c r="L6105" s="63" t="s">
        <v>7167</v>
      </c>
      <c r="M6105" s="63" t="s">
        <v>21</v>
      </c>
      <c r="O6105" s="101">
        <v>44020</v>
      </c>
      <c r="P6105" s="65" t="s">
        <v>21</v>
      </c>
      <c r="Q6105" s="66" t="b">
        <v>0</v>
      </c>
      <c r="R6105" s="22">
        <f t="shared" si="129"/>
        <v>340</v>
      </c>
    </row>
    <row r="6106" spans="1:19">
      <c r="A6106" s="64">
        <v>11599</v>
      </c>
      <c r="B6106" s="62">
        <v>43682</v>
      </c>
      <c r="C6106" s="63" t="s">
        <v>20075</v>
      </c>
      <c r="D6106" s="62">
        <v>43682</v>
      </c>
      <c r="E6106" s="63" t="s">
        <v>38</v>
      </c>
      <c r="F6106" s="63" t="s">
        <v>4209</v>
      </c>
      <c r="G6106" s="63" t="s">
        <v>20</v>
      </c>
      <c r="H6106" s="63" t="s">
        <v>71</v>
      </c>
      <c r="I6106" s="63" t="s">
        <v>21</v>
      </c>
      <c r="J6106" s="63" t="s">
        <v>20076</v>
      </c>
      <c r="K6106" s="63" t="s">
        <v>20077</v>
      </c>
      <c r="L6106" s="63" t="s">
        <v>1946</v>
      </c>
      <c r="M6106" s="63" t="s">
        <v>21</v>
      </c>
      <c r="O6106" s="108">
        <v>43707</v>
      </c>
      <c r="P6106" s="65" t="s">
        <v>21</v>
      </c>
      <c r="Q6106" s="66" t="b">
        <v>0</v>
      </c>
      <c r="R6106" s="22">
        <f t="shared" si="129"/>
        <v>25</v>
      </c>
    </row>
    <row r="6107" spans="1:19">
      <c r="A6107" s="64">
        <v>11600</v>
      </c>
      <c r="B6107" s="62">
        <v>43683</v>
      </c>
      <c r="C6107" s="63" t="s">
        <v>20355</v>
      </c>
      <c r="D6107" s="62">
        <v>43683</v>
      </c>
      <c r="E6107" s="63" t="s">
        <v>20356</v>
      </c>
      <c r="F6107" s="63" t="s">
        <v>1537</v>
      </c>
      <c r="G6107" s="63" t="s">
        <v>20</v>
      </c>
      <c r="H6107" s="63" t="s">
        <v>71</v>
      </c>
      <c r="I6107" s="63" t="s">
        <v>21</v>
      </c>
      <c r="J6107" s="63" t="s">
        <v>20357</v>
      </c>
      <c r="K6107" s="63" t="s">
        <v>6081</v>
      </c>
      <c r="L6107" s="63" t="s">
        <v>4282</v>
      </c>
      <c r="M6107" s="63" t="s">
        <v>21</v>
      </c>
      <c r="O6107" s="108">
        <v>43714</v>
      </c>
      <c r="P6107" s="65" t="s">
        <v>21</v>
      </c>
      <c r="Q6107" s="66" t="b">
        <v>0</v>
      </c>
      <c r="R6107" s="22">
        <f t="shared" si="129"/>
        <v>30</v>
      </c>
    </row>
    <row r="6108" spans="1:19">
      <c r="A6108" s="64">
        <v>11601</v>
      </c>
      <c r="B6108" s="62">
        <v>43684</v>
      </c>
      <c r="C6108" s="63" t="s">
        <v>20078</v>
      </c>
      <c r="D6108" s="62">
        <v>43683</v>
      </c>
      <c r="E6108" s="63" t="s">
        <v>38</v>
      </c>
      <c r="F6108" s="63" t="s">
        <v>98</v>
      </c>
      <c r="G6108" s="63" t="s">
        <v>20</v>
      </c>
      <c r="H6108" s="63" t="s">
        <v>71</v>
      </c>
      <c r="I6108" s="63" t="s">
        <v>21</v>
      </c>
      <c r="J6108" s="63" t="s">
        <v>20079</v>
      </c>
      <c r="K6108" s="63" t="s">
        <v>20080</v>
      </c>
      <c r="L6108" s="63" t="s">
        <v>4282</v>
      </c>
      <c r="M6108" s="63" t="s">
        <v>21</v>
      </c>
      <c r="O6108" s="108">
        <v>43684</v>
      </c>
      <c r="P6108" s="65" t="s">
        <v>21</v>
      </c>
      <c r="Q6108" s="66" t="b">
        <v>0</v>
      </c>
      <c r="R6108" s="22">
        <f t="shared" si="129"/>
        <v>0</v>
      </c>
    </row>
    <row r="6109" spans="1:19">
      <c r="A6109" s="64">
        <v>11602</v>
      </c>
      <c r="B6109" s="62">
        <v>43684</v>
      </c>
      <c r="C6109" s="63" t="s">
        <v>20583</v>
      </c>
      <c r="D6109" s="62">
        <v>43683</v>
      </c>
      <c r="E6109" s="63" t="s">
        <v>20584</v>
      </c>
      <c r="F6109" s="63" t="s">
        <v>124</v>
      </c>
      <c r="G6109" s="63" t="s">
        <v>20</v>
      </c>
      <c r="H6109" s="63" t="s">
        <v>71</v>
      </c>
      <c r="I6109" s="63" t="s">
        <v>21</v>
      </c>
      <c r="J6109" s="63" t="s">
        <v>20319</v>
      </c>
      <c r="K6109" s="63" t="s">
        <v>19523</v>
      </c>
      <c r="L6109" s="63" t="s">
        <v>4282</v>
      </c>
      <c r="M6109" s="63" t="s">
        <v>14909</v>
      </c>
      <c r="O6109" s="90">
        <v>44617</v>
      </c>
      <c r="P6109" s="65" t="s">
        <v>21</v>
      </c>
      <c r="Q6109" s="66" t="b">
        <v>0</v>
      </c>
      <c r="R6109" s="22">
        <f t="shared" si="129"/>
        <v>930</v>
      </c>
      <c r="S6109" t="s">
        <v>21</v>
      </c>
    </row>
    <row r="6110" spans="1:19">
      <c r="A6110" s="64">
        <v>11603</v>
      </c>
      <c r="B6110" s="62">
        <v>43684</v>
      </c>
      <c r="C6110" s="63" t="s">
        <v>20181</v>
      </c>
      <c r="D6110" s="62">
        <v>43683</v>
      </c>
      <c r="E6110" s="63" t="s">
        <v>20182</v>
      </c>
      <c r="F6110" s="63" t="s">
        <v>13960</v>
      </c>
      <c r="G6110" s="63" t="s">
        <v>20</v>
      </c>
      <c r="H6110" s="63" t="s">
        <v>71</v>
      </c>
      <c r="I6110" s="63" t="s">
        <v>21</v>
      </c>
      <c r="J6110" s="63" t="s">
        <v>20183</v>
      </c>
      <c r="K6110" s="63" t="s">
        <v>20184</v>
      </c>
      <c r="L6110" s="63" t="s">
        <v>1946</v>
      </c>
      <c r="M6110" s="63" t="s">
        <v>21</v>
      </c>
      <c r="O6110" s="108">
        <v>43763</v>
      </c>
      <c r="P6110" s="65" t="s">
        <v>21</v>
      </c>
      <c r="Q6110" s="66" t="b">
        <v>0</v>
      </c>
      <c r="R6110" s="22">
        <f t="shared" si="129"/>
        <v>79</v>
      </c>
    </row>
    <row r="6111" spans="1:19">
      <c r="A6111" s="64">
        <v>11604</v>
      </c>
      <c r="B6111" s="62">
        <v>43689</v>
      </c>
      <c r="C6111" s="63" t="s">
        <v>20261</v>
      </c>
      <c r="D6111" s="62">
        <v>43686</v>
      </c>
      <c r="E6111" s="63" t="s">
        <v>20262</v>
      </c>
      <c r="F6111" s="63" t="s">
        <v>19</v>
      </c>
      <c r="G6111" s="63" t="s">
        <v>20</v>
      </c>
      <c r="H6111" s="63" t="s">
        <v>71</v>
      </c>
      <c r="I6111" s="63" t="s">
        <v>21</v>
      </c>
      <c r="J6111" s="63" t="s">
        <v>20263</v>
      </c>
      <c r="K6111" s="63" t="s">
        <v>6081</v>
      </c>
      <c r="L6111" s="63" t="s">
        <v>4282</v>
      </c>
      <c r="M6111" s="63" t="s">
        <v>21</v>
      </c>
      <c r="O6111" s="108">
        <v>43725</v>
      </c>
      <c r="P6111" s="65" t="s">
        <v>21</v>
      </c>
      <c r="Q6111" s="66" t="b">
        <v>0</v>
      </c>
      <c r="R6111" s="22">
        <f t="shared" si="129"/>
        <v>35</v>
      </c>
    </row>
    <row r="6112" spans="1:19">
      <c r="A6112" s="64">
        <v>11605</v>
      </c>
      <c r="B6112" s="62">
        <v>43689</v>
      </c>
      <c r="C6112" s="63" t="s">
        <v>20264</v>
      </c>
      <c r="D6112" s="62">
        <v>43689</v>
      </c>
      <c r="E6112" s="63" t="s">
        <v>20265</v>
      </c>
      <c r="F6112" s="63" t="s">
        <v>56</v>
      </c>
      <c r="G6112" s="63" t="s">
        <v>20</v>
      </c>
      <c r="H6112" s="63" t="s">
        <v>71</v>
      </c>
      <c r="I6112" s="63" t="s">
        <v>21</v>
      </c>
      <c r="J6112" s="63" t="s">
        <v>20171</v>
      </c>
      <c r="K6112" s="63" t="s">
        <v>6081</v>
      </c>
      <c r="L6112" s="63" t="s">
        <v>1152</v>
      </c>
      <c r="M6112" s="63" t="s">
        <v>21</v>
      </c>
      <c r="O6112" s="108">
        <v>43731</v>
      </c>
      <c r="P6112" s="65" t="s">
        <v>21</v>
      </c>
      <c r="Q6112" s="66" t="b">
        <v>0</v>
      </c>
      <c r="R6112" s="22">
        <f t="shared" si="129"/>
        <v>41</v>
      </c>
    </row>
    <row r="6113" spans="1:19">
      <c r="A6113" s="64">
        <v>11608</v>
      </c>
      <c r="B6113" s="62">
        <v>43691</v>
      </c>
      <c r="C6113" s="63" t="s">
        <v>20585</v>
      </c>
      <c r="D6113" s="62">
        <v>43691</v>
      </c>
      <c r="E6113" s="63" t="s">
        <v>20586</v>
      </c>
      <c r="F6113" s="63" t="s">
        <v>98</v>
      </c>
      <c r="G6113" s="63" t="s">
        <v>20</v>
      </c>
      <c r="H6113" s="63" t="s">
        <v>71</v>
      </c>
      <c r="I6113" s="63" t="s">
        <v>21</v>
      </c>
      <c r="J6113" s="63" t="s">
        <v>1582</v>
      </c>
      <c r="K6113" s="63" t="s">
        <v>20587</v>
      </c>
      <c r="L6113" s="63" t="s">
        <v>21573</v>
      </c>
      <c r="M6113" s="63" t="s">
        <v>10117</v>
      </c>
      <c r="O6113" s="90">
        <v>44629</v>
      </c>
      <c r="P6113" s="65" t="s">
        <v>21</v>
      </c>
      <c r="Q6113" s="66" t="b">
        <v>0</v>
      </c>
      <c r="R6113" s="22">
        <f t="shared" si="129"/>
        <v>937</v>
      </c>
      <c r="S6113" t="s">
        <v>21</v>
      </c>
    </row>
    <row r="6114" spans="1:19">
      <c r="A6114" s="64">
        <v>11609</v>
      </c>
      <c r="B6114" s="62">
        <v>43696</v>
      </c>
      <c r="C6114" s="63" t="s">
        <v>20588</v>
      </c>
      <c r="D6114" s="62">
        <v>43696</v>
      </c>
      <c r="E6114" s="63" t="s">
        <v>20589</v>
      </c>
      <c r="F6114" s="63" t="s">
        <v>350</v>
      </c>
      <c r="G6114" s="63" t="s">
        <v>20</v>
      </c>
      <c r="H6114" s="63" t="s">
        <v>71</v>
      </c>
      <c r="I6114" s="63" t="s">
        <v>21</v>
      </c>
      <c r="J6114" s="63" t="s">
        <v>20590</v>
      </c>
      <c r="K6114" s="63" t="s">
        <v>20591</v>
      </c>
      <c r="L6114" s="63" t="s">
        <v>4282</v>
      </c>
      <c r="M6114" s="63" t="s">
        <v>1946</v>
      </c>
      <c r="O6114" s="90">
        <v>44874</v>
      </c>
      <c r="P6114" s="65" t="s">
        <v>21</v>
      </c>
      <c r="Q6114" s="66" t="b">
        <v>0</v>
      </c>
      <c r="R6114" s="22">
        <f t="shared" si="129"/>
        <v>1176</v>
      </c>
      <c r="S6114" t="s">
        <v>21629</v>
      </c>
    </row>
    <row r="6115" spans="1:19">
      <c r="A6115" s="64">
        <v>11610</v>
      </c>
      <c r="B6115" s="62">
        <v>43696</v>
      </c>
      <c r="C6115" s="63" t="s">
        <v>20081</v>
      </c>
      <c r="D6115" s="62">
        <v>43696</v>
      </c>
      <c r="E6115" s="63" t="s">
        <v>38</v>
      </c>
      <c r="F6115" s="63" t="s">
        <v>124</v>
      </c>
      <c r="G6115" s="63" t="s">
        <v>20</v>
      </c>
      <c r="H6115" s="63" t="s">
        <v>71</v>
      </c>
      <c r="I6115" s="63" t="s">
        <v>21</v>
      </c>
      <c r="J6115" s="63" t="s">
        <v>20082</v>
      </c>
      <c r="K6115" s="63" t="s">
        <v>21</v>
      </c>
      <c r="L6115" s="63" t="s">
        <v>4282</v>
      </c>
      <c r="M6115" s="63" t="s">
        <v>21</v>
      </c>
      <c r="O6115" s="108">
        <v>43705</v>
      </c>
      <c r="P6115" s="65" t="s">
        <v>21</v>
      </c>
      <c r="Q6115" s="66" t="b">
        <v>0</v>
      </c>
      <c r="R6115" s="22">
        <f t="shared" si="129"/>
        <v>9</v>
      </c>
    </row>
    <row r="6116" spans="1:19" ht="24">
      <c r="A6116" s="59">
        <v>11611</v>
      </c>
      <c r="B6116" s="60">
        <v>43696</v>
      </c>
      <c r="C6116" s="61" t="s">
        <v>20493</v>
      </c>
      <c r="D6116" s="60">
        <v>43696</v>
      </c>
      <c r="E6116" s="61" t="s">
        <v>20494</v>
      </c>
      <c r="F6116" s="61" t="s">
        <v>984</v>
      </c>
      <c r="G6116" s="61" t="s">
        <v>20</v>
      </c>
      <c r="H6116" s="61" t="s">
        <v>71</v>
      </c>
      <c r="I6116" s="61" t="s">
        <v>21</v>
      </c>
      <c r="J6116" s="61" t="s">
        <v>16622</v>
      </c>
      <c r="K6116" s="61" t="s">
        <v>13389</v>
      </c>
      <c r="L6116" s="61" t="s">
        <v>21243</v>
      </c>
      <c r="M6116" s="61" t="s">
        <v>10117</v>
      </c>
      <c r="O6116" s="60">
        <v>45107</v>
      </c>
      <c r="P6116" s="61" t="s">
        <v>21</v>
      </c>
      <c r="Q6116" s="59" t="b">
        <v>0</v>
      </c>
      <c r="R6116" s="22">
        <f t="shared" si="129"/>
        <v>1410</v>
      </c>
      <c r="S6116" s="37" t="s">
        <v>22138</v>
      </c>
    </row>
    <row r="6117" spans="1:19">
      <c r="A6117" s="64">
        <v>11612</v>
      </c>
      <c r="B6117" s="62">
        <v>43696</v>
      </c>
      <c r="C6117" s="63" t="s">
        <v>20266</v>
      </c>
      <c r="D6117" s="62">
        <v>43696</v>
      </c>
      <c r="E6117" s="63" t="s">
        <v>20267</v>
      </c>
      <c r="F6117" s="63" t="s">
        <v>85</v>
      </c>
      <c r="G6117" s="63" t="s">
        <v>20</v>
      </c>
      <c r="H6117" s="63" t="s">
        <v>71</v>
      </c>
      <c r="I6117" s="63" t="s">
        <v>21</v>
      </c>
      <c r="J6117" s="63" t="s">
        <v>20268</v>
      </c>
      <c r="K6117" s="63" t="s">
        <v>6081</v>
      </c>
      <c r="L6117" s="63" t="s">
        <v>7167</v>
      </c>
      <c r="M6117" s="63" t="s">
        <v>21</v>
      </c>
      <c r="O6117" s="108">
        <v>43712</v>
      </c>
      <c r="P6117" s="65" t="s">
        <v>21</v>
      </c>
      <c r="Q6117" s="66" t="b">
        <v>0</v>
      </c>
      <c r="R6117" s="22">
        <f t="shared" si="129"/>
        <v>15</v>
      </c>
    </row>
    <row r="6118" spans="1:19">
      <c r="A6118" s="64">
        <v>11613</v>
      </c>
      <c r="B6118" s="62">
        <v>43696</v>
      </c>
      <c r="C6118" s="63" t="s">
        <v>20083</v>
      </c>
      <c r="D6118" s="62">
        <v>43696</v>
      </c>
      <c r="E6118" s="63" t="s">
        <v>38</v>
      </c>
      <c r="F6118" s="63" t="s">
        <v>56</v>
      </c>
      <c r="G6118" s="63" t="s">
        <v>20</v>
      </c>
      <c r="H6118" s="63" t="s">
        <v>71</v>
      </c>
      <c r="I6118" s="63" t="s">
        <v>21</v>
      </c>
      <c r="J6118" s="63" t="s">
        <v>20084</v>
      </c>
      <c r="K6118" s="63" t="s">
        <v>13389</v>
      </c>
      <c r="L6118" s="63" t="s">
        <v>7167</v>
      </c>
      <c r="M6118" s="63" t="s">
        <v>21</v>
      </c>
      <c r="O6118" s="108">
        <v>43705</v>
      </c>
      <c r="P6118" s="65" t="s">
        <v>21</v>
      </c>
      <c r="Q6118" s="66" t="b">
        <v>0</v>
      </c>
      <c r="R6118" s="22">
        <f t="shared" si="129"/>
        <v>9</v>
      </c>
    </row>
    <row r="6119" spans="1:19">
      <c r="A6119" s="64">
        <v>11614</v>
      </c>
      <c r="B6119" s="62">
        <v>43704</v>
      </c>
      <c r="C6119" s="63" t="s">
        <v>20085</v>
      </c>
      <c r="D6119" s="62">
        <v>43704</v>
      </c>
      <c r="E6119" s="63" t="s">
        <v>38</v>
      </c>
      <c r="F6119" s="63" t="s">
        <v>149</v>
      </c>
      <c r="G6119" s="63" t="s">
        <v>20</v>
      </c>
      <c r="H6119" s="63" t="s">
        <v>71</v>
      </c>
      <c r="I6119" s="63" t="s">
        <v>21</v>
      </c>
      <c r="J6119" s="63" t="s">
        <v>677</v>
      </c>
      <c r="K6119" s="63" t="s">
        <v>6025</v>
      </c>
      <c r="L6119" s="63" t="s">
        <v>14909</v>
      </c>
      <c r="M6119" s="63" t="s">
        <v>21</v>
      </c>
      <c r="O6119" s="108">
        <v>43718</v>
      </c>
      <c r="P6119" s="65" t="s">
        <v>21</v>
      </c>
      <c r="Q6119" s="66" t="b">
        <v>0</v>
      </c>
      <c r="R6119" s="22">
        <f t="shared" ref="R6119:R6182" si="130">IF(O6119=" ", " ", INT(YEARFRAC(O6119, B6119)*365))</f>
        <v>13</v>
      </c>
    </row>
    <row r="6120" spans="1:19" ht="24">
      <c r="A6120" s="59">
        <v>11615</v>
      </c>
      <c r="B6120" s="60">
        <v>43706</v>
      </c>
      <c r="C6120" s="61" t="s">
        <v>20495</v>
      </c>
      <c r="D6120" s="60">
        <v>43706</v>
      </c>
      <c r="E6120" s="61" t="s">
        <v>20496</v>
      </c>
      <c r="F6120" s="61" t="s">
        <v>56</v>
      </c>
      <c r="G6120" s="61" t="s">
        <v>20</v>
      </c>
      <c r="H6120" s="61" t="s">
        <v>71</v>
      </c>
      <c r="I6120" s="61" t="s">
        <v>21</v>
      </c>
      <c r="J6120" s="61" t="s">
        <v>20497</v>
      </c>
      <c r="K6120" s="61" t="s">
        <v>20498</v>
      </c>
      <c r="L6120" s="61" t="s">
        <v>21142</v>
      </c>
      <c r="M6120" s="61" t="s">
        <v>22139</v>
      </c>
      <c r="O6120" s="60">
        <v>45064</v>
      </c>
      <c r="P6120" s="61" t="s">
        <v>21</v>
      </c>
      <c r="Q6120" s="59" t="b">
        <v>0</v>
      </c>
      <c r="R6120" s="22">
        <f t="shared" si="130"/>
        <v>1357</v>
      </c>
      <c r="S6120" s="37" t="s">
        <v>21621</v>
      </c>
    </row>
    <row r="6121" spans="1:19">
      <c r="A6121" s="64">
        <v>11616</v>
      </c>
      <c r="B6121" s="62">
        <v>43706</v>
      </c>
      <c r="C6121" s="63" t="s">
        <v>20086</v>
      </c>
      <c r="D6121" s="62">
        <v>43706</v>
      </c>
      <c r="E6121" s="63" t="s">
        <v>38</v>
      </c>
      <c r="F6121" s="63" t="s">
        <v>27</v>
      </c>
      <c r="G6121" s="63" t="s">
        <v>20</v>
      </c>
      <c r="H6121" s="63" t="s">
        <v>71</v>
      </c>
      <c r="I6121" s="63" t="s">
        <v>21</v>
      </c>
      <c r="J6121" s="63" t="s">
        <v>20087</v>
      </c>
      <c r="K6121" s="63" t="s">
        <v>20088</v>
      </c>
      <c r="L6121" s="63" t="s">
        <v>14909</v>
      </c>
      <c r="M6121" s="63" t="s">
        <v>21</v>
      </c>
      <c r="O6121" s="108">
        <v>43718</v>
      </c>
      <c r="P6121" s="65" t="s">
        <v>21</v>
      </c>
      <c r="Q6121" s="66" t="b">
        <v>0</v>
      </c>
      <c r="R6121" s="22">
        <f t="shared" si="130"/>
        <v>11</v>
      </c>
    </row>
    <row r="6122" spans="1:19">
      <c r="A6122" s="64">
        <v>11617</v>
      </c>
      <c r="B6122" s="62">
        <v>43711</v>
      </c>
      <c r="C6122" s="63" t="s">
        <v>20157</v>
      </c>
      <c r="D6122" s="62">
        <v>43707</v>
      </c>
      <c r="E6122" s="63" t="s">
        <v>20158</v>
      </c>
      <c r="F6122" s="63" t="s">
        <v>6456</v>
      </c>
      <c r="G6122" s="63" t="s">
        <v>20</v>
      </c>
      <c r="H6122" s="63" t="s">
        <v>189</v>
      </c>
      <c r="I6122" s="63" t="s">
        <v>21</v>
      </c>
      <c r="J6122" s="63" t="s">
        <v>3581</v>
      </c>
      <c r="K6122" s="63" t="s">
        <v>20159</v>
      </c>
      <c r="L6122" s="63" t="s">
        <v>4282</v>
      </c>
      <c r="M6122" s="63" t="s">
        <v>21</v>
      </c>
      <c r="O6122" s="108">
        <v>43760</v>
      </c>
      <c r="P6122" s="65" t="s">
        <v>21</v>
      </c>
      <c r="Q6122" s="66" t="b">
        <v>0</v>
      </c>
      <c r="R6122" s="22">
        <f t="shared" si="130"/>
        <v>49</v>
      </c>
    </row>
    <row r="6123" spans="1:19">
      <c r="A6123" s="64">
        <v>11625</v>
      </c>
      <c r="B6123" s="62">
        <v>43711</v>
      </c>
      <c r="C6123" s="63" t="s">
        <v>20269</v>
      </c>
      <c r="D6123" s="62">
        <v>43718</v>
      </c>
      <c r="E6123" s="63" t="s">
        <v>20270</v>
      </c>
      <c r="F6123" s="63" t="s">
        <v>124</v>
      </c>
      <c r="G6123" s="63" t="s">
        <v>20</v>
      </c>
      <c r="H6123" s="63" t="s">
        <v>71</v>
      </c>
      <c r="I6123" s="63" t="s">
        <v>21</v>
      </c>
      <c r="J6123" s="63" t="s">
        <v>20271</v>
      </c>
      <c r="K6123" s="63" t="s">
        <v>20272</v>
      </c>
      <c r="L6123" s="63" t="s">
        <v>14909</v>
      </c>
      <c r="M6123" s="63" t="s">
        <v>21</v>
      </c>
      <c r="O6123" s="108">
        <v>43769</v>
      </c>
      <c r="P6123" s="65" t="s">
        <v>21</v>
      </c>
      <c r="Q6123" s="66" t="b">
        <v>0</v>
      </c>
      <c r="R6123" s="22">
        <f t="shared" si="130"/>
        <v>58</v>
      </c>
    </row>
    <row r="6124" spans="1:19">
      <c r="A6124" s="64">
        <v>11618</v>
      </c>
      <c r="B6124" s="62">
        <v>43712</v>
      </c>
      <c r="C6124" s="63" t="s">
        <v>20160</v>
      </c>
      <c r="D6124" s="62">
        <v>43711</v>
      </c>
      <c r="E6124" s="63" t="s">
        <v>20161</v>
      </c>
      <c r="F6124" s="63" t="s">
        <v>1047</v>
      </c>
      <c r="G6124" s="63" t="s">
        <v>20</v>
      </c>
      <c r="H6124" s="63" t="s">
        <v>71</v>
      </c>
      <c r="I6124" s="63" t="s">
        <v>21</v>
      </c>
      <c r="J6124" s="63" t="s">
        <v>20162</v>
      </c>
      <c r="K6124" s="63" t="s">
        <v>20163</v>
      </c>
      <c r="L6124" s="63" t="s">
        <v>7167</v>
      </c>
      <c r="M6124" s="63" t="s">
        <v>21</v>
      </c>
      <c r="O6124" s="108">
        <v>43761</v>
      </c>
      <c r="P6124" s="65" t="s">
        <v>21</v>
      </c>
      <c r="Q6124" s="66" t="b">
        <v>0</v>
      </c>
      <c r="R6124" s="22">
        <f t="shared" si="130"/>
        <v>49</v>
      </c>
    </row>
    <row r="6125" spans="1:19">
      <c r="A6125" s="64">
        <v>11619</v>
      </c>
      <c r="B6125" s="62">
        <v>43712</v>
      </c>
      <c r="C6125" s="63" t="s">
        <v>20499</v>
      </c>
      <c r="D6125" s="62">
        <v>43711</v>
      </c>
      <c r="E6125" s="63" t="s">
        <v>20500</v>
      </c>
      <c r="F6125" s="63" t="s">
        <v>85</v>
      </c>
      <c r="G6125" s="63" t="s">
        <v>20</v>
      </c>
      <c r="H6125" s="63" t="s">
        <v>71</v>
      </c>
      <c r="I6125" s="63" t="s">
        <v>21</v>
      </c>
      <c r="J6125" s="63" t="s">
        <v>20268</v>
      </c>
      <c r="K6125" s="63" t="s">
        <v>9152</v>
      </c>
      <c r="L6125" s="63" t="s">
        <v>7167</v>
      </c>
      <c r="M6125" s="63" t="s">
        <v>21</v>
      </c>
      <c r="O6125" s="108">
        <v>44168</v>
      </c>
      <c r="P6125" s="65" t="s">
        <v>21</v>
      </c>
      <c r="Q6125" s="66" t="b">
        <v>0</v>
      </c>
      <c r="R6125" s="22">
        <f t="shared" si="130"/>
        <v>455</v>
      </c>
    </row>
    <row r="6126" spans="1:19">
      <c r="A6126" s="64">
        <v>11620</v>
      </c>
      <c r="B6126" s="62">
        <v>43713</v>
      </c>
      <c r="C6126" s="63" t="s">
        <v>20592</v>
      </c>
      <c r="D6126" s="62">
        <v>43711</v>
      </c>
      <c r="E6126" s="63" t="s">
        <v>20593</v>
      </c>
      <c r="F6126" s="63" t="s">
        <v>124</v>
      </c>
      <c r="G6126" s="63" t="s">
        <v>20</v>
      </c>
      <c r="H6126" s="63" t="s">
        <v>71</v>
      </c>
      <c r="I6126" s="63" t="s">
        <v>21</v>
      </c>
      <c r="J6126" s="63" t="s">
        <v>20594</v>
      </c>
      <c r="K6126" s="63" t="s">
        <v>18090</v>
      </c>
      <c r="L6126" s="63" t="s">
        <v>14909</v>
      </c>
      <c r="M6126" s="63" t="s">
        <v>21</v>
      </c>
      <c r="O6126" s="108">
        <v>43889</v>
      </c>
      <c r="P6126" s="65" t="s">
        <v>21</v>
      </c>
      <c r="Q6126" s="66" t="b">
        <v>0</v>
      </c>
      <c r="R6126" s="22">
        <f t="shared" si="130"/>
        <v>175</v>
      </c>
    </row>
    <row r="6127" spans="1:19">
      <c r="A6127" s="64">
        <v>11621</v>
      </c>
      <c r="B6127" s="62">
        <v>43714</v>
      </c>
      <c r="C6127" s="63" t="s">
        <v>20501</v>
      </c>
      <c r="D6127" s="62">
        <v>43713</v>
      </c>
      <c r="E6127" s="63" t="s">
        <v>20502</v>
      </c>
      <c r="F6127" s="63" t="s">
        <v>6456</v>
      </c>
      <c r="G6127" s="63" t="s">
        <v>20</v>
      </c>
      <c r="H6127" s="63" t="s">
        <v>189</v>
      </c>
      <c r="I6127" s="63" t="s">
        <v>21</v>
      </c>
      <c r="J6127" s="63" t="s">
        <v>20503</v>
      </c>
      <c r="K6127" s="63" t="s">
        <v>20504</v>
      </c>
      <c r="L6127" s="63" t="s">
        <v>4282</v>
      </c>
      <c r="M6127" s="63" t="s">
        <v>14909</v>
      </c>
      <c r="O6127" s="108">
        <v>43840</v>
      </c>
      <c r="P6127" s="65" t="s">
        <v>21</v>
      </c>
      <c r="Q6127" s="66" t="b">
        <v>0</v>
      </c>
      <c r="R6127" s="22">
        <f t="shared" si="130"/>
        <v>125</v>
      </c>
    </row>
    <row r="6128" spans="1:19">
      <c r="A6128" s="64">
        <v>11622</v>
      </c>
      <c r="B6128" s="62">
        <v>43717</v>
      </c>
      <c r="C6128" s="63" t="s">
        <v>20382</v>
      </c>
      <c r="D6128" s="62">
        <v>43717</v>
      </c>
      <c r="E6128" s="63" t="s">
        <v>1928</v>
      </c>
      <c r="F6128" s="63" t="s">
        <v>1743</v>
      </c>
      <c r="G6128" s="63" t="s">
        <v>20</v>
      </c>
      <c r="H6128" s="63" t="s">
        <v>71</v>
      </c>
      <c r="I6128" s="63" t="s">
        <v>21</v>
      </c>
      <c r="J6128" s="63" t="s">
        <v>20383</v>
      </c>
      <c r="K6128" s="63" t="s">
        <v>20352</v>
      </c>
      <c r="L6128" s="63" t="s">
        <v>7167</v>
      </c>
      <c r="M6128" s="63" t="s">
        <v>21</v>
      </c>
      <c r="O6128" s="108">
        <v>43731</v>
      </c>
      <c r="P6128" s="65" t="s">
        <v>21</v>
      </c>
      <c r="Q6128" s="66" t="b">
        <v>0</v>
      </c>
      <c r="R6128" s="22">
        <f t="shared" si="130"/>
        <v>14</v>
      </c>
    </row>
    <row r="6129" spans="1:19">
      <c r="A6129" s="64">
        <v>11623</v>
      </c>
      <c r="B6129" s="62">
        <v>43717</v>
      </c>
      <c r="C6129" s="63" t="s">
        <v>20089</v>
      </c>
      <c r="D6129" s="62">
        <v>43717</v>
      </c>
      <c r="E6129" s="63" t="s">
        <v>38</v>
      </c>
      <c r="F6129" s="63" t="s">
        <v>7020</v>
      </c>
      <c r="G6129" s="63" t="s">
        <v>20</v>
      </c>
      <c r="H6129" s="63" t="s">
        <v>71</v>
      </c>
      <c r="I6129" s="63" t="s">
        <v>21</v>
      </c>
      <c r="J6129" s="63" t="s">
        <v>20090</v>
      </c>
      <c r="K6129" s="63" t="s">
        <v>20091</v>
      </c>
      <c r="L6129" s="63" t="s">
        <v>7167</v>
      </c>
      <c r="M6129" s="63" t="s">
        <v>21</v>
      </c>
      <c r="O6129" s="108">
        <v>43739</v>
      </c>
      <c r="P6129" s="65" t="s">
        <v>21</v>
      </c>
      <c r="Q6129" s="66" t="b">
        <v>0</v>
      </c>
      <c r="R6129" s="22">
        <f t="shared" si="130"/>
        <v>22</v>
      </c>
    </row>
    <row r="6130" spans="1:19">
      <c r="A6130" s="64">
        <v>11624</v>
      </c>
      <c r="B6130" s="62">
        <v>43717</v>
      </c>
      <c r="C6130" s="63" t="s">
        <v>20384</v>
      </c>
      <c r="D6130" s="62">
        <v>43717</v>
      </c>
      <c r="E6130" s="63" t="s">
        <v>1928</v>
      </c>
      <c r="F6130" s="63" t="s">
        <v>1743</v>
      </c>
      <c r="G6130" s="63" t="s">
        <v>20</v>
      </c>
      <c r="H6130" s="63" t="s">
        <v>71</v>
      </c>
      <c r="I6130" s="63" t="s">
        <v>21</v>
      </c>
      <c r="J6130" s="63" t="s">
        <v>20385</v>
      </c>
      <c r="K6130" s="63" t="s">
        <v>20352</v>
      </c>
      <c r="L6130" s="63" t="s">
        <v>7167</v>
      </c>
      <c r="M6130" s="63" t="s">
        <v>21</v>
      </c>
      <c r="O6130" s="108">
        <v>43759</v>
      </c>
      <c r="P6130" s="65" t="s">
        <v>21</v>
      </c>
      <c r="Q6130" s="66" t="b">
        <v>0</v>
      </c>
      <c r="R6130" s="22">
        <f t="shared" si="130"/>
        <v>42</v>
      </c>
    </row>
    <row r="6131" spans="1:19">
      <c r="A6131" s="64">
        <v>11626</v>
      </c>
      <c r="B6131" s="62">
        <v>43718</v>
      </c>
      <c r="C6131" s="63" t="s">
        <v>20089</v>
      </c>
      <c r="D6131" s="62">
        <v>43718</v>
      </c>
      <c r="E6131" s="63" t="s">
        <v>20505</v>
      </c>
      <c r="F6131" s="63" t="s">
        <v>20506</v>
      </c>
      <c r="G6131" s="63" t="s">
        <v>20</v>
      </c>
      <c r="H6131" s="63" t="s">
        <v>71</v>
      </c>
      <c r="I6131" s="63" t="s">
        <v>21</v>
      </c>
      <c r="J6131" s="63" t="s">
        <v>7369</v>
      </c>
      <c r="K6131" s="63" t="s">
        <v>20507</v>
      </c>
      <c r="L6131" s="63" t="s">
        <v>1152</v>
      </c>
      <c r="M6131" s="63" t="s">
        <v>21</v>
      </c>
      <c r="O6131" s="108">
        <v>43980</v>
      </c>
      <c r="P6131" s="65" t="s">
        <v>21</v>
      </c>
      <c r="Q6131" s="66" t="b">
        <v>0</v>
      </c>
      <c r="R6131" s="22">
        <f t="shared" si="130"/>
        <v>262</v>
      </c>
    </row>
    <row r="6132" spans="1:19">
      <c r="A6132" s="64">
        <v>11627</v>
      </c>
      <c r="B6132" s="62">
        <v>43719</v>
      </c>
      <c r="C6132" s="63" t="s">
        <v>20415</v>
      </c>
      <c r="D6132" s="62">
        <v>43718</v>
      </c>
      <c r="E6132" s="63" t="s">
        <v>20416</v>
      </c>
      <c r="F6132" s="63" t="s">
        <v>13422</v>
      </c>
      <c r="G6132" s="63" t="s">
        <v>20</v>
      </c>
      <c r="H6132" s="63" t="s">
        <v>71</v>
      </c>
      <c r="I6132" s="63" t="s">
        <v>21</v>
      </c>
      <c r="J6132" s="63" t="s">
        <v>20417</v>
      </c>
      <c r="K6132" s="63" t="s">
        <v>20155</v>
      </c>
      <c r="L6132" s="63" t="s">
        <v>7167</v>
      </c>
      <c r="M6132" s="63" t="s">
        <v>21</v>
      </c>
      <c r="O6132" s="108">
        <v>43837</v>
      </c>
      <c r="P6132" s="65" t="s">
        <v>21</v>
      </c>
      <c r="Q6132" s="66" t="b">
        <v>0</v>
      </c>
      <c r="R6132" s="22">
        <f t="shared" si="130"/>
        <v>117</v>
      </c>
    </row>
    <row r="6133" spans="1:19">
      <c r="A6133" s="64">
        <v>11628</v>
      </c>
      <c r="B6133" s="62">
        <v>43719</v>
      </c>
      <c r="C6133" s="63" t="s">
        <v>20164</v>
      </c>
      <c r="D6133" s="62">
        <v>43718</v>
      </c>
      <c r="E6133" s="63" t="s">
        <v>20165</v>
      </c>
      <c r="F6133" s="63" t="s">
        <v>3615</v>
      </c>
      <c r="G6133" s="63" t="s">
        <v>20</v>
      </c>
      <c r="H6133" s="63" t="s">
        <v>189</v>
      </c>
      <c r="I6133" s="63" t="s">
        <v>21</v>
      </c>
      <c r="J6133" s="63" t="s">
        <v>20166</v>
      </c>
      <c r="K6133" s="63" t="s">
        <v>20167</v>
      </c>
      <c r="L6133" s="63" t="s">
        <v>4282</v>
      </c>
      <c r="M6133" s="63" t="s">
        <v>21</v>
      </c>
      <c r="O6133" s="108">
        <v>43747</v>
      </c>
      <c r="P6133" s="65" t="s">
        <v>21</v>
      </c>
      <c r="Q6133" s="66" t="b">
        <v>0</v>
      </c>
      <c r="R6133" s="22">
        <f t="shared" si="130"/>
        <v>28</v>
      </c>
    </row>
    <row r="6134" spans="1:19">
      <c r="A6134" s="64">
        <v>11629</v>
      </c>
      <c r="B6134" s="62">
        <v>43719</v>
      </c>
      <c r="C6134" s="63" t="s">
        <v>20092</v>
      </c>
      <c r="D6134" s="62">
        <v>43719</v>
      </c>
      <c r="E6134" s="63" t="s">
        <v>38</v>
      </c>
      <c r="F6134" s="63" t="s">
        <v>149</v>
      </c>
      <c r="G6134" s="63" t="s">
        <v>20</v>
      </c>
      <c r="H6134" s="63" t="s">
        <v>71</v>
      </c>
      <c r="I6134" s="63" t="s">
        <v>21</v>
      </c>
      <c r="J6134" s="63" t="s">
        <v>20093</v>
      </c>
      <c r="K6134" s="63" t="s">
        <v>20094</v>
      </c>
      <c r="L6134" s="63" t="s">
        <v>14909</v>
      </c>
      <c r="M6134" s="63" t="s">
        <v>21</v>
      </c>
      <c r="O6134" s="108">
        <v>43735</v>
      </c>
      <c r="P6134" s="65" t="s">
        <v>21</v>
      </c>
      <c r="Q6134" s="66" t="b">
        <v>0</v>
      </c>
      <c r="R6134" s="22">
        <f t="shared" si="130"/>
        <v>16</v>
      </c>
    </row>
    <row r="6135" spans="1:19">
      <c r="A6135" s="64">
        <v>11630</v>
      </c>
      <c r="B6135" s="62">
        <v>43725</v>
      </c>
      <c r="C6135" s="63" t="s">
        <v>20273</v>
      </c>
      <c r="D6135" s="62">
        <v>43721</v>
      </c>
      <c r="E6135" s="63" t="s">
        <v>20274</v>
      </c>
      <c r="F6135" s="63" t="s">
        <v>13422</v>
      </c>
      <c r="G6135" s="63" t="s">
        <v>20</v>
      </c>
      <c r="H6135" s="63" t="s">
        <v>71</v>
      </c>
      <c r="I6135" s="63" t="s">
        <v>21</v>
      </c>
      <c r="J6135" s="63" t="s">
        <v>20275</v>
      </c>
      <c r="K6135" s="63" t="s">
        <v>6081</v>
      </c>
      <c r="L6135" s="63" t="s">
        <v>4282</v>
      </c>
      <c r="M6135" s="63" t="s">
        <v>21</v>
      </c>
      <c r="O6135" s="108">
        <v>43819</v>
      </c>
      <c r="P6135" s="65" t="s">
        <v>21</v>
      </c>
      <c r="Q6135" s="66" t="b">
        <v>0</v>
      </c>
      <c r="R6135" s="22">
        <f t="shared" si="130"/>
        <v>94</v>
      </c>
    </row>
    <row r="6136" spans="1:19">
      <c r="A6136" s="64">
        <v>11631</v>
      </c>
      <c r="B6136" s="62">
        <v>43725</v>
      </c>
      <c r="C6136" s="63" t="s">
        <v>20276</v>
      </c>
      <c r="D6136" s="62">
        <v>43721</v>
      </c>
      <c r="E6136" s="63" t="s">
        <v>20277</v>
      </c>
      <c r="F6136" s="63" t="s">
        <v>20241</v>
      </c>
      <c r="G6136" s="63" t="s">
        <v>20</v>
      </c>
      <c r="H6136" s="63" t="s">
        <v>71</v>
      </c>
      <c r="I6136" s="63" t="s">
        <v>21</v>
      </c>
      <c r="J6136" s="63" t="s">
        <v>20278</v>
      </c>
      <c r="K6136" s="63" t="s">
        <v>20279</v>
      </c>
      <c r="L6136" s="63" t="s">
        <v>1152</v>
      </c>
      <c r="M6136" s="63" t="s">
        <v>21</v>
      </c>
      <c r="O6136" s="108">
        <v>43738</v>
      </c>
      <c r="P6136" s="65" t="s">
        <v>21</v>
      </c>
      <c r="Q6136" s="66" t="b">
        <v>0</v>
      </c>
      <c r="R6136" s="22">
        <f t="shared" si="130"/>
        <v>13</v>
      </c>
    </row>
    <row r="6137" spans="1:19">
      <c r="A6137" s="64">
        <v>11632</v>
      </c>
      <c r="B6137" s="62">
        <v>43725</v>
      </c>
      <c r="C6137" s="63" t="s">
        <v>20280</v>
      </c>
      <c r="D6137" s="62">
        <v>43720</v>
      </c>
      <c r="E6137" s="63" t="s">
        <v>20281</v>
      </c>
      <c r="F6137" s="63" t="s">
        <v>5690</v>
      </c>
      <c r="G6137" s="63" t="s">
        <v>20</v>
      </c>
      <c r="H6137" s="63" t="s">
        <v>71</v>
      </c>
      <c r="I6137" s="63" t="s">
        <v>21</v>
      </c>
      <c r="J6137" s="63" t="s">
        <v>20282</v>
      </c>
      <c r="K6137" s="63" t="s">
        <v>20283</v>
      </c>
      <c r="L6137" s="63" t="s">
        <v>7167</v>
      </c>
      <c r="M6137" s="63" t="s">
        <v>21</v>
      </c>
      <c r="O6137" s="108">
        <v>43732</v>
      </c>
      <c r="P6137" s="65" t="s">
        <v>21</v>
      </c>
      <c r="Q6137" s="66" t="b">
        <v>0</v>
      </c>
      <c r="R6137" s="22">
        <f t="shared" si="130"/>
        <v>7</v>
      </c>
    </row>
    <row r="6138" spans="1:19">
      <c r="A6138" s="64">
        <v>11633</v>
      </c>
      <c r="B6138" s="62">
        <v>43725</v>
      </c>
      <c r="C6138" s="63" t="s">
        <v>20595</v>
      </c>
      <c r="D6138" s="62">
        <v>43724</v>
      </c>
      <c r="E6138" s="63" t="s">
        <v>20596</v>
      </c>
      <c r="F6138" s="63" t="s">
        <v>27</v>
      </c>
      <c r="G6138" s="63" t="s">
        <v>20</v>
      </c>
      <c r="H6138" s="63" t="s">
        <v>71</v>
      </c>
      <c r="I6138" s="63" t="s">
        <v>21</v>
      </c>
      <c r="J6138" s="63" t="s">
        <v>20597</v>
      </c>
      <c r="K6138" s="63" t="s">
        <v>15737</v>
      </c>
      <c r="L6138" s="63" t="s">
        <v>7167</v>
      </c>
      <c r="M6138" s="63" t="s">
        <v>14909</v>
      </c>
      <c r="O6138" s="108">
        <v>44208</v>
      </c>
      <c r="P6138" s="65" t="s">
        <v>21</v>
      </c>
      <c r="Q6138" s="66" t="b">
        <v>0</v>
      </c>
      <c r="R6138" s="22">
        <f t="shared" si="130"/>
        <v>481</v>
      </c>
    </row>
    <row r="6139" spans="1:19" ht="24">
      <c r="A6139" s="59">
        <v>11634</v>
      </c>
      <c r="B6139" s="60">
        <v>43726</v>
      </c>
      <c r="C6139" s="61" t="s">
        <v>20508</v>
      </c>
      <c r="D6139" s="60">
        <v>43724</v>
      </c>
      <c r="E6139" s="61" t="s">
        <v>20509</v>
      </c>
      <c r="F6139" s="61" t="s">
        <v>124</v>
      </c>
      <c r="G6139" s="61" t="s">
        <v>20</v>
      </c>
      <c r="H6139" s="61" t="s">
        <v>71</v>
      </c>
      <c r="I6139" s="61" t="s">
        <v>21</v>
      </c>
      <c r="J6139" s="61" t="s">
        <v>20510</v>
      </c>
      <c r="K6139" s="61" t="s">
        <v>20511</v>
      </c>
      <c r="L6139" s="61" t="s">
        <v>4282</v>
      </c>
      <c r="M6139" s="61" t="s">
        <v>21</v>
      </c>
      <c r="O6139" s="60">
        <v>45030</v>
      </c>
      <c r="P6139" s="61" t="s">
        <v>21</v>
      </c>
      <c r="Q6139" s="59" t="b">
        <v>0</v>
      </c>
      <c r="R6139" s="22">
        <f t="shared" si="130"/>
        <v>1303</v>
      </c>
      <c r="S6139" s="37" t="s">
        <v>22140</v>
      </c>
    </row>
    <row r="6140" spans="1:19">
      <c r="A6140" s="64">
        <v>11635</v>
      </c>
      <c r="B6140" s="62">
        <v>43726</v>
      </c>
      <c r="C6140" s="63" t="s">
        <v>20095</v>
      </c>
      <c r="D6140" s="62">
        <v>43725</v>
      </c>
      <c r="E6140" s="63" t="s">
        <v>38</v>
      </c>
      <c r="F6140" s="63" t="s">
        <v>7020</v>
      </c>
      <c r="G6140" s="63" t="s">
        <v>20</v>
      </c>
      <c r="H6140" s="63" t="s">
        <v>71</v>
      </c>
      <c r="I6140" s="63" t="s">
        <v>21</v>
      </c>
      <c r="J6140" s="63" t="s">
        <v>20096</v>
      </c>
      <c r="K6140" s="63" t="s">
        <v>20097</v>
      </c>
      <c r="L6140" s="63" t="s">
        <v>7167</v>
      </c>
      <c r="M6140" s="63" t="s">
        <v>21</v>
      </c>
      <c r="O6140" s="108">
        <v>43728</v>
      </c>
      <c r="P6140" s="65" t="s">
        <v>21</v>
      </c>
      <c r="Q6140" s="66" t="b">
        <v>0</v>
      </c>
      <c r="R6140" s="22">
        <f t="shared" si="130"/>
        <v>2</v>
      </c>
    </row>
    <row r="6141" spans="1:19">
      <c r="A6141" s="64">
        <v>11636</v>
      </c>
      <c r="B6141" s="62">
        <v>43726</v>
      </c>
      <c r="C6141" s="63" t="s">
        <v>20098</v>
      </c>
      <c r="D6141" s="62">
        <v>43721</v>
      </c>
      <c r="E6141" s="63" t="s">
        <v>38</v>
      </c>
      <c r="F6141" s="63" t="s">
        <v>149</v>
      </c>
      <c r="G6141" s="63" t="s">
        <v>20</v>
      </c>
      <c r="H6141" s="63" t="s">
        <v>71</v>
      </c>
      <c r="I6141" s="63" t="s">
        <v>21</v>
      </c>
      <c r="J6141" s="63" t="s">
        <v>20099</v>
      </c>
      <c r="K6141" s="63" t="s">
        <v>20100</v>
      </c>
      <c r="L6141" s="63" t="s">
        <v>14909</v>
      </c>
      <c r="M6141" s="63" t="s">
        <v>21</v>
      </c>
      <c r="O6141" s="108">
        <v>43735</v>
      </c>
      <c r="P6141" s="65" t="s">
        <v>21</v>
      </c>
      <c r="Q6141" s="66" t="b">
        <v>0</v>
      </c>
      <c r="R6141" s="22">
        <f t="shared" si="130"/>
        <v>9</v>
      </c>
    </row>
    <row r="6142" spans="1:19" ht="24">
      <c r="A6142" s="59">
        <v>11637</v>
      </c>
      <c r="B6142" s="60">
        <v>43727</v>
      </c>
      <c r="C6142" s="61" t="s">
        <v>20512</v>
      </c>
      <c r="D6142" s="60">
        <v>43726</v>
      </c>
      <c r="E6142" s="61" t="s">
        <v>20513</v>
      </c>
      <c r="F6142" s="61" t="s">
        <v>104</v>
      </c>
      <c r="G6142" s="61" t="s">
        <v>20</v>
      </c>
      <c r="H6142" s="61" t="s">
        <v>71</v>
      </c>
      <c r="I6142" s="61" t="s">
        <v>21</v>
      </c>
      <c r="J6142" s="61" t="s">
        <v>20514</v>
      </c>
      <c r="K6142" s="61" t="s">
        <v>20515</v>
      </c>
      <c r="L6142" s="61" t="s">
        <v>7167</v>
      </c>
      <c r="M6142" s="61" t="s">
        <v>1152</v>
      </c>
      <c r="O6142" s="60">
        <v>45064</v>
      </c>
      <c r="P6142" s="61" t="s">
        <v>21</v>
      </c>
      <c r="Q6142" s="59" t="b">
        <v>0</v>
      </c>
      <c r="R6142" s="22">
        <f t="shared" si="130"/>
        <v>1337</v>
      </c>
      <c r="S6142" s="37" t="s">
        <v>22141</v>
      </c>
    </row>
    <row r="6143" spans="1:19">
      <c r="A6143" s="64">
        <v>11638</v>
      </c>
      <c r="B6143" s="62">
        <v>43727</v>
      </c>
      <c r="C6143" s="63" t="s">
        <v>20519</v>
      </c>
      <c r="D6143" s="62">
        <v>43726</v>
      </c>
      <c r="E6143" s="63" t="s">
        <v>20520</v>
      </c>
      <c r="F6143" s="63" t="s">
        <v>98</v>
      </c>
      <c r="G6143" s="63" t="s">
        <v>20</v>
      </c>
      <c r="H6143" s="63" t="s">
        <v>71</v>
      </c>
      <c r="I6143" s="63" t="s">
        <v>21</v>
      </c>
      <c r="J6143" s="63" t="s">
        <v>20521</v>
      </c>
      <c r="K6143" s="63" t="s">
        <v>20522</v>
      </c>
      <c r="L6143" s="63" t="s">
        <v>7167</v>
      </c>
      <c r="M6143" s="63" t="s">
        <v>21</v>
      </c>
      <c r="O6143" s="90">
        <v>44631</v>
      </c>
      <c r="P6143" s="65" t="s">
        <v>21</v>
      </c>
      <c r="Q6143" s="66" t="b">
        <v>0</v>
      </c>
      <c r="R6143" s="22">
        <f t="shared" si="130"/>
        <v>904</v>
      </c>
      <c r="S6143" t="s">
        <v>21</v>
      </c>
    </row>
    <row r="6144" spans="1:19">
      <c r="A6144" s="64">
        <v>11639</v>
      </c>
      <c r="B6144" s="62">
        <v>43731</v>
      </c>
      <c r="C6144" s="63" t="s">
        <v>20101</v>
      </c>
      <c r="D6144" s="62">
        <v>43731</v>
      </c>
      <c r="E6144" s="63" t="s">
        <v>38</v>
      </c>
      <c r="F6144" s="63" t="s">
        <v>20102</v>
      </c>
      <c r="G6144" s="63" t="s">
        <v>20</v>
      </c>
      <c r="H6144" s="63" t="s">
        <v>71</v>
      </c>
      <c r="I6144" s="63" t="s">
        <v>21</v>
      </c>
      <c r="J6144" s="63" t="s">
        <v>16009</v>
      </c>
      <c r="K6144" s="63" t="s">
        <v>20103</v>
      </c>
      <c r="L6144" s="63" t="s">
        <v>4282</v>
      </c>
      <c r="M6144" s="63" t="s">
        <v>21</v>
      </c>
      <c r="O6144" s="108">
        <v>43746</v>
      </c>
      <c r="P6144" s="65" t="s">
        <v>21</v>
      </c>
      <c r="Q6144" s="66" t="b">
        <v>0</v>
      </c>
      <c r="R6144" s="22">
        <f t="shared" si="130"/>
        <v>15</v>
      </c>
    </row>
    <row r="6145" spans="1:19">
      <c r="A6145" s="64">
        <v>11640</v>
      </c>
      <c r="B6145" s="62">
        <v>43731</v>
      </c>
      <c r="C6145" s="63" t="s">
        <v>20168</v>
      </c>
      <c r="D6145" s="62">
        <v>43731</v>
      </c>
      <c r="E6145" s="63" t="s">
        <v>20169</v>
      </c>
      <c r="F6145" s="63" t="s">
        <v>56</v>
      </c>
      <c r="G6145" s="63" t="s">
        <v>20</v>
      </c>
      <c r="H6145" s="63" t="s">
        <v>71</v>
      </c>
      <c r="I6145" s="63" t="s">
        <v>21</v>
      </c>
      <c r="J6145" s="63" t="s">
        <v>20170</v>
      </c>
      <c r="K6145" s="63" t="s">
        <v>20171</v>
      </c>
      <c r="L6145" s="63" t="s">
        <v>1152</v>
      </c>
      <c r="M6145" s="63" t="s">
        <v>21</v>
      </c>
      <c r="O6145" s="108">
        <v>43798</v>
      </c>
      <c r="P6145" s="65" t="s">
        <v>21</v>
      </c>
      <c r="Q6145" s="66" t="b">
        <v>0</v>
      </c>
      <c r="R6145" s="22">
        <f t="shared" si="130"/>
        <v>66</v>
      </c>
    </row>
    <row r="6146" spans="1:19">
      <c r="A6146" s="64">
        <v>11641</v>
      </c>
      <c r="B6146" s="62">
        <v>43732</v>
      </c>
      <c r="C6146" s="63" t="s">
        <v>20523</v>
      </c>
      <c r="D6146" s="62">
        <v>43732</v>
      </c>
      <c r="E6146" s="63" t="s">
        <v>20524</v>
      </c>
      <c r="F6146" s="63" t="s">
        <v>124</v>
      </c>
      <c r="G6146" s="63" t="s">
        <v>20</v>
      </c>
      <c r="H6146" s="63" t="s">
        <v>71</v>
      </c>
      <c r="I6146" s="63" t="s">
        <v>21</v>
      </c>
      <c r="J6146" s="63" t="s">
        <v>2547</v>
      </c>
      <c r="K6146" s="63" t="s">
        <v>20525</v>
      </c>
      <c r="L6146" s="63" t="s">
        <v>1946</v>
      </c>
      <c r="M6146" s="63" t="s">
        <v>14909</v>
      </c>
      <c r="O6146" s="108">
        <v>43881</v>
      </c>
      <c r="P6146" s="65" t="s">
        <v>21</v>
      </c>
      <c r="Q6146" s="66" t="b">
        <v>0</v>
      </c>
      <c r="R6146" s="22">
        <f t="shared" si="130"/>
        <v>148</v>
      </c>
    </row>
    <row r="6147" spans="1:19">
      <c r="A6147" s="64">
        <v>11642</v>
      </c>
      <c r="B6147" s="62">
        <v>43733</v>
      </c>
      <c r="C6147" s="63" t="s">
        <v>20172</v>
      </c>
      <c r="D6147" s="62">
        <v>43733</v>
      </c>
      <c r="E6147" s="63" t="s">
        <v>20173</v>
      </c>
      <c r="F6147" s="63" t="s">
        <v>5690</v>
      </c>
      <c r="G6147" s="63" t="s">
        <v>20</v>
      </c>
      <c r="H6147" s="63" t="s">
        <v>71</v>
      </c>
      <c r="I6147" s="63" t="s">
        <v>21</v>
      </c>
      <c r="J6147" s="63" t="s">
        <v>20174</v>
      </c>
      <c r="K6147" s="63" t="s">
        <v>20175</v>
      </c>
      <c r="L6147" s="63" t="s">
        <v>7167</v>
      </c>
      <c r="M6147" s="63" t="s">
        <v>21</v>
      </c>
      <c r="O6147" s="108">
        <v>43802</v>
      </c>
      <c r="P6147" s="65" t="s">
        <v>21</v>
      </c>
      <c r="Q6147" s="66" t="b">
        <v>0</v>
      </c>
      <c r="R6147" s="22">
        <f t="shared" si="130"/>
        <v>68</v>
      </c>
    </row>
    <row r="6148" spans="1:19">
      <c r="A6148" s="64">
        <v>11643</v>
      </c>
      <c r="B6148" s="62">
        <v>43734</v>
      </c>
      <c r="C6148" s="63" t="s">
        <v>20146</v>
      </c>
      <c r="D6148" s="62">
        <v>43734</v>
      </c>
      <c r="E6148" s="63" t="s">
        <v>20147</v>
      </c>
      <c r="F6148" s="63" t="s">
        <v>3171</v>
      </c>
      <c r="G6148" s="63" t="s">
        <v>20</v>
      </c>
      <c r="H6148" s="63" t="s">
        <v>566</v>
      </c>
      <c r="I6148" s="63" t="s">
        <v>21</v>
      </c>
      <c r="J6148" s="63" t="s">
        <v>20148</v>
      </c>
      <c r="K6148" s="63" t="s">
        <v>13507</v>
      </c>
      <c r="L6148" s="63" t="s">
        <v>4282</v>
      </c>
      <c r="M6148" s="63" t="s">
        <v>21</v>
      </c>
      <c r="O6148" s="101">
        <v>43770</v>
      </c>
      <c r="P6148" s="65" t="s">
        <v>21</v>
      </c>
      <c r="Q6148" s="66" t="b">
        <v>0</v>
      </c>
      <c r="R6148" s="22">
        <f t="shared" si="130"/>
        <v>35</v>
      </c>
    </row>
    <row r="6149" spans="1:19">
      <c r="A6149" s="64">
        <v>11644</v>
      </c>
      <c r="B6149" s="62">
        <v>43735</v>
      </c>
      <c r="C6149" s="63" t="s">
        <v>20526</v>
      </c>
      <c r="D6149" s="62">
        <v>43735</v>
      </c>
      <c r="E6149" s="63" t="s">
        <v>20527</v>
      </c>
      <c r="F6149" s="63" t="s">
        <v>6456</v>
      </c>
      <c r="G6149" s="63" t="s">
        <v>20</v>
      </c>
      <c r="H6149" s="63" t="s">
        <v>189</v>
      </c>
      <c r="I6149" s="63" t="s">
        <v>21</v>
      </c>
      <c r="J6149" s="63" t="s">
        <v>20528</v>
      </c>
      <c r="K6149" s="63" t="s">
        <v>20529</v>
      </c>
      <c r="L6149" s="63" t="s">
        <v>4282</v>
      </c>
      <c r="M6149" s="63" t="s">
        <v>14909</v>
      </c>
      <c r="O6149" s="101">
        <v>43840</v>
      </c>
      <c r="P6149" s="65" t="s">
        <v>21</v>
      </c>
      <c r="Q6149" s="66" t="b">
        <v>0</v>
      </c>
      <c r="R6149" s="22">
        <f t="shared" si="130"/>
        <v>104</v>
      </c>
    </row>
    <row r="6150" spans="1:19">
      <c r="A6150" s="64">
        <v>11645</v>
      </c>
      <c r="B6150" s="62">
        <v>43738</v>
      </c>
      <c r="C6150" s="63" t="s">
        <v>20286</v>
      </c>
      <c r="D6150" s="62">
        <v>43738</v>
      </c>
      <c r="E6150" s="63" t="s">
        <v>20287</v>
      </c>
      <c r="F6150" s="63" t="s">
        <v>228</v>
      </c>
      <c r="G6150" s="63" t="s">
        <v>20</v>
      </c>
      <c r="H6150" s="63" t="s">
        <v>71</v>
      </c>
      <c r="I6150" s="63" t="s">
        <v>21</v>
      </c>
      <c r="J6150" s="63" t="s">
        <v>20288</v>
      </c>
      <c r="K6150" s="63" t="s">
        <v>20289</v>
      </c>
      <c r="L6150" s="63" t="s">
        <v>7167</v>
      </c>
      <c r="M6150" s="63" t="s">
        <v>21</v>
      </c>
      <c r="O6150" s="108">
        <v>43781</v>
      </c>
      <c r="P6150" s="65" t="s">
        <v>21</v>
      </c>
      <c r="Q6150" s="66" t="b">
        <v>0</v>
      </c>
      <c r="R6150" s="22">
        <f t="shared" si="130"/>
        <v>42</v>
      </c>
    </row>
    <row r="6151" spans="1:19">
      <c r="A6151" s="64">
        <v>11646</v>
      </c>
      <c r="B6151" s="62">
        <v>43738</v>
      </c>
      <c r="C6151" s="63" t="s">
        <v>20530</v>
      </c>
      <c r="D6151" s="62">
        <v>43738</v>
      </c>
      <c r="E6151" s="63" t="s">
        <v>20531</v>
      </c>
      <c r="F6151" s="63" t="s">
        <v>20241</v>
      </c>
      <c r="G6151" s="63" t="s">
        <v>20</v>
      </c>
      <c r="H6151" s="63" t="s">
        <v>71</v>
      </c>
      <c r="I6151" s="63" t="s">
        <v>21</v>
      </c>
      <c r="J6151" s="63" t="s">
        <v>20532</v>
      </c>
      <c r="K6151" s="63" t="s">
        <v>20533</v>
      </c>
      <c r="L6151" s="63" t="s">
        <v>7167</v>
      </c>
      <c r="M6151" s="63" t="s">
        <v>1152</v>
      </c>
      <c r="O6151" s="119">
        <v>44602</v>
      </c>
      <c r="P6151" s="65" t="s">
        <v>21</v>
      </c>
      <c r="Q6151" s="66" t="b">
        <v>0</v>
      </c>
      <c r="R6151" s="22">
        <f t="shared" si="130"/>
        <v>861</v>
      </c>
      <c r="S6151" t="s">
        <v>21</v>
      </c>
    </row>
    <row r="6152" spans="1:19">
      <c r="A6152" s="64">
        <v>11647</v>
      </c>
      <c r="B6152" s="62">
        <v>43739</v>
      </c>
      <c r="C6152" s="63" t="s">
        <v>20104</v>
      </c>
      <c r="D6152" s="62">
        <v>43739</v>
      </c>
      <c r="E6152" s="63" t="s">
        <v>38</v>
      </c>
      <c r="F6152" s="63" t="s">
        <v>242</v>
      </c>
      <c r="G6152" s="63" t="s">
        <v>20</v>
      </c>
      <c r="H6152" s="63" t="s">
        <v>71</v>
      </c>
      <c r="I6152" s="63" t="s">
        <v>21</v>
      </c>
      <c r="J6152" s="63" t="s">
        <v>20105</v>
      </c>
      <c r="K6152" s="63" t="s">
        <v>20106</v>
      </c>
      <c r="L6152" s="63" t="s">
        <v>4282</v>
      </c>
      <c r="M6152" s="63" t="s">
        <v>21</v>
      </c>
      <c r="O6152" s="101">
        <v>43741</v>
      </c>
      <c r="P6152" s="65" t="s">
        <v>21</v>
      </c>
      <c r="Q6152" s="66" t="b">
        <v>0</v>
      </c>
      <c r="R6152" s="22">
        <f t="shared" si="130"/>
        <v>2</v>
      </c>
    </row>
    <row r="6153" spans="1:19">
      <c r="A6153" s="64">
        <v>11648</v>
      </c>
      <c r="B6153" s="62">
        <v>43740</v>
      </c>
      <c r="C6153" s="63" t="s">
        <v>20407</v>
      </c>
      <c r="D6153" s="62">
        <v>43740</v>
      </c>
      <c r="E6153" s="63" t="s">
        <v>20404</v>
      </c>
      <c r="F6153" s="63" t="s">
        <v>1743</v>
      </c>
      <c r="G6153" s="63" t="s">
        <v>20</v>
      </c>
      <c r="H6153" s="63" t="s">
        <v>71</v>
      </c>
      <c r="I6153" s="63" t="s">
        <v>21</v>
      </c>
      <c r="J6153" s="63" t="s">
        <v>4517</v>
      </c>
      <c r="K6153" s="63" t="s">
        <v>20408</v>
      </c>
      <c r="L6153" s="63" t="s">
        <v>7167</v>
      </c>
      <c r="M6153" s="63" t="s">
        <v>21</v>
      </c>
      <c r="O6153" s="101">
        <v>43769</v>
      </c>
      <c r="P6153" s="65" t="s">
        <v>21</v>
      </c>
      <c r="Q6153" s="66" t="b">
        <v>0</v>
      </c>
      <c r="R6153" s="22">
        <f t="shared" si="130"/>
        <v>29</v>
      </c>
    </row>
    <row r="6154" spans="1:19">
      <c r="A6154" s="64">
        <v>11649</v>
      </c>
      <c r="B6154" s="62">
        <v>43740</v>
      </c>
      <c r="C6154" s="63" t="s">
        <v>20107</v>
      </c>
      <c r="D6154" s="62">
        <v>43740</v>
      </c>
      <c r="E6154" s="63" t="s">
        <v>38</v>
      </c>
      <c r="F6154" s="63" t="s">
        <v>1743</v>
      </c>
      <c r="G6154" s="63" t="s">
        <v>20</v>
      </c>
      <c r="H6154" s="63" t="s">
        <v>71</v>
      </c>
      <c r="I6154" s="63" t="s">
        <v>21</v>
      </c>
      <c r="J6154" s="63" t="s">
        <v>19802</v>
      </c>
      <c r="K6154" s="63" t="s">
        <v>8769</v>
      </c>
      <c r="L6154" s="63" t="s">
        <v>7167</v>
      </c>
      <c r="M6154" s="63" t="s">
        <v>21</v>
      </c>
      <c r="O6154" s="101">
        <v>43808</v>
      </c>
      <c r="P6154" s="65" t="s">
        <v>21</v>
      </c>
      <c r="Q6154" s="66" t="b">
        <v>0</v>
      </c>
      <c r="R6154" s="22">
        <f t="shared" si="130"/>
        <v>67</v>
      </c>
    </row>
    <row r="6155" spans="1:19">
      <c r="A6155" s="64">
        <v>11650</v>
      </c>
      <c r="B6155" s="62">
        <v>43740</v>
      </c>
      <c r="C6155" s="63" t="s">
        <v>20386</v>
      </c>
      <c r="D6155" s="62">
        <v>43740</v>
      </c>
      <c r="E6155" s="63" t="s">
        <v>1928</v>
      </c>
      <c r="F6155" s="63" t="s">
        <v>1743</v>
      </c>
      <c r="G6155" s="63" t="s">
        <v>20</v>
      </c>
      <c r="H6155" s="63" t="s">
        <v>71</v>
      </c>
      <c r="I6155" s="63" t="s">
        <v>21</v>
      </c>
      <c r="J6155" s="63" t="s">
        <v>20387</v>
      </c>
      <c r="K6155" s="63" t="s">
        <v>20388</v>
      </c>
      <c r="L6155" s="63" t="s">
        <v>7167</v>
      </c>
      <c r="M6155" s="63" t="s">
        <v>21</v>
      </c>
      <c r="O6155" s="108">
        <v>43829</v>
      </c>
      <c r="P6155" s="65" t="s">
        <v>21</v>
      </c>
      <c r="Q6155" s="66" t="b">
        <v>0</v>
      </c>
      <c r="R6155" s="22">
        <f t="shared" si="130"/>
        <v>89</v>
      </c>
    </row>
    <row r="6156" spans="1:19">
      <c r="A6156" s="64">
        <v>11651</v>
      </c>
      <c r="B6156" s="62">
        <v>43740</v>
      </c>
      <c r="C6156" s="63" t="s">
        <v>20389</v>
      </c>
      <c r="D6156" s="62">
        <v>43740</v>
      </c>
      <c r="E6156" s="63" t="s">
        <v>1928</v>
      </c>
      <c r="F6156" s="63" t="s">
        <v>1743</v>
      </c>
      <c r="G6156" s="63" t="s">
        <v>20</v>
      </c>
      <c r="H6156" s="63" t="s">
        <v>71</v>
      </c>
      <c r="I6156" s="63" t="s">
        <v>21</v>
      </c>
      <c r="J6156" s="63" t="s">
        <v>20390</v>
      </c>
      <c r="K6156" s="63" t="s">
        <v>20380</v>
      </c>
      <c r="L6156" s="63" t="s">
        <v>4282</v>
      </c>
      <c r="M6156" s="63" t="s">
        <v>21</v>
      </c>
      <c r="O6156" s="101">
        <v>43740</v>
      </c>
      <c r="P6156" s="65" t="s">
        <v>21</v>
      </c>
      <c r="Q6156" s="66" t="b">
        <v>0</v>
      </c>
      <c r="R6156" s="22">
        <f t="shared" si="130"/>
        <v>0</v>
      </c>
    </row>
    <row r="6157" spans="1:19">
      <c r="A6157" s="64">
        <v>11652</v>
      </c>
      <c r="B6157" s="62">
        <v>43742</v>
      </c>
      <c r="C6157" s="63" t="s">
        <v>20534</v>
      </c>
      <c r="D6157" s="62">
        <v>43741</v>
      </c>
      <c r="E6157" s="63" t="s">
        <v>20535</v>
      </c>
      <c r="F6157" s="63" t="s">
        <v>20506</v>
      </c>
      <c r="G6157" s="63" t="s">
        <v>20</v>
      </c>
      <c r="H6157" s="63" t="s">
        <v>71</v>
      </c>
      <c r="I6157" s="63" t="s">
        <v>21</v>
      </c>
      <c r="J6157" s="63" t="s">
        <v>20536</v>
      </c>
      <c r="K6157" s="63" t="s">
        <v>20537</v>
      </c>
      <c r="L6157" s="63" t="s">
        <v>1152</v>
      </c>
      <c r="M6157" s="63" t="s">
        <v>21</v>
      </c>
      <c r="O6157" s="101">
        <v>43844</v>
      </c>
      <c r="P6157" s="65" t="s">
        <v>21</v>
      </c>
      <c r="Q6157" s="66" t="b">
        <v>0</v>
      </c>
      <c r="R6157" s="22">
        <f t="shared" si="130"/>
        <v>101</v>
      </c>
    </row>
    <row r="6158" spans="1:19">
      <c r="A6158" s="64">
        <v>11653</v>
      </c>
      <c r="B6158" s="62">
        <v>43746</v>
      </c>
      <c r="C6158" s="63" t="s">
        <v>20391</v>
      </c>
      <c r="D6158" s="62">
        <v>43742</v>
      </c>
      <c r="E6158" s="63" t="s">
        <v>1928</v>
      </c>
      <c r="F6158" s="63" t="s">
        <v>1743</v>
      </c>
      <c r="G6158" s="63" t="s">
        <v>20</v>
      </c>
      <c r="H6158" s="63" t="s">
        <v>71</v>
      </c>
      <c r="I6158" s="63" t="s">
        <v>21</v>
      </c>
      <c r="J6158" s="63" t="s">
        <v>20392</v>
      </c>
      <c r="K6158" s="63" t="s">
        <v>21</v>
      </c>
      <c r="L6158" s="63" t="s">
        <v>14909</v>
      </c>
      <c r="M6158" s="63" t="s">
        <v>21</v>
      </c>
      <c r="O6158" s="101">
        <v>43754</v>
      </c>
      <c r="P6158" s="65" t="s">
        <v>21</v>
      </c>
      <c r="Q6158" s="66" t="b">
        <v>0</v>
      </c>
      <c r="R6158" s="22">
        <f t="shared" si="130"/>
        <v>8</v>
      </c>
    </row>
    <row r="6159" spans="1:19">
      <c r="A6159" s="64">
        <v>11654</v>
      </c>
      <c r="B6159" s="62">
        <v>43746</v>
      </c>
      <c r="C6159" s="63" t="s">
        <v>20290</v>
      </c>
      <c r="D6159" s="62">
        <v>43742</v>
      </c>
      <c r="E6159" s="63" t="s">
        <v>20291</v>
      </c>
      <c r="F6159" s="63" t="s">
        <v>124</v>
      </c>
      <c r="G6159" s="63" t="s">
        <v>20</v>
      </c>
      <c r="H6159" s="63" t="s">
        <v>71</v>
      </c>
      <c r="I6159" s="63" t="s">
        <v>21</v>
      </c>
      <c r="J6159" s="63" t="s">
        <v>19377</v>
      </c>
      <c r="K6159" s="63" t="s">
        <v>19523</v>
      </c>
      <c r="L6159" s="63" t="s">
        <v>4282</v>
      </c>
      <c r="M6159" s="63" t="s">
        <v>21</v>
      </c>
      <c r="O6159" s="101">
        <v>43763</v>
      </c>
      <c r="P6159" s="65" t="s">
        <v>21</v>
      </c>
      <c r="Q6159" s="66" t="b">
        <v>0</v>
      </c>
      <c r="R6159" s="22">
        <f t="shared" si="130"/>
        <v>17</v>
      </c>
    </row>
    <row r="6160" spans="1:19">
      <c r="A6160" s="64">
        <v>11655</v>
      </c>
      <c r="B6160" s="62">
        <v>43746</v>
      </c>
      <c r="C6160" s="63" t="s">
        <v>20538</v>
      </c>
      <c r="D6160" s="62">
        <v>43742</v>
      </c>
      <c r="E6160" s="63" t="s">
        <v>20539</v>
      </c>
      <c r="F6160" s="63" t="s">
        <v>327</v>
      </c>
      <c r="G6160" s="63" t="s">
        <v>20</v>
      </c>
      <c r="H6160" s="63" t="s">
        <v>71</v>
      </c>
      <c r="I6160" s="63" t="s">
        <v>21</v>
      </c>
      <c r="J6160" s="63" t="s">
        <v>20540</v>
      </c>
      <c r="K6160" s="63" t="s">
        <v>20541</v>
      </c>
      <c r="L6160" s="63" t="s">
        <v>7167</v>
      </c>
      <c r="M6160" s="63" t="s">
        <v>21</v>
      </c>
      <c r="O6160" s="90">
        <v>44602</v>
      </c>
      <c r="P6160" s="65" t="s">
        <v>21</v>
      </c>
      <c r="Q6160" s="66" t="b">
        <v>0</v>
      </c>
      <c r="R6160" s="22">
        <f t="shared" si="130"/>
        <v>853</v>
      </c>
      <c r="S6160" t="s">
        <v>21</v>
      </c>
    </row>
    <row r="6161" spans="1:19">
      <c r="A6161" s="64">
        <v>11656</v>
      </c>
      <c r="B6161" s="62">
        <v>43747</v>
      </c>
      <c r="C6161" s="63" t="s">
        <v>20598</v>
      </c>
      <c r="D6161" s="62">
        <v>43742</v>
      </c>
      <c r="E6161" s="63" t="s">
        <v>20599</v>
      </c>
      <c r="F6161" s="63" t="s">
        <v>85</v>
      </c>
      <c r="G6161" s="63" t="s">
        <v>20</v>
      </c>
      <c r="H6161" s="63" t="s">
        <v>71</v>
      </c>
      <c r="I6161" s="63" t="s">
        <v>21</v>
      </c>
      <c r="J6161" s="63" t="s">
        <v>20600</v>
      </c>
      <c r="K6161" s="63" t="s">
        <v>5932</v>
      </c>
      <c r="L6161" s="63" t="s">
        <v>14909</v>
      </c>
      <c r="M6161" s="63" t="s">
        <v>1946</v>
      </c>
      <c r="O6161" s="101">
        <v>44356</v>
      </c>
      <c r="P6161" s="65" t="s">
        <v>21</v>
      </c>
      <c r="Q6161" s="66" t="b">
        <v>0</v>
      </c>
      <c r="R6161" s="22">
        <f t="shared" si="130"/>
        <v>608</v>
      </c>
    </row>
    <row r="6162" spans="1:19">
      <c r="A6162" s="64">
        <v>11657</v>
      </c>
      <c r="B6162" s="62">
        <v>43748</v>
      </c>
      <c r="C6162" s="63" t="s">
        <v>20292</v>
      </c>
      <c r="D6162" s="62">
        <v>43748</v>
      </c>
      <c r="E6162" s="63" t="s">
        <v>20293</v>
      </c>
      <c r="F6162" s="63" t="s">
        <v>242</v>
      </c>
      <c r="G6162" s="63" t="s">
        <v>20</v>
      </c>
      <c r="H6162" s="63" t="s">
        <v>71</v>
      </c>
      <c r="I6162" s="63" t="s">
        <v>21</v>
      </c>
      <c r="J6162" s="63" t="s">
        <v>20105</v>
      </c>
      <c r="K6162" s="63" t="s">
        <v>6081</v>
      </c>
      <c r="L6162" s="63" t="s">
        <v>4282</v>
      </c>
      <c r="M6162" s="63" t="s">
        <v>21</v>
      </c>
      <c r="O6162" s="101">
        <v>43762</v>
      </c>
      <c r="P6162" s="65" t="s">
        <v>21</v>
      </c>
      <c r="Q6162" s="66" t="b">
        <v>0</v>
      </c>
      <c r="R6162" s="22">
        <f t="shared" si="130"/>
        <v>14</v>
      </c>
    </row>
    <row r="6163" spans="1:19">
      <c r="A6163" s="64">
        <v>11658</v>
      </c>
      <c r="B6163" s="62">
        <v>43749</v>
      </c>
      <c r="C6163" s="63" t="s">
        <v>20542</v>
      </c>
      <c r="D6163" s="62">
        <v>43748</v>
      </c>
      <c r="E6163" s="63" t="s">
        <v>20543</v>
      </c>
      <c r="F6163" s="63" t="s">
        <v>149</v>
      </c>
      <c r="G6163" s="63" t="s">
        <v>20</v>
      </c>
      <c r="H6163" s="63" t="s">
        <v>71</v>
      </c>
      <c r="I6163" s="63" t="s">
        <v>21</v>
      </c>
      <c r="J6163" s="63" t="s">
        <v>20544</v>
      </c>
      <c r="K6163" s="63" t="s">
        <v>20545</v>
      </c>
      <c r="L6163" s="63" t="s">
        <v>21142</v>
      </c>
      <c r="M6163" s="63" t="s">
        <v>10117</v>
      </c>
      <c r="O6163" s="89">
        <v>44851</v>
      </c>
      <c r="P6163" s="65" t="s">
        <v>21</v>
      </c>
      <c r="Q6163" s="66" t="b">
        <v>0</v>
      </c>
      <c r="R6163" s="22">
        <f t="shared" si="130"/>
        <v>1101</v>
      </c>
      <c r="S6163" t="s">
        <v>21621</v>
      </c>
    </row>
    <row r="6164" spans="1:19">
      <c r="A6164" s="64">
        <v>11659</v>
      </c>
      <c r="B6164" s="62">
        <v>43753</v>
      </c>
      <c r="C6164" s="63" t="s">
        <v>20294</v>
      </c>
      <c r="D6164" s="62">
        <v>43752</v>
      </c>
      <c r="E6164" s="63" t="s">
        <v>20295</v>
      </c>
      <c r="F6164" s="63" t="s">
        <v>149</v>
      </c>
      <c r="G6164" s="63" t="s">
        <v>20</v>
      </c>
      <c r="H6164" s="63" t="s">
        <v>71</v>
      </c>
      <c r="I6164" s="63" t="s">
        <v>21</v>
      </c>
      <c r="J6164" s="63" t="s">
        <v>20296</v>
      </c>
      <c r="K6164" s="63" t="s">
        <v>20297</v>
      </c>
      <c r="L6164" s="63" t="s">
        <v>14909</v>
      </c>
      <c r="M6164" s="63" t="s">
        <v>21</v>
      </c>
      <c r="O6164" s="108">
        <v>43790</v>
      </c>
      <c r="P6164" s="65" t="s">
        <v>21</v>
      </c>
      <c r="Q6164" s="66" t="b">
        <v>0</v>
      </c>
      <c r="R6164" s="22">
        <f t="shared" si="130"/>
        <v>36</v>
      </c>
    </row>
    <row r="6165" spans="1:19">
      <c r="A6165" s="64">
        <v>11660</v>
      </c>
      <c r="B6165" s="62">
        <v>43754</v>
      </c>
      <c r="C6165" s="63" t="s">
        <v>20298</v>
      </c>
      <c r="D6165" s="62">
        <v>43754</v>
      </c>
      <c r="E6165" s="63" t="s">
        <v>20299</v>
      </c>
      <c r="F6165" s="63" t="s">
        <v>13960</v>
      </c>
      <c r="G6165" s="63" t="s">
        <v>20</v>
      </c>
      <c r="H6165" s="63" t="s">
        <v>71</v>
      </c>
      <c r="I6165" s="63" t="s">
        <v>21</v>
      </c>
      <c r="J6165" s="63" t="s">
        <v>20300</v>
      </c>
      <c r="K6165" s="63" t="s">
        <v>20301</v>
      </c>
      <c r="L6165" s="63" t="s">
        <v>14909</v>
      </c>
      <c r="M6165" s="63" t="s">
        <v>21</v>
      </c>
      <c r="O6165" s="101">
        <v>43795</v>
      </c>
      <c r="P6165" s="65" t="s">
        <v>21</v>
      </c>
      <c r="Q6165" s="66" t="b">
        <v>0</v>
      </c>
      <c r="R6165" s="22">
        <f t="shared" si="130"/>
        <v>40</v>
      </c>
    </row>
    <row r="6166" spans="1:19">
      <c r="A6166" s="64">
        <v>11661</v>
      </c>
      <c r="B6166" s="62">
        <v>43754</v>
      </c>
      <c r="C6166" s="63" t="s">
        <v>20393</v>
      </c>
      <c r="D6166" s="62">
        <v>43754</v>
      </c>
      <c r="E6166" s="63" t="s">
        <v>1928</v>
      </c>
      <c r="F6166" s="63" t="s">
        <v>1743</v>
      </c>
      <c r="G6166" s="63" t="s">
        <v>20</v>
      </c>
      <c r="H6166" s="63" t="s">
        <v>71</v>
      </c>
      <c r="I6166" s="63" t="s">
        <v>21</v>
      </c>
      <c r="J6166" s="63" t="s">
        <v>20394</v>
      </c>
      <c r="K6166" s="63" t="s">
        <v>20395</v>
      </c>
      <c r="L6166" s="63" t="s">
        <v>3271</v>
      </c>
      <c r="M6166" s="63" t="s">
        <v>21</v>
      </c>
      <c r="O6166" s="101">
        <v>43767</v>
      </c>
      <c r="P6166" s="65" t="s">
        <v>21</v>
      </c>
      <c r="Q6166" s="66" t="b">
        <v>0</v>
      </c>
      <c r="R6166" s="22">
        <f t="shared" si="130"/>
        <v>13</v>
      </c>
    </row>
    <row r="6167" spans="1:19">
      <c r="A6167" s="64">
        <v>11662</v>
      </c>
      <c r="B6167" s="62">
        <v>43755</v>
      </c>
      <c r="C6167" s="63" t="s">
        <v>20302</v>
      </c>
      <c r="D6167" s="62">
        <v>43755</v>
      </c>
      <c r="E6167" s="63" t="s">
        <v>20303</v>
      </c>
      <c r="F6167" s="63" t="s">
        <v>7020</v>
      </c>
      <c r="G6167" s="63" t="s">
        <v>20</v>
      </c>
      <c r="H6167" s="63" t="s">
        <v>71</v>
      </c>
      <c r="I6167" s="63" t="s">
        <v>21</v>
      </c>
      <c r="J6167" s="63" t="s">
        <v>20304</v>
      </c>
      <c r="K6167" s="63" t="s">
        <v>20305</v>
      </c>
      <c r="L6167" s="63" t="s">
        <v>7167</v>
      </c>
      <c r="M6167" s="63" t="s">
        <v>21</v>
      </c>
      <c r="O6167" s="101">
        <v>43789</v>
      </c>
      <c r="P6167" s="65" t="s">
        <v>21</v>
      </c>
      <c r="Q6167" s="66" t="b">
        <v>0</v>
      </c>
      <c r="R6167" s="22">
        <f t="shared" si="130"/>
        <v>33</v>
      </c>
    </row>
    <row r="6168" spans="1:19">
      <c r="A6168" s="64">
        <v>11663</v>
      </c>
      <c r="B6168" s="62">
        <v>43755</v>
      </c>
      <c r="C6168" s="63" t="s">
        <v>20306</v>
      </c>
      <c r="D6168" s="62">
        <v>43755</v>
      </c>
      <c r="E6168" s="63" t="s">
        <v>20307</v>
      </c>
      <c r="F6168" s="63" t="s">
        <v>228</v>
      </c>
      <c r="G6168" s="63" t="s">
        <v>20</v>
      </c>
      <c r="H6168" s="63" t="s">
        <v>71</v>
      </c>
      <c r="I6168" s="63" t="s">
        <v>21</v>
      </c>
      <c r="J6168" s="63" t="s">
        <v>20308</v>
      </c>
      <c r="K6168" s="63" t="s">
        <v>20309</v>
      </c>
      <c r="L6168" s="63" t="s">
        <v>7167</v>
      </c>
      <c r="M6168" s="63" t="s">
        <v>21</v>
      </c>
      <c r="O6168" s="101">
        <v>43769</v>
      </c>
      <c r="P6168" s="65" t="s">
        <v>21</v>
      </c>
      <c r="Q6168" s="66" t="b">
        <v>0</v>
      </c>
      <c r="R6168" s="22">
        <f t="shared" si="130"/>
        <v>14</v>
      </c>
    </row>
    <row r="6169" spans="1:19">
      <c r="A6169" s="64">
        <v>11664</v>
      </c>
      <c r="B6169" s="62">
        <v>43755</v>
      </c>
      <c r="C6169" s="63" t="s">
        <v>20310</v>
      </c>
      <c r="D6169" s="62">
        <v>43755</v>
      </c>
      <c r="E6169" s="63" t="s">
        <v>20311</v>
      </c>
      <c r="F6169" s="63" t="s">
        <v>228</v>
      </c>
      <c r="G6169" s="63" t="s">
        <v>20</v>
      </c>
      <c r="H6169" s="63" t="s">
        <v>71</v>
      </c>
      <c r="I6169" s="63" t="s">
        <v>21</v>
      </c>
      <c r="J6169" s="63" t="s">
        <v>20312</v>
      </c>
      <c r="K6169" s="63" t="s">
        <v>1582</v>
      </c>
      <c r="L6169" s="63" t="s">
        <v>7167</v>
      </c>
      <c r="M6169" s="63" t="s">
        <v>21</v>
      </c>
      <c r="O6169" s="101">
        <v>43781</v>
      </c>
      <c r="P6169" s="65" t="s">
        <v>21</v>
      </c>
      <c r="Q6169" s="66" t="b">
        <v>0</v>
      </c>
      <c r="R6169" s="22">
        <f t="shared" si="130"/>
        <v>25</v>
      </c>
    </row>
    <row r="6170" spans="1:19">
      <c r="A6170" s="64">
        <v>11665</v>
      </c>
      <c r="B6170" s="62">
        <v>43756</v>
      </c>
      <c r="C6170" s="63" t="s">
        <v>20313</v>
      </c>
      <c r="D6170" s="62">
        <v>43755</v>
      </c>
      <c r="E6170" s="63" t="s">
        <v>20314</v>
      </c>
      <c r="F6170" s="63" t="s">
        <v>350</v>
      </c>
      <c r="G6170" s="63" t="s">
        <v>20</v>
      </c>
      <c r="H6170" s="63" t="s">
        <v>71</v>
      </c>
      <c r="I6170" s="63" t="s">
        <v>21</v>
      </c>
      <c r="J6170" s="63" t="s">
        <v>20315</v>
      </c>
      <c r="K6170" s="63" t="s">
        <v>20316</v>
      </c>
      <c r="L6170" s="63" t="s">
        <v>14909</v>
      </c>
      <c r="M6170" s="63" t="s">
        <v>21</v>
      </c>
      <c r="O6170" s="108">
        <v>43817</v>
      </c>
      <c r="P6170" s="65" t="s">
        <v>21</v>
      </c>
      <c r="Q6170" s="66" t="b">
        <v>0</v>
      </c>
      <c r="R6170" s="22">
        <f t="shared" si="130"/>
        <v>60</v>
      </c>
    </row>
    <row r="6171" spans="1:19">
      <c r="A6171" s="64">
        <v>11666</v>
      </c>
      <c r="B6171" s="62">
        <v>43756</v>
      </c>
      <c r="C6171" s="63" t="s">
        <v>20320</v>
      </c>
      <c r="D6171" s="62">
        <v>43756</v>
      </c>
      <c r="E6171" s="63" t="s">
        <v>20321</v>
      </c>
      <c r="F6171" s="63" t="s">
        <v>228</v>
      </c>
      <c r="G6171" s="63" t="s">
        <v>20</v>
      </c>
      <c r="H6171" s="63" t="s">
        <v>71</v>
      </c>
      <c r="I6171" s="63" t="s">
        <v>21</v>
      </c>
      <c r="J6171" s="63" t="s">
        <v>20322</v>
      </c>
      <c r="K6171" s="63" t="s">
        <v>7017</v>
      </c>
      <c r="L6171" s="63" t="s">
        <v>7167</v>
      </c>
      <c r="M6171" s="63" t="s">
        <v>21</v>
      </c>
      <c r="O6171" s="108">
        <v>43781</v>
      </c>
      <c r="P6171" s="65" t="s">
        <v>21</v>
      </c>
      <c r="Q6171" s="66" t="b">
        <v>0</v>
      </c>
      <c r="R6171" s="22">
        <f t="shared" si="130"/>
        <v>24</v>
      </c>
    </row>
    <row r="6172" spans="1:19">
      <c r="A6172" s="64">
        <v>11667</v>
      </c>
      <c r="B6172" s="62">
        <v>43756</v>
      </c>
      <c r="C6172" s="63" t="s">
        <v>20108</v>
      </c>
      <c r="D6172" s="62">
        <v>43756</v>
      </c>
      <c r="E6172" s="63" t="s">
        <v>38</v>
      </c>
      <c r="F6172" s="63" t="s">
        <v>1743</v>
      </c>
      <c r="G6172" s="63" t="s">
        <v>20</v>
      </c>
      <c r="H6172" s="63" t="s">
        <v>71</v>
      </c>
      <c r="I6172" s="63" t="s">
        <v>21</v>
      </c>
      <c r="J6172" s="63" t="s">
        <v>20109</v>
      </c>
      <c r="K6172" s="63" t="s">
        <v>6886</v>
      </c>
      <c r="L6172" s="63" t="s">
        <v>7167</v>
      </c>
      <c r="M6172" s="63" t="s">
        <v>21</v>
      </c>
      <c r="O6172" s="108">
        <v>43763</v>
      </c>
      <c r="P6172" s="65" t="s">
        <v>21</v>
      </c>
      <c r="Q6172" s="66" t="b">
        <v>0</v>
      </c>
      <c r="R6172" s="22">
        <f t="shared" si="130"/>
        <v>7</v>
      </c>
    </row>
    <row r="6173" spans="1:19">
      <c r="A6173" s="64">
        <v>11668</v>
      </c>
      <c r="B6173" s="62">
        <v>43756</v>
      </c>
      <c r="C6173" s="63" t="s">
        <v>20323</v>
      </c>
      <c r="D6173" s="62">
        <v>43756</v>
      </c>
      <c r="E6173" s="63" t="s">
        <v>20324</v>
      </c>
      <c r="F6173" s="63" t="s">
        <v>228</v>
      </c>
      <c r="G6173" s="63" t="s">
        <v>20</v>
      </c>
      <c r="H6173" s="63" t="s">
        <v>71</v>
      </c>
      <c r="I6173" s="63" t="s">
        <v>21</v>
      </c>
      <c r="J6173" s="63" t="s">
        <v>20325</v>
      </c>
      <c r="K6173" s="63" t="s">
        <v>20326</v>
      </c>
      <c r="L6173" s="63" t="s">
        <v>7167</v>
      </c>
      <c r="M6173" s="63" t="s">
        <v>21</v>
      </c>
      <c r="O6173" s="108">
        <v>43781</v>
      </c>
      <c r="P6173" s="65" t="s">
        <v>21</v>
      </c>
      <c r="Q6173" s="66" t="b">
        <v>0</v>
      </c>
      <c r="R6173" s="22">
        <f t="shared" si="130"/>
        <v>24</v>
      </c>
    </row>
    <row r="6174" spans="1:19">
      <c r="A6174" s="64">
        <v>11669</v>
      </c>
      <c r="B6174" s="62">
        <v>43756</v>
      </c>
      <c r="C6174" s="63" t="s">
        <v>20409</v>
      </c>
      <c r="D6174" s="62">
        <v>43756</v>
      </c>
      <c r="E6174" s="63" t="s">
        <v>38</v>
      </c>
      <c r="F6174" s="63" t="s">
        <v>1743</v>
      </c>
      <c r="G6174" s="63" t="s">
        <v>20</v>
      </c>
      <c r="H6174" s="63" t="s">
        <v>71</v>
      </c>
      <c r="I6174" s="63" t="s">
        <v>21</v>
      </c>
      <c r="J6174" s="63" t="s">
        <v>174</v>
      </c>
      <c r="K6174" s="63" t="s">
        <v>8769</v>
      </c>
      <c r="L6174" s="63" t="s">
        <v>14909</v>
      </c>
      <c r="M6174" s="63" t="s">
        <v>7167</v>
      </c>
      <c r="O6174" s="108">
        <v>43860</v>
      </c>
      <c r="P6174" s="65" t="s">
        <v>21</v>
      </c>
      <c r="Q6174" s="66" t="b">
        <v>0</v>
      </c>
      <c r="R6174" s="22">
        <f t="shared" si="130"/>
        <v>103</v>
      </c>
    </row>
    <row r="6175" spans="1:19">
      <c r="A6175" s="64">
        <v>11670</v>
      </c>
      <c r="B6175" s="62">
        <v>43759</v>
      </c>
      <c r="C6175" s="63" t="s">
        <v>20327</v>
      </c>
      <c r="D6175" s="62">
        <v>43759</v>
      </c>
      <c r="E6175" s="63" t="s">
        <v>20328</v>
      </c>
      <c r="F6175" s="63" t="s">
        <v>228</v>
      </c>
      <c r="G6175" s="63" t="s">
        <v>20</v>
      </c>
      <c r="H6175" s="63" t="s">
        <v>71</v>
      </c>
      <c r="I6175" s="63" t="s">
        <v>21</v>
      </c>
      <c r="J6175" s="63" t="s">
        <v>20329</v>
      </c>
      <c r="K6175" s="63" t="s">
        <v>21</v>
      </c>
      <c r="L6175" s="63" t="s">
        <v>7167</v>
      </c>
      <c r="M6175" s="63" t="s">
        <v>21</v>
      </c>
      <c r="O6175" s="108">
        <v>43769</v>
      </c>
      <c r="P6175" s="65" t="s">
        <v>21</v>
      </c>
      <c r="Q6175" s="66" t="b">
        <v>0</v>
      </c>
      <c r="R6175" s="22">
        <f t="shared" si="130"/>
        <v>10</v>
      </c>
    </row>
    <row r="6176" spans="1:19" ht="24">
      <c r="A6176" s="64">
        <v>11671</v>
      </c>
      <c r="B6176" s="62">
        <v>43761</v>
      </c>
      <c r="C6176" s="63" t="s">
        <v>20410</v>
      </c>
      <c r="D6176" s="62">
        <v>43761</v>
      </c>
      <c r="E6176" s="63" t="s">
        <v>38</v>
      </c>
      <c r="F6176" s="63" t="s">
        <v>1743</v>
      </c>
      <c r="G6176" s="63" t="s">
        <v>20</v>
      </c>
      <c r="H6176" s="63" t="s">
        <v>71</v>
      </c>
      <c r="I6176" s="63" t="s">
        <v>21</v>
      </c>
      <c r="J6176" s="63" t="s">
        <v>20411</v>
      </c>
      <c r="K6176" s="63" t="s">
        <v>21</v>
      </c>
      <c r="L6176" s="63" t="s">
        <v>14909</v>
      </c>
      <c r="M6176" s="63" t="s">
        <v>7167</v>
      </c>
      <c r="O6176" s="101">
        <v>43853</v>
      </c>
      <c r="P6176" s="65" t="s">
        <v>21</v>
      </c>
      <c r="Q6176" s="66" t="b">
        <v>0</v>
      </c>
      <c r="R6176" s="22">
        <f t="shared" si="130"/>
        <v>91</v>
      </c>
    </row>
    <row r="6177" spans="1:19">
      <c r="A6177" s="64">
        <v>11672</v>
      </c>
      <c r="B6177" s="62">
        <v>43761</v>
      </c>
      <c r="C6177" s="63" t="s">
        <v>20546</v>
      </c>
      <c r="D6177" s="62">
        <v>43761</v>
      </c>
      <c r="E6177" s="63" t="s">
        <v>20547</v>
      </c>
      <c r="F6177" s="63" t="s">
        <v>8605</v>
      </c>
      <c r="G6177" s="63" t="s">
        <v>20</v>
      </c>
      <c r="H6177" s="63" t="s">
        <v>212</v>
      </c>
      <c r="I6177" s="63" t="s">
        <v>21</v>
      </c>
      <c r="J6177" s="63" t="s">
        <v>20548</v>
      </c>
      <c r="K6177" s="63" t="s">
        <v>3020</v>
      </c>
      <c r="L6177" s="63" t="s">
        <v>4282</v>
      </c>
      <c r="M6177" s="63" t="s">
        <v>21</v>
      </c>
      <c r="O6177" s="101">
        <v>43888</v>
      </c>
      <c r="P6177" s="65" t="s">
        <v>21</v>
      </c>
      <c r="Q6177" s="66" t="b">
        <v>0</v>
      </c>
      <c r="R6177" s="22">
        <f t="shared" si="130"/>
        <v>125</v>
      </c>
    </row>
    <row r="6178" spans="1:19">
      <c r="A6178" s="64">
        <v>11673</v>
      </c>
      <c r="B6178" s="62">
        <v>43762</v>
      </c>
      <c r="C6178" s="63" t="s">
        <v>20110</v>
      </c>
      <c r="D6178" s="62">
        <v>43762</v>
      </c>
      <c r="E6178" s="63" t="s">
        <v>38</v>
      </c>
      <c r="F6178" s="63" t="s">
        <v>124</v>
      </c>
      <c r="G6178" s="63" t="s">
        <v>20</v>
      </c>
      <c r="H6178" s="63" t="s">
        <v>71</v>
      </c>
      <c r="I6178" s="63" t="s">
        <v>21</v>
      </c>
      <c r="J6178" s="63" t="s">
        <v>17895</v>
      </c>
      <c r="K6178" s="63" t="s">
        <v>21</v>
      </c>
      <c r="L6178" s="63" t="s">
        <v>14909</v>
      </c>
      <c r="M6178" s="63" t="s">
        <v>21</v>
      </c>
      <c r="O6178" s="101">
        <v>43766</v>
      </c>
      <c r="P6178" s="65" t="s">
        <v>21</v>
      </c>
      <c r="Q6178" s="66" t="b">
        <v>0</v>
      </c>
      <c r="R6178" s="22">
        <f t="shared" si="130"/>
        <v>4</v>
      </c>
    </row>
    <row r="6179" spans="1:19">
      <c r="A6179" s="64">
        <v>11674</v>
      </c>
      <c r="B6179" s="62">
        <v>43763</v>
      </c>
      <c r="C6179" s="63" t="s">
        <v>20553</v>
      </c>
      <c r="D6179" s="62">
        <v>43762</v>
      </c>
      <c r="E6179" s="63" t="s">
        <v>20554</v>
      </c>
      <c r="F6179" s="63" t="s">
        <v>242</v>
      </c>
      <c r="G6179" s="63" t="s">
        <v>20</v>
      </c>
      <c r="H6179" s="63" t="s">
        <v>71</v>
      </c>
      <c r="I6179" s="63" t="s">
        <v>21</v>
      </c>
      <c r="J6179" s="63" t="s">
        <v>20555</v>
      </c>
      <c r="K6179" s="63" t="s">
        <v>20105</v>
      </c>
      <c r="L6179" s="63" t="s">
        <v>21243</v>
      </c>
      <c r="M6179" s="63" t="s">
        <v>4282</v>
      </c>
      <c r="O6179" s="90">
        <v>44825</v>
      </c>
      <c r="P6179" s="65" t="s">
        <v>21</v>
      </c>
      <c r="Q6179" s="66" t="b">
        <v>0</v>
      </c>
      <c r="R6179" s="22">
        <f t="shared" si="130"/>
        <v>1060</v>
      </c>
      <c r="S6179" t="s">
        <v>21597</v>
      </c>
    </row>
    <row r="6180" spans="1:19">
      <c r="A6180" s="64">
        <v>11675</v>
      </c>
      <c r="B6180" s="62">
        <v>43763</v>
      </c>
      <c r="C6180" s="63" t="s">
        <v>20111</v>
      </c>
      <c r="D6180" s="62">
        <v>43762</v>
      </c>
      <c r="E6180" s="63" t="s">
        <v>38</v>
      </c>
      <c r="F6180" s="63" t="s">
        <v>15716</v>
      </c>
      <c r="G6180" s="63" t="s">
        <v>20</v>
      </c>
      <c r="H6180" s="63" t="s">
        <v>566</v>
      </c>
      <c r="I6180" s="63" t="s">
        <v>21</v>
      </c>
      <c r="J6180" s="63" t="s">
        <v>19650</v>
      </c>
      <c r="K6180" s="63" t="s">
        <v>20112</v>
      </c>
      <c r="L6180" s="63" t="s">
        <v>14909</v>
      </c>
      <c r="M6180" s="63" t="s">
        <v>21</v>
      </c>
      <c r="O6180" s="108">
        <v>43767</v>
      </c>
      <c r="P6180" s="65" t="s">
        <v>21</v>
      </c>
      <c r="Q6180" s="66" t="b">
        <v>0</v>
      </c>
      <c r="R6180" s="22">
        <f t="shared" si="130"/>
        <v>4</v>
      </c>
    </row>
    <row r="6181" spans="1:19" ht="72">
      <c r="A6181" s="64">
        <v>11678</v>
      </c>
      <c r="B6181" s="62">
        <v>43769</v>
      </c>
      <c r="C6181" s="63" t="s">
        <v>20176</v>
      </c>
      <c r="D6181" s="62">
        <v>43769</v>
      </c>
      <c r="E6181" s="63" t="s">
        <v>20177</v>
      </c>
      <c r="F6181" s="63" t="s">
        <v>8395</v>
      </c>
      <c r="G6181" s="63" t="s">
        <v>20</v>
      </c>
      <c r="H6181" s="63" t="s">
        <v>566</v>
      </c>
      <c r="I6181" s="63" t="s">
        <v>21</v>
      </c>
      <c r="J6181" s="63" t="s">
        <v>20178</v>
      </c>
      <c r="K6181" s="63" t="s">
        <v>20179</v>
      </c>
      <c r="L6181" s="63" t="s">
        <v>1946</v>
      </c>
      <c r="M6181" s="63" t="s">
        <v>21</v>
      </c>
      <c r="O6181" s="101">
        <v>43776</v>
      </c>
      <c r="P6181" s="65" t="s">
        <v>21</v>
      </c>
      <c r="Q6181" s="66" t="b">
        <v>0</v>
      </c>
      <c r="R6181" s="22">
        <f t="shared" si="130"/>
        <v>7</v>
      </c>
      <c r="S6181" s="46" t="s">
        <v>20180</v>
      </c>
    </row>
    <row r="6182" spans="1:19">
      <c r="A6182" s="64">
        <v>11679</v>
      </c>
      <c r="B6182" s="62">
        <v>43774</v>
      </c>
      <c r="C6182" s="63" t="s">
        <v>20330</v>
      </c>
      <c r="D6182" s="62">
        <v>43774</v>
      </c>
      <c r="E6182" s="63" t="s">
        <v>20331</v>
      </c>
      <c r="F6182" s="63" t="s">
        <v>8395</v>
      </c>
      <c r="G6182" s="63" t="s">
        <v>20</v>
      </c>
      <c r="H6182" s="63" t="s">
        <v>566</v>
      </c>
      <c r="I6182" s="63" t="s">
        <v>21</v>
      </c>
      <c r="J6182" s="63" t="s">
        <v>18427</v>
      </c>
      <c r="K6182" s="63" t="s">
        <v>6081</v>
      </c>
      <c r="L6182" s="63" t="s">
        <v>14909</v>
      </c>
      <c r="M6182" s="63" t="s">
        <v>21</v>
      </c>
      <c r="O6182" s="108">
        <v>43776</v>
      </c>
      <c r="P6182" s="65" t="s">
        <v>21</v>
      </c>
      <c r="Q6182" s="66" t="b">
        <v>0</v>
      </c>
      <c r="R6182" s="22">
        <f t="shared" si="130"/>
        <v>2</v>
      </c>
    </row>
    <row r="6183" spans="1:19">
      <c r="A6183" s="64">
        <v>11680</v>
      </c>
      <c r="B6183" s="62">
        <v>43775</v>
      </c>
      <c r="C6183" s="63" t="s">
        <v>20332</v>
      </c>
      <c r="D6183" s="62">
        <v>43775</v>
      </c>
      <c r="E6183" s="63" t="s">
        <v>20333</v>
      </c>
      <c r="F6183" s="63" t="s">
        <v>3615</v>
      </c>
      <c r="G6183" s="63" t="s">
        <v>189</v>
      </c>
      <c r="H6183" s="63" t="s">
        <v>71</v>
      </c>
      <c r="I6183" s="63" t="s">
        <v>21</v>
      </c>
      <c r="J6183" s="63" t="s">
        <v>20334</v>
      </c>
      <c r="K6183" s="63" t="s">
        <v>6081</v>
      </c>
      <c r="L6183" s="63" t="s">
        <v>14909</v>
      </c>
      <c r="M6183" s="63" t="s">
        <v>21</v>
      </c>
      <c r="O6183" s="101">
        <v>43791</v>
      </c>
      <c r="P6183" s="65" t="s">
        <v>21</v>
      </c>
      <c r="Q6183" s="66" t="b">
        <v>0</v>
      </c>
      <c r="R6183" s="22">
        <f t="shared" ref="R6183:R6246" si="131">IF(O6183=" ", " ", INT(YEARFRAC(O6183, B6183)*365))</f>
        <v>16</v>
      </c>
    </row>
    <row r="6184" spans="1:19">
      <c r="A6184" s="64">
        <v>11681</v>
      </c>
      <c r="B6184" s="62">
        <v>43776</v>
      </c>
      <c r="C6184" s="63" t="s">
        <v>20335</v>
      </c>
      <c r="D6184" s="62">
        <v>43776</v>
      </c>
      <c r="E6184" s="63" t="s">
        <v>20336</v>
      </c>
      <c r="F6184" s="63" t="s">
        <v>8395</v>
      </c>
      <c r="G6184" s="63" t="s">
        <v>20</v>
      </c>
      <c r="H6184" s="63" t="s">
        <v>566</v>
      </c>
      <c r="I6184" s="63" t="s">
        <v>21</v>
      </c>
      <c r="J6184" s="63" t="s">
        <v>20178</v>
      </c>
      <c r="K6184" s="63" t="s">
        <v>20179</v>
      </c>
      <c r="L6184" s="63" t="s">
        <v>14909</v>
      </c>
      <c r="M6184" s="63" t="s">
        <v>21</v>
      </c>
      <c r="O6184" s="101">
        <v>43787</v>
      </c>
      <c r="P6184" s="65" t="s">
        <v>21</v>
      </c>
      <c r="Q6184" s="66" t="b">
        <v>0</v>
      </c>
      <c r="R6184" s="22">
        <f t="shared" si="131"/>
        <v>11</v>
      </c>
    </row>
    <row r="6185" spans="1:19">
      <c r="A6185" s="64">
        <v>11682</v>
      </c>
      <c r="B6185" s="62">
        <v>43776</v>
      </c>
      <c r="C6185" s="63" t="s">
        <v>20113</v>
      </c>
      <c r="D6185" s="62">
        <v>43776</v>
      </c>
      <c r="E6185" s="63" t="s">
        <v>38</v>
      </c>
      <c r="F6185" s="63" t="s">
        <v>327</v>
      </c>
      <c r="G6185" s="63" t="s">
        <v>20</v>
      </c>
      <c r="H6185" s="63" t="s">
        <v>71</v>
      </c>
      <c r="I6185" s="63" t="s">
        <v>21</v>
      </c>
      <c r="J6185" s="63" t="s">
        <v>20114</v>
      </c>
      <c r="K6185" s="63" t="s">
        <v>272</v>
      </c>
      <c r="L6185" s="63" t="s">
        <v>7167</v>
      </c>
      <c r="M6185" s="63" t="s">
        <v>21</v>
      </c>
      <c r="O6185" s="101">
        <v>43825</v>
      </c>
      <c r="P6185" s="65" t="s">
        <v>21</v>
      </c>
      <c r="Q6185" s="66" t="b">
        <v>0</v>
      </c>
      <c r="R6185" s="22">
        <f t="shared" si="131"/>
        <v>49</v>
      </c>
    </row>
    <row r="6186" spans="1:19">
      <c r="A6186" s="64">
        <v>11683</v>
      </c>
      <c r="B6186" s="62">
        <v>43776</v>
      </c>
      <c r="C6186" s="63" t="s">
        <v>20601</v>
      </c>
      <c r="D6186" s="62">
        <v>43776</v>
      </c>
      <c r="E6186" s="63" t="s">
        <v>20602</v>
      </c>
      <c r="F6186" s="63" t="s">
        <v>27</v>
      </c>
      <c r="G6186" s="63" t="s">
        <v>20</v>
      </c>
      <c r="H6186" s="63" t="s">
        <v>71</v>
      </c>
      <c r="I6186" s="63" t="s">
        <v>21</v>
      </c>
      <c r="J6186" s="63" t="s">
        <v>20603</v>
      </c>
      <c r="K6186" s="63" t="s">
        <v>20604</v>
      </c>
      <c r="L6186" s="63" t="s">
        <v>14909</v>
      </c>
      <c r="M6186" s="63" t="s">
        <v>21</v>
      </c>
      <c r="O6186" s="108">
        <v>43857</v>
      </c>
      <c r="P6186" s="65" t="s">
        <v>21</v>
      </c>
      <c r="Q6186" s="66" t="b">
        <v>0</v>
      </c>
      <c r="R6186" s="22">
        <f t="shared" si="131"/>
        <v>81</v>
      </c>
    </row>
    <row r="6187" spans="1:19">
      <c r="A6187" s="64">
        <v>11684</v>
      </c>
      <c r="B6187" s="62">
        <v>43782</v>
      </c>
      <c r="C6187" s="63" t="s">
        <v>20396</v>
      </c>
      <c r="D6187" s="62">
        <v>43782</v>
      </c>
      <c r="E6187" s="63" t="s">
        <v>1928</v>
      </c>
      <c r="F6187" s="63" t="s">
        <v>1743</v>
      </c>
      <c r="G6187" s="63" t="s">
        <v>20</v>
      </c>
      <c r="H6187" s="63" t="s">
        <v>71</v>
      </c>
      <c r="I6187" s="63" t="s">
        <v>21</v>
      </c>
      <c r="J6187" s="63" t="s">
        <v>20397</v>
      </c>
      <c r="K6187" s="63" t="s">
        <v>20322</v>
      </c>
      <c r="L6187" s="63" t="s">
        <v>7167</v>
      </c>
      <c r="M6187" s="63" t="s">
        <v>21</v>
      </c>
      <c r="O6187" s="108">
        <v>43791</v>
      </c>
      <c r="P6187" s="65" t="s">
        <v>21</v>
      </c>
      <c r="Q6187" s="66" t="b">
        <v>0</v>
      </c>
      <c r="R6187" s="22">
        <f t="shared" si="131"/>
        <v>9</v>
      </c>
    </row>
    <row r="6188" spans="1:19">
      <c r="A6188" s="64">
        <v>11685</v>
      </c>
      <c r="B6188" s="62">
        <v>43787</v>
      </c>
      <c r="C6188" s="63" t="s">
        <v>20115</v>
      </c>
      <c r="D6188" s="62">
        <v>43787</v>
      </c>
      <c r="E6188" s="63" t="s">
        <v>38</v>
      </c>
      <c r="F6188" s="63" t="s">
        <v>145</v>
      </c>
      <c r="G6188" s="63" t="s">
        <v>20</v>
      </c>
      <c r="H6188" s="63" t="s">
        <v>71</v>
      </c>
      <c r="I6188" s="63" t="s">
        <v>21</v>
      </c>
      <c r="J6188" s="63" t="s">
        <v>20116</v>
      </c>
      <c r="K6188" s="63" t="s">
        <v>1712</v>
      </c>
      <c r="L6188" s="63" t="s">
        <v>14909</v>
      </c>
      <c r="M6188" s="63" t="s">
        <v>21</v>
      </c>
      <c r="O6188" s="108">
        <v>43788</v>
      </c>
      <c r="P6188" s="65" t="s">
        <v>21</v>
      </c>
      <c r="Q6188" s="66" t="b">
        <v>0</v>
      </c>
      <c r="R6188" s="22">
        <f t="shared" si="131"/>
        <v>1</v>
      </c>
    </row>
    <row r="6189" spans="1:19">
      <c r="A6189" s="64">
        <v>11686</v>
      </c>
      <c r="B6189" s="62">
        <v>43787</v>
      </c>
      <c r="C6189" s="63" t="s">
        <v>20440</v>
      </c>
      <c r="D6189" s="62">
        <v>43787</v>
      </c>
      <c r="E6189" s="63" t="s">
        <v>20441</v>
      </c>
      <c r="F6189" s="63" t="s">
        <v>149</v>
      </c>
      <c r="G6189" s="63" t="s">
        <v>20</v>
      </c>
      <c r="H6189" s="63" t="s">
        <v>71</v>
      </c>
      <c r="I6189" s="63" t="s">
        <v>21</v>
      </c>
      <c r="J6189" s="63" t="s">
        <v>20442</v>
      </c>
      <c r="K6189" s="63" t="s">
        <v>16167</v>
      </c>
      <c r="L6189" s="63" t="s">
        <v>7167</v>
      </c>
      <c r="M6189" s="63" t="s">
        <v>1152</v>
      </c>
      <c r="O6189" s="89">
        <v>44907</v>
      </c>
      <c r="P6189" s="65" t="s">
        <v>21</v>
      </c>
      <c r="Q6189" s="66" t="b">
        <v>0</v>
      </c>
      <c r="R6189" s="22">
        <f t="shared" si="131"/>
        <v>1119</v>
      </c>
      <c r="S6189" t="s">
        <v>21</v>
      </c>
    </row>
    <row r="6190" spans="1:19">
      <c r="A6190" s="64">
        <v>11687</v>
      </c>
      <c r="B6190" s="62">
        <v>43788</v>
      </c>
      <c r="C6190" s="63" t="s">
        <v>20608</v>
      </c>
      <c r="D6190" s="62">
        <v>43781</v>
      </c>
      <c r="E6190" s="63" t="s">
        <v>20609</v>
      </c>
      <c r="F6190" s="63" t="s">
        <v>2296</v>
      </c>
      <c r="G6190" s="63" t="s">
        <v>20</v>
      </c>
      <c r="H6190" s="63" t="s">
        <v>566</v>
      </c>
      <c r="I6190" s="63" t="s">
        <v>21</v>
      </c>
      <c r="J6190" s="63" t="s">
        <v>19736</v>
      </c>
      <c r="K6190" s="63" t="s">
        <v>20610</v>
      </c>
      <c r="L6190" s="63" t="s">
        <v>14909</v>
      </c>
      <c r="M6190" s="63" t="s">
        <v>21</v>
      </c>
      <c r="O6190" s="108">
        <v>43833</v>
      </c>
      <c r="P6190" s="65" t="s">
        <v>21</v>
      </c>
      <c r="Q6190" s="66" t="b">
        <v>0</v>
      </c>
      <c r="R6190" s="22">
        <f t="shared" si="131"/>
        <v>44</v>
      </c>
    </row>
    <row r="6191" spans="1:19">
      <c r="A6191" s="64">
        <v>11688</v>
      </c>
      <c r="B6191" s="62">
        <v>43789</v>
      </c>
      <c r="C6191" s="63" t="s">
        <v>20605</v>
      </c>
      <c r="D6191" s="62">
        <v>43788</v>
      </c>
      <c r="E6191" s="63" t="s">
        <v>20606</v>
      </c>
      <c r="F6191" s="63" t="s">
        <v>145</v>
      </c>
      <c r="G6191" s="63" t="s">
        <v>20</v>
      </c>
      <c r="H6191" s="63" t="s">
        <v>71</v>
      </c>
      <c r="I6191" s="63" t="s">
        <v>21</v>
      </c>
      <c r="J6191" s="63" t="s">
        <v>4041</v>
      </c>
      <c r="K6191" s="63" t="s">
        <v>20607</v>
      </c>
      <c r="L6191" s="63" t="s">
        <v>14909</v>
      </c>
      <c r="M6191" s="63" t="s">
        <v>21</v>
      </c>
      <c r="O6191" s="101">
        <v>43836</v>
      </c>
      <c r="P6191" s="65" t="s">
        <v>21</v>
      </c>
      <c r="Q6191" s="66" t="b">
        <v>0</v>
      </c>
      <c r="R6191" s="22">
        <f t="shared" si="131"/>
        <v>46</v>
      </c>
    </row>
    <row r="6192" spans="1:19">
      <c r="A6192" s="64">
        <v>11689</v>
      </c>
      <c r="B6192" s="62">
        <v>43791</v>
      </c>
      <c r="C6192" s="63" t="s">
        <v>20117</v>
      </c>
      <c r="D6192" s="62">
        <v>43791</v>
      </c>
      <c r="E6192" s="63" t="s">
        <v>38</v>
      </c>
      <c r="F6192" s="63" t="s">
        <v>2296</v>
      </c>
      <c r="G6192" s="63" t="s">
        <v>20</v>
      </c>
      <c r="H6192" s="63" t="s">
        <v>566</v>
      </c>
      <c r="I6192" s="63" t="s">
        <v>21</v>
      </c>
      <c r="J6192" s="63" t="s">
        <v>20118</v>
      </c>
      <c r="K6192" s="63" t="s">
        <v>20119</v>
      </c>
      <c r="L6192" s="63" t="s">
        <v>14909</v>
      </c>
      <c r="M6192" s="63" t="s">
        <v>21</v>
      </c>
      <c r="O6192" s="108">
        <v>43795</v>
      </c>
      <c r="P6192" s="65" t="s">
        <v>21</v>
      </c>
      <c r="Q6192" s="66" t="b">
        <v>0</v>
      </c>
      <c r="R6192" s="22">
        <f t="shared" si="131"/>
        <v>4</v>
      </c>
    </row>
    <row r="6193" spans="1:19">
      <c r="A6193" s="64">
        <v>11690</v>
      </c>
      <c r="B6193" s="62">
        <v>43794</v>
      </c>
      <c r="C6193" s="63" t="s">
        <v>20120</v>
      </c>
      <c r="D6193" s="62">
        <v>43794</v>
      </c>
      <c r="E6193" s="63" t="s">
        <v>38</v>
      </c>
      <c r="F6193" s="63" t="s">
        <v>1743</v>
      </c>
      <c r="G6193" s="63" t="s">
        <v>20</v>
      </c>
      <c r="H6193" s="63" t="s">
        <v>71</v>
      </c>
      <c r="I6193" s="63" t="s">
        <v>21</v>
      </c>
      <c r="J6193" s="63" t="s">
        <v>20121</v>
      </c>
      <c r="K6193" s="63" t="s">
        <v>228</v>
      </c>
      <c r="L6193" s="63" t="s">
        <v>7167</v>
      </c>
      <c r="M6193" s="63" t="s">
        <v>21</v>
      </c>
      <c r="O6193" s="108">
        <v>43795</v>
      </c>
      <c r="P6193" s="65" t="s">
        <v>21</v>
      </c>
      <c r="Q6193" s="66" t="b">
        <v>0</v>
      </c>
      <c r="R6193" s="22">
        <f t="shared" si="131"/>
        <v>1</v>
      </c>
    </row>
    <row r="6194" spans="1:19">
      <c r="A6194" s="64">
        <v>11691</v>
      </c>
      <c r="B6194" s="62">
        <v>43795</v>
      </c>
      <c r="C6194" s="63" t="s">
        <v>20122</v>
      </c>
      <c r="D6194" s="62">
        <v>43795</v>
      </c>
      <c r="E6194" s="63" t="s">
        <v>38</v>
      </c>
      <c r="F6194" s="63" t="s">
        <v>984</v>
      </c>
      <c r="G6194" s="63" t="s">
        <v>20</v>
      </c>
      <c r="H6194" s="63" t="s">
        <v>71</v>
      </c>
      <c r="I6194" s="63" t="s">
        <v>21</v>
      </c>
      <c r="J6194" s="63" t="s">
        <v>14825</v>
      </c>
      <c r="K6194" s="63" t="s">
        <v>20123</v>
      </c>
      <c r="L6194" s="63" t="s">
        <v>1946</v>
      </c>
      <c r="M6194" s="63" t="s">
        <v>21</v>
      </c>
      <c r="O6194" s="108">
        <v>43803</v>
      </c>
      <c r="P6194" s="65" t="s">
        <v>21</v>
      </c>
      <c r="Q6194" s="66" t="b">
        <v>0</v>
      </c>
      <c r="R6194" s="22">
        <f t="shared" si="131"/>
        <v>8</v>
      </c>
    </row>
    <row r="6195" spans="1:19">
      <c r="A6195" s="64">
        <v>11692</v>
      </c>
      <c r="B6195" s="62">
        <v>43796</v>
      </c>
      <c r="C6195" s="63" t="s">
        <v>20611</v>
      </c>
      <c r="D6195" s="62">
        <v>43796</v>
      </c>
      <c r="E6195" s="63" t="s">
        <v>20612</v>
      </c>
      <c r="F6195" s="63" t="s">
        <v>20613</v>
      </c>
      <c r="G6195" s="63" t="s">
        <v>20</v>
      </c>
      <c r="H6195" s="63" t="s">
        <v>71</v>
      </c>
      <c r="I6195" s="63" t="s">
        <v>21</v>
      </c>
      <c r="J6195" s="63" t="s">
        <v>20614</v>
      </c>
      <c r="K6195" s="63" t="s">
        <v>20615</v>
      </c>
      <c r="L6195" s="63" t="s">
        <v>14909</v>
      </c>
      <c r="M6195" s="63" t="s">
        <v>21</v>
      </c>
      <c r="O6195" s="108">
        <v>43858</v>
      </c>
      <c r="P6195" s="65" t="s">
        <v>21</v>
      </c>
      <c r="Q6195" s="66" t="b">
        <v>0</v>
      </c>
      <c r="R6195" s="22">
        <f t="shared" si="131"/>
        <v>61</v>
      </c>
    </row>
    <row r="6196" spans="1:19">
      <c r="A6196" s="64">
        <v>11693</v>
      </c>
      <c r="B6196" s="62">
        <v>43801</v>
      </c>
      <c r="C6196" s="63" t="s">
        <v>20616</v>
      </c>
      <c r="D6196" s="62">
        <v>43801</v>
      </c>
      <c r="E6196" s="63" t="s">
        <v>20617</v>
      </c>
      <c r="F6196" s="63" t="s">
        <v>7020</v>
      </c>
      <c r="G6196" s="63" t="s">
        <v>20</v>
      </c>
      <c r="H6196" s="63" t="s">
        <v>71</v>
      </c>
      <c r="I6196" s="63" t="s">
        <v>21</v>
      </c>
      <c r="J6196" s="63" t="s">
        <v>20618</v>
      </c>
      <c r="K6196" s="63" t="s">
        <v>20619</v>
      </c>
      <c r="L6196" s="63" t="s">
        <v>14909</v>
      </c>
      <c r="M6196" s="63" t="s">
        <v>21</v>
      </c>
      <c r="O6196" s="108">
        <v>43980</v>
      </c>
      <c r="P6196" s="65" t="s">
        <v>21</v>
      </c>
      <c r="Q6196" s="66" t="b">
        <v>0</v>
      </c>
      <c r="R6196" s="22">
        <f t="shared" si="131"/>
        <v>179</v>
      </c>
    </row>
    <row r="6197" spans="1:19">
      <c r="A6197" s="64">
        <v>11694</v>
      </c>
      <c r="B6197" s="62">
        <v>43801</v>
      </c>
      <c r="C6197" s="63" t="s">
        <v>20412</v>
      </c>
      <c r="D6197" s="62">
        <v>43801</v>
      </c>
      <c r="E6197" s="63" t="s">
        <v>38</v>
      </c>
      <c r="F6197" s="63" t="s">
        <v>1743</v>
      </c>
      <c r="G6197" s="63" t="s">
        <v>20</v>
      </c>
      <c r="H6197" s="63" t="s">
        <v>71</v>
      </c>
      <c r="I6197" s="63" t="s">
        <v>21</v>
      </c>
      <c r="J6197" s="63" t="s">
        <v>20413</v>
      </c>
      <c r="K6197" s="63" t="s">
        <v>174</v>
      </c>
      <c r="L6197" s="63" t="s">
        <v>14909</v>
      </c>
      <c r="M6197" s="63" t="s">
        <v>21</v>
      </c>
      <c r="O6197" s="101">
        <v>43980</v>
      </c>
      <c r="P6197" s="65" t="s">
        <v>21</v>
      </c>
      <c r="Q6197" s="66" t="b">
        <v>0</v>
      </c>
      <c r="R6197" s="22">
        <f t="shared" si="131"/>
        <v>179</v>
      </c>
    </row>
    <row r="6198" spans="1:19">
      <c r="A6198" s="64">
        <v>11695</v>
      </c>
      <c r="B6198" s="62">
        <v>43802</v>
      </c>
      <c r="C6198" s="63" t="s">
        <v>20398</v>
      </c>
      <c r="D6198" s="62">
        <v>43802</v>
      </c>
      <c r="E6198" s="63" t="s">
        <v>1928</v>
      </c>
      <c r="F6198" s="63" t="s">
        <v>1743</v>
      </c>
      <c r="G6198" s="63" t="s">
        <v>20</v>
      </c>
      <c r="H6198" s="63" t="s">
        <v>71</v>
      </c>
      <c r="I6198" s="63" t="s">
        <v>21</v>
      </c>
      <c r="J6198" s="63" t="s">
        <v>17673</v>
      </c>
      <c r="K6198" s="63" t="s">
        <v>10272</v>
      </c>
      <c r="L6198" s="63" t="s">
        <v>4282</v>
      </c>
      <c r="M6198" s="63" t="s">
        <v>21</v>
      </c>
      <c r="O6198" s="101">
        <v>43816</v>
      </c>
      <c r="P6198" s="65" t="s">
        <v>21</v>
      </c>
      <c r="Q6198" s="66" t="b">
        <v>0</v>
      </c>
      <c r="R6198" s="22">
        <f t="shared" si="131"/>
        <v>14</v>
      </c>
    </row>
    <row r="6199" spans="1:19">
      <c r="A6199" s="64">
        <v>11696</v>
      </c>
      <c r="B6199" s="62">
        <v>43803</v>
      </c>
      <c r="C6199" s="63" t="s">
        <v>20556</v>
      </c>
      <c r="D6199" s="62">
        <v>43802</v>
      </c>
      <c r="E6199" s="63" t="s">
        <v>20557</v>
      </c>
      <c r="F6199" s="63" t="s">
        <v>149</v>
      </c>
      <c r="G6199" s="63" t="s">
        <v>20</v>
      </c>
      <c r="H6199" s="63" t="s">
        <v>212</v>
      </c>
      <c r="I6199" s="63" t="s">
        <v>21</v>
      </c>
      <c r="J6199" s="63" t="s">
        <v>20558</v>
      </c>
      <c r="K6199" s="63" t="s">
        <v>18066</v>
      </c>
      <c r="L6199" s="63" t="s">
        <v>4282</v>
      </c>
      <c r="M6199" s="63" t="s">
        <v>21</v>
      </c>
      <c r="O6199" s="90">
        <v>44712</v>
      </c>
      <c r="P6199" s="65" t="s">
        <v>21</v>
      </c>
      <c r="Q6199" s="66" t="b">
        <v>0</v>
      </c>
      <c r="R6199" s="22">
        <f t="shared" si="131"/>
        <v>909</v>
      </c>
      <c r="S6199" t="s">
        <v>21</v>
      </c>
    </row>
    <row r="6200" spans="1:19" ht="24">
      <c r="A6200" s="59">
        <v>11697</v>
      </c>
      <c r="B6200" s="60">
        <v>43804</v>
      </c>
      <c r="C6200" s="61" t="s">
        <v>20559</v>
      </c>
      <c r="D6200" s="60">
        <v>43803</v>
      </c>
      <c r="E6200" s="61" t="s">
        <v>20560</v>
      </c>
      <c r="F6200" s="61" t="s">
        <v>27</v>
      </c>
      <c r="G6200" s="61" t="s">
        <v>20</v>
      </c>
      <c r="H6200" s="61" t="s">
        <v>71</v>
      </c>
      <c r="I6200" s="61" t="s">
        <v>21</v>
      </c>
      <c r="J6200" s="61" t="s">
        <v>20561</v>
      </c>
      <c r="K6200" s="61" t="s">
        <v>20562</v>
      </c>
      <c r="L6200" s="61" t="s">
        <v>4282</v>
      </c>
      <c r="M6200" s="61" t="s">
        <v>7167</v>
      </c>
      <c r="O6200" s="60">
        <v>45064</v>
      </c>
      <c r="P6200" s="61" t="s">
        <v>21</v>
      </c>
      <c r="Q6200" s="59" t="b">
        <v>0</v>
      </c>
      <c r="R6200" s="22">
        <f t="shared" si="131"/>
        <v>1260</v>
      </c>
      <c r="S6200" s="37" t="s">
        <v>22142</v>
      </c>
    </row>
    <row r="6201" spans="1:19">
      <c r="A6201" s="64">
        <v>11698</v>
      </c>
      <c r="B6201" s="62">
        <v>43804</v>
      </c>
      <c r="C6201" s="63" t="s">
        <v>20620</v>
      </c>
      <c r="D6201" s="62">
        <v>43804</v>
      </c>
      <c r="E6201" s="63" t="s">
        <v>20621</v>
      </c>
      <c r="F6201" s="63" t="s">
        <v>2727</v>
      </c>
      <c r="G6201" s="63" t="s">
        <v>20</v>
      </c>
      <c r="H6201" s="63" t="s">
        <v>71</v>
      </c>
      <c r="I6201" s="63" t="s">
        <v>21</v>
      </c>
      <c r="J6201" s="63" t="s">
        <v>20622</v>
      </c>
      <c r="K6201" s="63" t="s">
        <v>20623</v>
      </c>
      <c r="L6201" s="63" t="s">
        <v>14909</v>
      </c>
      <c r="M6201" s="63" t="s">
        <v>21</v>
      </c>
      <c r="O6201" s="108">
        <v>43875</v>
      </c>
      <c r="P6201" s="65" t="s">
        <v>21</v>
      </c>
      <c r="Q6201" s="66" t="b">
        <v>0</v>
      </c>
      <c r="R6201" s="22">
        <f t="shared" si="131"/>
        <v>69</v>
      </c>
    </row>
    <row r="6202" spans="1:19">
      <c r="A6202" s="64">
        <v>11699</v>
      </c>
      <c r="B6202" s="62">
        <v>43805</v>
      </c>
      <c r="C6202" s="63" t="s">
        <v>20124</v>
      </c>
      <c r="D6202" s="62">
        <v>43805</v>
      </c>
      <c r="E6202" s="63" t="s">
        <v>38</v>
      </c>
      <c r="F6202" s="63" t="s">
        <v>984</v>
      </c>
      <c r="G6202" s="63" t="s">
        <v>20</v>
      </c>
      <c r="H6202" s="63" t="s">
        <v>71</v>
      </c>
      <c r="I6202" s="63" t="s">
        <v>21</v>
      </c>
      <c r="J6202" s="63" t="s">
        <v>20123</v>
      </c>
      <c r="K6202" s="63" t="s">
        <v>20125</v>
      </c>
      <c r="L6202" s="63" t="s">
        <v>1946</v>
      </c>
      <c r="M6202" s="63" t="s">
        <v>21</v>
      </c>
      <c r="O6202" s="108">
        <v>43810</v>
      </c>
      <c r="P6202" s="65" t="s">
        <v>21</v>
      </c>
      <c r="Q6202" s="66" t="b">
        <v>0</v>
      </c>
      <c r="R6202" s="22">
        <f t="shared" si="131"/>
        <v>5</v>
      </c>
    </row>
    <row r="6203" spans="1:19">
      <c r="A6203" s="64">
        <v>11700</v>
      </c>
      <c r="B6203" s="62">
        <v>43808</v>
      </c>
      <c r="C6203" s="63" t="s">
        <v>20399</v>
      </c>
      <c r="D6203" s="62">
        <v>43808</v>
      </c>
      <c r="E6203" s="63" t="s">
        <v>1928</v>
      </c>
      <c r="F6203" s="63" t="s">
        <v>984</v>
      </c>
      <c r="G6203" s="63" t="s">
        <v>20</v>
      </c>
      <c r="H6203" s="63" t="s">
        <v>71</v>
      </c>
      <c r="I6203" s="63" t="s">
        <v>21</v>
      </c>
      <c r="J6203" s="63" t="s">
        <v>20400</v>
      </c>
      <c r="K6203" s="63" t="s">
        <v>15124</v>
      </c>
      <c r="L6203" s="63" t="s">
        <v>1946</v>
      </c>
      <c r="M6203" s="63" t="s">
        <v>21</v>
      </c>
      <c r="O6203" s="101">
        <v>43812</v>
      </c>
      <c r="P6203" s="65" t="s">
        <v>21</v>
      </c>
      <c r="Q6203" s="66" t="b">
        <v>0</v>
      </c>
      <c r="R6203" s="22">
        <f t="shared" si="131"/>
        <v>4</v>
      </c>
    </row>
    <row r="6204" spans="1:19">
      <c r="A6204" s="64">
        <v>11702</v>
      </c>
      <c r="B6204" s="62">
        <v>43810</v>
      </c>
      <c r="C6204" s="63" t="s">
        <v>20414</v>
      </c>
      <c r="D6204" s="62">
        <v>43810</v>
      </c>
      <c r="E6204" s="63" t="s">
        <v>38</v>
      </c>
      <c r="F6204" s="63" t="s">
        <v>7020</v>
      </c>
      <c r="G6204" s="63" t="s">
        <v>20</v>
      </c>
      <c r="H6204" s="63" t="s">
        <v>71</v>
      </c>
      <c r="I6204" s="63" t="s">
        <v>21</v>
      </c>
      <c r="J6204" s="63" t="s">
        <v>19802</v>
      </c>
      <c r="K6204" s="63" t="s">
        <v>7020</v>
      </c>
      <c r="L6204" s="63" t="s">
        <v>7167</v>
      </c>
      <c r="M6204" s="63" t="s">
        <v>21</v>
      </c>
      <c r="O6204" s="101">
        <v>43857</v>
      </c>
      <c r="P6204" s="65" t="s">
        <v>21</v>
      </c>
      <c r="Q6204" s="66" t="b">
        <v>0</v>
      </c>
      <c r="R6204" s="22">
        <f t="shared" si="131"/>
        <v>46</v>
      </c>
    </row>
    <row r="6205" spans="1:19">
      <c r="A6205" s="64">
        <v>11701</v>
      </c>
      <c r="B6205" s="62">
        <v>43811</v>
      </c>
      <c r="C6205" s="63" t="s">
        <v>20563</v>
      </c>
      <c r="D6205" s="62">
        <v>43811</v>
      </c>
      <c r="E6205" s="63" t="s">
        <v>20564</v>
      </c>
      <c r="F6205" s="63" t="s">
        <v>345</v>
      </c>
      <c r="G6205" s="63" t="s">
        <v>20</v>
      </c>
      <c r="H6205" s="63" t="s">
        <v>71</v>
      </c>
      <c r="I6205" s="63" t="s">
        <v>21</v>
      </c>
      <c r="J6205" s="63" t="s">
        <v>20565</v>
      </c>
      <c r="K6205" s="63" t="s">
        <v>20156</v>
      </c>
      <c r="L6205" s="63" t="s">
        <v>7167</v>
      </c>
      <c r="M6205" s="63" t="s">
        <v>21</v>
      </c>
      <c r="O6205" s="108">
        <v>43874</v>
      </c>
      <c r="P6205" s="65" t="s">
        <v>21</v>
      </c>
      <c r="Q6205" s="66" t="b">
        <v>0</v>
      </c>
      <c r="R6205" s="22">
        <f t="shared" si="131"/>
        <v>61</v>
      </c>
    </row>
    <row r="6206" spans="1:19">
      <c r="A6206" s="64">
        <v>11703</v>
      </c>
      <c r="B6206" s="62">
        <v>43811</v>
      </c>
      <c r="C6206" s="63" t="s">
        <v>20566</v>
      </c>
      <c r="D6206" s="62">
        <v>43811</v>
      </c>
      <c r="E6206" s="63" t="s">
        <v>20567</v>
      </c>
      <c r="F6206" s="63" t="s">
        <v>85</v>
      </c>
      <c r="G6206" s="63" t="s">
        <v>20</v>
      </c>
      <c r="H6206" s="63" t="s">
        <v>71</v>
      </c>
      <c r="I6206" s="63" t="s">
        <v>21</v>
      </c>
      <c r="J6206" s="63" t="s">
        <v>20568</v>
      </c>
      <c r="K6206" s="63" t="s">
        <v>20569</v>
      </c>
      <c r="L6206" s="63" t="s">
        <v>4282</v>
      </c>
      <c r="M6206" s="63" t="s">
        <v>21</v>
      </c>
      <c r="O6206" s="108">
        <v>43910</v>
      </c>
      <c r="P6206" s="65" t="s">
        <v>21</v>
      </c>
      <c r="Q6206" s="66" t="b">
        <v>0</v>
      </c>
      <c r="R6206" s="22">
        <f t="shared" si="131"/>
        <v>99</v>
      </c>
    </row>
    <row r="6207" spans="1:19" ht="24">
      <c r="A6207" s="64">
        <v>11704</v>
      </c>
      <c r="B6207" s="62">
        <v>43812</v>
      </c>
      <c r="C6207" s="63" t="s">
        <v>20401</v>
      </c>
      <c r="D6207" s="62">
        <v>43812</v>
      </c>
      <c r="E6207" s="63" t="s">
        <v>1928</v>
      </c>
      <c r="F6207" s="63" t="s">
        <v>1743</v>
      </c>
      <c r="G6207" s="63" t="s">
        <v>20</v>
      </c>
      <c r="H6207" s="63" t="s">
        <v>71</v>
      </c>
      <c r="I6207" s="63" t="s">
        <v>21</v>
      </c>
      <c r="J6207" s="63" t="s">
        <v>20402</v>
      </c>
      <c r="K6207" s="63" t="s">
        <v>21</v>
      </c>
      <c r="L6207" s="63" t="s">
        <v>1946</v>
      </c>
      <c r="M6207" s="63" t="s">
        <v>21</v>
      </c>
      <c r="O6207" s="101">
        <v>43812</v>
      </c>
      <c r="P6207" s="65" t="s">
        <v>21</v>
      </c>
      <c r="Q6207" s="66" t="b">
        <v>0</v>
      </c>
      <c r="R6207" s="22">
        <f t="shared" si="131"/>
        <v>0</v>
      </c>
    </row>
    <row r="6208" spans="1:19">
      <c r="A6208" s="64">
        <v>11705</v>
      </c>
      <c r="B6208" s="62">
        <v>43815</v>
      </c>
      <c r="C6208" s="63" t="s">
        <v>20624</v>
      </c>
      <c r="D6208" s="62">
        <v>43815</v>
      </c>
      <c r="E6208" s="63" t="s">
        <v>20625</v>
      </c>
      <c r="F6208" s="63" t="s">
        <v>242</v>
      </c>
      <c r="G6208" s="63" t="s">
        <v>20</v>
      </c>
      <c r="H6208" s="63" t="s">
        <v>71</v>
      </c>
      <c r="I6208" s="63" t="s">
        <v>21</v>
      </c>
      <c r="J6208" s="63" t="s">
        <v>20626</v>
      </c>
      <c r="K6208" s="63" t="s">
        <v>20325</v>
      </c>
      <c r="L6208" s="63" t="s">
        <v>14909</v>
      </c>
      <c r="M6208" s="63" t="s">
        <v>21</v>
      </c>
      <c r="O6208" s="101">
        <v>44363</v>
      </c>
      <c r="P6208" s="65" t="s">
        <v>21</v>
      </c>
      <c r="Q6208" s="66" t="b">
        <v>0</v>
      </c>
      <c r="R6208" s="22">
        <f t="shared" si="131"/>
        <v>547</v>
      </c>
    </row>
    <row r="6209" spans="1:19">
      <c r="A6209" s="64">
        <v>11706</v>
      </c>
      <c r="B6209" s="62">
        <v>43815</v>
      </c>
      <c r="C6209" s="63" t="s">
        <v>20570</v>
      </c>
      <c r="D6209" s="62">
        <v>43815</v>
      </c>
      <c r="E6209" s="63" t="s">
        <v>20571</v>
      </c>
      <c r="F6209" s="63" t="s">
        <v>104</v>
      </c>
      <c r="G6209" s="63" t="s">
        <v>20</v>
      </c>
      <c r="H6209" s="63" t="s">
        <v>71</v>
      </c>
      <c r="I6209" s="63" t="s">
        <v>21</v>
      </c>
      <c r="J6209" s="63" t="s">
        <v>20572</v>
      </c>
      <c r="K6209" s="63" t="s">
        <v>20573</v>
      </c>
      <c r="L6209" s="63" t="s">
        <v>7167</v>
      </c>
      <c r="M6209" s="63" t="s">
        <v>1152</v>
      </c>
      <c r="O6209" s="90">
        <v>44727</v>
      </c>
      <c r="P6209" s="65" t="s">
        <v>21</v>
      </c>
      <c r="Q6209" s="66" t="b">
        <v>0</v>
      </c>
      <c r="R6209" s="22">
        <f t="shared" si="131"/>
        <v>911</v>
      </c>
    </row>
    <row r="6210" spans="1:19">
      <c r="A6210" s="64">
        <v>11707</v>
      </c>
      <c r="B6210" s="62">
        <v>43816</v>
      </c>
      <c r="C6210" s="63" t="s">
        <v>20574</v>
      </c>
      <c r="D6210" s="62">
        <v>43816</v>
      </c>
      <c r="E6210" s="63" t="s">
        <v>20575</v>
      </c>
      <c r="F6210" s="63" t="s">
        <v>733</v>
      </c>
      <c r="G6210" s="63" t="s">
        <v>20</v>
      </c>
      <c r="H6210" s="63" t="s">
        <v>71</v>
      </c>
      <c r="I6210" s="63" t="s">
        <v>21</v>
      </c>
      <c r="J6210" s="63" t="s">
        <v>20576</v>
      </c>
      <c r="K6210" s="63" t="s">
        <v>9348</v>
      </c>
      <c r="L6210" s="63" t="s">
        <v>1152</v>
      </c>
      <c r="M6210" s="63" t="s">
        <v>21</v>
      </c>
      <c r="O6210" s="108">
        <v>43893</v>
      </c>
      <c r="P6210" s="65" t="s">
        <v>21</v>
      </c>
      <c r="Q6210" s="66" t="b">
        <v>0</v>
      </c>
      <c r="R6210" s="22">
        <f t="shared" si="131"/>
        <v>77</v>
      </c>
    </row>
    <row r="6211" spans="1:19">
      <c r="A6211" s="64">
        <v>11708</v>
      </c>
      <c r="B6211" s="62">
        <v>43817</v>
      </c>
      <c r="C6211" s="63" t="s">
        <v>20443</v>
      </c>
      <c r="D6211" s="62">
        <v>43817</v>
      </c>
      <c r="E6211" s="63" t="s">
        <v>20444</v>
      </c>
      <c r="F6211" s="63" t="s">
        <v>19590</v>
      </c>
      <c r="G6211" s="63" t="s">
        <v>20</v>
      </c>
      <c r="H6211" s="63" t="s">
        <v>71</v>
      </c>
      <c r="I6211" s="63" t="s">
        <v>21</v>
      </c>
      <c r="J6211" s="63" t="s">
        <v>20445</v>
      </c>
      <c r="K6211" s="63" t="s">
        <v>14825</v>
      </c>
      <c r="L6211" s="63" t="s">
        <v>1946</v>
      </c>
      <c r="M6211" s="63" t="s">
        <v>21</v>
      </c>
      <c r="O6211" s="108">
        <v>43859</v>
      </c>
      <c r="P6211" s="65" t="s">
        <v>21</v>
      </c>
      <c r="Q6211" s="66" t="b">
        <v>0</v>
      </c>
      <c r="R6211" s="22">
        <f t="shared" si="131"/>
        <v>41</v>
      </c>
    </row>
    <row r="6212" spans="1:19" ht="24">
      <c r="A6212" s="59">
        <v>11709</v>
      </c>
      <c r="B6212" s="60">
        <v>43817</v>
      </c>
      <c r="C6212" s="61" t="s">
        <v>20446</v>
      </c>
      <c r="D6212" s="60">
        <v>43817</v>
      </c>
      <c r="E6212" s="61" t="s">
        <v>20447</v>
      </c>
      <c r="F6212" s="61" t="s">
        <v>20448</v>
      </c>
      <c r="G6212" s="61" t="s">
        <v>20</v>
      </c>
      <c r="H6212" s="61" t="s">
        <v>71</v>
      </c>
      <c r="I6212" s="61" t="s">
        <v>21</v>
      </c>
      <c r="J6212" s="61" t="s">
        <v>20449</v>
      </c>
      <c r="K6212" s="61" t="s">
        <v>14825</v>
      </c>
      <c r="L6212" s="61" t="s">
        <v>21573</v>
      </c>
      <c r="M6212" s="61" t="s">
        <v>7167</v>
      </c>
      <c r="O6212" s="60">
        <v>45107</v>
      </c>
      <c r="P6212" s="61" t="s">
        <v>21</v>
      </c>
      <c r="Q6212" s="59" t="b">
        <v>0</v>
      </c>
      <c r="R6212" s="22">
        <f t="shared" si="131"/>
        <v>1289</v>
      </c>
      <c r="S6212" s="37" t="s">
        <v>22143</v>
      </c>
    </row>
    <row r="6213" spans="1:19">
      <c r="A6213" s="64">
        <v>11710</v>
      </c>
      <c r="B6213" s="62">
        <v>43817</v>
      </c>
      <c r="C6213" s="63" t="s">
        <v>20126</v>
      </c>
      <c r="D6213" s="62">
        <v>43817</v>
      </c>
      <c r="E6213" s="63" t="s">
        <v>38</v>
      </c>
      <c r="F6213" s="63" t="s">
        <v>12633</v>
      </c>
      <c r="G6213" s="63" t="s">
        <v>20</v>
      </c>
      <c r="H6213" s="63" t="s">
        <v>71</v>
      </c>
      <c r="I6213" s="63" t="s">
        <v>21</v>
      </c>
      <c r="J6213" s="63" t="s">
        <v>20127</v>
      </c>
      <c r="K6213" s="63" t="s">
        <v>1928</v>
      </c>
      <c r="L6213" s="63" t="s">
        <v>7167</v>
      </c>
      <c r="M6213" s="63" t="s">
        <v>21</v>
      </c>
      <c r="O6213" s="101">
        <v>43829</v>
      </c>
      <c r="P6213" s="65" t="s">
        <v>21</v>
      </c>
      <c r="Q6213" s="66" t="b">
        <v>0</v>
      </c>
      <c r="R6213" s="22">
        <f t="shared" si="131"/>
        <v>12</v>
      </c>
    </row>
    <row r="6214" spans="1:19">
      <c r="A6214" s="64">
        <v>11711</v>
      </c>
      <c r="B6214" s="62">
        <v>43818</v>
      </c>
      <c r="C6214" s="63" t="s">
        <v>20421</v>
      </c>
      <c r="D6214" s="62">
        <v>43818</v>
      </c>
      <c r="E6214" s="63" t="s">
        <v>20422</v>
      </c>
      <c r="F6214" s="63" t="s">
        <v>2296</v>
      </c>
      <c r="G6214" s="63" t="s">
        <v>20</v>
      </c>
      <c r="H6214" s="63" t="s">
        <v>566</v>
      </c>
      <c r="I6214" s="63" t="s">
        <v>21</v>
      </c>
      <c r="J6214" s="63" t="s">
        <v>20423</v>
      </c>
      <c r="K6214" s="63" t="s">
        <v>20424</v>
      </c>
      <c r="L6214" s="63" t="s">
        <v>21142</v>
      </c>
      <c r="M6214" s="63" t="s">
        <v>21575</v>
      </c>
      <c r="O6214" s="89">
        <v>44672</v>
      </c>
      <c r="P6214" s="65" t="s">
        <v>21</v>
      </c>
      <c r="Q6214" s="66" t="b">
        <v>0</v>
      </c>
      <c r="R6214" s="22">
        <f t="shared" si="131"/>
        <v>853</v>
      </c>
    </row>
    <row r="6215" spans="1:19">
      <c r="A6215" s="64">
        <v>11712</v>
      </c>
      <c r="B6215" s="62">
        <v>43836</v>
      </c>
      <c r="C6215" s="63" t="s">
        <v>20638</v>
      </c>
      <c r="D6215" s="62">
        <v>43832</v>
      </c>
      <c r="E6215" s="63" t="s">
        <v>1928</v>
      </c>
      <c r="F6215" s="63" t="s">
        <v>1743</v>
      </c>
      <c r="G6215" s="63" t="s">
        <v>20</v>
      </c>
      <c r="H6215" s="63" t="s">
        <v>71</v>
      </c>
      <c r="I6215" s="63" t="s">
        <v>21</v>
      </c>
      <c r="J6215" s="63" t="s">
        <v>20360</v>
      </c>
      <c r="K6215" s="63" t="s">
        <v>20639</v>
      </c>
      <c r="L6215" s="63" t="s">
        <v>4282</v>
      </c>
      <c r="M6215" s="63" t="s">
        <v>21</v>
      </c>
      <c r="O6215" s="101">
        <v>43846</v>
      </c>
      <c r="P6215" s="65" t="s">
        <v>21</v>
      </c>
      <c r="Q6215" s="66" t="b">
        <v>0</v>
      </c>
      <c r="R6215" s="22">
        <f t="shared" si="131"/>
        <v>10</v>
      </c>
    </row>
    <row r="6216" spans="1:19">
      <c r="A6216" s="64">
        <v>11713</v>
      </c>
      <c r="B6216" s="62">
        <v>43836</v>
      </c>
      <c r="C6216" s="63" t="s">
        <v>20418</v>
      </c>
      <c r="D6216" s="62">
        <v>43836</v>
      </c>
      <c r="E6216" s="63" t="s">
        <v>20419</v>
      </c>
      <c r="F6216" s="63" t="s">
        <v>3171</v>
      </c>
      <c r="G6216" s="63" t="s">
        <v>20</v>
      </c>
      <c r="H6216" s="63" t="s">
        <v>71</v>
      </c>
      <c r="I6216" s="63" t="s">
        <v>21</v>
      </c>
      <c r="J6216" s="63" t="s">
        <v>20420</v>
      </c>
      <c r="K6216" s="63" t="s">
        <v>7025</v>
      </c>
      <c r="L6216" s="63" t="s">
        <v>1946</v>
      </c>
      <c r="M6216" s="63" t="s">
        <v>21</v>
      </c>
      <c r="O6216" s="101">
        <v>44011</v>
      </c>
      <c r="P6216" s="65" t="s">
        <v>21</v>
      </c>
      <c r="Q6216" s="66" t="b">
        <v>0</v>
      </c>
      <c r="R6216" s="22">
        <f t="shared" si="131"/>
        <v>175</v>
      </c>
    </row>
    <row r="6217" spans="1:19">
      <c r="A6217" s="64">
        <v>11714</v>
      </c>
      <c r="B6217" s="62">
        <v>43838</v>
      </c>
      <c r="C6217" s="63" t="s">
        <v>20627</v>
      </c>
      <c r="D6217" s="62">
        <v>43838</v>
      </c>
      <c r="E6217" s="63" t="s">
        <v>20628</v>
      </c>
      <c r="F6217" s="63" t="s">
        <v>2296</v>
      </c>
      <c r="G6217" s="63" t="s">
        <v>20</v>
      </c>
      <c r="H6217" s="63" t="s">
        <v>566</v>
      </c>
      <c r="I6217" s="63" t="s">
        <v>21</v>
      </c>
      <c r="J6217" s="63" t="s">
        <v>20629</v>
      </c>
      <c r="K6217" s="63" t="s">
        <v>6081</v>
      </c>
      <c r="L6217" s="63" t="s">
        <v>14909</v>
      </c>
      <c r="M6217" s="63" t="s">
        <v>21</v>
      </c>
      <c r="O6217" s="101">
        <v>43952</v>
      </c>
      <c r="P6217" s="65" t="s">
        <v>21</v>
      </c>
      <c r="Q6217" s="66" t="b">
        <v>0</v>
      </c>
      <c r="R6217" s="22">
        <f t="shared" si="131"/>
        <v>114</v>
      </c>
    </row>
    <row r="6218" spans="1:19">
      <c r="A6218" s="64">
        <v>11716</v>
      </c>
      <c r="B6218" s="62">
        <v>43840</v>
      </c>
      <c r="C6218" s="63" t="s">
        <v>20640</v>
      </c>
      <c r="D6218" s="62">
        <v>43840</v>
      </c>
      <c r="E6218" s="63" t="s">
        <v>1928</v>
      </c>
      <c r="F6218" s="63" t="s">
        <v>1743</v>
      </c>
      <c r="G6218" s="63" t="s">
        <v>20</v>
      </c>
      <c r="H6218" s="63" t="s">
        <v>71</v>
      </c>
      <c r="I6218" s="63" t="s">
        <v>21</v>
      </c>
      <c r="J6218" s="63" t="s">
        <v>20557</v>
      </c>
      <c r="K6218" s="63" t="s">
        <v>18547</v>
      </c>
      <c r="L6218" s="63" t="s">
        <v>4282</v>
      </c>
      <c r="M6218" s="63" t="s">
        <v>21</v>
      </c>
      <c r="O6218" s="101">
        <v>43847</v>
      </c>
      <c r="P6218" s="65" t="s">
        <v>21</v>
      </c>
      <c r="Q6218" s="66" t="b">
        <v>0</v>
      </c>
      <c r="R6218" s="22">
        <f t="shared" si="131"/>
        <v>7</v>
      </c>
    </row>
    <row r="6219" spans="1:19">
      <c r="A6219" s="64">
        <v>11717</v>
      </c>
      <c r="B6219" s="62">
        <v>43847</v>
      </c>
      <c r="C6219" s="63" t="s">
        <v>20681</v>
      </c>
      <c r="D6219" s="62">
        <v>43846</v>
      </c>
      <c r="E6219" s="63" t="s">
        <v>1928</v>
      </c>
      <c r="F6219" s="63" t="s">
        <v>1743</v>
      </c>
      <c r="G6219" s="63" t="s">
        <v>20</v>
      </c>
      <c r="H6219" s="63" t="s">
        <v>71</v>
      </c>
      <c r="I6219" s="63" t="s">
        <v>21</v>
      </c>
      <c r="J6219" s="63" t="s">
        <v>20682</v>
      </c>
      <c r="K6219" s="63" t="s">
        <v>20683</v>
      </c>
      <c r="L6219" s="63" t="s">
        <v>4282</v>
      </c>
      <c r="M6219" s="63" t="s">
        <v>21</v>
      </c>
      <c r="O6219" s="108">
        <v>43859</v>
      </c>
      <c r="P6219" s="65" t="s">
        <v>21</v>
      </c>
      <c r="Q6219" s="66" t="b">
        <v>0</v>
      </c>
      <c r="R6219" s="22">
        <f t="shared" si="131"/>
        <v>12</v>
      </c>
    </row>
    <row r="6220" spans="1:19">
      <c r="A6220" s="64">
        <v>11718</v>
      </c>
      <c r="B6220" s="62">
        <v>43852</v>
      </c>
      <c r="C6220" s="63" t="s">
        <v>20684</v>
      </c>
      <c r="D6220" s="62">
        <v>43851</v>
      </c>
      <c r="E6220" s="63" t="s">
        <v>20685</v>
      </c>
      <c r="F6220" s="63" t="s">
        <v>124</v>
      </c>
      <c r="G6220" s="63" t="s">
        <v>20</v>
      </c>
      <c r="H6220" s="63" t="s">
        <v>71</v>
      </c>
      <c r="I6220" s="63" t="s">
        <v>21</v>
      </c>
      <c r="J6220" s="63" t="s">
        <v>20686</v>
      </c>
      <c r="K6220" s="63" t="s">
        <v>6081</v>
      </c>
      <c r="L6220" s="63" t="s">
        <v>14909</v>
      </c>
      <c r="M6220" s="63" t="s">
        <v>21</v>
      </c>
      <c r="O6220" s="108">
        <v>44180</v>
      </c>
      <c r="P6220" s="65" t="s">
        <v>21</v>
      </c>
      <c r="Q6220" s="66" t="b">
        <v>0</v>
      </c>
      <c r="R6220" s="22">
        <f t="shared" si="131"/>
        <v>327</v>
      </c>
    </row>
    <row r="6221" spans="1:19" ht="24">
      <c r="A6221" s="64">
        <v>11719</v>
      </c>
      <c r="B6221" s="62">
        <v>43853</v>
      </c>
      <c r="C6221" s="63" t="s">
        <v>20690</v>
      </c>
      <c r="D6221" s="62">
        <v>43853</v>
      </c>
      <c r="E6221" s="63" t="s">
        <v>20691</v>
      </c>
      <c r="F6221" s="63" t="s">
        <v>3171</v>
      </c>
      <c r="G6221" s="63" t="s">
        <v>20</v>
      </c>
      <c r="H6221" s="63" t="s">
        <v>566</v>
      </c>
      <c r="I6221" s="63" t="s">
        <v>21</v>
      </c>
      <c r="J6221" s="63" t="s">
        <v>20692</v>
      </c>
      <c r="K6221" s="63" t="s">
        <v>21</v>
      </c>
      <c r="L6221" s="63" t="s">
        <v>14909</v>
      </c>
      <c r="M6221" s="63" t="s">
        <v>21</v>
      </c>
      <c r="O6221" s="108">
        <v>43887</v>
      </c>
      <c r="P6221" s="65" t="s">
        <v>21</v>
      </c>
      <c r="Q6221" s="66" t="b">
        <v>0</v>
      </c>
      <c r="R6221" s="22">
        <f t="shared" si="131"/>
        <v>33</v>
      </c>
    </row>
    <row r="6222" spans="1:19">
      <c r="A6222" s="64">
        <v>11720</v>
      </c>
      <c r="B6222" s="62">
        <v>43853</v>
      </c>
      <c r="C6222" s="63" t="s">
        <v>20687</v>
      </c>
      <c r="D6222" s="62">
        <v>43853</v>
      </c>
      <c r="E6222" s="63" t="s">
        <v>38</v>
      </c>
      <c r="F6222" s="63" t="s">
        <v>13422</v>
      </c>
      <c r="G6222" s="63" t="s">
        <v>20</v>
      </c>
      <c r="H6222" s="63" t="s">
        <v>71</v>
      </c>
      <c r="I6222" s="63" t="s">
        <v>21</v>
      </c>
      <c r="J6222" s="63" t="s">
        <v>20688</v>
      </c>
      <c r="K6222" s="63" t="s">
        <v>20689</v>
      </c>
      <c r="L6222" s="63" t="s">
        <v>7167</v>
      </c>
      <c r="M6222" s="63" t="s">
        <v>21</v>
      </c>
      <c r="O6222" s="108">
        <v>43859</v>
      </c>
      <c r="P6222" s="65" t="s">
        <v>21</v>
      </c>
      <c r="Q6222" s="66" t="b">
        <v>0</v>
      </c>
      <c r="R6222" s="22">
        <f t="shared" si="131"/>
        <v>6</v>
      </c>
    </row>
    <row r="6223" spans="1:19">
      <c r="A6223" s="64">
        <v>11721</v>
      </c>
      <c r="B6223" s="62">
        <v>43857</v>
      </c>
      <c r="C6223" s="63" t="s">
        <v>20693</v>
      </c>
      <c r="D6223" s="62">
        <v>43857</v>
      </c>
      <c r="E6223" s="63" t="s">
        <v>1928</v>
      </c>
      <c r="F6223" s="63" t="s">
        <v>1743</v>
      </c>
      <c r="G6223" s="63" t="s">
        <v>20</v>
      </c>
      <c r="H6223" s="63" t="s">
        <v>71</v>
      </c>
      <c r="I6223" s="63" t="s">
        <v>21</v>
      </c>
      <c r="J6223" s="63" t="s">
        <v>11612</v>
      </c>
      <c r="K6223" s="63" t="s">
        <v>20477</v>
      </c>
      <c r="L6223" s="63" t="s">
        <v>7167</v>
      </c>
      <c r="M6223" s="63" t="s">
        <v>21</v>
      </c>
      <c r="O6223" s="108">
        <v>43861</v>
      </c>
      <c r="P6223" s="65" t="s">
        <v>21</v>
      </c>
      <c r="Q6223" s="66" t="b">
        <v>0</v>
      </c>
      <c r="R6223" s="22">
        <f t="shared" si="131"/>
        <v>4</v>
      </c>
    </row>
    <row r="6224" spans="1:19">
      <c r="A6224" s="64">
        <v>11722</v>
      </c>
      <c r="B6224" s="62">
        <v>43857</v>
      </c>
      <c r="C6224" s="63" t="s">
        <v>20698</v>
      </c>
      <c r="D6224" s="62">
        <v>43857</v>
      </c>
      <c r="E6224" s="63" t="s">
        <v>20699</v>
      </c>
      <c r="F6224" s="63" t="s">
        <v>18233</v>
      </c>
      <c r="G6224" s="63" t="s">
        <v>20</v>
      </c>
      <c r="H6224" s="63" t="s">
        <v>566</v>
      </c>
      <c r="I6224" s="63" t="s">
        <v>21</v>
      </c>
      <c r="J6224" s="63" t="s">
        <v>20700</v>
      </c>
      <c r="K6224" s="63" t="s">
        <v>18624</v>
      </c>
      <c r="L6224" s="63" t="s">
        <v>14909</v>
      </c>
      <c r="M6224" s="63" t="s">
        <v>21</v>
      </c>
      <c r="O6224" s="108">
        <v>43894</v>
      </c>
      <c r="P6224" s="65" t="s">
        <v>21</v>
      </c>
      <c r="Q6224" s="66" t="b">
        <v>0</v>
      </c>
      <c r="R6224" s="22">
        <f t="shared" si="131"/>
        <v>37</v>
      </c>
    </row>
    <row r="6225" spans="1:19">
      <c r="A6225" s="64">
        <v>11723</v>
      </c>
      <c r="B6225" s="62">
        <v>43857</v>
      </c>
      <c r="C6225" s="63" t="s">
        <v>20694</v>
      </c>
      <c r="D6225" s="62">
        <v>43857</v>
      </c>
      <c r="E6225" s="63" t="s">
        <v>20695</v>
      </c>
      <c r="F6225" s="63" t="s">
        <v>149</v>
      </c>
      <c r="G6225" s="63" t="s">
        <v>20</v>
      </c>
      <c r="H6225" s="63" t="s">
        <v>6501</v>
      </c>
      <c r="I6225" s="63" t="s">
        <v>21</v>
      </c>
      <c r="J6225" s="63" t="s">
        <v>20696</v>
      </c>
      <c r="K6225" s="63" t="s">
        <v>20697</v>
      </c>
      <c r="L6225" s="63" t="s">
        <v>14909</v>
      </c>
      <c r="M6225" s="63" t="s">
        <v>21</v>
      </c>
      <c r="O6225" s="108">
        <v>43886</v>
      </c>
      <c r="P6225" s="65" t="s">
        <v>21</v>
      </c>
      <c r="Q6225" s="66" t="b">
        <v>0</v>
      </c>
      <c r="R6225" s="22">
        <f t="shared" si="131"/>
        <v>28</v>
      </c>
    </row>
    <row r="6226" spans="1:19" ht="24">
      <c r="A6226" s="64">
        <v>11724</v>
      </c>
      <c r="B6226" s="62">
        <v>43859</v>
      </c>
      <c r="C6226" s="63" t="s">
        <v>20701</v>
      </c>
      <c r="D6226" s="62">
        <v>43859</v>
      </c>
      <c r="E6226" s="63" t="s">
        <v>38</v>
      </c>
      <c r="F6226" s="63" t="s">
        <v>20702</v>
      </c>
      <c r="G6226" s="63" t="s">
        <v>20</v>
      </c>
      <c r="H6226" s="63" t="s">
        <v>71</v>
      </c>
      <c r="I6226" s="63" t="s">
        <v>21</v>
      </c>
      <c r="J6226" s="63" t="s">
        <v>20703</v>
      </c>
      <c r="K6226" s="63" t="s">
        <v>20704</v>
      </c>
      <c r="L6226" s="63" t="s">
        <v>14909</v>
      </c>
      <c r="M6226" s="63" t="s">
        <v>21</v>
      </c>
      <c r="O6226" s="108">
        <v>43900</v>
      </c>
      <c r="P6226" s="65" t="s">
        <v>21</v>
      </c>
      <c r="Q6226" s="66" t="b">
        <v>0</v>
      </c>
      <c r="R6226" s="22">
        <f t="shared" si="131"/>
        <v>41</v>
      </c>
    </row>
    <row r="6227" spans="1:19">
      <c r="A6227" s="64">
        <v>11725</v>
      </c>
      <c r="B6227" s="62">
        <v>43860</v>
      </c>
      <c r="C6227" s="63" t="s">
        <v>20709</v>
      </c>
      <c r="D6227" s="62">
        <v>43859</v>
      </c>
      <c r="E6227" s="63" t="s">
        <v>20710</v>
      </c>
      <c r="F6227" s="63" t="s">
        <v>216</v>
      </c>
      <c r="G6227" s="63" t="s">
        <v>20</v>
      </c>
      <c r="H6227" s="63" t="s">
        <v>71</v>
      </c>
      <c r="I6227" s="63" t="s">
        <v>21</v>
      </c>
      <c r="J6227" s="63" t="s">
        <v>20711</v>
      </c>
      <c r="K6227" s="63" t="s">
        <v>20712</v>
      </c>
      <c r="L6227" s="63" t="s">
        <v>14909</v>
      </c>
      <c r="M6227" s="63" t="s">
        <v>21</v>
      </c>
      <c r="O6227" s="108">
        <v>43948</v>
      </c>
      <c r="P6227" s="65" t="s">
        <v>21</v>
      </c>
      <c r="Q6227" s="66" t="b">
        <v>0</v>
      </c>
      <c r="R6227" s="22">
        <f t="shared" si="131"/>
        <v>88</v>
      </c>
    </row>
    <row r="6228" spans="1:19">
      <c r="A6228" s="64">
        <v>11726</v>
      </c>
      <c r="B6228" s="62">
        <v>43860</v>
      </c>
      <c r="C6228" s="63" t="s">
        <v>20705</v>
      </c>
      <c r="D6228" s="62">
        <v>43858</v>
      </c>
      <c r="E6228" s="63" t="s">
        <v>20706</v>
      </c>
      <c r="F6228" s="63" t="s">
        <v>20707</v>
      </c>
      <c r="G6228" s="63" t="s">
        <v>20</v>
      </c>
      <c r="H6228" s="63" t="s">
        <v>566</v>
      </c>
      <c r="I6228" s="63" t="s">
        <v>21</v>
      </c>
      <c r="J6228" s="63" t="s">
        <v>20708</v>
      </c>
      <c r="K6228" s="63" t="s">
        <v>6081</v>
      </c>
      <c r="L6228" s="63" t="s">
        <v>14909</v>
      </c>
      <c r="M6228" s="63" t="s">
        <v>21</v>
      </c>
      <c r="O6228" s="108">
        <v>43913</v>
      </c>
      <c r="P6228" s="65" t="s">
        <v>21</v>
      </c>
      <c r="Q6228" s="66" t="b">
        <v>0</v>
      </c>
      <c r="R6228" s="22">
        <f t="shared" si="131"/>
        <v>53</v>
      </c>
    </row>
    <row r="6229" spans="1:19">
      <c r="A6229" s="64">
        <v>11727</v>
      </c>
      <c r="B6229" s="62">
        <v>43860</v>
      </c>
      <c r="C6229" s="63" t="s">
        <v>20713</v>
      </c>
      <c r="D6229" s="62">
        <v>43859</v>
      </c>
      <c r="E6229" s="63" t="s">
        <v>20714</v>
      </c>
      <c r="F6229" s="63" t="s">
        <v>861</v>
      </c>
      <c r="G6229" s="63" t="s">
        <v>20</v>
      </c>
      <c r="H6229" s="63" t="s">
        <v>566</v>
      </c>
      <c r="I6229" s="63" t="s">
        <v>21</v>
      </c>
      <c r="J6229" s="63" t="s">
        <v>20708</v>
      </c>
      <c r="K6229" s="63" t="s">
        <v>6081</v>
      </c>
      <c r="L6229" s="63" t="s">
        <v>14909</v>
      </c>
      <c r="M6229" s="63" t="s">
        <v>21</v>
      </c>
      <c r="O6229" s="108">
        <v>43948</v>
      </c>
      <c r="P6229" s="65" t="s">
        <v>21</v>
      </c>
      <c r="Q6229" s="66" t="b">
        <v>0</v>
      </c>
      <c r="R6229" s="22">
        <f t="shared" si="131"/>
        <v>88</v>
      </c>
    </row>
    <row r="6230" spans="1:19">
      <c r="A6230" s="64">
        <v>11728</v>
      </c>
      <c r="B6230" s="62">
        <v>43860</v>
      </c>
      <c r="C6230" s="63" t="s">
        <v>20715</v>
      </c>
      <c r="D6230" s="62">
        <v>43860</v>
      </c>
      <c r="E6230" s="63" t="s">
        <v>20716</v>
      </c>
      <c r="F6230" s="63" t="s">
        <v>242</v>
      </c>
      <c r="G6230" s="63" t="s">
        <v>20</v>
      </c>
      <c r="H6230" s="63" t="s">
        <v>71</v>
      </c>
      <c r="I6230" s="63" t="s">
        <v>21</v>
      </c>
      <c r="J6230" s="63" t="s">
        <v>20717</v>
      </c>
      <c r="K6230" s="63" t="s">
        <v>9348</v>
      </c>
      <c r="L6230" s="63" t="s">
        <v>7167</v>
      </c>
      <c r="M6230" s="63" t="s">
        <v>1152</v>
      </c>
      <c r="O6230" s="90">
        <v>44616</v>
      </c>
      <c r="P6230" s="65" t="s">
        <v>21</v>
      </c>
      <c r="Q6230" s="66" t="b">
        <v>0</v>
      </c>
      <c r="R6230" s="22">
        <f t="shared" si="131"/>
        <v>754</v>
      </c>
      <c r="S6230" s="46" t="s">
        <v>21</v>
      </c>
    </row>
    <row r="6231" spans="1:19">
      <c r="A6231" s="64">
        <v>11730</v>
      </c>
      <c r="B6231" s="62">
        <v>43864</v>
      </c>
      <c r="C6231" s="63" t="s">
        <v>20718</v>
      </c>
      <c r="D6231" s="62">
        <v>43864</v>
      </c>
      <c r="E6231" s="63" t="s">
        <v>1928</v>
      </c>
      <c r="F6231" s="63" t="s">
        <v>1743</v>
      </c>
      <c r="G6231" s="63" t="s">
        <v>20</v>
      </c>
      <c r="H6231" s="63" t="s">
        <v>71</v>
      </c>
      <c r="I6231" s="63" t="s">
        <v>21</v>
      </c>
      <c r="J6231" s="63" t="s">
        <v>20719</v>
      </c>
      <c r="K6231" s="63" t="s">
        <v>20720</v>
      </c>
      <c r="L6231" s="63" t="s">
        <v>4282</v>
      </c>
      <c r="M6231" s="63" t="s">
        <v>21</v>
      </c>
      <c r="O6231" s="108">
        <v>43864</v>
      </c>
      <c r="P6231" s="65" t="s">
        <v>21</v>
      </c>
      <c r="Q6231" s="66" t="b">
        <v>0</v>
      </c>
      <c r="R6231" s="22">
        <f t="shared" si="131"/>
        <v>0</v>
      </c>
    </row>
    <row r="6232" spans="1:19">
      <c r="A6232" s="64">
        <v>11731</v>
      </c>
      <c r="B6232" s="62">
        <v>43864</v>
      </c>
      <c r="C6232" s="63" t="s">
        <v>20721</v>
      </c>
      <c r="D6232" s="62">
        <v>43864</v>
      </c>
      <c r="E6232" s="63" t="s">
        <v>38</v>
      </c>
      <c r="F6232" s="63" t="s">
        <v>6456</v>
      </c>
      <c r="G6232" s="63" t="s">
        <v>20</v>
      </c>
      <c r="H6232" s="63" t="s">
        <v>189</v>
      </c>
      <c r="I6232" s="63" t="s">
        <v>21</v>
      </c>
      <c r="J6232" s="63" t="s">
        <v>20722</v>
      </c>
      <c r="K6232" s="63" t="s">
        <v>5490</v>
      </c>
      <c r="L6232" s="63" t="s">
        <v>14909</v>
      </c>
      <c r="M6232" s="63" t="s">
        <v>21</v>
      </c>
      <c r="O6232" s="108">
        <v>43873</v>
      </c>
      <c r="P6232" s="65" t="s">
        <v>21</v>
      </c>
      <c r="Q6232" s="66" t="b">
        <v>0</v>
      </c>
      <c r="R6232" s="22">
        <f t="shared" si="131"/>
        <v>9</v>
      </c>
    </row>
    <row r="6233" spans="1:19">
      <c r="A6233" s="64">
        <v>11732</v>
      </c>
      <c r="B6233" s="62">
        <v>43864</v>
      </c>
      <c r="C6233" s="63" t="s">
        <v>20723</v>
      </c>
      <c r="D6233" s="62">
        <v>43864</v>
      </c>
      <c r="E6233" s="63" t="s">
        <v>38</v>
      </c>
      <c r="F6233" s="63" t="s">
        <v>27</v>
      </c>
      <c r="G6233" s="63" t="s">
        <v>20</v>
      </c>
      <c r="H6233" s="63" t="s">
        <v>212</v>
      </c>
      <c r="I6233" s="63" t="s">
        <v>21</v>
      </c>
      <c r="J6233" s="63" t="s">
        <v>20724</v>
      </c>
      <c r="K6233" s="63" t="s">
        <v>20725</v>
      </c>
      <c r="L6233" s="63" t="s">
        <v>14909</v>
      </c>
      <c r="M6233" s="63" t="s">
        <v>21</v>
      </c>
      <c r="O6233" s="108">
        <v>43892</v>
      </c>
      <c r="P6233" s="65" t="s">
        <v>21</v>
      </c>
      <c r="Q6233" s="66" t="b">
        <v>0</v>
      </c>
      <c r="R6233" s="22">
        <f t="shared" si="131"/>
        <v>29</v>
      </c>
    </row>
    <row r="6234" spans="1:19">
      <c r="A6234" s="64">
        <v>11733</v>
      </c>
      <c r="B6234" s="62">
        <v>43865</v>
      </c>
      <c r="C6234" s="63" t="s">
        <v>20726</v>
      </c>
      <c r="D6234" s="62">
        <v>43861</v>
      </c>
      <c r="E6234" s="63" t="s">
        <v>20727</v>
      </c>
      <c r="F6234" s="63" t="s">
        <v>56</v>
      </c>
      <c r="G6234" s="63" t="s">
        <v>20</v>
      </c>
      <c r="H6234" s="63" t="s">
        <v>71</v>
      </c>
      <c r="I6234" s="63" t="s">
        <v>21</v>
      </c>
      <c r="J6234" s="63" t="s">
        <v>20728</v>
      </c>
      <c r="K6234" s="63" t="s">
        <v>13082</v>
      </c>
      <c r="L6234" s="63" t="s">
        <v>7167</v>
      </c>
      <c r="M6234" s="63" t="s">
        <v>1152</v>
      </c>
      <c r="O6234" s="90">
        <v>44573</v>
      </c>
      <c r="P6234" s="65" t="s">
        <v>21</v>
      </c>
      <c r="Q6234" s="66" t="b">
        <v>0</v>
      </c>
      <c r="R6234" s="22">
        <f t="shared" si="131"/>
        <v>707</v>
      </c>
      <c r="S6234" s="46" t="s">
        <v>21</v>
      </c>
    </row>
    <row r="6235" spans="1:19">
      <c r="A6235" s="64">
        <v>11735</v>
      </c>
      <c r="B6235" s="62">
        <v>43873</v>
      </c>
      <c r="C6235" s="63" t="s">
        <v>20731</v>
      </c>
      <c r="D6235" s="62">
        <v>43872</v>
      </c>
      <c r="E6235" s="63" t="s">
        <v>20732</v>
      </c>
      <c r="F6235" s="63" t="s">
        <v>20613</v>
      </c>
      <c r="G6235" s="63" t="s">
        <v>20</v>
      </c>
      <c r="H6235" s="63" t="s">
        <v>71</v>
      </c>
      <c r="I6235" s="63" t="s">
        <v>21</v>
      </c>
      <c r="J6235" s="63" t="s">
        <v>20733</v>
      </c>
      <c r="K6235" s="63" t="s">
        <v>20734</v>
      </c>
      <c r="L6235" s="63" t="s">
        <v>7167</v>
      </c>
      <c r="M6235" s="63" t="s">
        <v>21</v>
      </c>
      <c r="O6235" s="90">
        <v>44672</v>
      </c>
      <c r="P6235" s="65" t="s">
        <v>21</v>
      </c>
      <c r="Q6235" s="66" t="b">
        <v>0</v>
      </c>
      <c r="R6235" s="22">
        <f t="shared" si="131"/>
        <v>799</v>
      </c>
      <c r="S6235" s="46" t="s">
        <v>21</v>
      </c>
    </row>
    <row r="6236" spans="1:19">
      <c r="A6236" s="64">
        <v>11736</v>
      </c>
      <c r="B6236" s="62">
        <v>43873</v>
      </c>
      <c r="C6236" s="63" t="s">
        <v>20729</v>
      </c>
      <c r="D6236" s="62">
        <v>43872</v>
      </c>
      <c r="E6236" s="63" t="s">
        <v>38</v>
      </c>
      <c r="F6236" s="63" t="s">
        <v>1743</v>
      </c>
      <c r="G6236" s="63" t="s">
        <v>20</v>
      </c>
      <c r="H6236" s="63" t="s">
        <v>71</v>
      </c>
      <c r="I6236" s="63" t="s">
        <v>21</v>
      </c>
      <c r="J6236" s="63" t="s">
        <v>328</v>
      </c>
      <c r="K6236" s="63" t="s">
        <v>20730</v>
      </c>
      <c r="L6236" s="63" t="s">
        <v>14909</v>
      </c>
      <c r="M6236" s="63" t="s">
        <v>21</v>
      </c>
      <c r="O6236" s="108">
        <v>43948</v>
      </c>
      <c r="P6236" s="65" t="s">
        <v>21</v>
      </c>
      <c r="Q6236" s="66" t="b">
        <v>0</v>
      </c>
      <c r="R6236" s="22">
        <f t="shared" si="131"/>
        <v>76</v>
      </c>
    </row>
    <row r="6237" spans="1:19">
      <c r="A6237" s="64">
        <v>11737</v>
      </c>
      <c r="B6237" s="62">
        <v>43874</v>
      </c>
      <c r="C6237" s="63" t="s">
        <v>20735</v>
      </c>
      <c r="D6237" s="62">
        <v>43874</v>
      </c>
      <c r="E6237" s="63" t="s">
        <v>20736</v>
      </c>
      <c r="F6237" s="63" t="s">
        <v>124</v>
      </c>
      <c r="G6237" s="63" t="s">
        <v>20</v>
      </c>
      <c r="H6237" s="63" t="s">
        <v>71</v>
      </c>
      <c r="I6237" s="63" t="s">
        <v>21</v>
      </c>
      <c r="J6237" s="63" t="s">
        <v>20737</v>
      </c>
      <c r="K6237" s="63" t="s">
        <v>20738</v>
      </c>
      <c r="L6237" s="63" t="s">
        <v>14909</v>
      </c>
      <c r="M6237" s="63" t="s">
        <v>21</v>
      </c>
      <c r="O6237" s="108">
        <v>43913</v>
      </c>
      <c r="P6237" s="65" t="s">
        <v>21</v>
      </c>
      <c r="Q6237" s="66" t="b">
        <v>0</v>
      </c>
      <c r="R6237" s="22">
        <f t="shared" si="131"/>
        <v>40</v>
      </c>
    </row>
    <row r="6238" spans="1:19" ht="24">
      <c r="A6238" s="59">
        <v>11738</v>
      </c>
      <c r="B6238" s="60">
        <v>43874</v>
      </c>
      <c r="C6238" s="61" t="s">
        <v>20739</v>
      </c>
      <c r="D6238" s="60">
        <v>43868</v>
      </c>
      <c r="E6238" s="61" t="s">
        <v>20740</v>
      </c>
      <c r="F6238" s="61" t="s">
        <v>18753</v>
      </c>
      <c r="G6238" s="61" t="s">
        <v>20</v>
      </c>
      <c r="H6238" s="61" t="s">
        <v>71</v>
      </c>
      <c r="I6238" s="61" t="s">
        <v>21</v>
      </c>
      <c r="J6238" s="61" t="s">
        <v>20741</v>
      </c>
      <c r="K6238" s="61" t="s">
        <v>20742</v>
      </c>
      <c r="L6238" s="61" t="s">
        <v>21573</v>
      </c>
      <c r="M6238" s="61" t="s">
        <v>7167</v>
      </c>
      <c r="O6238" s="60">
        <v>45016</v>
      </c>
      <c r="P6238" s="61" t="s">
        <v>21</v>
      </c>
      <c r="Q6238" s="59" t="b">
        <v>0</v>
      </c>
      <c r="R6238" s="22">
        <f t="shared" si="131"/>
        <v>1143</v>
      </c>
      <c r="S6238" s="37" t="s">
        <v>21621</v>
      </c>
    </row>
    <row r="6239" spans="1:19" ht="48">
      <c r="A6239" s="59">
        <v>11739</v>
      </c>
      <c r="B6239" s="60">
        <v>43875</v>
      </c>
      <c r="C6239" s="61" t="s">
        <v>20746</v>
      </c>
      <c r="D6239" s="60">
        <v>43871</v>
      </c>
      <c r="E6239" s="61" t="s">
        <v>20747</v>
      </c>
      <c r="F6239" s="61" t="s">
        <v>2146</v>
      </c>
      <c r="G6239" s="61" t="s">
        <v>20</v>
      </c>
      <c r="H6239" s="61" t="s">
        <v>189</v>
      </c>
      <c r="I6239" s="61" t="s">
        <v>21</v>
      </c>
      <c r="J6239" s="61" t="s">
        <v>20748</v>
      </c>
      <c r="K6239" s="61" t="s">
        <v>14825</v>
      </c>
      <c r="L6239" s="61" t="s">
        <v>21573</v>
      </c>
      <c r="M6239" s="61" t="s">
        <v>4282</v>
      </c>
      <c r="O6239" s="60">
        <v>44951</v>
      </c>
      <c r="P6239" s="61" t="s">
        <v>21</v>
      </c>
      <c r="Q6239" s="59" t="b">
        <v>0</v>
      </c>
      <c r="R6239" s="22">
        <f t="shared" si="131"/>
        <v>1075</v>
      </c>
      <c r="S6239" s="37" t="s">
        <v>22144</v>
      </c>
    </row>
    <row r="6240" spans="1:19">
      <c r="A6240" s="64">
        <v>11740</v>
      </c>
      <c r="B6240" s="62">
        <v>43875</v>
      </c>
      <c r="C6240" s="63" t="s">
        <v>20743</v>
      </c>
      <c r="D6240" s="62">
        <v>43873</v>
      </c>
      <c r="E6240" s="63" t="s">
        <v>20744</v>
      </c>
      <c r="F6240" s="63" t="s">
        <v>7212</v>
      </c>
      <c r="G6240" s="63" t="s">
        <v>20</v>
      </c>
      <c r="H6240" s="63" t="s">
        <v>71</v>
      </c>
      <c r="I6240" s="63" t="s">
        <v>21</v>
      </c>
      <c r="J6240" s="63" t="s">
        <v>20745</v>
      </c>
      <c r="K6240" s="63" t="s">
        <v>14438</v>
      </c>
      <c r="L6240" s="63" t="s">
        <v>1946</v>
      </c>
      <c r="M6240" s="63" t="s">
        <v>21</v>
      </c>
      <c r="O6240" s="108">
        <v>43892</v>
      </c>
      <c r="P6240" s="65" t="s">
        <v>21</v>
      </c>
      <c r="Q6240" s="66" t="b">
        <v>0</v>
      </c>
      <c r="R6240" s="22">
        <f t="shared" si="131"/>
        <v>18</v>
      </c>
    </row>
    <row r="6241" spans="1:19">
      <c r="A6241" s="64">
        <v>11741</v>
      </c>
      <c r="B6241" s="62">
        <v>43880</v>
      </c>
      <c r="C6241" s="63" t="s">
        <v>20749</v>
      </c>
      <c r="D6241" s="62">
        <v>43879</v>
      </c>
      <c r="E6241" s="63" t="s">
        <v>20750</v>
      </c>
      <c r="F6241" s="63" t="s">
        <v>242</v>
      </c>
      <c r="G6241" s="63" t="s">
        <v>20</v>
      </c>
      <c r="H6241" s="63" t="s">
        <v>71</v>
      </c>
      <c r="I6241" s="63" t="s">
        <v>21</v>
      </c>
      <c r="J6241" s="63" t="s">
        <v>20751</v>
      </c>
      <c r="K6241" s="63" t="s">
        <v>20752</v>
      </c>
      <c r="L6241" s="63" t="s">
        <v>7167</v>
      </c>
      <c r="M6241" s="63" t="s">
        <v>21</v>
      </c>
      <c r="O6241" s="108">
        <v>43991</v>
      </c>
      <c r="P6241" s="65" t="s">
        <v>21</v>
      </c>
      <c r="Q6241" s="66" t="b">
        <v>0</v>
      </c>
      <c r="R6241" s="22">
        <f t="shared" si="131"/>
        <v>111</v>
      </c>
    </row>
    <row r="6242" spans="1:19">
      <c r="A6242" s="64">
        <v>11742</v>
      </c>
      <c r="B6242" s="62">
        <v>43885</v>
      </c>
      <c r="C6242" s="63" t="s">
        <v>20753</v>
      </c>
      <c r="D6242" s="62">
        <v>43873</v>
      </c>
      <c r="E6242" s="63" t="s">
        <v>20754</v>
      </c>
      <c r="F6242" s="63" t="s">
        <v>6372</v>
      </c>
      <c r="G6242" s="63" t="s">
        <v>20</v>
      </c>
      <c r="H6242" s="63" t="s">
        <v>71</v>
      </c>
      <c r="I6242" s="63" t="s">
        <v>21</v>
      </c>
      <c r="J6242" s="63" t="s">
        <v>20755</v>
      </c>
      <c r="K6242" s="63" t="s">
        <v>20756</v>
      </c>
      <c r="L6242" s="63" t="s">
        <v>7167</v>
      </c>
      <c r="M6242" s="63" t="s">
        <v>1152</v>
      </c>
      <c r="O6242" s="108">
        <v>44187</v>
      </c>
      <c r="P6242" s="65" t="s">
        <v>21</v>
      </c>
      <c r="Q6242" s="66" t="b">
        <v>0</v>
      </c>
      <c r="R6242" s="22">
        <f t="shared" si="131"/>
        <v>302</v>
      </c>
    </row>
    <row r="6243" spans="1:19">
      <c r="A6243" s="64">
        <v>11743</v>
      </c>
      <c r="B6243" s="62">
        <v>43893</v>
      </c>
      <c r="C6243" s="63" t="s">
        <v>20757</v>
      </c>
      <c r="D6243" s="62">
        <v>43885</v>
      </c>
      <c r="E6243" s="63" t="s">
        <v>38</v>
      </c>
      <c r="F6243" s="63" t="s">
        <v>10424</v>
      </c>
      <c r="G6243" s="63" t="s">
        <v>21</v>
      </c>
      <c r="H6243" s="63" t="s">
        <v>21</v>
      </c>
      <c r="I6243" s="63" t="s">
        <v>21</v>
      </c>
      <c r="J6243" s="63" t="s">
        <v>2542</v>
      </c>
      <c r="K6243" s="63" t="s">
        <v>20758</v>
      </c>
      <c r="L6243" s="63" t="s">
        <v>14909</v>
      </c>
      <c r="M6243" s="63" t="s">
        <v>21</v>
      </c>
      <c r="O6243" s="108">
        <v>43948</v>
      </c>
      <c r="P6243" s="65" t="s">
        <v>21</v>
      </c>
      <c r="Q6243" s="66" t="b">
        <v>0</v>
      </c>
      <c r="R6243" s="22">
        <f t="shared" si="131"/>
        <v>54</v>
      </c>
    </row>
    <row r="6244" spans="1:19" ht="24">
      <c r="A6244" s="59">
        <v>11744</v>
      </c>
      <c r="B6244" s="60">
        <v>43894</v>
      </c>
      <c r="C6244" s="61" t="s">
        <v>20759</v>
      </c>
      <c r="D6244" s="60">
        <v>43894</v>
      </c>
      <c r="E6244" s="61" t="s">
        <v>20760</v>
      </c>
      <c r="F6244" s="61" t="s">
        <v>2296</v>
      </c>
      <c r="G6244" s="61" t="s">
        <v>20</v>
      </c>
      <c r="H6244" s="61" t="s">
        <v>566</v>
      </c>
      <c r="I6244" s="61" t="s">
        <v>21</v>
      </c>
      <c r="J6244" s="61" t="s">
        <v>20761</v>
      </c>
      <c r="K6244" s="61" t="s">
        <v>20762</v>
      </c>
      <c r="L6244" s="61" t="s">
        <v>21142</v>
      </c>
      <c r="M6244" s="61" t="s">
        <v>4282</v>
      </c>
      <c r="O6244" s="60">
        <v>45064</v>
      </c>
      <c r="P6244" s="61" t="s">
        <v>21</v>
      </c>
      <c r="Q6244" s="59" t="b">
        <v>0</v>
      </c>
      <c r="R6244" s="22">
        <f t="shared" si="131"/>
        <v>1170</v>
      </c>
      <c r="S6244" s="37" t="s">
        <v>22145</v>
      </c>
    </row>
    <row r="6245" spans="1:19">
      <c r="A6245" s="64">
        <v>11745</v>
      </c>
      <c r="B6245" s="62">
        <v>43894</v>
      </c>
      <c r="C6245" s="63" t="s">
        <v>20763</v>
      </c>
      <c r="D6245" s="62">
        <v>43894</v>
      </c>
      <c r="E6245" s="63" t="s">
        <v>20764</v>
      </c>
      <c r="F6245" s="63" t="s">
        <v>741</v>
      </c>
      <c r="G6245" s="63" t="s">
        <v>20</v>
      </c>
      <c r="H6245" s="63" t="s">
        <v>71</v>
      </c>
      <c r="I6245" s="63" t="s">
        <v>21</v>
      </c>
      <c r="J6245" s="63" t="s">
        <v>20765</v>
      </c>
      <c r="K6245" s="63" t="s">
        <v>6081</v>
      </c>
      <c r="L6245" s="63" t="s">
        <v>14909</v>
      </c>
      <c r="M6245" s="63" t="s">
        <v>21</v>
      </c>
      <c r="O6245" s="108">
        <v>44253</v>
      </c>
      <c r="P6245" s="65" t="s">
        <v>21</v>
      </c>
      <c r="Q6245" s="66" t="b">
        <v>0</v>
      </c>
      <c r="R6245" s="22">
        <f t="shared" si="131"/>
        <v>356</v>
      </c>
    </row>
    <row r="6246" spans="1:19">
      <c r="A6246" s="64">
        <v>11749</v>
      </c>
      <c r="B6246" s="62">
        <v>43896</v>
      </c>
      <c r="C6246" s="63" t="s">
        <v>20766</v>
      </c>
      <c r="D6246" s="62">
        <v>43896</v>
      </c>
      <c r="E6246" s="63" t="s">
        <v>38</v>
      </c>
      <c r="F6246" s="63" t="s">
        <v>19</v>
      </c>
      <c r="G6246" s="63" t="s">
        <v>20</v>
      </c>
      <c r="H6246" s="63" t="s">
        <v>71</v>
      </c>
      <c r="I6246" s="63" t="s">
        <v>21</v>
      </c>
      <c r="J6246" s="63" t="s">
        <v>20767</v>
      </c>
      <c r="K6246" s="63" t="s">
        <v>9348</v>
      </c>
      <c r="L6246" s="63" t="s">
        <v>14909</v>
      </c>
      <c r="M6246" s="63" t="s">
        <v>21</v>
      </c>
      <c r="O6246" s="108">
        <v>43978</v>
      </c>
      <c r="P6246" s="65" t="s">
        <v>21</v>
      </c>
      <c r="Q6246" s="66" t="b">
        <v>0</v>
      </c>
      <c r="R6246" s="22">
        <f t="shared" si="131"/>
        <v>82</v>
      </c>
    </row>
    <row r="6247" spans="1:19">
      <c r="A6247" s="64">
        <v>11750</v>
      </c>
      <c r="B6247" s="62">
        <v>43900</v>
      </c>
      <c r="C6247" s="63" t="s">
        <v>20768</v>
      </c>
      <c r="D6247" s="62">
        <v>43899</v>
      </c>
      <c r="E6247" s="63" t="s">
        <v>20769</v>
      </c>
      <c r="F6247" s="63" t="s">
        <v>350</v>
      </c>
      <c r="G6247" s="63" t="s">
        <v>20</v>
      </c>
      <c r="H6247" s="63" t="s">
        <v>71</v>
      </c>
      <c r="I6247" s="63" t="s">
        <v>21</v>
      </c>
      <c r="J6247" s="63" t="s">
        <v>20770</v>
      </c>
      <c r="K6247" s="63" t="s">
        <v>6081</v>
      </c>
      <c r="L6247" s="63" t="s">
        <v>14909</v>
      </c>
      <c r="M6247" s="63" t="s">
        <v>21</v>
      </c>
      <c r="O6247" s="108">
        <v>44104</v>
      </c>
      <c r="P6247" s="65" t="s">
        <v>21</v>
      </c>
      <c r="Q6247" s="66" t="b">
        <v>0</v>
      </c>
      <c r="R6247" s="22">
        <f t="shared" ref="R6247:R6310" si="132">IF(O6247=" ", " ", INT(YEARFRAC(O6247, B6247)*365))</f>
        <v>202</v>
      </c>
    </row>
    <row r="6248" spans="1:19">
      <c r="A6248" s="64">
        <v>11751</v>
      </c>
      <c r="B6248" s="62">
        <v>43900</v>
      </c>
      <c r="C6248" s="63" t="s">
        <v>20771</v>
      </c>
      <c r="D6248" s="62">
        <v>43900</v>
      </c>
      <c r="E6248" s="63" t="s">
        <v>20772</v>
      </c>
      <c r="F6248" s="63" t="s">
        <v>19</v>
      </c>
      <c r="G6248" s="63" t="s">
        <v>20</v>
      </c>
      <c r="H6248" s="63" t="s">
        <v>71</v>
      </c>
      <c r="I6248" s="63" t="s">
        <v>21</v>
      </c>
      <c r="J6248" s="63" t="s">
        <v>20773</v>
      </c>
      <c r="K6248" s="63" t="s">
        <v>6081</v>
      </c>
      <c r="L6248" s="63" t="s">
        <v>14909</v>
      </c>
      <c r="M6248" s="63" t="s">
        <v>21</v>
      </c>
      <c r="O6248" s="108">
        <v>44253</v>
      </c>
      <c r="P6248" s="65" t="s">
        <v>21</v>
      </c>
      <c r="Q6248" s="66" t="b">
        <v>0</v>
      </c>
      <c r="R6248" s="22">
        <f t="shared" si="132"/>
        <v>350</v>
      </c>
    </row>
    <row r="6249" spans="1:19">
      <c r="A6249" s="64">
        <v>11752</v>
      </c>
      <c r="B6249" s="62">
        <v>43901</v>
      </c>
      <c r="C6249" s="63" t="s">
        <v>20776</v>
      </c>
      <c r="D6249" s="62">
        <v>43899</v>
      </c>
      <c r="E6249" s="63" t="s">
        <v>20777</v>
      </c>
      <c r="F6249" s="63" t="s">
        <v>124</v>
      </c>
      <c r="G6249" s="63" t="s">
        <v>20</v>
      </c>
      <c r="H6249" s="63" t="s">
        <v>71</v>
      </c>
      <c r="I6249" s="63" t="s">
        <v>21</v>
      </c>
      <c r="J6249" s="63" t="s">
        <v>20778</v>
      </c>
      <c r="K6249" s="63" t="s">
        <v>20350</v>
      </c>
      <c r="L6249" s="63" t="s">
        <v>4282</v>
      </c>
      <c r="M6249" s="63" t="s">
        <v>1946</v>
      </c>
      <c r="O6249" s="90">
        <v>44651</v>
      </c>
      <c r="P6249" s="65" t="s">
        <v>21</v>
      </c>
      <c r="Q6249" s="66" t="b">
        <v>0</v>
      </c>
      <c r="R6249" s="22">
        <f t="shared" si="132"/>
        <v>750</v>
      </c>
      <c r="S6249" s="46" t="s">
        <v>21</v>
      </c>
    </row>
    <row r="6250" spans="1:19">
      <c r="A6250" s="64">
        <v>11753</v>
      </c>
      <c r="B6250" s="62">
        <v>43901</v>
      </c>
      <c r="C6250" s="63" t="s">
        <v>20774</v>
      </c>
      <c r="D6250" s="62">
        <v>43901</v>
      </c>
      <c r="E6250" s="63" t="s">
        <v>1928</v>
      </c>
      <c r="F6250" s="63" t="s">
        <v>1743</v>
      </c>
      <c r="G6250" s="63" t="s">
        <v>20</v>
      </c>
      <c r="H6250" s="63" t="s">
        <v>71</v>
      </c>
      <c r="I6250" s="63" t="s">
        <v>21</v>
      </c>
      <c r="J6250" s="63" t="s">
        <v>13931</v>
      </c>
      <c r="K6250" s="63" t="s">
        <v>20775</v>
      </c>
      <c r="L6250" s="63" t="s">
        <v>14909</v>
      </c>
      <c r="M6250" s="63" t="s">
        <v>21</v>
      </c>
      <c r="O6250" s="108">
        <v>43913</v>
      </c>
      <c r="P6250" s="65" t="s">
        <v>21</v>
      </c>
      <c r="Q6250" s="66" t="b">
        <v>0</v>
      </c>
      <c r="R6250" s="22">
        <f t="shared" si="132"/>
        <v>12</v>
      </c>
    </row>
    <row r="6251" spans="1:19" ht="24">
      <c r="A6251" s="59">
        <v>11754</v>
      </c>
      <c r="B6251" s="60">
        <v>43902</v>
      </c>
      <c r="C6251" s="61" t="s">
        <v>20779</v>
      </c>
      <c r="D6251" s="60">
        <v>43901</v>
      </c>
      <c r="E6251" s="61" t="s">
        <v>20780</v>
      </c>
      <c r="F6251" s="61" t="s">
        <v>149</v>
      </c>
      <c r="G6251" s="61" t="s">
        <v>20</v>
      </c>
      <c r="H6251" s="61" t="s">
        <v>71</v>
      </c>
      <c r="I6251" s="61" t="s">
        <v>21</v>
      </c>
      <c r="J6251" s="61" t="s">
        <v>20781</v>
      </c>
      <c r="K6251" s="61" t="s">
        <v>9348</v>
      </c>
      <c r="L6251" s="61" t="s">
        <v>21142</v>
      </c>
      <c r="M6251" s="61" t="s">
        <v>4282</v>
      </c>
      <c r="O6251" s="60">
        <v>44960</v>
      </c>
      <c r="P6251" s="61" t="s">
        <v>21</v>
      </c>
      <c r="Q6251" s="59" t="b">
        <v>0</v>
      </c>
      <c r="R6251" s="22">
        <f t="shared" si="132"/>
        <v>1055</v>
      </c>
      <c r="S6251" s="37" t="s">
        <v>21621</v>
      </c>
    </row>
    <row r="6252" spans="1:19">
      <c r="A6252" s="64">
        <v>11755</v>
      </c>
      <c r="B6252" s="62">
        <v>43902</v>
      </c>
      <c r="C6252" s="63" t="s">
        <v>20782</v>
      </c>
      <c r="D6252" s="62">
        <v>43901</v>
      </c>
      <c r="E6252" s="63" t="s">
        <v>20783</v>
      </c>
      <c r="F6252" s="63" t="s">
        <v>149</v>
      </c>
      <c r="G6252" s="63" t="s">
        <v>20</v>
      </c>
      <c r="H6252" s="63" t="s">
        <v>71</v>
      </c>
      <c r="I6252" s="63" t="s">
        <v>21</v>
      </c>
      <c r="J6252" s="63" t="s">
        <v>20781</v>
      </c>
      <c r="K6252" s="63" t="s">
        <v>9348</v>
      </c>
      <c r="L6252" s="63" t="s">
        <v>21142</v>
      </c>
      <c r="M6252" s="63" t="s">
        <v>4282</v>
      </c>
      <c r="O6252" s="90">
        <v>44676</v>
      </c>
      <c r="P6252" s="65" t="s">
        <v>21</v>
      </c>
      <c r="Q6252" s="66" t="b">
        <v>0</v>
      </c>
      <c r="R6252" s="22">
        <f t="shared" si="132"/>
        <v>773</v>
      </c>
      <c r="S6252" s="46" t="s">
        <v>21</v>
      </c>
    </row>
    <row r="6253" spans="1:19">
      <c r="A6253" s="64">
        <v>11756</v>
      </c>
      <c r="B6253" s="62">
        <v>43956</v>
      </c>
      <c r="C6253" s="63" t="s">
        <v>20784</v>
      </c>
      <c r="D6253" s="62">
        <v>43955</v>
      </c>
      <c r="E6253" s="63" t="s">
        <v>1928</v>
      </c>
      <c r="F6253" s="63" t="s">
        <v>1743</v>
      </c>
      <c r="G6253" s="63" t="s">
        <v>20</v>
      </c>
      <c r="H6253" s="63" t="s">
        <v>71</v>
      </c>
      <c r="I6253" s="63" t="s">
        <v>21</v>
      </c>
      <c r="J6253" s="63" t="s">
        <v>20750</v>
      </c>
      <c r="K6253" s="63" t="s">
        <v>20785</v>
      </c>
      <c r="L6253" s="63" t="s">
        <v>7167</v>
      </c>
      <c r="M6253" s="63" t="s">
        <v>21</v>
      </c>
      <c r="O6253" s="108">
        <v>43964</v>
      </c>
      <c r="P6253" s="65" t="s">
        <v>21</v>
      </c>
      <c r="Q6253" s="66" t="b">
        <v>0</v>
      </c>
      <c r="R6253" s="22">
        <f t="shared" si="132"/>
        <v>8</v>
      </c>
    </row>
    <row r="6254" spans="1:19">
      <c r="A6254" s="64">
        <v>11758</v>
      </c>
      <c r="B6254" s="62">
        <v>43959</v>
      </c>
      <c r="C6254" s="63" t="s">
        <v>20786</v>
      </c>
      <c r="D6254" s="62">
        <v>43959</v>
      </c>
      <c r="E6254" s="63" t="s">
        <v>38</v>
      </c>
      <c r="F6254" s="63" t="s">
        <v>27</v>
      </c>
      <c r="G6254" s="63" t="s">
        <v>20</v>
      </c>
      <c r="H6254" s="63" t="s">
        <v>71</v>
      </c>
      <c r="I6254" s="63" t="s">
        <v>21</v>
      </c>
      <c r="J6254" s="63" t="s">
        <v>20787</v>
      </c>
      <c r="K6254" s="63" t="s">
        <v>14825</v>
      </c>
      <c r="L6254" s="63" t="s">
        <v>7167</v>
      </c>
      <c r="M6254" s="63" t="s">
        <v>21</v>
      </c>
      <c r="O6254" s="108">
        <v>43962</v>
      </c>
      <c r="P6254" s="65" t="s">
        <v>21</v>
      </c>
      <c r="Q6254" s="66" t="b">
        <v>0</v>
      </c>
      <c r="R6254" s="22">
        <f t="shared" si="132"/>
        <v>3</v>
      </c>
    </row>
    <row r="6255" spans="1:19">
      <c r="A6255" s="64">
        <v>11760</v>
      </c>
      <c r="B6255" s="62">
        <v>43962</v>
      </c>
      <c r="C6255" s="63" t="s">
        <v>20788</v>
      </c>
      <c r="D6255" s="62">
        <v>43941</v>
      </c>
      <c r="E6255" s="63" t="s">
        <v>1928</v>
      </c>
      <c r="F6255" s="63" t="s">
        <v>1743</v>
      </c>
      <c r="G6255" s="63" t="s">
        <v>20</v>
      </c>
      <c r="H6255" s="63" t="s">
        <v>71</v>
      </c>
      <c r="I6255" s="63" t="s">
        <v>21</v>
      </c>
      <c r="J6255" s="63" t="s">
        <v>20789</v>
      </c>
      <c r="K6255" s="63" t="s">
        <v>20790</v>
      </c>
      <c r="L6255" s="63" t="s">
        <v>7167</v>
      </c>
      <c r="M6255" s="63" t="s">
        <v>21</v>
      </c>
      <c r="O6255" s="108">
        <v>43964</v>
      </c>
      <c r="P6255" s="65" t="s">
        <v>21</v>
      </c>
      <c r="Q6255" s="66" t="b">
        <v>0</v>
      </c>
      <c r="R6255" s="22">
        <f t="shared" si="132"/>
        <v>2</v>
      </c>
    </row>
    <row r="6256" spans="1:19" ht="24">
      <c r="A6256" s="64">
        <v>11761</v>
      </c>
      <c r="B6256" s="62">
        <v>43969</v>
      </c>
      <c r="C6256" s="63" t="s">
        <v>20797</v>
      </c>
      <c r="D6256" s="62">
        <v>43966</v>
      </c>
      <c r="E6256" s="63" t="s">
        <v>20798</v>
      </c>
      <c r="F6256" s="63" t="s">
        <v>149</v>
      </c>
      <c r="G6256" s="63" t="s">
        <v>20</v>
      </c>
      <c r="H6256" s="63" t="s">
        <v>71</v>
      </c>
      <c r="I6256" s="63" t="s">
        <v>21</v>
      </c>
      <c r="J6256" s="63" t="s">
        <v>20799</v>
      </c>
      <c r="K6256" s="63" t="s">
        <v>14825</v>
      </c>
      <c r="L6256" s="63" t="s">
        <v>7167</v>
      </c>
      <c r="M6256" s="63" t="s">
        <v>1152</v>
      </c>
      <c r="O6256" s="90">
        <v>44907</v>
      </c>
      <c r="P6256" s="65" t="s">
        <v>21</v>
      </c>
      <c r="Q6256" s="66" t="b">
        <v>0</v>
      </c>
      <c r="R6256" s="22">
        <f t="shared" si="132"/>
        <v>936</v>
      </c>
      <c r="S6256" s="46" t="s">
        <v>21662</v>
      </c>
    </row>
    <row r="6257" spans="1:19" ht="24">
      <c r="A6257" s="64">
        <v>11762</v>
      </c>
      <c r="B6257" s="62">
        <v>43969</v>
      </c>
      <c r="C6257" s="63" t="s">
        <v>20791</v>
      </c>
      <c r="D6257" s="62">
        <v>43965</v>
      </c>
      <c r="E6257" s="63" t="s">
        <v>1928</v>
      </c>
      <c r="F6257" s="63" t="s">
        <v>1743</v>
      </c>
      <c r="G6257" s="63" t="s">
        <v>20</v>
      </c>
      <c r="H6257" s="63" t="s">
        <v>71</v>
      </c>
      <c r="I6257" s="63" t="s">
        <v>21</v>
      </c>
      <c r="J6257" s="63" t="s">
        <v>20792</v>
      </c>
      <c r="K6257" s="63" t="s">
        <v>21</v>
      </c>
      <c r="L6257" s="63" t="s">
        <v>14909</v>
      </c>
      <c r="M6257" s="63" t="s">
        <v>21</v>
      </c>
      <c r="O6257" s="108">
        <v>43970</v>
      </c>
      <c r="P6257" s="65" t="s">
        <v>21</v>
      </c>
      <c r="Q6257" s="66" t="b">
        <v>0</v>
      </c>
      <c r="R6257" s="22">
        <f t="shared" si="132"/>
        <v>1</v>
      </c>
    </row>
    <row r="6258" spans="1:19">
      <c r="A6258" s="64">
        <v>11763</v>
      </c>
      <c r="B6258" s="62">
        <v>43969</v>
      </c>
      <c r="C6258" s="63" t="s">
        <v>20793</v>
      </c>
      <c r="D6258" s="62">
        <v>43969</v>
      </c>
      <c r="E6258" s="63" t="s">
        <v>20794</v>
      </c>
      <c r="F6258" s="63" t="s">
        <v>2296</v>
      </c>
      <c r="G6258" s="63" t="s">
        <v>20</v>
      </c>
      <c r="H6258" s="63" t="s">
        <v>566</v>
      </c>
      <c r="I6258" s="63" t="s">
        <v>21</v>
      </c>
      <c r="J6258" s="63" t="s">
        <v>20795</v>
      </c>
      <c r="K6258" s="63" t="s">
        <v>20796</v>
      </c>
      <c r="L6258" s="63" t="s">
        <v>4282</v>
      </c>
      <c r="M6258" s="63" t="s">
        <v>21</v>
      </c>
      <c r="O6258" s="108">
        <v>44022</v>
      </c>
      <c r="P6258" s="65" t="s">
        <v>21</v>
      </c>
      <c r="Q6258" s="66" t="b">
        <v>0</v>
      </c>
      <c r="R6258" s="22">
        <f t="shared" si="132"/>
        <v>52</v>
      </c>
    </row>
    <row r="6259" spans="1:19">
      <c r="A6259" s="64">
        <v>11764</v>
      </c>
      <c r="B6259" s="62">
        <v>43983</v>
      </c>
      <c r="C6259" s="63" t="s">
        <v>20801</v>
      </c>
      <c r="D6259" s="62">
        <v>43978</v>
      </c>
      <c r="E6259" s="63" t="s">
        <v>20802</v>
      </c>
      <c r="F6259" s="63" t="s">
        <v>19507</v>
      </c>
      <c r="G6259" s="63" t="s">
        <v>20</v>
      </c>
      <c r="H6259" s="63" t="s">
        <v>71</v>
      </c>
      <c r="I6259" s="63" t="s">
        <v>21</v>
      </c>
      <c r="J6259" s="63" t="s">
        <v>19430</v>
      </c>
      <c r="K6259" s="63" t="s">
        <v>20803</v>
      </c>
      <c r="L6259" s="63" t="s">
        <v>4282</v>
      </c>
      <c r="M6259" s="63" t="s">
        <v>21</v>
      </c>
      <c r="O6259" s="108">
        <v>44043</v>
      </c>
      <c r="P6259" s="65" t="s">
        <v>21</v>
      </c>
      <c r="Q6259" s="66" t="b">
        <v>0</v>
      </c>
      <c r="R6259" s="22">
        <f t="shared" si="132"/>
        <v>60</v>
      </c>
    </row>
    <row r="6260" spans="1:19">
      <c r="A6260" s="64">
        <v>11765</v>
      </c>
      <c r="B6260" s="62">
        <v>43983</v>
      </c>
      <c r="C6260" s="63" t="s">
        <v>20800</v>
      </c>
      <c r="D6260" s="62">
        <v>43983</v>
      </c>
      <c r="E6260" s="63" t="s">
        <v>38</v>
      </c>
      <c r="F6260" s="63" t="s">
        <v>124</v>
      </c>
      <c r="G6260" s="63" t="s">
        <v>20</v>
      </c>
      <c r="H6260" s="63" t="s">
        <v>71</v>
      </c>
      <c r="I6260" s="63" t="s">
        <v>21</v>
      </c>
      <c r="J6260" s="63" t="s">
        <v>18547</v>
      </c>
      <c r="K6260" s="63" t="s">
        <v>9348</v>
      </c>
      <c r="L6260" s="63" t="s">
        <v>14909</v>
      </c>
      <c r="M6260" s="63" t="s">
        <v>21</v>
      </c>
      <c r="O6260" s="108">
        <v>44026</v>
      </c>
      <c r="P6260" s="65" t="s">
        <v>21</v>
      </c>
      <c r="Q6260" s="66" t="b">
        <v>0</v>
      </c>
      <c r="R6260" s="22">
        <f t="shared" si="132"/>
        <v>43</v>
      </c>
    </row>
    <row r="6261" spans="1:19" ht="24">
      <c r="A6261" s="59">
        <v>11768</v>
      </c>
      <c r="B6261" s="60">
        <v>44008</v>
      </c>
      <c r="C6261" s="61" t="s">
        <v>20804</v>
      </c>
      <c r="D6261" s="60">
        <v>44006</v>
      </c>
      <c r="E6261" s="61" t="s">
        <v>20805</v>
      </c>
      <c r="F6261" s="61" t="s">
        <v>1537</v>
      </c>
      <c r="G6261" s="61" t="s">
        <v>20</v>
      </c>
      <c r="H6261" s="61" t="s">
        <v>71</v>
      </c>
      <c r="I6261" s="61" t="s">
        <v>21</v>
      </c>
      <c r="J6261" s="61" t="s">
        <v>20806</v>
      </c>
      <c r="K6261" s="61" t="s">
        <v>9348</v>
      </c>
      <c r="L6261" s="61" t="s">
        <v>7167</v>
      </c>
      <c r="M6261" s="61" t="s">
        <v>21</v>
      </c>
      <c r="O6261" s="60">
        <v>44959</v>
      </c>
      <c r="P6261" s="61" t="s">
        <v>21</v>
      </c>
      <c r="Q6261" s="59" t="b">
        <v>0</v>
      </c>
      <c r="R6261" s="22">
        <f t="shared" si="132"/>
        <v>949</v>
      </c>
      <c r="S6261" s="37" t="s">
        <v>21621</v>
      </c>
    </row>
    <row r="6262" spans="1:19">
      <c r="A6262" s="64">
        <v>11769</v>
      </c>
      <c r="B6262" s="62">
        <v>44008</v>
      </c>
      <c r="C6262" s="63" t="s">
        <v>20807</v>
      </c>
      <c r="D6262" s="62">
        <v>44008</v>
      </c>
      <c r="E6262" s="63" t="s">
        <v>20808</v>
      </c>
      <c r="F6262" s="63" t="s">
        <v>211</v>
      </c>
      <c r="G6262" s="63" t="s">
        <v>20</v>
      </c>
      <c r="H6262" s="63" t="s">
        <v>212</v>
      </c>
      <c r="I6262" s="63" t="s">
        <v>21</v>
      </c>
      <c r="J6262" s="63" t="s">
        <v>19052</v>
      </c>
      <c r="K6262" s="63" t="s">
        <v>19315</v>
      </c>
      <c r="L6262" s="63" t="s">
        <v>14909</v>
      </c>
      <c r="M6262" s="63" t="s">
        <v>21</v>
      </c>
      <c r="O6262" s="108">
        <v>44217</v>
      </c>
      <c r="P6262" s="65" t="s">
        <v>21</v>
      </c>
      <c r="Q6262" s="66" t="b">
        <v>0</v>
      </c>
      <c r="R6262" s="22">
        <f t="shared" si="132"/>
        <v>207</v>
      </c>
    </row>
    <row r="6263" spans="1:19">
      <c r="A6263" s="64">
        <v>11770</v>
      </c>
      <c r="B6263" s="62">
        <v>44011</v>
      </c>
      <c r="C6263" s="63" t="s">
        <v>20809</v>
      </c>
      <c r="D6263" s="62">
        <v>44008</v>
      </c>
      <c r="E6263" s="63" t="s">
        <v>20810</v>
      </c>
      <c r="F6263" s="63" t="s">
        <v>8395</v>
      </c>
      <c r="G6263" s="63" t="s">
        <v>20</v>
      </c>
      <c r="H6263" s="63" t="s">
        <v>566</v>
      </c>
      <c r="I6263" s="63" t="s">
        <v>21</v>
      </c>
      <c r="J6263" s="63" t="s">
        <v>20811</v>
      </c>
      <c r="K6263" s="63" t="s">
        <v>6081</v>
      </c>
      <c r="L6263" s="63" t="s">
        <v>14909</v>
      </c>
      <c r="M6263" s="63" t="s">
        <v>21</v>
      </c>
      <c r="O6263" s="108">
        <v>44267</v>
      </c>
      <c r="P6263" s="65" t="s">
        <v>21</v>
      </c>
      <c r="Q6263" s="66" t="b">
        <v>0</v>
      </c>
      <c r="R6263" s="22">
        <f t="shared" si="132"/>
        <v>256</v>
      </c>
    </row>
    <row r="6264" spans="1:19" ht="24">
      <c r="A6264" s="59">
        <v>11771</v>
      </c>
      <c r="B6264" s="60">
        <v>44013</v>
      </c>
      <c r="C6264" s="61" t="s">
        <v>20812</v>
      </c>
      <c r="D6264" s="60">
        <v>44006</v>
      </c>
      <c r="E6264" s="61" t="s">
        <v>20813</v>
      </c>
      <c r="F6264" s="61" t="s">
        <v>19</v>
      </c>
      <c r="G6264" s="61" t="s">
        <v>20</v>
      </c>
      <c r="H6264" s="61" t="s">
        <v>71</v>
      </c>
      <c r="I6264" s="61" t="s">
        <v>21</v>
      </c>
      <c r="J6264" s="61" t="s">
        <v>20814</v>
      </c>
      <c r="K6264" s="61" t="s">
        <v>9348</v>
      </c>
      <c r="L6264" s="61" t="s">
        <v>7167</v>
      </c>
      <c r="M6264" s="61" t="s">
        <v>4282</v>
      </c>
      <c r="O6264" s="60">
        <v>45216</v>
      </c>
      <c r="P6264" s="61" t="s">
        <v>21</v>
      </c>
      <c r="Q6264" s="59" t="b">
        <v>0</v>
      </c>
      <c r="R6264" s="22">
        <f t="shared" si="132"/>
        <v>1202</v>
      </c>
      <c r="S6264" s="37" t="s">
        <v>22146</v>
      </c>
    </row>
    <row r="6265" spans="1:19">
      <c r="A6265" s="64">
        <v>11772</v>
      </c>
      <c r="B6265" s="62">
        <v>44018</v>
      </c>
      <c r="C6265" s="63" t="s">
        <v>20818</v>
      </c>
      <c r="D6265" s="62">
        <v>44018</v>
      </c>
      <c r="E6265" s="63" t="s">
        <v>38</v>
      </c>
      <c r="F6265" s="63" t="s">
        <v>2882</v>
      </c>
      <c r="G6265" s="63" t="s">
        <v>20</v>
      </c>
      <c r="H6265" s="63" t="s">
        <v>566</v>
      </c>
      <c r="I6265" s="63" t="s">
        <v>21</v>
      </c>
      <c r="J6265" s="63" t="s">
        <v>20819</v>
      </c>
      <c r="K6265" s="63" t="s">
        <v>20820</v>
      </c>
      <c r="L6265" s="63" t="s">
        <v>14909</v>
      </c>
      <c r="M6265" s="63" t="s">
        <v>21</v>
      </c>
      <c r="O6265" s="108">
        <v>44033</v>
      </c>
      <c r="P6265" s="65" t="s">
        <v>21</v>
      </c>
      <c r="Q6265" s="66" t="b">
        <v>0</v>
      </c>
      <c r="R6265" s="22">
        <f t="shared" si="132"/>
        <v>15</v>
      </c>
    </row>
    <row r="6266" spans="1:19">
      <c r="A6266" s="64">
        <v>11773</v>
      </c>
      <c r="B6266" s="62">
        <v>44018</v>
      </c>
      <c r="C6266" s="63" t="s">
        <v>20815</v>
      </c>
      <c r="D6266" s="62">
        <v>44018</v>
      </c>
      <c r="E6266" s="63" t="s">
        <v>38</v>
      </c>
      <c r="F6266" s="63" t="s">
        <v>1771</v>
      </c>
      <c r="G6266" s="63" t="s">
        <v>20</v>
      </c>
      <c r="H6266" s="63" t="s">
        <v>189</v>
      </c>
      <c r="I6266" s="63" t="s">
        <v>21</v>
      </c>
      <c r="J6266" s="63" t="s">
        <v>20816</v>
      </c>
      <c r="K6266" s="63" t="s">
        <v>20817</v>
      </c>
      <c r="L6266" s="63" t="s">
        <v>7167</v>
      </c>
      <c r="M6266" s="63" t="s">
        <v>21</v>
      </c>
      <c r="O6266" s="108">
        <v>44019</v>
      </c>
      <c r="P6266" s="65" t="s">
        <v>21</v>
      </c>
      <c r="Q6266" s="66" t="b">
        <v>0</v>
      </c>
      <c r="R6266" s="22">
        <f t="shared" si="132"/>
        <v>1</v>
      </c>
    </row>
    <row r="6267" spans="1:19">
      <c r="A6267" s="64">
        <v>11774</v>
      </c>
      <c r="B6267" s="62">
        <v>44020</v>
      </c>
      <c r="C6267" s="63" t="s">
        <v>20821</v>
      </c>
      <c r="D6267" s="62">
        <v>44020</v>
      </c>
      <c r="E6267" s="63" t="s">
        <v>38</v>
      </c>
      <c r="F6267" s="63" t="s">
        <v>124</v>
      </c>
      <c r="G6267" s="63" t="s">
        <v>20</v>
      </c>
      <c r="H6267" s="63" t="s">
        <v>71</v>
      </c>
      <c r="I6267" s="63" t="s">
        <v>21</v>
      </c>
      <c r="J6267" s="63" t="s">
        <v>1559</v>
      </c>
      <c r="K6267" s="63" t="s">
        <v>20822</v>
      </c>
      <c r="L6267" s="63" t="s">
        <v>14909</v>
      </c>
      <c r="M6267" s="63" t="s">
        <v>21</v>
      </c>
      <c r="O6267" s="108">
        <v>44026</v>
      </c>
      <c r="P6267" s="65" t="s">
        <v>21</v>
      </c>
      <c r="Q6267" s="66" t="b">
        <v>0</v>
      </c>
      <c r="R6267" s="22">
        <f t="shared" si="132"/>
        <v>6</v>
      </c>
    </row>
    <row r="6268" spans="1:19">
      <c r="A6268" s="64">
        <v>11775</v>
      </c>
      <c r="B6268" s="62">
        <v>44021</v>
      </c>
      <c r="C6268" s="63" t="s">
        <v>20823</v>
      </c>
      <c r="D6268" s="62">
        <v>44021</v>
      </c>
      <c r="E6268" s="63" t="s">
        <v>38</v>
      </c>
      <c r="F6268" s="63" t="s">
        <v>733</v>
      </c>
      <c r="G6268" s="63" t="s">
        <v>20</v>
      </c>
      <c r="H6268" s="63" t="s">
        <v>71</v>
      </c>
      <c r="I6268" s="63" t="s">
        <v>21</v>
      </c>
      <c r="J6268" s="63" t="s">
        <v>20824</v>
      </c>
      <c r="K6268" s="63" t="s">
        <v>20576</v>
      </c>
      <c r="L6268" s="63" t="s">
        <v>14909</v>
      </c>
      <c r="M6268" s="63" t="s">
        <v>21</v>
      </c>
      <c r="O6268" s="108">
        <v>44126</v>
      </c>
      <c r="P6268" s="65" t="s">
        <v>21</v>
      </c>
      <c r="Q6268" s="66" t="b">
        <v>0</v>
      </c>
      <c r="R6268" s="22">
        <f t="shared" si="132"/>
        <v>104</v>
      </c>
    </row>
    <row r="6269" spans="1:19" ht="24">
      <c r="A6269" s="59">
        <v>11776</v>
      </c>
      <c r="B6269" s="60">
        <v>44026</v>
      </c>
      <c r="C6269" s="61" t="s">
        <v>20825</v>
      </c>
      <c r="D6269" s="60">
        <v>44026</v>
      </c>
      <c r="E6269" s="61" t="s">
        <v>20826</v>
      </c>
      <c r="F6269" s="61" t="s">
        <v>5091</v>
      </c>
      <c r="G6269" s="61" t="s">
        <v>20</v>
      </c>
      <c r="H6269" s="61" t="s">
        <v>189</v>
      </c>
      <c r="I6269" s="61" t="s">
        <v>21</v>
      </c>
      <c r="J6269" s="61" t="s">
        <v>20827</v>
      </c>
      <c r="K6269" s="61" t="s">
        <v>20820</v>
      </c>
      <c r="L6269" s="61" t="s">
        <v>4282</v>
      </c>
      <c r="M6269" s="61" t="s">
        <v>21</v>
      </c>
      <c r="O6269" s="60">
        <v>45006</v>
      </c>
      <c r="P6269" s="61" t="s">
        <v>21</v>
      </c>
      <c r="Q6269" s="59" t="b">
        <v>0</v>
      </c>
      <c r="R6269" s="22">
        <f t="shared" si="132"/>
        <v>980</v>
      </c>
      <c r="S6269" s="37" t="s">
        <v>22147</v>
      </c>
    </row>
    <row r="6270" spans="1:19" ht="24">
      <c r="A6270" s="59">
        <v>11777</v>
      </c>
      <c r="B6270" s="60">
        <v>44026</v>
      </c>
      <c r="C6270" s="61" t="s">
        <v>20828</v>
      </c>
      <c r="D6270" s="60">
        <v>44026</v>
      </c>
      <c r="E6270" s="61" t="s">
        <v>20829</v>
      </c>
      <c r="F6270" s="61" t="s">
        <v>20830</v>
      </c>
      <c r="G6270" s="61" t="s">
        <v>20</v>
      </c>
      <c r="H6270" s="61" t="s">
        <v>189</v>
      </c>
      <c r="I6270" s="61" t="s">
        <v>21</v>
      </c>
      <c r="J6270" s="61" t="s">
        <v>20831</v>
      </c>
      <c r="K6270" s="61" t="s">
        <v>20820</v>
      </c>
      <c r="L6270" s="61" t="s">
        <v>4282</v>
      </c>
      <c r="M6270" s="61" t="s">
        <v>21</v>
      </c>
      <c r="O6270" s="60">
        <v>45100</v>
      </c>
      <c r="P6270" s="61" t="s">
        <v>21</v>
      </c>
      <c r="Q6270" s="59" t="b">
        <v>0</v>
      </c>
      <c r="R6270" s="22">
        <f t="shared" si="132"/>
        <v>1073</v>
      </c>
      <c r="S6270" s="37" t="s">
        <v>22148</v>
      </c>
    </row>
    <row r="6271" spans="1:19">
      <c r="A6271" s="64">
        <v>11778</v>
      </c>
      <c r="B6271" s="62">
        <v>44029</v>
      </c>
      <c r="C6271" s="63" t="s">
        <v>20832</v>
      </c>
      <c r="D6271" s="62">
        <v>44029</v>
      </c>
      <c r="E6271" s="63" t="s">
        <v>20833</v>
      </c>
      <c r="F6271" s="63" t="s">
        <v>8605</v>
      </c>
      <c r="G6271" s="63" t="s">
        <v>20</v>
      </c>
      <c r="H6271" s="63" t="s">
        <v>71</v>
      </c>
      <c r="I6271" s="63" t="s">
        <v>21</v>
      </c>
      <c r="J6271" s="63" t="s">
        <v>20834</v>
      </c>
      <c r="K6271" s="63" t="s">
        <v>20835</v>
      </c>
      <c r="L6271" s="63" t="s">
        <v>14909</v>
      </c>
      <c r="M6271" s="63" t="s">
        <v>21</v>
      </c>
      <c r="O6271" s="108">
        <v>44098</v>
      </c>
      <c r="P6271" s="65" t="s">
        <v>21</v>
      </c>
      <c r="Q6271" s="66" t="b">
        <v>0</v>
      </c>
      <c r="R6271" s="22">
        <f t="shared" si="132"/>
        <v>67</v>
      </c>
    </row>
    <row r="6272" spans="1:19">
      <c r="A6272" s="64">
        <v>11779</v>
      </c>
      <c r="B6272" s="62">
        <v>44033</v>
      </c>
      <c r="C6272" s="63" t="s">
        <v>20838</v>
      </c>
      <c r="D6272" s="62">
        <v>44033</v>
      </c>
      <c r="E6272" s="63" t="s">
        <v>20839</v>
      </c>
      <c r="F6272" s="63" t="s">
        <v>124</v>
      </c>
      <c r="G6272" s="63" t="s">
        <v>20</v>
      </c>
      <c r="H6272" s="63" t="s">
        <v>71</v>
      </c>
      <c r="I6272" s="63" t="s">
        <v>21</v>
      </c>
      <c r="J6272" s="63" t="s">
        <v>20840</v>
      </c>
      <c r="K6272" s="63" t="s">
        <v>11862</v>
      </c>
      <c r="L6272" s="63" t="s">
        <v>14909</v>
      </c>
      <c r="M6272" s="63" t="s">
        <v>7167</v>
      </c>
      <c r="O6272" s="108">
        <v>44203</v>
      </c>
      <c r="P6272" s="65" t="s">
        <v>21</v>
      </c>
      <c r="Q6272" s="66" t="b">
        <v>0</v>
      </c>
      <c r="R6272" s="22">
        <f t="shared" si="132"/>
        <v>168</v>
      </c>
    </row>
    <row r="6273" spans="1:19">
      <c r="A6273" s="64">
        <v>11780</v>
      </c>
      <c r="B6273" s="62">
        <v>44033</v>
      </c>
      <c r="C6273" s="63" t="s">
        <v>20841</v>
      </c>
      <c r="D6273" s="62">
        <v>44033</v>
      </c>
      <c r="E6273" s="63" t="s">
        <v>20842</v>
      </c>
      <c r="F6273" s="63" t="s">
        <v>19507</v>
      </c>
      <c r="G6273" s="63" t="s">
        <v>20</v>
      </c>
      <c r="H6273" s="63" t="s">
        <v>212</v>
      </c>
      <c r="I6273" s="63" t="s">
        <v>21</v>
      </c>
      <c r="J6273" s="63" t="s">
        <v>19509</v>
      </c>
      <c r="K6273" s="63" t="s">
        <v>20843</v>
      </c>
      <c r="L6273" s="63" t="s">
        <v>7167</v>
      </c>
      <c r="M6273" s="63" t="s">
        <v>14909</v>
      </c>
      <c r="O6273" s="108">
        <v>44210</v>
      </c>
      <c r="P6273" s="65" t="s">
        <v>21</v>
      </c>
      <c r="Q6273" s="66" t="b">
        <v>0</v>
      </c>
      <c r="R6273" s="22">
        <f t="shared" si="132"/>
        <v>175</v>
      </c>
    </row>
    <row r="6274" spans="1:19">
      <c r="A6274" s="64">
        <v>11781</v>
      </c>
      <c r="B6274" s="62">
        <v>44033</v>
      </c>
      <c r="C6274" s="63" t="s">
        <v>20836</v>
      </c>
      <c r="D6274" s="62">
        <v>44033</v>
      </c>
      <c r="E6274" s="63" t="s">
        <v>38</v>
      </c>
      <c r="F6274" s="63" t="s">
        <v>1771</v>
      </c>
      <c r="G6274" s="63" t="s">
        <v>20</v>
      </c>
      <c r="H6274" s="63" t="s">
        <v>189</v>
      </c>
      <c r="I6274" s="63" t="s">
        <v>21</v>
      </c>
      <c r="J6274" s="63" t="s">
        <v>20837</v>
      </c>
      <c r="K6274" s="63" t="s">
        <v>21</v>
      </c>
      <c r="L6274" s="63" t="s">
        <v>14909</v>
      </c>
      <c r="M6274" s="63" t="s">
        <v>21</v>
      </c>
      <c r="O6274" s="108">
        <v>44033</v>
      </c>
      <c r="P6274" s="65" t="s">
        <v>21</v>
      </c>
      <c r="Q6274" s="66" t="b">
        <v>0</v>
      </c>
      <c r="R6274" s="22">
        <f t="shared" si="132"/>
        <v>0</v>
      </c>
    </row>
    <row r="6275" spans="1:19">
      <c r="A6275" s="64">
        <v>11782</v>
      </c>
      <c r="B6275" s="62">
        <v>44041</v>
      </c>
      <c r="C6275" s="63" t="s">
        <v>20844</v>
      </c>
      <c r="D6275" s="62">
        <v>44032</v>
      </c>
      <c r="E6275" s="63" t="s">
        <v>20845</v>
      </c>
      <c r="F6275" s="63" t="s">
        <v>693</v>
      </c>
      <c r="G6275" s="63" t="s">
        <v>20</v>
      </c>
      <c r="H6275" s="63" t="s">
        <v>189</v>
      </c>
      <c r="I6275" s="63" t="s">
        <v>21</v>
      </c>
      <c r="J6275" s="63" t="s">
        <v>20846</v>
      </c>
      <c r="K6275" s="63" t="s">
        <v>20582</v>
      </c>
      <c r="L6275" s="63" t="s">
        <v>7167</v>
      </c>
      <c r="M6275" s="63" t="s">
        <v>21</v>
      </c>
      <c r="O6275" s="108">
        <v>44083</v>
      </c>
      <c r="P6275" s="65" t="s">
        <v>21</v>
      </c>
      <c r="Q6275" s="66" t="b">
        <v>0</v>
      </c>
      <c r="R6275" s="22">
        <f t="shared" si="132"/>
        <v>40</v>
      </c>
    </row>
    <row r="6276" spans="1:19">
      <c r="A6276" s="64">
        <v>11783</v>
      </c>
      <c r="B6276" s="62">
        <v>44042</v>
      </c>
      <c r="C6276" s="63" t="s">
        <v>20847</v>
      </c>
      <c r="D6276" s="62">
        <v>44041</v>
      </c>
      <c r="E6276" s="63" t="s">
        <v>20848</v>
      </c>
      <c r="F6276" s="63" t="s">
        <v>124</v>
      </c>
      <c r="G6276" s="63" t="s">
        <v>20</v>
      </c>
      <c r="H6276" s="63" t="s">
        <v>71</v>
      </c>
      <c r="I6276" s="63" t="s">
        <v>21</v>
      </c>
      <c r="J6276" s="63" t="s">
        <v>20849</v>
      </c>
      <c r="K6276" s="63" t="s">
        <v>20850</v>
      </c>
      <c r="L6276" s="63" t="s">
        <v>14909</v>
      </c>
      <c r="M6276" s="63" t="s">
        <v>21</v>
      </c>
      <c r="O6276" s="108">
        <v>44103</v>
      </c>
      <c r="P6276" s="65" t="s">
        <v>21</v>
      </c>
      <c r="Q6276" s="66" t="b">
        <v>0</v>
      </c>
      <c r="R6276" s="22">
        <f t="shared" si="132"/>
        <v>59</v>
      </c>
    </row>
    <row r="6277" spans="1:19" ht="24">
      <c r="A6277" s="59">
        <v>11784</v>
      </c>
      <c r="B6277" s="60">
        <v>44048</v>
      </c>
      <c r="C6277" s="61" t="s">
        <v>20851</v>
      </c>
      <c r="D6277" s="60">
        <v>44047</v>
      </c>
      <c r="E6277" s="61" t="s">
        <v>20852</v>
      </c>
      <c r="F6277" s="61" t="s">
        <v>27</v>
      </c>
      <c r="G6277" s="61" t="s">
        <v>20</v>
      </c>
      <c r="H6277" s="61" t="s">
        <v>71</v>
      </c>
      <c r="I6277" s="61" t="s">
        <v>21</v>
      </c>
      <c r="J6277" s="61" t="s">
        <v>20853</v>
      </c>
      <c r="K6277" s="61" t="s">
        <v>15287</v>
      </c>
      <c r="L6277" s="61" t="s">
        <v>21142</v>
      </c>
      <c r="M6277" s="61" t="s">
        <v>7167</v>
      </c>
      <c r="O6277" s="60">
        <v>45000</v>
      </c>
      <c r="P6277" s="61" t="s">
        <v>21</v>
      </c>
      <c r="Q6277" s="59" t="b">
        <v>0</v>
      </c>
      <c r="R6277" s="22">
        <f t="shared" si="132"/>
        <v>953</v>
      </c>
      <c r="S6277" s="37" t="s">
        <v>22149</v>
      </c>
    </row>
    <row r="6278" spans="1:19">
      <c r="A6278" s="64">
        <v>11785</v>
      </c>
      <c r="B6278" s="62">
        <v>44049</v>
      </c>
      <c r="C6278" s="63" t="s">
        <v>20857</v>
      </c>
      <c r="D6278" s="62">
        <v>44048</v>
      </c>
      <c r="E6278" s="63" t="s">
        <v>1928</v>
      </c>
      <c r="F6278" s="63" t="s">
        <v>1743</v>
      </c>
      <c r="G6278" s="63" t="s">
        <v>20</v>
      </c>
      <c r="H6278" s="63" t="s">
        <v>71</v>
      </c>
      <c r="I6278" s="63" t="s">
        <v>21</v>
      </c>
      <c r="J6278" s="63" t="s">
        <v>20858</v>
      </c>
      <c r="K6278" s="63" t="s">
        <v>21</v>
      </c>
      <c r="L6278" s="63" t="s">
        <v>7167</v>
      </c>
      <c r="M6278" s="63" t="s">
        <v>21</v>
      </c>
      <c r="O6278" s="108">
        <v>44053</v>
      </c>
      <c r="P6278" s="65" t="s">
        <v>21</v>
      </c>
      <c r="Q6278" s="66" t="b">
        <v>0</v>
      </c>
      <c r="R6278" s="22">
        <f t="shared" si="132"/>
        <v>4</v>
      </c>
    </row>
    <row r="6279" spans="1:19">
      <c r="A6279" s="64">
        <v>11786</v>
      </c>
      <c r="B6279" s="62">
        <v>44049</v>
      </c>
      <c r="C6279" s="63" t="s">
        <v>20854</v>
      </c>
      <c r="D6279" s="62">
        <v>44048</v>
      </c>
      <c r="E6279" s="63" t="s">
        <v>38</v>
      </c>
      <c r="F6279" s="63" t="s">
        <v>20855</v>
      </c>
      <c r="G6279" s="63" t="s">
        <v>20</v>
      </c>
      <c r="H6279" s="63" t="s">
        <v>71</v>
      </c>
      <c r="I6279" s="63" t="s">
        <v>21</v>
      </c>
      <c r="J6279" s="63" t="s">
        <v>20856</v>
      </c>
      <c r="K6279" s="63" t="s">
        <v>20445</v>
      </c>
      <c r="L6279" s="63" t="s">
        <v>7167</v>
      </c>
      <c r="M6279" s="63" t="s">
        <v>21</v>
      </c>
      <c r="O6279" s="108">
        <v>44049</v>
      </c>
      <c r="P6279" s="65" t="s">
        <v>21</v>
      </c>
      <c r="Q6279" s="66" t="b">
        <v>0</v>
      </c>
      <c r="R6279" s="22">
        <f t="shared" si="132"/>
        <v>0</v>
      </c>
    </row>
    <row r="6280" spans="1:19" ht="24">
      <c r="A6280" s="64">
        <v>11787</v>
      </c>
      <c r="B6280" s="62">
        <v>44050</v>
      </c>
      <c r="C6280" s="63" t="s">
        <v>20859</v>
      </c>
      <c r="D6280" s="62">
        <v>44050</v>
      </c>
      <c r="E6280" s="63" t="s">
        <v>38</v>
      </c>
      <c r="F6280" s="63" t="s">
        <v>2296</v>
      </c>
      <c r="G6280" s="63" t="s">
        <v>20</v>
      </c>
      <c r="H6280" s="63" t="s">
        <v>566</v>
      </c>
      <c r="I6280" s="63" t="s">
        <v>21</v>
      </c>
      <c r="J6280" s="63" t="s">
        <v>20860</v>
      </c>
      <c r="K6280" s="63" t="s">
        <v>19763</v>
      </c>
      <c r="L6280" s="63" t="s">
        <v>14909</v>
      </c>
      <c r="M6280" s="63" t="s">
        <v>21</v>
      </c>
      <c r="O6280" s="108">
        <v>44062</v>
      </c>
      <c r="P6280" s="65" t="s">
        <v>21</v>
      </c>
      <c r="Q6280" s="66" t="b">
        <v>0</v>
      </c>
      <c r="R6280" s="22">
        <f t="shared" si="132"/>
        <v>12</v>
      </c>
    </row>
    <row r="6281" spans="1:19">
      <c r="A6281" s="64">
        <v>11788</v>
      </c>
      <c r="B6281" s="62">
        <v>44053</v>
      </c>
      <c r="C6281" s="63" t="s">
        <v>20861</v>
      </c>
      <c r="D6281" s="62">
        <v>44050</v>
      </c>
      <c r="E6281" s="63" t="s">
        <v>20862</v>
      </c>
      <c r="F6281" s="63" t="s">
        <v>345</v>
      </c>
      <c r="G6281" s="63" t="s">
        <v>20</v>
      </c>
      <c r="H6281" s="63" t="s">
        <v>71</v>
      </c>
      <c r="I6281" s="63" t="s">
        <v>21</v>
      </c>
      <c r="J6281" s="63" t="s">
        <v>20863</v>
      </c>
      <c r="K6281" s="63" t="s">
        <v>20864</v>
      </c>
      <c r="L6281" s="63" t="s">
        <v>14909</v>
      </c>
      <c r="M6281" s="63" t="s">
        <v>21</v>
      </c>
      <c r="O6281" s="108">
        <v>44182</v>
      </c>
      <c r="P6281" s="65" t="s">
        <v>21</v>
      </c>
      <c r="Q6281" s="66" t="b">
        <v>0</v>
      </c>
      <c r="R6281" s="22">
        <f t="shared" si="132"/>
        <v>128</v>
      </c>
    </row>
    <row r="6282" spans="1:19">
      <c r="A6282" s="64">
        <v>11789</v>
      </c>
      <c r="B6282" s="62">
        <v>44055</v>
      </c>
      <c r="C6282" s="63" t="s">
        <v>20865</v>
      </c>
      <c r="D6282" s="62">
        <v>44055</v>
      </c>
      <c r="E6282" s="63" t="s">
        <v>38</v>
      </c>
      <c r="F6282" s="63" t="s">
        <v>70</v>
      </c>
      <c r="G6282" s="63" t="s">
        <v>20</v>
      </c>
      <c r="H6282" s="63" t="s">
        <v>71</v>
      </c>
      <c r="I6282" s="63" t="s">
        <v>21</v>
      </c>
      <c r="J6282" s="63" t="s">
        <v>20866</v>
      </c>
      <c r="K6282" s="63" t="s">
        <v>21</v>
      </c>
      <c r="L6282" s="63" t="s">
        <v>14909</v>
      </c>
      <c r="M6282" s="63" t="s">
        <v>21</v>
      </c>
      <c r="O6282" s="108">
        <v>44057</v>
      </c>
      <c r="P6282" s="65" t="s">
        <v>21</v>
      </c>
      <c r="Q6282" s="66" t="b">
        <v>0</v>
      </c>
      <c r="R6282" s="22">
        <f t="shared" si="132"/>
        <v>2</v>
      </c>
    </row>
    <row r="6283" spans="1:19" ht="24">
      <c r="A6283" s="64">
        <v>11790</v>
      </c>
      <c r="B6283" s="62">
        <v>44055</v>
      </c>
      <c r="C6283" s="63" t="s">
        <v>20869</v>
      </c>
      <c r="D6283" s="62">
        <v>44055</v>
      </c>
      <c r="E6283" s="63" t="s">
        <v>20870</v>
      </c>
      <c r="F6283" s="63" t="s">
        <v>20871</v>
      </c>
      <c r="G6283" s="63" t="s">
        <v>20</v>
      </c>
      <c r="H6283" s="63" t="s">
        <v>71</v>
      </c>
      <c r="I6283" s="63" t="s">
        <v>21</v>
      </c>
      <c r="J6283" s="63" t="s">
        <v>20856</v>
      </c>
      <c r="K6283" s="63" t="s">
        <v>20445</v>
      </c>
      <c r="L6283" s="63" t="s">
        <v>4282</v>
      </c>
      <c r="M6283" s="63" t="s">
        <v>7167</v>
      </c>
      <c r="O6283" s="62">
        <v>45468</v>
      </c>
      <c r="P6283" s="65" t="s">
        <v>21</v>
      </c>
      <c r="Q6283" s="66" t="b">
        <v>0</v>
      </c>
      <c r="R6283" s="22">
        <f t="shared" si="132"/>
        <v>1412</v>
      </c>
      <c r="S6283" s="46" t="s">
        <v>22150</v>
      </c>
    </row>
    <row r="6284" spans="1:19">
      <c r="A6284" s="64">
        <v>11791</v>
      </c>
      <c r="B6284" s="62">
        <v>44055</v>
      </c>
      <c r="C6284" s="63" t="s">
        <v>20867</v>
      </c>
      <c r="D6284" s="62">
        <v>44055</v>
      </c>
      <c r="E6284" s="63" t="s">
        <v>38</v>
      </c>
      <c r="F6284" s="63" t="s">
        <v>19507</v>
      </c>
      <c r="G6284" s="63" t="s">
        <v>20</v>
      </c>
      <c r="H6284" s="63" t="s">
        <v>71</v>
      </c>
      <c r="I6284" s="63" t="s">
        <v>21</v>
      </c>
      <c r="J6284" s="63" t="s">
        <v>16167</v>
      </c>
      <c r="K6284" s="63" t="s">
        <v>20868</v>
      </c>
      <c r="L6284" s="63" t="s">
        <v>4282</v>
      </c>
      <c r="M6284" s="63" t="s">
        <v>21</v>
      </c>
      <c r="O6284" s="62">
        <v>44669</v>
      </c>
      <c r="P6284" s="65" t="s">
        <v>21</v>
      </c>
      <c r="Q6284" s="66" t="b">
        <v>0</v>
      </c>
      <c r="R6284" s="22">
        <f t="shared" si="132"/>
        <v>614</v>
      </c>
      <c r="S6284" s="46" t="s">
        <v>21</v>
      </c>
    </row>
    <row r="6285" spans="1:19">
      <c r="A6285" s="64">
        <v>11792</v>
      </c>
      <c r="B6285" s="62">
        <v>44056</v>
      </c>
      <c r="C6285" s="63" t="s">
        <v>20872</v>
      </c>
      <c r="D6285" s="62">
        <v>44055</v>
      </c>
      <c r="E6285" s="63" t="s">
        <v>20873</v>
      </c>
      <c r="F6285" s="63" t="s">
        <v>16173</v>
      </c>
      <c r="G6285" s="63" t="s">
        <v>20</v>
      </c>
      <c r="H6285" s="63" t="s">
        <v>566</v>
      </c>
      <c r="I6285" s="63" t="s">
        <v>21</v>
      </c>
      <c r="J6285" s="63" t="s">
        <v>20874</v>
      </c>
      <c r="K6285" s="63" t="s">
        <v>20875</v>
      </c>
      <c r="L6285" s="63" t="s">
        <v>14909</v>
      </c>
      <c r="M6285" s="63" t="s">
        <v>7167</v>
      </c>
      <c r="O6285" s="108">
        <v>44202</v>
      </c>
      <c r="P6285" s="65" t="s">
        <v>21</v>
      </c>
      <c r="Q6285" s="66" t="b">
        <v>0</v>
      </c>
      <c r="R6285" s="22">
        <f t="shared" si="132"/>
        <v>144</v>
      </c>
    </row>
    <row r="6286" spans="1:19" ht="24">
      <c r="A6286" s="64">
        <v>11793</v>
      </c>
      <c r="B6286" s="62">
        <v>44057</v>
      </c>
      <c r="C6286" s="63" t="s">
        <v>20876</v>
      </c>
      <c r="D6286" s="62">
        <v>44060</v>
      </c>
      <c r="E6286" s="63" t="s">
        <v>20877</v>
      </c>
      <c r="F6286" s="63" t="s">
        <v>824</v>
      </c>
      <c r="G6286" s="63" t="s">
        <v>20</v>
      </c>
      <c r="H6286" s="63" t="s">
        <v>71</v>
      </c>
      <c r="I6286" s="63" t="s">
        <v>21</v>
      </c>
      <c r="J6286" s="63" t="s">
        <v>20878</v>
      </c>
      <c r="K6286" s="63" t="s">
        <v>18066</v>
      </c>
      <c r="L6286" s="63" t="s">
        <v>4282</v>
      </c>
      <c r="M6286" s="63" t="s">
        <v>7167</v>
      </c>
      <c r="O6286" s="62">
        <v>45296</v>
      </c>
      <c r="P6286" s="65" t="s">
        <v>21</v>
      </c>
      <c r="Q6286" s="66" t="b">
        <v>0</v>
      </c>
      <c r="R6286" s="22">
        <f t="shared" si="132"/>
        <v>1237</v>
      </c>
      <c r="S6286" s="46" t="s">
        <v>22151</v>
      </c>
    </row>
    <row r="6287" spans="1:19" ht="24">
      <c r="A6287" s="64">
        <v>11794</v>
      </c>
      <c r="B6287" s="62">
        <v>44060</v>
      </c>
      <c r="C6287" s="63" t="s">
        <v>20879</v>
      </c>
      <c r="D6287" s="62">
        <v>44060</v>
      </c>
      <c r="E6287" s="63" t="s">
        <v>20880</v>
      </c>
      <c r="F6287" s="63" t="s">
        <v>693</v>
      </c>
      <c r="G6287" s="63" t="s">
        <v>20</v>
      </c>
      <c r="H6287" s="63" t="s">
        <v>189</v>
      </c>
      <c r="I6287" s="63" t="s">
        <v>21</v>
      </c>
      <c r="J6287" s="63" t="s">
        <v>20881</v>
      </c>
      <c r="K6287" s="63" t="s">
        <v>18066</v>
      </c>
      <c r="L6287" s="63" t="s">
        <v>7167</v>
      </c>
      <c r="M6287" s="63" t="s">
        <v>21</v>
      </c>
      <c r="O6287" s="62">
        <v>45358</v>
      </c>
      <c r="P6287" s="65" t="s">
        <v>21</v>
      </c>
      <c r="Q6287" s="66" t="b">
        <v>0</v>
      </c>
      <c r="R6287" s="22">
        <f t="shared" si="132"/>
        <v>1297</v>
      </c>
      <c r="S6287" s="46" t="s">
        <v>22152</v>
      </c>
    </row>
    <row r="6288" spans="1:19" ht="24">
      <c r="A6288" s="64">
        <v>11795</v>
      </c>
      <c r="B6288" s="62">
        <v>44062</v>
      </c>
      <c r="C6288" s="63" t="s">
        <v>20882</v>
      </c>
      <c r="D6288" s="62">
        <v>44062</v>
      </c>
      <c r="E6288" s="63" t="s">
        <v>20883</v>
      </c>
      <c r="F6288" s="63" t="s">
        <v>1771</v>
      </c>
      <c r="G6288" s="63" t="s">
        <v>20</v>
      </c>
      <c r="H6288" s="63" t="s">
        <v>189</v>
      </c>
      <c r="I6288" s="63" t="s">
        <v>21</v>
      </c>
      <c r="J6288" s="63" t="s">
        <v>7017</v>
      </c>
      <c r="K6288" s="63" t="s">
        <v>20884</v>
      </c>
      <c r="L6288" s="63" t="s">
        <v>4282</v>
      </c>
      <c r="M6288" s="63" t="s">
        <v>7167</v>
      </c>
      <c r="O6288" s="62">
        <v>45371</v>
      </c>
      <c r="P6288" s="65" t="s">
        <v>21</v>
      </c>
      <c r="Q6288" s="66" t="b">
        <v>0</v>
      </c>
      <c r="R6288" s="22">
        <f t="shared" si="132"/>
        <v>1308</v>
      </c>
      <c r="S6288" s="46" t="s">
        <v>22153</v>
      </c>
    </row>
    <row r="6289" spans="1:19" ht="24">
      <c r="A6289" s="64">
        <v>11797</v>
      </c>
      <c r="B6289" s="62">
        <v>44068</v>
      </c>
      <c r="C6289" s="63" t="s">
        <v>20885</v>
      </c>
      <c r="D6289" s="62">
        <v>44067</v>
      </c>
      <c r="E6289" s="63" t="s">
        <v>38</v>
      </c>
      <c r="F6289" s="63" t="s">
        <v>228</v>
      </c>
      <c r="G6289" s="63" t="s">
        <v>20</v>
      </c>
      <c r="H6289" s="63" t="s">
        <v>566</v>
      </c>
      <c r="I6289" s="63" t="s">
        <v>21</v>
      </c>
      <c r="J6289" s="63" t="s">
        <v>20886</v>
      </c>
      <c r="K6289" s="63" t="s">
        <v>21</v>
      </c>
      <c r="L6289" s="63" t="s">
        <v>14909</v>
      </c>
      <c r="M6289" s="63" t="s">
        <v>21</v>
      </c>
      <c r="O6289" s="108">
        <v>44082</v>
      </c>
      <c r="P6289" s="65" t="s">
        <v>21</v>
      </c>
      <c r="Q6289" s="66" t="b">
        <v>0</v>
      </c>
      <c r="R6289" s="22">
        <f t="shared" si="132"/>
        <v>13</v>
      </c>
    </row>
    <row r="6290" spans="1:19">
      <c r="A6290" s="64">
        <v>11798</v>
      </c>
      <c r="B6290" s="62">
        <v>44068</v>
      </c>
      <c r="C6290" s="63" t="s">
        <v>20889</v>
      </c>
      <c r="D6290" s="62">
        <v>44063</v>
      </c>
      <c r="E6290" s="63" t="s">
        <v>20890</v>
      </c>
      <c r="F6290" s="63" t="s">
        <v>52</v>
      </c>
      <c r="G6290" s="63" t="s">
        <v>20</v>
      </c>
      <c r="H6290" s="63" t="s">
        <v>71</v>
      </c>
      <c r="I6290" s="63" t="s">
        <v>21</v>
      </c>
      <c r="J6290" s="63" t="s">
        <v>16436</v>
      </c>
      <c r="K6290" s="63" t="s">
        <v>20891</v>
      </c>
      <c r="L6290" s="63" t="s">
        <v>14909</v>
      </c>
      <c r="M6290" s="63" t="s">
        <v>21</v>
      </c>
      <c r="O6290" s="108">
        <v>44103</v>
      </c>
      <c r="P6290" s="65" t="s">
        <v>21</v>
      </c>
      <c r="Q6290" s="66" t="b">
        <v>0</v>
      </c>
      <c r="R6290" s="22">
        <f t="shared" si="132"/>
        <v>34</v>
      </c>
    </row>
    <row r="6291" spans="1:19">
      <c r="A6291" s="64">
        <v>11799</v>
      </c>
      <c r="B6291" s="62">
        <v>44068</v>
      </c>
      <c r="C6291" s="63" t="s">
        <v>20892</v>
      </c>
      <c r="D6291" s="62">
        <v>44063</v>
      </c>
      <c r="E6291" s="63" t="s">
        <v>20893</v>
      </c>
      <c r="F6291" s="63" t="s">
        <v>52</v>
      </c>
      <c r="G6291" s="63" t="s">
        <v>20</v>
      </c>
      <c r="H6291" s="63" t="s">
        <v>71</v>
      </c>
      <c r="I6291" s="63" t="s">
        <v>21</v>
      </c>
      <c r="J6291" s="63" t="s">
        <v>20894</v>
      </c>
      <c r="K6291" s="63" t="s">
        <v>6081</v>
      </c>
      <c r="L6291" s="63" t="s">
        <v>14909</v>
      </c>
      <c r="M6291" s="63" t="s">
        <v>21</v>
      </c>
      <c r="O6291" s="108">
        <v>44103</v>
      </c>
      <c r="P6291" s="65" t="s">
        <v>21</v>
      </c>
      <c r="Q6291" s="66" t="b">
        <v>0</v>
      </c>
      <c r="R6291" s="22">
        <f t="shared" si="132"/>
        <v>34</v>
      </c>
    </row>
    <row r="6292" spans="1:19">
      <c r="A6292" s="64">
        <v>11800</v>
      </c>
      <c r="B6292" s="62">
        <v>44068</v>
      </c>
      <c r="C6292" s="63" t="s">
        <v>20887</v>
      </c>
      <c r="D6292" s="62">
        <v>44068</v>
      </c>
      <c r="E6292" s="63" t="s">
        <v>38</v>
      </c>
      <c r="F6292" s="63" t="s">
        <v>98</v>
      </c>
      <c r="G6292" s="63" t="s">
        <v>20</v>
      </c>
      <c r="H6292" s="63" t="s">
        <v>71</v>
      </c>
      <c r="I6292" s="63" t="s">
        <v>21</v>
      </c>
      <c r="J6292" s="63" t="s">
        <v>19588</v>
      </c>
      <c r="K6292" s="63" t="s">
        <v>20888</v>
      </c>
      <c r="L6292" s="63" t="s">
        <v>4282</v>
      </c>
      <c r="M6292" s="63" t="s">
        <v>21</v>
      </c>
      <c r="O6292" s="108">
        <v>44085</v>
      </c>
      <c r="P6292" s="65" t="s">
        <v>21</v>
      </c>
      <c r="Q6292" s="66" t="b">
        <v>0</v>
      </c>
      <c r="R6292" s="22">
        <f t="shared" si="132"/>
        <v>16</v>
      </c>
    </row>
    <row r="6293" spans="1:19" ht="48">
      <c r="A6293" s="59">
        <v>11801</v>
      </c>
      <c r="B6293" s="60">
        <v>44071</v>
      </c>
      <c r="C6293" s="61" t="s">
        <v>20895</v>
      </c>
      <c r="D6293" s="60">
        <v>44071</v>
      </c>
      <c r="E6293" s="61" t="s">
        <v>20896</v>
      </c>
      <c r="F6293" s="61" t="s">
        <v>18441</v>
      </c>
      <c r="G6293" s="61" t="s">
        <v>20</v>
      </c>
      <c r="H6293" s="61" t="s">
        <v>189</v>
      </c>
      <c r="I6293" s="61" t="s">
        <v>21</v>
      </c>
      <c r="J6293" s="61" t="s">
        <v>20897</v>
      </c>
      <c r="K6293" s="61" t="s">
        <v>20898</v>
      </c>
      <c r="L6293" s="61" t="s">
        <v>21573</v>
      </c>
      <c r="M6293" s="61" t="s">
        <v>4282</v>
      </c>
      <c r="O6293" s="60">
        <v>44994</v>
      </c>
      <c r="P6293" s="61" t="s">
        <v>21</v>
      </c>
      <c r="Q6293" s="59" t="b">
        <v>0</v>
      </c>
      <c r="R6293" s="22">
        <f t="shared" si="132"/>
        <v>923</v>
      </c>
      <c r="S6293" s="37" t="s">
        <v>22154</v>
      </c>
    </row>
    <row r="6294" spans="1:19">
      <c r="A6294" s="64">
        <v>11802</v>
      </c>
      <c r="B6294" s="62">
        <v>44071</v>
      </c>
      <c r="C6294" s="63" t="s">
        <v>20899</v>
      </c>
      <c r="D6294" s="62">
        <v>44071</v>
      </c>
      <c r="E6294" s="63" t="s">
        <v>20900</v>
      </c>
      <c r="F6294" s="63" t="s">
        <v>16198</v>
      </c>
      <c r="G6294" s="63" t="s">
        <v>20</v>
      </c>
      <c r="H6294" s="63" t="s">
        <v>71</v>
      </c>
      <c r="I6294" s="63" t="s">
        <v>21</v>
      </c>
      <c r="J6294" s="63" t="s">
        <v>20901</v>
      </c>
      <c r="K6294" s="63" t="s">
        <v>9348</v>
      </c>
      <c r="L6294" s="63" t="s">
        <v>4282</v>
      </c>
      <c r="M6294" s="63" t="s">
        <v>21</v>
      </c>
      <c r="O6294" s="108">
        <v>44307</v>
      </c>
      <c r="P6294" s="65" t="s">
        <v>21</v>
      </c>
      <c r="Q6294" s="66" t="b">
        <v>0</v>
      </c>
      <c r="R6294" s="22">
        <f t="shared" si="132"/>
        <v>236</v>
      </c>
    </row>
    <row r="6295" spans="1:19">
      <c r="A6295" s="64">
        <v>11803</v>
      </c>
      <c r="B6295" s="62">
        <v>44078</v>
      </c>
      <c r="C6295" s="63" t="s">
        <v>20902</v>
      </c>
      <c r="D6295" s="62">
        <v>44078</v>
      </c>
      <c r="E6295" s="63" t="s">
        <v>38</v>
      </c>
      <c r="F6295" s="63" t="s">
        <v>16198</v>
      </c>
      <c r="G6295" s="63" t="s">
        <v>20</v>
      </c>
      <c r="H6295" s="63" t="s">
        <v>71</v>
      </c>
      <c r="I6295" s="63" t="s">
        <v>21</v>
      </c>
      <c r="J6295" s="63" t="s">
        <v>20903</v>
      </c>
      <c r="K6295" s="63" t="s">
        <v>21</v>
      </c>
      <c r="L6295" s="63" t="s">
        <v>4282</v>
      </c>
      <c r="M6295" s="63" t="s">
        <v>21</v>
      </c>
      <c r="O6295" s="108">
        <v>44085</v>
      </c>
      <c r="P6295" s="65" t="s">
        <v>21</v>
      </c>
      <c r="Q6295" s="66" t="b">
        <v>0</v>
      </c>
      <c r="R6295" s="22">
        <f t="shared" si="132"/>
        <v>7</v>
      </c>
    </row>
    <row r="6296" spans="1:19">
      <c r="A6296" s="64">
        <v>11804</v>
      </c>
      <c r="B6296" s="62">
        <v>44082</v>
      </c>
      <c r="C6296" s="63" t="s">
        <v>20904</v>
      </c>
      <c r="D6296" s="62">
        <v>44078</v>
      </c>
      <c r="E6296" s="63" t="s">
        <v>20905</v>
      </c>
      <c r="F6296" s="63" t="s">
        <v>216</v>
      </c>
      <c r="G6296" s="63" t="s">
        <v>20</v>
      </c>
      <c r="H6296" s="63" t="s">
        <v>71</v>
      </c>
      <c r="I6296" s="63" t="s">
        <v>21</v>
      </c>
      <c r="J6296" s="63" t="s">
        <v>20906</v>
      </c>
      <c r="K6296" s="63" t="s">
        <v>6081</v>
      </c>
      <c r="L6296" s="63" t="s">
        <v>14909</v>
      </c>
      <c r="M6296" s="63" t="s">
        <v>21</v>
      </c>
      <c r="O6296" s="108">
        <v>44490</v>
      </c>
      <c r="P6296" s="65" t="s">
        <v>21</v>
      </c>
      <c r="Q6296" s="66" t="b">
        <v>0</v>
      </c>
      <c r="R6296" s="22">
        <f t="shared" si="132"/>
        <v>408</v>
      </c>
    </row>
    <row r="6297" spans="1:19">
      <c r="A6297" s="64">
        <v>11805</v>
      </c>
      <c r="B6297" s="62">
        <v>44083</v>
      </c>
      <c r="C6297" s="63" t="s">
        <v>20907</v>
      </c>
      <c r="D6297" s="62">
        <v>44076</v>
      </c>
      <c r="E6297" s="63" t="s">
        <v>38</v>
      </c>
      <c r="F6297" s="63" t="s">
        <v>18753</v>
      </c>
      <c r="G6297" s="63" t="s">
        <v>20</v>
      </c>
      <c r="H6297" s="63" t="s">
        <v>189</v>
      </c>
      <c r="I6297" s="63" t="s">
        <v>21</v>
      </c>
      <c r="J6297" s="63" t="s">
        <v>20908</v>
      </c>
      <c r="K6297" s="63" t="s">
        <v>20909</v>
      </c>
      <c r="L6297" s="63" t="s">
        <v>14909</v>
      </c>
      <c r="M6297" s="63" t="s">
        <v>21</v>
      </c>
      <c r="O6297" s="108">
        <v>44103</v>
      </c>
      <c r="P6297" s="65" t="s">
        <v>21</v>
      </c>
      <c r="Q6297" s="66" t="b">
        <v>0</v>
      </c>
      <c r="R6297" s="22">
        <f t="shared" si="132"/>
        <v>20</v>
      </c>
    </row>
    <row r="6298" spans="1:19">
      <c r="A6298" s="64">
        <v>11806</v>
      </c>
      <c r="B6298" s="62">
        <v>44084</v>
      </c>
      <c r="C6298" s="63" t="s">
        <v>20910</v>
      </c>
      <c r="D6298" s="62">
        <v>44083</v>
      </c>
      <c r="E6298" s="63" t="s">
        <v>20911</v>
      </c>
      <c r="F6298" s="63" t="s">
        <v>6643</v>
      </c>
      <c r="G6298" s="63" t="s">
        <v>20</v>
      </c>
      <c r="H6298" s="63" t="s">
        <v>189</v>
      </c>
      <c r="I6298" s="63" t="s">
        <v>21</v>
      </c>
      <c r="J6298" s="63" t="s">
        <v>20866</v>
      </c>
      <c r="K6298" s="63" t="s">
        <v>20912</v>
      </c>
      <c r="L6298" s="63" t="s">
        <v>14909</v>
      </c>
      <c r="M6298" s="63" t="s">
        <v>21</v>
      </c>
      <c r="O6298" s="108">
        <v>44334</v>
      </c>
      <c r="P6298" s="65" t="s">
        <v>21</v>
      </c>
      <c r="Q6298" s="66" t="b">
        <v>0</v>
      </c>
      <c r="R6298" s="22">
        <f t="shared" si="132"/>
        <v>251</v>
      </c>
    </row>
    <row r="6299" spans="1:19" ht="24">
      <c r="A6299" s="59">
        <v>11807</v>
      </c>
      <c r="B6299" s="60">
        <v>44088</v>
      </c>
      <c r="C6299" s="61" t="s">
        <v>20913</v>
      </c>
      <c r="D6299" s="60">
        <v>44088</v>
      </c>
      <c r="E6299" s="61" t="s">
        <v>20914</v>
      </c>
      <c r="F6299" s="61" t="s">
        <v>98</v>
      </c>
      <c r="G6299" s="61" t="s">
        <v>20</v>
      </c>
      <c r="H6299" s="61" t="s">
        <v>71</v>
      </c>
      <c r="I6299" s="61" t="s">
        <v>21</v>
      </c>
      <c r="J6299" s="61" t="s">
        <v>20915</v>
      </c>
      <c r="K6299" s="61" t="s">
        <v>20916</v>
      </c>
      <c r="L6299" s="61" t="s">
        <v>4282</v>
      </c>
      <c r="M6299" s="61" t="s">
        <v>21</v>
      </c>
      <c r="O6299" s="60">
        <v>44978</v>
      </c>
      <c r="P6299" s="61" t="s">
        <v>21</v>
      </c>
      <c r="Q6299" s="59" t="b">
        <v>0</v>
      </c>
      <c r="R6299" s="22">
        <f t="shared" si="132"/>
        <v>889</v>
      </c>
      <c r="S6299" s="37" t="s">
        <v>21621</v>
      </c>
    </row>
    <row r="6300" spans="1:19" ht="48">
      <c r="A6300" s="59">
        <v>11808</v>
      </c>
      <c r="B6300" s="60">
        <v>44089</v>
      </c>
      <c r="C6300" s="61" t="s">
        <v>20917</v>
      </c>
      <c r="D6300" s="60">
        <v>44089</v>
      </c>
      <c r="E6300" s="61" t="s">
        <v>20918</v>
      </c>
      <c r="F6300" s="61" t="s">
        <v>2565</v>
      </c>
      <c r="G6300" s="61" t="s">
        <v>20</v>
      </c>
      <c r="H6300" s="61" t="s">
        <v>189</v>
      </c>
      <c r="I6300" s="61" t="s">
        <v>21</v>
      </c>
      <c r="J6300" s="61" t="s">
        <v>14825</v>
      </c>
      <c r="K6300" s="61" t="s">
        <v>20919</v>
      </c>
      <c r="L6300" s="61" t="s">
        <v>21573</v>
      </c>
      <c r="M6300" s="61" t="s">
        <v>4282</v>
      </c>
      <c r="O6300" s="60">
        <v>44998</v>
      </c>
      <c r="P6300" s="61" t="s">
        <v>21</v>
      </c>
      <c r="Q6300" s="59" t="b">
        <v>0</v>
      </c>
      <c r="R6300" s="22">
        <f t="shared" si="132"/>
        <v>910</v>
      </c>
      <c r="S6300" s="37" t="s">
        <v>22154</v>
      </c>
    </row>
    <row r="6301" spans="1:19">
      <c r="A6301" s="64">
        <v>11809</v>
      </c>
      <c r="B6301" s="62">
        <v>44095</v>
      </c>
      <c r="C6301" s="63" t="s">
        <v>20923</v>
      </c>
      <c r="D6301" s="62">
        <v>44092</v>
      </c>
      <c r="E6301" s="63" t="s">
        <v>20924</v>
      </c>
      <c r="F6301" s="63" t="s">
        <v>52</v>
      </c>
      <c r="G6301" s="63" t="s">
        <v>20</v>
      </c>
      <c r="H6301" s="63" t="s">
        <v>71</v>
      </c>
      <c r="I6301" s="63" t="s">
        <v>21</v>
      </c>
      <c r="J6301" s="63" t="s">
        <v>20925</v>
      </c>
      <c r="K6301" s="63" t="s">
        <v>20926</v>
      </c>
      <c r="L6301" s="63" t="s">
        <v>21142</v>
      </c>
      <c r="M6301" s="63" t="s">
        <v>14909</v>
      </c>
      <c r="O6301" s="45">
        <v>44592</v>
      </c>
      <c r="P6301" s="65" t="s">
        <v>21</v>
      </c>
      <c r="Q6301" s="66" t="b">
        <v>0</v>
      </c>
      <c r="R6301" s="22">
        <f t="shared" si="132"/>
        <v>496</v>
      </c>
      <c r="S6301" s="46" t="s">
        <v>21</v>
      </c>
    </row>
    <row r="6302" spans="1:19" ht="24">
      <c r="A6302" s="64">
        <v>11810</v>
      </c>
      <c r="B6302" s="62">
        <v>44095</v>
      </c>
      <c r="C6302" s="63" t="s">
        <v>20927</v>
      </c>
      <c r="D6302" s="62">
        <v>44092</v>
      </c>
      <c r="E6302" s="63" t="s">
        <v>20928</v>
      </c>
      <c r="F6302" s="63" t="s">
        <v>52</v>
      </c>
      <c r="G6302" s="63" t="s">
        <v>20</v>
      </c>
      <c r="H6302" s="63" t="s">
        <v>71</v>
      </c>
      <c r="I6302" s="63" t="s">
        <v>21</v>
      </c>
      <c r="J6302" s="63" t="s">
        <v>20929</v>
      </c>
      <c r="K6302" s="63" t="s">
        <v>6081</v>
      </c>
      <c r="L6302" s="63" t="s">
        <v>21142</v>
      </c>
      <c r="M6302" s="63" t="s">
        <v>14909</v>
      </c>
      <c r="O6302" s="45">
        <v>44592</v>
      </c>
      <c r="P6302" s="65" t="s">
        <v>21</v>
      </c>
      <c r="Q6302" s="66" t="b">
        <v>0</v>
      </c>
      <c r="R6302" s="22">
        <f t="shared" si="132"/>
        <v>496</v>
      </c>
      <c r="S6302" s="46" t="s">
        <v>21</v>
      </c>
    </row>
    <row r="6303" spans="1:19" ht="24">
      <c r="A6303" s="64">
        <v>11814</v>
      </c>
      <c r="B6303" s="62">
        <v>44095</v>
      </c>
      <c r="C6303" s="63" t="s">
        <v>20920</v>
      </c>
      <c r="D6303" s="62">
        <v>44095</v>
      </c>
      <c r="E6303" s="63" t="s">
        <v>38</v>
      </c>
      <c r="F6303" s="63" t="s">
        <v>211</v>
      </c>
      <c r="G6303" s="63" t="s">
        <v>20</v>
      </c>
      <c r="H6303" s="63" t="s">
        <v>212</v>
      </c>
      <c r="I6303" s="63" t="s">
        <v>21</v>
      </c>
      <c r="J6303" s="63" t="s">
        <v>20921</v>
      </c>
      <c r="K6303" s="63" t="s">
        <v>20922</v>
      </c>
      <c r="L6303" s="63" t="s">
        <v>4282</v>
      </c>
      <c r="M6303" s="63" t="s">
        <v>21</v>
      </c>
      <c r="O6303" s="101">
        <v>44217</v>
      </c>
      <c r="P6303" s="65" t="s">
        <v>21</v>
      </c>
      <c r="Q6303" s="66" t="b">
        <v>0</v>
      </c>
      <c r="R6303" s="22">
        <f t="shared" si="132"/>
        <v>121</v>
      </c>
    </row>
    <row r="6304" spans="1:19" ht="24">
      <c r="A6304" s="59">
        <v>11811</v>
      </c>
      <c r="B6304" s="60">
        <v>44097</v>
      </c>
      <c r="C6304" s="61" t="s">
        <v>20930</v>
      </c>
      <c r="D6304" s="60">
        <v>44095</v>
      </c>
      <c r="E6304" s="61" t="s">
        <v>20931</v>
      </c>
      <c r="F6304" s="61" t="s">
        <v>1537</v>
      </c>
      <c r="G6304" s="61" t="s">
        <v>20</v>
      </c>
      <c r="H6304" s="61" t="s">
        <v>71</v>
      </c>
      <c r="I6304" s="61" t="s">
        <v>21</v>
      </c>
      <c r="J6304" s="61" t="s">
        <v>20932</v>
      </c>
      <c r="K6304" s="61" t="s">
        <v>20933</v>
      </c>
      <c r="L6304" s="61" t="s">
        <v>21243</v>
      </c>
      <c r="M6304" s="61" t="s">
        <v>7167</v>
      </c>
      <c r="O6304" s="29">
        <v>45160</v>
      </c>
      <c r="P6304" s="61" t="s">
        <v>21</v>
      </c>
      <c r="Q6304" s="59" t="b">
        <v>0</v>
      </c>
      <c r="R6304" s="22">
        <f t="shared" si="132"/>
        <v>1063</v>
      </c>
      <c r="S6304" s="37" t="s">
        <v>22155</v>
      </c>
    </row>
    <row r="6305" spans="1:19" ht="24">
      <c r="A6305" s="59">
        <v>11812</v>
      </c>
      <c r="B6305" s="60">
        <v>44097</v>
      </c>
      <c r="C6305" s="61" t="s">
        <v>20934</v>
      </c>
      <c r="D6305" s="60">
        <v>44097</v>
      </c>
      <c r="E6305" s="61" t="s">
        <v>20935</v>
      </c>
      <c r="F6305" s="61" t="s">
        <v>12633</v>
      </c>
      <c r="G6305" s="61" t="s">
        <v>20</v>
      </c>
      <c r="H6305" s="61" t="s">
        <v>71</v>
      </c>
      <c r="I6305" s="61" t="s">
        <v>21</v>
      </c>
      <c r="J6305" s="61" t="s">
        <v>20936</v>
      </c>
      <c r="K6305" s="61" t="s">
        <v>20937</v>
      </c>
      <c r="L6305" s="61" t="s">
        <v>7167</v>
      </c>
      <c r="M6305" s="61" t="s">
        <v>21</v>
      </c>
      <c r="O6305" s="29">
        <v>45035</v>
      </c>
      <c r="P6305" s="61" t="s">
        <v>21</v>
      </c>
      <c r="Q6305" s="59" t="b">
        <v>0</v>
      </c>
      <c r="R6305" s="22">
        <f t="shared" si="132"/>
        <v>938</v>
      </c>
      <c r="S6305" s="37" t="s">
        <v>21621</v>
      </c>
    </row>
    <row r="6306" spans="1:19">
      <c r="A6306" s="64">
        <v>11813</v>
      </c>
      <c r="B6306" s="62">
        <v>44098</v>
      </c>
      <c r="C6306" s="63" t="s">
        <v>20938</v>
      </c>
      <c r="D6306" s="62">
        <v>44098</v>
      </c>
      <c r="E6306" s="63" t="s">
        <v>1928</v>
      </c>
      <c r="F6306" s="63" t="s">
        <v>1743</v>
      </c>
      <c r="G6306" s="63" t="s">
        <v>20</v>
      </c>
      <c r="H6306" s="63" t="s">
        <v>71</v>
      </c>
      <c r="I6306" s="63" t="s">
        <v>21</v>
      </c>
      <c r="J6306" s="63" t="s">
        <v>20939</v>
      </c>
      <c r="K6306" s="63" t="s">
        <v>20940</v>
      </c>
      <c r="L6306" s="63" t="s">
        <v>4282</v>
      </c>
      <c r="M6306" s="63" t="s">
        <v>21</v>
      </c>
      <c r="O6306" s="108">
        <v>44102</v>
      </c>
      <c r="P6306" s="65" t="s">
        <v>21</v>
      </c>
      <c r="Q6306" s="66" t="b">
        <v>0</v>
      </c>
      <c r="R6306" s="22">
        <f t="shared" si="132"/>
        <v>4</v>
      </c>
    </row>
    <row r="6307" spans="1:19" ht="24">
      <c r="A6307" s="59">
        <v>11815</v>
      </c>
      <c r="B6307" s="60">
        <v>44099</v>
      </c>
      <c r="C6307" s="61" t="s">
        <v>20941</v>
      </c>
      <c r="D6307" s="60">
        <v>44098</v>
      </c>
      <c r="E6307" s="61" t="s">
        <v>20942</v>
      </c>
      <c r="F6307" s="61" t="s">
        <v>8605</v>
      </c>
      <c r="G6307" s="61" t="s">
        <v>20</v>
      </c>
      <c r="H6307" s="61" t="s">
        <v>212</v>
      </c>
      <c r="I6307" s="61" t="s">
        <v>21</v>
      </c>
      <c r="J6307" s="61" t="s">
        <v>20833</v>
      </c>
      <c r="K6307" s="61" t="s">
        <v>20943</v>
      </c>
      <c r="L6307" s="61" t="s">
        <v>21243</v>
      </c>
      <c r="M6307" s="61" t="s">
        <v>4282</v>
      </c>
      <c r="O6307" s="60">
        <v>45183</v>
      </c>
      <c r="P6307" s="61" t="s">
        <v>21</v>
      </c>
      <c r="Q6307" s="59" t="b">
        <v>0</v>
      </c>
      <c r="R6307" s="22">
        <f t="shared" si="132"/>
        <v>1083</v>
      </c>
      <c r="S6307" s="37" t="s">
        <v>22156</v>
      </c>
    </row>
    <row r="6308" spans="1:19">
      <c r="A6308" s="64">
        <v>11816</v>
      </c>
      <c r="B6308" s="62">
        <v>44102</v>
      </c>
      <c r="C6308" s="63" t="s">
        <v>20944</v>
      </c>
      <c r="D6308" s="62">
        <v>44098</v>
      </c>
      <c r="E6308" s="63" t="s">
        <v>38</v>
      </c>
      <c r="F6308" s="63" t="s">
        <v>1743</v>
      </c>
      <c r="G6308" s="63" t="s">
        <v>20</v>
      </c>
      <c r="H6308" s="63" t="s">
        <v>71</v>
      </c>
      <c r="I6308" s="63" t="s">
        <v>21</v>
      </c>
      <c r="J6308" s="63" t="s">
        <v>20846</v>
      </c>
      <c r="K6308" s="63" t="s">
        <v>20945</v>
      </c>
      <c r="L6308" s="63" t="s">
        <v>4282</v>
      </c>
      <c r="M6308" s="63" t="s">
        <v>21</v>
      </c>
      <c r="O6308" s="101">
        <v>44105</v>
      </c>
      <c r="P6308" s="65" t="s">
        <v>21</v>
      </c>
      <c r="Q6308" s="66" t="b">
        <v>0</v>
      </c>
      <c r="R6308" s="22">
        <f t="shared" si="132"/>
        <v>3</v>
      </c>
    </row>
    <row r="6309" spans="1:19">
      <c r="A6309" s="64">
        <v>11817</v>
      </c>
      <c r="B6309" s="62">
        <v>44102</v>
      </c>
      <c r="C6309" s="63" t="s">
        <v>20946</v>
      </c>
      <c r="D6309" s="62">
        <v>44102</v>
      </c>
      <c r="E6309" s="63" t="s">
        <v>38</v>
      </c>
      <c r="F6309" s="63" t="s">
        <v>1743</v>
      </c>
      <c r="G6309" s="63" t="s">
        <v>20</v>
      </c>
      <c r="H6309" s="63" t="s">
        <v>71</v>
      </c>
      <c r="I6309" s="63" t="s">
        <v>21</v>
      </c>
      <c r="J6309" s="63" t="s">
        <v>232</v>
      </c>
      <c r="K6309" s="63" t="s">
        <v>20947</v>
      </c>
      <c r="L6309" s="63" t="s">
        <v>14909</v>
      </c>
      <c r="M6309" s="63" t="s">
        <v>21</v>
      </c>
      <c r="O6309" s="101">
        <v>44112</v>
      </c>
      <c r="P6309" s="65" t="s">
        <v>21</v>
      </c>
      <c r="Q6309" s="66" t="b">
        <v>0</v>
      </c>
      <c r="R6309" s="22">
        <f t="shared" si="132"/>
        <v>10</v>
      </c>
    </row>
    <row r="6310" spans="1:19">
      <c r="A6310" s="64">
        <v>11818</v>
      </c>
      <c r="B6310" s="62">
        <v>44103</v>
      </c>
      <c r="C6310" s="63" t="s">
        <v>20948</v>
      </c>
      <c r="D6310" s="62">
        <v>44099</v>
      </c>
      <c r="E6310" s="63" t="s">
        <v>38</v>
      </c>
      <c r="F6310" s="63" t="s">
        <v>27</v>
      </c>
      <c r="G6310" s="63" t="s">
        <v>20</v>
      </c>
      <c r="H6310" s="63" t="s">
        <v>71</v>
      </c>
      <c r="I6310" s="63" t="s">
        <v>21</v>
      </c>
      <c r="J6310" s="63" t="s">
        <v>20949</v>
      </c>
      <c r="K6310" s="63" t="s">
        <v>20950</v>
      </c>
      <c r="L6310" s="63" t="s">
        <v>14909</v>
      </c>
      <c r="M6310" s="63" t="s">
        <v>21</v>
      </c>
      <c r="O6310" s="101">
        <v>44106</v>
      </c>
      <c r="P6310" s="65" t="s">
        <v>21</v>
      </c>
      <c r="Q6310" s="66" t="b">
        <v>0</v>
      </c>
      <c r="R6310" s="22">
        <f t="shared" si="132"/>
        <v>3</v>
      </c>
    </row>
    <row r="6311" spans="1:19">
      <c r="A6311" s="64">
        <v>11819</v>
      </c>
      <c r="B6311" s="62">
        <v>44105</v>
      </c>
      <c r="C6311" s="63" t="s">
        <v>20951</v>
      </c>
      <c r="D6311" s="62">
        <v>44105</v>
      </c>
      <c r="E6311" s="63" t="s">
        <v>1928</v>
      </c>
      <c r="F6311" s="63" t="s">
        <v>1743</v>
      </c>
      <c r="G6311" s="63" t="s">
        <v>20</v>
      </c>
      <c r="H6311" s="63" t="s">
        <v>71</v>
      </c>
      <c r="I6311" s="63" t="s">
        <v>21</v>
      </c>
      <c r="J6311" s="63" t="s">
        <v>20952</v>
      </c>
      <c r="K6311" s="63" t="s">
        <v>20953</v>
      </c>
      <c r="L6311" s="63" t="s">
        <v>3271</v>
      </c>
      <c r="M6311" s="63" t="s">
        <v>21</v>
      </c>
      <c r="O6311" s="101">
        <v>44119</v>
      </c>
      <c r="P6311" s="65" t="s">
        <v>21</v>
      </c>
      <c r="Q6311" s="66" t="b">
        <v>0</v>
      </c>
      <c r="R6311" s="22">
        <f t="shared" ref="R6311:R6374" si="133">IF(O6311=" ", " ", INT(YEARFRAC(O6311, B6311)*365))</f>
        <v>14</v>
      </c>
    </row>
    <row r="6312" spans="1:19">
      <c r="A6312" s="64">
        <v>11820</v>
      </c>
      <c r="B6312" s="62">
        <v>44110</v>
      </c>
      <c r="C6312" s="63" t="s">
        <v>20954</v>
      </c>
      <c r="D6312" s="62">
        <v>44110</v>
      </c>
      <c r="E6312" s="63" t="s">
        <v>38</v>
      </c>
      <c r="F6312" s="63" t="s">
        <v>124</v>
      </c>
      <c r="G6312" s="63" t="s">
        <v>20</v>
      </c>
      <c r="H6312" s="63" t="s">
        <v>71</v>
      </c>
      <c r="I6312" s="63" t="s">
        <v>21</v>
      </c>
      <c r="J6312" s="63" t="s">
        <v>20955</v>
      </c>
      <c r="K6312" s="63" t="s">
        <v>20956</v>
      </c>
      <c r="L6312" s="63" t="s">
        <v>14909</v>
      </c>
      <c r="M6312" s="63" t="s">
        <v>21</v>
      </c>
      <c r="O6312" s="101">
        <v>44113</v>
      </c>
      <c r="P6312" s="65" t="s">
        <v>21</v>
      </c>
      <c r="Q6312" s="66" t="b">
        <v>0</v>
      </c>
      <c r="R6312" s="22">
        <f t="shared" si="133"/>
        <v>3</v>
      </c>
    </row>
    <row r="6313" spans="1:19">
      <c r="A6313" s="64">
        <v>11821</v>
      </c>
      <c r="B6313" s="62">
        <v>44112</v>
      </c>
      <c r="C6313" s="63" t="s">
        <v>20959</v>
      </c>
      <c r="D6313" s="62">
        <v>44110</v>
      </c>
      <c r="E6313" s="63" t="s">
        <v>20960</v>
      </c>
      <c r="F6313" s="63" t="s">
        <v>3434</v>
      </c>
      <c r="G6313" s="63" t="s">
        <v>20</v>
      </c>
      <c r="H6313" s="63" t="s">
        <v>71</v>
      </c>
      <c r="I6313" s="63" t="s">
        <v>21</v>
      </c>
      <c r="J6313" s="63" t="s">
        <v>20961</v>
      </c>
      <c r="K6313" s="63" t="s">
        <v>20962</v>
      </c>
      <c r="L6313" s="63" t="s">
        <v>14909</v>
      </c>
      <c r="M6313" s="63" t="s">
        <v>21</v>
      </c>
      <c r="O6313" s="101">
        <v>44182</v>
      </c>
      <c r="P6313" s="65" t="s">
        <v>21</v>
      </c>
      <c r="Q6313" s="66" t="b">
        <v>0</v>
      </c>
      <c r="R6313" s="22">
        <f t="shared" si="133"/>
        <v>69</v>
      </c>
    </row>
    <row r="6314" spans="1:19">
      <c r="A6314" s="64">
        <v>11822</v>
      </c>
      <c r="B6314" s="62">
        <v>44112</v>
      </c>
      <c r="C6314" s="63" t="s">
        <v>20957</v>
      </c>
      <c r="D6314" s="62">
        <v>44109</v>
      </c>
      <c r="E6314" s="63" t="s">
        <v>38</v>
      </c>
      <c r="F6314" s="63" t="s">
        <v>124</v>
      </c>
      <c r="G6314" s="63" t="s">
        <v>20</v>
      </c>
      <c r="H6314" s="63" t="s">
        <v>71</v>
      </c>
      <c r="I6314" s="63" t="s">
        <v>21</v>
      </c>
      <c r="J6314" s="63" t="s">
        <v>20958</v>
      </c>
      <c r="K6314" s="63" t="s">
        <v>3538</v>
      </c>
      <c r="L6314" s="63" t="s">
        <v>14909</v>
      </c>
      <c r="M6314" s="63" t="s">
        <v>21</v>
      </c>
      <c r="O6314" s="101">
        <v>44118</v>
      </c>
      <c r="P6314" s="65" t="s">
        <v>21</v>
      </c>
      <c r="Q6314" s="66" t="b">
        <v>0</v>
      </c>
      <c r="R6314" s="22">
        <f t="shared" si="133"/>
        <v>6</v>
      </c>
    </row>
    <row r="6315" spans="1:19">
      <c r="A6315" s="64">
        <v>11823</v>
      </c>
      <c r="B6315" s="62">
        <v>44117</v>
      </c>
      <c r="C6315" s="63" t="s">
        <v>20963</v>
      </c>
      <c r="D6315" s="62">
        <v>44116</v>
      </c>
      <c r="E6315" s="63" t="s">
        <v>38</v>
      </c>
      <c r="F6315" s="63" t="s">
        <v>12404</v>
      </c>
      <c r="G6315" s="63" t="s">
        <v>20</v>
      </c>
      <c r="H6315" s="63" t="s">
        <v>71</v>
      </c>
      <c r="I6315" s="63" t="s">
        <v>21</v>
      </c>
      <c r="J6315" s="63" t="s">
        <v>20964</v>
      </c>
      <c r="K6315" s="63" t="s">
        <v>20139</v>
      </c>
      <c r="L6315" s="63" t="s">
        <v>14909</v>
      </c>
      <c r="M6315" s="63" t="s">
        <v>21</v>
      </c>
      <c r="O6315" s="101">
        <v>44120</v>
      </c>
      <c r="P6315" s="65" t="s">
        <v>21</v>
      </c>
      <c r="Q6315" s="66" t="b">
        <v>0</v>
      </c>
      <c r="R6315" s="22">
        <f t="shared" si="133"/>
        <v>3</v>
      </c>
    </row>
    <row r="6316" spans="1:19">
      <c r="A6316" s="64">
        <v>11824</v>
      </c>
      <c r="B6316" s="62">
        <v>44119</v>
      </c>
      <c r="C6316" s="63" t="s">
        <v>20965</v>
      </c>
      <c r="D6316" s="62">
        <v>44119</v>
      </c>
      <c r="E6316" s="63" t="s">
        <v>38</v>
      </c>
      <c r="F6316" s="63" t="s">
        <v>2146</v>
      </c>
      <c r="G6316" s="63" t="s">
        <v>20</v>
      </c>
      <c r="H6316" s="63" t="s">
        <v>189</v>
      </c>
      <c r="I6316" s="63" t="s">
        <v>21</v>
      </c>
      <c r="J6316" s="63" t="s">
        <v>20966</v>
      </c>
      <c r="K6316" s="63" t="s">
        <v>20967</v>
      </c>
      <c r="L6316" s="63" t="s">
        <v>14909</v>
      </c>
      <c r="M6316" s="63" t="s">
        <v>21</v>
      </c>
      <c r="O6316" s="101">
        <v>44125</v>
      </c>
      <c r="P6316" s="65" t="s">
        <v>21</v>
      </c>
      <c r="Q6316" s="66" t="b">
        <v>0</v>
      </c>
      <c r="R6316" s="22">
        <f t="shared" si="133"/>
        <v>6</v>
      </c>
    </row>
    <row r="6317" spans="1:19" ht="48">
      <c r="A6317" s="59">
        <v>11825</v>
      </c>
      <c r="B6317" s="60">
        <v>44119</v>
      </c>
      <c r="C6317" s="61" t="s">
        <v>20968</v>
      </c>
      <c r="D6317" s="60">
        <v>44119</v>
      </c>
      <c r="E6317" s="61" t="s">
        <v>20969</v>
      </c>
      <c r="F6317" s="61" t="s">
        <v>2565</v>
      </c>
      <c r="G6317" s="61" t="s">
        <v>20</v>
      </c>
      <c r="H6317" s="61" t="s">
        <v>189</v>
      </c>
      <c r="I6317" s="61" t="s">
        <v>21</v>
      </c>
      <c r="J6317" s="61" t="s">
        <v>20970</v>
      </c>
      <c r="K6317" s="61" t="s">
        <v>20971</v>
      </c>
      <c r="L6317" s="61" t="s">
        <v>21573</v>
      </c>
      <c r="M6317" s="61" t="s">
        <v>4282</v>
      </c>
      <c r="O6317" s="29">
        <v>44998</v>
      </c>
      <c r="P6317" s="61" t="s">
        <v>21</v>
      </c>
      <c r="Q6317" s="59" t="b">
        <v>0</v>
      </c>
      <c r="R6317" s="22">
        <f t="shared" si="133"/>
        <v>880</v>
      </c>
      <c r="S6317" s="37" t="s">
        <v>22154</v>
      </c>
    </row>
    <row r="6318" spans="1:19">
      <c r="A6318" s="64">
        <v>11826</v>
      </c>
      <c r="B6318" s="62">
        <v>44120</v>
      </c>
      <c r="C6318" s="63" t="s">
        <v>20974</v>
      </c>
      <c r="D6318" s="62">
        <v>44120</v>
      </c>
      <c r="E6318" s="63" t="s">
        <v>38</v>
      </c>
      <c r="F6318" s="63" t="s">
        <v>145</v>
      </c>
      <c r="G6318" s="63" t="s">
        <v>20</v>
      </c>
      <c r="H6318" s="63" t="s">
        <v>71</v>
      </c>
      <c r="I6318" s="63" t="s">
        <v>21</v>
      </c>
      <c r="J6318" s="63" t="s">
        <v>20975</v>
      </c>
      <c r="K6318" s="63" t="s">
        <v>20976</v>
      </c>
      <c r="L6318" s="63" t="s">
        <v>14909</v>
      </c>
      <c r="M6318" s="63" t="s">
        <v>21</v>
      </c>
      <c r="O6318" s="108">
        <v>44267</v>
      </c>
      <c r="P6318" s="65" t="s">
        <v>21</v>
      </c>
      <c r="Q6318" s="66" t="b">
        <v>0</v>
      </c>
      <c r="R6318" s="22">
        <f t="shared" si="133"/>
        <v>148</v>
      </c>
    </row>
    <row r="6319" spans="1:19">
      <c r="A6319" s="64">
        <v>11827</v>
      </c>
      <c r="B6319" s="62">
        <v>44120</v>
      </c>
      <c r="C6319" s="63" t="s">
        <v>20972</v>
      </c>
      <c r="D6319" s="62">
        <v>44120</v>
      </c>
      <c r="E6319" s="63" t="s">
        <v>38</v>
      </c>
      <c r="F6319" s="63" t="s">
        <v>1743</v>
      </c>
      <c r="G6319" s="63" t="s">
        <v>20</v>
      </c>
      <c r="H6319" s="63" t="s">
        <v>71</v>
      </c>
      <c r="I6319" s="63" t="s">
        <v>21</v>
      </c>
      <c r="J6319" s="63" t="s">
        <v>20973</v>
      </c>
      <c r="K6319" s="63" t="s">
        <v>1928</v>
      </c>
      <c r="L6319" s="63" t="s">
        <v>14349</v>
      </c>
      <c r="M6319" s="63" t="s">
        <v>21</v>
      </c>
      <c r="O6319" s="108">
        <v>44120</v>
      </c>
      <c r="P6319" s="65" t="s">
        <v>21</v>
      </c>
      <c r="Q6319" s="66" t="b">
        <v>0</v>
      </c>
      <c r="R6319" s="22">
        <f t="shared" si="133"/>
        <v>0</v>
      </c>
    </row>
    <row r="6320" spans="1:19">
      <c r="A6320" s="64">
        <v>11828</v>
      </c>
      <c r="B6320" s="62">
        <v>44124</v>
      </c>
      <c r="C6320" s="63" t="s">
        <v>20977</v>
      </c>
      <c r="D6320" s="62">
        <v>44124</v>
      </c>
      <c r="E6320" s="63" t="s">
        <v>38</v>
      </c>
      <c r="F6320" s="63" t="s">
        <v>1743</v>
      </c>
      <c r="G6320" s="63" t="s">
        <v>20</v>
      </c>
      <c r="H6320" s="63" t="s">
        <v>71</v>
      </c>
      <c r="I6320" s="63" t="s">
        <v>21</v>
      </c>
      <c r="J6320" s="63" t="s">
        <v>20978</v>
      </c>
      <c r="K6320" s="63" t="s">
        <v>20979</v>
      </c>
      <c r="L6320" s="63" t="s">
        <v>14909</v>
      </c>
      <c r="M6320" s="63" t="s">
        <v>21</v>
      </c>
      <c r="O6320" s="108">
        <v>44131</v>
      </c>
      <c r="P6320" s="65" t="s">
        <v>21</v>
      </c>
      <c r="Q6320" s="66" t="b">
        <v>0</v>
      </c>
      <c r="R6320" s="22">
        <f t="shared" si="133"/>
        <v>7</v>
      </c>
    </row>
    <row r="6321" spans="1:19">
      <c r="A6321" s="64">
        <v>11829</v>
      </c>
      <c r="B6321" s="62">
        <v>44125</v>
      </c>
      <c r="C6321" s="63" t="s">
        <v>20980</v>
      </c>
      <c r="D6321" s="62">
        <v>44125</v>
      </c>
      <c r="E6321" s="63" t="s">
        <v>38</v>
      </c>
      <c r="F6321" s="63" t="s">
        <v>52</v>
      </c>
      <c r="G6321" s="63" t="s">
        <v>20</v>
      </c>
      <c r="H6321" s="63" t="s">
        <v>71</v>
      </c>
      <c r="I6321" s="63" t="s">
        <v>21</v>
      </c>
      <c r="J6321" s="63" t="s">
        <v>20981</v>
      </c>
      <c r="K6321" s="63" t="s">
        <v>20982</v>
      </c>
      <c r="L6321" s="63" t="s">
        <v>21142</v>
      </c>
      <c r="M6321" s="63" t="s">
        <v>14909</v>
      </c>
      <c r="O6321" s="45">
        <v>44658</v>
      </c>
      <c r="P6321" s="65" t="s">
        <v>21</v>
      </c>
      <c r="Q6321" s="66" t="b">
        <v>0</v>
      </c>
      <c r="R6321" s="22">
        <f t="shared" si="133"/>
        <v>533</v>
      </c>
      <c r="S6321" s="46" t="s">
        <v>21</v>
      </c>
    </row>
    <row r="6322" spans="1:19" ht="24">
      <c r="A6322" s="64">
        <v>11830</v>
      </c>
      <c r="B6322" s="62">
        <v>44126</v>
      </c>
      <c r="C6322" s="63" t="s">
        <v>20983</v>
      </c>
      <c r="D6322" s="62">
        <v>44126</v>
      </c>
      <c r="E6322" s="63" t="s">
        <v>20984</v>
      </c>
      <c r="F6322" s="63" t="s">
        <v>70</v>
      </c>
      <c r="G6322" s="63" t="s">
        <v>20</v>
      </c>
      <c r="H6322" s="63" t="s">
        <v>71</v>
      </c>
      <c r="I6322" s="63" t="s">
        <v>21</v>
      </c>
      <c r="J6322" s="63" t="s">
        <v>20985</v>
      </c>
      <c r="K6322" s="63" t="s">
        <v>6081</v>
      </c>
      <c r="L6322" s="63" t="s">
        <v>14909</v>
      </c>
      <c r="M6322" s="63" t="s">
        <v>7167</v>
      </c>
      <c r="O6322" s="101">
        <v>44203</v>
      </c>
      <c r="P6322" s="65" t="s">
        <v>21</v>
      </c>
      <c r="Q6322" s="66" t="b">
        <v>0</v>
      </c>
      <c r="R6322" s="22">
        <f t="shared" si="133"/>
        <v>76</v>
      </c>
    </row>
    <row r="6323" spans="1:19">
      <c r="A6323" s="64">
        <v>11831</v>
      </c>
      <c r="B6323" s="62">
        <v>44127</v>
      </c>
      <c r="C6323" s="63" t="s">
        <v>20986</v>
      </c>
      <c r="D6323" s="62">
        <v>44125</v>
      </c>
      <c r="E6323" s="63" t="s">
        <v>20987</v>
      </c>
      <c r="F6323" s="63" t="s">
        <v>52</v>
      </c>
      <c r="G6323" s="63" t="s">
        <v>20</v>
      </c>
      <c r="H6323" s="63" t="s">
        <v>71</v>
      </c>
      <c r="I6323" s="63" t="s">
        <v>21</v>
      </c>
      <c r="J6323" s="63" t="s">
        <v>20988</v>
      </c>
      <c r="K6323" s="63" t="s">
        <v>20989</v>
      </c>
      <c r="L6323" s="63" t="s">
        <v>14909</v>
      </c>
      <c r="M6323" s="63" t="s">
        <v>21</v>
      </c>
      <c r="O6323" s="101">
        <v>44180</v>
      </c>
      <c r="P6323" s="65" t="s">
        <v>21</v>
      </c>
      <c r="Q6323" s="66" t="b">
        <v>0</v>
      </c>
      <c r="R6323" s="22">
        <f t="shared" si="133"/>
        <v>52</v>
      </c>
    </row>
    <row r="6324" spans="1:19">
      <c r="A6324" s="64">
        <v>11832</v>
      </c>
      <c r="B6324" s="62">
        <v>44130</v>
      </c>
      <c r="C6324" s="63" t="s">
        <v>20990</v>
      </c>
      <c r="D6324" s="62">
        <v>44127</v>
      </c>
      <c r="E6324" s="63" t="s">
        <v>1928</v>
      </c>
      <c r="F6324" s="63" t="s">
        <v>149</v>
      </c>
      <c r="G6324" s="63" t="s">
        <v>20</v>
      </c>
      <c r="H6324" s="63" t="s">
        <v>71</v>
      </c>
      <c r="I6324" s="63" t="s">
        <v>21</v>
      </c>
      <c r="J6324" s="63" t="s">
        <v>20991</v>
      </c>
      <c r="K6324" s="63" t="s">
        <v>7217</v>
      </c>
      <c r="L6324" s="63" t="s">
        <v>14909</v>
      </c>
      <c r="M6324" s="63" t="s">
        <v>21</v>
      </c>
      <c r="O6324" s="101">
        <v>44147</v>
      </c>
      <c r="P6324" s="65" t="s">
        <v>21</v>
      </c>
      <c r="Q6324" s="66" t="b">
        <v>0</v>
      </c>
      <c r="R6324" s="22">
        <f t="shared" si="133"/>
        <v>16</v>
      </c>
    </row>
    <row r="6325" spans="1:19">
      <c r="A6325" s="64">
        <v>11833</v>
      </c>
      <c r="B6325" s="62">
        <v>44130</v>
      </c>
      <c r="C6325" s="63" t="s">
        <v>20992</v>
      </c>
      <c r="D6325" s="62">
        <v>44119</v>
      </c>
      <c r="E6325" s="63" t="s">
        <v>20993</v>
      </c>
      <c r="F6325" s="63" t="s">
        <v>283</v>
      </c>
      <c r="G6325" s="63" t="s">
        <v>20</v>
      </c>
      <c r="H6325" s="63" t="s">
        <v>71</v>
      </c>
      <c r="I6325" s="63" t="s">
        <v>21</v>
      </c>
      <c r="J6325" s="63" t="s">
        <v>20994</v>
      </c>
      <c r="K6325" s="63" t="s">
        <v>20995</v>
      </c>
      <c r="L6325" s="63" t="s">
        <v>7167</v>
      </c>
      <c r="M6325" s="63" t="s">
        <v>21</v>
      </c>
      <c r="O6325" s="101">
        <v>44545</v>
      </c>
      <c r="P6325" s="65" t="s">
        <v>21</v>
      </c>
      <c r="Q6325" s="66" t="b">
        <v>1</v>
      </c>
      <c r="R6325" s="22">
        <f t="shared" si="133"/>
        <v>414</v>
      </c>
    </row>
    <row r="6326" spans="1:19">
      <c r="A6326" s="64">
        <v>11834</v>
      </c>
      <c r="B6326" s="62">
        <v>44130</v>
      </c>
      <c r="C6326" s="63" t="s">
        <v>20996</v>
      </c>
      <c r="D6326" s="62">
        <v>44119</v>
      </c>
      <c r="E6326" s="63" t="s">
        <v>20997</v>
      </c>
      <c r="F6326" s="63" t="s">
        <v>56</v>
      </c>
      <c r="G6326" s="63" t="s">
        <v>20</v>
      </c>
      <c r="H6326" s="63" t="s">
        <v>71</v>
      </c>
      <c r="I6326" s="63" t="s">
        <v>21</v>
      </c>
      <c r="J6326" s="63" t="s">
        <v>20998</v>
      </c>
      <c r="K6326" s="63" t="s">
        <v>20995</v>
      </c>
      <c r="L6326" s="63" t="s">
        <v>7167</v>
      </c>
      <c r="M6326" s="63" t="s">
        <v>21</v>
      </c>
      <c r="O6326" s="101">
        <v>44287</v>
      </c>
      <c r="P6326" s="65" t="s">
        <v>21</v>
      </c>
      <c r="Q6326" s="66" t="b">
        <v>1</v>
      </c>
      <c r="R6326" s="22">
        <f t="shared" si="133"/>
        <v>157</v>
      </c>
    </row>
    <row r="6327" spans="1:19" ht="24">
      <c r="A6327" s="64">
        <v>11836</v>
      </c>
      <c r="B6327" s="62">
        <v>44137</v>
      </c>
      <c r="C6327" s="63" t="s">
        <v>21002</v>
      </c>
      <c r="D6327" s="62">
        <v>44127</v>
      </c>
      <c r="E6327" s="63" t="s">
        <v>38</v>
      </c>
      <c r="F6327" s="63" t="s">
        <v>21003</v>
      </c>
      <c r="G6327" s="63" t="s">
        <v>20</v>
      </c>
      <c r="H6327" s="63" t="s">
        <v>71</v>
      </c>
      <c r="I6327" s="63" t="s">
        <v>21</v>
      </c>
      <c r="J6327" s="63" t="s">
        <v>21004</v>
      </c>
      <c r="K6327" s="63" t="s">
        <v>21005</v>
      </c>
      <c r="L6327" s="63" t="s">
        <v>7167</v>
      </c>
      <c r="M6327" s="63" t="s">
        <v>4282</v>
      </c>
      <c r="O6327" s="108">
        <v>44210</v>
      </c>
      <c r="P6327" s="65" t="s">
        <v>21</v>
      </c>
      <c r="Q6327" s="66" t="b">
        <v>1</v>
      </c>
      <c r="R6327" s="22">
        <f t="shared" si="133"/>
        <v>73</v>
      </c>
    </row>
    <row r="6328" spans="1:19">
      <c r="A6328" s="64">
        <v>11837</v>
      </c>
      <c r="B6328" s="62">
        <v>44137</v>
      </c>
      <c r="C6328" s="63" t="s">
        <v>20999</v>
      </c>
      <c r="D6328" s="62">
        <v>44134</v>
      </c>
      <c r="E6328" s="63" t="s">
        <v>38</v>
      </c>
      <c r="F6328" s="63" t="s">
        <v>984</v>
      </c>
      <c r="G6328" s="63" t="s">
        <v>20</v>
      </c>
      <c r="H6328" s="63" t="s">
        <v>71</v>
      </c>
      <c r="I6328" s="63" t="s">
        <v>21</v>
      </c>
      <c r="J6328" s="63" t="s">
        <v>21000</v>
      </c>
      <c r="K6328" s="63" t="s">
        <v>21001</v>
      </c>
      <c r="L6328" s="63" t="s">
        <v>14909</v>
      </c>
      <c r="M6328" s="63" t="s">
        <v>21</v>
      </c>
      <c r="O6328" s="101">
        <v>44147</v>
      </c>
      <c r="P6328" s="65" t="s">
        <v>21</v>
      </c>
      <c r="Q6328" s="66" t="b">
        <v>1</v>
      </c>
      <c r="R6328" s="22">
        <f t="shared" si="133"/>
        <v>10</v>
      </c>
    </row>
    <row r="6329" spans="1:19" ht="48">
      <c r="A6329" s="59">
        <v>11838</v>
      </c>
      <c r="B6329" s="60">
        <v>44137</v>
      </c>
      <c r="C6329" s="61" t="s">
        <v>21010</v>
      </c>
      <c r="D6329" s="60">
        <v>44133</v>
      </c>
      <c r="E6329" s="61" t="s">
        <v>21011</v>
      </c>
      <c r="F6329" s="61" t="s">
        <v>8358</v>
      </c>
      <c r="G6329" s="61" t="s">
        <v>20</v>
      </c>
      <c r="H6329" s="61" t="s">
        <v>71</v>
      </c>
      <c r="I6329" s="61" t="s">
        <v>21</v>
      </c>
      <c r="J6329" s="61" t="s">
        <v>21012</v>
      </c>
      <c r="K6329" s="61" t="s">
        <v>20909</v>
      </c>
      <c r="L6329" s="61" t="s">
        <v>7167</v>
      </c>
      <c r="M6329" s="61" t="s">
        <v>21</v>
      </c>
      <c r="O6329" s="29">
        <v>45131</v>
      </c>
      <c r="P6329" s="61" t="s">
        <v>21</v>
      </c>
      <c r="Q6329" s="59" t="b">
        <v>1</v>
      </c>
      <c r="R6329" s="22">
        <f t="shared" si="133"/>
        <v>995</v>
      </c>
      <c r="S6329" s="37" t="s">
        <v>22157</v>
      </c>
    </row>
    <row r="6330" spans="1:19">
      <c r="A6330" s="64">
        <v>11839</v>
      </c>
      <c r="B6330" s="62">
        <v>44137</v>
      </c>
      <c r="C6330" s="63" t="s">
        <v>21006</v>
      </c>
      <c r="D6330" s="62">
        <v>44125</v>
      </c>
      <c r="E6330" s="63" t="s">
        <v>21007</v>
      </c>
      <c r="F6330" s="63" t="s">
        <v>149</v>
      </c>
      <c r="G6330" s="63" t="s">
        <v>20</v>
      </c>
      <c r="H6330" s="63" t="s">
        <v>71</v>
      </c>
      <c r="I6330" s="63" t="s">
        <v>21</v>
      </c>
      <c r="J6330" s="63" t="s">
        <v>21008</v>
      </c>
      <c r="K6330" s="63" t="s">
        <v>21009</v>
      </c>
      <c r="L6330" s="63" t="s">
        <v>7167</v>
      </c>
      <c r="M6330" s="63" t="s">
        <v>21</v>
      </c>
      <c r="O6330" s="108">
        <v>44453</v>
      </c>
      <c r="P6330" s="65" t="s">
        <v>31</v>
      </c>
      <c r="Q6330" s="66" t="b">
        <v>0</v>
      </c>
      <c r="R6330" s="22">
        <f t="shared" si="133"/>
        <v>316</v>
      </c>
    </row>
    <row r="6331" spans="1:19">
      <c r="A6331" s="64">
        <v>11840</v>
      </c>
      <c r="B6331" s="62">
        <v>44139</v>
      </c>
      <c r="C6331" s="63" t="s">
        <v>21013</v>
      </c>
      <c r="D6331" s="62">
        <v>44138</v>
      </c>
      <c r="E6331" s="63" t="s">
        <v>1928</v>
      </c>
      <c r="F6331" s="63" t="s">
        <v>14836</v>
      </c>
      <c r="G6331" s="63" t="s">
        <v>20</v>
      </c>
      <c r="H6331" s="63" t="s">
        <v>71</v>
      </c>
      <c r="I6331" s="63" t="s">
        <v>21</v>
      </c>
      <c r="J6331" s="63" t="s">
        <v>21014</v>
      </c>
      <c r="K6331" s="63" t="s">
        <v>21015</v>
      </c>
      <c r="L6331" s="63" t="s">
        <v>4282</v>
      </c>
      <c r="M6331" s="63" t="s">
        <v>21</v>
      </c>
      <c r="O6331" s="101">
        <v>44139</v>
      </c>
      <c r="P6331" s="65" t="s">
        <v>21</v>
      </c>
      <c r="Q6331" s="66" t="b">
        <v>1</v>
      </c>
      <c r="R6331" s="22">
        <f t="shared" si="133"/>
        <v>0</v>
      </c>
    </row>
    <row r="6332" spans="1:19" ht="24">
      <c r="A6332" s="64">
        <v>11841</v>
      </c>
      <c r="B6332" s="62">
        <v>44139</v>
      </c>
      <c r="C6332" s="63" t="s">
        <v>21016</v>
      </c>
      <c r="D6332" s="62">
        <v>44131</v>
      </c>
      <c r="E6332" s="63" t="s">
        <v>38</v>
      </c>
      <c r="F6332" s="63" t="s">
        <v>5690</v>
      </c>
      <c r="G6332" s="63" t="s">
        <v>20</v>
      </c>
      <c r="H6332" s="63" t="s">
        <v>71</v>
      </c>
      <c r="I6332" s="63" t="s">
        <v>21</v>
      </c>
      <c r="J6332" s="63" t="s">
        <v>802</v>
      </c>
      <c r="K6332" s="63" t="s">
        <v>21017</v>
      </c>
      <c r="L6332" s="63" t="s">
        <v>14909</v>
      </c>
      <c r="M6332" s="63" t="s">
        <v>21</v>
      </c>
      <c r="O6332" s="108">
        <v>44362</v>
      </c>
      <c r="P6332" s="65" t="s">
        <v>21</v>
      </c>
      <c r="Q6332" s="66" t="b">
        <v>1</v>
      </c>
      <c r="R6332" s="22">
        <f t="shared" si="133"/>
        <v>224</v>
      </c>
    </row>
    <row r="6333" spans="1:19">
      <c r="A6333" s="64">
        <v>11842</v>
      </c>
      <c r="B6333" s="62">
        <v>44140</v>
      </c>
      <c r="C6333" s="63" t="s">
        <v>21018</v>
      </c>
      <c r="D6333" s="62">
        <v>44139</v>
      </c>
      <c r="E6333" s="63" t="s">
        <v>38</v>
      </c>
      <c r="F6333" s="63" t="s">
        <v>19</v>
      </c>
      <c r="G6333" s="63" t="s">
        <v>20</v>
      </c>
      <c r="H6333" s="63" t="s">
        <v>71</v>
      </c>
      <c r="I6333" s="63" t="s">
        <v>21</v>
      </c>
      <c r="J6333" s="63" t="s">
        <v>21019</v>
      </c>
      <c r="K6333" s="63" t="s">
        <v>21020</v>
      </c>
      <c r="L6333" s="63" t="s">
        <v>14909</v>
      </c>
      <c r="M6333" s="63" t="s">
        <v>21</v>
      </c>
      <c r="O6333" s="108">
        <v>44152</v>
      </c>
      <c r="P6333" s="65" t="s">
        <v>21</v>
      </c>
      <c r="Q6333" s="66" t="b">
        <v>1</v>
      </c>
      <c r="R6333" s="22">
        <f t="shared" si="133"/>
        <v>12</v>
      </c>
    </row>
    <row r="6334" spans="1:19" ht="24">
      <c r="A6334" s="64">
        <v>11843</v>
      </c>
      <c r="B6334" s="62">
        <v>44141</v>
      </c>
      <c r="C6334" s="63" t="s">
        <v>21021</v>
      </c>
      <c r="D6334" s="62">
        <v>44140</v>
      </c>
      <c r="E6334" s="63" t="s">
        <v>38</v>
      </c>
      <c r="F6334" s="63" t="s">
        <v>2146</v>
      </c>
      <c r="G6334" s="63" t="s">
        <v>20</v>
      </c>
      <c r="H6334" s="63" t="s">
        <v>71</v>
      </c>
      <c r="I6334" s="63" t="s">
        <v>21</v>
      </c>
      <c r="J6334" s="63" t="s">
        <v>21022</v>
      </c>
      <c r="K6334" s="63" t="s">
        <v>21023</v>
      </c>
      <c r="L6334" s="63" t="s">
        <v>14909</v>
      </c>
      <c r="M6334" s="63" t="s">
        <v>21</v>
      </c>
      <c r="O6334" s="101">
        <v>44152</v>
      </c>
      <c r="P6334" s="65" t="s">
        <v>21</v>
      </c>
      <c r="Q6334" s="66" t="b">
        <v>1</v>
      </c>
      <c r="R6334" s="22">
        <f t="shared" si="133"/>
        <v>11</v>
      </c>
    </row>
    <row r="6335" spans="1:19">
      <c r="A6335" s="64">
        <v>11844</v>
      </c>
      <c r="B6335" s="62">
        <v>44144</v>
      </c>
      <c r="C6335" s="63" t="s">
        <v>21024</v>
      </c>
      <c r="D6335" s="62">
        <v>44141</v>
      </c>
      <c r="E6335" s="63" t="s">
        <v>38</v>
      </c>
      <c r="F6335" s="63" t="s">
        <v>12404</v>
      </c>
      <c r="G6335" s="63" t="s">
        <v>20</v>
      </c>
      <c r="H6335" s="63" t="s">
        <v>71</v>
      </c>
      <c r="I6335" s="63" t="s">
        <v>21</v>
      </c>
      <c r="J6335" s="63" t="s">
        <v>21025</v>
      </c>
      <c r="K6335" s="63" t="s">
        <v>21026</v>
      </c>
      <c r="L6335" s="63" t="s">
        <v>7167</v>
      </c>
      <c r="M6335" s="63" t="s">
        <v>21</v>
      </c>
      <c r="O6335" s="108">
        <v>44154</v>
      </c>
      <c r="P6335" s="65" t="s">
        <v>21</v>
      </c>
      <c r="Q6335" s="66" t="b">
        <v>1</v>
      </c>
      <c r="R6335" s="22">
        <f t="shared" si="133"/>
        <v>10</v>
      </c>
    </row>
    <row r="6336" spans="1:19">
      <c r="A6336" s="64">
        <v>11845</v>
      </c>
      <c r="B6336" s="62">
        <v>44147</v>
      </c>
      <c r="C6336" s="63" t="s">
        <v>21027</v>
      </c>
      <c r="D6336" s="62">
        <v>44145</v>
      </c>
      <c r="E6336" s="63" t="s">
        <v>38</v>
      </c>
      <c r="F6336" s="63" t="s">
        <v>21028</v>
      </c>
      <c r="G6336" s="63" t="s">
        <v>20</v>
      </c>
      <c r="H6336" s="63" t="s">
        <v>71</v>
      </c>
      <c r="I6336" s="63" t="s">
        <v>21</v>
      </c>
      <c r="J6336" s="63" t="s">
        <v>21029</v>
      </c>
      <c r="K6336" s="63" t="s">
        <v>3083</v>
      </c>
      <c r="L6336" s="63" t="s">
        <v>14909</v>
      </c>
      <c r="M6336" s="63" t="s">
        <v>21</v>
      </c>
      <c r="O6336" s="108">
        <v>44162</v>
      </c>
      <c r="P6336" s="65" t="s">
        <v>21</v>
      </c>
      <c r="Q6336" s="66" t="b">
        <v>1</v>
      </c>
      <c r="R6336" s="22">
        <f t="shared" si="133"/>
        <v>15</v>
      </c>
    </row>
    <row r="6337" spans="1:19">
      <c r="A6337" s="64">
        <v>11848</v>
      </c>
      <c r="B6337" s="62">
        <v>44151</v>
      </c>
      <c r="C6337" s="63" t="s">
        <v>21030</v>
      </c>
      <c r="D6337" s="62">
        <v>44147</v>
      </c>
      <c r="E6337" s="63" t="s">
        <v>21031</v>
      </c>
      <c r="F6337" s="63" t="s">
        <v>5690</v>
      </c>
      <c r="G6337" s="63" t="s">
        <v>20</v>
      </c>
      <c r="H6337" s="63" t="s">
        <v>71</v>
      </c>
      <c r="I6337" s="63" t="s">
        <v>21</v>
      </c>
      <c r="J6337" s="63" t="s">
        <v>21032</v>
      </c>
      <c r="K6337" s="63" t="s">
        <v>21033</v>
      </c>
      <c r="L6337" s="63" t="s">
        <v>21243</v>
      </c>
      <c r="M6337" s="63" t="s">
        <v>4282</v>
      </c>
      <c r="O6337" s="45">
        <v>44677</v>
      </c>
      <c r="P6337" s="65" t="s">
        <v>21</v>
      </c>
      <c r="Q6337" s="66" t="b">
        <v>1</v>
      </c>
      <c r="R6337" s="22">
        <f t="shared" si="133"/>
        <v>527</v>
      </c>
      <c r="S6337" s="46" t="s">
        <v>21</v>
      </c>
    </row>
    <row r="6338" spans="1:19">
      <c r="A6338" s="64">
        <v>11849</v>
      </c>
      <c r="B6338" s="62">
        <v>44158</v>
      </c>
      <c r="C6338" s="63" t="s">
        <v>21034</v>
      </c>
      <c r="D6338" s="62">
        <v>44155</v>
      </c>
      <c r="E6338" s="63" t="s">
        <v>21035</v>
      </c>
      <c r="F6338" s="63" t="s">
        <v>19</v>
      </c>
      <c r="G6338" s="63" t="s">
        <v>20</v>
      </c>
      <c r="H6338" s="63" t="s">
        <v>71</v>
      </c>
      <c r="I6338" s="63" t="s">
        <v>21</v>
      </c>
      <c r="J6338" s="63" t="s">
        <v>21036</v>
      </c>
      <c r="K6338" s="63" t="s">
        <v>21037</v>
      </c>
      <c r="L6338" s="63" t="s">
        <v>7167</v>
      </c>
      <c r="M6338" s="63" t="s">
        <v>21</v>
      </c>
      <c r="O6338" s="108">
        <v>44173</v>
      </c>
      <c r="P6338" s="65" t="s">
        <v>21</v>
      </c>
      <c r="Q6338" s="66" t="b">
        <v>1</v>
      </c>
      <c r="R6338" s="22">
        <f t="shared" si="133"/>
        <v>15</v>
      </c>
    </row>
    <row r="6339" spans="1:19">
      <c r="A6339" s="64">
        <v>11851</v>
      </c>
      <c r="B6339" s="62">
        <v>44174</v>
      </c>
      <c r="C6339" s="63" t="s">
        <v>21038</v>
      </c>
      <c r="D6339" s="62">
        <v>44168</v>
      </c>
      <c r="E6339" s="63" t="s">
        <v>38</v>
      </c>
      <c r="F6339" s="63" t="s">
        <v>70</v>
      </c>
      <c r="G6339" s="63" t="s">
        <v>20</v>
      </c>
      <c r="H6339" s="63" t="s">
        <v>71</v>
      </c>
      <c r="I6339" s="63" t="s">
        <v>21</v>
      </c>
      <c r="J6339" s="63" t="s">
        <v>21039</v>
      </c>
      <c r="K6339" s="63" t="s">
        <v>5182</v>
      </c>
      <c r="L6339" s="63" t="s">
        <v>14909</v>
      </c>
      <c r="M6339" s="63" t="s">
        <v>21</v>
      </c>
      <c r="O6339" s="108">
        <v>44179</v>
      </c>
      <c r="P6339" s="65" t="s">
        <v>21</v>
      </c>
      <c r="Q6339" s="66" t="b">
        <v>1</v>
      </c>
      <c r="R6339" s="22">
        <f t="shared" si="133"/>
        <v>5</v>
      </c>
    </row>
    <row r="6340" spans="1:19">
      <c r="A6340" s="64">
        <v>11852</v>
      </c>
      <c r="B6340" s="62">
        <v>44181</v>
      </c>
      <c r="C6340" s="63" t="s">
        <v>21040</v>
      </c>
      <c r="D6340" s="62">
        <v>44176</v>
      </c>
      <c r="E6340" s="63" t="s">
        <v>38</v>
      </c>
      <c r="F6340" s="63" t="s">
        <v>21</v>
      </c>
      <c r="G6340" s="63" t="s">
        <v>20</v>
      </c>
      <c r="H6340" s="63" t="s">
        <v>71</v>
      </c>
      <c r="I6340" s="63" t="s">
        <v>21</v>
      </c>
      <c r="J6340" s="63" t="s">
        <v>21041</v>
      </c>
      <c r="K6340" s="63" t="s">
        <v>21042</v>
      </c>
      <c r="L6340" s="63" t="s">
        <v>7167</v>
      </c>
      <c r="M6340" s="63" t="s">
        <v>21</v>
      </c>
      <c r="O6340" s="108">
        <v>44187</v>
      </c>
      <c r="P6340" s="65" t="s">
        <v>21</v>
      </c>
      <c r="Q6340" s="66" t="b">
        <v>0</v>
      </c>
      <c r="R6340" s="22">
        <f t="shared" si="133"/>
        <v>6</v>
      </c>
    </row>
    <row r="6341" spans="1:19">
      <c r="A6341" s="64">
        <v>11853</v>
      </c>
      <c r="B6341" s="62">
        <v>44194</v>
      </c>
      <c r="C6341" s="63" t="s">
        <v>21043</v>
      </c>
      <c r="D6341" s="62">
        <v>44169</v>
      </c>
      <c r="E6341" s="63" t="s">
        <v>21044</v>
      </c>
      <c r="F6341" s="63" t="s">
        <v>2565</v>
      </c>
      <c r="G6341" s="63" t="s">
        <v>20</v>
      </c>
      <c r="H6341" s="63" t="s">
        <v>189</v>
      </c>
      <c r="I6341" s="63" t="s">
        <v>21</v>
      </c>
      <c r="J6341" s="63" t="s">
        <v>21045</v>
      </c>
      <c r="K6341" s="63" t="s">
        <v>21046</v>
      </c>
      <c r="L6341" s="63" t="s">
        <v>4282</v>
      </c>
      <c r="M6341" s="63" t="s">
        <v>21</v>
      </c>
      <c r="O6341" s="108">
        <v>44245</v>
      </c>
      <c r="P6341" s="65" t="s">
        <v>21</v>
      </c>
      <c r="Q6341" s="66" t="b">
        <v>1</v>
      </c>
      <c r="R6341" s="22">
        <f t="shared" si="133"/>
        <v>49</v>
      </c>
    </row>
    <row r="6342" spans="1:19" ht="24">
      <c r="A6342" s="64">
        <v>11854</v>
      </c>
      <c r="B6342" s="62">
        <v>44202</v>
      </c>
      <c r="C6342" s="63" t="s">
        <v>21047</v>
      </c>
      <c r="D6342" s="62">
        <v>44179</v>
      </c>
      <c r="E6342" s="63" t="s">
        <v>38</v>
      </c>
      <c r="F6342" s="63" t="s">
        <v>124</v>
      </c>
      <c r="G6342" s="63" t="s">
        <v>20</v>
      </c>
      <c r="H6342" s="63" t="s">
        <v>71</v>
      </c>
      <c r="I6342" s="63" t="s">
        <v>21</v>
      </c>
      <c r="J6342" s="63" t="s">
        <v>21048</v>
      </c>
      <c r="K6342" s="63" t="s">
        <v>21049</v>
      </c>
      <c r="L6342" s="63" t="s">
        <v>7167</v>
      </c>
      <c r="M6342" s="63" t="s">
        <v>21</v>
      </c>
      <c r="O6342" s="108">
        <v>44208</v>
      </c>
      <c r="P6342" s="65" t="s">
        <v>21</v>
      </c>
      <c r="Q6342" s="66" t="b">
        <v>1</v>
      </c>
      <c r="R6342" s="22">
        <f t="shared" si="133"/>
        <v>6</v>
      </c>
    </row>
    <row r="6343" spans="1:19" ht="24">
      <c r="A6343" s="64">
        <v>11855</v>
      </c>
      <c r="B6343" s="62">
        <v>44202</v>
      </c>
      <c r="C6343" s="63" t="s">
        <v>21053</v>
      </c>
      <c r="D6343" s="62">
        <v>44200</v>
      </c>
      <c r="E6343" s="63" t="s">
        <v>1928</v>
      </c>
      <c r="F6343" s="63" t="s">
        <v>1743</v>
      </c>
      <c r="G6343" s="63" t="s">
        <v>20</v>
      </c>
      <c r="H6343" s="63" t="s">
        <v>71</v>
      </c>
      <c r="I6343" s="63" t="s">
        <v>21</v>
      </c>
      <c r="J6343" s="63" t="s">
        <v>21054</v>
      </c>
      <c r="K6343" s="63" t="s">
        <v>20953</v>
      </c>
      <c r="L6343" s="63" t="s">
        <v>4282</v>
      </c>
      <c r="M6343" s="63" t="s">
        <v>21</v>
      </c>
      <c r="O6343" s="101">
        <v>44215</v>
      </c>
      <c r="P6343" s="65" t="s">
        <v>21</v>
      </c>
      <c r="Q6343" s="66" t="b">
        <v>0</v>
      </c>
      <c r="R6343" s="22">
        <f t="shared" si="133"/>
        <v>13</v>
      </c>
    </row>
    <row r="6344" spans="1:19" ht="24">
      <c r="A6344" s="64">
        <v>11856</v>
      </c>
      <c r="B6344" s="62">
        <v>44202</v>
      </c>
      <c r="C6344" s="63" t="s">
        <v>21050</v>
      </c>
      <c r="D6344" s="62">
        <v>44202</v>
      </c>
      <c r="E6344" s="63" t="s">
        <v>38</v>
      </c>
      <c r="F6344" s="63" t="s">
        <v>56</v>
      </c>
      <c r="G6344" s="63" t="s">
        <v>20</v>
      </c>
      <c r="H6344" s="63" t="s">
        <v>71</v>
      </c>
      <c r="I6344" s="63" t="s">
        <v>21</v>
      </c>
      <c r="J6344" s="63" t="s">
        <v>21051</v>
      </c>
      <c r="K6344" s="63" t="s">
        <v>21052</v>
      </c>
      <c r="L6344" s="63" t="s">
        <v>7167</v>
      </c>
      <c r="M6344" s="63" t="s">
        <v>21</v>
      </c>
      <c r="O6344" s="101">
        <v>44208</v>
      </c>
      <c r="P6344" s="65" t="s">
        <v>21</v>
      </c>
      <c r="Q6344" s="66" t="b">
        <v>1</v>
      </c>
      <c r="R6344" s="22">
        <f t="shared" si="133"/>
        <v>6</v>
      </c>
    </row>
    <row r="6345" spans="1:19" ht="24">
      <c r="A6345" s="64">
        <v>11857</v>
      </c>
      <c r="B6345" s="62">
        <v>44203</v>
      </c>
      <c r="C6345" s="63" t="s">
        <v>21055</v>
      </c>
      <c r="D6345" s="62">
        <v>44202</v>
      </c>
      <c r="E6345" s="63" t="s">
        <v>38</v>
      </c>
      <c r="F6345" s="63" t="s">
        <v>242</v>
      </c>
      <c r="G6345" s="63" t="s">
        <v>20</v>
      </c>
      <c r="H6345" s="63" t="s">
        <v>71</v>
      </c>
      <c r="I6345" s="63" t="s">
        <v>21</v>
      </c>
      <c r="J6345" s="63" t="s">
        <v>21051</v>
      </c>
      <c r="K6345" s="63" t="s">
        <v>21052</v>
      </c>
      <c r="L6345" s="63" t="s">
        <v>7167</v>
      </c>
      <c r="M6345" s="63" t="s">
        <v>21</v>
      </c>
      <c r="O6345" s="101">
        <v>44208</v>
      </c>
      <c r="P6345" s="65" t="s">
        <v>21</v>
      </c>
      <c r="Q6345" s="66" t="b">
        <v>1</v>
      </c>
      <c r="R6345" s="22">
        <f t="shared" si="133"/>
        <v>5</v>
      </c>
    </row>
    <row r="6346" spans="1:19">
      <c r="A6346" s="64">
        <v>11858</v>
      </c>
      <c r="B6346" s="62">
        <v>44208</v>
      </c>
      <c r="C6346" s="63" t="s">
        <v>21056</v>
      </c>
      <c r="D6346" s="62">
        <v>44200</v>
      </c>
      <c r="E6346" s="63" t="s">
        <v>21057</v>
      </c>
      <c r="F6346" s="63" t="s">
        <v>124</v>
      </c>
      <c r="G6346" s="63" t="s">
        <v>20</v>
      </c>
      <c r="H6346" s="63" t="s">
        <v>71</v>
      </c>
      <c r="I6346" s="63" t="s">
        <v>21</v>
      </c>
      <c r="J6346" s="63" t="s">
        <v>21058</v>
      </c>
      <c r="K6346" s="63" t="s">
        <v>21</v>
      </c>
      <c r="L6346" s="63" t="s">
        <v>14909</v>
      </c>
      <c r="M6346" s="63" t="s">
        <v>21</v>
      </c>
      <c r="O6346" s="101">
        <v>44306</v>
      </c>
      <c r="P6346" s="65" t="s">
        <v>21</v>
      </c>
      <c r="Q6346" s="66" t="b">
        <v>1</v>
      </c>
      <c r="R6346" s="22">
        <f t="shared" si="133"/>
        <v>99</v>
      </c>
    </row>
    <row r="6347" spans="1:19">
      <c r="A6347" s="64">
        <v>11859</v>
      </c>
      <c r="B6347" s="62">
        <v>44209</v>
      </c>
      <c r="C6347" s="63" t="s">
        <v>21059</v>
      </c>
      <c r="D6347" s="62">
        <v>44208</v>
      </c>
      <c r="E6347" s="63" t="s">
        <v>38</v>
      </c>
      <c r="F6347" s="63" t="s">
        <v>14836</v>
      </c>
      <c r="G6347" s="63" t="s">
        <v>20</v>
      </c>
      <c r="H6347" s="63" t="s">
        <v>71</v>
      </c>
      <c r="I6347" s="63" t="s">
        <v>21</v>
      </c>
      <c r="J6347" s="63" t="s">
        <v>21060</v>
      </c>
      <c r="K6347" s="63" t="s">
        <v>21061</v>
      </c>
      <c r="L6347" s="63" t="s">
        <v>14909</v>
      </c>
      <c r="M6347" s="63" t="s">
        <v>21</v>
      </c>
      <c r="O6347" s="101">
        <v>44218</v>
      </c>
      <c r="P6347" s="65" t="s">
        <v>21</v>
      </c>
      <c r="Q6347" s="66" t="b">
        <v>1</v>
      </c>
      <c r="R6347" s="22">
        <f t="shared" si="133"/>
        <v>9</v>
      </c>
    </row>
    <row r="6348" spans="1:19">
      <c r="A6348" s="64">
        <v>11860</v>
      </c>
      <c r="B6348" s="62">
        <v>44209</v>
      </c>
      <c r="C6348" s="63" t="s">
        <v>21062</v>
      </c>
      <c r="D6348" s="62">
        <v>44208</v>
      </c>
      <c r="E6348" s="63" t="s">
        <v>38</v>
      </c>
      <c r="F6348" s="63" t="s">
        <v>70</v>
      </c>
      <c r="G6348" s="63" t="s">
        <v>20</v>
      </c>
      <c r="H6348" s="63" t="s">
        <v>71</v>
      </c>
      <c r="I6348" s="63" t="s">
        <v>21</v>
      </c>
      <c r="J6348" s="63" t="s">
        <v>5993</v>
      </c>
      <c r="K6348" s="63" t="s">
        <v>21063</v>
      </c>
      <c r="L6348" s="63" t="s">
        <v>14909</v>
      </c>
      <c r="M6348" s="63" t="s">
        <v>21</v>
      </c>
      <c r="O6348" s="101">
        <v>44218</v>
      </c>
      <c r="P6348" s="65" t="s">
        <v>21</v>
      </c>
      <c r="Q6348" s="66" t="b">
        <v>1</v>
      </c>
      <c r="R6348" s="22">
        <f t="shared" si="133"/>
        <v>9</v>
      </c>
    </row>
    <row r="6349" spans="1:19" ht="24">
      <c r="A6349" s="64">
        <v>11861</v>
      </c>
      <c r="B6349" s="62">
        <v>44217</v>
      </c>
      <c r="C6349" s="63" t="s">
        <v>21408</v>
      </c>
      <c r="D6349" s="62">
        <v>44210</v>
      </c>
      <c r="E6349" s="63" t="s">
        <v>21409</v>
      </c>
      <c r="F6349" s="63" t="s">
        <v>19507</v>
      </c>
      <c r="G6349" s="63" t="s">
        <v>20</v>
      </c>
      <c r="H6349" s="63" t="s">
        <v>71</v>
      </c>
      <c r="I6349" s="63" t="s">
        <v>21</v>
      </c>
      <c r="J6349" s="63" t="s">
        <v>21410</v>
      </c>
      <c r="K6349" s="63" t="s">
        <v>21411</v>
      </c>
      <c r="L6349" s="63" t="s">
        <v>4282</v>
      </c>
      <c r="M6349" s="63" t="s">
        <v>21</v>
      </c>
      <c r="O6349" s="45">
        <v>45322</v>
      </c>
      <c r="P6349" s="65" t="s">
        <v>21</v>
      </c>
      <c r="Q6349" s="66" t="b">
        <v>1</v>
      </c>
      <c r="R6349" s="22">
        <f t="shared" si="133"/>
        <v>1105</v>
      </c>
      <c r="S6349" s="46" t="s">
        <v>22158</v>
      </c>
    </row>
    <row r="6350" spans="1:19">
      <c r="A6350" s="64">
        <v>11864</v>
      </c>
      <c r="B6350" s="62">
        <v>44218</v>
      </c>
      <c r="C6350" s="63" t="s">
        <v>21096</v>
      </c>
      <c r="D6350" s="62">
        <v>44217</v>
      </c>
      <c r="E6350" s="63" t="s">
        <v>21097</v>
      </c>
      <c r="F6350" s="63" t="s">
        <v>124</v>
      </c>
      <c r="G6350" s="63" t="s">
        <v>20</v>
      </c>
      <c r="H6350" s="63" t="s">
        <v>71</v>
      </c>
      <c r="I6350" s="63" t="s">
        <v>21</v>
      </c>
      <c r="J6350" s="63" t="s">
        <v>21098</v>
      </c>
      <c r="K6350" s="63" t="s">
        <v>1349</v>
      </c>
      <c r="L6350" s="63" t="s">
        <v>7167</v>
      </c>
      <c r="M6350" s="63" t="s">
        <v>21</v>
      </c>
      <c r="O6350" s="101">
        <v>44236</v>
      </c>
      <c r="P6350" s="65" t="s">
        <v>21</v>
      </c>
      <c r="Q6350" s="66" t="b">
        <v>1</v>
      </c>
      <c r="R6350" s="22">
        <f t="shared" si="133"/>
        <v>17</v>
      </c>
    </row>
    <row r="6351" spans="1:19">
      <c r="A6351" s="64">
        <v>11865</v>
      </c>
      <c r="B6351" s="62">
        <v>44218</v>
      </c>
      <c r="C6351" s="63" t="s">
        <v>21084</v>
      </c>
      <c r="D6351" s="62">
        <v>44216</v>
      </c>
      <c r="E6351" s="63" t="s">
        <v>38</v>
      </c>
      <c r="F6351" s="63" t="s">
        <v>455</v>
      </c>
      <c r="G6351" s="63" t="s">
        <v>20</v>
      </c>
      <c r="H6351" s="63" t="s">
        <v>71</v>
      </c>
      <c r="I6351" s="63" t="s">
        <v>21</v>
      </c>
      <c r="J6351" s="63" t="s">
        <v>21085</v>
      </c>
      <c r="K6351" s="63" t="s">
        <v>1349</v>
      </c>
      <c r="L6351" s="63" t="s">
        <v>14909</v>
      </c>
      <c r="M6351" s="63" t="s">
        <v>21</v>
      </c>
      <c r="O6351" s="101">
        <v>44225</v>
      </c>
      <c r="P6351" s="65" t="s">
        <v>21</v>
      </c>
      <c r="Q6351" s="66" t="b">
        <v>1</v>
      </c>
      <c r="R6351" s="22">
        <f t="shared" si="133"/>
        <v>7</v>
      </c>
    </row>
    <row r="6352" spans="1:19">
      <c r="A6352" s="64">
        <v>11866</v>
      </c>
      <c r="B6352" s="62">
        <v>44221</v>
      </c>
      <c r="C6352" s="63" t="s">
        <v>21361</v>
      </c>
      <c r="D6352" s="62">
        <v>44218</v>
      </c>
      <c r="E6352" s="63" t="s">
        <v>38</v>
      </c>
      <c r="F6352" s="63" t="s">
        <v>2882</v>
      </c>
      <c r="G6352" s="63" t="s">
        <v>20</v>
      </c>
      <c r="H6352" s="63" t="s">
        <v>71</v>
      </c>
      <c r="I6352" s="63" t="s">
        <v>21</v>
      </c>
      <c r="J6352" s="63" t="s">
        <v>21362</v>
      </c>
      <c r="K6352" s="63" t="s">
        <v>21363</v>
      </c>
      <c r="L6352" s="63" t="s">
        <v>21142</v>
      </c>
      <c r="M6352" s="63" t="s">
        <v>14909</v>
      </c>
      <c r="O6352" s="45">
        <v>44742</v>
      </c>
      <c r="P6352" s="65" t="s">
        <v>21</v>
      </c>
      <c r="Q6352" s="66" t="b">
        <v>0</v>
      </c>
      <c r="R6352" s="22">
        <f t="shared" si="133"/>
        <v>522</v>
      </c>
      <c r="S6352" s="46" t="s">
        <v>21</v>
      </c>
    </row>
    <row r="6353" spans="1:19" ht="24">
      <c r="A6353" s="59">
        <v>11867</v>
      </c>
      <c r="B6353" s="60">
        <v>44222</v>
      </c>
      <c r="C6353" s="61" t="s">
        <v>21412</v>
      </c>
      <c r="D6353" s="60">
        <v>44217</v>
      </c>
      <c r="E6353" s="61" t="s">
        <v>21413</v>
      </c>
      <c r="F6353" s="61" t="s">
        <v>27</v>
      </c>
      <c r="G6353" s="61" t="s">
        <v>20</v>
      </c>
      <c r="H6353" s="61" t="s">
        <v>71</v>
      </c>
      <c r="I6353" s="61" t="s">
        <v>21</v>
      </c>
      <c r="J6353" s="61" t="s">
        <v>21414</v>
      </c>
      <c r="K6353" s="61" t="s">
        <v>21415</v>
      </c>
      <c r="L6353" s="61" t="s">
        <v>7167</v>
      </c>
      <c r="M6353" s="61" t="s">
        <v>21</v>
      </c>
      <c r="O6353" s="29">
        <v>45197</v>
      </c>
      <c r="P6353" s="61" t="s">
        <v>21</v>
      </c>
      <c r="Q6353" s="59" t="b">
        <v>1</v>
      </c>
      <c r="R6353" s="22">
        <f t="shared" si="133"/>
        <v>975</v>
      </c>
      <c r="S6353" s="37" t="s">
        <v>21621</v>
      </c>
    </row>
    <row r="6354" spans="1:19">
      <c r="A6354" s="64">
        <v>11870</v>
      </c>
      <c r="B6354" s="62">
        <v>44222</v>
      </c>
      <c r="C6354" s="63" t="s">
        <v>21088</v>
      </c>
      <c r="D6354" s="62">
        <v>44207</v>
      </c>
      <c r="E6354" s="63" t="s">
        <v>38</v>
      </c>
      <c r="F6354" s="63" t="s">
        <v>70</v>
      </c>
      <c r="G6354" s="63" t="s">
        <v>20</v>
      </c>
      <c r="H6354" s="63" t="s">
        <v>71</v>
      </c>
      <c r="I6354" s="63" t="s">
        <v>21</v>
      </c>
      <c r="J6354" s="63" t="s">
        <v>21089</v>
      </c>
      <c r="K6354" s="63" t="s">
        <v>14375</v>
      </c>
      <c r="L6354" s="63" t="s">
        <v>14909</v>
      </c>
      <c r="M6354" s="63" t="s">
        <v>21</v>
      </c>
      <c r="O6354" s="101">
        <v>44232</v>
      </c>
      <c r="P6354" s="65" t="s">
        <v>21</v>
      </c>
      <c r="Q6354" s="66" t="b">
        <v>1</v>
      </c>
      <c r="R6354" s="22">
        <f t="shared" si="133"/>
        <v>9</v>
      </c>
    </row>
    <row r="6355" spans="1:19">
      <c r="A6355" s="64">
        <v>11871</v>
      </c>
      <c r="B6355" s="62">
        <v>44224</v>
      </c>
      <c r="C6355" s="63" t="s">
        <v>21086</v>
      </c>
      <c r="D6355" s="62">
        <v>44222</v>
      </c>
      <c r="E6355" s="63" t="s">
        <v>1928</v>
      </c>
      <c r="F6355" s="63" t="s">
        <v>1743</v>
      </c>
      <c r="G6355" s="63" t="s">
        <v>20</v>
      </c>
      <c r="H6355" s="63" t="s">
        <v>71</v>
      </c>
      <c r="I6355" s="63" t="s">
        <v>21</v>
      </c>
      <c r="J6355" s="63" t="s">
        <v>21087</v>
      </c>
      <c r="K6355" s="63" t="s">
        <v>21035</v>
      </c>
      <c r="L6355" s="63" t="s">
        <v>7167</v>
      </c>
      <c r="M6355" s="63" t="s">
        <v>21</v>
      </c>
      <c r="O6355" s="101">
        <v>44231</v>
      </c>
      <c r="P6355" s="65" t="s">
        <v>21</v>
      </c>
      <c r="Q6355" s="66" t="b">
        <v>0</v>
      </c>
      <c r="R6355" s="22">
        <f t="shared" si="133"/>
        <v>6</v>
      </c>
    </row>
    <row r="6356" spans="1:19" ht="24">
      <c r="A6356" s="64">
        <v>11872</v>
      </c>
      <c r="B6356" s="62">
        <v>44224</v>
      </c>
      <c r="C6356" s="63" t="s">
        <v>21090</v>
      </c>
      <c r="D6356" s="62">
        <v>44189</v>
      </c>
      <c r="E6356" s="63" t="s">
        <v>38</v>
      </c>
      <c r="F6356" s="63" t="s">
        <v>70</v>
      </c>
      <c r="G6356" s="63" t="s">
        <v>20</v>
      </c>
      <c r="H6356" s="63" t="s">
        <v>71</v>
      </c>
      <c r="I6356" s="63" t="s">
        <v>21</v>
      </c>
      <c r="J6356" s="63" t="s">
        <v>21091</v>
      </c>
      <c r="K6356" s="63" t="s">
        <v>21092</v>
      </c>
      <c r="L6356" s="63" t="s">
        <v>14909</v>
      </c>
      <c r="M6356" s="63" t="s">
        <v>21</v>
      </c>
      <c r="O6356" s="101">
        <v>44232</v>
      </c>
      <c r="P6356" s="65" t="s">
        <v>21</v>
      </c>
      <c r="Q6356" s="66" t="b">
        <v>0</v>
      </c>
      <c r="R6356" s="22">
        <f t="shared" si="133"/>
        <v>7</v>
      </c>
    </row>
    <row r="6357" spans="1:19">
      <c r="A6357" s="64">
        <v>11873</v>
      </c>
      <c r="B6357" s="62">
        <v>44224</v>
      </c>
      <c r="C6357" s="63" t="s">
        <v>21416</v>
      </c>
      <c r="D6357" s="62">
        <v>44218</v>
      </c>
      <c r="E6357" s="63" t="s">
        <v>21417</v>
      </c>
      <c r="F6357" s="63" t="s">
        <v>124</v>
      </c>
      <c r="G6357" s="63" t="s">
        <v>20</v>
      </c>
      <c r="H6357" s="63" t="s">
        <v>71</v>
      </c>
      <c r="I6357" s="63" t="s">
        <v>21</v>
      </c>
      <c r="J6357" s="63" t="s">
        <v>21418</v>
      </c>
      <c r="K6357" s="63" t="s">
        <v>1349</v>
      </c>
      <c r="L6357" s="63" t="s">
        <v>4282</v>
      </c>
      <c r="M6357" s="63" t="s">
        <v>21</v>
      </c>
      <c r="O6357" s="45">
        <v>44616</v>
      </c>
      <c r="P6357" s="65" t="s">
        <v>21</v>
      </c>
      <c r="Q6357" s="66" t="b">
        <v>0</v>
      </c>
      <c r="R6357" s="22">
        <f t="shared" si="133"/>
        <v>391</v>
      </c>
      <c r="S6357" s="46" t="s">
        <v>21</v>
      </c>
    </row>
    <row r="6358" spans="1:19">
      <c r="A6358" s="64">
        <v>11874</v>
      </c>
      <c r="B6358" s="62">
        <v>44224</v>
      </c>
      <c r="C6358" s="63" t="s">
        <v>21093</v>
      </c>
      <c r="D6358" s="62">
        <v>44218</v>
      </c>
      <c r="E6358" s="63" t="s">
        <v>38</v>
      </c>
      <c r="F6358" s="63" t="s">
        <v>124</v>
      </c>
      <c r="G6358" s="63" t="s">
        <v>20</v>
      </c>
      <c r="H6358" s="63" t="s">
        <v>71</v>
      </c>
      <c r="I6358" s="63" t="s">
        <v>21</v>
      </c>
      <c r="J6358" s="63" t="s">
        <v>21094</v>
      </c>
      <c r="K6358" s="63" t="s">
        <v>21095</v>
      </c>
      <c r="L6358" s="63" t="s">
        <v>14909</v>
      </c>
      <c r="M6358" s="63" t="s">
        <v>21</v>
      </c>
      <c r="O6358" s="101">
        <v>44232</v>
      </c>
      <c r="P6358" s="65" t="s">
        <v>21</v>
      </c>
      <c r="Q6358" s="66" t="b">
        <v>0</v>
      </c>
      <c r="R6358" s="22">
        <f t="shared" si="133"/>
        <v>7</v>
      </c>
    </row>
    <row r="6359" spans="1:19">
      <c r="A6359" s="64">
        <v>11875</v>
      </c>
      <c r="B6359" s="62">
        <v>44224</v>
      </c>
      <c r="C6359" s="63" t="s">
        <v>21105</v>
      </c>
      <c r="D6359" s="62">
        <v>44214</v>
      </c>
      <c r="E6359" s="63" t="s">
        <v>38</v>
      </c>
      <c r="F6359" s="63" t="s">
        <v>124</v>
      </c>
      <c r="G6359" s="63" t="s">
        <v>20</v>
      </c>
      <c r="H6359" s="63" t="s">
        <v>71</v>
      </c>
      <c r="I6359" s="63" t="s">
        <v>21</v>
      </c>
      <c r="J6359" s="63" t="s">
        <v>21106</v>
      </c>
      <c r="K6359" s="63" t="s">
        <v>9152</v>
      </c>
      <c r="L6359" s="63" t="s">
        <v>14909</v>
      </c>
      <c r="M6359" s="63" t="s">
        <v>21</v>
      </c>
      <c r="O6359" s="101">
        <v>44246</v>
      </c>
      <c r="P6359" s="65" t="s">
        <v>21</v>
      </c>
      <c r="Q6359" s="66" t="b">
        <v>0</v>
      </c>
      <c r="R6359" s="22">
        <f t="shared" si="133"/>
        <v>21</v>
      </c>
    </row>
    <row r="6360" spans="1:19">
      <c r="A6360" s="64">
        <v>11876</v>
      </c>
      <c r="B6360" s="62">
        <v>44230</v>
      </c>
      <c r="C6360" s="63" t="s">
        <v>21102</v>
      </c>
      <c r="D6360" s="62">
        <v>44228</v>
      </c>
      <c r="E6360" s="63" t="s">
        <v>38</v>
      </c>
      <c r="F6360" s="63" t="s">
        <v>283</v>
      </c>
      <c r="G6360" s="63" t="s">
        <v>20</v>
      </c>
      <c r="H6360" s="63" t="s">
        <v>71</v>
      </c>
      <c r="I6360" s="63" t="s">
        <v>21</v>
      </c>
      <c r="J6360" s="63" t="s">
        <v>21103</v>
      </c>
      <c r="K6360" s="63" t="s">
        <v>4304</v>
      </c>
      <c r="L6360" s="63" t="s">
        <v>14909</v>
      </c>
      <c r="M6360" s="63" t="s">
        <v>21</v>
      </c>
      <c r="O6360" s="101">
        <v>44239</v>
      </c>
      <c r="P6360" s="65" t="s">
        <v>21</v>
      </c>
      <c r="Q6360" s="66" t="b">
        <v>1</v>
      </c>
      <c r="R6360" s="22">
        <f t="shared" si="133"/>
        <v>9</v>
      </c>
    </row>
    <row r="6361" spans="1:19">
      <c r="A6361" s="64">
        <v>11877</v>
      </c>
      <c r="B6361" s="62">
        <v>44231</v>
      </c>
      <c r="C6361" s="63" t="s">
        <v>20726</v>
      </c>
      <c r="D6361" s="62">
        <v>44231</v>
      </c>
      <c r="E6361" s="63" t="s">
        <v>38</v>
      </c>
      <c r="F6361" s="63" t="s">
        <v>455</v>
      </c>
      <c r="G6361" s="63" t="s">
        <v>20</v>
      </c>
      <c r="H6361" s="63" t="s">
        <v>71</v>
      </c>
      <c r="I6361" s="63" t="s">
        <v>21</v>
      </c>
      <c r="J6361" s="63" t="s">
        <v>6331</v>
      </c>
      <c r="K6361" s="63" t="s">
        <v>21104</v>
      </c>
      <c r="L6361" s="63" t="s">
        <v>14909</v>
      </c>
      <c r="M6361" s="63" t="s">
        <v>21</v>
      </c>
      <c r="O6361" s="101">
        <v>44239</v>
      </c>
      <c r="P6361" s="65" t="s">
        <v>21</v>
      </c>
      <c r="Q6361" s="66" t="b">
        <v>0</v>
      </c>
      <c r="R6361" s="22">
        <f t="shared" si="133"/>
        <v>8</v>
      </c>
    </row>
    <row r="6362" spans="1:19">
      <c r="A6362" s="64">
        <v>11881</v>
      </c>
      <c r="B6362" s="62">
        <v>44235</v>
      </c>
      <c r="C6362" s="63" t="s">
        <v>21099</v>
      </c>
      <c r="D6362" s="62">
        <v>44231</v>
      </c>
      <c r="E6362" s="63" t="s">
        <v>1928</v>
      </c>
      <c r="F6362" s="63" t="s">
        <v>1743</v>
      </c>
      <c r="G6362" s="63" t="s">
        <v>20</v>
      </c>
      <c r="H6362" s="63" t="s">
        <v>71</v>
      </c>
      <c r="I6362" s="63" t="s">
        <v>21</v>
      </c>
      <c r="J6362" s="63" t="s">
        <v>21100</v>
      </c>
      <c r="K6362" s="63" t="s">
        <v>21101</v>
      </c>
      <c r="L6362" s="63" t="s">
        <v>7167</v>
      </c>
      <c r="M6362" s="63" t="s">
        <v>21</v>
      </c>
      <c r="O6362" s="101">
        <v>44237</v>
      </c>
      <c r="P6362" s="65" t="s">
        <v>21</v>
      </c>
      <c r="Q6362" s="66" t="b">
        <v>0</v>
      </c>
      <c r="R6362" s="22">
        <f t="shared" si="133"/>
        <v>2</v>
      </c>
    </row>
    <row r="6363" spans="1:19" ht="24">
      <c r="A6363" s="64">
        <v>11882</v>
      </c>
      <c r="B6363" s="62">
        <v>44236</v>
      </c>
      <c r="C6363" s="63" t="s">
        <v>21419</v>
      </c>
      <c r="D6363" s="62">
        <v>44215</v>
      </c>
      <c r="E6363" s="63" t="s">
        <v>21420</v>
      </c>
      <c r="F6363" s="63" t="s">
        <v>306</v>
      </c>
      <c r="G6363" s="63" t="s">
        <v>20</v>
      </c>
      <c r="H6363" s="63" t="s">
        <v>71</v>
      </c>
      <c r="I6363" s="63" t="s">
        <v>21</v>
      </c>
      <c r="J6363" s="63" t="s">
        <v>21421</v>
      </c>
      <c r="K6363" s="63" t="s">
        <v>21422</v>
      </c>
      <c r="L6363" s="63" t="s">
        <v>21243</v>
      </c>
      <c r="M6363" s="63" t="s">
        <v>7167</v>
      </c>
      <c r="O6363" s="45">
        <v>45464</v>
      </c>
      <c r="P6363" s="65" t="s">
        <v>21</v>
      </c>
      <c r="Q6363" s="66" t="b">
        <v>0</v>
      </c>
      <c r="R6363" s="22">
        <f t="shared" si="133"/>
        <v>1228</v>
      </c>
      <c r="S6363" s="46" t="s">
        <v>22159</v>
      </c>
    </row>
    <row r="6364" spans="1:19">
      <c r="A6364" s="64">
        <v>11883</v>
      </c>
      <c r="B6364" s="62">
        <v>44236</v>
      </c>
      <c r="C6364" s="63" t="s">
        <v>21180</v>
      </c>
      <c r="D6364" s="62">
        <v>44214</v>
      </c>
      <c r="E6364" s="63" t="s">
        <v>21181</v>
      </c>
      <c r="F6364" s="63" t="s">
        <v>124</v>
      </c>
      <c r="G6364" s="63" t="s">
        <v>20</v>
      </c>
      <c r="H6364" s="63" t="s">
        <v>71</v>
      </c>
      <c r="I6364" s="63" t="s">
        <v>21</v>
      </c>
      <c r="J6364" s="63" t="s">
        <v>15489</v>
      </c>
      <c r="K6364" s="63" t="s">
        <v>1349</v>
      </c>
      <c r="L6364" s="63" t="s">
        <v>7167</v>
      </c>
      <c r="M6364" s="63" t="s">
        <v>21</v>
      </c>
      <c r="O6364" s="101">
        <v>44342</v>
      </c>
      <c r="P6364" s="65" t="s">
        <v>21</v>
      </c>
      <c r="Q6364" s="66" t="b">
        <v>0</v>
      </c>
      <c r="R6364" s="22">
        <f t="shared" si="133"/>
        <v>108</v>
      </c>
    </row>
    <row r="6365" spans="1:19">
      <c r="A6365" s="64">
        <v>11884</v>
      </c>
      <c r="B6365" s="62">
        <v>44239</v>
      </c>
      <c r="C6365" s="63" t="s">
        <v>21198</v>
      </c>
      <c r="D6365" s="62">
        <v>44228</v>
      </c>
      <c r="E6365" s="63" t="s">
        <v>21199</v>
      </c>
      <c r="F6365" s="63" t="s">
        <v>21200</v>
      </c>
      <c r="G6365" s="63" t="s">
        <v>20</v>
      </c>
      <c r="H6365" s="63" t="s">
        <v>212</v>
      </c>
      <c r="I6365" s="63" t="s">
        <v>21</v>
      </c>
      <c r="J6365" s="63" t="s">
        <v>21201</v>
      </c>
      <c r="K6365" s="63" t="s">
        <v>328</v>
      </c>
      <c r="L6365" s="63" t="s">
        <v>21142</v>
      </c>
      <c r="M6365" s="63" t="s">
        <v>14909</v>
      </c>
      <c r="O6365" s="101">
        <v>44363</v>
      </c>
      <c r="P6365" s="65" t="s">
        <v>21</v>
      </c>
      <c r="Q6365" s="66" t="b">
        <v>0</v>
      </c>
      <c r="R6365" s="22">
        <f t="shared" si="133"/>
        <v>125</v>
      </c>
    </row>
    <row r="6366" spans="1:19">
      <c r="A6366" s="64">
        <v>11886</v>
      </c>
      <c r="B6366" s="62">
        <v>44239</v>
      </c>
      <c r="C6366" s="63" t="s">
        <v>21110</v>
      </c>
      <c r="D6366" s="62">
        <v>44239</v>
      </c>
      <c r="E6366" s="63" t="s">
        <v>38</v>
      </c>
      <c r="F6366" s="63" t="s">
        <v>85</v>
      </c>
      <c r="G6366" s="63" t="s">
        <v>20</v>
      </c>
      <c r="H6366" s="63" t="s">
        <v>71</v>
      </c>
      <c r="I6366" s="63" t="s">
        <v>21</v>
      </c>
      <c r="J6366" s="63" t="s">
        <v>21111</v>
      </c>
      <c r="K6366" s="63" t="s">
        <v>6081</v>
      </c>
      <c r="L6366" s="63" t="s">
        <v>14909</v>
      </c>
      <c r="M6366" s="63" t="s">
        <v>21</v>
      </c>
      <c r="O6366" s="101">
        <v>44246</v>
      </c>
      <c r="P6366" s="65" t="s">
        <v>21</v>
      </c>
      <c r="Q6366" s="66" t="b">
        <v>0</v>
      </c>
      <c r="R6366" s="22">
        <f t="shared" si="133"/>
        <v>7</v>
      </c>
    </row>
    <row r="6367" spans="1:19">
      <c r="A6367" s="64">
        <v>11885</v>
      </c>
      <c r="B6367" s="62">
        <v>44243</v>
      </c>
      <c r="C6367" s="63" t="s">
        <v>21107</v>
      </c>
      <c r="D6367" s="62">
        <v>44239</v>
      </c>
      <c r="E6367" s="63" t="s">
        <v>38</v>
      </c>
      <c r="F6367" s="63" t="s">
        <v>19</v>
      </c>
      <c r="G6367" s="63" t="s">
        <v>20</v>
      </c>
      <c r="H6367" s="63" t="s">
        <v>71</v>
      </c>
      <c r="I6367" s="63" t="s">
        <v>21</v>
      </c>
      <c r="J6367" s="63" t="s">
        <v>21108</v>
      </c>
      <c r="K6367" s="63" t="s">
        <v>21109</v>
      </c>
      <c r="L6367" s="63" t="s">
        <v>14909</v>
      </c>
      <c r="M6367" s="63" t="s">
        <v>21</v>
      </c>
      <c r="O6367" s="101">
        <v>44246</v>
      </c>
      <c r="P6367" s="65" t="s">
        <v>21</v>
      </c>
      <c r="Q6367" s="66" t="b">
        <v>1</v>
      </c>
      <c r="R6367" s="22">
        <f t="shared" si="133"/>
        <v>3</v>
      </c>
    </row>
    <row r="6368" spans="1:19">
      <c r="A6368" s="64">
        <v>11887</v>
      </c>
      <c r="B6368" s="62">
        <v>44250</v>
      </c>
      <c r="C6368" s="63" t="s">
        <v>21112</v>
      </c>
      <c r="D6368" s="62">
        <v>44238</v>
      </c>
      <c r="E6368" s="63" t="s">
        <v>21113</v>
      </c>
      <c r="F6368" s="63" t="s">
        <v>3615</v>
      </c>
      <c r="G6368" s="63" t="s">
        <v>20</v>
      </c>
      <c r="H6368" s="63" t="s">
        <v>189</v>
      </c>
      <c r="I6368" s="63" t="s">
        <v>21</v>
      </c>
      <c r="J6368" s="63" t="s">
        <v>21114</v>
      </c>
      <c r="K6368" s="63" t="s">
        <v>21115</v>
      </c>
      <c r="L6368" s="63" t="s">
        <v>7167</v>
      </c>
      <c r="M6368" s="63" t="s">
        <v>21</v>
      </c>
      <c r="O6368" s="101">
        <v>44260</v>
      </c>
      <c r="P6368" s="65" t="s">
        <v>21</v>
      </c>
      <c r="Q6368" s="66" t="b">
        <v>0</v>
      </c>
      <c r="R6368" s="22">
        <f t="shared" si="133"/>
        <v>12</v>
      </c>
    </row>
    <row r="6369" spans="1:19">
      <c r="A6369" s="64">
        <v>11888</v>
      </c>
      <c r="B6369" s="62">
        <v>44250</v>
      </c>
      <c r="C6369" s="63" t="s">
        <v>21116</v>
      </c>
      <c r="D6369" s="62">
        <v>44243</v>
      </c>
      <c r="E6369" s="63" t="s">
        <v>38</v>
      </c>
      <c r="F6369" s="63" t="s">
        <v>8605</v>
      </c>
      <c r="G6369" s="63" t="s">
        <v>20</v>
      </c>
      <c r="H6369" s="63" t="s">
        <v>212</v>
      </c>
      <c r="I6369" s="63" t="s">
        <v>21</v>
      </c>
      <c r="J6369" s="63" t="s">
        <v>21089</v>
      </c>
      <c r="K6369" s="63" t="s">
        <v>6081</v>
      </c>
      <c r="L6369" s="63" t="s">
        <v>14909</v>
      </c>
      <c r="M6369" s="63" t="s">
        <v>21</v>
      </c>
      <c r="O6369" s="101">
        <v>44267</v>
      </c>
      <c r="P6369" s="65" t="s">
        <v>21</v>
      </c>
      <c r="Q6369" s="66" t="b">
        <v>0</v>
      </c>
      <c r="R6369" s="22">
        <f t="shared" si="133"/>
        <v>19</v>
      </c>
    </row>
    <row r="6370" spans="1:19">
      <c r="A6370" s="64">
        <v>11889</v>
      </c>
      <c r="B6370" s="62">
        <v>44253</v>
      </c>
      <c r="C6370" s="63" t="s">
        <v>21195</v>
      </c>
      <c r="D6370" s="62">
        <v>44252</v>
      </c>
      <c r="E6370" s="63" t="s">
        <v>38</v>
      </c>
      <c r="F6370" s="63" t="s">
        <v>85</v>
      </c>
      <c r="G6370" s="63" t="s">
        <v>20</v>
      </c>
      <c r="H6370" s="63" t="s">
        <v>71</v>
      </c>
      <c r="I6370" s="63" t="s">
        <v>21</v>
      </c>
      <c r="J6370" s="63" t="s">
        <v>21196</v>
      </c>
      <c r="K6370" s="63" t="s">
        <v>21197</v>
      </c>
      <c r="L6370" s="63" t="s">
        <v>14909</v>
      </c>
      <c r="M6370" s="63" t="s">
        <v>21</v>
      </c>
      <c r="O6370" s="101">
        <v>44361</v>
      </c>
      <c r="P6370" s="65" t="s">
        <v>21</v>
      </c>
      <c r="Q6370" s="66" t="b">
        <v>1</v>
      </c>
      <c r="R6370" s="22">
        <f t="shared" si="133"/>
        <v>109</v>
      </c>
    </row>
    <row r="6371" spans="1:19">
      <c r="A6371" s="64">
        <v>11890</v>
      </c>
      <c r="B6371" s="62">
        <v>44259</v>
      </c>
      <c r="C6371" s="63" t="s">
        <v>21228</v>
      </c>
      <c r="D6371" s="62">
        <v>44257</v>
      </c>
      <c r="E6371" s="63" t="s">
        <v>38</v>
      </c>
      <c r="F6371" s="63" t="s">
        <v>2146</v>
      </c>
      <c r="G6371" s="63" t="s">
        <v>20</v>
      </c>
      <c r="H6371" s="63" t="s">
        <v>20</v>
      </c>
      <c r="I6371" s="63" t="s">
        <v>21</v>
      </c>
      <c r="J6371" s="63" t="s">
        <v>5513</v>
      </c>
      <c r="K6371" s="63" t="s">
        <v>21229</v>
      </c>
      <c r="L6371" s="63" t="s">
        <v>14909</v>
      </c>
      <c r="M6371" s="63" t="s">
        <v>21</v>
      </c>
      <c r="O6371" s="101">
        <v>44407</v>
      </c>
      <c r="P6371" s="65" t="s">
        <v>21</v>
      </c>
      <c r="Q6371" s="66" t="b">
        <v>1</v>
      </c>
      <c r="R6371" s="22">
        <f t="shared" si="133"/>
        <v>148</v>
      </c>
    </row>
    <row r="6372" spans="1:19" ht="24">
      <c r="A6372" s="64">
        <v>11891</v>
      </c>
      <c r="B6372" s="62">
        <v>44263</v>
      </c>
      <c r="C6372" s="63" t="s">
        <v>21423</v>
      </c>
      <c r="D6372" s="62">
        <v>44259</v>
      </c>
      <c r="E6372" s="63" t="s">
        <v>21424</v>
      </c>
      <c r="F6372" s="63" t="s">
        <v>861</v>
      </c>
      <c r="G6372" s="63" t="s">
        <v>20</v>
      </c>
      <c r="H6372" s="63" t="s">
        <v>566</v>
      </c>
      <c r="I6372" s="63" t="s">
        <v>21</v>
      </c>
      <c r="J6372" s="63" t="s">
        <v>21425</v>
      </c>
      <c r="K6372" s="63" t="s">
        <v>16376</v>
      </c>
      <c r="L6372" s="63" t="s">
        <v>21243</v>
      </c>
      <c r="M6372" s="63" t="s">
        <v>4282</v>
      </c>
      <c r="O6372" s="45">
        <v>44874</v>
      </c>
      <c r="P6372" s="65" t="s">
        <v>21</v>
      </c>
      <c r="Q6372" s="66" t="b">
        <v>1</v>
      </c>
      <c r="R6372" s="22">
        <f t="shared" si="133"/>
        <v>609</v>
      </c>
      <c r="S6372" s="46" t="s">
        <v>21621</v>
      </c>
    </row>
    <row r="6373" spans="1:19">
      <c r="A6373" s="64">
        <v>11892</v>
      </c>
      <c r="B6373" s="62">
        <v>44266</v>
      </c>
      <c r="C6373" s="63" t="s">
        <v>20776</v>
      </c>
      <c r="D6373" s="62">
        <v>44194</v>
      </c>
      <c r="E6373" s="63" t="s">
        <v>38</v>
      </c>
      <c r="F6373" s="63" t="s">
        <v>145</v>
      </c>
      <c r="G6373" s="63" t="s">
        <v>20</v>
      </c>
      <c r="H6373" s="63" t="s">
        <v>71</v>
      </c>
      <c r="I6373" s="63" t="s">
        <v>21</v>
      </c>
      <c r="J6373" s="63" t="s">
        <v>21117</v>
      </c>
      <c r="K6373" s="63" t="s">
        <v>21118</v>
      </c>
      <c r="L6373" s="63" t="s">
        <v>7167</v>
      </c>
      <c r="M6373" s="63" t="s">
        <v>21</v>
      </c>
      <c r="O6373" s="101">
        <v>44271</v>
      </c>
      <c r="P6373" s="65" t="s">
        <v>21</v>
      </c>
      <c r="Q6373" s="66" t="b">
        <v>0</v>
      </c>
      <c r="R6373" s="22">
        <f t="shared" si="133"/>
        <v>5</v>
      </c>
    </row>
    <row r="6374" spans="1:19">
      <c r="A6374" s="64">
        <v>11893</v>
      </c>
      <c r="B6374" s="62">
        <v>44266</v>
      </c>
      <c r="C6374" s="63" t="s">
        <v>21119</v>
      </c>
      <c r="D6374" s="62">
        <v>44260</v>
      </c>
      <c r="E6374" s="63" t="s">
        <v>38</v>
      </c>
      <c r="F6374" s="63" t="s">
        <v>5690</v>
      </c>
      <c r="G6374" s="63" t="s">
        <v>20</v>
      </c>
      <c r="H6374" s="63" t="s">
        <v>71</v>
      </c>
      <c r="I6374" s="63" t="s">
        <v>21</v>
      </c>
      <c r="J6374" s="63" t="s">
        <v>21120</v>
      </c>
      <c r="K6374" s="63" t="s">
        <v>21121</v>
      </c>
      <c r="L6374" s="63" t="s">
        <v>7167</v>
      </c>
      <c r="M6374" s="63" t="s">
        <v>21</v>
      </c>
      <c r="O6374" s="101">
        <v>44278</v>
      </c>
      <c r="P6374" s="65" t="s">
        <v>21</v>
      </c>
      <c r="Q6374" s="66" t="b">
        <v>0</v>
      </c>
      <c r="R6374" s="22">
        <f t="shared" si="133"/>
        <v>12</v>
      </c>
    </row>
    <row r="6375" spans="1:19">
      <c r="A6375" s="64">
        <v>11894</v>
      </c>
      <c r="B6375" s="62">
        <v>44271</v>
      </c>
      <c r="C6375" s="63" t="s">
        <v>21126</v>
      </c>
      <c r="D6375" s="62">
        <v>44236</v>
      </c>
      <c r="E6375" s="63" t="s">
        <v>38</v>
      </c>
      <c r="F6375" s="63" t="s">
        <v>1251</v>
      </c>
      <c r="G6375" s="63" t="s">
        <v>20</v>
      </c>
      <c r="H6375" s="63" t="s">
        <v>71</v>
      </c>
      <c r="I6375" s="63" t="s">
        <v>21</v>
      </c>
      <c r="J6375" s="63" t="s">
        <v>21089</v>
      </c>
      <c r="K6375" s="63" t="s">
        <v>21127</v>
      </c>
      <c r="L6375" s="63" t="s">
        <v>14909</v>
      </c>
      <c r="M6375" s="63" t="s">
        <v>21</v>
      </c>
      <c r="O6375" s="101">
        <v>44285</v>
      </c>
      <c r="P6375" s="65" t="s">
        <v>21</v>
      </c>
      <c r="Q6375" s="66" t="b">
        <v>0</v>
      </c>
      <c r="R6375" s="22">
        <f t="shared" ref="R6375:R6438" si="134">IF(O6375=" ", " ", INT(YEARFRAC(O6375, B6375)*365))</f>
        <v>14</v>
      </c>
    </row>
    <row r="6376" spans="1:19">
      <c r="A6376" s="64">
        <v>11895</v>
      </c>
      <c r="B6376" s="62">
        <v>44271</v>
      </c>
      <c r="C6376" s="63" t="s">
        <v>21128</v>
      </c>
      <c r="D6376" s="62">
        <v>44252</v>
      </c>
      <c r="E6376" s="63" t="s">
        <v>38</v>
      </c>
      <c r="F6376" s="63" t="s">
        <v>1251</v>
      </c>
      <c r="G6376" s="63" t="s">
        <v>20</v>
      </c>
      <c r="H6376" s="63" t="s">
        <v>71</v>
      </c>
      <c r="I6376" s="63" t="s">
        <v>21</v>
      </c>
      <c r="J6376" s="63" t="s">
        <v>21089</v>
      </c>
      <c r="K6376" s="63" t="s">
        <v>21129</v>
      </c>
      <c r="L6376" s="63" t="s">
        <v>14909</v>
      </c>
      <c r="M6376" s="63" t="s">
        <v>21</v>
      </c>
      <c r="O6376" s="101">
        <v>44285</v>
      </c>
      <c r="P6376" s="65" t="s">
        <v>21</v>
      </c>
      <c r="Q6376" s="66" t="b">
        <v>0</v>
      </c>
      <c r="R6376" s="22">
        <f t="shared" si="134"/>
        <v>14</v>
      </c>
    </row>
    <row r="6377" spans="1:19">
      <c r="A6377" s="64">
        <v>11896</v>
      </c>
      <c r="B6377" s="62">
        <v>44273</v>
      </c>
      <c r="C6377" s="63" t="s">
        <v>21122</v>
      </c>
      <c r="D6377" s="62">
        <v>44271</v>
      </c>
      <c r="E6377" s="63" t="s">
        <v>38</v>
      </c>
      <c r="F6377" s="63" t="s">
        <v>9787</v>
      </c>
      <c r="G6377" s="63" t="s">
        <v>20</v>
      </c>
      <c r="H6377" s="63" t="s">
        <v>20</v>
      </c>
      <c r="I6377" s="63" t="s">
        <v>21</v>
      </c>
      <c r="J6377" s="63" t="s">
        <v>21089</v>
      </c>
      <c r="K6377" s="63" t="s">
        <v>6081</v>
      </c>
      <c r="L6377" s="63" t="s">
        <v>7167</v>
      </c>
      <c r="M6377" s="63" t="s">
        <v>21</v>
      </c>
      <c r="O6377" s="101">
        <v>44278</v>
      </c>
      <c r="P6377" s="65" t="s">
        <v>21</v>
      </c>
      <c r="Q6377" s="66" t="b">
        <v>0</v>
      </c>
      <c r="R6377" s="22">
        <f t="shared" si="134"/>
        <v>5</v>
      </c>
    </row>
    <row r="6378" spans="1:19">
      <c r="A6378" s="64">
        <v>11897</v>
      </c>
      <c r="B6378" s="62">
        <v>44273</v>
      </c>
      <c r="C6378" s="63" t="s">
        <v>21123</v>
      </c>
      <c r="D6378" s="62">
        <v>44271</v>
      </c>
      <c r="E6378" s="63" t="s">
        <v>38</v>
      </c>
      <c r="F6378" s="63" t="s">
        <v>1213</v>
      </c>
      <c r="G6378" s="63" t="s">
        <v>20</v>
      </c>
      <c r="H6378" s="63" t="s">
        <v>71</v>
      </c>
      <c r="I6378" s="63" t="s">
        <v>21</v>
      </c>
      <c r="J6378" s="63" t="s">
        <v>21124</v>
      </c>
      <c r="K6378" s="63" t="s">
        <v>21125</v>
      </c>
      <c r="L6378" s="63" t="s">
        <v>7167</v>
      </c>
      <c r="M6378" s="63" t="s">
        <v>21</v>
      </c>
      <c r="O6378" s="101">
        <v>44278</v>
      </c>
      <c r="P6378" s="65" t="s">
        <v>21</v>
      </c>
      <c r="Q6378" s="66" t="b">
        <v>0</v>
      </c>
      <c r="R6378" s="22">
        <f t="shared" si="134"/>
        <v>5</v>
      </c>
    </row>
    <row r="6379" spans="1:19">
      <c r="A6379" s="64">
        <v>11898</v>
      </c>
      <c r="B6379" s="62">
        <v>44280</v>
      </c>
      <c r="C6379" s="63" t="s">
        <v>21188</v>
      </c>
      <c r="D6379" s="62">
        <v>44257</v>
      </c>
      <c r="E6379" s="63" t="s">
        <v>21189</v>
      </c>
      <c r="F6379" s="63" t="s">
        <v>3457</v>
      </c>
      <c r="G6379" s="63" t="s">
        <v>20</v>
      </c>
      <c r="H6379" s="63" t="s">
        <v>212</v>
      </c>
      <c r="I6379" s="63" t="s">
        <v>21</v>
      </c>
      <c r="J6379" s="63" t="s">
        <v>21190</v>
      </c>
      <c r="K6379" s="63" t="s">
        <v>21191</v>
      </c>
      <c r="L6379" s="63" t="s">
        <v>7167</v>
      </c>
      <c r="M6379" s="63" t="s">
        <v>21</v>
      </c>
      <c r="O6379" s="101">
        <v>44356</v>
      </c>
      <c r="P6379" s="65" t="s">
        <v>21</v>
      </c>
      <c r="Q6379" s="66" t="b">
        <v>0</v>
      </c>
      <c r="R6379" s="22">
        <f t="shared" si="134"/>
        <v>75</v>
      </c>
    </row>
    <row r="6380" spans="1:19">
      <c r="A6380" s="64">
        <v>11899</v>
      </c>
      <c r="B6380" s="62">
        <v>44280</v>
      </c>
      <c r="C6380" s="63" t="s">
        <v>21385</v>
      </c>
      <c r="D6380" s="62">
        <v>44256</v>
      </c>
      <c r="E6380" s="63" t="s">
        <v>21386</v>
      </c>
      <c r="F6380" s="63" t="s">
        <v>3430</v>
      </c>
      <c r="G6380" s="63" t="s">
        <v>20</v>
      </c>
      <c r="H6380" s="63" t="s">
        <v>71</v>
      </c>
      <c r="I6380" s="63" t="s">
        <v>21</v>
      </c>
      <c r="J6380" s="63" t="s">
        <v>21387</v>
      </c>
      <c r="K6380" s="63" t="s">
        <v>21388</v>
      </c>
      <c r="L6380" s="63" t="s">
        <v>7167</v>
      </c>
      <c r="M6380" s="63" t="s">
        <v>21</v>
      </c>
      <c r="O6380" s="45">
        <v>44679</v>
      </c>
      <c r="P6380" s="65" t="s">
        <v>21</v>
      </c>
      <c r="Q6380" s="66" t="b">
        <v>0</v>
      </c>
      <c r="R6380" s="22">
        <f t="shared" si="134"/>
        <v>398</v>
      </c>
      <c r="S6380" s="46" t="s">
        <v>21</v>
      </c>
    </row>
    <row r="6381" spans="1:19">
      <c r="A6381" s="64">
        <v>11900</v>
      </c>
      <c r="B6381" s="62">
        <v>44280</v>
      </c>
      <c r="C6381" s="63" t="s">
        <v>21130</v>
      </c>
      <c r="D6381" s="62">
        <v>44277</v>
      </c>
      <c r="E6381" s="63" t="s">
        <v>38</v>
      </c>
      <c r="F6381" s="63" t="s">
        <v>149</v>
      </c>
      <c r="G6381" s="63" t="s">
        <v>20</v>
      </c>
      <c r="H6381" s="63" t="s">
        <v>71</v>
      </c>
      <c r="I6381" s="63" t="s">
        <v>21</v>
      </c>
      <c r="J6381" s="63" t="s">
        <v>6331</v>
      </c>
      <c r="K6381" s="63" t="s">
        <v>6081</v>
      </c>
      <c r="L6381" s="63" t="s">
        <v>7167</v>
      </c>
      <c r="M6381" s="63" t="s">
        <v>21</v>
      </c>
      <c r="O6381" s="101">
        <v>44285</v>
      </c>
      <c r="P6381" s="65" t="s">
        <v>21</v>
      </c>
      <c r="Q6381" s="66" t="b">
        <v>0</v>
      </c>
      <c r="R6381" s="22">
        <f t="shared" si="134"/>
        <v>5</v>
      </c>
    </row>
    <row r="6382" spans="1:19">
      <c r="A6382" s="64">
        <v>11902</v>
      </c>
      <c r="B6382" s="62">
        <v>44284</v>
      </c>
      <c r="C6382" s="63" t="s">
        <v>21156</v>
      </c>
      <c r="D6382" s="62">
        <v>44280</v>
      </c>
      <c r="E6382" s="63" t="s">
        <v>1928</v>
      </c>
      <c r="F6382" s="63" t="s">
        <v>1743</v>
      </c>
      <c r="G6382" s="63" t="s">
        <v>20</v>
      </c>
      <c r="H6382" s="63" t="s">
        <v>71</v>
      </c>
      <c r="I6382" s="63" t="s">
        <v>21</v>
      </c>
      <c r="J6382" s="63" t="s">
        <v>21157</v>
      </c>
      <c r="K6382" s="63" t="s">
        <v>21158</v>
      </c>
      <c r="L6382" s="63" t="s">
        <v>14909</v>
      </c>
      <c r="M6382" s="63" t="s">
        <v>21</v>
      </c>
      <c r="N6382" s="45">
        <v>44295</v>
      </c>
      <c r="O6382" s="101">
        <v>44323</v>
      </c>
      <c r="P6382" s="65" t="s">
        <v>21</v>
      </c>
      <c r="Q6382" s="66" t="b">
        <v>0</v>
      </c>
      <c r="R6382" s="22">
        <f t="shared" si="134"/>
        <v>38</v>
      </c>
    </row>
    <row r="6383" spans="1:19">
      <c r="A6383" s="64">
        <v>11903</v>
      </c>
      <c r="B6383" s="62">
        <v>44284</v>
      </c>
      <c r="C6383" s="63" t="s">
        <v>21131</v>
      </c>
      <c r="D6383" s="62">
        <v>44281</v>
      </c>
      <c r="E6383" s="63" t="s">
        <v>38</v>
      </c>
      <c r="F6383" s="63" t="s">
        <v>98</v>
      </c>
      <c r="G6383" s="63" t="s">
        <v>20</v>
      </c>
      <c r="H6383" s="63" t="s">
        <v>71</v>
      </c>
      <c r="I6383" s="63" t="s">
        <v>21</v>
      </c>
      <c r="J6383" s="63" t="s">
        <v>6331</v>
      </c>
      <c r="K6383" s="63" t="s">
        <v>21132</v>
      </c>
      <c r="L6383" s="63" t="s">
        <v>7167</v>
      </c>
      <c r="M6383" s="63" t="s">
        <v>21</v>
      </c>
      <c r="O6383" s="101">
        <v>44286</v>
      </c>
      <c r="P6383" s="65" t="s">
        <v>21</v>
      </c>
      <c r="Q6383" s="66" t="b">
        <v>0</v>
      </c>
      <c r="R6383" s="22">
        <f t="shared" si="134"/>
        <v>2</v>
      </c>
    </row>
    <row r="6384" spans="1:19">
      <c r="A6384" s="64">
        <v>11904</v>
      </c>
      <c r="B6384" s="62">
        <v>44285</v>
      </c>
      <c r="C6384" s="63" t="s">
        <v>21136</v>
      </c>
      <c r="D6384" s="62">
        <v>44285</v>
      </c>
      <c r="E6384" s="63" t="s">
        <v>1928</v>
      </c>
      <c r="F6384" s="63" t="s">
        <v>1743</v>
      </c>
      <c r="G6384" s="63" t="s">
        <v>20</v>
      </c>
      <c r="H6384" s="63" t="s">
        <v>71</v>
      </c>
      <c r="I6384" s="63" t="s">
        <v>21</v>
      </c>
      <c r="J6384" s="63" t="s">
        <v>21137</v>
      </c>
      <c r="K6384" s="63" t="s">
        <v>21138</v>
      </c>
      <c r="L6384" s="63" t="s">
        <v>14909</v>
      </c>
      <c r="M6384" s="63" t="s">
        <v>21</v>
      </c>
      <c r="N6384" s="45">
        <v>44300</v>
      </c>
      <c r="O6384" s="101">
        <v>44299</v>
      </c>
      <c r="P6384" s="65" t="s">
        <v>21</v>
      </c>
      <c r="Q6384" s="66" t="b">
        <v>0</v>
      </c>
      <c r="R6384" s="22">
        <f t="shared" si="134"/>
        <v>13</v>
      </c>
    </row>
    <row r="6385" spans="1:19" ht="24">
      <c r="A6385" s="59">
        <v>11905</v>
      </c>
      <c r="B6385" s="60">
        <v>44286</v>
      </c>
      <c r="C6385" s="61" t="s">
        <v>21382</v>
      </c>
      <c r="D6385" s="60">
        <v>44285</v>
      </c>
      <c r="E6385" s="61" t="s">
        <v>22160</v>
      </c>
      <c r="F6385" s="61" t="s">
        <v>3171</v>
      </c>
      <c r="G6385" s="61" t="s">
        <v>20</v>
      </c>
      <c r="H6385" s="61" t="s">
        <v>71</v>
      </c>
      <c r="I6385" s="61" t="s">
        <v>21</v>
      </c>
      <c r="J6385" s="61" t="s">
        <v>21383</v>
      </c>
      <c r="K6385" s="61" t="s">
        <v>21384</v>
      </c>
      <c r="L6385" s="61" t="s">
        <v>21573</v>
      </c>
      <c r="M6385" s="61" t="s">
        <v>7167</v>
      </c>
      <c r="O6385" s="29">
        <v>45232</v>
      </c>
      <c r="P6385" s="61" t="s">
        <v>21</v>
      </c>
      <c r="Q6385" s="59" t="b">
        <v>0</v>
      </c>
      <c r="R6385" s="22">
        <f t="shared" si="134"/>
        <v>944</v>
      </c>
      <c r="S6385" s="37" t="s">
        <v>22161</v>
      </c>
    </row>
    <row r="6386" spans="1:19">
      <c r="A6386" s="64">
        <v>11906</v>
      </c>
      <c r="B6386" s="62">
        <v>44291</v>
      </c>
      <c r="C6386" s="63" t="s">
        <v>21143</v>
      </c>
      <c r="D6386" s="62">
        <v>44291</v>
      </c>
      <c r="E6386" s="63" t="s">
        <v>1928</v>
      </c>
      <c r="F6386" s="63" t="s">
        <v>1743</v>
      </c>
      <c r="G6386" s="63" t="s">
        <v>20</v>
      </c>
      <c r="H6386" s="63" t="s">
        <v>71</v>
      </c>
      <c r="I6386" s="63" t="s">
        <v>21</v>
      </c>
      <c r="J6386" s="63" t="s">
        <v>21144</v>
      </c>
      <c r="K6386" s="63" t="s">
        <v>98</v>
      </c>
      <c r="L6386" s="63" t="s">
        <v>4282</v>
      </c>
      <c r="M6386" s="63" t="s">
        <v>21</v>
      </c>
      <c r="N6386" s="45">
        <v>44305</v>
      </c>
      <c r="O6386" s="101">
        <v>44314</v>
      </c>
      <c r="P6386" s="65" t="s">
        <v>21</v>
      </c>
      <c r="Q6386" s="66" t="b">
        <v>0</v>
      </c>
      <c r="R6386" s="22">
        <f t="shared" si="134"/>
        <v>23</v>
      </c>
    </row>
    <row r="6387" spans="1:19">
      <c r="A6387" s="64">
        <v>11907</v>
      </c>
      <c r="B6387" s="62">
        <v>44291</v>
      </c>
      <c r="C6387" s="63" t="s">
        <v>21133</v>
      </c>
      <c r="D6387" s="62">
        <v>44287</v>
      </c>
      <c r="E6387" s="63" t="s">
        <v>38</v>
      </c>
      <c r="F6387" s="63" t="s">
        <v>16173</v>
      </c>
      <c r="G6387" s="63" t="s">
        <v>20</v>
      </c>
      <c r="H6387" s="63" t="s">
        <v>566</v>
      </c>
      <c r="I6387" s="63" t="s">
        <v>21</v>
      </c>
      <c r="J6387" s="63" t="s">
        <v>21134</v>
      </c>
      <c r="K6387" s="63" t="s">
        <v>21135</v>
      </c>
      <c r="L6387" s="63" t="s">
        <v>7167</v>
      </c>
      <c r="M6387" s="63" t="s">
        <v>21</v>
      </c>
      <c r="O6387" s="101">
        <v>44294</v>
      </c>
      <c r="P6387" s="65" t="s">
        <v>21</v>
      </c>
      <c r="Q6387" s="66" t="b">
        <v>1</v>
      </c>
      <c r="R6387" s="22">
        <f t="shared" si="134"/>
        <v>3</v>
      </c>
    </row>
    <row r="6388" spans="1:19" ht="24">
      <c r="A6388" s="64">
        <v>11908</v>
      </c>
      <c r="B6388" s="62">
        <v>44292</v>
      </c>
      <c r="C6388" s="63" t="s">
        <v>21176</v>
      </c>
      <c r="D6388" s="62">
        <v>44284</v>
      </c>
      <c r="E6388" s="63" t="s">
        <v>21177</v>
      </c>
      <c r="F6388" s="63" t="s">
        <v>70</v>
      </c>
      <c r="G6388" s="63" t="s">
        <v>20</v>
      </c>
      <c r="H6388" s="63" t="s">
        <v>71</v>
      </c>
      <c r="I6388" s="63" t="s">
        <v>21</v>
      </c>
      <c r="J6388" s="63" t="s">
        <v>21178</v>
      </c>
      <c r="K6388" s="63" t="s">
        <v>21179</v>
      </c>
      <c r="L6388" s="63" t="s">
        <v>7167</v>
      </c>
      <c r="M6388" s="63" t="s">
        <v>21</v>
      </c>
      <c r="O6388" s="101">
        <v>44340</v>
      </c>
      <c r="P6388" s="65" t="s">
        <v>182</v>
      </c>
      <c r="Q6388" s="66" t="b">
        <v>1</v>
      </c>
      <c r="R6388" s="22">
        <f t="shared" si="134"/>
        <v>48</v>
      </c>
    </row>
    <row r="6389" spans="1:19" ht="36">
      <c r="A6389" s="64">
        <v>11909</v>
      </c>
      <c r="B6389" s="62">
        <v>44300</v>
      </c>
      <c r="C6389" s="63" t="s">
        <v>21426</v>
      </c>
      <c r="D6389" s="62">
        <v>44286</v>
      </c>
      <c r="E6389" s="63" t="s">
        <v>21427</v>
      </c>
      <c r="F6389" s="63" t="s">
        <v>350</v>
      </c>
      <c r="G6389" s="63" t="s">
        <v>20</v>
      </c>
      <c r="H6389" s="63" t="s">
        <v>71</v>
      </c>
      <c r="I6389" s="63" t="s">
        <v>21</v>
      </c>
      <c r="J6389" s="63" t="s">
        <v>21428</v>
      </c>
      <c r="K6389" s="63" t="s">
        <v>21429</v>
      </c>
      <c r="L6389" s="63" t="s">
        <v>7167</v>
      </c>
      <c r="M6389" s="63" t="s">
        <v>21</v>
      </c>
      <c r="O6389" s="45">
        <v>45385</v>
      </c>
      <c r="P6389" s="65" t="s">
        <v>31</v>
      </c>
      <c r="Q6389" s="66" t="b">
        <v>0</v>
      </c>
      <c r="R6389" s="22">
        <f t="shared" si="134"/>
        <v>1083</v>
      </c>
      <c r="S6389" s="46" t="s">
        <v>22157</v>
      </c>
    </row>
    <row r="6390" spans="1:19">
      <c r="A6390" s="64">
        <v>11910</v>
      </c>
      <c r="B6390" s="62">
        <v>44302</v>
      </c>
      <c r="C6390" s="63" t="s">
        <v>21139</v>
      </c>
      <c r="D6390" s="62">
        <v>44291</v>
      </c>
      <c r="E6390" s="63" t="s">
        <v>38</v>
      </c>
      <c r="F6390" s="63" t="s">
        <v>6298</v>
      </c>
      <c r="G6390" s="63" t="s">
        <v>20</v>
      </c>
      <c r="H6390" s="63" t="s">
        <v>71</v>
      </c>
      <c r="I6390" s="63" t="s">
        <v>21</v>
      </c>
      <c r="J6390" s="63" t="s">
        <v>21140</v>
      </c>
      <c r="K6390" s="63" t="s">
        <v>21141</v>
      </c>
      <c r="L6390" s="63" t="s">
        <v>21142</v>
      </c>
      <c r="M6390" s="63" t="s">
        <v>21</v>
      </c>
      <c r="O6390" s="101">
        <v>44305</v>
      </c>
      <c r="P6390" s="65" t="s">
        <v>31</v>
      </c>
      <c r="Q6390" s="66" t="b">
        <v>0</v>
      </c>
      <c r="R6390" s="22">
        <f t="shared" si="134"/>
        <v>3</v>
      </c>
    </row>
    <row r="6391" spans="1:19">
      <c r="A6391" s="64">
        <v>11911</v>
      </c>
      <c r="B6391" s="62">
        <v>44312</v>
      </c>
      <c r="C6391" s="63" t="s">
        <v>21364</v>
      </c>
      <c r="D6391" s="62">
        <v>44309</v>
      </c>
      <c r="E6391" s="63" t="s">
        <v>38</v>
      </c>
      <c r="F6391" s="63" t="s">
        <v>12404</v>
      </c>
      <c r="G6391" s="63" t="s">
        <v>20</v>
      </c>
      <c r="H6391" s="63" t="s">
        <v>71</v>
      </c>
      <c r="I6391" s="63" t="s">
        <v>21</v>
      </c>
      <c r="J6391" s="63" t="s">
        <v>21365</v>
      </c>
      <c r="K6391" s="63" t="s">
        <v>21366</v>
      </c>
      <c r="L6391" s="63" t="s">
        <v>21142</v>
      </c>
      <c r="M6391" s="63" t="s">
        <v>21</v>
      </c>
      <c r="O6391" s="45">
        <v>44733</v>
      </c>
      <c r="P6391" s="65" t="s">
        <v>21</v>
      </c>
      <c r="Q6391" s="66" t="b">
        <v>0</v>
      </c>
      <c r="R6391" s="22">
        <f t="shared" si="134"/>
        <v>420</v>
      </c>
      <c r="S6391" s="46" t="s">
        <v>21</v>
      </c>
    </row>
    <row r="6392" spans="1:19">
      <c r="A6392" s="64">
        <v>11912</v>
      </c>
      <c r="B6392" s="62">
        <v>44312</v>
      </c>
      <c r="C6392" s="63" t="s">
        <v>21145</v>
      </c>
      <c r="D6392" s="62">
        <v>44309</v>
      </c>
      <c r="E6392" s="63" t="s">
        <v>38</v>
      </c>
      <c r="F6392" s="63" t="s">
        <v>21146</v>
      </c>
      <c r="G6392" s="63" t="s">
        <v>20</v>
      </c>
      <c r="H6392" s="63" t="s">
        <v>71</v>
      </c>
      <c r="I6392" s="63" t="s">
        <v>21</v>
      </c>
      <c r="J6392" s="63" t="s">
        <v>21147</v>
      </c>
      <c r="K6392" s="63" t="s">
        <v>21148</v>
      </c>
      <c r="L6392" s="63" t="s">
        <v>21142</v>
      </c>
      <c r="M6392" s="63" t="s">
        <v>21</v>
      </c>
      <c r="O6392" s="101">
        <v>44316</v>
      </c>
      <c r="P6392" s="65" t="s">
        <v>21</v>
      </c>
      <c r="Q6392" s="66" t="b">
        <v>0</v>
      </c>
      <c r="R6392" s="22">
        <f t="shared" si="134"/>
        <v>4</v>
      </c>
    </row>
    <row r="6393" spans="1:19" ht="24">
      <c r="A6393" s="64">
        <v>11913</v>
      </c>
      <c r="B6393" s="62">
        <v>44315</v>
      </c>
      <c r="C6393" s="63" t="s">
        <v>21149</v>
      </c>
      <c r="D6393" s="62">
        <v>44315</v>
      </c>
      <c r="E6393" s="63" t="s">
        <v>38</v>
      </c>
      <c r="F6393" s="63" t="s">
        <v>21150</v>
      </c>
      <c r="G6393" s="63" t="s">
        <v>20</v>
      </c>
      <c r="H6393" s="63" t="s">
        <v>71</v>
      </c>
      <c r="I6393" s="63" t="s">
        <v>21</v>
      </c>
      <c r="J6393" s="63" t="s">
        <v>21151</v>
      </c>
      <c r="K6393" s="63" t="s">
        <v>21152</v>
      </c>
      <c r="L6393" s="63" t="s">
        <v>21142</v>
      </c>
      <c r="M6393" s="63" t="s">
        <v>21</v>
      </c>
      <c r="O6393" s="101">
        <v>44322</v>
      </c>
      <c r="P6393" s="65" t="s">
        <v>21</v>
      </c>
      <c r="Q6393" s="66" t="b">
        <v>0</v>
      </c>
      <c r="R6393" s="22">
        <f t="shared" si="134"/>
        <v>7</v>
      </c>
      <c r="S6393" s="22"/>
    </row>
    <row r="6394" spans="1:19">
      <c r="A6394" s="64">
        <v>11914</v>
      </c>
      <c r="B6394" s="62">
        <v>44319</v>
      </c>
      <c r="C6394" s="63" t="s">
        <v>21153</v>
      </c>
      <c r="D6394" s="62">
        <v>44319</v>
      </c>
      <c r="E6394" s="63" t="s">
        <v>38</v>
      </c>
      <c r="F6394" s="63" t="s">
        <v>27</v>
      </c>
      <c r="G6394" s="63" t="s">
        <v>20</v>
      </c>
      <c r="H6394" s="63" t="s">
        <v>71</v>
      </c>
      <c r="I6394" s="63" t="s">
        <v>21</v>
      </c>
      <c r="J6394" s="63" t="s">
        <v>21154</v>
      </c>
      <c r="K6394" s="63" t="s">
        <v>21155</v>
      </c>
      <c r="L6394" s="63" t="s">
        <v>21142</v>
      </c>
      <c r="M6394" s="63" t="s">
        <v>21</v>
      </c>
      <c r="O6394" s="101">
        <v>44323</v>
      </c>
      <c r="P6394" s="65" t="s">
        <v>21</v>
      </c>
      <c r="Q6394" s="66" t="b">
        <v>0</v>
      </c>
      <c r="R6394" s="22">
        <f t="shared" si="134"/>
        <v>4</v>
      </c>
      <c r="S6394" s="22"/>
    </row>
    <row r="6395" spans="1:19" ht="24">
      <c r="A6395" s="64">
        <v>11915</v>
      </c>
      <c r="B6395" s="62">
        <v>44319</v>
      </c>
      <c r="C6395" s="63" t="s">
        <v>21162</v>
      </c>
      <c r="D6395" s="62">
        <v>44319</v>
      </c>
      <c r="E6395" s="63" t="s">
        <v>1928</v>
      </c>
      <c r="F6395" s="63" t="s">
        <v>1743</v>
      </c>
      <c r="G6395" s="63" t="s">
        <v>20</v>
      </c>
      <c r="H6395" s="63" t="s">
        <v>71</v>
      </c>
      <c r="I6395" s="63" t="s">
        <v>21</v>
      </c>
      <c r="J6395" s="63" t="s">
        <v>21163</v>
      </c>
      <c r="K6395" s="63" t="s">
        <v>21164</v>
      </c>
      <c r="L6395" s="63" t="s">
        <v>14909</v>
      </c>
      <c r="M6395" s="63" t="s">
        <v>21</v>
      </c>
      <c r="N6395" s="45">
        <v>44333</v>
      </c>
      <c r="O6395" s="101">
        <v>44330</v>
      </c>
      <c r="P6395" s="65" t="s">
        <v>21</v>
      </c>
      <c r="Q6395" s="66" t="b">
        <v>0</v>
      </c>
      <c r="R6395" s="22">
        <f t="shared" si="134"/>
        <v>11</v>
      </c>
      <c r="S6395" s="22"/>
    </row>
    <row r="6396" spans="1:19" ht="24">
      <c r="A6396" s="59">
        <v>11917</v>
      </c>
      <c r="B6396" s="60">
        <v>44321</v>
      </c>
      <c r="C6396" s="61" t="s">
        <v>21430</v>
      </c>
      <c r="D6396" s="60">
        <v>44321</v>
      </c>
      <c r="E6396" s="61" t="s">
        <v>21431</v>
      </c>
      <c r="F6396" s="61" t="s">
        <v>21432</v>
      </c>
      <c r="G6396" s="61" t="s">
        <v>20</v>
      </c>
      <c r="H6396" s="61" t="s">
        <v>71</v>
      </c>
      <c r="I6396" s="61" t="s">
        <v>21</v>
      </c>
      <c r="J6396" s="61" t="s">
        <v>21433</v>
      </c>
      <c r="K6396" s="61" t="s">
        <v>21434</v>
      </c>
      <c r="L6396" s="61" t="s">
        <v>21142</v>
      </c>
      <c r="M6396" s="61" t="s">
        <v>21</v>
      </c>
      <c r="O6396" s="29">
        <v>45107</v>
      </c>
      <c r="P6396" s="61" t="s">
        <v>21</v>
      </c>
      <c r="Q6396" s="59" t="b">
        <v>0</v>
      </c>
      <c r="R6396" s="22">
        <f t="shared" si="134"/>
        <v>785</v>
      </c>
      <c r="S6396" s="61" t="s">
        <v>22162</v>
      </c>
    </row>
    <row r="6397" spans="1:19">
      <c r="A6397" s="64">
        <v>11918</v>
      </c>
      <c r="B6397" s="62">
        <v>44327</v>
      </c>
      <c r="C6397" s="63" t="s">
        <v>21159</v>
      </c>
      <c r="D6397" s="62">
        <v>44321</v>
      </c>
      <c r="E6397" s="63" t="s">
        <v>38</v>
      </c>
      <c r="F6397" s="63" t="s">
        <v>5620</v>
      </c>
      <c r="G6397" s="63" t="s">
        <v>20</v>
      </c>
      <c r="H6397" s="63" t="s">
        <v>71</v>
      </c>
      <c r="I6397" s="63" t="s">
        <v>21</v>
      </c>
      <c r="J6397" s="63" t="s">
        <v>21160</v>
      </c>
      <c r="K6397" s="63" t="s">
        <v>21161</v>
      </c>
      <c r="L6397" s="63" t="s">
        <v>7167</v>
      </c>
      <c r="M6397" s="63" t="s">
        <v>21</v>
      </c>
      <c r="O6397" s="101">
        <v>44329</v>
      </c>
      <c r="P6397" s="65" t="s">
        <v>21</v>
      </c>
      <c r="Q6397" s="66" t="b">
        <v>0</v>
      </c>
      <c r="R6397" s="22">
        <f t="shared" si="134"/>
        <v>2</v>
      </c>
      <c r="S6397" s="22"/>
    </row>
    <row r="6398" spans="1:19" ht="24">
      <c r="A6398" s="64">
        <v>11919</v>
      </c>
      <c r="B6398" s="62">
        <v>44327</v>
      </c>
      <c r="C6398" s="63" t="s">
        <v>21165</v>
      </c>
      <c r="D6398" s="62">
        <v>44326</v>
      </c>
      <c r="E6398" s="63" t="s">
        <v>38</v>
      </c>
      <c r="F6398" s="63" t="s">
        <v>124</v>
      </c>
      <c r="G6398" s="63" t="s">
        <v>20</v>
      </c>
      <c r="H6398" s="63" t="s">
        <v>71</v>
      </c>
      <c r="I6398" s="63" t="s">
        <v>21</v>
      </c>
      <c r="J6398" s="63" t="s">
        <v>21166</v>
      </c>
      <c r="K6398" s="63" t="s">
        <v>6081</v>
      </c>
      <c r="L6398" s="63" t="s">
        <v>4282</v>
      </c>
      <c r="M6398" s="63" t="s">
        <v>21</v>
      </c>
      <c r="O6398" s="101">
        <v>44333</v>
      </c>
      <c r="P6398" s="65" t="s">
        <v>21</v>
      </c>
      <c r="Q6398" s="66" t="b">
        <v>0</v>
      </c>
      <c r="R6398" s="22">
        <f t="shared" si="134"/>
        <v>6</v>
      </c>
      <c r="S6398" s="22"/>
    </row>
    <row r="6399" spans="1:19" ht="24">
      <c r="A6399" s="64">
        <v>11920</v>
      </c>
      <c r="B6399" s="62">
        <v>44327</v>
      </c>
      <c r="C6399" s="63" t="s">
        <v>21167</v>
      </c>
      <c r="D6399" s="62">
        <v>44327</v>
      </c>
      <c r="E6399" s="63" t="s">
        <v>38</v>
      </c>
      <c r="F6399" s="63" t="s">
        <v>3171</v>
      </c>
      <c r="G6399" s="63" t="s">
        <v>20</v>
      </c>
      <c r="H6399" s="63" t="s">
        <v>71</v>
      </c>
      <c r="I6399" s="63" t="s">
        <v>21</v>
      </c>
      <c r="J6399" s="63" t="s">
        <v>21168</v>
      </c>
      <c r="K6399" s="63" t="s">
        <v>21169</v>
      </c>
      <c r="L6399" s="63" t="s">
        <v>4282</v>
      </c>
      <c r="M6399" s="63" t="s">
        <v>21</v>
      </c>
      <c r="O6399" s="101">
        <v>44333</v>
      </c>
      <c r="P6399" s="65" t="s">
        <v>21</v>
      </c>
      <c r="Q6399" s="66" t="b">
        <v>0</v>
      </c>
      <c r="R6399" s="22">
        <f t="shared" si="134"/>
        <v>6</v>
      </c>
      <c r="S6399" s="22"/>
    </row>
    <row r="6400" spans="1:19">
      <c r="A6400" s="64">
        <v>11921</v>
      </c>
      <c r="B6400" s="62">
        <v>44336</v>
      </c>
      <c r="C6400" s="63" t="s">
        <v>21173</v>
      </c>
      <c r="D6400" s="62">
        <v>44336</v>
      </c>
      <c r="E6400" s="63" t="s">
        <v>38</v>
      </c>
      <c r="F6400" s="63" t="s">
        <v>371</v>
      </c>
      <c r="G6400" s="63" t="s">
        <v>20</v>
      </c>
      <c r="H6400" s="63" t="s">
        <v>71</v>
      </c>
      <c r="I6400" s="63" t="s">
        <v>21</v>
      </c>
      <c r="J6400" s="63" t="s">
        <v>21174</v>
      </c>
      <c r="K6400" s="63" t="s">
        <v>21175</v>
      </c>
      <c r="L6400" s="63" t="s">
        <v>7167</v>
      </c>
      <c r="M6400" s="63" t="s">
        <v>21</v>
      </c>
      <c r="O6400" s="101">
        <v>44340</v>
      </c>
      <c r="P6400" s="65" t="s">
        <v>21</v>
      </c>
      <c r="Q6400" s="66" t="b">
        <v>0</v>
      </c>
      <c r="R6400" s="22">
        <f t="shared" si="134"/>
        <v>4</v>
      </c>
      <c r="S6400" s="22"/>
    </row>
    <row r="6401" spans="1:19" ht="24">
      <c r="A6401" s="64">
        <v>11922</v>
      </c>
      <c r="B6401" s="62">
        <v>44336</v>
      </c>
      <c r="C6401" s="63" t="s">
        <v>21435</v>
      </c>
      <c r="D6401" s="62">
        <v>44336</v>
      </c>
      <c r="E6401" s="63" t="s">
        <v>21436</v>
      </c>
      <c r="F6401" s="63" t="s">
        <v>371</v>
      </c>
      <c r="G6401" s="63" t="s">
        <v>20</v>
      </c>
      <c r="H6401" s="63" t="s">
        <v>71</v>
      </c>
      <c r="I6401" s="63" t="s">
        <v>21</v>
      </c>
      <c r="J6401" s="63" t="s">
        <v>21437</v>
      </c>
      <c r="K6401" s="63" t="s">
        <v>21438</v>
      </c>
      <c r="L6401" s="63" t="s">
        <v>4282</v>
      </c>
      <c r="M6401" s="63" t="s">
        <v>21</v>
      </c>
      <c r="O6401" s="45">
        <v>45376</v>
      </c>
      <c r="P6401" s="65" t="s">
        <v>21</v>
      </c>
      <c r="Q6401" s="66" t="b">
        <v>0</v>
      </c>
      <c r="R6401" s="22">
        <f t="shared" si="134"/>
        <v>1039</v>
      </c>
      <c r="S6401" s="63" t="s">
        <v>22163</v>
      </c>
    </row>
    <row r="6402" spans="1:19">
      <c r="A6402" s="64">
        <v>11923</v>
      </c>
      <c r="B6402" s="62">
        <v>44337</v>
      </c>
      <c r="C6402" s="63" t="s">
        <v>21170</v>
      </c>
      <c r="D6402" s="62">
        <v>44336</v>
      </c>
      <c r="E6402" s="63" t="s">
        <v>1928</v>
      </c>
      <c r="F6402" s="63" t="s">
        <v>1743</v>
      </c>
      <c r="G6402" s="63" t="s">
        <v>20</v>
      </c>
      <c r="H6402" s="63" t="s">
        <v>71</v>
      </c>
      <c r="I6402" s="63" t="s">
        <v>21</v>
      </c>
      <c r="J6402" s="63" t="s">
        <v>21171</v>
      </c>
      <c r="K6402" s="63" t="s">
        <v>21172</v>
      </c>
      <c r="L6402" s="63" t="s">
        <v>7167</v>
      </c>
      <c r="M6402" s="63" t="s">
        <v>21</v>
      </c>
      <c r="N6402" s="22"/>
      <c r="O6402" s="101">
        <v>44337</v>
      </c>
      <c r="P6402" s="65" t="s">
        <v>21</v>
      </c>
      <c r="Q6402" s="66" t="b">
        <v>0</v>
      </c>
      <c r="R6402" s="22">
        <f t="shared" si="134"/>
        <v>0</v>
      </c>
      <c r="S6402" s="22"/>
    </row>
    <row r="6403" spans="1:19">
      <c r="A6403" s="64">
        <v>11924</v>
      </c>
      <c r="B6403" s="62">
        <v>44340</v>
      </c>
      <c r="C6403" s="63" t="s">
        <v>21182</v>
      </c>
      <c r="D6403" s="62">
        <v>44337</v>
      </c>
      <c r="E6403" s="63" t="s">
        <v>38</v>
      </c>
      <c r="F6403" s="63" t="s">
        <v>149</v>
      </c>
      <c r="G6403" s="63" t="s">
        <v>20</v>
      </c>
      <c r="H6403" s="63" t="s">
        <v>71</v>
      </c>
      <c r="I6403" s="63" t="s">
        <v>21</v>
      </c>
      <c r="J6403" s="63" t="s">
        <v>21183</v>
      </c>
      <c r="K6403" s="63" t="s">
        <v>21184</v>
      </c>
      <c r="L6403" s="63" t="s">
        <v>21142</v>
      </c>
      <c r="M6403" s="63" t="s">
        <v>21</v>
      </c>
      <c r="O6403" s="101">
        <v>44349</v>
      </c>
      <c r="P6403" s="65" t="s">
        <v>21</v>
      </c>
      <c r="Q6403" s="66" t="b">
        <v>0</v>
      </c>
      <c r="R6403" s="22">
        <f t="shared" si="134"/>
        <v>8</v>
      </c>
      <c r="S6403" s="22"/>
    </row>
    <row r="6404" spans="1:19">
      <c r="A6404" s="64">
        <v>11925</v>
      </c>
      <c r="B6404" s="62">
        <v>44340</v>
      </c>
      <c r="C6404" s="63" t="s">
        <v>21210</v>
      </c>
      <c r="D6404" s="62">
        <v>44337</v>
      </c>
      <c r="E6404" s="63" t="s">
        <v>38</v>
      </c>
      <c r="F6404" s="63" t="s">
        <v>211</v>
      </c>
      <c r="G6404" s="63" t="s">
        <v>20</v>
      </c>
      <c r="H6404" s="63" t="s">
        <v>212</v>
      </c>
      <c r="I6404" s="63" t="s">
        <v>21</v>
      </c>
      <c r="J6404" s="63" t="s">
        <v>21211</v>
      </c>
      <c r="K6404" s="63" t="s">
        <v>21212</v>
      </c>
      <c r="L6404" s="63" t="s">
        <v>21142</v>
      </c>
      <c r="M6404" s="63" t="s">
        <v>21</v>
      </c>
      <c r="O6404" s="101">
        <v>44393</v>
      </c>
      <c r="P6404" s="65" t="s">
        <v>21</v>
      </c>
      <c r="Q6404" s="66" t="b">
        <v>0</v>
      </c>
      <c r="R6404" s="22">
        <f t="shared" si="134"/>
        <v>52</v>
      </c>
      <c r="S6404" s="22"/>
    </row>
    <row r="6405" spans="1:19">
      <c r="A6405" s="64">
        <v>11926</v>
      </c>
      <c r="B6405" s="62">
        <v>44340</v>
      </c>
      <c r="C6405" s="63" t="s">
        <v>21294</v>
      </c>
      <c r="D6405" s="62">
        <v>44326</v>
      </c>
      <c r="E6405" s="63" t="s">
        <v>38</v>
      </c>
      <c r="F6405" s="63" t="s">
        <v>18022</v>
      </c>
      <c r="G6405" s="63" t="s">
        <v>20</v>
      </c>
      <c r="H6405" s="63" t="s">
        <v>71</v>
      </c>
      <c r="I6405" s="63" t="s">
        <v>21</v>
      </c>
      <c r="J6405" s="63" t="s">
        <v>21295</v>
      </c>
      <c r="K6405" s="63" t="s">
        <v>21296</v>
      </c>
      <c r="L6405" s="63" t="s">
        <v>21142</v>
      </c>
      <c r="M6405" s="63" t="s">
        <v>21</v>
      </c>
      <c r="O6405" s="101">
        <v>44516</v>
      </c>
      <c r="P6405" s="65" t="s">
        <v>21</v>
      </c>
      <c r="Q6405" s="66" t="b">
        <v>0</v>
      </c>
      <c r="R6405" s="22">
        <f t="shared" si="134"/>
        <v>174</v>
      </c>
      <c r="S6405" s="22"/>
    </row>
    <row r="6406" spans="1:19">
      <c r="A6406" s="64">
        <v>11928</v>
      </c>
      <c r="B6406" s="62">
        <v>44344</v>
      </c>
      <c r="C6406" s="63" t="s">
        <v>21255</v>
      </c>
      <c r="D6406" s="62">
        <v>44342</v>
      </c>
      <c r="E6406" s="63" t="s">
        <v>38</v>
      </c>
      <c r="F6406" s="63" t="s">
        <v>6191</v>
      </c>
      <c r="G6406" s="63" t="s">
        <v>20</v>
      </c>
      <c r="H6406" s="63" t="s">
        <v>189</v>
      </c>
      <c r="I6406" s="63" t="s">
        <v>21</v>
      </c>
      <c r="J6406" s="63" t="s">
        <v>21256</v>
      </c>
      <c r="K6406" s="63" t="s">
        <v>6081</v>
      </c>
      <c r="L6406" s="63" t="s">
        <v>21243</v>
      </c>
      <c r="M6406" s="63" t="s">
        <v>21142</v>
      </c>
      <c r="O6406" s="101">
        <v>44476</v>
      </c>
      <c r="P6406" s="65" t="s">
        <v>21</v>
      </c>
      <c r="Q6406" s="66" t="b">
        <v>0</v>
      </c>
      <c r="R6406" s="22">
        <f t="shared" si="134"/>
        <v>130</v>
      </c>
      <c r="S6406" s="22"/>
    </row>
    <row r="6407" spans="1:19" ht="24">
      <c r="A6407" s="64">
        <v>11929</v>
      </c>
      <c r="B6407" s="62">
        <v>44344</v>
      </c>
      <c r="C6407" s="63" t="s">
        <v>21185</v>
      </c>
      <c r="D6407" s="62">
        <v>44344</v>
      </c>
      <c r="E6407" s="63" t="s">
        <v>38</v>
      </c>
      <c r="F6407" s="63" t="s">
        <v>2296</v>
      </c>
      <c r="G6407" s="63" t="s">
        <v>20</v>
      </c>
      <c r="H6407" s="63" t="s">
        <v>566</v>
      </c>
      <c r="I6407" s="63" t="s">
        <v>21</v>
      </c>
      <c r="J6407" s="63" t="s">
        <v>21186</v>
      </c>
      <c r="K6407" s="63" t="s">
        <v>21187</v>
      </c>
      <c r="L6407" s="63" t="s">
        <v>4282</v>
      </c>
      <c r="M6407" s="63" t="s">
        <v>21</v>
      </c>
      <c r="O6407" s="108">
        <v>44349</v>
      </c>
      <c r="P6407" s="65" t="s">
        <v>21</v>
      </c>
      <c r="Q6407" s="66" t="b">
        <v>0</v>
      </c>
      <c r="R6407" s="22">
        <f t="shared" si="134"/>
        <v>4</v>
      </c>
      <c r="S6407" s="22"/>
    </row>
    <row r="6408" spans="1:19">
      <c r="A6408" s="64">
        <v>11930</v>
      </c>
      <c r="B6408" s="62">
        <v>44351</v>
      </c>
      <c r="C6408" s="63" t="s">
        <v>21192</v>
      </c>
      <c r="D6408" s="62">
        <v>44350</v>
      </c>
      <c r="E6408" s="63" t="s">
        <v>38</v>
      </c>
      <c r="F6408" s="63" t="s">
        <v>70</v>
      </c>
      <c r="G6408" s="63" t="s">
        <v>20</v>
      </c>
      <c r="H6408" s="63" t="s">
        <v>71</v>
      </c>
      <c r="I6408" s="63" t="s">
        <v>21</v>
      </c>
      <c r="J6408" s="63" t="s">
        <v>21193</v>
      </c>
      <c r="K6408" s="63" t="s">
        <v>21194</v>
      </c>
      <c r="L6408" s="63" t="s">
        <v>7167</v>
      </c>
      <c r="M6408" s="63" t="s">
        <v>21</v>
      </c>
      <c r="O6408" s="108">
        <v>44357</v>
      </c>
      <c r="P6408" s="65" t="s">
        <v>21</v>
      </c>
      <c r="Q6408" s="66" t="b">
        <v>0</v>
      </c>
      <c r="R6408" s="22">
        <f t="shared" si="134"/>
        <v>6</v>
      </c>
      <c r="S6408" s="22"/>
    </row>
    <row r="6409" spans="1:19" ht="24">
      <c r="A6409" s="64">
        <v>11931</v>
      </c>
      <c r="B6409" s="62">
        <v>44355</v>
      </c>
      <c r="C6409" s="63" t="s">
        <v>21439</v>
      </c>
      <c r="D6409" s="62">
        <v>44323</v>
      </c>
      <c r="E6409" s="63" t="s">
        <v>21440</v>
      </c>
      <c r="F6409" s="63" t="s">
        <v>124</v>
      </c>
      <c r="G6409" s="63" t="s">
        <v>20</v>
      </c>
      <c r="H6409" s="63" t="s">
        <v>71</v>
      </c>
      <c r="I6409" s="63" t="s">
        <v>21</v>
      </c>
      <c r="J6409" s="63" t="s">
        <v>21441</v>
      </c>
      <c r="K6409" s="63" t="s">
        <v>21442</v>
      </c>
      <c r="L6409" s="63" t="s">
        <v>21573</v>
      </c>
      <c r="M6409" s="63" t="s">
        <v>22164</v>
      </c>
      <c r="O6409" s="62">
        <v>45362</v>
      </c>
      <c r="P6409" s="65" t="s">
        <v>21</v>
      </c>
      <c r="Q6409" s="66" t="b">
        <v>0</v>
      </c>
      <c r="R6409" s="22">
        <f t="shared" si="134"/>
        <v>1006</v>
      </c>
      <c r="S6409" s="63" t="s">
        <v>22165</v>
      </c>
    </row>
    <row r="6410" spans="1:19" ht="24">
      <c r="A6410" s="64">
        <v>11932</v>
      </c>
      <c r="B6410" s="62">
        <v>44355</v>
      </c>
      <c r="C6410" s="63" t="s">
        <v>21205</v>
      </c>
      <c r="D6410" s="62">
        <v>44354</v>
      </c>
      <c r="E6410" s="63" t="s">
        <v>38</v>
      </c>
      <c r="F6410" s="63" t="s">
        <v>16173</v>
      </c>
      <c r="G6410" s="63" t="s">
        <v>20</v>
      </c>
      <c r="H6410" s="63" t="s">
        <v>566</v>
      </c>
      <c r="I6410" s="63" t="s">
        <v>21</v>
      </c>
      <c r="J6410" s="63" t="s">
        <v>21206</v>
      </c>
      <c r="K6410" s="63" t="s">
        <v>6081</v>
      </c>
      <c r="L6410" s="63" t="s">
        <v>4282</v>
      </c>
      <c r="M6410" s="63" t="s">
        <v>21</v>
      </c>
      <c r="O6410" s="108">
        <v>44370</v>
      </c>
      <c r="P6410" s="65" t="s">
        <v>21</v>
      </c>
      <c r="Q6410" s="66" t="b">
        <v>0</v>
      </c>
      <c r="R6410" s="22">
        <f t="shared" si="134"/>
        <v>15</v>
      </c>
      <c r="S6410" s="22"/>
    </row>
    <row r="6411" spans="1:19" ht="24">
      <c r="A6411" s="64">
        <v>11933</v>
      </c>
      <c r="B6411" s="62">
        <v>44355</v>
      </c>
      <c r="C6411" s="63" t="s">
        <v>21367</v>
      </c>
      <c r="D6411" s="62">
        <v>44354</v>
      </c>
      <c r="E6411" s="63" t="s">
        <v>38</v>
      </c>
      <c r="F6411" s="63" t="s">
        <v>1743</v>
      </c>
      <c r="G6411" s="63" t="s">
        <v>20</v>
      </c>
      <c r="H6411" s="63" t="s">
        <v>71</v>
      </c>
      <c r="I6411" s="63" t="s">
        <v>21</v>
      </c>
      <c r="J6411" s="63" t="s">
        <v>21368</v>
      </c>
      <c r="K6411" s="63" t="s">
        <v>21369</v>
      </c>
      <c r="L6411" s="63" t="s">
        <v>21142</v>
      </c>
      <c r="M6411" s="63" t="s">
        <v>21</v>
      </c>
      <c r="O6411" s="62">
        <v>44621</v>
      </c>
      <c r="P6411" s="65" t="s">
        <v>21</v>
      </c>
      <c r="Q6411" s="66" t="b">
        <v>0</v>
      </c>
      <c r="R6411" s="22">
        <f t="shared" si="134"/>
        <v>266</v>
      </c>
      <c r="S6411" s="63" t="s">
        <v>21</v>
      </c>
    </row>
    <row r="6412" spans="1:19" ht="24">
      <c r="A6412" s="64">
        <v>11934</v>
      </c>
      <c r="B6412" s="62">
        <v>44357</v>
      </c>
      <c r="C6412" s="63" t="s">
        <v>21443</v>
      </c>
      <c r="D6412" s="62">
        <v>44356</v>
      </c>
      <c r="E6412" s="63" t="s">
        <v>21444</v>
      </c>
      <c r="F6412" s="63" t="s">
        <v>21432</v>
      </c>
      <c r="G6412" s="63" t="s">
        <v>20</v>
      </c>
      <c r="H6412" s="63" t="s">
        <v>71</v>
      </c>
      <c r="I6412" s="63" t="s">
        <v>21</v>
      </c>
      <c r="J6412" s="63" t="s">
        <v>21445</v>
      </c>
      <c r="K6412" s="63" t="s">
        <v>21446</v>
      </c>
      <c r="L6412" s="63" t="s">
        <v>21142</v>
      </c>
      <c r="M6412" s="63" t="s">
        <v>21</v>
      </c>
      <c r="O6412" s="62">
        <v>45302</v>
      </c>
      <c r="P6412" s="65" t="s">
        <v>21</v>
      </c>
      <c r="Q6412" s="66" t="b">
        <v>0</v>
      </c>
      <c r="R6412" s="22">
        <f t="shared" si="134"/>
        <v>943</v>
      </c>
      <c r="S6412" s="63" t="s">
        <v>22166</v>
      </c>
    </row>
    <row r="6413" spans="1:19" ht="24">
      <c r="A6413" s="64">
        <v>11935</v>
      </c>
      <c r="B6413" s="62">
        <v>44365</v>
      </c>
      <c r="C6413" s="63" t="s">
        <v>21202</v>
      </c>
      <c r="D6413" s="62">
        <v>44365</v>
      </c>
      <c r="E6413" s="63" t="s">
        <v>38</v>
      </c>
      <c r="F6413" s="63" t="s">
        <v>6298</v>
      </c>
      <c r="G6413" s="63" t="s">
        <v>20</v>
      </c>
      <c r="H6413" s="63" t="s">
        <v>71</v>
      </c>
      <c r="I6413" s="63" t="s">
        <v>21</v>
      </c>
      <c r="J6413" s="63" t="s">
        <v>21203</v>
      </c>
      <c r="K6413" s="63" t="s">
        <v>21204</v>
      </c>
      <c r="L6413" s="63" t="s">
        <v>7167</v>
      </c>
      <c r="M6413" s="63" t="s">
        <v>21</v>
      </c>
      <c r="O6413" s="108">
        <v>44368</v>
      </c>
      <c r="P6413" s="65" t="s">
        <v>21</v>
      </c>
      <c r="Q6413" s="66" t="b">
        <v>0</v>
      </c>
      <c r="R6413" s="22">
        <f t="shared" si="134"/>
        <v>3</v>
      </c>
      <c r="S6413" s="22"/>
    </row>
    <row r="6414" spans="1:19">
      <c r="A6414" s="64">
        <v>11937</v>
      </c>
      <c r="B6414" s="62">
        <v>44370</v>
      </c>
      <c r="C6414" s="63" t="s">
        <v>21317</v>
      </c>
      <c r="D6414" s="62">
        <v>44369</v>
      </c>
      <c r="E6414" s="63" t="s">
        <v>38</v>
      </c>
      <c r="F6414" s="63" t="s">
        <v>27</v>
      </c>
      <c r="G6414" s="63" t="s">
        <v>20</v>
      </c>
      <c r="H6414" s="63" t="s">
        <v>71</v>
      </c>
      <c r="I6414" s="63" t="s">
        <v>21</v>
      </c>
      <c r="J6414" s="63" t="s">
        <v>21318</v>
      </c>
      <c r="K6414" s="63" t="s">
        <v>21319</v>
      </c>
      <c r="L6414" s="63" t="s">
        <v>4282</v>
      </c>
      <c r="M6414" s="63" t="s">
        <v>21</v>
      </c>
      <c r="O6414" s="108">
        <v>44531</v>
      </c>
      <c r="P6414" s="65" t="s">
        <v>21</v>
      </c>
      <c r="Q6414" s="66" t="b">
        <v>0</v>
      </c>
      <c r="R6414" s="22">
        <f t="shared" si="134"/>
        <v>160</v>
      </c>
      <c r="S6414" s="22"/>
    </row>
    <row r="6415" spans="1:19" ht="24">
      <c r="A6415" s="64">
        <v>11938</v>
      </c>
      <c r="B6415" s="62">
        <v>44370</v>
      </c>
      <c r="C6415" s="63" t="s">
        <v>21447</v>
      </c>
      <c r="D6415" s="62">
        <v>44365</v>
      </c>
      <c r="E6415" s="63" t="s">
        <v>21448</v>
      </c>
      <c r="F6415" s="63" t="s">
        <v>98</v>
      </c>
      <c r="G6415" s="63" t="s">
        <v>20</v>
      </c>
      <c r="H6415" s="63" t="s">
        <v>71</v>
      </c>
      <c r="I6415" s="63" t="s">
        <v>21</v>
      </c>
      <c r="J6415" s="63" t="s">
        <v>21449</v>
      </c>
      <c r="K6415" s="63" t="s">
        <v>21450</v>
      </c>
      <c r="L6415" s="63" t="s">
        <v>21142</v>
      </c>
      <c r="M6415" s="63" t="s">
        <v>21</v>
      </c>
      <c r="O6415" s="62">
        <v>45433</v>
      </c>
      <c r="P6415" s="65" t="s">
        <v>21</v>
      </c>
      <c r="Q6415" s="66" t="b">
        <v>0</v>
      </c>
      <c r="R6415" s="22">
        <f t="shared" si="134"/>
        <v>1062</v>
      </c>
      <c r="S6415" s="63" t="s">
        <v>22167</v>
      </c>
    </row>
    <row r="6416" spans="1:19">
      <c r="A6416" s="64">
        <v>11939</v>
      </c>
      <c r="B6416" s="62">
        <v>44371</v>
      </c>
      <c r="C6416" s="63" t="s">
        <v>21370</v>
      </c>
      <c r="D6416" s="62">
        <v>44370</v>
      </c>
      <c r="E6416" s="63" t="s">
        <v>38</v>
      </c>
      <c r="F6416" s="63" t="s">
        <v>149</v>
      </c>
      <c r="G6416" s="63" t="s">
        <v>20</v>
      </c>
      <c r="H6416" s="63" t="s">
        <v>71</v>
      </c>
      <c r="I6416" s="63" t="s">
        <v>21</v>
      </c>
      <c r="J6416" s="63" t="s">
        <v>21318</v>
      </c>
      <c r="K6416" s="63" t="s">
        <v>21371</v>
      </c>
      <c r="L6416" s="63" t="s">
        <v>4282</v>
      </c>
      <c r="M6416" s="63" t="s">
        <v>21</v>
      </c>
      <c r="O6416" s="62">
        <v>44630</v>
      </c>
      <c r="P6416" s="65" t="s">
        <v>21</v>
      </c>
      <c r="Q6416" s="66" t="b">
        <v>0</v>
      </c>
      <c r="R6416" s="22">
        <f t="shared" si="134"/>
        <v>259</v>
      </c>
      <c r="S6416" s="63" t="s">
        <v>21</v>
      </c>
    </row>
    <row r="6417" spans="1:19">
      <c r="A6417" s="64">
        <v>11940</v>
      </c>
      <c r="B6417" s="62">
        <v>44375</v>
      </c>
      <c r="C6417" s="63" t="s">
        <v>21207</v>
      </c>
      <c r="D6417" s="62">
        <v>44375</v>
      </c>
      <c r="E6417" s="63" t="s">
        <v>38</v>
      </c>
      <c r="F6417" s="63" t="s">
        <v>149</v>
      </c>
      <c r="G6417" s="63" t="s">
        <v>20</v>
      </c>
      <c r="H6417" s="63" t="s">
        <v>71</v>
      </c>
      <c r="I6417" s="63" t="s">
        <v>21</v>
      </c>
      <c r="J6417" s="63" t="s">
        <v>21208</v>
      </c>
      <c r="K6417" s="63" t="s">
        <v>21209</v>
      </c>
      <c r="L6417" s="63" t="s">
        <v>4282</v>
      </c>
      <c r="M6417" s="63" t="s">
        <v>21</v>
      </c>
      <c r="O6417" s="108">
        <v>44376</v>
      </c>
      <c r="P6417" s="65" t="s">
        <v>21</v>
      </c>
      <c r="Q6417" s="66" t="b">
        <v>0</v>
      </c>
      <c r="R6417" s="22">
        <f t="shared" si="134"/>
        <v>1</v>
      </c>
      <c r="S6417" s="22"/>
    </row>
    <row r="6418" spans="1:19" ht="24">
      <c r="A6418" s="64">
        <v>11942</v>
      </c>
      <c r="B6418" s="62">
        <v>44376</v>
      </c>
      <c r="C6418" s="63" t="s">
        <v>21389</v>
      </c>
      <c r="D6418" s="62">
        <v>44375</v>
      </c>
      <c r="E6418" s="63" t="s">
        <v>21390</v>
      </c>
      <c r="F6418" s="63" t="s">
        <v>16198</v>
      </c>
      <c r="G6418" s="63" t="s">
        <v>20</v>
      </c>
      <c r="H6418" s="63" t="s">
        <v>71</v>
      </c>
      <c r="I6418" s="63" t="s">
        <v>21</v>
      </c>
      <c r="J6418" s="63" t="s">
        <v>21391</v>
      </c>
      <c r="K6418" s="63" t="s">
        <v>21392</v>
      </c>
      <c r="L6418" s="63" t="s">
        <v>7167</v>
      </c>
      <c r="M6418" s="63" t="s">
        <v>21</v>
      </c>
      <c r="O6418" s="62">
        <v>45468</v>
      </c>
      <c r="P6418" s="65" t="s">
        <v>21</v>
      </c>
      <c r="Q6418" s="66" t="b">
        <v>0</v>
      </c>
      <c r="R6418" s="22">
        <f t="shared" si="134"/>
        <v>1090</v>
      </c>
      <c r="S6418" s="63" t="s">
        <v>22168</v>
      </c>
    </row>
    <row r="6419" spans="1:19" ht="24">
      <c r="A6419" s="64">
        <v>11943</v>
      </c>
      <c r="B6419" s="62">
        <v>44383</v>
      </c>
      <c r="C6419" s="63" t="s">
        <v>21372</v>
      </c>
      <c r="D6419" s="62">
        <v>44368</v>
      </c>
      <c r="E6419" s="63" t="s">
        <v>38</v>
      </c>
      <c r="F6419" s="63" t="s">
        <v>16720</v>
      </c>
      <c r="G6419" s="63" t="s">
        <v>20</v>
      </c>
      <c r="H6419" s="63" t="s">
        <v>71</v>
      </c>
      <c r="I6419" s="63" t="s">
        <v>21</v>
      </c>
      <c r="J6419" s="63" t="s">
        <v>21373</v>
      </c>
      <c r="K6419" s="63" t="s">
        <v>6081</v>
      </c>
      <c r="L6419" s="63" t="s">
        <v>21142</v>
      </c>
      <c r="M6419" s="63" t="s">
        <v>21</v>
      </c>
      <c r="O6419" s="62">
        <v>44735</v>
      </c>
      <c r="P6419" s="65" t="s">
        <v>21</v>
      </c>
      <c r="Q6419" s="66" t="b">
        <v>0</v>
      </c>
      <c r="R6419" s="22">
        <f t="shared" si="134"/>
        <v>351</v>
      </c>
      <c r="S6419" s="63" t="s">
        <v>21</v>
      </c>
    </row>
    <row r="6420" spans="1:19" ht="24">
      <c r="A6420" s="64">
        <v>11944</v>
      </c>
      <c r="B6420" s="62">
        <v>44383</v>
      </c>
      <c r="C6420" s="63" t="s">
        <v>21216</v>
      </c>
      <c r="D6420" s="62">
        <v>44383</v>
      </c>
      <c r="E6420" s="63" t="s">
        <v>38</v>
      </c>
      <c r="F6420" s="63" t="s">
        <v>56</v>
      </c>
      <c r="G6420" s="63" t="s">
        <v>20</v>
      </c>
      <c r="H6420" s="63" t="s">
        <v>71</v>
      </c>
      <c r="I6420" s="63" t="s">
        <v>21</v>
      </c>
      <c r="J6420" s="63" t="s">
        <v>21217</v>
      </c>
      <c r="K6420" s="63" t="s">
        <v>21218</v>
      </c>
      <c r="L6420" s="63" t="s">
        <v>21142</v>
      </c>
      <c r="M6420" s="63" t="s">
        <v>21</v>
      </c>
      <c r="O6420" s="108">
        <v>44404</v>
      </c>
      <c r="P6420" s="65" t="s">
        <v>21</v>
      </c>
      <c r="Q6420" s="66" t="b">
        <v>0</v>
      </c>
      <c r="R6420" s="22">
        <f t="shared" si="134"/>
        <v>21</v>
      </c>
      <c r="S6420" s="22"/>
    </row>
    <row r="6421" spans="1:19" ht="24">
      <c r="A6421" s="64">
        <v>11945</v>
      </c>
      <c r="B6421" s="62">
        <v>44383</v>
      </c>
      <c r="C6421" s="63" t="s">
        <v>21219</v>
      </c>
      <c r="D6421" s="62">
        <v>44383</v>
      </c>
      <c r="E6421" s="63" t="s">
        <v>38</v>
      </c>
      <c r="F6421" s="63" t="s">
        <v>741</v>
      </c>
      <c r="G6421" s="63" t="s">
        <v>20</v>
      </c>
      <c r="H6421" s="63" t="s">
        <v>71</v>
      </c>
      <c r="I6421" s="63" t="s">
        <v>21</v>
      </c>
      <c r="J6421" s="63" t="s">
        <v>21217</v>
      </c>
      <c r="K6421" s="63" t="s">
        <v>21218</v>
      </c>
      <c r="L6421" s="63" t="s">
        <v>21142</v>
      </c>
      <c r="M6421" s="63" t="s">
        <v>21</v>
      </c>
      <c r="O6421" s="101">
        <v>44404</v>
      </c>
      <c r="P6421" s="65" t="s">
        <v>21</v>
      </c>
      <c r="Q6421" s="66" t="b">
        <v>0</v>
      </c>
      <c r="R6421" s="22">
        <f t="shared" si="134"/>
        <v>21</v>
      </c>
      <c r="S6421" s="22"/>
    </row>
    <row r="6422" spans="1:19" ht="24">
      <c r="A6422" s="64">
        <v>11946</v>
      </c>
      <c r="B6422" s="62">
        <v>44383</v>
      </c>
      <c r="C6422" s="63" t="s">
        <v>21220</v>
      </c>
      <c r="D6422" s="62">
        <v>44383</v>
      </c>
      <c r="E6422" s="63" t="s">
        <v>38</v>
      </c>
      <c r="F6422" s="63" t="s">
        <v>39</v>
      </c>
      <c r="G6422" s="63" t="s">
        <v>20</v>
      </c>
      <c r="H6422" s="63" t="s">
        <v>71</v>
      </c>
      <c r="I6422" s="63" t="s">
        <v>21</v>
      </c>
      <c r="J6422" s="63" t="s">
        <v>21217</v>
      </c>
      <c r="K6422" s="63" t="s">
        <v>21218</v>
      </c>
      <c r="L6422" s="63" t="s">
        <v>21142</v>
      </c>
      <c r="M6422" s="63" t="s">
        <v>21</v>
      </c>
      <c r="O6422" s="108">
        <v>44404</v>
      </c>
      <c r="P6422" s="65" t="s">
        <v>21</v>
      </c>
      <c r="Q6422" s="66" t="b">
        <v>0</v>
      </c>
      <c r="R6422" s="22">
        <f t="shared" si="134"/>
        <v>21</v>
      </c>
      <c r="S6422" s="22"/>
    </row>
    <row r="6423" spans="1:19" ht="24">
      <c r="A6423" s="64">
        <v>11947</v>
      </c>
      <c r="B6423" s="62">
        <v>44383</v>
      </c>
      <c r="C6423" s="63" t="s">
        <v>21221</v>
      </c>
      <c r="D6423" s="62">
        <v>44383</v>
      </c>
      <c r="E6423" s="63" t="s">
        <v>38</v>
      </c>
      <c r="F6423" s="63" t="s">
        <v>1338</v>
      </c>
      <c r="G6423" s="63" t="s">
        <v>20</v>
      </c>
      <c r="H6423" s="63" t="s">
        <v>71</v>
      </c>
      <c r="I6423" s="63" t="s">
        <v>21</v>
      </c>
      <c r="J6423" s="63" t="s">
        <v>21217</v>
      </c>
      <c r="K6423" s="63" t="s">
        <v>21218</v>
      </c>
      <c r="L6423" s="63" t="s">
        <v>21142</v>
      </c>
      <c r="M6423" s="63" t="s">
        <v>21</v>
      </c>
      <c r="O6423" s="108">
        <v>44404</v>
      </c>
      <c r="P6423" s="65" t="s">
        <v>21</v>
      </c>
      <c r="Q6423" s="66" t="b">
        <v>0</v>
      </c>
      <c r="R6423" s="22">
        <f t="shared" si="134"/>
        <v>21</v>
      </c>
      <c r="S6423" s="22"/>
    </row>
    <row r="6424" spans="1:19" ht="24">
      <c r="A6424" s="64">
        <v>11948</v>
      </c>
      <c r="B6424" s="62">
        <v>44383</v>
      </c>
      <c r="C6424" s="63" t="s">
        <v>21222</v>
      </c>
      <c r="D6424" s="62">
        <v>44383</v>
      </c>
      <c r="E6424" s="63" t="s">
        <v>38</v>
      </c>
      <c r="F6424" s="63" t="s">
        <v>52</v>
      </c>
      <c r="G6424" s="63" t="s">
        <v>20</v>
      </c>
      <c r="H6424" s="63" t="s">
        <v>71</v>
      </c>
      <c r="I6424" s="63" t="s">
        <v>21</v>
      </c>
      <c r="J6424" s="63" t="s">
        <v>21217</v>
      </c>
      <c r="K6424" s="63" t="s">
        <v>21218</v>
      </c>
      <c r="L6424" s="63" t="s">
        <v>21142</v>
      </c>
      <c r="M6424" s="63" t="s">
        <v>21</v>
      </c>
      <c r="O6424" s="108">
        <v>44404</v>
      </c>
      <c r="P6424" s="65" t="s">
        <v>21</v>
      </c>
      <c r="Q6424" s="66" t="b">
        <v>0</v>
      </c>
      <c r="R6424" s="22">
        <f t="shared" si="134"/>
        <v>21</v>
      </c>
      <c r="S6424" s="22"/>
    </row>
    <row r="6425" spans="1:19" ht="24">
      <c r="A6425" s="64">
        <v>11949</v>
      </c>
      <c r="B6425" s="62">
        <v>44383</v>
      </c>
      <c r="C6425" s="63" t="s">
        <v>21223</v>
      </c>
      <c r="D6425" s="62">
        <v>44383</v>
      </c>
      <c r="E6425" s="63" t="s">
        <v>38</v>
      </c>
      <c r="F6425" s="63" t="s">
        <v>984</v>
      </c>
      <c r="G6425" s="63" t="s">
        <v>20</v>
      </c>
      <c r="H6425" s="63" t="s">
        <v>71</v>
      </c>
      <c r="I6425" s="63" t="s">
        <v>21</v>
      </c>
      <c r="J6425" s="63" t="s">
        <v>21217</v>
      </c>
      <c r="K6425" s="63" t="s">
        <v>21218</v>
      </c>
      <c r="L6425" s="63" t="s">
        <v>21142</v>
      </c>
      <c r="M6425" s="63" t="s">
        <v>21</v>
      </c>
      <c r="O6425" s="108">
        <v>44404</v>
      </c>
      <c r="P6425" s="65" t="s">
        <v>21</v>
      </c>
      <c r="Q6425" s="66" t="b">
        <v>0</v>
      </c>
      <c r="R6425" s="22">
        <f t="shared" si="134"/>
        <v>21</v>
      </c>
      <c r="S6425" s="22"/>
    </row>
    <row r="6426" spans="1:19" ht="24">
      <c r="A6426" s="64">
        <v>11950</v>
      </c>
      <c r="B6426" s="62">
        <v>44383</v>
      </c>
      <c r="C6426" s="63" t="s">
        <v>21224</v>
      </c>
      <c r="D6426" s="62">
        <v>44383</v>
      </c>
      <c r="E6426" s="63" t="s">
        <v>38</v>
      </c>
      <c r="F6426" s="63" t="s">
        <v>216</v>
      </c>
      <c r="G6426" s="63" t="s">
        <v>20</v>
      </c>
      <c r="H6426" s="63" t="s">
        <v>71</v>
      </c>
      <c r="I6426" s="63" t="s">
        <v>21</v>
      </c>
      <c r="J6426" s="63" t="s">
        <v>21217</v>
      </c>
      <c r="K6426" s="63" t="s">
        <v>21218</v>
      </c>
      <c r="L6426" s="63" t="s">
        <v>21142</v>
      </c>
      <c r="M6426" s="63" t="s">
        <v>21</v>
      </c>
      <c r="O6426" s="108">
        <v>44404</v>
      </c>
      <c r="P6426" s="65" t="s">
        <v>21</v>
      </c>
      <c r="Q6426" s="66" t="b">
        <v>0</v>
      </c>
      <c r="R6426" s="22">
        <f t="shared" si="134"/>
        <v>21</v>
      </c>
      <c r="S6426" s="22"/>
    </row>
    <row r="6427" spans="1:19" ht="24">
      <c r="A6427" s="64">
        <v>11951</v>
      </c>
      <c r="B6427" s="62">
        <v>44383</v>
      </c>
      <c r="C6427" s="63" t="s">
        <v>21225</v>
      </c>
      <c r="D6427" s="62">
        <v>44383</v>
      </c>
      <c r="E6427" s="63" t="s">
        <v>38</v>
      </c>
      <c r="F6427" s="63" t="s">
        <v>149</v>
      </c>
      <c r="G6427" s="63" t="s">
        <v>20</v>
      </c>
      <c r="H6427" s="63" t="s">
        <v>71</v>
      </c>
      <c r="I6427" s="63" t="s">
        <v>21</v>
      </c>
      <c r="J6427" s="63" t="s">
        <v>21217</v>
      </c>
      <c r="K6427" s="63" t="s">
        <v>21218</v>
      </c>
      <c r="L6427" s="63" t="s">
        <v>21142</v>
      </c>
      <c r="M6427" s="63" t="s">
        <v>21</v>
      </c>
      <c r="O6427" s="108">
        <v>44404</v>
      </c>
      <c r="P6427" s="65" t="s">
        <v>21</v>
      </c>
      <c r="Q6427" s="66" t="b">
        <v>0</v>
      </c>
      <c r="R6427" s="22">
        <f t="shared" si="134"/>
        <v>21</v>
      </c>
      <c r="S6427" s="22"/>
    </row>
    <row r="6428" spans="1:19" ht="24">
      <c r="A6428" s="64">
        <v>11952</v>
      </c>
      <c r="B6428" s="62">
        <v>44383</v>
      </c>
      <c r="C6428" s="63" t="s">
        <v>21227</v>
      </c>
      <c r="D6428" s="62">
        <v>44383</v>
      </c>
      <c r="E6428" s="63" t="s">
        <v>38</v>
      </c>
      <c r="F6428" s="63" t="s">
        <v>19</v>
      </c>
      <c r="G6428" s="63" t="s">
        <v>20</v>
      </c>
      <c r="H6428" s="63" t="s">
        <v>71</v>
      </c>
      <c r="I6428" s="63" t="s">
        <v>21</v>
      </c>
      <c r="J6428" s="63" t="s">
        <v>21217</v>
      </c>
      <c r="K6428" s="63" t="s">
        <v>21218</v>
      </c>
      <c r="L6428" s="63" t="s">
        <v>21142</v>
      </c>
      <c r="M6428" s="63" t="s">
        <v>21</v>
      </c>
      <c r="O6428" s="108">
        <v>44405</v>
      </c>
      <c r="P6428" s="65" t="s">
        <v>21</v>
      </c>
      <c r="Q6428" s="66" t="b">
        <v>0</v>
      </c>
      <c r="R6428" s="22">
        <f t="shared" si="134"/>
        <v>22</v>
      </c>
      <c r="S6428" s="22"/>
    </row>
    <row r="6429" spans="1:19" ht="24">
      <c r="A6429" s="64">
        <v>11953</v>
      </c>
      <c r="B6429" s="62">
        <v>44383</v>
      </c>
      <c r="C6429" s="63" t="s">
        <v>21226</v>
      </c>
      <c r="D6429" s="62">
        <v>44383</v>
      </c>
      <c r="E6429" s="63" t="s">
        <v>38</v>
      </c>
      <c r="F6429" s="63" t="s">
        <v>145</v>
      </c>
      <c r="G6429" s="63" t="s">
        <v>20</v>
      </c>
      <c r="H6429" s="63" t="s">
        <v>71</v>
      </c>
      <c r="I6429" s="63" t="s">
        <v>21</v>
      </c>
      <c r="J6429" s="63" t="s">
        <v>21217</v>
      </c>
      <c r="K6429" s="63" t="s">
        <v>21218</v>
      </c>
      <c r="L6429" s="63" t="s">
        <v>21142</v>
      </c>
      <c r="M6429" s="63" t="s">
        <v>21</v>
      </c>
      <c r="O6429" s="108">
        <v>44404</v>
      </c>
      <c r="P6429" s="65" t="s">
        <v>21</v>
      </c>
      <c r="Q6429" s="66" t="b">
        <v>0</v>
      </c>
      <c r="R6429" s="22">
        <f t="shared" si="134"/>
        <v>21</v>
      </c>
      <c r="S6429" s="22"/>
    </row>
    <row r="6430" spans="1:19" ht="24">
      <c r="A6430" s="64">
        <v>11954</v>
      </c>
      <c r="B6430" s="62">
        <v>44385</v>
      </c>
      <c r="C6430" s="63" t="s">
        <v>21451</v>
      </c>
      <c r="D6430" s="62">
        <v>44377</v>
      </c>
      <c r="E6430" s="63" t="s">
        <v>21452</v>
      </c>
      <c r="F6430" s="63" t="s">
        <v>27</v>
      </c>
      <c r="G6430" s="63" t="s">
        <v>20</v>
      </c>
      <c r="H6430" s="63" t="s">
        <v>71</v>
      </c>
      <c r="I6430" s="63" t="s">
        <v>21</v>
      </c>
      <c r="J6430" s="63" t="s">
        <v>21453</v>
      </c>
      <c r="K6430" s="63" t="s">
        <v>21454</v>
      </c>
      <c r="L6430" s="63" t="s">
        <v>21142</v>
      </c>
      <c r="M6430" s="63" t="s">
        <v>22164</v>
      </c>
      <c r="O6430" s="62">
        <v>45519</v>
      </c>
      <c r="P6430" s="65" t="s">
        <v>21</v>
      </c>
      <c r="Q6430" s="66" t="b">
        <v>0</v>
      </c>
      <c r="R6430" s="22">
        <f t="shared" si="134"/>
        <v>1132</v>
      </c>
      <c r="S6430" s="63" t="s">
        <v>22169</v>
      </c>
    </row>
    <row r="6431" spans="1:19" ht="36">
      <c r="A6431" s="64">
        <v>11955</v>
      </c>
      <c r="B6431" s="62">
        <v>44385</v>
      </c>
      <c r="C6431" s="63" t="s">
        <v>21455</v>
      </c>
      <c r="D6431" s="62">
        <v>44383</v>
      </c>
      <c r="E6431" s="63" t="s">
        <v>21456</v>
      </c>
      <c r="F6431" s="63" t="s">
        <v>149</v>
      </c>
      <c r="G6431" s="63" t="s">
        <v>20</v>
      </c>
      <c r="H6431" s="63" t="s">
        <v>71</v>
      </c>
      <c r="I6431" s="63" t="s">
        <v>21</v>
      </c>
      <c r="J6431" s="63" t="s">
        <v>21453</v>
      </c>
      <c r="K6431" s="63" t="s">
        <v>21457</v>
      </c>
      <c r="L6431" s="63" t="s">
        <v>21243</v>
      </c>
      <c r="M6431" s="63" t="s">
        <v>7167</v>
      </c>
      <c r="O6431" s="62">
        <v>45560</v>
      </c>
      <c r="P6431" s="65" t="s">
        <v>21</v>
      </c>
      <c r="Q6431" s="66" t="b">
        <v>0</v>
      </c>
      <c r="R6431" s="22">
        <f t="shared" si="134"/>
        <v>1173</v>
      </c>
      <c r="S6431" s="63" t="s">
        <v>22170</v>
      </c>
    </row>
    <row r="6432" spans="1:19" ht="24">
      <c r="A6432" s="64">
        <v>11956</v>
      </c>
      <c r="B6432" s="62">
        <v>44385</v>
      </c>
      <c r="C6432" s="63" t="s">
        <v>21458</v>
      </c>
      <c r="D6432" s="62">
        <v>44385</v>
      </c>
      <c r="E6432" s="63" t="s">
        <v>21459</v>
      </c>
      <c r="F6432" s="63" t="s">
        <v>70</v>
      </c>
      <c r="G6432" s="63" t="s">
        <v>20</v>
      </c>
      <c r="H6432" s="63" t="s">
        <v>71</v>
      </c>
      <c r="I6432" s="63" t="s">
        <v>21</v>
      </c>
      <c r="J6432" s="63" t="s">
        <v>21460</v>
      </c>
      <c r="K6432" s="63" t="s">
        <v>21461</v>
      </c>
      <c r="L6432" s="63" t="s">
        <v>4282</v>
      </c>
      <c r="M6432" s="63" t="s">
        <v>21</v>
      </c>
      <c r="O6432" s="62">
        <v>45432</v>
      </c>
      <c r="P6432" s="65" t="s">
        <v>21</v>
      </c>
      <c r="Q6432" s="66" t="b">
        <v>0</v>
      </c>
      <c r="R6432" s="22">
        <f t="shared" si="134"/>
        <v>1046</v>
      </c>
      <c r="S6432" s="63" t="s">
        <v>22171</v>
      </c>
    </row>
    <row r="6433" spans="1:19" ht="24">
      <c r="A6433" s="64">
        <v>11957</v>
      </c>
      <c r="B6433" s="62">
        <v>44386</v>
      </c>
      <c r="C6433" s="63" t="s">
        <v>21265</v>
      </c>
      <c r="D6433" s="62">
        <v>44386</v>
      </c>
      <c r="E6433" s="63" t="s">
        <v>38</v>
      </c>
      <c r="F6433" s="63" t="s">
        <v>2782</v>
      </c>
      <c r="G6433" s="63" t="s">
        <v>20</v>
      </c>
      <c r="H6433" s="63" t="s">
        <v>71</v>
      </c>
      <c r="I6433" s="63" t="s">
        <v>21</v>
      </c>
      <c r="J6433" s="63" t="s">
        <v>21266</v>
      </c>
      <c r="K6433" s="63" t="s">
        <v>21267</v>
      </c>
      <c r="L6433" s="63" t="s">
        <v>21142</v>
      </c>
      <c r="M6433" s="63" t="s">
        <v>21</v>
      </c>
      <c r="O6433" s="108">
        <v>44490</v>
      </c>
      <c r="P6433" s="65" t="s">
        <v>21</v>
      </c>
      <c r="Q6433" s="66" t="b">
        <v>0</v>
      </c>
      <c r="R6433" s="22">
        <f t="shared" si="134"/>
        <v>103</v>
      </c>
      <c r="S6433" s="22"/>
    </row>
    <row r="6434" spans="1:19">
      <c r="A6434" s="64">
        <v>11958</v>
      </c>
      <c r="B6434" s="62">
        <v>44392</v>
      </c>
      <c r="C6434" s="63" t="s">
        <v>21213</v>
      </c>
      <c r="D6434" s="62">
        <v>44392</v>
      </c>
      <c r="E6434" s="63" t="s">
        <v>38</v>
      </c>
      <c r="F6434" s="63" t="s">
        <v>27</v>
      </c>
      <c r="G6434" s="63" t="s">
        <v>20</v>
      </c>
      <c r="H6434" s="63" t="s">
        <v>71</v>
      </c>
      <c r="I6434" s="63" t="s">
        <v>21</v>
      </c>
      <c r="J6434" s="63" t="s">
        <v>21214</v>
      </c>
      <c r="K6434" s="63" t="s">
        <v>21215</v>
      </c>
      <c r="L6434" s="63" t="s">
        <v>7167</v>
      </c>
      <c r="M6434" s="63" t="s">
        <v>21</v>
      </c>
      <c r="O6434" s="108">
        <v>44399</v>
      </c>
      <c r="P6434" s="65" t="s">
        <v>21</v>
      </c>
      <c r="Q6434" s="66" t="b">
        <v>0</v>
      </c>
      <c r="R6434" s="22">
        <f t="shared" si="134"/>
        <v>7</v>
      </c>
      <c r="S6434" s="22"/>
    </row>
    <row r="6435" spans="1:19">
      <c r="A6435" s="64">
        <v>11959</v>
      </c>
      <c r="B6435" s="62">
        <v>44397</v>
      </c>
      <c r="C6435" s="63" t="s">
        <v>21268</v>
      </c>
      <c r="D6435" s="62">
        <v>44386</v>
      </c>
      <c r="E6435" s="63" t="s">
        <v>38</v>
      </c>
      <c r="F6435" s="63" t="s">
        <v>124</v>
      </c>
      <c r="G6435" s="63" t="s">
        <v>20</v>
      </c>
      <c r="H6435" s="63" t="s">
        <v>71</v>
      </c>
      <c r="I6435" s="63" t="s">
        <v>21</v>
      </c>
      <c r="J6435" s="63" t="s">
        <v>21269</v>
      </c>
      <c r="K6435" s="63" t="s">
        <v>21270</v>
      </c>
      <c r="L6435" s="63" t="s">
        <v>21142</v>
      </c>
      <c r="M6435" s="63" t="s">
        <v>21</v>
      </c>
      <c r="O6435" s="108">
        <v>44490</v>
      </c>
      <c r="P6435" s="65" t="s">
        <v>21</v>
      </c>
      <c r="Q6435" s="66" t="b">
        <v>0</v>
      </c>
      <c r="R6435" s="22">
        <f t="shared" si="134"/>
        <v>92</v>
      </c>
      <c r="S6435" s="22"/>
    </row>
    <row r="6436" spans="1:19" ht="24">
      <c r="A6436" s="64">
        <v>11960</v>
      </c>
      <c r="B6436" s="62">
        <v>44400</v>
      </c>
      <c r="C6436" s="63" t="s">
        <v>21393</v>
      </c>
      <c r="D6436" s="62">
        <v>44399</v>
      </c>
      <c r="E6436" s="63" t="s">
        <v>21394</v>
      </c>
      <c r="F6436" s="63" t="s">
        <v>2782</v>
      </c>
      <c r="G6436" s="63" t="s">
        <v>20</v>
      </c>
      <c r="H6436" s="63" t="s">
        <v>71</v>
      </c>
      <c r="I6436" s="63" t="s">
        <v>21</v>
      </c>
      <c r="J6436" s="63" t="s">
        <v>21395</v>
      </c>
      <c r="K6436" s="63" t="s">
        <v>21396</v>
      </c>
      <c r="L6436" s="63" t="s">
        <v>4282</v>
      </c>
      <c r="M6436" s="63" t="s">
        <v>7167</v>
      </c>
      <c r="O6436" s="62">
        <v>45645</v>
      </c>
      <c r="P6436" s="65" t="s">
        <v>21</v>
      </c>
      <c r="Q6436" s="66" t="b">
        <v>0</v>
      </c>
      <c r="R6436" s="22">
        <f t="shared" si="134"/>
        <v>1243</v>
      </c>
      <c r="S6436" s="63" t="s">
        <v>22172</v>
      </c>
    </row>
    <row r="6437" spans="1:19">
      <c r="A6437" s="64">
        <v>11961</v>
      </c>
      <c r="B6437" s="62">
        <v>44418</v>
      </c>
      <c r="C6437" s="63" t="s">
        <v>21236</v>
      </c>
      <c r="D6437" s="62">
        <v>44412</v>
      </c>
      <c r="E6437" s="63" t="s">
        <v>21237</v>
      </c>
      <c r="F6437" s="63" t="s">
        <v>124</v>
      </c>
      <c r="G6437" s="63" t="s">
        <v>20</v>
      </c>
      <c r="H6437" s="63" t="s">
        <v>71</v>
      </c>
      <c r="I6437" s="63" t="s">
        <v>21</v>
      </c>
      <c r="J6437" s="63" t="s">
        <v>21238</v>
      </c>
      <c r="K6437" s="63" t="s">
        <v>21239</v>
      </c>
      <c r="L6437" s="63" t="s">
        <v>7167</v>
      </c>
      <c r="M6437" s="63" t="s">
        <v>21</v>
      </c>
      <c r="O6437" s="108">
        <v>44438</v>
      </c>
      <c r="P6437" s="65" t="s">
        <v>21</v>
      </c>
      <c r="Q6437" s="66" t="b">
        <v>0</v>
      </c>
      <c r="R6437" s="22">
        <f t="shared" si="134"/>
        <v>20</v>
      </c>
      <c r="S6437" s="22"/>
    </row>
    <row r="6438" spans="1:19">
      <c r="A6438" s="64">
        <v>11962</v>
      </c>
      <c r="B6438" s="62">
        <v>44424</v>
      </c>
      <c r="C6438" s="63" t="s">
        <v>21230</v>
      </c>
      <c r="D6438" s="62">
        <v>44424</v>
      </c>
      <c r="E6438" s="63" t="s">
        <v>1928</v>
      </c>
      <c r="F6438" s="63" t="s">
        <v>1743</v>
      </c>
      <c r="G6438" s="63" t="s">
        <v>20</v>
      </c>
      <c r="H6438" s="63" t="s">
        <v>71</v>
      </c>
      <c r="I6438" s="63" t="s">
        <v>21</v>
      </c>
      <c r="J6438" s="63" t="s">
        <v>21231</v>
      </c>
      <c r="K6438" s="63" t="s">
        <v>21232</v>
      </c>
      <c r="L6438" s="63" t="s">
        <v>21142</v>
      </c>
      <c r="M6438" s="63" t="s">
        <v>21</v>
      </c>
      <c r="N6438" s="45">
        <v>44439</v>
      </c>
      <c r="O6438" s="108">
        <v>44431</v>
      </c>
      <c r="P6438" s="65" t="s">
        <v>21</v>
      </c>
      <c r="Q6438" s="66" t="b">
        <v>0</v>
      </c>
      <c r="R6438" s="22">
        <f t="shared" si="134"/>
        <v>7</v>
      </c>
      <c r="S6438" s="22"/>
    </row>
    <row r="6439" spans="1:19">
      <c r="A6439" s="64">
        <v>11963</v>
      </c>
      <c r="B6439" s="62">
        <v>44424</v>
      </c>
      <c r="C6439" s="63" t="s">
        <v>21378</v>
      </c>
      <c r="D6439" s="62">
        <v>44424</v>
      </c>
      <c r="E6439" s="63" t="s">
        <v>21379</v>
      </c>
      <c r="F6439" s="63" t="s">
        <v>10184</v>
      </c>
      <c r="G6439" s="63" t="s">
        <v>20</v>
      </c>
      <c r="H6439" s="63" t="s">
        <v>71</v>
      </c>
      <c r="I6439" s="63" t="s">
        <v>21</v>
      </c>
      <c r="J6439" s="63" t="s">
        <v>21380</v>
      </c>
      <c r="K6439" s="63" t="s">
        <v>21381</v>
      </c>
      <c r="L6439" s="63" t="s">
        <v>21142</v>
      </c>
      <c r="M6439" s="63" t="s">
        <v>21</v>
      </c>
      <c r="O6439" s="62">
        <v>44720</v>
      </c>
      <c r="P6439" s="65" t="s">
        <v>21</v>
      </c>
      <c r="Q6439" s="66" t="b">
        <v>0</v>
      </c>
      <c r="R6439" s="22">
        <f t="shared" ref="R6439:R6456" si="135">IF(O6439=" ", " ", INT(YEARFRAC(O6439, B6439)*365))</f>
        <v>296</v>
      </c>
      <c r="S6439" s="63" t="s">
        <v>21</v>
      </c>
    </row>
    <row r="6440" spans="1:19">
      <c r="A6440" s="64">
        <v>11964</v>
      </c>
      <c r="B6440" s="62">
        <v>44427</v>
      </c>
      <c r="C6440" s="63" t="s">
        <v>21233</v>
      </c>
      <c r="D6440" s="62">
        <v>44426</v>
      </c>
      <c r="E6440" s="63" t="s">
        <v>1928</v>
      </c>
      <c r="F6440" s="63" t="s">
        <v>1743</v>
      </c>
      <c r="G6440" s="63" t="s">
        <v>20</v>
      </c>
      <c r="H6440" s="63" t="s">
        <v>71</v>
      </c>
      <c r="I6440" s="63" t="s">
        <v>21</v>
      </c>
      <c r="J6440" s="63" t="s">
        <v>21234</v>
      </c>
      <c r="K6440" s="63" t="s">
        <v>21235</v>
      </c>
      <c r="L6440" s="63" t="s">
        <v>7167</v>
      </c>
      <c r="M6440" s="63" t="s">
        <v>21</v>
      </c>
      <c r="N6440" s="45">
        <v>44441</v>
      </c>
      <c r="O6440" s="108">
        <v>44432</v>
      </c>
      <c r="P6440" s="65" t="s">
        <v>21</v>
      </c>
      <c r="Q6440" s="66" t="b">
        <v>0</v>
      </c>
      <c r="R6440" s="22">
        <f t="shared" si="135"/>
        <v>5</v>
      </c>
      <c r="S6440" s="22"/>
    </row>
    <row r="6441" spans="1:19" ht="36">
      <c r="A6441" s="64">
        <v>11965</v>
      </c>
      <c r="B6441" s="62">
        <v>44427</v>
      </c>
      <c r="C6441" s="63" t="s">
        <v>21504</v>
      </c>
      <c r="D6441" s="62">
        <v>44425</v>
      </c>
      <c r="E6441" s="63" t="s">
        <v>21505</v>
      </c>
      <c r="F6441" s="63" t="s">
        <v>94</v>
      </c>
      <c r="G6441" s="63" t="s">
        <v>20</v>
      </c>
      <c r="H6441" s="63" t="s">
        <v>71</v>
      </c>
      <c r="I6441" s="63" t="s">
        <v>21</v>
      </c>
      <c r="J6441" s="63" t="s">
        <v>21506</v>
      </c>
      <c r="K6441" s="63" t="s">
        <v>21507</v>
      </c>
      <c r="L6441" s="63" t="s">
        <v>4282</v>
      </c>
      <c r="M6441" s="63" t="s">
        <v>21</v>
      </c>
      <c r="O6441" s="62">
        <v>45663</v>
      </c>
      <c r="P6441" s="65" t="s">
        <v>21</v>
      </c>
      <c r="Q6441" s="66" t="b">
        <v>0</v>
      </c>
      <c r="R6441" s="22">
        <f t="shared" si="135"/>
        <v>1233</v>
      </c>
      <c r="S6441" s="63" t="s">
        <v>22157</v>
      </c>
    </row>
    <row r="6442" spans="1:19">
      <c r="A6442" s="64">
        <v>11968</v>
      </c>
      <c r="B6442" s="62">
        <v>44435</v>
      </c>
      <c r="C6442" s="63" t="s">
        <v>21280</v>
      </c>
      <c r="D6442" s="62">
        <v>44434</v>
      </c>
      <c r="E6442" s="63" t="s">
        <v>38</v>
      </c>
      <c r="F6442" s="63" t="s">
        <v>70</v>
      </c>
      <c r="G6442" s="63" t="s">
        <v>20</v>
      </c>
      <c r="H6442" s="63" t="s">
        <v>71</v>
      </c>
      <c r="I6442" s="63" t="s">
        <v>21</v>
      </c>
      <c r="J6442" s="63" t="s">
        <v>21281</v>
      </c>
      <c r="K6442" s="63" t="s">
        <v>16709</v>
      </c>
      <c r="L6442" s="63" t="s">
        <v>21142</v>
      </c>
      <c r="M6442" s="63" t="s">
        <v>21</v>
      </c>
      <c r="O6442" s="108">
        <v>44497</v>
      </c>
      <c r="P6442" s="65" t="s">
        <v>21</v>
      </c>
      <c r="Q6442" s="66" t="b">
        <v>0</v>
      </c>
      <c r="R6442" s="22">
        <f t="shared" si="135"/>
        <v>61</v>
      </c>
      <c r="S6442" s="22"/>
    </row>
    <row r="6443" spans="1:19">
      <c r="A6443" s="64">
        <v>11969</v>
      </c>
      <c r="B6443" s="62">
        <v>44442</v>
      </c>
      <c r="C6443" s="63" t="s">
        <v>21263</v>
      </c>
      <c r="D6443" s="62">
        <v>44439</v>
      </c>
      <c r="E6443" s="63" t="s">
        <v>21264</v>
      </c>
      <c r="F6443" s="63" t="s">
        <v>129</v>
      </c>
      <c r="G6443" s="63" t="s">
        <v>20</v>
      </c>
      <c r="H6443" s="63" t="s">
        <v>71</v>
      </c>
      <c r="I6443" s="63" t="s">
        <v>21</v>
      </c>
      <c r="J6443" s="63" t="s">
        <v>21246</v>
      </c>
      <c r="K6443" s="63" t="s">
        <v>21247</v>
      </c>
      <c r="L6443" s="63" t="s">
        <v>7167</v>
      </c>
      <c r="M6443" s="63" t="s">
        <v>21</v>
      </c>
      <c r="O6443" s="108">
        <v>44487</v>
      </c>
      <c r="P6443" s="65" t="s">
        <v>21</v>
      </c>
      <c r="Q6443" s="66" t="b">
        <v>0</v>
      </c>
      <c r="R6443" s="22">
        <f t="shared" si="135"/>
        <v>45</v>
      </c>
      <c r="S6443" s="22"/>
    </row>
    <row r="6444" spans="1:19">
      <c r="A6444" s="64">
        <v>11970</v>
      </c>
      <c r="B6444" s="62">
        <v>44442</v>
      </c>
      <c r="C6444" s="63" t="s">
        <v>21244</v>
      </c>
      <c r="D6444" s="62">
        <v>44439</v>
      </c>
      <c r="E6444" s="63" t="s">
        <v>21245</v>
      </c>
      <c r="F6444" s="63" t="s">
        <v>149</v>
      </c>
      <c r="G6444" s="63" t="s">
        <v>20</v>
      </c>
      <c r="H6444" s="63" t="s">
        <v>71</v>
      </c>
      <c r="I6444" s="63" t="s">
        <v>21</v>
      </c>
      <c r="J6444" s="63" t="s">
        <v>21246</v>
      </c>
      <c r="K6444" s="63" t="s">
        <v>21247</v>
      </c>
      <c r="L6444" s="63" t="s">
        <v>7167</v>
      </c>
      <c r="M6444" s="63" t="s">
        <v>21</v>
      </c>
      <c r="O6444" s="108">
        <v>44466</v>
      </c>
      <c r="P6444" s="65" t="s">
        <v>21</v>
      </c>
      <c r="Q6444" s="66" t="b">
        <v>0</v>
      </c>
      <c r="R6444" s="22">
        <f t="shared" si="135"/>
        <v>24</v>
      </c>
      <c r="S6444" s="22"/>
    </row>
    <row r="6445" spans="1:19">
      <c r="A6445" s="64">
        <v>11971</v>
      </c>
      <c r="B6445" s="62">
        <v>44442</v>
      </c>
      <c r="C6445" s="63" t="s">
        <v>21326</v>
      </c>
      <c r="D6445" s="62">
        <v>44439</v>
      </c>
      <c r="E6445" s="63" t="s">
        <v>21327</v>
      </c>
      <c r="F6445" s="63" t="s">
        <v>861</v>
      </c>
      <c r="G6445" s="63" t="s">
        <v>20</v>
      </c>
      <c r="H6445" s="63" t="s">
        <v>566</v>
      </c>
      <c r="I6445" s="63" t="s">
        <v>21</v>
      </c>
      <c r="J6445" s="63" t="s">
        <v>21328</v>
      </c>
      <c r="K6445" s="63" t="s">
        <v>21329</v>
      </c>
      <c r="L6445" s="63" t="s">
        <v>4282</v>
      </c>
      <c r="M6445" s="63" t="s">
        <v>21</v>
      </c>
      <c r="O6445" s="108">
        <v>44547</v>
      </c>
      <c r="P6445" s="65" t="s">
        <v>21</v>
      </c>
      <c r="Q6445" s="66" t="b">
        <v>0</v>
      </c>
      <c r="R6445" s="22">
        <f t="shared" si="135"/>
        <v>105</v>
      </c>
      <c r="S6445" s="22"/>
    </row>
    <row r="6446" spans="1:19" ht="36">
      <c r="A6446" s="64">
        <v>11972</v>
      </c>
      <c r="B6446" s="62">
        <v>44442</v>
      </c>
      <c r="C6446" s="63" t="s">
        <v>21508</v>
      </c>
      <c r="D6446" s="62">
        <v>44440</v>
      </c>
      <c r="E6446" s="63" t="s">
        <v>21509</v>
      </c>
      <c r="F6446" s="63" t="s">
        <v>327</v>
      </c>
      <c r="G6446" s="63" t="s">
        <v>20</v>
      </c>
      <c r="H6446" s="63" t="s">
        <v>71</v>
      </c>
      <c r="I6446" s="63" t="s">
        <v>21</v>
      </c>
      <c r="J6446" s="63" t="s">
        <v>21510</v>
      </c>
      <c r="K6446" s="63" t="s">
        <v>21434</v>
      </c>
      <c r="L6446" s="63" t="s">
        <v>21142</v>
      </c>
      <c r="M6446" s="63" t="s">
        <v>21</v>
      </c>
      <c r="O6446" s="62">
        <v>45441</v>
      </c>
      <c r="P6446" s="65" t="s">
        <v>21</v>
      </c>
      <c r="Q6446" s="66" t="b">
        <v>0</v>
      </c>
      <c r="R6446" s="22">
        <f t="shared" si="135"/>
        <v>999</v>
      </c>
      <c r="S6446" s="63" t="s">
        <v>22173</v>
      </c>
    </row>
    <row r="6447" spans="1:19" ht="24">
      <c r="A6447" s="64">
        <v>11973</v>
      </c>
      <c r="B6447" s="62">
        <v>44446</v>
      </c>
      <c r="C6447" s="63" t="s">
        <v>21511</v>
      </c>
      <c r="D6447" s="62">
        <v>44442</v>
      </c>
      <c r="E6447" s="63" t="s">
        <v>21512</v>
      </c>
      <c r="F6447" s="63" t="s">
        <v>7030</v>
      </c>
      <c r="G6447" s="63" t="s">
        <v>20</v>
      </c>
      <c r="H6447" s="63" t="s">
        <v>71</v>
      </c>
      <c r="I6447" s="63" t="s">
        <v>21</v>
      </c>
      <c r="J6447" s="63" t="s">
        <v>21513</v>
      </c>
      <c r="K6447" s="63" t="s">
        <v>21434</v>
      </c>
      <c r="L6447" s="63" t="s">
        <v>21142</v>
      </c>
      <c r="M6447" s="63" t="s">
        <v>21</v>
      </c>
      <c r="O6447" s="62">
        <v>45426</v>
      </c>
      <c r="P6447" s="65" t="s">
        <v>21</v>
      </c>
      <c r="Q6447" s="66" t="b">
        <v>0</v>
      </c>
      <c r="R6447" s="22">
        <f t="shared" si="135"/>
        <v>980</v>
      </c>
      <c r="S6447" s="63" t="s">
        <v>21621</v>
      </c>
    </row>
    <row r="6448" spans="1:19">
      <c r="A6448" s="64">
        <v>11974</v>
      </c>
      <c r="B6448" s="62">
        <v>44446</v>
      </c>
      <c r="C6448" s="63" t="s">
        <v>21397</v>
      </c>
      <c r="D6448" s="62">
        <v>44441</v>
      </c>
      <c r="E6448" s="63" t="s">
        <v>21398</v>
      </c>
      <c r="F6448" s="63" t="s">
        <v>10730</v>
      </c>
      <c r="G6448" s="63" t="s">
        <v>20</v>
      </c>
      <c r="H6448" s="63" t="s">
        <v>189</v>
      </c>
      <c r="I6448" s="63" t="s">
        <v>21</v>
      </c>
      <c r="J6448" s="63" t="s">
        <v>21399</v>
      </c>
      <c r="K6448" s="63" t="s">
        <v>21400</v>
      </c>
      <c r="L6448" s="63" t="s">
        <v>21243</v>
      </c>
      <c r="M6448" s="63" t="s">
        <v>21142</v>
      </c>
      <c r="O6448" s="62">
        <v>45345</v>
      </c>
      <c r="P6448" s="65" t="s">
        <v>21</v>
      </c>
      <c r="Q6448" s="66" t="b">
        <v>0</v>
      </c>
      <c r="R6448" s="22">
        <f t="shared" si="135"/>
        <v>898</v>
      </c>
      <c r="S6448" s="63" t="s">
        <v>22174</v>
      </c>
    </row>
    <row r="6449" spans="1:19">
      <c r="A6449" s="64">
        <v>11975</v>
      </c>
      <c r="B6449" s="62">
        <v>44446</v>
      </c>
      <c r="C6449" s="63" t="s">
        <v>21282</v>
      </c>
      <c r="D6449" s="62">
        <v>44434</v>
      </c>
      <c r="E6449" s="63" t="s">
        <v>38</v>
      </c>
      <c r="F6449" s="63" t="s">
        <v>21283</v>
      </c>
      <c r="G6449" s="63" t="s">
        <v>20</v>
      </c>
      <c r="H6449" s="63" t="s">
        <v>71</v>
      </c>
      <c r="I6449" s="63" t="s">
        <v>21</v>
      </c>
      <c r="J6449" s="63" t="s">
        <v>21284</v>
      </c>
      <c r="K6449" s="63" t="s">
        <v>21285</v>
      </c>
      <c r="L6449" s="63" t="s">
        <v>21142</v>
      </c>
      <c r="M6449" s="63" t="s">
        <v>21</v>
      </c>
      <c r="O6449" s="108">
        <v>44497</v>
      </c>
      <c r="P6449" s="65" t="s">
        <v>21</v>
      </c>
      <c r="Q6449" s="66" t="b">
        <v>0</v>
      </c>
      <c r="R6449" s="22">
        <f t="shared" si="135"/>
        <v>51</v>
      </c>
      <c r="S6449" s="22"/>
    </row>
    <row r="6450" spans="1:19">
      <c r="A6450" s="64">
        <v>11976</v>
      </c>
      <c r="B6450" s="62">
        <v>44449</v>
      </c>
      <c r="C6450" s="63" t="s">
        <v>21330</v>
      </c>
      <c r="D6450" s="62">
        <v>44444</v>
      </c>
      <c r="E6450" s="63" t="s">
        <v>21331</v>
      </c>
      <c r="F6450" s="63" t="s">
        <v>149</v>
      </c>
      <c r="G6450" s="63" t="s">
        <v>20</v>
      </c>
      <c r="H6450" s="63" t="s">
        <v>71</v>
      </c>
      <c r="I6450" s="63" t="s">
        <v>21</v>
      </c>
      <c r="J6450" s="63" t="s">
        <v>21332</v>
      </c>
      <c r="K6450" s="63" t="s">
        <v>21333</v>
      </c>
      <c r="L6450" s="63" t="s">
        <v>4282</v>
      </c>
      <c r="M6450" s="63" t="s">
        <v>21</v>
      </c>
      <c r="O6450" s="108">
        <v>44547</v>
      </c>
      <c r="P6450" s="65" t="s">
        <v>21</v>
      </c>
      <c r="Q6450" s="66" t="b">
        <v>0</v>
      </c>
      <c r="R6450" s="22">
        <f t="shared" si="135"/>
        <v>98</v>
      </c>
      <c r="S6450" s="22"/>
    </row>
    <row r="6451" spans="1:19">
      <c r="A6451" s="64">
        <v>11978</v>
      </c>
      <c r="B6451" s="62">
        <v>44452</v>
      </c>
      <c r="C6451" s="63" t="s">
        <v>21248</v>
      </c>
      <c r="D6451" s="62">
        <v>44445</v>
      </c>
      <c r="E6451" s="63" t="s">
        <v>21249</v>
      </c>
      <c r="F6451" s="63" t="s">
        <v>149</v>
      </c>
      <c r="G6451" s="63" t="s">
        <v>20</v>
      </c>
      <c r="H6451" s="63" t="s">
        <v>71</v>
      </c>
      <c r="I6451" s="63" t="s">
        <v>21</v>
      </c>
      <c r="J6451" s="63" t="s">
        <v>21250</v>
      </c>
      <c r="K6451" s="63" t="s">
        <v>21251</v>
      </c>
      <c r="L6451" s="63" t="s">
        <v>7167</v>
      </c>
      <c r="M6451" s="63" t="s">
        <v>21</v>
      </c>
      <c r="O6451" s="108">
        <v>44466</v>
      </c>
      <c r="P6451" s="65" t="s">
        <v>21</v>
      </c>
      <c r="Q6451" s="66" t="b">
        <v>0</v>
      </c>
      <c r="R6451" s="22">
        <f t="shared" si="135"/>
        <v>14</v>
      </c>
      <c r="S6451" s="22"/>
    </row>
    <row r="6452" spans="1:19">
      <c r="A6452" s="64">
        <v>11979</v>
      </c>
      <c r="B6452" s="62">
        <v>44459</v>
      </c>
      <c r="C6452" s="63" t="s">
        <v>21240</v>
      </c>
      <c r="D6452" s="62">
        <v>44439</v>
      </c>
      <c r="E6452" s="63" t="s">
        <v>38</v>
      </c>
      <c r="F6452" s="63" t="s">
        <v>149</v>
      </c>
      <c r="G6452" s="63" t="s">
        <v>20</v>
      </c>
      <c r="H6452" s="63" t="s">
        <v>71</v>
      </c>
      <c r="I6452" s="63" t="s">
        <v>21</v>
      </c>
      <c r="J6452" s="63" t="s">
        <v>21241</v>
      </c>
      <c r="K6452" s="63" t="s">
        <v>21242</v>
      </c>
      <c r="L6452" s="63" t="s">
        <v>21243</v>
      </c>
      <c r="M6452" s="63" t="s">
        <v>21</v>
      </c>
      <c r="O6452" s="108">
        <v>44461</v>
      </c>
      <c r="P6452" s="65" t="s">
        <v>21</v>
      </c>
      <c r="Q6452" s="66" t="b">
        <v>0</v>
      </c>
      <c r="R6452" s="22">
        <f t="shared" si="135"/>
        <v>2</v>
      </c>
      <c r="S6452" s="22"/>
    </row>
    <row r="6453" spans="1:19">
      <c r="A6453" s="64">
        <v>11980</v>
      </c>
      <c r="B6453" s="62">
        <v>44459</v>
      </c>
      <c r="C6453" s="63" t="s">
        <v>21252</v>
      </c>
      <c r="D6453" s="62">
        <v>44447</v>
      </c>
      <c r="E6453" s="63" t="s">
        <v>38</v>
      </c>
      <c r="F6453" s="63" t="s">
        <v>1743</v>
      </c>
      <c r="G6453" s="63" t="s">
        <v>20</v>
      </c>
      <c r="H6453" s="63" t="s">
        <v>71</v>
      </c>
      <c r="I6453" s="63" t="s">
        <v>21</v>
      </c>
      <c r="J6453" s="63" t="s">
        <v>21253</v>
      </c>
      <c r="K6453" s="63" t="s">
        <v>21254</v>
      </c>
      <c r="L6453" s="63" t="s">
        <v>21142</v>
      </c>
      <c r="M6453" s="63" t="s">
        <v>21</v>
      </c>
      <c r="O6453" s="108">
        <v>44469</v>
      </c>
      <c r="P6453" s="65" t="s">
        <v>21</v>
      </c>
      <c r="Q6453" s="66" t="b">
        <v>0</v>
      </c>
      <c r="R6453" s="22">
        <f t="shared" si="135"/>
        <v>10</v>
      </c>
      <c r="S6453" s="22"/>
    </row>
    <row r="6454" spans="1:19">
      <c r="A6454" s="64">
        <v>11981</v>
      </c>
      <c r="B6454" s="62">
        <v>44462</v>
      </c>
      <c r="C6454" s="63" t="s">
        <v>21274</v>
      </c>
      <c r="D6454" s="62">
        <v>44460</v>
      </c>
      <c r="E6454" s="63" t="s">
        <v>21275</v>
      </c>
      <c r="F6454" s="63" t="s">
        <v>39</v>
      </c>
      <c r="G6454" s="63" t="s">
        <v>20</v>
      </c>
      <c r="H6454" s="63" t="s">
        <v>71</v>
      </c>
      <c r="I6454" s="63" t="s">
        <v>21</v>
      </c>
      <c r="J6454" s="63" t="s">
        <v>21276</v>
      </c>
      <c r="K6454" s="63" t="s">
        <v>6081</v>
      </c>
      <c r="L6454" s="63" t="s">
        <v>21243</v>
      </c>
      <c r="M6454" s="63" t="s">
        <v>21</v>
      </c>
      <c r="O6454" s="108">
        <v>44494</v>
      </c>
      <c r="P6454" s="65" t="s">
        <v>21</v>
      </c>
      <c r="Q6454" s="66" t="b">
        <v>0</v>
      </c>
      <c r="R6454" s="22">
        <f t="shared" si="135"/>
        <v>32</v>
      </c>
      <c r="S6454" s="22"/>
    </row>
    <row r="6455" spans="1:19">
      <c r="A6455" s="64">
        <v>11982</v>
      </c>
      <c r="B6455" s="62">
        <v>44463</v>
      </c>
      <c r="C6455" s="63" t="s">
        <v>21401</v>
      </c>
      <c r="D6455" s="62">
        <v>44461</v>
      </c>
      <c r="E6455" s="63" t="s">
        <v>22175</v>
      </c>
      <c r="F6455" s="63" t="s">
        <v>10730</v>
      </c>
      <c r="G6455" s="63" t="s">
        <v>20</v>
      </c>
      <c r="H6455" s="63" t="s">
        <v>189</v>
      </c>
      <c r="I6455" s="63" t="s">
        <v>21</v>
      </c>
      <c r="J6455" s="63" t="s">
        <v>21402</v>
      </c>
      <c r="K6455" s="63" t="s">
        <v>21403</v>
      </c>
      <c r="L6455" s="63" t="s">
        <v>21243</v>
      </c>
      <c r="M6455" s="63" t="s">
        <v>21</v>
      </c>
      <c r="O6455" s="62">
        <v>45345</v>
      </c>
      <c r="P6455" s="65" t="s">
        <v>21</v>
      </c>
      <c r="Q6455" s="66" t="b">
        <v>0</v>
      </c>
      <c r="R6455" s="22">
        <f t="shared" si="135"/>
        <v>881</v>
      </c>
      <c r="S6455" s="63" t="s">
        <v>22174</v>
      </c>
    </row>
    <row r="6456" spans="1:19">
      <c r="A6456" s="64">
        <v>11983</v>
      </c>
      <c r="B6456" s="62">
        <v>44468</v>
      </c>
      <c r="C6456" s="63" t="s">
        <v>21257</v>
      </c>
      <c r="D6456" s="62">
        <v>44454</v>
      </c>
      <c r="E6456" s="63" t="s">
        <v>38</v>
      </c>
      <c r="F6456" s="63" t="s">
        <v>149</v>
      </c>
      <c r="G6456" s="63" t="s">
        <v>20</v>
      </c>
      <c r="H6456" s="63" t="s">
        <v>71</v>
      </c>
      <c r="I6456" s="63" t="s">
        <v>21</v>
      </c>
      <c r="J6456" s="63" t="s">
        <v>21258</v>
      </c>
      <c r="K6456" s="63" t="s">
        <v>21259</v>
      </c>
      <c r="L6456" s="63" t="s">
        <v>21243</v>
      </c>
      <c r="M6456" s="63" t="s">
        <v>21</v>
      </c>
      <c r="O6456" s="108">
        <v>44484</v>
      </c>
      <c r="P6456" s="65" t="s">
        <v>21</v>
      </c>
      <c r="Q6456" s="66" t="b">
        <v>0</v>
      </c>
      <c r="R6456" s="22">
        <f t="shared" si="135"/>
        <v>16</v>
      </c>
      <c r="S6456" s="22"/>
    </row>
    <row r="6457" spans="1:19" ht="108">
      <c r="A6457" s="64">
        <v>11984</v>
      </c>
      <c r="B6457" s="62">
        <v>44468</v>
      </c>
      <c r="C6457" s="63" t="s">
        <v>21514</v>
      </c>
      <c r="D6457" s="62">
        <v>44467</v>
      </c>
      <c r="E6457" s="63" t="s">
        <v>21515</v>
      </c>
      <c r="F6457" s="63" t="s">
        <v>6298</v>
      </c>
      <c r="G6457" s="63" t="s">
        <v>20</v>
      </c>
      <c r="H6457" s="63" t="s">
        <v>71</v>
      </c>
      <c r="I6457" s="63" t="s">
        <v>21</v>
      </c>
      <c r="J6457" s="63" t="s">
        <v>21516</v>
      </c>
      <c r="K6457" s="63" t="s">
        <v>21517</v>
      </c>
      <c r="L6457" s="63" t="s">
        <v>21573</v>
      </c>
      <c r="M6457" s="63" t="s">
        <v>21243</v>
      </c>
      <c r="O6457" s="22"/>
      <c r="P6457" s="65" t="s">
        <v>21</v>
      </c>
      <c r="Q6457" s="66" t="b">
        <v>0</v>
      </c>
      <c r="R6457" s="66"/>
      <c r="S6457" s="63" t="s">
        <v>22176</v>
      </c>
    </row>
    <row r="6458" spans="1:19" ht="24">
      <c r="A6458" s="64">
        <v>11985</v>
      </c>
      <c r="B6458" s="62">
        <v>44468</v>
      </c>
      <c r="C6458" s="63" t="s">
        <v>21286</v>
      </c>
      <c r="D6458" s="62">
        <v>44463</v>
      </c>
      <c r="E6458" s="63" t="s">
        <v>21287</v>
      </c>
      <c r="F6458" s="63" t="s">
        <v>149</v>
      </c>
      <c r="G6458" s="63" t="s">
        <v>20</v>
      </c>
      <c r="H6458" s="63" t="s">
        <v>71</v>
      </c>
      <c r="I6458" s="63" t="s">
        <v>21</v>
      </c>
      <c r="J6458" s="63" t="s">
        <v>21288</v>
      </c>
      <c r="K6458" s="63" t="s">
        <v>20820</v>
      </c>
      <c r="L6458" s="63" t="s">
        <v>21243</v>
      </c>
      <c r="M6458" s="63" t="s">
        <v>21</v>
      </c>
      <c r="O6458" s="108">
        <v>44498</v>
      </c>
      <c r="P6458" s="65" t="s">
        <v>21</v>
      </c>
      <c r="Q6458" s="66" t="b">
        <v>0</v>
      </c>
      <c r="R6458" s="22">
        <f t="shared" ref="R6458:R6489" si="136">IF(O6458=" ", " ", INT(YEARFRAC(O6458, B6458)*365))</f>
        <v>30</v>
      </c>
      <c r="S6458" s="22"/>
    </row>
    <row r="6459" spans="1:19" ht="36">
      <c r="A6459" s="64">
        <v>11986</v>
      </c>
      <c r="B6459" s="62">
        <v>44469</v>
      </c>
      <c r="C6459" s="63" t="s">
        <v>21518</v>
      </c>
      <c r="D6459" s="62">
        <v>44461</v>
      </c>
      <c r="E6459" s="63" t="s">
        <v>21519</v>
      </c>
      <c r="F6459" s="63" t="s">
        <v>129</v>
      </c>
      <c r="G6459" s="63" t="s">
        <v>20</v>
      </c>
      <c r="H6459" s="63" t="s">
        <v>71</v>
      </c>
      <c r="I6459" s="63" t="s">
        <v>21</v>
      </c>
      <c r="J6459" s="63" t="s">
        <v>21520</v>
      </c>
      <c r="K6459" s="63" t="s">
        <v>21434</v>
      </c>
      <c r="L6459" s="63" t="s">
        <v>21573</v>
      </c>
      <c r="M6459" s="63" t="s">
        <v>22177</v>
      </c>
      <c r="O6459" s="62">
        <v>45635</v>
      </c>
      <c r="P6459" s="65" t="s">
        <v>21</v>
      </c>
      <c r="Q6459" s="66" t="b">
        <v>0</v>
      </c>
      <c r="R6459" s="22">
        <f t="shared" si="136"/>
        <v>1164</v>
      </c>
      <c r="S6459" s="63" t="s">
        <v>22178</v>
      </c>
    </row>
    <row r="6460" spans="1:19" ht="24">
      <c r="A6460" s="64">
        <v>11987</v>
      </c>
      <c r="B6460" s="62">
        <v>44473</v>
      </c>
      <c r="C6460" s="63" t="s">
        <v>21311</v>
      </c>
      <c r="D6460" s="62">
        <v>44473</v>
      </c>
      <c r="E6460" s="63" t="s">
        <v>21312</v>
      </c>
      <c r="F6460" s="63" t="s">
        <v>1771</v>
      </c>
      <c r="G6460" s="63" t="s">
        <v>20</v>
      </c>
      <c r="H6460" s="63" t="s">
        <v>189</v>
      </c>
      <c r="I6460" s="63" t="s">
        <v>21</v>
      </c>
      <c r="J6460" s="63" t="s">
        <v>21313</v>
      </c>
      <c r="K6460" s="63" t="s">
        <v>6081</v>
      </c>
      <c r="L6460" s="63" t="s">
        <v>21243</v>
      </c>
      <c r="M6460" s="63" t="s">
        <v>21</v>
      </c>
      <c r="O6460" s="108">
        <v>44530</v>
      </c>
      <c r="P6460" s="65" t="s">
        <v>21</v>
      </c>
      <c r="Q6460" s="66" t="b">
        <v>0</v>
      </c>
      <c r="R6460" s="22">
        <f t="shared" si="136"/>
        <v>56</v>
      </c>
      <c r="S6460" s="22"/>
    </row>
    <row r="6461" spans="1:19">
      <c r="A6461" s="64">
        <v>11988</v>
      </c>
      <c r="B6461" s="62">
        <v>44474</v>
      </c>
      <c r="C6461" s="63" t="s">
        <v>21271</v>
      </c>
      <c r="D6461" s="62">
        <v>44473</v>
      </c>
      <c r="E6461" s="63" t="s">
        <v>38</v>
      </c>
      <c r="F6461" s="63" t="s">
        <v>861</v>
      </c>
      <c r="G6461" s="63" t="s">
        <v>20</v>
      </c>
      <c r="H6461" s="63" t="s">
        <v>566</v>
      </c>
      <c r="I6461" s="63" t="s">
        <v>21</v>
      </c>
      <c r="J6461" s="63" t="s">
        <v>21272</v>
      </c>
      <c r="K6461" s="63" t="s">
        <v>21273</v>
      </c>
      <c r="L6461" s="63" t="s">
        <v>21243</v>
      </c>
      <c r="M6461" s="63" t="s">
        <v>21</v>
      </c>
      <c r="O6461" s="108">
        <v>44491</v>
      </c>
      <c r="P6461" s="65" t="s">
        <v>21</v>
      </c>
      <c r="Q6461" s="66" t="b">
        <v>0</v>
      </c>
      <c r="R6461" s="22">
        <f t="shared" si="136"/>
        <v>17</v>
      </c>
      <c r="S6461" s="22"/>
    </row>
    <row r="6462" spans="1:19">
      <c r="A6462" s="64">
        <v>11989</v>
      </c>
      <c r="B6462" s="62">
        <v>44475</v>
      </c>
      <c r="C6462" s="63" t="s">
        <v>21524</v>
      </c>
      <c r="D6462" s="62">
        <v>44474</v>
      </c>
      <c r="E6462" s="63" t="s">
        <v>21525</v>
      </c>
      <c r="F6462" s="63" t="s">
        <v>16173</v>
      </c>
      <c r="G6462" s="63" t="s">
        <v>20</v>
      </c>
      <c r="H6462" s="63" t="s">
        <v>566</v>
      </c>
      <c r="I6462" s="63" t="s">
        <v>21</v>
      </c>
      <c r="J6462" s="63" t="s">
        <v>21526</v>
      </c>
      <c r="K6462" s="63" t="s">
        <v>21527</v>
      </c>
      <c r="L6462" s="63" t="s">
        <v>21243</v>
      </c>
      <c r="M6462" s="63" t="s">
        <v>21</v>
      </c>
      <c r="O6462" s="62">
        <v>44567</v>
      </c>
      <c r="P6462" s="65" t="s">
        <v>21</v>
      </c>
      <c r="Q6462" s="66" t="b">
        <v>0</v>
      </c>
      <c r="R6462" s="22">
        <f t="shared" si="136"/>
        <v>91</v>
      </c>
      <c r="S6462" s="63" t="s">
        <v>21</v>
      </c>
    </row>
    <row r="6463" spans="1:19">
      <c r="A6463" s="64">
        <v>11990</v>
      </c>
      <c r="B6463" s="62">
        <v>44475</v>
      </c>
      <c r="C6463" s="63" t="s">
        <v>21528</v>
      </c>
      <c r="D6463" s="62">
        <v>44474</v>
      </c>
      <c r="E6463" s="63" t="s">
        <v>21529</v>
      </c>
      <c r="F6463" s="63" t="s">
        <v>8395</v>
      </c>
      <c r="G6463" s="63" t="s">
        <v>20</v>
      </c>
      <c r="H6463" s="63" t="s">
        <v>566</v>
      </c>
      <c r="I6463" s="63" t="s">
        <v>21</v>
      </c>
      <c r="J6463" s="63" t="s">
        <v>21526</v>
      </c>
      <c r="K6463" s="63" t="s">
        <v>21530</v>
      </c>
      <c r="L6463" s="63" t="s">
        <v>21243</v>
      </c>
      <c r="M6463" s="63" t="s">
        <v>21</v>
      </c>
      <c r="O6463" s="62">
        <v>44567</v>
      </c>
      <c r="P6463" s="65" t="s">
        <v>21</v>
      </c>
      <c r="Q6463" s="66" t="b">
        <v>0</v>
      </c>
      <c r="R6463" s="22">
        <f t="shared" si="136"/>
        <v>91</v>
      </c>
      <c r="S6463" s="63" t="s">
        <v>21</v>
      </c>
    </row>
    <row r="6464" spans="1:19" ht="36">
      <c r="A6464" s="64">
        <v>11991</v>
      </c>
      <c r="B6464" s="62">
        <v>44476</v>
      </c>
      <c r="C6464" s="63" t="s">
        <v>21521</v>
      </c>
      <c r="D6464" s="62">
        <v>44473</v>
      </c>
      <c r="E6464" s="63" t="s">
        <v>21522</v>
      </c>
      <c r="F6464" s="63" t="s">
        <v>149</v>
      </c>
      <c r="G6464" s="63" t="s">
        <v>20</v>
      </c>
      <c r="H6464" s="63" t="s">
        <v>71</v>
      </c>
      <c r="I6464" s="63" t="s">
        <v>21</v>
      </c>
      <c r="J6464" s="63" t="s">
        <v>21523</v>
      </c>
      <c r="K6464" s="63" t="s">
        <v>16066</v>
      </c>
      <c r="L6464" s="63" t="s">
        <v>21243</v>
      </c>
      <c r="M6464" s="63" t="s">
        <v>21</v>
      </c>
      <c r="O6464" s="62">
        <v>45560</v>
      </c>
      <c r="P6464" s="65" t="s">
        <v>21</v>
      </c>
      <c r="Q6464" s="66" t="b">
        <v>0</v>
      </c>
      <c r="R6464" s="22">
        <f t="shared" si="136"/>
        <v>1082</v>
      </c>
      <c r="S6464" s="63" t="s">
        <v>22179</v>
      </c>
    </row>
    <row r="6465" spans="1:19" ht="24">
      <c r="A6465" s="64">
        <v>11992</v>
      </c>
      <c r="B6465" s="62">
        <v>44476</v>
      </c>
      <c r="C6465" s="63" t="s">
        <v>21462</v>
      </c>
      <c r="D6465" s="62">
        <v>44473</v>
      </c>
      <c r="E6465" s="63" t="s">
        <v>21463</v>
      </c>
      <c r="F6465" s="63" t="s">
        <v>149</v>
      </c>
      <c r="G6465" s="63" t="s">
        <v>20</v>
      </c>
      <c r="H6465" s="63" t="s">
        <v>71</v>
      </c>
      <c r="I6465" s="63" t="s">
        <v>21</v>
      </c>
      <c r="J6465" s="63" t="s">
        <v>21464</v>
      </c>
      <c r="K6465" s="63" t="s">
        <v>21465</v>
      </c>
      <c r="L6465" s="63" t="s">
        <v>21243</v>
      </c>
      <c r="M6465" s="63" t="s">
        <v>21</v>
      </c>
      <c r="O6465" s="62">
        <v>45560</v>
      </c>
      <c r="P6465" s="65" t="s">
        <v>21</v>
      </c>
      <c r="Q6465" s="66" t="b">
        <v>0</v>
      </c>
      <c r="R6465" s="22">
        <f t="shared" si="136"/>
        <v>1082</v>
      </c>
      <c r="S6465" s="63" t="s">
        <v>22180</v>
      </c>
    </row>
    <row r="6466" spans="1:19">
      <c r="A6466" s="64">
        <v>11993</v>
      </c>
      <c r="B6466" s="62">
        <v>44476</v>
      </c>
      <c r="C6466" s="63" t="s">
        <v>21297</v>
      </c>
      <c r="D6466" s="62">
        <v>44475</v>
      </c>
      <c r="E6466" s="63" t="s">
        <v>38</v>
      </c>
      <c r="F6466" s="63" t="s">
        <v>371</v>
      </c>
      <c r="G6466" s="63" t="s">
        <v>20</v>
      </c>
      <c r="H6466" s="63" t="s">
        <v>71</v>
      </c>
      <c r="I6466" s="63" t="s">
        <v>21</v>
      </c>
      <c r="J6466" s="63" t="s">
        <v>21298</v>
      </c>
      <c r="K6466" s="63" t="s">
        <v>21299</v>
      </c>
      <c r="L6466" s="63" t="s">
        <v>21142</v>
      </c>
      <c r="M6466" s="63" t="s">
        <v>21</v>
      </c>
      <c r="O6466" s="108">
        <v>44519</v>
      </c>
      <c r="P6466" s="65" t="s">
        <v>21</v>
      </c>
      <c r="Q6466" s="66" t="b">
        <v>0</v>
      </c>
      <c r="R6466" s="22">
        <f t="shared" si="136"/>
        <v>42</v>
      </c>
      <c r="S6466" s="22"/>
    </row>
    <row r="6467" spans="1:19">
      <c r="A6467" s="64">
        <v>11994</v>
      </c>
      <c r="B6467" s="62">
        <v>44477</v>
      </c>
      <c r="C6467" s="63" t="s">
        <v>21260</v>
      </c>
      <c r="D6467" s="62">
        <v>44477</v>
      </c>
      <c r="E6467" s="63" t="s">
        <v>21261</v>
      </c>
      <c r="F6467" s="63" t="s">
        <v>9047</v>
      </c>
      <c r="G6467" s="63" t="s">
        <v>20</v>
      </c>
      <c r="H6467" s="63" t="s">
        <v>71</v>
      </c>
      <c r="I6467" s="63" t="s">
        <v>21</v>
      </c>
      <c r="J6467" s="63" t="s">
        <v>21262</v>
      </c>
      <c r="K6467" s="63" t="s">
        <v>6081</v>
      </c>
      <c r="L6467" s="63" t="s">
        <v>21142</v>
      </c>
      <c r="M6467" s="63" t="s">
        <v>21</v>
      </c>
      <c r="O6467" s="108">
        <v>44484</v>
      </c>
      <c r="P6467" s="65" t="s">
        <v>21</v>
      </c>
      <c r="Q6467" s="66" t="b">
        <v>0</v>
      </c>
      <c r="R6467" s="22">
        <f t="shared" si="136"/>
        <v>7</v>
      </c>
      <c r="S6467" s="22"/>
    </row>
    <row r="6468" spans="1:19" ht="60">
      <c r="A6468" s="59">
        <v>11997</v>
      </c>
      <c r="B6468" s="60">
        <v>44487</v>
      </c>
      <c r="C6468" s="61" t="s">
        <v>21466</v>
      </c>
      <c r="D6468" s="60">
        <v>44480</v>
      </c>
      <c r="E6468" s="61" t="s">
        <v>21467</v>
      </c>
      <c r="F6468" s="61" t="s">
        <v>216</v>
      </c>
      <c r="G6468" s="61" t="s">
        <v>20</v>
      </c>
      <c r="H6468" s="61" t="s">
        <v>71</v>
      </c>
      <c r="I6468" s="61" t="s">
        <v>21</v>
      </c>
      <c r="J6468" s="61" t="s">
        <v>21468</v>
      </c>
      <c r="K6468" s="61" t="s">
        <v>20909</v>
      </c>
      <c r="L6468" s="61" t="s">
        <v>21243</v>
      </c>
      <c r="M6468" s="61" t="s">
        <v>21</v>
      </c>
      <c r="O6468" s="60">
        <v>45168</v>
      </c>
      <c r="P6468" s="61" t="s">
        <v>21</v>
      </c>
      <c r="Q6468" s="59" t="b">
        <v>0</v>
      </c>
      <c r="R6468" s="22">
        <f t="shared" si="136"/>
        <v>681</v>
      </c>
      <c r="S6468" s="61" t="s">
        <v>22181</v>
      </c>
    </row>
    <row r="6469" spans="1:19" ht="24">
      <c r="A6469" s="64">
        <v>11998</v>
      </c>
      <c r="B6469" s="62">
        <v>44487</v>
      </c>
      <c r="C6469" s="63" t="s">
        <v>21469</v>
      </c>
      <c r="D6469" s="62">
        <v>44484</v>
      </c>
      <c r="E6469" s="63" t="s">
        <v>21470</v>
      </c>
      <c r="F6469" s="63" t="s">
        <v>2782</v>
      </c>
      <c r="G6469" s="63" t="s">
        <v>20</v>
      </c>
      <c r="H6469" s="63" t="s">
        <v>71</v>
      </c>
      <c r="I6469" s="63" t="s">
        <v>21</v>
      </c>
      <c r="J6469" s="63" t="s">
        <v>21266</v>
      </c>
      <c r="K6469" s="63" t="s">
        <v>21434</v>
      </c>
      <c r="L6469" s="63" t="s">
        <v>21142</v>
      </c>
      <c r="M6469" s="63" t="s">
        <v>21</v>
      </c>
      <c r="O6469" s="62">
        <v>44617</v>
      </c>
      <c r="P6469" s="65" t="s">
        <v>21</v>
      </c>
      <c r="Q6469" s="66" t="b">
        <v>0</v>
      </c>
      <c r="R6469" s="22">
        <f t="shared" si="136"/>
        <v>128</v>
      </c>
      <c r="S6469" s="63" t="s">
        <v>21</v>
      </c>
    </row>
    <row r="6470" spans="1:19">
      <c r="A6470" s="64">
        <v>11999</v>
      </c>
      <c r="B6470" s="62">
        <v>44487</v>
      </c>
      <c r="C6470" s="63" t="s">
        <v>21340</v>
      </c>
      <c r="D6470" s="62">
        <v>44484</v>
      </c>
      <c r="E6470" s="63" t="s">
        <v>21341</v>
      </c>
      <c r="F6470" s="63" t="s">
        <v>8395</v>
      </c>
      <c r="G6470" s="63" t="s">
        <v>20</v>
      </c>
      <c r="H6470" s="63" t="s">
        <v>566</v>
      </c>
      <c r="I6470" s="63" t="s">
        <v>21</v>
      </c>
      <c r="J6470" s="63" t="s">
        <v>21342</v>
      </c>
      <c r="K6470" s="63" t="s">
        <v>6081</v>
      </c>
      <c r="L6470" s="63" t="s">
        <v>21243</v>
      </c>
      <c r="M6470" s="63" t="s">
        <v>21</v>
      </c>
      <c r="N6470" s="22"/>
      <c r="O6470" s="108">
        <v>44559</v>
      </c>
      <c r="P6470" s="65" t="s">
        <v>21</v>
      </c>
      <c r="Q6470" s="66" t="b">
        <v>0</v>
      </c>
      <c r="R6470" s="22">
        <f t="shared" si="136"/>
        <v>71</v>
      </c>
      <c r="S6470" s="22"/>
    </row>
    <row r="6471" spans="1:19" ht="36">
      <c r="A6471" s="64">
        <v>12000</v>
      </c>
      <c r="B6471" s="62">
        <v>44490</v>
      </c>
      <c r="C6471" s="63" t="s">
        <v>21471</v>
      </c>
      <c r="D6471" s="62">
        <v>44487</v>
      </c>
      <c r="E6471" s="63" t="s">
        <v>21472</v>
      </c>
      <c r="F6471" s="63" t="s">
        <v>1771</v>
      </c>
      <c r="G6471" s="63" t="s">
        <v>20</v>
      </c>
      <c r="H6471" s="63" t="s">
        <v>71</v>
      </c>
      <c r="I6471" s="63" t="s">
        <v>21</v>
      </c>
      <c r="J6471" s="63" t="s">
        <v>21473</v>
      </c>
      <c r="K6471" s="63" t="s">
        <v>21474</v>
      </c>
      <c r="L6471" s="63" t="s">
        <v>21573</v>
      </c>
      <c r="M6471" s="63" t="s">
        <v>21243</v>
      </c>
      <c r="N6471" s="22"/>
      <c r="O6471" s="62">
        <v>45421</v>
      </c>
      <c r="P6471" s="65" t="s">
        <v>21</v>
      </c>
      <c r="Q6471" s="66" t="b">
        <v>0</v>
      </c>
      <c r="R6471" s="22">
        <f t="shared" si="136"/>
        <v>930</v>
      </c>
      <c r="S6471" s="63" t="s">
        <v>22154</v>
      </c>
    </row>
    <row r="6472" spans="1:19" ht="24">
      <c r="A6472" s="64">
        <v>12001</v>
      </c>
      <c r="B6472" s="62">
        <v>44491</v>
      </c>
      <c r="C6472" s="63" t="s">
        <v>21475</v>
      </c>
      <c r="D6472" s="62">
        <v>44489</v>
      </c>
      <c r="E6472" s="63" t="s">
        <v>21476</v>
      </c>
      <c r="F6472" s="63" t="s">
        <v>52</v>
      </c>
      <c r="G6472" s="63" t="s">
        <v>20</v>
      </c>
      <c r="H6472" s="63" t="s">
        <v>71</v>
      </c>
      <c r="I6472" s="63" t="s">
        <v>21</v>
      </c>
      <c r="J6472" s="63" t="s">
        <v>21477</v>
      </c>
      <c r="K6472" s="63" t="s">
        <v>21478</v>
      </c>
      <c r="L6472" s="63" t="s">
        <v>21142</v>
      </c>
      <c r="M6472" s="63" t="s">
        <v>21243</v>
      </c>
      <c r="O6472" s="62">
        <v>45559</v>
      </c>
      <c r="P6472" s="65" t="s">
        <v>21</v>
      </c>
      <c r="Q6472" s="66" t="b">
        <v>0</v>
      </c>
      <c r="R6472" s="22">
        <f t="shared" si="136"/>
        <v>1066</v>
      </c>
      <c r="S6472" s="63" t="s">
        <v>22182</v>
      </c>
    </row>
    <row r="6473" spans="1:19" ht="24">
      <c r="A6473" s="64">
        <v>12003</v>
      </c>
      <c r="B6473" s="62">
        <v>44494</v>
      </c>
      <c r="C6473" s="63" t="s">
        <v>21277</v>
      </c>
      <c r="D6473" s="62">
        <v>44489</v>
      </c>
      <c r="E6473" s="63" t="s">
        <v>38</v>
      </c>
      <c r="F6473" s="63" t="s">
        <v>1743</v>
      </c>
      <c r="G6473" s="63" t="s">
        <v>20</v>
      </c>
      <c r="H6473" s="63" t="s">
        <v>71</v>
      </c>
      <c r="I6473" s="63" t="s">
        <v>21</v>
      </c>
      <c r="J6473" s="63" t="s">
        <v>21278</v>
      </c>
      <c r="K6473" s="63" t="s">
        <v>21279</v>
      </c>
      <c r="L6473" s="63" t="s">
        <v>14349</v>
      </c>
      <c r="M6473" s="63" t="s">
        <v>21</v>
      </c>
      <c r="O6473" s="108">
        <v>44495</v>
      </c>
      <c r="P6473" s="65" t="s">
        <v>21</v>
      </c>
      <c r="Q6473" s="66" t="b">
        <v>0</v>
      </c>
      <c r="R6473" s="22">
        <f t="shared" si="136"/>
        <v>1</v>
      </c>
      <c r="S6473" s="22"/>
    </row>
    <row r="6474" spans="1:19">
      <c r="A6474" s="64">
        <v>12006</v>
      </c>
      <c r="B6474" s="62">
        <v>44497</v>
      </c>
      <c r="C6474" s="63" t="s">
        <v>21300</v>
      </c>
      <c r="D6474" s="62">
        <v>44496</v>
      </c>
      <c r="E6474" s="63" t="s">
        <v>21301</v>
      </c>
      <c r="F6474" s="63" t="s">
        <v>741</v>
      </c>
      <c r="G6474" s="63" t="s">
        <v>20</v>
      </c>
      <c r="H6474" s="63" t="s">
        <v>71</v>
      </c>
      <c r="I6474" s="63" t="s">
        <v>21</v>
      </c>
      <c r="J6474" s="63" t="s">
        <v>21302</v>
      </c>
      <c r="K6474" s="63" t="s">
        <v>6081</v>
      </c>
      <c r="L6474" s="63" t="s">
        <v>7167</v>
      </c>
      <c r="M6474" s="63" t="s">
        <v>21</v>
      </c>
      <c r="O6474" s="108">
        <v>44522</v>
      </c>
      <c r="P6474" s="65" t="s">
        <v>21</v>
      </c>
      <c r="Q6474" s="66" t="b">
        <v>0</v>
      </c>
      <c r="R6474" s="22">
        <f t="shared" si="136"/>
        <v>24</v>
      </c>
      <c r="S6474" s="22"/>
    </row>
    <row r="6475" spans="1:19" ht="24">
      <c r="A6475" s="64">
        <v>12007</v>
      </c>
      <c r="B6475" s="62">
        <v>44498</v>
      </c>
      <c r="C6475" s="63" t="s">
        <v>21479</v>
      </c>
      <c r="D6475" s="62">
        <v>44490</v>
      </c>
      <c r="E6475" s="63" t="s">
        <v>21480</v>
      </c>
      <c r="F6475" s="63" t="s">
        <v>1771</v>
      </c>
      <c r="G6475" s="63" t="s">
        <v>20</v>
      </c>
      <c r="H6475" s="63" t="s">
        <v>189</v>
      </c>
      <c r="I6475" s="63" t="s">
        <v>21</v>
      </c>
      <c r="J6475" s="63" t="s">
        <v>21481</v>
      </c>
      <c r="K6475" s="63" t="s">
        <v>20156</v>
      </c>
      <c r="L6475" s="63" t="s">
        <v>7167</v>
      </c>
      <c r="M6475" s="63" t="s">
        <v>21</v>
      </c>
      <c r="O6475" s="62">
        <v>45602</v>
      </c>
      <c r="P6475" s="65" t="s">
        <v>21</v>
      </c>
      <c r="Q6475" s="66" t="b">
        <v>0</v>
      </c>
      <c r="R6475" s="22">
        <f t="shared" si="136"/>
        <v>1102</v>
      </c>
      <c r="S6475" s="63" t="s">
        <v>21621</v>
      </c>
    </row>
    <row r="6476" spans="1:19" ht="24">
      <c r="A6476" s="64">
        <v>12008</v>
      </c>
      <c r="B6476" s="62">
        <v>44501</v>
      </c>
      <c r="C6476" s="63" t="s">
        <v>21291</v>
      </c>
      <c r="D6476" s="62">
        <v>44501</v>
      </c>
      <c r="E6476" s="63" t="s">
        <v>1928</v>
      </c>
      <c r="F6476" s="63" t="s">
        <v>1743</v>
      </c>
      <c r="G6476" s="63" t="s">
        <v>20</v>
      </c>
      <c r="H6476" s="63" t="s">
        <v>71</v>
      </c>
      <c r="I6476" s="63" t="s">
        <v>21</v>
      </c>
      <c r="J6476" s="63" t="s">
        <v>21292</v>
      </c>
      <c r="K6476" s="63" t="s">
        <v>21293</v>
      </c>
      <c r="L6476" s="63" t="s">
        <v>21243</v>
      </c>
      <c r="M6476" s="63" t="s">
        <v>21</v>
      </c>
      <c r="N6476" s="45">
        <v>44515</v>
      </c>
      <c r="O6476" s="108">
        <v>44512</v>
      </c>
      <c r="P6476" s="65" t="s">
        <v>21</v>
      </c>
      <c r="Q6476" s="66" t="b">
        <v>0</v>
      </c>
      <c r="R6476" s="22">
        <f t="shared" si="136"/>
        <v>11</v>
      </c>
      <c r="S6476" s="22"/>
    </row>
    <row r="6477" spans="1:19">
      <c r="A6477" s="64">
        <v>12009</v>
      </c>
      <c r="B6477" s="62">
        <v>44508</v>
      </c>
      <c r="C6477" s="63" t="s">
        <v>21303</v>
      </c>
      <c r="D6477" s="62">
        <v>44494</v>
      </c>
      <c r="E6477" s="63" t="s">
        <v>1928</v>
      </c>
      <c r="F6477" s="63" t="s">
        <v>1743</v>
      </c>
      <c r="G6477" s="63" t="s">
        <v>20</v>
      </c>
      <c r="H6477" s="63" t="s">
        <v>71</v>
      </c>
      <c r="I6477" s="63" t="s">
        <v>21</v>
      </c>
      <c r="J6477" s="63" t="s">
        <v>21304</v>
      </c>
      <c r="K6477" s="63" t="s">
        <v>21305</v>
      </c>
      <c r="L6477" s="63" t="s">
        <v>21142</v>
      </c>
      <c r="M6477" s="63" t="s">
        <v>21</v>
      </c>
      <c r="N6477" s="45">
        <v>44522</v>
      </c>
      <c r="O6477" s="108">
        <v>44522</v>
      </c>
      <c r="P6477" s="65" t="s">
        <v>21</v>
      </c>
      <c r="Q6477" s="66" t="b">
        <v>0</v>
      </c>
      <c r="R6477" s="22">
        <f t="shared" si="136"/>
        <v>14</v>
      </c>
      <c r="S6477" s="22"/>
    </row>
    <row r="6478" spans="1:19" ht="24">
      <c r="A6478" s="64">
        <v>12012</v>
      </c>
      <c r="B6478" s="62">
        <v>44508</v>
      </c>
      <c r="C6478" s="63" t="s">
        <v>21404</v>
      </c>
      <c r="D6478" s="62">
        <v>44503</v>
      </c>
      <c r="E6478" s="63" t="s">
        <v>21405</v>
      </c>
      <c r="F6478" s="63" t="s">
        <v>6953</v>
      </c>
      <c r="G6478" s="63" t="s">
        <v>20</v>
      </c>
      <c r="H6478" s="63" t="s">
        <v>71</v>
      </c>
      <c r="I6478" s="63" t="s">
        <v>21</v>
      </c>
      <c r="J6478" s="63" t="s">
        <v>21406</v>
      </c>
      <c r="K6478" s="63" t="s">
        <v>21407</v>
      </c>
      <c r="L6478" s="63" t="s">
        <v>21142</v>
      </c>
      <c r="M6478" s="63" t="s">
        <v>21</v>
      </c>
      <c r="O6478" s="62">
        <v>45495</v>
      </c>
      <c r="P6478" s="65" t="s">
        <v>21</v>
      </c>
      <c r="Q6478" s="66" t="b">
        <v>0</v>
      </c>
      <c r="R6478" s="22">
        <f t="shared" si="136"/>
        <v>987</v>
      </c>
      <c r="S6478" s="63" t="s">
        <v>22183</v>
      </c>
    </row>
    <row r="6479" spans="1:19">
      <c r="A6479" s="64">
        <v>12013</v>
      </c>
      <c r="B6479" s="62">
        <v>44508</v>
      </c>
      <c r="C6479" s="63" t="s">
        <v>21358</v>
      </c>
      <c r="D6479" s="62">
        <v>44503</v>
      </c>
      <c r="E6479" s="63" t="s">
        <v>21359</v>
      </c>
      <c r="F6479" s="63" t="s">
        <v>8605</v>
      </c>
      <c r="G6479" s="63" t="s">
        <v>20</v>
      </c>
      <c r="H6479" s="63" t="s">
        <v>212</v>
      </c>
      <c r="I6479" s="63" t="s">
        <v>21</v>
      </c>
      <c r="J6479" s="63" t="s">
        <v>21360</v>
      </c>
      <c r="K6479" s="63" t="s">
        <v>6081</v>
      </c>
      <c r="L6479" s="63" t="s">
        <v>21142</v>
      </c>
      <c r="M6479" s="63" t="s">
        <v>21</v>
      </c>
      <c r="O6479" s="108">
        <v>44573</v>
      </c>
      <c r="P6479" s="65" t="s">
        <v>21</v>
      </c>
      <c r="Q6479" s="66" t="b">
        <v>0</v>
      </c>
      <c r="R6479" s="22">
        <f t="shared" si="136"/>
        <v>64</v>
      </c>
      <c r="S6479" s="22"/>
    </row>
    <row r="6480" spans="1:19" ht="36">
      <c r="A6480" s="64">
        <v>12014</v>
      </c>
      <c r="B6480" s="62">
        <v>44509</v>
      </c>
      <c r="C6480" s="63" t="s">
        <v>21485</v>
      </c>
      <c r="D6480" s="62">
        <v>44502</v>
      </c>
      <c r="E6480" s="63" t="s">
        <v>21486</v>
      </c>
      <c r="F6480" s="63" t="s">
        <v>149</v>
      </c>
      <c r="G6480" s="63" t="s">
        <v>20</v>
      </c>
      <c r="H6480" s="63" t="s">
        <v>71</v>
      </c>
      <c r="I6480" s="63" t="s">
        <v>21</v>
      </c>
      <c r="J6480" s="63" t="s">
        <v>21487</v>
      </c>
      <c r="K6480" s="63" t="s">
        <v>21488</v>
      </c>
      <c r="L6480" s="63" t="s">
        <v>21243</v>
      </c>
      <c r="M6480" s="63" t="s">
        <v>21</v>
      </c>
      <c r="O6480" s="62">
        <v>45560</v>
      </c>
      <c r="P6480" s="65" t="s">
        <v>21</v>
      </c>
      <c r="Q6480" s="66" t="b">
        <v>0</v>
      </c>
      <c r="R6480" s="22">
        <f t="shared" si="136"/>
        <v>1050</v>
      </c>
      <c r="S6480" s="63" t="s">
        <v>22184</v>
      </c>
    </row>
    <row r="6481" spans="1:19">
      <c r="A6481" s="64">
        <v>12015</v>
      </c>
      <c r="B6481" s="62">
        <v>44509</v>
      </c>
      <c r="C6481" s="63" t="s">
        <v>21289</v>
      </c>
      <c r="D6481" s="62">
        <v>44490</v>
      </c>
      <c r="E6481" s="63" t="s">
        <v>1928</v>
      </c>
      <c r="F6481" s="63" t="s">
        <v>1743</v>
      </c>
      <c r="G6481" s="63" t="s">
        <v>20</v>
      </c>
      <c r="H6481" s="63" t="s">
        <v>71</v>
      </c>
      <c r="I6481" s="63" t="s">
        <v>21</v>
      </c>
      <c r="J6481" s="63" t="s">
        <v>21290</v>
      </c>
      <c r="K6481" s="63" t="s">
        <v>20953</v>
      </c>
      <c r="L6481" s="63" t="s">
        <v>3271</v>
      </c>
      <c r="M6481" s="63" t="s">
        <v>21</v>
      </c>
      <c r="N6481" s="45">
        <v>44504</v>
      </c>
      <c r="O6481" s="108">
        <v>44503</v>
      </c>
      <c r="P6481" s="65" t="s">
        <v>21</v>
      </c>
      <c r="Q6481" s="66" t="b">
        <v>0</v>
      </c>
      <c r="R6481" s="22">
        <f t="shared" si="136"/>
        <v>6</v>
      </c>
      <c r="S6481" s="22"/>
    </row>
    <row r="6482" spans="1:19" ht="24">
      <c r="A6482" s="64">
        <v>12017</v>
      </c>
      <c r="B6482" s="62">
        <v>44515</v>
      </c>
      <c r="C6482" s="63" t="s">
        <v>21314</v>
      </c>
      <c r="D6482" s="62">
        <v>44515</v>
      </c>
      <c r="E6482" s="63" t="s">
        <v>1928</v>
      </c>
      <c r="F6482" s="63" t="s">
        <v>1743</v>
      </c>
      <c r="G6482" s="63" t="s">
        <v>20</v>
      </c>
      <c r="H6482" s="63" t="s">
        <v>71</v>
      </c>
      <c r="I6482" s="63" t="s">
        <v>21</v>
      </c>
      <c r="J6482" s="63" t="s">
        <v>21315</v>
      </c>
      <c r="K6482" s="63" t="s">
        <v>21316</v>
      </c>
      <c r="L6482" s="63" t="s">
        <v>4282</v>
      </c>
      <c r="M6482" s="63" t="s">
        <v>21</v>
      </c>
      <c r="O6482" s="108">
        <v>44530</v>
      </c>
      <c r="P6482" s="65" t="s">
        <v>21</v>
      </c>
      <c r="Q6482" s="66" t="b">
        <v>0</v>
      </c>
      <c r="R6482" s="22">
        <f t="shared" si="136"/>
        <v>15</v>
      </c>
      <c r="S6482" s="22"/>
    </row>
    <row r="6483" spans="1:19" ht="24">
      <c r="A6483" s="64">
        <v>12018</v>
      </c>
      <c r="B6483" s="62">
        <v>44515</v>
      </c>
      <c r="C6483" s="63" t="s">
        <v>21306</v>
      </c>
      <c r="D6483" s="62">
        <v>44515</v>
      </c>
      <c r="E6483" s="63" t="s">
        <v>21307</v>
      </c>
      <c r="F6483" s="63" t="s">
        <v>7179</v>
      </c>
      <c r="G6483" s="63" t="s">
        <v>20</v>
      </c>
      <c r="H6483" s="63" t="s">
        <v>71</v>
      </c>
      <c r="I6483" s="63" t="s">
        <v>21</v>
      </c>
      <c r="J6483" s="63" t="s">
        <v>21308</v>
      </c>
      <c r="K6483" s="63" t="s">
        <v>6081</v>
      </c>
      <c r="L6483" s="63" t="s">
        <v>21142</v>
      </c>
      <c r="M6483" s="63" t="s">
        <v>21</v>
      </c>
      <c r="O6483" s="108">
        <v>44523</v>
      </c>
      <c r="P6483" s="65" t="s">
        <v>21</v>
      </c>
      <c r="Q6483" s="66" t="b">
        <v>0</v>
      </c>
      <c r="R6483" s="22">
        <f t="shared" si="136"/>
        <v>8</v>
      </c>
      <c r="S6483" s="22"/>
    </row>
    <row r="6484" spans="1:19" ht="24">
      <c r="A6484" s="64">
        <v>12019</v>
      </c>
      <c r="B6484" s="62">
        <v>44518</v>
      </c>
      <c r="C6484" s="63" t="s">
        <v>21309</v>
      </c>
      <c r="D6484" s="62">
        <v>44517</v>
      </c>
      <c r="E6484" s="63" t="s">
        <v>1928</v>
      </c>
      <c r="F6484" s="63" t="s">
        <v>1743</v>
      </c>
      <c r="G6484" s="63" t="s">
        <v>20</v>
      </c>
      <c r="H6484" s="63" t="s">
        <v>71</v>
      </c>
      <c r="I6484" s="63" t="s">
        <v>21</v>
      </c>
      <c r="J6484" s="63" t="s">
        <v>21231</v>
      </c>
      <c r="K6484" s="63" t="s">
        <v>21310</v>
      </c>
      <c r="L6484" s="63" t="s">
        <v>21243</v>
      </c>
      <c r="M6484" s="63" t="s">
        <v>21</v>
      </c>
      <c r="N6484" s="45">
        <v>44532</v>
      </c>
      <c r="O6484" s="108">
        <v>44524</v>
      </c>
      <c r="P6484" s="65" t="s">
        <v>21</v>
      </c>
      <c r="Q6484" s="66" t="b">
        <v>0</v>
      </c>
      <c r="R6484" s="22">
        <f t="shared" si="136"/>
        <v>6</v>
      </c>
      <c r="S6484" s="22"/>
    </row>
    <row r="6485" spans="1:19" ht="24">
      <c r="A6485" s="64">
        <v>12020</v>
      </c>
      <c r="B6485" s="62">
        <v>44519</v>
      </c>
      <c r="C6485" s="63" t="s">
        <v>21489</v>
      </c>
      <c r="D6485" s="62">
        <v>44517</v>
      </c>
      <c r="E6485" s="63" t="s">
        <v>21490</v>
      </c>
      <c r="F6485" s="63" t="s">
        <v>149</v>
      </c>
      <c r="G6485" s="63" t="s">
        <v>20</v>
      </c>
      <c r="H6485" s="63" t="s">
        <v>71</v>
      </c>
      <c r="I6485" s="63" t="s">
        <v>21</v>
      </c>
      <c r="J6485" s="63" t="s">
        <v>21491</v>
      </c>
      <c r="K6485" s="63" t="s">
        <v>21457</v>
      </c>
      <c r="L6485" s="63" t="s">
        <v>21573</v>
      </c>
      <c r="M6485" s="63" t="s">
        <v>21243</v>
      </c>
      <c r="O6485" s="62">
        <v>45309</v>
      </c>
      <c r="P6485" s="65" t="s">
        <v>21</v>
      </c>
      <c r="Q6485" s="66" t="b">
        <v>0</v>
      </c>
      <c r="R6485" s="22">
        <f t="shared" si="136"/>
        <v>789</v>
      </c>
      <c r="S6485" s="63" t="s">
        <v>21621</v>
      </c>
    </row>
    <row r="6486" spans="1:19">
      <c r="A6486" s="64">
        <v>12021</v>
      </c>
      <c r="B6486" s="62">
        <v>44524</v>
      </c>
      <c r="C6486" s="63" t="s">
        <v>21320</v>
      </c>
      <c r="D6486" s="62">
        <v>44507</v>
      </c>
      <c r="E6486" s="63" t="s">
        <v>38</v>
      </c>
      <c r="F6486" s="63" t="s">
        <v>1743</v>
      </c>
      <c r="G6486" s="63" t="s">
        <v>20</v>
      </c>
      <c r="H6486" s="63" t="s">
        <v>71</v>
      </c>
      <c r="I6486" s="63" t="s">
        <v>21</v>
      </c>
      <c r="J6486" s="63" t="s">
        <v>21321</v>
      </c>
      <c r="K6486" s="63" t="s">
        <v>21322</v>
      </c>
      <c r="L6486" s="63" t="s">
        <v>21142</v>
      </c>
      <c r="M6486" s="63" t="s">
        <v>21</v>
      </c>
      <c r="O6486" s="108">
        <v>44540</v>
      </c>
      <c r="P6486" s="65" t="s">
        <v>21</v>
      </c>
      <c r="Q6486" s="66" t="b">
        <v>0</v>
      </c>
      <c r="R6486" s="22">
        <f t="shared" si="136"/>
        <v>16</v>
      </c>
      <c r="S6486" s="22"/>
    </row>
    <row r="6487" spans="1:19" ht="48">
      <c r="A6487" s="64">
        <v>12022</v>
      </c>
      <c r="B6487" s="62">
        <v>44533</v>
      </c>
      <c r="C6487" s="63" t="s">
        <v>21482</v>
      </c>
      <c r="D6487" s="62">
        <v>44530</v>
      </c>
      <c r="E6487" s="63" t="s">
        <v>21483</v>
      </c>
      <c r="F6487" s="63" t="s">
        <v>1771</v>
      </c>
      <c r="G6487" s="63" t="s">
        <v>189</v>
      </c>
      <c r="H6487" s="63" t="s">
        <v>189</v>
      </c>
      <c r="I6487" s="63" t="s">
        <v>21</v>
      </c>
      <c r="J6487" s="63" t="s">
        <v>21484</v>
      </c>
      <c r="K6487" s="63" t="s">
        <v>19620</v>
      </c>
      <c r="L6487" s="63" t="s">
        <v>22185</v>
      </c>
      <c r="M6487" s="63" t="s">
        <v>7167</v>
      </c>
      <c r="O6487" s="62">
        <v>45635</v>
      </c>
      <c r="P6487" s="65" t="s">
        <v>21</v>
      </c>
      <c r="Q6487" s="66" t="b">
        <v>0</v>
      </c>
      <c r="R6487" s="22">
        <f t="shared" si="136"/>
        <v>1101</v>
      </c>
      <c r="S6487" s="63" t="s">
        <v>22186</v>
      </c>
    </row>
    <row r="6488" spans="1:19" ht="24">
      <c r="A6488" s="64">
        <v>12023</v>
      </c>
      <c r="B6488" s="62">
        <v>44538</v>
      </c>
      <c r="C6488" s="63" t="s">
        <v>21343</v>
      </c>
      <c r="D6488" s="62">
        <v>44537</v>
      </c>
      <c r="E6488" s="63" t="s">
        <v>21344</v>
      </c>
      <c r="F6488" s="63" t="s">
        <v>3615</v>
      </c>
      <c r="G6488" s="63" t="s">
        <v>189</v>
      </c>
      <c r="H6488" s="63" t="s">
        <v>189</v>
      </c>
      <c r="I6488" s="63" t="s">
        <v>21</v>
      </c>
      <c r="J6488" s="63" t="s">
        <v>21345</v>
      </c>
      <c r="K6488" s="63" t="s">
        <v>21184</v>
      </c>
      <c r="L6488" s="63" t="s">
        <v>21142</v>
      </c>
      <c r="M6488" s="63" t="s">
        <v>21</v>
      </c>
      <c r="O6488" s="108">
        <v>44566</v>
      </c>
      <c r="P6488" s="65" t="s">
        <v>21</v>
      </c>
      <c r="Q6488" s="66" t="b">
        <v>0</v>
      </c>
      <c r="R6488" s="22">
        <f t="shared" si="136"/>
        <v>27</v>
      </c>
      <c r="S6488" s="22" t="s">
        <v>21497</v>
      </c>
    </row>
    <row r="6489" spans="1:19">
      <c r="A6489" s="64">
        <v>12024</v>
      </c>
      <c r="B6489" s="62">
        <v>44538</v>
      </c>
      <c r="C6489" s="63" t="s">
        <v>21323</v>
      </c>
      <c r="D6489" s="62">
        <v>44536</v>
      </c>
      <c r="E6489" s="63" t="s">
        <v>21324</v>
      </c>
      <c r="F6489" s="63" t="s">
        <v>85</v>
      </c>
      <c r="G6489" s="63" t="s">
        <v>189</v>
      </c>
      <c r="H6489" s="63" t="s">
        <v>71</v>
      </c>
      <c r="I6489" s="63" t="s">
        <v>21</v>
      </c>
      <c r="J6489" s="63" t="s">
        <v>21325</v>
      </c>
      <c r="K6489" s="63" t="s">
        <v>6081</v>
      </c>
      <c r="L6489" s="63" t="s">
        <v>7167</v>
      </c>
      <c r="M6489" s="63" t="s">
        <v>21</v>
      </c>
      <c r="O6489" s="108">
        <v>44545</v>
      </c>
      <c r="P6489" s="65" t="s">
        <v>21</v>
      </c>
      <c r="Q6489" s="66" t="b">
        <v>0</v>
      </c>
      <c r="R6489" s="22">
        <f t="shared" si="136"/>
        <v>7</v>
      </c>
      <c r="S6489" s="22"/>
    </row>
    <row r="6490" spans="1:19" ht="24">
      <c r="A6490" s="64">
        <v>12026</v>
      </c>
      <c r="B6490" s="62">
        <v>44543</v>
      </c>
      <c r="C6490" s="63" t="s">
        <v>21334</v>
      </c>
      <c r="D6490" s="62">
        <v>44543</v>
      </c>
      <c r="E6490" s="63" t="s">
        <v>1928</v>
      </c>
      <c r="F6490" s="63" t="s">
        <v>1743</v>
      </c>
      <c r="G6490" s="63" t="s">
        <v>189</v>
      </c>
      <c r="H6490" s="63" t="s">
        <v>71</v>
      </c>
      <c r="I6490" s="63" t="s">
        <v>21</v>
      </c>
      <c r="J6490" s="63" t="s">
        <v>21335</v>
      </c>
      <c r="K6490" s="63" t="s">
        <v>21336</v>
      </c>
      <c r="L6490" s="63" t="s">
        <v>21243</v>
      </c>
      <c r="M6490" s="63" t="s">
        <v>21</v>
      </c>
      <c r="N6490" s="45">
        <v>44558</v>
      </c>
      <c r="O6490" s="108">
        <v>44550</v>
      </c>
      <c r="P6490" s="65" t="s">
        <v>182</v>
      </c>
      <c r="Q6490" s="66" t="b">
        <v>0</v>
      </c>
      <c r="R6490" s="22">
        <f t="shared" ref="R6490:R6521" si="137">IF(O6490=" ", " ", INT(YEARFRAC(O6490, B6490)*365))</f>
        <v>7</v>
      </c>
      <c r="S6490" s="22"/>
    </row>
    <row r="6491" spans="1:19">
      <c r="A6491" s="64">
        <v>12027</v>
      </c>
      <c r="B6491" s="62">
        <v>44546</v>
      </c>
      <c r="C6491" s="63" t="s">
        <v>21337</v>
      </c>
      <c r="D6491" s="62">
        <v>44536</v>
      </c>
      <c r="E6491" s="63" t="s">
        <v>38</v>
      </c>
      <c r="F6491" s="63" t="s">
        <v>228</v>
      </c>
      <c r="G6491" s="63" t="s">
        <v>189</v>
      </c>
      <c r="H6491" s="63" t="s">
        <v>71</v>
      </c>
      <c r="I6491" s="63" t="s">
        <v>21</v>
      </c>
      <c r="J6491" s="63" t="s">
        <v>21338</v>
      </c>
      <c r="K6491" s="63" t="s">
        <v>21339</v>
      </c>
      <c r="L6491" s="63" t="s">
        <v>7167</v>
      </c>
      <c r="M6491" s="63" t="s">
        <v>21</v>
      </c>
      <c r="N6491" s="22"/>
      <c r="O6491" s="108">
        <v>44559</v>
      </c>
      <c r="P6491" s="65" t="s">
        <v>21</v>
      </c>
      <c r="Q6491" s="66" t="b">
        <v>0</v>
      </c>
      <c r="R6491" s="22">
        <f t="shared" si="137"/>
        <v>13</v>
      </c>
      <c r="S6491" s="22"/>
    </row>
    <row r="6492" spans="1:19" ht="24">
      <c r="A6492" s="64">
        <v>12028</v>
      </c>
      <c r="B6492" s="62">
        <v>44547</v>
      </c>
      <c r="C6492" s="63" t="s">
        <v>21492</v>
      </c>
      <c r="D6492" s="62">
        <v>44546</v>
      </c>
      <c r="E6492" s="63" t="s">
        <v>21493</v>
      </c>
      <c r="F6492" s="63" t="s">
        <v>52</v>
      </c>
      <c r="G6492" s="63" t="s">
        <v>189</v>
      </c>
      <c r="H6492" s="63" t="s">
        <v>71</v>
      </c>
      <c r="I6492" s="63" t="s">
        <v>21</v>
      </c>
      <c r="J6492" s="63" t="s">
        <v>21494</v>
      </c>
      <c r="K6492" s="63" t="s">
        <v>21495</v>
      </c>
      <c r="L6492" s="63" t="s">
        <v>21243</v>
      </c>
      <c r="M6492" s="63" t="s">
        <v>21</v>
      </c>
      <c r="O6492" s="62">
        <v>45365</v>
      </c>
      <c r="P6492" s="65" t="s">
        <v>21</v>
      </c>
      <c r="Q6492" s="66" t="b">
        <v>0</v>
      </c>
      <c r="R6492" s="22">
        <f t="shared" si="137"/>
        <v>818</v>
      </c>
      <c r="S6492" s="63" t="s">
        <v>21621</v>
      </c>
    </row>
    <row r="6493" spans="1:19">
      <c r="A6493" s="64">
        <v>12029</v>
      </c>
      <c r="B6493" s="62">
        <v>44551</v>
      </c>
      <c r="C6493" s="63" t="s">
        <v>21346</v>
      </c>
      <c r="D6493" s="62">
        <v>44547</v>
      </c>
      <c r="E6493" s="63" t="s">
        <v>21347</v>
      </c>
      <c r="F6493" s="63" t="s">
        <v>149</v>
      </c>
      <c r="G6493" s="63" t="s">
        <v>189</v>
      </c>
      <c r="H6493" s="63" t="s">
        <v>71</v>
      </c>
      <c r="I6493" s="63" t="s">
        <v>21</v>
      </c>
      <c r="J6493" s="63" t="s">
        <v>21348</v>
      </c>
      <c r="K6493" s="63" t="s">
        <v>6081</v>
      </c>
      <c r="L6493" s="63" t="s">
        <v>21243</v>
      </c>
      <c r="M6493" s="63" t="s">
        <v>21</v>
      </c>
      <c r="O6493" s="108">
        <v>44567</v>
      </c>
      <c r="P6493" s="65" t="s">
        <v>21</v>
      </c>
      <c r="Q6493" s="66" t="b">
        <v>0</v>
      </c>
      <c r="R6493" s="22">
        <f t="shared" si="137"/>
        <v>15</v>
      </c>
      <c r="S6493" s="22"/>
    </row>
    <row r="6494" spans="1:19">
      <c r="A6494" s="64">
        <v>12030</v>
      </c>
      <c r="B6494" s="62">
        <v>44551</v>
      </c>
      <c r="C6494" s="63" t="s">
        <v>21531</v>
      </c>
      <c r="D6494" s="62">
        <v>44547</v>
      </c>
      <c r="E6494" s="63" t="s">
        <v>21532</v>
      </c>
      <c r="F6494" s="63" t="s">
        <v>124</v>
      </c>
      <c r="G6494" s="63" t="s">
        <v>189</v>
      </c>
      <c r="H6494" s="63" t="s">
        <v>71</v>
      </c>
      <c r="I6494" s="63" t="s">
        <v>21</v>
      </c>
      <c r="J6494" s="63" t="s">
        <v>21533</v>
      </c>
      <c r="K6494" s="63" t="s">
        <v>5248</v>
      </c>
      <c r="L6494" s="63" t="s">
        <v>21142</v>
      </c>
      <c r="M6494" s="63" t="s">
        <v>21</v>
      </c>
      <c r="O6494" s="62">
        <v>44592</v>
      </c>
      <c r="P6494" s="65" t="s">
        <v>21</v>
      </c>
      <c r="Q6494" s="66" t="b">
        <v>0</v>
      </c>
      <c r="R6494" s="22">
        <f t="shared" si="137"/>
        <v>40</v>
      </c>
      <c r="S6494" s="63" t="s">
        <v>21</v>
      </c>
    </row>
    <row r="6495" spans="1:19">
      <c r="A6495" s="64">
        <v>12031</v>
      </c>
      <c r="B6495" s="62">
        <v>44551</v>
      </c>
      <c r="C6495" s="63" t="s">
        <v>21374</v>
      </c>
      <c r="D6495" s="62">
        <v>44547</v>
      </c>
      <c r="E6495" s="63" t="s">
        <v>38</v>
      </c>
      <c r="F6495" s="63" t="s">
        <v>124</v>
      </c>
      <c r="G6495" s="63" t="s">
        <v>189</v>
      </c>
      <c r="H6495" s="63" t="s">
        <v>71</v>
      </c>
      <c r="I6495" s="63" t="s">
        <v>21</v>
      </c>
      <c r="J6495" s="63" t="s">
        <v>21375</v>
      </c>
      <c r="K6495" s="63" t="s">
        <v>6081</v>
      </c>
      <c r="L6495" s="63" t="s">
        <v>21142</v>
      </c>
      <c r="M6495" s="63" t="s">
        <v>21</v>
      </c>
      <c r="O6495" s="62">
        <v>44658</v>
      </c>
      <c r="P6495" s="65" t="s">
        <v>21</v>
      </c>
      <c r="Q6495" s="66" t="b">
        <v>0</v>
      </c>
      <c r="R6495" s="22">
        <f t="shared" si="137"/>
        <v>107</v>
      </c>
      <c r="S6495" s="63" t="s">
        <v>21</v>
      </c>
    </row>
    <row r="6496" spans="1:19" ht="24">
      <c r="A6496" s="64">
        <v>12032</v>
      </c>
      <c r="B6496" s="62">
        <v>44552</v>
      </c>
      <c r="C6496" s="63" t="s">
        <v>21534</v>
      </c>
      <c r="D6496" s="62">
        <v>44550</v>
      </c>
      <c r="E6496" s="63" t="s">
        <v>21535</v>
      </c>
      <c r="F6496" s="63" t="s">
        <v>85</v>
      </c>
      <c r="G6496" s="63" t="s">
        <v>189</v>
      </c>
      <c r="H6496" s="63" t="s">
        <v>71</v>
      </c>
      <c r="I6496" s="63" t="s">
        <v>21</v>
      </c>
      <c r="J6496" s="63" t="s">
        <v>21536</v>
      </c>
      <c r="K6496" s="63" t="s">
        <v>21537</v>
      </c>
      <c r="L6496" s="63" t="s">
        <v>21243</v>
      </c>
      <c r="M6496" s="63" t="s">
        <v>21</v>
      </c>
      <c r="O6496" s="62">
        <v>44631</v>
      </c>
      <c r="P6496" s="65" t="s">
        <v>21</v>
      </c>
      <c r="Q6496" s="66" t="b">
        <v>0</v>
      </c>
      <c r="R6496" s="22">
        <f t="shared" si="137"/>
        <v>80</v>
      </c>
      <c r="S6496" s="63" t="s">
        <v>21</v>
      </c>
    </row>
    <row r="6497" spans="1:20" ht="24">
      <c r="A6497" s="64">
        <v>12033</v>
      </c>
      <c r="B6497" s="62">
        <v>44552</v>
      </c>
      <c r="C6497" s="63" t="s">
        <v>21538</v>
      </c>
      <c r="D6497" s="62">
        <v>44550</v>
      </c>
      <c r="E6497" s="63" t="s">
        <v>21539</v>
      </c>
      <c r="F6497" s="63" t="s">
        <v>145</v>
      </c>
      <c r="G6497" s="63" t="s">
        <v>189</v>
      </c>
      <c r="H6497" s="63" t="s">
        <v>71</v>
      </c>
      <c r="I6497" s="63" t="s">
        <v>21</v>
      </c>
      <c r="J6497" s="63" t="s">
        <v>21536</v>
      </c>
      <c r="K6497" s="63" t="s">
        <v>21540</v>
      </c>
      <c r="L6497" s="63" t="s">
        <v>21243</v>
      </c>
      <c r="M6497" s="63" t="s">
        <v>21</v>
      </c>
      <c r="O6497" s="62">
        <v>44606</v>
      </c>
      <c r="P6497" s="65" t="s">
        <v>21</v>
      </c>
      <c r="Q6497" s="66" t="b">
        <v>0</v>
      </c>
      <c r="R6497" s="22">
        <f t="shared" si="137"/>
        <v>52</v>
      </c>
      <c r="S6497" s="63" t="s">
        <v>21</v>
      </c>
    </row>
    <row r="6498" spans="1:20" ht="24">
      <c r="A6498" s="64">
        <v>12034</v>
      </c>
      <c r="B6498" s="62">
        <v>44552</v>
      </c>
      <c r="C6498" s="63" t="s">
        <v>21541</v>
      </c>
      <c r="D6498" s="62">
        <v>44550</v>
      </c>
      <c r="E6498" s="63" t="s">
        <v>21542</v>
      </c>
      <c r="F6498" s="63" t="s">
        <v>16499</v>
      </c>
      <c r="G6498" s="63" t="s">
        <v>189</v>
      </c>
      <c r="H6498" s="63" t="s">
        <v>71</v>
      </c>
      <c r="I6498" s="63" t="s">
        <v>21</v>
      </c>
      <c r="J6498" s="63" t="s">
        <v>21536</v>
      </c>
      <c r="K6498" s="63" t="s">
        <v>21543</v>
      </c>
      <c r="L6498" s="63" t="s">
        <v>21243</v>
      </c>
      <c r="M6498" s="63" t="s">
        <v>21</v>
      </c>
      <c r="O6498" s="62">
        <v>44631</v>
      </c>
      <c r="P6498" s="65" t="s">
        <v>21</v>
      </c>
      <c r="Q6498" s="66" t="b">
        <v>0</v>
      </c>
      <c r="R6498" s="22">
        <f t="shared" si="137"/>
        <v>80</v>
      </c>
      <c r="S6498" s="63" t="s">
        <v>21</v>
      </c>
    </row>
    <row r="6499" spans="1:20">
      <c r="A6499" s="64">
        <v>12035</v>
      </c>
      <c r="B6499" s="62">
        <v>44557</v>
      </c>
      <c r="C6499" s="63" t="s">
        <v>21544</v>
      </c>
      <c r="D6499" s="62">
        <v>44553</v>
      </c>
      <c r="E6499" s="63" t="s">
        <v>21545</v>
      </c>
      <c r="F6499" s="63" t="s">
        <v>10730</v>
      </c>
      <c r="G6499" s="63" t="s">
        <v>189</v>
      </c>
      <c r="H6499" s="63" t="s">
        <v>189</v>
      </c>
      <c r="I6499" s="63" t="s">
        <v>21</v>
      </c>
      <c r="J6499" s="63" t="s">
        <v>21546</v>
      </c>
      <c r="K6499" s="63" t="s">
        <v>6081</v>
      </c>
      <c r="L6499" s="63" t="s">
        <v>21142</v>
      </c>
      <c r="M6499" s="63" t="s">
        <v>21</v>
      </c>
      <c r="O6499" s="62">
        <v>44693</v>
      </c>
      <c r="P6499" s="65" t="s">
        <v>21</v>
      </c>
      <c r="Q6499" s="66" t="b">
        <v>0</v>
      </c>
      <c r="R6499" s="22">
        <f t="shared" si="137"/>
        <v>136</v>
      </c>
      <c r="S6499" s="63" t="s">
        <v>21</v>
      </c>
    </row>
    <row r="6500" spans="1:20">
      <c r="A6500" s="64">
        <v>12036</v>
      </c>
      <c r="B6500" s="62">
        <v>44559</v>
      </c>
      <c r="C6500" s="63" t="s">
        <v>21355</v>
      </c>
      <c r="D6500" s="62">
        <v>44557</v>
      </c>
      <c r="E6500" s="63" t="s">
        <v>1928</v>
      </c>
      <c r="F6500" s="63" t="s">
        <v>1743</v>
      </c>
      <c r="G6500" s="63" t="s">
        <v>189</v>
      </c>
      <c r="H6500" s="63" t="s">
        <v>71</v>
      </c>
      <c r="I6500" s="63" t="s">
        <v>21</v>
      </c>
      <c r="J6500" s="63" t="s">
        <v>21356</v>
      </c>
      <c r="K6500" s="63" t="s">
        <v>21357</v>
      </c>
      <c r="L6500" s="63" t="s">
        <v>21243</v>
      </c>
      <c r="M6500" s="63" t="s">
        <v>21</v>
      </c>
      <c r="N6500" s="45">
        <v>44572</v>
      </c>
      <c r="O6500" s="108">
        <v>44568</v>
      </c>
      <c r="P6500" s="65" t="s">
        <v>21</v>
      </c>
      <c r="Q6500" s="66" t="b">
        <v>0</v>
      </c>
      <c r="R6500" s="22">
        <f t="shared" si="137"/>
        <v>8</v>
      </c>
      <c r="S6500" s="22"/>
    </row>
    <row r="6501" spans="1:20" ht="48">
      <c r="A6501" s="64">
        <v>12037</v>
      </c>
      <c r="B6501" s="62">
        <v>44564</v>
      </c>
      <c r="C6501" s="63" t="s">
        <v>21496</v>
      </c>
      <c r="D6501" s="62">
        <v>44559</v>
      </c>
      <c r="E6501" s="63" t="s">
        <v>21497</v>
      </c>
      <c r="F6501" s="63" t="s">
        <v>3615</v>
      </c>
      <c r="G6501" s="63" t="s">
        <v>189</v>
      </c>
      <c r="H6501" s="63" t="s">
        <v>189</v>
      </c>
      <c r="I6501" s="63" t="s">
        <v>21</v>
      </c>
      <c r="J6501" s="63" t="s">
        <v>21498</v>
      </c>
      <c r="K6501" s="63" t="s">
        <v>21499</v>
      </c>
      <c r="L6501" s="63" t="s">
        <v>21243</v>
      </c>
      <c r="M6501" s="63" t="s">
        <v>7167</v>
      </c>
      <c r="O6501" s="62">
        <v>45637</v>
      </c>
      <c r="P6501" s="65" t="s">
        <v>21</v>
      </c>
      <c r="Q6501" s="66" t="b">
        <v>0</v>
      </c>
      <c r="R6501" s="22">
        <f t="shared" si="137"/>
        <v>1072</v>
      </c>
      <c r="S6501" s="63" t="s">
        <v>22187</v>
      </c>
    </row>
    <row r="6502" spans="1:20">
      <c r="A6502" s="64">
        <v>12038</v>
      </c>
      <c r="B6502" s="62">
        <v>44564</v>
      </c>
      <c r="C6502" s="63" t="s">
        <v>21547</v>
      </c>
      <c r="D6502" s="62">
        <v>44560</v>
      </c>
      <c r="E6502" s="63" t="s">
        <v>21548</v>
      </c>
      <c r="F6502" s="63" t="s">
        <v>27</v>
      </c>
      <c r="G6502" s="63" t="s">
        <v>189</v>
      </c>
      <c r="H6502" s="63" t="s">
        <v>71</v>
      </c>
      <c r="I6502" s="63" t="s">
        <v>21</v>
      </c>
      <c r="J6502" s="63" t="s">
        <v>21549</v>
      </c>
      <c r="K6502" s="63" t="s">
        <v>6081</v>
      </c>
      <c r="L6502" s="63" t="s">
        <v>21142</v>
      </c>
      <c r="M6502" s="63" t="s">
        <v>21</v>
      </c>
      <c r="O6502" s="62">
        <v>44636</v>
      </c>
      <c r="P6502" s="65" t="s">
        <v>21</v>
      </c>
      <c r="Q6502" s="66" t="b">
        <v>0</v>
      </c>
      <c r="R6502" s="22">
        <f t="shared" si="137"/>
        <v>74</v>
      </c>
      <c r="S6502" s="63" t="s">
        <v>21</v>
      </c>
    </row>
    <row r="6503" spans="1:20">
      <c r="A6503" s="64">
        <v>12039</v>
      </c>
      <c r="B6503" s="62">
        <v>44564</v>
      </c>
      <c r="C6503" s="63" t="s">
        <v>21349</v>
      </c>
      <c r="D6503" s="62">
        <v>44560</v>
      </c>
      <c r="E6503" s="63" t="s">
        <v>38</v>
      </c>
      <c r="F6503" s="63" t="s">
        <v>1743</v>
      </c>
      <c r="G6503" s="63" t="s">
        <v>189</v>
      </c>
      <c r="H6503" s="63" t="s">
        <v>71</v>
      </c>
      <c r="I6503" s="63" t="s">
        <v>21</v>
      </c>
      <c r="J6503" s="63" t="s">
        <v>21350</v>
      </c>
      <c r="K6503" s="63" t="s">
        <v>21351</v>
      </c>
      <c r="L6503" s="63" t="s">
        <v>21243</v>
      </c>
      <c r="M6503" s="113" t="s">
        <v>21</v>
      </c>
      <c r="O6503" s="108">
        <v>44568</v>
      </c>
      <c r="P6503" s="65" t="s">
        <v>21</v>
      </c>
      <c r="Q6503" s="66" t="b">
        <v>0</v>
      </c>
      <c r="R6503" s="22">
        <f t="shared" si="137"/>
        <v>4</v>
      </c>
      <c r="S6503" s="22"/>
    </row>
    <row r="6504" spans="1:20">
      <c r="A6504" s="64">
        <v>12040</v>
      </c>
      <c r="B6504" s="62">
        <v>44564</v>
      </c>
      <c r="C6504" s="63" t="s">
        <v>21556</v>
      </c>
      <c r="D6504" s="62">
        <v>44564</v>
      </c>
      <c r="E6504" s="63" t="s">
        <v>1928</v>
      </c>
      <c r="F6504" s="63" t="s">
        <v>1743</v>
      </c>
      <c r="G6504" s="63" t="s">
        <v>189</v>
      </c>
      <c r="H6504" s="63" t="s">
        <v>71</v>
      </c>
      <c r="I6504" s="63" t="s">
        <v>21</v>
      </c>
      <c r="J6504" s="63" t="s">
        <v>21557</v>
      </c>
      <c r="K6504" s="63" t="s">
        <v>21558</v>
      </c>
      <c r="L6504" s="63" t="s">
        <v>4282</v>
      </c>
      <c r="M6504" s="63" t="s">
        <v>21</v>
      </c>
      <c r="N6504" s="45">
        <v>44579</v>
      </c>
      <c r="O6504" s="62">
        <v>44579</v>
      </c>
      <c r="P6504" s="65" t="s">
        <v>21</v>
      </c>
      <c r="Q6504" s="66" t="b">
        <v>0</v>
      </c>
      <c r="R6504" s="22">
        <f t="shared" si="137"/>
        <v>15</v>
      </c>
      <c r="S6504" s="63" t="s">
        <v>21</v>
      </c>
    </row>
    <row r="6505" spans="1:20">
      <c r="A6505" s="64">
        <v>12041</v>
      </c>
      <c r="B6505" s="62">
        <v>44566</v>
      </c>
      <c r="C6505" s="63" t="s">
        <v>21550</v>
      </c>
      <c r="D6505" s="62">
        <v>44565</v>
      </c>
      <c r="E6505" s="63" t="s">
        <v>21551</v>
      </c>
      <c r="F6505" s="63" t="s">
        <v>21432</v>
      </c>
      <c r="G6505" s="63" t="s">
        <v>189</v>
      </c>
      <c r="H6505" s="63" t="s">
        <v>212</v>
      </c>
      <c r="I6505" s="63" t="s">
        <v>21</v>
      </c>
      <c r="J6505" s="63" t="s">
        <v>21552</v>
      </c>
      <c r="K6505" s="63" t="s">
        <v>6081</v>
      </c>
      <c r="L6505" s="63" t="s">
        <v>21243</v>
      </c>
      <c r="M6505" s="63" t="s">
        <v>21</v>
      </c>
      <c r="O6505" s="62">
        <v>44596</v>
      </c>
      <c r="P6505" s="65" t="s">
        <v>21</v>
      </c>
      <c r="Q6505" s="66" t="b">
        <v>0</v>
      </c>
      <c r="R6505" s="22">
        <f t="shared" si="137"/>
        <v>29</v>
      </c>
      <c r="S6505" s="63" t="s">
        <v>21</v>
      </c>
    </row>
    <row r="6506" spans="1:20">
      <c r="A6506" s="64">
        <v>12042</v>
      </c>
      <c r="B6506" s="62">
        <v>44567</v>
      </c>
      <c r="C6506" s="63" t="s">
        <v>21352</v>
      </c>
      <c r="D6506" s="62">
        <v>44567</v>
      </c>
      <c r="E6506" s="63" t="s">
        <v>38</v>
      </c>
      <c r="F6506" s="63" t="s">
        <v>1743</v>
      </c>
      <c r="G6506" s="63" t="s">
        <v>189</v>
      </c>
      <c r="H6506" s="63" t="s">
        <v>71</v>
      </c>
      <c r="I6506" s="63" t="s">
        <v>21</v>
      </c>
      <c r="J6506" s="63" t="s">
        <v>21353</v>
      </c>
      <c r="K6506" s="63" t="s">
        <v>21354</v>
      </c>
      <c r="L6506" s="63" t="s">
        <v>7167</v>
      </c>
      <c r="M6506" s="63" t="s">
        <v>21</v>
      </c>
      <c r="N6506" s="22"/>
      <c r="O6506" s="108">
        <v>44568</v>
      </c>
      <c r="P6506" s="65" t="s">
        <v>21</v>
      </c>
      <c r="Q6506" s="66" t="b">
        <v>0</v>
      </c>
      <c r="R6506" s="22">
        <f t="shared" si="137"/>
        <v>1</v>
      </c>
      <c r="S6506" s="22"/>
    </row>
    <row r="6507" spans="1:20" ht="24">
      <c r="A6507" s="64">
        <v>12043</v>
      </c>
      <c r="B6507" s="62">
        <v>44571</v>
      </c>
      <c r="C6507" s="63" t="s">
        <v>21500</v>
      </c>
      <c r="D6507" s="62">
        <v>44568</v>
      </c>
      <c r="E6507" s="63" t="s">
        <v>21501</v>
      </c>
      <c r="F6507" s="63" t="s">
        <v>70</v>
      </c>
      <c r="G6507" s="63" t="s">
        <v>189</v>
      </c>
      <c r="H6507" s="63" t="s">
        <v>71</v>
      </c>
      <c r="I6507" s="63" t="s">
        <v>21</v>
      </c>
      <c r="J6507" s="63" t="s">
        <v>21502</v>
      </c>
      <c r="K6507" s="63" t="s">
        <v>21503</v>
      </c>
      <c r="L6507" s="63" t="s">
        <v>21243</v>
      </c>
      <c r="M6507" s="63" t="s">
        <v>21</v>
      </c>
      <c r="O6507" s="62">
        <v>45418</v>
      </c>
      <c r="P6507" s="65" t="s">
        <v>21</v>
      </c>
      <c r="Q6507" s="66" t="b">
        <v>0</v>
      </c>
      <c r="R6507" s="22">
        <f t="shared" si="137"/>
        <v>847</v>
      </c>
      <c r="S6507" s="63" t="s">
        <v>21621</v>
      </c>
    </row>
    <row r="6508" spans="1:20" ht="24">
      <c r="A6508" s="64">
        <v>12044</v>
      </c>
      <c r="B6508" s="62">
        <v>44574</v>
      </c>
      <c r="C6508" s="63" t="s">
        <v>21059</v>
      </c>
      <c r="D6508" s="62">
        <v>44557</v>
      </c>
      <c r="E6508" s="63" t="s">
        <v>21553</v>
      </c>
      <c r="F6508" s="63" t="s">
        <v>124</v>
      </c>
      <c r="G6508" s="63" t="s">
        <v>189</v>
      </c>
      <c r="H6508" s="63" t="s">
        <v>71</v>
      </c>
      <c r="I6508" s="63" t="s">
        <v>21</v>
      </c>
      <c r="J6508" s="63" t="s">
        <v>21554</v>
      </c>
      <c r="K6508" s="63" t="s">
        <v>21555</v>
      </c>
      <c r="L6508" s="63" t="s">
        <v>21142</v>
      </c>
      <c r="M6508" s="63" t="s">
        <v>21</v>
      </c>
      <c r="O6508" s="62">
        <v>44617</v>
      </c>
      <c r="P6508" s="65" t="s">
        <v>21</v>
      </c>
      <c r="Q6508" s="66" t="b">
        <v>0</v>
      </c>
      <c r="R6508" s="22">
        <f t="shared" si="137"/>
        <v>42</v>
      </c>
      <c r="S6508" s="63" t="s">
        <v>21</v>
      </c>
    </row>
    <row r="6509" spans="1:20">
      <c r="A6509" s="64">
        <v>12045</v>
      </c>
      <c r="B6509" s="62">
        <v>44574</v>
      </c>
      <c r="C6509" s="63" t="s">
        <v>21062</v>
      </c>
      <c r="D6509" s="62">
        <v>44568</v>
      </c>
      <c r="E6509" s="63" t="s">
        <v>38</v>
      </c>
      <c r="F6509" s="63" t="s">
        <v>70</v>
      </c>
      <c r="G6509" s="63" t="s">
        <v>189</v>
      </c>
      <c r="H6509" s="63" t="s">
        <v>71</v>
      </c>
      <c r="I6509" s="63" t="s">
        <v>21</v>
      </c>
      <c r="J6509" s="63" t="s">
        <v>21376</v>
      </c>
      <c r="K6509" s="63" t="s">
        <v>21377</v>
      </c>
      <c r="L6509" s="63" t="s">
        <v>21243</v>
      </c>
      <c r="M6509" s="63"/>
      <c r="N6509" s="109"/>
      <c r="O6509" s="62">
        <v>44575</v>
      </c>
      <c r="P6509" s="65" t="s">
        <v>21</v>
      </c>
      <c r="Q6509" s="66" t="b">
        <v>0</v>
      </c>
      <c r="R6509" s="22">
        <f t="shared" si="137"/>
        <v>1</v>
      </c>
      <c r="S6509" s="63" t="s">
        <v>21</v>
      </c>
    </row>
    <row r="6510" spans="1:20">
      <c r="A6510" s="64">
        <v>12047</v>
      </c>
      <c r="B6510" s="62">
        <v>44575</v>
      </c>
      <c r="C6510" s="63" t="s">
        <v>21718</v>
      </c>
      <c r="D6510" s="62">
        <v>44574</v>
      </c>
      <c r="E6510" s="63" t="s">
        <v>21719</v>
      </c>
      <c r="F6510" s="63" t="s">
        <v>14118</v>
      </c>
      <c r="G6510" s="63" t="s">
        <v>189</v>
      </c>
      <c r="H6510" s="63" t="s">
        <v>71</v>
      </c>
      <c r="I6510" s="63" t="s">
        <v>21</v>
      </c>
      <c r="J6510" s="63" t="s">
        <v>21720</v>
      </c>
      <c r="K6510" s="63" t="s">
        <v>6081</v>
      </c>
      <c r="L6510" s="63" t="s">
        <v>21243</v>
      </c>
      <c r="M6510" s="63" t="s">
        <v>21</v>
      </c>
      <c r="O6510" s="62">
        <v>44589</v>
      </c>
      <c r="P6510" s="65" t="s">
        <v>21</v>
      </c>
      <c r="Q6510" s="66" t="b">
        <v>0</v>
      </c>
      <c r="R6510" s="22">
        <f t="shared" si="137"/>
        <v>14</v>
      </c>
      <c r="S6510" s="63" t="s">
        <v>21</v>
      </c>
      <c r="T6510" s="22"/>
    </row>
    <row r="6511" spans="1:20">
      <c r="A6511" s="64">
        <v>12048</v>
      </c>
      <c r="B6511" s="62">
        <v>44575</v>
      </c>
      <c r="C6511" s="63" t="s">
        <v>21721</v>
      </c>
      <c r="D6511" s="62">
        <v>44573</v>
      </c>
      <c r="E6511" s="63" t="s">
        <v>38</v>
      </c>
      <c r="F6511" s="63" t="s">
        <v>1743</v>
      </c>
      <c r="G6511" s="63" t="s">
        <v>189</v>
      </c>
      <c r="H6511" s="63" t="s">
        <v>71</v>
      </c>
      <c r="I6511" s="63" t="s">
        <v>21</v>
      </c>
      <c r="J6511" s="63" t="s">
        <v>21722</v>
      </c>
      <c r="K6511" s="63" t="s">
        <v>21723</v>
      </c>
      <c r="L6511" s="63" t="s">
        <v>21142</v>
      </c>
      <c r="M6511" s="63" t="s">
        <v>21</v>
      </c>
      <c r="O6511" s="62">
        <v>44580</v>
      </c>
      <c r="P6511" s="65" t="s">
        <v>21</v>
      </c>
      <c r="Q6511" s="66" t="b">
        <v>0</v>
      </c>
      <c r="R6511" s="22">
        <f t="shared" si="137"/>
        <v>5</v>
      </c>
      <c r="S6511" s="63" t="s">
        <v>21</v>
      </c>
      <c r="T6511" s="22"/>
    </row>
    <row r="6512" spans="1:20">
      <c r="A6512" s="64">
        <v>12049</v>
      </c>
      <c r="B6512" s="62">
        <v>44575</v>
      </c>
      <c r="C6512" s="63" t="s">
        <v>21724</v>
      </c>
      <c r="D6512" s="62">
        <v>44571</v>
      </c>
      <c r="E6512" s="63" t="s">
        <v>1928</v>
      </c>
      <c r="F6512" s="63" t="s">
        <v>1743</v>
      </c>
      <c r="G6512" s="63" t="s">
        <v>189</v>
      </c>
      <c r="H6512" s="63" t="s">
        <v>71</v>
      </c>
      <c r="I6512" s="63" t="s">
        <v>21</v>
      </c>
      <c r="J6512" s="63" t="s">
        <v>21725</v>
      </c>
      <c r="K6512" s="63" t="s">
        <v>21726</v>
      </c>
      <c r="L6512" s="63" t="s">
        <v>21243</v>
      </c>
      <c r="M6512" s="63" t="s">
        <v>21</v>
      </c>
      <c r="N6512" s="45">
        <v>44592</v>
      </c>
      <c r="O6512" s="62">
        <v>44589</v>
      </c>
      <c r="P6512" s="65" t="s">
        <v>21</v>
      </c>
      <c r="Q6512" s="66" t="b">
        <v>0</v>
      </c>
      <c r="R6512" s="22">
        <f t="shared" si="137"/>
        <v>14</v>
      </c>
      <c r="S6512" s="63" t="s">
        <v>21</v>
      </c>
      <c r="T6512" s="22"/>
    </row>
    <row r="6513" spans="1:20" ht="24">
      <c r="A6513" s="64">
        <v>12050</v>
      </c>
      <c r="B6513" s="62">
        <v>44580</v>
      </c>
      <c r="C6513" s="63" t="s">
        <v>21727</v>
      </c>
      <c r="D6513" s="62">
        <v>44565</v>
      </c>
      <c r="E6513" s="63" t="s">
        <v>21728</v>
      </c>
      <c r="F6513" s="63" t="s">
        <v>124</v>
      </c>
      <c r="G6513" s="63" t="s">
        <v>189</v>
      </c>
      <c r="H6513" s="63" t="s">
        <v>71</v>
      </c>
      <c r="I6513" s="63" t="s">
        <v>21</v>
      </c>
      <c r="J6513" s="63" t="s">
        <v>21729</v>
      </c>
      <c r="K6513" s="63" t="s">
        <v>6081</v>
      </c>
      <c r="L6513" s="63" t="s">
        <v>21142</v>
      </c>
      <c r="M6513" s="63" t="s">
        <v>21</v>
      </c>
      <c r="N6513" s="22"/>
      <c r="O6513" s="62">
        <v>44658</v>
      </c>
      <c r="P6513" s="65" t="s">
        <v>21</v>
      </c>
      <c r="Q6513" s="66" t="b">
        <v>0</v>
      </c>
      <c r="R6513" s="22">
        <f t="shared" si="137"/>
        <v>79</v>
      </c>
      <c r="S6513" s="63" t="s">
        <v>21609</v>
      </c>
      <c r="T6513" s="22"/>
    </row>
    <row r="6514" spans="1:20">
      <c r="A6514" s="64">
        <v>12051</v>
      </c>
      <c r="B6514" s="62">
        <v>44580</v>
      </c>
      <c r="C6514" s="63" t="s">
        <v>21730</v>
      </c>
      <c r="D6514" s="62">
        <v>44565</v>
      </c>
      <c r="E6514" s="63" t="s">
        <v>21731</v>
      </c>
      <c r="F6514" s="63" t="s">
        <v>21732</v>
      </c>
      <c r="G6514" s="63" t="s">
        <v>189</v>
      </c>
      <c r="H6514" s="63" t="s">
        <v>189</v>
      </c>
      <c r="I6514" s="63" t="s">
        <v>21</v>
      </c>
      <c r="J6514" s="63" t="s">
        <v>21729</v>
      </c>
      <c r="K6514" s="63" t="s">
        <v>6081</v>
      </c>
      <c r="L6514" s="63" t="s">
        <v>21142</v>
      </c>
      <c r="M6514" s="63" t="s">
        <v>21</v>
      </c>
      <c r="O6514" s="62">
        <v>44677</v>
      </c>
      <c r="P6514" s="65" t="s">
        <v>21</v>
      </c>
      <c r="Q6514" s="66" t="b">
        <v>0</v>
      </c>
      <c r="R6514" s="22">
        <f t="shared" si="137"/>
        <v>98</v>
      </c>
      <c r="S6514" s="63" t="s">
        <v>21</v>
      </c>
      <c r="T6514" s="22"/>
    </row>
    <row r="6515" spans="1:20" ht="24">
      <c r="A6515" s="64">
        <v>12052</v>
      </c>
      <c r="B6515" s="62">
        <v>44582</v>
      </c>
      <c r="C6515" s="63" t="s">
        <v>21733</v>
      </c>
      <c r="D6515" s="62">
        <v>44580</v>
      </c>
      <c r="E6515" s="63" t="s">
        <v>1928</v>
      </c>
      <c r="F6515" s="63" t="s">
        <v>1743</v>
      </c>
      <c r="G6515" s="63" t="s">
        <v>189</v>
      </c>
      <c r="H6515" s="63" t="s">
        <v>71</v>
      </c>
      <c r="I6515" s="63" t="s">
        <v>21</v>
      </c>
      <c r="J6515" s="63" t="s">
        <v>21734</v>
      </c>
      <c r="K6515" s="63" t="s">
        <v>21735</v>
      </c>
      <c r="L6515" s="63" t="s">
        <v>21243</v>
      </c>
      <c r="M6515" s="63" t="s">
        <v>21</v>
      </c>
      <c r="N6515" s="45">
        <v>44594</v>
      </c>
      <c r="O6515" s="62">
        <v>44594</v>
      </c>
      <c r="P6515" s="65" t="s">
        <v>21</v>
      </c>
      <c r="Q6515" s="66" t="b">
        <v>0</v>
      </c>
      <c r="R6515" s="22">
        <f t="shared" si="137"/>
        <v>11</v>
      </c>
      <c r="S6515" s="63" t="s">
        <v>21</v>
      </c>
      <c r="T6515" s="22"/>
    </row>
    <row r="6516" spans="1:20">
      <c r="A6516" s="64">
        <v>12053</v>
      </c>
      <c r="B6516" s="62">
        <v>44586</v>
      </c>
      <c r="C6516" s="63" t="s">
        <v>21736</v>
      </c>
      <c r="D6516" s="62">
        <v>44580</v>
      </c>
      <c r="E6516" s="63" t="s">
        <v>21737</v>
      </c>
      <c r="F6516" s="63" t="s">
        <v>94</v>
      </c>
      <c r="G6516" s="63" t="s">
        <v>189</v>
      </c>
      <c r="H6516" s="63" t="s">
        <v>71</v>
      </c>
      <c r="I6516" s="63" t="s">
        <v>21</v>
      </c>
      <c r="J6516" s="63" t="s">
        <v>21738</v>
      </c>
      <c r="K6516" s="63" t="s">
        <v>21739</v>
      </c>
      <c r="L6516" s="63" t="s">
        <v>21142</v>
      </c>
      <c r="M6516" s="63" t="s">
        <v>21</v>
      </c>
      <c r="O6516" s="62">
        <v>44803</v>
      </c>
      <c r="P6516" s="65" t="s">
        <v>21</v>
      </c>
      <c r="Q6516" s="66" t="b">
        <v>0</v>
      </c>
      <c r="R6516" s="22">
        <f t="shared" si="137"/>
        <v>217</v>
      </c>
      <c r="S6516" s="63" t="s">
        <v>21</v>
      </c>
      <c r="T6516" s="22"/>
    </row>
    <row r="6517" spans="1:20">
      <c r="A6517" s="64">
        <v>12054</v>
      </c>
      <c r="B6517" s="62">
        <v>44588</v>
      </c>
      <c r="C6517" s="63" t="s">
        <v>21740</v>
      </c>
      <c r="D6517" s="62">
        <v>44585</v>
      </c>
      <c r="E6517" s="63" t="s">
        <v>21741</v>
      </c>
      <c r="F6517" s="63" t="s">
        <v>104</v>
      </c>
      <c r="G6517" s="63" t="s">
        <v>189</v>
      </c>
      <c r="H6517" s="63" t="s">
        <v>71</v>
      </c>
      <c r="I6517" s="63" t="s">
        <v>21</v>
      </c>
      <c r="J6517" s="63" t="s">
        <v>21742</v>
      </c>
      <c r="K6517" s="63" t="s">
        <v>21743</v>
      </c>
      <c r="L6517" s="63" t="s">
        <v>21142</v>
      </c>
      <c r="M6517" s="63" t="s">
        <v>21</v>
      </c>
      <c r="O6517" s="62">
        <v>44608</v>
      </c>
      <c r="P6517" s="65" t="s">
        <v>21</v>
      </c>
      <c r="Q6517" s="66" t="b">
        <v>0</v>
      </c>
      <c r="R6517" s="22">
        <f t="shared" si="137"/>
        <v>19</v>
      </c>
      <c r="S6517" s="63" t="s">
        <v>21</v>
      </c>
      <c r="T6517" s="22"/>
    </row>
    <row r="6518" spans="1:20">
      <c r="A6518" s="64">
        <v>12055</v>
      </c>
      <c r="B6518" s="62">
        <v>44588</v>
      </c>
      <c r="C6518" s="63" t="s">
        <v>21744</v>
      </c>
      <c r="D6518" s="62">
        <v>44586</v>
      </c>
      <c r="E6518" s="63" t="s">
        <v>21745</v>
      </c>
      <c r="F6518" s="63" t="s">
        <v>27</v>
      </c>
      <c r="G6518" s="63" t="s">
        <v>189</v>
      </c>
      <c r="H6518" s="63" t="s">
        <v>71</v>
      </c>
      <c r="I6518" s="63" t="s">
        <v>21</v>
      </c>
      <c r="J6518" s="63" t="s">
        <v>21746</v>
      </c>
      <c r="K6518" s="63" t="s">
        <v>21747</v>
      </c>
      <c r="L6518" s="63" t="s">
        <v>21142</v>
      </c>
      <c r="M6518" s="63" t="s">
        <v>21</v>
      </c>
      <c r="O6518" s="62">
        <v>44631</v>
      </c>
      <c r="P6518" s="65" t="s">
        <v>21</v>
      </c>
      <c r="Q6518" s="66" t="b">
        <v>0</v>
      </c>
      <c r="R6518" s="22">
        <f t="shared" si="137"/>
        <v>44</v>
      </c>
      <c r="S6518" s="63" t="s">
        <v>21</v>
      </c>
      <c r="T6518" s="22"/>
    </row>
    <row r="6519" spans="1:20">
      <c r="A6519" s="64">
        <v>12057</v>
      </c>
      <c r="B6519" s="62">
        <v>44589</v>
      </c>
      <c r="C6519" s="63" t="s">
        <v>21748</v>
      </c>
      <c r="D6519" s="62">
        <v>44573</v>
      </c>
      <c r="E6519" s="63" t="s">
        <v>38</v>
      </c>
      <c r="F6519" s="63" t="s">
        <v>228</v>
      </c>
      <c r="G6519" s="63" t="s">
        <v>189</v>
      </c>
      <c r="H6519" s="63" t="s">
        <v>566</v>
      </c>
      <c r="I6519" s="63" t="s">
        <v>21</v>
      </c>
      <c r="J6519" s="63" t="s">
        <v>21749</v>
      </c>
      <c r="K6519" s="63" t="s">
        <v>21750</v>
      </c>
      <c r="L6519" s="63" t="s">
        <v>21142</v>
      </c>
      <c r="M6519" s="63" t="s">
        <v>21243</v>
      </c>
      <c r="O6519" s="62">
        <v>44615</v>
      </c>
      <c r="P6519" s="65" t="s">
        <v>21</v>
      </c>
      <c r="Q6519" s="66" t="b">
        <v>0</v>
      </c>
      <c r="R6519" s="22">
        <f t="shared" si="137"/>
        <v>25</v>
      </c>
      <c r="S6519" s="63" t="s">
        <v>21</v>
      </c>
      <c r="T6519" s="22"/>
    </row>
    <row r="6520" spans="1:20">
      <c r="A6520" s="64">
        <v>12058</v>
      </c>
      <c r="B6520" s="62">
        <v>44593</v>
      </c>
      <c r="C6520" s="63" t="s">
        <v>21751</v>
      </c>
      <c r="D6520" s="62">
        <v>44593</v>
      </c>
      <c r="E6520" s="63" t="s">
        <v>1928</v>
      </c>
      <c r="F6520" s="63" t="s">
        <v>1743</v>
      </c>
      <c r="G6520" s="63" t="s">
        <v>189</v>
      </c>
      <c r="H6520" s="63" t="s">
        <v>71</v>
      </c>
      <c r="I6520" s="63" t="s">
        <v>21</v>
      </c>
      <c r="J6520" s="63" t="s">
        <v>21752</v>
      </c>
      <c r="K6520" s="63" t="s">
        <v>21753</v>
      </c>
      <c r="L6520" s="63" t="s">
        <v>21142</v>
      </c>
      <c r="M6520" s="63" t="s">
        <v>21</v>
      </c>
      <c r="N6520" s="45">
        <v>44607</v>
      </c>
      <c r="O6520" s="62">
        <v>44607</v>
      </c>
      <c r="P6520" s="65" t="s">
        <v>21</v>
      </c>
      <c r="Q6520" s="66" t="b">
        <v>0</v>
      </c>
      <c r="R6520" s="22">
        <f t="shared" si="137"/>
        <v>14</v>
      </c>
      <c r="S6520" s="63" t="s">
        <v>21</v>
      </c>
      <c r="T6520" s="22"/>
    </row>
    <row r="6521" spans="1:20" ht="24">
      <c r="A6521" s="64">
        <v>12059</v>
      </c>
      <c r="B6521" s="62">
        <v>44593</v>
      </c>
      <c r="C6521" s="63" t="s">
        <v>21754</v>
      </c>
      <c r="D6521" s="62">
        <v>44589</v>
      </c>
      <c r="E6521" s="63" t="s">
        <v>21755</v>
      </c>
      <c r="F6521" s="63" t="s">
        <v>70</v>
      </c>
      <c r="G6521" s="63" t="s">
        <v>189</v>
      </c>
      <c r="H6521" s="63" t="s">
        <v>71</v>
      </c>
      <c r="I6521" s="63" t="s">
        <v>21</v>
      </c>
      <c r="J6521" s="63" t="s">
        <v>21756</v>
      </c>
      <c r="K6521" s="63" t="s">
        <v>6081</v>
      </c>
      <c r="L6521" s="63" t="s">
        <v>21243</v>
      </c>
      <c r="M6521" s="63" t="s">
        <v>21</v>
      </c>
      <c r="N6521" s="22"/>
      <c r="O6521" s="62">
        <v>44623</v>
      </c>
      <c r="P6521" s="65" t="s">
        <v>21</v>
      </c>
      <c r="Q6521" s="66" t="b">
        <v>0</v>
      </c>
      <c r="R6521" s="22">
        <f t="shared" si="137"/>
        <v>32</v>
      </c>
      <c r="S6521" s="63" t="s">
        <v>21</v>
      </c>
      <c r="T6521" s="22"/>
    </row>
    <row r="6522" spans="1:20">
      <c r="A6522" s="64">
        <v>12060</v>
      </c>
      <c r="B6522" s="62">
        <v>44593</v>
      </c>
      <c r="C6522" s="63" t="s">
        <v>21757</v>
      </c>
      <c r="D6522" s="62">
        <v>44589</v>
      </c>
      <c r="E6522" s="63" t="s">
        <v>38</v>
      </c>
      <c r="F6522" s="63" t="s">
        <v>1743</v>
      </c>
      <c r="G6522" s="63" t="s">
        <v>189</v>
      </c>
      <c r="H6522" s="63" t="s">
        <v>71</v>
      </c>
      <c r="I6522" s="63" t="s">
        <v>21</v>
      </c>
      <c r="J6522" s="63" t="s">
        <v>21758</v>
      </c>
      <c r="K6522" s="63" t="s">
        <v>6965</v>
      </c>
      <c r="L6522" s="63" t="s">
        <v>21142</v>
      </c>
      <c r="M6522" s="63" t="s">
        <v>21</v>
      </c>
      <c r="O6522" s="62">
        <v>44615</v>
      </c>
      <c r="P6522" s="65" t="s">
        <v>21</v>
      </c>
      <c r="Q6522" s="66" t="b">
        <v>0</v>
      </c>
      <c r="R6522" s="22">
        <f t="shared" ref="R6522:R6548" si="138">IF(O6522=" ", " ", INT(YEARFRAC(O6522, B6522)*365))</f>
        <v>22</v>
      </c>
      <c r="S6522" s="63" t="s">
        <v>21</v>
      </c>
      <c r="T6522" s="22"/>
    </row>
    <row r="6523" spans="1:20">
      <c r="A6523" s="64">
        <v>12062</v>
      </c>
      <c r="B6523" s="62">
        <v>44596</v>
      </c>
      <c r="C6523" s="63" t="s">
        <v>21759</v>
      </c>
      <c r="D6523" s="62">
        <v>44595</v>
      </c>
      <c r="E6523" s="63" t="s">
        <v>21760</v>
      </c>
      <c r="F6523" s="63" t="s">
        <v>21432</v>
      </c>
      <c r="G6523" s="63" t="s">
        <v>189</v>
      </c>
      <c r="H6523" s="63" t="s">
        <v>71</v>
      </c>
      <c r="I6523" s="63" t="s">
        <v>21</v>
      </c>
      <c r="J6523" s="63" t="s">
        <v>21761</v>
      </c>
      <c r="K6523" s="63" t="s">
        <v>6081</v>
      </c>
      <c r="L6523" s="63" t="s">
        <v>21142</v>
      </c>
      <c r="M6523" s="63" t="s">
        <v>21</v>
      </c>
      <c r="O6523" s="62">
        <v>44629</v>
      </c>
      <c r="P6523" s="65" t="s">
        <v>21</v>
      </c>
      <c r="Q6523" s="66" t="b">
        <v>0</v>
      </c>
      <c r="R6523" s="22">
        <f t="shared" si="138"/>
        <v>35</v>
      </c>
      <c r="S6523" s="63" t="s">
        <v>21</v>
      </c>
      <c r="T6523" s="22"/>
    </row>
    <row r="6524" spans="1:20">
      <c r="A6524" s="64">
        <v>12063</v>
      </c>
      <c r="B6524" s="62">
        <v>44601</v>
      </c>
      <c r="C6524" s="63" t="s">
        <v>21762</v>
      </c>
      <c r="D6524" s="62">
        <v>44596</v>
      </c>
      <c r="E6524" s="63" t="s">
        <v>21763</v>
      </c>
      <c r="F6524" s="63" t="s">
        <v>21764</v>
      </c>
      <c r="G6524" s="63" t="s">
        <v>189</v>
      </c>
      <c r="H6524" s="63" t="s">
        <v>71</v>
      </c>
      <c r="I6524" s="63" t="s">
        <v>21</v>
      </c>
      <c r="J6524" s="63" t="s">
        <v>21765</v>
      </c>
      <c r="K6524" s="63" t="s">
        <v>21766</v>
      </c>
      <c r="L6524" s="63" t="s">
        <v>21142</v>
      </c>
      <c r="M6524" s="63" t="s">
        <v>21</v>
      </c>
      <c r="O6524" s="62">
        <v>44734</v>
      </c>
      <c r="P6524" s="65" t="s">
        <v>21</v>
      </c>
      <c r="Q6524" s="66" t="b">
        <v>0</v>
      </c>
      <c r="R6524" s="22">
        <f t="shared" si="138"/>
        <v>134</v>
      </c>
      <c r="S6524" s="63" t="s">
        <v>21</v>
      </c>
      <c r="T6524" s="22"/>
    </row>
    <row r="6525" spans="1:20" ht="24">
      <c r="A6525" s="64">
        <v>12064</v>
      </c>
      <c r="B6525" s="62">
        <v>44601</v>
      </c>
      <c r="C6525" s="63" t="s">
        <v>21767</v>
      </c>
      <c r="D6525" s="62">
        <v>44596</v>
      </c>
      <c r="E6525" s="63" t="s">
        <v>21768</v>
      </c>
      <c r="F6525" s="63" t="s">
        <v>70</v>
      </c>
      <c r="G6525" s="63" t="s">
        <v>189</v>
      </c>
      <c r="H6525" s="63" t="s">
        <v>71</v>
      </c>
      <c r="I6525" s="63" t="s">
        <v>21</v>
      </c>
      <c r="J6525" s="63" t="s">
        <v>21769</v>
      </c>
      <c r="K6525" s="63" t="s">
        <v>6081</v>
      </c>
      <c r="L6525" s="63" t="s">
        <v>21243</v>
      </c>
      <c r="M6525" s="63" t="s">
        <v>21</v>
      </c>
      <c r="N6525" s="22"/>
      <c r="O6525" s="62">
        <v>44623</v>
      </c>
      <c r="P6525" s="65" t="s">
        <v>21</v>
      </c>
      <c r="Q6525" s="66" t="b">
        <v>0</v>
      </c>
      <c r="R6525" s="22">
        <f t="shared" si="138"/>
        <v>24</v>
      </c>
      <c r="S6525" s="63" t="s">
        <v>21</v>
      </c>
      <c r="T6525" s="22"/>
    </row>
    <row r="6526" spans="1:20">
      <c r="A6526" s="64">
        <v>12065</v>
      </c>
      <c r="B6526" s="62">
        <v>44601</v>
      </c>
      <c r="C6526" s="63" t="s">
        <v>21770</v>
      </c>
      <c r="D6526" s="62">
        <v>44599</v>
      </c>
      <c r="E6526" s="63" t="s">
        <v>21771</v>
      </c>
      <c r="F6526" s="63" t="s">
        <v>228</v>
      </c>
      <c r="G6526" s="63" t="s">
        <v>189</v>
      </c>
      <c r="H6526" s="63" t="s">
        <v>71</v>
      </c>
      <c r="I6526" s="63" t="s">
        <v>21</v>
      </c>
      <c r="J6526" s="63" t="s">
        <v>21772</v>
      </c>
      <c r="K6526" s="63" t="s">
        <v>6081</v>
      </c>
      <c r="L6526" s="63" t="s">
        <v>21142</v>
      </c>
      <c r="M6526" s="63" t="s">
        <v>21</v>
      </c>
      <c r="N6526" s="22"/>
      <c r="O6526" s="62">
        <v>44629</v>
      </c>
      <c r="P6526" s="65" t="s">
        <v>21</v>
      </c>
      <c r="Q6526" s="66" t="b">
        <v>0</v>
      </c>
      <c r="R6526" s="22">
        <f t="shared" si="138"/>
        <v>30</v>
      </c>
      <c r="S6526" s="63" t="s">
        <v>21</v>
      </c>
      <c r="T6526" s="22"/>
    </row>
    <row r="6527" spans="1:20" ht="24">
      <c r="A6527" s="38">
        <v>12061</v>
      </c>
      <c r="B6527" s="39">
        <v>44603</v>
      </c>
      <c r="C6527" s="40" t="s">
        <v>21576</v>
      </c>
      <c r="D6527" s="39">
        <v>44596</v>
      </c>
      <c r="E6527" s="40" t="s">
        <v>21577</v>
      </c>
      <c r="F6527" s="40" t="s">
        <v>56</v>
      </c>
      <c r="G6527" s="40" t="s">
        <v>189</v>
      </c>
      <c r="H6527" s="40" t="s">
        <v>71</v>
      </c>
      <c r="I6527" s="40" t="s">
        <v>21</v>
      </c>
      <c r="J6527" s="40" t="s">
        <v>21578</v>
      </c>
      <c r="K6527" s="40" t="s">
        <v>9348</v>
      </c>
      <c r="L6527" s="40" t="s">
        <v>22185</v>
      </c>
      <c r="M6527" s="40" t="s">
        <v>21243</v>
      </c>
      <c r="O6527" s="39">
        <v>45513</v>
      </c>
      <c r="P6527" s="41" t="s">
        <v>21</v>
      </c>
      <c r="Q6527" s="42" t="b">
        <v>0</v>
      </c>
      <c r="R6527" s="22">
        <f t="shared" si="138"/>
        <v>910</v>
      </c>
      <c r="S6527" s="40" t="s">
        <v>22188</v>
      </c>
    </row>
    <row r="6528" spans="1:20">
      <c r="A6528" s="64">
        <v>12066</v>
      </c>
      <c r="B6528" s="62">
        <v>44606</v>
      </c>
      <c r="C6528" s="63" t="s">
        <v>21773</v>
      </c>
      <c r="D6528" s="62">
        <v>44595</v>
      </c>
      <c r="E6528" s="63" t="s">
        <v>21774</v>
      </c>
      <c r="F6528" s="63" t="s">
        <v>861</v>
      </c>
      <c r="G6528" s="63" t="s">
        <v>189</v>
      </c>
      <c r="H6528" s="63" t="s">
        <v>566</v>
      </c>
      <c r="I6528" s="63" t="s">
        <v>21</v>
      </c>
      <c r="J6528" s="63" t="s">
        <v>21775</v>
      </c>
      <c r="K6528" s="63" t="s">
        <v>6081</v>
      </c>
      <c r="L6528" s="63" t="s">
        <v>21142</v>
      </c>
      <c r="M6528" s="63" t="s">
        <v>21</v>
      </c>
      <c r="O6528" s="62">
        <v>44637</v>
      </c>
      <c r="P6528" s="65" t="s">
        <v>21</v>
      </c>
      <c r="Q6528" s="66" t="b">
        <v>0</v>
      </c>
      <c r="R6528" s="22">
        <f t="shared" si="138"/>
        <v>33</v>
      </c>
      <c r="S6528" s="63" t="s">
        <v>21</v>
      </c>
      <c r="T6528" s="22"/>
    </row>
    <row r="6529" spans="1:20">
      <c r="A6529" s="64">
        <v>12067</v>
      </c>
      <c r="B6529" s="62">
        <v>44606</v>
      </c>
      <c r="C6529" s="63" t="s">
        <v>21776</v>
      </c>
      <c r="D6529" s="62">
        <v>44602</v>
      </c>
      <c r="E6529" s="63" t="s">
        <v>1928</v>
      </c>
      <c r="F6529" s="63" t="s">
        <v>1743</v>
      </c>
      <c r="G6529" s="63" t="s">
        <v>189</v>
      </c>
      <c r="H6529" s="63" t="s">
        <v>71</v>
      </c>
      <c r="I6529" s="63" t="s">
        <v>21</v>
      </c>
      <c r="J6529" s="63" t="s">
        <v>21777</v>
      </c>
      <c r="K6529" s="63" t="s">
        <v>21778</v>
      </c>
      <c r="L6529" s="63" t="s">
        <v>21243</v>
      </c>
      <c r="M6529" s="63" t="s">
        <v>21</v>
      </c>
      <c r="N6529" s="45">
        <v>44617</v>
      </c>
      <c r="O6529" s="62">
        <v>44616</v>
      </c>
      <c r="P6529" s="65" t="s">
        <v>21</v>
      </c>
      <c r="Q6529" s="66" t="b">
        <v>0</v>
      </c>
      <c r="R6529" s="22">
        <f t="shared" si="138"/>
        <v>10</v>
      </c>
      <c r="S6529" s="63" t="s">
        <v>21</v>
      </c>
      <c r="T6529" s="22"/>
    </row>
    <row r="6530" spans="1:20" ht="24">
      <c r="A6530" s="64">
        <v>12068</v>
      </c>
      <c r="B6530" s="62">
        <v>44606</v>
      </c>
      <c r="C6530" s="63" t="s">
        <v>21779</v>
      </c>
      <c r="D6530" s="62">
        <v>44602</v>
      </c>
      <c r="E6530" s="63" t="s">
        <v>21584</v>
      </c>
      <c r="F6530" s="63" t="s">
        <v>104</v>
      </c>
      <c r="G6530" s="63" t="s">
        <v>189</v>
      </c>
      <c r="H6530" s="63" t="s">
        <v>71</v>
      </c>
      <c r="I6530" s="63" t="s">
        <v>21</v>
      </c>
      <c r="J6530" s="63" t="s">
        <v>21583</v>
      </c>
      <c r="K6530" s="63" t="s">
        <v>6081</v>
      </c>
      <c r="L6530" s="63" t="s">
        <v>7167</v>
      </c>
      <c r="M6530" s="63" t="s">
        <v>21</v>
      </c>
      <c r="O6530" s="62">
        <v>44616</v>
      </c>
      <c r="P6530" s="65" t="s">
        <v>21</v>
      </c>
      <c r="Q6530" s="66" t="b">
        <v>0</v>
      </c>
      <c r="R6530" s="22">
        <f t="shared" si="138"/>
        <v>10</v>
      </c>
      <c r="S6530" s="63" t="s">
        <v>21582</v>
      </c>
      <c r="T6530" s="22"/>
    </row>
    <row r="6531" spans="1:20" ht="24">
      <c r="A6531" s="64">
        <v>12069</v>
      </c>
      <c r="B6531" s="62">
        <v>44609</v>
      </c>
      <c r="C6531" s="63" t="s">
        <v>21780</v>
      </c>
      <c r="D6531" s="62">
        <v>44608</v>
      </c>
      <c r="E6531" s="63" t="s">
        <v>38</v>
      </c>
      <c r="F6531" s="63" t="s">
        <v>1743</v>
      </c>
      <c r="G6531" s="63" t="s">
        <v>189</v>
      </c>
      <c r="H6531" s="63" t="s">
        <v>71</v>
      </c>
      <c r="I6531" s="63" t="s">
        <v>21</v>
      </c>
      <c r="J6531" s="63" t="s">
        <v>21781</v>
      </c>
      <c r="K6531" s="63" t="s">
        <v>21782</v>
      </c>
      <c r="L6531" s="63" t="s">
        <v>3271</v>
      </c>
      <c r="M6531" s="63" t="s">
        <v>21</v>
      </c>
      <c r="O6531" s="62">
        <v>44637</v>
      </c>
      <c r="P6531" s="65" t="s">
        <v>21</v>
      </c>
      <c r="Q6531" s="66" t="b">
        <v>0</v>
      </c>
      <c r="R6531" s="22">
        <f t="shared" si="138"/>
        <v>30</v>
      </c>
      <c r="S6531" s="63" t="s">
        <v>21</v>
      </c>
      <c r="T6531" s="22"/>
    </row>
    <row r="6532" spans="1:20" ht="24">
      <c r="A6532" s="64">
        <v>12070</v>
      </c>
      <c r="B6532" s="62">
        <v>44610</v>
      </c>
      <c r="C6532" s="63" t="s">
        <v>21579</v>
      </c>
      <c r="D6532" s="62">
        <v>44608</v>
      </c>
      <c r="E6532" s="63" t="s">
        <v>21580</v>
      </c>
      <c r="F6532" s="63" t="s">
        <v>98</v>
      </c>
      <c r="G6532" s="63" t="s">
        <v>189</v>
      </c>
      <c r="H6532" s="63" t="s">
        <v>71</v>
      </c>
      <c r="I6532" s="63" t="s">
        <v>21</v>
      </c>
      <c r="J6532" s="63" t="s">
        <v>21510</v>
      </c>
      <c r="K6532" s="63" t="s">
        <v>21434</v>
      </c>
      <c r="L6532" s="63" t="s">
        <v>7167</v>
      </c>
      <c r="M6532" s="63" t="s">
        <v>21</v>
      </c>
      <c r="O6532" s="62">
        <v>45513</v>
      </c>
      <c r="P6532" s="65" t="s">
        <v>21</v>
      </c>
      <c r="Q6532" s="66" t="b">
        <v>0</v>
      </c>
      <c r="R6532" s="22">
        <f t="shared" si="138"/>
        <v>903</v>
      </c>
      <c r="S6532" s="63" t="s">
        <v>22189</v>
      </c>
      <c r="T6532" s="22"/>
    </row>
    <row r="6533" spans="1:20" ht="24">
      <c r="A6533" s="64">
        <v>12071</v>
      </c>
      <c r="B6533" s="62">
        <v>44610</v>
      </c>
      <c r="C6533" s="63" t="s">
        <v>21783</v>
      </c>
      <c r="D6533" s="62">
        <v>44609</v>
      </c>
      <c r="E6533" s="63" t="s">
        <v>21572</v>
      </c>
      <c r="F6533" s="63" t="s">
        <v>16499</v>
      </c>
      <c r="G6533" s="63" t="s">
        <v>189</v>
      </c>
      <c r="H6533" s="63" t="s">
        <v>71</v>
      </c>
      <c r="I6533" s="63" t="s">
        <v>21</v>
      </c>
      <c r="J6533" s="63" t="s">
        <v>21784</v>
      </c>
      <c r="K6533" s="63" t="s">
        <v>21785</v>
      </c>
      <c r="L6533" s="63" t="s">
        <v>21243</v>
      </c>
      <c r="M6533" s="63" t="s">
        <v>21</v>
      </c>
      <c r="O6533" s="62">
        <v>44620</v>
      </c>
      <c r="P6533" s="65" t="s">
        <v>21</v>
      </c>
      <c r="Q6533" s="66" t="b">
        <v>0</v>
      </c>
      <c r="R6533" s="22">
        <f t="shared" si="138"/>
        <v>10</v>
      </c>
      <c r="S6533" s="63" t="s">
        <v>21590</v>
      </c>
      <c r="T6533" s="22"/>
    </row>
    <row r="6534" spans="1:20">
      <c r="A6534" s="64">
        <v>12072</v>
      </c>
      <c r="B6534" s="62">
        <v>44614</v>
      </c>
      <c r="C6534" s="63" t="s">
        <v>21786</v>
      </c>
      <c r="D6534" s="62">
        <v>44614</v>
      </c>
      <c r="E6534" s="63" t="s">
        <v>1928</v>
      </c>
      <c r="F6534" s="63" t="s">
        <v>1743</v>
      </c>
      <c r="G6534" s="63" t="s">
        <v>189</v>
      </c>
      <c r="H6534" s="63" t="s">
        <v>71</v>
      </c>
      <c r="I6534" s="63" t="s">
        <v>21</v>
      </c>
      <c r="J6534" s="63" t="s">
        <v>21787</v>
      </c>
      <c r="K6534" s="63" t="s">
        <v>21788</v>
      </c>
      <c r="L6534" s="63" t="s">
        <v>21142</v>
      </c>
      <c r="M6534" s="63" t="s">
        <v>21</v>
      </c>
      <c r="N6534" s="45">
        <v>44628</v>
      </c>
      <c r="O6534" s="62">
        <v>44615</v>
      </c>
      <c r="P6534" s="65" t="s">
        <v>21</v>
      </c>
      <c r="Q6534" s="66" t="b">
        <v>0</v>
      </c>
      <c r="R6534" s="22">
        <f t="shared" si="138"/>
        <v>1</v>
      </c>
      <c r="S6534" s="63" t="s">
        <v>21</v>
      </c>
      <c r="T6534" s="22"/>
    </row>
    <row r="6535" spans="1:20">
      <c r="A6535" s="64">
        <v>12073</v>
      </c>
      <c r="B6535" s="62">
        <v>44615</v>
      </c>
      <c r="C6535" s="63" t="s">
        <v>21789</v>
      </c>
      <c r="D6535" s="62">
        <v>44606</v>
      </c>
      <c r="E6535" s="63" t="s">
        <v>1928</v>
      </c>
      <c r="F6535" s="63" t="s">
        <v>1743</v>
      </c>
      <c r="G6535" s="63" t="s">
        <v>189</v>
      </c>
      <c r="H6535" s="63" t="s">
        <v>71</v>
      </c>
      <c r="I6535" s="63" t="s">
        <v>21</v>
      </c>
      <c r="J6535" s="63" t="s">
        <v>21790</v>
      </c>
      <c r="K6535" s="63" t="s">
        <v>14004</v>
      </c>
      <c r="L6535" s="63" t="s">
        <v>21243</v>
      </c>
      <c r="M6535" s="63" t="s">
        <v>21</v>
      </c>
      <c r="N6535" s="45">
        <v>44628</v>
      </c>
      <c r="O6535" s="62">
        <v>44617</v>
      </c>
      <c r="P6535" s="65" t="s">
        <v>21</v>
      </c>
      <c r="Q6535" s="66" t="b">
        <v>0</v>
      </c>
      <c r="R6535" s="22">
        <f t="shared" si="138"/>
        <v>2</v>
      </c>
      <c r="S6535" s="63" t="s">
        <v>21</v>
      </c>
      <c r="T6535" s="22"/>
    </row>
    <row r="6536" spans="1:20" ht="48">
      <c r="A6536" s="59">
        <v>12074</v>
      </c>
      <c r="B6536" s="60">
        <v>44616</v>
      </c>
      <c r="C6536" s="61" t="s">
        <v>21581</v>
      </c>
      <c r="D6536" s="60">
        <v>44616</v>
      </c>
      <c r="E6536" s="61" t="s">
        <v>21582</v>
      </c>
      <c r="F6536" s="61" t="s">
        <v>104</v>
      </c>
      <c r="G6536" s="61" t="s">
        <v>189</v>
      </c>
      <c r="H6536" s="61" t="s">
        <v>71</v>
      </c>
      <c r="I6536" s="61" t="s">
        <v>21</v>
      </c>
      <c r="J6536" s="61" t="s">
        <v>21583</v>
      </c>
      <c r="K6536" s="61" t="s">
        <v>18224</v>
      </c>
      <c r="L6536" s="61" t="s">
        <v>7167</v>
      </c>
      <c r="M6536" s="61" t="s">
        <v>21</v>
      </c>
      <c r="O6536" s="60">
        <v>45064</v>
      </c>
      <c r="P6536" s="61" t="s">
        <v>21</v>
      </c>
      <c r="Q6536" s="59" t="b">
        <v>0</v>
      </c>
      <c r="R6536" s="22">
        <f t="shared" si="138"/>
        <v>450</v>
      </c>
      <c r="S6536" s="61" t="s">
        <v>22190</v>
      </c>
      <c r="T6536" s="22"/>
    </row>
    <row r="6537" spans="1:20" ht="36">
      <c r="A6537" s="64">
        <v>12075</v>
      </c>
      <c r="B6537" s="62">
        <v>44616</v>
      </c>
      <c r="C6537" s="63" t="s">
        <v>21791</v>
      </c>
      <c r="D6537" s="62">
        <v>44616</v>
      </c>
      <c r="E6537" s="63" t="s">
        <v>21792</v>
      </c>
      <c r="F6537" s="63" t="s">
        <v>56</v>
      </c>
      <c r="G6537" s="63" t="s">
        <v>189</v>
      </c>
      <c r="H6537" s="63" t="s">
        <v>71</v>
      </c>
      <c r="I6537" s="63" t="s">
        <v>21</v>
      </c>
      <c r="J6537" s="63" t="s">
        <v>21793</v>
      </c>
      <c r="K6537" s="63" t="s">
        <v>6081</v>
      </c>
      <c r="L6537" s="63" t="s">
        <v>4282</v>
      </c>
      <c r="M6537" s="63" t="s">
        <v>21</v>
      </c>
      <c r="O6537" s="62">
        <v>44630</v>
      </c>
      <c r="P6537" s="65" t="s">
        <v>21</v>
      </c>
      <c r="Q6537" s="66" t="b">
        <v>0</v>
      </c>
      <c r="R6537" s="22">
        <f t="shared" si="138"/>
        <v>16</v>
      </c>
      <c r="S6537" s="63" t="s">
        <v>21</v>
      </c>
      <c r="T6537" s="22"/>
    </row>
    <row r="6538" spans="1:20">
      <c r="A6538" s="64">
        <v>12076</v>
      </c>
      <c r="B6538" s="62">
        <v>44617</v>
      </c>
      <c r="C6538" s="63" t="s">
        <v>21794</v>
      </c>
      <c r="D6538" s="62">
        <v>44616</v>
      </c>
      <c r="E6538" s="63" t="s">
        <v>21795</v>
      </c>
      <c r="F6538" s="63" t="s">
        <v>21796</v>
      </c>
      <c r="G6538" s="63" t="s">
        <v>189</v>
      </c>
      <c r="H6538" s="63" t="s">
        <v>71</v>
      </c>
      <c r="I6538" s="63" t="s">
        <v>21</v>
      </c>
      <c r="J6538" s="63" t="s">
        <v>21797</v>
      </c>
      <c r="K6538" s="63" t="s">
        <v>6081</v>
      </c>
      <c r="L6538" s="63" t="s">
        <v>7167</v>
      </c>
      <c r="M6538" s="63" t="s">
        <v>21</v>
      </c>
      <c r="O6538" s="62">
        <v>44623</v>
      </c>
      <c r="P6538" s="65" t="s">
        <v>21</v>
      </c>
      <c r="Q6538" s="66" t="b">
        <v>0</v>
      </c>
      <c r="R6538" s="22">
        <f t="shared" si="138"/>
        <v>8</v>
      </c>
      <c r="S6538" s="63" t="s">
        <v>21</v>
      </c>
      <c r="T6538" s="22"/>
    </row>
    <row r="6539" spans="1:20" ht="24">
      <c r="A6539" s="64">
        <v>12077</v>
      </c>
      <c r="B6539" s="62">
        <v>44617</v>
      </c>
      <c r="C6539" s="63" t="s">
        <v>21798</v>
      </c>
      <c r="D6539" s="62">
        <v>44616</v>
      </c>
      <c r="E6539" s="63" t="s">
        <v>21799</v>
      </c>
      <c r="F6539" s="63" t="s">
        <v>104</v>
      </c>
      <c r="G6539" s="63" t="s">
        <v>71</v>
      </c>
      <c r="H6539" s="63" t="s">
        <v>189</v>
      </c>
      <c r="I6539" s="63" t="s">
        <v>21</v>
      </c>
      <c r="J6539" s="63" t="s">
        <v>21800</v>
      </c>
      <c r="K6539" s="63" t="s">
        <v>6081</v>
      </c>
      <c r="L6539" s="63" t="s">
        <v>7167</v>
      </c>
      <c r="M6539" s="63" t="s">
        <v>21</v>
      </c>
      <c r="N6539" s="22"/>
      <c r="O6539" s="62">
        <v>44623</v>
      </c>
      <c r="P6539" s="65" t="s">
        <v>21</v>
      </c>
      <c r="Q6539" s="66" t="b">
        <v>0</v>
      </c>
      <c r="R6539" s="22">
        <f t="shared" si="138"/>
        <v>8</v>
      </c>
      <c r="S6539" s="63" t="s">
        <v>21</v>
      </c>
      <c r="T6539" s="22"/>
    </row>
    <row r="6540" spans="1:20" ht="24">
      <c r="A6540" s="59">
        <v>12078</v>
      </c>
      <c r="B6540" s="60">
        <v>44620</v>
      </c>
      <c r="C6540" s="61" t="s">
        <v>21585</v>
      </c>
      <c r="D6540" s="60">
        <v>44615</v>
      </c>
      <c r="E6540" s="61" t="s">
        <v>21586</v>
      </c>
      <c r="F6540" s="61" t="s">
        <v>8605</v>
      </c>
      <c r="G6540" s="61" t="s">
        <v>189</v>
      </c>
      <c r="H6540" s="61" t="s">
        <v>212</v>
      </c>
      <c r="I6540" s="61" t="s">
        <v>21</v>
      </c>
      <c r="J6540" s="61" t="s">
        <v>21587</v>
      </c>
      <c r="K6540" s="61" t="s">
        <v>21588</v>
      </c>
      <c r="L6540" s="61" t="s">
        <v>7167</v>
      </c>
      <c r="M6540" s="61" t="s">
        <v>21</v>
      </c>
      <c r="O6540" s="60">
        <v>45040</v>
      </c>
      <c r="P6540" s="61" t="s">
        <v>21</v>
      </c>
      <c r="Q6540" s="59" t="b">
        <v>0</v>
      </c>
      <c r="R6540" s="22">
        <f t="shared" si="138"/>
        <v>419</v>
      </c>
      <c r="S6540" s="61" t="s">
        <v>21621</v>
      </c>
      <c r="T6540" s="22"/>
    </row>
    <row r="6541" spans="1:20">
      <c r="A6541" s="64">
        <v>12079</v>
      </c>
      <c r="B6541" s="62">
        <v>44620</v>
      </c>
      <c r="C6541" s="63" t="s">
        <v>21801</v>
      </c>
      <c r="D6541" s="62">
        <v>44620</v>
      </c>
      <c r="E6541" s="63" t="s">
        <v>21802</v>
      </c>
      <c r="F6541" s="63" t="s">
        <v>327</v>
      </c>
      <c r="G6541" s="63" t="s">
        <v>189</v>
      </c>
      <c r="H6541" s="63" t="s">
        <v>71</v>
      </c>
      <c r="I6541" s="63" t="s">
        <v>21</v>
      </c>
      <c r="J6541" s="63" t="s">
        <v>21803</v>
      </c>
      <c r="K6541" s="63" t="s">
        <v>21804</v>
      </c>
      <c r="L6541" s="63" t="s">
        <v>21142</v>
      </c>
      <c r="M6541" s="63" t="s">
        <v>21</v>
      </c>
      <c r="O6541" s="62">
        <v>44637</v>
      </c>
      <c r="P6541" s="65" t="s">
        <v>21</v>
      </c>
      <c r="Q6541" s="66" t="b">
        <v>0</v>
      </c>
      <c r="R6541" s="22">
        <f t="shared" si="138"/>
        <v>17</v>
      </c>
      <c r="S6541" s="63" t="s">
        <v>21</v>
      </c>
      <c r="T6541" s="22"/>
    </row>
    <row r="6542" spans="1:20" ht="24">
      <c r="A6542" s="64">
        <v>12080</v>
      </c>
      <c r="B6542" s="62">
        <v>44622</v>
      </c>
      <c r="C6542" s="63" t="s">
        <v>21805</v>
      </c>
      <c r="D6542" s="62">
        <v>44617</v>
      </c>
      <c r="E6542" s="63" t="s">
        <v>21806</v>
      </c>
      <c r="F6542" s="63" t="s">
        <v>533</v>
      </c>
      <c r="G6542" s="63" t="s">
        <v>189</v>
      </c>
      <c r="H6542" s="63" t="s">
        <v>71</v>
      </c>
      <c r="I6542" s="63" t="s">
        <v>21</v>
      </c>
      <c r="J6542" s="63" t="s">
        <v>21807</v>
      </c>
      <c r="K6542" s="63" t="s">
        <v>6081</v>
      </c>
      <c r="L6542" s="63" t="s">
        <v>21573</v>
      </c>
      <c r="M6542" s="63" t="s">
        <v>21</v>
      </c>
      <c r="O6542" s="62">
        <v>44658</v>
      </c>
      <c r="P6542" s="65" t="s">
        <v>21</v>
      </c>
      <c r="Q6542" s="66" t="b">
        <v>0</v>
      </c>
      <c r="R6542" s="22">
        <f t="shared" si="138"/>
        <v>35</v>
      </c>
      <c r="S6542" s="63" t="s">
        <v>21</v>
      </c>
      <c r="T6542" s="22"/>
    </row>
    <row r="6543" spans="1:20" ht="24">
      <c r="A6543" s="64">
        <v>12081</v>
      </c>
      <c r="B6543" s="62">
        <v>44622</v>
      </c>
      <c r="C6543" s="63" t="s">
        <v>21589</v>
      </c>
      <c r="D6543" s="62">
        <v>44620</v>
      </c>
      <c r="E6543" s="63" t="s">
        <v>21590</v>
      </c>
      <c r="F6543" s="63" t="s">
        <v>16499</v>
      </c>
      <c r="G6543" s="63" t="s">
        <v>189</v>
      </c>
      <c r="H6543" s="63" t="s">
        <v>71</v>
      </c>
      <c r="I6543" s="63" t="s">
        <v>21</v>
      </c>
      <c r="J6543" s="63" t="s">
        <v>21591</v>
      </c>
      <c r="K6543" s="63" t="s">
        <v>21592</v>
      </c>
      <c r="L6543" s="63" t="s">
        <v>21243</v>
      </c>
      <c r="M6543" s="63" t="s">
        <v>21</v>
      </c>
      <c r="O6543" s="62">
        <v>44677</v>
      </c>
      <c r="P6543" s="65" t="s">
        <v>21</v>
      </c>
      <c r="Q6543" s="66" t="b">
        <v>0</v>
      </c>
      <c r="R6543" s="22">
        <f t="shared" si="138"/>
        <v>54</v>
      </c>
      <c r="S6543" s="63" t="s">
        <v>21572</v>
      </c>
      <c r="T6543" s="22"/>
    </row>
    <row r="6544" spans="1:20">
      <c r="A6544" s="64">
        <v>12082</v>
      </c>
      <c r="B6544" s="62">
        <v>44623</v>
      </c>
      <c r="C6544" s="63" t="s">
        <v>21594</v>
      </c>
      <c r="D6544" s="62">
        <v>44623</v>
      </c>
      <c r="E6544" s="63" t="s">
        <v>21595</v>
      </c>
      <c r="F6544" s="63" t="s">
        <v>9198</v>
      </c>
      <c r="G6544" s="63" t="s">
        <v>189</v>
      </c>
      <c r="H6544" s="63" t="s">
        <v>71</v>
      </c>
      <c r="I6544" s="63" t="s">
        <v>21</v>
      </c>
      <c r="J6544" s="63" t="s">
        <v>21596</v>
      </c>
      <c r="K6544" s="63" t="s">
        <v>20909</v>
      </c>
      <c r="L6544" s="63" t="s">
        <v>21142</v>
      </c>
      <c r="M6544" s="63" t="s">
        <v>21</v>
      </c>
      <c r="O6544" s="62">
        <v>44776</v>
      </c>
      <c r="P6544" s="65" t="s">
        <v>21</v>
      </c>
      <c r="Q6544" s="66" t="b">
        <v>0</v>
      </c>
      <c r="R6544" s="22">
        <f t="shared" si="138"/>
        <v>152</v>
      </c>
      <c r="S6544" s="63" t="s">
        <v>21</v>
      </c>
      <c r="T6544" s="22"/>
    </row>
    <row r="6545" spans="1:20">
      <c r="A6545" s="64">
        <v>12083</v>
      </c>
      <c r="B6545" s="62">
        <v>44627</v>
      </c>
      <c r="C6545" s="63" t="s">
        <v>21808</v>
      </c>
      <c r="D6545" s="62">
        <v>44621</v>
      </c>
      <c r="E6545" s="63" t="s">
        <v>21809</v>
      </c>
      <c r="F6545" s="63" t="s">
        <v>98</v>
      </c>
      <c r="G6545" s="63" t="s">
        <v>20</v>
      </c>
      <c r="H6545" s="63" t="s">
        <v>71</v>
      </c>
      <c r="I6545" s="63" t="s">
        <v>21</v>
      </c>
      <c r="J6545" s="63" t="s">
        <v>21810</v>
      </c>
      <c r="K6545" s="63" t="s">
        <v>21811</v>
      </c>
      <c r="L6545" s="63" t="s">
        <v>21573</v>
      </c>
      <c r="M6545" s="63" t="s">
        <v>21</v>
      </c>
      <c r="O6545" s="62">
        <v>44683</v>
      </c>
      <c r="P6545" s="65" t="s">
        <v>21</v>
      </c>
      <c r="Q6545" s="66" t="b">
        <v>0</v>
      </c>
      <c r="R6545" s="22">
        <f t="shared" si="138"/>
        <v>55</v>
      </c>
      <c r="S6545" s="63" t="s">
        <v>21</v>
      </c>
      <c r="T6545" s="22"/>
    </row>
    <row r="6546" spans="1:20">
      <c r="A6546" s="64">
        <v>12084</v>
      </c>
      <c r="B6546" s="62">
        <v>44627</v>
      </c>
      <c r="C6546" s="63" t="s">
        <v>21812</v>
      </c>
      <c r="D6546" s="62">
        <v>44621</v>
      </c>
      <c r="E6546" s="63" t="s">
        <v>21813</v>
      </c>
      <c r="F6546" s="63" t="s">
        <v>3434</v>
      </c>
      <c r="G6546" s="63" t="s">
        <v>189</v>
      </c>
      <c r="H6546" s="63" t="s">
        <v>71</v>
      </c>
      <c r="I6546" s="63" t="s">
        <v>21</v>
      </c>
      <c r="J6546" s="63" t="s">
        <v>21810</v>
      </c>
      <c r="K6546" s="63" t="s">
        <v>21811</v>
      </c>
      <c r="L6546" s="63" t="s">
        <v>21573</v>
      </c>
      <c r="M6546" s="63" t="s">
        <v>21</v>
      </c>
      <c r="O6546" s="62">
        <v>44776</v>
      </c>
      <c r="P6546" s="65" t="s">
        <v>21</v>
      </c>
      <c r="Q6546" s="66" t="b">
        <v>0</v>
      </c>
      <c r="R6546" s="22">
        <f t="shared" si="138"/>
        <v>148</v>
      </c>
      <c r="S6546" s="63" t="s">
        <v>21</v>
      </c>
      <c r="T6546" s="22"/>
    </row>
    <row r="6547" spans="1:20">
      <c r="A6547" s="64">
        <v>12085</v>
      </c>
      <c r="B6547" s="62">
        <v>44627</v>
      </c>
      <c r="C6547" s="63" t="s">
        <v>21814</v>
      </c>
      <c r="D6547" s="62">
        <v>44621</v>
      </c>
      <c r="E6547" s="63" t="s">
        <v>21815</v>
      </c>
      <c r="F6547" s="63" t="s">
        <v>1232</v>
      </c>
      <c r="G6547" s="63" t="s">
        <v>189</v>
      </c>
      <c r="H6547" s="63" t="s">
        <v>189</v>
      </c>
      <c r="I6547" s="63" t="s">
        <v>21</v>
      </c>
      <c r="J6547" s="63" t="s">
        <v>21810</v>
      </c>
      <c r="K6547" s="63" t="s">
        <v>21811</v>
      </c>
      <c r="L6547" s="63" t="s">
        <v>21573</v>
      </c>
      <c r="M6547" s="63" t="s">
        <v>21</v>
      </c>
      <c r="O6547" s="62">
        <v>44763</v>
      </c>
      <c r="P6547" s="65" t="s">
        <v>21</v>
      </c>
      <c r="Q6547" s="66" t="b">
        <v>0</v>
      </c>
      <c r="R6547" s="22">
        <f t="shared" si="138"/>
        <v>135</v>
      </c>
      <c r="S6547" s="63" t="s">
        <v>21</v>
      </c>
      <c r="T6547" s="22"/>
    </row>
    <row r="6548" spans="1:20">
      <c r="A6548" s="64">
        <v>12086</v>
      </c>
      <c r="B6548" s="62">
        <v>44627</v>
      </c>
      <c r="C6548" s="63" t="s">
        <v>21816</v>
      </c>
      <c r="D6548" s="62">
        <v>44621</v>
      </c>
      <c r="E6548" s="63" t="s">
        <v>21817</v>
      </c>
      <c r="F6548" s="63" t="s">
        <v>3430</v>
      </c>
      <c r="G6548" s="63" t="s">
        <v>189</v>
      </c>
      <c r="H6548" s="63" t="s">
        <v>71</v>
      </c>
      <c r="I6548" s="63" t="s">
        <v>21</v>
      </c>
      <c r="J6548" s="63" t="s">
        <v>21810</v>
      </c>
      <c r="K6548" s="63" t="s">
        <v>21811</v>
      </c>
      <c r="L6548" s="63" t="s">
        <v>21573</v>
      </c>
      <c r="M6548" s="63" t="s">
        <v>21</v>
      </c>
      <c r="O6548" s="62">
        <v>44719</v>
      </c>
      <c r="P6548" s="65" t="s">
        <v>21</v>
      </c>
      <c r="Q6548" s="66" t="b">
        <v>0</v>
      </c>
      <c r="R6548" s="22">
        <f t="shared" si="138"/>
        <v>91</v>
      </c>
      <c r="S6548" s="63" t="s">
        <v>21</v>
      </c>
      <c r="T6548" s="22"/>
    </row>
    <row r="6549" spans="1:20">
      <c r="A6549" s="64">
        <v>12087</v>
      </c>
      <c r="B6549" s="62">
        <v>44629</v>
      </c>
      <c r="C6549" s="63" t="s">
        <v>21598</v>
      </c>
      <c r="D6549" s="62">
        <v>44629</v>
      </c>
      <c r="E6549" s="63" t="s">
        <v>21599</v>
      </c>
      <c r="F6549" s="63" t="s">
        <v>861</v>
      </c>
      <c r="G6549" s="63" t="s">
        <v>189</v>
      </c>
      <c r="H6549" s="63" t="s">
        <v>566</v>
      </c>
      <c r="I6549" s="63" t="s">
        <v>21</v>
      </c>
      <c r="J6549" s="63" t="s">
        <v>21600</v>
      </c>
      <c r="K6549" s="63" t="s">
        <v>18224</v>
      </c>
      <c r="L6549" s="63" t="s">
        <v>21573</v>
      </c>
      <c r="M6549" s="63" t="s">
        <v>21</v>
      </c>
      <c r="O6549" s="22"/>
      <c r="P6549" s="65" t="s">
        <v>21</v>
      </c>
      <c r="Q6549" s="66" t="b">
        <v>0</v>
      </c>
      <c r="R6549" s="66"/>
      <c r="S6549" s="63" t="s">
        <v>21</v>
      </c>
      <c r="T6549" s="22"/>
    </row>
    <row r="6550" spans="1:20" ht="24">
      <c r="A6550" s="64">
        <v>12088</v>
      </c>
      <c r="B6550" s="62">
        <v>44630</v>
      </c>
      <c r="C6550" s="63" t="s">
        <v>21818</v>
      </c>
      <c r="D6550" s="62">
        <v>44630</v>
      </c>
      <c r="E6550" s="63" t="s">
        <v>21819</v>
      </c>
      <c r="F6550" s="63" t="s">
        <v>124</v>
      </c>
      <c r="G6550" s="63" t="s">
        <v>189</v>
      </c>
      <c r="H6550" s="63" t="s">
        <v>182</v>
      </c>
      <c r="I6550" s="63" t="s">
        <v>21</v>
      </c>
      <c r="J6550" s="63" t="s">
        <v>21820</v>
      </c>
      <c r="K6550" s="63" t="s">
        <v>6081</v>
      </c>
      <c r="L6550" s="63" t="s">
        <v>21142</v>
      </c>
      <c r="M6550" s="63" t="s">
        <v>21</v>
      </c>
      <c r="O6550" s="62">
        <v>44658</v>
      </c>
      <c r="P6550" s="65" t="s">
        <v>21</v>
      </c>
      <c r="Q6550" s="66" t="b">
        <v>0</v>
      </c>
      <c r="R6550" s="22">
        <f t="shared" ref="R6550:R6586" si="139">IF(O6550=" ", " ", INT(YEARFRAC(O6550, B6550)*365))</f>
        <v>27</v>
      </c>
      <c r="S6550" s="63" t="s">
        <v>21609</v>
      </c>
      <c r="T6550" s="22"/>
    </row>
    <row r="6551" spans="1:20">
      <c r="A6551" s="64">
        <v>12089</v>
      </c>
      <c r="B6551" s="62">
        <v>44630</v>
      </c>
      <c r="C6551" s="63" t="s">
        <v>21821</v>
      </c>
      <c r="D6551" s="62">
        <v>44630</v>
      </c>
      <c r="E6551" s="63" t="s">
        <v>1928</v>
      </c>
      <c r="F6551" s="63" t="s">
        <v>1743</v>
      </c>
      <c r="G6551" s="63" t="s">
        <v>189</v>
      </c>
      <c r="H6551" s="63" t="s">
        <v>71</v>
      </c>
      <c r="I6551" s="63" t="s">
        <v>21</v>
      </c>
      <c r="J6551" s="63" t="s">
        <v>21822</v>
      </c>
      <c r="K6551" s="63" t="s">
        <v>21823</v>
      </c>
      <c r="L6551" s="63" t="s">
        <v>7167</v>
      </c>
      <c r="M6551" s="63" t="s">
        <v>21</v>
      </c>
      <c r="N6551" s="45">
        <v>44644</v>
      </c>
      <c r="O6551" s="62">
        <v>44638</v>
      </c>
      <c r="P6551" s="65" t="s">
        <v>21</v>
      </c>
      <c r="Q6551" s="66" t="b">
        <v>0</v>
      </c>
      <c r="R6551" s="22">
        <f t="shared" si="139"/>
        <v>8</v>
      </c>
      <c r="S6551" s="63" t="s">
        <v>21</v>
      </c>
      <c r="T6551" s="22"/>
    </row>
    <row r="6552" spans="1:20">
      <c r="A6552" s="64">
        <v>12090</v>
      </c>
      <c r="B6552" s="62">
        <v>44634</v>
      </c>
      <c r="C6552" s="63" t="s">
        <v>21824</v>
      </c>
      <c r="D6552" s="62">
        <v>44631</v>
      </c>
      <c r="E6552" s="63" t="s">
        <v>38</v>
      </c>
      <c r="F6552" s="63" t="s">
        <v>52</v>
      </c>
      <c r="G6552" s="63" t="s">
        <v>189</v>
      </c>
      <c r="H6552" s="63" t="s">
        <v>71</v>
      </c>
      <c r="I6552" s="63" t="s">
        <v>21</v>
      </c>
      <c r="J6552" s="63" t="s">
        <v>21825</v>
      </c>
      <c r="K6552" s="63" t="s">
        <v>21826</v>
      </c>
      <c r="L6552" s="63" t="s">
        <v>21573</v>
      </c>
      <c r="M6552" s="63" t="s">
        <v>21</v>
      </c>
      <c r="O6552" s="62">
        <v>44638</v>
      </c>
      <c r="P6552" s="65" t="s">
        <v>21</v>
      </c>
      <c r="Q6552" s="66" t="b">
        <v>0</v>
      </c>
      <c r="R6552" s="22">
        <f t="shared" si="139"/>
        <v>4</v>
      </c>
      <c r="S6552" s="63" t="s">
        <v>21</v>
      </c>
      <c r="T6552" s="22"/>
    </row>
    <row r="6553" spans="1:20">
      <c r="A6553" s="64">
        <v>12093</v>
      </c>
      <c r="B6553" s="62">
        <v>44636</v>
      </c>
      <c r="C6553" s="63" t="s">
        <v>21827</v>
      </c>
      <c r="D6553" s="62">
        <v>44636</v>
      </c>
      <c r="E6553" s="63" t="s">
        <v>38</v>
      </c>
      <c r="F6553" s="63" t="s">
        <v>4209</v>
      </c>
      <c r="G6553" s="63" t="s">
        <v>71</v>
      </c>
      <c r="H6553" s="63" t="s">
        <v>189</v>
      </c>
      <c r="I6553" s="63" t="s">
        <v>21</v>
      </c>
      <c r="J6553" s="63" t="s">
        <v>21825</v>
      </c>
      <c r="K6553" s="63" t="s">
        <v>21828</v>
      </c>
      <c r="L6553" s="63" t="s">
        <v>21573</v>
      </c>
      <c r="M6553" s="63" t="s">
        <v>21</v>
      </c>
      <c r="O6553" s="62">
        <v>44638</v>
      </c>
      <c r="P6553" s="65" t="s">
        <v>21</v>
      </c>
      <c r="Q6553" s="66" t="b">
        <v>0</v>
      </c>
      <c r="R6553" s="22">
        <f t="shared" si="139"/>
        <v>2</v>
      </c>
      <c r="S6553" s="63" t="s">
        <v>21</v>
      </c>
      <c r="T6553" s="22"/>
    </row>
    <row r="6554" spans="1:20">
      <c r="A6554" s="64">
        <v>12094</v>
      </c>
      <c r="B6554" s="62">
        <v>44637</v>
      </c>
      <c r="C6554" s="63" t="s">
        <v>21829</v>
      </c>
      <c r="D6554" s="62">
        <v>44636</v>
      </c>
      <c r="E6554" s="63" t="s">
        <v>21830</v>
      </c>
      <c r="F6554" s="63" t="s">
        <v>6298</v>
      </c>
      <c r="G6554" s="63" t="s">
        <v>189</v>
      </c>
      <c r="H6554" s="63" t="s">
        <v>71</v>
      </c>
      <c r="I6554" s="63" t="s">
        <v>21</v>
      </c>
      <c r="J6554" s="63" t="s">
        <v>21831</v>
      </c>
      <c r="K6554" s="63" t="s">
        <v>6081</v>
      </c>
      <c r="L6554" s="63" t="s">
        <v>21243</v>
      </c>
      <c r="M6554" s="63" t="s">
        <v>21</v>
      </c>
      <c r="O6554" s="62">
        <v>44691</v>
      </c>
      <c r="P6554" s="65" t="s">
        <v>21</v>
      </c>
      <c r="Q6554" s="66" t="b">
        <v>0</v>
      </c>
      <c r="R6554" s="22">
        <f t="shared" si="139"/>
        <v>53</v>
      </c>
      <c r="S6554" s="63" t="s">
        <v>21</v>
      </c>
      <c r="T6554" s="22"/>
    </row>
    <row r="6555" spans="1:20">
      <c r="A6555" s="64">
        <v>12095</v>
      </c>
      <c r="B6555" s="62">
        <v>44642</v>
      </c>
      <c r="C6555" s="63" t="s">
        <v>21832</v>
      </c>
      <c r="D6555" s="62">
        <v>44641</v>
      </c>
      <c r="E6555" s="63" t="s">
        <v>21833</v>
      </c>
      <c r="F6555" s="63" t="s">
        <v>149</v>
      </c>
      <c r="G6555" s="63" t="s">
        <v>189</v>
      </c>
      <c r="H6555" s="63" t="s">
        <v>71</v>
      </c>
      <c r="I6555" s="63" t="s">
        <v>21</v>
      </c>
      <c r="J6555" s="63" t="s">
        <v>21834</v>
      </c>
      <c r="K6555" s="63" t="s">
        <v>6081</v>
      </c>
      <c r="L6555" s="63" t="s">
        <v>21142</v>
      </c>
      <c r="M6555" s="63" t="s">
        <v>21</v>
      </c>
      <c r="N6555" s="22"/>
      <c r="O6555" s="62">
        <v>44736</v>
      </c>
      <c r="P6555" s="65" t="s">
        <v>21</v>
      </c>
      <c r="Q6555" s="66" t="b">
        <v>0</v>
      </c>
      <c r="R6555" s="22">
        <f t="shared" si="139"/>
        <v>93</v>
      </c>
      <c r="S6555" s="63" t="s">
        <v>21</v>
      </c>
      <c r="T6555" s="22"/>
    </row>
    <row r="6556" spans="1:20">
      <c r="A6556" s="38">
        <v>12096</v>
      </c>
      <c r="B6556" s="39">
        <v>44644</v>
      </c>
      <c r="C6556" s="40" t="s">
        <v>21835</v>
      </c>
      <c r="D6556" s="39">
        <v>44642</v>
      </c>
      <c r="E6556" s="40" t="s">
        <v>21836</v>
      </c>
      <c r="F6556" s="40" t="s">
        <v>2359</v>
      </c>
      <c r="G6556" s="40" t="s">
        <v>189</v>
      </c>
      <c r="H6556" s="40" t="s">
        <v>71</v>
      </c>
      <c r="I6556" s="40" t="s">
        <v>21</v>
      </c>
      <c r="J6556" s="40" t="s">
        <v>21837</v>
      </c>
      <c r="K6556" s="40" t="s">
        <v>6081</v>
      </c>
      <c r="L6556" s="40" t="s">
        <v>21142</v>
      </c>
      <c r="M6556" s="40" t="s">
        <v>21</v>
      </c>
      <c r="O6556" s="39">
        <v>44937</v>
      </c>
      <c r="P6556" s="41" t="s">
        <v>21</v>
      </c>
      <c r="Q6556" s="42" t="b">
        <v>0</v>
      </c>
      <c r="R6556" s="22">
        <f t="shared" si="139"/>
        <v>290</v>
      </c>
      <c r="S6556" s="40" t="s">
        <v>21</v>
      </c>
    </row>
    <row r="6557" spans="1:20" ht="24">
      <c r="A6557" s="38">
        <v>12098</v>
      </c>
      <c r="B6557" s="39">
        <v>44650</v>
      </c>
      <c r="C6557" s="40" t="s">
        <v>21838</v>
      </c>
      <c r="D6557" s="39">
        <v>44649</v>
      </c>
      <c r="E6557" s="40" t="s">
        <v>21839</v>
      </c>
      <c r="F6557" s="40" t="s">
        <v>11319</v>
      </c>
      <c r="G6557" s="40" t="s">
        <v>189</v>
      </c>
      <c r="H6557" s="40" t="s">
        <v>6501</v>
      </c>
      <c r="I6557" s="40" t="s">
        <v>21</v>
      </c>
      <c r="J6557" s="40" t="s">
        <v>21840</v>
      </c>
      <c r="K6557" s="40" t="s">
        <v>21841</v>
      </c>
      <c r="L6557" s="40" t="s">
        <v>21573</v>
      </c>
      <c r="M6557" s="40" t="s">
        <v>21</v>
      </c>
      <c r="O6557" s="39">
        <v>44708</v>
      </c>
      <c r="P6557" s="41" t="s">
        <v>21</v>
      </c>
      <c r="Q6557" s="42" t="b">
        <v>0</v>
      </c>
      <c r="R6557" s="22">
        <f t="shared" si="139"/>
        <v>57</v>
      </c>
      <c r="S6557" s="40" t="s">
        <v>21</v>
      </c>
    </row>
    <row r="6558" spans="1:20" ht="24">
      <c r="A6558" s="38">
        <v>12099</v>
      </c>
      <c r="B6558" s="39">
        <v>44650</v>
      </c>
      <c r="C6558" s="40" t="s">
        <v>21601</v>
      </c>
      <c r="D6558" s="39">
        <v>44649</v>
      </c>
      <c r="E6558" s="40" t="s">
        <v>21602</v>
      </c>
      <c r="F6558" s="40" t="s">
        <v>2359</v>
      </c>
      <c r="G6558" s="40" t="s">
        <v>189</v>
      </c>
      <c r="H6558" s="40" t="s">
        <v>71</v>
      </c>
      <c r="I6558" s="40" t="s">
        <v>21</v>
      </c>
      <c r="J6558" s="40" t="s">
        <v>21603</v>
      </c>
      <c r="K6558" s="40" t="s">
        <v>21604</v>
      </c>
      <c r="L6558" s="40" t="s">
        <v>21573</v>
      </c>
      <c r="M6558" s="40" t="s">
        <v>21</v>
      </c>
      <c r="O6558" s="39">
        <v>45418</v>
      </c>
      <c r="P6558" s="41" t="s">
        <v>21</v>
      </c>
      <c r="Q6558" s="42" t="b">
        <v>0</v>
      </c>
      <c r="R6558" s="22">
        <f t="shared" si="139"/>
        <v>766</v>
      </c>
      <c r="S6558" s="40" t="s">
        <v>21621</v>
      </c>
    </row>
    <row r="6559" spans="1:20" ht="24">
      <c r="A6559" s="38">
        <v>12100</v>
      </c>
      <c r="B6559" s="39">
        <v>44651</v>
      </c>
      <c r="C6559" s="40" t="s">
        <v>21605</v>
      </c>
      <c r="D6559" s="39">
        <v>44650</v>
      </c>
      <c r="E6559" s="40" t="s">
        <v>21606</v>
      </c>
      <c r="F6559" s="40" t="s">
        <v>2782</v>
      </c>
      <c r="G6559" s="40" t="s">
        <v>189</v>
      </c>
      <c r="H6559" s="40" t="s">
        <v>71</v>
      </c>
      <c r="I6559" s="40" t="s">
        <v>21</v>
      </c>
      <c r="J6559" s="40" t="s">
        <v>21607</v>
      </c>
      <c r="K6559" s="40" t="s">
        <v>9348</v>
      </c>
      <c r="L6559" s="40" t="s">
        <v>21243</v>
      </c>
      <c r="M6559" s="40" t="s">
        <v>21</v>
      </c>
      <c r="O6559" s="39">
        <v>45415</v>
      </c>
      <c r="P6559" s="41" t="s">
        <v>21</v>
      </c>
      <c r="Q6559" s="42" t="b">
        <v>0</v>
      </c>
      <c r="R6559" s="22">
        <f t="shared" si="139"/>
        <v>763</v>
      </c>
      <c r="S6559" s="40" t="s">
        <v>21621</v>
      </c>
    </row>
    <row r="6560" spans="1:20">
      <c r="A6560" s="38">
        <v>12101</v>
      </c>
      <c r="B6560" s="39">
        <v>44651</v>
      </c>
      <c r="C6560" s="40" t="s">
        <v>21842</v>
      </c>
      <c r="D6560" s="39">
        <v>44650</v>
      </c>
      <c r="E6560" s="40" t="s">
        <v>21843</v>
      </c>
      <c r="F6560" s="40" t="s">
        <v>70</v>
      </c>
      <c r="G6560" s="40" t="s">
        <v>189</v>
      </c>
      <c r="H6560" s="40" t="s">
        <v>71</v>
      </c>
      <c r="I6560" s="40" t="s">
        <v>21</v>
      </c>
      <c r="J6560" s="40" t="s">
        <v>21844</v>
      </c>
      <c r="K6560" s="40" t="s">
        <v>6081</v>
      </c>
      <c r="L6560" s="40" t="s">
        <v>21243</v>
      </c>
      <c r="M6560" s="40" t="s">
        <v>21</v>
      </c>
      <c r="O6560" s="39">
        <v>44676</v>
      </c>
      <c r="P6560" s="41" t="s">
        <v>21</v>
      </c>
      <c r="Q6560" s="42" t="b">
        <v>0</v>
      </c>
      <c r="R6560" s="22">
        <f t="shared" si="139"/>
        <v>25</v>
      </c>
      <c r="S6560" s="40" t="s">
        <v>21</v>
      </c>
    </row>
    <row r="6561" spans="1:19" ht="24">
      <c r="A6561" s="38">
        <v>12102</v>
      </c>
      <c r="B6561" s="39">
        <v>44651</v>
      </c>
      <c r="C6561" s="40" t="s">
        <v>21845</v>
      </c>
      <c r="D6561" s="39">
        <v>44650</v>
      </c>
      <c r="E6561" s="40" t="s">
        <v>21846</v>
      </c>
      <c r="F6561" s="40" t="s">
        <v>149</v>
      </c>
      <c r="G6561" s="40" t="s">
        <v>189</v>
      </c>
      <c r="H6561" s="40" t="s">
        <v>71</v>
      </c>
      <c r="I6561" s="40" t="s">
        <v>21</v>
      </c>
      <c r="J6561" s="40" t="s">
        <v>21847</v>
      </c>
      <c r="K6561" s="40" t="s">
        <v>6081</v>
      </c>
      <c r="L6561" s="40" t="s">
        <v>21243</v>
      </c>
      <c r="M6561" s="40" t="s">
        <v>21</v>
      </c>
      <c r="O6561" s="39">
        <v>44659</v>
      </c>
      <c r="P6561" s="41" t="s">
        <v>21</v>
      </c>
      <c r="Q6561" s="42" t="b">
        <v>0</v>
      </c>
      <c r="R6561" s="22">
        <f t="shared" si="139"/>
        <v>8</v>
      </c>
      <c r="S6561" s="40" t="s">
        <v>21</v>
      </c>
    </row>
    <row r="6562" spans="1:19" ht="36">
      <c r="A6562" s="38">
        <v>12103</v>
      </c>
      <c r="B6562" s="39">
        <v>44651</v>
      </c>
      <c r="C6562" s="40" t="s">
        <v>21848</v>
      </c>
      <c r="D6562" s="39">
        <v>44651</v>
      </c>
      <c r="E6562" s="40" t="s">
        <v>21849</v>
      </c>
      <c r="F6562" s="40" t="s">
        <v>124</v>
      </c>
      <c r="G6562" s="40" t="s">
        <v>189</v>
      </c>
      <c r="H6562" s="40" t="s">
        <v>71</v>
      </c>
      <c r="I6562" s="40" t="s">
        <v>21</v>
      </c>
      <c r="J6562" s="40" t="s">
        <v>21850</v>
      </c>
      <c r="K6562" s="40" t="s">
        <v>21851</v>
      </c>
      <c r="L6562" s="40" t="s">
        <v>4282</v>
      </c>
      <c r="M6562" s="40" t="s">
        <v>21</v>
      </c>
      <c r="O6562" s="39">
        <v>44827</v>
      </c>
      <c r="P6562" s="41" t="s">
        <v>21</v>
      </c>
      <c r="Q6562" s="42" t="b">
        <v>0</v>
      </c>
      <c r="R6562" s="22">
        <f t="shared" si="139"/>
        <v>175</v>
      </c>
      <c r="S6562" s="40" t="s">
        <v>21852</v>
      </c>
    </row>
    <row r="6563" spans="1:19" ht="24">
      <c r="A6563" s="38">
        <v>12104</v>
      </c>
      <c r="B6563" s="39">
        <v>44655</v>
      </c>
      <c r="C6563" s="40" t="s">
        <v>21853</v>
      </c>
      <c r="D6563" s="39">
        <v>44655</v>
      </c>
      <c r="E6563" s="40" t="s">
        <v>21625</v>
      </c>
      <c r="F6563" s="40" t="s">
        <v>124</v>
      </c>
      <c r="G6563" s="40" t="s">
        <v>189</v>
      </c>
      <c r="H6563" s="40" t="s">
        <v>71</v>
      </c>
      <c r="I6563" s="40" t="s">
        <v>21</v>
      </c>
      <c r="J6563" s="40" t="s">
        <v>21854</v>
      </c>
      <c r="K6563" s="40" t="s">
        <v>21855</v>
      </c>
      <c r="L6563" s="40" t="s">
        <v>7167</v>
      </c>
      <c r="M6563" s="40" t="s">
        <v>21</v>
      </c>
      <c r="O6563" s="39">
        <v>44679</v>
      </c>
      <c r="P6563" s="41" t="s">
        <v>21</v>
      </c>
      <c r="Q6563" s="42" t="b">
        <v>0</v>
      </c>
      <c r="R6563" s="22">
        <f t="shared" si="139"/>
        <v>24</v>
      </c>
      <c r="S6563" s="40" t="s">
        <v>21623</v>
      </c>
    </row>
    <row r="6564" spans="1:19">
      <c r="A6564" s="38">
        <v>12105</v>
      </c>
      <c r="B6564" s="39">
        <v>44655</v>
      </c>
      <c r="C6564" s="40" t="s">
        <v>21856</v>
      </c>
      <c r="D6564" s="39">
        <v>44655</v>
      </c>
      <c r="E6564" s="40" t="s">
        <v>1928</v>
      </c>
      <c r="F6564" s="40" t="s">
        <v>1743</v>
      </c>
      <c r="G6564" s="40" t="s">
        <v>189</v>
      </c>
      <c r="H6564" s="40" t="s">
        <v>71</v>
      </c>
      <c r="I6564" s="40" t="s">
        <v>21</v>
      </c>
      <c r="J6564" s="40" t="s">
        <v>21857</v>
      </c>
      <c r="K6564" s="40" t="s">
        <v>21493</v>
      </c>
      <c r="L6564" s="40" t="s">
        <v>21243</v>
      </c>
      <c r="M6564" s="40" t="s">
        <v>21</v>
      </c>
      <c r="O6564" s="39">
        <v>44658</v>
      </c>
      <c r="P6564" s="41" t="s">
        <v>21</v>
      </c>
      <c r="Q6564" s="42" t="b">
        <v>0</v>
      </c>
      <c r="R6564" s="22">
        <f t="shared" si="139"/>
        <v>3</v>
      </c>
      <c r="S6564" s="40" t="s">
        <v>21</v>
      </c>
    </row>
    <row r="6565" spans="1:19">
      <c r="A6565" s="38">
        <v>12107</v>
      </c>
      <c r="B6565" s="39">
        <v>44658</v>
      </c>
      <c r="C6565" s="40" t="s">
        <v>21858</v>
      </c>
      <c r="D6565" s="39">
        <v>44656</v>
      </c>
      <c r="E6565" s="40" t="s">
        <v>21859</v>
      </c>
      <c r="F6565" s="40" t="s">
        <v>6298</v>
      </c>
      <c r="G6565" s="40" t="s">
        <v>189</v>
      </c>
      <c r="H6565" s="40" t="s">
        <v>71</v>
      </c>
      <c r="I6565" s="40" t="s">
        <v>21</v>
      </c>
      <c r="J6565" s="40" t="s">
        <v>21860</v>
      </c>
      <c r="K6565" s="40" t="s">
        <v>6081</v>
      </c>
      <c r="L6565" s="40" t="s">
        <v>21573</v>
      </c>
      <c r="M6565" s="40" t="s">
        <v>21</v>
      </c>
      <c r="O6565" s="39">
        <v>44721</v>
      </c>
      <c r="P6565" s="41" t="s">
        <v>21</v>
      </c>
      <c r="Q6565" s="42" t="b">
        <v>0</v>
      </c>
      <c r="R6565" s="22">
        <f t="shared" si="139"/>
        <v>62</v>
      </c>
      <c r="S6565" s="40" t="s">
        <v>21</v>
      </c>
    </row>
    <row r="6566" spans="1:19" ht="60">
      <c r="A6566" s="38">
        <v>12108</v>
      </c>
      <c r="B6566" s="39">
        <v>44658</v>
      </c>
      <c r="C6566" s="40" t="s">
        <v>21608</v>
      </c>
      <c r="D6566" s="39">
        <v>44655</v>
      </c>
      <c r="E6566" s="40" t="s">
        <v>21609</v>
      </c>
      <c r="F6566" s="40" t="s">
        <v>124</v>
      </c>
      <c r="G6566" s="40" t="s">
        <v>189</v>
      </c>
      <c r="H6566" s="40" t="s">
        <v>71</v>
      </c>
      <c r="I6566" s="40" t="s">
        <v>21</v>
      </c>
      <c r="J6566" s="40" t="s">
        <v>21610</v>
      </c>
      <c r="K6566" s="40" t="s">
        <v>9348</v>
      </c>
      <c r="L6566" s="40" t="s">
        <v>22185</v>
      </c>
      <c r="M6566" s="40" t="s">
        <v>21142</v>
      </c>
      <c r="O6566" s="39">
        <v>45492</v>
      </c>
      <c r="P6566" s="41" t="s">
        <v>21</v>
      </c>
      <c r="Q6566" s="42" t="b">
        <v>0</v>
      </c>
      <c r="R6566" s="22">
        <f t="shared" si="139"/>
        <v>833</v>
      </c>
      <c r="S6566" s="40" t="s">
        <v>22191</v>
      </c>
    </row>
    <row r="6567" spans="1:19" ht="24">
      <c r="A6567" s="38">
        <v>12109</v>
      </c>
      <c r="B6567" s="39">
        <v>44662</v>
      </c>
      <c r="C6567" s="40" t="s">
        <v>21611</v>
      </c>
      <c r="D6567" s="39">
        <v>44662</v>
      </c>
      <c r="E6567" s="40" t="s">
        <v>21612</v>
      </c>
      <c r="F6567" s="40" t="s">
        <v>15716</v>
      </c>
      <c r="G6567" s="40" t="s">
        <v>20</v>
      </c>
      <c r="H6567" s="40" t="s">
        <v>566</v>
      </c>
      <c r="I6567" s="40" t="s">
        <v>21</v>
      </c>
      <c r="J6567" s="40" t="s">
        <v>21613</v>
      </c>
      <c r="K6567" s="40" t="s">
        <v>21614</v>
      </c>
      <c r="L6567" s="40" t="s">
        <v>21573</v>
      </c>
      <c r="M6567" s="40" t="s">
        <v>21</v>
      </c>
      <c r="O6567" s="39">
        <v>45583</v>
      </c>
      <c r="P6567" s="41" t="s">
        <v>21</v>
      </c>
      <c r="Q6567" s="42" t="b">
        <v>0</v>
      </c>
      <c r="R6567" s="22">
        <f t="shared" si="139"/>
        <v>919</v>
      </c>
      <c r="S6567" s="40" t="s">
        <v>22192</v>
      </c>
    </row>
    <row r="6568" spans="1:19" ht="24">
      <c r="A6568" s="38">
        <v>12110</v>
      </c>
      <c r="B6568" s="39">
        <v>44678</v>
      </c>
      <c r="C6568" s="40" t="s">
        <v>21615</v>
      </c>
      <c r="D6568" s="39">
        <v>44665</v>
      </c>
      <c r="E6568" s="40" t="s">
        <v>21616</v>
      </c>
      <c r="F6568" s="40" t="s">
        <v>327</v>
      </c>
      <c r="G6568" s="40" t="s">
        <v>189</v>
      </c>
      <c r="H6568" s="40" t="s">
        <v>71</v>
      </c>
      <c r="I6568" s="40" t="s">
        <v>21</v>
      </c>
      <c r="J6568" s="40" t="s">
        <v>21617</v>
      </c>
      <c r="K6568" s="40" t="s">
        <v>9348</v>
      </c>
      <c r="L6568" s="40" t="s">
        <v>22185</v>
      </c>
      <c r="M6568" s="40" t="s">
        <v>21573</v>
      </c>
      <c r="O6568" s="39">
        <v>45534</v>
      </c>
      <c r="P6568" s="41" t="s">
        <v>21</v>
      </c>
      <c r="Q6568" s="42" t="b">
        <v>0</v>
      </c>
      <c r="R6568" s="22">
        <f t="shared" si="139"/>
        <v>854</v>
      </c>
      <c r="S6568" s="40" t="s">
        <v>22193</v>
      </c>
    </row>
    <row r="6569" spans="1:19">
      <c r="A6569" s="38">
        <v>12111</v>
      </c>
      <c r="B6569" s="39">
        <v>44678</v>
      </c>
      <c r="C6569" s="40" t="s">
        <v>21618</v>
      </c>
      <c r="D6569" s="39">
        <v>44670</v>
      </c>
      <c r="E6569" s="40" t="s">
        <v>21619</v>
      </c>
      <c r="F6569" s="40" t="s">
        <v>124</v>
      </c>
      <c r="G6569" s="40" t="s">
        <v>189</v>
      </c>
      <c r="H6569" s="40" t="s">
        <v>71</v>
      </c>
      <c r="I6569" s="40" t="s">
        <v>21</v>
      </c>
      <c r="J6569" s="40" t="s">
        <v>21620</v>
      </c>
      <c r="K6569" s="40" t="s">
        <v>9348</v>
      </c>
      <c r="L6569" s="40" t="s">
        <v>21573</v>
      </c>
      <c r="M6569" s="40" t="s">
        <v>21</v>
      </c>
      <c r="O6569" s="39">
        <v>44719</v>
      </c>
      <c r="P6569" s="41" t="s">
        <v>21</v>
      </c>
      <c r="Q6569" s="42" t="b">
        <v>0</v>
      </c>
      <c r="R6569" s="22">
        <f t="shared" si="139"/>
        <v>40</v>
      </c>
      <c r="S6569" s="40" t="s">
        <v>21</v>
      </c>
    </row>
    <row r="6570" spans="1:19">
      <c r="A6570" s="38">
        <v>12112</v>
      </c>
      <c r="B6570" s="39">
        <v>44678</v>
      </c>
      <c r="C6570" s="40" t="s">
        <v>21861</v>
      </c>
      <c r="D6570" s="39">
        <v>44665</v>
      </c>
      <c r="E6570" s="40" t="s">
        <v>21862</v>
      </c>
      <c r="F6570" s="40" t="s">
        <v>242</v>
      </c>
      <c r="G6570" s="40" t="s">
        <v>189</v>
      </c>
      <c r="H6570" s="40" t="s">
        <v>71</v>
      </c>
      <c r="I6570" s="40" t="s">
        <v>21</v>
      </c>
      <c r="J6570" s="40" t="s">
        <v>6950</v>
      </c>
      <c r="K6570" s="40" t="s">
        <v>6081</v>
      </c>
      <c r="L6570" s="40" t="s">
        <v>21243</v>
      </c>
      <c r="M6570" s="40" t="s">
        <v>21</v>
      </c>
      <c r="O6570" s="39">
        <v>44712</v>
      </c>
      <c r="P6570" s="41" t="s">
        <v>21</v>
      </c>
      <c r="Q6570" s="42" t="b">
        <v>0</v>
      </c>
      <c r="R6570" s="22">
        <f t="shared" si="139"/>
        <v>34</v>
      </c>
      <c r="S6570" s="40" t="s">
        <v>21</v>
      </c>
    </row>
    <row r="6571" spans="1:19">
      <c r="A6571" s="64">
        <v>12113</v>
      </c>
      <c r="B6571" s="62">
        <v>44679</v>
      </c>
      <c r="C6571" s="63" t="s">
        <v>21863</v>
      </c>
      <c r="D6571" s="62">
        <v>44673</v>
      </c>
      <c r="E6571" s="63" t="s">
        <v>1928</v>
      </c>
      <c r="F6571" s="63" t="s">
        <v>1743</v>
      </c>
      <c r="G6571" s="63" t="s">
        <v>189</v>
      </c>
      <c r="H6571" s="63" t="s">
        <v>71</v>
      </c>
      <c r="I6571" s="63" t="s">
        <v>21</v>
      </c>
      <c r="J6571" s="63" t="s">
        <v>21864</v>
      </c>
      <c r="K6571" s="63" t="s">
        <v>21865</v>
      </c>
      <c r="L6571" s="63" t="s">
        <v>7167</v>
      </c>
      <c r="M6571" s="63" t="s">
        <v>21</v>
      </c>
      <c r="N6571" s="45">
        <v>44687</v>
      </c>
      <c r="O6571" s="45">
        <v>44679</v>
      </c>
      <c r="P6571" s="65" t="s">
        <v>21</v>
      </c>
      <c r="Q6571" s="66" t="b">
        <v>0</v>
      </c>
      <c r="R6571" s="22">
        <f t="shared" si="139"/>
        <v>0</v>
      </c>
      <c r="S6571" s="63" t="s">
        <v>21</v>
      </c>
    </row>
    <row r="6572" spans="1:19" ht="60">
      <c r="A6572" s="64">
        <v>12114</v>
      </c>
      <c r="B6572" s="62">
        <v>44679</v>
      </c>
      <c r="C6572" s="63" t="s">
        <v>21622</v>
      </c>
      <c r="D6572" s="62">
        <v>44679</v>
      </c>
      <c r="E6572" s="63" t="s">
        <v>21623</v>
      </c>
      <c r="F6572" s="63" t="s">
        <v>124</v>
      </c>
      <c r="G6572" s="63" t="s">
        <v>189</v>
      </c>
      <c r="H6572" s="63" t="s">
        <v>71</v>
      </c>
      <c r="I6572" s="63" t="s">
        <v>21</v>
      </c>
      <c r="J6572" s="63" t="s">
        <v>21624</v>
      </c>
      <c r="K6572" s="63" t="s">
        <v>9348</v>
      </c>
      <c r="L6572" s="63" t="s">
        <v>4282</v>
      </c>
      <c r="M6572" s="63" t="s">
        <v>7167</v>
      </c>
      <c r="O6572" s="45">
        <v>45510</v>
      </c>
      <c r="P6572" s="65" t="s">
        <v>21</v>
      </c>
      <c r="Q6572" s="66" t="b">
        <v>0</v>
      </c>
      <c r="R6572" s="22">
        <f t="shared" si="139"/>
        <v>829</v>
      </c>
      <c r="S6572" s="63" t="s">
        <v>22194</v>
      </c>
    </row>
    <row r="6573" spans="1:19">
      <c r="A6573" s="64">
        <v>12115</v>
      </c>
      <c r="B6573" s="62">
        <v>44683</v>
      </c>
      <c r="C6573" s="63" t="s">
        <v>21866</v>
      </c>
      <c r="D6573" s="62">
        <v>44683</v>
      </c>
      <c r="E6573" s="63" t="s">
        <v>1928</v>
      </c>
      <c r="F6573" s="63" t="s">
        <v>1743</v>
      </c>
      <c r="G6573" s="63" t="s">
        <v>189</v>
      </c>
      <c r="H6573" s="63" t="s">
        <v>71</v>
      </c>
      <c r="I6573" s="63" t="s">
        <v>21</v>
      </c>
      <c r="J6573" s="63" t="s">
        <v>21867</v>
      </c>
      <c r="K6573" s="63" t="s">
        <v>21868</v>
      </c>
      <c r="L6573" s="63" t="s">
        <v>21573</v>
      </c>
      <c r="M6573" s="63" t="s">
        <v>21</v>
      </c>
      <c r="N6573" s="45">
        <v>44697</v>
      </c>
      <c r="O6573" s="45">
        <v>44684</v>
      </c>
      <c r="P6573" s="65" t="s">
        <v>21</v>
      </c>
      <c r="Q6573" s="66" t="b">
        <v>0</v>
      </c>
      <c r="R6573" s="22">
        <f t="shared" si="139"/>
        <v>1</v>
      </c>
      <c r="S6573" s="63" t="s">
        <v>21</v>
      </c>
    </row>
    <row r="6574" spans="1:19">
      <c r="A6574" s="64">
        <v>12116</v>
      </c>
      <c r="B6574" s="62">
        <v>44684</v>
      </c>
      <c r="C6574" s="63" t="s">
        <v>21869</v>
      </c>
      <c r="D6574" s="62">
        <v>44683</v>
      </c>
      <c r="E6574" s="63" t="s">
        <v>1928</v>
      </c>
      <c r="F6574" s="63" t="s">
        <v>1743</v>
      </c>
      <c r="G6574" s="63" t="s">
        <v>189</v>
      </c>
      <c r="H6574" s="63" t="s">
        <v>71</v>
      </c>
      <c r="I6574" s="63" t="s">
        <v>21</v>
      </c>
      <c r="J6574" s="63" t="s">
        <v>21870</v>
      </c>
      <c r="K6574" s="63" t="s">
        <v>21871</v>
      </c>
      <c r="L6574" s="63" t="s">
        <v>7167</v>
      </c>
      <c r="M6574" s="63" t="s">
        <v>21</v>
      </c>
      <c r="O6574" s="45">
        <v>44684</v>
      </c>
      <c r="P6574" s="65" t="s">
        <v>21</v>
      </c>
      <c r="Q6574" s="66" t="b">
        <v>0</v>
      </c>
      <c r="R6574" s="22">
        <f t="shared" si="139"/>
        <v>0</v>
      </c>
      <c r="S6574" s="63" t="s">
        <v>21</v>
      </c>
    </row>
    <row r="6575" spans="1:19" ht="24">
      <c r="A6575" s="38">
        <v>12117</v>
      </c>
      <c r="B6575" s="39">
        <v>44684</v>
      </c>
      <c r="C6575" s="40" t="s">
        <v>21626</v>
      </c>
      <c r="D6575" s="39">
        <v>44683</v>
      </c>
      <c r="E6575" s="40" t="s">
        <v>21627</v>
      </c>
      <c r="F6575" s="40" t="s">
        <v>6298</v>
      </c>
      <c r="G6575" s="40" t="s">
        <v>189</v>
      </c>
      <c r="H6575" s="40" t="s">
        <v>71</v>
      </c>
      <c r="I6575" s="40" t="s">
        <v>21</v>
      </c>
      <c r="J6575" s="40" t="s">
        <v>21628</v>
      </c>
      <c r="K6575" s="40" t="s">
        <v>6561</v>
      </c>
      <c r="L6575" s="40" t="s">
        <v>21573</v>
      </c>
      <c r="M6575" s="40" t="s">
        <v>21</v>
      </c>
      <c r="O6575" s="39">
        <v>44734</v>
      </c>
      <c r="P6575" s="41" t="s">
        <v>21</v>
      </c>
      <c r="Q6575" s="42" t="b">
        <v>0</v>
      </c>
      <c r="R6575" s="22">
        <f t="shared" si="139"/>
        <v>49</v>
      </c>
      <c r="S6575" s="40" t="s">
        <v>21</v>
      </c>
    </row>
    <row r="6576" spans="1:19">
      <c r="A6576" s="38">
        <v>12118</v>
      </c>
      <c r="B6576" s="39">
        <v>44685</v>
      </c>
      <c r="C6576" s="40" t="s">
        <v>21872</v>
      </c>
      <c r="D6576" s="39">
        <v>44684</v>
      </c>
      <c r="E6576" s="40" t="s">
        <v>1928</v>
      </c>
      <c r="F6576" s="40" t="s">
        <v>1743</v>
      </c>
      <c r="G6576" s="40" t="s">
        <v>189</v>
      </c>
      <c r="H6576" s="40" t="s">
        <v>71</v>
      </c>
      <c r="I6576" s="40" t="s">
        <v>21</v>
      </c>
      <c r="J6576" s="40" t="s">
        <v>21873</v>
      </c>
      <c r="K6576" s="40" t="s">
        <v>21874</v>
      </c>
      <c r="L6576" s="40" t="s">
        <v>21243</v>
      </c>
      <c r="M6576" s="40" t="s">
        <v>21</v>
      </c>
      <c r="N6576" s="45">
        <v>44698</v>
      </c>
      <c r="O6576" s="39">
        <v>44686</v>
      </c>
      <c r="P6576" s="41" t="s">
        <v>21</v>
      </c>
      <c r="Q6576" s="42" t="b">
        <v>0</v>
      </c>
      <c r="R6576" s="22">
        <f t="shared" si="139"/>
        <v>1</v>
      </c>
      <c r="S6576" s="40" t="s">
        <v>21</v>
      </c>
    </row>
    <row r="6577" spans="1:19">
      <c r="A6577" s="38">
        <v>12119</v>
      </c>
      <c r="B6577" s="39">
        <v>44690</v>
      </c>
      <c r="C6577" s="40" t="s">
        <v>21630</v>
      </c>
      <c r="D6577" s="39">
        <v>44685</v>
      </c>
      <c r="E6577" s="40" t="s">
        <v>21631</v>
      </c>
      <c r="F6577" s="40" t="s">
        <v>2146</v>
      </c>
      <c r="G6577" s="40" t="s">
        <v>189</v>
      </c>
      <c r="H6577" s="40" t="s">
        <v>189</v>
      </c>
      <c r="I6577" s="40" t="s">
        <v>21</v>
      </c>
      <c r="J6577" s="40" t="s">
        <v>21632</v>
      </c>
      <c r="K6577" s="40" t="s">
        <v>21633</v>
      </c>
      <c r="L6577" s="40" t="s">
        <v>7167</v>
      </c>
      <c r="M6577" s="40" t="s">
        <v>21</v>
      </c>
      <c r="O6577" s="39">
        <v>44728</v>
      </c>
      <c r="P6577" s="41" t="s">
        <v>21</v>
      </c>
      <c r="Q6577" s="42" t="b">
        <v>0</v>
      </c>
      <c r="R6577" s="22">
        <f t="shared" si="139"/>
        <v>37</v>
      </c>
      <c r="S6577" s="40" t="s">
        <v>21</v>
      </c>
    </row>
    <row r="6578" spans="1:19">
      <c r="A6578" s="38">
        <v>12120</v>
      </c>
      <c r="B6578" s="39">
        <v>44690</v>
      </c>
      <c r="C6578" s="40" t="s">
        <v>21875</v>
      </c>
      <c r="D6578" s="39">
        <v>44687</v>
      </c>
      <c r="E6578" s="40" t="s">
        <v>1928</v>
      </c>
      <c r="F6578" s="40" t="s">
        <v>1743</v>
      </c>
      <c r="G6578" s="40" t="s">
        <v>189</v>
      </c>
      <c r="H6578" s="40" t="s">
        <v>71</v>
      </c>
      <c r="I6578" s="40" t="s">
        <v>21</v>
      </c>
      <c r="J6578" s="40" t="s">
        <v>21876</v>
      </c>
      <c r="K6578" s="40" t="s">
        <v>21877</v>
      </c>
      <c r="L6578" s="40" t="s">
        <v>21878</v>
      </c>
      <c r="M6578" s="40" t="s">
        <v>21</v>
      </c>
      <c r="N6578" s="45">
        <v>44701</v>
      </c>
      <c r="O6578" s="39">
        <v>44691</v>
      </c>
      <c r="P6578" s="41" t="s">
        <v>21</v>
      </c>
      <c r="Q6578" s="42" t="b">
        <v>0</v>
      </c>
      <c r="R6578" s="22">
        <f t="shared" si="139"/>
        <v>1</v>
      </c>
      <c r="S6578" s="40" t="s">
        <v>21</v>
      </c>
    </row>
    <row r="6579" spans="1:19">
      <c r="A6579" s="38">
        <v>12121</v>
      </c>
      <c r="B6579" s="39">
        <v>44692</v>
      </c>
      <c r="C6579" s="40" t="s">
        <v>21879</v>
      </c>
      <c r="D6579" s="39">
        <v>44687</v>
      </c>
      <c r="E6579" s="40" t="s">
        <v>21880</v>
      </c>
      <c r="F6579" s="40" t="s">
        <v>5620</v>
      </c>
      <c r="G6579" s="40" t="s">
        <v>189</v>
      </c>
      <c r="H6579" s="40" t="s">
        <v>71</v>
      </c>
      <c r="I6579" s="40" t="s">
        <v>21</v>
      </c>
      <c r="J6579" s="40" t="s">
        <v>21881</v>
      </c>
      <c r="K6579" s="40" t="s">
        <v>21882</v>
      </c>
      <c r="L6579" s="40" t="s">
        <v>21243</v>
      </c>
      <c r="M6579" s="40" t="s">
        <v>21</v>
      </c>
      <c r="O6579" s="39">
        <v>44741</v>
      </c>
      <c r="P6579" s="41" t="s">
        <v>21</v>
      </c>
      <c r="Q6579" s="42" t="b">
        <v>0</v>
      </c>
      <c r="R6579" s="22">
        <f t="shared" si="139"/>
        <v>48</v>
      </c>
      <c r="S6579" s="40" t="s">
        <v>21</v>
      </c>
    </row>
    <row r="6580" spans="1:19">
      <c r="A6580" s="38">
        <v>12122</v>
      </c>
      <c r="B6580" s="39">
        <v>44692</v>
      </c>
      <c r="C6580" s="40" t="s">
        <v>21883</v>
      </c>
      <c r="D6580" s="39">
        <v>44687</v>
      </c>
      <c r="E6580" s="40" t="s">
        <v>21884</v>
      </c>
      <c r="F6580" s="40" t="s">
        <v>8406</v>
      </c>
      <c r="G6580" s="40" t="s">
        <v>189</v>
      </c>
      <c r="H6580" s="40" t="s">
        <v>71</v>
      </c>
      <c r="I6580" s="40" t="s">
        <v>21</v>
      </c>
      <c r="J6580" s="40" t="s">
        <v>21885</v>
      </c>
      <c r="K6580" s="40" t="s">
        <v>6081</v>
      </c>
      <c r="L6580" s="40" t="s">
        <v>21573</v>
      </c>
      <c r="M6580" s="40" t="s">
        <v>21</v>
      </c>
      <c r="O6580" s="39">
        <v>44719</v>
      </c>
      <c r="P6580" s="41" t="s">
        <v>21</v>
      </c>
      <c r="Q6580" s="42" t="b">
        <v>0</v>
      </c>
      <c r="R6580" s="22">
        <f t="shared" si="139"/>
        <v>26</v>
      </c>
      <c r="S6580" s="40" t="s">
        <v>21</v>
      </c>
    </row>
    <row r="6581" spans="1:19" ht="24">
      <c r="A6581" s="38">
        <v>12123</v>
      </c>
      <c r="B6581" s="39">
        <v>44694</v>
      </c>
      <c r="C6581" s="40" t="s">
        <v>21886</v>
      </c>
      <c r="D6581" s="39">
        <v>44692</v>
      </c>
      <c r="E6581" s="40" t="s">
        <v>21887</v>
      </c>
      <c r="F6581" s="40" t="s">
        <v>216</v>
      </c>
      <c r="G6581" s="40" t="s">
        <v>189</v>
      </c>
      <c r="H6581" s="40" t="s">
        <v>71</v>
      </c>
      <c r="I6581" s="40" t="s">
        <v>21</v>
      </c>
      <c r="J6581" s="40" t="s">
        <v>21888</v>
      </c>
      <c r="K6581" s="40" t="s">
        <v>6081</v>
      </c>
      <c r="L6581" s="40" t="s">
        <v>21142</v>
      </c>
      <c r="M6581" s="40" t="s">
        <v>21</v>
      </c>
      <c r="O6581" s="39">
        <v>44774</v>
      </c>
      <c r="P6581" s="41" t="s">
        <v>21</v>
      </c>
      <c r="Q6581" s="42" t="b">
        <v>0</v>
      </c>
      <c r="R6581" s="22">
        <f t="shared" si="139"/>
        <v>79</v>
      </c>
      <c r="S6581" s="40" t="s">
        <v>21</v>
      </c>
    </row>
    <row r="6582" spans="1:19" ht="24">
      <c r="A6582" s="38">
        <v>12124</v>
      </c>
      <c r="B6582" s="39">
        <v>44694</v>
      </c>
      <c r="C6582" s="40" t="s">
        <v>21889</v>
      </c>
      <c r="D6582" s="39">
        <v>44692</v>
      </c>
      <c r="E6582" s="40" t="s">
        <v>21890</v>
      </c>
      <c r="F6582" s="40" t="s">
        <v>216</v>
      </c>
      <c r="G6582" s="40" t="s">
        <v>189</v>
      </c>
      <c r="H6582" s="40" t="s">
        <v>71</v>
      </c>
      <c r="I6582" s="40" t="s">
        <v>21</v>
      </c>
      <c r="J6582" s="40" t="s">
        <v>21888</v>
      </c>
      <c r="K6582" s="40" t="s">
        <v>6081</v>
      </c>
      <c r="L6582" s="40" t="s">
        <v>21142</v>
      </c>
      <c r="M6582" s="40" t="s">
        <v>21</v>
      </c>
      <c r="O6582" s="39">
        <v>44774</v>
      </c>
      <c r="P6582" s="41" t="s">
        <v>21</v>
      </c>
      <c r="Q6582" s="42" t="b">
        <v>0</v>
      </c>
      <c r="R6582" s="22">
        <f t="shared" si="139"/>
        <v>79</v>
      </c>
      <c r="S6582" s="40" t="s">
        <v>21</v>
      </c>
    </row>
    <row r="6583" spans="1:19">
      <c r="A6583" s="64">
        <v>12126</v>
      </c>
      <c r="B6583" s="62">
        <v>44698</v>
      </c>
      <c r="C6583" s="63" t="s">
        <v>21634</v>
      </c>
      <c r="D6583" s="62">
        <v>44694</v>
      </c>
      <c r="E6583" s="63" t="s">
        <v>21635</v>
      </c>
      <c r="F6583" s="63" t="s">
        <v>149</v>
      </c>
      <c r="G6583" s="63" t="s">
        <v>189</v>
      </c>
      <c r="H6583" s="63" t="s">
        <v>71</v>
      </c>
      <c r="I6583" s="63" t="s">
        <v>21</v>
      </c>
      <c r="J6583" s="63" t="s">
        <v>21636</v>
      </c>
      <c r="K6583" s="63" t="s">
        <v>21637</v>
      </c>
      <c r="L6583" s="63" t="s">
        <v>21243</v>
      </c>
      <c r="M6583" s="63" t="s">
        <v>21</v>
      </c>
      <c r="O6583" s="45">
        <v>44734</v>
      </c>
      <c r="P6583" s="65" t="s">
        <v>21</v>
      </c>
      <c r="Q6583" s="66" t="b">
        <v>0</v>
      </c>
      <c r="R6583" s="22">
        <f t="shared" si="139"/>
        <v>35</v>
      </c>
      <c r="S6583" s="63" t="s">
        <v>21</v>
      </c>
    </row>
    <row r="6584" spans="1:19">
      <c r="A6584" s="38">
        <v>12127</v>
      </c>
      <c r="B6584" s="39">
        <v>44698</v>
      </c>
      <c r="C6584" s="40" t="s">
        <v>21891</v>
      </c>
      <c r="D6584" s="39">
        <v>44698</v>
      </c>
      <c r="E6584" s="40" t="s">
        <v>21892</v>
      </c>
      <c r="F6584" s="40" t="s">
        <v>1771</v>
      </c>
      <c r="G6584" s="40" t="s">
        <v>189</v>
      </c>
      <c r="H6584" s="40" t="s">
        <v>189</v>
      </c>
      <c r="I6584" s="40" t="s">
        <v>21</v>
      </c>
      <c r="J6584" s="40" t="s">
        <v>21893</v>
      </c>
      <c r="K6584" s="40" t="s">
        <v>21894</v>
      </c>
      <c r="L6584" s="40" t="s">
        <v>21142</v>
      </c>
      <c r="M6584" s="40" t="s">
        <v>21</v>
      </c>
      <c r="O6584" s="39">
        <v>44769</v>
      </c>
      <c r="P6584" s="41" t="s">
        <v>21</v>
      </c>
      <c r="Q6584" s="42" t="b">
        <v>0</v>
      </c>
      <c r="R6584" s="22">
        <f t="shared" si="139"/>
        <v>70</v>
      </c>
      <c r="S6584" s="40" t="s">
        <v>21</v>
      </c>
    </row>
    <row r="6585" spans="1:19">
      <c r="A6585" s="64">
        <v>12128</v>
      </c>
      <c r="B6585" s="62">
        <v>44706</v>
      </c>
      <c r="C6585" s="63" t="s">
        <v>21895</v>
      </c>
      <c r="D6585" s="62">
        <v>44706</v>
      </c>
      <c r="E6585" s="63" t="s">
        <v>38</v>
      </c>
      <c r="F6585" s="63" t="s">
        <v>5620</v>
      </c>
      <c r="G6585" s="63" t="s">
        <v>189</v>
      </c>
      <c r="H6585" s="63" t="s">
        <v>71</v>
      </c>
      <c r="I6585" s="63" t="s">
        <v>21</v>
      </c>
      <c r="J6585" s="63" t="s">
        <v>21896</v>
      </c>
      <c r="K6585" s="63" t="s">
        <v>21242</v>
      </c>
      <c r="L6585" s="63" t="s">
        <v>21142</v>
      </c>
      <c r="M6585" s="63" t="s">
        <v>21</v>
      </c>
      <c r="O6585" s="45">
        <v>44707</v>
      </c>
      <c r="P6585" s="65" t="s">
        <v>21</v>
      </c>
      <c r="Q6585" s="66" t="b">
        <v>0</v>
      </c>
      <c r="R6585" s="22">
        <f t="shared" si="139"/>
        <v>1</v>
      </c>
      <c r="S6585" s="63" t="s">
        <v>21</v>
      </c>
    </row>
    <row r="6586" spans="1:19">
      <c r="A6586" s="26">
        <v>12129</v>
      </c>
      <c r="B6586" s="27">
        <v>44708</v>
      </c>
      <c r="C6586" s="28" t="s">
        <v>21897</v>
      </c>
      <c r="D6586" s="27">
        <v>44708</v>
      </c>
      <c r="E6586" s="28" t="s">
        <v>21898</v>
      </c>
      <c r="F6586" s="28" t="s">
        <v>242</v>
      </c>
      <c r="G6586" s="28" t="s">
        <v>189</v>
      </c>
      <c r="H6586" s="28" t="s">
        <v>71</v>
      </c>
      <c r="I6586" s="28" t="s">
        <v>21</v>
      </c>
      <c r="J6586" s="28" t="s">
        <v>21899</v>
      </c>
      <c r="K6586" s="28" t="s">
        <v>19620</v>
      </c>
      <c r="L6586" s="28" t="s">
        <v>21142</v>
      </c>
      <c r="M6586" s="28" t="s">
        <v>21</v>
      </c>
      <c r="O6586" s="27">
        <v>44944</v>
      </c>
      <c r="P6586" s="28" t="s">
        <v>21</v>
      </c>
      <c r="Q6586" s="26" t="b">
        <v>0</v>
      </c>
      <c r="R6586" s="22">
        <f t="shared" si="139"/>
        <v>234</v>
      </c>
      <c r="S6586" s="28" t="s">
        <v>21</v>
      </c>
    </row>
    <row r="6587" spans="1:19">
      <c r="A6587" s="64">
        <v>12130</v>
      </c>
      <c r="B6587" s="62">
        <v>44708</v>
      </c>
      <c r="C6587" s="63" t="s">
        <v>21638</v>
      </c>
      <c r="D6587" s="62">
        <v>44705</v>
      </c>
      <c r="E6587" s="63" t="s">
        <v>21639</v>
      </c>
      <c r="F6587" s="63" t="s">
        <v>149</v>
      </c>
      <c r="G6587" s="63" t="s">
        <v>189</v>
      </c>
      <c r="H6587" s="63" t="s">
        <v>71</v>
      </c>
      <c r="I6587" s="63" t="s">
        <v>21</v>
      </c>
      <c r="J6587" s="63" t="s">
        <v>21640</v>
      </c>
      <c r="K6587" s="63" t="s">
        <v>21641</v>
      </c>
      <c r="L6587" s="63" t="s">
        <v>22185</v>
      </c>
      <c r="M6587" s="63" t="s">
        <v>22195</v>
      </c>
      <c r="P6587" s="65" t="s">
        <v>21</v>
      </c>
      <c r="Q6587" s="66" t="b">
        <v>0</v>
      </c>
      <c r="R6587" s="66"/>
      <c r="S6587" s="63" t="s">
        <v>21</v>
      </c>
    </row>
    <row r="6588" spans="1:19" ht="24">
      <c r="A6588" s="38">
        <v>12131</v>
      </c>
      <c r="B6588" s="39">
        <v>44714</v>
      </c>
      <c r="C6588" s="40" t="s">
        <v>21642</v>
      </c>
      <c r="D6588" s="39">
        <v>44712</v>
      </c>
      <c r="E6588" s="40" t="s">
        <v>21643</v>
      </c>
      <c r="F6588" s="40" t="s">
        <v>21432</v>
      </c>
      <c r="G6588" s="40" t="s">
        <v>189</v>
      </c>
      <c r="H6588" s="40" t="s">
        <v>71</v>
      </c>
      <c r="I6588" s="40" t="s">
        <v>21</v>
      </c>
      <c r="J6588" s="40" t="s">
        <v>21644</v>
      </c>
      <c r="K6588" s="40" t="s">
        <v>21645</v>
      </c>
      <c r="L6588" s="40" t="s">
        <v>21142</v>
      </c>
      <c r="M6588" s="40" t="s">
        <v>21573</v>
      </c>
      <c r="O6588" s="39">
        <v>45378</v>
      </c>
      <c r="P6588" s="41" t="s">
        <v>21</v>
      </c>
      <c r="Q6588" s="42" t="b">
        <v>0</v>
      </c>
      <c r="R6588" s="22">
        <f t="shared" ref="R6588:R6594" si="140">IF(O6588=" ", " ", INT(YEARFRAC(O6588, B6588)*365))</f>
        <v>664</v>
      </c>
      <c r="S6588" s="40" t="s">
        <v>22196</v>
      </c>
    </row>
    <row r="6589" spans="1:19" ht="24">
      <c r="A6589" s="64">
        <v>12133</v>
      </c>
      <c r="B6589" s="62">
        <v>44720</v>
      </c>
      <c r="C6589" s="63" t="s">
        <v>21646</v>
      </c>
      <c r="D6589" s="62">
        <v>44719</v>
      </c>
      <c r="E6589" s="63" t="s">
        <v>21647</v>
      </c>
      <c r="F6589" s="63" t="s">
        <v>27</v>
      </c>
      <c r="G6589" s="63" t="s">
        <v>189</v>
      </c>
      <c r="H6589" s="63" t="s">
        <v>71</v>
      </c>
      <c r="I6589" s="63" t="s">
        <v>21</v>
      </c>
      <c r="J6589" s="63" t="s">
        <v>21648</v>
      </c>
      <c r="K6589" s="63" t="s">
        <v>21649</v>
      </c>
      <c r="L6589" s="63" t="s">
        <v>21142</v>
      </c>
      <c r="M6589" s="63" t="s">
        <v>21</v>
      </c>
      <c r="O6589" s="45">
        <v>45610</v>
      </c>
      <c r="P6589" s="65" t="s">
        <v>21</v>
      </c>
      <c r="Q6589" s="66" t="b">
        <v>0</v>
      </c>
      <c r="R6589" s="22">
        <f t="shared" si="140"/>
        <v>888</v>
      </c>
      <c r="S6589" s="63" t="s">
        <v>22197</v>
      </c>
    </row>
    <row r="6590" spans="1:19">
      <c r="A6590" s="59">
        <v>12134</v>
      </c>
      <c r="B6590" s="60">
        <v>44725</v>
      </c>
      <c r="C6590" s="61" t="s">
        <v>21900</v>
      </c>
      <c r="D6590" s="60">
        <v>44721</v>
      </c>
      <c r="E6590" s="61" t="s">
        <v>21901</v>
      </c>
      <c r="F6590" s="61" t="s">
        <v>11319</v>
      </c>
      <c r="G6590" s="61" t="s">
        <v>189</v>
      </c>
      <c r="H6590" s="61" t="s">
        <v>71</v>
      </c>
      <c r="I6590" s="61" t="s">
        <v>21</v>
      </c>
      <c r="J6590" s="61" t="s">
        <v>21902</v>
      </c>
      <c r="K6590" s="61" t="s">
        <v>6081</v>
      </c>
      <c r="L6590" s="61" t="s">
        <v>21142</v>
      </c>
      <c r="M6590" s="61" t="s">
        <v>21</v>
      </c>
      <c r="O6590" s="29">
        <v>45033</v>
      </c>
      <c r="P6590" s="61" t="s">
        <v>21</v>
      </c>
      <c r="Q6590" s="59" t="b">
        <v>0</v>
      </c>
      <c r="R6590" s="22">
        <f t="shared" si="140"/>
        <v>308</v>
      </c>
      <c r="S6590" s="61" t="s">
        <v>21</v>
      </c>
    </row>
    <row r="6591" spans="1:19">
      <c r="A6591" s="59">
        <v>12135</v>
      </c>
      <c r="B6591" s="60">
        <v>44725</v>
      </c>
      <c r="C6591" s="61" t="s">
        <v>21903</v>
      </c>
      <c r="D6591" s="60">
        <v>44721</v>
      </c>
      <c r="E6591" s="61" t="s">
        <v>21904</v>
      </c>
      <c r="F6591" s="61" t="s">
        <v>211</v>
      </c>
      <c r="G6591" s="61" t="s">
        <v>189</v>
      </c>
      <c r="H6591" s="61" t="s">
        <v>212</v>
      </c>
      <c r="I6591" s="61" t="s">
        <v>21</v>
      </c>
      <c r="J6591" s="61" t="s">
        <v>21905</v>
      </c>
      <c r="K6591" s="61" t="s">
        <v>6081</v>
      </c>
      <c r="L6591" s="61" t="s">
        <v>21142</v>
      </c>
      <c r="M6591" s="61" t="s">
        <v>21</v>
      </c>
      <c r="O6591" s="29">
        <v>44956</v>
      </c>
      <c r="P6591" s="61" t="s">
        <v>21</v>
      </c>
      <c r="Q6591" s="59" t="b">
        <v>0</v>
      </c>
      <c r="R6591" s="22">
        <f t="shared" si="140"/>
        <v>230</v>
      </c>
      <c r="S6591" s="61" t="s">
        <v>21</v>
      </c>
    </row>
    <row r="6592" spans="1:19">
      <c r="A6592" s="64">
        <v>12136</v>
      </c>
      <c r="B6592" s="62">
        <v>44725</v>
      </c>
      <c r="C6592" s="63" t="s">
        <v>21906</v>
      </c>
      <c r="D6592" s="62">
        <v>44725</v>
      </c>
      <c r="E6592" s="63" t="s">
        <v>21907</v>
      </c>
      <c r="F6592" s="63" t="s">
        <v>2146</v>
      </c>
      <c r="G6592" s="63" t="s">
        <v>189</v>
      </c>
      <c r="H6592" s="63" t="s">
        <v>189</v>
      </c>
      <c r="I6592" s="63" t="s">
        <v>21</v>
      </c>
      <c r="J6592" s="63" t="s">
        <v>21908</v>
      </c>
      <c r="K6592" s="63" t="s">
        <v>6081</v>
      </c>
      <c r="L6592" s="63" t="s">
        <v>21142</v>
      </c>
      <c r="M6592" s="63" t="s">
        <v>21</v>
      </c>
      <c r="O6592" s="45">
        <v>44848</v>
      </c>
      <c r="P6592" s="65" t="s">
        <v>21</v>
      </c>
      <c r="Q6592" s="66" t="b">
        <v>0</v>
      </c>
      <c r="R6592" s="22">
        <f t="shared" si="140"/>
        <v>122</v>
      </c>
      <c r="S6592" s="63" t="s">
        <v>21</v>
      </c>
    </row>
    <row r="6593" spans="1:19">
      <c r="A6593" s="64">
        <v>12137</v>
      </c>
      <c r="B6593" s="62">
        <v>44726</v>
      </c>
      <c r="C6593" s="63" t="s">
        <v>21909</v>
      </c>
      <c r="D6593" s="62">
        <v>44726</v>
      </c>
      <c r="E6593" s="63" t="s">
        <v>38</v>
      </c>
      <c r="F6593" s="63" t="s">
        <v>124</v>
      </c>
      <c r="G6593" s="63" t="s">
        <v>189</v>
      </c>
      <c r="H6593" s="63" t="s">
        <v>71</v>
      </c>
      <c r="I6593" s="63" t="s">
        <v>21</v>
      </c>
      <c r="J6593" s="63" t="s">
        <v>21910</v>
      </c>
      <c r="K6593" s="63" t="s">
        <v>16709</v>
      </c>
      <c r="L6593" s="63" t="s">
        <v>21142</v>
      </c>
      <c r="M6593" s="63" t="s">
        <v>21</v>
      </c>
      <c r="O6593" s="45">
        <v>44741</v>
      </c>
      <c r="P6593" s="65" t="s">
        <v>21</v>
      </c>
      <c r="Q6593" s="66" t="b">
        <v>0</v>
      </c>
      <c r="R6593" s="22">
        <f t="shared" si="140"/>
        <v>15</v>
      </c>
      <c r="S6593" s="63" t="s">
        <v>21</v>
      </c>
    </row>
    <row r="6594" spans="1:19">
      <c r="A6594" s="64">
        <v>12138</v>
      </c>
      <c r="B6594" s="62">
        <v>44734</v>
      </c>
      <c r="C6594" s="63" t="s">
        <v>21911</v>
      </c>
      <c r="D6594" s="62">
        <v>44734</v>
      </c>
      <c r="E6594" s="63" t="s">
        <v>38</v>
      </c>
      <c r="F6594" s="63" t="s">
        <v>1743</v>
      </c>
      <c r="G6594" s="63" t="s">
        <v>189</v>
      </c>
      <c r="H6594" s="63" t="s">
        <v>71</v>
      </c>
      <c r="I6594" s="63" t="s">
        <v>21</v>
      </c>
      <c r="J6594" s="63" t="s">
        <v>21912</v>
      </c>
      <c r="K6594" s="63" t="s">
        <v>21913</v>
      </c>
      <c r="L6594" s="63" t="s">
        <v>21573</v>
      </c>
      <c r="M6594" s="63" t="s">
        <v>21</v>
      </c>
      <c r="O6594" s="45">
        <v>44750</v>
      </c>
      <c r="P6594" s="65" t="s">
        <v>21</v>
      </c>
      <c r="Q6594" s="66" t="b">
        <v>0</v>
      </c>
      <c r="R6594" s="22">
        <f t="shared" si="140"/>
        <v>16</v>
      </c>
      <c r="S6594" s="63" t="s">
        <v>21</v>
      </c>
    </row>
    <row r="6595" spans="1:19">
      <c r="A6595" s="64">
        <v>12140</v>
      </c>
      <c r="B6595" s="62">
        <v>44740</v>
      </c>
      <c r="C6595" s="63" t="s">
        <v>21650</v>
      </c>
      <c r="D6595" s="62">
        <v>44740</v>
      </c>
      <c r="E6595" s="63" t="s">
        <v>21651</v>
      </c>
      <c r="F6595" s="63" t="s">
        <v>861</v>
      </c>
      <c r="G6595" s="63" t="s">
        <v>189</v>
      </c>
      <c r="H6595" s="63" t="s">
        <v>566</v>
      </c>
      <c r="I6595" s="63" t="s">
        <v>21</v>
      </c>
      <c r="J6595" s="63" t="s">
        <v>21652</v>
      </c>
      <c r="K6595" s="63" t="s">
        <v>9348</v>
      </c>
      <c r="L6595" s="63" t="s">
        <v>21142</v>
      </c>
      <c r="M6595" s="63" t="s">
        <v>21</v>
      </c>
      <c r="P6595" s="65" t="s">
        <v>21</v>
      </c>
      <c r="Q6595" s="66" t="b">
        <v>0</v>
      </c>
      <c r="R6595" s="66"/>
      <c r="S6595" s="63" t="s">
        <v>21</v>
      </c>
    </row>
    <row r="6596" spans="1:19">
      <c r="A6596" s="64">
        <v>12141</v>
      </c>
      <c r="B6596" s="62">
        <v>44747</v>
      </c>
      <c r="C6596" s="63" t="s">
        <v>21914</v>
      </c>
      <c r="D6596" s="62">
        <v>44747</v>
      </c>
      <c r="E6596" s="63" t="s">
        <v>21915</v>
      </c>
      <c r="F6596" s="63" t="s">
        <v>21916</v>
      </c>
      <c r="G6596" s="63" t="s">
        <v>189</v>
      </c>
      <c r="H6596" s="63" t="s">
        <v>189</v>
      </c>
      <c r="I6596" s="63" t="s">
        <v>21</v>
      </c>
      <c r="J6596" s="63" t="s">
        <v>21917</v>
      </c>
      <c r="K6596" s="63" t="s">
        <v>6081</v>
      </c>
      <c r="L6596" s="63" t="s">
        <v>21243</v>
      </c>
      <c r="M6596" s="63" t="s">
        <v>21</v>
      </c>
      <c r="O6596" s="45">
        <v>44763</v>
      </c>
      <c r="P6596" s="65" t="s">
        <v>21</v>
      </c>
      <c r="Q6596" s="66" t="b">
        <v>0</v>
      </c>
      <c r="R6596" s="22">
        <f>IF(O6596=" ", " ", INT(YEARFRAC(O6596, B6596)*365))</f>
        <v>16</v>
      </c>
      <c r="S6596" s="63" t="s">
        <v>21</v>
      </c>
    </row>
    <row r="6597" spans="1:19">
      <c r="A6597" s="64">
        <v>12142</v>
      </c>
      <c r="B6597" s="62">
        <v>44749</v>
      </c>
      <c r="C6597" s="63" t="s">
        <v>21653</v>
      </c>
      <c r="D6597" s="62">
        <v>44748</v>
      </c>
      <c r="E6597" s="63" t="s">
        <v>22198</v>
      </c>
      <c r="F6597" s="63" t="s">
        <v>9198</v>
      </c>
      <c r="G6597" s="63" t="s">
        <v>189</v>
      </c>
      <c r="H6597" s="63" t="s">
        <v>71</v>
      </c>
      <c r="I6597" s="63" t="s">
        <v>21</v>
      </c>
      <c r="J6597" s="63" t="s">
        <v>21654</v>
      </c>
      <c r="K6597" s="63" t="s">
        <v>9348</v>
      </c>
      <c r="L6597" s="63" t="s">
        <v>21573</v>
      </c>
      <c r="M6597" s="63" t="s">
        <v>21</v>
      </c>
      <c r="P6597" s="65" t="s">
        <v>21</v>
      </c>
      <c r="Q6597" s="66" t="b">
        <v>0</v>
      </c>
      <c r="R6597" s="66"/>
      <c r="S6597" s="63" t="s">
        <v>21</v>
      </c>
    </row>
    <row r="6598" spans="1:19" ht="24">
      <c r="A6598" s="64">
        <v>12143</v>
      </c>
      <c r="B6598" s="62">
        <v>44754</v>
      </c>
      <c r="C6598" s="63" t="s">
        <v>21655</v>
      </c>
      <c r="D6598" s="62">
        <v>44754</v>
      </c>
      <c r="E6598" s="63" t="s">
        <v>21656</v>
      </c>
      <c r="F6598" s="63" t="s">
        <v>21432</v>
      </c>
      <c r="G6598" s="63" t="s">
        <v>189</v>
      </c>
      <c r="H6598" s="63" t="s">
        <v>71</v>
      </c>
      <c r="I6598" s="63" t="s">
        <v>21</v>
      </c>
      <c r="J6598" s="63" t="s">
        <v>21657</v>
      </c>
      <c r="K6598" s="63" t="s">
        <v>21658</v>
      </c>
      <c r="L6598" s="63" t="s">
        <v>21142</v>
      </c>
      <c r="M6598" s="63" t="s">
        <v>21</v>
      </c>
      <c r="P6598" s="65" t="s">
        <v>21</v>
      </c>
      <c r="Q6598" s="66" t="b">
        <v>0</v>
      </c>
      <c r="R6598" s="66"/>
      <c r="S6598" s="63" t="s">
        <v>21</v>
      </c>
    </row>
    <row r="6599" spans="1:19">
      <c r="A6599" s="64">
        <v>12144</v>
      </c>
      <c r="B6599" s="62">
        <v>44762</v>
      </c>
      <c r="C6599" s="63" t="s">
        <v>21918</v>
      </c>
      <c r="D6599" s="62">
        <v>44754</v>
      </c>
      <c r="E6599" s="63" t="s">
        <v>21919</v>
      </c>
      <c r="F6599" s="63" t="s">
        <v>13350</v>
      </c>
      <c r="G6599" s="63" t="s">
        <v>189</v>
      </c>
      <c r="H6599" s="63" t="s">
        <v>71</v>
      </c>
      <c r="I6599" s="63" t="s">
        <v>21</v>
      </c>
      <c r="J6599" s="63" t="s">
        <v>21920</v>
      </c>
      <c r="K6599" s="63" t="s">
        <v>6081</v>
      </c>
      <c r="L6599" s="63" t="s">
        <v>21573</v>
      </c>
      <c r="M6599" s="63" t="s">
        <v>21</v>
      </c>
      <c r="O6599" s="45">
        <v>44872</v>
      </c>
      <c r="P6599" s="65" t="s">
        <v>21</v>
      </c>
      <c r="Q6599" s="66" t="b">
        <v>0</v>
      </c>
      <c r="R6599" s="22">
        <f>IF(O6599=" ", " ", INT(YEARFRAC(O6599, B6599)*365))</f>
        <v>108</v>
      </c>
      <c r="S6599" s="63" t="s">
        <v>21</v>
      </c>
    </row>
    <row r="6600" spans="1:19">
      <c r="A6600" s="64">
        <v>12145</v>
      </c>
      <c r="B6600" s="62">
        <v>44764</v>
      </c>
      <c r="C6600" s="63" t="s">
        <v>21921</v>
      </c>
      <c r="D6600" s="62">
        <v>44763</v>
      </c>
      <c r="E6600" s="63" t="s">
        <v>21922</v>
      </c>
      <c r="F6600" s="63" t="s">
        <v>124</v>
      </c>
      <c r="G6600" s="63" t="s">
        <v>189</v>
      </c>
      <c r="H6600" s="63" t="s">
        <v>71</v>
      </c>
      <c r="I6600" s="63" t="s">
        <v>21</v>
      </c>
      <c r="J6600" s="63" t="s">
        <v>21923</v>
      </c>
      <c r="K6600" s="63" t="s">
        <v>16066</v>
      </c>
      <c r="L6600" s="63" t="s">
        <v>21243</v>
      </c>
      <c r="M6600" s="63" t="s">
        <v>21</v>
      </c>
      <c r="O6600" s="45">
        <v>44784</v>
      </c>
      <c r="P6600" s="65" t="s">
        <v>21</v>
      </c>
      <c r="Q6600" s="66" t="b">
        <v>0</v>
      </c>
      <c r="R6600" s="22">
        <f>IF(O6600=" ", " ", INT(YEARFRAC(O6600, B6600)*365))</f>
        <v>19</v>
      </c>
      <c r="S6600" s="63" t="s">
        <v>21</v>
      </c>
    </row>
    <row r="6601" spans="1:19" ht="24">
      <c r="A6601" s="64">
        <v>12146</v>
      </c>
      <c r="B6601" s="62">
        <v>44764</v>
      </c>
      <c r="C6601" s="63" t="s">
        <v>21924</v>
      </c>
      <c r="D6601" s="62">
        <v>44764</v>
      </c>
      <c r="E6601" s="63" t="s">
        <v>38</v>
      </c>
      <c r="F6601" s="63" t="s">
        <v>13792</v>
      </c>
      <c r="G6601" s="63" t="s">
        <v>189</v>
      </c>
      <c r="H6601" s="63" t="s">
        <v>71</v>
      </c>
      <c r="I6601" s="63" t="s">
        <v>21</v>
      </c>
      <c r="J6601" s="63" t="s">
        <v>21925</v>
      </c>
      <c r="K6601" s="63" t="s">
        <v>21926</v>
      </c>
      <c r="L6601" s="63" t="s">
        <v>21243</v>
      </c>
      <c r="M6601" s="63" t="s">
        <v>21</v>
      </c>
      <c r="O6601" s="45">
        <v>44771</v>
      </c>
      <c r="P6601" s="65" t="s">
        <v>21</v>
      </c>
      <c r="Q6601" s="66" t="b">
        <v>0</v>
      </c>
      <c r="R6601" s="22">
        <f>IF(O6601=" ", " ", INT(YEARFRAC(O6601, B6601)*365))</f>
        <v>7</v>
      </c>
      <c r="S6601" s="63" t="s">
        <v>21</v>
      </c>
    </row>
    <row r="6602" spans="1:19">
      <c r="A6602" s="64">
        <v>12149</v>
      </c>
      <c r="B6602" s="62">
        <v>44768</v>
      </c>
      <c r="C6602" s="63" t="s">
        <v>21659</v>
      </c>
      <c r="D6602" s="62">
        <v>44742</v>
      </c>
      <c r="E6602" s="63" t="s">
        <v>21660</v>
      </c>
      <c r="F6602" s="63" t="s">
        <v>1771</v>
      </c>
      <c r="G6602" s="63" t="s">
        <v>189</v>
      </c>
      <c r="H6602" s="63" t="s">
        <v>189</v>
      </c>
      <c r="I6602" s="63" t="s">
        <v>21</v>
      </c>
      <c r="J6602" s="63" t="s">
        <v>21661</v>
      </c>
      <c r="K6602" s="63" t="s">
        <v>328</v>
      </c>
      <c r="L6602" s="63" t="s">
        <v>21142</v>
      </c>
      <c r="M6602" s="63" t="s">
        <v>21</v>
      </c>
      <c r="O6602" s="45">
        <v>44798</v>
      </c>
      <c r="P6602" s="65" t="s">
        <v>21</v>
      </c>
      <c r="Q6602" s="66" t="b">
        <v>0</v>
      </c>
      <c r="R6602" s="22">
        <f>IF(O6602=" ", " ", INT(YEARFRAC(O6602, B6602)*365))</f>
        <v>29</v>
      </c>
      <c r="S6602" s="63" t="s">
        <v>21</v>
      </c>
    </row>
    <row r="6603" spans="1:19">
      <c r="A6603" s="64">
        <v>12150</v>
      </c>
      <c r="B6603" s="62">
        <v>44768</v>
      </c>
      <c r="C6603" s="63" t="s">
        <v>21663</v>
      </c>
      <c r="D6603" s="62">
        <v>44763</v>
      </c>
      <c r="E6603" s="63" t="s">
        <v>21664</v>
      </c>
      <c r="F6603" s="63" t="s">
        <v>21665</v>
      </c>
      <c r="G6603" s="63" t="s">
        <v>189</v>
      </c>
      <c r="H6603" s="63" t="s">
        <v>71</v>
      </c>
      <c r="I6603" s="63" t="s">
        <v>21</v>
      </c>
      <c r="J6603" s="63" t="s">
        <v>21666</v>
      </c>
      <c r="K6603" s="63" t="s">
        <v>9348</v>
      </c>
      <c r="L6603" s="63" t="s">
        <v>22185</v>
      </c>
      <c r="M6603" s="63" t="s">
        <v>21573</v>
      </c>
      <c r="P6603" s="65" t="s">
        <v>21</v>
      </c>
      <c r="Q6603" s="66" t="b">
        <v>0</v>
      </c>
      <c r="R6603" s="66"/>
      <c r="S6603" s="63" t="s">
        <v>21</v>
      </c>
    </row>
    <row r="6604" spans="1:19">
      <c r="A6604" s="59">
        <v>12151</v>
      </c>
      <c r="B6604" s="60">
        <v>44768</v>
      </c>
      <c r="C6604" s="61" t="s">
        <v>21927</v>
      </c>
      <c r="D6604" s="60">
        <v>44757</v>
      </c>
      <c r="E6604" s="61" t="s">
        <v>21928</v>
      </c>
      <c r="F6604" s="61" t="s">
        <v>70</v>
      </c>
      <c r="G6604" s="61" t="s">
        <v>189</v>
      </c>
      <c r="H6604" s="61" t="s">
        <v>71</v>
      </c>
      <c r="I6604" s="61" t="s">
        <v>21</v>
      </c>
      <c r="J6604" s="61" t="s">
        <v>21929</v>
      </c>
      <c r="K6604" s="61" t="s">
        <v>16065</v>
      </c>
      <c r="L6604" s="61" t="s">
        <v>21142</v>
      </c>
      <c r="M6604" s="61" t="s">
        <v>21</v>
      </c>
      <c r="O6604" s="29">
        <v>45029</v>
      </c>
      <c r="P6604" s="61" t="s">
        <v>21</v>
      </c>
      <c r="Q6604" s="59" t="b">
        <v>0</v>
      </c>
      <c r="R6604" s="22">
        <f>IF(O6604=" ", " ", INT(YEARFRAC(O6604, B6604)*365))</f>
        <v>260</v>
      </c>
      <c r="S6604" s="61" t="s">
        <v>21</v>
      </c>
    </row>
    <row r="6605" spans="1:19">
      <c r="A6605" s="64">
        <v>12152</v>
      </c>
      <c r="B6605" s="62">
        <v>44769</v>
      </c>
      <c r="C6605" s="63" t="s">
        <v>21930</v>
      </c>
      <c r="D6605" s="62">
        <v>44768</v>
      </c>
      <c r="E6605" s="63" t="s">
        <v>38</v>
      </c>
      <c r="F6605" s="63" t="s">
        <v>1743</v>
      </c>
      <c r="G6605" s="63" t="s">
        <v>189</v>
      </c>
      <c r="H6605" s="63" t="s">
        <v>71</v>
      </c>
      <c r="I6605" s="63" t="s">
        <v>21</v>
      </c>
      <c r="J6605" s="63" t="s">
        <v>21931</v>
      </c>
      <c r="K6605" s="63" t="s">
        <v>21555</v>
      </c>
      <c r="L6605" s="63" t="s">
        <v>21573</v>
      </c>
      <c r="M6605" s="63" t="s">
        <v>21</v>
      </c>
      <c r="O6605" s="45">
        <v>44776</v>
      </c>
      <c r="P6605" s="65" t="s">
        <v>21</v>
      </c>
      <c r="Q6605" s="66" t="b">
        <v>0</v>
      </c>
      <c r="R6605" s="22">
        <f>IF(O6605=" ", " ", INT(YEARFRAC(O6605, B6605)*365))</f>
        <v>6</v>
      </c>
      <c r="S6605" s="63" t="s">
        <v>21</v>
      </c>
    </row>
    <row r="6606" spans="1:19">
      <c r="A6606" s="64">
        <v>12155</v>
      </c>
      <c r="B6606" s="62">
        <v>44775</v>
      </c>
      <c r="C6606" s="63" t="s">
        <v>21932</v>
      </c>
      <c r="D6606" s="62">
        <v>44774</v>
      </c>
      <c r="E6606" s="63" t="s">
        <v>1928</v>
      </c>
      <c r="F6606" s="63" t="s">
        <v>1743</v>
      </c>
      <c r="G6606" s="63" t="s">
        <v>189</v>
      </c>
      <c r="H6606" s="63" t="s">
        <v>71</v>
      </c>
      <c r="I6606" s="63" t="s">
        <v>21</v>
      </c>
      <c r="J6606" s="63" t="s">
        <v>21933</v>
      </c>
      <c r="K6606" s="63" t="s">
        <v>21934</v>
      </c>
      <c r="L6606" s="63" t="s">
        <v>3271</v>
      </c>
      <c r="M6606" s="63" t="s">
        <v>21</v>
      </c>
      <c r="O6606" s="45">
        <v>44778</v>
      </c>
      <c r="P6606" s="65" t="s">
        <v>21</v>
      </c>
      <c r="Q6606" s="66" t="b">
        <v>0</v>
      </c>
      <c r="R6606" s="22">
        <f>IF(O6606=" ", " ", INT(YEARFRAC(O6606, B6606)*365))</f>
        <v>3</v>
      </c>
      <c r="S6606" s="63" t="s">
        <v>21</v>
      </c>
    </row>
    <row r="6607" spans="1:19">
      <c r="A6607" s="38">
        <v>12156</v>
      </c>
      <c r="B6607" s="39">
        <v>44775</v>
      </c>
      <c r="C6607" s="40" t="s">
        <v>21667</v>
      </c>
      <c r="D6607" s="39">
        <v>44774</v>
      </c>
      <c r="E6607" s="40" t="s">
        <v>21668</v>
      </c>
      <c r="F6607" s="40" t="s">
        <v>9198</v>
      </c>
      <c r="G6607" s="40" t="s">
        <v>189</v>
      </c>
      <c r="H6607" s="40" t="s">
        <v>71</v>
      </c>
      <c r="I6607" s="40" t="s">
        <v>21</v>
      </c>
      <c r="J6607" s="40" t="s">
        <v>21669</v>
      </c>
      <c r="K6607" s="40" t="s">
        <v>9348</v>
      </c>
      <c r="L6607" s="40" t="s">
        <v>21573</v>
      </c>
      <c r="M6607" s="40" t="s">
        <v>21</v>
      </c>
      <c r="O6607" s="18"/>
      <c r="P6607" s="41" t="s">
        <v>21</v>
      </c>
      <c r="Q6607" s="42" t="b">
        <v>0</v>
      </c>
      <c r="R6607" s="66"/>
      <c r="S6607" s="40" t="s">
        <v>21</v>
      </c>
    </row>
    <row r="6608" spans="1:19" ht="24">
      <c r="A6608" s="64">
        <v>12157</v>
      </c>
      <c r="B6608" s="62">
        <v>44775</v>
      </c>
      <c r="C6608" s="63" t="s">
        <v>21935</v>
      </c>
      <c r="D6608" s="62">
        <v>44774</v>
      </c>
      <c r="E6608" s="63" t="s">
        <v>21936</v>
      </c>
      <c r="F6608" s="63" t="s">
        <v>104</v>
      </c>
      <c r="G6608" s="63" t="s">
        <v>189</v>
      </c>
      <c r="H6608" s="63" t="s">
        <v>71</v>
      </c>
      <c r="I6608" s="63" t="s">
        <v>21</v>
      </c>
      <c r="J6608" s="63" t="s">
        <v>21937</v>
      </c>
      <c r="K6608" s="63" t="s">
        <v>6081</v>
      </c>
      <c r="L6608" s="63" t="s">
        <v>4282</v>
      </c>
      <c r="M6608" s="63" t="s">
        <v>21</v>
      </c>
      <c r="O6608" s="45">
        <v>44781</v>
      </c>
      <c r="P6608" s="65" t="s">
        <v>21</v>
      </c>
      <c r="Q6608" s="66" t="b">
        <v>0</v>
      </c>
      <c r="R6608" s="22">
        <f>IF(O6608=" ", " ", INT(YEARFRAC(O6608, B6608)*365))</f>
        <v>6</v>
      </c>
      <c r="S6608" s="63" t="s">
        <v>21</v>
      </c>
    </row>
    <row r="6609" spans="1:19">
      <c r="A6609" s="64">
        <v>12160</v>
      </c>
      <c r="B6609" s="62">
        <v>44778</v>
      </c>
      <c r="C6609" s="63" t="s">
        <v>21938</v>
      </c>
      <c r="D6609" s="62">
        <v>44782</v>
      </c>
      <c r="E6609" s="63" t="s">
        <v>21939</v>
      </c>
      <c r="F6609" s="63" t="s">
        <v>242</v>
      </c>
      <c r="G6609" s="63" t="s">
        <v>189</v>
      </c>
      <c r="H6609" s="63" t="s">
        <v>189</v>
      </c>
      <c r="I6609" s="63" t="s">
        <v>21</v>
      </c>
      <c r="J6609" s="63" t="s">
        <v>21940</v>
      </c>
      <c r="K6609" s="63" t="s">
        <v>6081</v>
      </c>
      <c r="L6609" s="63" t="s">
        <v>7167</v>
      </c>
      <c r="M6609" s="63" t="s">
        <v>21</v>
      </c>
      <c r="O6609" s="45">
        <v>44827</v>
      </c>
      <c r="P6609" s="65" t="s">
        <v>21</v>
      </c>
      <c r="Q6609" s="66" t="b">
        <v>0</v>
      </c>
      <c r="R6609" s="22">
        <f>IF(O6609=" ", " ", INT(YEARFRAC(O6609, B6609)*365))</f>
        <v>48</v>
      </c>
      <c r="S6609" s="63" t="s">
        <v>21</v>
      </c>
    </row>
    <row r="6610" spans="1:19">
      <c r="A6610" s="64">
        <v>12161</v>
      </c>
      <c r="B6610" s="62">
        <v>44778</v>
      </c>
      <c r="C6610" s="63" t="s">
        <v>21670</v>
      </c>
      <c r="D6610" s="62">
        <v>44775</v>
      </c>
      <c r="E6610" s="63" t="s">
        <v>21671</v>
      </c>
      <c r="F6610" s="63" t="s">
        <v>5690</v>
      </c>
      <c r="G6610" s="63" t="s">
        <v>189</v>
      </c>
      <c r="H6610" s="63" t="s">
        <v>71</v>
      </c>
      <c r="I6610" s="63" t="s">
        <v>21</v>
      </c>
      <c r="J6610" s="63" t="s">
        <v>21672</v>
      </c>
      <c r="K6610" s="63" t="s">
        <v>21673</v>
      </c>
      <c r="L6610" s="63" t="s">
        <v>4282</v>
      </c>
      <c r="M6610" s="63" t="s">
        <v>21</v>
      </c>
      <c r="P6610" s="65" t="s">
        <v>21</v>
      </c>
      <c r="Q6610" s="66" t="b">
        <v>0</v>
      </c>
      <c r="R6610" s="66"/>
      <c r="S6610" s="63" t="s">
        <v>21</v>
      </c>
    </row>
    <row r="6611" spans="1:19" ht="24">
      <c r="A6611" s="59">
        <v>12162</v>
      </c>
      <c r="B6611" s="60">
        <v>44783</v>
      </c>
      <c r="C6611" s="61" t="s">
        <v>21674</v>
      </c>
      <c r="D6611" s="60">
        <v>44778</v>
      </c>
      <c r="E6611" s="61" t="s">
        <v>21675</v>
      </c>
      <c r="F6611" s="61" t="s">
        <v>104</v>
      </c>
      <c r="G6611" s="61" t="s">
        <v>189</v>
      </c>
      <c r="H6611" s="61" t="s">
        <v>71</v>
      </c>
      <c r="I6611" s="61" t="s">
        <v>21</v>
      </c>
      <c r="J6611" s="61" t="s">
        <v>21676</v>
      </c>
      <c r="K6611" s="61" t="s">
        <v>21677</v>
      </c>
      <c r="L6611" s="61" t="s">
        <v>7167</v>
      </c>
      <c r="M6611" s="61" t="s">
        <v>21</v>
      </c>
      <c r="O6611" s="29">
        <v>45064</v>
      </c>
      <c r="P6611" s="61" t="s">
        <v>21</v>
      </c>
      <c r="Q6611" s="59" t="b">
        <v>0</v>
      </c>
      <c r="R6611" s="22">
        <f>IF(O6611=" ", " ", INT(YEARFRAC(O6611, B6611)*365))</f>
        <v>281</v>
      </c>
      <c r="S6611" s="61" t="s">
        <v>22141</v>
      </c>
    </row>
    <row r="6612" spans="1:19">
      <c r="A6612" s="64">
        <v>12163</v>
      </c>
      <c r="B6612" s="62">
        <v>44783</v>
      </c>
      <c r="C6612" s="63" t="s">
        <v>21678</v>
      </c>
      <c r="D6612" s="62">
        <v>44781</v>
      </c>
      <c r="E6612" s="63" t="s">
        <v>21679</v>
      </c>
      <c r="F6612" s="63" t="s">
        <v>21680</v>
      </c>
      <c r="G6612" s="63" t="s">
        <v>189</v>
      </c>
      <c r="H6612" s="63" t="s">
        <v>71</v>
      </c>
      <c r="I6612" s="63" t="s">
        <v>21</v>
      </c>
      <c r="J6612" s="63" t="s">
        <v>21681</v>
      </c>
      <c r="K6612" s="63" t="s">
        <v>21682</v>
      </c>
      <c r="L6612" s="63" t="s">
        <v>4282</v>
      </c>
      <c r="M6612" s="63" t="s">
        <v>21</v>
      </c>
      <c r="P6612" s="65" t="s">
        <v>21</v>
      </c>
      <c r="Q6612" s="66" t="b">
        <v>0</v>
      </c>
      <c r="R6612" s="66"/>
      <c r="S6612" s="63" t="s">
        <v>21</v>
      </c>
    </row>
    <row r="6613" spans="1:19" ht="24">
      <c r="A6613" s="64">
        <v>12164</v>
      </c>
      <c r="B6613" s="62">
        <v>44785</v>
      </c>
      <c r="C6613" s="63" t="s">
        <v>21941</v>
      </c>
      <c r="D6613" s="62">
        <v>44771</v>
      </c>
      <c r="E6613" s="63" t="s">
        <v>21942</v>
      </c>
      <c r="F6613" s="63" t="s">
        <v>439</v>
      </c>
      <c r="G6613" s="63" t="s">
        <v>189</v>
      </c>
      <c r="H6613" s="63" t="s">
        <v>71</v>
      </c>
      <c r="I6613" s="63" t="s">
        <v>21</v>
      </c>
      <c r="J6613" s="63" t="s">
        <v>21943</v>
      </c>
      <c r="K6613" s="63" t="s">
        <v>6081</v>
      </c>
      <c r="L6613" s="63" t="s">
        <v>7167</v>
      </c>
      <c r="M6613" s="63" t="s">
        <v>21</v>
      </c>
      <c r="O6613" s="45">
        <v>44820</v>
      </c>
      <c r="P6613" s="65" t="s">
        <v>21</v>
      </c>
      <c r="Q6613" s="66" t="b">
        <v>0</v>
      </c>
      <c r="R6613" s="22">
        <f>IF(O6613=" ", " ", INT(YEARFRAC(O6613, B6613)*365))</f>
        <v>34</v>
      </c>
      <c r="S6613" s="63" t="s">
        <v>21</v>
      </c>
    </row>
    <row r="6614" spans="1:19">
      <c r="A6614" s="64">
        <v>12165</v>
      </c>
      <c r="B6614" s="62">
        <v>44789</v>
      </c>
      <c r="C6614" s="63" t="s">
        <v>21944</v>
      </c>
      <c r="D6614" s="62">
        <v>44789</v>
      </c>
      <c r="E6614" s="63" t="s">
        <v>21945</v>
      </c>
      <c r="F6614" s="63" t="s">
        <v>455</v>
      </c>
      <c r="G6614" s="63" t="s">
        <v>189</v>
      </c>
      <c r="H6614" s="63" t="s">
        <v>71</v>
      </c>
      <c r="I6614" s="63" t="s">
        <v>21</v>
      </c>
      <c r="J6614" s="63" t="s">
        <v>21946</v>
      </c>
      <c r="K6614" s="63" t="s">
        <v>6081</v>
      </c>
      <c r="L6614" s="63" t="s">
        <v>21243</v>
      </c>
      <c r="M6614" s="63" t="s">
        <v>21</v>
      </c>
      <c r="O6614" s="45">
        <v>44805</v>
      </c>
      <c r="P6614" s="65" t="s">
        <v>21</v>
      </c>
      <c r="Q6614" s="66" t="b">
        <v>0</v>
      </c>
      <c r="R6614" s="22">
        <f>IF(O6614=" ", " ", INT(YEARFRAC(O6614, B6614)*365))</f>
        <v>15</v>
      </c>
      <c r="S6614" s="63" t="s">
        <v>21</v>
      </c>
    </row>
    <row r="6615" spans="1:19" ht="24">
      <c r="A6615" s="64">
        <v>12166</v>
      </c>
      <c r="B6615" s="62">
        <v>44795</v>
      </c>
      <c r="C6615" s="63" t="s">
        <v>21947</v>
      </c>
      <c r="D6615" s="62">
        <v>44795</v>
      </c>
      <c r="E6615" s="63" t="s">
        <v>38</v>
      </c>
      <c r="F6615" s="63" t="s">
        <v>990</v>
      </c>
      <c r="G6615" s="63" t="s">
        <v>189</v>
      </c>
      <c r="H6615" s="63" t="s">
        <v>71</v>
      </c>
      <c r="I6615" s="63" t="s">
        <v>21</v>
      </c>
      <c r="J6615" s="63" t="s">
        <v>21948</v>
      </c>
      <c r="K6615" s="63" t="s">
        <v>21949</v>
      </c>
      <c r="L6615" s="63" t="s">
        <v>21573</v>
      </c>
      <c r="M6615" s="63" t="s">
        <v>21</v>
      </c>
      <c r="O6615" s="45">
        <v>44803</v>
      </c>
      <c r="P6615" s="65" t="s">
        <v>21</v>
      </c>
      <c r="Q6615" s="66" t="b">
        <v>0</v>
      </c>
      <c r="R6615" s="22">
        <f>IF(O6615=" ", " ", INT(YEARFRAC(O6615, B6615)*365))</f>
        <v>8</v>
      </c>
      <c r="S6615" s="63" t="s">
        <v>21</v>
      </c>
    </row>
    <row r="6616" spans="1:19">
      <c r="A6616" s="64">
        <v>12167</v>
      </c>
      <c r="B6616" s="62">
        <v>44797</v>
      </c>
      <c r="C6616" s="63" t="s">
        <v>21683</v>
      </c>
      <c r="D6616" s="62">
        <v>44791</v>
      </c>
      <c r="E6616" s="63" t="s">
        <v>21684</v>
      </c>
      <c r="F6616" s="63" t="s">
        <v>98</v>
      </c>
      <c r="G6616" s="63" t="s">
        <v>189</v>
      </c>
      <c r="H6616" s="63" t="s">
        <v>71</v>
      </c>
      <c r="I6616" s="63" t="s">
        <v>21</v>
      </c>
      <c r="J6616" s="63" t="s">
        <v>3581</v>
      </c>
      <c r="K6616" s="63" t="s">
        <v>21685</v>
      </c>
      <c r="L6616" s="63" t="s">
        <v>22185</v>
      </c>
      <c r="M6616" s="63" t="s">
        <v>21142</v>
      </c>
      <c r="P6616" s="65" t="s">
        <v>21</v>
      </c>
      <c r="Q6616" s="66" t="b">
        <v>0</v>
      </c>
      <c r="R6616" s="66"/>
      <c r="S6616" s="63" t="s">
        <v>21</v>
      </c>
    </row>
    <row r="6617" spans="1:19">
      <c r="A6617" s="64">
        <v>12169</v>
      </c>
      <c r="B6617" s="62">
        <v>44798</v>
      </c>
      <c r="C6617" s="63" t="s">
        <v>21950</v>
      </c>
      <c r="D6617" s="62">
        <v>44798</v>
      </c>
      <c r="E6617" s="63" t="s">
        <v>38</v>
      </c>
      <c r="F6617" s="63" t="s">
        <v>9047</v>
      </c>
      <c r="G6617" s="63" t="s">
        <v>189</v>
      </c>
      <c r="H6617" s="63" t="s">
        <v>71</v>
      </c>
      <c r="I6617" s="63" t="s">
        <v>21</v>
      </c>
      <c r="J6617" s="63" t="s">
        <v>21951</v>
      </c>
      <c r="K6617" s="63" t="s">
        <v>21952</v>
      </c>
      <c r="L6617" s="63" t="s">
        <v>21573</v>
      </c>
      <c r="M6617" s="63" t="s">
        <v>21</v>
      </c>
      <c r="O6617" s="45">
        <v>44802</v>
      </c>
      <c r="P6617" s="65" t="s">
        <v>21</v>
      </c>
      <c r="Q6617" s="66" t="b">
        <v>0</v>
      </c>
      <c r="R6617" s="22">
        <f>IF(O6617=" ", " ", INT(YEARFRAC(O6617, B6617)*365))</f>
        <v>4</v>
      </c>
      <c r="S6617" s="63" t="s">
        <v>21</v>
      </c>
    </row>
    <row r="6618" spans="1:19">
      <c r="A6618" s="59">
        <v>12170</v>
      </c>
      <c r="B6618" s="60">
        <v>44799</v>
      </c>
      <c r="C6618" s="61" t="s">
        <v>21953</v>
      </c>
      <c r="D6618" s="60">
        <v>44791</v>
      </c>
      <c r="E6618" s="61" t="s">
        <v>21954</v>
      </c>
      <c r="F6618" s="61" t="s">
        <v>124</v>
      </c>
      <c r="G6618" s="61" t="s">
        <v>189</v>
      </c>
      <c r="H6618" s="61" t="s">
        <v>71</v>
      </c>
      <c r="I6618" s="61" t="s">
        <v>21</v>
      </c>
      <c r="J6618" s="61" t="s">
        <v>22199</v>
      </c>
      <c r="K6618" s="61" t="s">
        <v>6081</v>
      </c>
      <c r="L6618" s="61" t="s">
        <v>21142</v>
      </c>
      <c r="M6618" s="61" t="s">
        <v>21</v>
      </c>
      <c r="O6618" s="29">
        <v>45022</v>
      </c>
      <c r="P6618" s="61" t="s">
        <v>21</v>
      </c>
      <c r="Q6618" s="59" t="b">
        <v>0</v>
      </c>
      <c r="R6618" s="22">
        <f>IF(O6618=" ", " ", INT(YEARFRAC(O6618, B6618)*365))</f>
        <v>223</v>
      </c>
      <c r="S6618" s="61" t="s">
        <v>21</v>
      </c>
    </row>
    <row r="6619" spans="1:19">
      <c r="A6619" s="64">
        <v>12171</v>
      </c>
      <c r="B6619" s="62">
        <v>44799</v>
      </c>
      <c r="C6619" s="63" t="s">
        <v>21955</v>
      </c>
      <c r="D6619" s="62">
        <v>44788</v>
      </c>
      <c r="E6619" s="63" t="s">
        <v>38</v>
      </c>
      <c r="F6619" s="63" t="s">
        <v>124</v>
      </c>
      <c r="G6619" s="63" t="s">
        <v>189</v>
      </c>
      <c r="H6619" s="63" t="s">
        <v>71</v>
      </c>
      <c r="I6619" s="63" t="s">
        <v>21</v>
      </c>
      <c r="J6619" s="63" t="s">
        <v>21956</v>
      </c>
      <c r="K6619" s="63" t="s">
        <v>21957</v>
      </c>
      <c r="L6619" s="63" t="s">
        <v>21142</v>
      </c>
      <c r="M6619" s="63" t="s">
        <v>21</v>
      </c>
      <c r="O6619" s="45">
        <v>44803</v>
      </c>
      <c r="P6619" s="65" t="s">
        <v>21</v>
      </c>
      <c r="Q6619" s="66" t="b">
        <v>0</v>
      </c>
      <c r="R6619" s="22">
        <f>IF(O6619=" ", " ", INT(YEARFRAC(O6619, B6619)*365))</f>
        <v>4</v>
      </c>
      <c r="S6619" s="63" t="s">
        <v>21</v>
      </c>
    </row>
    <row r="6620" spans="1:19">
      <c r="A6620" s="38">
        <v>12172</v>
      </c>
      <c r="B6620" s="39">
        <v>44802</v>
      </c>
      <c r="C6620" s="40" t="s">
        <v>21958</v>
      </c>
      <c r="D6620" s="39">
        <v>44802</v>
      </c>
      <c r="E6620" s="40" t="s">
        <v>38</v>
      </c>
      <c r="F6620" s="40" t="s">
        <v>5690</v>
      </c>
      <c r="G6620" s="40" t="s">
        <v>189</v>
      </c>
      <c r="H6620" s="40" t="s">
        <v>71</v>
      </c>
      <c r="I6620" s="40" t="s">
        <v>21</v>
      </c>
      <c r="J6620" s="40" t="s">
        <v>21959</v>
      </c>
      <c r="K6620" s="40" t="s">
        <v>21960</v>
      </c>
      <c r="L6620" s="40" t="s">
        <v>21142</v>
      </c>
      <c r="M6620" s="40" t="s">
        <v>21</v>
      </c>
      <c r="O6620" s="39">
        <v>44881</v>
      </c>
      <c r="P6620" s="41" t="s">
        <v>21</v>
      </c>
      <c r="Q6620" s="42" t="b">
        <v>0</v>
      </c>
      <c r="R6620" s="22">
        <f>IF(O6620=" ", " ", INT(YEARFRAC(O6620, B6620)*365))</f>
        <v>78</v>
      </c>
      <c r="S6620" s="40" t="s">
        <v>21</v>
      </c>
    </row>
    <row r="6621" spans="1:19" ht="24">
      <c r="A6621" s="38">
        <v>12173</v>
      </c>
      <c r="B6621" s="39">
        <v>44803</v>
      </c>
      <c r="C6621" s="40" t="s">
        <v>21686</v>
      </c>
      <c r="D6621" s="39">
        <v>44803</v>
      </c>
      <c r="E6621" s="40" t="s">
        <v>21687</v>
      </c>
      <c r="F6621" s="40" t="s">
        <v>9198</v>
      </c>
      <c r="G6621" s="40" t="s">
        <v>189</v>
      </c>
      <c r="H6621" s="40" t="s">
        <v>71</v>
      </c>
      <c r="I6621" s="40" t="s">
        <v>21</v>
      </c>
      <c r="J6621" s="40" t="s">
        <v>22200</v>
      </c>
      <c r="K6621" s="40" t="s">
        <v>21688</v>
      </c>
      <c r="L6621" s="40" t="s">
        <v>21573</v>
      </c>
      <c r="M6621" s="40" t="s">
        <v>21</v>
      </c>
      <c r="O6621" s="18"/>
      <c r="P6621" s="41" t="s">
        <v>21</v>
      </c>
      <c r="Q6621" s="42" t="b">
        <v>0</v>
      </c>
      <c r="R6621" s="66"/>
      <c r="S6621" s="40" t="s">
        <v>21</v>
      </c>
    </row>
    <row r="6622" spans="1:19">
      <c r="A6622" s="64">
        <v>12174</v>
      </c>
      <c r="B6622" s="62">
        <v>44803</v>
      </c>
      <c r="C6622" s="63" t="s">
        <v>21961</v>
      </c>
      <c r="D6622" s="62">
        <v>44803</v>
      </c>
      <c r="E6622" s="63" t="s">
        <v>1928</v>
      </c>
      <c r="F6622" s="63" t="s">
        <v>1743</v>
      </c>
      <c r="G6622" s="63" t="s">
        <v>189</v>
      </c>
      <c r="H6622" s="63" t="s">
        <v>71</v>
      </c>
      <c r="I6622" s="63" t="s">
        <v>21</v>
      </c>
      <c r="J6622" s="63" t="s">
        <v>21962</v>
      </c>
      <c r="K6622" s="63" t="s">
        <v>21</v>
      </c>
      <c r="L6622" s="63" t="s">
        <v>21142</v>
      </c>
      <c r="M6622" s="63" t="s">
        <v>21</v>
      </c>
      <c r="O6622" s="45">
        <v>44806</v>
      </c>
      <c r="P6622" s="65" t="s">
        <v>21</v>
      </c>
      <c r="Q6622" s="66" t="b">
        <v>0</v>
      </c>
      <c r="R6622" s="22">
        <f t="shared" ref="R6622:R6632" si="141">IF(O6622=" ", " ", INT(YEARFRAC(O6622, B6622)*365))</f>
        <v>2</v>
      </c>
      <c r="S6622" s="63" t="s">
        <v>21</v>
      </c>
    </row>
    <row r="6623" spans="1:19">
      <c r="A6623" s="64">
        <v>12175</v>
      </c>
      <c r="B6623" s="62">
        <v>44804</v>
      </c>
      <c r="C6623" s="63" t="s">
        <v>21963</v>
      </c>
      <c r="D6623" s="62">
        <v>44804</v>
      </c>
      <c r="E6623" s="63" t="s">
        <v>21964</v>
      </c>
      <c r="F6623" s="63" t="s">
        <v>52</v>
      </c>
      <c r="G6623" s="63" t="s">
        <v>189</v>
      </c>
      <c r="H6623" s="63" t="s">
        <v>71</v>
      </c>
      <c r="I6623" s="63" t="s">
        <v>21</v>
      </c>
      <c r="J6623" s="63" t="s">
        <v>21965</v>
      </c>
      <c r="K6623" s="63" t="s">
        <v>239</v>
      </c>
      <c r="L6623" s="63" t="s">
        <v>21243</v>
      </c>
      <c r="M6623" s="63" t="s">
        <v>21</v>
      </c>
      <c r="O6623" s="45">
        <v>44834</v>
      </c>
      <c r="P6623" s="65" t="s">
        <v>21</v>
      </c>
      <c r="Q6623" s="66" t="b">
        <v>0</v>
      </c>
      <c r="R6623" s="22">
        <f t="shared" si="141"/>
        <v>30</v>
      </c>
      <c r="S6623" s="63" t="s">
        <v>21</v>
      </c>
    </row>
    <row r="6624" spans="1:19">
      <c r="A6624" s="64">
        <v>12176</v>
      </c>
      <c r="B6624" s="62">
        <v>44804</v>
      </c>
      <c r="C6624" s="63" t="s">
        <v>21966</v>
      </c>
      <c r="D6624" s="62">
        <v>44804</v>
      </c>
      <c r="E6624" s="63" t="s">
        <v>21967</v>
      </c>
      <c r="F6624" s="63" t="s">
        <v>216</v>
      </c>
      <c r="G6624" s="63" t="s">
        <v>189</v>
      </c>
      <c r="H6624" s="63" t="s">
        <v>71</v>
      </c>
      <c r="I6624" s="63" t="s">
        <v>21</v>
      </c>
      <c r="J6624" s="63" t="s">
        <v>21968</v>
      </c>
      <c r="K6624" s="63" t="s">
        <v>21969</v>
      </c>
      <c r="L6624" s="63" t="s">
        <v>21243</v>
      </c>
      <c r="M6624" s="63" t="s">
        <v>21</v>
      </c>
      <c r="O6624" s="45">
        <v>44853</v>
      </c>
      <c r="P6624" s="65" t="s">
        <v>21</v>
      </c>
      <c r="Q6624" s="66" t="b">
        <v>0</v>
      </c>
      <c r="R6624" s="22">
        <f t="shared" si="141"/>
        <v>49</v>
      </c>
      <c r="S6624" s="63" t="s">
        <v>21</v>
      </c>
    </row>
    <row r="6625" spans="1:19">
      <c r="A6625" s="59">
        <v>12177</v>
      </c>
      <c r="B6625" s="60">
        <v>44806</v>
      </c>
      <c r="C6625" s="61" t="s">
        <v>21970</v>
      </c>
      <c r="D6625" s="60">
        <v>44804</v>
      </c>
      <c r="E6625" s="61" t="s">
        <v>21971</v>
      </c>
      <c r="F6625" s="61" t="s">
        <v>216</v>
      </c>
      <c r="G6625" s="61" t="s">
        <v>189</v>
      </c>
      <c r="H6625" s="61" t="s">
        <v>71</v>
      </c>
      <c r="I6625" s="61" t="s">
        <v>21</v>
      </c>
      <c r="J6625" s="61" t="s">
        <v>22201</v>
      </c>
      <c r="K6625" s="61" t="s">
        <v>1349</v>
      </c>
      <c r="L6625" s="61" t="s">
        <v>21243</v>
      </c>
      <c r="M6625" s="61" t="s">
        <v>21</v>
      </c>
      <c r="O6625" s="29">
        <v>44957</v>
      </c>
      <c r="P6625" s="61" t="s">
        <v>21</v>
      </c>
      <c r="Q6625" s="59" t="b">
        <v>0</v>
      </c>
      <c r="R6625" s="22">
        <f t="shared" si="141"/>
        <v>151</v>
      </c>
      <c r="S6625" s="61" t="s">
        <v>21</v>
      </c>
    </row>
    <row r="6626" spans="1:19">
      <c r="A6626" s="64">
        <v>12178</v>
      </c>
      <c r="B6626" s="62">
        <v>44806</v>
      </c>
      <c r="C6626" s="63" t="s">
        <v>21972</v>
      </c>
      <c r="D6626" s="62">
        <v>44806</v>
      </c>
      <c r="E6626" s="63" t="s">
        <v>21973</v>
      </c>
      <c r="F6626" s="63" t="s">
        <v>2146</v>
      </c>
      <c r="G6626" s="63" t="s">
        <v>189</v>
      </c>
      <c r="H6626" s="63" t="s">
        <v>189</v>
      </c>
      <c r="I6626" s="63" t="s">
        <v>21</v>
      </c>
      <c r="J6626" s="63" t="s">
        <v>21974</v>
      </c>
      <c r="K6626" s="63" t="s">
        <v>8074</v>
      </c>
      <c r="L6626" s="63" t="s">
        <v>21142</v>
      </c>
      <c r="M6626" s="63" t="s">
        <v>21</v>
      </c>
      <c r="O6626" s="45">
        <v>44866</v>
      </c>
      <c r="P6626" s="65" t="s">
        <v>21</v>
      </c>
      <c r="Q6626" s="66" t="b">
        <v>0</v>
      </c>
      <c r="R6626" s="22">
        <f t="shared" si="141"/>
        <v>59</v>
      </c>
      <c r="S6626" s="63" t="s">
        <v>21</v>
      </c>
    </row>
    <row r="6627" spans="1:19">
      <c r="A6627" s="64">
        <v>12179</v>
      </c>
      <c r="B6627" s="62">
        <v>44812</v>
      </c>
      <c r="C6627" s="63" t="s">
        <v>21975</v>
      </c>
      <c r="D6627" s="62">
        <v>44812</v>
      </c>
      <c r="E6627" s="63" t="s">
        <v>21976</v>
      </c>
      <c r="F6627" s="63" t="s">
        <v>18022</v>
      </c>
      <c r="G6627" s="63" t="s">
        <v>189</v>
      </c>
      <c r="H6627" s="63" t="s">
        <v>71</v>
      </c>
      <c r="I6627" s="63" t="s">
        <v>21</v>
      </c>
      <c r="J6627" s="63" t="s">
        <v>21977</v>
      </c>
      <c r="K6627" s="63" t="s">
        <v>21978</v>
      </c>
      <c r="L6627" s="63" t="s">
        <v>7167</v>
      </c>
      <c r="M6627" s="63" t="s">
        <v>21</v>
      </c>
      <c r="O6627" s="45">
        <v>44820</v>
      </c>
      <c r="P6627" s="65" t="s">
        <v>21</v>
      </c>
      <c r="Q6627" s="66" t="b">
        <v>0</v>
      </c>
      <c r="R6627" s="22">
        <f t="shared" si="141"/>
        <v>8</v>
      </c>
      <c r="S6627" s="63" t="s">
        <v>21</v>
      </c>
    </row>
    <row r="6628" spans="1:19" ht="24">
      <c r="A6628" s="64">
        <v>12180</v>
      </c>
      <c r="B6628" s="62">
        <v>44817</v>
      </c>
      <c r="C6628" s="63" t="s">
        <v>21979</v>
      </c>
      <c r="D6628" s="62">
        <v>44790</v>
      </c>
      <c r="E6628" s="63" t="s">
        <v>38</v>
      </c>
      <c r="F6628" s="63" t="s">
        <v>124</v>
      </c>
      <c r="G6628" s="63" t="s">
        <v>189</v>
      </c>
      <c r="H6628" s="63" t="s">
        <v>71</v>
      </c>
      <c r="I6628" s="63" t="s">
        <v>21</v>
      </c>
      <c r="J6628" s="63" t="s">
        <v>21980</v>
      </c>
      <c r="K6628" s="63" t="s">
        <v>20278</v>
      </c>
      <c r="L6628" s="63" t="s">
        <v>21243</v>
      </c>
      <c r="M6628" s="63" t="s">
        <v>21</v>
      </c>
      <c r="O6628" s="45">
        <v>44826</v>
      </c>
      <c r="P6628" s="65" t="s">
        <v>21</v>
      </c>
      <c r="Q6628" s="66" t="b">
        <v>0</v>
      </c>
      <c r="R6628" s="22">
        <f t="shared" si="141"/>
        <v>9</v>
      </c>
      <c r="S6628" s="63" t="s">
        <v>21981</v>
      </c>
    </row>
    <row r="6629" spans="1:19">
      <c r="A6629" s="38">
        <v>12181</v>
      </c>
      <c r="B6629" s="39">
        <v>44817</v>
      </c>
      <c r="C6629" s="40" t="s">
        <v>21982</v>
      </c>
      <c r="D6629" s="39">
        <v>44790</v>
      </c>
      <c r="E6629" s="40" t="s">
        <v>21981</v>
      </c>
      <c r="F6629" s="40" t="s">
        <v>124</v>
      </c>
      <c r="G6629" s="40" t="s">
        <v>189</v>
      </c>
      <c r="H6629" s="40" t="s">
        <v>71</v>
      </c>
      <c r="I6629" s="40" t="s">
        <v>21</v>
      </c>
      <c r="J6629" s="40" t="s">
        <v>21983</v>
      </c>
      <c r="K6629" s="40" t="s">
        <v>6081</v>
      </c>
      <c r="L6629" s="40" t="s">
        <v>21243</v>
      </c>
      <c r="M6629" s="40" t="s">
        <v>21</v>
      </c>
      <c r="O6629" s="39">
        <v>44909</v>
      </c>
      <c r="P6629" s="41" t="s">
        <v>21</v>
      </c>
      <c r="Q6629" s="42" t="b">
        <v>0</v>
      </c>
      <c r="R6629" s="22">
        <f t="shared" si="141"/>
        <v>92</v>
      </c>
      <c r="S6629" s="40" t="s">
        <v>21</v>
      </c>
    </row>
    <row r="6630" spans="1:19">
      <c r="A6630" s="64">
        <v>12182</v>
      </c>
      <c r="B6630" s="62">
        <v>44818</v>
      </c>
      <c r="C6630" s="63" t="s">
        <v>21984</v>
      </c>
      <c r="D6630" s="62">
        <v>44818</v>
      </c>
      <c r="E6630" s="63" t="s">
        <v>21985</v>
      </c>
      <c r="F6630" s="63" t="s">
        <v>52</v>
      </c>
      <c r="G6630" s="63" t="s">
        <v>189</v>
      </c>
      <c r="H6630" s="63" t="s">
        <v>71</v>
      </c>
      <c r="I6630" s="63" t="s">
        <v>21</v>
      </c>
      <c r="J6630" s="63" t="s">
        <v>21986</v>
      </c>
      <c r="K6630" s="63" t="s">
        <v>21987</v>
      </c>
      <c r="L6630" s="63" t="s">
        <v>7167</v>
      </c>
      <c r="M6630" s="63" t="s">
        <v>21</v>
      </c>
      <c r="O6630" s="45">
        <v>44833</v>
      </c>
      <c r="P6630" s="65" t="s">
        <v>21</v>
      </c>
      <c r="Q6630" s="66" t="b">
        <v>0</v>
      </c>
      <c r="R6630" s="22">
        <f t="shared" si="141"/>
        <v>15</v>
      </c>
      <c r="S6630" s="63" t="s">
        <v>21</v>
      </c>
    </row>
    <row r="6631" spans="1:19">
      <c r="A6631" s="64">
        <v>12183</v>
      </c>
      <c r="B6631" s="62">
        <v>44818</v>
      </c>
      <c r="C6631" s="63" t="s">
        <v>21988</v>
      </c>
      <c r="D6631" s="62">
        <v>44818</v>
      </c>
      <c r="E6631" s="63" t="s">
        <v>38</v>
      </c>
      <c r="F6631" s="63" t="s">
        <v>242</v>
      </c>
      <c r="G6631" s="63" t="s">
        <v>189</v>
      </c>
      <c r="H6631" s="63" t="s">
        <v>71</v>
      </c>
      <c r="I6631" s="63" t="s">
        <v>21</v>
      </c>
      <c r="J6631" s="63" t="s">
        <v>21989</v>
      </c>
      <c r="K6631" s="63" t="s">
        <v>21990</v>
      </c>
      <c r="L6631" s="63" t="s">
        <v>21243</v>
      </c>
      <c r="M6631" s="63" t="s">
        <v>21</v>
      </c>
      <c r="O6631" s="45">
        <v>44859</v>
      </c>
      <c r="P6631" s="65" t="s">
        <v>21</v>
      </c>
      <c r="Q6631" s="66" t="b">
        <v>0</v>
      </c>
      <c r="R6631" s="22">
        <f t="shared" si="141"/>
        <v>41</v>
      </c>
      <c r="S6631" s="63" t="s">
        <v>21</v>
      </c>
    </row>
    <row r="6632" spans="1:19">
      <c r="A6632" s="64">
        <v>12184</v>
      </c>
      <c r="B6632" s="62">
        <v>44830</v>
      </c>
      <c r="C6632" s="63" t="s">
        <v>21991</v>
      </c>
      <c r="D6632" s="62">
        <v>44823</v>
      </c>
      <c r="E6632" s="63" t="s">
        <v>21992</v>
      </c>
      <c r="F6632" s="63" t="s">
        <v>861</v>
      </c>
      <c r="G6632" s="63" t="s">
        <v>189</v>
      </c>
      <c r="H6632" s="63" t="s">
        <v>566</v>
      </c>
      <c r="I6632" s="63" t="s">
        <v>21</v>
      </c>
      <c r="J6632" s="63" t="s">
        <v>21993</v>
      </c>
      <c r="K6632" s="63" t="s">
        <v>21994</v>
      </c>
      <c r="L6632" s="63" t="s">
        <v>21573</v>
      </c>
      <c r="M6632" s="63" t="s">
        <v>21</v>
      </c>
      <c r="O6632" s="45">
        <v>44922</v>
      </c>
      <c r="P6632" s="65" t="s">
        <v>21</v>
      </c>
      <c r="Q6632" s="66" t="b">
        <v>0</v>
      </c>
      <c r="R6632" s="22">
        <f t="shared" si="141"/>
        <v>92</v>
      </c>
      <c r="S6632" s="63" t="s">
        <v>21</v>
      </c>
    </row>
    <row r="6633" spans="1:19">
      <c r="A6633" s="38">
        <v>12185</v>
      </c>
      <c r="B6633" s="39">
        <v>44831</v>
      </c>
      <c r="C6633" s="40" t="s">
        <v>21689</v>
      </c>
      <c r="D6633" s="39">
        <v>44827</v>
      </c>
      <c r="E6633" s="40" t="s">
        <v>21690</v>
      </c>
      <c r="F6633" s="40" t="s">
        <v>21691</v>
      </c>
      <c r="G6633" s="40" t="s">
        <v>189</v>
      </c>
      <c r="H6633" s="40" t="s">
        <v>71</v>
      </c>
      <c r="I6633" s="40" t="s">
        <v>21</v>
      </c>
      <c r="J6633" s="40" t="s">
        <v>22202</v>
      </c>
      <c r="K6633" s="40" t="s">
        <v>13389</v>
      </c>
      <c r="L6633" s="40" t="s">
        <v>21243</v>
      </c>
      <c r="M6633" s="40" t="s">
        <v>21</v>
      </c>
      <c r="O6633" s="18"/>
      <c r="P6633" s="41" t="s">
        <v>21</v>
      </c>
      <c r="Q6633" s="42" t="b">
        <v>0</v>
      </c>
      <c r="R6633" s="66"/>
      <c r="S6633" s="40" t="s">
        <v>21</v>
      </c>
    </row>
    <row r="6634" spans="1:19">
      <c r="A6634" s="26">
        <v>12186</v>
      </c>
      <c r="B6634" s="27">
        <v>44831</v>
      </c>
      <c r="C6634" s="28" t="s">
        <v>21995</v>
      </c>
      <c r="D6634" s="27">
        <v>44826</v>
      </c>
      <c r="E6634" s="28" t="s">
        <v>21996</v>
      </c>
      <c r="F6634" s="28" t="s">
        <v>124</v>
      </c>
      <c r="G6634" s="28" t="s">
        <v>189</v>
      </c>
      <c r="H6634" s="28" t="s">
        <v>71</v>
      </c>
      <c r="I6634" s="28" t="s">
        <v>21</v>
      </c>
      <c r="J6634" s="28" t="s">
        <v>22203</v>
      </c>
      <c r="K6634" s="28" t="s">
        <v>13842</v>
      </c>
      <c r="L6634" s="28" t="s">
        <v>21142</v>
      </c>
      <c r="M6634" s="28" t="s">
        <v>21</v>
      </c>
      <c r="O6634" s="27">
        <v>45051</v>
      </c>
      <c r="P6634" s="28" t="s">
        <v>21</v>
      </c>
      <c r="Q6634" s="26" t="b">
        <v>0</v>
      </c>
      <c r="R6634" s="22">
        <f>IF(O6634=" ", " ", INT(YEARFRAC(O6634, B6634)*365))</f>
        <v>221</v>
      </c>
      <c r="S6634" s="28" t="s">
        <v>21</v>
      </c>
    </row>
    <row r="6635" spans="1:19">
      <c r="A6635" s="64">
        <v>12187</v>
      </c>
      <c r="B6635" s="62">
        <v>44832</v>
      </c>
      <c r="C6635" s="63" t="s">
        <v>21692</v>
      </c>
      <c r="D6635" s="62">
        <v>44831</v>
      </c>
      <c r="E6635" s="63" t="s">
        <v>21693</v>
      </c>
      <c r="F6635" s="63" t="s">
        <v>21694</v>
      </c>
      <c r="G6635" s="63" t="s">
        <v>189</v>
      </c>
      <c r="H6635" s="63" t="s">
        <v>71</v>
      </c>
      <c r="I6635" s="63" t="s">
        <v>21</v>
      </c>
      <c r="J6635" s="63" t="s">
        <v>14596</v>
      </c>
      <c r="K6635" s="63" t="s">
        <v>21695</v>
      </c>
      <c r="L6635" s="63" t="s">
        <v>4282</v>
      </c>
      <c r="M6635" s="63" t="s">
        <v>21</v>
      </c>
      <c r="P6635" s="65" t="s">
        <v>21</v>
      </c>
      <c r="Q6635" s="66" t="b">
        <v>0</v>
      </c>
      <c r="R6635" s="66"/>
      <c r="S6635" s="63" t="s">
        <v>21</v>
      </c>
    </row>
    <row r="6636" spans="1:19">
      <c r="A6636" s="64">
        <v>12188</v>
      </c>
      <c r="B6636" s="62">
        <v>44834</v>
      </c>
      <c r="C6636" s="63" t="s">
        <v>21997</v>
      </c>
      <c r="D6636" s="62">
        <v>44834</v>
      </c>
      <c r="E6636" s="63" t="s">
        <v>1928</v>
      </c>
      <c r="F6636" s="63" t="s">
        <v>1743</v>
      </c>
      <c r="G6636" s="63" t="s">
        <v>189</v>
      </c>
      <c r="H6636" s="63" t="s">
        <v>71</v>
      </c>
      <c r="I6636" s="63" t="s">
        <v>21</v>
      </c>
      <c r="J6636" s="63" t="s">
        <v>21998</v>
      </c>
      <c r="K6636" s="63" t="s">
        <v>20953</v>
      </c>
      <c r="L6636" s="63" t="s">
        <v>21999</v>
      </c>
      <c r="M6636" s="63" t="s">
        <v>21</v>
      </c>
      <c r="N6636" s="45">
        <v>44848</v>
      </c>
      <c r="O6636" s="45">
        <v>44848</v>
      </c>
      <c r="P6636" s="65" t="s">
        <v>21</v>
      </c>
      <c r="Q6636" s="66" t="b">
        <v>0</v>
      </c>
      <c r="R6636" s="22">
        <f>IF(O6636=" ", " ", INT(YEARFRAC(O6636, B6636)*365))</f>
        <v>14</v>
      </c>
      <c r="S6636" s="63" t="s">
        <v>21</v>
      </c>
    </row>
    <row r="6637" spans="1:19">
      <c r="A6637" s="59">
        <v>12189</v>
      </c>
      <c r="B6637" s="60">
        <v>44839</v>
      </c>
      <c r="C6637" s="61" t="s">
        <v>22000</v>
      </c>
      <c r="D6637" s="60">
        <v>44820</v>
      </c>
      <c r="E6637" s="61" t="s">
        <v>22001</v>
      </c>
      <c r="F6637" s="61" t="s">
        <v>124</v>
      </c>
      <c r="G6637" s="61" t="s">
        <v>71</v>
      </c>
      <c r="H6637" s="61" t="s">
        <v>189</v>
      </c>
      <c r="I6637" s="61" t="s">
        <v>21</v>
      </c>
      <c r="J6637" s="61" t="s">
        <v>2547</v>
      </c>
      <c r="K6637" s="61" t="s">
        <v>6081</v>
      </c>
      <c r="L6637" s="61" t="s">
        <v>21142</v>
      </c>
      <c r="M6637" s="61" t="s">
        <v>21</v>
      </c>
      <c r="O6637" s="29">
        <v>45041</v>
      </c>
      <c r="P6637" s="61" t="s">
        <v>21</v>
      </c>
      <c r="Q6637" s="59" t="b">
        <v>0</v>
      </c>
      <c r="R6637" s="22">
        <f>IF(O6637=" ", " ", INT(YEARFRAC(O6637, B6637)*365))</f>
        <v>202</v>
      </c>
      <c r="S6637" s="61" t="s">
        <v>21</v>
      </c>
    </row>
    <row r="6638" spans="1:19">
      <c r="A6638" s="64">
        <v>12190</v>
      </c>
      <c r="B6638" s="62">
        <v>44839</v>
      </c>
      <c r="C6638" s="63" t="s">
        <v>21696</v>
      </c>
      <c r="D6638" s="62">
        <v>44839</v>
      </c>
      <c r="E6638" s="63" t="s">
        <v>21697</v>
      </c>
      <c r="F6638" s="63" t="s">
        <v>16173</v>
      </c>
      <c r="G6638" s="63" t="s">
        <v>189</v>
      </c>
      <c r="H6638" s="63" t="s">
        <v>566</v>
      </c>
      <c r="I6638" s="63" t="s">
        <v>21</v>
      </c>
      <c r="J6638" s="63" t="s">
        <v>22204</v>
      </c>
      <c r="K6638" s="63" t="s">
        <v>21698</v>
      </c>
      <c r="L6638" s="63" t="s">
        <v>21142</v>
      </c>
      <c r="M6638" s="63" t="s">
        <v>21</v>
      </c>
      <c r="P6638" s="65" t="s">
        <v>21</v>
      </c>
      <c r="Q6638" s="66" t="b">
        <v>0</v>
      </c>
      <c r="R6638" s="66"/>
      <c r="S6638" s="63" t="s">
        <v>21</v>
      </c>
    </row>
    <row r="6639" spans="1:19">
      <c r="A6639" s="38">
        <v>12191</v>
      </c>
      <c r="B6639" s="39">
        <v>44841</v>
      </c>
      <c r="C6639" s="40" t="s">
        <v>22002</v>
      </c>
      <c r="D6639" s="39">
        <v>44840</v>
      </c>
      <c r="E6639" s="40" t="s">
        <v>38</v>
      </c>
      <c r="F6639" s="40" t="s">
        <v>52</v>
      </c>
      <c r="G6639" s="40" t="s">
        <v>189</v>
      </c>
      <c r="H6639" s="40" t="s">
        <v>71</v>
      </c>
      <c r="I6639" s="40" t="s">
        <v>21</v>
      </c>
      <c r="J6639" s="40" t="s">
        <v>22003</v>
      </c>
      <c r="K6639" s="40" t="s">
        <v>22004</v>
      </c>
      <c r="L6639" s="40" t="s">
        <v>21573</v>
      </c>
      <c r="M6639" s="40" t="s">
        <v>21</v>
      </c>
      <c r="O6639" s="39">
        <v>44845</v>
      </c>
      <c r="P6639" s="41" t="s">
        <v>21</v>
      </c>
      <c r="Q6639" s="42" t="b">
        <v>0</v>
      </c>
      <c r="R6639" s="22">
        <f t="shared" ref="R6639:R6645" si="142">IF(O6639=" ", " ", INT(YEARFRAC(O6639, B6639)*365))</f>
        <v>4</v>
      </c>
      <c r="S6639" s="40" t="s">
        <v>21</v>
      </c>
    </row>
    <row r="6640" spans="1:19">
      <c r="A6640" s="64">
        <v>12192</v>
      </c>
      <c r="B6640" s="62">
        <v>44841</v>
      </c>
      <c r="C6640" s="63" t="s">
        <v>22005</v>
      </c>
      <c r="D6640" s="62">
        <v>44841</v>
      </c>
      <c r="E6640" s="63" t="s">
        <v>38</v>
      </c>
      <c r="F6640" s="63" t="s">
        <v>70</v>
      </c>
      <c r="G6640" s="63" t="s">
        <v>189</v>
      </c>
      <c r="H6640" s="63" t="s">
        <v>71</v>
      </c>
      <c r="I6640" s="63" t="s">
        <v>21</v>
      </c>
      <c r="J6640" s="63" t="s">
        <v>22006</v>
      </c>
      <c r="K6640" s="63" t="s">
        <v>22004</v>
      </c>
      <c r="L6640" s="63" t="s">
        <v>21573</v>
      </c>
      <c r="M6640" s="63" t="s">
        <v>21</v>
      </c>
      <c r="O6640" s="45">
        <v>44844</v>
      </c>
      <c r="P6640" s="65" t="s">
        <v>21</v>
      </c>
      <c r="Q6640" s="66" t="b">
        <v>0</v>
      </c>
      <c r="R6640" s="22">
        <f t="shared" si="142"/>
        <v>3</v>
      </c>
      <c r="S6640" s="63" t="s">
        <v>21</v>
      </c>
    </row>
    <row r="6641" spans="1:19">
      <c r="A6641" s="64">
        <v>12193</v>
      </c>
      <c r="B6641" s="62">
        <v>44841</v>
      </c>
      <c r="C6641" s="63" t="s">
        <v>22007</v>
      </c>
      <c r="D6641" s="62">
        <v>44841</v>
      </c>
      <c r="E6641" s="63" t="s">
        <v>22008</v>
      </c>
      <c r="F6641" s="63" t="s">
        <v>693</v>
      </c>
      <c r="G6641" s="63" t="s">
        <v>189</v>
      </c>
      <c r="H6641" s="63" t="s">
        <v>189</v>
      </c>
      <c r="I6641" s="63" t="s">
        <v>21</v>
      </c>
      <c r="J6641" s="63" t="s">
        <v>21893</v>
      </c>
      <c r="K6641" s="63" t="s">
        <v>22009</v>
      </c>
      <c r="L6641" s="63" t="s">
        <v>21142</v>
      </c>
      <c r="M6641" s="63" t="s">
        <v>21</v>
      </c>
      <c r="O6641" s="45">
        <v>44861</v>
      </c>
      <c r="P6641" s="65" t="s">
        <v>21</v>
      </c>
      <c r="Q6641" s="66" t="b">
        <v>0</v>
      </c>
      <c r="R6641" s="22">
        <f t="shared" si="142"/>
        <v>20</v>
      </c>
      <c r="S6641" s="63" t="s">
        <v>21</v>
      </c>
    </row>
    <row r="6642" spans="1:19">
      <c r="A6642" s="26">
        <v>12194</v>
      </c>
      <c r="B6642" s="27">
        <v>44853</v>
      </c>
      <c r="C6642" s="28" t="s">
        <v>22010</v>
      </c>
      <c r="D6642" s="27">
        <v>44848</v>
      </c>
      <c r="E6642" s="28" t="s">
        <v>22011</v>
      </c>
      <c r="F6642" s="28" t="s">
        <v>216</v>
      </c>
      <c r="G6642" s="28" t="s">
        <v>189</v>
      </c>
      <c r="H6642" s="28" t="s">
        <v>71</v>
      </c>
      <c r="I6642" s="28" t="s">
        <v>21</v>
      </c>
      <c r="J6642" s="28" t="s">
        <v>2803</v>
      </c>
      <c r="K6642" s="28" t="s">
        <v>6081</v>
      </c>
      <c r="L6642" s="28" t="s">
        <v>7167</v>
      </c>
      <c r="M6642" s="28" t="s">
        <v>21</v>
      </c>
      <c r="O6642" s="27">
        <v>44963</v>
      </c>
      <c r="P6642" s="28" t="s">
        <v>21</v>
      </c>
      <c r="Q6642" s="26" t="b">
        <v>0</v>
      </c>
      <c r="R6642" s="22">
        <f t="shared" si="142"/>
        <v>108</v>
      </c>
      <c r="S6642" s="28" t="s">
        <v>21</v>
      </c>
    </row>
    <row r="6643" spans="1:19">
      <c r="A6643" s="64">
        <v>12195</v>
      </c>
      <c r="B6643" s="62">
        <v>44853</v>
      </c>
      <c r="C6643" s="63" t="s">
        <v>22012</v>
      </c>
      <c r="D6643" s="62">
        <v>44847</v>
      </c>
      <c r="E6643" s="63" t="s">
        <v>38</v>
      </c>
      <c r="F6643" s="63" t="s">
        <v>124</v>
      </c>
      <c r="G6643" s="63" t="s">
        <v>189</v>
      </c>
      <c r="H6643" s="63" t="s">
        <v>71</v>
      </c>
      <c r="I6643" s="63" t="s">
        <v>21</v>
      </c>
      <c r="J6643" s="63" t="s">
        <v>22013</v>
      </c>
      <c r="K6643" s="63" t="s">
        <v>22014</v>
      </c>
      <c r="L6643" s="63" t="s">
        <v>21142</v>
      </c>
      <c r="M6643" s="63" t="s">
        <v>21</v>
      </c>
      <c r="O6643" s="45">
        <v>44859</v>
      </c>
      <c r="P6643" s="65" t="s">
        <v>21</v>
      </c>
      <c r="Q6643" s="66" t="b">
        <v>0</v>
      </c>
      <c r="R6643" s="22">
        <f t="shared" si="142"/>
        <v>6</v>
      </c>
      <c r="S6643" s="63" t="s">
        <v>21</v>
      </c>
    </row>
    <row r="6644" spans="1:19">
      <c r="A6644" s="64">
        <v>12198</v>
      </c>
      <c r="B6644" s="62">
        <v>44853</v>
      </c>
      <c r="C6644" s="63" t="s">
        <v>22015</v>
      </c>
      <c r="D6644" s="62">
        <v>44853</v>
      </c>
      <c r="E6644" s="63" t="s">
        <v>22016</v>
      </c>
      <c r="F6644" s="63" t="s">
        <v>11319</v>
      </c>
      <c r="G6644" s="63" t="s">
        <v>189</v>
      </c>
      <c r="H6644" s="63" t="s">
        <v>71</v>
      </c>
      <c r="I6644" s="63" t="s">
        <v>21</v>
      </c>
      <c r="J6644" s="63" t="s">
        <v>22017</v>
      </c>
      <c r="K6644" s="63" t="s">
        <v>22018</v>
      </c>
      <c r="L6644" s="63" t="s">
        <v>21243</v>
      </c>
      <c r="M6644" s="63" t="s">
        <v>21</v>
      </c>
      <c r="O6644" s="45">
        <v>44907</v>
      </c>
      <c r="P6644" s="65" t="s">
        <v>21</v>
      </c>
      <c r="Q6644" s="66" t="b">
        <v>0</v>
      </c>
      <c r="R6644" s="22">
        <f t="shared" si="142"/>
        <v>53</v>
      </c>
      <c r="S6644" s="63" t="s">
        <v>21</v>
      </c>
    </row>
    <row r="6645" spans="1:19">
      <c r="A6645" s="38">
        <v>12201</v>
      </c>
      <c r="B6645" s="39">
        <v>44855</v>
      </c>
      <c r="C6645" s="40" t="s">
        <v>22019</v>
      </c>
      <c r="D6645" s="39">
        <v>44855</v>
      </c>
      <c r="E6645" s="40" t="s">
        <v>38</v>
      </c>
      <c r="F6645" s="40" t="s">
        <v>124</v>
      </c>
      <c r="G6645" s="40" t="s">
        <v>189</v>
      </c>
      <c r="H6645" s="40" t="s">
        <v>71</v>
      </c>
      <c r="I6645" s="40" t="s">
        <v>21</v>
      </c>
      <c r="J6645" s="40" t="s">
        <v>22020</v>
      </c>
      <c r="K6645" s="40" t="s">
        <v>21945</v>
      </c>
      <c r="L6645" s="40" t="s">
        <v>21243</v>
      </c>
      <c r="M6645" s="40" t="s">
        <v>21</v>
      </c>
      <c r="O6645" s="39">
        <v>44860</v>
      </c>
      <c r="P6645" s="41" t="s">
        <v>21</v>
      </c>
      <c r="Q6645" s="42" t="b">
        <v>0</v>
      </c>
      <c r="R6645" s="22">
        <f t="shared" si="142"/>
        <v>5</v>
      </c>
      <c r="S6645" s="40" t="s">
        <v>21</v>
      </c>
    </row>
    <row r="6646" spans="1:19">
      <c r="A6646" s="64">
        <v>12199</v>
      </c>
      <c r="B6646" s="62">
        <v>44859</v>
      </c>
      <c r="C6646" s="63" t="s">
        <v>21699</v>
      </c>
      <c r="D6646" s="62">
        <v>44859</v>
      </c>
      <c r="E6646" s="63" t="s">
        <v>21700</v>
      </c>
      <c r="F6646" s="63" t="s">
        <v>124</v>
      </c>
      <c r="G6646" s="63" t="s">
        <v>189</v>
      </c>
      <c r="H6646" s="63" t="s">
        <v>71</v>
      </c>
      <c r="I6646" s="63" t="s">
        <v>21</v>
      </c>
      <c r="J6646" s="63" t="s">
        <v>22205</v>
      </c>
      <c r="K6646" s="63" t="s">
        <v>21701</v>
      </c>
      <c r="L6646" s="63" t="s">
        <v>4282</v>
      </c>
      <c r="M6646" s="63" t="s">
        <v>21</v>
      </c>
      <c r="P6646" s="65" t="s">
        <v>21</v>
      </c>
      <c r="Q6646" s="66" t="b">
        <v>0</v>
      </c>
      <c r="R6646" s="66"/>
      <c r="S6646" s="63" t="s">
        <v>21</v>
      </c>
    </row>
    <row r="6647" spans="1:19">
      <c r="A6647" s="38">
        <v>12202</v>
      </c>
      <c r="B6647" s="39">
        <v>44859</v>
      </c>
      <c r="C6647" s="40" t="s">
        <v>22021</v>
      </c>
      <c r="D6647" s="39">
        <v>44858</v>
      </c>
      <c r="E6647" s="40" t="s">
        <v>22022</v>
      </c>
      <c r="F6647" s="40" t="s">
        <v>3615</v>
      </c>
      <c r="G6647" s="40" t="s">
        <v>189</v>
      </c>
      <c r="H6647" s="40" t="s">
        <v>189</v>
      </c>
      <c r="I6647" s="40" t="s">
        <v>21</v>
      </c>
      <c r="J6647" s="40" t="s">
        <v>22023</v>
      </c>
      <c r="K6647" s="40" t="s">
        <v>22024</v>
      </c>
      <c r="L6647" s="40" t="s">
        <v>7167</v>
      </c>
      <c r="M6647" s="40" t="s">
        <v>21</v>
      </c>
      <c r="O6647" s="39">
        <v>44874</v>
      </c>
      <c r="P6647" s="41" t="s">
        <v>21</v>
      </c>
      <c r="Q6647" s="42" t="b">
        <v>0</v>
      </c>
      <c r="R6647" s="22">
        <f>IF(O6647=" ", " ", INT(YEARFRAC(O6647, B6647)*365))</f>
        <v>14</v>
      </c>
      <c r="S6647" s="40" t="s">
        <v>21</v>
      </c>
    </row>
    <row r="6648" spans="1:19">
      <c r="A6648" s="64">
        <v>12204</v>
      </c>
      <c r="B6648" s="62">
        <v>44865</v>
      </c>
      <c r="C6648" s="63" t="s">
        <v>22025</v>
      </c>
      <c r="D6648" s="62">
        <v>44865</v>
      </c>
      <c r="E6648" s="63" t="s">
        <v>1928</v>
      </c>
      <c r="F6648" s="63" t="s">
        <v>1743</v>
      </c>
      <c r="G6648" s="63" t="s">
        <v>189</v>
      </c>
      <c r="H6648" s="63" t="s">
        <v>71</v>
      </c>
      <c r="I6648" s="63" t="s">
        <v>21</v>
      </c>
      <c r="J6648" s="63" t="s">
        <v>22026</v>
      </c>
      <c r="K6648" s="63" t="s">
        <v>22027</v>
      </c>
      <c r="L6648" s="63" t="s">
        <v>21573</v>
      </c>
      <c r="M6648" s="63" t="s">
        <v>21</v>
      </c>
      <c r="N6648" s="45">
        <v>44881</v>
      </c>
      <c r="O6648" s="45">
        <v>44874</v>
      </c>
      <c r="P6648" s="65" t="s">
        <v>21</v>
      </c>
      <c r="Q6648" s="66" t="b">
        <v>0</v>
      </c>
      <c r="R6648" s="22">
        <f>IF(O6648=" ", " ", INT(YEARFRAC(O6648, B6648)*365))</f>
        <v>9</v>
      </c>
      <c r="S6648" s="63" t="s">
        <v>21</v>
      </c>
    </row>
    <row r="6649" spans="1:19">
      <c r="A6649" s="38">
        <v>12205</v>
      </c>
      <c r="B6649" s="39">
        <v>44865</v>
      </c>
      <c r="C6649" s="40" t="s">
        <v>21702</v>
      </c>
      <c r="D6649" s="39">
        <v>44861</v>
      </c>
      <c r="E6649" s="40" t="s">
        <v>21703</v>
      </c>
      <c r="F6649" s="40" t="s">
        <v>861</v>
      </c>
      <c r="G6649" s="40" t="s">
        <v>189</v>
      </c>
      <c r="H6649" s="40" t="s">
        <v>566</v>
      </c>
      <c r="I6649" s="40" t="s">
        <v>21</v>
      </c>
      <c r="J6649" s="40" t="s">
        <v>22206</v>
      </c>
      <c r="K6649" s="40" t="s">
        <v>21704</v>
      </c>
      <c r="L6649" s="40" t="s">
        <v>21573</v>
      </c>
      <c r="M6649" s="40" t="s">
        <v>21</v>
      </c>
      <c r="O6649" s="18"/>
      <c r="P6649" s="41" t="s">
        <v>21</v>
      </c>
      <c r="Q6649" s="42" t="b">
        <v>0</v>
      </c>
      <c r="R6649" s="66"/>
      <c r="S6649" s="40" t="s">
        <v>21</v>
      </c>
    </row>
    <row r="6650" spans="1:19">
      <c r="A6650" s="64">
        <v>12207</v>
      </c>
      <c r="B6650" s="62">
        <v>44875</v>
      </c>
      <c r="C6650" s="63" t="s">
        <v>22028</v>
      </c>
      <c r="D6650" s="62">
        <v>44875</v>
      </c>
      <c r="E6650" s="63" t="s">
        <v>38</v>
      </c>
      <c r="F6650" s="63" t="s">
        <v>4209</v>
      </c>
      <c r="G6650" s="63" t="s">
        <v>189</v>
      </c>
      <c r="H6650" s="63" t="s">
        <v>71</v>
      </c>
      <c r="I6650" s="63" t="s">
        <v>21</v>
      </c>
      <c r="J6650" s="63" t="s">
        <v>22029</v>
      </c>
      <c r="K6650" s="63" t="s">
        <v>22030</v>
      </c>
      <c r="L6650" s="63" t="s">
        <v>21573</v>
      </c>
      <c r="M6650" s="63" t="s">
        <v>21</v>
      </c>
      <c r="O6650" s="45">
        <v>44880</v>
      </c>
      <c r="P6650" s="65" t="s">
        <v>21</v>
      </c>
      <c r="Q6650" s="66" t="b">
        <v>0</v>
      </c>
      <c r="R6650" s="22">
        <f t="shared" ref="R6650:R6665" si="143">IF(O6650=" ", " ", INT(YEARFRAC(O6650, B6650)*365))</f>
        <v>5</v>
      </c>
      <c r="S6650" s="63" t="s">
        <v>21</v>
      </c>
    </row>
    <row r="6651" spans="1:19">
      <c r="A6651" s="38">
        <v>12208</v>
      </c>
      <c r="B6651" s="39">
        <v>44881</v>
      </c>
      <c r="C6651" s="40" t="s">
        <v>22031</v>
      </c>
      <c r="D6651" s="39">
        <v>44879</v>
      </c>
      <c r="E6651" s="40" t="s">
        <v>38</v>
      </c>
      <c r="F6651" s="40" t="s">
        <v>1743</v>
      </c>
      <c r="G6651" s="40" t="s">
        <v>189</v>
      </c>
      <c r="H6651" s="40" t="s">
        <v>71</v>
      </c>
      <c r="I6651" s="40" t="s">
        <v>21</v>
      </c>
      <c r="J6651" s="40" t="s">
        <v>22032</v>
      </c>
      <c r="K6651" s="40" t="s">
        <v>5810</v>
      </c>
      <c r="L6651" s="40" t="s">
        <v>7167</v>
      </c>
      <c r="M6651" s="40" t="s">
        <v>21</v>
      </c>
      <c r="O6651" s="39">
        <v>44922</v>
      </c>
      <c r="P6651" s="41" t="s">
        <v>21</v>
      </c>
      <c r="Q6651" s="42" t="b">
        <v>0</v>
      </c>
      <c r="R6651" s="22">
        <f t="shared" si="143"/>
        <v>41</v>
      </c>
      <c r="S6651" s="40" t="s">
        <v>21</v>
      </c>
    </row>
    <row r="6652" spans="1:19">
      <c r="A6652" s="59">
        <v>12210</v>
      </c>
      <c r="B6652" s="60">
        <v>44882</v>
      </c>
      <c r="C6652" s="61" t="s">
        <v>22033</v>
      </c>
      <c r="D6652" s="60">
        <v>44881</v>
      </c>
      <c r="E6652" s="61" t="s">
        <v>22034</v>
      </c>
      <c r="F6652" s="61" t="s">
        <v>3457</v>
      </c>
      <c r="G6652" s="61" t="s">
        <v>189</v>
      </c>
      <c r="H6652" s="61" t="s">
        <v>212</v>
      </c>
      <c r="I6652" s="61" t="s">
        <v>21</v>
      </c>
      <c r="J6652" s="61" t="s">
        <v>22207</v>
      </c>
      <c r="K6652" s="61" t="s">
        <v>6081</v>
      </c>
      <c r="L6652" s="61" t="s">
        <v>7167</v>
      </c>
      <c r="M6652" s="61" t="s">
        <v>21</v>
      </c>
      <c r="O6652" s="29">
        <v>44945</v>
      </c>
      <c r="P6652" s="61" t="s">
        <v>21</v>
      </c>
      <c r="Q6652" s="59" t="b">
        <v>0</v>
      </c>
      <c r="R6652" s="22">
        <f t="shared" si="143"/>
        <v>62</v>
      </c>
      <c r="S6652" s="61" t="s">
        <v>21</v>
      </c>
    </row>
    <row r="6653" spans="1:19">
      <c r="A6653" s="38">
        <v>12211</v>
      </c>
      <c r="B6653" s="39">
        <v>44883</v>
      </c>
      <c r="C6653" s="40" t="s">
        <v>22035</v>
      </c>
      <c r="D6653" s="39">
        <v>44879</v>
      </c>
      <c r="E6653" s="40" t="s">
        <v>38</v>
      </c>
      <c r="F6653" s="40" t="s">
        <v>3062</v>
      </c>
      <c r="G6653" s="40" t="s">
        <v>189</v>
      </c>
      <c r="H6653" s="40" t="s">
        <v>71</v>
      </c>
      <c r="I6653" s="40" t="s">
        <v>21</v>
      </c>
      <c r="J6653" s="40" t="s">
        <v>22036</v>
      </c>
      <c r="K6653" s="40" t="s">
        <v>22037</v>
      </c>
      <c r="L6653" s="40" t="s">
        <v>21573</v>
      </c>
      <c r="M6653" s="40" t="s">
        <v>21</v>
      </c>
      <c r="O6653" s="39">
        <v>44883</v>
      </c>
      <c r="P6653" s="41" t="s">
        <v>21</v>
      </c>
      <c r="Q6653" s="42" t="b">
        <v>0</v>
      </c>
      <c r="R6653" s="22">
        <f t="shared" si="143"/>
        <v>0</v>
      </c>
      <c r="S6653" s="40" t="s">
        <v>21</v>
      </c>
    </row>
    <row r="6654" spans="1:19">
      <c r="A6654" s="64">
        <v>12212</v>
      </c>
      <c r="B6654" s="62">
        <v>44886</v>
      </c>
      <c r="C6654" s="63" t="s">
        <v>22038</v>
      </c>
      <c r="D6654" s="62">
        <v>44886</v>
      </c>
      <c r="E6654" s="63" t="s">
        <v>22039</v>
      </c>
      <c r="F6654" s="63" t="s">
        <v>19</v>
      </c>
      <c r="G6654" s="63" t="s">
        <v>189</v>
      </c>
      <c r="H6654" s="63" t="s">
        <v>71</v>
      </c>
      <c r="I6654" s="63" t="s">
        <v>21</v>
      </c>
      <c r="J6654" s="63" t="s">
        <v>22040</v>
      </c>
      <c r="K6654" s="63" t="s">
        <v>16066</v>
      </c>
      <c r="L6654" s="63" t="s">
        <v>7167</v>
      </c>
      <c r="M6654" s="63" t="s">
        <v>21</v>
      </c>
      <c r="O6654" s="45">
        <v>44922</v>
      </c>
      <c r="P6654" s="65" t="s">
        <v>21</v>
      </c>
      <c r="Q6654" s="66" t="b">
        <v>0</v>
      </c>
      <c r="R6654" s="22">
        <f t="shared" si="143"/>
        <v>36</v>
      </c>
      <c r="S6654" s="63" t="s">
        <v>21</v>
      </c>
    </row>
    <row r="6655" spans="1:19">
      <c r="A6655" s="59">
        <v>12213</v>
      </c>
      <c r="B6655" s="60">
        <v>44887</v>
      </c>
      <c r="C6655" s="61" t="s">
        <v>22041</v>
      </c>
      <c r="D6655" s="60">
        <v>44886</v>
      </c>
      <c r="E6655" s="61" t="s">
        <v>22042</v>
      </c>
      <c r="F6655" s="61" t="s">
        <v>124</v>
      </c>
      <c r="G6655" s="61" t="s">
        <v>189</v>
      </c>
      <c r="H6655" s="61" t="s">
        <v>71</v>
      </c>
      <c r="I6655" s="61" t="s">
        <v>21</v>
      </c>
      <c r="J6655" s="61" t="s">
        <v>22208</v>
      </c>
      <c r="K6655" s="61" t="s">
        <v>16066</v>
      </c>
      <c r="L6655" s="61" t="s">
        <v>21142</v>
      </c>
      <c r="M6655" s="61" t="s">
        <v>21</v>
      </c>
      <c r="O6655" s="29">
        <v>45051</v>
      </c>
      <c r="P6655" s="61" t="s">
        <v>21</v>
      </c>
      <c r="Q6655" s="59" t="b">
        <v>0</v>
      </c>
      <c r="R6655" s="22">
        <f t="shared" si="143"/>
        <v>165</v>
      </c>
      <c r="S6655" s="61" t="s">
        <v>21</v>
      </c>
    </row>
    <row r="6656" spans="1:19" ht="72">
      <c r="A6656" s="26">
        <v>12214</v>
      </c>
      <c r="B6656" s="27">
        <v>44890</v>
      </c>
      <c r="C6656" s="28" t="s">
        <v>21705</v>
      </c>
      <c r="D6656" s="27">
        <v>44887</v>
      </c>
      <c r="E6656" s="28" t="s">
        <v>21706</v>
      </c>
      <c r="F6656" s="28" t="s">
        <v>56</v>
      </c>
      <c r="G6656" s="28" t="s">
        <v>189</v>
      </c>
      <c r="H6656" s="28" t="s">
        <v>71</v>
      </c>
      <c r="I6656" s="28" t="s">
        <v>21</v>
      </c>
      <c r="J6656" s="28" t="s">
        <v>22209</v>
      </c>
      <c r="K6656" s="28" t="s">
        <v>18037</v>
      </c>
      <c r="L6656" s="28" t="s">
        <v>21573</v>
      </c>
      <c r="M6656" s="28" t="s">
        <v>21</v>
      </c>
      <c r="O6656" s="27">
        <v>44944</v>
      </c>
      <c r="P6656" s="28" t="s">
        <v>21</v>
      </c>
      <c r="Q6656" s="26" t="b">
        <v>0</v>
      </c>
      <c r="R6656" s="22">
        <f t="shared" si="143"/>
        <v>53</v>
      </c>
      <c r="S6656" s="28" t="s">
        <v>22210</v>
      </c>
    </row>
    <row r="6657" spans="1:19">
      <c r="A6657" s="38">
        <v>12215</v>
      </c>
      <c r="B6657" s="39">
        <v>44894</v>
      </c>
      <c r="C6657" s="40" t="s">
        <v>22043</v>
      </c>
      <c r="D6657" s="39">
        <v>44893</v>
      </c>
      <c r="E6657" s="40" t="s">
        <v>22044</v>
      </c>
      <c r="F6657" s="40" t="s">
        <v>3615</v>
      </c>
      <c r="G6657" s="40" t="s">
        <v>189</v>
      </c>
      <c r="H6657" s="40" t="s">
        <v>189</v>
      </c>
      <c r="I6657" s="40" t="s">
        <v>21</v>
      </c>
      <c r="J6657" s="40" t="s">
        <v>22045</v>
      </c>
      <c r="K6657" s="40" t="s">
        <v>6081</v>
      </c>
      <c r="L6657" s="40" t="s">
        <v>7167</v>
      </c>
      <c r="M6657" s="40" t="s">
        <v>21</v>
      </c>
      <c r="O6657" s="39">
        <v>44903</v>
      </c>
      <c r="P6657" s="41" t="s">
        <v>21</v>
      </c>
      <c r="Q6657" s="42" t="b">
        <v>0</v>
      </c>
      <c r="R6657" s="22">
        <f t="shared" si="143"/>
        <v>9</v>
      </c>
      <c r="S6657" s="40" t="s">
        <v>21</v>
      </c>
    </row>
    <row r="6658" spans="1:19">
      <c r="A6658" s="59">
        <v>12217</v>
      </c>
      <c r="B6658" s="60">
        <v>44900</v>
      </c>
      <c r="C6658" s="61" t="s">
        <v>22046</v>
      </c>
      <c r="D6658" s="60">
        <v>44900</v>
      </c>
      <c r="E6658" s="61" t="s">
        <v>22047</v>
      </c>
      <c r="F6658" s="61" t="s">
        <v>104</v>
      </c>
      <c r="G6658" s="61" t="s">
        <v>189</v>
      </c>
      <c r="H6658" s="61" t="s">
        <v>71</v>
      </c>
      <c r="I6658" s="61" t="s">
        <v>21</v>
      </c>
      <c r="J6658" s="61" t="s">
        <v>22211</v>
      </c>
      <c r="K6658" s="61" t="s">
        <v>1349</v>
      </c>
      <c r="L6658" s="61" t="s">
        <v>21573</v>
      </c>
      <c r="M6658" s="61" t="s">
        <v>21</v>
      </c>
      <c r="O6658" s="29">
        <v>45005</v>
      </c>
      <c r="P6658" s="61" t="s">
        <v>21</v>
      </c>
      <c r="Q6658" s="59" t="b">
        <v>0</v>
      </c>
      <c r="R6658" s="22">
        <f t="shared" si="143"/>
        <v>106</v>
      </c>
      <c r="S6658" s="61" t="s">
        <v>21</v>
      </c>
    </row>
    <row r="6659" spans="1:19">
      <c r="A6659" s="38">
        <v>12218</v>
      </c>
      <c r="B6659" s="39">
        <v>44900</v>
      </c>
      <c r="C6659" s="40" t="s">
        <v>22048</v>
      </c>
      <c r="D6659" s="39">
        <v>44900</v>
      </c>
      <c r="E6659" s="40" t="s">
        <v>1928</v>
      </c>
      <c r="F6659" s="40" t="s">
        <v>1743</v>
      </c>
      <c r="G6659" s="40" t="s">
        <v>189</v>
      </c>
      <c r="H6659" s="40" t="s">
        <v>71</v>
      </c>
      <c r="I6659" s="40" t="s">
        <v>21</v>
      </c>
      <c r="J6659" s="40" t="s">
        <v>22049</v>
      </c>
      <c r="K6659" s="40" t="s">
        <v>22050</v>
      </c>
      <c r="L6659" s="40" t="s">
        <v>21573</v>
      </c>
      <c r="M6659" s="40" t="s">
        <v>21</v>
      </c>
      <c r="N6659" s="45">
        <v>44914</v>
      </c>
      <c r="O6659" s="39">
        <v>44903</v>
      </c>
      <c r="P6659" s="41" t="s">
        <v>21</v>
      </c>
      <c r="Q6659" s="42" t="b">
        <v>0</v>
      </c>
      <c r="R6659" s="22">
        <f t="shared" si="143"/>
        <v>3</v>
      </c>
      <c r="S6659" s="40" t="s">
        <v>21</v>
      </c>
    </row>
    <row r="6660" spans="1:19">
      <c r="A6660" s="64">
        <v>12219</v>
      </c>
      <c r="B6660" s="62">
        <v>44907</v>
      </c>
      <c r="C6660" s="63" t="s">
        <v>22051</v>
      </c>
      <c r="D6660" s="62">
        <v>44904</v>
      </c>
      <c r="E6660" s="63" t="s">
        <v>38</v>
      </c>
      <c r="F6660" s="63" t="s">
        <v>6084</v>
      </c>
      <c r="G6660" s="63" t="s">
        <v>189</v>
      </c>
      <c r="H6660" s="63" t="s">
        <v>71</v>
      </c>
      <c r="I6660" s="63" t="s">
        <v>21</v>
      </c>
      <c r="J6660" s="63" t="s">
        <v>22052</v>
      </c>
      <c r="K6660" s="63" t="s">
        <v>22053</v>
      </c>
      <c r="L6660" s="63" t="s">
        <v>7167</v>
      </c>
      <c r="M6660" s="63" t="s">
        <v>21</v>
      </c>
      <c r="O6660" s="45">
        <v>44907</v>
      </c>
      <c r="P6660" s="65" t="s">
        <v>21</v>
      </c>
      <c r="Q6660" s="66" t="b">
        <v>0</v>
      </c>
      <c r="R6660" s="22">
        <f t="shared" si="143"/>
        <v>0</v>
      </c>
      <c r="S6660" s="63" t="s">
        <v>21</v>
      </c>
    </row>
    <row r="6661" spans="1:19">
      <c r="A6661" s="64">
        <v>12220</v>
      </c>
      <c r="B6661" s="62">
        <v>44907</v>
      </c>
      <c r="C6661" s="63" t="s">
        <v>22054</v>
      </c>
      <c r="D6661" s="62">
        <v>44904</v>
      </c>
      <c r="E6661" s="63" t="s">
        <v>22055</v>
      </c>
      <c r="F6661" s="63" t="s">
        <v>3615</v>
      </c>
      <c r="G6661" s="63" t="s">
        <v>189</v>
      </c>
      <c r="H6661" s="63" t="s">
        <v>189</v>
      </c>
      <c r="I6661" s="63" t="s">
        <v>21</v>
      </c>
      <c r="J6661" s="63" t="s">
        <v>22056</v>
      </c>
      <c r="K6661" s="63" t="s">
        <v>6081</v>
      </c>
      <c r="L6661" s="63" t="s">
        <v>7167</v>
      </c>
      <c r="M6661" s="63" t="s">
        <v>21</v>
      </c>
      <c r="O6661" s="45">
        <v>44935</v>
      </c>
      <c r="P6661" s="65" t="s">
        <v>21</v>
      </c>
      <c r="Q6661" s="66" t="b">
        <v>0</v>
      </c>
      <c r="R6661" s="22">
        <f t="shared" si="143"/>
        <v>27</v>
      </c>
      <c r="S6661" s="63" t="s">
        <v>21</v>
      </c>
    </row>
    <row r="6662" spans="1:19">
      <c r="A6662" s="64">
        <v>12221</v>
      </c>
      <c r="B6662" s="62">
        <v>44914</v>
      </c>
      <c r="C6662" s="63" t="s">
        <v>22057</v>
      </c>
      <c r="D6662" s="62">
        <v>44909</v>
      </c>
      <c r="E6662" s="63" t="s">
        <v>22058</v>
      </c>
      <c r="F6662" s="63" t="s">
        <v>52</v>
      </c>
      <c r="G6662" s="63" t="s">
        <v>189</v>
      </c>
      <c r="H6662" s="63" t="s">
        <v>71</v>
      </c>
      <c r="I6662" s="63" t="s">
        <v>21</v>
      </c>
      <c r="J6662" s="63" t="s">
        <v>22059</v>
      </c>
      <c r="K6662" s="63" t="s">
        <v>22060</v>
      </c>
      <c r="L6662" s="63" t="s">
        <v>7167</v>
      </c>
      <c r="M6662" s="63" t="s">
        <v>21</v>
      </c>
      <c r="O6662" s="45">
        <v>44931</v>
      </c>
      <c r="P6662" s="65" t="s">
        <v>21</v>
      </c>
      <c r="Q6662" s="66" t="b">
        <v>0</v>
      </c>
      <c r="R6662" s="22">
        <f t="shared" si="143"/>
        <v>16</v>
      </c>
      <c r="S6662" s="63" t="s">
        <v>21</v>
      </c>
    </row>
    <row r="6663" spans="1:19" ht="24">
      <c r="A6663" s="38">
        <v>12222</v>
      </c>
      <c r="B6663" s="39">
        <v>44914</v>
      </c>
      <c r="C6663" s="40" t="s">
        <v>21707</v>
      </c>
      <c r="D6663" s="39">
        <v>44911</v>
      </c>
      <c r="E6663" s="40" t="s">
        <v>21708</v>
      </c>
      <c r="F6663" s="40" t="s">
        <v>21709</v>
      </c>
      <c r="G6663" s="40" t="s">
        <v>189</v>
      </c>
      <c r="H6663" s="40" t="s">
        <v>189</v>
      </c>
      <c r="I6663" s="40" t="s">
        <v>21</v>
      </c>
      <c r="J6663" s="40" t="s">
        <v>19840</v>
      </c>
      <c r="K6663" s="40" t="s">
        <v>21710</v>
      </c>
      <c r="L6663" s="40" t="s">
        <v>22185</v>
      </c>
      <c r="M6663" s="40" t="s">
        <v>21243</v>
      </c>
      <c r="O6663" s="39">
        <v>45649</v>
      </c>
      <c r="P6663" s="41" t="s">
        <v>21</v>
      </c>
      <c r="Q6663" s="42" t="b">
        <v>0</v>
      </c>
      <c r="R6663" s="22">
        <f t="shared" si="143"/>
        <v>734</v>
      </c>
      <c r="S6663" s="40" t="s">
        <v>22212</v>
      </c>
    </row>
    <row r="6664" spans="1:19">
      <c r="A6664" s="64">
        <v>12224</v>
      </c>
      <c r="B6664" s="62">
        <v>44915</v>
      </c>
      <c r="C6664" s="63" t="s">
        <v>22061</v>
      </c>
      <c r="D6664" s="62">
        <v>44914</v>
      </c>
      <c r="E6664" s="63" t="s">
        <v>38</v>
      </c>
      <c r="F6664" s="63" t="s">
        <v>1743</v>
      </c>
      <c r="G6664" s="63" t="s">
        <v>189</v>
      </c>
      <c r="H6664" s="63" t="s">
        <v>71</v>
      </c>
      <c r="I6664" s="63" t="s">
        <v>21</v>
      </c>
      <c r="J6664" s="63" t="s">
        <v>22062</v>
      </c>
      <c r="K6664" s="63" t="s">
        <v>22063</v>
      </c>
      <c r="L6664" s="63" t="s">
        <v>21142</v>
      </c>
      <c r="M6664" s="63" t="s">
        <v>21</v>
      </c>
      <c r="O6664" s="45">
        <v>44916</v>
      </c>
      <c r="P6664" s="65" t="s">
        <v>21</v>
      </c>
      <c r="Q6664" s="66" t="b">
        <v>0</v>
      </c>
      <c r="R6664" s="22">
        <f t="shared" si="143"/>
        <v>1</v>
      </c>
      <c r="S6664" s="63" t="s">
        <v>21</v>
      </c>
    </row>
    <row r="6665" spans="1:19">
      <c r="A6665" s="38">
        <v>12225</v>
      </c>
      <c r="B6665" s="39">
        <v>44915</v>
      </c>
      <c r="C6665" s="40" t="s">
        <v>22064</v>
      </c>
      <c r="D6665" s="39">
        <v>44914</v>
      </c>
      <c r="E6665" s="40" t="s">
        <v>38</v>
      </c>
      <c r="F6665" s="40" t="s">
        <v>98</v>
      </c>
      <c r="G6665" s="40" t="s">
        <v>189</v>
      </c>
      <c r="H6665" s="40" t="s">
        <v>71</v>
      </c>
      <c r="I6665" s="40" t="s">
        <v>21</v>
      </c>
      <c r="J6665" s="40" t="s">
        <v>22065</v>
      </c>
      <c r="K6665" s="40" t="s">
        <v>15976</v>
      </c>
      <c r="L6665" s="40" t="s">
        <v>21142</v>
      </c>
      <c r="M6665" s="40" t="s">
        <v>21</v>
      </c>
      <c r="O6665" s="39">
        <v>44924</v>
      </c>
      <c r="P6665" s="41" t="s">
        <v>21</v>
      </c>
      <c r="Q6665" s="42" t="b">
        <v>0</v>
      </c>
      <c r="R6665" s="22">
        <f t="shared" si="143"/>
        <v>9</v>
      </c>
      <c r="S6665" s="40" t="s">
        <v>21</v>
      </c>
    </row>
    <row r="6666" spans="1:19">
      <c r="A6666" s="38">
        <v>12226</v>
      </c>
      <c r="B6666" s="39">
        <v>44915</v>
      </c>
      <c r="C6666" s="40" t="s">
        <v>21711</v>
      </c>
      <c r="D6666" s="39">
        <v>44910</v>
      </c>
      <c r="E6666" s="40" t="s">
        <v>21712</v>
      </c>
      <c r="F6666" s="40" t="s">
        <v>5690</v>
      </c>
      <c r="G6666" s="40" t="s">
        <v>189</v>
      </c>
      <c r="H6666" s="40" t="s">
        <v>71</v>
      </c>
      <c r="I6666" s="40" t="s">
        <v>21</v>
      </c>
      <c r="J6666" s="40" t="s">
        <v>22213</v>
      </c>
      <c r="K6666" s="40" t="s">
        <v>16009</v>
      </c>
      <c r="L6666" s="40" t="s">
        <v>21243</v>
      </c>
      <c r="M6666" s="40" t="s">
        <v>21573</v>
      </c>
      <c r="O6666" s="18"/>
      <c r="P6666" s="41" t="s">
        <v>21</v>
      </c>
      <c r="Q6666" s="42" t="b">
        <v>0</v>
      </c>
      <c r="R6666" s="66"/>
      <c r="S6666" s="40" t="s">
        <v>21</v>
      </c>
    </row>
    <row r="6667" spans="1:19" ht="24">
      <c r="A6667" s="38">
        <v>12227</v>
      </c>
      <c r="B6667" s="39">
        <v>44923</v>
      </c>
      <c r="C6667" s="40" t="s">
        <v>21713</v>
      </c>
      <c r="D6667" s="39">
        <v>44922</v>
      </c>
      <c r="E6667" s="40" t="s">
        <v>21714</v>
      </c>
      <c r="F6667" s="40" t="s">
        <v>10114</v>
      </c>
      <c r="G6667" s="40" t="s">
        <v>189</v>
      </c>
      <c r="H6667" s="40" t="s">
        <v>71</v>
      </c>
      <c r="I6667" s="40" t="s">
        <v>21</v>
      </c>
      <c r="J6667" s="40" t="s">
        <v>22214</v>
      </c>
      <c r="K6667" s="40" t="s">
        <v>13389</v>
      </c>
      <c r="L6667" s="40" t="s">
        <v>7167</v>
      </c>
      <c r="M6667" s="40" t="s">
        <v>21</v>
      </c>
      <c r="O6667" s="18"/>
      <c r="P6667" s="41" t="s">
        <v>21</v>
      </c>
      <c r="Q6667" s="42" t="b">
        <v>0</v>
      </c>
      <c r="R6667" s="66"/>
      <c r="S6667" s="40" t="s">
        <v>22215</v>
      </c>
    </row>
    <row r="6668" spans="1:19">
      <c r="A6668" s="38">
        <v>12228</v>
      </c>
      <c r="B6668" s="39">
        <v>44925</v>
      </c>
      <c r="C6668" s="40" t="s">
        <v>22066</v>
      </c>
      <c r="D6668" s="39">
        <v>44925</v>
      </c>
      <c r="E6668" s="40" t="s">
        <v>22067</v>
      </c>
      <c r="F6668" s="40" t="s">
        <v>52</v>
      </c>
      <c r="G6668" s="40" t="s">
        <v>189</v>
      </c>
      <c r="H6668" s="40" t="s">
        <v>71</v>
      </c>
      <c r="I6668" s="40" t="s">
        <v>21</v>
      </c>
      <c r="J6668" s="40" t="s">
        <v>22068</v>
      </c>
      <c r="K6668" s="40" t="s">
        <v>22069</v>
      </c>
      <c r="L6668" s="40" t="s">
        <v>7167</v>
      </c>
      <c r="M6668" s="40" t="s">
        <v>21</v>
      </c>
      <c r="O6668" s="39">
        <v>44935</v>
      </c>
      <c r="P6668" s="41" t="s">
        <v>21</v>
      </c>
      <c r="Q6668" s="42" t="b">
        <v>0</v>
      </c>
      <c r="R6668" s="22">
        <f>IF(O6668=" ", " ", INT(YEARFRAC(O6668, B6668)*365))</f>
        <v>9</v>
      </c>
      <c r="S6668" s="40" t="s">
        <v>21</v>
      </c>
    </row>
    <row r="6669" spans="1:19">
      <c r="A6669" s="59">
        <v>12229</v>
      </c>
      <c r="B6669" s="60">
        <v>44930</v>
      </c>
      <c r="C6669" s="61" t="s">
        <v>22070</v>
      </c>
      <c r="D6669" s="60">
        <v>44929</v>
      </c>
      <c r="E6669" s="61" t="s">
        <v>1928</v>
      </c>
      <c r="F6669" s="61" t="s">
        <v>1743</v>
      </c>
      <c r="G6669" s="61" t="s">
        <v>189</v>
      </c>
      <c r="H6669" s="61" t="s">
        <v>71</v>
      </c>
      <c r="I6669" s="61" t="s">
        <v>21</v>
      </c>
      <c r="J6669" s="61" t="s">
        <v>20360</v>
      </c>
      <c r="K6669" s="61" t="s">
        <v>22071</v>
      </c>
      <c r="L6669" s="61" t="s">
        <v>4282</v>
      </c>
      <c r="M6669" s="61" t="s">
        <v>21</v>
      </c>
      <c r="O6669" s="29">
        <v>44943</v>
      </c>
      <c r="P6669" s="61" t="s">
        <v>21</v>
      </c>
      <c r="Q6669" s="59" t="b">
        <v>0</v>
      </c>
      <c r="R6669" s="22">
        <f>IF(O6669=" ", " ", INT(YEARFRAC(O6669, B6669)*365))</f>
        <v>13</v>
      </c>
      <c r="S6669" s="61" t="s">
        <v>21</v>
      </c>
    </row>
    <row r="6670" spans="1:19">
      <c r="A6670" s="38">
        <v>12230</v>
      </c>
      <c r="B6670" s="39">
        <v>44930</v>
      </c>
      <c r="C6670" s="40" t="s">
        <v>21715</v>
      </c>
      <c r="D6670" s="39">
        <v>44929</v>
      </c>
      <c r="E6670" s="40" t="s">
        <v>21716</v>
      </c>
      <c r="F6670" s="40" t="s">
        <v>367</v>
      </c>
      <c r="G6670" s="40" t="s">
        <v>189</v>
      </c>
      <c r="H6670" s="40" t="s">
        <v>71</v>
      </c>
      <c r="I6670" s="40" t="s">
        <v>21</v>
      </c>
      <c r="J6670" s="40" t="s">
        <v>22216</v>
      </c>
      <c r="K6670" s="40" t="s">
        <v>21717</v>
      </c>
      <c r="L6670" s="40" t="s">
        <v>21142</v>
      </c>
      <c r="M6670" s="40" t="s">
        <v>21</v>
      </c>
      <c r="O6670" s="18"/>
      <c r="P6670" s="41" t="s">
        <v>21</v>
      </c>
      <c r="Q6670" s="42" t="b">
        <v>0</v>
      </c>
      <c r="R6670" s="66"/>
      <c r="S6670" s="40" t="s">
        <v>21</v>
      </c>
    </row>
    <row r="6671" spans="1:19">
      <c r="A6671" s="59">
        <v>12232</v>
      </c>
      <c r="B6671" s="60">
        <v>44931</v>
      </c>
      <c r="C6671" s="61" t="s">
        <v>22072</v>
      </c>
      <c r="D6671" s="60">
        <v>44931</v>
      </c>
      <c r="E6671" s="61" t="s">
        <v>22073</v>
      </c>
      <c r="F6671" s="61" t="s">
        <v>228</v>
      </c>
      <c r="G6671" s="61" t="s">
        <v>189</v>
      </c>
      <c r="H6671" s="61" t="s">
        <v>71</v>
      </c>
      <c r="I6671" s="61" t="s">
        <v>21</v>
      </c>
      <c r="J6671" s="61" t="s">
        <v>22217</v>
      </c>
      <c r="K6671" s="61" t="s">
        <v>18385</v>
      </c>
      <c r="L6671" s="61" t="s">
        <v>21243</v>
      </c>
      <c r="M6671" s="61" t="s">
        <v>21</v>
      </c>
      <c r="O6671" s="29">
        <v>44965</v>
      </c>
      <c r="P6671" s="61" t="s">
        <v>21</v>
      </c>
      <c r="Q6671" s="59" t="b">
        <v>0</v>
      </c>
      <c r="R6671" s="22">
        <f>IF(O6671=" ", " ", INT(YEARFRAC(O6671, B6671)*365))</f>
        <v>33</v>
      </c>
      <c r="S6671" s="61" t="s">
        <v>21</v>
      </c>
    </row>
    <row r="6672" spans="1:19">
      <c r="A6672" s="26">
        <v>12233</v>
      </c>
      <c r="B6672" s="27">
        <v>44936</v>
      </c>
      <c r="C6672" s="28" t="s">
        <v>22074</v>
      </c>
      <c r="D6672" s="27">
        <v>44935</v>
      </c>
      <c r="E6672" s="28" t="s">
        <v>22075</v>
      </c>
      <c r="F6672" s="28" t="s">
        <v>242</v>
      </c>
      <c r="G6672" s="28" t="s">
        <v>189</v>
      </c>
      <c r="H6672" s="28" t="s">
        <v>71</v>
      </c>
      <c r="I6672" s="28" t="s">
        <v>21</v>
      </c>
      <c r="J6672" s="28" t="s">
        <v>22218</v>
      </c>
      <c r="K6672" s="28" t="s">
        <v>1349</v>
      </c>
      <c r="L6672" s="28" t="s">
        <v>21573</v>
      </c>
      <c r="M6672" s="28" t="s">
        <v>21</v>
      </c>
      <c r="O6672" s="27">
        <v>44985</v>
      </c>
      <c r="P6672" s="28" t="s">
        <v>21</v>
      </c>
      <c r="Q6672" s="26" t="b">
        <v>0</v>
      </c>
      <c r="R6672" s="22">
        <f>IF(O6672=" ", " ", INT(YEARFRAC(O6672, B6672)*365))</f>
        <v>48</v>
      </c>
      <c r="S6672" s="28" t="s">
        <v>21</v>
      </c>
    </row>
    <row r="6673" spans="1:19">
      <c r="A6673" s="26">
        <v>12234</v>
      </c>
      <c r="B6673" s="27">
        <v>44943</v>
      </c>
      <c r="C6673" s="28" t="s">
        <v>22219</v>
      </c>
      <c r="D6673" s="27">
        <v>44943</v>
      </c>
      <c r="E6673" s="28" t="s">
        <v>38</v>
      </c>
      <c r="F6673" s="28" t="s">
        <v>1743</v>
      </c>
      <c r="G6673" s="28" t="s">
        <v>189</v>
      </c>
      <c r="H6673" s="28" t="s">
        <v>71</v>
      </c>
      <c r="I6673" s="28" t="s">
        <v>21</v>
      </c>
      <c r="J6673" s="28" t="s">
        <v>22220</v>
      </c>
      <c r="K6673" s="28" t="s">
        <v>21</v>
      </c>
      <c r="L6673" s="28" t="s">
        <v>4282</v>
      </c>
      <c r="M6673" s="28" t="s">
        <v>21</v>
      </c>
      <c r="O6673" s="27">
        <v>44944</v>
      </c>
      <c r="P6673" s="28" t="s">
        <v>21</v>
      </c>
      <c r="Q6673" s="26" t="b">
        <v>0</v>
      </c>
      <c r="R6673" s="22">
        <f>IF(O6673=" ", " ", INT(YEARFRAC(O6673, B6673)*365))</f>
        <v>1</v>
      </c>
      <c r="S6673" s="28" t="s">
        <v>21</v>
      </c>
    </row>
    <row r="6674" spans="1:19" ht="24">
      <c r="A6674" s="26">
        <v>12235</v>
      </c>
      <c r="B6674" s="27">
        <v>44944</v>
      </c>
      <c r="C6674" s="28" t="s">
        <v>22221</v>
      </c>
      <c r="D6674" s="27">
        <v>44944</v>
      </c>
      <c r="E6674" s="28" t="s">
        <v>22222</v>
      </c>
      <c r="F6674" s="28" t="s">
        <v>3615</v>
      </c>
      <c r="G6674" s="28" t="s">
        <v>189</v>
      </c>
      <c r="H6674" s="28" t="s">
        <v>189</v>
      </c>
      <c r="I6674" s="28" t="s">
        <v>21</v>
      </c>
      <c r="J6674" s="28" t="s">
        <v>22223</v>
      </c>
      <c r="K6674" s="28" t="s">
        <v>6081</v>
      </c>
      <c r="L6674" s="28" t="s">
        <v>7167</v>
      </c>
      <c r="M6674" s="28" t="s">
        <v>21</v>
      </c>
      <c r="O6674" s="27">
        <v>44963</v>
      </c>
      <c r="P6674" s="28" t="s">
        <v>21</v>
      </c>
      <c r="Q6674" s="26" t="b">
        <v>0</v>
      </c>
      <c r="R6674" s="22">
        <f>IF(O6674=" ", " ", INT(YEARFRAC(O6674, B6674)*365))</f>
        <v>18</v>
      </c>
      <c r="S6674" s="28" t="s">
        <v>22224</v>
      </c>
    </row>
    <row r="6675" spans="1:19">
      <c r="A6675" s="59">
        <v>12236</v>
      </c>
      <c r="B6675" s="60">
        <v>44950</v>
      </c>
      <c r="C6675" s="61" t="s">
        <v>22225</v>
      </c>
      <c r="D6675" s="60">
        <v>44950</v>
      </c>
      <c r="E6675" s="61" t="s">
        <v>38</v>
      </c>
      <c r="F6675" s="61" t="s">
        <v>1743</v>
      </c>
      <c r="G6675" s="61" t="s">
        <v>189</v>
      </c>
      <c r="H6675" s="61" t="s">
        <v>71</v>
      </c>
      <c r="I6675" s="61" t="s">
        <v>21</v>
      </c>
      <c r="J6675" s="61" t="s">
        <v>5182</v>
      </c>
      <c r="K6675" s="61" t="s">
        <v>22226</v>
      </c>
      <c r="L6675" s="61" t="s">
        <v>21142</v>
      </c>
      <c r="M6675" s="61" t="s">
        <v>21</v>
      </c>
      <c r="O6675" s="29">
        <v>44953</v>
      </c>
      <c r="P6675" s="61" t="s">
        <v>21</v>
      </c>
      <c r="Q6675" s="59" t="b">
        <v>0</v>
      </c>
      <c r="R6675" s="22">
        <f>IF(O6675=" ", " ", INT(YEARFRAC(O6675, B6675)*365))</f>
        <v>3</v>
      </c>
      <c r="S6675" s="61" t="s">
        <v>21</v>
      </c>
    </row>
    <row r="6676" spans="1:19">
      <c r="A6676" s="64">
        <v>12237</v>
      </c>
      <c r="B6676" s="62">
        <v>44953</v>
      </c>
      <c r="C6676" s="63" t="s">
        <v>22227</v>
      </c>
      <c r="D6676" s="62">
        <v>44952</v>
      </c>
      <c r="E6676" s="63" t="s">
        <v>22228</v>
      </c>
      <c r="F6676" s="63" t="s">
        <v>27</v>
      </c>
      <c r="G6676" s="63" t="s">
        <v>189</v>
      </c>
      <c r="H6676" s="63" t="s">
        <v>71</v>
      </c>
      <c r="I6676" s="63" t="s">
        <v>21</v>
      </c>
      <c r="J6676" s="63" t="s">
        <v>22229</v>
      </c>
      <c r="K6676" s="63" t="s">
        <v>22230</v>
      </c>
      <c r="L6676" s="63" t="s">
        <v>21142</v>
      </c>
      <c r="M6676" s="63" t="s">
        <v>21</v>
      </c>
      <c r="P6676" s="65" t="s">
        <v>21</v>
      </c>
      <c r="Q6676" s="66" t="b">
        <v>0</v>
      </c>
      <c r="R6676" s="66"/>
      <c r="S6676" s="63" t="s">
        <v>21</v>
      </c>
    </row>
    <row r="6677" spans="1:19">
      <c r="A6677" s="26">
        <v>12238</v>
      </c>
      <c r="B6677" s="27">
        <v>44956</v>
      </c>
      <c r="C6677" s="28" t="s">
        <v>22231</v>
      </c>
      <c r="D6677" s="27">
        <v>44956</v>
      </c>
      <c r="E6677" s="28" t="s">
        <v>38</v>
      </c>
      <c r="F6677" s="28" t="s">
        <v>984</v>
      </c>
      <c r="G6677" s="28" t="s">
        <v>189</v>
      </c>
      <c r="H6677" s="28" t="s">
        <v>71</v>
      </c>
      <c r="I6677" s="28" t="s">
        <v>21</v>
      </c>
      <c r="J6677" s="28" t="s">
        <v>22232</v>
      </c>
      <c r="K6677" s="28" t="s">
        <v>22233</v>
      </c>
      <c r="L6677" s="28" t="s">
        <v>7167</v>
      </c>
      <c r="M6677" s="28" t="s">
        <v>21</v>
      </c>
      <c r="O6677" s="27">
        <v>44958</v>
      </c>
      <c r="P6677" s="28" t="s">
        <v>21</v>
      </c>
      <c r="Q6677" s="26" t="b">
        <v>0</v>
      </c>
      <c r="R6677" s="22">
        <f>IF(O6677=" ", " ", INT(YEARFRAC(O6677, B6677)*365))</f>
        <v>1</v>
      </c>
      <c r="S6677" s="28" t="s">
        <v>21</v>
      </c>
    </row>
    <row r="6678" spans="1:19">
      <c r="A6678" s="64">
        <v>12239</v>
      </c>
      <c r="B6678" s="62">
        <v>44956</v>
      </c>
      <c r="C6678" s="63" t="s">
        <v>22234</v>
      </c>
      <c r="D6678" s="62">
        <v>44956</v>
      </c>
      <c r="E6678" s="63" t="s">
        <v>22235</v>
      </c>
      <c r="F6678" s="63" t="s">
        <v>3171</v>
      </c>
      <c r="G6678" s="63" t="s">
        <v>189</v>
      </c>
      <c r="H6678" s="63" t="s">
        <v>566</v>
      </c>
      <c r="I6678" s="63" t="s">
        <v>21</v>
      </c>
      <c r="J6678" s="63" t="s">
        <v>6588</v>
      </c>
      <c r="K6678" s="63" t="s">
        <v>22236</v>
      </c>
      <c r="L6678" s="63" t="s">
        <v>21142</v>
      </c>
      <c r="M6678" s="63" t="s">
        <v>21</v>
      </c>
      <c r="P6678" s="65" t="s">
        <v>21</v>
      </c>
      <c r="Q6678" s="66" t="b">
        <v>0</v>
      </c>
      <c r="R6678" s="66"/>
      <c r="S6678" s="63" t="s">
        <v>21</v>
      </c>
    </row>
    <row r="6679" spans="1:19">
      <c r="A6679" s="26">
        <v>12241</v>
      </c>
      <c r="B6679" s="27">
        <v>44957</v>
      </c>
      <c r="C6679" s="28" t="s">
        <v>22237</v>
      </c>
      <c r="D6679" s="27">
        <v>44957</v>
      </c>
      <c r="E6679" s="28" t="s">
        <v>38</v>
      </c>
      <c r="F6679" s="28" t="s">
        <v>1743</v>
      </c>
      <c r="G6679" s="28" t="s">
        <v>189</v>
      </c>
      <c r="H6679" s="28" t="s">
        <v>71</v>
      </c>
      <c r="I6679" s="28" t="s">
        <v>21</v>
      </c>
      <c r="J6679" s="28" t="s">
        <v>22238</v>
      </c>
      <c r="K6679" s="28" t="s">
        <v>22239</v>
      </c>
      <c r="L6679" s="28" t="s">
        <v>7167</v>
      </c>
      <c r="M6679" s="28" t="s">
        <v>21</v>
      </c>
      <c r="O6679" s="27">
        <v>44992</v>
      </c>
      <c r="P6679" s="28" t="s">
        <v>21</v>
      </c>
      <c r="Q6679" s="26" t="b">
        <v>0</v>
      </c>
      <c r="R6679" s="22">
        <f>IF(O6679=" ", " ", INT(YEARFRAC(O6679, B6679)*365))</f>
        <v>37</v>
      </c>
      <c r="S6679" s="28" t="s">
        <v>21</v>
      </c>
    </row>
    <row r="6680" spans="1:19">
      <c r="A6680" s="26">
        <v>12242</v>
      </c>
      <c r="B6680" s="27">
        <v>44959</v>
      </c>
      <c r="C6680" s="28" t="s">
        <v>22240</v>
      </c>
      <c r="D6680" s="27">
        <v>44958</v>
      </c>
      <c r="E6680" s="28" t="s">
        <v>22241</v>
      </c>
      <c r="F6680" s="28" t="s">
        <v>137</v>
      </c>
      <c r="G6680" s="28" t="s">
        <v>189</v>
      </c>
      <c r="H6680" s="28" t="s">
        <v>71</v>
      </c>
      <c r="I6680" s="28" t="s">
        <v>21</v>
      </c>
      <c r="J6680" s="28" t="s">
        <v>22242</v>
      </c>
      <c r="K6680" s="28" t="s">
        <v>22243</v>
      </c>
      <c r="L6680" s="28" t="s">
        <v>21142</v>
      </c>
      <c r="M6680" s="28" t="s">
        <v>21</v>
      </c>
      <c r="O6680" s="27">
        <v>44973</v>
      </c>
      <c r="P6680" s="28" t="s">
        <v>21</v>
      </c>
      <c r="Q6680" s="26" t="b">
        <v>0</v>
      </c>
      <c r="R6680" s="22">
        <f>IF(O6680=" ", " ", INT(YEARFRAC(O6680, B6680)*365))</f>
        <v>14</v>
      </c>
      <c r="S6680" s="28" t="s">
        <v>21</v>
      </c>
    </row>
    <row r="6681" spans="1:19">
      <c r="A6681" s="26">
        <v>12243</v>
      </c>
      <c r="B6681" s="27">
        <v>44959</v>
      </c>
      <c r="C6681" s="28" t="s">
        <v>22244</v>
      </c>
      <c r="D6681" s="27">
        <v>44959</v>
      </c>
      <c r="E6681" s="28" t="s">
        <v>1928</v>
      </c>
      <c r="F6681" s="28" t="s">
        <v>1743</v>
      </c>
      <c r="G6681" s="28" t="s">
        <v>189</v>
      </c>
      <c r="H6681" s="28" t="s">
        <v>71</v>
      </c>
      <c r="I6681" s="28" t="s">
        <v>21</v>
      </c>
      <c r="J6681" s="28" t="s">
        <v>22245</v>
      </c>
      <c r="K6681" s="28" t="s">
        <v>22246</v>
      </c>
      <c r="L6681" s="28" t="s">
        <v>21243</v>
      </c>
      <c r="M6681" s="28" t="s">
        <v>21</v>
      </c>
      <c r="N6681" s="29">
        <v>44973</v>
      </c>
      <c r="O6681" s="27">
        <v>44972</v>
      </c>
      <c r="P6681" s="28" t="s">
        <v>21</v>
      </c>
      <c r="Q6681" s="26" t="b">
        <v>0</v>
      </c>
      <c r="R6681" s="22">
        <f>IF(O6681=" ", " ", INT(YEARFRAC(O6681, B6681)*365))</f>
        <v>13</v>
      </c>
      <c r="S6681" s="28" t="s">
        <v>21</v>
      </c>
    </row>
    <row r="6682" spans="1:19" ht="24">
      <c r="A6682" s="38">
        <v>12244</v>
      </c>
      <c r="B6682" s="39">
        <v>44966</v>
      </c>
      <c r="C6682" s="40" t="s">
        <v>22247</v>
      </c>
      <c r="D6682" s="39">
        <v>44965</v>
      </c>
      <c r="E6682" s="40" t="s">
        <v>22224</v>
      </c>
      <c r="F6682" s="40" t="s">
        <v>3615</v>
      </c>
      <c r="G6682" s="40" t="s">
        <v>189</v>
      </c>
      <c r="H6682" s="40" t="s">
        <v>189</v>
      </c>
      <c r="I6682" s="40" t="s">
        <v>21</v>
      </c>
      <c r="J6682" s="40" t="s">
        <v>22248</v>
      </c>
      <c r="K6682" s="40" t="s">
        <v>20489</v>
      </c>
      <c r="L6682" s="40" t="s">
        <v>7167</v>
      </c>
      <c r="M6682" s="40" t="s">
        <v>21</v>
      </c>
      <c r="O6682" s="18"/>
      <c r="P6682" s="41" t="s">
        <v>21</v>
      </c>
      <c r="Q6682" s="42" t="b">
        <v>0</v>
      </c>
      <c r="R6682" s="66"/>
      <c r="S6682" s="40" t="s">
        <v>22222</v>
      </c>
    </row>
    <row r="6683" spans="1:19" ht="24">
      <c r="A6683" s="38">
        <v>12245</v>
      </c>
      <c r="B6683" s="39">
        <v>44970</v>
      </c>
      <c r="C6683" s="40" t="s">
        <v>22249</v>
      </c>
      <c r="D6683" s="39">
        <v>44964</v>
      </c>
      <c r="E6683" s="40" t="s">
        <v>22250</v>
      </c>
      <c r="F6683" s="40" t="s">
        <v>22251</v>
      </c>
      <c r="G6683" s="40" t="s">
        <v>189</v>
      </c>
      <c r="H6683" s="40" t="s">
        <v>71</v>
      </c>
      <c r="I6683" s="40" t="s">
        <v>21</v>
      </c>
      <c r="J6683" s="40" t="s">
        <v>22252</v>
      </c>
      <c r="K6683" s="40" t="s">
        <v>16066</v>
      </c>
      <c r="L6683" s="40" t="s">
        <v>21573</v>
      </c>
      <c r="M6683" s="40" t="s">
        <v>21</v>
      </c>
      <c r="O6683" s="39">
        <v>45330</v>
      </c>
      <c r="P6683" s="41" t="s">
        <v>21</v>
      </c>
      <c r="Q6683" s="42" t="b">
        <v>0</v>
      </c>
      <c r="R6683" s="22">
        <f>IF(O6683=" ", " ", INT(YEARFRAC(O6683, B6683)*365))</f>
        <v>359</v>
      </c>
      <c r="S6683" s="40" t="s">
        <v>21621</v>
      </c>
    </row>
    <row r="6684" spans="1:19">
      <c r="A6684" s="26">
        <v>12246</v>
      </c>
      <c r="B6684" s="27">
        <v>44973</v>
      </c>
      <c r="C6684" s="28" t="s">
        <v>22253</v>
      </c>
      <c r="D6684" s="27">
        <v>44972</v>
      </c>
      <c r="E6684" s="28" t="s">
        <v>22254</v>
      </c>
      <c r="F6684" s="28" t="s">
        <v>861</v>
      </c>
      <c r="G6684" s="28" t="s">
        <v>189</v>
      </c>
      <c r="H6684" s="28" t="s">
        <v>71</v>
      </c>
      <c r="I6684" s="28" t="s">
        <v>21</v>
      </c>
      <c r="J6684" s="28" t="s">
        <v>2694</v>
      </c>
      <c r="K6684" s="28" t="s">
        <v>22255</v>
      </c>
      <c r="L6684" s="28" t="s">
        <v>21573</v>
      </c>
      <c r="M6684" s="28" t="s">
        <v>21</v>
      </c>
      <c r="O6684" s="27">
        <v>44993</v>
      </c>
      <c r="P6684" s="28" t="s">
        <v>21</v>
      </c>
      <c r="Q6684" s="26" t="b">
        <v>0</v>
      </c>
      <c r="R6684" s="22">
        <f>IF(O6684=" ", " ", INT(YEARFRAC(O6684, B6684)*365))</f>
        <v>22</v>
      </c>
      <c r="S6684" s="28" t="s">
        <v>21</v>
      </c>
    </row>
    <row r="6685" spans="1:19">
      <c r="A6685" s="64">
        <v>12247</v>
      </c>
      <c r="B6685" s="62">
        <v>44974</v>
      </c>
      <c r="C6685" s="63" t="s">
        <v>22256</v>
      </c>
      <c r="D6685" s="62">
        <v>44973</v>
      </c>
      <c r="E6685" s="63" t="s">
        <v>22257</v>
      </c>
      <c r="F6685" s="63" t="s">
        <v>327</v>
      </c>
      <c r="G6685" s="63" t="s">
        <v>189</v>
      </c>
      <c r="H6685" s="63" t="s">
        <v>71</v>
      </c>
      <c r="I6685" s="63" t="s">
        <v>21</v>
      </c>
      <c r="J6685" s="63" t="s">
        <v>22258</v>
      </c>
      <c r="K6685" s="63" t="s">
        <v>22259</v>
      </c>
      <c r="L6685" s="63" t="s">
        <v>21243</v>
      </c>
      <c r="M6685" s="63" t="s">
        <v>21573</v>
      </c>
      <c r="P6685" s="65" t="s">
        <v>21</v>
      </c>
      <c r="Q6685" s="66" t="b">
        <v>0</v>
      </c>
      <c r="R6685" s="66"/>
      <c r="S6685" s="63" t="s">
        <v>21</v>
      </c>
    </row>
    <row r="6686" spans="1:19">
      <c r="A6686" s="26">
        <v>12248</v>
      </c>
      <c r="B6686" s="27">
        <v>44974</v>
      </c>
      <c r="C6686" s="28" t="s">
        <v>22260</v>
      </c>
      <c r="D6686" s="27">
        <v>44972</v>
      </c>
      <c r="E6686" s="28" t="s">
        <v>22261</v>
      </c>
      <c r="F6686" s="28" t="s">
        <v>3615</v>
      </c>
      <c r="G6686" s="28" t="s">
        <v>189</v>
      </c>
      <c r="H6686" s="28" t="s">
        <v>189</v>
      </c>
      <c r="I6686" s="28" t="s">
        <v>21</v>
      </c>
      <c r="J6686" s="28" t="s">
        <v>22262</v>
      </c>
      <c r="K6686" s="28" t="s">
        <v>13842</v>
      </c>
      <c r="L6686" s="28" t="s">
        <v>7167</v>
      </c>
      <c r="M6686" s="28" t="s">
        <v>21</v>
      </c>
      <c r="O6686" s="27">
        <v>44992</v>
      </c>
      <c r="P6686" s="28" t="s">
        <v>21</v>
      </c>
      <c r="Q6686" s="26" t="b">
        <v>0</v>
      </c>
      <c r="R6686" s="22">
        <f t="shared" ref="R6686:R6691" si="144">IF(O6686=" ", " ", INT(YEARFRAC(O6686, B6686)*365))</f>
        <v>20</v>
      </c>
      <c r="S6686" s="28" t="s">
        <v>21</v>
      </c>
    </row>
    <row r="6687" spans="1:19" ht="84">
      <c r="A6687" s="59">
        <v>12249</v>
      </c>
      <c r="B6687" s="60">
        <v>44974</v>
      </c>
      <c r="C6687" s="61" t="s">
        <v>22263</v>
      </c>
      <c r="D6687" s="60">
        <v>44973</v>
      </c>
      <c r="E6687" s="61" t="s">
        <v>22264</v>
      </c>
      <c r="F6687" s="61" t="s">
        <v>228</v>
      </c>
      <c r="G6687" s="61" t="s">
        <v>189</v>
      </c>
      <c r="H6687" s="61" t="s">
        <v>71</v>
      </c>
      <c r="I6687" s="61" t="s">
        <v>21</v>
      </c>
      <c r="J6687" s="61" t="s">
        <v>22265</v>
      </c>
      <c r="K6687" s="61" t="s">
        <v>22266</v>
      </c>
      <c r="L6687" s="61" t="s">
        <v>21243</v>
      </c>
      <c r="M6687" s="61" t="s">
        <v>21</v>
      </c>
      <c r="O6687" s="29">
        <v>45030</v>
      </c>
      <c r="P6687" s="61" t="s">
        <v>21</v>
      </c>
      <c r="Q6687" s="59" t="b">
        <v>0</v>
      </c>
      <c r="R6687" s="22">
        <f t="shared" si="144"/>
        <v>57</v>
      </c>
      <c r="S6687" s="61" t="s">
        <v>22267</v>
      </c>
    </row>
    <row r="6688" spans="1:19" ht="24">
      <c r="A6688" s="59">
        <v>12250</v>
      </c>
      <c r="B6688" s="60">
        <v>44981</v>
      </c>
      <c r="C6688" s="61" t="s">
        <v>22268</v>
      </c>
      <c r="D6688" s="60">
        <v>44981</v>
      </c>
      <c r="E6688" s="61" t="s">
        <v>22269</v>
      </c>
      <c r="F6688" s="61" t="s">
        <v>3615</v>
      </c>
      <c r="G6688" s="61" t="s">
        <v>189</v>
      </c>
      <c r="H6688" s="61" t="s">
        <v>189</v>
      </c>
      <c r="I6688" s="61" t="s">
        <v>21</v>
      </c>
      <c r="J6688" s="61" t="s">
        <v>22270</v>
      </c>
      <c r="K6688" s="61" t="s">
        <v>22271</v>
      </c>
      <c r="L6688" s="61" t="s">
        <v>7167</v>
      </c>
      <c r="M6688" s="61" t="s">
        <v>21</v>
      </c>
      <c r="O6688" s="29">
        <v>45000</v>
      </c>
      <c r="P6688" s="61" t="s">
        <v>21</v>
      </c>
      <c r="Q6688" s="59" t="b">
        <v>0</v>
      </c>
      <c r="R6688" s="22">
        <f t="shared" si="144"/>
        <v>21</v>
      </c>
      <c r="S6688" s="61" t="s">
        <v>22272</v>
      </c>
    </row>
    <row r="6689" spans="1:19">
      <c r="A6689" s="26">
        <v>12251</v>
      </c>
      <c r="B6689" s="27">
        <v>44985</v>
      </c>
      <c r="C6689" s="28" t="s">
        <v>22273</v>
      </c>
      <c r="D6689" s="27">
        <v>44985</v>
      </c>
      <c r="E6689" s="28" t="s">
        <v>22274</v>
      </c>
      <c r="F6689" s="28" t="s">
        <v>52</v>
      </c>
      <c r="G6689" s="28" t="s">
        <v>189</v>
      </c>
      <c r="H6689" s="28" t="s">
        <v>71</v>
      </c>
      <c r="I6689" s="28" t="s">
        <v>21</v>
      </c>
      <c r="J6689" s="28" t="s">
        <v>4496</v>
      </c>
      <c r="K6689" s="28" t="s">
        <v>22275</v>
      </c>
      <c r="L6689" s="28" t="s">
        <v>7167</v>
      </c>
      <c r="M6689" s="28" t="s">
        <v>21</v>
      </c>
      <c r="O6689" s="27">
        <v>45083</v>
      </c>
      <c r="P6689" s="28" t="s">
        <v>21</v>
      </c>
      <c r="Q6689" s="26" t="b">
        <v>0</v>
      </c>
      <c r="R6689" s="22">
        <f t="shared" si="144"/>
        <v>97</v>
      </c>
      <c r="S6689" s="28" t="s">
        <v>21</v>
      </c>
    </row>
    <row r="6690" spans="1:19">
      <c r="A6690" s="26">
        <v>12252</v>
      </c>
      <c r="B6690" s="27">
        <v>44991</v>
      </c>
      <c r="C6690" s="28" t="s">
        <v>22276</v>
      </c>
      <c r="D6690" s="27">
        <v>44991</v>
      </c>
      <c r="E6690" s="28" t="s">
        <v>38</v>
      </c>
      <c r="F6690" s="28" t="s">
        <v>1743</v>
      </c>
      <c r="G6690" s="28" t="s">
        <v>189</v>
      </c>
      <c r="H6690" s="28" t="s">
        <v>71</v>
      </c>
      <c r="I6690" s="28" t="s">
        <v>21</v>
      </c>
      <c r="J6690" s="28" t="s">
        <v>1140</v>
      </c>
      <c r="K6690" s="28" t="s">
        <v>22277</v>
      </c>
      <c r="L6690" s="28" t="s">
        <v>4282</v>
      </c>
      <c r="M6690" s="28" t="s">
        <v>21</v>
      </c>
      <c r="O6690" s="27">
        <v>44994</v>
      </c>
      <c r="P6690" s="28" t="s">
        <v>21</v>
      </c>
      <c r="Q6690" s="26" t="b">
        <v>0</v>
      </c>
      <c r="R6690" s="22">
        <f t="shared" si="144"/>
        <v>3</v>
      </c>
      <c r="S6690" s="28" t="s">
        <v>21</v>
      </c>
    </row>
    <row r="6691" spans="1:19">
      <c r="A6691" s="59">
        <v>12253</v>
      </c>
      <c r="B6691" s="60">
        <v>44991</v>
      </c>
      <c r="C6691" s="61" t="s">
        <v>22278</v>
      </c>
      <c r="D6691" s="60">
        <v>44988</v>
      </c>
      <c r="E6691" s="61" t="s">
        <v>1928</v>
      </c>
      <c r="F6691" s="61" t="s">
        <v>1743</v>
      </c>
      <c r="G6691" s="61" t="s">
        <v>189</v>
      </c>
      <c r="H6691" s="61" t="s">
        <v>71</v>
      </c>
      <c r="I6691" s="61" t="s">
        <v>21</v>
      </c>
      <c r="J6691" s="61" t="s">
        <v>1140</v>
      </c>
      <c r="K6691" s="61" t="s">
        <v>22279</v>
      </c>
      <c r="L6691" s="61" t="s">
        <v>21142</v>
      </c>
      <c r="M6691" s="61" t="s">
        <v>21</v>
      </c>
      <c r="N6691" s="29">
        <v>45002</v>
      </c>
      <c r="O6691" s="29">
        <v>44994</v>
      </c>
      <c r="P6691" s="61" t="s">
        <v>21</v>
      </c>
      <c r="Q6691" s="59" t="b">
        <v>0</v>
      </c>
      <c r="R6691" s="22">
        <f t="shared" si="144"/>
        <v>3</v>
      </c>
      <c r="S6691" s="61" t="s">
        <v>21</v>
      </c>
    </row>
    <row r="6692" spans="1:19">
      <c r="A6692" s="64">
        <v>12254</v>
      </c>
      <c r="B6692" s="62">
        <v>44991</v>
      </c>
      <c r="C6692" s="63" t="s">
        <v>22280</v>
      </c>
      <c r="D6692" s="62">
        <v>44991</v>
      </c>
      <c r="E6692" s="63" t="s">
        <v>22281</v>
      </c>
      <c r="F6692" s="63" t="s">
        <v>104</v>
      </c>
      <c r="G6692" s="63" t="s">
        <v>189</v>
      </c>
      <c r="H6692" s="63" t="s">
        <v>71</v>
      </c>
      <c r="I6692" s="63" t="s">
        <v>21</v>
      </c>
      <c r="J6692" s="63" t="s">
        <v>22282</v>
      </c>
      <c r="K6692" s="63" t="s">
        <v>1241</v>
      </c>
      <c r="L6692" s="63" t="s">
        <v>21142</v>
      </c>
      <c r="M6692" s="63" t="s">
        <v>21</v>
      </c>
      <c r="P6692" s="65" t="s">
        <v>21</v>
      </c>
      <c r="Q6692" s="66" t="b">
        <v>0</v>
      </c>
      <c r="R6692" s="66"/>
      <c r="S6692" s="63" t="s">
        <v>21</v>
      </c>
    </row>
    <row r="6693" spans="1:19">
      <c r="A6693" s="26">
        <v>12255</v>
      </c>
      <c r="B6693" s="27">
        <v>44993</v>
      </c>
      <c r="C6693" s="28" t="s">
        <v>22283</v>
      </c>
      <c r="D6693" s="27">
        <v>44992</v>
      </c>
      <c r="E6693" s="28" t="s">
        <v>38</v>
      </c>
      <c r="F6693" s="28" t="s">
        <v>1743</v>
      </c>
      <c r="G6693" s="28" t="s">
        <v>189</v>
      </c>
      <c r="H6693" s="28" t="s">
        <v>71</v>
      </c>
      <c r="I6693" s="28" t="s">
        <v>21</v>
      </c>
      <c r="J6693" s="28" t="s">
        <v>22284</v>
      </c>
      <c r="K6693" s="28" t="s">
        <v>22285</v>
      </c>
      <c r="L6693" s="28" t="s">
        <v>21573</v>
      </c>
      <c r="M6693" s="28" t="s">
        <v>21</v>
      </c>
      <c r="O6693" s="27">
        <v>45001</v>
      </c>
      <c r="P6693" s="28" t="s">
        <v>21</v>
      </c>
      <c r="Q6693" s="26" t="b">
        <v>0</v>
      </c>
      <c r="R6693" s="22">
        <f>IF(O6693=" ", " ", INT(YEARFRAC(O6693, B6693)*365))</f>
        <v>8</v>
      </c>
      <c r="S6693" s="28" t="s">
        <v>21</v>
      </c>
    </row>
    <row r="6694" spans="1:19" ht="24">
      <c r="A6694" s="38">
        <v>12256</v>
      </c>
      <c r="B6694" s="39">
        <v>44994</v>
      </c>
      <c r="C6694" s="40" t="s">
        <v>22286</v>
      </c>
      <c r="D6694" s="39">
        <v>44993</v>
      </c>
      <c r="E6694" s="40" t="s">
        <v>22287</v>
      </c>
      <c r="F6694" s="40" t="s">
        <v>3615</v>
      </c>
      <c r="G6694" s="40" t="s">
        <v>189</v>
      </c>
      <c r="H6694" s="40" t="s">
        <v>71</v>
      </c>
      <c r="I6694" s="40" t="s">
        <v>21</v>
      </c>
      <c r="J6694" s="40" t="s">
        <v>22262</v>
      </c>
      <c r="K6694" s="40" t="s">
        <v>22288</v>
      </c>
      <c r="L6694" s="40" t="s">
        <v>7167</v>
      </c>
      <c r="M6694" s="40" t="s">
        <v>21</v>
      </c>
      <c r="O6694" s="18"/>
      <c r="P6694" s="41" t="s">
        <v>21</v>
      </c>
      <c r="Q6694" s="42" t="b">
        <v>0</v>
      </c>
      <c r="R6694" s="66"/>
      <c r="S6694" s="40" t="s">
        <v>22261</v>
      </c>
    </row>
    <row r="6695" spans="1:19" ht="24">
      <c r="A6695" s="38">
        <v>12257</v>
      </c>
      <c r="B6695" s="39">
        <v>44994</v>
      </c>
      <c r="C6695" s="40" t="s">
        <v>22289</v>
      </c>
      <c r="D6695" s="39">
        <v>44993</v>
      </c>
      <c r="E6695" s="40" t="s">
        <v>22215</v>
      </c>
      <c r="F6695" s="40" t="s">
        <v>10114</v>
      </c>
      <c r="G6695" s="40" t="s">
        <v>189</v>
      </c>
      <c r="H6695" s="40" t="s">
        <v>71</v>
      </c>
      <c r="I6695" s="40" t="s">
        <v>21</v>
      </c>
      <c r="J6695" s="40" t="s">
        <v>22290</v>
      </c>
      <c r="K6695" s="40" t="s">
        <v>22291</v>
      </c>
      <c r="L6695" s="40" t="s">
        <v>7167</v>
      </c>
      <c r="M6695" s="40" t="s">
        <v>21</v>
      </c>
      <c r="O6695" s="18"/>
      <c r="P6695" s="41" t="s">
        <v>21</v>
      </c>
      <c r="Q6695" s="42" t="b">
        <v>0</v>
      </c>
      <c r="R6695" s="66"/>
      <c r="S6695" s="40" t="s">
        <v>21714</v>
      </c>
    </row>
    <row r="6696" spans="1:19">
      <c r="A6696" s="59">
        <v>12258</v>
      </c>
      <c r="B6696" s="60">
        <v>44995</v>
      </c>
      <c r="C6696" s="61" t="s">
        <v>22292</v>
      </c>
      <c r="D6696" s="60">
        <v>44994</v>
      </c>
      <c r="E6696" s="61" t="s">
        <v>22293</v>
      </c>
      <c r="F6696" s="61" t="s">
        <v>242</v>
      </c>
      <c r="G6696" s="61" t="s">
        <v>189</v>
      </c>
      <c r="H6696" s="61" t="s">
        <v>71</v>
      </c>
      <c r="I6696" s="61" t="s">
        <v>21</v>
      </c>
      <c r="J6696" s="61" t="s">
        <v>22294</v>
      </c>
      <c r="K6696" s="61" t="s">
        <v>6081</v>
      </c>
      <c r="L6696" s="61" t="s">
        <v>21142</v>
      </c>
      <c r="M6696" s="61" t="s">
        <v>21</v>
      </c>
      <c r="O6696" s="29">
        <v>45029</v>
      </c>
      <c r="P6696" s="61" t="s">
        <v>21</v>
      </c>
      <c r="Q6696" s="59" t="b">
        <v>0</v>
      </c>
      <c r="R6696" s="22">
        <f>IF(O6696=" ", " ", INT(YEARFRAC(O6696, B6696)*365))</f>
        <v>33</v>
      </c>
      <c r="S6696" s="61" t="s">
        <v>21</v>
      </c>
    </row>
    <row r="6697" spans="1:19">
      <c r="A6697" s="26">
        <v>12259</v>
      </c>
      <c r="B6697" s="27">
        <v>44998</v>
      </c>
      <c r="C6697" s="28" t="s">
        <v>22295</v>
      </c>
      <c r="D6697" s="27">
        <v>44998</v>
      </c>
      <c r="E6697" s="28" t="s">
        <v>38</v>
      </c>
      <c r="F6697" s="28" t="s">
        <v>1743</v>
      </c>
      <c r="G6697" s="28" t="s">
        <v>189</v>
      </c>
      <c r="H6697" s="28" t="s">
        <v>71</v>
      </c>
      <c r="I6697" s="28" t="s">
        <v>21</v>
      </c>
      <c r="J6697" s="28" t="s">
        <v>22296</v>
      </c>
      <c r="K6697" s="28" t="s">
        <v>7259</v>
      </c>
      <c r="L6697" s="28" t="s">
        <v>4282</v>
      </c>
      <c r="M6697" s="28" t="s">
        <v>21</v>
      </c>
      <c r="O6697" s="27">
        <v>44999</v>
      </c>
      <c r="P6697" s="28" t="s">
        <v>21</v>
      </c>
      <c r="Q6697" s="26" t="b">
        <v>0</v>
      </c>
      <c r="R6697" s="22">
        <f>IF(O6697=" ", " ", INT(YEARFRAC(O6697, B6697)*365))</f>
        <v>1</v>
      </c>
      <c r="S6697" s="28" t="s">
        <v>21</v>
      </c>
    </row>
    <row r="6698" spans="1:19" ht="24">
      <c r="A6698" s="38">
        <v>12260</v>
      </c>
      <c r="B6698" s="39">
        <v>45000</v>
      </c>
      <c r="C6698" s="40" t="s">
        <v>22297</v>
      </c>
      <c r="D6698" s="39">
        <v>45000</v>
      </c>
      <c r="E6698" s="40" t="s">
        <v>22272</v>
      </c>
      <c r="F6698" s="40" t="s">
        <v>3615</v>
      </c>
      <c r="G6698" s="40" t="s">
        <v>189</v>
      </c>
      <c r="H6698" s="40" t="s">
        <v>189</v>
      </c>
      <c r="I6698" s="40" t="s">
        <v>21</v>
      </c>
      <c r="J6698" s="40" t="s">
        <v>22270</v>
      </c>
      <c r="K6698" s="40" t="s">
        <v>22271</v>
      </c>
      <c r="L6698" s="40" t="s">
        <v>7167</v>
      </c>
      <c r="M6698" s="40" t="s">
        <v>21</v>
      </c>
      <c r="O6698" s="18"/>
      <c r="P6698" s="41" t="s">
        <v>21</v>
      </c>
      <c r="Q6698" s="42" t="b">
        <v>0</v>
      </c>
      <c r="R6698" s="66"/>
      <c r="S6698" s="40" t="s">
        <v>22269</v>
      </c>
    </row>
    <row r="6699" spans="1:19">
      <c r="A6699" s="64">
        <v>12261</v>
      </c>
      <c r="B6699" s="62">
        <v>45000</v>
      </c>
      <c r="C6699" s="63" t="s">
        <v>22298</v>
      </c>
      <c r="D6699" s="62">
        <v>45000</v>
      </c>
      <c r="E6699" s="63" t="s">
        <v>22299</v>
      </c>
      <c r="F6699" s="63" t="s">
        <v>94</v>
      </c>
      <c r="G6699" s="63" t="s">
        <v>189</v>
      </c>
      <c r="H6699" s="63" t="s">
        <v>71</v>
      </c>
      <c r="I6699" s="63" t="s">
        <v>21</v>
      </c>
      <c r="J6699" s="63" t="s">
        <v>22300</v>
      </c>
      <c r="K6699" s="63" t="s">
        <v>572</v>
      </c>
      <c r="L6699" s="63" t="s">
        <v>21573</v>
      </c>
      <c r="M6699" s="63" t="s">
        <v>21</v>
      </c>
      <c r="P6699" s="65" t="s">
        <v>21</v>
      </c>
      <c r="Q6699" s="66" t="b">
        <v>0</v>
      </c>
      <c r="R6699" s="66"/>
      <c r="S6699" s="63" t="s">
        <v>21</v>
      </c>
    </row>
    <row r="6700" spans="1:19">
      <c r="A6700" s="59">
        <v>12262</v>
      </c>
      <c r="B6700" s="60">
        <v>45000</v>
      </c>
      <c r="C6700" s="61" t="s">
        <v>22301</v>
      </c>
      <c r="D6700" s="60">
        <v>45000</v>
      </c>
      <c r="E6700" s="61" t="s">
        <v>22302</v>
      </c>
      <c r="F6700" s="61" t="s">
        <v>6298</v>
      </c>
      <c r="G6700" s="61" t="s">
        <v>189</v>
      </c>
      <c r="H6700" s="61" t="s">
        <v>71</v>
      </c>
      <c r="I6700" s="61" t="s">
        <v>21</v>
      </c>
      <c r="J6700" s="61" t="s">
        <v>22303</v>
      </c>
      <c r="K6700" s="61" t="s">
        <v>22304</v>
      </c>
      <c r="L6700" s="61" t="s">
        <v>7167</v>
      </c>
      <c r="M6700" s="61" t="s">
        <v>21</v>
      </c>
      <c r="O6700" s="29">
        <v>45035</v>
      </c>
      <c r="P6700" s="61" t="s">
        <v>21</v>
      </c>
      <c r="Q6700" s="59" t="b">
        <v>0</v>
      </c>
      <c r="R6700" s="22">
        <f>IF(O6700=" ", " ", INT(YEARFRAC(O6700, B6700)*365))</f>
        <v>34</v>
      </c>
      <c r="S6700" s="61" t="s">
        <v>21</v>
      </c>
    </row>
    <row r="6701" spans="1:19">
      <c r="A6701" s="26">
        <v>12263</v>
      </c>
      <c r="B6701" s="27">
        <v>45002</v>
      </c>
      <c r="C6701" s="28" t="s">
        <v>22305</v>
      </c>
      <c r="D6701" s="27">
        <v>45002</v>
      </c>
      <c r="E6701" s="28" t="s">
        <v>22306</v>
      </c>
      <c r="F6701" s="28" t="s">
        <v>242</v>
      </c>
      <c r="G6701" s="28" t="s">
        <v>189</v>
      </c>
      <c r="H6701" s="28" t="s">
        <v>71</v>
      </c>
      <c r="I6701" s="28" t="s">
        <v>21</v>
      </c>
      <c r="J6701" s="28" t="s">
        <v>22307</v>
      </c>
      <c r="K6701" s="28" t="s">
        <v>22308</v>
      </c>
      <c r="L6701" s="28" t="s">
        <v>7167</v>
      </c>
      <c r="M6701" s="28" t="s">
        <v>21</v>
      </c>
      <c r="O6701" s="27">
        <v>45029</v>
      </c>
      <c r="P6701" s="28" t="s">
        <v>21</v>
      </c>
      <c r="Q6701" s="26" t="b">
        <v>0</v>
      </c>
      <c r="R6701" s="22">
        <f>IF(O6701=" ", " ", INT(YEARFRAC(O6701, B6701)*365))</f>
        <v>26</v>
      </c>
      <c r="S6701" s="28" t="s">
        <v>21</v>
      </c>
    </row>
    <row r="6702" spans="1:19">
      <c r="A6702" s="26">
        <v>12264</v>
      </c>
      <c r="B6702" s="27">
        <v>45013</v>
      </c>
      <c r="C6702" s="28" t="s">
        <v>22309</v>
      </c>
      <c r="D6702" s="27">
        <v>45009</v>
      </c>
      <c r="E6702" s="28" t="s">
        <v>22310</v>
      </c>
      <c r="F6702" s="28" t="s">
        <v>27</v>
      </c>
      <c r="G6702" s="28" t="s">
        <v>189</v>
      </c>
      <c r="H6702" s="28" t="s">
        <v>71</v>
      </c>
      <c r="I6702" s="28" t="s">
        <v>21</v>
      </c>
      <c r="J6702" s="28" t="s">
        <v>22311</v>
      </c>
      <c r="K6702" s="28" t="s">
        <v>22312</v>
      </c>
      <c r="L6702" s="28" t="s">
        <v>7167</v>
      </c>
      <c r="M6702" s="28" t="s">
        <v>21</v>
      </c>
      <c r="O6702" s="27">
        <v>45015</v>
      </c>
      <c r="P6702" s="28" t="s">
        <v>21</v>
      </c>
      <c r="Q6702" s="26" t="b">
        <v>0</v>
      </c>
      <c r="R6702" s="22">
        <f>IF(O6702=" ", " ", INT(YEARFRAC(O6702, B6702)*365))</f>
        <v>2</v>
      </c>
      <c r="S6702" s="28" t="s">
        <v>21</v>
      </c>
    </row>
    <row r="6703" spans="1:19">
      <c r="A6703" s="38">
        <v>12265</v>
      </c>
      <c r="B6703" s="39">
        <v>45013</v>
      </c>
      <c r="C6703" s="40" t="s">
        <v>22313</v>
      </c>
      <c r="D6703" s="39">
        <v>45013</v>
      </c>
      <c r="E6703" s="40" t="s">
        <v>22314</v>
      </c>
      <c r="F6703" s="40" t="s">
        <v>27</v>
      </c>
      <c r="G6703" s="40" t="s">
        <v>189</v>
      </c>
      <c r="H6703" s="40" t="s">
        <v>71</v>
      </c>
      <c r="I6703" s="40" t="s">
        <v>21</v>
      </c>
      <c r="J6703" s="40" t="s">
        <v>22315</v>
      </c>
      <c r="K6703" s="40" t="s">
        <v>22316</v>
      </c>
      <c r="L6703" s="40" t="s">
        <v>21243</v>
      </c>
      <c r="M6703" s="40" t="s">
        <v>21</v>
      </c>
      <c r="O6703" s="18"/>
      <c r="P6703" s="41" t="s">
        <v>21</v>
      </c>
      <c r="Q6703" s="42" t="b">
        <v>0</v>
      </c>
      <c r="R6703" s="66"/>
      <c r="S6703" s="40" t="s">
        <v>21</v>
      </c>
    </row>
    <row r="6704" spans="1:19">
      <c r="A6704" s="59">
        <v>12266</v>
      </c>
      <c r="B6704" s="60">
        <v>45019</v>
      </c>
      <c r="C6704" s="61" t="s">
        <v>22317</v>
      </c>
      <c r="D6704" s="60">
        <v>45019</v>
      </c>
      <c r="E6704" s="61" t="s">
        <v>1928</v>
      </c>
      <c r="F6704" s="61" t="s">
        <v>1743</v>
      </c>
      <c r="G6704" s="61" t="s">
        <v>189</v>
      </c>
      <c r="H6704" s="61" t="s">
        <v>71</v>
      </c>
      <c r="I6704" s="61" t="s">
        <v>21</v>
      </c>
      <c r="J6704" s="61" t="s">
        <v>8804</v>
      </c>
      <c r="K6704" s="61" t="s">
        <v>22318</v>
      </c>
      <c r="L6704" s="61" t="s">
        <v>21243</v>
      </c>
      <c r="M6704" s="61" t="s">
        <v>21</v>
      </c>
      <c r="N6704" s="29">
        <v>45034</v>
      </c>
      <c r="O6704" s="29">
        <v>45030</v>
      </c>
      <c r="P6704" s="61" t="s">
        <v>21</v>
      </c>
      <c r="Q6704" s="59" t="b">
        <v>0</v>
      </c>
      <c r="R6704" s="22">
        <f>IF(O6704=" ", " ", INT(YEARFRAC(O6704, B6704)*365))</f>
        <v>11</v>
      </c>
      <c r="S6704" s="61" t="s">
        <v>21</v>
      </c>
    </row>
    <row r="6705" spans="1:19">
      <c r="A6705" s="26">
        <v>12267</v>
      </c>
      <c r="B6705" s="27">
        <v>45020</v>
      </c>
      <c r="C6705" s="28" t="s">
        <v>22319</v>
      </c>
      <c r="D6705" s="27">
        <v>45016</v>
      </c>
      <c r="E6705" s="28" t="s">
        <v>22320</v>
      </c>
      <c r="F6705" s="28" t="s">
        <v>27</v>
      </c>
      <c r="G6705" s="28" t="s">
        <v>189</v>
      </c>
      <c r="H6705" s="28" t="s">
        <v>71</v>
      </c>
      <c r="I6705" s="28" t="s">
        <v>21</v>
      </c>
      <c r="J6705" s="28" t="s">
        <v>22321</v>
      </c>
      <c r="K6705" s="28" t="s">
        <v>6111</v>
      </c>
      <c r="L6705" s="28" t="s">
        <v>7167</v>
      </c>
      <c r="M6705" s="28" t="s">
        <v>21</v>
      </c>
      <c r="O6705" s="27">
        <v>45071</v>
      </c>
      <c r="P6705" s="28" t="s">
        <v>21</v>
      </c>
      <c r="Q6705" s="26" t="b">
        <v>0</v>
      </c>
      <c r="R6705" s="22">
        <f>IF(O6705=" ", " ", INT(YEARFRAC(O6705, B6705)*365))</f>
        <v>51</v>
      </c>
      <c r="S6705" s="28" t="s">
        <v>21</v>
      </c>
    </row>
    <row r="6706" spans="1:19">
      <c r="A6706" s="64">
        <v>12268</v>
      </c>
      <c r="B6706" s="62">
        <v>45022</v>
      </c>
      <c r="C6706" s="63" t="s">
        <v>22322</v>
      </c>
      <c r="D6706" s="62">
        <v>45021</v>
      </c>
      <c r="E6706" s="63" t="s">
        <v>22323</v>
      </c>
      <c r="F6706" s="63" t="s">
        <v>22324</v>
      </c>
      <c r="G6706" s="63" t="s">
        <v>189</v>
      </c>
      <c r="H6706" s="63" t="s">
        <v>71</v>
      </c>
      <c r="I6706" s="63" t="s">
        <v>21</v>
      </c>
      <c r="J6706" s="63" t="s">
        <v>22325</v>
      </c>
      <c r="K6706" s="63" t="s">
        <v>22326</v>
      </c>
      <c r="L6706" s="63" t="s">
        <v>21142</v>
      </c>
      <c r="M6706" s="63" t="s">
        <v>21</v>
      </c>
      <c r="P6706" s="65" t="s">
        <v>21</v>
      </c>
      <c r="Q6706" s="66" t="b">
        <v>0</v>
      </c>
      <c r="R6706" s="66"/>
      <c r="S6706" s="63" t="s">
        <v>21</v>
      </c>
    </row>
    <row r="6707" spans="1:19" ht="24">
      <c r="A6707" s="38">
        <v>12269</v>
      </c>
      <c r="B6707" s="39">
        <v>45027</v>
      </c>
      <c r="C6707" s="40" t="s">
        <v>22327</v>
      </c>
      <c r="D6707" s="39">
        <v>45027</v>
      </c>
      <c r="E6707" s="40" t="s">
        <v>22328</v>
      </c>
      <c r="F6707" s="40" t="s">
        <v>52</v>
      </c>
      <c r="G6707" s="40" t="s">
        <v>189</v>
      </c>
      <c r="H6707" s="40" t="s">
        <v>71</v>
      </c>
      <c r="I6707" s="40" t="s">
        <v>21</v>
      </c>
      <c r="J6707" s="40" t="s">
        <v>22329</v>
      </c>
      <c r="K6707" s="40" t="s">
        <v>22330</v>
      </c>
      <c r="L6707" s="40" t="s">
        <v>22185</v>
      </c>
      <c r="M6707" s="40" t="s">
        <v>21142</v>
      </c>
      <c r="O6707" s="39">
        <v>45408</v>
      </c>
      <c r="P6707" s="41" t="s">
        <v>21</v>
      </c>
      <c r="Q6707" s="42" t="b">
        <v>0</v>
      </c>
      <c r="R6707" s="22">
        <f>IF(O6707=" ", " ", INT(YEARFRAC(O6707, B6707)*365))</f>
        <v>380</v>
      </c>
      <c r="S6707" s="40" t="s">
        <v>22331</v>
      </c>
    </row>
    <row r="6708" spans="1:19">
      <c r="A6708" s="26">
        <v>12270</v>
      </c>
      <c r="B6708" s="27">
        <v>45029</v>
      </c>
      <c r="C6708" s="28" t="s">
        <v>22332</v>
      </c>
      <c r="D6708" s="27">
        <v>45028</v>
      </c>
      <c r="E6708" s="28" t="s">
        <v>22333</v>
      </c>
      <c r="F6708" s="28" t="s">
        <v>6084</v>
      </c>
      <c r="G6708" s="28" t="s">
        <v>189</v>
      </c>
      <c r="H6708" s="28" t="s">
        <v>71</v>
      </c>
      <c r="I6708" s="28" t="s">
        <v>21</v>
      </c>
      <c r="J6708" s="28" t="s">
        <v>22334</v>
      </c>
      <c r="K6708" s="28" t="s">
        <v>22335</v>
      </c>
      <c r="L6708" s="28" t="s">
        <v>21573</v>
      </c>
      <c r="M6708" s="28" t="s">
        <v>21</v>
      </c>
      <c r="O6708" s="27">
        <v>45216</v>
      </c>
      <c r="P6708" s="28" t="s">
        <v>21</v>
      </c>
      <c r="Q6708" s="26" t="b">
        <v>0</v>
      </c>
      <c r="R6708" s="22">
        <f>IF(O6708=" ", " ", INT(YEARFRAC(O6708, B6708)*365))</f>
        <v>186</v>
      </c>
      <c r="S6708" s="28" t="s">
        <v>21</v>
      </c>
    </row>
    <row r="6709" spans="1:19">
      <c r="A6709" s="26">
        <v>12271</v>
      </c>
      <c r="B6709" s="27">
        <v>45035</v>
      </c>
      <c r="C6709" s="28" t="s">
        <v>22336</v>
      </c>
      <c r="D6709" s="27">
        <v>45034</v>
      </c>
      <c r="E6709" s="28" t="s">
        <v>22337</v>
      </c>
      <c r="F6709" s="28" t="s">
        <v>11050</v>
      </c>
      <c r="G6709" s="28" t="s">
        <v>189</v>
      </c>
      <c r="H6709" s="28" t="s">
        <v>71</v>
      </c>
      <c r="I6709" s="28" t="s">
        <v>21</v>
      </c>
      <c r="J6709" s="28" t="s">
        <v>22338</v>
      </c>
      <c r="K6709" s="28" t="s">
        <v>22339</v>
      </c>
      <c r="L6709" s="28" t="s">
        <v>21142</v>
      </c>
      <c r="M6709" s="28" t="s">
        <v>21</v>
      </c>
      <c r="O6709" s="27">
        <v>45056</v>
      </c>
      <c r="P6709" s="28" t="s">
        <v>21</v>
      </c>
      <c r="Q6709" s="26" t="b">
        <v>0</v>
      </c>
      <c r="R6709" s="22">
        <f>IF(O6709=" ", " ", INT(YEARFRAC(O6709, B6709)*365))</f>
        <v>21</v>
      </c>
      <c r="S6709" s="28" t="s">
        <v>21</v>
      </c>
    </row>
    <row r="6710" spans="1:19">
      <c r="A6710" s="26">
        <v>12272</v>
      </c>
      <c r="B6710" s="27">
        <v>45035</v>
      </c>
      <c r="C6710" s="28" t="s">
        <v>22340</v>
      </c>
      <c r="D6710" s="27">
        <v>45034</v>
      </c>
      <c r="E6710" s="28" t="s">
        <v>22341</v>
      </c>
      <c r="F6710" s="28" t="s">
        <v>6298</v>
      </c>
      <c r="G6710" s="28" t="s">
        <v>189</v>
      </c>
      <c r="H6710" s="28" t="s">
        <v>71</v>
      </c>
      <c r="I6710" s="28" t="s">
        <v>21</v>
      </c>
      <c r="J6710" s="28" t="s">
        <v>22342</v>
      </c>
      <c r="K6710" s="28" t="s">
        <v>22343</v>
      </c>
      <c r="L6710" s="28" t="s">
        <v>21243</v>
      </c>
      <c r="M6710" s="28" t="s">
        <v>21</v>
      </c>
      <c r="O6710" s="27">
        <v>45065</v>
      </c>
      <c r="P6710" s="28" t="s">
        <v>21</v>
      </c>
      <c r="Q6710" s="26" t="b">
        <v>0</v>
      </c>
      <c r="R6710" s="22">
        <f>IF(O6710=" ", " ", INT(YEARFRAC(O6710, B6710)*365))</f>
        <v>30</v>
      </c>
      <c r="S6710" s="28" t="s">
        <v>21</v>
      </c>
    </row>
    <row r="6711" spans="1:19" ht="24">
      <c r="A6711" s="38">
        <v>12273</v>
      </c>
      <c r="B6711" s="39">
        <v>45035</v>
      </c>
      <c r="C6711" s="40" t="s">
        <v>22344</v>
      </c>
      <c r="D6711" s="39">
        <v>45035</v>
      </c>
      <c r="E6711" s="40" t="s">
        <v>22345</v>
      </c>
      <c r="F6711" s="40" t="s">
        <v>16173</v>
      </c>
      <c r="G6711" s="40" t="s">
        <v>189</v>
      </c>
      <c r="H6711" s="40" t="s">
        <v>566</v>
      </c>
      <c r="I6711" s="40" t="s">
        <v>21</v>
      </c>
      <c r="J6711" s="40" t="s">
        <v>6588</v>
      </c>
      <c r="K6711" s="40" t="s">
        <v>22346</v>
      </c>
      <c r="L6711" s="40" t="s">
        <v>21573</v>
      </c>
      <c r="M6711" s="40" t="s">
        <v>21</v>
      </c>
      <c r="O6711" s="18"/>
      <c r="P6711" s="41" t="s">
        <v>21</v>
      </c>
      <c r="Q6711" s="42" t="b">
        <v>0</v>
      </c>
      <c r="R6711" s="66"/>
      <c r="S6711" s="40" t="s">
        <v>22347</v>
      </c>
    </row>
    <row r="6712" spans="1:19">
      <c r="A6712" s="26">
        <v>12274</v>
      </c>
      <c r="B6712" s="27">
        <v>45042</v>
      </c>
      <c r="C6712" s="28" t="s">
        <v>22348</v>
      </c>
      <c r="D6712" s="27">
        <v>45040</v>
      </c>
      <c r="E6712" s="28" t="s">
        <v>22349</v>
      </c>
      <c r="F6712" s="28" t="s">
        <v>13350</v>
      </c>
      <c r="G6712" s="28" t="s">
        <v>189</v>
      </c>
      <c r="H6712" s="28" t="s">
        <v>71</v>
      </c>
      <c r="I6712" s="28" t="s">
        <v>21</v>
      </c>
      <c r="J6712" s="28" t="s">
        <v>22350</v>
      </c>
      <c r="K6712" s="28" t="s">
        <v>22351</v>
      </c>
      <c r="L6712" s="28" t="s">
        <v>21573</v>
      </c>
      <c r="M6712" s="28" t="s">
        <v>21</v>
      </c>
      <c r="N6712" s="18"/>
      <c r="O6712" s="27">
        <v>45047</v>
      </c>
      <c r="P6712" s="28" t="s">
        <v>21</v>
      </c>
      <c r="Q6712" s="26" t="b">
        <v>0</v>
      </c>
      <c r="R6712" s="22">
        <f>IF(O6712=" ", " ", INT(YEARFRAC(O6712, B6712)*365))</f>
        <v>5</v>
      </c>
      <c r="S6712" s="28" t="s">
        <v>21</v>
      </c>
    </row>
    <row r="6713" spans="1:19" ht="24">
      <c r="A6713" s="38">
        <v>12275</v>
      </c>
      <c r="B6713" s="39">
        <v>45043</v>
      </c>
      <c r="C6713" s="40" t="s">
        <v>22352</v>
      </c>
      <c r="D6713" s="39">
        <v>45035</v>
      </c>
      <c r="E6713" s="40" t="s">
        <v>22347</v>
      </c>
      <c r="F6713" s="40" t="s">
        <v>16173</v>
      </c>
      <c r="G6713" s="40" t="s">
        <v>189</v>
      </c>
      <c r="H6713" s="40" t="s">
        <v>566</v>
      </c>
      <c r="I6713" s="40" t="s">
        <v>21</v>
      </c>
      <c r="J6713" s="40" t="s">
        <v>22353</v>
      </c>
      <c r="K6713" s="40" t="s">
        <v>14438</v>
      </c>
      <c r="L6713" s="40" t="s">
        <v>21573</v>
      </c>
      <c r="M6713" s="40" t="s">
        <v>21</v>
      </c>
      <c r="O6713" s="18"/>
      <c r="P6713" s="41" t="s">
        <v>21</v>
      </c>
      <c r="Q6713" s="42" t="b">
        <v>0</v>
      </c>
      <c r="R6713" s="66"/>
      <c r="S6713" s="40" t="s">
        <v>22345</v>
      </c>
    </row>
    <row r="6714" spans="1:19">
      <c r="A6714" s="26">
        <v>12276</v>
      </c>
      <c r="B6714" s="27">
        <v>45044</v>
      </c>
      <c r="C6714" s="28" t="s">
        <v>22354</v>
      </c>
      <c r="D6714" s="27">
        <v>45044</v>
      </c>
      <c r="E6714" s="28" t="s">
        <v>1928</v>
      </c>
      <c r="F6714" s="28" t="s">
        <v>1743</v>
      </c>
      <c r="G6714" s="28" t="s">
        <v>189</v>
      </c>
      <c r="H6714" s="28" t="s">
        <v>71</v>
      </c>
      <c r="I6714" s="28" t="s">
        <v>21</v>
      </c>
      <c r="J6714" s="28" t="s">
        <v>22355</v>
      </c>
      <c r="K6714" s="28" t="s">
        <v>22027</v>
      </c>
      <c r="L6714" s="28" t="s">
        <v>21573</v>
      </c>
      <c r="M6714" s="28" t="s">
        <v>21</v>
      </c>
      <c r="N6714" s="29">
        <v>45058</v>
      </c>
      <c r="O6714" s="27">
        <v>45048</v>
      </c>
      <c r="P6714" s="28" t="s">
        <v>21</v>
      </c>
      <c r="Q6714" s="26" t="b">
        <v>0</v>
      </c>
      <c r="R6714" s="22">
        <f t="shared" ref="R6714:R6727" si="145">IF(O6714=" ", " ", INT(YEARFRAC(O6714, B6714)*365))</f>
        <v>4</v>
      </c>
      <c r="S6714" s="28" t="s">
        <v>21</v>
      </c>
    </row>
    <row r="6715" spans="1:19">
      <c r="A6715" s="26">
        <v>12277</v>
      </c>
      <c r="B6715" s="27">
        <v>45050</v>
      </c>
      <c r="C6715" s="28" t="s">
        <v>22356</v>
      </c>
      <c r="D6715" s="27">
        <v>45049</v>
      </c>
      <c r="E6715" s="28" t="s">
        <v>22357</v>
      </c>
      <c r="F6715" s="28" t="s">
        <v>104</v>
      </c>
      <c r="G6715" s="28" t="s">
        <v>189</v>
      </c>
      <c r="H6715" s="28" t="s">
        <v>71</v>
      </c>
      <c r="I6715" s="28" t="s">
        <v>21</v>
      </c>
      <c r="J6715" s="28" t="s">
        <v>22358</v>
      </c>
      <c r="K6715" s="28" t="s">
        <v>22359</v>
      </c>
      <c r="L6715" s="28" t="s">
        <v>7167</v>
      </c>
      <c r="M6715" s="28" t="s">
        <v>21</v>
      </c>
      <c r="O6715" s="27">
        <v>45110</v>
      </c>
      <c r="P6715" s="28" t="s">
        <v>21</v>
      </c>
      <c r="Q6715" s="26" t="b">
        <v>0</v>
      </c>
      <c r="R6715" s="22">
        <f t="shared" si="145"/>
        <v>59</v>
      </c>
      <c r="S6715" s="28" t="s">
        <v>21</v>
      </c>
    </row>
    <row r="6716" spans="1:19">
      <c r="A6716" s="26">
        <v>12278</v>
      </c>
      <c r="B6716" s="27">
        <v>45051</v>
      </c>
      <c r="C6716" s="28" t="s">
        <v>22360</v>
      </c>
      <c r="D6716" s="27">
        <v>45050</v>
      </c>
      <c r="E6716" s="28" t="s">
        <v>22361</v>
      </c>
      <c r="F6716" s="28" t="s">
        <v>455</v>
      </c>
      <c r="G6716" s="28" t="s">
        <v>189</v>
      </c>
      <c r="H6716" s="28" t="s">
        <v>71</v>
      </c>
      <c r="I6716" s="28" t="s">
        <v>21</v>
      </c>
      <c r="J6716" s="28" t="s">
        <v>22362</v>
      </c>
      <c r="K6716" s="28" t="s">
        <v>12966</v>
      </c>
      <c r="L6716" s="28" t="s">
        <v>21243</v>
      </c>
      <c r="M6716" s="28" t="s">
        <v>21</v>
      </c>
      <c r="O6716" s="27">
        <v>45077</v>
      </c>
      <c r="P6716" s="28" t="s">
        <v>21</v>
      </c>
      <c r="Q6716" s="26" t="b">
        <v>0</v>
      </c>
      <c r="R6716" s="22">
        <f t="shared" si="145"/>
        <v>26</v>
      </c>
      <c r="S6716" s="28" t="s">
        <v>21</v>
      </c>
    </row>
    <row r="6717" spans="1:19" ht="24">
      <c r="A6717" s="26">
        <v>12279</v>
      </c>
      <c r="B6717" s="27">
        <v>45051</v>
      </c>
      <c r="C6717" s="28" t="s">
        <v>22363</v>
      </c>
      <c r="D6717" s="27">
        <v>45051</v>
      </c>
      <c r="E6717" s="28" t="s">
        <v>38</v>
      </c>
      <c r="F6717" s="28" t="s">
        <v>861</v>
      </c>
      <c r="G6717" s="28" t="s">
        <v>189</v>
      </c>
      <c r="H6717" s="28" t="s">
        <v>566</v>
      </c>
      <c r="I6717" s="28" t="s">
        <v>21</v>
      </c>
      <c r="J6717" s="28" t="s">
        <v>22364</v>
      </c>
      <c r="K6717" s="28" t="s">
        <v>22365</v>
      </c>
      <c r="L6717" s="28" t="s">
        <v>4282</v>
      </c>
      <c r="M6717" s="28" t="s">
        <v>21</v>
      </c>
      <c r="O6717" s="27">
        <v>45051</v>
      </c>
      <c r="P6717" s="28" t="s">
        <v>21</v>
      </c>
      <c r="Q6717" s="26" t="b">
        <v>0</v>
      </c>
      <c r="R6717" s="22">
        <f t="shared" si="145"/>
        <v>0</v>
      </c>
      <c r="S6717" s="28" t="s">
        <v>21</v>
      </c>
    </row>
    <row r="6718" spans="1:19">
      <c r="A6718" s="26">
        <v>12280</v>
      </c>
      <c r="B6718" s="27">
        <v>45055</v>
      </c>
      <c r="C6718" s="28" t="s">
        <v>22366</v>
      </c>
      <c r="D6718" s="27">
        <v>45055</v>
      </c>
      <c r="E6718" s="28" t="s">
        <v>22367</v>
      </c>
      <c r="F6718" s="28" t="s">
        <v>242</v>
      </c>
      <c r="G6718" s="28" t="s">
        <v>189</v>
      </c>
      <c r="H6718" s="28" t="s">
        <v>71</v>
      </c>
      <c r="I6718" s="28" t="s">
        <v>21</v>
      </c>
      <c r="J6718" s="28" t="s">
        <v>22368</v>
      </c>
      <c r="K6718" s="28" t="s">
        <v>22369</v>
      </c>
      <c r="L6718" s="28" t="s">
        <v>21142</v>
      </c>
      <c r="M6718" s="28" t="s">
        <v>21</v>
      </c>
      <c r="O6718" s="27">
        <v>45085</v>
      </c>
      <c r="P6718" s="28" t="s">
        <v>21</v>
      </c>
      <c r="Q6718" s="26" t="b">
        <v>0</v>
      </c>
      <c r="R6718" s="22">
        <f t="shared" si="145"/>
        <v>29</v>
      </c>
      <c r="S6718" s="28" t="s">
        <v>21</v>
      </c>
    </row>
    <row r="6719" spans="1:19">
      <c r="A6719" s="26">
        <v>12281</v>
      </c>
      <c r="B6719" s="27">
        <v>45055</v>
      </c>
      <c r="C6719" s="28" t="s">
        <v>22370</v>
      </c>
      <c r="D6719" s="27">
        <v>45055</v>
      </c>
      <c r="E6719" s="28" t="s">
        <v>22371</v>
      </c>
      <c r="F6719" s="28" t="s">
        <v>22372</v>
      </c>
      <c r="G6719" s="28" t="s">
        <v>189</v>
      </c>
      <c r="H6719" s="28" t="s">
        <v>71</v>
      </c>
      <c r="I6719" s="28" t="s">
        <v>21</v>
      </c>
      <c r="J6719" s="28" t="s">
        <v>22373</v>
      </c>
      <c r="K6719" s="28" t="s">
        <v>22374</v>
      </c>
      <c r="L6719" s="28" t="s">
        <v>21573</v>
      </c>
      <c r="M6719" s="28" t="s">
        <v>21</v>
      </c>
      <c r="O6719" s="27">
        <v>45071</v>
      </c>
      <c r="P6719" s="28" t="s">
        <v>21</v>
      </c>
      <c r="Q6719" s="26" t="b">
        <v>0</v>
      </c>
      <c r="R6719" s="22">
        <f t="shared" si="145"/>
        <v>16</v>
      </c>
      <c r="S6719" s="28" t="s">
        <v>21</v>
      </c>
    </row>
    <row r="6720" spans="1:19">
      <c r="A6720" s="26">
        <v>12282</v>
      </c>
      <c r="B6720" s="27">
        <v>45058</v>
      </c>
      <c r="C6720" s="28" t="s">
        <v>22375</v>
      </c>
      <c r="D6720" s="27">
        <v>45058</v>
      </c>
      <c r="E6720" s="28" t="s">
        <v>22376</v>
      </c>
      <c r="F6720" s="28" t="s">
        <v>124</v>
      </c>
      <c r="G6720" s="28" t="s">
        <v>189</v>
      </c>
      <c r="H6720" s="28" t="s">
        <v>71</v>
      </c>
      <c r="I6720" s="28" t="s">
        <v>21</v>
      </c>
      <c r="J6720" s="28" t="s">
        <v>22377</v>
      </c>
      <c r="K6720" s="28" t="s">
        <v>22378</v>
      </c>
      <c r="L6720" s="28" t="s">
        <v>4282</v>
      </c>
      <c r="M6720" s="28" t="s">
        <v>21</v>
      </c>
      <c r="O6720" s="27">
        <v>45106</v>
      </c>
      <c r="P6720" s="28" t="s">
        <v>21</v>
      </c>
      <c r="Q6720" s="26" t="b">
        <v>0</v>
      </c>
      <c r="R6720" s="22">
        <f t="shared" si="145"/>
        <v>47</v>
      </c>
      <c r="S6720" s="28" t="s">
        <v>21</v>
      </c>
    </row>
    <row r="6721" spans="1:19">
      <c r="A6721" s="59">
        <v>12283</v>
      </c>
      <c r="B6721" s="60">
        <v>45064</v>
      </c>
      <c r="C6721" s="61" t="s">
        <v>22379</v>
      </c>
      <c r="D6721" s="60">
        <v>45064</v>
      </c>
      <c r="E6721" s="61" t="s">
        <v>22380</v>
      </c>
      <c r="F6721" s="61" t="s">
        <v>513</v>
      </c>
      <c r="G6721" s="61" t="s">
        <v>189</v>
      </c>
      <c r="H6721" s="61" t="s">
        <v>71</v>
      </c>
      <c r="I6721" s="61" t="s">
        <v>21</v>
      </c>
      <c r="J6721" s="61" t="s">
        <v>22381</v>
      </c>
      <c r="K6721" s="61" t="s">
        <v>22382</v>
      </c>
      <c r="L6721" s="61" t="s">
        <v>7167</v>
      </c>
      <c r="M6721" s="61" t="s">
        <v>21</v>
      </c>
      <c r="O6721" s="29">
        <v>45103</v>
      </c>
      <c r="P6721" s="61" t="s">
        <v>21</v>
      </c>
      <c r="Q6721" s="59" t="b">
        <v>0</v>
      </c>
      <c r="R6721" s="22">
        <f t="shared" si="145"/>
        <v>38</v>
      </c>
      <c r="S6721" s="61" t="s">
        <v>21</v>
      </c>
    </row>
    <row r="6722" spans="1:19">
      <c r="A6722" s="26">
        <v>12284</v>
      </c>
      <c r="B6722" s="27">
        <v>45069</v>
      </c>
      <c r="C6722" s="28" t="s">
        <v>22383</v>
      </c>
      <c r="D6722" s="27">
        <v>45068</v>
      </c>
      <c r="E6722" s="28" t="s">
        <v>22384</v>
      </c>
      <c r="F6722" s="28" t="s">
        <v>70</v>
      </c>
      <c r="G6722" s="28" t="s">
        <v>189</v>
      </c>
      <c r="H6722" s="28" t="s">
        <v>71</v>
      </c>
      <c r="I6722" s="28" t="s">
        <v>21</v>
      </c>
      <c r="J6722" s="28" t="s">
        <v>22385</v>
      </c>
      <c r="K6722" s="28" t="s">
        <v>74</v>
      </c>
      <c r="L6722" s="28" t="s">
        <v>21142</v>
      </c>
      <c r="M6722" s="28" t="s">
        <v>21</v>
      </c>
      <c r="O6722" s="27">
        <v>45083</v>
      </c>
      <c r="P6722" s="28" t="s">
        <v>21</v>
      </c>
      <c r="Q6722" s="26" t="b">
        <v>0</v>
      </c>
      <c r="R6722" s="22">
        <f t="shared" si="145"/>
        <v>13</v>
      </c>
      <c r="S6722" s="28" t="s">
        <v>21</v>
      </c>
    </row>
    <row r="6723" spans="1:19">
      <c r="A6723" s="26">
        <v>12285</v>
      </c>
      <c r="B6723" s="27">
        <v>45069</v>
      </c>
      <c r="C6723" s="28" t="s">
        <v>22386</v>
      </c>
      <c r="D6723" s="27">
        <v>45068</v>
      </c>
      <c r="E6723" s="28" t="s">
        <v>38</v>
      </c>
      <c r="F6723" s="28" t="s">
        <v>124</v>
      </c>
      <c r="G6723" s="28" t="s">
        <v>189</v>
      </c>
      <c r="H6723" s="28" t="s">
        <v>71</v>
      </c>
      <c r="I6723" s="28" t="s">
        <v>21</v>
      </c>
      <c r="J6723" s="28" t="s">
        <v>22387</v>
      </c>
      <c r="K6723" s="28" t="s">
        <v>22388</v>
      </c>
      <c r="L6723" s="28" t="s">
        <v>21142</v>
      </c>
      <c r="M6723" s="28" t="s">
        <v>21</v>
      </c>
      <c r="O6723" s="27">
        <v>45071</v>
      </c>
      <c r="P6723" s="28" t="s">
        <v>21</v>
      </c>
      <c r="Q6723" s="26" t="b">
        <v>0</v>
      </c>
      <c r="R6723" s="22">
        <f t="shared" si="145"/>
        <v>2</v>
      </c>
      <c r="S6723" s="28" t="s">
        <v>21</v>
      </c>
    </row>
    <row r="6724" spans="1:19" ht="48">
      <c r="A6724" s="26">
        <v>12286</v>
      </c>
      <c r="B6724" s="27">
        <v>45084</v>
      </c>
      <c r="C6724" s="28" t="s">
        <v>22389</v>
      </c>
      <c r="D6724" s="27">
        <v>45079</v>
      </c>
      <c r="E6724" s="28" t="s">
        <v>22390</v>
      </c>
      <c r="F6724" s="28" t="s">
        <v>27</v>
      </c>
      <c r="G6724" s="28" t="s">
        <v>189</v>
      </c>
      <c r="H6724" s="28" t="s">
        <v>71</v>
      </c>
      <c r="I6724" s="28" t="s">
        <v>21</v>
      </c>
      <c r="J6724" s="28" t="s">
        <v>22391</v>
      </c>
      <c r="K6724" s="28" t="s">
        <v>22392</v>
      </c>
      <c r="L6724" s="28" t="s">
        <v>21142</v>
      </c>
      <c r="M6724" s="28" t="s">
        <v>21</v>
      </c>
      <c r="O6724" s="27">
        <v>45154</v>
      </c>
      <c r="P6724" s="28" t="s">
        <v>21</v>
      </c>
      <c r="Q6724" s="26" t="b">
        <v>0</v>
      </c>
      <c r="R6724" s="22">
        <f t="shared" si="145"/>
        <v>69</v>
      </c>
      <c r="S6724" s="28" t="s">
        <v>22393</v>
      </c>
    </row>
    <row r="6725" spans="1:19">
      <c r="A6725" s="26">
        <v>12287</v>
      </c>
      <c r="B6725" s="27">
        <v>45086</v>
      </c>
      <c r="C6725" s="28" t="s">
        <v>22394</v>
      </c>
      <c r="D6725" s="27">
        <v>45086</v>
      </c>
      <c r="E6725" s="28" t="s">
        <v>22395</v>
      </c>
      <c r="F6725" s="28" t="s">
        <v>6456</v>
      </c>
      <c r="G6725" s="28" t="s">
        <v>189</v>
      </c>
      <c r="H6725" s="28" t="s">
        <v>189</v>
      </c>
      <c r="I6725" s="28" t="s">
        <v>21</v>
      </c>
      <c r="J6725" s="28" t="s">
        <v>22396</v>
      </c>
      <c r="K6725" s="28" t="s">
        <v>22397</v>
      </c>
      <c r="L6725" s="28" t="s">
        <v>21142</v>
      </c>
      <c r="M6725" s="28" t="s">
        <v>21</v>
      </c>
      <c r="N6725" s="18"/>
      <c r="O6725" s="27">
        <v>45120</v>
      </c>
      <c r="P6725" s="28" t="s">
        <v>21</v>
      </c>
      <c r="Q6725" s="26" t="b">
        <v>0</v>
      </c>
      <c r="R6725" s="22">
        <f t="shared" si="145"/>
        <v>34</v>
      </c>
      <c r="S6725" s="28" t="s">
        <v>21</v>
      </c>
    </row>
    <row r="6726" spans="1:19">
      <c r="A6726" s="26">
        <v>12288</v>
      </c>
      <c r="B6726" s="27">
        <v>45086</v>
      </c>
      <c r="C6726" s="28" t="s">
        <v>22398</v>
      </c>
      <c r="D6726" s="27">
        <v>45086</v>
      </c>
      <c r="E6726" s="28" t="s">
        <v>22399</v>
      </c>
      <c r="F6726" s="28" t="s">
        <v>52</v>
      </c>
      <c r="G6726" s="28" t="s">
        <v>189</v>
      </c>
      <c r="H6726" s="28" t="s">
        <v>71</v>
      </c>
      <c r="I6726" s="28" t="s">
        <v>21</v>
      </c>
      <c r="J6726" s="28" t="s">
        <v>1349</v>
      </c>
      <c r="K6726" s="28" t="s">
        <v>22400</v>
      </c>
      <c r="L6726" s="28" t="s">
        <v>7167</v>
      </c>
      <c r="M6726" s="28" t="s">
        <v>21</v>
      </c>
      <c r="O6726" s="27">
        <v>45154</v>
      </c>
      <c r="P6726" s="28" t="s">
        <v>21</v>
      </c>
      <c r="Q6726" s="26" t="b">
        <v>0</v>
      </c>
      <c r="R6726" s="22">
        <f t="shared" si="145"/>
        <v>67</v>
      </c>
      <c r="S6726" s="28" t="s">
        <v>21</v>
      </c>
    </row>
    <row r="6727" spans="1:19">
      <c r="A6727" s="26">
        <v>12289</v>
      </c>
      <c r="B6727" s="27">
        <v>45090</v>
      </c>
      <c r="C6727" s="28" t="s">
        <v>22401</v>
      </c>
      <c r="D6727" s="27">
        <v>45090</v>
      </c>
      <c r="E6727" s="28" t="s">
        <v>22402</v>
      </c>
      <c r="F6727" s="28" t="s">
        <v>242</v>
      </c>
      <c r="G6727" s="28" t="s">
        <v>189</v>
      </c>
      <c r="H6727" s="28" t="s">
        <v>71</v>
      </c>
      <c r="I6727" s="28" t="s">
        <v>21</v>
      </c>
      <c r="J6727" s="28" t="s">
        <v>22403</v>
      </c>
      <c r="K6727" s="28" t="s">
        <v>13842</v>
      </c>
      <c r="L6727" s="28" t="s">
        <v>21142</v>
      </c>
      <c r="M6727" s="28" t="s">
        <v>21</v>
      </c>
      <c r="N6727" s="18"/>
      <c r="O6727" s="27">
        <v>45119</v>
      </c>
      <c r="P6727" s="28" t="s">
        <v>21</v>
      </c>
      <c r="Q6727" s="26" t="b">
        <v>0</v>
      </c>
      <c r="R6727" s="22">
        <f t="shared" si="145"/>
        <v>29</v>
      </c>
      <c r="S6727" s="28" t="s">
        <v>21</v>
      </c>
    </row>
    <row r="6728" spans="1:19">
      <c r="A6728" s="38">
        <v>12290</v>
      </c>
      <c r="B6728" s="39">
        <v>45096</v>
      </c>
      <c r="C6728" s="40" t="s">
        <v>22404</v>
      </c>
      <c r="D6728" s="39">
        <v>45091</v>
      </c>
      <c r="E6728" s="40" t="s">
        <v>22405</v>
      </c>
      <c r="F6728" s="40" t="s">
        <v>22406</v>
      </c>
      <c r="G6728" s="40" t="s">
        <v>189</v>
      </c>
      <c r="H6728" s="40" t="s">
        <v>566</v>
      </c>
      <c r="I6728" s="40" t="s">
        <v>21</v>
      </c>
      <c r="J6728" s="40" t="s">
        <v>22407</v>
      </c>
      <c r="K6728" s="40" t="s">
        <v>22408</v>
      </c>
      <c r="L6728" s="40" t="s">
        <v>21573</v>
      </c>
      <c r="M6728" s="40" t="s">
        <v>21</v>
      </c>
      <c r="N6728" s="18"/>
      <c r="O6728" s="18"/>
      <c r="P6728" s="41" t="s">
        <v>21</v>
      </c>
      <c r="Q6728" s="42" t="b">
        <v>0</v>
      </c>
      <c r="R6728" s="66"/>
      <c r="S6728" s="40" t="s">
        <v>21</v>
      </c>
    </row>
    <row r="6729" spans="1:19">
      <c r="A6729" s="26">
        <v>12291</v>
      </c>
      <c r="B6729" s="27">
        <v>45096</v>
      </c>
      <c r="C6729" s="28" t="s">
        <v>22409</v>
      </c>
      <c r="D6729" s="27">
        <v>45091</v>
      </c>
      <c r="E6729" s="28" t="s">
        <v>22410</v>
      </c>
      <c r="F6729" s="28" t="s">
        <v>1678</v>
      </c>
      <c r="G6729" s="28" t="s">
        <v>189</v>
      </c>
      <c r="H6729" s="28" t="s">
        <v>566</v>
      </c>
      <c r="I6729" s="28" t="s">
        <v>21</v>
      </c>
      <c r="J6729" s="28" t="s">
        <v>255</v>
      </c>
      <c r="K6729" s="28" t="s">
        <v>22411</v>
      </c>
      <c r="L6729" s="28" t="s">
        <v>4282</v>
      </c>
      <c r="M6729" s="28" t="s">
        <v>21</v>
      </c>
      <c r="O6729" s="27">
        <v>45135</v>
      </c>
      <c r="P6729" s="28" t="s">
        <v>21</v>
      </c>
      <c r="Q6729" s="26" t="b">
        <v>0</v>
      </c>
      <c r="R6729" s="22">
        <f t="shared" ref="R6729:R6736" si="146">IF(O6729=" ", " ", INT(YEARFRAC(O6729, B6729)*365))</f>
        <v>39</v>
      </c>
      <c r="S6729" s="28" t="s">
        <v>21</v>
      </c>
    </row>
    <row r="6730" spans="1:19">
      <c r="A6730" s="26">
        <v>12292</v>
      </c>
      <c r="B6730" s="27">
        <v>45097</v>
      </c>
      <c r="C6730" s="28" t="s">
        <v>22412</v>
      </c>
      <c r="D6730" s="27">
        <v>45093</v>
      </c>
      <c r="E6730" s="28" t="s">
        <v>22413</v>
      </c>
      <c r="F6730" s="28" t="s">
        <v>242</v>
      </c>
      <c r="G6730" s="28" t="s">
        <v>189</v>
      </c>
      <c r="H6730" s="28" t="s">
        <v>71</v>
      </c>
      <c r="I6730" s="28" t="s">
        <v>21</v>
      </c>
      <c r="J6730" s="28" t="s">
        <v>22414</v>
      </c>
      <c r="K6730" s="28" t="s">
        <v>22415</v>
      </c>
      <c r="L6730" s="28" t="s">
        <v>21243</v>
      </c>
      <c r="M6730" s="28" t="s">
        <v>21</v>
      </c>
      <c r="O6730" s="27">
        <v>45191</v>
      </c>
      <c r="P6730" s="28" t="s">
        <v>21</v>
      </c>
      <c r="Q6730" s="26" t="b">
        <v>0</v>
      </c>
      <c r="R6730" s="22">
        <f t="shared" si="146"/>
        <v>93</v>
      </c>
      <c r="S6730" s="28" t="s">
        <v>21</v>
      </c>
    </row>
    <row r="6731" spans="1:19">
      <c r="A6731" s="26">
        <v>12293</v>
      </c>
      <c r="B6731" s="27">
        <v>45097</v>
      </c>
      <c r="C6731" s="28" t="s">
        <v>22416</v>
      </c>
      <c r="D6731" s="27">
        <v>45097</v>
      </c>
      <c r="E6731" s="28" t="s">
        <v>38</v>
      </c>
      <c r="F6731" s="28" t="s">
        <v>145</v>
      </c>
      <c r="G6731" s="28" t="s">
        <v>189</v>
      </c>
      <c r="H6731" s="28" t="s">
        <v>71</v>
      </c>
      <c r="I6731" s="28" t="s">
        <v>21</v>
      </c>
      <c r="J6731" s="28" t="s">
        <v>22417</v>
      </c>
      <c r="K6731" s="28" t="s">
        <v>22372</v>
      </c>
      <c r="L6731" s="28" t="s">
        <v>4282</v>
      </c>
      <c r="M6731" s="28" t="s">
        <v>21</v>
      </c>
      <c r="O6731" s="27">
        <v>45097</v>
      </c>
      <c r="P6731" s="28" t="s">
        <v>21</v>
      </c>
      <c r="Q6731" s="26" t="b">
        <v>0</v>
      </c>
      <c r="R6731" s="22">
        <f t="shared" si="146"/>
        <v>0</v>
      </c>
      <c r="S6731" s="28" t="s">
        <v>21</v>
      </c>
    </row>
    <row r="6732" spans="1:19">
      <c r="A6732" s="26">
        <v>12294</v>
      </c>
      <c r="B6732" s="27">
        <v>45097</v>
      </c>
      <c r="C6732" s="28" t="s">
        <v>22418</v>
      </c>
      <c r="D6732" s="27">
        <v>45097</v>
      </c>
      <c r="E6732" s="28" t="s">
        <v>22419</v>
      </c>
      <c r="F6732" s="28" t="s">
        <v>13792</v>
      </c>
      <c r="G6732" s="28" t="s">
        <v>189</v>
      </c>
      <c r="H6732" s="28" t="s">
        <v>71</v>
      </c>
      <c r="I6732" s="28" t="s">
        <v>21</v>
      </c>
      <c r="J6732" s="28" t="s">
        <v>22420</v>
      </c>
      <c r="K6732" s="28" t="s">
        <v>22421</v>
      </c>
      <c r="L6732" s="28" t="s">
        <v>21573</v>
      </c>
      <c r="M6732" s="28" t="s">
        <v>21</v>
      </c>
      <c r="O6732" s="27">
        <v>45107</v>
      </c>
      <c r="P6732" s="28" t="s">
        <v>21</v>
      </c>
      <c r="Q6732" s="26" t="b">
        <v>0</v>
      </c>
      <c r="R6732" s="22">
        <f t="shared" si="146"/>
        <v>10</v>
      </c>
      <c r="S6732" s="28" t="s">
        <v>21</v>
      </c>
    </row>
    <row r="6733" spans="1:19">
      <c r="A6733" s="26">
        <v>12295</v>
      </c>
      <c r="B6733" s="27">
        <v>45098</v>
      </c>
      <c r="C6733" s="28" t="s">
        <v>22422</v>
      </c>
      <c r="D6733" s="27">
        <v>45098</v>
      </c>
      <c r="E6733" s="28" t="s">
        <v>38</v>
      </c>
      <c r="F6733" s="28" t="s">
        <v>1743</v>
      </c>
      <c r="G6733" s="28" t="s">
        <v>189</v>
      </c>
      <c r="H6733" s="28" t="s">
        <v>71</v>
      </c>
      <c r="I6733" s="28" t="s">
        <v>21</v>
      </c>
      <c r="J6733" s="28" t="s">
        <v>1636</v>
      </c>
      <c r="K6733" s="28" t="s">
        <v>22423</v>
      </c>
      <c r="L6733" s="28" t="s">
        <v>7167</v>
      </c>
      <c r="M6733" s="28" t="s">
        <v>21</v>
      </c>
      <c r="O6733" s="27">
        <v>45099</v>
      </c>
      <c r="P6733" s="28" t="s">
        <v>21</v>
      </c>
      <c r="Q6733" s="26" t="b">
        <v>0</v>
      </c>
      <c r="R6733" s="22">
        <f t="shared" si="146"/>
        <v>1</v>
      </c>
      <c r="S6733" s="28" t="s">
        <v>21</v>
      </c>
    </row>
    <row r="6734" spans="1:19">
      <c r="A6734" s="26">
        <v>12296</v>
      </c>
      <c r="B6734" s="27">
        <v>45098</v>
      </c>
      <c r="C6734" s="28" t="s">
        <v>22424</v>
      </c>
      <c r="D6734" s="27">
        <v>45098</v>
      </c>
      <c r="E6734" s="28" t="s">
        <v>22425</v>
      </c>
      <c r="F6734" s="28" t="s">
        <v>124</v>
      </c>
      <c r="G6734" s="28" t="s">
        <v>189</v>
      </c>
      <c r="H6734" s="28" t="s">
        <v>71</v>
      </c>
      <c r="I6734" s="28" t="s">
        <v>21</v>
      </c>
      <c r="J6734" s="28" t="s">
        <v>22426</v>
      </c>
      <c r="K6734" s="28" t="s">
        <v>22427</v>
      </c>
      <c r="L6734" s="28" t="s">
        <v>21142</v>
      </c>
      <c r="M6734" s="28" t="s">
        <v>21</v>
      </c>
      <c r="O6734" s="27">
        <v>45107</v>
      </c>
      <c r="P6734" s="28" t="s">
        <v>21</v>
      </c>
      <c r="Q6734" s="26" t="b">
        <v>0</v>
      </c>
      <c r="R6734" s="22">
        <f t="shared" si="146"/>
        <v>9</v>
      </c>
      <c r="S6734" s="28" t="s">
        <v>21</v>
      </c>
    </row>
    <row r="6735" spans="1:19">
      <c r="A6735" s="26">
        <v>12297</v>
      </c>
      <c r="B6735" s="27">
        <v>45099</v>
      </c>
      <c r="C6735" s="28" t="s">
        <v>22428</v>
      </c>
      <c r="D6735" s="27">
        <v>45098</v>
      </c>
      <c r="E6735" s="28" t="s">
        <v>22429</v>
      </c>
      <c r="F6735" s="28" t="s">
        <v>19</v>
      </c>
      <c r="G6735" s="28" t="s">
        <v>189</v>
      </c>
      <c r="H6735" s="28" t="s">
        <v>71</v>
      </c>
      <c r="I6735" s="28" t="s">
        <v>21</v>
      </c>
      <c r="J6735" s="28" t="s">
        <v>22430</v>
      </c>
      <c r="K6735" s="28" t="s">
        <v>22431</v>
      </c>
      <c r="L6735" s="28" t="s">
        <v>21243</v>
      </c>
      <c r="M6735" s="28" t="s">
        <v>21</v>
      </c>
      <c r="O6735" s="27">
        <v>45146</v>
      </c>
      <c r="P6735" s="28" t="s">
        <v>21</v>
      </c>
      <c r="Q6735" s="26" t="b">
        <v>0</v>
      </c>
      <c r="R6735" s="22">
        <f t="shared" si="146"/>
        <v>46</v>
      </c>
      <c r="S6735" s="28" t="s">
        <v>21</v>
      </c>
    </row>
    <row r="6736" spans="1:19">
      <c r="A6736" s="26">
        <v>12298</v>
      </c>
      <c r="B6736" s="27">
        <v>45100</v>
      </c>
      <c r="C6736" s="28" t="s">
        <v>22432</v>
      </c>
      <c r="D6736" s="27">
        <v>45100</v>
      </c>
      <c r="E6736" s="28" t="s">
        <v>1928</v>
      </c>
      <c r="F6736" s="28" t="s">
        <v>1743</v>
      </c>
      <c r="G6736" s="28" t="s">
        <v>189</v>
      </c>
      <c r="H6736" s="28" t="s">
        <v>71</v>
      </c>
      <c r="I6736" s="28" t="s">
        <v>21</v>
      </c>
      <c r="J6736" s="28" t="s">
        <v>22433</v>
      </c>
      <c r="K6736" s="28" t="s">
        <v>22434</v>
      </c>
      <c r="L6736" s="28" t="s">
        <v>4282</v>
      </c>
      <c r="M6736" s="28" t="s">
        <v>21</v>
      </c>
      <c r="N6736" s="29">
        <v>45117</v>
      </c>
      <c r="O6736" s="27">
        <v>45103</v>
      </c>
      <c r="P6736" s="28" t="s">
        <v>21</v>
      </c>
      <c r="Q6736" s="26" t="b">
        <v>0</v>
      </c>
      <c r="R6736" s="22">
        <f t="shared" si="146"/>
        <v>3</v>
      </c>
      <c r="S6736" s="28" t="s">
        <v>21</v>
      </c>
    </row>
    <row r="6737" spans="1:19">
      <c r="A6737" s="38">
        <v>12299</v>
      </c>
      <c r="B6737" s="39">
        <v>45114</v>
      </c>
      <c r="C6737" s="40" t="s">
        <v>22435</v>
      </c>
      <c r="D6737" s="39">
        <v>45107</v>
      </c>
      <c r="E6737" s="40" t="s">
        <v>22436</v>
      </c>
      <c r="F6737" s="40" t="s">
        <v>149</v>
      </c>
      <c r="G6737" s="40" t="s">
        <v>189</v>
      </c>
      <c r="H6737" s="40" t="s">
        <v>71</v>
      </c>
      <c r="I6737" s="40" t="s">
        <v>21</v>
      </c>
      <c r="J6737" s="40" t="s">
        <v>13703</v>
      </c>
      <c r="K6737" s="40" t="s">
        <v>22437</v>
      </c>
      <c r="L6737" s="40" t="s">
        <v>4282</v>
      </c>
      <c r="M6737" s="40" t="s">
        <v>21</v>
      </c>
      <c r="O6737" s="18"/>
      <c r="P6737" s="41" t="s">
        <v>21</v>
      </c>
      <c r="Q6737" s="42" t="b">
        <v>0</v>
      </c>
      <c r="R6737" s="66"/>
      <c r="S6737" s="40" t="s">
        <v>21</v>
      </c>
    </row>
    <row r="6738" spans="1:19">
      <c r="A6738" s="26">
        <v>12303</v>
      </c>
      <c r="B6738" s="27">
        <v>45119</v>
      </c>
      <c r="C6738" s="28" t="s">
        <v>22438</v>
      </c>
      <c r="D6738" s="27">
        <v>45119</v>
      </c>
      <c r="E6738" s="28" t="s">
        <v>22439</v>
      </c>
      <c r="F6738" s="28" t="s">
        <v>70</v>
      </c>
      <c r="G6738" s="28" t="s">
        <v>189</v>
      </c>
      <c r="H6738" s="28" t="s">
        <v>71</v>
      </c>
      <c r="I6738" s="28" t="s">
        <v>21</v>
      </c>
      <c r="J6738" s="28" t="s">
        <v>22440</v>
      </c>
      <c r="K6738" s="28" t="s">
        <v>22441</v>
      </c>
      <c r="L6738" s="28" t="s">
        <v>7167</v>
      </c>
      <c r="M6738" s="28" t="s">
        <v>21</v>
      </c>
      <c r="O6738" s="27">
        <v>45131</v>
      </c>
      <c r="P6738" s="28" t="s">
        <v>21</v>
      </c>
      <c r="Q6738" s="26" t="b">
        <v>0</v>
      </c>
      <c r="R6738" s="22">
        <f>IF(O6738=" ", " ", INT(YEARFRAC(O6738, B6738)*365))</f>
        <v>12</v>
      </c>
      <c r="S6738" s="28" t="s">
        <v>21</v>
      </c>
    </row>
    <row r="6739" spans="1:19">
      <c r="A6739" s="38">
        <v>12304</v>
      </c>
      <c r="B6739" s="39">
        <v>45124</v>
      </c>
      <c r="C6739" s="40" t="s">
        <v>22442</v>
      </c>
      <c r="D6739" s="39">
        <v>45120</v>
      </c>
      <c r="E6739" s="40" t="s">
        <v>22443</v>
      </c>
      <c r="F6739" s="40" t="s">
        <v>2105</v>
      </c>
      <c r="G6739" s="40" t="s">
        <v>189</v>
      </c>
      <c r="H6739" s="40" t="s">
        <v>189</v>
      </c>
      <c r="I6739" s="40" t="s">
        <v>21</v>
      </c>
      <c r="J6739" s="40" t="s">
        <v>22444</v>
      </c>
      <c r="K6739" s="40" t="s">
        <v>9348</v>
      </c>
      <c r="L6739" s="40" t="s">
        <v>21243</v>
      </c>
      <c r="M6739" s="40" t="s">
        <v>21</v>
      </c>
      <c r="O6739" s="18"/>
      <c r="P6739" s="41" t="s">
        <v>21</v>
      </c>
      <c r="Q6739" s="42" t="b">
        <v>0</v>
      </c>
      <c r="R6739" s="66"/>
      <c r="S6739" s="40" t="s">
        <v>21</v>
      </c>
    </row>
    <row r="6740" spans="1:19">
      <c r="A6740" s="38">
        <v>12305</v>
      </c>
      <c r="B6740" s="39">
        <v>45124</v>
      </c>
      <c r="C6740" s="40" t="s">
        <v>22445</v>
      </c>
      <c r="D6740" s="39">
        <v>45124</v>
      </c>
      <c r="E6740" s="40" t="s">
        <v>22446</v>
      </c>
      <c r="F6740" s="40" t="s">
        <v>5659</v>
      </c>
      <c r="G6740" s="40" t="s">
        <v>189</v>
      </c>
      <c r="H6740" s="40" t="s">
        <v>566</v>
      </c>
      <c r="I6740" s="40" t="s">
        <v>21</v>
      </c>
      <c r="J6740" s="40" t="s">
        <v>22447</v>
      </c>
      <c r="K6740" s="40" t="s">
        <v>22448</v>
      </c>
      <c r="L6740" s="40" t="s">
        <v>4282</v>
      </c>
      <c r="M6740" s="40" t="s">
        <v>21</v>
      </c>
      <c r="O6740" s="18"/>
      <c r="P6740" s="41" t="s">
        <v>21</v>
      </c>
      <c r="Q6740" s="42" t="b">
        <v>0</v>
      </c>
      <c r="R6740" s="66"/>
      <c r="S6740" s="40" t="s">
        <v>21</v>
      </c>
    </row>
    <row r="6741" spans="1:19" ht="24">
      <c r="A6741" s="38">
        <v>12306</v>
      </c>
      <c r="B6741" s="39">
        <v>45128</v>
      </c>
      <c r="C6741" s="40" t="s">
        <v>22449</v>
      </c>
      <c r="D6741" s="39">
        <v>45127</v>
      </c>
      <c r="E6741" s="40" t="s">
        <v>22450</v>
      </c>
      <c r="F6741" s="40" t="s">
        <v>52</v>
      </c>
      <c r="G6741" s="40" t="s">
        <v>189</v>
      </c>
      <c r="H6741" s="40" t="s">
        <v>71</v>
      </c>
      <c r="I6741" s="40" t="s">
        <v>21</v>
      </c>
      <c r="J6741" s="40" t="s">
        <v>22451</v>
      </c>
      <c r="K6741" s="40" t="s">
        <v>9348</v>
      </c>
      <c r="L6741" s="40" t="s">
        <v>21573</v>
      </c>
      <c r="M6741" s="40" t="s">
        <v>21</v>
      </c>
      <c r="O6741" s="18"/>
      <c r="P6741" s="41" t="s">
        <v>21</v>
      </c>
      <c r="Q6741" s="42" t="b">
        <v>0</v>
      </c>
      <c r="R6741" s="66"/>
      <c r="S6741" s="40" t="s">
        <v>21</v>
      </c>
    </row>
    <row r="6742" spans="1:19">
      <c r="A6742" s="26">
        <v>12308</v>
      </c>
      <c r="B6742" s="27">
        <v>45133</v>
      </c>
      <c r="C6742" s="28" t="s">
        <v>22452</v>
      </c>
      <c r="D6742" s="27">
        <v>45133</v>
      </c>
      <c r="E6742" s="28" t="s">
        <v>22453</v>
      </c>
      <c r="F6742" s="28" t="s">
        <v>149</v>
      </c>
      <c r="G6742" s="28" t="s">
        <v>189</v>
      </c>
      <c r="H6742" s="28" t="s">
        <v>71</v>
      </c>
      <c r="I6742" s="28" t="s">
        <v>21</v>
      </c>
      <c r="J6742" s="28" t="s">
        <v>22454</v>
      </c>
      <c r="K6742" s="28" t="s">
        <v>22455</v>
      </c>
      <c r="L6742" s="28" t="s">
        <v>21142</v>
      </c>
      <c r="M6742" s="28" t="s">
        <v>21</v>
      </c>
      <c r="O6742" s="27">
        <v>45209</v>
      </c>
      <c r="P6742" s="28" t="s">
        <v>21</v>
      </c>
      <c r="Q6742" s="26" t="b">
        <v>0</v>
      </c>
      <c r="R6742" s="22">
        <f>IF(O6742=" ", " ", INT(YEARFRAC(O6742, B6742)*365))</f>
        <v>75</v>
      </c>
      <c r="S6742" s="28" t="s">
        <v>21</v>
      </c>
    </row>
    <row r="6743" spans="1:19">
      <c r="A6743" s="26">
        <v>12309</v>
      </c>
      <c r="B6743" s="27">
        <v>45133</v>
      </c>
      <c r="C6743" s="28" t="s">
        <v>22456</v>
      </c>
      <c r="D6743" s="27">
        <v>45133</v>
      </c>
      <c r="E6743" s="28" t="s">
        <v>22457</v>
      </c>
      <c r="F6743" s="28" t="s">
        <v>116</v>
      </c>
      <c r="G6743" s="28" t="s">
        <v>189</v>
      </c>
      <c r="H6743" s="28" t="s">
        <v>71</v>
      </c>
      <c r="I6743" s="28" t="s">
        <v>21</v>
      </c>
      <c r="J6743" s="28" t="s">
        <v>22458</v>
      </c>
      <c r="K6743" s="28" t="s">
        <v>22459</v>
      </c>
      <c r="L6743" s="28" t="s">
        <v>21243</v>
      </c>
      <c r="M6743" s="28" t="s">
        <v>21</v>
      </c>
      <c r="O6743" s="27">
        <v>45146</v>
      </c>
      <c r="P6743" s="28" t="s">
        <v>21</v>
      </c>
      <c r="Q6743" s="26" t="b">
        <v>0</v>
      </c>
      <c r="R6743" s="22">
        <f>IF(O6743=" ", " ", INT(YEARFRAC(O6743, B6743)*365))</f>
        <v>12</v>
      </c>
      <c r="S6743" s="28" t="s">
        <v>21</v>
      </c>
    </row>
    <row r="6744" spans="1:19">
      <c r="A6744" s="26">
        <v>12310</v>
      </c>
      <c r="B6744" s="27">
        <v>45133</v>
      </c>
      <c r="C6744" s="28" t="s">
        <v>22460</v>
      </c>
      <c r="D6744" s="27">
        <v>45133</v>
      </c>
      <c r="E6744" s="28" t="s">
        <v>22461</v>
      </c>
      <c r="F6744" s="28" t="s">
        <v>3434</v>
      </c>
      <c r="G6744" s="28" t="s">
        <v>189</v>
      </c>
      <c r="H6744" s="28" t="s">
        <v>71</v>
      </c>
      <c r="I6744" s="28" t="s">
        <v>21</v>
      </c>
      <c r="J6744" s="28" t="s">
        <v>22458</v>
      </c>
      <c r="K6744" s="28" t="s">
        <v>22462</v>
      </c>
      <c r="L6744" s="28" t="s">
        <v>21243</v>
      </c>
      <c r="M6744" s="28" t="s">
        <v>21</v>
      </c>
      <c r="N6744" s="18"/>
      <c r="O6744" s="27">
        <v>45162</v>
      </c>
      <c r="P6744" s="28" t="s">
        <v>21</v>
      </c>
      <c r="Q6744" s="26" t="b">
        <v>0</v>
      </c>
      <c r="R6744" s="22">
        <f>IF(O6744=" ", " ", INT(YEARFRAC(O6744, B6744)*365))</f>
        <v>28</v>
      </c>
      <c r="S6744" s="28" t="s">
        <v>21</v>
      </c>
    </row>
    <row r="6745" spans="1:19">
      <c r="A6745" s="26">
        <v>12311</v>
      </c>
      <c r="B6745" s="27">
        <v>45140</v>
      </c>
      <c r="C6745" s="28" t="s">
        <v>22463</v>
      </c>
      <c r="D6745" s="27">
        <v>45138</v>
      </c>
      <c r="E6745" s="28" t="s">
        <v>22464</v>
      </c>
      <c r="F6745" s="28" t="s">
        <v>27</v>
      </c>
      <c r="G6745" s="28" t="s">
        <v>189</v>
      </c>
      <c r="H6745" s="28" t="s">
        <v>71</v>
      </c>
      <c r="I6745" s="28" t="s">
        <v>21</v>
      </c>
      <c r="J6745" s="28" t="s">
        <v>22465</v>
      </c>
      <c r="K6745" s="28" t="s">
        <v>22466</v>
      </c>
      <c r="L6745" s="28" t="s">
        <v>7167</v>
      </c>
      <c r="M6745" s="28" t="s">
        <v>21</v>
      </c>
      <c r="O6745" s="27">
        <v>45169</v>
      </c>
      <c r="P6745" s="28" t="s">
        <v>21</v>
      </c>
      <c r="Q6745" s="26" t="b">
        <v>0</v>
      </c>
      <c r="R6745" s="22">
        <f>IF(O6745=" ", " ", INT(YEARFRAC(O6745, B6745)*365))</f>
        <v>29</v>
      </c>
      <c r="S6745" s="28" t="s">
        <v>21</v>
      </c>
    </row>
    <row r="6746" spans="1:19">
      <c r="A6746" s="38">
        <v>12312</v>
      </c>
      <c r="B6746" s="39">
        <v>45142</v>
      </c>
      <c r="C6746" s="40" t="s">
        <v>22467</v>
      </c>
      <c r="D6746" s="39">
        <v>45142</v>
      </c>
      <c r="E6746" s="40" t="s">
        <v>22468</v>
      </c>
      <c r="F6746" s="40" t="s">
        <v>22469</v>
      </c>
      <c r="G6746" s="40" t="s">
        <v>189</v>
      </c>
      <c r="H6746" s="40" t="s">
        <v>189</v>
      </c>
      <c r="I6746" s="40" t="s">
        <v>21</v>
      </c>
      <c r="J6746" s="40" t="s">
        <v>22470</v>
      </c>
      <c r="K6746" s="40" t="s">
        <v>1241</v>
      </c>
      <c r="L6746" s="40" t="s">
        <v>21243</v>
      </c>
      <c r="M6746" s="40" t="s">
        <v>21</v>
      </c>
      <c r="O6746" s="18"/>
      <c r="P6746" s="41" t="s">
        <v>21</v>
      </c>
      <c r="Q6746" s="42" t="b">
        <v>0</v>
      </c>
      <c r="R6746" s="66"/>
      <c r="S6746" s="40" t="s">
        <v>21</v>
      </c>
    </row>
    <row r="6747" spans="1:19">
      <c r="A6747" s="26">
        <v>12313</v>
      </c>
      <c r="B6747" s="27">
        <v>45145</v>
      </c>
      <c r="C6747" s="28" t="s">
        <v>22471</v>
      </c>
      <c r="D6747" s="27">
        <v>45145</v>
      </c>
      <c r="E6747" s="28" t="s">
        <v>22472</v>
      </c>
      <c r="F6747" s="28" t="s">
        <v>693</v>
      </c>
      <c r="G6747" s="28" t="s">
        <v>189</v>
      </c>
      <c r="H6747" s="28" t="s">
        <v>189</v>
      </c>
      <c r="I6747" s="28" t="s">
        <v>21</v>
      </c>
      <c r="J6747" s="28" t="s">
        <v>22473</v>
      </c>
      <c r="K6747" s="28" t="s">
        <v>16490</v>
      </c>
      <c r="L6747" s="28" t="s">
        <v>21573</v>
      </c>
      <c r="M6747" s="28" t="s">
        <v>21</v>
      </c>
      <c r="O6747" s="27">
        <v>45154</v>
      </c>
      <c r="P6747" s="28" t="s">
        <v>21</v>
      </c>
      <c r="Q6747" s="26" t="b">
        <v>0</v>
      </c>
      <c r="R6747" s="22">
        <f t="shared" ref="R6747:R6753" si="147">IF(O6747=" ", " ", INT(YEARFRAC(O6747, B6747)*365))</f>
        <v>9</v>
      </c>
      <c r="S6747" s="28" t="s">
        <v>21</v>
      </c>
    </row>
    <row r="6748" spans="1:19">
      <c r="A6748" s="26">
        <v>12315</v>
      </c>
      <c r="B6748" s="27">
        <v>45146</v>
      </c>
      <c r="C6748" s="28" t="s">
        <v>22474</v>
      </c>
      <c r="D6748" s="27">
        <v>45146</v>
      </c>
      <c r="E6748" s="28" t="s">
        <v>22475</v>
      </c>
      <c r="F6748" s="28" t="s">
        <v>1678</v>
      </c>
      <c r="G6748" s="28" t="s">
        <v>189</v>
      </c>
      <c r="H6748" s="28" t="s">
        <v>189</v>
      </c>
      <c r="I6748" s="28" t="s">
        <v>21</v>
      </c>
      <c r="J6748" s="28" t="s">
        <v>22476</v>
      </c>
      <c r="K6748" s="28" t="s">
        <v>22477</v>
      </c>
      <c r="L6748" s="28" t="s">
        <v>4282</v>
      </c>
      <c r="M6748" s="28" t="s">
        <v>21</v>
      </c>
      <c r="O6748" s="27">
        <v>45222</v>
      </c>
      <c r="P6748" s="28" t="s">
        <v>21</v>
      </c>
      <c r="Q6748" s="26" t="b">
        <v>0</v>
      </c>
      <c r="R6748" s="22">
        <f t="shared" si="147"/>
        <v>76</v>
      </c>
      <c r="S6748" s="28" t="s">
        <v>21</v>
      </c>
    </row>
    <row r="6749" spans="1:19" ht="48">
      <c r="A6749" s="26">
        <v>12317</v>
      </c>
      <c r="B6749" s="27">
        <v>45147</v>
      </c>
      <c r="C6749" s="28" t="s">
        <v>22478</v>
      </c>
      <c r="D6749" s="27">
        <v>45146</v>
      </c>
      <c r="E6749" s="28" t="s">
        <v>22479</v>
      </c>
      <c r="F6749" s="28" t="s">
        <v>27</v>
      </c>
      <c r="G6749" s="28" t="s">
        <v>189</v>
      </c>
      <c r="H6749" s="28" t="s">
        <v>71</v>
      </c>
      <c r="I6749" s="28" t="s">
        <v>21</v>
      </c>
      <c r="J6749" s="28" t="s">
        <v>22480</v>
      </c>
      <c r="K6749" s="28" t="s">
        <v>22481</v>
      </c>
      <c r="L6749" s="28" t="s">
        <v>21243</v>
      </c>
      <c r="M6749" s="28" t="s">
        <v>21</v>
      </c>
      <c r="O6749" s="27">
        <v>45189</v>
      </c>
      <c r="P6749" s="28" t="s">
        <v>21</v>
      </c>
      <c r="Q6749" s="26" t="b">
        <v>0</v>
      </c>
      <c r="R6749" s="22">
        <f t="shared" si="147"/>
        <v>41</v>
      </c>
      <c r="S6749" s="28" t="s">
        <v>22157</v>
      </c>
    </row>
    <row r="6750" spans="1:19">
      <c r="A6750" s="26">
        <v>12318</v>
      </c>
      <c r="B6750" s="27">
        <v>45147</v>
      </c>
      <c r="C6750" s="28" t="s">
        <v>22482</v>
      </c>
      <c r="D6750" s="27">
        <v>45147</v>
      </c>
      <c r="E6750" s="28" t="s">
        <v>38</v>
      </c>
      <c r="F6750" s="28" t="s">
        <v>3171</v>
      </c>
      <c r="G6750" s="28" t="s">
        <v>189</v>
      </c>
      <c r="H6750" s="28" t="s">
        <v>566</v>
      </c>
      <c r="I6750" s="28" t="s">
        <v>21</v>
      </c>
      <c r="J6750" s="28" t="s">
        <v>22483</v>
      </c>
      <c r="K6750" s="28" t="s">
        <v>22484</v>
      </c>
      <c r="L6750" s="28" t="s">
        <v>4282</v>
      </c>
      <c r="M6750" s="28" t="s">
        <v>21</v>
      </c>
      <c r="N6750" s="18"/>
      <c r="O6750" s="27">
        <v>45169</v>
      </c>
      <c r="P6750" s="28" t="s">
        <v>21</v>
      </c>
      <c r="Q6750" s="26" t="b">
        <v>0</v>
      </c>
      <c r="R6750" s="22">
        <f t="shared" si="147"/>
        <v>22</v>
      </c>
      <c r="S6750" s="28" t="s">
        <v>21</v>
      </c>
    </row>
    <row r="6751" spans="1:19" ht="24">
      <c r="A6751" s="38">
        <v>12319</v>
      </c>
      <c r="B6751" s="39">
        <v>45154</v>
      </c>
      <c r="C6751" s="40" t="s">
        <v>22485</v>
      </c>
      <c r="D6751" s="39">
        <v>45152</v>
      </c>
      <c r="E6751" s="40" t="s">
        <v>22486</v>
      </c>
      <c r="F6751" s="40" t="s">
        <v>21432</v>
      </c>
      <c r="G6751" s="40" t="s">
        <v>189</v>
      </c>
      <c r="H6751" s="40" t="s">
        <v>71</v>
      </c>
      <c r="I6751" s="40" t="s">
        <v>21</v>
      </c>
      <c r="J6751" s="40" t="s">
        <v>22487</v>
      </c>
      <c r="K6751" s="40" t="s">
        <v>22488</v>
      </c>
      <c r="L6751" s="40" t="s">
        <v>21142</v>
      </c>
      <c r="M6751" s="40" t="s">
        <v>21</v>
      </c>
      <c r="O6751" s="39">
        <v>45378</v>
      </c>
      <c r="P6751" s="41" t="s">
        <v>21</v>
      </c>
      <c r="Q6751" s="42" t="b">
        <v>0</v>
      </c>
      <c r="R6751" s="22">
        <f t="shared" si="147"/>
        <v>224</v>
      </c>
      <c r="S6751" s="40" t="s">
        <v>22196</v>
      </c>
    </row>
    <row r="6752" spans="1:19" ht="48">
      <c r="A6752" s="26">
        <v>12320</v>
      </c>
      <c r="B6752" s="27">
        <v>45159</v>
      </c>
      <c r="C6752" s="28" t="s">
        <v>22489</v>
      </c>
      <c r="D6752" s="27">
        <v>45159</v>
      </c>
      <c r="E6752" s="28" t="s">
        <v>22490</v>
      </c>
      <c r="F6752" s="28" t="s">
        <v>22491</v>
      </c>
      <c r="G6752" s="28" t="s">
        <v>189</v>
      </c>
      <c r="H6752" s="28" t="s">
        <v>71</v>
      </c>
      <c r="I6752" s="28" t="s">
        <v>21</v>
      </c>
      <c r="J6752" s="28" t="s">
        <v>22492</v>
      </c>
      <c r="K6752" s="28" t="s">
        <v>22493</v>
      </c>
      <c r="L6752" s="28" t="s">
        <v>7167</v>
      </c>
      <c r="M6752" s="28" t="s">
        <v>21</v>
      </c>
      <c r="O6752" s="27">
        <v>45233</v>
      </c>
      <c r="P6752" s="28" t="s">
        <v>21</v>
      </c>
      <c r="Q6752" s="26" t="b">
        <v>0</v>
      </c>
      <c r="R6752" s="22">
        <f t="shared" si="147"/>
        <v>73</v>
      </c>
      <c r="S6752" s="28" t="s">
        <v>22494</v>
      </c>
    </row>
    <row r="6753" spans="1:19">
      <c r="A6753" s="26">
        <v>12322</v>
      </c>
      <c r="B6753" s="27">
        <v>45162</v>
      </c>
      <c r="C6753" s="28" t="s">
        <v>22495</v>
      </c>
      <c r="D6753" s="27">
        <v>45162</v>
      </c>
      <c r="E6753" s="28" t="s">
        <v>1928</v>
      </c>
      <c r="F6753" s="28" t="s">
        <v>1743</v>
      </c>
      <c r="G6753" s="28" t="s">
        <v>189</v>
      </c>
      <c r="H6753" s="28" t="s">
        <v>71</v>
      </c>
      <c r="I6753" s="28" t="s">
        <v>21</v>
      </c>
      <c r="J6753" s="28" t="s">
        <v>22496</v>
      </c>
      <c r="K6753" s="28" t="s">
        <v>22497</v>
      </c>
      <c r="L6753" s="28" t="s">
        <v>4282</v>
      </c>
      <c r="M6753" s="28" t="s">
        <v>21</v>
      </c>
      <c r="N6753" s="29">
        <v>45177</v>
      </c>
      <c r="O6753" s="27">
        <v>45162</v>
      </c>
      <c r="P6753" s="28" t="s">
        <v>21</v>
      </c>
      <c r="Q6753" s="26" t="b">
        <v>0</v>
      </c>
      <c r="R6753" s="22">
        <f t="shared" si="147"/>
        <v>0</v>
      </c>
      <c r="S6753" s="28" t="s">
        <v>21</v>
      </c>
    </row>
    <row r="6754" spans="1:19">
      <c r="A6754" s="38">
        <v>12323</v>
      </c>
      <c r="B6754" s="39">
        <v>45167</v>
      </c>
      <c r="C6754" s="40" t="s">
        <v>22498</v>
      </c>
      <c r="D6754" s="39">
        <v>45167</v>
      </c>
      <c r="E6754" s="40" t="s">
        <v>22499</v>
      </c>
      <c r="F6754" s="40" t="s">
        <v>145</v>
      </c>
      <c r="G6754" s="40" t="s">
        <v>189</v>
      </c>
      <c r="H6754" s="40" t="s">
        <v>71</v>
      </c>
      <c r="I6754" s="40" t="s">
        <v>21</v>
      </c>
      <c r="J6754" s="40" t="s">
        <v>22500</v>
      </c>
      <c r="K6754" s="40" t="s">
        <v>22501</v>
      </c>
      <c r="L6754" s="40" t="s">
        <v>4282</v>
      </c>
      <c r="M6754" s="40" t="s">
        <v>21</v>
      </c>
      <c r="N6754" s="18"/>
      <c r="O6754" s="18"/>
      <c r="P6754" s="41" t="s">
        <v>21</v>
      </c>
      <c r="Q6754" s="42" t="b">
        <v>0</v>
      </c>
      <c r="R6754" s="66"/>
      <c r="S6754" s="40" t="s">
        <v>21</v>
      </c>
    </row>
    <row r="6755" spans="1:19">
      <c r="A6755" s="26">
        <v>12324</v>
      </c>
      <c r="B6755" s="27">
        <v>45168</v>
      </c>
      <c r="C6755" s="28" t="s">
        <v>22502</v>
      </c>
      <c r="D6755" s="27">
        <v>45168</v>
      </c>
      <c r="E6755" s="28" t="s">
        <v>38</v>
      </c>
      <c r="F6755" s="28" t="s">
        <v>1743</v>
      </c>
      <c r="G6755" s="28" t="s">
        <v>189</v>
      </c>
      <c r="H6755" s="28" t="s">
        <v>71</v>
      </c>
      <c r="I6755" s="28" t="s">
        <v>21</v>
      </c>
      <c r="J6755" s="28" t="s">
        <v>22503</v>
      </c>
      <c r="K6755" s="28" t="s">
        <v>22504</v>
      </c>
      <c r="L6755" s="28" t="s">
        <v>4282</v>
      </c>
      <c r="M6755" s="28" t="s">
        <v>21</v>
      </c>
      <c r="O6755" s="27">
        <v>45169</v>
      </c>
      <c r="P6755" s="28" t="s">
        <v>21</v>
      </c>
      <c r="Q6755" s="26" t="b">
        <v>0</v>
      </c>
      <c r="R6755" s="22">
        <f>IF(O6755=" ", " ", INT(YEARFRAC(O6755, B6755)*365))</f>
        <v>0</v>
      </c>
      <c r="S6755" s="28" t="s">
        <v>21</v>
      </c>
    </row>
    <row r="6756" spans="1:19">
      <c r="A6756" s="26">
        <v>12325</v>
      </c>
      <c r="B6756" s="27">
        <v>45170</v>
      </c>
      <c r="C6756" s="28" t="s">
        <v>22505</v>
      </c>
      <c r="D6756" s="27">
        <v>45170</v>
      </c>
      <c r="E6756" s="28" t="s">
        <v>1928</v>
      </c>
      <c r="F6756" s="28" t="s">
        <v>1743</v>
      </c>
      <c r="G6756" s="28" t="s">
        <v>189</v>
      </c>
      <c r="H6756" s="28" t="s">
        <v>71</v>
      </c>
      <c r="I6756" s="28" t="s">
        <v>21</v>
      </c>
      <c r="J6756" s="28" t="s">
        <v>22506</v>
      </c>
      <c r="K6756" s="28" t="s">
        <v>22507</v>
      </c>
      <c r="L6756" s="28" t="s">
        <v>7167</v>
      </c>
      <c r="M6756" s="28" t="s">
        <v>21</v>
      </c>
      <c r="N6756" s="29">
        <v>45187</v>
      </c>
      <c r="O6756" s="27">
        <v>45184</v>
      </c>
      <c r="P6756" s="28" t="s">
        <v>21</v>
      </c>
      <c r="Q6756" s="26" t="b">
        <v>0</v>
      </c>
      <c r="R6756" s="22">
        <f>IF(O6756=" ", " ", INT(YEARFRAC(O6756, B6756)*365))</f>
        <v>14</v>
      </c>
      <c r="S6756" s="28" t="s">
        <v>21</v>
      </c>
    </row>
    <row r="6757" spans="1:19">
      <c r="A6757" s="38">
        <v>12326</v>
      </c>
      <c r="B6757" s="39">
        <v>45170</v>
      </c>
      <c r="C6757" s="40" t="s">
        <v>22508</v>
      </c>
      <c r="D6757" s="39">
        <v>45169</v>
      </c>
      <c r="E6757" s="40" t="s">
        <v>22509</v>
      </c>
      <c r="F6757" s="40" t="s">
        <v>327</v>
      </c>
      <c r="G6757" s="40" t="s">
        <v>189</v>
      </c>
      <c r="H6757" s="40" t="s">
        <v>71</v>
      </c>
      <c r="I6757" s="40" t="s">
        <v>21</v>
      </c>
      <c r="J6757" s="40" t="s">
        <v>22510</v>
      </c>
      <c r="K6757" s="40" t="s">
        <v>1349</v>
      </c>
      <c r="L6757" s="40" t="s">
        <v>21573</v>
      </c>
      <c r="M6757" s="40" t="s">
        <v>21</v>
      </c>
      <c r="N6757" s="18"/>
      <c r="O6757" s="18"/>
      <c r="P6757" s="41" t="s">
        <v>21</v>
      </c>
      <c r="Q6757" s="42" t="b">
        <v>0</v>
      </c>
      <c r="R6757" s="66"/>
      <c r="S6757" s="40" t="s">
        <v>21</v>
      </c>
    </row>
    <row r="6758" spans="1:19">
      <c r="A6758" s="26">
        <v>12328</v>
      </c>
      <c r="B6758" s="27">
        <v>45175</v>
      </c>
      <c r="C6758" s="28" t="s">
        <v>22511</v>
      </c>
      <c r="D6758" s="27">
        <v>45175</v>
      </c>
      <c r="E6758" s="28" t="s">
        <v>1928</v>
      </c>
      <c r="F6758" s="28" t="s">
        <v>1743</v>
      </c>
      <c r="G6758" s="28" t="s">
        <v>189</v>
      </c>
      <c r="H6758" s="28" t="s">
        <v>71</v>
      </c>
      <c r="I6758" s="28" t="s">
        <v>21</v>
      </c>
      <c r="J6758" s="28" t="s">
        <v>22512</v>
      </c>
      <c r="K6758" s="28" t="s">
        <v>22513</v>
      </c>
      <c r="L6758" s="28" t="s">
        <v>21142</v>
      </c>
      <c r="M6758" s="28" t="s">
        <v>21</v>
      </c>
      <c r="N6758" s="29">
        <v>45189</v>
      </c>
      <c r="O6758" s="27">
        <v>45209</v>
      </c>
      <c r="P6758" s="28" t="s">
        <v>21</v>
      </c>
      <c r="Q6758" s="26" t="b">
        <v>0</v>
      </c>
      <c r="R6758" s="22">
        <f>IF(O6758=" ", " ", INT(YEARFRAC(O6758, B6758)*365))</f>
        <v>34</v>
      </c>
      <c r="S6758" s="28" t="s">
        <v>21</v>
      </c>
    </row>
    <row r="6759" spans="1:19">
      <c r="A6759" s="26">
        <v>12329</v>
      </c>
      <c r="B6759" s="27">
        <v>45175</v>
      </c>
      <c r="C6759" s="28" t="s">
        <v>22514</v>
      </c>
      <c r="D6759" s="27">
        <v>45175</v>
      </c>
      <c r="E6759" s="28" t="s">
        <v>22515</v>
      </c>
      <c r="F6759" s="28" t="s">
        <v>52</v>
      </c>
      <c r="G6759" s="28" t="s">
        <v>189</v>
      </c>
      <c r="H6759" s="28" t="s">
        <v>71</v>
      </c>
      <c r="I6759" s="28" t="s">
        <v>21</v>
      </c>
      <c r="J6759" s="28" t="s">
        <v>1349</v>
      </c>
      <c r="K6759" s="28" t="s">
        <v>22516</v>
      </c>
      <c r="L6759" s="28" t="s">
        <v>7167</v>
      </c>
      <c r="M6759" s="28" t="s">
        <v>21</v>
      </c>
      <c r="O6759" s="27">
        <v>45183</v>
      </c>
      <c r="P6759" s="28" t="s">
        <v>21</v>
      </c>
      <c r="Q6759" s="26" t="b">
        <v>0</v>
      </c>
      <c r="R6759" s="22">
        <f>IF(O6759=" ", " ", INT(YEARFRAC(O6759, B6759)*365))</f>
        <v>8</v>
      </c>
      <c r="S6759" s="28" t="s">
        <v>21</v>
      </c>
    </row>
    <row r="6760" spans="1:19">
      <c r="A6760" s="38">
        <v>12330</v>
      </c>
      <c r="B6760" s="39">
        <v>45182</v>
      </c>
      <c r="C6760" s="40" t="s">
        <v>22517</v>
      </c>
      <c r="D6760" s="39">
        <v>45181</v>
      </c>
      <c r="E6760" s="40" t="s">
        <v>22518</v>
      </c>
      <c r="F6760" s="40" t="s">
        <v>85</v>
      </c>
      <c r="G6760" s="40" t="s">
        <v>189</v>
      </c>
      <c r="H6760" s="40" t="s">
        <v>71</v>
      </c>
      <c r="I6760" s="40" t="s">
        <v>21</v>
      </c>
      <c r="J6760" s="40" t="s">
        <v>22519</v>
      </c>
      <c r="K6760" s="40" t="s">
        <v>20909</v>
      </c>
      <c r="L6760" s="40" t="s">
        <v>21243</v>
      </c>
      <c r="M6760" s="40" t="s">
        <v>21</v>
      </c>
      <c r="O6760" s="18"/>
      <c r="P6760" s="41" t="s">
        <v>21</v>
      </c>
      <c r="Q6760" s="42" t="b">
        <v>0</v>
      </c>
      <c r="R6760" s="66"/>
      <c r="S6760" s="40" t="s">
        <v>21</v>
      </c>
    </row>
    <row r="6761" spans="1:19" ht="48">
      <c r="A6761" s="26">
        <v>12332</v>
      </c>
      <c r="B6761" s="27">
        <v>45184</v>
      </c>
      <c r="C6761" s="28" t="s">
        <v>22520</v>
      </c>
      <c r="D6761" s="27">
        <v>45183</v>
      </c>
      <c r="E6761" s="28" t="s">
        <v>22521</v>
      </c>
      <c r="F6761" s="28" t="s">
        <v>216</v>
      </c>
      <c r="G6761" s="28" t="s">
        <v>189</v>
      </c>
      <c r="H6761" s="28" t="s">
        <v>71</v>
      </c>
      <c r="I6761" s="28" t="s">
        <v>21</v>
      </c>
      <c r="J6761" s="28" t="s">
        <v>22522</v>
      </c>
      <c r="K6761" s="28" t="s">
        <v>22523</v>
      </c>
      <c r="L6761" s="28" t="s">
        <v>21573</v>
      </c>
      <c r="M6761" s="28" t="s">
        <v>21</v>
      </c>
      <c r="O6761" s="27">
        <v>45218</v>
      </c>
      <c r="P6761" s="28" t="s">
        <v>21</v>
      </c>
      <c r="Q6761" s="26" t="b">
        <v>0</v>
      </c>
      <c r="R6761" s="22">
        <f>IF(O6761=" ", " ", INT(YEARFRAC(O6761, B6761)*365))</f>
        <v>34</v>
      </c>
      <c r="S6761" s="28" t="s">
        <v>22524</v>
      </c>
    </row>
    <row r="6762" spans="1:19">
      <c r="A6762" s="38">
        <v>12333</v>
      </c>
      <c r="B6762" s="39">
        <v>45184</v>
      </c>
      <c r="C6762" s="40" t="s">
        <v>22525</v>
      </c>
      <c r="D6762" s="39">
        <v>45181</v>
      </c>
      <c r="E6762" s="40" t="s">
        <v>22526</v>
      </c>
      <c r="F6762" s="40" t="s">
        <v>1771</v>
      </c>
      <c r="G6762" s="40" t="s">
        <v>189</v>
      </c>
      <c r="H6762" s="40" t="s">
        <v>189</v>
      </c>
      <c r="I6762" s="40" t="s">
        <v>21</v>
      </c>
      <c r="J6762" s="40" t="s">
        <v>22527</v>
      </c>
      <c r="K6762" s="40" t="s">
        <v>22528</v>
      </c>
      <c r="L6762" s="40" t="s">
        <v>21243</v>
      </c>
      <c r="M6762" s="40" t="s">
        <v>21</v>
      </c>
      <c r="O6762" s="18"/>
      <c r="P6762" s="41" t="s">
        <v>21</v>
      </c>
      <c r="Q6762" s="42" t="b">
        <v>0</v>
      </c>
      <c r="R6762" s="66"/>
      <c r="S6762" s="40" t="s">
        <v>21</v>
      </c>
    </row>
    <row r="6763" spans="1:19">
      <c r="A6763" s="26">
        <v>12334</v>
      </c>
      <c r="B6763" s="27">
        <v>45189</v>
      </c>
      <c r="C6763" s="28" t="s">
        <v>22529</v>
      </c>
      <c r="D6763" s="27">
        <v>45188</v>
      </c>
      <c r="E6763" s="28" t="s">
        <v>22530</v>
      </c>
      <c r="F6763" s="28" t="s">
        <v>70</v>
      </c>
      <c r="G6763" s="28" t="s">
        <v>189</v>
      </c>
      <c r="H6763" s="28" t="s">
        <v>71</v>
      </c>
      <c r="I6763" s="28" t="s">
        <v>21</v>
      </c>
      <c r="J6763" s="28" t="s">
        <v>22531</v>
      </c>
      <c r="K6763" s="28" t="s">
        <v>22532</v>
      </c>
      <c r="L6763" s="28" t="s">
        <v>7167</v>
      </c>
      <c r="M6763" s="28" t="s">
        <v>21</v>
      </c>
      <c r="O6763" s="27">
        <v>45209</v>
      </c>
      <c r="P6763" s="28" t="s">
        <v>21</v>
      </c>
      <c r="Q6763" s="26" t="b">
        <v>1</v>
      </c>
      <c r="R6763" s="22">
        <f>IF(O6763=" ", " ", INT(YEARFRAC(O6763, B6763)*365))</f>
        <v>20</v>
      </c>
      <c r="S6763" s="28" t="s">
        <v>21</v>
      </c>
    </row>
    <row r="6764" spans="1:19">
      <c r="A6764" s="38">
        <v>12335</v>
      </c>
      <c r="B6764" s="39">
        <v>45191</v>
      </c>
      <c r="C6764" s="40" t="s">
        <v>22533</v>
      </c>
      <c r="D6764" s="39">
        <v>45189</v>
      </c>
      <c r="E6764" s="40" t="s">
        <v>22534</v>
      </c>
      <c r="F6764" s="40" t="s">
        <v>149</v>
      </c>
      <c r="G6764" s="40" t="s">
        <v>189</v>
      </c>
      <c r="H6764" s="40" t="s">
        <v>71</v>
      </c>
      <c r="I6764" s="40" t="s">
        <v>21</v>
      </c>
      <c r="J6764" s="40" t="s">
        <v>22535</v>
      </c>
      <c r="K6764" s="40" t="s">
        <v>22536</v>
      </c>
      <c r="L6764" s="40" t="s">
        <v>21142</v>
      </c>
      <c r="M6764" s="40" t="s">
        <v>21</v>
      </c>
      <c r="O6764" s="18"/>
      <c r="P6764" s="41" t="s">
        <v>21</v>
      </c>
      <c r="Q6764" s="42" t="b">
        <v>0</v>
      </c>
      <c r="R6764" s="66"/>
      <c r="S6764" s="40" t="s">
        <v>21</v>
      </c>
    </row>
    <row r="6765" spans="1:19">
      <c r="A6765" s="26">
        <v>12336</v>
      </c>
      <c r="B6765" s="27">
        <v>45191</v>
      </c>
      <c r="C6765" s="28" t="s">
        <v>22537</v>
      </c>
      <c r="D6765" s="27">
        <v>45190</v>
      </c>
      <c r="E6765" s="28" t="s">
        <v>22538</v>
      </c>
      <c r="F6765" s="28" t="s">
        <v>145</v>
      </c>
      <c r="G6765" s="28" t="s">
        <v>189</v>
      </c>
      <c r="H6765" s="28" t="s">
        <v>71</v>
      </c>
      <c r="I6765" s="28" t="s">
        <v>21</v>
      </c>
      <c r="J6765" s="28" t="s">
        <v>22539</v>
      </c>
      <c r="K6765" s="28" t="s">
        <v>22540</v>
      </c>
      <c r="L6765" s="28" t="s">
        <v>4282</v>
      </c>
      <c r="M6765" s="28" t="s">
        <v>21</v>
      </c>
      <c r="N6765" s="18"/>
      <c r="O6765" s="27">
        <v>45257</v>
      </c>
      <c r="P6765" s="28" t="s">
        <v>21</v>
      </c>
      <c r="Q6765" s="26" t="b">
        <v>0</v>
      </c>
      <c r="R6765" s="22">
        <f t="shared" ref="R6765:R6781" si="148">IF(O6765=" ", " ", INT(YEARFRAC(O6765, B6765)*365))</f>
        <v>65</v>
      </c>
      <c r="S6765" s="28" t="s">
        <v>22174</v>
      </c>
    </row>
    <row r="6766" spans="1:19">
      <c r="A6766" s="26">
        <v>12337</v>
      </c>
      <c r="B6766" s="27">
        <v>45191</v>
      </c>
      <c r="C6766" s="28" t="s">
        <v>22541</v>
      </c>
      <c r="D6766" s="27">
        <v>45190</v>
      </c>
      <c r="E6766" s="28" t="s">
        <v>22542</v>
      </c>
      <c r="F6766" s="28" t="s">
        <v>22543</v>
      </c>
      <c r="G6766" s="28" t="s">
        <v>189</v>
      </c>
      <c r="H6766" s="28" t="s">
        <v>71</v>
      </c>
      <c r="I6766" s="28" t="s">
        <v>21</v>
      </c>
      <c r="J6766" s="28" t="s">
        <v>22544</v>
      </c>
      <c r="K6766" s="28" t="s">
        <v>22545</v>
      </c>
      <c r="L6766" s="28" t="s">
        <v>21243</v>
      </c>
      <c r="M6766" s="28" t="s">
        <v>21</v>
      </c>
      <c r="O6766" s="27">
        <v>45259</v>
      </c>
      <c r="P6766" s="28" t="s">
        <v>21</v>
      </c>
      <c r="Q6766" s="26" t="b">
        <v>0</v>
      </c>
      <c r="R6766" s="22">
        <f t="shared" si="148"/>
        <v>67</v>
      </c>
      <c r="S6766" s="28" t="s">
        <v>21</v>
      </c>
    </row>
    <row r="6767" spans="1:19">
      <c r="A6767" s="38">
        <v>12338</v>
      </c>
      <c r="B6767" s="39">
        <v>45191</v>
      </c>
      <c r="C6767" s="40" t="s">
        <v>22546</v>
      </c>
      <c r="D6767" s="39">
        <v>45191</v>
      </c>
      <c r="E6767" s="40" t="s">
        <v>22547</v>
      </c>
      <c r="F6767" s="40" t="s">
        <v>2882</v>
      </c>
      <c r="G6767" s="40" t="s">
        <v>189</v>
      </c>
      <c r="H6767" s="40" t="s">
        <v>566</v>
      </c>
      <c r="I6767" s="40" t="s">
        <v>21</v>
      </c>
      <c r="J6767" s="40" t="s">
        <v>22548</v>
      </c>
      <c r="K6767" s="40" t="s">
        <v>22549</v>
      </c>
      <c r="L6767" s="40" t="s">
        <v>21573</v>
      </c>
      <c r="M6767" s="40" t="s">
        <v>21</v>
      </c>
      <c r="N6767" s="18"/>
      <c r="O6767" s="39">
        <v>45359</v>
      </c>
      <c r="P6767" s="41" t="s">
        <v>21</v>
      </c>
      <c r="Q6767" s="42" t="b">
        <v>0</v>
      </c>
      <c r="R6767" s="22">
        <f t="shared" si="148"/>
        <v>168</v>
      </c>
      <c r="S6767" s="40" t="s">
        <v>21</v>
      </c>
    </row>
    <row r="6768" spans="1:19">
      <c r="A6768" s="26">
        <v>12339</v>
      </c>
      <c r="B6768" s="27">
        <v>45194</v>
      </c>
      <c r="C6768" s="28" t="s">
        <v>22550</v>
      </c>
      <c r="D6768" s="27">
        <v>45190</v>
      </c>
      <c r="E6768" s="28" t="s">
        <v>22551</v>
      </c>
      <c r="F6768" s="28" t="s">
        <v>22552</v>
      </c>
      <c r="G6768" s="28" t="s">
        <v>189</v>
      </c>
      <c r="H6768" s="28" t="s">
        <v>566</v>
      </c>
      <c r="I6768" s="28" t="s">
        <v>21</v>
      </c>
      <c r="J6768" s="28" t="s">
        <v>22553</v>
      </c>
      <c r="K6768" s="28" t="s">
        <v>22545</v>
      </c>
      <c r="L6768" s="28" t="s">
        <v>21142</v>
      </c>
      <c r="M6768" s="28" t="s">
        <v>21</v>
      </c>
      <c r="O6768" s="29">
        <v>45259</v>
      </c>
      <c r="P6768" s="28" t="s">
        <v>21</v>
      </c>
      <c r="Q6768" s="26" t="b">
        <v>0</v>
      </c>
      <c r="R6768" s="22">
        <f t="shared" si="148"/>
        <v>64</v>
      </c>
      <c r="S6768" s="28" t="s">
        <v>21</v>
      </c>
    </row>
    <row r="6769" spans="1:19">
      <c r="A6769" s="38">
        <v>12340</v>
      </c>
      <c r="B6769" s="39">
        <v>45194</v>
      </c>
      <c r="C6769" s="40" t="s">
        <v>22554</v>
      </c>
      <c r="D6769" s="39">
        <v>45191</v>
      </c>
      <c r="E6769" s="40" t="s">
        <v>22555</v>
      </c>
      <c r="F6769" s="40" t="s">
        <v>2882</v>
      </c>
      <c r="G6769" s="40" t="s">
        <v>189</v>
      </c>
      <c r="H6769" s="40" t="s">
        <v>566</v>
      </c>
      <c r="I6769" s="40" t="s">
        <v>21</v>
      </c>
      <c r="J6769" s="40" t="s">
        <v>22556</v>
      </c>
      <c r="K6769" s="40" t="s">
        <v>22557</v>
      </c>
      <c r="L6769" s="40" t="s">
        <v>21142</v>
      </c>
      <c r="M6769" s="40" t="s">
        <v>21</v>
      </c>
      <c r="O6769" s="45">
        <v>45308</v>
      </c>
      <c r="P6769" s="41" t="s">
        <v>21</v>
      </c>
      <c r="Q6769" s="42" t="b">
        <v>0</v>
      </c>
      <c r="R6769" s="22">
        <f t="shared" si="148"/>
        <v>113</v>
      </c>
      <c r="S6769" s="40" t="s">
        <v>21</v>
      </c>
    </row>
    <row r="6770" spans="1:19">
      <c r="A6770" s="38">
        <v>12341</v>
      </c>
      <c r="B6770" s="39">
        <v>45194</v>
      </c>
      <c r="C6770" s="40" t="s">
        <v>22558</v>
      </c>
      <c r="D6770" s="39">
        <v>45191</v>
      </c>
      <c r="E6770" s="40" t="s">
        <v>22559</v>
      </c>
      <c r="F6770" s="40" t="s">
        <v>20707</v>
      </c>
      <c r="G6770" s="40" t="s">
        <v>189</v>
      </c>
      <c r="H6770" s="40" t="s">
        <v>566</v>
      </c>
      <c r="I6770" s="40" t="s">
        <v>21</v>
      </c>
      <c r="J6770" s="40" t="s">
        <v>22556</v>
      </c>
      <c r="K6770" s="40" t="s">
        <v>22557</v>
      </c>
      <c r="L6770" s="40" t="s">
        <v>21142</v>
      </c>
      <c r="M6770" s="40" t="s">
        <v>21</v>
      </c>
      <c r="O6770" s="45">
        <v>45364</v>
      </c>
      <c r="P6770" s="41" t="s">
        <v>21</v>
      </c>
      <c r="Q6770" s="42" t="b">
        <v>0</v>
      </c>
      <c r="R6770" s="22">
        <f t="shared" si="148"/>
        <v>170</v>
      </c>
      <c r="S6770" s="40" t="s">
        <v>21</v>
      </c>
    </row>
    <row r="6771" spans="1:19">
      <c r="A6771" s="26">
        <v>12342</v>
      </c>
      <c r="B6771" s="27">
        <v>45195</v>
      </c>
      <c r="C6771" s="28" t="s">
        <v>22560</v>
      </c>
      <c r="D6771" s="27">
        <v>45194</v>
      </c>
      <c r="E6771" s="28" t="s">
        <v>22561</v>
      </c>
      <c r="F6771" s="28" t="s">
        <v>1771</v>
      </c>
      <c r="G6771" s="28" t="s">
        <v>189</v>
      </c>
      <c r="H6771" s="28" t="s">
        <v>189</v>
      </c>
      <c r="I6771" s="28" t="s">
        <v>21</v>
      </c>
      <c r="J6771" s="28" t="s">
        <v>22562</v>
      </c>
      <c r="K6771" s="28" t="s">
        <v>22563</v>
      </c>
      <c r="L6771" s="28" t="s">
        <v>21243</v>
      </c>
      <c r="M6771" s="28" t="s">
        <v>21</v>
      </c>
      <c r="O6771" s="29">
        <v>45216</v>
      </c>
      <c r="P6771" s="28" t="s">
        <v>21</v>
      </c>
      <c r="Q6771" s="26" t="b">
        <v>0</v>
      </c>
      <c r="R6771" s="22">
        <f t="shared" si="148"/>
        <v>21</v>
      </c>
      <c r="S6771" s="28" t="s">
        <v>21</v>
      </c>
    </row>
    <row r="6772" spans="1:19">
      <c r="A6772" s="26">
        <v>12343</v>
      </c>
      <c r="B6772" s="27">
        <v>45195</v>
      </c>
      <c r="C6772" s="28" t="s">
        <v>22564</v>
      </c>
      <c r="D6772" s="27">
        <v>45194</v>
      </c>
      <c r="E6772" s="28" t="s">
        <v>22565</v>
      </c>
      <c r="F6772" s="28" t="s">
        <v>124</v>
      </c>
      <c r="G6772" s="28" t="s">
        <v>189</v>
      </c>
      <c r="H6772" s="28" t="s">
        <v>71</v>
      </c>
      <c r="I6772" s="28" t="s">
        <v>21</v>
      </c>
      <c r="J6772" s="28" t="s">
        <v>332</v>
      </c>
      <c r="K6772" s="28" t="s">
        <v>22566</v>
      </c>
      <c r="L6772" s="28" t="s">
        <v>21573</v>
      </c>
      <c r="M6772" s="28" t="s">
        <v>21</v>
      </c>
      <c r="O6772" s="29">
        <v>45231</v>
      </c>
      <c r="P6772" s="28" t="s">
        <v>21</v>
      </c>
      <c r="Q6772" s="26" t="b">
        <v>0</v>
      </c>
      <c r="R6772" s="22">
        <f t="shared" si="148"/>
        <v>35</v>
      </c>
      <c r="S6772" s="28" t="s">
        <v>21</v>
      </c>
    </row>
    <row r="6773" spans="1:19">
      <c r="A6773" s="26">
        <v>12344</v>
      </c>
      <c r="B6773" s="27">
        <v>45195</v>
      </c>
      <c r="C6773" s="28" t="s">
        <v>22567</v>
      </c>
      <c r="D6773" s="27">
        <v>45195</v>
      </c>
      <c r="E6773" s="28" t="s">
        <v>22568</v>
      </c>
      <c r="F6773" s="28" t="s">
        <v>22552</v>
      </c>
      <c r="G6773" s="28" t="s">
        <v>189</v>
      </c>
      <c r="H6773" s="28" t="s">
        <v>566</v>
      </c>
      <c r="I6773" s="28" t="s">
        <v>21</v>
      </c>
      <c r="J6773" s="28" t="s">
        <v>22569</v>
      </c>
      <c r="K6773" s="28" t="s">
        <v>22570</v>
      </c>
      <c r="L6773" s="28" t="s">
        <v>21573</v>
      </c>
      <c r="M6773" s="28" t="s">
        <v>21</v>
      </c>
      <c r="O6773" s="29">
        <v>45259</v>
      </c>
      <c r="P6773" s="28" t="s">
        <v>21</v>
      </c>
      <c r="Q6773" s="26" t="b">
        <v>0</v>
      </c>
      <c r="R6773" s="22">
        <f t="shared" si="148"/>
        <v>63</v>
      </c>
      <c r="S6773" s="28" t="s">
        <v>21</v>
      </c>
    </row>
    <row r="6774" spans="1:19">
      <c r="A6774" s="38">
        <v>12345</v>
      </c>
      <c r="B6774" s="39">
        <v>45196</v>
      </c>
      <c r="C6774" s="40" t="s">
        <v>22571</v>
      </c>
      <c r="D6774" s="39">
        <v>45195</v>
      </c>
      <c r="E6774" s="40" t="s">
        <v>22572</v>
      </c>
      <c r="F6774" s="40" t="s">
        <v>27</v>
      </c>
      <c r="G6774" s="40" t="s">
        <v>189</v>
      </c>
      <c r="H6774" s="40" t="s">
        <v>71</v>
      </c>
      <c r="I6774" s="40" t="s">
        <v>21</v>
      </c>
      <c r="J6774" s="40" t="s">
        <v>22573</v>
      </c>
      <c r="K6774" s="40" t="s">
        <v>22574</v>
      </c>
      <c r="L6774" s="40" t="s">
        <v>21243</v>
      </c>
      <c r="M6774" s="40" t="s">
        <v>21</v>
      </c>
      <c r="O6774" s="45">
        <v>45301</v>
      </c>
      <c r="P6774" s="41" t="s">
        <v>21</v>
      </c>
      <c r="Q6774" s="42" t="b">
        <v>0</v>
      </c>
      <c r="R6774" s="22">
        <f t="shared" si="148"/>
        <v>104</v>
      </c>
      <c r="S6774" s="40" t="s">
        <v>21</v>
      </c>
    </row>
    <row r="6775" spans="1:19">
      <c r="A6775" s="26">
        <v>12346</v>
      </c>
      <c r="B6775" s="27">
        <v>45197</v>
      </c>
      <c r="C6775" s="28" t="s">
        <v>22575</v>
      </c>
      <c r="D6775" s="27">
        <v>45197</v>
      </c>
      <c r="E6775" s="28" t="s">
        <v>22576</v>
      </c>
      <c r="F6775" s="28" t="s">
        <v>56</v>
      </c>
      <c r="G6775" s="28" t="s">
        <v>189</v>
      </c>
      <c r="H6775" s="28" t="s">
        <v>71</v>
      </c>
      <c r="I6775" s="28" t="s">
        <v>21</v>
      </c>
      <c r="J6775" s="28" t="s">
        <v>22577</v>
      </c>
      <c r="K6775" s="28" t="s">
        <v>22578</v>
      </c>
      <c r="L6775" s="28" t="s">
        <v>21573</v>
      </c>
      <c r="M6775" s="28" t="s">
        <v>21</v>
      </c>
      <c r="O6775" s="29">
        <v>45230</v>
      </c>
      <c r="P6775" s="28" t="s">
        <v>21</v>
      </c>
      <c r="Q6775" s="26" t="b">
        <v>0</v>
      </c>
      <c r="R6775" s="22">
        <f t="shared" si="148"/>
        <v>33</v>
      </c>
      <c r="S6775" s="28" t="s">
        <v>21</v>
      </c>
    </row>
    <row r="6776" spans="1:19">
      <c r="A6776" s="26">
        <v>12347</v>
      </c>
      <c r="B6776" s="27">
        <v>45198</v>
      </c>
      <c r="C6776" s="28" t="s">
        <v>22579</v>
      </c>
      <c r="D6776" s="27">
        <v>45197</v>
      </c>
      <c r="E6776" s="28" t="s">
        <v>22580</v>
      </c>
      <c r="F6776" s="28" t="s">
        <v>22543</v>
      </c>
      <c r="G6776" s="28" t="s">
        <v>189</v>
      </c>
      <c r="H6776" s="28" t="s">
        <v>71</v>
      </c>
      <c r="I6776" s="28" t="s">
        <v>21</v>
      </c>
      <c r="J6776" s="28" t="s">
        <v>22581</v>
      </c>
      <c r="K6776" s="28" t="s">
        <v>22582</v>
      </c>
      <c r="L6776" s="28" t="s">
        <v>21243</v>
      </c>
      <c r="M6776" s="28" t="s">
        <v>21</v>
      </c>
      <c r="O6776" s="29">
        <v>45225</v>
      </c>
      <c r="P6776" s="28" t="s">
        <v>21</v>
      </c>
      <c r="Q6776" s="26" t="b">
        <v>0</v>
      </c>
      <c r="R6776" s="22">
        <f t="shared" si="148"/>
        <v>27</v>
      </c>
      <c r="S6776" s="28" t="s">
        <v>21</v>
      </c>
    </row>
    <row r="6777" spans="1:19">
      <c r="A6777" s="26">
        <v>12348</v>
      </c>
      <c r="B6777" s="27">
        <v>45198</v>
      </c>
      <c r="C6777" s="28" t="s">
        <v>22583</v>
      </c>
      <c r="D6777" s="27">
        <v>45198</v>
      </c>
      <c r="E6777" s="28" t="s">
        <v>22584</v>
      </c>
      <c r="F6777" s="28" t="s">
        <v>70</v>
      </c>
      <c r="G6777" s="28" t="s">
        <v>189</v>
      </c>
      <c r="H6777" s="28" t="s">
        <v>71</v>
      </c>
      <c r="I6777" s="28" t="s">
        <v>21</v>
      </c>
      <c r="J6777" s="28" t="s">
        <v>22585</v>
      </c>
      <c r="K6777" s="28" t="s">
        <v>22586</v>
      </c>
      <c r="L6777" s="28" t="s">
        <v>21243</v>
      </c>
      <c r="M6777" s="28" t="s">
        <v>21</v>
      </c>
      <c r="O6777" s="29">
        <v>45258</v>
      </c>
      <c r="P6777" s="28" t="s">
        <v>21</v>
      </c>
      <c r="Q6777" s="26" t="b">
        <v>0</v>
      </c>
      <c r="R6777" s="22">
        <f t="shared" si="148"/>
        <v>59</v>
      </c>
      <c r="S6777" s="28" t="s">
        <v>22174</v>
      </c>
    </row>
    <row r="6778" spans="1:19">
      <c r="A6778" s="26">
        <v>12349</v>
      </c>
      <c r="B6778" s="27">
        <v>45198</v>
      </c>
      <c r="C6778" s="28" t="s">
        <v>22587</v>
      </c>
      <c r="D6778" s="27">
        <v>45197</v>
      </c>
      <c r="E6778" s="28" t="s">
        <v>22588</v>
      </c>
      <c r="F6778" s="28" t="s">
        <v>2882</v>
      </c>
      <c r="G6778" s="28" t="s">
        <v>189</v>
      </c>
      <c r="H6778" s="28" t="s">
        <v>566</v>
      </c>
      <c r="I6778" s="28" t="s">
        <v>21</v>
      </c>
      <c r="J6778" s="28" t="s">
        <v>22589</v>
      </c>
      <c r="K6778" s="28" t="s">
        <v>12498</v>
      </c>
      <c r="L6778" s="28" t="s">
        <v>21142</v>
      </c>
      <c r="M6778" s="28" t="s">
        <v>21</v>
      </c>
      <c r="O6778" s="29">
        <v>45230</v>
      </c>
      <c r="P6778" s="28" t="s">
        <v>21</v>
      </c>
      <c r="Q6778" s="26" t="b">
        <v>0</v>
      </c>
      <c r="R6778" s="22">
        <f t="shared" si="148"/>
        <v>32</v>
      </c>
      <c r="S6778" s="28" t="s">
        <v>21</v>
      </c>
    </row>
    <row r="6779" spans="1:19">
      <c r="A6779" s="26">
        <v>12350</v>
      </c>
      <c r="B6779" s="27">
        <v>45198</v>
      </c>
      <c r="C6779" s="28" t="s">
        <v>22590</v>
      </c>
      <c r="D6779" s="27">
        <v>45197</v>
      </c>
      <c r="E6779" s="28" t="s">
        <v>22591</v>
      </c>
      <c r="F6779" s="28" t="s">
        <v>22552</v>
      </c>
      <c r="G6779" s="28" t="s">
        <v>189</v>
      </c>
      <c r="H6779" s="28" t="s">
        <v>566</v>
      </c>
      <c r="I6779" s="28" t="s">
        <v>21</v>
      </c>
      <c r="J6779" s="28" t="s">
        <v>22592</v>
      </c>
      <c r="K6779" s="28" t="s">
        <v>22581</v>
      </c>
      <c r="L6779" s="28" t="s">
        <v>21142</v>
      </c>
      <c r="M6779" s="28" t="s">
        <v>21</v>
      </c>
      <c r="O6779" s="29">
        <v>45230</v>
      </c>
      <c r="P6779" s="28" t="s">
        <v>21</v>
      </c>
      <c r="Q6779" s="26" t="b">
        <v>0</v>
      </c>
      <c r="R6779" s="22">
        <f t="shared" si="148"/>
        <v>32</v>
      </c>
      <c r="S6779" s="28" t="s">
        <v>21</v>
      </c>
    </row>
    <row r="6780" spans="1:19">
      <c r="A6780" s="26">
        <v>12351</v>
      </c>
      <c r="B6780" s="27">
        <v>45203</v>
      </c>
      <c r="C6780" s="28" t="s">
        <v>22593</v>
      </c>
      <c r="D6780" s="27">
        <v>45203</v>
      </c>
      <c r="E6780" s="28" t="s">
        <v>1928</v>
      </c>
      <c r="F6780" s="28" t="s">
        <v>1743</v>
      </c>
      <c r="G6780" s="28" t="s">
        <v>189</v>
      </c>
      <c r="H6780" s="28" t="s">
        <v>71</v>
      </c>
      <c r="I6780" s="28" t="s">
        <v>21</v>
      </c>
      <c r="J6780" s="28" t="s">
        <v>22594</v>
      </c>
      <c r="K6780" s="28" t="s">
        <v>22595</v>
      </c>
      <c r="L6780" s="28" t="s">
        <v>7167</v>
      </c>
      <c r="M6780" s="28" t="s">
        <v>21</v>
      </c>
      <c r="N6780" s="29">
        <v>45217</v>
      </c>
      <c r="O6780" s="29">
        <v>45216</v>
      </c>
      <c r="P6780" s="28" t="s">
        <v>21</v>
      </c>
      <c r="Q6780" s="26" t="b">
        <v>0</v>
      </c>
      <c r="R6780" s="22">
        <f t="shared" si="148"/>
        <v>13</v>
      </c>
      <c r="S6780" s="28" t="s">
        <v>21</v>
      </c>
    </row>
    <row r="6781" spans="1:19">
      <c r="A6781" s="26">
        <v>12352</v>
      </c>
      <c r="B6781" s="27">
        <v>45204</v>
      </c>
      <c r="C6781" s="28" t="s">
        <v>22596</v>
      </c>
      <c r="D6781" s="27">
        <v>45204</v>
      </c>
      <c r="E6781" s="28" t="s">
        <v>22597</v>
      </c>
      <c r="F6781" s="28" t="s">
        <v>22598</v>
      </c>
      <c r="G6781" s="28" t="s">
        <v>189</v>
      </c>
      <c r="H6781" s="28" t="s">
        <v>71</v>
      </c>
      <c r="I6781" s="28" t="s">
        <v>21</v>
      </c>
      <c r="J6781" s="28" t="s">
        <v>22599</v>
      </c>
      <c r="K6781" s="28" t="s">
        <v>22600</v>
      </c>
      <c r="L6781" s="28" t="s">
        <v>21243</v>
      </c>
      <c r="M6781" s="28" t="s">
        <v>21</v>
      </c>
      <c r="O6781" s="29">
        <v>45233</v>
      </c>
      <c r="P6781" s="28" t="s">
        <v>21</v>
      </c>
      <c r="Q6781" s="26" t="b">
        <v>0</v>
      </c>
      <c r="R6781" s="22">
        <f t="shared" si="148"/>
        <v>28</v>
      </c>
      <c r="S6781" s="28" t="s">
        <v>21</v>
      </c>
    </row>
    <row r="6782" spans="1:19">
      <c r="A6782" s="38">
        <v>12353</v>
      </c>
      <c r="B6782" s="39">
        <v>45216</v>
      </c>
      <c r="C6782" s="40" t="s">
        <v>22601</v>
      </c>
      <c r="D6782" s="39">
        <v>45212</v>
      </c>
      <c r="E6782" s="40" t="s">
        <v>22602</v>
      </c>
      <c r="F6782" s="40" t="s">
        <v>27</v>
      </c>
      <c r="G6782" s="40" t="s">
        <v>189</v>
      </c>
      <c r="H6782" s="40" t="s">
        <v>71</v>
      </c>
      <c r="I6782" s="40" t="s">
        <v>21</v>
      </c>
      <c r="J6782" s="40" t="s">
        <v>22603</v>
      </c>
      <c r="K6782" s="40" t="s">
        <v>22604</v>
      </c>
      <c r="L6782" s="40" t="s">
        <v>21142</v>
      </c>
      <c r="M6782" s="40" t="s">
        <v>21</v>
      </c>
      <c r="P6782" s="41" t="s">
        <v>21</v>
      </c>
      <c r="Q6782" s="42" t="b">
        <v>0</v>
      </c>
      <c r="R6782" s="66"/>
      <c r="S6782" s="40" t="s">
        <v>21</v>
      </c>
    </row>
    <row r="6783" spans="1:19">
      <c r="A6783" s="26">
        <v>12354</v>
      </c>
      <c r="B6783" s="27">
        <v>45218</v>
      </c>
      <c r="C6783" s="28" t="s">
        <v>22605</v>
      </c>
      <c r="D6783" s="27">
        <v>45217</v>
      </c>
      <c r="E6783" s="28" t="s">
        <v>38</v>
      </c>
      <c r="F6783" s="28" t="s">
        <v>149</v>
      </c>
      <c r="G6783" s="28" t="s">
        <v>189</v>
      </c>
      <c r="H6783" s="28" t="s">
        <v>71</v>
      </c>
      <c r="I6783" s="28" t="s">
        <v>21</v>
      </c>
      <c r="J6783" s="28" t="s">
        <v>10164</v>
      </c>
      <c r="K6783" s="28" t="s">
        <v>6025</v>
      </c>
      <c r="L6783" s="28" t="s">
        <v>21573</v>
      </c>
      <c r="M6783" s="28" t="s">
        <v>21</v>
      </c>
      <c r="O6783" s="29">
        <v>45223</v>
      </c>
      <c r="P6783" s="28" t="s">
        <v>21</v>
      </c>
      <c r="Q6783" s="26" t="b">
        <v>0</v>
      </c>
      <c r="R6783" s="22">
        <f t="shared" ref="R6783:R6793" si="149">IF(O6783=" ", " ", INT(YEARFRAC(O6783, B6783)*365))</f>
        <v>5</v>
      </c>
      <c r="S6783" s="28" t="s">
        <v>21</v>
      </c>
    </row>
    <row r="6784" spans="1:19">
      <c r="A6784" s="26">
        <v>12355</v>
      </c>
      <c r="B6784" s="27">
        <v>45218</v>
      </c>
      <c r="C6784" s="28" t="s">
        <v>22606</v>
      </c>
      <c r="D6784" s="27">
        <v>45218</v>
      </c>
      <c r="E6784" s="28" t="s">
        <v>38</v>
      </c>
      <c r="F6784" s="28" t="s">
        <v>22607</v>
      </c>
      <c r="G6784" s="28" t="s">
        <v>189</v>
      </c>
      <c r="H6784" s="28" t="s">
        <v>71</v>
      </c>
      <c r="I6784" s="28" t="s">
        <v>21</v>
      </c>
      <c r="J6784" s="28" t="s">
        <v>22608</v>
      </c>
      <c r="K6784" s="28" t="s">
        <v>6025</v>
      </c>
      <c r="L6784" s="28" t="s">
        <v>21243</v>
      </c>
      <c r="M6784" s="28" t="s">
        <v>21</v>
      </c>
      <c r="O6784" s="29">
        <v>45219</v>
      </c>
      <c r="P6784" s="28" t="s">
        <v>21</v>
      </c>
      <c r="Q6784" s="26" t="b">
        <v>0</v>
      </c>
      <c r="R6784" s="22">
        <f t="shared" si="149"/>
        <v>1</v>
      </c>
      <c r="S6784" s="28" t="s">
        <v>21</v>
      </c>
    </row>
    <row r="6785" spans="1:19">
      <c r="A6785" s="26">
        <v>12356</v>
      </c>
      <c r="B6785" s="27">
        <v>45218</v>
      </c>
      <c r="C6785" s="28" t="s">
        <v>22609</v>
      </c>
      <c r="D6785" s="27">
        <v>45217</v>
      </c>
      <c r="E6785" s="28" t="s">
        <v>22610</v>
      </c>
      <c r="F6785" s="28" t="s">
        <v>2882</v>
      </c>
      <c r="G6785" s="28" t="s">
        <v>189</v>
      </c>
      <c r="H6785" s="28" t="s">
        <v>566</v>
      </c>
      <c r="I6785" s="28" t="s">
        <v>21</v>
      </c>
      <c r="J6785" s="28" t="s">
        <v>22611</v>
      </c>
      <c r="K6785" s="28" t="s">
        <v>22612</v>
      </c>
      <c r="L6785" s="28" t="s">
        <v>21142</v>
      </c>
      <c r="M6785" s="28" t="s">
        <v>21</v>
      </c>
      <c r="O6785" s="29">
        <v>45222</v>
      </c>
      <c r="P6785" s="28" t="s">
        <v>21</v>
      </c>
      <c r="Q6785" s="26" t="b">
        <v>0</v>
      </c>
      <c r="R6785" s="22">
        <f t="shared" si="149"/>
        <v>4</v>
      </c>
      <c r="S6785" s="28" t="s">
        <v>21</v>
      </c>
    </row>
    <row r="6786" spans="1:19">
      <c r="A6786" s="38">
        <v>12357</v>
      </c>
      <c r="B6786" s="39">
        <v>45218</v>
      </c>
      <c r="C6786" s="40" t="s">
        <v>22613</v>
      </c>
      <c r="D6786" s="39">
        <v>45217</v>
      </c>
      <c r="E6786" s="40" t="s">
        <v>22614</v>
      </c>
      <c r="F6786" s="40" t="s">
        <v>20707</v>
      </c>
      <c r="G6786" s="40" t="s">
        <v>189</v>
      </c>
      <c r="H6786" s="40" t="s">
        <v>566</v>
      </c>
      <c r="I6786" s="40" t="s">
        <v>21</v>
      </c>
      <c r="J6786" s="40" t="s">
        <v>22611</v>
      </c>
      <c r="K6786" s="40" t="s">
        <v>22612</v>
      </c>
      <c r="L6786" s="40" t="s">
        <v>21142</v>
      </c>
      <c r="M6786" s="40" t="s">
        <v>21</v>
      </c>
      <c r="O6786" s="45">
        <v>45364</v>
      </c>
      <c r="P6786" s="41" t="s">
        <v>21</v>
      </c>
      <c r="Q6786" s="42" t="b">
        <v>0</v>
      </c>
      <c r="R6786" s="22">
        <f t="shared" si="149"/>
        <v>146</v>
      </c>
      <c r="S6786" s="40" t="s">
        <v>21</v>
      </c>
    </row>
    <row r="6787" spans="1:19">
      <c r="A6787" s="26">
        <v>12358</v>
      </c>
      <c r="B6787" s="27">
        <v>45218</v>
      </c>
      <c r="C6787" s="28" t="s">
        <v>22615</v>
      </c>
      <c r="D6787" s="27">
        <v>45217</v>
      </c>
      <c r="E6787" s="28" t="s">
        <v>22616</v>
      </c>
      <c r="F6787" s="28" t="s">
        <v>22552</v>
      </c>
      <c r="G6787" s="28" t="s">
        <v>189</v>
      </c>
      <c r="H6787" s="28" t="s">
        <v>566</v>
      </c>
      <c r="I6787" s="28" t="s">
        <v>21</v>
      </c>
      <c r="J6787" s="28" t="s">
        <v>22611</v>
      </c>
      <c r="K6787" s="28" t="s">
        <v>22617</v>
      </c>
      <c r="L6787" s="28" t="s">
        <v>21142</v>
      </c>
      <c r="M6787" s="28" t="s">
        <v>21</v>
      </c>
      <c r="O6787" s="29">
        <v>45265</v>
      </c>
      <c r="P6787" s="28" t="s">
        <v>21</v>
      </c>
      <c r="Q6787" s="26" t="b">
        <v>0</v>
      </c>
      <c r="R6787" s="22">
        <f t="shared" si="149"/>
        <v>46</v>
      </c>
      <c r="S6787" s="28" t="s">
        <v>21</v>
      </c>
    </row>
    <row r="6788" spans="1:19">
      <c r="A6788" s="26">
        <v>12359</v>
      </c>
      <c r="B6788" s="27">
        <v>45224</v>
      </c>
      <c r="C6788" s="28" t="s">
        <v>22618</v>
      </c>
      <c r="D6788" s="27">
        <v>45224</v>
      </c>
      <c r="E6788" s="28" t="s">
        <v>1928</v>
      </c>
      <c r="F6788" s="28" t="s">
        <v>1743</v>
      </c>
      <c r="G6788" s="28" t="s">
        <v>189</v>
      </c>
      <c r="H6788" s="28" t="s">
        <v>71</v>
      </c>
      <c r="I6788" s="28" t="s">
        <v>21</v>
      </c>
      <c r="J6788" s="28" t="s">
        <v>22619</v>
      </c>
      <c r="K6788" s="28" t="s">
        <v>22620</v>
      </c>
      <c r="L6788" s="28" t="s">
        <v>21573</v>
      </c>
      <c r="M6788" s="28" t="s">
        <v>21</v>
      </c>
      <c r="N6788" s="29">
        <v>45238</v>
      </c>
      <c r="O6788" s="29">
        <v>45237</v>
      </c>
      <c r="P6788" s="28" t="s">
        <v>21</v>
      </c>
      <c r="Q6788" s="26" t="b">
        <v>0</v>
      </c>
      <c r="R6788" s="22">
        <f t="shared" si="149"/>
        <v>12</v>
      </c>
      <c r="S6788" s="28" t="s">
        <v>21</v>
      </c>
    </row>
    <row r="6789" spans="1:19">
      <c r="A6789" s="26">
        <v>12360</v>
      </c>
      <c r="B6789" s="27">
        <v>45225</v>
      </c>
      <c r="C6789" s="28" t="s">
        <v>22621</v>
      </c>
      <c r="D6789" s="27">
        <v>45223</v>
      </c>
      <c r="E6789" s="28" t="s">
        <v>38</v>
      </c>
      <c r="F6789" s="28" t="s">
        <v>124</v>
      </c>
      <c r="G6789" s="28" t="s">
        <v>189</v>
      </c>
      <c r="H6789" s="28" t="s">
        <v>71</v>
      </c>
      <c r="I6789" s="28" t="s">
        <v>21</v>
      </c>
      <c r="J6789" s="28" t="s">
        <v>22622</v>
      </c>
      <c r="K6789" s="28" t="s">
        <v>22623</v>
      </c>
      <c r="L6789" s="28" t="s">
        <v>4282</v>
      </c>
      <c r="M6789" s="28" t="s">
        <v>21</v>
      </c>
      <c r="O6789" s="29">
        <v>45229</v>
      </c>
      <c r="P6789" s="28" t="s">
        <v>21</v>
      </c>
      <c r="Q6789" s="26" t="b">
        <v>0</v>
      </c>
      <c r="R6789" s="22">
        <f t="shared" si="149"/>
        <v>4</v>
      </c>
      <c r="S6789" s="28" t="s">
        <v>21</v>
      </c>
    </row>
    <row r="6790" spans="1:19">
      <c r="A6790" s="26">
        <v>12361</v>
      </c>
      <c r="B6790" s="27">
        <v>45229</v>
      </c>
      <c r="C6790" s="28" t="s">
        <v>22624</v>
      </c>
      <c r="D6790" s="27">
        <v>45229</v>
      </c>
      <c r="E6790" s="28" t="s">
        <v>22625</v>
      </c>
      <c r="F6790" s="28" t="s">
        <v>3615</v>
      </c>
      <c r="G6790" s="28" t="s">
        <v>189</v>
      </c>
      <c r="H6790" s="28" t="s">
        <v>189</v>
      </c>
      <c r="I6790" s="28" t="s">
        <v>21</v>
      </c>
      <c r="J6790" s="28" t="s">
        <v>22626</v>
      </c>
      <c r="K6790" s="28" t="s">
        <v>13842</v>
      </c>
      <c r="L6790" s="28" t="s">
        <v>21573</v>
      </c>
      <c r="M6790" s="28" t="s">
        <v>21</v>
      </c>
      <c r="O6790" s="29">
        <v>45272</v>
      </c>
      <c r="P6790" s="28" t="s">
        <v>21</v>
      </c>
      <c r="Q6790" s="26" t="b">
        <v>0</v>
      </c>
      <c r="R6790" s="22">
        <f t="shared" si="149"/>
        <v>42</v>
      </c>
      <c r="S6790" s="28" t="s">
        <v>21</v>
      </c>
    </row>
    <row r="6791" spans="1:19">
      <c r="A6791" s="26">
        <v>12362</v>
      </c>
      <c r="B6791" s="27">
        <v>45229</v>
      </c>
      <c r="C6791" s="28" t="s">
        <v>22627</v>
      </c>
      <c r="D6791" s="27">
        <v>45229</v>
      </c>
      <c r="E6791" s="28" t="s">
        <v>22628</v>
      </c>
      <c r="F6791" s="28" t="s">
        <v>242</v>
      </c>
      <c r="G6791" s="28" t="s">
        <v>189</v>
      </c>
      <c r="H6791" s="28" t="s">
        <v>71</v>
      </c>
      <c r="I6791" s="28" t="s">
        <v>21</v>
      </c>
      <c r="J6791" s="28" t="s">
        <v>22629</v>
      </c>
      <c r="K6791" s="28" t="s">
        <v>22630</v>
      </c>
      <c r="L6791" s="28" t="s">
        <v>21573</v>
      </c>
      <c r="M6791" s="28" t="s">
        <v>21</v>
      </c>
      <c r="O6791" s="29">
        <v>45239</v>
      </c>
      <c r="P6791" s="28" t="s">
        <v>21</v>
      </c>
      <c r="Q6791" s="26" t="b">
        <v>0</v>
      </c>
      <c r="R6791" s="22">
        <f t="shared" si="149"/>
        <v>9</v>
      </c>
      <c r="S6791" s="28" t="s">
        <v>21</v>
      </c>
    </row>
    <row r="6792" spans="1:19">
      <c r="A6792" s="38">
        <v>12363</v>
      </c>
      <c r="B6792" s="39">
        <v>45229</v>
      </c>
      <c r="C6792" s="40" t="s">
        <v>22631</v>
      </c>
      <c r="D6792" s="39">
        <v>45229</v>
      </c>
      <c r="E6792" s="40" t="s">
        <v>22632</v>
      </c>
      <c r="F6792" s="40" t="s">
        <v>22552</v>
      </c>
      <c r="G6792" s="40" t="s">
        <v>189</v>
      </c>
      <c r="H6792" s="40" t="s">
        <v>566</v>
      </c>
      <c r="I6792" s="40" t="s">
        <v>21</v>
      </c>
      <c r="J6792" s="40" t="s">
        <v>22633</v>
      </c>
      <c r="K6792" s="40" t="s">
        <v>22634</v>
      </c>
      <c r="L6792" s="40" t="s">
        <v>21142</v>
      </c>
      <c r="M6792" s="40" t="s">
        <v>21</v>
      </c>
      <c r="O6792" s="45">
        <v>45386</v>
      </c>
      <c r="P6792" s="41" t="s">
        <v>21</v>
      </c>
      <c r="Q6792" s="42" t="b">
        <v>0</v>
      </c>
      <c r="R6792" s="22">
        <f t="shared" si="149"/>
        <v>156</v>
      </c>
      <c r="S6792" s="40" t="s">
        <v>21</v>
      </c>
    </row>
    <row r="6793" spans="1:19">
      <c r="A6793" s="26">
        <v>12364</v>
      </c>
      <c r="B6793" s="27">
        <v>45229</v>
      </c>
      <c r="C6793" s="28" t="s">
        <v>22635</v>
      </c>
      <c r="D6793" s="27">
        <v>45229</v>
      </c>
      <c r="E6793" s="28" t="s">
        <v>1928</v>
      </c>
      <c r="F6793" s="28" t="s">
        <v>1743</v>
      </c>
      <c r="G6793" s="28" t="s">
        <v>189</v>
      </c>
      <c r="H6793" s="28" t="s">
        <v>71</v>
      </c>
      <c r="I6793" s="28" t="s">
        <v>21</v>
      </c>
      <c r="J6793" s="28" t="s">
        <v>22636</v>
      </c>
      <c r="K6793" s="28" t="s">
        <v>22637</v>
      </c>
      <c r="L6793" s="28" t="s">
        <v>21142</v>
      </c>
      <c r="M6793" s="28" t="s">
        <v>21</v>
      </c>
      <c r="N6793" s="29">
        <v>45244</v>
      </c>
      <c r="O6793" s="29">
        <v>45237</v>
      </c>
      <c r="P6793" s="28" t="s">
        <v>21</v>
      </c>
      <c r="Q6793" s="26" t="b">
        <v>0</v>
      </c>
      <c r="R6793" s="22">
        <f t="shared" si="149"/>
        <v>7</v>
      </c>
      <c r="S6793" s="28" t="s">
        <v>21</v>
      </c>
    </row>
    <row r="6794" spans="1:19">
      <c r="A6794" s="38">
        <v>12365</v>
      </c>
      <c r="B6794" s="39">
        <v>45229</v>
      </c>
      <c r="C6794" s="40" t="s">
        <v>22638</v>
      </c>
      <c r="D6794" s="39">
        <v>45229</v>
      </c>
      <c r="E6794" s="40" t="s">
        <v>22639</v>
      </c>
      <c r="F6794" s="40" t="s">
        <v>145</v>
      </c>
      <c r="G6794" s="40" t="s">
        <v>189</v>
      </c>
      <c r="H6794" s="40" t="s">
        <v>71</v>
      </c>
      <c r="I6794" s="40" t="s">
        <v>21</v>
      </c>
      <c r="J6794" s="40" t="s">
        <v>22640</v>
      </c>
      <c r="K6794" s="40" t="s">
        <v>22641</v>
      </c>
      <c r="L6794" s="40" t="s">
        <v>4282</v>
      </c>
      <c r="M6794" s="40" t="s">
        <v>21</v>
      </c>
      <c r="P6794" s="41" t="s">
        <v>21</v>
      </c>
      <c r="Q6794" s="42" t="b">
        <v>0</v>
      </c>
      <c r="R6794" s="66"/>
      <c r="S6794" s="40" t="s">
        <v>21</v>
      </c>
    </row>
    <row r="6795" spans="1:19">
      <c r="A6795" s="26">
        <v>12367</v>
      </c>
      <c r="B6795" s="27">
        <v>45232</v>
      </c>
      <c r="C6795" s="28" t="s">
        <v>22642</v>
      </c>
      <c r="D6795" s="27">
        <v>45232</v>
      </c>
      <c r="E6795" s="28" t="s">
        <v>38</v>
      </c>
      <c r="F6795" s="28" t="s">
        <v>56</v>
      </c>
      <c r="G6795" s="28" t="s">
        <v>189</v>
      </c>
      <c r="H6795" s="28" t="s">
        <v>71</v>
      </c>
      <c r="I6795" s="28" t="s">
        <v>21</v>
      </c>
      <c r="J6795" s="28" t="s">
        <v>22643</v>
      </c>
      <c r="K6795" s="28" t="s">
        <v>22251</v>
      </c>
      <c r="L6795" s="28" t="s">
        <v>14349</v>
      </c>
      <c r="M6795" s="28" t="s">
        <v>21</v>
      </c>
      <c r="O6795" s="29">
        <v>45233</v>
      </c>
      <c r="P6795" s="28" t="s">
        <v>21</v>
      </c>
      <c r="Q6795" s="26" t="b">
        <v>0</v>
      </c>
      <c r="R6795" s="22">
        <f t="shared" ref="R6795:R6815" si="150">IF(O6795=" ", " ", INT(YEARFRAC(O6795, B6795)*365))</f>
        <v>1</v>
      </c>
      <c r="S6795" s="28" t="s">
        <v>21</v>
      </c>
    </row>
    <row r="6796" spans="1:19">
      <c r="A6796" s="38">
        <v>12368</v>
      </c>
      <c r="B6796" s="39">
        <v>45237</v>
      </c>
      <c r="C6796" s="40" t="s">
        <v>22644</v>
      </c>
      <c r="D6796" s="39">
        <v>45236</v>
      </c>
      <c r="E6796" s="40" t="s">
        <v>22645</v>
      </c>
      <c r="F6796" s="40" t="s">
        <v>2882</v>
      </c>
      <c r="G6796" s="40" t="s">
        <v>189</v>
      </c>
      <c r="H6796" s="40" t="s">
        <v>566</v>
      </c>
      <c r="I6796" s="40" t="s">
        <v>21</v>
      </c>
      <c r="J6796" s="40" t="s">
        <v>22646</v>
      </c>
      <c r="K6796" s="40" t="s">
        <v>22647</v>
      </c>
      <c r="L6796" s="40" t="s">
        <v>7167</v>
      </c>
      <c r="M6796" s="40" t="s">
        <v>21</v>
      </c>
      <c r="O6796" s="45">
        <v>45307</v>
      </c>
      <c r="P6796" s="41" t="s">
        <v>21</v>
      </c>
      <c r="Q6796" s="42" t="b">
        <v>0</v>
      </c>
      <c r="R6796" s="22">
        <f t="shared" si="150"/>
        <v>69</v>
      </c>
      <c r="S6796" s="40" t="s">
        <v>21</v>
      </c>
    </row>
    <row r="6797" spans="1:19" ht="24">
      <c r="A6797" s="26">
        <v>12370</v>
      </c>
      <c r="B6797" s="27">
        <v>45237</v>
      </c>
      <c r="C6797" s="28" t="s">
        <v>22648</v>
      </c>
      <c r="D6797" s="27">
        <v>45237</v>
      </c>
      <c r="E6797" s="28" t="s">
        <v>22649</v>
      </c>
      <c r="F6797" s="28" t="s">
        <v>1743</v>
      </c>
      <c r="G6797" s="28" t="s">
        <v>189</v>
      </c>
      <c r="H6797" s="28" t="s">
        <v>71</v>
      </c>
      <c r="I6797" s="28" t="s">
        <v>21</v>
      </c>
      <c r="J6797" s="28" t="s">
        <v>22650</v>
      </c>
      <c r="K6797" s="28" t="s">
        <v>22651</v>
      </c>
      <c r="L6797" s="28" t="s">
        <v>4282</v>
      </c>
      <c r="M6797" s="28" t="s">
        <v>21</v>
      </c>
      <c r="O6797" s="29">
        <v>45260</v>
      </c>
      <c r="P6797" s="28" t="s">
        <v>21</v>
      </c>
      <c r="Q6797" s="26" t="b">
        <v>0</v>
      </c>
      <c r="R6797" s="22">
        <f t="shared" si="150"/>
        <v>23</v>
      </c>
      <c r="S6797" s="28" t="s">
        <v>22652</v>
      </c>
    </row>
    <row r="6798" spans="1:19">
      <c r="A6798" s="26">
        <v>12371</v>
      </c>
      <c r="B6798" s="27">
        <v>45244</v>
      </c>
      <c r="C6798" s="28" t="s">
        <v>22653</v>
      </c>
      <c r="D6798" s="27">
        <v>45238</v>
      </c>
      <c r="E6798" s="28" t="s">
        <v>1928</v>
      </c>
      <c r="F6798" s="28" t="s">
        <v>1743</v>
      </c>
      <c r="G6798" s="28" t="s">
        <v>189</v>
      </c>
      <c r="H6798" s="28" t="s">
        <v>71</v>
      </c>
      <c r="I6798" s="28" t="s">
        <v>21</v>
      </c>
      <c r="J6798" s="28" t="s">
        <v>22490</v>
      </c>
      <c r="K6798" s="28" t="s">
        <v>22654</v>
      </c>
      <c r="L6798" s="28" t="s">
        <v>7167</v>
      </c>
      <c r="M6798" s="28" t="s">
        <v>21</v>
      </c>
      <c r="N6798" s="29">
        <v>45254</v>
      </c>
      <c r="O6798" s="29">
        <v>45247</v>
      </c>
      <c r="P6798" s="28" t="s">
        <v>21</v>
      </c>
      <c r="Q6798" s="26" t="b">
        <v>0</v>
      </c>
      <c r="R6798" s="22">
        <f t="shared" si="150"/>
        <v>3</v>
      </c>
      <c r="S6798" s="28" t="s">
        <v>21</v>
      </c>
    </row>
    <row r="6799" spans="1:19">
      <c r="A6799" s="26">
        <v>12372</v>
      </c>
      <c r="B6799" s="27">
        <v>45244</v>
      </c>
      <c r="C6799" s="28" t="s">
        <v>22655</v>
      </c>
      <c r="D6799" s="27">
        <v>45238</v>
      </c>
      <c r="E6799" s="28" t="s">
        <v>22656</v>
      </c>
      <c r="F6799" s="28" t="s">
        <v>6298</v>
      </c>
      <c r="G6799" s="28" t="s">
        <v>189</v>
      </c>
      <c r="H6799" s="28" t="s">
        <v>71</v>
      </c>
      <c r="I6799" s="28" t="s">
        <v>21</v>
      </c>
      <c r="J6799" s="28" t="s">
        <v>1582</v>
      </c>
      <c r="K6799" s="28" t="s">
        <v>22657</v>
      </c>
      <c r="L6799" s="28" t="s">
        <v>7167</v>
      </c>
      <c r="M6799" s="28" t="s">
        <v>21</v>
      </c>
      <c r="O6799" s="29">
        <v>45268</v>
      </c>
      <c r="P6799" s="28" t="s">
        <v>21</v>
      </c>
      <c r="Q6799" s="26" t="b">
        <v>0</v>
      </c>
      <c r="R6799" s="22">
        <f t="shared" si="150"/>
        <v>24</v>
      </c>
      <c r="S6799" s="28" t="s">
        <v>21</v>
      </c>
    </row>
    <row r="6800" spans="1:19">
      <c r="A6800" s="26">
        <v>12373</v>
      </c>
      <c r="B6800" s="27">
        <v>45244</v>
      </c>
      <c r="C6800" s="28" t="s">
        <v>22658</v>
      </c>
      <c r="D6800" s="27">
        <v>45243</v>
      </c>
      <c r="E6800" s="28" t="s">
        <v>22659</v>
      </c>
      <c r="F6800" s="28" t="s">
        <v>27</v>
      </c>
      <c r="G6800" s="28" t="s">
        <v>189</v>
      </c>
      <c r="H6800" s="28" t="s">
        <v>71</v>
      </c>
      <c r="I6800" s="28" t="s">
        <v>21</v>
      </c>
      <c r="J6800" s="28" t="s">
        <v>22660</v>
      </c>
      <c r="K6800" s="28" t="s">
        <v>22661</v>
      </c>
      <c r="L6800" s="28" t="s">
        <v>7167</v>
      </c>
      <c r="M6800" s="28" t="s">
        <v>21</v>
      </c>
      <c r="O6800" s="29">
        <v>45273</v>
      </c>
      <c r="P6800" s="28" t="s">
        <v>21</v>
      </c>
      <c r="Q6800" s="26" t="b">
        <v>0</v>
      </c>
      <c r="R6800" s="22">
        <f t="shared" si="150"/>
        <v>29</v>
      </c>
      <c r="S6800" s="28" t="s">
        <v>21</v>
      </c>
    </row>
    <row r="6801" spans="1:19" ht="24">
      <c r="A6801" s="38">
        <v>12375</v>
      </c>
      <c r="B6801" s="39">
        <v>45244</v>
      </c>
      <c r="C6801" s="40" t="s">
        <v>22662</v>
      </c>
      <c r="D6801" s="39">
        <v>45243</v>
      </c>
      <c r="E6801" s="40" t="s">
        <v>22663</v>
      </c>
      <c r="F6801" s="40" t="s">
        <v>5620</v>
      </c>
      <c r="G6801" s="40" t="s">
        <v>189</v>
      </c>
      <c r="H6801" s="40" t="s">
        <v>71</v>
      </c>
      <c r="I6801" s="40" t="s">
        <v>21</v>
      </c>
      <c r="J6801" s="40" t="s">
        <v>22664</v>
      </c>
      <c r="K6801" s="40" t="s">
        <v>22665</v>
      </c>
      <c r="L6801" s="40" t="s">
        <v>21573</v>
      </c>
      <c r="M6801" s="40" t="s">
        <v>21</v>
      </c>
      <c r="O6801" s="45">
        <v>45630</v>
      </c>
      <c r="P6801" s="41" t="s">
        <v>21</v>
      </c>
      <c r="Q6801" s="42" t="b">
        <v>0</v>
      </c>
      <c r="R6801" s="22">
        <f t="shared" si="150"/>
        <v>385</v>
      </c>
      <c r="S6801" s="40" t="s">
        <v>21621</v>
      </c>
    </row>
    <row r="6802" spans="1:19">
      <c r="A6802" s="26">
        <v>12376</v>
      </c>
      <c r="B6802" s="27">
        <v>45250</v>
      </c>
      <c r="C6802" s="28" t="s">
        <v>22666</v>
      </c>
      <c r="D6802" s="27">
        <v>45247</v>
      </c>
      <c r="E6802" s="28" t="s">
        <v>22667</v>
      </c>
      <c r="F6802" s="28" t="s">
        <v>242</v>
      </c>
      <c r="G6802" s="28" t="s">
        <v>189</v>
      </c>
      <c r="H6802" s="28" t="s">
        <v>71</v>
      </c>
      <c r="I6802" s="28" t="s">
        <v>21</v>
      </c>
      <c r="J6802" s="28" t="s">
        <v>22668</v>
      </c>
      <c r="K6802" s="28" t="s">
        <v>22669</v>
      </c>
      <c r="L6802" s="28" t="s">
        <v>21573</v>
      </c>
      <c r="M6802" s="28" t="s">
        <v>21</v>
      </c>
      <c r="O6802" s="29">
        <v>45273</v>
      </c>
      <c r="P6802" s="28" t="s">
        <v>21</v>
      </c>
      <c r="Q6802" s="26" t="b">
        <v>0</v>
      </c>
      <c r="R6802" s="22">
        <f t="shared" si="150"/>
        <v>23</v>
      </c>
      <c r="S6802" s="28" t="s">
        <v>21</v>
      </c>
    </row>
    <row r="6803" spans="1:19" ht="24">
      <c r="A6803" s="26">
        <v>12377</v>
      </c>
      <c r="B6803" s="27">
        <v>45250</v>
      </c>
      <c r="C6803" s="28" t="s">
        <v>22670</v>
      </c>
      <c r="D6803" s="27">
        <v>45250</v>
      </c>
      <c r="E6803" s="28" t="s">
        <v>22671</v>
      </c>
      <c r="F6803" s="28" t="s">
        <v>52</v>
      </c>
      <c r="G6803" s="28" t="s">
        <v>189</v>
      </c>
      <c r="H6803" s="28" t="s">
        <v>71</v>
      </c>
      <c r="I6803" s="28" t="s">
        <v>21</v>
      </c>
      <c r="J6803" s="28" t="s">
        <v>22672</v>
      </c>
      <c r="K6803" s="28" t="s">
        <v>22673</v>
      </c>
      <c r="L6803" s="28" t="s">
        <v>7167</v>
      </c>
      <c r="M6803" s="28" t="s">
        <v>21</v>
      </c>
      <c r="O6803" s="29">
        <v>45278</v>
      </c>
      <c r="P6803" s="28" t="s">
        <v>21</v>
      </c>
      <c r="Q6803" s="26" t="b">
        <v>0</v>
      </c>
      <c r="R6803" s="22">
        <f t="shared" si="150"/>
        <v>28</v>
      </c>
      <c r="S6803" s="28" t="s">
        <v>21</v>
      </c>
    </row>
    <row r="6804" spans="1:19" ht="48">
      <c r="A6804" s="26">
        <v>12378</v>
      </c>
      <c r="B6804" s="27">
        <v>45251</v>
      </c>
      <c r="C6804" s="28" t="s">
        <v>22674</v>
      </c>
      <c r="D6804" s="27">
        <v>45250</v>
      </c>
      <c r="E6804" s="28" t="s">
        <v>22675</v>
      </c>
      <c r="F6804" s="28" t="s">
        <v>22491</v>
      </c>
      <c r="G6804" s="28" t="s">
        <v>189</v>
      </c>
      <c r="H6804" s="28" t="s">
        <v>71</v>
      </c>
      <c r="I6804" s="28" t="s">
        <v>21</v>
      </c>
      <c r="J6804" s="28" t="s">
        <v>22676</v>
      </c>
      <c r="K6804" s="28" t="s">
        <v>22677</v>
      </c>
      <c r="L6804" s="28" t="s">
        <v>4282</v>
      </c>
      <c r="M6804" s="28" t="s">
        <v>21</v>
      </c>
      <c r="O6804" s="29">
        <v>45259</v>
      </c>
      <c r="P6804" s="28" t="s">
        <v>21</v>
      </c>
      <c r="Q6804" s="26" t="b">
        <v>0</v>
      </c>
      <c r="R6804" s="22">
        <f t="shared" si="150"/>
        <v>8</v>
      </c>
      <c r="S6804" s="28" t="s">
        <v>22678</v>
      </c>
    </row>
    <row r="6805" spans="1:19" ht="36">
      <c r="A6805" s="38">
        <v>12379</v>
      </c>
      <c r="B6805" s="39">
        <v>45252</v>
      </c>
      <c r="C6805" s="40" t="s">
        <v>22679</v>
      </c>
      <c r="D6805" s="39">
        <v>45252</v>
      </c>
      <c r="E6805" s="40" t="s">
        <v>22680</v>
      </c>
      <c r="F6805" s="40" t="s">
        <v>5659</v>
      </c>
      <c r="G6805" s="40" t="s">
        <v>189</v>
      </c>
      <c r="H6805" s="40" t="s">
        <v>566</v>
      </c>
      <c r="I6805" s="40" t="s">
        <v>21</v>
      </c>
      <c r="J6805" s="40" t="s">
        <v>22681</v>
      </c>
      <c r="K6805" s="40" t="s">
        <v>22682</v>
      </c>
      <c r="L6805" s="40" t="s">
        <v>21142</v>
      </c>
      <c r="M6805" s="40" t="s">
        <v>21</v>
      </c>
      <c r="O6805" s="45">
        <v>45420</v>
      </c>
      <c r="P6805" s="41" t="s">
        <v>21</v>
      </c>
      <c r="Q6805" s="42" t="b">
        <v>0</v>
      </c>
      <c r="R6805" s="22">
        <f t="shared" si="150"/>
        <v>168</v>
      </c>
      <c r="S6805" s="40" t="s">
        <v>22157</v>
      </c>
    </row>
    <row r="6806" spans="1:19">
      <c r="A6806" s="38">
        <v>12380</v>
      </c>
      <c r="B6806" s="39">
        <v>45257</v>
      </c>
      <c r="C6806" s="40" t="s">
        <v>22683</v>
      </c>
      <c r="D6806" s="39">
        <v>45254</v>
      </c>
      <c r="E6806" s="40" t="s">
        <v>22684</v>
      </c>
      <c r="F6806" s="40" t="s">
        <v>149</v>
      </c>
      <c r="G6806" s="40" t="s">
        <v>189</v>
      </c>
      <c r="H6806" s="40" t="s">
        <v>71</v>
      </c>
      <c r="I6806" s="40" t="s">
        <v>21</v>
      </c>
      <c r="J6806" s="40" t="s">
        <v>2547</v>
      </c>
      <c r="K6806" s="40" t="s">
        <v>13842</v>
      </c>
      <c r="L6806" s="40" t="s">
        <v>21243</v>
      </c>
      <c r="M6806" s="40" t="s">
        <v>21</v>
      </c>
      <c r="O6806" s="45">
        <v>45356</v>
      </c>
      <c r="P6806" s="41" t="s">
        <v>21</v>
      </c>
      <c r="Q6806" s="42" t="b">
        <v>0</v>
      </c>
      <c r="R6806" s="22">
        <f t="shared" si="150"/>
        <v>99</v>
      </c>
      <c r="S6806" s="40" t="s">
        <v>21</v>
      </c>
    </row>
    <row r="6807" spans="1:19" ht="24">
      <c r="A6807" s="38">
        <v>12381</v>
      </c>
      <c r="B6807" s="39">
        <v>45257</v>
      </c>
      <c r="C6807" s="40" t="s">
        <v>22685</v>
      </c>
      <c r="D6807" s="39">
        <v>45257</v>
      </c>
      <c r="E6807" s="40" t="s">
        <v>22686</v>
      </c>
      <c r="F6807" s="40" t="s">
        <v>27</v>
      </c>
      <c r="G6807" s="40" t="s">
        <v>189</v>
      </c>
      <c r="H6807" s="40" t="s">
        <v>71</v>
      </c>
      <c r="I6807" s="40" t="s">
        <v>21</v>
      </c>
      <c r="J6807" s="40" t="s">
        <v>22687</v>
      </c>
      <c r="K6807" s="40" t="s">
        <v>22688</v>
      </c>
      <c r="L6807" s="40" t="s">
        <v>21243</v>
      </c>
      <c r="M6807" s="40" t="s">
        <v>21</v>
      </c>
      <c r="O6807" s="45">
        <v>45357</v>
      </c>
      <c r="P6807" s="41" t="s">
        <v>21</v>
      </c>
      <c r="Q6807" s="42" t="b">
        <v>0</v>
      </c>
      <c r="R6807" s="22">
        <f t="shared" si="150"/>
        <v>100</v>
      </c>
      <c r="S6807" s="40" t="s">
        <v>21621</v>
      </c>
    </row>
    <row r="6808" spans="1:19" ht="36">
      <c r="A6808" s="38">
        <v>12382</v>
      </c>
      <c r="B6808" s="39">
        <v>45258</v>
      </c>
      <c r="C6808" s="40" t="s">
        <v>22689</v>
      </c>
      <c r="D6808" s="39">
        <v>45257</v>
      </c>
      <c r="E6808" s="40" t="s">
        <v>22690</v>
      </c>
      <c r="F6808" s="40" t="s">
        <v>2146</v>
      </c>
      <c r="G6808" s="40" t="s">
        <v>189</v>
      </c>
      <c r="H6808" s="40" t="s">
        <v>189</v>
      </c>
      <c r="I6808" s="40" t="s">
        <v>21</v>
      </c>
      <c r="J6808" s="40" t="s">
        <v>22691</v>
      </c>
      <c r="K6808" s="40" t="s">
        <v>22692</v>
      </c>
      <c r="L6808" s="40" t="s">
        <v>21573</v>
      </c>
      <c r="M6808" s="40" t="s">
        <v>21</v>
      </c>
      <c r="O6808" s="45">
        <v>45534</v>
      </c>
      <c r="P6808" s="41" t="s">
        <v>21</v>
      </c>
      <c r="Q6808" s="42" t="b">
        <v>0</v>
      </c>
      <c r="R6808" s="22">
        <f t="shared" si="150"/>
        <v>275</v>
      </c>
      <c r="S6808" s="40" t="s">
        <v>22157</v>
      </c>
    </row>
    <row r="6809" spans="1:19" ht="24">
      <c r="A6809" s="26">
        <v>12383</v>
      </c>
      <c r="B6809" s="27">
        <v>45260</v>
      </c>
      <c r="C6809" s="28" t="s">
        <v>22693</v>
      </c>
      <c r="D6809" s="27">
        <v>45260</v>
      </c>
      <c r="E6809" s="28" t="s">
        <v>22694</v>
      </c>
      <c r="F6809" s="28" t="s">
        <v>741</v>
      </c>
      <c r="G6809" s="28" t="s">
        <v>189</v>
      </c>
      <c r="H6809" s="28" t="s">
        <v>71</v>
      </c>
      <c r="I6809" s="28" t="s">
        <v>21</v>
      </c>
      <c r="J6809" s="28" t="s">
        <v>22695</v>
      </c>
      <c r="K6809" s="28" t="s">
        <v>22696</v>
      </c>
      <c r="L6809" s="28" t="s">
        <v>21243</v>
      </c>
      <c r="M6809" s="28" t="s">
        <v>21</v>
      </c>
      <c r="O6809" s="29">
        <v>45272</v>
      </c>
      <c r="P6809" s="28" t="s">
        <v>21</v>
      </c>
      <c r="Q6809" s="26" t="b">
        <v>0</v>
      </c>
      <c r="R6809" s="22">
        <f t="shared" si="150"/>
        <v>12</v>
      </c>
      <c r="S6809" s="28" t="s">
        <v>22697</v>
      </c>
    </row>
    <row r="6810" spans="1:19">
      <c r="A6810" s="26">
        <v>12384</v>
      </c>
      <c r="B6810" s="27">
        <v>45265</v>
      </c>
      <c r="C6810" s="28" t="s">
        <v>22698</v>
      </c>
      <c r="D6810" s="27">
        <v>45250</v>
      </c>
      <c r="E6810" s="28" t="s">
        <v>38</v>
      </c>
      <c r="F6810" s="28" t="s">
        <v>145</v>
      </c>
      <c r="G6810" s="28" t="s">
        <v>189</v>
      </c>
      <c r="H6810" s="28" t="s">
        <v>71</v>
      </c>
      <c r="I6810" s="28" t="s">
        <v>21</v>
      </c>
      <c r="J6810" s="28" t="s">
        <v>22699</v>
      </c>
      <c r="K6810" s="28" t="s">
        <v>22700</v>
      </c>
      <c r="L6810" s="28" t="s">
        <v>21243</v>
      </c>
      <c r="M6810" s="28" t="s">
        <v>21</v>
      </c>
      <c r="O6810" s="29">
        <v>45266</v>
      </c>
      <c r="P6810" s="28" t="s">
        <v>21</v>
      </c>
      <c r="Q6810" s="26" t="b">
        <v>0</v>
      </c>
      <c r="R6810" s="22">
        <f t="shared" si="150"/>
        <v>1</v>
      </c>
      <c r="S6810" s="28" t="s">
        <v>21</v>
      </c>
    </row>
    <row r="6811" spans="1:19">
      <c r="A6811" s="26">
        <v>12385</v>
      </c>
      <c r="B6811" s="27">
        <v>45265</v>
      </c>
      <c r="C6811" s="28" t="s">
        <v>22701</v>
      </c>
      <c r="D6811" s="27">
        <v>45264</v>
      </c>
      <c r="E6811" s="28" t="s">
        <v>1928</v>
      </c>
      <c r="F6811" s="28" t="s">
        <v>1743</v>
      </c>
      <c r="G6811" s="28" t="s">
        <v>189</v>
      </c>
      <c r="H6811" s="28" t="s">
        <v>71</v>
      </c>
      <c r="I6811" s="28" t="s">
        <v>21</v>
      </c>
      <c r="J6811" s="28" t="s">
        <v>22702</v>
      </c>
      <c r="K6811" s="28" t="s">
        <v>21357</v>
      </c>
      <c r="L6811" s="28" t="s">
        <v>21573</v>
      </c>
      <c r="M6811" s="28" t="s">
        <v>21</v>
      </c>
      <c r="N6811" s="29">
        <v>45278</v>
      </c>
      <c r="O6811" s="29">
        <v>45272</v>
      </c>
      <c r="P6811" s="28" t="s">
        <v>21</v>
      </c>
      <c r="Q6811" s="26" t="b">
        <v>0</v>
      </c>
      <c r="R6811" s="22">
        <f t="shared" si="150"/>
        <v>7</v>
      </c>
      <c r="S6811" s="28" t="s">
        <v>21</v>
      </c>
    </row>
    <row r="6812" spans="1:19">
      <c r="A6812" s="26">
        <v>12386</v>
      </c>
      <c r="B6812" s="27">
        <v>45267</v>
      </c>
      <c r="C6812" s="28" t="s">
        <v>22703</v>
      </c>
      <c r="D6812" s="27">
        <v>45264</v>
      </c>
      <c r="E6812" s="28" t="s">
        <v>38</v>
      </c>
      <c r="F6812" s="28" t="s">
        <v>1743</v>
      </c>
      <c r="G6812" s="28" t="s">
        <v>189</v>
      </c>
      <c r="H6812" s="28" t="s">
        <v>71</v>
      </c>
      <c r="I6812" s="28" t="s">
        <v>21</v>
      </c>
      <c r="J6812" s="28" t="s">
        <v>22704</v>
      </c>
      <c r="K6812" s="28" t="s">
        <v>22705</v>
      </c>
      <c r="L6812" s="28" t="s">
        <v>4282</v>
      </c>
      <c r="M6812" s="28" t="s">
        <v>21</v>
      </c>
      <c r="O6812" s="29">
        <v>45272</v>
      </c>
      <c r="P6812" s="28" t="s">
        <v>21</v>
      </c>
      <c r="Q6812" s="26" t="b">
        <v>0</v>
      </c>
      <c r="R6812" s="22">
        <f t="shared" si="150"/>
        <v>5</v>
      </c>
      <c r="S6812" s="28" t="s">
        <v>21</v>
      </c>
    </row>
    <row r="6813" spans="1:19">
      <c r="A6813" s="38">
        <v>12387</v>
      </c>
      <c r="B6813" s="39">
        <v>45273</v>
      </c>
      <c r="C6813" s="40" t="s">
        <v>22706</v>
      </c>
      <c r="D6813" s="39">
        <v>45271</v>
      </c>
      <c r="E6813" s="40" t="s">
        <v>22707</v>
      </c>
      <c r="F6813" s="40" t="s">
        <v>149</v>
      </c>
      <c r="G6813" s="40" t="s">
        <v>189</v>
      </c>
      <c r="H6813" s="40" t="s">
        <v>71</v>
      </c>
      <c r="I6813" s="40" t="s">
        <v>21</v>
      </c>
      <c r="J6813" s="40" t="s">
        <v>18314</v>
      </c>
      <c r="K6813" s="40" t="s">
        <v>22708</v>
      </c>
      <c r="L6813" s="40" t="s">
        <v>21573</v>
      </c>
      <c r="M6813" s="40" t="s">
        <v>21</v>
      </c>
      <c r="O6813" s="45">
        <v>45334</v>
      </c>
      <c r="P6813" s="41" t="s">
        <v>21</v>
      </c>
      <c r="Q6813" s="42" t="b">
        <v>0</v>
      </c>
      <c r="R6813" s="22">
        <f t="shared" si="150"/>
        <v>59</v>
      </c>
      <c r="S6813" s="40" t="s">
        <v>21</v>
      </c>
    </row>
    <row r="6814" spans="1:19">
      <c r="A6814" s="26">
        <v>12388</v>
      </c>
      <c r="B6814" s="27">
        <v>45273</v>
      </c>
      <c r="C6814" s="28" t="s">
        <v>22709</v>
      </c>
      <c r="D6814" s="27">
        <v>45273</v>
      </c>
      <c r="E6814" s="28" t="s">
        <v>1928</v>
      </c>
      <c r="F6814" s="28" t="s">
        <v>1743</v>
      </c>
      <c r="G6814" s="28" t="s">
        <v>189</v>
      </c>
      <c r="H6814" s="28" t="s">
        <v>71</v>
      </c>
      <c r="I6814" s="28" t="s">
        <v>21</v>
      </c>
      <c r="J6814" s="28" t="s">
        <v>22710</v>
      </c>
      <c r="K6814" s="28" t="s">
        <v>3335</v>
      </c>
      <c r="L6814" s="28" t="s">
        <v>21243</v>
      </c>
      <c r="M6814" s="28" t="s">
        <v>21</v>
      </c>
      <c r="N6814" s="29">
        <v>45288</v>
      </c>
      <c r="O6814" s="29">
        <v>45281</v>
      </c>
      <c r="P6814" s="28" t="s">
        <v>21</v>
      </c>
      <c r="Q6814" s="26" t="b">
        <v>0</v>
      </c>
      <c r="R6814" s="22">
        <f t="shared" si="150"/>
        <v>8</v>
      </c>
      <c r="S6814" s="28" t="s">
        <v>21</v>
      </c>
    </row>
    <row r="6815" spans="1:19">
      <c r="A6815" s="38">
        <v>12389</v>
      </c>
      <c r="B6815" s="39">
        <v>45274</v>
      </c>
      <c r="C6815" s="40" t="s">
        <v>22706</v>
      </c>
      <c r="D6815" s="39">
        <v>45274</v>
      </c>
      <c r="E6815" s="40" t="s">
        <v>22697</v>
      </c>
      <c r="F6815" s="40" t="s">
        <v>124</v>
      </c>
      <c r="G6815" s="40" t="s">
        <v>189</v>
      </c>
      <c r="H6815" s="40" t="s">
        <v>71</v>
      </c>
      <c r="I6815" s="40" t="s">
        <v>21</v>
      </c>
      <c r="J6815" s="40" t="s">
        <v>22695</v>
      </c>
      <c r="K6815" s="40" t="s">
        <v>22696</v>
      </c>
      <c r="L6815" s="40" t="s">
        <v>21243</v>
      </c>
      <c r="M6815" s="40" t="s">
        <v>21</v>
      </c>
      <c r="O6815" s="45">
        <v>45314</v>
      </c>
      <c r="P6815" s="41" t="s">
        <v>21</v>
      </c>
      <c r="Q6815" s="42" t="b">
        <v>0</v>
      </c>
      <c r="R6815" s="22">
        <f t="shared" si="150"/>
        <v>39</v>
      </c>
      <c r="S6815" s="40" t="s">
        <v>21</v>
      </c>
    </row>
    <row r="6816" spans="1:19" ht="24">
      <c r="A6816" s="38">
        <v>12390</v>
      </c>
      <c r="B6816" s="39">
        <v>45278</v>
      </c>
      <c r="C6816" s="40" t="s">
        <v>22711</v>
      </c>
      <c r="D6816" s="39">
        <v>45275</v>
      </c>
      <c r="E6816" s="40" t="s">
        <v>22712</v>
      </c>
      <c r="F6816" s="40" t="s">
        <v>22552</v>
      </c>
      <c r="G6816" s="40" t="s">
        <v>189</v>
      </c>
      <c r="H6816" s="40" t="s">
        <v>566</v>
      </c>
      <c r="I6816" s="40" t="s">
        <v>21</v>
      </c>
      <c r="J6816" s="40" t="s">
        <v>22569</v>
      </c>
      <c r="K6816" s="40" t="s">
        <v>22570</v>
      </c>
      <c r="L6816" s="40" t="s">
        <v>21142</v>
      </c>
      <c r="M6816" s="40" t="s">
        <v>21</v>
      </c>
      <c r="P6816" s="41" t="s">
        <v>21</v>
      </c>
      <c r="Q6816" s="42" t="b">
        <v>0</v>
      </c>
      <c r="R6816" s="66"/>
      <c r="S6816" s="40" t="s">
        <v>22568</v>
      </c>
    </row>
    <row r="6817" spans="1:19">
      <c r="A6817" s="38">
        <v>12391</v>
      </c>
      <c r="B6817" s="39">
        <v>45278</v>
      </c>
      <c r="C6817" s="40" t="s">
        <v>22713</v>
      </c>
      <c r="D6817" s="39">
        <v>45275</v>
      </c>
      <c r="E6817" s="40" t="s">
        <v>22714</v>
      </c>
      <c r="F6817" s="40" t="s">
        <v>2146</v>
      </c>
      <c r="G6817" s="40" t="s">
        <v>189</v>
      </c>
      <c r="H6817" s="40" t="s">
        <v>189</v>
      </c>
      <c r="I6817" s="40" t="s">
        <v>21</v>
      </c>
      <c r="J6817" s="40" t="s">
        <v>22715</v>
      </c>
      <c r="K6817" s="40" t="s">
        <v>22716</v>
      </c>
      <c r="L6817" s="40" t="s">
        <v>21142</v>
      </c>
      <c r="M6817" s="40" t="s">
        <v>21</v>
      </c>
      <c r="P6817" s="41" t="s">
        <v>21</v>
      </c>
      <c r="Q6817" s="42" t="b">
        <v>0</v>
      </c>
      <c r="R6817" s="66"/>
      <c r="S6817" s="40" t="s">
        <v>21</v>
      </c>
    </row>
    <row r="6818" spans="1:19" ht="36">
      <c r="A6818" s="64">
        <v>12392</v>
      </c>
      <c r="B6818" s="62">
        <v>45278</v>
      </c>
      <c r="C6818" s="63" t="s">
        <v>22717</v>
      </c>
      <c r="D6818" s="62">
        <v>45278</v>
      </c>
      <c r="E6818" s="63" t="s">
        <v>22718</v>
      </c>
      <c r="F6818" s="63" t="s">
        <v>8605</v>
      </c>
      <c r="G6818" s="63" t="s">
        <v>189</v>
      </c>
      <c r="H6818" s="63" t="s">
        <v>212</v>
      </c>
      <c r="I6818" s="63" t="s">
        <v>21</v>
      </c>
      <c r="J6818" s="63" t="s">
        <v>22719</v>
      </c>
      <c r="K6818" s="63" t="s">
        <v>1582</v>
      </c>
      <c r="L6818" s="63" t="s">
        <v>21243</v>
      </c>
      <c r="M6818" s="63" t="s">
        <v>21</v>
      </c>
      <c r="O6818" s="62">
        <v>45524</v>
      </c>
      <c r="P6818" s="65" t="s">
        <v>21</v>
      </c>
      <c r="Q6818" s="66" t="b">
        <v>0</v>
      </c>
      <c r="R6818" s="22">
        <f>IF(O6818=" ", " ", INT(YEARFRAC(O6818, B6818)*365))</f>
        <v>245</v>
      </c>
      <c r="S6818" s="63" t="s">
        <v>22157</v>
      </c>
    </row>
    <row r="6819" spans="1:19">
      <c r="A6819" s="64">
        <v>12393</v>
      </c>
      <c r="B6819" s="62">
        <v>45279</v>
      </c>
      <c r="C6819" s="63" t="s">
        <v>22720</v>
      </c>
      <c r="D6819" s="62">
        <v>45279</v>
      </c>
      <c r="E6819" s="63" t="s">
        <v>22721</v>
      </c>
      <c r="F6819" s="63" t="s">
        <v>27</v>
      </c>
      <c r="G6819" s="63" t="s">
        <v>189</v>
      </c>
      <c r="H6819" s="63" t="s">
        <v>71</v>
      </c>
      <c r="I6819" s="63" t="s">
        <v>21</v>
      </c>
      <c r="J6819" s="63" t="s">
        <v>22722</v>
      </c>
      <c r="K6819" s="63" t="s">
        <v>22723</v>
      </c>
      <c r="L6819" s="63" t="s">
        <v>21243</v>
      </c>
      <c r="M6819" s="63" t="s">
        <v>21</v>
      </c>
      <c r="O6819" s="62">
        <v>45315</v>
      </c>
      <c r="P6819" s="65" t="s">
        <v>21</v>
      </c>
      <c r="Q6819" s="66" t="b">
        <v>0</v>
      </c>
      <c r="R6819" s="22">
        <f>IF(O6819=" ", " ", INT(YEARFRAC(O6819, B6819)*365))</f>
        <v>35</v>
      </c>
      <c r="S6819" s="63" t="s">
        <v>21</v>
      </c>
    </row>
    <row r="6820" spans="1:19">
      <c r="A6820" s="64">
        <v>12394</v>
      </c>
      <c r="B6820" s="62">
        <v>45279</v>
      </c>
      <c r="C6820" s="63" t="s">
        <v>22724</v>
      </c>
      <c r="D6820" s="62">
        <v>45279</v>
      </c>
      <c r="E6820" s="63" t="s">
        <v>22725</v>
      </c>
      <c r="F6820" s="63" t="s">
        <v>27</v>
      </c>
      <c r="G6820" s="63" t="s">
        <v>189</v>
      </c>
      <c r="H6820" s="63" t="s">
        <v>71</v>
      </c>
      <c r="I6820" s="63" t="s">
        <v>21</v>
      </c>
      <c r="J6820" s="63" t="s">
        <v>22726</v>
      </c>
      <c r="K6820" s="63" t="s">
        <v>11612</v>
      </c>
      <c r="L6820" s="63" t="s">
        <v>21243</v>
      </c>
      <c r="M6820" s="63" t="s">
        <v>21</v>
      </c>
      <c r="O6820" s="62">
        <v>45343</v>
      </c>
      <c r="P6820" s="65" t="s">
        <v>21</v>
      </c>
      <c r="Q6820" s="66" t="b">
        <v>0</v>
      </c>
      <c r="R6820" s="22">
        <f>IF(O6820=" ", " ", INT(YEARFRAC(O6820, B6820)*365))</f>
        <v>62</v>
      </c>
      <c r="S6820" s="63" t="s">
        <v>21</v>
      </c>
    </row>
    <row r="6821" spans="1:19">
      <c r="A6821" s="64">
        <v>12396</v>
      </c>
      <c r="B6821" s="62">
        <v>45281</v>
      </c>
      <c r="C6821" s="63" t="s">
        <v>22727</v>
      </c>
      <c r="D6821" s="62">
        <v>45280</v>
      </c>
      <c r="E6821" s="63" t="s">
        <v>22728</v>
      </c>
      <c r="F6821" s="63" t="s">
        <v>27</v>
      </c>
      <c r="G6821" s="63" t="s">
        <v>189</v>
      </c>
      <c r="H6821" s="63" t="s">
        <v>71</v>
      </c>
      <c r="I6821" s="63" t="s">
        <v>21</v>
      </c>
      <c r="J6821" s="63" t="s">
        <v>22729</v>
      </c>
      <c r="K6821" s="63" t="s">
        <v>22730</v>
      </c>
      <c r="L6821" s="63" t="s">
        <v>21142</v>
      </c>
      <c r="M6821" s="63" t="s">
        <v>21</v>
      </c>
      <c r="O6821" s="62">
        <v>45469</v>
      </c>
      <c r="P6821" s="65" t="s">
        <v>21</v>
      </c>
      <c r="Q6821" s="66" t="b">
        <v>0</v>
      </c>
      <c r="R6821" s="22">
        <f>IF(O6821=" ", " ", INT(YEARFRAC(O6821, B6821)*365))</f>
        <v>187</v>
      </c>
      <c r="S6821" s="63" t="s">
        <v>21</v>
      </c>
    </row>
    <row r="6822" spans="1:19">
      <c r="A6822" s="64">
        <v>12397</v>
      </c>
      <c r="B6822" s="62">
        <v>45281</v>
      </c>
      <c r="C6822" s="63" t="s">
        <v>22731</v>
      </c>
      <c r="D6822" s="62">
        <v>45280</v>
      </c>
      <c r="E6822" s="63" t="s">
        <v>22732</v>
      </c>
      <c r="F6822" s="63" t="s">
        <v>27</v>
      </c>
      <c r="G6822" s="63" t="s">
        <v>189</v>
      </c>
      <c r="H6822" s="63" t="s">
        <v>71</v>
      </c>
      <c r="I6822" s="63" t="s">
        <v>21</v>
      </c>
      <c r="J6822" s="63" t="s">
        <v>22733</v>
      </c>
      <c r="K6822" s="63" t="s">
        <v>22734</v>
      </c>
      <c r="L6822" s="63" t="s">
        <v>21142</v>
      </c>
      <c r="M6822" s="63" t="s">
        <v>21</v>
      </c>
      <c r="O6822" s="62">
        <v>45469</v>
      </c>
      <c r="P6822" s="65" t="s">
        <v>21</v>
      </c>
      <c r="Q6822" s="66" t="b">
        <v>0</v>
      </c>
      <c r="R6822" s="22">
        <f>IF(O6822=" ", " ", INT(YEARFRAC(O6822, B6822)*365))</f>
        <v>187</v>
      </c>
      <c r="S6822" s="63" t="s">
        <v>21</v>
      </c>
    </row>
    <row r="6823" spans="1:19">
      <c r="A6823" s="64">
        <v>12398</v>
      </c>
      <c r="B6823" s="62">
        <v>45287</v>
      </c>
      <c r="C6823" s="63" t="s">
        <v>22735</v>
      </c>
      <c r="D6823" s="62">
        <v>45286</v>
      </c>
      <c r="E6823" s="63" t="s">
        <v>22736</v>
      </c>
      <c r="F6823" s="63" t="s">
        <v>1232</v>
      </c>
      <c r="G6823" s="63" t="s">
        <v>189</v>
      </c>
      <c r="H6823" s="63" t="s">
        <v>189</v>
      </c>
      <c r="I6823" s="63" t="s">
        <v>21</v>
      </c>
      <c r="J6823" s="63" t="s">
        <v>12241</v>
      </c>
      <c r="K6823" s="63" t="s">
        <v>22737</v>
      </c>
      <c r="L6823" s="63" t="s">
        <v>21243</v>
      </c>
      <c r="M6823" s="63" t="s">
        <v>21</v>
      </c>
      <c r="O6823" s="22"/>
      <c r="P6823" s="65" t="s">
        <v>21</v>
      </c>
      <c r="Q6823" s="66" t="b">
        <v>0</v>
      </c>
      <c r="R6823" s="66"/>
      <c r="S6823" s="63" t="s">
        <v>21</v>
      </c>
    </row>
    <row r="6824" spans="1:19">
      <c r="A6824" s="64">
        <v>12399</v>
      </c>
      <c r="B6824" s="62">
        <v>45294</v>
      </c>
      <c r="C6824" s="63" t="s">
        <v>22738</v>
      </c>
      <c r="D6824" s="62">
        <v>45289</v>
      </c>
      <c r="E6824" s="63" t="s">
        <v>22739</v>
      </c>
      <c r="F6824" s="63" t="s">
        <v>5659</v>
      </c>
      <c r="G6824" s="63" t="s">
        <v>189</v>
      </c>
      <c r="H6824" s="63" t="s">
        <v>566</v>
      </c>
      <c r="I6824" s="63" t="s">
        <v>21</v>
      </c>
      <c r="J6824" s="63" t="s">
        <v>22740</v>
      </c>
      <c r="K6824" s="63" t="s">
        <v>22741</v>
      </c>
      <c r="L6824" s="63" t="s">
        <v>7167</v>
      </c>
      <c r="M6824" s="63" t="s">
        <v>21</v>
      </c>
      <c r="O6824" s="62">
        <v>45328</v>
      </c>
      <c r="P6824" s="65" t="s">
        <v>21</v>
      </c>
      <c r="Q6824" s="66" t="b">
        <v>0</v>
      </c>
      <c r="R6824" s="22">
        <f>IF(O6824=" ", " ", INT(YEARFRAC(O6824, B6824)*365))</f>
        <v>33</v>
      </c>
      <c r="S6824" s="63" t="s">
        <v>21</v>
      </c>
    </row>
    <row r="6825" spans="1:19">
      <c r="A6825" s="64">
        <v>12400</v>
      </c>
      <c r="B6825" s="62">
        <v>45294</v>
      </c>
      <c r="C6825" s="63" t="s">
        <v>22742</v>
      </c>
      <c r="D6825" s="62">
        <v>45294</v>
      </c>
      <c r="E6825" s="63" t="s">
        <v>1928</v>
      </c>
      <c r="F6825" s="63" t="s">
        <v>1743</v>
      </c>
      <c r="G6825" s="63" t="s">
        <v>189</v>
      </c>
      <c r="H6825" s="63" t="s">
        <v>71</v>
      </c>
      <c r="I6825" s="63" t="s">
        <v>21</v>
      </c>
      <c r="J6825" s="63" t="s">
        <v>20360</v>
      </c>
      <c r="K6825" s="63" t="s">
        <v>22743</v>
      </c>
      <c r="L6825" s="63" t="s">
        <v>4282</v>
      </c>
      <c r="M6825" s="63" t="s">
        <v>21</v>
      </c>
      <c r="N6825" s="45">
        <v>45309</v>
      </c>
      <c r="O6825" s="62">
        <v>45307</v>
      </c>
      <c r="P6825" s="65" t="s">
        <v>21</v>
      </c>
      <c r="Q6825" s="66" t="b">
        <v>0</v>
      </c>
      <c r="R6825" s="22">
        <f>IF(O6825=" ", " ", INT(YEARFRAC(O6825, B6825)*365))</f>
        <v>13</v>
      </c>
      <c r="S6825" s="63" t="s">
        <v>21</v>
      </c>
    </row>
    <row r="6826" spans="1:19">
      <c r="A6826" s="64">
        <v>12401</v>
      </c>
      <c r="B6826" s="62">
        <v>45296</v>
      </c>
      <c r="C6826" s="63" t="s">
        <v>22744</v>
      </c>
      <c r="D6826" s="62">
        <v>45294</v>
      </c>
      <c r="E6826" s="63" t="s">
        <v>22745</v>
      </c>
      <c r="F6826" s="63" t="s">
        <v>22746</v>
      </c>
      <c r="G6826" s="63" t="s">
        <v>189</v>
      </c>
      <c r="H6826" s="63" t="s">
        <v>71</v>
      </c>
      <c r="I6826" s="63" t="s">
        <v>21</v>
      </c>
      <c r="J6826" s="63" t="s">
        <v>22747</v>
      </c>
      <c r="K6826" s="63" t="s">
        <v>22748</v>
      </c>
      <c r="L6826" s="63" t="s">
        <v>7167</v>
      </c>
      <c r="M6826" s="63" t="s">
        <v>21</v>
      </c>
      <c r="O6826" s="62">
        <v>45308</v>
      </c>
      <c r="P6826" s="65" t="s">
        <v>21</v>
      </c>
      <c r="Q6826" s="66" t="b">
        <v>0</v>
      </c>
      <c r="R6826" s="22">
        <f>IF(O6826=" ", " ", INT(YEARFRAC(O6826, B6826)*365))</f>
        <v>12</v>
      </c>
      <c r="S6826" s="63" t="s">
        <v>21</v>
      </c>
    </row>
    <row r="6827" spans="1:19">
      <c r="A6827" s="64">
        <v>12402</v>
      </c>
      <c r="B6827" s="62">
        <v>45296</v>
      </c>
      <c r="C6827" s="63" t="s">
        <v>22749</v>
      </c>
      <c r="D6827" s="62">
        <v>45294</v>
      </c>
      <c r="E6827" s="63" t="s">
        <v>22750</v>
      </c>
      <c r="F6827" s="63" t="s">
        <v>6298</v>
      </c>
      <c r="G6827" s="63" t="s">
        <v>189</v>
      </c>
      <c r="H6827" s="63" t="s">
        <v>71</v>
      </c>
      <c r="I6827" s="63" t="s">
        <v>21</v>
      </c>
      <c r="J6827" s="63" t="s">
        <v>22751</v>
      </c>
      <c r="K6827" s="63" t="s">
        <v>22752</v>
      </c>
      <c r="L6827" s="63" t="s">
        <v>7167</v>
      </c>
      <c r="M6827" s="63" t="s">
        <v>21</v>
      </c>
      <c r="O6827" s="62">
        <v>45320</v>
      </c>
      <c r="P6827" s="65" t="s">
        <v>21</v>
      </c>
      <c r="Q6827" s="66" t="b">
        <v>0</v>
      </c>
      <c r="R6827" s="22">
        <f>IF(O6827=" ", " ", INT(YEARFRAC(O6827, B6827)*365))</f>
        <v>24</v>
      </c>
      <c r="S6827" s="63" t="s">
        <v>21</v>
      </c>
    </row>
    <row r="6828" spans="1:19">
      <c r="A6828" s="64">
        <v>12403</v>
      </c>
      <c r="B6828" s="62">
        <v>45300</v>
      </c>
      <c r="C6828" s="63" t="s">
        <v>22753</v>
      </c>
      <c r="D6828" s="62">
        <v>45293</v>
      </c>
      <c r="E6828" s="63" t="s">
        <v>22754</v>
      </c>
      <c r="F6828" s="63" t="s">
        <v>693</v>
      </c>
      <c r="G6828" s="63" t="s">
        <v>189</v>
      </c>
      <c r="H6828" s="63" t="s">
        <v>189</v>
      </c>
      <c r="I6828" s="63" t="s">
        <v>21</v>
      </c>
      <c r="J6828" s="63" t="s">
        <v>22755</v>
      </c>
      <c r="K6828" s="63" t="s">
        <v>22756</v>
      </c>
      <c r="L6828" s="63" t="s">
        <v>21573</v>
      </c>
      <c r="M6828" s="63" t="s">
        <v>21</v>
      </c>
      <c r="O6828" s="22"/>
      <c r="P6828" s="65" t="s">
        <v>21</v>
      </c>
      <c r="Q6828" s="66" t="b">
        <v>0</v>
      </c>
      <c r="R6828" s="66"/>
      <c r="S6828" s="63" t="s">
        <v>21</v>
      </c>
    </row>
    <row r="6829" spans="1:19" ht="24">
      <c r="A6829" s="64">
        <v>12404</v>
      </c>
      <c r="B6829" s="62">
        <v>45300</v>
      </c>
      <c r="C6829" s="63" t="s">
        <v>22757</v>
      </c>
      <c r="D6829" s="62">
        <v>45295</v>
      </c>
      <c r="E6829" s="63" t="s">
        <v>22758</v>
      </c>
      <c r="F6829" s="63" t="s">
        <v>242</v>
      </c>
      <c r="G6829" s="63" t="s">
        <v>189</v>
      </c>
      <c r="H6829" s="63" t="s">
        <v>71</v>
      </c>
      <c r="I6829" s="63" t="s">
        <v>21</v>
      </c>
      <c r="J6829" s="63" t="s">
        <v>22759</v>
      </c>
      <c r="K6829" s="63" t="s">
        <v>22760</v>
      </c>
      <c r="L6829" s="63" t="s">
        <v>21573</v>
      </c>
      <c r="M6829" s="63" t="s">
        <v>21</v>
      </c>
      <c r="O6829" s="62">
        <v>45407</v>
      </c>
      <c r="P6829" s="65" t="s">
        <v>21</v>
      </c>
      <c r="Q6829" s="66" t="b">
        <v>0</v>
      </c>
      <c r="R6829" s="22">
        <f>IF(O6829=" ", " ", INT(YEARFRAC(O6829, B6829)*365))</f>
        <v>107</v>
      </c>
      <c r="S6829" s="63" t="s">
        <v>21621</v>
      </c>
    </row>
    <row r="6830" spans="1:19">
      <c r="A6830" s="64">
        <v>12405</v>
      </c>
      <c r="B6830" s="62">
        <v>45301</v>
      </c>
      <c r="C6830" s="63" t="s">
        <v>22761</v>
      </c>
      <c r="D6830" s="62">
        <v>45299</v>
      </c>
      <c r="E6830" s="63" t="s">
        <v>22762</v>
      </c>
      <c r="F6830" s="63" t="s">
        <v>11319</v>
      </c>
      <c r="G6830" s="63" t="s">
        <v>189</v>
      </c>
      <c r="H6830" s="63" t="s">
        <v>71</v>
      </c>
      <c r="I6830" s="63" t="s">
        <v>21</v>
      </c>
      <c r="J6830" s="63" t="s">
        <v>22763</v>
      </c>
      <c r="K6830" s="63" t="s">
        <v>22764</v>
      </c>
      <c r="L6830" s="63" t="s">
        <v>21573</v>
      </c>
      <c r="M6830" s="63" t="s">
        <v>21</v>
      </c>
      <c r="O6830" s="62">
        <v>45364</v>
      </c>
      <c r="P6830" s="65" t="s">
        <v>21</v>
      </c>
      <c r="Q6830" s="66" t="b">
        <v>0</v>
      </c>
      <c r="R6830" s="22">
        <f>IF(O6830=" ", " ", INT(YEARFRAC(O6830, B6830)*365))</f>
        <v>63</v>
      </c>
      <c r="S6830" s="63" t="s">
        <v>21</v>
      </c>
    </row>
    <row r="6831" spans="1:19" ht="24">
      <c r="A6831" s="64">
        <v>12406</v>
      </c>
      <c r="B6831" s="62">
        <v>45301</v>
      </c>
      <c r="C6831" s="63" t="s">
        <v>22765</v>
      </c>
      <c r="D6831" s="62">
        <v>45299</v>
      </c>
      <c r="E6831" s="63" t="s">
        <v>22766</v>
      </c>
      <c r="F6831" s="63" t="s">
        <v>22767</v>
      </c>
      <c r="G6831" s="63" t="s">
        <v>189</v>
      </c>
      <c r="H6831" s="63" t="s">
        <v>71</v>
      </c>
      <c r="I6831" s="63" t="s">
        <v>21</v>
      </c>
      <c r="J6831" s="63" t="s">
        <v>22768</v>
      </c>
      <c r="K6831" s="63" t="s">
        <v>22769</v>
      </c>
      <c r="L6831" s="63" t="s">
        <v>21573</v>
      </c>
      <c r="M6831" s="63" t="s">
        <v>21</v>
      </c>
      <c r="O6831" s="62">
        <v>45324</v>
      </c>
      <c r="P6831" s="65" t="s">
        <v>21</v>
      </c>
      <c r="Q6831" s="66" t="b">
        <v>0</v>
      </c>
      <c r="R6831" s="22">
        <f>IF(O6831=" ", " ", INT(YEARFRAC(O6831, B6831)*365))</f>
        <v>22</v>
      </c>
      <c r="S6831" s="63" t="s">
        <v>21</v>
      </c>
    </row>
    <row r="6832" spans="1:19" ht="36">
      <c r="A6832" s="64">
        <v>12407</v>
      </c>
      <c r="B6832" s="62">
        <v>45302</v>
      </c>
      <c r="C6832" s="63" t="s">
        <v>22770</v>
      </c>
      <c r="D6832" s="62">
        <v>45301</v>
      </c>
      <c r="E6832" s="63" t="s">
        <v>22771</v>
      </c>
      <c r="F6832" s="63" t="s">
        <v>2296</v>
      </c>
      <c r="G6832" s="63" t="s">
        <v>189</v>
      </c>
      <c r="H6832" s="63" t="s">
        <v>566</v>
      </c>
      <c r="I6832" s="63" t="s">
        <v>21</v>
      </c>
      <c r="J6832" s="63" t="s">
        <v>22772</v>
      </c>
      <c r="K6832" s="63" t="s">
        <v>20909</v>
      </c>
      <c r="L6832" s="63" t="s">
        <v>7167</v>
      </c>
      <c r="M6832" s="63" t="s">
        <v>21</v>
      </c>
      <c r="O6832" s="62">
        <v>45313</v>
      </c>
      <c r="P6832" s="65" t="s">
        <v>21</v>
      </c>
      <c r="Q6832" s="66" t="b">
        <v>0</v>
      </c>
      <c r="R6832" s="22">
        <f>IF(O6832=" ", " ", INT(YEARFRAC(O6832, B6832)*365))</f>
        <v>11</v>
      </c>
      <c r="S6832" s="63" t="s">
        <v>22157</v>
      </c>
    </row>
    <row r="6833" spans="1:19">
      <c r="A6833" s="64">
        <v>12408</v>
      </c>
      <c r="B6833" s="62">
        <v>45307</v>
      </c>
      <c r="C6833" s="63" t="s">
        <v>22773</v>
      </c>
      <c r="D6833" s="62">
        <v>45307</v>
      </c>
      <c r="E6833" s="63" t="s">
        <v>22774</v>
      </c>
      <c r="F6833" s="63" t="s">
        <v>22251</v>
      </c>
      <c r="G6833" s="63" t="s">
        <v>189</v>
      </c>
      <c r="H6833" s="63" t="s">
        <v>71</v>
      </c>
      <c r="I6833" s="63" t="s">
        <v>21</v>
      </c>
      <c r="J6833" s="63" t="s">
        <v>4690</v>
      </c>
      <c r="K6833" s="63" t="s">
        <v>22775</v>
      </c>
      <c r="L6833" s="63" t="s">
        <v>7167</v>
      </c>
      <c r="M6833" s="63" t="s">
        <v>21</v>
      </c>
      <c r="O6833" s="22"/>
      <c r="P6833" s="65" t="s">
        <v>21</v>
      </c>
      <c r="Q6833" s="66" t="b">
        <v>0</v>
      </c>
      <c r="R6833" s="66"/>
      <c r="S6833" s="63" t="s">
        <v>21</v>
      </c>
    </row>
    <row r="6834" spans="1:19" ht="24">
      <c r="A6834" s="64">
        <v>12409</v>
      </c>
      <c r="B6834" s="62">
        <v>45307</v>
      </c>
      <c r="C6834" s="63" t="s">
        <v>22776</v>
      </c>
      <c r="D6834" s="62">
        <v>45302</v>
      </c>
      <c r="E6834" s="63" t="s">
        <v>22777</v>
      </c>
      <c r="F6834" s="63" t="s">
        <v>1232</v>
      </c>
      <c r="G6834" s="63" t="s">
        <v>189</v>
      </c>
      <c r="H6834" s="63" t="s">
        <v>189</v>
      </c>
      <c r="I6834" s="63" t="s">
        <v>21</v>
      </c>
      <c r="J6834" s="63" t="s">
        <v>22778</v>
      </c>
      <c r="K6834" s="63" t="s">
        <v>22756</v>
      </c>
      <c r="L6834" s="63" t="s">
        <v>21573</v>
      </c>
      <c r="M6834" s="63" t="s">
        <v>21</v>
      </c>
      <c r="O6834" s="22"/>
      <c r="P6834" s="65" t="s">
        <v>21</v>
      </c>
      <c r="Q6834" s="66" t="b">
        <v>0</v>
      </c>
      <c r="R6834" s="66"/>
      <c r="S6834" s="63" t="s">
        <v>22754</v>
      </c>
    </row>
    <row r="6835" spans="1:19">
      <c r="A6835" s="64">
        <v>12410</v>
      </c>
      <c r="B6835" s="62">
        <v>45307</v>
      </c>
      <c r="C6835" s="63" t="s">
        <v>22779</v>
      </c>
      <c r="D6835" s="62">
        <v>45302</v>
      </c>
      <c r="E6835" s="63" t="s">
        <v>22780</v>
      </c>
      <c r="F6835" s="63" t="s">
        <v>70</v>
      </c>
      <c r="G6835" s="63" t="s">
        <v>189</v>
      </c>
      <c r="H6835" s="63" t="s">
        <v>71</v>
      </c>
      <c r="I6835" s="63" t="s">
        <v>21</v>
      </c>
      <c r="J6835" s="63" t="s">
        <v>22577</v>
      </c>
      <c r="K6835" s="63" t="s">
        <v>22781</v>
      </c>
      <c r="L6835" s="63" t="s">
        <v>21142</v>
      </c>
      <c r="M6835" s="63" t="s">
        <v>21</v>
      </c>
      <c r="O6835" s="22"/>
      <c r="P6835" s="65" t="s">
        <v>21</v>
      </c>
      <c r="Q6835" s="66" t="b">
        <v>0</v>
      </c>
      <c r="R6835" s="66"/>
      <c r="S6835" s="63" t="s">
        <v>21</v>
      </c>
    </row>
    <row r="6836" spans="1:19">
      <c r="A6836" s="64">
        <v>12411</v>
      </c>
      <c r="B6836" s="62">
        <v>45308</v>
      </c>
      <c r="C6836" s="63" t="s">
        <v>22782</v>
      </c>
      <c r="D6836" s="62">
        <v>45307</v>
      </c>
      <c r="E6836" s="63" t="s">
        <v>22783</v>
      </c>
      <c r="F6836" s="63" t="s">
        <v>70</v>
      </c>
      <c r="G6836" s="63" t="s">
        <v>189</v>
      </c>
      <c r="H6836" s="63" t="s">
        <v>71</v>
      </c>
      <c r="I6836" s="63" t="s">
        <v>21</v>
      </c>
      <c r="J6836" s="63" t="s">
        <v>22784</v>
      </c>
      <c r="K6836" s="63" t="s">
        <v>22785</v>
      </c>
      <c r="L6836" s="63" t="s">
        <v>22185</v>
      </c>
      <c r="M6836" s="63" t="s">
        <v>21</v>
      </c>
      <c r="O6836" s="62">
        <v>45349</v>
      </c>
      <c r="P6836" s="65" t="s">
        <v>21</v>
      </c>
      <c r="Q6836" s="66" t="b">
        <v>0</v>
      </c>
      <c r="R6836" s="22">
        <f>IF(O6836=" ", " ", INT(YEARFRAC(O6836, B6836)*365))</f>
        <v>40</v>
      </c>
      <c r="S6836" s="63" t="s">
        <v>21</v>
      </c>
    </row>
    <row r="6837" spans="1:19">
      <c r="A6837" s="64">
        <v>12412</v>
      </c>
      <c r="B6837" s="62">
        <v>45308</v>
      </c>
      <c r="C6837" s="63" t="s">
        <v>22786</v>
      </c>
      <c r="D6837" s="62">
        <v>45307</v>
      </c>
      <c r="E6837" s="63" t="s">
        <v>22787</v>
      </c>
      <c r="F6837" s="63" t="s">
        <v>439</v>
      </c>
      <c r="G6837" s="63" t="s">
        <v>189</v>
      </c>
      <c r="H6837" s="63" t="s">
        <v>71</v>
      </c>
      <c r="I6837" s="63" t="s">
        <v>21</v>
      </c>
      <c r="J6837" s="63" t="s">
        <v>9006</v>
      </c>
      <c r="K6837" s="63" t="s">
        <v>22788</v>
      </c>
      <c r="L6837" s="63" t="s">
        <v>22185</v>
      </c>
      <c r="M6837" s="63" t="s">
        <v>21</v>
      </c>
      <c r="O6837" s="62">
        <v>45359</v>
      </c>
      <c r="P6837" s="65" t="s">
        <v>21</v>
      </c>
      <c r="Q6837" s="66" t="b">
        <v>0</v>
      </c>
      <c r="R6837" s="22">
        <f>IF(O6837=" ", " ", INT(YEARFRAC(O6837, B6837)*365))</f>
        <v>51</v>
      </c>
      <c r="S6837" s="63" t="s">
        <v>21</v>
      </c>
    </row>
    <row r="6838" spans="1:19">
      <c r="A6838" s="64">
        <v>12413</v>
      </c>
      <c r="B6838" s="62">
        <v>45308</v>
      </c>
      <c r="C6838" s="63" t="s">
        <v>22789</v>
      </c>
      <c r="D6838" s="62">
        <v>45307</v>
      </c>
      <c r="E6838" s="63" t="s">
        <v>22790</v>
      </c>
      <c r="F6838" s="63" t="s">
        <v>861</v>
      </c>
      <c r="G6838" s="63" t="s">
        <v>189</v>
      </c>
      <c r="H6838" s="63" t="s">
        <v>566</v>
      </c>
      <c r="I6838" s="63" t="s">
        <v>21</v>
      </c>
      <c r="J6838" s="63" t="s">
        <v>22791</v>
      </c>
      <c r="K6838" s="63" t="s">
        <v>22792</v>
      </c>
      <c r="L6838" s="63" t="s">
        <v>22185</v>
      </c>
      <c r="M6838" s="63" t="s">
        <v>21</v>
      </c>
      <c r="O6838" s="62">
        <v>45359</v>
      </c>
      <c r="P6838" s="65" t="s">
        <v>21</v>
      </c>
      <c r="Q6838" s="66" t="b">
        <v>0</v>
      </c>
      <c r="R6838" s="22">
        <f>IF(O6838=" ", " ", INT(YEARFRAC(O6838, B6838)*365))</f>
        <v>51</v>
      </c>
      <c r="S6838" s="63" t="s">
        <v>21</v>
      </c>
    </row>
    <row r="6839" spans="1:19">
      <c r="A6839" s="64">
        <v>12414</v>
      </c>
      <c r="B6839" s="62">
        <v>45308</v>
      </c>
      <c r="C6839" s="63" t="s">
        <v>22793</v>
      </c>
      <c r="D6839" s="62">
        <v>45307</v>
      </c>
      <c r="E6839" s="63" t="s">
        <v>22794</v>
      </c>
      <c r="F6839" s="63" t="s">
        <v>367</v>
      </c>
      <c r="G6839" s="63" t="s">
        <v>189</v>
      </c>
      <c r="H6839" s="63" t="s">
        <v>71</v>
      </c>
      <c r="I6839" s="63" t="s">
        <v>21</v>
      </c>
      <c r="J6839" s="63" t="s">
        <v>22795</v>
      </c>
      <c r="K6839" s="63" t="s">
        <v>22796</v>
      </c>
      <c r="L6839" s="63" t="s">
        <v>22185</v>
      </c>
      <c r="M6839" s="63" t="s">
        <v>21</v>
      </c>
      <c r="O6839" s="62">
        <v>45656</v>
      </c>
      <c r="P6839" s="65" t="s">
        <v>21</v>
      </c>
      <c r="Q6839" s="66" t="b">
        <v>0</v>
      </c>
      <c r="R6839" s="22">
        <f>IF(O6839=" ", " ", INT(YEARFRAC(O6839, B6839)*365))</f>
        <v>347</v>
      </c>
      <c r="S6839" s="63" t="s">
        <v>21</v>
      </c>
    </row>
    <row r="6840" spans="1:19">
      <c r="A6840" s="64">
        <v>12415</v>
      </c>
      <c r="B6840" s="62">
        <v>45309</v>
      </c>
      <c r="C6840" s="63" t="s">
        <v>22797</v>
      </c>
      <c r="D6840" s="62">
        <v>45309</v>
      </c>
      <c r="E6840" s="63" t="s">
        <v>22798</v>
      </c>
      <c r="F6840" s="63" t="s">
        <v>10106</v>
      </c>
      <c r="G6840" s="63" t="s">
        <v>189</v>
      </c>
      <c r="H6840" s="63" t="s">
        <v>71</v>
      </c>
      <c r="I6840" s="63" t="s">
        <v>21</v>
      </c>
      <c r="J6840" s="63" t="s">
        <v>22799</v>
      </c>
      <c r="K6840" s="63" t="s">
        <v>22800</v>
      </c>
      <c r="L6840" s="63" t="s">
        <v>22185</v>
      </c>
      <c r="M6840" s="63" t="s">
        <v>21</v>
      </c>
      <c r="O6840" s="22"/>
      <c r="P6840" s="65" t="s">
        <v>21</v>
      </c>
      <c r="Q6840" s="66" t="b">
        <v>0</v>
      </c>
      <c r="R6840" s="66"/>
      <c r="S6840" s="63" t="s">
        <v>21</v>
      </c>
    </row>
    <row r="6841" spans="1:19">
      <c r="A6841" s="64">
        <v>12416</v>
      </c>
      <c r="B6841" s="62">
        <v>45310</v>
      </c>
      <c r="C6841" s="63" t="s">
        <v>22801</v>
      </c>
      <c r="D6841" s="62">
        <v>45308</v>
      </c>
      <c r="E6841" s="63" t="s">
        <v>38</v>
      </c>
      <c r="F6841" s="63" t="s">
        <v>22802</v>
      </c>
      <c r="G6841" s="63" t="s">
        <v>189</v>
      </c>
      <c r="H6841" s="63" t="s">
        <v>71</v>
      </c>
      <c r="I6841" s="63" t="s">
        <v>21</v>
      </c>
      <c r="J6841" s="63" t="s">
        <v>22803</v>
      </c>
      <c r="K6841" s="63" t="s">
        <v>22804</v>
      </c>
      <c r="L6841" s="63" t="s">
        <v>21142</v>
      </c>
      <c r="M6841" s="63" t="s">
        <v>21</v>
      </c>
      <c r="O6841" s="62">
        <v>45317</v>
      </c>
      <c r="P6841" s="65" t="s">
        <v>21</v>
      </c>
      <c r="Q6841" s="66" t="b">
        <v>0</v>
      </c>
      <c r="R6841" s="22">
        <f>IF(O6841=" ", " ", INT(YEARFRAC(O6841, B6841)*365))</f>
        <v>7</v>
      </c>
      <c r="S6841" s="63" t="s">
        <v>21</v>
      </c>
    </row>
    <row r="6842" spans="1:19">
      <c r="A6842" s="64">
        <v>12417</v>
      </c>
      <c r="B6842" s="62">
        <v>45313</v>
      </c>
      <c r="C6842" s="63" t="s">
        <v>22805</v>
      </c>
      <c r="D6842" s="62">
        <v>45310</v>
      </c>
      <c r="E6842" s="63" t="s">
        <v>22806</v>
      </c>
      <c r="F6842" s="63" t="s">
        <v>2882</v>
      </c>
      <c r="G6842" s="63" t="s">
        <v>189</v>
      </c>
      <c r="H6842" s="63" t="s">
        <v>566</v>
      </c>
      <c r="I6842" s="63" t="s">
        <v>21</v>
      </c>
      <c r="J6842" s="63" t="s">
        <v>22807</v>
      </c>
      <c r="K6842" s="63" t="s">
        <v>22808</v>
      </c>
      <c r="L6842" s="63" t="s">
        <v>22185</v>
      </c>
      <c r="M6842" s="63" t="s">
        <v>21</v>
      </c>
      <c r="O6842" s="62">
        <v>45371</v>
      </c>
      <c r="P6842" s="65" t="s">
        <v>21</v>
      </c>
      <c r="Q6842" s="66" t="b">
        <v>0</v>
      </c>
      <c r="R6842" s="22">
        <f>IF(O6842=" ", " ", INT(YEARFRAC(O6842, B6842)*365))</f>
        <v>58</v>
      </c>
      <c r="S6842" s="63" t="s">
        <v>21</v>
      </c>
    </row>
    <row r="6843" spans="1:19">
      <c r="A6843" s="64">
        <v>12418</v>
      </c>
      <c r="B6843" s="62">
        <v>45314</v>
      </c>
      <c r="C6843" s="63" t="s">
        <v>22809</v>
      </c>
      <c r="D6843" s="62">
        <v>45310</v>
      </c>
      <c r="E6843" s="63" t="s">
        <v>22810</v>
      </c>
      <c r="F6843" s="63" t="s">
        <v>145</v>
      </c>
      <c r="G6843" s="63" t="s">
        <v>189</v>
      </c>
      <c r="H6843" s="63" t="s">
        <v>71</v>
      </c>
      <c r="I6843" s="63" t="s">
        <v>21</v>
      </c>
      <c r="J6843" s="63" t="s">
        <v>22811</v>
      </c>
      <c r="K6843" s="63" t="s">
        <v>16399</v>
      </c>
      <c r="L6843" s="63" t="s">
        <v>4282</v>
      </c>
      <c r="M6843" s="63" t="s">
        <v>21</v>
      </c>
      <c r="O6843" s="22"/>
      <c r="P6843" s="65" t="s">
        <v>21</v>
      </c>
      <c r="Q6843" s="66" t="b">
        <v>0</v>
      </c>
      <c r="R6843" s="66"/>
      <c r="S6843" s="63" t="s">
        <v>21</v>
      </c>
    </row>
    <row r="6844" spans="1:19">
      <c r="A6844" s="64">
        <v>12419</v>
      </c>
      <c r="B6844" s="62">
        <v>45315</v>
      </c>
      <c r="C6844" s="63" t="s">
        <v>22812</v>
      </c>
      <c r="D6844" s="62">
        <v>45302</v>
      </c>
      <c r="E6844" s="63" t="s">
        <v>22813</v>
      </c>
      <c r="F6844" s="63" t="s">
        <v>137</v>
      </c>
      <c r="G6844" s="63" t="s">
        <v>189</v>
      </c>
      <c r="H6844" s="63" t="s">
        <v>71</v>
      </c>
      <c r="I6844" s="63" t="s">
        <v>21</v>
      </c>
      <c r="J6844" s="63" t="s">
        <v>22814</v>
      </c>
      <c r="K6844" s="63" t="s">
        <v>22815</v>
      </c>
      <c r="L6844" s="63" t="s">
        <v>21243</v>
      </c>
      <c r="M6844" s="63" t="s">
        <v>21</v>
      </c>
      <c r="O6844" s="62">
        <v>45349</v>
      </c>
      <c r="P6844" s="65" t="s">
        <v>21</v>
      </c>
      <c r="Q6844" s="66" t="b">
        <v>0</v>
      </c>
      <c r="R6844" s="22">
        <f t="shared" ref="R6844:R6849" si="151">IF(O6844=" ", " ", INT(YEARFRAC(O6844, B6844)*365))</f>
        <v>33</v>
      </c>
      <c r="S6844" s="63" t="s">
        <v>21</v>
      </c>
    </row>
    <row r="6845" spans="1:19">
      <c r="A6845" s="64">
        <v>12420</v>
      </c>
      <c r="B6845" s="62">
        <v>45315</v>
      </c>
      <c r="C6845" s="63" t="s">
        <v>22816</v>
      </c>
      <c r="D6845" s="62">
        <v>45315</v>
      </c>
      <c r="E6845" s="63" t="s">
        <v>38</v>
      </c>
      <c r="F6845" s="63" t="s">
        <v>1743</v>
      </c>
      <c r="G6845" s="63" t="s">
        <v>189</v>
      </c>
      <c r="H6845" s="63" t="s">
        <v>71</v>
      </c>
      <c r="I6845" s="63" t="s">
        <v>21</v>
      </c>
      <c r="J6845" s="63" t="s">
        <v>22817</v>
      </c>
      <c r="K6845" s="63" t="s">
        <v>22818</v>
      </c>
      <c r="L6845" s="63" t="s">
        <v>22185</v>
      </c>
      <c r="M6845" s="63" t="s">
        <v>21</v>
      </c>
      <c r="O6845" s="62">
        <v>45322</v>
      </c>
      <c r="P6845" s="65" t="s">
        <v>21</v>
      </c>
      <c r="Q6845" s="66" t="b">
        <v>0</v>
      </c>
      <c r="R6845" s="22">
        <f t="shared" si="151"/>
        <v>7</v>
      </c>
      <c r="S6845" s="63" t="s">
        <v>21</v>
      </c>
    </row>
    <row r="6846" spans="1:19">
      <c r="A6846" s="64">
        <v>12421</v>
      </c>
      <c r="B6846" s="62">
        <v>45315</v>
      </c>
      <c r="C6846" s="63" t="s">
        <v>22819</v>
      </c>
      <c r="D6846" s="62">
        <v>45315</v>
      </c>
      <c r="E6846" s="63" t="s">
        <v>38</v>
      </c>
      <c r="F6846" s="63" t="s">
        <v>1743</v>
      </c>
      <c r="G6846" s="63" t="s">
        <v>189</v>
      </c>
      <c r="H6846" s="63" t="s">
        <v>71</v>
      </c>
      <c r="I6846" s="63" t="s">
        <v>21</v>
      </c>
      <c r="J6846" s="63" t="s">
        <v>22820</v>
      </c>
      <c r="K6846" s="63" t="s">
        <v>15976</v>
      </c>
      <c r="L6846" s="63" t="s">
        <v>22185</v>
      </c>
      <c r="M6846" s="63" t="s">
        <v>21</v>
      </c>
      <c r="O6846" s="62">
        <v>45322</v>
      </c>
      <c r="P6846" s="65" t="s">
        <v>21</v>
      </c>
      <c r="Q6846" s="66" t="b">
        <v>0</v>
      </c>
      <c r="R6846" s="22">
        <f t="shared" si="151"/>
        <v>7</v>
      </c>
      <c r="S6846" s="63" t="s">
        <v>21</v>
      </c>
    </row>
    <row r="6847" spans="1:19" ht="36">
      <c r="A6847" s="64">
        <v>12422</v>
      </c>
      <c r="B6847" s="62">
        <v>45316</v>
      </c>
      <c r="C6847" s="63" t="s">
        <v>22821</v>
      </c>
      <c r="D6847" s="62">
        <v>45315</v>
      </c>
      <c r="E6847" s="63" t="s">
        <v>22822</v>
      </c>
      <c r="F6847" s="63" t="s">
        <v>345</v>
      </c>
      <c r="G6847" s="63" t="s">
        <v>189</v>
      </c>
      <c r="H6847" s="63" t="s">
        <v>71</v>
      </c>
      <c r="I6847" s="63" t="s">
        <v>21</v>
      </c>
      <c r="J6847" s="63" t="s">
        <v>22823</v>
      </c>
      <c r="K6847" s="63" t="s">
        <v>22824</v>
      </c>
      <c r="L6847" s="63" t="s">
        <v>22185</v>
      </c>
      <c r="M6847" s="63" t="s">
        <v>21</v>
      </c>
      <c r="O6847" s="62">
        <v>45652</v>
      </c>
      <c r="P6847" s="65" t="s">
        <v>21</v>
      </c>
      <c r="Q6847" s="66" t="b">
        <v>0</v>
      </c>
      <c r="R6847" s="22">
        <f t="shared" si="151"/>
        <v>335</v>
      </c>
      <c r="S6847" s="63" t="s">
        <v>22157</v>
      </c>
    </row>
    <row r="6848" spans="1:19">
      <c r="A6848" s="64">
        <v>12424</v>
      </c>
      <c r="B6848" s="62">
        <v>45321</v>
      </c>
      <c r="C6848" s="63" t="s">
        <v>22825</v>
      </c>
      <c r="D6848" s="62">
        <v>45321</v>
      </c>
      <c r="E6848" s="63" t="s">
        <v>38</v>
      </c>
      <c r="F6848" s="63" t="s">
        <v>1743</v>
      </c>
      <c r="G6848" s="63" t="s">
        <v>189</v>
      </c>
      <c r="H6848" s="63" t="s">
        <v>71</v>
      </c>
      <c r="I6848" s="63" t="s">
        <v>21</v>
      </c>
      <c r="J6848" s="63" t="s">
        <v>15701</v>
      </c>
      <c r="K6848" s="63" t="s">
        <v>5932</v>
      </c>
      <c r="L6848" s="63" t="s">
        <v>21243</v>
      </c>
      <c r="M6848" s="63" t="s">
        <v>21</v>
      </c>
      <c r="O6848" s="62">
        <v>45322</v>
      </c>
      <c r="P6848" s="65" t="s">
        <v>21</v>
      </c>
      <c r="Q6848" s="66" t="b">
        <v>0</v>
      </c>
      <c r="R6848" s="22">
        <f t="shared" si="151"/>
        <v>0</v>
      </c>
      <c r="S6848" s="63" t="s">
        <v>21</v>
      </c>
    </row>
    <row r="6849" spans="1:19">
      <c r="A6849" s="64">
        <v>12425</v>
      </c>
      <c r="B6849" s="62">
        <v>45321</v>
      </c>
      <c r="C6849" s="63" t="s">
        <v>22826</v>
      </c>
      <c r="D6849" s="62">
        <v>45321</v>
      </c>
      <c r="E6849" s="63" t="s">
        <v>1928</v>
      </c>
      <c r="F6849" s="63" t="s">
        <v>1743</v>
      </c>
      <c r="G6849" s="63" t="s">
        <v>189</v>
      </c>
      <c r="H6849" s="63" t="s">
        <v>71</v>
      </c>
      <c r="I6849" s="63" t="s">
        <v>21</v>
      </c>
      <c r="J6849" s="63" t="s">
        <v>22827</v>
      </c>
      <c r="K6849" s="63" t="s">
        <v>22828</v>
      </c>
      <c r="L6849" s="63" t="s">
        <v>4282</v>
      </c>
      <c r="M6849" s="63" t="s">
        <v>21</v>
      </c>
      <c r="N6849" s="45">
        <v>45335</v>
      </c>
      <c r="O6849" s="62">
        <v>45321</v>
      </c>
      <c r="P6849" s="65" t="s">
        <v>21</v>
      </c>
      <c r="Q6849" s="66" t="b">
        <v>0</v>
      </c>
      <c r="R6849" s="22">
        <f t="shared" si="151"/>
        <v>0</v>
      </c>
      <c r="S6849" s="63" t="s">
        <v>21</v>
      </c>
    </row>
    <row r="6850" spans="1:19">
      <c r="A6850" s="64">
        <v>12426</v>
      </c>
      <c r="B6850" s="62">
        <v>45321</v>
      </c>
      <c r="C6850" s="63" t="s">
        <v>22829</v>
      </c>
      <c r="D6850" s="62">
        <v>45310</v>
      </c>
      <c r="E6850" s="63" t="s">
        <v>22830</v>
      </c>
      <c r="F6850" s="63" t="s">
        <v>8615</v>
      </c>
      <c r="G6850" s="63" t="s">
        <v>189</v>
      </c>
      <c r="H6850" s="63" t="s">
        <v>71</v>
      </c>
      <c r="I6850" s="63" t="s">
        <v>21</v>
      </c>
      <c r="J6850" s="63" t="s">
        <v>22831</v>
      </c>
      <c r="K6850" s="63" t="s">
        <v>22346</v>
      </c>
      <c r="L6850" s="63" t="s">
        <v>22185</v>
      </c>
      <c r="M6850" s="63" t="s">
        <v>21</v>
      </c>
      <c r="O6850" s="22"/>
      <c r="P6850" s="65" t="s">
        <v>21</v>
      </c>
      <c r="Q6850" s="66" t="b">
        <v>0</v>
      </c>
      <c r="R6850" s="66"/>
      <c r="S6850" s="63" t="s">
        <v>21</v>
      </c>
    </row>
    <row r="6851" spans="1:19">
      <c r="A6851" s="64">
        <v>12427</v>
      </c>
      <c r="B6851" s="62">
        <v>45321</v>
      </c>
      <c r="C6851" s="63" t="s">
        <v>22832</v>
      </c>
      <c r="D6851" s="62">
        <v>45321</v>
      </c>
      <c r="E6851" s="63" t="s">
        <v>22833</v>
      </c>
      <c r="F6851" s="63" t="s">
        <v>21665</v>
      </c>
      <c r="G6851" s="63" t="s">
        <v>189</v>
      </c>
      <c r="H6851" s="63" t="s">
        <v>71</v>
      </c>
      <c r="I6851" s="63" t="s">
        <v>21</v>
      </c>
      <c r="J6851" s="63" t="s">
        <v>22834</v>
      </c>
      <c r="K6851" s="63" t="s">
        <v>22835</v>
      </c>
      <c r="L6851" s="63" t="s">
        <v>22185</v>
      </c>
      <c r="M6851" s="63" t="s">
        <v>21</v>
      </c>
      <c r="O6851" s="62">
        <v>45349</v>
      </c>
      <c r="P6851" s="65" t="s">
        <v>21</v>
      </c>
      <c r="Q6851" s="66" t="b">
        <v>0</v>
      </c>
      <c r="R6851" s="22">
        <f>IF(O6851=" ", " ", INT(YEARFRAC(O6851, B6851)*365))</f>
        <v>27</v>
      </c>
      <c r="S6851" s="63" t="s">
        <v>21</v>
      </c>
    </row>
    <row r="6852" spans="1:19">
      <c r="A6852" s="64">
        <v>12428</v>
      </c>
      <c r="B6852" s="62">
        <v>45321</v>
      </c>
      <c r="C6852" s="63" t="s">
        <v>22836</v>
      </c>
      <c r="D6852" s="62">
        <v>45315</v>
      </c>
      <c r="E6852" s="63" t="s">
        <v>22837</v>
      </c>
      <c r="F6852" s="63" t="s">
        <v>13477</v>
      </c>
      <c r="G6852" s="63" t="s">
        <v>189</v>
      </c>
      <c r="H6852" s="63" t="s">
        <v>71</v>
      </c>
      <c r="I6852" s="63" t="s">
        <v>21</v>
      </c>
      <c r="J6852" s="63" t="s">
        <v>22838</v>
      </c>
      <c r="K6852" s="63" t="s">
        <v>14438</v>
      </c>
      <c r="L6852" s="63" t="s">
        <v>4282</v>
      </c>
      <c r="M6852" s="63" t="s">
        <v>21</v>
      </c>
      <c r="O6852" s="22"/>
      <c r="P6852" s="65" t="s">
        <v>21</v>
      </c>
      <c r="Q6852" s="66" t="b">
        <v>0</v>
      </c>
      <c r="R6852" s="66"/>
      <c r="S6852" s="63" t="s">
        <v>21</v>
      </c>
    </row>
    <row r="6853" spans="1:19">
      <c r="A6853" s="64">
        <v>12429</v>
      </c>
      <c r="B6853" s="62">
        <v>45322</v>
      </c>
      <c r="C6853" s="63" t="s">
        <v>22839</v>
      </c>
      <c r="D6853" s="62">
        <v>45321</v>
      </c>
      <c r="E6853" s="63" t="s">
        <v>22840</v>
      </c>
      <c r="F6853" s="63" t="s">
        <v>216</v>
      </c>
      <c r="G6853" s="63" t="s">
        <v>189</v>
      </c>
      <c r="H6853" s="63" t="s">
        <v>71</v>
      </c>
      <c r="I6853" s="63" t="s">
        <v>21</v>
      </c>
      <c r="J6853" s="63" t="s">
        <v>22841</v>
      </c>
      <c r="K6853" s="63" t="s">
        <v>22842</v>
      </c>
      <c r="L6853" s="63" t="s">
        <v>22185</v>
      </c>
      <c r="M6853" s="63" t="s">
        <v>21</v>
      </c>
      <c r="O6853" s="22"/>
      <c r="P6853" s="65" t="s">
        <v>21</v>
      </c>
      <c r="Q6853" s="66" t="b">
        <v>0</v>
      </c>
      <c r="R6853" s="66"/>
      <c r="S6853" s="63" t="s">
        <v>21</v>
      </c>
    </row>
    <row r="6854" spans="1:19">
      <c r="A6854" s="64">
        <v>12430</v>
      </c>
      <c r="B6854" s="62">
        <v>45324</v>
      </c>
      <c r="C6854" s="63" t="s">
        <v>22843</v>
      </c>
      <c r="D6854" s="62">
        <v>45324</v>
      </c>
      <c r="E6854" s="63" t="s">
        <v>22844</v>
      </c>
      <c r="F6854" s="63" t="s">
        <v>104</v>
      </c>
      <c r="G6854" s="63" t="s">
        <v>189</v>
      </c>
      <c r="H6854" s="63" t="s">
        <v>71</v>
      </c>
      <c r="I6854" s="63" t="s">
        <v>21</v>
      </c>
      <c r="J6854" s="63" t="s">
        <v>22845</v>
      </c>
      <c r="K6854" s="63" t="s">
        <v>22846</v>
      </c>
      <c r="L6854" s="63" t="s">
        <v>21142</v>
      </c>
      <c r="M6854" s="63" t="s">
        <v>21</v>
      </c>
      <c r="O6854" s="62">
        <v>45348</v>
      </c>
      <c r="P6854" s="65" t="s">
        <v>21</v>
      </c>
      <c r="Q6854" s="66" t="b">
        <v>0</v>
      </c>
      <c r="R6854" s="22">
        <f>IF(O6854=" ", " ", INT(YEARFRAC(O6854, B6854)*365))</f>
        <v>24</v>
      </c>
      <c r="S6854" s="63" t="s">
        <v>21</v>
      </c>
    </row>
    <row r="6855" spans="1:19">
      <c r="A6855" s="64">
        <v>12431</v>
      </c>
      <c r="B6855" s="62">
        <v>45324</v>
      </c>
      <c r="C6855" s="63" t="s">
        <v>22847</v>
      </c>
      <c r="D6855" s="62">
        <v>45323</v>
      </c>
      <c r="E6855" s="63" t="s">
        <v>22848</v>
      </c>
      <c r="F6855" s="63" t="s">
        <v>85</v>
      </c>
      <c r="G6855" s="63" t="s">
        <v>189</v>
      </c>
      <c r="H6855" s="63" t="s">
        <v>71</v>
      </c>
      <c r="I6855" s="63" t="s">
        <v>21</v>
      </c>
      <c r="J6855" s="63" t="s">
        <v>22849</v>
      </c>
      <c r="K6855" s="63" t="s">
        <v>15701</v>
      </c>
      <c r="L6855" s="63" t="s">
        <v>22185</v>
      </c>
      <c r="M6855" s="63" t="s">
        <v>21</v>
      </c>
      <c r="O6855" s="62">
        <v>45351</v>
      </c>
      <c r="P6855" s="65" t="s">
        <v>21</v>
      </c>
      <c r="Q6855" s="66" t="b">
        <v>0</v>
      </c>
      <c r="R6855" s="22">
        <f>IF(O6855=" ", " ", INT(YEARFRAC(O6855, B6855)*365))</f>
        <v>27</v>
      </c>
      <c r="S6855" s="63" t="s">
        <v>21</v>
      </c>
    </row>
    <row r="6856" spans="1:19">
      <c r="A6856" s="64">
        <v>12433</v>
      </c>
      <c r="B6856" s="62">
        <v>45331</v>
      </c>
      <c r="C6856" s="63" t="s">
        <v>22850</v>
      </c>
      <c r="D6856" s="62">
        <v>45330</v>
      </c>
      <c r="E6856" s="63" t="s">
        <v>22851</v>
      </c>
      <c r="F6856" s="63" t="s">
        <v>6752</v>
      </c>
      <c r="G6856" s="63" t="s">
        <v>20</v>
      </c>
      <c r="H6856" s="63" t="s">
        <v>21</v>
      </c>
      <c r="I6856" s="63" t="s">
        <v>21</v>
      </c>
      <c r="J6856" s="63" t="s">
        <v>22852</v>
      </c>
      <c r="K6856" s="63" t="s">
        <v>22853</v>
      </c>
      <c r="L6856" s="63" t="s">
        <v>22185</v>
      </c>
      <c r="M6856" s="63" t="s">
        <v>21</v>
      </c>
      <c r="O6856" s="22"/>
      <c r="P6856" s="65" t="s">
        <v>21</v>
      </c>
      <c r="Q6856" s="66" t="b">
        <v>0</v>
      </c>
      <c r="R6856" s="66"/>
      <c r="S6856" s="63" t="s">
        <v>21</v>
      </c>
    </row>
    <row r="6857" spans="1:19">
      <c r="A6857" s="64">
        <v>12435</v>
      </c>
      <c r="B6857" s="62">
        <v>45334</v>
      </c>
      <c r="C6857" s="63" t="s">
        <v>22850</v>
      </c>
      <c r="D6857" s="62">
        <v>45331</v>
      </c>
      <c r="E6857" s="63" t="s">
        <v>22855</v>
      </c>
      <c r="F6857" s="63" t="s">
        <v>242</v>
      </c>
      <c r="G6857" s="63" t="s">
        <v>189</v>
      </c>
      <c r="H6857" s="63" t="s">
        <v>71</v>
      </c>
      <c r="I6857" s="63" t="s">
        <v>21</v>
      </c>
      <c r="J6857" s="63" t="s">
        <v>21893</v>
      </c>
      <c r="K6857" s="63" t="s">
        <v>22857</v>
      </c>
      <c r="L6857" s="63" t="s">
        <v>22185</v>
      </c>
      <c r="M6857" s="63" t="s">
        <v>21</v>
      </c>
      <c r="O6857" s="62">
        <v>45376</v>
      </c>
      <c r="P6857" s="65" t="s">
        <v>21</v>
      </c>
      <c r="Q6857" s="66" t="b">
        <v>0</v>
      </c>
      <c r="R6857" s="22">
        <f t="shared" ref="R6857:R6868" si="152">IF(O6857=" ", " ", INT(YEARFRAC(O6857, B6857)*365))</f>
        <v>43</v>
      </c>
      <c r="S6857" s="63" t="s">
        <v>21</v>
      </c>
    </row>
    <row r="6858" spans="1:19">
      <c r="A6858" s="64">
        <v>12434</v>
      </c>
      <c r="B6858" s="62">
        <v>45338</v>
      </c>
      <c r="C6858" s="63" t="s">
        <v>22854</v>
      </c>
      <c r="D6858" s="62">
        <v>45337</v>
      </c>
      <c r="E6858" s="63" t="s">
        <v>22855</v>
      </c>
      <c r="F6858" s="63" t="s">
        <v>861</v>
      </c>
      <c r="G6858" s="63" t="s">
        <v>189</v>
      </c>
      <c r="H6858" s="63" t="s">
        <v>566</v>
      </c>
      <c r="I6858" s="63" t="s">
        <v>21</v>
      </c>
      <c r="J6858" s="63" t="s">
        <v>22856</v>
      </c>
      <c r="K6858" s="63" t="s">
        <v>13842</v>
      </c>
      <c r="L6858" s="63" t="s">
        <v>22185</v>
      </c>
      <c r="M6858" s="63" t="s">
        <v>21</v>
      </c>
      <c r="O6858" s="62">
        <v>45351</v>
      </c>
      <c r="P6858" s="65" t="s">
        <v>21</v>
      </c>
      <c r="Q6858" s="66" t="b">
        <v>0</v>
      </c>
      <c r="R6858" s="22">
        <f t="shared" si="152"/>
        <v>13</v>
      </c>
      <c r="S6858" s="63" t="s">
        <v>21</v>
      </c>
    </row>
    <row r="6859" spans="1:19">
      <c r="A6859" s="64">
        <v>12436</v>
      </c>
      <c r="B6859" s="62">
        <v>45342</v>
      </c>
      <c r="C6859" s="63" t="s">
        <v>22858</v>
      </c>
      <c r="D6859" s="62">
        <v>45342</v>
      </c>
      <c r="E6859" s="63" t="s">
        <v>22859</v>
      </c>
      <c r="F6859" s="63" t="s">
        <v>2296</v>
      </c>
      <c r="G6859" s="63" t="s">
        <v>189</v>
      </c>
      <c r="H6859" s="63" t="s">
        <v>566</v>
      </c>
      <c r="I6859" s="63" t="s">
        <v>21</v>
      </c>
      <c r="J6859" s="63" t="s">
        <v>22860</v>
      </c>
      <c r="K6859" s="63" t="s">
        <v>22861</v>
      </c>
      <c r="L6859" s="63" t="s">
        <v>22185</v>
      </c>
      <c r="M6859" s="63" t="s">
        <v>21</v>
      </c>
      <c r="O6859" s="62">
        <v>45376</v>
      </c>
      <c r="P6859" s="65" t="s">
        <v>21</v>
      </c>
      <c r="Q6859" s="66" t="b">
        <v>0</v>
      </c>
      <c r="R6859" s="22">
        <f t="shared" si="152"/>
        <v>35</v>
      </c>
      <c r="S6859" s="63" t="s">
        <v>21</v>
      </c>
    </row>
    <row r="6860" spans="1:19">
      <c r="A6860" s="64">
        <v>12437</v>
      </c>
      <c r="B6860" s="62">
        <v>45344</v>
      </c>
      <c r="C6860" s="63" t="s">
        <v>22862</v>
      </c>
      <c r="D6860" s="62">
        <v>45344</v>
      </c>
      <c r="E6860" s="63" t="s">
        <v>22863</v>
      </c>
      <c r="F6860" s="63" t="s">
        <v>12660</v>
      </c>
      <c r="G6860" s="63" t="s">
        <v>189</v>
      </c>
      <c r="H6860" s="63" t="s">
        <v>212</v>
      </c>
      <c r="I6860" s="63" t="s">
        <v>21</v>
      </c>
      <c r="J6860" s="63" t="s">
        <v>22864</v>
      </c>
      <c r="K6860" s="63" t="s">
        <v>3052</v>
      </c>
      <c r="L6860" s="63" t="s">
        <v>22185</v>
      </c>
      <c r="M6860" s="63" t="s">
        <v>21</v>
      </c>
      <c r="O6860" s="62">
        <v>45372</v>
      </c>
      <c r="P6860" s="65" t="s">
        <v>21</v>
      </c>
      <c r="Q6860" s="66" t="b">
        <v>0</v>
      </c>
      <c r="R6860" s="22">
        <f t="shared" si="152"/>
        <v>29</v>
      </c>
      <c r="S6860" s="63" t="s">
        <v>21</v>
      </c>
    </row>
    <row r="6861" spans="1:19">
      <c r="A6861" s="64">
        <v>12438</v>
      </c>
      <c r="B6861" s="62">
        <v>45344</v>
      </c>
      <c r="C6861" s="63" t="s">
        <v>22865</v>
      </c>
      <c r="D6861" s="62">
        <v>45344</v>
      </c>
      <c r="E6861" s="63" t="s">
        <v>22866</v>
      </c>
      <c r="F6861" s="63" t="s">
        <v>14305</v>
      </c>
      <c r="G6861" s="63" t="s">
        <v>189</v>
      </c>
      <c r="H6861" s="63" t="s">
        <v>71</v>
      </c>
      <c r="I6861" s="63" t="s">
        <v>21</v>
      </c>
      <c r="J6861" s="63" t="s">
        <v>3052</v>
      </c>
      <c r="K6861" s="63" t="s">
        <v>22867</v>
      </c>
      <c r="L6861" s="63" t="s">
        <v>22185</v>
      </c>
      <c r="M6861" s="63" t="s">
        <v>21</v>
      </c>
      <c r="O6861" s="62">
        <v>45372</v>
      </c>
      <c r="P6861" s="65" t="s">
        <v>21</v>
      </c>
      <c r="Q6861" s="66" t="b">
        <v>0</v>
      </c>
      <c r="R6861" s="22">
        <f t="shared" si="152"/>
        <v>29</v>
      </c>
      <c r="S6861" s="63" t="s">
        <v>21</v>
      </c>
    </row>
    <row r="6862" spans="1:19">
      <c r="A6862" s="64">
        <v>12439</v>
      </c>
      <c r="B6862" s="62">
        <v>45345</v>
      </c>
      <c r="C6862" s="63" t="s">
        <v>22868</v>
      </c>
      <c r="D6862" s="62">
        <v>45344</v>
      </c>
      <c r="E6862" s="63" t="s">
        <v>22869</v>
      </c>
      <c r="F6862" s="63" t="s">
        <v>20707</v>
      </c>
      <c r="G6862" s="63" t="s">
        <v>189</v>
      </c>
      <c r="H6862" s="63" t="s">
        <v>566</v>
      </c>
      <c r="I6862" s="63" t="s">
        <v>21</v>
      </c>
      <c r="J6862" s="63" t="s">
        <v>22870</v>
      </c>
      <c r="K6862" s="63" t="s">
        <v>22871</v>
      </c>
      <c r="L6862" s="63" t="s">
        <v>22185</v>
      </c>
      <c r="M6862" s="63" t="s">
        <v>21</v>
      </c>
      <c r="O6862" s="62">
        <v>45386</v>
      </c>
      <c r="P6862" s="65" t="s">
        <v>21</v>
      </c>
      <c r="Q6862" s="66" t="b">
        <v>0</v>
      </c>
      <c r="R6862" s="22">
        <f t="shared" si="152"/>
        <v>41</v>
      </c>
      <c r="S6862" s="63" t="s">
        <v>21</v>
      </c>
    </row>
    <row r="6863" spans="1:19">
      <c r="A6863" s="64">
        <v>12440</v>
      </c>
      <c r="B6863" s="62">
        <v>45348</v>
      </c>
      <c r="C6863" s="63" t="s">
        <v>22872</v>
      </c>
      <c r="D6863" s="62">
        <v>45348</v>
      </c>
      <c r="E6863" s="63" t="s">
        <v>22873</v>
      </c>
      <c r="F6863" s="63" t="s">
        <v>760</v>
      </c>
      <c r="G6863" s="63" t="s">
        <v>189</v>
      </c>
      <c r="H6863" s="63" t="s">
        <v>212</v>
      </c>
      <c r="I6863" s="63" t="s">
        <v>21</v>
      </c>
      <c r="J6863" s="63" t="s">
        <v>3052</v>
      </c>
      <c r="K6863" s="63" t="s">
        <v>22867</v>
      </c>
      <c r="L6863" s="63" t="s">
        <v>21573</v>
      </c>
      <c r="M6863" s="63" t="s">
        <v>21</v>
      </c>
      <c r="O6863" s="62">
        <v>45350</v>
      </c>
      <c r="P6863" s="65" t="s">
        <v>21</v>
      </c>
      <c r="Q6863" s="66" t="b">
        <v>0</v>
      </c>
      <c r="R6863" s="22">
        <f t="shared" si="152"/>
        <v>2</v>
      </c>
      <c r="S6863" s="63" t="s">
        <v>21</v>
      </c>
    </row>
    <row r="6864" spans="1:19">
      <c r="A6864" s="64">
        <v>12441</v>
      </c>
      <c r="B6864" s="62">
        <v>45349</v>
      </c>
      <c r="C6864" s="63" t="s">
        <v>22874</v>
      </c>
      <c r="D6864" s="62">
        <v>45349</v>
      </c>
      <c r="E6864" s="63" t="s">
        <v>38</v>
      </c>
      <c r="F6864" s="63" t="s">
        <v>1743</v>
      </c>
      <c r="G6864" s="63" t="s">
        <v>189</v>
      </c>
      <c r="H6864" s="63" t="s">
        <v>71</v>
      </c>
      <c r="I6864" s="63" t="s">
        <v>21</v>
      </c>
      <c r="J6864" s="63" t="s">
        <v>22875</v>
      </c>
      <c r="K6864" s="63" t="s">
        <v>22876</v>
      </c>
      <c r="L6864" s="63" t="s">
        <v>21243</v>
      </c>
      <c r="M6864" s="63" t="s">
        <v>21</v>
      </c>
      <c r="O6864" s="62">
        <v>45350</v>
      </c>
      <c r="P6864" s="65" t="s">
        <v>21</v>
      </c>
      <c r="Q6864" s="66" t="b">
        <v>0</v>
      </c>
      <c r="R6864" s="22">
        <f t="shared" si="152"/>
        <v>1</v>
      </c>
      <c r="S6864" s="63" t="s">
        <v>21</v>
      </c>
    </row>
    <row r="6865" spans="1:19">
      <c r="A6865" s="64">
        <v>12442</v>
      </c>
      <c r="B6865" s="62">
        <v>45349</v>
      </c>
      <c r="C6865" s="63" t="s">
        <v>22877</v>
      </c>
      <c r="D6865" s="62">
        <v>45349</v>
      </c>
      <c r="E6865" s="63" t="s">
        <v>38</v>
      </c>
      <c r="F6865" s="63" t="s">
        <v>1743</v>
      </c>
      <c r="G6865" s="63" t="s">
        <v>189</v>
      </c>
      <c r="H6865" s="63" t="s">
        <v>71</v>
      </c>
      <c r="I6865" s="63" t="s">
        <v>21</v>
      </c>
      <c r="J6865" s="63" t="s">
        <v>1639</v>
      </c>
      <c r="K6865" s="63" t="s">
        <v>22878</v>
      </c>
      <c r="L6865" s="63" t="s">
        <v>21142</v>
      </c>
      <c r="M6865" s="63" t="s">
        <v>21</v>
      </c>
      <c r="O6865" s="62">
        <v>45350</v>
      </c>
      <c r="P6865" s="65" t="s">
        <v>21</v>
      </c>
      <c r="Q6865" s="66" t="b">
        <v>0</v>
      </c>
      <c r="R6865" s="22">
        <f t="shared" si="152"/>
        <v>1</v>
      </c>
      <c r="S6865" s="63" t="s">
        <v>21</v>
      </c>
    </row>
    <row r="6866" spans="1:19">
      <c r="A6866" s="64">
        <v>12443</v>
      </c>
      <c r="B6866" s="62">
        <v>45350</v>
      </c>
      <c r="C6866" s="63" t="s">
        <v>22879</v>
      </c>
      <c r="D6866" s="62">
        <v>45350</v>
      </c>
      <c r="E6866" s="63" t="s">
        <v>22880</v>
      </c>
      <c r="F6866" s="63" t="s">
        <v>4242</v>
      </c>
      <c r="G6866" s="63" t="s">
        <v>189</v>
      </c>
      <c r="H6866" s="63" t="s">
        <v>189</v>
      </c>
      <c r="I6866" s="63" t="s">
        <v>21</v>
      </c>
      <c r="J6866" s="63" t="s">
        <v>22881</v>
      </c>
      <c r="K6866" s="63" t="s">
        <v>22882</v>
      </c>
      <c r="L6866" s="63" t="s">
        <v>7167</v>
      </c>
      <c r="M6866" s="63" t="s">
        <v>21</v>
      </c>
      <c r="O6866" s="62">
        <v>45351</v>
      </c>
      <c r="P6866" s="65" t="s">
        <v>21</v>
      </c>
      <c r="Q6866" s="66" t="b">
        <v>0</v>
      </c>
      <c r="R6866" s="22">
        <f t="shared" si="152"/>
        <v>1</v>
      </c>
      <c r="S6866" s="63" t="s">
        <v>21</v>
      </c>
    </row>
    <row r="6867" spans="1:19">
      <c r="A6867" s="64">
        <v>12445</v>
      </c>
      <c r="B6867" s="62">
        <v>45351</v>
      </c>
      <c r="C6867" s="63" t="s">
        <v>22883</v>
      </c>
      <c r="D6867" s="62">
        <v>45351</v>
      </c>
      <c r="E6867" s="63" t="s">
        <v>22884</v>
      </c>
      <c r="F6867" s="63" t="s">
        <v>22885</v>
      </c>
      <c r="G6867" s="63" t="s">
        <v>189</v>
      </c>
      <c r="H6867" s="63" t="s">
        <v>212</v>
      </c>
      <c r="I6867" s="63" t="s">
        <v>21</v>
      </c>
      <c r="J6867" s="63" t="s">
        <v>22886</v>
      </c>
      <c r="K6867" s="63" t="s">
        <v>22887</v>
      </c>
      <c r="L6867" s="63" t="s">
        <v>22185</v>
      </c>
      <c r="M6867" s="63" t="s">
        <v>21</v>
      </c>
      <c r="O6867" s="62">
        <v>45363</v>
      </c>
      <c r="P6867" s="65" t="s">
        <v>21</v>
      </c>
      <c r="Q6867" s="66" t="b">
        <v>0</v>
      </c>
      <c r="R6867" s="22">
        <f t="shared" si="152"/>
        <v>12</v>
      </c>
      <c r="S6867" s="63" t="s">
        <v>21</v>
      </c>
    </row>
    <row r="6868" spans="1:19">
      <c r="A6868" s="64">
        <v>12446</v>
      </c>
      <c r="B6868" s="62">
        <v>45352</v>
      </c>
      <c r="C6868" s="63" t="s">
        <v>22888</v>
      </c>
      <c r="D6868" s="62">
        <v>45352</v>
      </c>
      <c r="E6868" s="63" t="s">
        <v>22889</v>
      </c>
      <c r="F6868" s="63" t="s">
        <v>104</v>
      </c>
      <c r="G6868" s="63" t="s">
        <v>189</v>
      </c>
      <c r="H6868" s="63" t="s">
        <v>71</v>
      </c>
      <c r="I6868" s="63" t="s">
        <v>21</v>
      </c>
      <c r="J6868" s="63" t="s">
        <v>22890</v>
      </c>
      <c r="K6868" s="63" t="s">
        <v>22891</v>
      </c>
      <c r="L6868" s="63" t="s">
        <v>22185</v>
      </c>
      <c r="M6868" s="63" t="s">
        <v>21</v>
      </c>
      <c r="O6868" s="62">
        <v>45371</v>
      </c>
      <c r="P6868" s="65" t="s">
        <v>21</v>
      </c>
      <c r="Q6868" s="66" t="b">
        <v>0</v>
      </c>
      <c r="R6868" s="22">
        <f t="shared" si="152"/>
        <v>19</v>
      </c>
      <c r="S6868" s="63" t="s">
        <v>21</v>
      </c>
    </row>
    <row r="6869" spans="1:19" ht="24">
      <c r="A6869" s="64">
        <v>12447</v>
      </c>
      <c r="B6869" s="62">
        <v>45352</v>
      </c>
      <c r="C6869" s="63" t="s">
        <v>22892</v>
      </c>
      <c r="D6869" s="62">
        <v>45351</v>
      </c>
      <c r="E6869" s="63" t="s">
        <v>22893</v>
      </c>
      <c r="F6869" s="63" t="s">
        <v>6084</v>
      </c>
      <c r="G6869" s="63" t="s">
        <v>189</v>
      </c>
      <c r="H6869" s="63" t="s">
        <v>71</v>
      </c>
      <c r="I6869" s="63" t="s">
        <v>21</v>
      </c>
      <c r="J6869" s="63" t="s">
        <v>22894</v>
      </c>
      <c r="K6869" s="63" t="s">
        <v>22895</v>
      </c>
      <c r="L6869" s="63" t="s">
        <v>22185</v>
      </c>
      <c r="M6869" s="63" t="s">
        <v>21</v>
      </c>
      <c r="O6869" s="22"/>
      <c r="P6869" s="65" t="s">
        <v>21</v>
      </c>
      <c r="Q6869" s="66" t="b">
        <v>0</v>
      </c>
      <c r="R6869" s="66"/>
      <c r="S6869" s="63" t="s">
        <v>22333</v>
      </c>
    </row>
    <row r="6870" spans="1:19">
      <c r="A6870" s="64">
        <v>12448</v>
      </c>
      <c r="B6870" s="62">
        <v>45352</v>
      </c>
      <c r="C6870" s="63" t="s">
        <v>22896</v>
      </c>
      <c r="D6870" s="62">
        <v>45352</v>
      </c>
      <c r="E6870" s="63" t="s">
        <v>22897</v>
      </c>
      <c r="F6870" s="63" t="s">
        <v>693</v>
      </c>
      <c r="G6870" s="63" t="s">
        <v>189</v>
      </c>
      <c r="H6870" s="63" t="s">
        <v>189</v>
      </c>
      <c r="I6870" s="63" t="s">
        <v>21</v>
      </c>
      <c r="J6870" s="63" t="s">
        <v>22898</v>
      </c>
      <c r="K6870" s="63" t="s">
        <v>22899</v>
      </c>
      <c r="L6870" s="63" t="s">
        <v>21573</v>
      </c>
      <c r="M6870" s="63" t="s">
        <v>21</v>
      </c>
      <c r="O6870" s="62">
        <v>45370</v>
      </c>
      <c r="P6870" s="65" t="s">
        <v>21</v>
      </c>
      <c r="Q6870" s="66" t="b">
        <v>0</v>
      </c>
      <c r="R6870" s="22">
        <f>IF(O6870=" ", " ", INT(YEARFRAC(O6870, B6870)*365))</f>
        <v>18</v>
      </c>
      <c r="S6870" s="63" t="s">
        <v>21</v>
      </c>
    </row>
    <row r="6871" spans="1:19" ht="48">
      <c r="A6871" s="64">
        <v>12449</v>
      </c>
      <c r="B6871" s="62">
        <v>45355</v>
      </c>
      <c r="C6871" s="63" t="s">
        <v>22900</v>
      </c>
      <c r="D6871" s="62">
        <v>45355</v>
      </c>
      <c r="E6871" s="63" t="s">
        <v>22901</v>
      </c>
      <c r="F6871" s="63" t="s">
        <v>4242</v>
      </c>
      <c r="G6871" s="63" t="s">
        <v>189</v>
      </c>
      <c r="H6871" s="63" t="s">
        <v>189</v>
      </c>
      <c r="I6871" s="63" t="s">
        <v>21</v>
      </c>
      <c r="J6871" s="63" t="s">
        <v>22902</v>
      </c>
      <c r="K6871" s="63" t="s">
        <v>20489</v>
      </c>
      <c r="L6871" s="63" t="s">
        <v>21573</v>
      </c>
      <c r="M6871" s="63" t="s">
        <v>21</v>
      </c>
      <c r="O6871" s="62">
        <v>45412</v>
      </c>
      <c r="P6871" s="65" t="s">
        <v>21</v>
      </c>
      <c r="Q6871" s="66" t="b">
        <v>0</v>
      </c>
      <c r="R6871" s="22">
        <f>IF(O6871=" ", " ", INT(YEARFRAC(O6871, B6871)*365))</f>
        <v>56</v>
      </c>
      <c r="S6871" s="63" t="s">
        <v>22903</v>
      </c>
    </row>
    <row r="6872" spans="1:19">
      <c r="A6872" s="64">
        <v>12450</v>
      </c>
      <c r="B6872" s="62">
        <v>45355</v>
      </c>
      <c r="C6872" s="63" t="s">
        <v>22904</v>
      </c>
      <c r="D6872" s="62">
        <v>45355</v>
      </c>
      <c r="E6872" s="63" t="s">
        <v>22905</v>
      </c>
      <c r="F6872" s="63" t="s">
        <v>216</v>
      </c>
      <c r="G6872" s="63" t="s">
        <v>189</v>
      </c>
      <c r="H6872" s="63" t="s">
        <v>71</v>
      </c>
      <c r="I6872" s="63" t="s">
        <v>21</v>
      </c>
      <c r="J6872" s="63" t="s">
        <v>22906</v>
      </c>
      <c r="K6872" s="63" t="s">
        <v>6081</v>
      </c>
      <c r="L6872" s="63" t="s">
        <v>22185</v>
      </c>
      <c r="M6872" s="63" t="s">
        <v>21</v>
      </c>
      <c r="O6872" s="62">
        <v>45373</v>
      </c>
      <c r="P6872" s="65" t="s">
        <v>21</v>
      </c>
      <c r="Q6872" s="66" t="b">
        <v>0</v>
      </c>
      <c r="R6872" s="22">
        <f>IF(O6872=" ", " ", INT(YEARFRAC(O6872, B6872)*365))</f>
        <v>18</v>
      </c>
      <c r="S6872" s="63" t="s">
        <v>21</v>
      </c>
    </row>
    <row r="6873" spans="1:19">
      <c r="A6873" s="64">
        <v>12451</v>
      </c>
      <c r="B6873" s="62">
        <v>45355</v>
      </c>
      <c r="C6873" s="63" t="s">
        <v>22907</v>
      </c>
      <c r="D6873" s="62">
        <v>45355</v>
      </c>
      <c r="E6873" s="63" t="s">
        <v>38</v>
      </c>
      <c r="F6873" s="63" t="s">
        <v>1743</v>
      </c>
      <c r="G6873" s="63" t="s">
        <v>189</v>
      </c>
      <c r="H6873" s="63" t="s">
        <v>71</v>
      </c>
      <c r="I6873" s="63" t="s">
        <v>21</v>
      </c>
      <c r="J6873" s="63" t="s">
        <v>22908</v>
      </c>
      <c r="K6873" s="63" t="s">
        <v>22909</v>
      </c>
      <c r="L6873" s="63" t="s">
        <v>4282</v>
      </c>
      <c r="M6873" s="63" t="s">
        <v>21</v>
      </c>
      <c r="N6873" s="22"/>
      <c r="O6873" s="62">
        <v>45412</v>
      </c>
      <c r="P6873" s="65" t="s">
        <v>21</v>
      </c>
      <c r="Q6873" s="66" t="b">
        <v>0</v>
      </c>
      <c r="R6873" s="22">
        <f>IF(O6873=" ", " ", INT(YEARFRAC(O6873, B6873)*365))</f>
        <v>56</v>
      </c>
      <c r="S6873" s="63" t="s">
        <v>21</v>
      </c>
    </row>
    <row r="6874" spans="1:19" ht="36">
      <c r="A6874" s="64">
        <v>12452</v>
      </c>
      <c r="B6874" s="62">
        <v>45356</v>
      </c>
      <c r="C6874" s="63" t="s">
        <v>22910</v>
      </c>
      <c r="D6874" s="62">
        <v>45356</v>
      </c>
      <c r="E6874" s="63" t="s">
        <v>22911</v>
      </c>
      <c r="F6874" s="63" t="s">
        <v>367</v>
      </c>
      <c r="G6874" s="63" t="s">
        <v>189</v>
      </c>
      <c r="H6874" s="63" t="s">
        <v>71</v>
      </c>
      <c r="I6874" s="63" t="s">
        <v>21</v>
      </c>
      <c r="J6874" s="63" t="s">
        <v>22912</v>
      </c>
      <c r="K6874" s="63" t="s">
        <v>22913</v>
      </c>
      <c r="L6874" s="63" t="s">
        <v>22185</v>
      </c>
      <c r="M6874" s="63" t="s">
        <v>21</v>
      </c>
      <c r="O6874" s="62">
        <v>45645</v>
      </c>
      <c r="P6874" s="65" t="s">
        <v>21</v>
      </c>
      <c r="Q6874" s="66" t="b">
        <v>0</v>
      </c>
      <c r="R6874" s="22">
        <f>IF(O6874=" ", " ", INT(YEARFRAC(O6874, B6874)*365))</f>
        <v>287</v>
      </c>
      <c r="S6874" s="63" t="s">
        <v>22157</v>
      </c>
    </row>
    <row r="6875" spans="1:19">
      <c r="A6875" s="64">
        <v>12453</v>
      </c>
      <c r="B6875" s="62">
        <v>45357</v>
      </c>
      <c r="C6875" s="63" t="s">
        <v>22914</v>
      </c>
      <c r="D6875" s="62">
        <v>45357</v>
      </c>
      <c r="E6875" s="63" t="s">
        <v>22915</v>
      </c>
      <c r="F6875" s="63" t="s">
        <v>22916</v>
      </c>
      <c r="G6875" s="63" t="s">
        <v>189</v>
      </c>
      <c r="H6875" s="63" t="s">
        <v>71</v>
      </c>
      <c r="I6875" s="63" t="s">
        <v>21</v>
      </c>
      <c r="J6875" s="63" t="s">
        <v>22917</v>
      </c>
      <c r="K6875" s="63" t="s">
        <v>22918</v>
      </c>
      <c r="L6875" s="63" t="s">
        <v>21243</v>
      </c>
      <c r="M6875" s="63" t="s">
        <v>21</v>
      </c>
      <c r="O6875" s="22"/>
      <c r="P6875" s="65" t="s">
        <v>21</v>
      </c>
      <c r="Q6875" s="66" t="b">
        <v>0</v>
      </c>
      <c r="R6875" s="66"/>
      <c r="S6875" s="63" t="s">
        <v>21</v>
      </c>
    </row>
    <row r="6876" spans="1:19">
      <c r="A6876" s="64">
        <v>12454</v>
      </c>
      <c r="B6876" s="62">
        <v>45358</v>
      </c>
      <c r="C6876" s="63" t="s">
        <v>22919</v>
      </c>
      <c r="D6876" s="62">
        <v>45357</v>
      </c>
      <c r="E6876" s="63" t="s">
        <v>22920</v>
      </c>
      <c r="F6876" s="63" t="s">
        <v>367</v>
      </c>
      <c r="G6876" s="63" t="s">
        <v>189</v>
      </c>
      <c r="H6876" s="63" t="s">
        <v>71</v>
      </c>
      <c r="I6876" s="63" t="s">
        <v>21</v>
      </c>
      <c r="J6876" s="63" t="s">
        <v>22921</v>
      </c>
      <c r="K6876" s="63" t="s">
        <v>19840</v>
      </c>
      <c r="L6876" s="63" t="s">
        <v>21142</v>
      </c>
      <c r="M6876" s="63" t="s">
        <v>21</v>
      </c>
      <c r="O6876" s="22"/>
      <c r="P6876" s="65" t="s">
        <v>21</v>
      </c>
      <c r="Q6876" s="66" t="b">
        <v>0</v>
      </c>
      <c r="R6876" s="66"/>
      <c r="S6876" s="63" t="s">
        <v>21</v>
      </c>
    </row>
    <row r="6877" spans="1:19">
      <c r="A6877" s="64">
        <v>12455</v>
      </c>
      <c r="B6877" s="62">
        <v>45363</v>
      </c>
      <c r="C6877" s="63" t="s">
        <v>22922</v>
      </c>
      <c r="D6877" s="62">
        <v>45358</v>
      </c>
      <c r="E6877" s="63" t="s">
        <v>22923</v>
      </c>
      <c r="F6877" s="63" t="s">
        <v>216</v>
      </c>
      <c r="G6877" s="63" t="s">
        <v>189</v>
      </c>
      <c r="H6877" s="63" t="s">
        <v>71</v>
      </c>
      <c r="I6877" s="63" t="s">
        <v>21</v>
      </c>
      <c r="J6877" s="63" t="s">
        <v>22924</v>
      </c>
      <c r="K6877" s="63" t="s">
        <v>22925</v>
      </c>
      <c r="L6877" s="63" t="s">
        <v>22185</v>
      </c>
      <c r="M6877" s="63" t="s">
        <v>21</v>
      </c>
      <c r="O6877" s="62">
        <v>45399</v>
      </c>
      <c r="P6877" s="65" t="s">
        <v>21</v>
      </c>
      <c r="Q6877" s="66" t="b">
        <v>0</v>
      </c>
      <c r="R6877" s="22">
        <f t="shared" ref="R6877:R6884" si="153">IF(O6877=" ", " ", INT(YEARFRAC(O6877, B6877)*365))</f>
        <v>35</v>
      </c>
      <c r="S6877" s="63" t="s">
        <v>21</v>
      </c>
    </row>
    <row r="6878" spans="1:19">
      <c r="A6878" s="64">
        <v>12456</v>
      </c>
      <c r="B6878" s="62">
        <v>45363</v>
      </c>
      <c r="C6878" s="63" t="s">
        <v>22926</v>
      </c>
      <c r="D6878" s="62">
        <v>45359</v>
      </c>
      <c r="E6878" s="63" t="s">
        <v>22927</v>
      </c>
      <c r="F6878" s="63" t="s">
        <v>20707</v>
      </c>
      <c r="G6878" s="63" t="s">
        <v>189</v>
      </c>
      <c r="H6878" s="63" t="s">
        <v>566</v>
      </c>
      <c r="I6878" s="63" t="s">
        <v>21</v>
      </c>
      <c r="J6878" s="63" t="s">
        <v>22928</v>
      </c>
      <c r="K6878" s="63" t="s">
        <v>22929</v>
      </c>
      <c r="L6878" s="63" t="s">
        <v>22185</v>
      </c>
      <c r="M6878" s="63" t="s">
        <v>21</v>
      </c>
      <c r="O6878" s="62">
        <v>45385</v>
      </c>
      <c r="P6878" s="65" t="s">
        <v>21</v>
      </c>
      <c r="Q6878" s="66" t="b">
        <v>0</v>
      </c>
      <c r="R6878" s="22">
        <f t="shared" si="153"/>
        <v>21</v>
      </c>
      <c r="S6878" s="63" t="s">
        <v>21</v>
      </c>
    </row>
    <row r="6879" spans="1:19">
      <c r="A6879" s="64">
        <v>12458</v>
      </c>
      <c r="B6879" s="62">
        <v>45364</v>
      </c>
      <c r="C6879" s="63" t="s">
        <v>22930</v>
      </c>
      <c r="D6879" s="62">
        <v>45364</v>
      </c>
      <c r="E6879" s="63" t="s">
        <v>22931</v>
      </c>
      <c r="F6879" s="63" t="s">
        <v>4242</v>
      </c>
      <c r="G6879" s="63" t="s">
        <v>189</v>
      </c>
      <c r="H6879" s="63" t="s">
        <v>189</v>
      </c>
      <c r="I6879" s="63" t="s">
        <v>21</v>
      </c>
      <c r="J6879" s="63" t="s">
        <v>22932</v>
      </c>
      <c r="K6879" s="63" t="s">
        <v>22933</v>
      </c>
      <c r="L6879" s="63" t="s">
        <v>22185</v>
      </c>
      <c r="M6879" s="63" t="s">
        <v>21</v>
      </c>
      <c r="O6879" s="62">
        <v>45373</v>
      </c>
      <c r="P6879" s="65" t="s">
        <v>21</v>
      </c>
      <c r="Q6879" s="66" t="b">
        <v>0</v>
      </c>
      <c r="R6879" s="22">
        <f t="shared" si="153"/>
        <v>9</v>
      </c>
      <c r="S6879" s="63" t="s">
        <v>21</v>
      </c>
    </row>
    <row r="6880" spans="1:19">
      <c r="A6880" s="64">
        <v>12459</v>
      </c>
      <c r="B6880" s="62">
        <v>45365</v>
      </c>
      <c r="C6880" s="63" t="s">
        <v>22934</v>
      </c>
      <c r="D6880" s="62">
        <v>45365</v>
      </c>
      <c r="E6880" s="63" t="s">
        <v>22935</v>
      </c>
      <c r="F6880" s="63" t="s">
        <v>22936</v>
      </c>
      <c r="G6880" s="63" t="s">
        <v>189</v>
      </c>
      <c r="H6880" s="63" t="s">
        <v>71</v>
      </c>
      <c r="I6880" s="63" t="s">
        <v>21</v>
      </c>
      <c r="J6880" s="63" t="s">
        <v>22937</v>
      </c>
      <c r="K6880" s="63" t="s">
        <v>22938</v>
      </c>
      <c r="L6880" s="63" t="s">
        <v>22185</v>
      </c>
      <c r="M6880" s="63" t="s">
        <v>21</v>
      </c>
      <c r="O6880" s="62">
        <v>45378</v>
      </c>
      <c r="P6880" s="65" t="s">
        <v>21</v>
      </c>
      <c r="Q6880" s="66" t="b">
        <v>0</v>
      </c>
      <c r="R6880" s="22">
        <f t="shared" si="153"/>
        <v>13</v>
      </c>
      <c r="S6880" s="63" t="s">
        <v>21</v>
      </c>
    </row>
    <row r="6881" spans="1:19">
      <c r="A6881" s="64">
        <v>12461</v>
      </c>
      <c r="B6881" s="62">
        <v>45366</v>
      </c>
      <c r="C6881" s="63" t="s">
        <v>22939</v>
      </c>
      <c r="D6881" s="62">
        <v>45365</v>
      </c>
      <c r="E6881" s="63" t="s">
        <v>22940</v>
      </c>
      <c r="F6881" s="63" t="s">
        <v>6084</v>
      </c>
      <c r="G6881" s="63" t="s">
        <v>189</v>
      </c>
      <c r="H6881" s="63" t="s">
        <v>71</v>
      </c>
      <c r="I6881" s="63" t="s">
        <v>21</v>
      </c>
      <c r="J6881" s="63" t="s">
        <v>22941</v>
      </c>
      <c r="K6881" s="63" t="s">
        <v>13846</v>
      </c>
      <c r="L6881" s="63" t="s">
        <v>22185</v>
      </c>
      <c r="M6881" s="63" t="s">
        <v>21</v>
      </c>
      <c r="O6881" s="62">
        <v>45373</v>
      </c>
      <c r="P6881" s="65" t="s">
        <v>21</v>
      </c>
      <c r="Q6881" s="66" t="b">
        <v>0</v>
      </c>
      <c r="R6881" s="22">
        <f t="shared" si="153"/>
        <v>7</v>
      </c>
      <c r="S6881" s="63" t="s">
        <v>21</v>
      </c>
    </row>
    <row r="6882" spans="1:19">
      <c r="A6882" s="64">
        <v>12462</v>
      </c>
      <c r="B6882" s="62">
        <v>45366</v>
      </c>
      <c r="C6882" s="63" t="s">
        <v>22942</v>
      </c>
      <c r="D6882" s="62">
        <v>45366</v>
      </c>
      <c r="E6882" s="63" t="s">
        <v>22943</v>
      </c>
      <c r="F6882" s="63" t="s">
        <v>149</v>
      </c>
      <c r="G6882" s="63" t="s">
        <v>189</v>
      </c>
      <c r="H6882" s="63" t="s">
        <v>71</v>
      </c>
      <c r="I6882" s="63" t="s">
        <v>21</v>
      </c>
      <c r="J6882" s="63" t="s">
        <v>22944</v>
      </c>
      <c r="K6882" s="63" t="s">
        <v>22945</v>
      </c>
      <c r="L6882" s="63" t="s">
        <v>22185</v>
      </c>
      <c r="M6882" s="63" t="s">
        <v>21</v>
      </c>
      <c r="O6882" s="62">
        <v>45426</v>
      </c>
      <c r="P6882" s="65" t="s">
        <v>21</v>
      </c>
      <c r="Q6882" s="66" t="b">
        <v>0</v>
      </c>
      <c r="R6882" s="22">
        <f t="shared" si="153"/>
        <v>59</v>
      </c>
      <c r="S6882" s="63" t="s">
        <v>21</v>
      </c>
    </row>
    <row r="6883" spans="1:19">
      <c r="A6883" s="64">
        <v>12463</v>
      </c>
      <c r="B6883" s="62">
        <v>45366</v>
      </c>
      <c r="C6883" s="63" t="s">
        <v>22946</v>
      </c>
      <c r="D6883" s="62">
        <v>45366</v>
      </c>
      <c r="E6883" s="63" t="s">
        <v>38</v>
      </c>
      <c r="F6883" s="63" t="s">
        <v>6084</v>
      </c>
      <c r="G6883" s="63" t="s">
        <v>189</v>
      </c>
      <c r="H6883" s="63" t="s">
        <v>71</v>
      </c>
      <c r="I6883" s="63" t="s">
        <v>21</v>
      </c>
      <c r="J6883" s="63" t="s">
        <v>22947</v>
      </c>
      <c r="K6883" s="63" t="s">
        <v>22948</v>
      </c>
      <c r="L6883" s="63" t="s">
        <v>22185</v>
      </c>
      <c r="M6883" s="63" t="s">
        <v>21</v>
      </c>
      <c r="O6883" s="62">
        <v>45378</v>
      </c>
      <c r="P6883" s="65" t="s">
        <v>21</v>
      </c>
      <c r="Q6883" s="66" t="b">
        <v>0</v>
      </c>
      <c r="R6883" s="22">
        <f t="shared" si="153"/>
        <v>12</v>
      </c>
      <c r="S6883" s="63" t="s">
        <v>21</v>
      </c>
    </row>
    <row r="6884" spans="1:19">
      <c r="A6884" s="64">
        <v>12464</v>
      </c>
      <c r="B6884" s="62">
        <v>45366</v>
      </c>
      <c r="C6884" s="63" t="s">
        <v>22949</v>
      </c>
      <c r="D6884" s="62">
        <v>45366</v>
      </c>
      <c r="E6884" s="63" t="s">
        <v>22950</v>
      </c>
      <c r="F6884" s="63" t="s">
        <v>4242</v>
      </c>
      <c r="G6884" s="63" t="s">
        <v>189</v>
      </c>
      <c r="H6884" s="63" t="s">
        <v>189</v>
      </c>
      <c r="I6884" s="63" t="s">
        <v>21</v>
      </c>
      <c r="J6884" s="63" t="s">
        <v>22951</v>
      </c>
      <c r="K6884" s="63" t="s">
        <v>22952</v>
      </c>
      <c r="L6884" s="63" t="s">
        <v>21573</v>
      </c>
      <c r="M6884" s="63" t="s">
        <v>21</v>
      </c>
      <c r="O6884" s="62">
        <v>45378</v>
      </c>
      <c r="P6884" s="65" t="s">
        <v>21</v>
      </c>
      <c r="Q6884" s="66" t="b">
        <v>0</v>
      </c>
      <c r="R6884" s="22">
        <f t="shared" si="153"/>
        <v>12</v>
      </c>
      <c r="S6884" s="63" t="s">
        <v>21</v>
      </c>
    </row>
    <row r="6885" spans="1:19">
      <c r="A6885" s="64">
        <v>12465</v>
      </c>
      <c r="B6885" s="62">
        <v>45370</v>
      </c>
      <c r="C6885" s="63" t="s">
        <v>22953</v>
      </c>
      <c r="D6885" s="62">
        <v>45370</v>
      </c>
      <c r="E6885" s="63" t="s">
        <v>22954</v>
      </c>
      <c r="F6885" s="63" t="s">
        <v>22955</v>
      </c>
      <c r="G6885" s="63" t="s">
        <v>189</v>
      </c>
      <c r="H6885" s="63" t="s">
        <v>71</v>
      </c>
      <c r="I6885" s="63" t="s">
        <v>21</v>
      </c>
      <c r="J6885" s="63" t="s">
        <v>22956</v>
      </c>
      <c r="K6885" s="63" t="s">
        <v>22957</v>
      </c>
      <c r="L6885" s="63" t="s">
        <v>22185</v>
      </c>
      <c r="M6885" s="63" t="s">
        <v>21</v>
      </c>
      <c r="O6885" s="22"/>
      <c r="P6885" s="65" t="s">
        <v>21</v>
      </c>
      <c r="Q6885" s="66" t="b">
        <v>0</v>
      </c>
      <c r="R6885" s="66"/>
      <c r="S6885" s="63" t="s">
        <v>21</v>
      </c>
    </row>
    <row r="6886" spans="1:19">
      <c r="A6886" s="64">
        <v>12466</v>
      </c>
      <c r="B6886" s="62">
        <v>45371</v>
      </c>
      <c r="C6886" s="63" t="s">
        <v>22958</v>
      </c>
      <c r="D6886" s="62">
        <v>45370</v>
      </c>
      <c r="E6886" s="63" t="s">
        <v>38</v>
      </c>
      <c r="F6886" s="63" t="s">
        <v>22959</v>
      </c>
      <c r="G6886" s="63" t="s">
        <v>189</v>
      </c>
      <c r="H6886" s="63" t="s">
        <v>71</v>
      </c>
      <c r="I6886" s="63" t="s">
        <v>21</v>
      </c>
      <c r="J6886" s="63" t="s">
        <v>18577</v>
      </c>
      <c r="K6886" s="63" t="s">
        <v>22960</v>
      </c>
      <c r="L6886" s="63" t="s">
        <v>22185</v>
      </c>
      <c r="M6886" s="63" t="s">
        <v>21</v>
      </c>
      <c r="O6886" s="62">
        <v>45443</v>
      </c>
      <c r="P6886" s="65" t="s">
        <v>21</v>
      </c>
      <c r="Q6886" s="66" t="b">
        <v>0</v>
      </c>
      <c r="R6886" s="22">
        <f t="shared" ref="R6886:R6895" si="154">IF(O6886=" ", " ", INT(YEARFRAC(O6886, B6886)*365))</f>
        <v>71</v>
      </c>
      <c r="S6886" s="63" t="s">
        <v>21</v>
      </c>
    </row>
    <row r="6887" spans="1:19">
      <c r="A6887" s="64">
        <v>12467</v>
      </c>
      <c r="B6887" s="62">
        <v>45373</v>
      </c>
      <c r="C6887" s="63" t="s">
        <v>22961</v>
      </c>
      <c r="D6887" s="62">
        <v>45373</v>
      </c>
      <c r="E6887" s="63" t="s">
        <v>38</v>
      </c>
      <c r="F6887" s="63" t="s">
        <v>1743</v>
      </c>
      <c r="G6887" s="63" t="s">
        <v>189</v>
      </c>
      <c r="H6887" s="63" t="s">
        <v>71</v>
      </c>
      <c r="I6887" s="63" t="s">
        <v>21</v>
      </c>
      <c r="J6887" s="63" t="s">
        <v>22962</v>
      </c>
      <c r="K6887" s="63" t="s">
        <v>20091</v>
      </c>
      <c r="L6887" s="63" t="s">
        <v>22185</v>
      </c>
      <c r="M6887" s="63" t="s">
        <v>21</v>
      </c>
      <c r="O6887" s="62">
        <v>45376</v>
      </c>
      <c r="P6887" s="65" t="s">
        <v>21</v>
      </c>
      <c r="Q6887" s="66" t="b">
        <v>0</v>
      </c>
      <c r="R6887" s="22">
        <f t="shared" si="154"/>
        <v>3</v>
      </c>
      <c r="S6887" s="63" t="s">
        <v>21</v>
      </c>
    </row>
    <row r="6888" spans="1:19">
      <c r="A6888" s="64">
        <v>12469</v>
      </c>
      <c r="B6888" s="62">
        <v>45385</v>
      </c>
      <c r="C6888" s="63" t="s">
        <v>22963</v>
      </c>
      <c r="D6888" s="62">
        <v>45384</v>
      </c>
      <c r="E6888" s="63" t="s">
        <v>22964</v>
      </c>
      <c r="F6888" s="63" t="s">
        <v>861</v>
      </c>
      <c r="G6888" s="63" t="s">
        <v>189</v>
      </c>
      <c r="H6888" s="63" t="s">
        <v>566</v>
      </c>
      <c r="I6888" s="63" t="s">
        <v>21</v>
      </c>
      <c r="J6888" s="63" t="s">
        <v>3639</v>
      </c>
      <c r="K6888" s="63" t="s">
        <v>13842</v>
      </c>
      <c r="L6888" s="63" t="s">
        <v>21243</v>
      </c>
      <c r="M6888" s="63" t="s">
        <v>21</v>
      </c>
      <c r="O6888" s="62">
        <v>45393</v>
      </c>
      <c r="P6888" s="65" t="s">
        <v>21</v>
      </c>
      <c r="Q6888" s="66" t="b">
        <v>0</v>
      </c>
      <c r="R6888" s="22">
        <f t="shared" si="154"/>
        <v>8</v>
      </c>
      <c r="S6888" s="63" t="s">
        <v>21</v>
      </c>
    </row>
    <row r="6889" spans="1:19">
      <c r="A6889" s="64">
        <v>12470</v>
      </c>
      <c r="B6889" s="62">
        <v>45385</v>
      </c>
      <c r="C6889" s="63" t="s">
        <v>22965</v>
      </c>
      <c r="D6889" s="62">
        <v>45384</v>
      </c>
      <c r="E6889" s="63" t="s">
        <v>22966</v>
      </c>
      <c r="F6889" s="63" t="s">
        <v>861</v>
      </c>
      <c r="G6889" s="63" t="s">
        <v>189</v>
      </c>
      <c r="H6889" s="63" t="s">
        <v>566</v>
      </c>
      <c r="I6889" s="63" t="s">
        <v>21</v>
      </c>
      <c r="J6889" s="63" t="s">
        <v>22967</v>
      </c>
      <c r="K6889" s="63" t="s">
        <v>2694</v>
      </c>
      <c r="L6889" s="63" t="s">
        <v>21243</v>
      </c>
      <c r="M6889" s="63" t="s">
        <v>21</v>
      </c>
      <c r="O6889" s="62">
        <v>45422</v>
      </c>
      <c r="P6889" s="65" t="s">
        <v>21</v>
      </c>
      <c r="Q6889" s="66" t="b">
        <v>0</v>
      </c>
      <c r="R6889" s="22">
        <f t="shared" si="154"/>
        <v>37</v>
      </c>
      <c r="S6889" s="63" t="s">
        <v>21</v>
      </c>
    </row>
    <row r="6890" spans="1:19">
      <c r="A6890" s="64">
        <v>12471</v>
      </c>
      <c r="B6890" s="62">
        <v>45385</v>
      </c>
      <c r="C6890" s="63" t="s">
        <v>22968</v>
      </c>
      <c r="D6890" s="62">
        <v>45383</v>
      </c>
      <c r="E6890" s="63" t="s">
        <v>22969</v>
      </c>
      <c r="F6890" s="63" t="s">
        <v>149</v>
      </c>
      <c r="G6890" s="63" t="s">
        <v>189</v>
      </c>
      <c r="H6890" s="63" t="s">
        <v>71</v>
      </c>
      <c r="I6890" s="63" t="s">
        <v>21</v>
      </c>
      <c r="J6890" s="63" t="s">
        <v>22970</v>
      </c>
      <c r="K6890" s="63" t="s">
        <v>22971</v>
      </c>
      <c r="L6890" s="63" t="s">
        <v>21573</v>
      </c>
      <c r="M6890" s="63" t="s">
        <v>21</v>
      </c>
      <c r="O6890" s="62">
        <v>45401</v>
      </c>
      <c r="P6890" s="65" t="s">
        <v>21</v>
      </c>
      <c r="Q6890" s="66" t="b">
        <v>0</v>
      </c>
      <c r="R6890" s="22">
        <f t="shared" si="154"/>
        <v>16</v>
      </c>
      <c r="S6890" s="63" t="s">
        <v>21</v>
      </c>
    </row>
    <row r="6891" spans="1:19">
      <c r="A6891" s="64">
        <v>12472</v>
      </c>
      <c r="B6891" s="62">
        <v>45385</v>
      </c>
      <c r="C6891" s="63" t="s">
        <v>22972</v>
      </c>
      <c r="D6891" s="62">
        <v>45384</v>
      </c>
      <c r="E6891" s="63" t="s">
        <v>22973</v>
      </c>
      <c r="F6891" s="63" t="s">
        <v>13960</v>
      </c>
      <c r="G6891" s="63" t="s">
        <v>189</v>
      </c>
      <c r="H6891" s="63" t="s">
        <v>71</v>
      </c>
      <c r="I6891" s="63" t="s">
        <v>21</v>
      </c>
      <c r="J6891" s="63" t="s">
        <v>22974</v>
      </c>
      <c r="K6891" s="63" t="s">
        <v>22975</v>
      </c>
      <c r="L6891" s="63" t="s">
        <v>21142</v>
      </c>
      <c r="M6891" s="63" t="s">
        <v>21</v>
      </c>
      <c r="N6891" s="22"/>
      <c r="O6891" s="62">
        <v>45404</v>
      </c>
      <c r="P6891" s="65" t="s">
        <v>21</v>
      </c>
      <c r="Q6891" s="66" t="b">
        <v>0</v>
      </c>
      <c r="R6891" s="22">
        <f t="shared" si="154"/>
        <v>19</v>
      </c>
      <c r="S6891" s="63" t="s">
        <v>21</v>
      </c>
    </row>
    <row r="6892" spans="1:19">
      <c r="A6892" s="64">
        <v>12473</v>
      </c>
      <c r="B6892" s="62">
        <v>45385</v>
      </c>
      <c r="C6892" s="63" t="s">
        <v>22976</v>
      </c>
      <c r="D6892" s="62">
        <v>45385</v>
      </c>
      <c r="E6892" s="63" t="s">
        <v>22977</v>
      </c>
      <c r="F6892" s="63" t="s">
        <v>149</v>
      </c>
      <c r="G6892" s="63" t="s">
        <v>189</v>
      </c>
      <c r="H6892" s="63" t="s">
        <v>71</v>
      </c>
      <c r="I6892" s="63" t="s">
        <v>21</v>
      </c>
      <c r="J6892" s="63" t="s">
        <v>22978</v>
      </c>
      <c r="K6892" s="63" t="s">
        <v>22979</v>
      </c>
      <c r="L6892" s="63" t="s">
        <v>22185</v>
      </c>
      <c r="M6892" s="63" t="s">
        <v>21</v>
      </c>
      <c r="O6892" s="62">
        <v>45412</v>
      </c>
      <c r="P6892" s="65" t="s">
        <v>21</v>
      </c>
      <c r="Q6892" s="66" t="b">
        <v>0</v>
      </c>
      <c r="R6892" s="22">
        <f t="shared" si="154"/>
        <v>27</v>
      </c>
      <c r="S6892" s="63" t="s">
        <v>21</v>
      </c>
    </row>
    <row r="6893" spans="1:19">
      <c r="A6893" s="64">
        <v>12475</v>
      </c>
      <c r="B6893" s="62">
        <v>45392</v>
      </c>
      <c r="C6893" s="63" t="s">
        <v>22980</v>
      </c>
      <c r="D6893" s="62">
        <v>45391</v>
      </c>
      <c r="E6893" s="63" t="s">
        <v>22981</v>
      </c>
      <c r="F6893" s="63" t="s">
        <v>70</v>
      </c>
      <c r="G6893" s="63" t="s">
        <v>189</v>
      </c>
      <c r="H6893" s="63" t="s">
        <v>71</v>
      </c>
      <c r="I6893" s="63" t="s">
        <v>21</v>
      </c>
      <c r="J6893" s="63" t="s">
        <v>22578</v>
      </c>
      <c r="K6893" s="63" t="s">
        <v>22982</v>
      </c>
      <c r="L6893" s="63" t="s">
        <v>21142</v>
      </c>
      <c r="M6893" s="63" t="s">
        <v>21</v>
      </c>
      <c r="O6893" s="62">
        <v>45405</v>
      </c>
      <c r="P6893" s="65" t="s">
        <v>21</v>
      </c>
      <c r="Q6893" s="66" t="b">
        <v>0</v>
      </c>
      <c r="R6893" s="22">
        <f t="shared" si="154"/>
        <v>13</v>
      </c>
      <c r="S6893" s="63" t="s">
        <v>21</v>
      </c>
    </row>
    <row r="6894" spans="1:19">
      <c r="A6894" s="64">
        <v>12476</v>
      </c>
      <c r="B6894" s="62">
        <v>45394</v>
      </c>
      <c r="C6894" s="63" t="s">
        <v>22983</v>
      </c>
      <c r="D6894" s="62">
        <v>45394</v>
      </c>
      <c r="E6894" s="63" t="s">
        <v>22984</v>
      </c>
      <c r="F6894" s="63" t="s">
        <v>52</v>
      </c>
      <c r="G6894" s="63" t="s">
        <v>189</v>
      </c>
      <c r="H6894" s="63" t="s">
        <v>71</v>
      </c>
      <c r="I6894" s="63" t="s">
        <v>21</v>
      </c>
      <c r="J6894" s="63" t="s">
        <v>22985</v>
      </c>
      <c r="K6894" s="63" t="s">
        <v>22986</v>
      </c>
      <c r="L6894" s="63" t="s">
        <v>21142</v>
      </c>
      <c r="M6894" s="63" t="s">
        <v>21</v>
      </c>
      <c r="O6894" s="62">
        <v>45404</v>
      </c>
      <c r="P6894" s="65" t="s">
        <v>21</v>
      </c>
      <c r="Q6894" s="66" t="b">
        <v>0</v>
      </c>
      <c r="R6894" s="22">
        <f t="shared" si="154"/>
        <v>10</v>
      </c>
      <c r="S6894" s="63" t="s">
        <v>21</v>
      </c>
    </row>
    <row r="6895" spans="1:19">
      <c r="A6895" s="64">
        <v>12477</v>
      </c>
      <c r="B6895" s="62">
        <v>45394</v>
      </c>
      <c r="C6895" s="63" t="s">
        <v>22987</v>
      </c>
      <c r="D6895" s="62">
        <v>45393</v>
      </c>
      <c r="E6895" s="63" t="s">
        <v>22988</v>
      </c>
      <c r="F6895" s="63" t="s">
        <v>19</v>
      </c>
      <c r="G6895" s="63" t="s">
        <v>189</v>
      </c>
      <c r="H6895" s="63" t="s">
        <v>71</v>
      </c>
      <c r="I6895" s="63" t="s">
        <v>21</v>
      </c>
      <c r="J6895" s="63" t="s">
        <v>22989</v>
      </c>
      <c r="K6895" s="63" t="s">
        <v>22990</v>
      </c>
      <c r="L6895" s="63" t="s">
        <v>21573</v>
      </c>
      <c r="M6895" s="63" t="s">
        <v>21</v>
      </c>
      <c r="O6895" s="62">
        <v>45420</v>
      </c>
      <c r="P6895" s="65" t="s">
        <v>21</v>
      </c>
      <c r="Q6895" s="66" t="b">
        <v>0</v>
      </c>
      <c r="R6895" s="22">
        <f t="shared" si="154"/>
        <v>26</v>
      </c>
      <c r="S6895" s="63" t="s">
        <v>21</v>
      </c>
    </row>
    <row r="6896" spans="1:19">
      <c r="A6896" s="64">
        <v>12480</v>
      </c>
      <c r="B6896" s="62">
        <v>45397</v>
      </c>
      <c r="C6896" s="63" t="s">
        <v>22991</v>
      </c>
      <c r="D6896" s="62">
        <v>45394</v>
      </c>
      <c r="E6896" s="63" t="s">
        <v>22992</v>
      </c>
      <c r="F6896" s="63" t="s">
        <v>6953</v>
      </c>
      <c r="G6896" s="63" t="s">
        <v>189</v>
      </c>
      <c r="H6896" s="63" t="s">
        <v>71</v>
      </c>
      <c r="I6896" s="63" t="s">
        <v>21</v>
      </c>
      <c r="J6896" s="63" t="s">
        <v>22993</v>
      </c>
      <c r="K6896" s="63" t="s">
        <v>9152</v>
      </c>
      <c r="L6896" s="63" t="s">
        <v>21142</v>
      </c>
      <c r="M6896" s="63" t="s">
        <v>21</v>
      </c>
      <c r="O6896" s="22"/>
      <c r="P6896" s="65" t="s">
        <v>21</v>
      </c>
      <c r="Q6896" s="66" t="b">
        <v>0</v>
      </c>
      <c r="R6896" s="66"/>
      <c r="S6896" s="63" t="s">
        <v>21</v>
      </c>
    </row>
    <row r="6897" spans="1:19">
      <c r="A6897" s="64">
        <v>12481</v>
      </c>
      <c r="B6897" s="62">
        <v>45397</v>
      </c>
      <c r="C6897" s="63" t="s">
        <v>22994</v>
      </c>
      <c r="D6897" s="62">
        <v>45394</v>
      </c>
      <c r="E6897" s="63" t="s">
        <v>22995</v>
      </c>
      <c r="F6897" s="63" t="s">
        <v>22916</v>
      </c>
      <c r="G6897" s="63" t="s">
        <v>189</v>
      </c>
      <c r="H6897" s="63" t="s">
        <v>71</v>
      </c>
      <c r="I6897" s="63" t="s">
        <v>21</v>
      </c>
      <c r="J6897" s="63" t="s">
        <v>22996</v>
      </c>
      <c r="K6897" s="63" t="s">
        <v>4690</v>
      </c>
      <c r="L6897" s="63" t="s">
        <v>21243</v>
      </c>
      <c r="M6897" s="63" t="s">
        <v>21</v>
      </c>
      <c r="O6897" s="22"/>
      <c r="P6897" s="65" t="s">
        <v>21</v>
      </c>
      <c r="Q6897" s="66" t="b">
        <v>0</v>
      </c>
      <c r="R6897" s="66"/>
      <c r="S6897" s="63" t="s">
        <v>21</v>
      </c>
    </row>
    <row r="6898" spans="1:19">
      <c r="A6898" s="64">
        <v>12482</v>
      </c>
      <c r="B6898" s="62">
        <v>45398</v>
      </c>
      <c r="C6898" s="63" t="s">
        <v>22997</v>
      </c>
      <c r="D6898" s="62">
        <v>45397</v>
      </c>
      <c r="E6898" s="63" t="s">
        <v>22998</v>
      </c>
      <c r="F6898" s="63" t="s">
        <v>70</v>
      </c>
      <c r="G6898" s="63" t="s">
        <v>189</v>
      </c>
      <c r="H6898" s="63" t="s">
        <v>71</v>
      </c>
      <c r="I6898" s="63" t="s">
        <v>21</v>
      </c>
      <c r="J6898" s="63" t="s">
        <v>22999</v>
      </c>
      <c r="K6898" s="63" t="s">
        <v>23000</v>
      </c>
      <c r="L6898" s="63" t="s">
        <v>22185</v>
      </c>
      <c r="M6898" s="63" t="s">
        <v>21</v>
      </c>
      <c r="O6898" s="62">
        <v>45441</v>
      </c>
      <c r="P6898" s="65" t="s">
        <v>21</v>
      </c>
      <c r="Q6898" s="66" t="b">
        <v>0</v>
      </c>
      <c r="R6898" s="22">
        <f>IF(O6898=" ", " ", INT(YEARFRAC(O6898, B6898)*365))</f>
        <v>43</v>
      </c>
      <c r="S6898" s="63" t="s">
        <v>21</v>
      </c>
    </row>
    <row r="6899" spans="1:19">
      <c r="A6899" s="64">
        <v>12485</v>
      </c>
      <c r="B6899" s="62">
        <v>45399</v>
      </c>
      <c r="C6899" s="63" t="s">
        <v>23001</v>
      </c>
      <c r="D6899" s="62">
        <v>45399</v>
      </c>
      <c r="E6899" s="63" t="s">
        <v>23002</v>
      </c>
      <c r="F6899" s="63" t="s">
        <v>861</v>
      </c>
      <c r="G6899" s="63" t="s">
        <v>189</v>
      </c>
      <c r="H6899" s="63" t="s">
        <v>566</v>
      </c>
      <c r="I6899" s="63" t="s">
        <v>21</v>
      </c>
      <c r="J6899" s="63" t="s">
        <v>23003</v>
      </c>
      <c r="K6899" s="63" t="s">
        <v>23004</v>
      </c>
      <c r="L6899" s="63" t="s">
        <v>21243</v>
      </c>
      <c r="M6899" s="63" t="s">
        <v>21</v>
      </c>
      <c r="O6899" s="22"/>
      <c r="P6899" s="65" t="s">
        <v>21</v>
      </c>
      <c r="Q6899" s="66" t="b">
        <v>0</v>
      </c>
      <c r="R6899" s="66"/>
      <c r="S6899" s="63" t="s">
        <v>21</v>
      </c>
    </row>
    <row r="6900" spans="1:19">
      <c r="A6900" s="64">
        <v>12487</v>
      </c>
      <c r="B6900" s="62">
        <v>45401</v>
      </c>
      <c r="C6900" s="63" t="s">
        <v>23005</v>
      </c>
      <c r="D6900" s="62">
        <v>45398</v>
      </c>
      <c r="E6900" s="63" t="s">
        <v>23006</v>
      </c>
      <c r="F6900" s="63" t="s">
        <v>13960</v>
      </c>
      <c r="G6900" s="63" t="s">
        <v>189</v>
      </c>
      <c r="H6900" s="63" t="s">
        <v>71</v>
      </c>
      <c r="I6900" s="63" t="s">
        <v>21</v>
      </c>
      <c r="J6900" s="63" t="s">
        <v>23007</v>
      </c>
      <c r="K6900" s="63" t="s">
        <v>23008</v>
      </c>
      <c r="L6900" s="63" t="s">
        <v>21573</v>
      </c>
      <c r="M6900" s="63" t="s">
        <v>21</v>
      </c>
      <c r="O6900" s="62">
        <v>45429</v>
      </c>
      <c r="P6900" s="65" t="s">
        <v>21</v>
      </c>
      <c r="Q6900" s="66" t="b">
        <v>0</v>
      </c>
      <c r="R6900" s="22">
        <f t="shared" ref="R6900:R6906" si="155">IF(O6900=" ", " ", INT(YEARFRAC(O6900, B6900)*365))</f>
        <v>28</v>
      </c>
      <c r="S6900" s="63" t="s">
        <v>21</v>
      </c>
    </row>
    <row r="6901" spans="1:19">
      <c r="A6901" s="64">
        <v>12488</v>
      </c>
      <c r="B6901" s="62">
        <v>45404</v>
      </c>
      <c r="C6901" s="63" t="s">
        <v>23009</v>
      </c>
      <c r="D6901" s="62">
        <v>45404</v>
      </c>
      <c r="E6901" s="63" t="s">
        <v>1928</v>
      </c>
      <c r="F6901" s="63" t="s">
        <v>1743</v>
      </c>
      <c r="G6901" s="63" t="s">
        <v>189</v>
      </c>
      <c r="H6901" s="63" t="s">
        <v>71</v>
      </c>
      <c r="I6901" s="63" t="s">
        <v>21</v>
      </c>
      <c r="J6901" s="63" t="s">
        <v>23010</v>
      </c>
      <c r="K6901" s="63" t="s">
        <v>23011</v>
      </c>
      <c r="L6901" s="63" t="s">
        <v>21573</v>
      </c>
      <c r="M6901" s="63" t="s">
        <v>21</v>
      </c>
      <c r="N6901" s="45">
        <v>45418</v>
      </c>
      <c r="O6901" s="62">
        <v>45405</v>
      </c>
      <c r="P6901" s="65" t="s">
        <v>21</v>
      </c>
      <c r="Q6901" s="66" t="b">
        <v>0</v>
      </c>
      <c r="R6901" s="22">
        <f t="shared" si="155"/>
        <v>1</v>
      </c>
      <c r="S6901" s="63" t="s">
        <v>21</v>
      </c>
    </row>
    <row r="6902" spans="1:19">
      <c r="A6902" s="64">
        <v>12489</v>
      </c>
      <c r="B6902" s="62">
        <v>45404</v>
      </c>
      <c r="C6902" s="63" t="s">
        <v>23012</v>
      </c>
      <c r="D6902" s="62">
        <v>45404</v>
      </c>
      <c r="E6902" s="63" t="s">
        <v>1928</v>
      </c>
      <c r="F6902" s="63" t="s">
        <v>1743</v>
      </c>
      <c r="G6902" s="63" t="s">
        <v>189</v>
      </c>
      <c r="H6902" s="63" t="s">
        <v>71</v>
      </c>
      <c r="I6902" s="63" t="s">
        <v>21</v>
      </c>
      <c r="J6902" s="63" t="s">
        <v>23013</v>
      </c>
      <c r="K6902" s="63" t="s">
        <v>23014</v>
      </c>
      <c r="L6902" s="63" t="s">
        <v>21573</v>
      </c>
      <c r="M6902" s="63" t="s">
        <v>21</v>
      </c>
      <c r="N6902" s="45">
        <v>45418</v>
      </c>
      <c r="O6902" s="62">
        <v>45420</v>
      </c>
      <c r="P6902" s="65" t="s">
        <v>21</v>
      </c>
      <c r="Q6902" s="66" t="b">
        <v>0</v>
      </c>
      <c r="R6902" s="22">
        <f t="shared" si="155"/>
        <v>16</v>
      </c>
      <c r="S6902" s="63" t="s">
        <v>21</v>
      </c>
    </row>
    <row r="6903" spans="1:19">
      <c r="A6903" s="64">
        <v>12490</v>
      </c>
      <c r="B6903" s="62">
        <v>45407</v>
      </c>
      <c r="C6903" s="63" t="s">
        <v>23015</v>
      </c>
      <c r="D6903" s="62">
        <v>45404</v>
      </c>
      <c r="E6903" s="63" t="s">
        <v>23016</v>
      </c>
      <c r="F6903" s="63" t="s">
        <v>23017</v>
      </c>
      <c r="G6903" s="63" t="s">
        <v>189</v>
      </c>
      <c r="H6903" s="63" t="s">
        <v>566</v>
      </c>
      <c r="I6903" s="63" t="s">
        <v>21</v>
      </c>
      <c r="J6903" s="63" t="s">
        <v>23018</v>
      </c>
      <c r="K6903" s="63" t="s">
        <v>23019</v>
      </c>
      <c r="L6903" s="63" t="s">
        <v>22185</v>
      </c>
      <c r="M6903" s="63" t="s">
        <v>21</v>
      </c>
      <c r="O6903" s="62">
        <v>45425</v>
      </c>
      <c r="P6903" s="65" t="s">
        <v>21</v>
      </c>
      <c r="Q6903" s="66" t="b">
        <v>0</v>
      </c>
      <c r="R6903" s="22">
        <f t="shared" si="155"/>
        <v>18</v>
      </c>
      <c r="S6903" s="63" t="s">
        <v>21</v>
      </c>
    </row>
    <row r="6904" spans="1:19">
      <c r="A6904" s="64">
        <v>12491</v>
      </c>
      <c r="B6904" s="62">
        <v>45407</v>
      </c>
      <c r="C6904" s="63" t="s">
        <v>23020</v>
      </c>
      <c r="D6904" s="62">
        <v>45404</v>
      </c>
      <c r="E6904" s="63" t="s">
        <v>23021</v>
      </c>
      <c r="F6904" s="63" t="s">
        <v>20241</v>
      </c>
      <c r="G6904" s="63" t="s">
        <v>189</v>
      </c>
      <c r="H6904" s="63" t="s">
        <v>71</v>
      </c>
      <c r="I6904" s="63" t="s">
        <v>21</v>
      </c>
      <c r="J6904" s="63" t="s">
        <v>23018</v>
      </c>
      <c r="K6904" s="63" t="s">
        <v>23019</v>
      </c>
      <c r="L6904" s="63" t="s">
        <v>22185</v>
      </c>
      <c r="M6904" s="63" t="s">
        <v>21</v>
      </c>
      <c r="O6904" s="62">
        <v>45456</v>
      </c>
      <c r="P6904" s="65" t="s">
        <v>21</v>
      </c>
      <c r="Q6904" s="66" t="b">
        <v>0</v>
      </c>
      <c r="R6904" s="22">
        <f t="shared" si="155"/>
        <v>48</v>
      </c>
      <c r="S6904" s="63" t="s">
        <v>21</v>
      </c>
    </row>
    <row r="6905" spans="1:19">
      <c r="A6905" s="64">
        <v>12492</v>
      </c>
      <c r="B6905" s="62">
        <v>45407</v>
      </c>
      <c r="C6905" s="63" t="s">
        <v>23022</v>
      </c>
      <c r="D6905" s="62">
        <v>45404</v>
      </c>
      <c r="E6905" s="63" t="s">
        <v>23023</v>
      </c>
      <c r="F6905" s="63" t="s">
        <v>242</v>
      </c>
      <c r="G6905" s="63" t="s">
        <v>189</v>
      </c>
      <c r="H6905" s="63" t="s">
        <v>71</v>
      </c>
      <c r="I6905" s="63" t="s">
        <v>21</v>
      </c>
      <c r="J6905" s="63" t="s">
        <v>23024</v>
      </c>
      <c r="K6905" s="63" t="s">
        <v>23019</v>
      </c>
      <c r="L6905" s="63" t="s">
        <v>22185</v>
      </c>
      <c r="M6905" s="63" t="s">
        <v>21</v>
      </c>
      <c r="O6905" s="62">
        <v>45441</v>
      </c>
      <c r="P6905" s="65" t="s">
        <v>21</v>
      </c>
      <c r="Q6905" s="66" t="b">
        <v>0</v>
      </c>
      <c r="R6905" s="22">
        <f t="shared" si="155"/>
        <v>34</v>
      </c>
      <c r="S6905" s="63" t="s">
        <v>21</v>
      </c>
    </row>
    <row r="6906" spans="1:19">
      <c r="A6906" s="64">
        <v>12493</v>
      </c>
      <c r="B6906" s="62">
        <v>45408</v>
      </c>
      <c r="C6906" s="63" t="s">
        <v>23025</v>
      </c>
      <c r="D6906" s="62">
        <v>45406</v>
      </c>
      <c r="E6906" s="63" t="s">
        <v>38</v>
      </c>
      <c r="F6906" s="63" t="s">
        <v>13350</v>
      </c>
      <c r="G6906" s="63" t="s">
        <v>189</v>
      </c>
      <c r="H6906" s="63" t="s">
        <v>71</v>
      </c>
      <c r="I6906" s="63" t="s">
        <v>21</v>
      </c>
      <c r="J6906" s="63" t="s">
        <v>23026</v>
      </c>
      <c r="K6906" s="63" t="s">
        <v>23027</v>
      </c>
      <c r="L6906" s="63" t="s">
        <v>21142</v>
      </c>
      <c r="M6906" s="63" t="s">
        <v>21</v>
      </c>
      <c r="O6906" s="62">
        <v>45412</v>
      </c>
      <c r="P6906" s="65" t="s">
        <v>21</v>
      </c>
      <c r="Q6906" s="66" t="b">
        <v>0</v>
      </c>
      <c r="R6906" s="22">
        <f t="shared" si="155"/>
        <v>4</v>
      </c>
      <c r="S6906" s="63" t="s">
        <v>21</v>
      </c>
    </row>
    <row r="6907" spans="1:19">
      <c r="A6907" s="64">
        <v>12494</v>
      </c>
      <c r="B6907" s="62">
        <v>45411</v>
      </c>
      <c r="C6907" s="63" t="s">
        <v>23028</v>
      </c>
      <c r="D6907" s="62">
        <v>45411</v>
      </c>
      <c r="E6907" s="63" t="s">
        <v>23029</v>
      </c>
      <c r="F6907" s="63" t="s">
        <v>27</v>
      </c>
      <c r="G6907" s="63" t="s">
        <v>189</v>
      </c>
      <c r="H6907" s="63" t="s">
        <v>566</v>
      </c>
      <c r="I6907" s="63" t="s">
        <v>21</v>
      </c>
      <c r="J6907" s="63" t="s">
        <v>9199</v>
      </c>
      <c r="K6907" s="63" t="s">
        <v>23030</v>
      </c>
      <c r="L6907" s="63" t="s">
        <v>21573</v>
      </c>
      <c r="M6907" s="63" t="s">
        <v>21</v>
      </c>
      <c r="O6907" s="22"/>
      <c r="P6907" s="65" t="s">
        <v>21</v>
      </c>
      <c r="Q6907" s="66" t="b">
        <v>0</v>
      </c>
      <c r="R6907" s="66"/>
      <c r="S6907" s="63" t="s">
        <v>21</v>
      </c>
    </row>
    <row r="6908" spans="1:19">
      <c r="A6908" s="64">
        <v>12495</v>
      </c>
      <c r="B6908" s="62">
        <v>45411</v>
      </c>
      <c r="C6908" s="63" t="s">
        <v>23031</v>
      </c>
      <c r="D6908" s="62">
        <v>45411</v>
      </c>
      <c r="E6908" s="63" t="s">
        <v>23032</v>
      </c>
      <c r="F6908" s="63" t="s">
        <v>984</v>
      </c>
      <c r="G6908" s="63" t="s">
        <v>189</v>
      </c>
      <c r="H6908" s="63" t="s">
        <v>71</v>
      </c>
      <c r="I6908" s="63" t="s">
        <v>21</v>
      </c>
      <c r="J6908" s="63" t="s">
        <v>4690</v>
      </c>
      <c r="K6908" s="63" t="s">
        <v>23033</v>
      </c>
      <c r="L6908" s="63" t="s">
        <v>22185</v>
      </c>
      <c r="M6908" s="63" t="s">
        <v>21</v>
      </c>
      <c r="O6908" s="22"/>
      <c r="P6908" s="65" t="s">
        <v>21</v>
      </c>
      <c r="Q6908" s="66" t="b">
        <v>0</v>
      </c>
      <c r="R6908" s="66"/>
      <c r="S6908" s="63" t="s">
        <v>21</v>
      </c>
    </row>
    <row r="6909" spans="1:19" ht="24">
      <c r="A6909" s="64">
        <v>12496</v>
      </c>
      <c r="B6909" s="62">
        <v>45411</v>
      </c>
      <c r="C6909" s="63" t="s">
        <v>23034</v>
      </c>
      <c r="D6909" s="62">
        <v>45411</v>
      </c>
      <c r="E6909" s="63" t="s">
        <v>23035</v>
      </c>
      <c r="F6909" s="63" t="s">
        <v>70</v>
      </c>
      <c r="G6909" s="63" t="s">
        <v>189</v>
      </c>
      <c r="H6909" s="63" t="s">
        <v>71</v>
      </c>
      <c r="I6909" s="63" t="s">
        <v>21</v>
      </c>
      <c r="J6909" s="63" t="s">
        <v>22578</v>
      </c>
      <c r="K6909" s="63" t="s">
        <v>23036</v>
      </c>
      <c r="L6909" s="63" t="s">
        <v>21142</v>
      </c>
      <c r="M6909" s="63" t="s">
        <v>21</v>
      </c>
      <c r="O6909" s="22"/>
      <c r="P6909" s="65" t="s">
        <v>21</v>
      </c>
      <c r="Q6909" s="66" t="b">
        <v>0</v>
      </c>
      <c r="R6909" s="66"/>
      <c r="S6909" s="63" t="s">
        <v>22981</v>
      </c>
    </row>
    <row r="6910" spans="1:19">
      <c r="A6910" s="64">
        <v>12497</v>
      </c>
      <c r="B6910" s="62">
        <v>45412</v>
      </c>
      <c r="C6910" s="63" t="s">
        <v>23037</v>
      </c>
      <c r="D6910" s="62">
        <v>45412</v>
      </c>
      <c r="E6910" s="63" t="s">
        <v>23038</v>
      </c>
      <c r="F6910" s="63" t="s">
        <v>4242</v>
      </c>
      <c r="G6910" s="63" t="s">
        <v>189</v>
      </c>
      <c r="H6910" s="63" t="s">
        <v>189</v>
      </c>
      <c r="I6910" s="63" t="s">
        <v>21</v>
      </c>
      <c r="J6910" s="63" t="s">
        <v>22881</v>
      </c>
      <c r="K6910" s="63" t="s">
        <v>23039</v>
      </c>
      <c r="L6910" s="63" t="s">
        <v>21573</v>
      </c>
      <c r="M6910" s="63" t="s">
        <v>21</v>
      </c>
      <c r="O6910" s="62">
        <v>45428</v>
      </c>
      <c r="P6910" s="65" t="s">
        <v>21</v>
      </c>
      <c r="Q6910" s="66" t="b">
        <v>0</v>
      </c>
      <c r="R6910" s="22">
        <f t="shared" ref="R6910:R6917" si="156">IF(O6910=" ", " ", INT(YEARFRAC(O6910, B6910)*365))</f>
        <v>16</v>
      </c>
      <c r="S6910" s="63" t="s">
        <v>21</v>
      </c>
    </row>
    <row r="6911" spans="1:19">
      <c r="A6911" s="64">
        <v>12498</v>
      </c>
      <c r="B6911" s="62">
        <v>45420</v>
      </c>
      <c r="C6911" s="63" t="s">
        <v>23040</v>
      </c>
      <c r="D6911" s="62">
        <v>45420</v>
      </c>
      <c r="E6911" s="63" t="s">
        <v>23041</v>
      </c>
      <c r="F6911" s="63" t="s">
        <v>52</v>
      </c>
      <c r="G6911" s="63" t="s">
        <v>189</v>
      </c>
      <c r="H6911" s="63" t="s">
        <v>71</v>
      </c>
      <c r="I6911" s="63" t="s">
        <v>21</v>
      </c>
      <c r="J6911" s="63" t="s">
        <v>23042</v>
      </c>
      <c r="K6911" s="63" t="s">
        <v>23043</v>
      </c>
      <c r="L6911" s="63" t="s">
        <v>22185</v>
      </c>
      <c r="M6911" s="63" t="s">
        <v>21</v>
      </c>
      <c r="O6911" s="62">
        <v>45441</v>
      </c>
      <c r="P6911" s="65" t="s">
        <v>21</v>
      </c>
      <c r="Q6911" s="66" t="b">
        <v>0</v>
      </c>
      <c r="R6911" s="22">
        <f t="shared" si="156"/>
        <v>21</v>
      </c>
      <c r="S6911" s="63" t="s">
        <v>21</v>
      </c>
    </row>
    <row r="6912" spans="1:19">
      <c r="A6912" s="64">
        <v>12499</v>
      </c>
      <c r="B6912" s="62">
        <v>45420</v>
      </c>
      <c r="C6912" s="63" t="s">
        <v>23044</v>
      </c>
      <c r="D6912" s="62">
        <v>45419</v>
      </c>
      <c r="E6912" s="63" t="s">
        <v>23045</v>
      </c>
      <c r="F6912" s="63" t="s">
        <v>4242</v>
      </c>
      <c r="G6912" s="63" t="s">
        <v>189</v>
      </c>
      <c r="H6912" s="63" t="s">
        <v>189</v>
      </c>
      <c r="I6912" s="63" t="s">
        <v>21</v>
      </c>
      <c r="J6912" s="63" t="s">
        <v>23046</v>
      </c>
      <c r="K6912" s="63" t="s">
        <v>23047</v>
      </c>
      <c r="L6912" s="63" t="s">
        <v>21243</v>
      </c>
      <c r="M6912" s="63" t="s">
        <v>21</v>
      </c>
      <c r="O6912" s="62">
        <v>45434</v>
      </c>
      <c r="P6912" s="65" t="s">
        <v>21</v>
      </c>
      <c r="Q6912" s="66" t="b">
        <v>0</v>
      </c>
      <c r="R6912" s="22">
        <f t="shared" si="156"/>
        <v>14</v>
      </c>
      <c r="S6912" s="63" t="s">
        <v>21</v>
      </c>
    </row>
    <row r="6913" spans="1:19" ht="24">
      <c r="A6913" s="64">
        <v>12500</v>
      </c>
      <c r="B6913" s="62">
        <v>45421</v>
      </c>
      <c r="C6913" s="63" t="s">
        <v>23048</v>
      </c>
      <c r="D6913" s="62">
        <v>45420</v>
      </c>
      <c r="E6913" s="63" t="s">
        <v>23049</v>
      </c>
      <c r="F6913" s="63" t="s">
        <v>13350</v>
      </c>
      <c r="G6913" s="63" t="s">
        <v>189</v>
      </c>
      <c r="H6913" s="63" t="s">
        <v>71</v>
      </c>
      <c r="I6913" s="63" t="s">
        <v>21</v>
      </c>
      <c r="J6913" s="63" t="s">
        <v>23050</v>
      </c>
      <c r="K6913" s="63" t="s">
        <v>23051</v>
      </c>
      <c r="L6913" s="63" t="s">
        <v>21573</v>
      </c>
      <c r="M6913" s="63" t="s">
        <v>21</v>
      </c>
      <c r="O6913" s="62">
        <v>45603</v>
      </c>
      <c r="P6913" s="65" t="s">
        <v>21</v>
      </c>
      <c r="Q6913" s="66" t="b">
        <v>0</v>
      </c>
      <c r="R6913" s="22">
        <f t="shared" si="156"/>
        <v>180</v>
      </c>
      <c r="S6913" s="63" t="s">
        <v>21621</v>
      </c>
    </row>
    <row r="6914" spans="1:19">
      <c r="A6914" s="64">
        <v>12501</v>
      </c>
      <c r="B6914" s="62">
        <v>45422</v>
      </c>
      <c r="C6914" s="63" t="s">
        <v>23052</v>
      </c>
      <c r="D6914" s="62">
        <v>45421</v>
      </c>
      <c r="E6914" s="63" t="s">
        <v>1928</v>
      </c>
      <c r="F6914" s="63" t="s">
        <v>1743</v>
      </c>
      <c r="G6914" s="63" t="s">
        <v>189</v>
      </c>
      <c r="H6914" s="63" t="s">
        <v>71</v>
      </c>
      <c r="I6914" s="63" t="s">
        <v>21</v>
      </c>
      <c r="J6914" s="63" t="s">
        <v>23053</v>
      </c>
      <c r="K6914" s="63" t="s">
        <v>1349</v>
      </c>
      <c r="L6914" s="63" t="s">
        <v>21573</v>
      </c>
      <c r="M6914" s="63" t="s">
        <v>21</v>
      </c>
      <c r="N6914" s="45">
        <v>45435</v>
      </c>
      <c r="O6914" s="62">
        <v>45428</v>
      </c>
      <c r="P6914" s="65" t="s">
        <v>21</v>
      </c>
      <c r="Q6914" s="66" t="b">
        <v>0</v>
      </c>
      <c r="R6914" s="22">
        <f t="shared" si="156"/>
        <v>6</v>
      </c>
      <c r="S6914" s="63" t="s">
        <v>21</v>
      </c>
    </row>
    <row r="6915" spans="1:19" ht="36">
      <c r="A6915" s="64">
        <v>12502</v>
      </c>
      <c r="B6915" s="62">
        <v>45422</v>
      </c>
      <c r="C6915" s="63" t="s">
        <v>23054</v>
      </c>
      <c r="D6915" s="62">
        <v>45422</v>
      </c>
      <c r="E6915" s="63" t="s">
        <v>23055</v>
      </c>
      <c r="F6915" s="63" t="s">
        <v>129</v>
      </c>
      <c r="G6915" s="63" t="s">
        <v>189</v>
      </c>
      <c r="H6915" s="63" t="s">
        <v>71</v>
      </c>
      <c r="I6915" s="63" t="s">
        <v>21</v>
      </c>
      <c r="J6915" s="63" t="s">
        <v>23056</v>
      </c>
      <c r="K6915" s="63" t="s">
        <v>18037</v>
      </c>
      <c r="L6915" s="63" t="s">
        <v>21573</v>
      </c>
      <c r="M6915" s="63" t="s">
        <v>21</v>
      </c>
      <c r="O6915" s="62">
        <v>45483</v>
      </c>
      <c r="P6915" s="65" t="s">
        <v>21</v>
      </c>
      <c r="Q6915" s="66" t="b">
        <v>0</v>
      </c>
      <c r="R6915" s="22">
        <f t="shared" si="156"/>
        <v>60</v>
      </c>
      <c r="S6915" s="63" t="s">
        <v>22157</v>
      </c>
    </row>
    <row r="6916" spans="1:19">
      <c r="A6916" s="64">
        <v>12503</v>
      </c>
      <c r="B6916" s="62">
        <v>45425</v>
      </c>
      <c r="C6916" s="63" t="s">
        <v>23057</v>
      </c>
      <c r="D6916" s="62">
        <v>45425</v>
      </c>
      <c r="E6916" s="63" t="s">
        <v>38</v>
      </c>
      <c r="F6916" s="63" t="s">
        <v>1743</v>
      </c>
      <c r="G6916" s="63" t="s">
        <v>189</v>
      </c>
      <c r="H6916" s="63" t="s">
        <v>71</v>
      </c>
      <c r="I6916" s="63" t="s">
        <v>21</v>
      </c>
      <c r="J6916" s="63" t="s">
        <v>23058</v>
      </c>
      <c r="K6916" s="63" t="s">
        <v>23059</v>
      </c>
      <c r="L6916" s="63" t="s">
        <v>7167</v>
      </c>
      <c r="M6916" s="63" t="s">
        <v>21</v>
      </c>
      <c r="O6916" s="62">
        <v>45432</v>
      </c>
      <c r="P6916" s="65" t="s">
        <v>21</v>
      </c>
      <c r="Q6916" s="66" t="b">
        <v>0</v>
      </c>
      <c r="R6916" s="22">
        <f t="shared" si="156"/>
        <v>7</v>
      </c>
      <c r="S6916" s="63" t="s">
        <v>21</v>
      </c>
    </row>
    <row r="6917" spans="1:19">
      <c r="A6917" s="64">
        <v>12504</v>
      </c>
      <c r="B6917" s="62">
        <v>45425</v>
      </c>
      <c r="C6917" s="63" t="s">
        <v>23060</v>
      </c>
      <c r="D6917" s="62">
        <v>45425</v>
      </c>
      <c r="E6917" s="63" t="s">
        <v>23061</v>
      </c>
      <c r="F6917" s="63" t="s">
        <v>27</v>
      </c>
      <c r="G6917" s="63" t="s">
        <v>189</v>
      </c>
      <c r="H6917" s="63" t="s">
        <v>71</v>
      </c>
      <c r="I6917" s="63" t="s">
        <v>21</v>
      </c>
      <c r="J6917" s="63" t="s">
        <v>23062</v>
      </c>
      <c r="K6917" s="63" t="s">
        <v>23063</v>
      </c>
      <c r="L6917" s="63" t="s">
        <v>4282</v>
      </c>
      <c r="M6917" s="63" t="s">
        <v>21</v>
      </c>
      <c r="O6917" s="62">
        <v>45442</v>
      </c>
      <c r="P6917" s="65" t="s">
        <v>21</v>
      </c>
      <c r="Q6917" s="66" t="b">
        <v>0</v>
      </c>
      <c r="R6917" s="22">
        <f t="shared" si="156"/>
        <v>17</v>
      </c>
      <c r="S6917" s="46" t="s">
        <v>21</v>
      </c>
    </row>
    <row r="6918" spans="1:19">
      <c r="A6918" s="64">
        <v>12505</v>
      </c>
      <c r="B6918" s="62">
        <v>45426</v>
      </c>
      <c r="C6918" s="63" t="s">
        <v>23064</v>
      </c>
      <c r="D6918" s="62">
        <v>45426</v>
      </c>
      <c r="E6918" s="63" t="s">
        <v>23065</v>
      </c>
      <c r="F6918" s="63" t="s">
        <v>94</v>
      </c>
      <c r="G6918" s="63" t="s">
        <v>189</v>
      </c>
      <c r="H6918" s="63" t="s">
        <v>71</v>
      </c>
      <c r="I6918" s="63" t="s">
        <v>21</v>
      </c>
      <c r="J6918" s="63" t="s">
        <v>23066</v>
      </c>
      <c r="K6918" s="63" t="s">
        <v>23067</v>
      </c>
      <c r="L6918" s="63" t="s">
        <v>4282</v>
      </c>
      <c r="M6918" s="63" t="s">
        <v>21</v>
      </c>
      <c r="O6918" s="22"/>
      <c r="P6918" s="65" t="s">
        <v>21</v>
      </c>
      <c r="Q6918" s="66" t="b">
        <v>0</v>
      </c>
      <c r="R6918" s="66"/>
      <c r="S6918" s="63" t="s">
        <v>21</v>
      </c>
    </row>
    <row r="6919" spans="1:19">
      <c r="A6919" s="64">
        <v>12506</v>
      </c>
      <c r="B6919" s="62">
        <v>45426</v>
      </c>
      <c r="C6919" s="63" t="s">
        <v>23068</v>
      </c>
      <c r="D6919" s="62">
        <v>45426</v>
      </c>
      <c r="E6919" s="63" t="s">
        <v>23069</v>
      </c>
      <c r="F6919" s="63" t="s">
        <v>242</v>
      </c>
      <c r="G6919" s="63" t="s">
        <v>189</v>
      </c>
      <c r="H6919" s="63" t="s">
        <v>71</v>
      </c>
      <c r="I6919" s="63" t="s">
        <v>21</v>
      </c>
      <c r="J6919" s="63" t="s">
        <v>23070</v>
      </c>
      <c r="K6919" s="63" t="s">
        <v>23071</v>
      </c>
      <c r="L6919" s="63" t="s">
        <v>21142</v>
      </c>
      <c r="M6919" s="63" t="s">
        <v>21</v>
      </c>
      <c r="O6919" s="62">
        <v>45464</v>
      </c>
      <c r="P6919" s="65" t="s">
        <v>21</v>
      </c>
      <c r="Q6919" s="66" t="b">
        <v>0</v>
      </c>
      <c r="R6919" s="22">
        <f>IF(O6919=" ", " ", INT(YEARFRAC(O6919, B6919)*365))</f>
        <v>37</v>
      </c>
      <c r="S6919" s="63" t="s">
        <v>21</v>
      </c>
    </row>
    <row r="6920" spans="1:19">
      <c r="A6920" s="64">
        <v>12507</v>
      </c>
      <c r="B6920" s="62">
        <v>45426</v>
      </c>
      <c r="C6920" s="63" t="s">
        <v>23072</v>
      </c>
      <c r="D6920" s="62">
        <v>45426</v>
      </c>
      <c r="E6920" s="63" t="s">
        <v>23073</v>
      </c>
      <c r="F6920" s="63" t="s">
        <v>129</v>
      </c>
      <c r="G6920" s="63" t="s">
        <v>189</v>
      </c>
      <c r="H6920" s="63" t="s">
        <v>71</v>
      </c>
      <c r="I6920" s="63" t="s">
        <v>21</v>
      </c>
      <c r="J6920" s="63" t="s">
        <v>23074</v>
      </c>
      <c r="K6920" s="63" t="s">
        <v>23075</v>
      </c>
      <c r="L6920" s="63" t="s">
        <v>22185</v>
      </c>
      <c r="M6920" s="63" t="s">
        <v>21</v>
      </c>
      <c r="O6920" s="62">
        <v>45469</v>
      </c>
      <c r="P6920" s="65" t="s">
        <v>21</v>
      </c>
      <c r="Q6920" s="66" t="b">
        <v>0</v>
      </c>
      <c r="R6920" s="22">
        <f>IF(O6920=" ", " ", INT(YEARFRAC(O6920, B6920)*365))</f>
        <v>42</v>
      </c>
      <c r="S6920" s="63" t="s">
        <v>21</v>
      </c>
    </row>
    <row r="6921" spans="1:19" ht="24">
      <c r="A6921" s="64">
        <v>12508</v>
      </c>
      <c r="B6921" s="62">
        <v>45427</v>
      </c>
      <c r="C6921" s="63" t="s">
        <v>23076</v>
      </c>
      <c r="D6921" s="62">
        <v>45426</v>
      </c>
      <c r="E6921" s="63" t="s">
        <v>23077</v>
      </c>
      <c r="F6921" s="63" t="s">
        <v>216</v>
      </c>
      <c r="G6921" s="63" t="s">
        <v>189</v>
      </c>
      <c r="H6921" s="63" t="s">
        <v>71</v>
      </c>
      <c r="I6921" s="63" t="s">
        <v>21</v>
      </c>
      <c r="J6921" s="63" t="s">
        <v>23078</v>
      </c>
      <c r="K6921" s="63" t="s">
        <v>20489</v>
      </c>
      <c r="L6921" s="63" t="s">
        <v>22185</v>
      </c>
      <c r="M6921" s="63" t="s">
        <v>21</v>
      </c>
      <c r="O6921" s="22"/>
      <c r="P6921" s="65" t="s">
        <v>21</v>
      </c>
      <c r="Q6921" s="66" t="b">
        <v>0</v>
      </c>
      <c r="R6921" s="66"/>
      <c r="S6921" s="63" t="s">
        <v>23079</v>
      </c>
    </row>
    <row r="6922" spans="1:19" ht="72">
      <c r="A6922" s="64">
        <v>12509</v>
      </c>
      <c r="B6922" s="62">
        <v>45427</v>
      </c>
      <c r="C6922" s="63" t="s">
        <v>23080</v>
      </c>
      <c r="D6922" s="62">
        <v>45427</v>
      </c>
      <c r="E6922" s="63" t="s">
        <v>23081</v>
      </c>
      <c r="F6922" s="63" t="s">
        <v>149</v>
      </c>
      <c r="G6922" s="63" t="s">
        <v>189</v>
      </c>
      <c r="H6922" s="63" t="s">
        <v>71</v>
      </c>
      <c r="I6922" s="63" t="s">
        <v>21</v>
      </c>
      <c r="J6922" s="63" t="s">
        <v>2547</v>
      </c>
      <c r="K6922" s="63" t="s">
        <v>23082</v>
      </c>
      <c r="L6922" s="63" t="s">
        <v>21243</v>
      </c>
      <c r="M6922" s="63" t="s">
        <v>21</v>
      </c>
      <c r="O6922" s="62">
        <v>45511</v>
      </c>
      <c r="P6922" s="65" t="s">
        <v>21</v>
      </c>
      <c r="Q6922" s="66" t="b">
        <v>0</v>
      </c>
      <c r="R6922" s="22">
        <f>IF(O6922=" ", " ", INT(YEARFRAC(O6922, B6922)*365))</f>
        <v>83</v>
      </c>
      <c r="S6922" s="63" t="s">
        <v>23083</v>
      </c>
    </row>
    <row r="6923" spans="1:19">
      <c r="A6923" s="64">
        <v>12510</v>
      </c>
      <c r="B6923" s="62">
        <v>45429</v>
      </c>
      <c r="C6923" s="63" t="s">
        <v>23084</v>
      </c>
      <c r="D6923" s="62">
        <v>45429</v>
      </c>
      <c r="E6923" s="63" t="s">
        <v>38</v>
      </c>
      <c r="F6923" s="63" t="s">
        <v>12404</v>
      </c>
      <c r="G6923" s="63" t="s">
        <v>189</v>
      </c>
      <c r="H6923" s="63" t="s">
        <v>71</v>
      </c>
      <c r="I6923" s="63" t="s">
        <v>21</v>
      </c>
      <c r="J6923" s="63" t="s">
        <v>23085</v>
      </c>
      <c r="K6923" s="63" t="s">
        <v>10416</v>
      </c>
      <c r="L6923" s="63" t="s">
        <v>21243</v>
      </c>
      <c r="M6923" s="63" t="s">
        <v>21</v>
      </c>
      <c r="O6923" s="62">
        <v>45435</v>
      </c>
      <c r="P6923" s="65" t="s">
        <v>21</v>
      </c>
      <c r="Q6923" s="66" t="b">
        <v>0</v>
      </c>
      <c r="R6923" s="22">
        <f>IF(O6923=" ", " ", INT(YEARFRAC(O6923, B6923)*365))</f>
        <v>6</v>
      </c>
      <c r="S6923" s="63" t="s">
        <v>21</v>
      </c>
    </row>
    <row r="6924" spans="1:19">
      <c r="A6924" s="64">
        <v>12511</v>
      </c>
      <c r="B6924" s="62">
        <v>45429</v>
      </c>
      <c r="C6924" s="63" t="s">
        <v>23086</v>
      </c>
      <c r="D6924" s="62">
        <v>45429</v>
      </c>
      <c r="E6924" s="63" t="s">
        <v>23087</v>
      </c>
      <c r="F6924" s="63" t="s">
        <v>228</v>
      </c>
      <c r="G6924" s="63" t="s">
        <v>189</v>
      </c>
      <c r="H6924" s="63" t="s">
        <v>71</v>
      </c>
      <c r="I6924" s="63" t="s">
        <v>21</v>
      </c>
      <c r="J6924" s="63" t="s">
        <v>23088</v>
      </c>
      <c r="K6924" s="63" t="s">
        <v>1349</v>
      </c>
      <c r="L6924" s="63" t="s">
        <v>4282</v>
      </c>
      <c r="M6924" s="63" t="s">
        <v>21</v>
      </c>
      <c r="O6924" s="62">
        <v>45442</v>
      </c>
      <c r="P6924" s="65" t="s">
        <v>21</v>
      </c>
      <c r="Q6924" s="66" t="b">
        <v>0</v>
      </c>
      <c r="R6924" s="22">
        <f>IF(O6924=" ", " ", INT(YEARFRAC(O6924, B6924)*365))</f>
        <v>13</v>
      </c>
      <c r="S6924" s="63" t="s">
        <v>21</v>
      </c>
    </row>
    <row r="6925" spans="1:19">
      <c r="A6925" s="64">
        <v>12512</v>
      </c>
      <c r="B6925" s="62">
        <v>45433</v>
      </c>
      <c r="C6925" s="63" t="s">
        <v>23089</v>
      </c>
      <c r="D6925" s="62">
        <v>45428</v>
      </c>
      <c r="E6925" s="63" t="s">
        <v>23090</v>
      </c>
      <c r="F6925" s="63" t="s">
        <v>6752</v>
      </c>
      <c r="G6925" s="63" t="s">
        <v>189</v>
      </c>
      <c r="H6925" s="63" t="s">
        <v>71</v>
      </c>
      <c r="I6925" s="63" t="s">
        <v>21</v>
      </c>
      <c r="J6925" s="63" t="s">
        <v>9199</v>
      </c>
      <c r="K6925" s="63" t="s">
        <v>9348</v>
      </c>
      <c r="L6925" s="63" t="s">
        <v>21142</v>
      </c>
      <c r="M6925" s="63" t="s">
        <v>21</v>
      </c>
      <c r="O6925" s="22"/>
      <c r="P6925" s="65" t="s">
        <v>21</v>
      </c>
      <c r="Q6925" s="66" t="b">
        <v>0</v>
      </c>
      <c r="R6925" s="66"/>
      <c r="S6925" s="63" t="s">
        <v>21</v>
      </c>
    </row>
    <row r="6926" spans="1:19">
      <c r="A6926" s="64">
        <v>12513</v>
      </c>
      <c r="B6926" s="62">
        <v>45433</v>
      </c>
      <c r="C6926" s="63" t="s">
        <v>23091</v>
      </c>
      <c r="D6926" s="62">
        <v>45432</v>
      </c>
      <c r="E6926" s="63" t="s">
        <v>23092</v>
      </c>
      <c r="F6926" s="63" t="s">
        <v>1771</v>
      </c>
      <c r="G6926" s="63" t="s">
        <v>189</v>
      </c>
      <c r="H6926" s="63" t="s">
        <v>189</v>
      </c>
      <c r="I6926" s="63" t="s">
        <v>21</v>
      </c>
      <c r="J6926" s="63" t="s">
        <v>23093</v>
      </c>
      <c r="K6926" s="63" t="s">
        <v>23094</v>
      </c>
      <c r="L6926" s="63" t="s">
        <v>21243</v>
      </c>
      <c r="M6926" s="63" t="s">
        <v>21</v>
      </c>
      <c r="O6926" s="22"/>
      <c r="P6926" s="65" t="s">
        <v>21</v>
      </c>
      <c r="Q6926" s="66" t="b">
        <v>0</v>
      </c>
      <c r="R6926" s="66"/>
      <c r="S6926" s="63" t="s">
        <v>21</v>
      </c>
    </row>
    <row r="6927" spans="1:19">
      <c r="A6927" s="64">
        <v>12514</v>
      </c>
      <c r="B6927" s="62">
        <v>45434</v>
      </c>
      <c r="C6927" s="63" t="s">
        <v>23095</v>
      </c>
      <c r="D6927" s="62">
        <v>45433</v>
      </c>
      <c r="E6927" s="63" t="s">
        <v>23096</v>
      </c>
      <c r="F6927" s="63" t="s">
        <v>27</v>
      </c>
      <c r="G6927" s="63" t="s">
        <v>189</v>
      </c>
      <c r="H6927" s="63" t="s">
        <v>71</v>
      </c>
      <c r="I6927" s="63" t="s">
        <v>21</v>
      </c>
      <c r="J6927" s="63" t="s">
        <v>23097</v>
      </c>
      <c r="K6927" s="63" t="s">
        <v>22733</v>
      </c>
      <c r="L6927" s="63" t="s">
        <v>21142</v>
      </c>
      <c r="M6927" s="63" t="s">
        <v>21</v>
      </c>
      <c r="O6927" s="62">
        <v>45470</v>
      </c>
      <c r="P6927" s="65" t="s">
        <v>21</v>
      </c>
      <c r="Q6927" s="66" t="b">
        <v>0</v>
      </c>
      <c r="R6927" s="22">
        <f t="shared" ref="R6927:R6935" si="157">IF(O6927=" ", " ", INT(YEARFRAC(O6927, B6927)*365))</f>
        <v>35</v>
      </c>
      <c r="S6927" s="63" t="s">
        <v>21</v>
      </c>
    </row>
    <row r="6928" spans="1:19">
      <c r="A6928" s="64">
        <v>12515</v>
      </c>
      <c r="B6928" s="62">
        <v>45434</v>
      </c>
      <c r="C6928" s="63" t="s">
        <v>23098</v>
      </c>
      <c r="D6928" s="62">
        <v>45434</v>
      </c>
      <c r="E6928" s="63" t="s">
        <v>23099</v>
      </c>
      <c r="F6928" s="63" t="s">
        <v>3615</v>
      </c>
      <c r="G6928" s="63" t="s">
        <v>189</v>
      </c>
      <c r="H6928" s="63" t="s">
        <v>189</v>
      </c>
      <c r="I6928" s="63" t="s">
        <v>21</v>
      </c>
      <c r="J6928" s="63" t="s">
        <v>23100</v>
      </c>
      <c r="K6928" s="63" t="s">
        <v>23101</v>
      </c>
      <c r="L6928" s="63" t="s">
        <v>21142</v>
      </c>
      <c r="M6928" s="63" t="s">
        <v>21</v>
      </c>
      <c r="O6928" s="62">
        <v>45455</v>
      </c>
      <c r="P6928" s="65" t="s">
        <v>21</v>
      </c>
      <c r="Q6928" s="66" t="b">
        <v>0</v>
      </c>
      <c r="R6928" s="22">
        <f t="shared" si="157"/>
        <v>20</v>
      </c>
      <c r="S6928" s="63" t="s">
        <v>21</v>
      </c>
    </row>
    <row r="6929" spans="1:19" ht="48">
      <c r="A6929" s="64">
        <v>12516</v>
      </c>
      <c r="B6929" s="62">
        <v>45442</v>
      </c>
      <c r="C6929" s="63" t="s">
        <v>23102</v>
      </c>
      <c r="D6929" s="62">
        <v>45441</v>
      </c>
      <c r="E6929" s="63" t="s">
        <v>23103</v>
      </c>
      <c r="F6929" s="63" t="s">
        <v>52</v>
      </c>
      <c r="G6929" s="63" t="s">
        <v>20</v>
      </c>
      <c r="H6929" s="63" t="s">
        <v>71</v>
      </c>
      <c r="I6929" s="63" t="s">
        <v>21</v>
      </c>
      <c r="J6929" s="63" t="s">
        <v>15700</v>
      </c>
      <c r="K6929" s="63" t="s">
        <v>20489</v>
      </c>
      <c r="L6929" s="63" t="s">
        <v>22185</v>
      </c>
      <c r="M6929" s="63" t="s">
        <v>21</v>
      </c>
      <c r="O6929" s="62">
        <v>45653</v>
      </c>
      <c r="P6929" s="65" t="s">
        <v>21</v>
      </c>
      <c r="Q6929" s="66" t="b">
        <v>0</v>
      </c>
      <c r="R6929" s="22">
        <f t="shared" si="157"/>
        <v>209</v>
      </c>
      <c r="S6929" s="63" t="s">
        <v>23105</v>
      </c>
    </row>
    <row r="6930" spans="1:19">
      <c r="A6930" s="64">
        <v>12517</v>
      </c>
      <c r="B6930" s="62">
        <v>45442</v>
      </c>
      <c r="C6930" s="63" t="s">
        <v>23106</v>
      </c>
      <c r="D6930" s="62">
        <v>45442</v>
      </c>
      <c r="E6930" s="63" t="s">
        <v>38</v>
      </c>
      <c r="F6930" s="63" t="s">
        <v>23107</v>
      </c>
      <c r="G6930" s="63" t="s">
        <v>20</v>
      </c>
      <c r="H6930" s="63" t="s">
        <v>71</v>
      </c>
      <c r="I6930" s="63" t="s">
        <v>21</v>
      </c>
      <c r="J6930" s="63" t="s">
        <v>23108</v>
      </c>
      <c r="K6930" s="63" t="s">
        <v>23109</v>
      </c>
      <c r="L6930" s="63" t="s">
        <v>22185</v>
      </c>
      <c r="M6930" s="63" t="s">
        <v>21</v>
      </c>
      <c r="O6930" s="62">
        <v>45471</v>
      </c>
      <c r="P6930" s="65" t="s">
        <v>21</v>
      </c>
      <c r="Q6930" s="66" t="b">
        <v>0</v>
      </c>
      <c r="R6930" s="22">
        <f t="shared" si="157"/>
        <v>28</v>
      </c>
      <c r="S6930" s="63" t="s">
        <v>21</v>
      </c>
    </row>
    <row r="6931" spans="1:19">
      <c r="A6931" s="64">
        <v>12518</v>
      </c>
      <c r="B6931" s="62">
        <v>45442</v>
      </c>
      <c r="C6931" s="63" t="s">
        <v>23110</v>
      </c>
      <c r="D6931" s="62">
        <v>45442</v>
      </c>
      <c r="E6931" s="63" t="s">
        <v>23111</v>
      </c>
      <c r="F6931" s="63" t="s">
        <v>6580</v>
      </c>
      <c r="G6931" s="63" t="s">
        <v>20</v>
      </c>
      <c r="H6931" s="63" t="s">
        <v>71</v>
      </c>
      <c r="I6931" s="63" t="s">
        <v>21</v>
      </c>
      <c r="J6931" s="63" t="s">
        <v>23112</v>
      </c>
      <c r="K6931" s="63" t="s">
        <v>23113</v>
      </c>
      <c r="L6931" s="63" t="s">
        <v>21243</v>
      </c>
      <c r="M6931" s="63" t="s">
        <v>21</v>
      </c>
      <c r="O6931" s="62">
        <v>45503</v>
      </c>
      <c r="P6931" s="65" t="s">
        <v>21</v>
      </c>
      <c r="Q6931" s="66" t="b">
        <v>0</v>
      </c>
      <c r="R6931" s="22">
        <f t="shared" si="157"/>
        <v>60</v>
      </c>
      <c r="S6931" s="63" t="s">
        <v>21</v>
      </c>
    </row>
    <row r="6932" spans="1:19" ht="24">
      <c r="A6932" s="64">
        <v>12519</v>
      </c>
      <c r="B6932" s="62">
        <v>45446</v>
      </c>
      <c r="C6932" s="63" t="s">
        <v>23114</v>
      </c>
      <c r="D6932" s="62">
        <v>45446</v>
      </c>
      <c r="E6932" s="63" t="s">
        <v>23115</v>
      </c>
      <c r="F6932" s="63" t="s">
        <v>11319</v>
      </c>
      <c r="G6932" s="63" t="s">
        <v>189</v>
      </c>
      <c r="H6932" s="63" t="s">
        <v>71</v>
      </c>
      <c r="I6932" s="63" t="s">
        <v>21</v>
      </c>
      <c r="J6932" s="63" t="s">
        <v>23116</v>
      </c>
      <c r="K6932" s="63" t="s">
        <v>23117</v>
      </c>
      <c r="L6932" s="63" t="s">
        <v>21573</v>
      </c>
      <c r="M6932" s="63" t="s">
        <v>21</v>
      </c>
      <c r="O6932" s="62">
        <v>45453</v>
      </c>
      <c r="P6932" s="65" t="s">
        <v>21</v>
      </c>
      <c r="Q6932" s="66" t="b">
        <v>0</v>
      </c>
      <c r="R6932" s="22">
        <f t="shared" si="157"/>
        <v>7</v>
      </c>
      <c r="S6932" s="63" t="s">
        <v>23118</v>
      </c>
    </row>
    <row r="6933" spans="1:19" ht="48">
      <c r="A6933" s="64">
        <v>12520</v>
      </c>
      <c r="B6933" s="62">
        <v>45448</v>
      </c>
      <c r="C6933" s="63" t="s">
        <v>23119</v>
      </c>
      <c r="D6933" s="62">
        <v>45447</v>
      </c>
      <c r="E6933" s="63" t="s">
        <v>23120</v>
      </c>
      <c r="F6933" s="63" t="s">
        <v>70</v>
      </c>
      <c r="G6933" s="63" t="s">
        <v>189</v>
      </c>
      <c r="H6933" s="63" t="s">
        <v>71</v>
      </c>
      <c r="I6933" s="63" t="s">
        <v>21</v>
      </c>
      <c r="J6933" s="63" t="s">
        <v>22171</v>
      </c>
      <c r="K6933" s="63" t="s">
        <v>23121</v>
      </c>
      <c r="L6933" s="63" t="s">
        <v>22185</v>
      </c>
      <c r="M6933" s="63" t="s">
        <v>21</v>
      </c>
      <c r="O6933" s="62">
        <v>45498</v>
      </c>
      <c r="P6933" s="65" t="s">
        <v>21</v>
      </c>
      <c r="Q6933" s="66" t="b">
        <v>0</v>
      </c>
      <c r="R6933" s="22">
        <f t="shared" si="157"/>
        <v>50</v>
      </c>
      <c r="S6933" s="63" t="s">
        <v>23122</v>
      </c>
    </row>
    <row r="6934" spans="1:19">
      <c r="A6934" s="64">
        <v>12521</v>
      </c>
      <c r="B6934" s="62">
        <v>45449</v>
      </c>
      <c r="C6934" s="63" t="s">
        <v>23123</v>
      </c>
      <c r="D6934" s="62">
        <v>45449</v>
      </c>
      <c r="E6934" s="63" t="s">
        <v>23124</v>
      </c>
      <c r="F6934" s="63" t="s">
        <v>439</v>
      </c>
      <c r="G6934" s="63" t="s">
        <v>189</v>
      </c>
      <c r="H6934" s="63" t="s">
        <v>71</v>
      </c>
      <c r="I6934" s="63" t="s">
        <v>21</v>
      </c>
      <c r="J6934" s="63" t="s">
        <v>23125</v>
      </c>
      <c r="K6934" s="63" t="s">
        <v>23126</v>
      </c>
      <c r="L6934" s="63" t="s">
        <v>21573</v>
      </c>
      <c r="M6934" s="63" t="s">
        <v>21</v>
      </c>
      <c r="O6934" s="62">
        <v>45511</v>
      </c>
      <c r="P6934" s="65" t="s">
        <v>21</v>
      </c>
      <c r="Q6934" s="66" t="b">
        <v>0</v>
      </c>
      <c r="R6934" s="22">
        <f t="shared" si="157"/>
        <v>61</v>
      </c>
      <c r="S6934" s="63" t="s">
        <v>21</v>
      </c>
    </row>
    <row r="6935" spans="1:19">
      <c r="A6935" s="64">
        <v>12522</v>
      </c>
      <c r="B6935" s="62">
        <v>45450</v>
      </c>
      <c r="C6935" s="63" t="s">
        <v>23127</v>
      </c>
      <c r="D6935" s="62">
        <v>45450</v>
      </c>
      <c r="E6935" s="63" t="s">
        <v>23128</v>
      </c>
      <c r="F6935" s="63" t="s">
        <v>52</v>
      </c>
      <c r="G6935" s="63" t="s">
        <v>189</v>
      </c>
      <c r="H6935" s="63" t="s">
        <v>71</v>
      </c>
      <c r="I6935" s="63" t="s">
        <v>21</v>
      </c>
      <c r="J6935" s="63" t="s">
        <v>23129</v>
      </c>
      <c r="K6935" s="63" t="s">
        <v>23130</v>
      </c>
      <c r="L6935" s="63" t="s">
        <v>21142</v>
      </c>
      <c r="M6935" s="63" t="s">
        <v>21</v>
      </c>
      <c r="O6935" s="62">
        <v>45464</v>
      </c>
      <c r="P6935" s="65" t="s">
        <v>21</v>
      </c>
      <c r="Q6935" s="66" t="b">
        <v>0</v>
      </c>
      <c r="R6935" s="22">
        <f t="shared" si="157"/>
        <v>14</v>
      </c>
      <c r="S6935" s="63" t="s">
        <v>21</v>
      </c>
    </row>
    <row r="6936" spans="1:19">
      <c r="A6936" s="64">
        <v>12523</v>
      </c>
      <c r="B6936" s="62">
        <v>45455</v>
      </c>
      <c r="C6936" s="63" t="s">
        <v>23131</v>
      </c>
      <c r="D6936" s="62">
        <v>45453</v>
      </c>
      <c r="E6936" s="63" t="s">
        <v>23132</v>
      </c>
      <c r="F6936" s="63" t="s">
        <v>19</v>
      </c>
      <c r="G6936" s="63" t="s">
        <v>189</v>
      </c>
      <c r="H6936" s="63" t="s">
        <v>71</v>
      </c>
      <c r="I6936" s="63" t="s">
        <v>21</v>
      </c>
      <c r="J6936" s="63" t="s">
        <v>23133</v>
      </c>
      <c r="K6936" s="63" t="s">
        <v>23134</v>
      </c>
      <c r="L6936" s="63" t="s">
        <v>21243</v>
      </c>
      <c r="M6936" s="63" t="s">
        <v>21</v>
      </c>
      <c r="O6936" s="22"/>
      <c r="P6936" s="65" t="s">
        <v>21</v>
      </c>
      <c r="Q6936" s="66" t="b">
        <v>0</v>
      </c>
      <c r="R6936" s="66"/>
      <c r="S6936" s="63" t="s">
        <v>21</v>
      </c>
    </row>
    <row r="6937" spans="1:19">
      <c r="A6937" s="64">
        <v>12524</v>
      </c>
      <c r="B6937" s="62">
        <v>45455</v>
      </c>
      <c r="C6937" s="63" t="s">
        <v>23135</v>
      </c>
      <c r="D6937" s="62">
        <v>45455</v>
      </c>
      <c r="E6937" s="63" t="s">
        <v>23136</v>
      </c>
      <c r="F6937" s="63" t="s">
        <v>2146</v>
      </c>
      <c r="G6937" s="63" t="s">
        <v>189</v>
      </c>
      <c r="H6937" s="63" t="s">
        <v>189</v>
      </c>
      <c r="I6937" s="63" t="s">
        <v>21</v>
      </c>
      <c r="J6937" s="63" t="s">
        <v>23137</v>
      </c>
      <c r="K6937" s="63" t="s">
        <v>23138</v>
      </c>
      <c r="L6937" s="63" t="s">
        <v>22185</v>
      </c>
      <c r="M6937" s="63" t="s">
        <v>21</v>
      </c>
      <c r="O6937" s="62">
        <v>45470</v>
      </c>
      <c r="P6937" s="65" t="s">
        <v>21</v>
      </c>
      <c r="Q6937" s="66" t="b">
        <v>0</v>
      </c>
      <c r="R6937" s="22">
        <f>IF(O6937=" ", " ", INT(YEARFRAC(O6937, B6937)*365))</f>
        <v>15</v>
      </c>
      <c r="S6937" s="63" t="s">
        <v>21</v>
      </c>
    </row>
    <row r="6938" spans="1:19" ht="24">
      <c r="A6938" s="64">
        <v>12525</v>
      </c>
      <c r="B6938" s="62">
        <v>45455</v>
      </c>
      <c r="C6938" s="63" t="s">
        <v>23139</v>
      </c>
      <c r="D6938" s="62">
        <v>45455</v>
      </c>
      <c r="E6938" s="63" t="s">
        <v>23118</v>
      </c>
      <c r="F6938" s="63" t="s">
        <v>11319</v>
      </c>
      <c r="G6938" s="63" t="s">
        <v>189</v>
      </c>
      <c r="H6938" s="63" t="s">
        <v>71</v>
      </c>
      <c r="I6938" s="63" t="s">
        <v>21</v>
      </c>
      <c r="J6938" s="63" t="s">
        <v>23116</v>
      </c>
      <c r="K6938" s="63" t="s">
        <v>23117</v>
      </c>
      <c r="L6938" s="63" t="s">
        <v>21573</v>
      </c>
      <c r="M6938" s="63" t="s">
        <v>21</v>
      </c>
      <c r="N6938" s="22"/>
      <c r="O6938" s="22"/>
      <c r="P6938" s="65" t="s">
        <v>21</v>
      </c>
      <c r="Q6938" s="66" t="b">
        <v>0</v>
      </c>
      <c r="R6938" s="66"/>
      <c r="S6938" s="63" t="s">
        <v>23115</v>
      </c>
    </row>
    <row r="6939" spans="1:19">
      <c r="A6939" s="64">
        <v>12526</v>
      </c>
      <c r="B6939" s="62">
        <v>45457</v>
      </c>
      <c r="C6939" s="63" t="s">
        <v>23140</v>
      </c>
      <c r="D6939" s="62">
        <v>45455</v>
      </c>
      <c r="E6939" s="63" t="s">
        <v>23141</v>
      </c>
      <c r="F6939" s="63" t="s">
        <v>11319</v>
      </c>
      <c r="G6939" s="63" t="s">
        <v>189</v>
      </c>
      <c r="H6939" s="63" t="s">
        <v>71</v>
      </c>
      <c r="I6939" s="63" t="s">
        <v>21</v>
      </c>
      <c r="J6939" s="63" t="s">
        <v>23142</v>
      </c>
      <c r="K6939" s="63" t="s">
        <v>20212</v>
      </c>
      <c r="L6939" s="63" t="s">
        <v>21573</v>
      </c>
      <c r="M6939" s="63" t="s">
        <v>21</v>
      </c>
      <c r="N6939" s="22"/>
      <c r="O6939" s="62">
        <v>45582</v>
      </c>
      <c r="P6939" s="65" t="s">
        <v>21</v>
      </c>
      <c r="Q6939" s="66" t="b">
        <v>0</v>
      </c>
      <c r="R6939" s="22">
        <f t="shared" ref="R6939:R6950" si="158">IF(O6939=" ", " ", INT(YEARFRAC(O6939, B6939)*365))</f>
        <v>124</v>
      </c>
      <c r="S6939" s="63" t="s">
        <v>21</v>
      </c>
    </row>
    <row r="6940" spans="1:19" ht="24">
      <c r="A6940" s="64">
        <v>12527</v>
      </c>
      <c r="B6940" s="62">
        <v>45460</v>
      </c>
      <c r="C6940" s="63" t="s">
        <v>23143</v>
      </c>
      <c r="D6940" s="62">
        <v>45457</v>
      </c>
      <c r="E6940" s="63" t="s">
        <v>23144</v>
      </c>
      <c r="F6940" s="63" t="s">
        <v>11319</v>
      </c>
      <c r="G6940" s="63" t="s">
        <v>189</v>
      </c>
      <c r="H6940" s="63" t="s">
        <v>71</v>
      </c>
      <c r="I6940" s="63" t="s">
        <v>21</v>
      </c>
      <c r="J6940" s="63" t="s">
        <v>23142</v>
      </c>
      <c r="K6940" s="63" t="s">
        <v>23145</v>
      </c>
      <c r="L6940" s="63" t="s">
        <v>21142</v>
      </c>
      <c r="M6940" s="63" t="s">
        <v>21</v>
      </c>
      <c r="O6940" s="62">
        <v>45567</v>
      </c>
      <c r="P6940" s="65" t="s">
        <v>21</v>
      </c>
      <c r="Q6940" s="66" t="b">
        <v>0</v>
      </c>
      <c r="R6940" s="22">
        <f t="shared" si="158"/>
        <v>106</v>
      </c>
      <c r="S6940" s="63" t="s">
        <v>21621</v>
      </c>
    </row>
    <row r="6941" spans="1:19">
      <c r="A6941" s="64">
        <v>12528</v>
      </c>
      <c r="B6941" s="62">
        <v>45460</v>
      </c>
      <c r="C6941" s="63" t="s">
        <v>23146</v>
      </c>
      <c r="D6941" s="62">
        <v>45460</v>
      </c>
      <c r="E6941" s="63" t="s">
        <v>23147</v>
      </c>
      <c r="F6941" s="63" t="s">
        <v>22543</v>
      </c>
      <c r="G6941" s="63" t="s">
        <v>189</v>
      </c>
      <c r="H6941" s="63" t="s">
        <v>71</v>
      </c>
      <c r="I6941" s="63" t="s">
        <v>21</v>
      </c>
      <c r="J6941" s="63" t="s">
        <v>23148</v>
      </c>
      <c r="K6941" s="63" t="s">
        <v>23149</v>
      </c>
      <c r="L6941" s="63" t="s">
        <v>21142</v>
      </c>
      <c r="M6941" s="63" t="s">
        <v>21</v>
      </c>
      <c r="O6941" s="62">
        <v>45495</v>
      </c>
      <c r="P6941" s="65" t="s">
        <v>21</v>
      </c>
      <c r="Q6941" s="66" t="b">
        <v>0</v>
      </c>
      <c r="R6941" s="22">
        <f t="shared" si="158"/>
        <v>35</v>
      </c>
      <c r="S6941" s="63" t="s">
        <v>21</v>
      </c>
    </row>
    <row r="6942" spans="1:19" ht="24">
      <c r="A6942" s="64">
        <v>12529</v>
      </c>
      <c r="B6942" s="62">
        <v>45461</v>
      </c>
      <c r="C6942" s="63" t="s">
        <v>23150</v>
      </c>
      <c r="D6942" s="62">
        <v>45461</v>
      </c>
      <c r="E6942" s="63" t="s">
        <v>23151</v>
      </c>
      <c r="F6942" s="63" t="s">
        <v>2146</v>
      </c>
      <c r="G6942" s="63" t="s">
        <v>189</v>
      </c>
      <c r="H6942" s="63" t="s">
        <v>189</v>
      </c>
      <c r="I6942" s="63" t="s">
        <v>21</v>
      </c>
      <c r="J6942" s="63" t="s">
        <v>23152</v>
      </c>
      <c r="K6942" s="63" t="s">
        <v>23153</v>
      </c>
      <c r="L6942" s="63" t="s">
        <v>21142</v>
      </c>
      <c r="M6942" s="63" t="s">
        <v>21</v>
      </c>
      <c r="O6942" s="62">
        <v>45475</v>
      </c>
      <c r="P6942" s="65" t="s">
        <v>21</v>
      </c>
      <c r="Q6942" s="66" t="b">
        <v>0</v>
      </c>
      <c r="R6942" s="22">
        <f t="shared" si="158"/>
        <v>14</v>
      </c>
      <c r="S6942" s="63" t="s">
        <v>21</v>
      </c>
    </row>
    <row r="6943" spans="1:19">
      <c r="A6943" s="64">
        <v>12530</v>
      </c>
      <c r="B6943" s="62">
        <v>45461</v>
      </c>
      <c r="C6943" s="63" t="s">
        <v>23154</v>
      </c>
      <c r="D6943" s="62">
        <v>45461</v>
      </c>
      <c r="E6943" s="63" t="s">
        <v>23155</v>
      </c>
      <c r="F6943" s="63" t="s">
        <v>1771</v>
      </c>
      <c r="G6943" s="63" t="s">
        <v>189</v>
      </c>
      <c r="H6943" s="63" t="s">
        <v>189</v>
      </c>
      <c r="I6943" s="63" t="s">
        <v>21</v>
      </c>
      <c r="J6943" s="63" t="s">
        <v>23156</v>
      </c>
      <c r="K6943" s="63" t="s">
        <v>23157</v>
      </c>
      <c r="L6943" s="63" t="s">
        <v>22185</v>
      </c>
      <c r="M6943" s="63" t="s">
        <v>21</v>
      </c>
      <c r="O6943" s="62">
        <v>45504</v>
      </c>
      <c r="P6943" s="65" t="s">
        <v>21</v>
      </c>
      <c r="Q6943" s="66" t="b">
        <v>0</v>
      </c>
      <c r="R6943" s="22">
        <f t="shared" si="158"/>
        <v>43</v>
      </c>
      <c r="S6943" s="63" t="s">
        <v>21</v>
      </c>
    </row>
    <row r="6944" spans="1:19">
      <c r="A6944" s="64">
        <v>12536</v>
      </c>
      <c r="B6944" s="62">
        <v>45464</v>
      </c>
      <c r="C6944" s="63" t="s">
        <v>23170</v>
      </c>
      <c r="D6944" s="62">
        <v>45464</v>
      </c>
      <c r="E6944" s="63" t="s">
        <v>23171</v>
      </c>
      <c r="F6944" s="63" t="s">
        <v>70</v>
      </c>
      <c r="G6944" s="63" t="s">
        <v>189</v>
      </c>
      <c r="H6944" s="63" t="s">
        <v>71</v>
      </c>
      <c r="I6944" s="63" t="s">
        <v>21</v>
      </c>
      <c r="J6944" s="63" t="s">
        <v>23160</v>
      </c>
      <c r="K6944" s="63" t="s">
        <v>23161</v>
      </c>
      <c r="L6944" s="63" t="s">
        <v>21243</v>
      </c>
      <c r="M6944" s="63" t="s">
        <v>21</v>
      </c>
      <c r="O6944" s="62">
        <v>45548</v>
      </c>
      <c r="P6944" s="65" t="s">
        <v>21</v>
      </c>
      <c r="Q6944" s="66" t="b">
        <v>0</v>
      </c>
      <c r="R6944" s="22">
        <f t="shared" si="158"/>
        <v>83</v>
      </c>
      <c r="S6944" s="63" t="s">
        <v>21</v>
      </c>
    </row>
    <row r="6945" spans="1:19">
      <c r="A6945" s="64">
        <v>12531</v>
      </c>
      <c r="B6945" s="62">
        <v>45467</v>
      </c>
      <c r="C6945" s="63" t="s">
        <v>23158</v>
      </c>
      <c r="D6945" s="62">
        <v>45464</v>
      </c>
      <c r="E6945" s="63" t="s">
        <v>23159</v>
      </c>
      <c r="F6945" s="63" t="s">
        <v>345</v>
      </c>
      <c r="G6945" s="63" t="s">
        <v>189</v>
      </c>
      <c r="H6945" s="63" t="s">
        <v>71</v>
      </c>
      <c r="I6945" s="63" t="s">
        <v>21</v>
      </c>
      <c r="J6945" s="63" t="s">
        <v>23160</v>
      </c>
      <c r="K6945" s="63" t="s">
        <v>23161</v>
      </c>
      <c r="L6945" s="63" t="s">
        <v>21243</v>
      </c>
      <c r="M6945" s="63" t="s">
        <v>21</v>
      </c>
      <c r="O6945" s="62">
        <v>45485</v>
      </c>
      <c r="P6945" s="65" t="s">
        <v>21</v>
      </c>
      <c r="Q6945" s="66" t="b">
        <v>0</v>
      </c>
      <c r="R6945" s="22">
        <f t="shared" si="158"/>
        <v>18</v>
      </c>
      <c r="S6945" s="63" t="s">
        <v>21</v>
      </c>
    </row>
    <row r="6946" spans="1:19">
      <c r="A6946" s="64">
        <v>12532</v>
      </c>
      <c r="B6946" s="62">
        <v>45467</v>
      </c>
      <c r="C6946" s="63" t="s">
        <v>23162</v>
      </c>
      <c r="D6946" s="62">
        <v>45467</v>
      </c>
      <c r="E6946" s="63" t="s">
        <v>23163</v>
      </c>
      <c r="F6946" s="63" t="s">
        <v>455</v>
      </c>
      <c r="G6946" s="63" t="s">
        <v>189</v>
      </c>
      <c r="H6946" s="63" t="s">
        <v>71</v>
      </c>
      <c r="I6946" s="63" t="s">
        <v>21</v>
      </c>
      <c r="J6946" s="63" t="s">
        <v>23160</v>
      </c>
      <c r="K6946" s="63" t="s">
        <v>23161</v>
      </c>
      <c r="L6946" s="63" t="s">
        <v>21243</v>
      </c>
      <c r="M6946" s="63" t="s">
        <v>21</v>
      </c>
      <c r="O6946" s="62">
        <v>45484</v>
      </c>
      <c r="P6946" s="65" t="s">
        <v>21</v>
      </c>
      <c r="Q6946" s="66" t="b">
        <v>0</v>
      </c>
      <c r="R6946" s="22">
        <f t="shared" si="158"/>
        <v>17</v>
      </c>
      <c r="S6946" s="63" t="s">
        <v>21</v>
      </c>
    </row>
    <row r="6947" spans="1:19">
      <c r="A6947" s="64">
        <v>12533</v>
      </c>
      <c r="B6947" s="62">
        <v>45467</v>
      </c>
      <c r="C6947" s="63" t="s">
        <v>23164</v>
      </c>
      <c r="D6947" s="62">
        <v>45464</v>
      </c>
      <c r="E6947" s="63" t="s">
        <v>23165</v>
      </c>
      <c r="F6947" s="63" t="s">
        <v>228</v>
      </c>
      <c r="G6947" s="63" t="s">
        <v>189</v>
      </c>
      <c r="H6947" s="63" t="s">
        <v>71</v>
      </c>
      <c r="I6947" s="63" t="s">
        <v>21</v>
      </c>
      <c r="J6947" s="63" t="s">
        <v>23160</v>
      </c>
      <c r="K6947" s="63" t="s">
        <v>23161</v>
      </c>
      <c r="L6947" s="63" t="s">
        <v>21243</v>
      </c>
      <c r="M6947" s="63" t="s">
        <v>21</v>
      </c>
      <c r="O6947" s="62">
        <v>45548</v>
      </c>
      <c r="P6947" s="65" t="s">
        <v>21</v>
      </c>
      <c r="Q6947" s="66" t="b">
        <v>0</v>
      </c>
      <c r="R6947" s="22">
        <f t="shared" si="158"/>
        <v>80</v>
      </c>
      <c r="S6947" s="63" t="s">
        <v>21</v>
      </c>
    </row>
    <row r="6948" spans="1:19">
      <c r="A6948" s="64">
        <v>12534</v>
      </c>
      <c r="B6948" s="62">
        <v>45467</v>
      </c>
      <c r="C6948" s="63" t="s">
        <v>23166</v>
      </c>
      <c r="D6948" s="62">
        <v>45464</v>
      </c>
      <c r="E6948" s="63" t="s">
        <v>23167</v>
      </c>
      <c r="F6948" s="63" t="s">
        <v>56</v>
      </c>
      <c r="G6948" s="63" t="s">
        <v>189</v>
      </c>
      <c r="H6948" s="63" t="s">
        <v>71</v>
      </c>
      <c r="I6948" s="63" t="s">
        <v>21</v>
      </c>
      <c r="J6948" s="63" t="s">
        <v>23160</v>
      </c>
      <c r="K6948" s="63" t="s">
        <v>23161</v>
      </c>
      <c r="L6948" s="63" t="s">
        <v>21243</v>
      </c>
      <c r="M6948" s="63" t="s">
        <v>21</v>
      </c>
      <c r="N6948" s="22"/>
      <c r="O6948" s="62">
        <v>45531</v>
      </c>
      <c r="P6948" s="65" t="s">
        <v>21</v>
      </c>
      <c r="Q6948" s="66" t="b">
        <v>0</v>
      </c>
      <c r="R6948" s="22">
        <f t="shared" si="158"/>
        <v>63</v>
      </c>
      <c r="S6948" s="63" t="s">
        <v>21</v>
      </c>
    </row>
    <row r="6949" spans="1:19">
      <c r="A6949" s="64">
        <v>12535</v>
      </c>
      <c r="B6949" s="62">
        <v>45467</v>
      </c>
      <c r="C6949" s="63" t="s">
        <v>23168</v>
      </c>
      <c r="D6949" s="62">
        <v>45464</v>
      </c>
      <c r="E6949" s="63" t="s">
        <v>23169</v>
      </c>
      <c r="F6949" s="63" t="s">
        <v>145</v>
      </c>
      <c r="G6949" s="63" t="s">
        <v>189</v>
      </c>
      <c r="H6949" s="63" t="s">
        <v>71</v>
      </c>
      <c r="I6949" s="63" t="s">
        <v>21</v>
      </c>
      <c r="J6949" s="63" t="s">
        <v>23160</v>
      </c>
      <c r="K6949" s="63" t="s">
        <v>23161</v>
      </c>
      <c r="L6949" s="63" t="s">
        <v>21243</v>
      </c>
      <c r="M6949" s="63" t="s">
        <v>21</v>
      </c>
      <c r="O6949" s="62">
        <v>45497</v>
      </c>
      <c r="P6949" s="65" t="s">
        <v>21</v>
      </c>
      <c r="Q6949" s="66" t="b">
        <v>0</v>
      </c>
      <c r="R6949" s="22">
        <f t="shared" si="158"/>
        <v>30</v>
      </c>
      <c r="S6949" s="63" t="s">
        <v>21</v>
      </c>
    </row>
    <row r="6950" spans="1:19">
      <c r="A6950" s="64">
        <v>12537</v>
      </c>
      <c r="B6950" s="62">
        <v>45467</v>
      </c>
      <c r="C6950" s="63" t="s">
        <v>23172</v>
      </c>
      <c r="D6950" s="62">
        <v>45467</v>
      </c>
      <c r="E6950" s="63" t="s">
        <v>23173</v>
      </c>
      <c r="F6950" s="63" t="s">
        <v>242</v>
      </c>
      <c r="G6950" s="63" t="s">
        <v>189</v>
      </c>
      <c r="H6950" s="63" t="s">
        <v>71</v>
      </c>
      <c r="I6950" s="63" t="s">
        <v>21</v>
      </c>
      <c r="J6950" s="63" t="s">
        <v>7157</v>
      </c>
      <c r="K6950" s="63" t="s">
        <v>6731</v>
      </c>
      <c r="L6950" s="63" t="s">
        <v>21573</v>
      </c>
      <c r="M6950" s="63" t="s">
        <v>21</v>
      </c>
      <c r="O6950" s="62">
        <v>45496</v>
      </c>
      <c r="P6950" s="65" t="s">
        <v>21</v>
      </c>
      <c r="Q6950" s="66" t="b">
        <v>0</v>
      </c>
      <c r="R6950" s="22">
        <f t="shared" si="158"/>
        <v>29</v>
      </c>
      <c r="S6950" s="63" t="s">
        <v>21</v>
      </c>
    </row>
    <row r="6951" spans="1:19">
      <c r="A6951" s="64">
        <v>12538</v>
      </c>
      <c r="B6951" s="62">
        <v>45470</v>
      </c>
      <c r="C6951" s="63" t="s">
        <v>23174</v>
      </c>
      <c r="D6951" s="62">
        <v>45468</v>
      </c>
      <c r="E6951" s="63" t="s">
        <v>23175</v>
      </c>
      <c r="F6951" s="63" t="s">
        <v>693</v>
      </c>
      <c r="G6951" s="63" t="s">
        <v>189</v>
      </c>
      <c r="H6951" s="63" t="s">
        <v>189</v>
      </c>
      <c r="I6951" s="63" t="s">
        <v>21</v>
      </c>
      <c r="J6951" s="63" t="s">
        <v>23176</v>
      </c>
      <c r="K6951" s="63" t="s">
        <v>23177</v>
      </c>
      <c r="L6951" s="63" t="s">
        <v>21243</v>
      </c>
      <c r="M6951" s="63" t="s">
        <v>21</v>
      </c>
      <c r="O6951" s="22"/>
      <c r="P6951" s="65" t="s">
        <v>21</v>
      </c>
      <c r="Q6951" s="66" t="b">
        <v>0</v>
      </c>
      <c r="R6951" s="66"/>
      <c r="S6951" s="63" t="s">
        <v>21</v>
      </c>
    </row>
    <row r="6952" spans="1:19">
      <c r="A6952" s="64">
        <v>12539</v>
      </c>
      <c r="B6952" s="62">
        <v>45476</v>
      </c>
      <c r="C6952" s="63" t="s">
        <v>23178</v>
      </c>
      <c r="D6952" s="62">
        <v>45475</v>
      </c>
      <c r="E6952" s="63" t="s">
        <v>23179</v>
      </c>
      <c r="F6952" s="63" t="s">
        <v>455</v>
      </c>
      <c r="G6952" s="63" t="s">
        <v>189</v>
      </c>
      <c r="H6952" s="63" t="s">
        <v>71</v>
      </c>
      <c r="I6952" s="63" t="s">
        <v>21</v>
      </c>
      <c r="J6952" s="63" t="s">
        <v>23180</v>
      </c>
      <c r="K6952" s="63" t="s">
        <v>2542</v>
      </c>
      <c r="L6952" s="63" t="s">
        <v>21142</v>
      </c>
      <c r="M6952" s="63" t="s">
        <v>21</v>
      </c>
      <c r="O6952" s="62">
        <v>45603</v>
      </c>
      <c r="P6952" s="65" t="s">
        <v>21</v>
      </c>
      <c r="Q6952" s="66" t="b">
        <v>0</v>
      </c>
      <c r="R6952" s="22">
        <f t="shared" ref="R6952:R6965" si="159">IF(O6952=" ", " ", INT(YEARFRAC(O6952, B6952)*365))</f>
        <v>125</v>
      </c>
      <c r="S6952" s="63" t="s">
        <v>21</v>
      </c>
    </row>
    <row r="6953" spans="1:19">
      <c r="A6953" s="64">
        <v>12540</v>
      </c>
      <c r="B6953" s="62">
        <v>45485</v>
      </c>
      <c r="C6953" s="63" t="s">
        <v>23181</v>
      </c>
      <c r="D6953" s="62">
        <v>45476</v>
      </c>
      <c r="E6953" s="63" t="s">
        <v>38</v>
      </c>
      <c r="F6953" s="63" t="s">
        <v>19</v>
      </c>
      <c r="G6953" s="63" t="s">
        <v>189</v>
      </c>
      <c r="H6953" s="63" t="s">
        <v>71</v>
      </c>
      <c r="I6953" s="63" t="s">
        <v>21</v>
      </c>
      <c r="J6953" s="63" t="s">
        <v>23182</v>
      </c>
      <c r="K6953" s="63" t="s">
        <v>23183</v>
      </c>
      <c r="L6953" s="63" t="s">
        <v>22185</v>
      </c>
      <c r="M6953" s="63" t="s">
        <v>21</v>
      </c>
      <c r="O6953" s="62">
        <v>45485</v>
      </c>
      <c r="P6953" s="65" t="s">
        <v>21</v>
      </c>
      <c r="Q6953" s="66" t="b">
        <v>0</v>
      </c>
      <c r="R6953" s="22">
        <f t="shared" si="159"/>
        <v>0</v>
      </c>
      <c r="S6953" s="63" t="s">
        <v>21</v>
      </c>
    </row>
    <row r="6954" spans="1:19">
      <c r="A6954" s="64">
        <v>12541</v>
      </c>
      <c r="B6954" s="62">
        <v>45485</v>
      </c>
      <c r="C6954" s="63" t="s">
        <v>23184</v>
      </c>
      <c r="D6954" s="62">
        <v>45485</v>
      </c>
      <c r="E6954" s="63" t="s">
        <v>23185</v>
      </c>
      <c r="F6954" s="63" t="s">
        <v>9937</v>
      </c>
      <c r="G6954" s="63" t="s">
        <v>20</v>
      </c>
      <c r="H6954" s="63" t="s">
        <v>71</v>
      </c>
      <c r="I6954" s="63" t="s">
        <v>21</v>
      </c>
      <c r="J6954" s="63" t="s">
        <v>23186</v>
      </c>
      <c r="K6954" s="63" t="s">
        <v>1349</v>
      </c>
      <c r="L6954" s="63" t="s">
        <v>21573</v>
      </c>
      <c r="M6954" s="63" t="s">
        <v>21</v>
      </c>
      <c r="O6954" s="62">
        <v>45656</v>
      </c>
      <c r="P6954" s="65" t="s">
        <v>21</v>
      </c>
      <c r="Q6954" s="66" t="b">
        <v>0</v>
      </c>
      <c r="R6954" s="22">
        <f t="shared" si="159"/>
        <v>170</v>
      </c>
      <c r="S6954" s="63" t="s">
        <v>21</v>
      </c>
    </row>
    <row r="6955" spans="1:19">
      <c r="A6955" s="64">
        <v>12542</v>
      </c>
      <c r="B6955" s="62">
        <v>45488</v>
      </c>
      <c r="C6955" s="63" t="s">
        <v>23187</v>
      </c>
      <c r="D6955" s="62">
        <v>45485</v>
      </c>
      <c r="E6955" s="63" t="s">
        <v>23188</v>
      </c>
      <c r="F6955" s="63" t="s">
        <v>23189</v>
      </c>
      <c r="G6955" s="63" t="s">
        <v>189</v>
      </c>
      <c r="H6955" s="63" t="s">
        <v>189</v>
      </c>
      <c r="I6955" s="63" t="s">
        <v>21</v>
      </c>
      <c r="J6955" s="63" t="s">
        <v>23190</v>
      </c>
      <c r="K6955" s="63" t="s">
        <v>23191</v>
      </c>
      <c r="L6955" s="63" t="s">
        <v>22185</v>
      </c>
      <c r="M6955" s="63" t="s">
        <v>21</v>
      </c>
      <c r="O6955" s="62">
        <v>45498</v>
      </c>
      <c r="P6955" s="65" t="s">
        <v>21</v>
      </c>
      <c r="Q6955" s="66" t="b">
        <v>0</v>
      </c>
      <c r="R6955" s="22">
        <f t="shared" si="159"/>
        <v>10</v>
      </c>
      <c r="S6955" s="63" t="s">
        <v>21</v>
      </c>
    </row>
    <row r="6956" spans="1:19">
      <c r="A6956" s="64">
        <v>12543</v>
      </c>
      <c r="B6956" s="62">
        <v>45489</v>
      </c>
      <c r="C6956" s="63" t="s">
        <v>23192</v>
      </c>
      <c r="D6956" s="62">
        <v>45489</v>
      </c>
      <c r="E6956" s="63" t="s">
        <v>23193</v>
      </c>
      <c r="F6956" s="63" t="s">
        <v>455</v>
      </c>
      <c r="G6956" s="63" t="s">
        <v>189</v>
      </c>
      <c r="H6956" s="63" t="s">
        <v>71</v>
      </c>
      <c r="I6956" s="63" t="s">
        <v>21</v>
      </c>
      <c r="J6956" s="63" t="s">
        <v>23194</v>
      </c>
      <c r="K6956" s="63" t="s">
        <v>23195</v>
      </c>
      <c r="L6956" s="63" t="s">
        <v>21142</v>
      </c>
      <c r="M6956" s="63" t="s">
        <v>21</v>
      </c>
      <c r="O6956" s="62">
        <v>45495</v>
      </c>
      <c r="P6956" s="65" t="s">
        <v>21</v>
      </c>
      <c r="Q6956" s="66" t="b">
        <v>0</v>
      </c>
      <c r="R6956" s="22">
        <f t="shared" si="159"/>
        <v>6</v>
      </c>
      <c r="S6956" s="63" t="s">
        <v>21</v>
      </c>
    </row>
    <row r="6957" spans="1:19">
      <c r="A6957" s="64">
        <v>12544</v>
      </c>
      <c r="B6957" s="62">
        <v>45491</v>
      </c>
      <c r="C6957" s="63" t="s">
        <v>23196</v>
      </c>
      <c r="D6957" s="62">
        <v>45490</v>
      </c>
      <c r="E6957" s="63" t="s">
        <v>38</v>
      </c>
      <c r="F6957" s="63" t="s">
        <v>12404</v>
      </c>
      <c r="G6957" s="63" t="s">
        <v>20</v>
      </c>
      <c r="H6957" s="63" t="s">
        <v>71</v>
      </c>
      <c r="I6957" s="63" t="s">
        <v>21</v>
      </c>
      <c r="J6957" s="63" t="s">
        <v>5692</v>
      </c>
      <c r="K6957" s="63" t="s">
        <v>23197</v>
      </c>
      <c r="L6957" s="63" t="s">
        <v>22185</v>
      </c>
      <c r="M6957" s="63" t="s">
        <v>21</v>
      </c>
      <c r="O6957" s="62">
        <v>45565</v>
      </c>
      <c r="P6957" s="65" t="s">
        <v>21</v>
      </c>
      <c r="Q6957" s="66" t="b">
        <v>0</v>
      </c>
      <c r="R6957" s="22">
        <f t="shared" si="159"/>
        <v>73</v>
      </c>
      <c r="S6957" s="63" t="s">
        <v>21</v>
      </c>
    </row>
    <row r="6958" spans="1:19">
      <c r="A6958" s="64">
        <v>12545</v>
      </c>
      <c r="B6958" s="62">
        <v>45491</v>
      </c>
      <c r="C6958" s="63" t="s">
        <v>23198</v>
      </c>
      <c r="D6958" s="62">
        <v>45491</v>
      </c>
      <c r="E6958" s="63" t="s">
        <v>23199</v>
      </c>
      <c r="F6958" s="63" t="s">
        <v>242</v>
      </c>
      <c r="G6958" s="63" t="s">
        <v>20</v>
      </c>
      <c r="H6958" s="63" t="s">
        <v>71</v>
      </c>
      <c r="I6958" s="63" t="s">
        <v>21</v>
      </c>
      <c r="J6958" s="63" t="s">
        <v>23200</v>
      </c>
      <c r="K6958" s="63" t="s">
        <v>23201</v>
      </c>
      <c r="L6958" s="63" t="s">
        <v>21573</v>
      </c>
      <c r="M6958" s="63" t="s">
        <v>21</v>
      </c>
      <c r="O6958" s="62">
        <v>45526</v>
      </c>
      <c r="P6958" s="65" t="s">
        <v>21</v>
      </c>
      <c r="Q6958" s="66" t="b">
        <v>0</v>
      </c>
      <c r="R6958" s="22">
        <f t="shared" si="159"/>
        <v>34</v>
      </c>
      <c r="S6958" s="63" t="s">
        <v>21</v>
      </c>
    </row>
    <row r="6959" spans="1:19">
      <c r="A6959" s="64">
        <v>12546</v>
      </c>
      <c r="B6959" s="62">
        <v>45491</v>
      </c>
      <c r="C6959" s="63" t="s">
        <v>23202</v>
      </c>
      <c r="D6959" s="62">
        <v>45491</v>
      </c>
      <c r="E6959" s="63" t="s">
        <v>23203</v>
      </c>
      <c r="F6959" s="63" t="s">
        <v>23204</v>
      </c>
      <c r="G6959" s="63" t="s">
        <v>20</v>
      </c>
      <c r="H6959" s="63" t="s">
        <v>566</v>
      </c>
      <c r="I6959" s="63" t="s">
        <v>21</v>
      </c>
      <c r="J6959" s="63" t="s">
        <v>23200</v>
      </c>
      <c r="K6959" s="63" t="s">
        <v>23201</v>
      </c>
      <c r="L6959" s="63" t="s">
        <v>21573</v>
      </c>
      <c r="M6959" s="63" t="s">
        <v>21</v>
      </c>
      <c r="O6959" s="62">
        <v>45593</v>
      </c>
      <c r="P6959" s="65" t="s">
        <v>21</v>
      </c>
      <c r="Q6959" s="66" t="b">
        <v>0</v>
      </c>
      <c r="R6959" s="22">
        <f t="shared" si="159"/>
        <v>101</v>
      </c>
      <c r="S6959" s="63" t="s">
        <v>21</v>
      </c>
    </row>
    <row r="6960" spans="1:19">
      <c r="A6960" s="64">
        <v>12547</v>
      </c>
      <c r="B6960" s="62">
        <v>45491</v>
      </c>
      <c r="C6960" s="63" t="s">
        <v>23205</v>
      </c>
      <c r="D6960" s="62">
        <v>45491</v>
      </c>
      <c r="E6960" s="63" t="s">
        <v>23206</v>
      </c>
      <c r="F6960" s="63" t="s">
        <v>8395</v>
      </c>
      <c r="G6960" s="63" t="s">
        <v>20</v>
      </c>
      <c r="H6960" s="63" t="s">
        <v>566</v>
      </c>
      <c r="I6960" s="63" t="s">
        <v>21</v>
      </c>
      <c r="J6960" s="63" t="s">
        <v>23200</v>
      </c>
      <c r="K6960" s="63" t="s">
        <v>23201</v>
      </c>
      <c r="L6960" s="63" t="s">
        <v>21573</v>
      </c>
      <c r="M6960" s="63" t="s">
        <v>21</v>
      </c>
      <c r="O6960" s="62">
        <v>45581</v>
      </c>
      <c r="P6960" s="65" t="s">
        <v>21</v>
      </c>
      <c r="Q6960" s="66" t="b">
        <v>0</v>
      </c>
      <c r="R6960" s="22">
        <f t="shared" si="159"/>
        <v>89</v>
      </c>
      <c r="S6960" s="63" t="s">
        <v>21</v>
      </c>
    </row>
    <row r="6961" spans="1:19">
      <c r="A6961" s="64">
        <v>12548</v>
      </c>
      <c r="B6961" s="62">
        <v>45491</v>
      </c>
      <c r="C6961" s="63" t="s">
        <v>23207</v>
      </c>
      <c r="D6961" s="62">
        <v>45491</v>
      </c>
      <c r="E6961" s="63" t="s">
        <v>23208</v>
      </c>
      <c r="F6961" s="63" t="s">
        <v>23209</v>
      </c>
      <c r="G6961" s="63" t="s">
        <v>20</v>
      </c>
      <c r="H6961" s="63" t="s">
        <v>566</v>
      </c>
      <c r="I6961" s="63" t="s">
        <v>21</v>
      </c>
      <c r="J6961" s="63" t="s">
        <v>23200</v>
      </c>
      <c r="K6961" s="63" t="s">
        <v>23201</v>
      </c>
      <c r="L6961" s="63" t="s">
        <v>21573</v>
      </c>
      <c r="M6961" s="63" t="s">
        <v>21</v>
      </c>
      <c r="O6961" s="62">
        <v>45614</v>
      </c>
      <c r="P6961" s="65" t="s">
        <v>21</v>
      </c>
      <c r="Q6961" s="66" t="b">
        <v>0</v>
      </c>
      <c r="R6961" s="22">
        <f t="shared" si="159"/>
        <v>121</v>
      </c>
      <c r="S6961" s="63" t="s">
        <v>21</v>
      </c>
    </row>
    <row r="6962" spans="1:19">
      <c r="A6962" s="64">
        <v>12549</v>
      </c>
      <c r="B6962" s="62">
        <v>45491</v>
      </c>
      <c r="C6962" s="63" t="s">
        <v>23210</v>
      </c>
      <c r="D6962" s="62">
        <v>45491</v>
      </c>
      <c r="E6962" s="63" t="s">
        <v>23211</v>
      </c>
      <c r="F6962" s="63" t="s">
        <v>20707</v>
      </c>
      <c r="G6962" s="63" t="s">
        <v>20</v>
      </c>
      <c r="H6962" s="63" t="s">
        <v>566</v>
      </c>
      <c r="I6962" s="63" t="s">
        <v>21</v>
      </c>
      <c r="J6962" s="63" t="s">
        <v>23200</v>
      </c>
      <c r="K6962" s="63" t="s">
        <v>23201</v>
      </c>
      <c r="L6962" s="63" t="s">
        <v>21573</v>
      </c>
      <c r="M6962" s="63" t="s">
        <v>21</v>
      </c>
      <c r="O6962" s="62">
        <v>45562</v>
      </c>
      <c r="P6962" s="65" t="s">
        <v>21</v>
      </c>
      <c r="Q6962" s="66" t="b">
        <v>0</v>
      </c>
      <c r="R6962" s="22">
        <f t="shared" si="159"/>
        <v>69</v>
      </c>
      <c r="S6962" s="63" t="s">
        <v>21</v>
      </c>
    </row>
    <row r="6963" spans="1:19">
      <c r="A6963" s="64">
        <v>12550</v>
      </c>
      <c r="B6963" s="62">
        <v>45491</v>
      </c>
      <c r="C6963" s="63" t="s">
        <v>23212</v>
      </c>
      <c r="D6963" s="62">
        <v>45491</v>
      </c>
      <c r="E6963" s="63" t="s">
        <v>23213</v>
      </c>
      <c r="F6963" s="63" t="s">
        <v>565</v>
      </c>
      <c r="G6963" s="63" t="s">
        <v>20</v>
      </c>
      <c r="H6963" s="63" t="s">
        <v>71</v>
      </c>
      <c r="I6963" s="63" t="s">
        <v>21</v>
      </c>
      <c r="J6963" s="63" t="s">
        <v>23200</v>
      </c>
      <c r="K6963" s="63" t="s">
        <v>23201</v>
      </c>
      <c r="L6963" s="63" t="s">
        <v>21573</v>
      </c>
      <c r="M6963" s="63" t="s">
        <v>21</v>
      </c>
      <c r="O6963" s="45">
        <v>45496</v>
      </c>
      <c r="P6963" s="65" t="s">
        <v>21</v>
      </c>
      <c r="Q6963" s="66" t="b">
        <v>0</v>
      </c>
      <c r="R6963" s="22">
        <f t="shared" si="159"/>
        <v>5</v>
      </c>
      <c r="S6963" s="63" t="s">
        <v>21</v>
      </c>
    </row>
    <row r="6964" spans="1:19">
      <c r="A6964" s="64">
        <v>12551</v>
      </c>
      <c r="B6964" s="62">
        <v>45491</v>
      </c>
      <c r="C6964" s="63" t="s">
        <v>23214</v>
      </c>
      <c r="D6964" s="62">
        <v>45491</v>
      </c>
      <c r="E6964" s="63" t="s">
        <v>23215</v>
      </c>
      <c r="F6964" s="63" t="s">
        <v>7212</v>
      </c>
      <c r="G6964" s="63" t="s">
        <v>20</v>
      </c>
      <c r="H6964" s="63" t="s">
        <v>566</v>
      </c>
      <c r="I6964" s="63" t="s">
        <v>21</v>
      </c>
      <c r="J6964" s="63" t="s">
        <v>23200</v>
      </c>
      <c r="K6964" s="63" t="s">
        <v>23201</v>
      </c>
      <c r="L6964" s="63" t="s">
        <v>21573</v>
      </c>
      <c r="M6964" s="63" t="s">
        <v>21</v>
      </c>
      <c r="O6964" s="45">
        <v>45534</v>
      </c>
      <c r="P6964" s="65" t="s">
        <v>21</v>
      </c>
      <c r="Q6964" s="66" t="b">
        <v>0</v>
      </c>
      <c r="R6964" s="22">
        <f t="shared" si="159"/>
        <v>42</v>
      </c>
      <c r="S6964" s="63" t="s">
        <v>21</v>
      </c>
    </row>
    <row r="6965" spans="1:19">
      <c r="A6965" s="64">
        <v>12552</v>
      </c>
      <c r="B6965" s="62">
        <v>45491</v>
      </c>
      <c r="C6965" s="63" t="s">
        <v>23216</v>
      </c>
      <c r="D6965" s="62">
        <v>45491</v>
      </c>
      <c r="E6965" s="63" t="s">
        <v>23217</v>
      </c>
      <c r="F6965" s="63" t="s">
        <v>1338</v>
      </c>
      <c r="G6965" s="63" t="s">
        <v>20</v>
      </c>
      <c r="H6965" s="63" t="s">
        <v>71</v>
      </c>
      <c r="I6965" s="63" t="s">
        <v>21</v>
      </c>
      <c r="J6965" s="63" t="s">
        <v>23200</v>
      </c>
      <c r="K6965" s="63" t="s">
        <v>23201</v>
      </c>
      <c r="L6965" s="63" t="s">
        <v>21573</v>
      </c>
      <c r="M6965" s="63" t="s">
        <v>21</v>
      </c>
      <c r="O6965" s="45">
        <v>45498</v>
      </c>
      <c r="P6965" s="65" t="s">
        <v>21</v>
      </c>
      <c r="Q6965" s="66" t="b">
        <v>0</v>
      </c>
      <c r="R6965" s="22">
        <f t="shared" si="159"/>
        <v>7</v>
      </c>
      <c r="S6965" s="63" t="s">
        <v>21</v>
      </c>
    </row>
    <row r="6966" spans="1:19">
      <c r="A6966" s="64">
        <v>12553</v>
      </c>
      <c r="B6966" s="62">
        <v>45495</v>
      </c>
      <c r="C6966" s="63" t="s">
        <v>23218</v>
      </c>
      <c r="D6966" s="62">
        <v>45492</v>
      </c>
      <c r="E6966" s="63" t="s">
        <v>23219</v>
      </c>
      <c r="F6966" s="63" t="s">
        <v>27</v>
      </c>
      <c r="G6966" s="63" t="s">
        <v>20</v>
      </c>
      <c r="H6966" s="63" t="s">
        <v>71</v>
      </c>
      <c r="I6966" s="63" t="s">
        <v>21</v>
      </c>
      <c r="J6966" s="63" t="s">
        <v>23220</v>
      </c>
      <c r="K6966" s="63" t="s">
        <v>23221</v>
      </c>
      <c r="L6966" s="63" t="s">
        <v>21142</v>
      </c>
      <c r="M6966" s="63" t="s">
        <v>21</v>
      </c>
      <c r="P6966" s="65" t="s">
        <v>21</v>
      </c>
      <c r="Q6966" s="66" t="b">
        <v>0</v>
      </c>
      <c r="R6966" s="66"/>
      <c r="S6966" s="63" t="s">
        <v>21</v>
      </c>
    </row>
    <row r="6967" spans="1:19">
      <c r="A6967" s="64">
        <v>12554</v>
      </c>
      <c r="B6967" s="62">
        <v>45496</v>
      </c>
      <c r="C6967" s="63" t="s">
        <v>23222</v>
      </c>
      <c r="D6967" s="62">
        <v>45495</v>
      </c>
      <c r="E6967" s="63" t="s">
        <v>23223</v>
      </c>
      <c r="F6967" s="63" t="s">
        <v>39</v>
      </c>
      <c r="G6967" s="63" t="s">
        <v>20</v>
      </c>
      <c r="H6967" s="63" t="s">
        <v>71</v>
      </c>
      <c r="I6967" s="63" t="s">
        <v>21</v>
      </c>
      <c r="J6967" s="63" t="s">
        <v>23224</v>
      </c>
      <c r="K6967" s="63" t="s">
        <v>23225</v>
      </c>
      <c r="L6967" s="63" t="s">
        <v>21142</v>
      </c>
      <c r="M6967" s="63" t="s">
        <v>21</v>
      </c>
      <c r="O6967" s="45">
        <v>45517</v>
      </c>
      <c r="P6967" s="65" t="s">
        <v>21</v>
      </c>
      <c r="Q6967" s="66" t="b">
        <v>0</v>
      </c>
      <c r="R6967" s="22">
        <f>IF(O6967=" ", " ", INT(YEARFRAC(O6967, B6967)*365))</f>
        <v>20</v>
      </c>
      <c r="S6967" s="63" t="s">
        <v>21</v>
      </c>
    </row>
    <row r="6968" spans="1:19">
      <c r="A6968" s="64">
        <v>12555</v>
      </c>
      <c r="B6968" s="62">
        <v>45496</v>
      </c>
      <c r="C6968" s="63" t="s">
        <v>23226</v>
      </c>
      <c r="D6968" s="62">
        <v>45496</v>
      </c>
      <c r="E6968" s="63" t="s">
        <v>1928</v>
      </c>
      <c r="F6968" s="63" t="s">
        <v>345</v>
      </c>
      <c r="G6968" s="63" t="s">
        <v>20</v>
      </c>
      <c r="H6968" s="63" t="s">
        <v>71</v>
      </c>
      <c r="I6968" s="63" t="s">
        <v>21</v>
      </c>
      <c r="J6968" s="63" t="s">
        <v>18704</v>
      </c>
      <c r="K6968" s="63" t="s">
        <v>18496</v>
      </c>
      <c r="L6968" s="63" t="s">
        <v>7167</v>
      </c>
      <c r="M6968" s="63" t="s">
        <v>21</v>
      </c>
      <c r="O6968" s="45">
        <v>45497</v>
      </c>
      <c r="P6968" s="65" t="s">
        <v>21</v>
      </c>
      <c r="Q6968" s="66" t="b">
        <v>0</v>
      </c>
      <c r="R6968" s="22">
        <f>IF(O6968=" ", " ", INT(YEARFRAC(O6968, B6968)*365))</f>
        <v>1</v>
      </c>
      <c r="S6968" s="63" t="s">
        <v>21</v>
      </c>
    </row>
    <row r="6969" spans="1:19">
      <c r="A6969" s="64">
        <v>12556</v>
      </c>
      <c r="B6969" s="62">
        <v>45497</v>
      </c>
      <c r="C6969" s="63" t="s">
        <v>23227</v>
      </c>
      <c r="D6969" s="62">
        <v>45497</v>
      </c>
      <c r="E6969" s="63" t="s">
        <v>23228</v>
      </c>
      <c r="F6969" s="63" t="s">
        <v>2146</v>
      </c>
      <c r="G6969" s="63" t="s">
        <v>20</v>
      </c>
      <c r="H6969" s="63" t="s">
        <v>189</v>
      </c>
      <c r="I6969" s="63" t="s">
        <v>21</v>
      </c>
      <c r="J6969" s="63" t="s">
        <v>23229</v>
      </c>
      <c r="K6969" s="63" t="s">
        <v>18037</v>
      </c>
      <c r="L6969" s="63" t="s">
        <v>22185</v>
      </c>
      <c r="M6969" s="63" t="s">
        <v>21</v>
      </c>
      <c r="P6969" s="65" t="s">
        <v>21</v>
      </c>
      <c r="Q6969" s="66" t="b">
        <v>0</v>
      </c>
      <c r="R6969" s="66"/>
      <c r="S6969" s="63" t="s">
        <v>21</v>
      </c>
    </row>
    <row r="6970" spans="1:19">
      <c r="A6970" s="64">
        <v>12557</v>
      </c>
      <c r="B6970" s="62">
        <v>45502</v>
      </c>
      <c r="C6970" s="63" t="s">
        <v>23230</v>
      </c>
      <c r="D6970" s="62">
        <v>45502</v>
      </c>
      <c r="E6970" s="63" t="s">
        <v>38</v>
      </c>
      <c r="F6970" s="63" t="s">
        <v>242</v>
      </c>
      <c r="G6970" s="63" t="s">
        <v>20</v>
      </c>
      <c r="H6970" s="63" t="s">
        <v>71</v>
      </c>
      <c r="I6970" s="63" t="s">
        <v>21</v>
      </c>
      <c r="J6970" s="63" t="s">
        <v>23231</v>
      </c>
      <c r="K6970" s="63" t="s">
        <v>23232</v>
      </c>
      <c r="L6970" s="63" t="s">
        <v>22185</v>
      </c>
      <c r="M6970" s="63" t="s">
        <v>21</v>
      </c>
      <c r="O6970" s="45">
        <v>45504</v>
      </c>
      <c r="P6970" s="65" t="s">
        <v>21</v>
      </c>
      <c r="Q6970" s="66" t="b">
        <v>0</v>
      </c>
      <c r="R6970" s="22">
        <f t="shared" ref="R6970:R6985" si="160">IF(O6970=" ", " ", INT(YEARFRAC(O6970, B6970)*365))</f>
        <v>2</v>
      </c>
      <c r="S6970" s="63" t="s">
        <v>21</v>
      </c>
    </row>
    <row r="6971" spans="1:19">
      <c r="A6971" s="64">
        <v>12558</v>
      </c>
      <c r="B6971" s="62">
        <v>45504</v>
      </c>
      <c r="C6971" s="63" t="s">
        <v>23233</v>
      </c>
      <c r="D6971" s="62">
        <v>45504</v>
      </c>
      <c r="E6971" s="63" t="s">
        <v>23234</v>
      </c>
      <c r="F6971" s="63" t="s">
        <v>693</v>
      </c>
      <c r="G6971" s="63" t="s">
        <v>20</v>
      </c>
      <c r="H6971" s="63" t="s">
        <v>189</v>
      </c>
      <c r="I6971" s="63" t="s">
        <v>21</v>
      </c>
      <c r="J6971" s="63" t="s">
        <v>858</v>
      </c>
      <c r="K6971" s="63" t="s">
        <v>23235</v>
      </c>
      <c r="L6971" s="63" t="s">
        <v>22185</v>
      </c>
      <c r="M6971" s="63" t="s">
        <v>21</v>
      </c>
      <c r="O6971" s="45">
        <v>45519</v>
      </c>
      <c r="P6971" s="65" t="s">
        <v>21</v>
      </c>
      <c r="Q6971" s="66" t="b">
        <v>0</v>
      </c>
      <c r="R6971" s="22">
        <f t="shared" si="160"/>
        <v>15</v>
      </c>
      <c r="S6971" s="63" t="s">
        <v>21</v>
      </c>
    </row>
    <row r="6972" spans="1:19">
      <c r="A6972" s="64">
        <v>12559</v>
      </c>
      <c r="B6972" s="62">
        <v>45504</v>
      </c>
      <c r="C6972" s="63" t="s">
        <v>23236</v>
      </c>
      <c r="D6972" s="62">
        <v>45504</v>
      </c>
      <c r="E6972" s="63" t="s">
        <v>23237</v>
      </c>
      <c r="F6972" s="63" t="s">
        <v>5659</v>
      </c>
      <c r="G6972" s="63" t="s">
        <v>20</v>
      </c>
      <c r="H6972" s="63" t="s">
        <v>566</v>
      </c>
      <c r="I6972" s="63" t="s">
        <v>21</v>
      </c>
      <c r="J6972" s="63" t="s">
        <v>23238</v>
      </c>
      <c r="K6972" s="63" t="s">
        <v>6081</v>
      </c>
      <c r="L6972" s="63" t="s">
        <v>4282</v>
      </c>
      <c r="M6972" s="63" t="s">
        <v>21</v>
      </c>
      <c r="O6972" s="45">
        <v>45525</v>
      </c>
      <c r="P6972" s="65" t="s">
        <v>21</v>
      </c>
      <c r="Q6972" s="66" t="b">
        <v>0</v>
      </c>
      <c r="R6972" s="22">
        <f t="shared" si="160"/>
        <v>21</v>
      </c>
      <c r="S6972" s="63" t="s">
        <v>21</v>
      </c>
    </row>
    <row r="6973" spans="1:19">
      <c r="A6973" s="64">
        <v>12560</v>
      </c>
      <c r="B6973" s="62">
        <v>45513</v>
      </c>
      <c r="C6973" s="63" t="s">
        <v>23239</v>
      </c>
      <c r="D6973" s="62">
        <v>45512</v>
      </c>
      <c r="E6973" s="63" t="s">
        <v>38</v>
      </c>
      <c r="F6973" s="63" t="s">
        <v>1338</v>
      </c>
      <c r="G6973" s="63" t="s">
        <v>189</v>
      </c>
      <c r="H6973" s="63" t="s">
        <v>71</v>
      </c>
      <c r="I6973" s="63" t="s">
        <v>21</v>
      </c>
      <c r="J6973" s="63" t="s">
        <v>23240</v>
      </c>
      <c r="K6973" s="63" t="s">
        <v>22466</v>
      </c>
      <c r="L6973" s="63" t="s">
        <v>22185</v>
      </c>
      <c r="M6973" s="63" t="s">
        <v>21</v>
      </c>
      <c r="O6973" s="45">
        <v>45513</v>
      </c>
      <c r="P6973" s="65" t="s">
        <v>21</v>
      </c>
      <c r="Q6973" s="66" t="b">
        <v>0</v>
      </c>
      <c r="R6973" s="22">
        <f t="shared" si="160"/>
        <v>0</v>
      </c>
      <c r="S6973" s="63" t="s">
        <v>21</v>
      </c>
    </row>
    <row r="6974" spans="1:19" ht="36">
      <c r="A6974" s="64">
        <v>12561</v>
      </c>
      <c r="B6974" s="62">
        <v>45516</v>
      </c>
      <c r="C6974" s="63" t="s">
        <v>23241</v>
      </c>
      <c r="D6974" s="62">
        <v>45516</v>
      </c>
      <c r="E6974" s="63" t="s">
        <v>23242</v>
      </c>
      <c r="F6974" s="63" t="s">
        <v>1771</v>
      </c>
      <c r="G6974" s="63" t="s">
        <v>20</v>
      </c>
      <c r="H6974" s="63" t="s">
        <v>189</v>
      </c>
      <c r="I6974" s="63" t="s">
        <v>21</v>
      </c>
      <c r="J6974" s="63" t="s">
        <v>22527</v>
      </c>
      <c r="K6974" s="63" t="s">
        <v>23243</v>
      </c>
      <c r="L6974" s="63" t="s">
        <v>21243</v>
      </c>
      <c r="M6974" s="63" t="s">
        <v>21</v>
      </c>
      <c r="O6974" s="45">
        <v>45555</v>
      </c>
      <c r="P6974" s="65" t="s">
        <v>21</v>
      </c>
      <c r="Q6974" s="66" t="b">
        <v>0</v>
      </c>
      <c r="R6974" s="22">
        <f t="shared" si="160"/>
        <v>38</v>
      </c>
      <c r="S6974" s="63" t="s">
        <v>22157</v>
      </c>
    </row>
    <row r="6975" spans="1:19">
      <c r="A6975" s="64">
        <v>12562</v>
      </c>
      <c r="B6975" s="62">
        <v>45517</v>
      </c>
      <c r="C6975" s="63" t="s">
        <v>23244</v>
      </c>
      <c r="D6975" s="62">
        <v>45517</v>
      </c>
      <c r="E6975" s="63" t="s">
        <v>38</v>
      </c>
      <c r="F6975" s="63" t="s">
        <v>1338</v>
      </c>
      <c r="G6975" s="63" t="s">
        <v>189</v>
      </c>
      <c r="H6975" s="63" t="s">
        <v>71</v>
      </c>
      <c r="I6975" s="63" t="s">
        <v>21</v>
      </c>
      <c r="J6975" s="63" t="s">
        <v>23245</v>
      </c>
      <c r="K6975" s="63" t="s">
        <v>23240</v>
      </c>
      <c r="L6975" s="63" t="s">
        <v>22185</v>
      </c>
      <c r="M6975" s="63" t="s">
        <v>21</v>
      </c>
      <c r="O6975" s="45">
        <v>45518</v>
      </c>
      <c r="P6975" s="65" t="s">
        <v>21</v>
      </c>
      <c r="Q6975" s="66" t="b">
        <v>0</v>
      </c>
      <c r="R6975" s="22">
        <f t="shared" si="160"/>
        <v>1</v>
      </c>
      <c r="S6975" s="63" t="s">
        <v>21</v>
      </c>
    </row>
    <row r="6976" spans="1:19" ht="24">
      <c r="A6976" s="64">
        <v>12563</v>
      </c>
      <c r="B6976" s="62">
        <v>45518</v>
      </c>
      <c r="C6976" s="63" t="s">
        <v>23246</v>
      </c>
      <c r="D6976" s="62">
        <v>45518</v>
      </c>
      <c r="E6976" s="63" t="s">
        <v>23247</v>
      </c>
      <c r="F6976" s="63" t="s">
        <v>23204</v>
      </c>
      <c r="G6976" s="63" t="s">
        <v>189</v>
      </c>
      <c r="H6976" s="63" t="s">
        <v>71</v>
      </c>
      <c r="I6976" s="63" t="s">
        <v>21</v>
      </c>
      <c r="J6976" s="63" t="s">
        <v>23248</v>
      </c>
      <c r="K6976" s="63" t="s">
        <v>23249</v>
      </c>
      <c r="L6976" s="63" t="s">
        <v>21573</v>
      </c>
      <c r="M6976" s="63" t="s">
        <v>21</v>
      </c>
      <c r="O6976" s="45">
        <v>45569</v>
      </c>
      <c r="P6976" s="65" t="s">
        <v>21</v>
      </c>
      <c r="Q6976" s="66" t="b">
        <v>0</v>
      </c>
      <c r="R6976" s="22">
        <f t="shared" si="160"/>
        <v>50</v>
      </c>
      <c r="S6976" s="63" t="s">
        <v>21621</v>
      </c>
    </row>
    <row r="6977" spans="1:19">
      <c r="A6977" s="64">
        <v>12564</v>
      </c>
      <c r="B6977" s="62">
        <v>45518</v>
      </c>
      <c r="C6977" s="63" t="s">
        <v>23250</v>
      </c>
      <c r="D6977" s="62">
        <v>45518</v>
      </c>
      <c r="E6977" s="63" t="s">
        <v>38</v>
      </c>
      <c r="F6977" s="63" t="s">
        <v>56</v>
      </c>
      <c r="G6977" s="63" t="s">
        <v>189</v>
      </c>
      <c r="H6977" s="63" t="s">
        <v>71</v>
      </c>
      <c r="I6977" s="63" t="s">
        <v>21</v>
      </c>
      <c r="J6977" s="63" t="s">
        <v>23251</v>
      </c>
      <c r="K6977" s="63" t="s">
        <v>6025</v>
      </c>
      <c r="L6977" s="63" t="s">
        <v>21142</v>
      </c>
      <c r="M6977" s="63" t="s">
        <v>21</v>
      </c>
      <c r="O6977" s="45">
        <v>45526</v>
      </c>
      <c r="P6977" s="65" t="s">
        <v>21</v>
      </c>
      <c r="Q6977" s="66" t="b">
        <v>0</v>
      </c>
      <c r="R6977" s="22">
        <f t="shared" si="160"/>
        <v>8</v>
      </c>
      <c r="S6977" s="63" t="s">
        <v>21</v>
      </c>
    </row>
    <row r="6978" spans="1:19">
      <c r="A6978" s="64">
        <v>12565</v>
      </c>
      <c r="B6978" s="62">
        <v>45518</v>
      </c>
      <c r="C6978" s="63" t="s">
        <v>23252</v>
      </c>
      <c r="D6978" s="62">
        <v>45518</v>
      </c>
      <c r="E6978" s="63" t="s">
        <v>23253</v>
      </c>
      <c r="F6978" s="63" t="s">
        <v>16173</v>
      </c>
      <c r="G6978" s="63" t="s">
        <v>189</v>
      </c>
      <c r="H6978" s="63" t="s">
        <v>71</v>
      </c>
      <c r="I6978" s="63" t="s">
        <v>21</v>
      </c>
      <c r="J6978" s="63" t="s">
        <v>23254</v>
      </c>
      <c r="K6978" s="63" t="s">
        <v>16066</v>
      </c>
      <c r="L6978" s="63" t="s">
        <v>21142</v>
      </c>
      <c r="M6978" s="63" t="s">
        <v>21</v>
      </c>
      <c r="O6978" s="45">
        <v>45558</v>
      </c>
      <c r="P6978" s="65" t="s">
        <v>21</v>
      </c>
      <c r="Q6978" s="66" t="b">
        <v>0</v>
      </c>
      <c r="R6978" s="22">
        <f t="shared" si="160"/>
        <v>39</v>
      </c>
      <c r="S6978" s="63" t="s">
        <v>21</v>
      </c>
    </row>
    <row r="6979" spans="1:19">
      <c r="A6979" s="64">
        <v>12566</v>
      </c>
      <c r="B6979" s="62">
        <v>45524</v>
      </c>
      <c r="C6979" s="63" t="s">
        <v>23255</v>
      </c>
      <c r="D6979" s="62">
        <v>45524</v>
      </c>
      <c r="E6979" s="63" t="s">
        <v>38</v>
      </c>
      <c r="F6979" s="63" t="s">
        <v>56</v>
      </c>
      <c r="G6979" s="63" t="s">
        <v>189</v>
      </c>
      <c r="H6979" s="63" t="s">
        <v>71</v>
      </c>
      <c r="I6979" s="63" t="s">
        <v>21</v>
      </c>
      <c r="J6979" s="63" t="s">
        <v>23256</v>
      </c>
      <c r="K6979" s="63" t="s">
        <v>23257</v>
      </c>
      <c r="L6979" s="63" t="s">
        <v>21142</v>
      </c>
      <c r="M6979" s="63" t="s">
        <v>21</v>
      </c>
      <c r="O6979" s="45">
        <v>45526</v>
      </c>
      <c r="P6979" s="65" t="s">
        <v>21</v>
      </c>
      <c r="Q6979" s="66" t="b">
        <v>0</v>
      </c>
      <c r="R6979" s="22">
        <f t="shared" si="160"/>
        <v>2</v>
      </c>
      <c r="S6979" s="63" t="s">
        <v>21</v>
      </c>
    </row>
    <row r="6980" spans="1:19">
      <c r="A6980" s="64">
        <v>12567</v>
      </c>
      <c r="B6980" s="62">
        <v>45526</v>
      </c>
      <c r="C6980" s="63" t="s">
        <v>23258</v>
      </c>
      <c r="D6980" s="62">
        <v>45524</v>
      </c>
      <c r="E6980" s="63" t="s">
        <v>23259</v>
      </c>
      <c r="F6980" s="63" t="s">
        <v>2146</v>
      </c>
      <c r="G6980" s="63" t="s">
        <v>189</v>
      </c>
      <c r="H6980" s="63" t="s">
        <v>189</v>
      </c>
      <c r="I6980" s="63" t="s">
        <v>21</v>
      </c>
      <c r="J6980" s="63" t="s">
        <v>23260</v>
      </c>
      <c r="K6980" s="63" t="s">
        <v>23261</v>
      </c>
      <c r="L6980" s="63" t="s">
        <v>22185</v>
      </c>
      <c r="M6980" s="63" t="s">
        <v>21</v>
      </c>
      <c r="O6980" s="45">
        <v>45531</v>
      </c>
      <c r="P6980" s="65" t="s">
        <v>21</v>
      </c>
      <c r="Q6980" s="66" t="b">
        <v>0</v>
      </c>
      <c r="R6980" s="22">
        <f t="shared" si="160"/>
        <v>5</v>
      </c>
      <c r="S6980" s="63" t="s">
        <v>21</v>
      </c>
    </row>
    <row r="6981" spans="1:19">
      <c r="A6981" s="64">
        <v>12568</v>
      </c>
      <c r="B6981" s="62">
        <v>45526</v>
      </c>
      <c r="C6981" s="63" t="s">
        <v>23262</v>
      </c>
      <c r="D6981" s="62">
        <v>45524</v>
      </c>
      <c r="E6981" s="63" t="s">
        <v>23263</v>
      </c>
      <c r="F6981" s="63" t="s">
        <v>19</v>
      </c>
      <c r="G6981" s="63" t="s">
        <v>189</v>
      </c>
      <c r="H6981" s="63" t="s">
        <v>189</v>
      </c>
      <c r="I6981" s="63" t="s">
        <v>21</v>
      </c>
      <c r="J6981" s="63" t="s">
        <v>23264</v>
      </c>
      <c r="K6981" s="63" t="s">
        <v>23265</v>
      </c>
      <c r="L6981" s="63" t="s">
        <v>22185</v>
      </c>
      <c r="M6981" s="63" t="s">
        <v>21</v>
      </c>
      <c r="O6981" s="45">
        <v>45552</v>
      </c>
      <c r="P6981" s="65" t="s">
        <v>21</v>
      </c>
      <c r="Q6981" s="66" t="b">
        <v>0</v>
      </c>
      <c r="R6981" s="22">
        <f t="shared" si="160"/>
        <v>25</v>
      </c>
      <c r="S6981" s="63" t="s">
        <v>21</v>
      </c>
    </row>
    <row r="6982" spans="1:19">
      <c r="A6982" s="64">
        <v>12569</v>
      </c>
      <c r="B6982" s="62">
        <v>45526</v>
      </c>
      <c r="C6982" s="63" t="s">
        <v>23266</v>
      </c>
      <c r="D6982" s="62">
        <v>45524</v>
      </c>
      <c r="E6982" s="63" t="s">
        <v>23267</v>
      </c>
      <c r="F6982" s="63" t="s">
        <v>2105</v>
      </c>
      <c r="G6982" s="63" t="s">
        <v>189</v>
      </c>
      <c r="H6982" s="63" t="s">
        <v>189</v>
      </c>
      <c r="I6982" s="63" t="s">
        <v>21</v>
      </c>
      <c r="J6982" s="63" t="s">
        <v>23264</v>
      </c>
      <c r="K6982" s="63" t="s">
        <v>23265</v>
      </c>
      <c r="L6982" s="63" t="s">
        <v>22185</v>
      </c>
      <c r="M6982" s="63" t="s">
        <v>21</v>
      </c>
      <c r="O6982" s="45">
        <v>45532</v>
      </c>
      <c r="P6982" s="65" t="s">
        <v>21</v>
      </c>
      <c r="Q6982" s="66" t="b">
        <v>0</v>
      </c>
      <c r="R6982" s="22">
        <f t="shared" si="160"/>
        <v>6</v>
      </c>
      <c r="S6982" s="63" t="s">
        <v>21</v>
      </c>
    </row>
    <row r="6983" spans="1:19">
      <c r="A6983" s="64">
        <v>12570</v>
      </c>
      <c r="B6983" s="62">
        <v>45526</v>
      </c>
      <c r="C6983" s="63" t="s">
        <v>23268</v>
      </c>
      <c r="D6983" s="62">
        <v>45524</v>
      </c>
      <c r="E6983" s="63" t="s">
        <v>23269</v>
      </c>
      <c r="F6983" s="63" t="s">
        <v>1232</v>
      </c>
      <c r="G6983" s="63" t="s">
        <v>189</v>
      </c>
      <c r="H6983" s="63" t="s">
        <v>189</v>
      </c>
      <c r="I6983" s="63" t="s">
        <v>21</v>
      </c>
      <c r="J6983" s="63" t="s">
        <v>23264</v>
      </c>
      <c r="K6983" s="63" t="s">
        <v>23265</v>
      </c>
      <c r="L6983" s="63" t="s">
        <v>22185</v>
      </c>
      <c r="M6983" s="63" t="s">
        <v>21</v>
      </c>
      <c r="O6983" s="45">
        <v>45532</v>
      </c>
      <c r="P6983" s="65" t="s">
        <v>21</v>
      </c>
      <c r="Q6983" s="66" t="b">
        <v>0</v>
      </c>
      <c r="R6983" s="22">
        <f t="shared" si="160"/>
        <v>6</v>
      </c>
      <c r="S6983" s="63" t="s">
        <v>21</v>
      </c>
    </row>
    <row r="6984" spans="1:19">
      <c r="A6984" s="64">
        <v>12571</v>
      </c>
      <c r="B6984" s="62">
        <v>45526</v>
      </c>
      <c r="C6984" s="63" t="s">
        <v>23270</v>
      </c>
      <c r="D6984" s="62">
        <v>45524</v>
      </c>
      <c r="E6984" s="63" t="s">
        <v>23271</v>
      </c>
      <c r="F6984" s="63" t="s">
        <v>6456</v>
      </c>
      <c r="G6984" s="63" t="s">
        <v>189</v>
      </c>
      <c r="H6984" s="63" t="s">
        <v>189</v>
      </c>
      <c r="I6984" s="63" t="s">
        <v>21</v>
      </c>
      <c r="J6984" s="63" t="s">
        <v>23264</v>
      </c>
      <c r="K6984" s="63" t="s">
        <v>23265</v>
      </c>
      <c r="L6984" s="63" t="s">
        <v>22185</v>
      </c>
      <c r="M6984" s="63" t="s">
        <v>21</v>
      </c>
      <c r="O6984" s="45">
        <v>45534</v>
      </c>
      <c r="P6984" s="65" t="s">
        <v>21</v>
      </c>
      <c r="Q6984" s="66" t="b">
        <v>0</v>
      </c>
      <c r="R6984" s="22">
        <f t="shared" si="160"/>
        <v>8</v>
      </c>
      <c r="S6984" s="63" t="s">
        <v>21</v>
      </c>
    </row>
    <row r="6985" spans="1:19">
      <c r="A6985" s="64">
        <v>12572</v>
      </c>
      <c r="B6985" s="62">
        <v>45526</v>
      </c>
      <c r="C6985" s="63" t="s">
        <v>23272</v>
      </c>
      <c r="D6985" s="62">
        <v>45526</v>
      </c>
      <c r="E6985" s="63" t="s">
        <v>23273</v>
      </c>
      <c r="F6985" s="63" t="s">
        <v>5620</v>
      </c>
      <c r="G6985" s="63" t="s">
        <v>189</v>
      </c>
      <c r="H6985" s="63" t="s">
        <v>71</v>
      </c>
      <c r="I6985" s="63" t="s">
        <v>21</v>
      </c>
      <c r="J6985" s="63" t="s">
        <v>23274</v>
      </c>
      <c r="K6985" s="63" t="s">
        <v>23275</v>
      </c>
      <c r="L6985" s="63" t="s">
        <v>21142</v>
      </c>
      <c r="M6985" s="63" t="s">
        <v>21</v>
      </c>
      <c r="O6985" s="45">
        <v>45586</v>
      </c>
      <c r="P6985" s="65" t="s">
        <v>21</v>
      </c>
      <c r="Q6985" s="66" t="b">
        <v>0</v>
      </c>
      <c r="R6985" s="22">
        <f t="shared" si="160"/>
        <v>59</v>
      </c>
      <c r="S6985" s="63" t="s">
        <v>21</v>
      </c>
    </row>
    <row r="6986" spans="1:19">
      <c r="A6986" s="64">
        <v>12573</v>
      </c>
      <c r="B6986" s="62">
        <v>45527</v>
      </c>
      <c r="C6986" s="63" t="s">
        <v>23276</v>
      </c>
      <c r="D6986" s="62">
        <v>45526</v>
      </c>
      <c r="E6986" s="63" t="s">
        <v>23277</v>
      </c>
      <c r="F6986" s="63" t="s">
        <v>6456</v>
      </c>
      <c r="G6986" s="63" t="s">
        <v>189</v>
      </c>
      <c r="H6986" s="63" t="s">
        <v>189</v>
      </c>
      <c r="I6986" s="63" t="s">
        <v>21</v>
      </c>
      <c r="J6986" s="63" t="s">
        <v>23278</v>
      </c>
      <c r="K6986" s="63" t="s">
        <v>23279</v>
      </c>
      <c r="L6986" s="63" t="s">
        <v>21142</v>
      </c>
      <c r="M6986" s="63" t="s">
        <v>21</v>
      </c>
      <c r="P6986" s="65" t="s">
        <v>21</v>
      </c>
      <c r="Q6986" s="66" t="b">
        <v>0</v>
      </c>
      <c r="R6986" s="66"/>
      <c r="S6986" s="63" t="s">
        <v>21</v>
      </c>
    </row>
    <row r="6987" spans="1:19" ht="24">
      <c r="A6987" s="64">
        <v>12574</v>
      </c>
      <c r="B6987" s="62">
        <v>45527</v>
      </c>
      <c r="C6987" s="63" t="s">
        <v>23280</v>
      </c>
      <c r="D6987" s="62">
        <v>45527</v>
      </c>
      <c r="E6987" s="63" t="s">
        <v>23281</v>
      </c>
      <c r="F6987" s="63" t="s">
        <v>98</v>
      </c>
      <c r="G6987" s="63" t="s">
        <v>20</v>
      </c>
      <c r="H6987" s="63" t="s">
        <v>71</v>
      </c>
      <c r="I6987" s="63" t="s">
        <v>21</v>
      </c>
      <c r="J6987" s="63" t="s">
        <v>23282</v>
      </c>
      <c r="K6987" s="63" t="s">
        <v>23283</v>
      </c>
      <c r="L6987" s="63" t="s">
        <v>21243</v>
      </c>
      <c r="M6987" s="63" t="s">
        <v>21</v>
      </c>
      <c r="N6987" s="22"/>
      <c r="O6987" s="45">
        <v>45581</v>
      </c>
      <c r="P6987" s="65" t="s">
        <v>21</v>
      </c>
      <c r="Q6987" s="66" t="b">
        <v>0</v>
      </c>
      <c r="R6987" s="22">
        <f>IF(O6987=" ", " ", INT(YEARFRAC(O6987, B6987)*365))</f>
        <v>53</v>
      </c>
      <c r="S6987" s="63" t="s">
        <v>21621</v>
      </c>
    </row>
    <row r="6988" spans="1:19">
      <c r="A6988" s="64">
        <v>12575</v>
      </c>
      <c r="B6988" s="62">
        <v>45527</v>
      </c>
      <c r="C6988" s="63" t="s">
        <v>23284</v>
      </c>
      <c r="D6988" s="62">
        <v>45527</v>
      </c>
      <c r="E6988" s="63" t="s">
        <v>23285</v>
      </c>
      <c r="F6988" s="63" t="s">
        <v>2521</v>
      </c>
      <c r="G6988" s="63" t="s">
        <v>20</v>
      </c>
      <c r="H6988" s="63" t="s">
        <v>566</v>
      </c>
      <c r="I6988" s="63" t="s">
        <v>21</v>
      </c>
      <c r="J6988" s="63" t="s">
        <v>15387</v>
      </c>
      <c r="K6988" s="63" t="s">
        <v>23286</v>
      </c>
      <c r="L6988" s="63" t="s">
        <v>4282</v>
      </c>
      <c r="M6988" s="63" t="s">
        <v>21</v>
      </c>
      <c r="P6988" s="65" t="s">
        <v>21</v>
      </c>
      <c r="Q6988" s="66" t="b">
        <v>0</v>
      </c>
      <c r="R6988" s="66"/>
      <c r="S6988" s="63" t="s">
        <v>21</v>
      </c>
    </row>
    <row r="6989" spans="1:19">
      <c r="A6989" s="64">
        <v>12576</v>
      </c>
      <c r="B6989" s="62">
        <v>45530</v>
      </c>
      <c r="C6989" s="63" t="s">
        <v>23287</v>
      </c>
      <c r="D6989" s="62">
        <v>45527</v>
      </c>
      <c r="E6989" s="63" t="s">
        <v>23288</v>
      </c>
      <c r="F6989" s="63" t="s">
        <v>70</v>
      </c>
      <c r="G6989" s="63" t="s">
        <v>189</v>
      </c>
      <c r="H6989" s="63" t="s">
        <v>71</v>
      </c>
      <c r="I6989" s="63" t="s">
        <v>21</v>
      </c>
      <c r="J6989" s="63" t="s">
        <v>23289</v>
      </c>
      <c r="K6989" s="63" t="s">
        <v>23290</v>
      </c>
      <c r="L6989" s="63" t="s">
        <v>22185</v>
      </c>
      <c r="M6989" s="63" t="s">
        <v>21</v>
      </c>
      <c r="N6989" s="22"/>
      <c r="P6989" s="65" t="s">
        <v>21</v>
      </c>
      <c r="Q6989" s="66" t="b">
        <v>0</v>
      </c>
      <c r="R6989" s="66"/>
      <c r="S6989" s="63" t="s">
        <v>21</v>
      </c>
    </row>
    <row r="6990" spans="1:19">
      <c r="A6990" s="64">
        <v>12577</v>
      </c>
      <c r="B6990" s="62">
        <v>45530</v>
      </c>
      <c r="C6990" s="63" t="s">
        <v>23291</v>
      </c>
      <c r="D6990" s="62">
        <v>45527</v>
      </c>
      <c r="E6990" s="63" t="s">
        <v>23292</v>
      </c>
      <c r="F6990" s="63" t="s">
        <v>56</v>
      </c>
      <c r="G6990" s="63" t="s">
        <v>189</v>
      </c>
      <c r="H6990" s="63" t="s">
        <v>71</v>
      </c>
      <c r="I6990" s="63" t="s">
        <v>21</v>
      </c>
      <c r="J6990" s="63" t="s">
        <v>23293</v>
      </c>
      <c r="K6990" s="63" t="s">
        <v>23294</v>
      </c>
      <c r="L6990" s="63" t="s">
        <v>21142</v>
      </c>
      <c r="M6990" s="63" t="s">
        <v>21</v>
      </c>
      <c r="P6990" s="65" t="s">
        <v>21</v>
      </c>
      <c r="Q6990" s="66" t="b">
        <v>0</v>
      </c>
      <c r="R6990" s="66"/>
      <c r="S6990" s="63" t="s">
        <v>21</v>
      </c>
    </row>
    <row r="6991" spans="1:19">
      <c r="A6991" s="64">
        <v>12578</v>
      </c>
      <c r="B6991" s="62">
        <v>45530</v>
      </c>
      <c r="C6991" s="63" t="s">
        <v>23295</v>
      </c>
      <c r="D6991" s="62">
        <v>45530</v>
      </c>
      <c r="E6991" s="63" t="s">
        <v>23296</v>
      </c>
      <c r="F6991" s="63" t="s">
        <v>98</v>
      </c>
      <c r="G6991" s="63" t="s">
        <v>189</v>
      </c>
      <c r="H6991" s="63" t="s">
        <v>71</v>
      </c>
      <c r="I6991" s="63" t="s">
        <v>21</v>
      </c>
      <c r="J6991" s="63" t="s">
        <v>23297</v>
      </c>
      <c r="K6991" s="63" t="s">
        <v>23298</v>
      </c>
      <c r="L6991" s="63" t="s">
        <v>21142</v>
      </c>
      <c r="M6991" s="63" t="s">
        <v>21</v>
      </c>
      <c r="O6991" s="45">
        <v>45553</v>
      </c>
      <c r="P6991" s="65" t="s">
        <v>21</v>
      </c>
      <c r="Q6991" s="66" t="b">
        <v>0</v>
      </c>
      <c r="R6991" s="22">
        <f t="shared" ref="R6991:R6999" si="161">IF(O6991=" ", " ", INT(YEARFRAC(O6991, B6991)*365))</f>
        <v>22</v>
      </c>
      <c r="S6991" s="63" t="s">
        <v>21</v>
      </c>
    </row>
    <row r="6992" spans="1:19">
      <c r="A6992" s="64">
        <v>12579</v>
      </c>
      <c r="B6992" s="62">
        <v>45530</v>
      </c>
      <c r="C6992" s="63" t="s">
        <v>23299</v>
      </c>
      <c r="D6992" s="62">
        <v>45530</v>
      </c>
      <c r="E6992" s="63" t="s">
        <v>23300</v>
      </c>
      <c r="F6992" s="63" t="s">
        <v>19</v>
      </c>
      <c r="G6992" s="63" t="s">
        <v>189</v>
      </c>
      <c r="H6992" s="63" t="s">
        <v>71</v>
      </c>
      <c r="I6992" s="63" t="s">
        <v>21</v>
      </c>
      <c r="J6992" s="63" t="s">
        <v>23301</v>
      </c>
      <c r="K6992" s="63" t="s">
        <v>10466</v>
      </c>
      <c r="L6992" s="63" t="s">
        <v>21243</v>
      </c>
      <c r="M6992" s="63" t="s">
        <v>21</v>
      </c>
      <c r="O6992" s="62">
        <v>45534</v>
      </c>
      <c r="P6992" s="65" t="s">
        <v>21</v>
      </c>
      <c r="Q6992" s="66" t="b">
        <v>0</v>
      </c>
      <c r="R6992" s="22">
        <f t="shared" si="161"/>
        <v>4</v>
      </c>
      <c r="S6992" s="63" t="s">
        <v>21</v>
      </c>
    </row>
    <row r="6993" spans="1:19">
      <c r="A6993" s="64">
        <v>12580</v>
      </c>
      <c r="B6993" s="62">
        <v>45530</v>
      </c>
      <c r="C6993" s="63" t="s">
        <v>23302</v>
      </c>
      <c r="D6993" s="62">
        <v>45530</v>
      </c>
      <c r="E6993" s="63" t="s">
        <v>23303</v>
      </c>
      <c r="F6993" s="63" t="s">
        <v>1771</v>
      </c>
      <c r="G6993" s="63" t="s">
        <v>189</v>
      </c>
      <c r="H6993" s="63" t="s">
        <v>189</v>
      </c>
      <c r="I6993" s="63" t="s">
        <v>21</v>
      </c>
      <c r="J6993" s="63" t="s">
        <v>23304</v>
      </c>
      <c r="K6993" s="63" t="s">
        <v>23305</v>
      </c>
      <c r="L6993" s="63" t="s">
        <v>21243</v>
      </c>
      <c r="M6993" s="63" t="s">
        <v>21</v>
      </c>
      <c r="O6993" s="62">
        <v>45548</v>
      </c>
      <c r="P6993" s="65" t="s">
        <v>21</v>
      </c>
      <c r="Q6993" s="66" t="b">
        <v>0</v>
      </c>
      <c r="R6993" s="22">
        <f t="shared" si="161"/>
        <v>17</v>
      </c>
      <c r="S6993" s="63" t="s">
        <v>21</v>
      </c>
    </row>
    <row r="6994" spans="1:19">
      <c r="A6994" s="64">
        <v>12581</v>
      </c>
      <c r="B6994" s="62">
        <v>45530</v>
      </c>
      <c r="C6994" s="63" t="s">
        <v>23306</v>
      </c>
      <c r="D6994" s="62">
        <v>45530</v>
      </c>
      <c r="E6994" s="63" t="s">
        <v>23307</v>
      </c>
      <c r="F6994" s="63" t="s">
        <v>242</v>
      </c>
      <c r="G6994" s="63" t="s">
        <v>189</v>
      </c>
      <c r="H6994" s="63" t="s">
        <v>71</v>
      </c>
      <c r="I6994" s="63" t="s">
        <v>21</v>
      </c>
      <c r="J6994" s="63" t="s">
        <v>23308</v>
      </c>
      <c r="K6994" s="63" t="s">
        <v>23309</v>
      </c>
      <c r="L6994" s="63" t="s">
        <v>21142</v>
      </c>
      <c r="M6994" s="63" t="s">
        <v>21</v>
      </c>
      <c r="O6994" s="62">
        <v>45567</v>
      </c>
      <c r="P6994" s="65" t="s">
        <v>21</v>
      </c>
      <c r="Q6994" s="66" t="b">
        <v>0</v>
      </c>
      <c r="R6994" s="22">
        <f t="shared" si="161"/>
        <v>36</v>
      </c>
      <c r="S6994" s="63" t="s">
        <v>21</v>
      </c>
    </row>
    <row r="6995" spans="1:19" ht="24">
      <c r="A6995" s="64">
        <v>12582</v>
      </c>
      <c r="B6995" s="62">
        <v>45531</v>
      </c>
      <c r="C6995" s="63" t="s">
        <v>23310</v>
      </c>
      <c r="D6995" s="62">
        <v>45531</v>
      </c>
      <c r="E6995" s="63" t="s">
        <v>1928</v>
      </c>
      <c r="F6995" s="63" t="s">
        <v>1743</v>
      </c>
      <c r="G6995" s="63" t="s">
        <v>189</v>
      </c>
      <c r="H6995" s="63" t="s">
        <v>71</v>
      </c>
      <c r="I6995" s="63" t="s">
        <v>21</v>
      </c>
      <c r="J6995" s="63" t="s">
        <v>23311</v>
      </c>
      <c r="K6995" s="63" t="s">
        <v>23312</v>
      </c>
      <c r="L6995" s="63" t="s">
        <v>7167</v>
      </c>
      <c r="M6995" s="63" t="s">
        <v>21</v>
      </c>
      <c r="O6995" s="62">
        <v>45531</v>
      </c>
      <c r="P6995" s="65" t="s">
        <v>21</v>
      </c>
      <c r="Q6995" s="66" t="b">
        <v>0</v>
      </c>
      <c r="R6995" s="22">
        <f t="shared" si="161"/>
        <v>0</v>
      </c>
      <c r="S6995" s="63" t="s">
        <v>21</v>
      </c>
    </row>
    <row r="6996" spans="1:19">
      <c r="A6996" s="64">
        <v>12585</v>
      </c>
      <c r="B6996" s="62">
        <v>45533</v>
      </c>
      <c r="C6996" s="63" t="s">
        <v>23313</v>
      </c>
      <c r="D6996" s="62">
        <v>45531</v>
      </c>
      <c r="E6996" s="63" t="s">
        <v>1928</v>
      </c>
      <c r="F6996" s="63" t="s">
        <v>1743</v>
      </c>
      <c r="G6996" s="63" t="s">
        <v>189</v>
      </c>
      <c r="H6996" s="63" t="s">
        <v>71</v>
      </c>
      <c r="I6996" s="63" t="s">
        <v>21</v>
      </c>
      <c r="J6996" s="63" t="s">
        <v>23200</v>
      </c>
      <c r="K6996" s="63" t="s">
        <v>23314</v>
      </c>
      <c r="L6996" s="63" t="s">
        <v>21573</v>
      </c>
      <c r="M6996" s="63" t="s">
        <v>21</v>
      </c>
      <c r="O6996" s="62">
        <v>45533</v>
      </c>
      <c r="P6996" s="65" t="s">
        <v>21</v>
      </c>
      <c r="Q6996" s="66" t="b">
        <v>0</v>
      </c>
      <c r="R6996" s="22">
        <f t="shared" si="161"/>
        <v>0</v>
      </c>
      <c r="S6996" s="63" t="s">
        <v>21</v>
      </c>
    </row>
    <row r="6997" spans="1:19">
      <c r="A6997" s="64">
        <v>12586</v>
      </c>
      <c r="B6997" s="62">
        <v>45533</v>
      </c>
      <c r="C6997" s="63" t="s">
        <v>23315</v>
      </c>
      <c r="D6997" s="62">
        <v>45533</v>
      </c>
      <c r="E6997" s="63" t="s">
        <v>23316</v>
      </c>
      <c r="F6997" s="63" t="s">
        <v>242</v>
      </c>
      <c r="G6997" s="63" t="s">
        <v>189</v>
      </c>
      <c r="H6997" s="63" t="s">
        <v>71</v>
      </c>
      <c r="I6997" s="63" t="s">
        <v>21</v>
      </c>
      <c r="J6997" s="63" t="s">
        <v>23317</v>
      </c>
      <c r="K6997" s="63" t="s">
        <v>23318</v>
      </c>
      <c r="L6997" s="63" t="s">
        <v>21243</v>
      </c>
      <c r="M6997" s="63" t="s">
        <v>21</v>
      </c>
      <c r="O6997" s="62">
        <v>45561</v>
      </c>
      <c r="P6997" s="65" t="s">
        <v>21</v>
      </c>
      <c r="Q6997" s="66" t="b">
        <v>0</v>
      </c>
      <c r="R6997" s="22">
        <f t="shared" si="161"/>
        <v>27</v>
      </c>
      <c r="S6997" s="63" t="s">
        <v>21</v>
      </c>
    </row>
    <row r="6998" spans="1:19" ht="48">
      <c r="A6998" s="64">
        <v>12587</v>
      </c>
      <c r="B6998" s="62">
        <v>45534</v>
      </c>
      <c r="C6998" s="63" t="s">
        <v>23319</v>
      </c>
      <c r="D6998" s="62">
        <v>45533</v>
      </c>
      <c r="E6998" s="63" t="s">
        <v>23320</v>
      </c>
      <c r="F6998" s="63" t="s">
        <v>2105</v>
      </c>
      <c r="G6998" s="63" t="s">
        <v>189</v>
      </c>
      <c r="H6998" s="63" t="s">
        <v>189</v>
      </c>
      <c r="I6998" s="63" t="s">
        <v>21</v>
      </c>
      <c r="J6998" s="63" t="s">
        <v>23321</v>
      </c>
      <c r="K6998" s="63" t="s">
        <v>15700</v>
      </c>
      <c r="L6998" s="63" t="s">
        <v>22185</v>
      </c>
      <c r="M6998" s="63" t="s">
        <v>21</v>
      </c>
      <c r="O6998" s="62">
        <v>45595</v>
      </c>
      <c r="P6998" s="65" t="s">
        <v>21</v>
      </c>
      <c r="Q6998" s="66" t="b">
        <v>0</v>
      </c>
      <c r="R6998" s="22">
        <f t="shared" si="161"/>
        <v>60</v>
      </c>
      <c r="S6998" s="63" t="s">
        <v>23322</v>
      </c>
    </row>
    <row r="6999" spans="1:19">
      <c r="A6999" s="64">
        <v>12588</v>
      </c>
      <c r="B6999" s="62">
        <v>45538</v>
      </c>
      <c r="C6999" s="63" t="s">
        <v>23323</v>
      </c>
      <c r="D6999" s="62">
        <v>45534</v>
      </c>
      <c r="E6999" s="63" t="s">
        <v>23324</v>
      </c>
      <c r="F6999" s="63" t="s">
        <v>861</v>
      </c>
      <c r="G6999" s="63" t="s">
        <v>189</v>
      </c>
      <c r="H6999" s="63" t="s">
        <v>566</v>
      </c>
      <c r="I6999" s="63" t="s">
        <v>21</v>
      </c>
      <c r="J6999" s="63" t="s">
        <v>23325</v>
      </c>
      <c r="K6999" s="63" t="s">
        <v>23326</v>
      </c>
      <c r="L6999" s="63" t="s">
        <v>21243</v>
      </c>
      <c r="M6999" s="63" t="s">
        <v>21</v>
      </c>
      <c r="O6999" s="62">
        <v>45561</v>
      </c>
      <c r="P6999" s="65" t="s">
        <v>21</v>
      </c>
      <c r="Q6999" s="66" t="b">
        <v>0</v>
      </c>
      <c r="R6999" s="22">
        <f t="shared" si="161"/>
        <v>23</v>
      </c>
      <c r="S6999" s="63" t="s">
        <v>21</v>
      </c>
    </row>
    <row r="7000" spans="1:19">
      <c r="A7000" s="64">
        <v>12589</v>
      </c>
      <c r="B7000" s="62">
        <v>45547</v>
      </c>
      <c r="C7000" s="63" t="s">
        <v>23327</v>
      </c>
      <c r="D7000" s="62">
        <v>45547</v>
      </c>
      <c r="E7000" s="63" t="s">
        <v>23328</v>
      </c>
      <c r="F7000" s="63" t="s">
        <v>22916</v>
      </c>
      <c r="G7000" s="63" t="s">
        <v>189</v>
      </c>
      <c r="H7000" s="63" t="s">
        <v>71</v>
      </c>
      <c r="I7000" s="63" t="s">
        <v>21</v>
      </c>
      <c r="J7000" s="63" t="s">
        <v>23329</v>
      </c>
      <c r="K7000" s="63" t="s">
        <v>23330</v>
      </c>
      <c r="L7000" s="63" t="s">
        <v>21142</v>
      </c>
      <c r="M7000" s="63" t="s">
        <v>21</v>
      </c>
      <c r="O7000" s="22"/>
      <c r="P7000" s="65" t="s">
        <v>21</v>
      </c>
      <c r="Q7000" s="66" t="b">
        <v>0</v>
      </c>
      <c r="R7000" s="66"/>
      <c r="S7000" s="63" t="s">
        <v>21</v>
      </c>
    </row>
    <row r="7001" spans="1:19">
      <c r="A7001" s="64">
        <v>12590</v>
      </c>
      <c r="B7001" s="62">
        <v>45547</v>
      </c>
      <c r="C7001" s="63" t="s">
        <v>23331</v>
      </c>
      <c r="D7001" s="62">
        <v>45547</v>
      </c>
      <c r="E7001" s="63" t="s">
        <v>38</v>
      </c>
      <c r="F7001" s="63" t="s">
        <v>1743</v>
      </c>
      <c r="G7001" s="63" t="s">
        <v>189</v>
      </c>
      <c r="H7001" s="63" t="s">
        <v>71</v>
      </c>
      <c r="I7001" s="63" t="s">
        <v>21</v>
      </c>
      <c r="J7001" s="63" t="s">
        <v>23332</v>
      </c>
      <c r="K7001" s="63" t="s">
        <v>7259</v>
      </c>
      <c r="L7001" s="63" t="s">
        <v>21243</v>
      </c>
      <c r="M7001" s="63" t="s">
        <v>21</v>
      </c>
      <c r="O7001" s="62">
        <v>45552</v>
      </c>
      <c r="P7001" s="65" t="s">
        <v>21</v>
      </c>
      <c r="Q7001" s="66" t="b">
        <v>0</v>
      </c>
      <c r="R7001" s="22">
        <f>IF(O7001=" ", " ", INT(YEARFRAC(O7001, B7001)*365))</f>
        <v>5</v>
      </c>
      <c r="S7001" s="63" t="s">
        <v>21</v>
      </c>
    </row>
    <row r="7002" spans="1:19">
      <c r="A7002" s="64">
        <v>12591</v>
      </c>
      <c r="B7002" s="62">
        <v>45547</v>
      </c>
      <c r="C7002" s="63" t="s">
        <v>23333</v>
      </c>
      <c r="D7002" s="62">
        <v>45546</v>
      </c>
      <c r="E7002" s="63" t="s">
        <v>38</v>
      </c>
      <c r="F7002" s="63" t="s">
        <v>990</v>
      </c>
      <c r="G7002" s="63" t="s">
        <v>189</v>
      </c>
      <c r="H7002" s="63" t="s">
        <v>71</v>
      </c>
      <c r="I7002" s="63" t="s">
        <v>21</v>
      </c>
      <c r="J7002" s="63" t="s">
        <v>23334</v>
      </c>
      <c r="K7002" s="63" t="s">
        <v>23335</v>
      </c>
      <c r="L7002" s="63" t="s">
        <v>21243</v>
      </c>
      <c r="M7002" s="63" t="s">
        <v>21</v>
      </c>
      <c r="O7002" s="62">
        <v>45552</v>
      </c>
      <c r="P7002" s="65" t="s">
        <v>21</v>
      </c>
      <c r="Q7002" s="66" t="b">
        <v>0</v>
      </c>
      <c r="R7002" s="22">
        <f>IF(O7002=" ", " ", INT(YEARFRAC(O7002, B7002)*365))</f>
        <v>5</v>
      </c>
      <c r="S7002" s="63" t="s">
        <v>21</v>
      </c>
    </row>
    <row r="7003" spans="1:19">
      <c r="A7003" s="64">
        <v>12593</v>
      </c>
      <c r="B7003" s="62">
        <v>45548</v>
      </c>
      <c r="C7003" s="63" t="s">
        <v>23336</v>
      </c>
      <c r="D7003" s="62">
        <v>45548</v>
      </c>
      <c r="E7003" s="63" t="s">
        <v>23337</v>
      </c>
      <c r="F7003" s="63" t="s">
        <v>52</v>
      </c>
      <c r="G7003" s="63" t="s">
        <v>189</v>
      </c>
      <c r="H7003" s="63" t="s">
        <v>71</v>
      </c>
      <c r="I7003" s="63" t="s">
        <v>21</v>
      </c>
      <c r="J7003" s="63" t="s">
        <v>23338</v>
      </c>
      <c r="K7003" s="63" t="s">
        <v>23339</v>
      </c>
      <c r="L7003" s="63" t="s">
        <v>4282</v>
      </c>
      <c r="M7003" s="63" t="s">
        <v>21</v>
      </c>
      <c r="O7003" s="62">
        <v>45589</v>
      </c>
      <c r="P7003" s="65" t="s">
        <v>21</v>
      </c>
      <c r="Q7003" s="66" t="b">
        <v>0</v>
      </c>
      <c r="R7003" s="22">
        <f>IF(O7003=" ", " ", INT(YEARFRAC(O7003, B7003)*365))</f>
        <v>41</v>
      </c>
      <c r="S7003" s="63" t="s">
        <v>21</v>
      </c>
    </row>
    <row r="7004" spans="1:19">
      <c r="A7004" s="64">
        <v>12594</v>
      </c>
      <c r="B7004" s="62">
        <v>45552</v>
      </c>
      <c r="C7004" s="63" t="s">
        <v>23340</v>
      </c>
      <c r="D7004" s="62">
        <v>45551</v>
      </c>
      <c r="E7004" s="63" t="s">
        <v>23341</v>
      </c>
      <c r="F7004" s="63" t="s">
        <v>4596</v>
      </c>
      <c r="G7004" s="63" t="s">
        <v>20</v>
      </c>
      <c r="H7004" s="63" t="s">
        <v>71</v>
      </c>
      <c r="I7004" s="63" t="s">
        <v>21</v>
      </c>
      <c r="J7004" s="63" t="s">
        <v>23342</v>
      </c>
      <c r="K7004" s="63" t="s">
        <v>23343</v>
      </c>
      <c r="L7004" s="63" t="s">
        <v>21243</v>
      </c>
      <c r="M7004" s="63" t="s">
        <v>21</v>
      </c>
      <c r="O7004" s="22"/>
      <c r="P7004" s="65" t="s">
        <v>21</v>
      </c>
      <c r="Q7004" s="66" t="b">
        <v>0</v>
      </c>
      <c r="R7004" s="66"/>
      <c r="S7004" s="63" t="s">
        <v>21</v>
      </c>
    </row>
    <row r="7005" spans="1:19">
      <c r="A7005" s="64">
        <v>12595</v>
      </c>
      <c r="B7005" s="62">
        <v>45553</v>
      </c>
      <c r="C7005" s="63" t="s">
        <v>23344</v>
      </c>
      <c r="D7005" s="62">
        <v>45552</v>
      </c>
      <c r="E7005" s="63" t="s">
        <v>23345</v>
      </c>
      <c r="F7005" s="63" t="s">
        <v>149</v>
      </c>
      <c r="G7005" s="63" t="s">
        <v>20</v>
      </c>
      <c r="H7005" s="63" t="s">
        <v>71</v>
      </c>
      <c r="I7005" s="63" t="s">
        <v>21</v>
      </c>
      <c r="J7005" s="63" t="s">
        <v>23033</v>
      </c>
      <c r="K7005" s="63" t="s">
        <v>23346</v>
      </c>
      <c r="L7005" s="63" t="s">
        <v>4282</v>
      </c>
      <c r="M7005" s="63" t="s">
        <v>21</v>
      </c>
      <c r="O7005" s="22"/>
      <c r="P7005" s="65" t="s">
        <v>21</v>
      </c>
      <c r="Q7005" s="66" t="b">
        <v>0</v>
      </c>
      <c r="R7005" s="66"/>
      <c r="S7005" s="63" t="s">
        <v>21</v>
      </c>
    </row>
    <row r="7006" spans="1:19">
      <c r="A7006" s="64">
        <v>12596</v>
      </c>
      <c r="B7006" s="62">
        <v>45554</v>
      </c>
      <c r="C7006" s="63" t="s">
        <v>23347</v>
      </c>
      <c r="D7006" s="62">
        <v>45554</v>
      </c>
      <c r="E7006" s="63" t="s">
        <v>23348</v>
      </c>
      <c r="F7006" s="63" t="s">
        <v>5091</v>
      </c>
      <c r="G7006" s="63" t="s">
        <v>20</v>
      </c>
      <c r="H7006" s="63" t="s">
        <v>189</v>
      </c>
      <c r="I7006" s="63" t="s">
        <v>21</v>
      </c>
      <c r="J7006" s="63" t="s">
        <v>23349</v>
      </c>
      <c r="K7006" s="63" t="s">
        <v>23350</v>
      </c>
      <c r="L7006" s="63" t="s">
        <v>21243</v>
      </c>
      <c r="M7006" s="63" t="s">
        <v>21</v>
      </c>
      <c r="O7006" s="62">
        <v>45581</v>
      </c>
      <c r="P7006" s="65" t="s">
        <v>21</v>
      </c>
      <c r="Q7006" s="66" t="b">
        <v>0</v>
      </c>
      <c r="R7006" s="22">
        <f>IF(O7006=" ", " ", INT(YEARFRAC(O7006, B7006)*365))</f>
        <v>27</v>
      </c>
      <c r="S7006" s="63" t="s">
        <v>21</v>
      </c>
    </row>
    <row r="7007" spans="1:19">
      <c r="A7007" s="64">
        <v>12597</v>
      </c>
      <c r="B7007" s="62">
        <v>45558</v>
      </c>
      <c r="C7007" s="63" t="s">
        <v>23351</v>
      </c>
      <c r="D7007" s="62">
        <v>45552</v>
      </c>
      <c r="E7007" s="63" t="s">
        <v>38</v>
      </c>
      <c r="F7007" s="63" t="s">
        <v>1743</v>
      </c>
      <c r="G7007" s="63" t="s">
        <v>189</v>
      </c>
      <c r="H7007" s="63" t="s">
        <v>71</v>
      </c>
      <c r="I7007" s="63" t="s">
        <v>21</v>
      </c>
      <c r="J7007" s="63" t="s">
        <v>23352</v>
      </c>
      <c r="K7007" s="63" t="s">
        <v>23353</v>
      </c>
      <c r="L7007" s="63" t="s">
        <v>21573</v>
      </c>
      <c r="M7007" s="63" t="s">
        <v>21</v>
      </c>
      <c r="O7007" s="62">
        <v>45559</v>
      </c>
      <c r="P7007" s="65" t="s">
        <v>21</v>
      </c>
      <c r="Q7007" s="66" t="b">
        <v>0</v>
      </c>
      <c r="R7007" s="22">
        <f>IF(O7007=" ", " ", INT(YEARFRAC(O7007, B7007)*365))</f>
        <v>1</v>
      </c>
      <c r="S7007" s="63" t="s">
        <v>21</v>
      </c>
    </row>
    <row r="7008" spans="1:19">
      <c r="A7008" s="64">
        <v>12598</v>
      </c>
      <c r="B7008" s="62">
        <v>45558</v>
      </c>
      <c r="C7008" s="63" t="s">
        <v>23354</v>
      </c>
      <c r="D7008" s="62">
        <v>45558</v>
      </c>
      <c r="E7008" s="63" t="s">
        <v>23355</v>
      </c>
      <c r="F7008" s="63" t="s">
        <v>137</v>
      </c>
      <c r="G7008" s="63" t="s">
        <v>189</v>
      </c>
      <c r="H7008" s="63" t="s">
        <v>71</v>
      </c>
      <c r="I7008" s="63" t="s">
        <v>21</v>
      </c>
      <c r="J7008" s="63" t="s">
        <v>23356</v>
      </c>
      <c r="K7008" s="63" t="s">
        <v>23357</v>
      </c>
      <c r="L7008" s="63" t="s">
        <v>22185</v>
      </c>
      <c r="M7008" s="63" t="s">
        <v>21</v>
      </c>
      <c r="O7008" s="62">
        <v>45645</v>
      </c>
      <c r="P7008" s="65" t="s">
        <v>21</v>
      </c>
      <c r="Q7008" s="66" t="b">
        <v>0</v>
      </c>
      <c r="R7008" s="22">
        <f>IF(O7008=" ", " ", INT(YEARFRAC(O7008, B7008)*365))</f>
        <v>87</v>
      </c>
      <c r="S7008" s="63" t="s">
        <v>21</v>
      </c>
    </row>
    <row r="7009" spans="1:19">
      <c r="A7009" s="64">
        <v>12599</v>
      </c>
      <c r="B7009" s="62">
        <v>45566</v>
      </c>
      <c r="C7009" s="63" t="s">
        <v>23358</v>
      </c>
      <c r="D7009" s="62">
        <v>45566</v>
      </c>
      <c r="E7009" s="63" t="s">
        <v>23359</v>
      </c>
      <c r="F7009" s="63" t="s">
        <v>12892</v>
      </c>
      <c r="G7009" s="63" t="s">
        <v>189</v>
      </c>
      <c r="H7009" s="63" t="s">
        <v>71</v>
      </c>
      <c r="I7009" s="63" t="s">
        <v>21</v>
      </c>
      <c r="J7009" s="63" t="s">
        <v>23360</v>
      </c>
      <c r="K7009" s="63" t="s">
        <v>23361</v>
      </c>
      <c r="L7009" s="63" t="s">
        <v>22185</v>
      </c>
      <c r="M7009" s="63" t="s">
        <v>21</v>
      </c>
      <c r="O7009" s="62">
        <v>45587</v>
      </c>
      <c r="P7009" s="65" t="s">
        <v>21</v>
      </c>
      <c r="Q7009" s="66" t="b">
        <v>0</v>
      </c>
      <c r="R7009" s="22">
        <f>IF(O7009=" ", " ", INT(YEARFRAC(O7009, B7009)*365))</f>
        <v>21</v>
      </c>
      <c r="S7009" s="63" t="s">
        <v>21</v>
      </c>
    </row>
    <row r="7010" spans="1:19">
      <c r="A7010" s="64">
        <v>12600</v>
      </c>
      <c r="B7010" s="62">
        <v>45567</v>
      </c>
      <c r="C7010" s="63" t="s">
        <v>23362</v>
      </c>
      <c r="D7010" s="62">
        <v>45567</v>
      </c>
      <c r="E7010" s="63" t="s">
        <v>1928</v>
      </c>
      <c r="F7010" s="63" t="s">
        <v>1743</v>
      </c>
      <c r="G7010" s="63" t="s">
        <v>189</v>
      </c>
      <c r="H7010" s="63" t="s">
        <v>71</v>
      </c>
      <c r="I7010" s="63" t="s">
        <v>21</v>
      </c>
      <c r="J7010" s="63" t="s">
        <v>23363</v>
      </c>
      <c r="K7010" s="63" t="s">
        <v>22637</v>
      </c>
      <c r="L7010" s="63" t="s">
        <v>21142</v>
      </c>
      <c r="M7010" s="63" t="s">
        <v>21</v>
      </c>
      <c r="N7010" s="45">
        <v>45581</v>
      </c>
      <c r="O7010" s="62">
        <v>45581</v>
      </c>
      <c r="P7010" s="65" t="s">
        <v>21</v>
      </c>
      <c r="Q7010" s="66" t="b">
        <v>0</v>
      </c>
      <c r="R7010" s="22">
        <f>IF(O7010=" ", " ", INT(YEARFRAC(O7010, B7010)*365))</f>
        <v>14</v>
      </c>
      <c r="S7010" s="63" t="s">
        <v>21</v>
      </c>
    </row>
    <row r="7011" spans="1:19">
      <c r="A7011" s="64">
        <v>12601</v>
      </c>
      <c r="B7011" s="62">
        <v>45576</v>
      </c>
      <c r="C7011" s="63" t="s">
        <v>23364</v>
      </c>
      <c r="D7011" s="62">
        <v>45576</v>
      </c>
      <c r="E7011" s="63" t="s">
        <v>23365</v>
      </c>
      <c r="F7011" s="63" t="s">
        <v>19</v>
      </c>
      <c r="G7011" s="63" t="s">
        <v>20</v>
      </c>
      <c r="H7011" s="63" t="s">
        <v>71</v>
      </c>
      <c r="I7011" s="63" t="s">
        <v>21</v>
      </c>
      <c r="J7011" s="63" t="s">
        <v>23366</v>
      </c>
      <c r="K7011" s="63" t="s">
        <v>23367</v>
      </c>
      <c r="L7011" s="63" t="s">
        <v>21573</v>
      </c>
      <c r="M7011" s="63" t="s">
        <v>21</v>
      </c>
      <c r="O7011" s="22"/>
      <c r="P7011" s="65" t="s">
        <v>21</v>
      </c>
      <c r="Q7011" s="66" t="b">
        <v>0</v>
      </c>
      <c r="R7011" s="66"/>
      <c r="S7011" s="63" t="s">
        <v>21</v>
      </c>
    </row>
    <row r="7012" spans="1:19">
      <c r="A7012" s="64">
        <v>12602</v>
      </c>
      <c r="B7012" s="62">
        <v>45576</v>
      </c>
      <c r="C7012" s="63" t="s">
        <v>23368</v>
      </c>
      <c r="D7012" s="62">
        <v>45576</v>
      </c>
      <c r="E7012" s="63" t="s">
        <v>23369</v>
      </c>
      <c r="F7012" s="63" t="s">
        <v>242</v>
      </c>
      <c r="G7012" s="63" t="s">
        <v>20</v>
      </c>
      <c r="H7012" s="63" t="s">
        <v>71</v>
      </c>
      <c r="I7012" s="63" t="s">
        <v>21</v>
      </c>
      <c r="J7012" s="63" t="s">
        <v>23370</v>
      </c>
      <c r="K7012" s="63" t="s">
        <v>23371</v>
      </c>
      <c r="L7012" s="63" t="s">
        <v>21142</v>
      </c>
      <c r="M7012" s="63" t="s">
        <v>21</v>
      </c>
      <c r="O7012" s="62">
        <v>45602</v>
      </c>
      <c r="P7012" s="65" t="s">
        <v>21</v>
      </c>
      <c r="Q7012" s="66" t="b">
        <v>0</v>
      </c>
      <c r="R7012" s="22">
        <f>IF(O7012=" ", " ", INT(YEARFRAC(O7012, B7012)*365))</f>
        <v>25</v>
      </c>
      <c r="S7012" s="63" t="s">
        <v>21</v>
      </c>
    </row>
    <row r="7013" spans="1:19">
      <c r="A7013" s="64">
        <v>12603</v>
      </c>
      <c r="B7013" s="62">
        <v>45580</v>
      </c>
      <c r="C7013" s="63" t="s">
        <v>23372</v>
      </c>
      <c r="D7013" s="62">
        <v>45579</v>
      </c>
      <c r="E7013" s="63" t="s">
        <v>23373</v>
      </c>
      <c r="F7013" s="63" t="s">
        <v>23374</v>
      </c>
      <c r="G7013" s="63" t="s">
        <v>189</v>
      </c>
      <c r="H7013" s="63" t="s">
        <v>566</v>
      </c>
      <c r="I7013" s="63" t="s">
        <v>21</v>
      </c>
      <c r="J7013" s="63" t="s">
        <v>23375</v>
      </c>
      <c r="K7013" s="63" t="s">
        <v>15387</v>
      </c>
      <c r="L7013" s="63" t="s">
        <v>22185</v>
      </c>
      <c r="M7013" s="63" t="s">
        <v>21</v>
      </c>
      <c r="O7013" s="22"/>
      <c r="P7013" s="65" t="s">
        <v>21</v>
      </c>
      <c r="Q7013" s="66" t="b">
        <v>0</v>
      </c>
      <c r="R7013" s="66"/>
      <c r="S7013" s="63" t="s">
        <v>21</v>
      </c>
    </row>
    <row r="7014" spans="1:19">
      <c r="A7014" s="64">
        <v>12604</v>
      </c>
      <c r="B7014" s="62">
        <v>45581</v>
      </c>
      <c r="C7014" s="63" t="s">
        <v>23376</v>
      </c>
      <c r="D7014" s="62">
        <v>45581</v>
      </c>
      <c r="E7014" s="63" t="s">
        <v>38</v>
      </c>
      <c r="F7014" s="63" t="s">
        <v>1743</v>
      </c>
      <c r="G7014" s="63" t="s">
        <v>189</v>
      </c>
      <c r="H7014" s="63" t="s">
        <v>71</v>
      </c>
      <c r="I7014" s="63" t="s">
        <v>21</v>
      </c>
      <c r="J7014" s="63" t="s">
        <v>23377</v>
      </c>
      <c r="K7014" s="63" t="s">
        <v>23378</v>
      </c>
      <c r="L7014" s="63" t="s">
        <v>22185</v>
      </c>
      <c r="M7014" s="63" t="s">
        <v>21</v>
      </c>
      <c r="O7014" s="62">
        <v>45582</v>
      </c>
      <c r="P7014" s="65" t="s">
        <v>21</v>
      </c>
      <c r="Q7014" s="66" t="b">
        <v>0</v>
      </c>
      <c r="R7014" s="22">
        <f t="shared" ref="R7014:R7024" si="162">IF(O7014=" ", " ", INT(YEARFRAC(O7014, B7014)*365))</f>
        <v>1</v>
      </c>
      <c r="S7014" s="63" t="s">
        <v>21</v>
      </c>
    </row>
    <row r="7015" spans="1:19">
      <c r="A7015" s="64">
        <v>12605</v>
      </c>
      <c r="B7015" s="62">
        <v>45582</v>
      </c>
      <c r="C7015" s="63" t="s">
        <v>23379</v>
      </c>
      <c r="D7015" s="62">
        <v>45581</v>
      </c>
      <c r="E7015" s="63" t="s">
        <v>23380</v>
      </c>
      <c r="F7015" s="63" t="s">
        <v>23381</v>
      </c>
      <c r="G7015" s="63" t="s">
        <v>189</v>
      </c>
      <c r="H7015" s="63" t="s">
        <v>71</v>
      </c>
      <c r="I7015" s="63" t="s">
        <v>21</v>
      </c>
      <c r="J7015" s="63" t="s">
        <v>23382</v>
      </c>
      <c r="K7015" s="63" t="s">
        <v>23383</v>
      </c>
      <c r="L7015" s="63" t="s">
        <v>21243</v>
      </c>
      <c r="M7015" s="63" t="s">
        <v>21</v>
      </c>
      <c r="O7015" s="62">
        <v>45596</v>
      </c>
      <c r="P7015" s="65" t="s">
        <v>21</v>
      </c>
      <c r="Q7015" s="66" t="b">
        <v>0</v>
      </c>
      <c r="R7015" s="22">
        <f t="shared" si="162"/>
        <v>14</v>
      </c>
      <c r="S7015" s="63" t="s">
        <v>21</v>
      </c>
    </row>
    <row r="7016" spans="1:19">
      <c r="A7016" s="64">
        <v>12607</v>
      </c>
      <c r="B7016" s="62">
        <v>45582</v>
      </c>
      <c r="C7016" s="63" t="s">
        <v>23384</v>
      </c>
      <c r="D7016" s="62">
        <v>45582</v>
      </c>
      <c r="E7016" s="63" t="s">
        <v>38</v>
      </c>
      <c r="F7016" s="63" t="s">
        <v>1743</v>
      </c>
      <c r="G7016" s="63" t="s">
        <v>189</v>
      </c>
      <c r="H7016" s="63" t="s">
        <v>71</v>
      </c>
      <c r="I7016" s="63" t="s">
        <v>21</v>
      </c>
      <c r="J7016" s="63" t="s">
        <v>23385</v>
      </c>
      <c r="K7016" s="63" t="s">
        <v>22</v>
      </c>
      <c r="L7016" s="63" t="s">
        <v>4282</v>
      </c>
      <c r="M7016" s="63" t="s">
        <v>21</v>
      </c>
      <c r="O7016" s="62">
        <v>45595</v>
      </c>
      <c r="P7016" s="65" t="s">
        <v>21</v>
      </c>
      <c r="Q7016" s="66" t="b">
        <v>0</v>
      </c>
      <c r="R7016" s="22">
        <f t="shared" si="162"/>
        <v>13</v>
      </c>
      <c r="S7016" s="63" t="s">
        <v>21</v>
      </c>
    </row>
    <row r="7017" spans="1:19">
      <c r="A7017" s="64">
        <v>12608</v>
      </c>
      <c r="B7017" s="62">
        <v>45582</v>
      </c>
      <c r="C7017" s="63" t="s">
        <v>23386</v>
      </c>
      <c r="D7017" s="62">
        <v>45582</v>
      </c>
      <c r="E7017" s="63" t="s">
        <v>23387</v>
      </c>
      <c r="F7017" s="63" t="s">
        <v>1338</v>
      </c>
      <c r="G7017" s="63" t="s">
        <v>20</v>
      </c>
      <c r="H7017" s="63" t="s">
        <v>71</v>
      </c>
      <c r="I7017" s="63" t="s">
        <v>21</v>
      </c>
      <c r="J7017" s="63" t="s">
        <v>23382</v>
      </c>
      <c r="K7017" s="63" t="s">
        <v>23388</v>
      </c>
      <c r="L7017" s="63" t="s">
        <v>21243</v>
      </c>
      <c r="M7017" s="63" t="s">
        <v>21</v>
      </c>
      <c r="O7017" s="62">
        <v>45610</v>
      </c>
      <c r="P7017" s="65" t="s">
        <v>21</v>
      </c>
      <c r="Q7017" s="66" t="b">
        <v>0</v>
      </c>
      <c r="R7017" s="22">
        <f t="shared" si="162"/>
        <v>27</v>
      </c>
      <c r="S7017" s="63" t="s">
        <v>21</v>
      </c>
    </row>
    <row r="7018" spans="1:19">
      <c r="A7018" s="64">
        <v>12609</v>
      </c>
      <c r="B7018" s="62">
        <v>45583</v>
      </c>
      <c r="C7018" s="63" t="s">
        <v>23389</v>
      </c>
      <c r="D7018" s="62">
        <v>45583</v>
      </c>
      <c r="E7018" s="63" t="s">
        <v>1928</v>
      </c>
      <c r="F7018" s="63" t="s">
        <v>1743</v>
      </c>
      <c r="G7018" s="63" t="s">
        <v>20</v>
      </c>
      <c r="H7018" s="63" t="s">
        <v>71</v>
      </c>
      <c r="I7018" s="63" t="s">
        <v>21</v>
      </c>
      <c r="J7018" s="63" t="s">
        <v>23390</v>
      </c>
      <c r="K7018" s="63" t="s">
        <v>23391</v>
      </c>
      <c r="L7018" s="63" t="s">
        <v>21573</v>
      </c>
      <c r="M7018" s="63" t="s">
        <v>21</v>
      </c>
      <c r="O7018" s="62">
        <v>45583</v>
      </c>
      <c r="P7018" s="65" t="s">
        <v>21</v>
      </c>
      <c r="Q7018" s="66" t="b">
        <v>0</v>
      </c>
      <c r="R7018" s="22">
        <f t="shared" si="162"/>
        <v>0</v>
      </c>
      <c r="S7018" s="63" t="s">
        <v>21</v>
      </c>
    </row>
    <row r="7019" spans="1:19">
      <c r="A7019" s="64">
        <v>12610</v>
      </c>
      <c r="B7019" s="62">
        <v>45586</v>
      </c>
      <c r="C7019" s="63" t="s">
        <v>23392</v>
      </c>
      <c r="D7019" s="62">
        <v>45586</v>
      </c>
      <c r="E7019" s="63" t="s">
        <v>1928</v>
      </c>
      <c r="F7019" s="63" t="s">
        <v>1743</v>
      </c>
      <c r="G7019" s="63" t="s">
        <v>189</v>
      </c>
      <c r="H7019" s="63" t="s">
        <v>71</v>
      </c>
      <c r="I7019" s="63" t="s">
        <v>21</v>
      </c>
      <c r="J7019" s="63" t="s">
        <v>23393</v>
      </c>
      <c r="K7019" s="63" t="s">
        <v>23394</v>
      </c>
      <c r="L7019" s="63" t="s">
        <v>21142</v>
      </c>
      <c r="M7019" s="63" t="s">
        <v>21</v>
      </c>
      <c r="N7019" s="45">
        <v>45600</v>
      </c>
      <c r="O7019" s="62">
        <v>45587</v>
      </c>
      <c r="P7019" s="65" t="s">
        <v>21</v>
      </c>
      <c r="Q7019" s="66" t="b">
        <v>0</v>
      </c>
      <c r="R7019" s="22">
        <f t="shared" si="162"/>
        <v>1</v>
      </c>
      <c r="S7019" s="63" t="s">
        <v>21</v>
      </c>
    </row>
    <row r="7020" spans="1:19">
      <c r="A7020" s="64">
        <v>12611</v>
      </c>
      <c r="B7020" s="62">
        <v>45586</v>
      </c>
      <c r="C7020" s="63" t="s">
        <v>23395</v>
      </c>
      <c r="D7020" s="62">
        <v>45586</v>
      </c>
      <c r="E7020" s="63" t="s">
        <v>1928</v>
      </c>
      <c r="F7020" s="63" t="s">
        <v>1743</v>
      </c>
      <c r="G7020" s="63" t="s">
        <v>189</v>
      </c>
      <c r="H7020" s="63" t="s">
        <v>71</v>
      </c>
      <c r="I7020" s="63" t="s">
        <v>21</v>
      </c>
      <c r="J7020" s="63" t="s">
        <v>23010</v>
      </c>
      <c r="K7020" s="63" t="s">
        <v>22027</v>
      </c>
      <c r="L7020" s="63" t="s">
        <v>21573</v>
      </c>
      <c r="M7020" s="63" t="s">
        <v>21</v>
      </c>
      <c r="N7020" s="45">
        <v>45600</v>
      </c>
      <c r="O7020" s="62">
        <v>45588</v>
      </c>
      <c r="P7020" s="65" t="s">
        <v>21</v>
      </c>
      <c r="Q7020" s="66" t="b">
        <v>0</v>
      </c>
      <c r="R7020" s="22">
        <f t="shared" si="162"/>
        <v>2</v>
      </c>
      <c r="S7020" s="63" t="s">
        <v>21</v>
      </c>
    </row>
    <row r="7021" spans="1:19">
      <c r="A7021" s="64">
        <v>12612</v>
      </c>
      <c r="B7021" s="62">
        <v>45587</v>
      </c>
      <c r="C7021" s="63" t="s">
        <v>23396</v>
      </c>
      <c r="D7021" s="62">
        <v>45587</v>
      </c>
      <c r="E7021" s="63" t="s">
        <v>23397</v>
      </c>
      <c r="F7021" s="63" t="s">
        <v>242</v>
      </c>
      <c r="G7021" s="63" t="s">
        <v>189</v>
      </c>
      <c r="H7021" s="63" t="s">
        <v>71</v>
      </c>
      <c r="I7021" s="63" t="s">
        <v>21</v>
      </c>
      <c r="J7021" s="63" t="s">
        <v>23398</v>
      </c>
      <c r="K7021" s="63" t="s">
        <v>23399</v>
      </c>
      <c r="L7021" s="63" t="s">
        <v>21142</v>
      </c>
      <c r="M7021" s="63" t="s">
        <v>21</v>
      </c>
      <c r="O7021" s="62">
        <v>45590</v>
      </c>
      <c r="P7021" s="65" t="s">
        <v>21</v>
      </c>
      <c r="Q7021" s="66" t="b">
        <v>0</v>
      </c>
      <c r="R7021" s="22">
        <f t="shared" si="162"/>
        <v>3</v>
      </c>
      <c r="S7021" s="63" t="s">
        <v>21</v>
      </c>
    </row>
    <row r="7022" spans="1:19">
      <c r="A7022" s="64">
        <v>12613</v>
      </c>
      <c r="B7022" s="62">
        <v>45589</v>
      </c>
      <c r="C7022" s="63" t="s">
        <v>23400</v>
      </c>
      <c r="D7022" s="62">
        <v>45587</v>
      </c>
      <c r="E7022" s="63" t="s">
        <v>23401</v>
      </c>
      <c r="F7022" s="63" t="s">
        <v>861</v>
      </c>
      <c r="G7022" s="63" t="s">
        <v>189</v>
      </c>
      <c r="H7022" s="63" t="s">
        <v>566</v>
      </c>
      <c r="I7022" s="63" t="s">
        <v>21</v>
      </c>
      <c r="J7022" s="63" t="s">
        <v>1349</v>
      </c>
      <c r="K7022" s="63" t="s">
        <v>23402</v>
      </c>
      <c r="L7022" s="63" t="s">
        <v>21243</v>
      </c>
      <c r="M7022" s="63" t="s">
        <v>21</v>
      </c>
      <c r="O7022" s="62">
        <v>45623</v>
      </c>
      <c r="P7022" s="65" t="s">
        <v>21</v>
      </c>
      <c r="Q7022" s="66" t="b">
        <v>0</v>
      </c>
      <c r="R7022" s="22">
        <f t="shared" si="162"/>
        <v>33</v>
      </c>
      <c r="S7022" s="63" t="s">
        <v>21</v>
      </c>
    </row>
    <row r="7023" spans="1:19">
      <c r="A7023" s="64">
        <v>12614</v>
      </c>
      <c r="B7023" s="62">
        <v>45589</v>
      </c>
      <c r="C7023" s="63" t="s">
        <v>23403</v>
      </c>
      <c r="D7023" s="62">
        <v>45588</v>
      </c>
      <c r="E7023" s="63" t="s">
        <v>23404</v>
      </c>
      <c r="F7023" s="63" t="s">
        <v>228</v>
      </c>
      <c r="G7023" s="63" t="s">
        <v>189</v>
      </c>
      <c r="H7023" s="63" t="s">
        <v>71</v>
      </c>
      <c r="I7023" s="63" t="s">
        <v>21</v>
      </c>
      <c r="J7023" s="63" t="s">
        <v>23405</v>
      </c>
      <c r="K7023" s="63" t="s">
        <v>23406</v>
      </c>
      <c r="L7023" s="63" t="s">
        <v>4282</v>
      </c>
      <c r="M7023" s="63" t="s">
        <v>21</v>
      </c>
      <c r="O7023" s="62">
        <v>45622</v>
      </c>
      <c r="P7023" s="65" t="s">
        <v>21</v>
      </c>
      <c r="Q7023" s="66" t="b">
        <v>0</v>
      </c>
      <c r="R7023" s="22">
        <f t="shared" si="162"/>
        <v>32</v>
      </c>
      <c r="S7023" s="63" t="s">
        <v>21</v>
      </c>
    </row>
    <row r="7024" spans="1:19">
      <c r="A7024" s="64">
        <v>12615</v>
      </c>
      <c r="B7024" s="62">
        <v>45593</v>
      </c>
      <c r="C7024" s="63" t="s">
        <v>23407</v>
      </c>
      <c r="D7024" s="62">
        <v>45593</v>
      </c>
      <c r="E7024" s="63" t="s">
        <v>23408</v>
      </c>
      <c r="F7024" s="63" t="s">
        <v>14383</v>
      </c>
      <c r="G7024" s="63" t="s">
        <v>189</v>
      </c>
      <c r="H7024" s="63" t="s">
        <v>566</v>
      </c>
      <c r="I7024" s="63" t="s">
        <v>21</v>
      </c>
      <c r="J7024" s="63" t="s">
        <v>22501</v>
      </c>
      <c r="K7024" s="63" t="s">
        <v>23409</v>
      </c>
      <c r="L7024" s="63" t="s">
        <v>21243</v>
      </c>
      <c r="M7024" s="63" t="s">
        <v>21</v>
      </c>
      <c r="O7024" s="62">
        <v>45635</v>
      </c>
      <c r="P7024" s="65" t="s">
        <v>21</v>
      </c>
      <c r="Q7024" s="66" t="b">
        <v>0</v>
      </c>
      <c r="R7024" s="22">
        <f t="shared" si="162"/>
        <v>41</v>
      </c>
      <c r="S7024" s="63" t="s">
        <v>21</v>
      </c>
    </row>
    <row r="7025" spans="1:19">
      <c r="A7025" s="64">
        <v>12616</v>
      </c>
      <c r="B7025" s="62">
        <v>45594</v>
      </c>
      <c r="C7025" s="63" t="s">
        <v>23410</v>
      </c>
      <c r="D7025" s="62">
        <v>45594</v>
      </c>
      <c r="E7025" s="63" t="s">
        <v>23411</v>
      </c>
      <c r="F7025" s="63" t="s">
        <v>19</v>
      </c>
      <c r="G7025" s="63" t="s">
        <v>189</v>
      </c>
      <c r="H7025" s="63" t="s">
        <v>71</v>
      </c>
      <c r="I7025" s="63" t="s">
        <v>21</v>
      </c>
      <c r="J7025" s="63" t="s">
        <v>23412</v>
      </c>
      <c r="K7025" s="63" t="s">
        <v>23413</v>
      </c>
      <c r="L7025" s="63" t="s">
        <v>4282</v>
      </c>
      <c r="M7025" s="63" t="s">
        <v>21</v>
      </c>
      <c r="O7025" s="22"/>
      <c r="P7025" s="65" t="s">
        <v>21</v>
      </c>
      <c r="Q7025" s="66" t="b">
        <v>0</v>
      </c>
      <c r="R7025" s="66"/>
      <c r="S7025" s="63" t="s">
        <v>21</v>
      </c>
    </row>
    <row r="7026" spans="1:19">
      <c r="A7026" s="64">
        <v>12617</v>
      </c>
      <c r="B7026" s="62">
        <v>45594</v>
      </c>
      <c r="C7026" s="63" t="s">
        <v>23414</v>
      </c>
      <c r="D7026" s="62">
        <v>45594</v>
      </c>
      <c r="E7026" s="63" t="s">
        <v>23415</v>
      </c>
      <c r="F7026" s="63" t="s">
        <v>70</v>
      </c>
      <c r="G7026" s="63" t="s">
        <v>189</v>
      </c>
      <c r="H7026" s="63" t="s">
        <v>71</v>
      </c>
      <c r="I7026" s="63" t="s">
        <v>21</v>
      </c>
      <c r="J7026" s="63" t="s">
        <v>23289</v>
      </c>
      <c r="K7026" s="63" t="s">
        <v>4488</v>
      </c>
      <c r="L7026" s="63" t="s">
        <v>22185</v>
      </c>
      <c r="M7026" s="63" t="s">
        <v>21</v>
      </c>
      <c r="O7026" s="22"/>
      <c r="P7026" s="65" t="s">
        <v>21</v>
      </c>
      <c r="Q7026" s="66" t="b">
        <v>0</v>
      </c>
      <c r="R7026" s="66"/>
      <c r="S7026" s="63" t="s">
        <v>21</v>
      </c>
    </row>
    <row r="7027" spans="1:19">
      <c r="A7027" s="64">
        <v>12618</v>
      </c>
      <c r="B7027" s="62">
        <v>45596</v>
      </c>
      <c r="C7027" s="63" t="s">
        <v>23416</v>
      </c>
      <c r="D7027" s="62">
        <v>45596</v>
      </c>
      <c r="E7027" s="63" t="s">
        <v>38</v>
      </c>
      <c r="F7027" s="63" t="s">
        <v>1743</v>
      </c>
      <c r="G7027" s="63" t="s">
        <v>189</v>
      </c>
      <c r="H7027" s="63" t="s">
        <v>71</v>
      </c>
      <c r="I7027" s="63" t="s">
        <v>21</v>
      </c>
      <c r="J7027" s="63" t="s">
        <v>15489</v>
      </c>
      <c r="K7027" s="63" t="s">
        <v>21322</v>
      </c>
      <c r="L7027" s="63" t="s">
        <v>21573</v>
      </c>
      <c r="M7027" s="63" t="s">
        <v>21</v>
      </c>
      <c r="O7027" s="62">
        <v>45597</v>
      </c>
      <c r="P7027" s="65" t="s">
        <v>21</v>
      </c>
      <c r="Q7027" s="66" t="b">
        <v>0</v>
      </c>
      <c r="R7027" s="22">
        <f>IF(O7027=" ", " ", INT(YEARFRAC(O7027, B7027)*365))</f>
        <v>1</v>
      </c>
      <c r="S7027" s="63" t="s">
        <v>21</v>
      </c>
    </row>
    <row r="7028" spans="1:19">
      <c r="A7028" s="64">
        <v>12619</v>
      </c>
      <c r="B7028" s="62">
        <v>45596</v>
      </c>
      <c r="C7028" s="63" t="s">
        <v>23417</v>
      </c>
      <c r="D7028" s="62">
        <v>45596</v>
      </c>
      <c r="E7028" s="63" t="s">
        <v>23418</v>
      </c>
      <c r="F7028" s="63" t="s">
        <v>20707</v>
      </c>
      <c r="G7028" s="63" t="s">
        <v>189</v>
      </c>
      <c r="H7028" s="63" t="s">
        <v>566</v>
      </c>
      <c r="I7028" s="63" t="s">
        <v>21</v>
      </c>
      <c r="J7028" s="63" t="s">
        <v>23419</v>
      </c>
      <c r="K7028" s="63" t="s">
        <v>23420</v>
      </c>
      <c r="L7028" s="63" t="s">
        <v>22185</v>
      </c>
      <c r="M7028" s="63" t="s">
        <v>21</v>
      </c>
      <c r="N7028" s="22"/>
      <c r="O7028" s="62">
        <v>45622</v>
      </c>
      <c r="P7028" s="65" t="s">
        <v>21</v>
      </c>
      <c r="Q7028" s="66" t="b">
        <v>0</v>
      </c>
      <c r="R7028" s="22">
        <f>IF(O7028=" ", " ", INT(YEARFRAC(O7028, B7028)*365))</f>
        <v>26</v>
      </c>
      <c r="S7028" s="63" t="s">
        <v>21</v>
      </c>
    </row>
    <row r="7029" spans="1:19">
      <c r="A7029" s="64">
        <v>12620</v>
      </c>
      <c r="B7029" s="62">
        <v>45602</v>
      </c>
      <c r="C7029" s="63" t="s">
        <v>23421</v>
      </c>
      <c r="D7029" s="62">
        <v>45600</v>
      </c>
      <c r="E7029" s="63" t="s">
        <v>1928</v>
      </c>
      <c r="F7029" s="63" t="s">
        <v>12404</v>
      </c>
      <c r="G7029" s="63" t="s">
        <v>20</v>
      </c>
      <c r="H7029" s="63" t="s">
        <v>71</v>
      </c>
      <c r="I7029" s="63" t="s">
        <v>21</v>
      </c>
      <c r="J7029" s="63" t="s">
        <v>23422</v>
      </c>
      <c r="K7029" s="63" t="s">
        <v>23423</v>
      </c>
      <c r="L7029" s="63" t="s">
        <v>22185</v>
      </c>
      <c r="M7029" s="63" t="s">
        <v>21</v>
      </c>
      <c r="O7029" s="62">
        <v>45611</v>
      </c>
      <c r="P7029" s="65" t="s">
        <v>21</v>
      </c>
      <c r="Q7029" s="66" t="b">
        <v>0</v>
      </c>
      <c r="R7029" s="22">
        <f>IF(O7029=" ", " ", INT(YEARFRAC(O7029, B7029)*365))</f>
        <v>9</v>
      </c>
      <c r="S7029" s="63" t="s">
        <v>21</v>
      </c>
    </row>
    <row r="7030" spans="1:19">
      <c r="A7030" s="64">
        <v>12621</v>
      </c>
      <c r="B7030" s="62">
        <v>45602</v>
      </c>
      <c r="C7030" s="63" t="s">
        <v>23424</v>
      </c>
      <c r="D7030" s="62">
        <v>45600</v>
      </c>
      <c r="E7030" s="63" t="s">
        <v>23425</v>
      </c>
      <c r="F7030" s="63" t="s">
        <v>741</v>
      </c>
      <c r="G7030" s="63" t="s">
        <v>20</v>
      </c>
      <c r="H7030" s="63" t="s">
        <v>71</v>
      </c>
      <c r="I7030" s="63" t="s">
        <v>21</v>
      </c>
      <c r="J7030" s="63" t="s">
        <v>14596</v>
      </c>
      <c r="K7030" s="63" t="s">
        <v>4690</v>
      </c>
      <c r="L7030" s="63" t="s">
        <v>21243</v>
      </c>
      <c r="M7030" s="63" t="s">
        <v>21</v>
      </c>
      <c r="O7030" s="22"/>
      <c r="P7030" s="65" t="s">
        <v>21</v>
      </c>
      <c r="Q7030" s="66" t="b">
        <v>0</v>
      </c>
      <c r="R7030" s="66"/>
      <c r="S7030" s="63" t="s">
        <v>21</v>
      </c>
    </row>
    <row r="7031" spans="1:19">
      <c r="A7031" s="64">
        <v>12622</v>
      </c>
      <c r="B7031" s="62">
        <v>45602</v>
      </c>
      <c r="C7031" s="63" t="s">
        <v>23426</v>
      </c>
      <c r="D7031" s="62">
        <v>45600</v>
      </c>
      <c r="E7031" s="63" t="s">
        <v>23427</v>
      </c>
      <c r="F7031" s="63" t="s">
        <v>23428</v>
      </c>
      <c r="G7031" s="63" t="s">
        <v>20</v>
      </c>
      <c r="H7031" s="63" t="s">
        <v>71</v>
      </c>
      <c r="I7031" s="63" t="s">
        <v>21</v>
      </c>
      <c r="J7031" s="63" t="s">
        <v>23429</v>
      </c>
      <c r="K7031" s="63" t="s">
        <v>23430</v>
      </c>
      <c r="L7031" s="63" t="s">
        <v>21243</v>
      </c>
      <c r="M7031" s="63" t="s">
        <v>21</v>
      </c>
      <c r="O7031" s="62">
        <v>45649</v>
      </c>
      <c r="P7031" s="65" t="s">
        <v>21</v>
      </c>
      <c r="Q7031" s="66" t="b">
        <v>0</v>
      </c>
      <c r="R7031" s="22">
        <f t="shared" ref="R7031:R7038" si="163">IF(O7031=" ", " ", INT(YEARFRAC(O7031, B7031)*365))</f>
        <v>47</v>
      </c>
      <c r="S7031" s="63" t="s">
        <v>21</v>
      </c>
    </row>
    <row r="7032" spans="1:19">
      <c r="A7032" s="64">
        <v>12623</v>
      </c>
      <c r="B7032" s="62">
        <v>45603</v>
      </c>
      <c r="C7032" s="63" t="s">
        <v>23431</v>
      </c>
      <c r="D7032" s="62">
        <v>45602</v>
      </c>
      <c r="E7032" s="63" t="s">
        <v>23432</v>
      </c>
      <c r="F7032" s="63" t="s">
        <v>3615</v>
      </c>
      <c r="G7032" s="63" t="s">
        <v>20</v>
      </c>
      <c r="H7032" s="63" t="s">
        <v>189</v>
      </c>
      <c r="I7032" s="63" t="s">
        <v>21</v>
      </c>
      <c r="J7032" s="63" t="s">
        <v>23433</v>
      </c>
      <c r="K7032" s="63" t="s">
        <v>23434</v>
      </c>
      <c r="L7032" s="63" t="s">
        <v>21142</v>
      </c>
      <c r="M7032" s="63" t="s">
        <v>21</v>
      </c>
      <c r="O7032" s="62">
        <v>45609</v>
      </c>
      <c r="P7032" s="65" t="s">
        <v>21</v>
      </c>
      <c r="Q7032" s="66" t="b">
        <v>0</v>
      </c>
      <c r="R7032" s="22">
        <f t="shared" si="163"/>
        <v>6</v>
      </c>
      <c r="S7032" s="63" t="s">
        <v>21</v>
      </c>
    </row>
    <row r="7033" spans="1:19">
      <c r="A7033" s="64">
        <v>12624</v>
      </c>
      <c r="B7033" s="62">
        <v>45603</v>
      </c>
      <c r="C7033" s="63" t="s">
        <v>23435</v>
      </c>
      <c r="D7033" s="62">
        <v>45602</v>
      </c>
      <c r="E7033" s="63" t="s">
        <v>23436</v>
      </c>
      <c r="F7033" s="63" t="s">
        <v>85</v>
      </c>
      <c r="G7033" s="63" t="s">
        <v>20</v>
      </c>
      <c r="H7033" s="63" t="s">
        <v>71</v>
      </c>
      <c r="I7033" s="63" t="s">
        <v>21</v>
      </c>
      <c r="J7033" s="63" t="s">
        <v>23437</v>
      </c>
      <c r="K7033" s="63" t="s">
        <v>1349</v>
      </c>
      <c r="L7033" s="63" t="s">
        <v>21142</v>
      </c>
      <c r="M7033" s="63" t="s">
        <v>21</v>
      </c>
      <c r="O7033" s="62">
        <v>45649</v>
      </c>
      <c r="P7033" s="65" t="s">
        <v>21</v>
      </c>
      <c r="Q7033" s="66" t="b">
        <v>0</v>
      </c>
      <c r="R7033" s="22">
        <f t="shared" si="163"/>
        <v>46</v>
      </c>
      <c r="S7033" s="63" t="s">
        <v>21</v>
      </c>
    </row>
    <row r="7034" spans="1:19">
      <c r="A7034" s="64">
        <v>12626</v>
      </c>
      <c r="B7034" s="62">
        <v>45614</v>
      </c>
      <c r="C7034" s="63" t="s">
        <v>23438</v>
      </c>
      <c r="D7034" s="62">
        <v>45603</v>
      </c>
      <c r="E7034" s="63" t="s">
        <v>38</v>
      </c>
      <c r="F7034" s="63" t="s">
        <v>22767</v>
      </c>
      <c r="G7034" s="63" t="s">
        <v>189</v>
      </c>
      <c r="H7034" s="63" t="s">
        <v>71</v>
      </c>
      <c r="I7034" s="63" t="s">
        <v>21</v>
      </c>
      <c r="J7034" s="63" t="s">
        <v>23439</v>
      </c>
      <c r="K7034" s="63" t="s">
        <v>23440</v>
      </c>
      <c r="L7034" s="63" t="s">
        <v>21142</v>
      </c>
      <c r="M7034" s="63" t="s">
        <v>21</v>
      </c>
      <c r="O7034" s="62">
        <v>45608</v>
      </c>
      <c r="P7034" s="65" t="s">
        <v>21</v>
      </c>
      <c r="Q7034" s="66" t="b">
        <v>0</v>
      </c>
      <c r="R7034" s="22">
        <f t="shared" si="163"/>
        <v>6</v>
      </c>
      <c r="S7034" s="63" t="s">
        <v>21</v>
      </c>
    </row>
    <row r="7035" spans="1:19">
      <c r="A7035" s="64">
        <v>12627</v>
      </c>
      <c r="B7035" s="62">
        <v>45614</v>
      </c>
      <c r="C7035" s="63" t="s">
        <v>23441</v>
      </c>
      <c r="D7035" s="62">
        <v>45614</v>
      </c>
      <c r="E7035" s="63" t="s">
        <v>23442</v>
      </c>
      <c r="F7035" s="63" t="s">
        <v>9198</v>
      </c>
      <c r="G7035" s="63" t="s">
        <v>189</v>
      </c>
      <c r="H7035" s="63" t="s">
        <v>71</v>
      </c>
      <c r="I7035" s="63" t="s">
        <v>21</v>
      </c>
      <c r="J7035" s="63" t="s">
        <v>23443</v>
      </c>
      <c r="K7035" s="63" t="s">
        <v>23444</v>
      </c>
      <c r="L7035" s="63" t="s">
        <v>4282</v>
      </c>
      <c r="M7035" s="63" t="s">
        <v>21</v>
      </c>
      <c r="N7035" s="22"/>
      <c r="O7035" s="62">
        <v>45657</v>
      </c>
      <c r="P7035" s="65" t="s">
        <v>21</v>
      </c>
      <c r="Q7035" s="66" t="b">
        <v>0</v>
      </c>
      <c r="R7035" s="22">
        <f t="shared" si="163"/>
        <v>43</v>
      </c>
      <c r="S7035" s="63" t="s">
        <v>21</v>
      </c>
    </row>
    <row r="7036" spans="1:19">
      <c r="A7036" s="64">
        <v>12628</v>
      </c>
      <c r="B7036" s="62">
        <v>45614</v>
      </c>
      <c r="C7036" s="63" t="s">
        <v>23445</v>
      </c>
      <c r="D7036" s="62">
        <v>45614</v>
      </c>
      <c r="E7036" s="63" t="s">
        <v>23446</v>
      </c>
      <c r="F7036" s="63" t="s">
        <v>23204</v>
      </c>
      <c r="G7036" s="63" t="s">
        <v>189</v>
      </c>
      <c r="H7036" s="63" t="s">
        <v>566</v>
      </c>
      <c r="I7036" s="63" t="s">
        <v>21</v>
      </c>
      <c r="J7036" s="63" t="s">
        <v>23443</v>
      </c>
      <c r="K7036" s="63" t="s">
        <v>23444</v>
      </c>
      <c r="L7036" s="63" t="s">
        <v>4282</v>
      </c>
      <c r="M7036" s="63" t="s">
        <v>21</v>
      </c>
      <c r="N7036" s="22"/>
      <c r="O7036" s="62">
        <v>45645</v>
      </c>
      <c r="P7036" s="65" t="s">
        <v>21</v>
      </c>
      <c r="Q7036" s="66" t="b">
        <v>0</v>
      </c>
      <c r="R7036" s="22">
        <f t="shared" si="163"/>
        <v>31</v>
      </c>
      <c r="S7036" s="63" t="s">
        <v>21</v>
      </c>
    </row>
    <row r="7037" spans="1:19">
      <c r="A7037" s="64">
        <v>12629</v>
      </c>
      <c r="B7037" s="62">
        <v>45614</v>
      </c>
      <c r="C7037" s="63" t="s">
        <v>23447</v>
      </c>
      <c r="D7037" s="62">
        <v>45614</v>
      </c>
      <c r="E7037" s="63" t="s">
        <v>23448</v>
      </c>
      <c r="F7037" s="63" t="s">
        <v>4209</v>
      </c>
      <c r="G7037" s="63" t="s">
        <v>189</v>
      </c>
      <c r="H7037" s="63" t="s">
        <v>71</v>
      </c>
      <c r="I7037" s="63" t="s">
        <v>21</v>
      </c>
      <c r="J7037" s="63" t="s">
        <v>23443</v>
      </c>
      <c r="K7037" s="63" t="s">
        <v>23444</v>
      </c>
      <c r="L7037" s="63" t="s">
        <v>4282</v>
      </c>
      <c r="M7037" s="63" t="s">
        <v>21</v>
      </c>
      <c r="O7037" s="62">
        <v>45645</v>
      </c>
      <c r="P7037" s="65" t="s">
        <v>21</v>
      </c>
      <c r="Q7037" s="66" t="b">
        <v>0</v>
      </c>
      <c r="R7037" s="22">
        <f t="shared" si="163"/>
        <v>31</v>
      </c>
      <c r="S7037" s="63" t="s">
        <v>21</v>
      </c>
    </row>
    <row r="7038" spans="1:19">
      <c r="A7038" s="64">
        <v>12630</v>
      </c>
      <c r="B7038" s="62">
        <v>45614</v>
      </c>
      <c r="C7038" s="63" t="s">
        <v>23449</v>
      </c>
      <c r="D7038" s="62">
        <v>45614</v>
      </c>
      <c r="E7038" s="63" t="s">
        <v>23450</v>
      </c>
      <c r="F7038" s="63" t="s">
        <v>5091</v>
      </c>
      <c r="G7038" s="63" t="s">
        <v>189</v>
      </c>
      <c r="H7038" s="63" t="s">
        <v>189</v>
      </c>
      <c r="I7038" s="63" t="s">
        <v>21</v>
      </c>
      <c r="J7038" s="63" t="s">
        <v>23443</v>
      </c>
      <c r="K7038" s="63" t="s">
        <v>23444</v>
      </c>
      <c r="L7038" s="63" t="s">
        <v>4282</v>
      </c>
      <c r="M7038" s="63" t="s">
        <v>21</v>
      </c>
      <c r="O7038" s="62">
        <v>45645</v>
      </c>
      <c r="P7038" s="65" t="s">
        <v>21</v>
      </c>
      <c r="Q7038" s="66" t="b">
        <v>0</v>
      </c>
      <c r="R7038" s="22">
        <f t="shared" si="163"/>
        <v>31</v>
      </c>
      <c r="S7038" s="63" t="s">
        <v>21</v>
      </c>
    </row>
    <row r="7039" spans="1:19">
      <c r="A7039" s="64">
        <v>12631</v>
      </c>
      <c r="B7039" s="62">
        <v>45614</v>
      </c>
      <c r="C7039" s="63" t="s">
        <v>23451</v>
      </c>
      <c r="D7039" s="62">
        <v>45614</v>
      </c>
      <c r="E7039" s="63" t="s">
        <v>23452</v>
      </c>
      <c r="F7039" s="63" t="s">
        <v>23453</v>
      </c>
      <c r="G7039" s="63" t="s">
        <v>189</v>
      </c>
      <c r="H7039" s="63" t="s">
        <v>212</v>
      </c>
      <c r="I7039" s="63" t="s">
        <v>21</v>
      </c>
      <c r="J7039" s="63" t="s">
        <v>23443</v>
      </c>
      <c r="K7039" s="63" t="s">
        <v>23444</v>
      </c>
      <c r="L7039" s="63" t="s">
        <v>4282</v>
      </c>
      <c r="M7039" s="63" t="s">
        <v>21</v>
      </c>
      <c r="O7039" s="22"/>
      <c r="P7039" s="65" t="s">
        <v>21</v>
      </c>
      <c r="Q7039" s="66" t="b">
        <v>0</v>
      </c>
      <c r="R7039" s="66"/>
      <c r="S7039" s="63" t="s">
        <v>21</v>
      </c>
    </row>
    <row r="7040" spans="1:19">
      <c r="A7040" s="64">
        <v>12632</v>
      </c>
      <c r="B7040" s="62">
        <v>45615</v>
      </c>
      <c r="C7040" s="63" t="s">
        <v>23454</v>
      </c>
      <c r="D7040" s="62">
        <v>45614</v>
      </c>
      <c r="E7040" s="63" t="s">
        <v>23455</v>
      </c>
      <c r="F7040" s="63" t="s">
        <v>56</v>
      </c>
      <c r="G7040" s="63" t="s">
        <v>189</v>
      </c>
      <c r="H7040" s="63" t="s">
        <v>71</v>
      </c>
      <c r="I7040" s="63" t="s">
        <v>21</v>
      </c>
      <c r="J7040" s="63" t="s">
        <v>23456</v>
      </c>
      <c r="K7040" s="63" t="s">
        <v>23457</v>
      </c>
      <c r="L7040" s="63" t="s">
        <v>21142</v>
      </c>
      <c r="M7040" s="63" t="s">
        <v>21</v>
      </c>
      <c r="O7040" s="22"/>
      <c r="P7040" s="65" t="s">
        <v>21</v>
      </c>
      <c r="Q7040" s="66" t="b">
        <v>0</v>
      </c>
      <c r="R7040" s="66"/>
      <c r="S7040" s="63" t="s">
        <v>21</v>
      </c>
    </row>
    <row r="7041" spans="1:19">
      <c r="A7041" s="64">
        <v>12633</v>
      </c>
      <c r="B7041" s="62">
        <v>45615</v>
      </c>
      <c r="C7041" s="63" t="s">
        <v>23458</v>
      </c>
      <c r="D7041" s="62">
        <v>45614</v>
      </c>
      <c r="E7041" s="63" t="s">
        <v>23459</v>
      </c>
      <c r="F7041" s="63" t="s">
        <v>23460</v>
      </c>
      <c r="G7041" s="63" t="s">
        <v>189</v>
      </c>
      <c r="H7041" s="63" t="s">
        <v>71</v>
      </c>
      <c r="I7041" s="63" t="s">
        <v>21</v>
      </c>
      <c r="J7041" s="63" t="s">
        <v>23461</v>
      </c>
      <c r="K7041" s="63" t="s">
        <v>23462</v>
      </c>
      <c r="L7041" s="63" t="s">
        <v>21573</v>
      </c>
      <c r="M7041" s="63" t="s">
        <v>21</v>
      </c>
      <c r="O7041" s="22"/>
      <c r="P7041" s="65" t="s">
        <v>21</v>
      </c>
      <c r="Q7041" s="66" t="b">
        <v>0</v>
      </c>
      <c r="R7041" s="66"/>
      <c r="S7041" s="63" t="s">
        <v>21</v>
      </c>
    </row>
    <row r="7042" spans="1:19">
      <c r="A7042" s="64">
        <v>12635</v>
      </c>
      <c r="B7042" s="62">
        <v>45617</v>
      </c>
      <c r="C7042" s="63" t="s">
        <v>23463</v>
      </c>
      <c r="D7042" s="62">
        <v>45617</v>
      </c>
      <c r="E7042" s="63" t="s">
        <v>38</v>
      </c>
      <c r="F7042" s="63" t="s">
        <v>455</v>
      </c>
      <c r="G7042" s="63" t="s">
        <v>189</v>
      </c>
      <c r="H7042" s="63" t="s">
        <v>71</v>
      </c>
      <c r="I7042" s="63" t="s">
        <v>21</v>
      </c>
      <c r="J7042" s="63" t="s">
        <v>2542</v>
      </c>
      <c r="K7042" s="63" t="s">
        <v>23464</v>
      </c>
      <c r="L7042" s="63" t="s">
        <v>21142</v>
      </c>
      <c r="M7042" s="63" t="s">
        <v>21</v>
      </c>
      <c r="O7042" s="62">
        <v>45618</v>
      </c>
      <c r="P7042" s="65" t="s">
        <v>21</v>
      </c>
      <c r="Q7042" s="66" t="b">
        <v>0</v>
      </c>
      <c r="R7042" s="22">
        <f>IF(O7042=" ", " ", INT(YEARFRAC(O7042, B7042)*365))</f>
        <v>1</v>
      </c>
      <c r="S7042" s="63" t="s">
        <v>21</v>
      </c>
    </row>
    <row r="7043" spans="1:19">
      <c r="A7043" s="64">
        <v>12637</v>
      </c>
      <c r="B7043" s="62">
        <v>45623</v>
      </c>
      <c r="C7043" s="63" t="s">
        <v>23465</v>
      </c>
      <c r="D7043" s="62">
        <v>45622</v>
      </c>
      <c r="E7043" s="63" t="s">
        <v>23466</v>
      </c>
      <c r="F7043" s="63" t="s">
        <v>85</v>
      </c>
      <c r="G7043" s="63" t="s">
        <v>20</v>
      </c>
      <c r="H7043" s="63" t="s">
        <v>71</v>
      </c>
      <c r="I7043" s="63" t="s">
        <v>21</v>
      </c>
      <c r="J7043" s="63" t="s">
        <v>23467</v>
      </c>
      <c r="K7043" s="63" t="s">
        <v>23468</v>
      </c>
      <c r="L7043" s="63" t="s">
        <v>21243</v>
      </c>
      <c r="M7043" s="63" t="s">
        <v>21</v>
      </c>
      <c r="O7043" s="22"/>
      <c r="P7043" s="65" t="s">
        <v>21</v>
      </c>
      <c r="Q7043" s="66" t="b">
        <v>0</v>
      </c>
      <c r="R7043" s="66"/>
      <c r="S7043" s="63" t="s">
        <v>21</v>
      </c>
    </row>
    <row r="7044" spans="1:19">
      <c r="A7044" s="64">
        <v>12638</v>
      </c>
      <c r="B7044" s="62">
        <v>45629</v>
      </c>
      <c r="C7044" s="63" t="s">
        <v>23469</v>
      </c>
      <c r="D7044" s="62">
        <v>45628</v>
      </c>
      <c r="E7044" s="63" t="s">
        <v>23470</v>
      </c>
      <c r="F7044" s="63" t="s">
        <v>23471</v>
      </c>
      <c r="G7044" s="63" t="s">
        <v>189</v>
      </c>
      <c r="H7044" s="63" t="s">
        <v>71</v>
      </c>
      <c r="I7044" s="63" t="s">
        <v>21</v>
      </c>
      <c r="J7044" s="63" t="s">
        <v>7150</v>
      </c>
      <c r="K7044" s="63" t="s">
        <v>405</v>
      </c>
      <c r="L7044" s="63" t="s">
        <v>21243</v>
      </c>
      <c r="M7044" s="63" t="s">
        <v>21</v>
      </c>
      <c r="O7044" s="22"/>
      <c r="P7044" s="65" t="s">
        <v>21</v>
      </c>
      <c r="Q7044" s="66" t="b">
        <v>0</v>
      </c>
      <c r="R7044" s="66"/>
      <c r="S7044" s="63" t="s">
        <v>21</v>
      </c>
    </row>
    <row r="7045" spans="1:19">
      <c r="A7045" s="64">
        <v>12640</v>
      </c>
      <c r="B7045" s="62">
        <v>45629</v>
      </c>
      <c r="C7045" s="63" t="s">
        <v>23476</v>
      </c>
      <c r="D7045" s="62">
        <v>45628</v>
      </c>
      <c r="E7045" s="63" t="s">
        <v>23477</v>
      </c>
      <c r="F7045" s="63" t="s">
        <v>22767</v>
      </c>
      <c r="G7045" s="63" t="s">
        <v>189</v>
      </c>
      <c r="H7045" s="63" t="s">
        <v>71</v>
      </c>
      <c r="I7045" s="63" t="s">
        <v>21</v>
      </c>
      <c r="J7045" s="63" t="s">
        <v>16399</v>
      </c>
      <c r="K7045" s="63" t="s">
        <v>23478</v>
      </c>
      <c r="L7045" s="63" t="s">
        <v>21243</v>
      </c>
      <c r="M7045" s="63" t="s">
        <v>21</v>
      </c>
      <c r="O7045" s="22"/>
      <c r="P7045" s="65" t="s">
        <v>21</v>
      </c>
      <c r="Q7045" s="66" t="b">
        <v>0</v>
      </c>
      <c r="R7045" s="66"/>
      <c r="S7045" s="63" t="s">
        <v>21</v>
      </c>
    </row>
    <row r="7046" spans="1:19" ht="24">
      <c r="A7046" s="64">
        <v>12639</v>
      </c>
      <c r="B7046" s="62">
        <v>45631</v>
      </c>
      <c r="C7046" s="63" t="s">
        <v>23472</v>
      </c>
      <c r="D7046" s="62">
        <v>45630</v>
      </c>
      <c r="E7046" s="63" t="s">
        <v>23473</v>
      </c>
      <c r="F7046" s="63" t="s">
        <v>228</v>
      </c>
      <c r="G7046" s="63" t="s">
        <v>189</v>
      </c>
      <c r="H7046" s="63" t="s">
        <v>71</v>
      </c>
      <c r="I7046" s="63" t="s">
        <v>21</v>
      </c>
      <c r="J7046" s="63" t="s">
        <v>23474</v>
      </c>
      <c r="K7046" s="63" t="s">
        <v>23475</v>
      </c>
      <c r="L7046" s="63" t="s">
        <v>22185</v>
      </c>
      <c r="M7046" s="63" t="s">
        <v>21</v>
      </c>
      <c r="O7046" s="22"/>
      <c r="P7046" s="65" t="s">
        <v>21</v>
      </c>
      <c r="Q7046" s="66" t="b">
        <v>0</v>
      </c>
      <c r="R7046" s="66"/>
      <c r="S7046" s="63" t="s">
        <v>23404</v>
      </c>
    </row>
    <row r="7047" spans="1:19">
      <c r="A7047" s="64">
        <v>12641</v>
      </c>
      <c r="B7047" s="62">
        <v>45631</v>
      </c>
      <c r="C7047" s="63" t="s">
        <v>23479</v>
      </c>
      <c r="D7047" s="62">
        <v>45630</v>
      </c>
      <c r="E7047" s="63" t="s">
        <v>23480</v>
      </c>
      <c r="F7047" s="63" t="s">
        <v>23481</v>
      </c>
      <c r="G7047" s="63" t="s">
        <v>189</v>
      </c>
      <c r="H7047" s="63" t="s">
        <v>71</v>
      </c>
      <c r="I7047" s="63" t="s">
        <v>21</v>
      </c>
      <c r="J7047" s="63" t="s">
        <v>23482</v>
      </c>
      <c r="K7047" s="63" t="s">
        <v>23483</v>
      </c>
      <c r="L7047" s="63" t="s">
        <v>21142</v>
      </c>
      <c r="M7047" s="63" t="s">
        <v>21</v>
      </c>
      <c r="O7047" s="22"/>
      <c r="P7047" s="65" t="s">
        <v>21</v>
      </c>
      <c r="Q7047" s="66" t="b">
        <v>0</v>
      </c>
      <c r="R7047" s="66"/>
      <c r="S7047" s="63" t="s">
        <v>21</v>
      </c>
    </row>
    <row r="7048" spans="1:19">
      <c r="A7048" s="64">
        <v>12642</v>
      </c>
      <c r="B7048" s="62">
        <v>45635</v>
      </c>
      <c r="C7048" s="63" t="s">
        <v>23484</v>
      </c>
      <c r="D7048" s="62">
        <v>45631</v>
      </c>
      <c r="E7048" s="63" t="s">
        <v>23485</v>
      </c>
      <c r="F7048" s="63" t="s">
        <v>861</v>
      </c>
      <c r="G7048" s="63" t="s">
        <v>189</v>
      </c>
      <c r="H7048" s="63" t="s">
        <v>566</v>
      </c>
      <c r="I7048" s="63" t="s">
        <v>21</v>
      </c>
      <c r="J7048" s="63" t="s">
        <v>23486</v>
      </c>
      <c r="K7048" s="63" t="s">
        <v>23487</v>
      </c>
      <c r="L7048" s="63" t="s">
        <v>22185</v>
      </c>
      <c r="M7048" s="63" t="s">
        <v>21</v>
      </c>
      <c r="O7048" s="62">
        <v>45660</v>
      </c>
      <c r="P7048" s="65" t="s">
        <v>21</v>
      </c>
      <c r="Q7048" s="66" t="b">
        <v>0</v>
      </c>
      <c r="R7048" s="22">
        <f>IF(O7048=" ", " ", INT(YEARFRAC(O7048, B7048)*365))</f>
        <v>24</v>
      </c>
      <c r="S7048" s="63" t="s">
        <v>21</v>
      </c>
    </row>
    <row r="7049" spans="1:19">
      <c r="A7049" s="64">
        <v>12643</v>
      </c>
      <c r="B7049" s="62">
        <v>45635</v>
      </c>
      <c r="C7049" s="63" t="s">
        <v>23488</v>
      </c>
      <c r="D7049" s="62">
        <v>45632</v>
      </c>
      <c r="E7049" s="63" t="s">
        <v>23489</v>
      </c>
      <c r="F7049" s="63" t="s">
        <v>6456</v>
      </c>
      <c r="G7049" s="63" t="s">
        <v>189</v>
      </c>
      <c r="H7049" s="63" t="s">
        <v>189</v>
      </c>
      <c r="I7049" s="63" t="s">
        <v>21</v>
      </c>
      <c r="J7049" s="63" t="s">
        <v>23490</v>
      </c>
      <c r="K7049" s="63" t="s">
        <v>23491</v>
      </c>
      <c r="L7049" s="63" t="s">
        <v>22185</v>
      </c>
      <c r="M7049" s="63" t="s">
        <v>21</v>
      </c>
      <c r="O7049" s="22"/>
      <c r="P7049" s="65" t="s">
        <v>21</v>
      </c>
      <c r="Q7049" s="66" t="b">
        <v>0</v>
      </c>
      <c r="R7049" s="66"/>
      <c r="S7049" s="63" t="s">
        <v>21</v>
      </c>
    </row>
    <row r="7050" spans="1:19">
      <c r="A7050" s="64">
        <v>12644</v>
      </c>
      <c r="B7050" s="62">
        <v>45642</v>
      </c>
      <c r="C7050" s="63" t="s">
        <v>23492</v>
      </c>
      <c r="D7050" s="62">
        <v>45639</v>
      </c>
      <c r="E7050" s="63" t="s">
        <v>23493</v>
      </c>
      <c r="F7050" s="63" t="s">
        <v>8605</v>
      </c>
      <c r="G7050" s="63" t="s">
        <v>189</v>
      </c>
      <c r="H7050" s="63" t="s">
        <v>212</v>
      </c>
      <c r="I7050" s="63" t="s">
        <v>21</v>
      </c>
      <c r="J7050" s="63" t="s">
        <v>23494</v>
      </c>
      <c r="K7050" s="63" t="s">
        <v>23495</v>
      </c>
      <c r="L7050" s="63" t="s">
        <v>21142</v>
      </c>
      <c r="M7050" s="63" t="s">
        <v>21</v>
      </c>
      <c r="O7050" s="62">
        <v>45649</v>
      </c>
      <c r="P7050" s="65" t="s">
        <v>21</v>
      </c>
      <c r="Q7050" s="66" t="b">
        <v>0</v>
      </c>
      <c r="R7050" s="22">
        <f>IF(O7050=" ", " ", INT(YEARFRAC(O7050, B7050)*365))</f>
        <v>7</v>
      </c>
      <c r="S7050" s="63" t="s">
        <v>21</v>
      </c>
    </row>
    <row r="7051" spans="1:19">
      <c r="A7051" s="64">
        <v>12645</v>
      </c>
      <c r="B7051" s="62">
        <v>45642</v>
      </c>
      <c r="C7051" s="63" t="s">
        <v>23496</v>
      </c>
      <c r="D7051" s="62">
        <v>45639</v>
      </c>
      <c r="E7051" s="63" t="s">
        <v>23497</v>
      </c>
      <c r="F7051" s="63" t="s">
        <v>8358</v>
      </c>
      <c r="G7051" s="63" t="s">
        <v>189</v>
      </c>
      <c r="H7051" s="63" t="s">
        <v>71</v>
      </c>
      <c r="I7051" s="63" t="s">
        <v>21</v>
      </c>
      <c r="J7051" s="63" t="s">
        <v>23498</v>
      </c>
      <c r="K7051" s="63" t="s">
        <v>23499</v>
      </c>
      <c r="L7051" s="63" t="s">
        <v>21243</v>
      </c>
      <c r="M7051" s="63" t="s">
        <v>21</v>
      </c>
      <c r="O7051" s="22"/>
      <c r="P7051" s="65" t="s">
        <v>21</v>
      </c>
      <c r="Q7051" s="66" t="b">
        <v>0</v>
      </c>
      <c r="R7051" s="66"/>
      <c r="S7051" s="63" t="s">
        <v>21</v>
      </c>
    </row>
    <row r="7052" spans="1:19">
      <c r="A7052" s="64">
        <v>12646</v>
      </c>
      <c r="B7052" s="62">
        <v>45642</v>
      </c>
      <c r="C7052" s="63" t="s">
        <v>23500</v>
      </c>
      <c r="D7052" s="62">
        <v>45642</v>
      </c>
      <c r="E7052" s="63" t="s">
        <v>23501</v>
      </c>
      <c r="F7052" s="63" t="s">
        <v>9198</v>
      </c>
      <c r="G7052" s="63" t="s">
        <v>189</v>
      </c>
      <c r="H7052" s="63" t="s">
        <v>21</v>
      </c>
      <c r="I7052" s="63" t="s">
        <v>21</v>
      </c>
      <c r="J7052" s="63" t="s">
        <v>6193</v>
      </c>
      <c r="K7052" s="63" t="s">
        <v>23502</v>
      </c>
      <c r="L7052" s="63" t="s">
        <v>21142</v>
      </c>
      <c r="M7052" s="63" t="s">
        <v>21</v>
      </c>
      <c r="O7052" s="22"/>
      <c r="P7052" s="65" t="s">
        <v>21</v>
      </c>
      <c r="Q7052" s="66" t="b">
        <v>0</v>
      </c>
      <c r="R7052" s="66"/>
      <c r="S7052" s="63" t="s">
        <v>21</v>
      </c>
    </row>
    <row r="7053" spans="1:19">
      <c r="A7053" s="64">
        <v>12647</v>
      </c>
      <c r="B7053" s="62">
        <v>45644</v>
      </c>
      <c r="C7053" s="63" t="s">
        <v>23503</v>
      </c>
      <c r="D7053" s="62">
        <v>45643</v>
      </c>
      <c r="E7053" s="63" t="s">
        <v>23504</v>
      </c>
      <c r="F7053" s="63" t="s">
        <v>23107</v>
      </c>
      <c r="G7053" s="63" t="s">
        <v>189</v>
      </c>
      <c r="H7053" s="63" t="s">
        <v>71</v>
      </c>
      <c r="I7053" s="63" t="s">
        <v>21</v>
      </c>
      <c r="J7053" s="63" t="s">
        <v>23505</v>
      </c>
      <c r="K7053" s="63" t="s">
        <v>23506</v>
      </c>
      <c r="L7053" s="63" t="s">
        <v>21243</v>
      </c>
      <c r="M7053" s="63" t="s">
        <v>21</v>
      </c>
      <c r="O7053" s="22"/>
      <c r="P7053" s="65" t="s">
        <v>21</v>
      </c>
      <c r="Q7053" s="66" t="b">
        <v>0</v>
      </c>
      <c r="R7053" s="66"/>
      <c r="S7053" s="63" t="s">
        <v>21</v>
      </c>
    </row>
    <row r="7054" spans="1:19">
      <c r="A7054" s="64">
        <v>12648</v>
      </c>
      <c r="B7054" s="62">
        <v>45653</v>
      </c>
      <c r="C7054" s="63" t="s">
        <v>23507</v>
      </c>
      <c r="D7054" s="62">
        <v>45653</v>
      </c>
      <c r="E7054" s="63" t="s">
        <v>23508</v>
      </c>
      <c r="F7054" s="63" t="s">
        <v>565</v>
      </c>
      <c r="G7054" s="63" t="s">
        <v>189</v>
      </c>
      <c r="H7054" s="63" t="s">
        <v>566</v>
      </c>
      <c r="I7054" s="63" t="s">
        <v>21</v>
      </c>
      <c r="J7054" s="63" t="s">
        <v>23509</v>
      </c>
      <c r="K7054" s="63" t="s">
        <v>6193</v>
      </c>
      <c r="L7054" s="63" t="s">
        <v>22185</v>
      </c>
      <c r="M7054" s="63" t="s">
        <v>21</v>
      </c>
      <c r="O7054" s="22"/>
      <c r="P7054" s="65" t="s">
        <v>21</v>
      </c>
      <c r="Q7054" s="66" t="b">
        <v>0</v>
      </c>
      <c r="R7054" s="66"/>
      <c r="S7054" s="63" t="s">
        <v>21</v>
      </c>
    </row>
    <row r="7055" spans="1:19">
      <c r="A7055" s="64">
        <v>12649</v>
      </c>
      <c r="B7055" s="62">
        <v>45653</v>
      </c>
      <c r="C7055" s="63" t="s">
        <v>23510</v>
      </c>
      <c r="D7055" s="62">
        <v>45653</v>
      </c>
      <c r="E7055" s="63" t="s">
        <v>23511</v>
      </c>
      <c r="F7055" s="63" t="s">
        <v>22767</v>
      </c>
      <c r="G7055" s="63" t="s">
        <v>189</v>
      </c>
      <c r="H7055" s="63" t="s">
        <v>71</v>
      </c>
      <c r="I7055" s="63" t="s">
        <v>21</v>
      </c>
      <c r="J7055" s="63" t="s">
        <v>23512</v>
      </c>
      <c r="K7055" s="63" t="s">
        <v>23513</v>
      </c>
      <c r="L7055" s="63" t="s">
        <v>21142</v>
      </c>
      <c r="M7055" s="63" t="s">
        <v>21</v>
      </c>
      <c r="O7055" s="22"/>
      <c r="P7055" s="65" t="s">
        <v>21</v>
      </c>
      <c r="Q7055" s="66" t="b">
        <v>0</v>
      </c>
      <c r="R7055" s="66"/>
      <c r="S7055" s="63" t="s">
        <v>21</v>
      </c>
    </row>
    <row r="7056" spans="1:19">
      <c r="A7056" s="64">
        <v>12650</v>
      </c>
      <c r="B7056" s="62">
        <v>45656</v>
      </c>
      <c r="C7056" s="63" t="s">
        <v>23514</v>
      </c>
      <c r="D7056" s="62">
        <v>45656</v>
      </c>
      <c r="E7056" s="63" t="s">
        <v>23515</v>
      </c>
      <c r="F7056" s="63" t="s">
        <v>22916</v>
      </c>
      <c r="G7056" s="63" t="s">
        <v>20</v>
      </c>
      <c r="H7056" s="63" t="s">
        <v>71</v>
      </c>
      <c r="I7056" s="63" t="s">
        <v>21</v>
      </c>
      <c r="J7056" s="63" t="s">
        <v>23516</v>
      </c>
      <c r="K7056" s="63" t="s">
        <v>23517</v>
      </c>
      <c r="L7056" s="63" t="s">
        <v>21573</v>
      </c>
      <c r="M7056" s="63" t="s">
        <v>21</v>
      </c>
      <c r="O7056" s="22"/>
      <c r="P7056" s="65" t="s">
        <v>21</v>
      </c>
      <c r="Q7056" s="66" t="b">
        <v>0</v>
      </c>
      <c r="R7056" s="66"/>
      <c r="S7056" s="63" t="s">
        <v>21</v>
      </c>
    </row>
    <row r="7057" spans="1:19">
      <c r="A7057" s="64">
        <v>12651</v>
      </c>
      <c r="B7057" s="62">
        <v>45657</v>
      </c>
      <c r="C7057" s="63" t="s">
        <v>23518</v>
      </c>
      <c r="D7057" s="62">
        <v>45657</v>
      </c>
      <c r="E7057" s="63" t="s">
        <v>23519</v>
      </c>
      <c r="F7057" s="63" t="s">
        <v>52</v>
      </c>
      <c r="G7057" s="63" t="s">
        <v>20</v>
      </c>
      <c r="H7057" s="63" t="s">
        <v>71</v>
      </c>
      <c r="I7057" s="63" t="s">
        <v>21</v>
      </c>
      <c r="J7057" s="63" t="s">
        <v>23520</v>
      </c>
      <c r="K7057" s="63" t="s">
        <v>23521</v>
      </c>
      <c r="L7057" s="63" t="s">
        <v>4282</v>
      </c>
      <c r="M7057" s="63" t="s">
        <v>21</v>
      </c>
      <c r="O7057" s="22"/>
      <c r="P7057" s="65" t="s">
        <v>21</v>
      </c>
      <c r="Q7057" s="66" t="b">
        <v>0</v>
      </c>
      <c r="R7057" s="66"/>
      <c r="S7057" s="63" t="s">
        <v>21</v>
      </c>
    </row>
    <row r="7058" spans="1:19">
      <c r="A7058" s="64">
        <v>12652</v>
      </c>
      <c r="B7058" s="62">
        <v>45657</v>
      </c>
      <c r="C7058" s="63" t="s">
        <v>23522</v>
      </c>
      <c r="D7058" s="62">
        <v>45657</v>
      </c>
      <c r="E7058" s="63" t="s">
        <v>38</v>
      </c>
      <c r="F7058" s="63" t="s">
        <v>455</v>
      </c>
      <c r="G7058" s="63" t="s">
        <v>20</v>
      </c>
      <c r="H7058" s="63" t="s">
        <v>71</v>
      </c>
      <c r="I7058" s="63" t="s">
        <v>21</v>
      </c>
      <c r="J7058" s="63" t="s">
        <v>23523</v>
      </c>
      <c r="K7058" s="63" t="s">
        <v>23524</v>
      </c>
      <c r="L7058" s="63" t="s">
        <v>21142</v>
      </c>
      <c r="M7058" s="63" t="s">
        <v>21</v>
      </c>
      <c r="O7058" s="62">
        <v>45663</v>
      </c>
      <c r="P7058" s="65" t="s">
        <v>21</v>
      </c>
      <c r="Q7058" s="66" t="b">
        <v>0</v>
      </c>
      <c r="R7058" s="22">
        <f>IF(O7058=" ", " ", INT(YEARFRAC(O7058, B7058)*365))</f>
        <v>6</v>
      </c>
      <c r="S7058" s="63" t="s">
        <v>21</v>
      </c>
    </row>
    <row r="7059" spans="1:19">
      <c r="A7059" s="64">
        <v>12653</v>
      </c>
      <c r="B7059" s="62">
        <v>45657</v>
      </c>
      <c r="C7059" s="63" t="s">
        <v>23525</v>
      </c>
      <c r="D7059" s="62">
        <v>45657</v>
      </c>
      <c r="E7059" s="63" t="s">
        <v>38</v>
      </c>
      <c r="F7059" s="63" t="s">
        <v>23526</v>
      </c>
      <c r="G7059" s="63" t="s">
        <v>20</v>
      </c>
      <c r="H7059" s="63" t="s">
        <v>71</v>
      </c>
      <c r="I7059" s="63" t="s">
        <v>21</v>
      </c>
      <c r="J7059" s="63" t="s">
        <v>23527</v>
      </c>
      <c r="K7059" s="63" t="s">
        <v>23528</v>
      </c>
      <c r="L7059" s="63" t="s">
        <v>21573</v>
      </c>
      <c r="M7059" s="63" t="s">
        <v>21</v>
      </c>
      <c r="O7059" s="45">
        <v>45663</v>
      </c>
      <c r="P7059" s="65" t="s">
        <v>21</v>
      </c>
      <c r="Q7059" s="66" t="b">
        <v>0</v>
      </c>
      <c r="R7059" s="22">
        <f>IF(O7059=" ", " ", INT(YEARFRAC(O7059, B7059)*365))</f>
        <v>6</v>
      </c>
      <c r="S7059" s="63" t="s">
        <v>21</v>
      </c>
    </row>
    <row r="7060" spans="1:19">
      <c r="A7060" s="64">
        <v>12654</v>
      </c>
      <c r="B7060" s="62">
        <v>45659</v>
      </c>
      <c r="C7060" s="63" t="s">
        <v>23529</v>
      </c>
      <c r="D7060" s="62">
        <v>45659</v>
      </c>
      <c r="E7060" s="63" t="s">
        <v>1928</v>
      </c>
      <c r="F7060" s="63" t="s">
        <v>1743</v>
      </c>
      <c r="G7060" s="63" t="s">
        <v>189</v>
      </c>
      <c r="H7060" s="63" t="s">
        <v>71</v>
      </c>
      <c r="I7060" s="63" t="s">
        <v>21</v>
      </c>
      <c r="J7060" s="63" t="s">
        <v>23530</v>
      </c>
      <c r="K7060" s="63" t="s">
        <v>23531</v>
      </c>
      <c r="L7060" s="63" t="s">
        <v>4282</v>
      </c>
      <c r="M7060" s="63" t="s">
        <v>21</v>
      </c>
      <c r="N7060" s="45">
        <v>45674</v>
      </c>
      <c r="P7060" s="65" t="s">
        <v>21</v>
      </c>
      <c r="Q7060" s="66" t="b">
        <v>0</v>
      </c>
      <c r="R7060" s="66"/>
      <c r="S7060" s="63" t="s">
        <v>21</v>
      </c>
    </row>
    <row r="7061" spans="1:19" ht="24">
      <c r="A7061" s="64">
        <v>12655</v>
      </c>
      <c r="B7061" s="62">
        <v>45659</v>
      </c>
      <c r="C7061" s="63" t="s">
        <v>23532</v>
      </c>
      <c r="D7061" s="62">
        <v>45659</v>
      </c>
      <c r="E7061" s="63" t="s">
        <v>23533</v>
      </c>
      <c r="F7061" s="63" t="s">
        <v>8605</v>
      </c>
      <c r="G7061" s="63" t="s">
        <v>189</v>
      </c>
      <c r="H7061" s="63" t="s">
        <v>212</v>
      </c>
      <c r="I7061" s="63" t="s">
        <v>21</v>
      </c>
      <c r="J7061" s="63" t="s">
        <v>23534</v>
      </c>
      <c r="K7061" s="63" t="s">
        <v>20489</v>
      </c>
      <c r="L7061" s="63" t="s">
        <v>21243</v>
      </c>
      <c r="M7061" s="63" t="s">
        <v>21</v>
      </c>
      <c r="P7061" s="65" t="s">
        <v>21</v>
      </c>
      <c r="Q7061" s="66" t="b">
        <v>0</v>
      </c>
      <c r="R7061" s="66"/>
      <c r="S7061" s="63" t="s">
        <v>23493</v>
      </c>
    </row>
    <row r="7062" spans="1:19">
      <c r="A7062" s="64">
        <v>12656</v>
      </c>
      <c r="B7062" s="62">
        <v>45663</v>
      </c>
      <c r="C7062" s="63" t="s">
        <v>23535</v>
      </c>
      <c r="D7062" s="62">
        <v>45660</v>
      </c>
      <c r="E7062" s="63" t="s">
        <v>1928</v>
      </c>
      <c r="F7062" s="63" t="s">
        <v>1743</v>
      </c>
      <c r="G7062" s="63" t="s">
        <v>189</v>
      </c>
      <c r="H7062" s="63" t="s">
        <v>71</v>
      </c>
      <c r="I7062" s="63" t="s">
        <v>21</v>
      </c>
      <c r="J7062" s="63" t="s">
        <v>23536</v>
      </c>
      <c r="K7062" s="63" t="s">
        <v>23537</v>
      </c>
      <c r="L7062" s="63" t="s">
        <v>21142</v>
      </c>
      <c r="M7062" s="63" t="s">
        <v>21</v>
      </c>
      <c r="N7062" s="45">
        <v>45674</v>
      </c>
      <c r="P7062" s="65" t="s">
        <v>21</v>
      </c>
      <c r="Q7062" s="66" t="b">
        <v>0</v>
      </c>
      <c r="R7062" s="66"/>
      <c r="S7062" s="63" t="s">
        <v>21</v>
      </c>
    </row>
    <row r="7063" spans="1:19">
      <c r="A7063" s="64">
        <v>12657</v>
      </c>
      <c r="B7063" s="62">
        <v>45663</v>
      </c>
      <c r="C7063" s="63" t="s">
        <v>23538</v>
      </c>
      <c r="D7063" s="62">
        <v>45663</v>
      </c>
      <c r="E7063" s="63" t="s">
        <v>23539</v>
      </c>
      <c r="F7063" s="63" t="s">
        <v>70</v>
      </c>
      <c r="G7063" s="63" t="s">
        <v>189</v>
      </c>
      <c r="H7063" s="63" t="s">
        <v>71</v>
      </c>
      <c r="I7063" s="63" t="s">
        <v>21</v>
      </c>
      <c r="J7063" s="63" t="s">
        <v>859</v>
      </c>
      <c r="K7063" s="63" t="s">
        <v>22785</v>
      </c>
      <c r="L7063" s="63" t="s">
        <v>22185</v>
      </c>
      <c r="M7063" s="63" t="s">
        <v>21</v>
      </c>
      <c r="P7063" s="65" t="s">
        <v>21</v>
      </c>
      <c r="Q7063" s="66" t="b">
        <v>0</v>
      </c>
      <c r="R7063" s="66"/>
      <c r="S7063" s="63" t="s">
        <v>21</v>
      </c>
    </row>
    <row r="7064" spans="1:19">
      <c r="A7064" s="64">
        <v>12658</v>
      </c>
      <c r="B7064" s="62">
        <v>45663</v>
      </c>
      <c r="C7064" s="63" t="s">
        <v>23540</v>
      </c>
      <c r="D7064" s="62">
        <v>45660</v>
      </c>
      <c r="E7064" s="63" t="s">
        <v>23541</v>
      </c>
      <c r="F7064" s="63" t="s">
        <v>1771</v>
      </c>
      <c r="G7064" s="63" t="s">
        <v>189</v>
      </c>
      <c r="H7064" s="63" t="s">
        <v>189</v>
      </c>
      <c r="I7064" s="63" t="s">
        <v>21</v>
      </c>
      <c r="J7064" s="63" t="s">
        <v>23542</v>
      </c>
      <c r="K7064" s="63" t="s">
        <v>16729</v>
      </c>
      <c r="L7064" s="63" t="s">
        <v>21243</v>
      </c>
      <c r="M7064" s="63" t="s">
        <v>21</v>
      </c>
      <c r="P7064" s="65" t="s">
        <v>21</v>
      </c>
      <c r="Q7064" s="66" t="b">
        <v>0</v>
      </c>
      <c r="R7064" s="66"/>
      <c r="S7064" s="63" t="s">
        <v>21</v>
      </c>
    </row>
  </sheetData>
  <sortState xmlns:xlrd2="http://schemas.microsoft.com/office/spreadsheetml/2017/richdata2" ref="A2:T7064">
    <sortCondition ref="B2:B7064"/>
  </sortState>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C6BDF-1538-CF47-87F8-7892D2C3D6C2}">
  <dimension ref="A1:BF327"/>
  <sheetViews>
    <sheetView workbookViewId="0"/>
  </sheetViews>
  <sheetFormatPr baseColWidth="10" defaultRowHeight="15"/>
  <cols>
    <col min="1" max="1" width="28.6640625" customWidth="1"/>
    <col min="2" max="2" width="68.83203125" customWidth="1"/>
  </cols>
  <sheetData>
    <row r="1" spans="1:58" ht="15" customHeight="1">
      <c r="A1" t="s">
        <v>17292</v>
      </c>
      <c r="B1" t="s">
        <v>16796</v>
      </c>
      <c r="C1" t="s">
        <v>19940</v>
      </c>
      <c r="D1" t="s">
        <v>16821</v>
      </c>
      <c r="E1" t="s">
        <v>16822</v>
      </c>
      <c r="F1" t="s">
        <v>16823</v>
      </c>
      <c r="G1" s="1" t="s">
        <v>19941</v>
      </c>
      <c r="H1" t="s">
        <v>16825</v>
      </c>
      <c r="I1" s="1" t="s">
        <v>19942</v>
      </c>
      <c r="J1" s="1" t="s">
        <v>19943</v>
      </c>
      <c r="K1" t="s">
        <v>16828</v>
      </c>
      <c r="L1" t="s">
        <v>16829</v>
      </c>
      <c r="M1" t="s">
        <v>16830</v>
      </c>
      <c r="N1" s="1" t="s">
        <v>19944</v>
      </c>
      <c r="O1" t="s">
        <v>16832</v>
      </c>
      <c r="P1" t="s">
        <v>16833</v>
      </c>
      <c r="Q1" s="1" t="s">
        <v>19945</v>
      </c>
      <c r="R1" s="1" t="s">
        <v>19946</v>
      </c>
      <c r="S1" s="1" t="s">
        <v>19947</v>
      </c>
      <c r="T1" t="s">
        <v>19948</v>
      </c>
      <c r="U1" s="1" t="s">
        <v>19949</v>
      </c>
      <c r="V1" s="1" t="s">
        <v>19950</v>
      </c>
      <c r="W1" s="1" t="s">
        <v>19951</v>
      </c>
      <c r="X1" t="s">
        <v>16841</v>
      </c>
      <c r="Y1" s="1" t="s">
        <v>19952</v>
      </c>
      <c r="Z1" s="1" t="s">
        <v>19953</v>
      </c>
      <c r="AA1" t="s">
        <v>16844</v>
      </c>
      <c r="AB1" s="1" t="s">
        <v>19954</v>
      </c>
      <c r="AC1" s="1" t="s">
        <v>19955</v>
      </c>
      <c r="AD1" s="1" t="s">
        <v>19956</v>
      </c>
      <c r="AE1" t="s">
        <v>16848</v>
      </c>
      <c r="AF1" s="1" t="s">
        <v>19957</v>
      </c>
      <c r="AG1" s="1" t="s">
        <v>19958</v>
      </c>
      <c r="AH1" s="1" t="s">
        <v>19959</v>
      </c>
      <c r="AI1" t="s">
        <v>16852</v>
      </c>
      <c r="AJ1" t="s">
        <v>16853</v>
      </c>
      <c r="AK1" t="s">
        <v>16854</v>
      </c>
      <c r="AL1" t="s">
        <v>16855</v>
      </c>
      <c r="AM1" t="s">
        <v>18775</v>
      </c>
      <c r="AN1" t="s">
        <v>19324</v>
      </c>
      <c r="AO1" t="s">
        <v>18777</v>
      </c>
      <c r="AP1" t="s">
        <v>18778</v>
      </c>
      <c r="AQ1" t="s">
        <v>18779</v>
      </c>
      <c r="AR1" t="s">
        <v>18780</v>
      </c>
      <c r="AS1" t="s">
        <v>18781</v>
      </c>
      <c r="AT1" t="s">
        <v>16856</v>
      </c>
      <c r="AU1" t="s">
        <v>16857</v>
      </c>
      <c r="AV1" t="s">
        <v>16858</v>
      </c>
      <c r="AW1" t="s">
        <v>19960</v>
      </c>
      <c r="AX1" t="s">
        <v>16860</v>
      </c>
      <c r="AY1" t="s">
        <v>16861</v>
      </c>
      <c r="AZ1" t="s">
        <v>16862</v>
      </c>
      <c r="BA1" t="s">
        <v>16863</v>
      </c>
      <c r="BB1" t="s">
        <v>16864</v>
      </c>
      <c r="BC1" t="s">
        <v>16865</v>
      </c>
      <c r="BD1" t="s">
        <v>16866</v>
      </c>
      <c r="BE1" t="s">
        <v>16867</v>
      </c>
      <c r="BF1" t="s">
        <v>18782</v>
      </c>
    </row>
    <row r="2" spans="1:58">
      <c r="A2" t="s">
        <v>16869</v>
      </c>
      <c r="B2" t="s">
        <v>17346</v>
      </c>
      <c r="C2">
        <v>0</v>
      </c>
      <c r="D2">
        <v>2</v>
      </c>
      <c r="E2">
        <v>2</v>
      </c>
      <c r="F2">
        <v>1</v>
      </c>
      <c r="G2">
        <v>0</v>
      </c>
      <c r="H2">
        <v>0</v>
      </c>
      <c r="I2">
        <v>0</v>
      </c>
      <c r="J2">
        <v>2</v>
      </c>
      <c r="K2">
        <v>22</v>
      </c>
      <c r="L2">
        <v>2</v>
      </c>
      <c r="M2">
        <v>0</v>
      </c>
      <c r="N2">
        <v>0</v>
      </c>
      <c r="O2">
        <v>0</v>
      </c>
      <c r="P2">
        <v>0</v>
      </c>
      <c r="Q2">
        <v>0</v>
      </c>
      <c r="R2">
        <v>0</v>
      </c>
      <c r="S2">
        <v>1.75</v>
      </c>
      <c r="T2">
        <v>1.75</v>
      </c>
      <c r="U2">
        <v>0</v>
      </c>
      <c r="V2">
        <v>3.5</v>
      </c>
      <c r="W2">
        <v>52.5</v>
      </c>
      <c r="X2">
        <v>0</v>
      </c>
      <c r="Y2">
        <v>2</v>
      </c>
      <c r="Z2">
        <v>0</v>
      </c>
      <c r="AA2">
        <v>0</v>
      </c>
      <c r="AB2">
        <v>0</v>
      </c>
      <c r="AC2">
        <v>0</v>
      </c>
      <c r="AD2">
        <v>0</v>
      </c>
      <c r="AE2">
        <v>0</v>
      </c>
      <c r="AF2">
        <v>0</v>
      </c>
      <c r="AG2">
        <v>52.5</v>
      </c>
      <c r="AH2">
        <v>52.5</v>
      </c>
      <c r="AI2">
        <v>0</v>
      </c>
      <c r="AJ2">
        <v>0</v>
      </c>
      <c r="AK2">
        <v>0</v>
      </c>
      <c r="AL2">
        <v>0</v>
      </c>
      <c r="AM2">
        <v>0</v>
      </c>
      <c r="AN2">
        <v>0</v>
      </c>
      <c r="AO2">
        <v>0</v>
      </c>
      <c r="AP2">
        <v>0</v>
      </c>
      <c r="AQ2">
        <v>0</v>
      </c>
      <c r="AR2">
        <v>0</v>
      </c>
      <c r="AS2">
        <v>0</v>
      </c>
      <c r="AT2">
        <v>22</v>
      </c>
      <c r="AU2">
        <v>0</v>
      </c>
      <c r="AV2">
        <v>22</v>
      </c>
      <c r="AW2">
        <v>0</v>
      </c>
      <c r="AX2">
        <v>1.75</v>
      </c>
      <c r="AY2">
        <v>0</v>
      </c>
      <c r="AZ2">
        <v>1.75</v>
      </c>
      <c r="BA2">
        <v>0</v>
      </c>
      <c r="BB2">
        <v>1.75</v>
      </c>
      <c r="BC2">
        <v>0</v>
      </c>
      <c r="BD2">
        <v>1.75</v>
      </c>
      <c r="BE2">
        <v>0</v>
      </c>
    </row>
    <row r="3" spans="1:58">
      <c r="A3" t="s">
        <v>16869</v>
      </c>
      <c r="B3" t="s">
        <v>16871</v>
      </c>
      <c r="C3">
        <v>0</v>
      </c>
      <c r="D3">
        <v>10</v>
      </c>
      <c r="E3">
        <v>0</v>
      </c>
      <c r="F3">
        <v>0</v>
      </c>
      <c r="G3">
        <v>1</v>
      </c>
      <c r="H3">
        <v>0</v>
      </c>
      <c r="I3">
        <v>0</v>
      </c>
      <c r="J3">
        <v>9</v>
      </c>
      <c r="K3">
        <v>84</v>
      </c>
      <c r="L3">
        <v>6</v>
      </c>
      <c r="M3">
        <v>0</v>
      </c>
      <c r="N3">
        <v>1</v>
      </c>
      <c r="O3">
        <v>2</v>
      </c>
      <c r="P3">
        <v>0</v>
      </c>
      <c r="Q3">
        <v>1</v>
      </c>
      <c r="R3">
        <v>0</v>
      </c>
      <c r="S3">
        <v>32.25</v>
      </c>
      <c r="T3">
        <v>24.75</v>
      </c>
      <c r="U3">
        <v>0</v>
      </c>
      <c r="V3">
        <v>57</v>
      </c>
      <c r="W3">
        <v>817.5</v>
      </c>
      <c r="X3">
        <v>0</v>
      </c>
      <c r="Y3">
        <v>5</v>
      </c>
      <c r="Z3">
        <v>2</v>
      </c>
      <c r="AA3">
        <v>0</v>
      </c>
      <c r="AB3">
        <v>610</v>
      </c>
      <c r="AC3">
        <v>0</v>
      </c>
      <c r="AD3">
        <v>0</v>
      </c>
      <c r="AE3">
        <v>0</v>
      </c>
      <c r="AF3">
        <v>610</v>
      </c>
      <c r="AG3">
        <v>817.5</v>
      </c>
      <c r="AH3">
        <v>817.5</v>
      </c>
      <c r="AI3">
        <v>0</v>
      </c>
      <c r="AJ3">
        <v>0</v>
      </c>
      <c r="AK3">
        <v>0</v>
      </c>
      <c r="AL3">
        <v>0</v>
      </c>
      <c r="AM3">
        <v>0</v>
      </c>
      <c r="AN3">
        <v>0</v>
      </c>
      <c r="AO3">
        <v>0</v>
      </c>
      <c r="AP3">
        <v>0</v>
      </c>
      <c r="AQ3">
        <v>0</v>
      </c>
      <c r="AR3">
        <v>0</v>
      </c>
      <c r="AS3">
        <v>0</v>
      </c>
      <c r="AT3">
        <v>84</v>
      </c>
      <c r="AU3">
        <v>0</v>
      </c>
      <c r="AV3">
        <v>84</v>
      </c>
      <c r="AW3">
        <v>0</v>
      </c>
      <c r="AX3">
        <v>32.25</v>
      </c>
      <c r="AY3">
        <v>0</v>
      </c>
      <c r="AZ3">
        <v>32.25</v>
      </c>
      <c r="BA3">
        <v>0</v>
      </c>
      <c r="BB3">
        <v>24.75</v>
      </c>
      <c r="BC3">
        <v>0</v>
      </c>
      <c r="BD3">
        <v>24.75</v>
      </c>
      <c r="BE3">
        <v>0</v>
      </c>
    </row>
    <row r="4" spans="1:58">
      <c r="A4" t="s">
        <v>16869</v>
      </c>
      <c r="B4" t="s">
        <v>20679</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row>
    <row r="5" spans="1:58">
      <c r="A5" t="s">
        <v>16869</v>
      </c>
      <c r="B5" t="s">
        <v>17498</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row>
    <row r="6" spans="1:58">
      <c r="A6" t="s">
        <v>16869</v>
      </c>
      <c r="B6" t="s">
        <v>18784</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row>
    <row r="7" spans="1:58">
      <c r="A7" t="s">
        <v>16869</v>
      </c>
      <c r="B7" t="s">
        <v>17200</v>
      </c>
      <c r="C7">
        <v>6</v>
      </c>
      <c r="D7">
        <v>256</v>
      </c>
      <c r="E7">
        <v>256</v>
      </c>
      <c r="F7">
        <v>230</v>
      </c>
      <c r="G7">
        <v>29</v>
      </c>
      <c r="H7">
        <v>6</v>
      </c>
      <c r="I7">
        <v>2</v>
      </c>
      <c r="J7">
        <v>256</v>
      </c>
      <c r="K7">
        <v>973</v>
      </c>
      <c r="L7">
        <v>240</v>
      </c>
      <c r="M7">
        <v>2</v>
      </c>
      <c r="N7">
        <v>4</v>
      </c>
      <c r="O7">
        <v>8</v>
      </c>
      <c r="P7">
        <v>1</v>
      </c>
      <c r="Q7">
        <v>1</v>
      </c>
      <c r="R7">
        <v>0</v>
      </c>
      <c r="S7">
        <v>31</v>
      </c>
      <c r="T7">
        <v>15</v>
      </c>
      <c r="U7">
        <v>0</v>
      </c>
      <c r="V7">
        <v>46</v>
      </c>
      <c r="W7">
        <v>610</v>
      </c>
      <c r="X7">
        <v>54.75</v>
      </c>
      <c r="Y7">
        <v>30</v>
      </c>
      <c r="Z7">
        <v>0</v>
      </c>
      <c r="AA7">
        <v>0</v>
      </c>
      <c r="AB7">
        <v>137.5</v>
      </c>
      <c r="AC7">
        <v>1854.8699999999997</v>
      </c>
      <c r="AD7">
        <v>1327.6200000000001</v>
      </c>
      <c r="AE7">
        <v>1327.6200000000001</v>
      </c>
      <c r="AF7">
        <v>1465.1200000000001</v>
      </c>
      <c r="AG7">
        <v>2519.62</v>
      </c>
      <c r="AH7">
        <v>1192</v>
      </c>
      <c r="AI7">
        <v>520.16999999999996</v>
      </c>
      <c r="AJ7">
        <v>620.16999999999996</v>
      </c>
      <c r="AK7">
        <v>925.17</v>
      </c>
      <c r="AL7">
        <v>405</v>
      </c>
      <c r="AM7">
        <v>88</v>
      </c>
      <c r="AN7">
        <v>38</v>
      </c>
      <c r="AO7">
        <v>2</v>
      </c>
      <c r="AP7">
        <v>4</v>
      </c>
      <c r="AQ7">
        <v>0</v>
      </c>
      <c r="AR7">
        <v>0</v>
      </c>
      <c r="AS7">
        <v>0</v>
      </c>
      <c r="AT7">
        <v>973</v>
      </c>
      <c r="AU7">
        <v>69</v>
      </c>
      <c r="AV7">
        <v>897</v>
      </c>
      <c r="AW7">
        <v>7</v>
      </c>
      <c r="AX7">
        <v>31</v>
      </c>
      <c r="AY7">
        <v>15.25</v>
      </c>
      <c r="AZ7">
        <v>15.75</v>
      </c>
      <c r="BA7">
        <v>0</v>
      </c>
      <c r="BB7">
        <v>15</v>
      </c>
      <c r="BC7">
        <v>5</v>
      </c>
      <c r="BD7">
        <v>10</v>
      </c>
      <c r="BE7">
        <v>0</v>
      </c>
    </row>
    <row r="8" spans="1:58">
      <c r="A8" t="s">
        <v>16869</v>
      </c>
      <c r="B8" t="s">
        <v>16872</v>
      </c>
      <c r="C8">
        <v>5</v>
      </c>
      <c r="D8">
        <v>89</v>
      </c>
      <c r="E8">
        <v>85</v>
      </c>
      <c r="F8">
        <v>65</v>
      </c>
      <c r="G8">
        <v>2</v>
      </c>
      <c r="H8">
        <v>4</v>
      </c>
      <c r="I8">
        <v>1</v>
      </c>
      <c r="J8">
        <v>84</v>
      </c>
      <c r="K8">
        <v>1032</v>
      </c>
      <c r="L8">
        <v>65</v>
      </c>
      <c r="M8">
        <v>2</v>
      </c>
      <c r="N8">
        <v>2</v>
      </c>
      <c r="O8">
        <v>8</v>
      </c>
      <c r="P8">
        <v>0</v>
      </c>
      <c r="Q8">
        <v>7</v>
      </c>
      <c r="R8">
        <v>0</v>
      </c>
      <c r="S8">
        <v>166.3</v>
      </c>
      <c r="T8">
        <v>0</v>
      </c>
      <c r="U8">
        <v>0</v>
      </c>
      <c r="V8">
        <v>166.3</v>
      </c>
      <c r="W8">
        <v>1640.5</v>
      </c>
      <c r="X8">
        <v>0</v>
      </c>
      <c r="Y8">
        <v>72</v>
      </c>
      <c r="Z8">
        <v>0</v>
      </c>
      <c r="AA8">
        <v>-22.5</v>
      </c>
      <c r="AB8">
        <v>922.5</v>
      </c>
      <c r="AC8">
        <v>55.25</v>
      </c>
      <c r="AD8">
        <v>0</v>
      </c>
      <c r="AE8">
        <v>2251.75</v>
      </c>
      <c r="AF8">
        <v>922.5</v>
      </c>
      <c r="AG8">
        <v>1695.75</v>
      </c>
      <c r="AH8">
        <v>897.25</v>
      </c>
      <c r="AI8">
        <v>1130.75</v>
      </c>
      <c r="AJ8">
        <v>540</v>
      </c>
      <c r="AK8">
        <v>632.5</v>
      </c>
      <c r="AL8">
        <v>43.5</v>
      </c>
      <c r="AM8">
        <v>7</v>
      </c>
      <c r="AN8">
        <v>12</v>
      </c>
      <c r="AO8">
        <v>1</v>
      </c>
      <c r="AP8">
        <v>1</v>
      </c>
      <c r="AQ8">
        <v>1</v>
      </c>
      <c r="AR8">
        <v>1</v>
      </c>
      <c r="AS8">
        <v>0</v>
      </c>
      <c r="AT8">
        <v>1032</v>
      </c>
      <c r="AU8">
        <v>201</v>
      </c>
      <c r="AV8">
        <v>796</v>
      </c>
      <c r="AW8">
        <v>35</v>
      </c>
      <c r="AX8">
        <v>166.3</v>
      </c>
      <c r="AY8">
        <v>63.25</v>
      </c>
      <c r="AZ8">
        <v>100.8</v>
      </c>
      <c r="BA8">
        <v>2.25</v>
      </c>
      <c r="BB8">
        <v>0</v>
      </c>
      <c r="BC8">
        <v>0</v>
      </c>
      <c r="BD8">
        <v>0</v>
      </c>
      <c r="BE8">
        <v>0</v>
      </c>
    </row>
    <row r="9" spans="1:58">
      <c r="A9" t="s">
        <v>16869</v>
      </c>
      <c r="B9" t="s">
        <v>16873</v>
      </c>
      <c r="C9">
        <v>0</v>
      </c>
      <c r="D9">
        <v>4</v>
      </c>
      <c r="E9">
        <v>4</v>
      </c>
      <c r="F9">
        <v>4</v>
      </c>
      <c r="G9">
        <v>1</v>
      </c>
      <c r="H9">
        <v>0</v>
      </c>
      <c r="I9">
        <v>0</v>
      </c>
      <c r="J9">
        <v>4</v>
      </c>
      <c r="K9">
        <v>40</v>
      </c>
      <c r="L9">
        <v>4</v>
      </c>
      <c r="M9">
        <v>0</v>
      </c>
      <c r="N9">
        <v>0</v>
      </c>
      <c r="O9">
        <v>0</v>
      </c>
      <c r="P9">
        <v>0</v>
      </c>
      <c r="Q9">
        <v>0</v>
      </c>
      <c r="R9">
        <v>0</v>
      </c>
      <c r="S9">
        <v>5.5</v>
      </c>
      <c r="T9">
        <v>1.75</v>
      </c>
      <c r="U9">
        <v>0</v>
      </c>
      <c r="V9">
        <v>7.25</v>
      </c>
      <c r="W9">
        <v>90</v>
      </c>
      <c r="X9">
        <v>0</v>
      </c>
      <c r="Y9">
        <v>4</v>
      </c>
      <c r="Z9">
        <v>0</v>
      </c>
      <c r="AA9">
        <v>0</v>
      </c>
      <c r="AB9">
        <v>10</v>
      </c>
      <c r="AC9">
        <v>0</v>
      </c>
      <c r="AD9">
        <v>0</v>
      </c>
      <c r="AE9">
        <v>10</v>
      </c>
      <c r="AF9">
        <v>10</v>
      </c>
      <c r="AG9">
        <v>90</v>
      </c>
      <c r="AH9">
        <v>80</v>
      </c>
      <c r="AI9">
        <v>0</v>
      </c>
      <c r="AJ9">
        <v>0</v>
      </c>
      <c r="AK9">
        <v>0</v>
      </c>
      <c r="AL9">
        <v>0</v>
      </c>
      <c r="AM9">
        <v>0</v>
      </c>
      <c r="AN9">
        <v>1</v>
      </c>
      <c r="AO9">
        <v>0</v>
      </c>
      <c r="AP9">
        <v>0</v>
      </c>
      <c r="AQ9">
        <v>0</v>
      </c>
      <c r="AR9">
        <v>0</v>
      </c>
      <c r="AS9">
        <v>0</v>
      </c>
      <c r="AT9">
        <v>40</v>
      </c>
      <c r="AU9">
        <v>0</v>
      </c>
      <c r="AV9">
        <v>40</v>
      </c>
      <c r="AW9">
        <v>0</v>
      </c>
      <c r="AX9">
        <v>5.5</v>
      </c>
      <c r="AY9">
        <v>0</v>
      </c>
      <c r="AZ9">
        <v>5.5</v>
      </c>
      <c r="BA9">
        <v>0</v>
      </c>
      <c r="BB9">
        <v>1.75</v>
      </c>
      <c r="BC9">
        <v>0</v>
      </c>
      <c r="BD9">
        <v>1.75</v>
      </c>
      <c r="BE9">
        <v>0</v>
      </c>
    </row>
    <row r="10" spans="1:58">
      <c r="A10" t="s">
        <v>16869</v>
      </c>
      <c r="B10" t="s">
        <v>18785</v>
      </c>
      <c r="C10">
        <v>0</v>
      </c>
      <c r="D10">
        <v>21</v>
      </c>
      <c r="E10">
        <v>20</v>
      </c>
      <c r="F10">
        <v>18</v>
      </c>
      <c r="G10">
        <v>0</v>
      </c>
      <c r="H10">
        <v>2</v>
      </c>
      <c r="I10">
        <v>0</v>
      </c>
      <c r="J10">
        <v>21</v>
      </c>
      <c r="K10">
        <v>185</v>
      </c>
      <c r="L10">
        <v>17</v>
      </c>
      <c r="M10">
        <v>1</v>
      </c>
      <c r="N10">
        <v>1</v>
      </c>
      <c r="O10">
        <v>0</v>
      </c>
      <c r="P10">
        <v>0</v>
      </c>
      <c r="Q10">
        <v>2</v>
      </c>
      <c r="R10">
        <v>0</v>
      </c>
      <c r="S10">
        <v>24.5</v>
      </c>
      <c r="T10">
        <v>47.75</v>
      </c>
      <c r="U10">
        <v>0</v>
      </c>
      <c r="V10">
        <v>72.25</v>
      </c>
      <c r="W10">
        <v>1200</v>
      </c>
      <c r="X10">
        <v>0</v>
      </c>
      <c r="Y10">
        <v>19</v>
      </c>
      <c r="Z10">
        <v>0</v>
      </c>
      <c r="AA10">
        <v>0</v>
      </c>
      <c r="AB10">
        <v>675</v>
      </c>
      <c r="AC10">
        <v>1610.25</v>
      </c>
      <c r="AD10">
        <v>1307.25</v>
      </c>
      <c r="AE10">
        <v>1</v>
      </c>
      <c r="AF10">
        <v>1981.5</v>
      </c>
      <c r="AG10">
        <v>2810.25</v>
      </c>
      <c r="AH10">
        <v>2809.25</v>
      </c>
      <c r="AI10">
        <v>0</v>
      </c>
      <c r="AJ10">
        <v>497</v>
      </c>
      <c r="AK10">
        <v>587</v>
      </c>
      <c r="AL10">
        <v>587</v>
      </c>
      <c r="AM10">
        <v>1</v>
      </c>
      <c r="AN10">
        <v>0</v>
      </c>
      <c r="AO10">
        <v>0</v>
      </c>
      <c r="AP10">
        <v>0</v>
      </c>
      <c r="AQ10">
        <v>0</v>
      </c>
      <c r="AR10">
        <v>0</v>
      </c>
      <c r="AS10">
        <v>0</v>
      </c>
      <c r="AT10">
        <v>185</v>
      </c>
      <c r="AU10">
        <v>22</v>
      </c>
      <c r="AV10">
        <v>163</v>
      </c>
      <c r="AW10">
        <v>0</v>
      </c>
      <c r="AX10">
        <v>24.5</v>
      </c>
      <c r="AY10">
        <v>3</v>
      </c>
      <c r="AZ10">
        <v>21.5</v>
      </c>
      <c r="BA10">
        <v>0</v>
      </c>
      <c r="BB10">
        <v>47.75</v>
      </c>
      <c r="BC10">
        <v>10.5</v>
      </c>
      <c r="BD10">
        <v>37.25</v>
      </c>
      <c r="BE10">
        <v>0</v>
      </c>
    </row>
    <row r="11" spans="1:58">
      <c r="A11" t="s">
        <v>16874</v>
      </c>
      <c r="B11" t="s">
        <v>16875</v>
      </c>
      <c r="C11">
        <v>0</v>
      </c>
      <c r="D11">
        <v>4</v>
      </c>
      <c r="E11">
        <v>4</v>
      </c>
      <c r="F11">
        <v>4</v>
      </c>
      <c r="G11">
        <v>0</v>
      </c>
      <c r="H11">
        <v>0</v>
      </c>
      <c r="I11">
        <v>0</v>
      </c>
      <c r="J11">
        <v>4</v>
      </c>
      <c r="K11">
        <v>5</v>
      </c>
      <c r="L11">
        <v>0</v>
      </c>
      <c r="M11">
        <v>0</v>
      </c>
      <c r="N11">
        <v>0</v>
      </c>
      <c r="O11">
        <v>4</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5</v>
      </c>
      <c r="AU11">
        <v>0</v>
      </c>
      <c r="AV11">
        <v>5</v>
      </c>
      <c r="AW11">
        <v>0</v>
      </c>
      <c r="AX11">
        <v>0</v>
      </c>
      <c r="AY11">
        <v>0</v>
      </c>
      <c r="AZ11">
        <v>0</v>
      </c>
      <c r="BA11">
        <v>0</v>
      </c>
      <c r="BB11">
        <v>0</v>
      </c>
      <c r="BC11">
        <v>0</v>
      </c>
      <c r="BD11">
        <v>0</v>
      </c>
      <c r="BE11">
        <v>0</v>
      </c>
    </row>
    <row r="12" spans="1:58">
      <c r="A12" t="s">
        <v>16876</v>
      </c>
      <c r="B12" t="s">
        <v>16877</v>
      </c>
      <c r="C12">
        <v>0</v>
      </c>
      <c r="D12">
        <v>51</v>
      </c>
      <c r="E12">
        <v>51</v>
      </c>
      <c r="F12">
        <v>51</v>
      </c>
      <c r="G12">
        <v>0</v>
      </c>
      <c r="H12">
        <v>0</v>
      </c>
      <c r="I12">
        <v>0</v>
      </c>
      <c r="J12">
        <v>51</v>
      </c>
      <c r="K12">
        <v>462</v>
      </c>
      <c r="L12">
        <v>20</v>
      </c>
      <c r="M12">
        <v>4</v>
      </c>
      <c r="N12">
        <v>9</v>
      </c>
      <c r="O12">
        <v>18</v>
      </c>
      <c r="P12">
        <v>0</v>
      </c>
      <c r="Q12">
        <v>0</v>
      </c>
      <c r="R12">
        <v>0</v>
      </c>
      <c r="S12">
        <v>6</v>
      </c>
      <c r="T12">
        <v>14</v>
      </c>
      <c r="U12">
        <v>0</v>
      </c>
      <c r="V12">
        <v>20</v>
      </c>
      <c r="W12">
        <v>340</v>
      </c>
      <c r="X12">
        <v>0</v>
      </c>
      <c r="Y12">
        <v>4</v>
      </c>
      <c r="Z12">
        <v>0</v>
      </c>
      <c r="AA12">
        <v>0</v>
      </c>
      <c r="AB12">
        <v>220</v>
      </c>
      <c r="AC12">
        <v>34.5</v>
      </c>
      <c r="AD12">
        <v>34.5</v>
      </c>
      <c r="AE12">
        <v>179.5</v>
      </c>
      <c r="AF12">
        <v>254.5</v>
      </c>
      <c r="AG12">
        <v>374.5</v>
      </c>
      <c r="AH12">
        <v>195</v>
      </c>
      <c r="AI12">
        <v>0</v>
      </c>
      <c r="AJ12">
        <v>0</v>
      </c>
      <c r="AK12">
        <v>0</v>
      </c>
      <c r="AL12">
        <v>0</v>
      </c>
      <c r="AM12">
        <v>0</v>
      </c>
      <c r="AN12">
        <v>2</v>
      </c>
      <c r="AO12">
        <v>2</v>
      </c>
      <c r="AP12">
        <v>0</v>
      </c>
      <c r="AQ12">
        <v>0</v>
      </c>
      <c r="AR12">
        <v>0</v>
      </c>
      <c r="AS12">
        <v>0</v>
      </c>
      <c r="AT12">
        <v>462</v>
      </c>
      <c r="AU12">
        <v>0</v>
      </c>
      <c r="AV12">
        <v>462</v>
      </c>
      <c r="AW12">
        <v>0</v>
      </c>
      <c r="AX12">
        <v>6</v>
      </c>
      <c r="AY12">
        <v>0</v>
      </c>
      <c r="AZ12">
        <v>6</v>
      </c>
      <c r="BA12">
        <v>0</v>
      </c>
      <c r="BB12">
        <v>14</v>
      </c>
      <c r="BC12">
        <v>0</v>
      </c>
      <c r="BD12">
        <v>14</v>
      </c>
      <c r="BE12">
        <v>0</v>
      </c>
    </row>
    <row r="13" spans="1:58">
      <c r="A13" t="s">
        <v>17496</v>
      </c>
      <c r="B13" t="s">
        <v>17497</v>
      </c>
      <c r="C13">
        <v>0</v>
      </c>
      <c r="D13">
        <v>10</v>
      </c>
      <c r="E13">
        <v>10</v>
      </c>
      <c r="F13">
        <v>6</v>
      </c>
      <c r="G13">
        <v>1</v>
      </c>
      <c r="H13">
        <v>1</v>
      </c>
      <c r="I13">
        <v>3</v>
      </c>
      <c r="J13">
        <v>10</v>
      </c>
      <c r="K13">
        <v>81</v>
      </c>
      <c r="L13">
        <v>0</v>
      </c>
      <c r="M13">
        <v>0</v>
      </c>
      <c r="N13">
        <v>7</v>
      </c>
      <c r="O13">
        <v>3</v>
      </c>
      <c r="P13">
        <v>0</v>
      </c>
      <c r="Q13">
        <v>1</v>
      </c>
      <c r="R13">
        <v>0</v>
      </c>
      <c r="S13">
        <v>14</v>
      </c>
      <c r="T13">
        <v>12.5</v>
      </c>
      <c r="U13">
        <v>0</v>
      </c>
      <c r="V13">
        <v>26.5</v>
      </c>
      <c r="W13">
        <v>390</v>
      </c>
      <c r="X13">
        <v>0</v>
      </c>
      <c r="Y13">
        <v>3</v>
      </c>
      <c r="Z13">
        <v>0</v>
      </c>
      <c r="AA13">
        <v>0</v>
      </c>
      <c r="AB13">
        <v>80</v>
      </c>
      <c r="AC13">
        <v>0</v>
      </c>
      <c r="AD13">
        <v>0</v>
      </c>
      <c r="AE13">
        <v>180</v>
      </c>
      <c r="AF13">
        <v>80</v>
      </c>
      <c r="AG13">
        <v>390</v>
      </c>
      <c r="AH13">
        <v>210</v>
      </c>
      <c r="AI13">
        <v>100</v>
      </c>
      <c r="AJ13">
        <v>0</v>
      </c>
      <c r="AK13">
        <v>100</v>
      </c>
      <c r="AL13">
        <v>0</v>
      </c>
      <c r="AM13">
        <v>0</v>
      </c>
      <c r="AN13">
        <v>0</v>
      </c>
      <c r="AO13">
        <v>1</v>
      </c>
      <c r="AP13">
        <v>1</v>
      </c>
      <c r="AQ13">
        <v>0</v>
      </c>
      <c r="AR13">
        <v>0</v>
      </c>
      <c r="AS13">
        <v>0</v>
      </c>
      <c r="AT13">
        <v>81</v>
      </c>
      <c r="AU13">
        <v>14</v>
      </c>
      <c r="AV13">
        <v>67</v>
      </c>
      <c r="AW13">
        <v>0</v>
      </c>
      <c r="AX13">
        <v>14</v>
      </c>
      <c r="AY13">
        <v>4</v>
      </c>
      <c r="AZ13">
        <v>10</v>
      </c>
      <c r="BA13">
        <v>0</v>
      </c>
      <c r="BB13">
        <v>12.5</v>
      </c>
      <c r="BC13">
        <v>3</v>
      </c>
      <c r="BD13">
        <v>9.5</v>
      </c>
      <c r="BE13">
        <v>0</v>
      </c>
    </row>
    <row r="14" spans="1:58">
      <c r="A14" t="s">
        <v>16878</v>
      </c>
      <c r="B14" t="s">
        <v>17347</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row>
    <row r="15" spans="1:58">
      <c r="A15" t="s">
        <v>17210</v>
      </c>
      <c r="B15" t="s">
        <v>17211</v>
      </c>
      <c r="C15">
        <v>2</v>
      </c>
      <c r="D15">
        <v>14</v>
      </c>
      <c r="E15">
        <v>14</v>
      </c>
      <c r="F15">
        <v>14</v>
      </c>
      <c r="G15">
        <v>1</v>
      </c>
      <c r="H15">
        <v>0</v>
      </c>
      <c r="I15">
        <v>0</v>
      </c>
      <c r="J15">
        <v>13</v>
      </c>
      <c r="K15">
        <v>88</v>
      </c>
      <c r="L15">
        <v>4</v>
      </c>
      <c r="M15">
        <v>2</v>
      </c>
      <c r="N15">
        <v>3</v>
      </c>
      <c r="O15">
        <v>5</v>
      </c>
      <c r="P15">
        <v>0</v>
      </c>
      <c r="Q15">
        <v>0</v>
      </c>
      <c r="R15">
        <v>0</v>
      </c>
      <c r="S15">
        <v>14</v>
      </c>
      <c r="T15">
        <v>17</v>
      </c>
      <c r="U15">
        <v>0</v>
      </c>
      <c r="V15">
        <v>31</v>
      </c>
      <c r="W15">
        <v>480</v>
      </c>
      <c r="X15">
        <v>0</v>
      </c>
      <c r="Y15">
        <v>1</v>
      </c>
      <c r="Z15">
        <v>1</v>
      </c>
      <c r="AA15">
        <v>0</v>
      </c>
      <c r="AB15">
        <v>370</v>
      </c>
      <c r="AC15">
        <v>0</v>
      </c>
      <c r="AD15">
        <v>0</v>
      </c>
      <c r="AE15">
        <v>0</v>
      </c>
      <c r="AF15">
        <v>370</v>
      </c>
      <c r="AG15">
        <v>480</v>
      </c>
      <c r="AH15">
        <v>480</v>
      </c>
      <c r="AI15">
        <v>0</v>
      </c>
      <c r="AJ15">
        <v>0</v>
      </c>
      <c r="AK15">
        <v>0</v>
      </c>
      <c r="AL15">
        <v>0</v>
      </c>
      <c r="AM15">
        <v>0</v>
      </c>
      <c r="AN15">
        <v>0</v>
      </c>
      <c r="AO15">
        <v>0</v>
      </c>
      <c r="AP15">
        <v>1</v>
      </c>
      <c r="AQ15">
        <v>0</v>
      </c>
      <c r="AR15">
        <v>0</v>
      </c>
      <c r="AS15">
        <v>0</v>
      </c>
      <c r="AT15">
        <v>88</v>
      </c>
      <c r="AU15">
        <v>0</v>
      </c>
      <c r="AV15">
        <v>75</v>
      </c>
      <c r="AW15">
        <v>13</v>
      </c>
      <c r="AX15">
        <v>14</v>
      </c>
      <c r="AY15">
        <v>0</v>
      </c>
      <c r="AZ15">
        <v>14</v>
      </c>
      <c r="BA15">
        <v>0</v>
      </c>
      <c r="BB15">
        <v>17</v>
      </c>
      <c r="BC15">
        <v>0</v>
      </c>
      <c r="BD15">
        <v>17</v>
      </c>
      <c r="BE15">
        <v>0</v>
      </c>
    </row>
    <row r="16" spans="1:58">
      <c r="A16" t="s">
        <v>16879</v>
      </c>
      <c r="B16" t="s">
        <v>16880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row>
    <row r="17" spans="1:57">
      <c r="A17" t="s">
        <v>16881</v>
      </c>
      <c r="B17" t="s">
        <v>16882</v>
      </c>
      <c r="C17">
        <v>3</v>
      </c>
      <c r="D17">
        <v>6</v>
      </c>
      <c r="E17">
        <v>6</v>
      </c>
      <c r="F17">
        <v>4</v>
      </c>
      <c r="G17">
        <v>0</v>
      </c>
      <c r="H17">
        <v>1</v>
      </c>
      <c r="I17">
        <v>1</v>
      </c>
      <c r="J17">
        <v>6</v>
      </c>
      <c r="K17">
        <v>101</v>
      </c>
      <c r="L17">
        <v>0</v>
      </c>
      <c r="M17">
        <v>0</v>
      </c>
      <c r="N17">
        <v>1</v>
      </c>
      <c r="O17">
        <v>0</v>
      </c>
      <c r="P17">
        <v>0</v>
      </c>
      <c r="Q17">
        <v>0</v>
      </c>
      <c r="R17">
        <v>0</v>
      </c>
      <c r="S17">
        <v>1.5</v>
      </c>
      <c r="T17">
        <v>11</v>
      </c>
      <c r="U17">
        <v>0</v>
      </c>
      <c r="V17">
        <v>12.5</v>
      </c>
      <c r="W17">
        <v>150</v>
      </c>
      <c r="X17">
        <v>0</v>
      </c>
      <c r="Y17">
        <v>0</v>
      </c>
      <c r="Z17">
        <v>1</v>
      </c>
      <c r="AA17">
        <v>-85</v>
      </c>
      <c r="AB17">
        <v>90</v>
      </c>
      <c r="AC17">
        <v>0</v>
      </c>
      <c r="AD17">
        <v>0</v>
      </c>
      <c r="AE17">
        <v>145</v>
      </c>
      <c r="AF17">
        <v>145</v>
      </c>
      <c r="AG17">
        <v>150</v>
      </c>
      <c r="AH17">
        <v>60</v>
      </c>
      <c r="AI17">
        <v>90</v>
      </c>
      <c r="AJ17">
        <v>90</v>
      </c>
      <c r="AK17">
        <v>150</v>
      </c>
      <c r="AL17">
        <v>60</v>
      </c>
      <c r="AM17">
        <v>0</v>
      </c>
      <c r="AN17">
        <v>0</v>
      </c>
      <c r="AO17">
        <v>2</v>
      </c>
      <c r="AP17">
        <v>0</v>
      </c>
      <c r="AQ17">
        <v>0</v>
      </c>
      <c r="AR17">
        <v>0</v>
      </c>
      <c r="AS17">
        <v>0</v>
      </c>
      <c r="AT17">
        <v>101</v>
      </c>
      <c r="AU17">
        <v>38</v>
      </c>
      <c r="AV17">
        <v>27</v>
      </c>
      <c r="AW17">
        <v>36</v>
      </c>
      <c r="AX17">
        <v>1.5</v>
      </c>
      <c r="AY17">
        <v>1</v>
      </c>
      <c r="AZ17">
        <v>0</v>
      </c>
      <c r="BA17">
        <v>0.5</v>
      </c>
      <c r="BB17">
        <v>11</v>
      </c>
      <c r="BC17">
        <v>7</v>
      </c>
      <c r="BD17">
        <v>0</v>
      </c>
      <c r="BE17">
        <v>4</v>
      </c>
    </row>
    <row r="18" spans="1:57">
      <c r="A18" t="s">
        <v>16881</v>
      </c>
      <c r="B18" t="s">
        <v>16882</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row>
    <row r="19" spans="1:57">
      <c r="A19" t="s">
        <v>17212</v>
      </c>
      <c r="B19" t="s">
        <v>17213</v>
      </c>
      <c r="C19">
        <v>0</v>
      </c>
      <c r="D19">
        <v>13</v>
      </c>
      <c r="E19">
        <v>13</v>
      </c>
      <c r="F19">
        <v>12</v>
      </c>
      <c r="G19">
        <v>8</v>
      </c>
      <c r="H19">
        <v>7</v>
      </c>
      <c r="I19">
        <v>5</v>
      </c>
      <c r="J19">
        <v>12</v>
      </c>
      <c r="K19">
        <v>241</v>
      </c>
      <c r="L19">
        <v>10</v>
      </c>
      <c r="M19">
        <v>0</v>
      </c>
      <c r="N19">
        <v>0</v>
      </c>
      <c r="O19">
        <v>1</v>
      </c>
      <c r="P19">
        <v>0</v>
      </c>
      <c r="Q19">
        <v>1</v>
      </c>
      <c r="R19">
        <v>0</v>
      </c>
      <c r="S19">
        <v>15</v>
      </c>
      <c r="T19">
        <v>25.75</v>
      </c>
      <c r="U19">
        <v>0</v>
      </c>
      <c r="V19">
        <v>40.75</v>
      </c>
      <c r="W19">
        <v>665</v>
      </c>
      <c r="X19">
        <v>1</v>
      </c>
      <c r="Y19">
        <v>9</v>
      </c>
      <c r="Z19">
        <v>2</v>
      </c>
      <c r="AA19">
        <v>0</v>
      </c>
      <c r="AB19">
        <v>390</v>
      </c>
      <c r="AC19">
        <v>90</v>
      </c>
      <c r="AD19">
        <v>90</v>
      </c>
      <c r="AE19">
        <v>402.5</v>
      </c>
      <c r="AF19">
        <v>480</v>
      </c>
      <c r="AG19">
        <v>756</v>
      </c>
      <c r="AH19">
        <v>353.5</v>
      </c>
      <c r="AI19">
        <v>347.5</v>
      </c>
      <c r="AJ19">
        <v>425</v>
      </c>
      <c r="AK19">
        <v>555</v>
      </c>
      <c r="AL19">
        <v>207.5</v>
      </c>
      <c r="AM19">
        <v>0</v>
      </c>
      <c r="AN19">
        <v>0</v>
      </c>
      <c r="AO19">
        <v>1</v>
      </c>
      <c r="AP19">
        <v>2</v>
      </c>
      <c r="AQ19">
        <v>0</v>
      </c>
      <c r="AR19">
        <v>0</v>
      </c>
      <c r="AS19">
        <v>0</v>
      </c>
      <c r="AT19">
        <v>241</v>
      </c>
      <c r="AU19">
        <v>181</v>
      </c>
      <c r="AV19">
        <v>60</v>
      </c>
      <c r="AW19">
        <v>0</v>
      </c>
      <c r="AX19">
        <v>15</v>
      </c>
      <c r="AY19">
        <v>7.5</v>
      </c>
      <c r="AZ19">
        <v>7.5</v>
      </c>
      <c r="BA19">
        <v>0</v>
      </c>
      <c r="BB19">
        <v>25.75</v>
      </c>
      <c r="BC19">
        <v>19.5</v>
      </c>
      <c r="BD19">
        <v>6.25</v>
      </c>
      <c r="BE19">
        <v>0</v>
      </c>
    </row>
    <row r="20" spans="1:57">
      <c r="A20" t="s">
        <v>16883</v>
      </c>
      <c r="B20" t="s">
        <v>17348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row>
    <row r="21" spans="1:57">
      <c r="A21" t="s">
        <v>17214</v>
      </c>
      <c r="B21" t="s">
        <v>17215</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row>
    <row r="22" spans="1:57">
      <c r="A22" t="s">
        <v>16884</v>
      </c>
      <c r="B22" t="s">
        <v>16885</v>
      </c>
      <c r="C22">
        <v>0</v>
      </c>
      <c r="D22">
        <v>25</v>
      </c>
      <c r="E22">
        <v>25</v>
      </c>
      <c r="F22">
        <v>25</v>
      </c>
      <c r="G22">
        <v>1</v>
      </c>
      <c r="H22">
        <v>0</v>
      </c>
      <c r="I22">
        <v>2</v>
      </c>
      <c r="J22">
        <v>21</v>
      </c>
      <c r="K22">
        <v>123</v>
      </c>
      <c r="L22">
        <v>12</v>
      </c>
      <c r="M22">
        <v>0</v>
      </c>
      <c r="N22">
        <v>2</v>
      </c>
      <c r="O22">
        <v>11</v>
      </c>
      <c r="P22">
        <v>0</v>
      </c>
      <c r="Q22">
        <v>1</v>
      </c>
      <c r="R22">
        <v>0</v>
      </c>
      <c r="S22">
        <v>182.25</v>
      </c>
      <c r="T22">
        <v>63</v>
      </c>
      <c r="U22">
        <v>0</v>
      </c>
      <c r="V22">
        <v>245.25</v>
      </c>
      <c r="W22">
        <v>3082.5</v>
      </c>
      <c r="X22">
        <v>0</v>
      </c>
      <c r="Y22">
        <v>11</v>
      </c>
      <c r="Z22">
        <v>2</v>
      </c>
      <c r="AA22">
        <v>0</v>
      </c>
      <c r="AB22">
        <v>2800</v>
      </c>
      <c r="AC22">
        <v>3769.25</v>
      </c>
      <c r="AD22">
        <v>3769.25</v>
      </c>
      <c r="AE22">
        <v>3268.5</v>
      </c>
      <c r="AF22">
        <v>6569.25</v>
      </c>
      <c r="AG22">
        <v>6851.75</v>
      </c>
      <c r="AH22">
        <v>3583.25</v>
      </c>
      <c r="AI22">
        <v>0</v>
      </c>
      <c r="AJ22">
        <v>0</v>
      </c>
      <c r="AK22">
        <v>0</v>
      </c>
      <c r="AL22">
        <v>0</v>
      </c>
      <c r="AM22">
        <v>1</v>
      </c>
      <c r="AN22">
        <v>1</v>
      </c>
      <c r="AO22">
        <v>0</v>
      </c>
      <c r="AP22">
        <v>3</v>
      </c>
      <c r="AQ22">
        <v>1</v>
      </c>
      <c r="AR22">
        <v>1</v>
      </c>
      <c r="AS22">
        <v>0</v>
      </c>
      <c r="AT22">
        <v>123</v>
      </c>
      <c r="AU22">
        <v>0</v>
      </c>
      <c r="AV22">
        <v>123</v>
      </c>
      <c r="AW22">
        <v>0</v>
      </c>
      <c r="AX22">
        <v>182.25</v>
      </c>
      <c r="AY22">
        <v>0</v>
      </c>
      <c r="AZ22">
        <v>182.25</v>
      </c>
      <c r="BA22">
        <v>0</v>
      </c>
      <c r="BB22">
        <v>63</v>
      </c>
      <c r="BC22">
        <v>0</v>
      </c>
      <c r="BD22">
        <v>63</v>
      </c>
      <c r="BE22">
        <v>0</v>
      </c>
    </row>
    <row r="23" spans="1:57">
      <c r="A23" t="s">
        <v>17352</v>
      </c>
      <c r="B23" t="s">
        <v>17353</v>
      </c>
      <c r="C23">
        <v>8</v>
      </c>
      <c r="D23">
        <v>19</v>
      </c>
      <c r="E23">
        <v>19</v>
      </c>
      <c r="F23">
        <v>18</v>
      </c>
      <c r="G23">
        <v>2</v>
      </c>
      <c r="H23">
        <v>6</v>
      </c>
      <c r="I23">
        <v>3</v>
      </c>
      <c r="J23">
        <v>19</v>
      </c>
      <c r="K23">
        <v>190</v>
      </c>
      <c r="L23">
        <v>5</v>
      </c>
      <c r="M23">
        <v>0</v>
      </c>
      <c r="N23">
        <v>4</v>
      </c>
      <c r="O23">
        <v>7</v>
      </c>
      <c r="P23">
        <v>0</v>
      </c>
      <c r="Q23">
        <v>3</v>
      </c>
      <c r="R23">
        <v>0</v>
      </c>
      <c r="S23">
        <v>91.5</v>
      </c>
      <c r="T23">
        <v>56</v>
      </c>
      <c r="U23">
        <v>8</v>
      </c>
      <c r="V23">
        <v>155.5</v>
      </c>
      <c r="W23">
        <v>522.5</v>
      </c>
      <c r="X23">
        <v>0</v>
      </c>
      <c r="Y23">
        <v>8</v>
      </c>
      <c r="Z23">
        <v>3</v>
      </c>
      <c r="AA23">
        <v>-1512.5</v>
      </c>
      <c r="AB23">
        <v>200</v>
      </c>
      <c r="AC23">
        <v>0</v>
      </c>
      <c r="AD23">
        <v>0</v>
      </c>
      <c r="AE23">
        <v>0</v>
      </c>
      <c r="AF23">
        <v>200</v>
      </c>
      <c r="AG23">
        <v>682.5</v>
      </c>
      <c r="AH23">
        <v>682.5</v>
      </c>
      <c r="AI23">
        <v>0</v>
      </c>
      <c r="AJ23">
        <v>140</v>
      </c>
      <c r="AK23">
        <v>485</v>
      </c>
      <c r="AL23">
        <v>485</v>
      </c>
      <c r="AM23">
        <v>0</v>
      </c>
      <c r="AN23">
        <v>0</v>
      </c>
      <c r="AO23">
        <v>0</v>
      </c>
      <c r="AP23">
        <v>0</v>
      </c>
      <c r="AQ23">
        <v>0</v>
      </c>
      <c r="AR23">
        <v>0</v>
      </c>
      <c r="AS23">
        <v>0</v>
      </c>
      <c r="AT23">
        <v>190</v>
      </c>
      <c r="AU23">
        <v>93</v>
      </c>
      <c r="AV23">
        <v>60</v>
      </c>
      <c r="AW23">
        <v>48</v>
      </c>
      <c r="AX23">
        <v>91.5</v>
      </c>
      <c r="AY23">
        <v>68.75</v>
      </c>
      <c r="AZ23">
        <v>17.75</v>
      </c>
      <c r="BA23">
        <v>49.25</v>
      </c>
      <c r="BB23">
        <v>56</v>
      </c>
      <c r="BC23">
        <v>53</v>
      </c>
      <c r="BD23">
        <v>1</v>
      </c>
      <c r="BE23">
        <v>51</v>
      </c>
    </row>
    <row r="24" spans="1:57">
      <c r="A24" t="s">
        <v>17216</v>
      </c>
      <c r="B24" t="s">
        <v>17217</v>
      </c>
      <c r="C24">
        <v>0</v>
      </c>
      <c r="D24">
        <v>6</v>
      </c>
      <c r="E24">
        <v>6</v>
      </c>
      <c r="F24">
        <v>4</v>
      </c>
      <c r="G24">
        <v>0</v>
      </c>
      <c r="H24">
        <v>0</v>
      </c>
      <c r="I24">
        <v>0</v>
      </c>
      <c r="J24">
        <v>4</v>
      </c>
      <c r="K24">
        <v>37</v>
      </c>
      <c r="L24">
        <v>3</v>
      </c>
      <c r="M24">
        <v>2</v>
      </c>
      <c r="N24">
        <v>1</v>
      </c>
      <c r="O24">
        <v>0</v>
      </c>
      <c r="P24">
        <v>0</v>
      </c>
      <c r="Q24">
        <v>1</v>
      </c>
      <c r="R24">
        <v>0</v>
      </c>
      <c r="S24">
        <v>10.5</v>
      </c>
      <c r="T24">
        <v>20.5</v>
      </c>
      <c r="U24">
        <v>0</v>
      </c>
      <c r="V24">
        <v>31</v>
      </c>
      <c r="W24">
        <v>515</v>
      </c>
      <c r="X24">
        <v>0</v>
      </c>
      <c r="Y24">
        <v>2</v>
      </c>
      <c r="Z24">
        <v>2</v>
      </c>
      <c r="AA24">
        <v>0</v>
      </c>
      <c r="AB24">
        <v>372.5</v>
      </c>
      <c r="AC24">
        <v>8</v>
      </c>
      <c r="AD24">
        <v>356</v>
      </c>
      <c r="AE24">
        <v>6.5</v>
      </c>
      <c r="AF24">
        <v>728.5</v>
      </c>
      <c r="AG24">
        <v>523</v>
      </c>
      <c r="AH24">
        <v>517</v>
      </c>
      <c r="AI24">
        <v>0</v>
      </c>
      <c r="AJ24">
        <v>0</v>
      </c>
      <c r="AK24">
        <v>0</v>
      </c>
      <c r="AL24">
        <v>0</v>
      </c>
      <c r="AM24">
        <v>2</v>
      </c>
      <c r="AN24">
        <v>0</v>
      </c>
      <c r="AO24">
        <v>0</v>
      </c>
      <c r="AP24">
        <v>0</v>
      </c>
      <c r="AQ24">
        <v>0</v>
      </c>
      <c r="AR24">
        <v>0</v>
      </c>
      <c r="AS24">
        <v>0</v>
      </c>
      <c r="AT24">
        <v>37</v>
      </c>
      <c r="AU24">
        <v>0</v>
      </c>
      <c r="AV24">
        <v>37</v>
      </c>
      <c r="AW24">
        <v>0</v>
      </c>
      <c r="AX24">
        <v>10.5</v>
      </c>
      <c r="AY24">
        <v>0</v>
      </c>
      <c r="AZ24">
        <v>10.5</v>
      </c>
      <c r="BA24">
        <v>0</v>
      </c>
      <c r="BB24">
        <v>20.5</v>
      </c>
      <c r="BC24">
        <v>0</v>
      </c>
      <c r="BD24">
        <v>20.5</v>
      </c>
      <c r="BE24">
        <v>0</v>
      </c>
    </row>
    <row r="25" spans="1:57">
      <c r="A25" t="s">
        <v>17218</v>
      </c>
      <c r="B25" t="s">
        <v>18786</v>
      </c>
      <c r="C25">
        <v>5</v>
      </c>
      <c r="D25">
        <v>16</v>
      </c>
      <c r="E25">
        <v>16</v>
      </c>
      <c r="F25">
        <v>16</v>
      </c>
      <c r="G25">
        <v>0</v>
      </c>
      <c r="H25">
        <v>5</v>
      </c>
      <c r="I25">
        <v>0</v>
      </c>
      <c r="J25">
        <v>16</v>
      </c>
      <c r="K25">
        <v>198</v>
      </c>
      <c r="L25">
        <v>10</v>
      </c>
      <c r="M25">
        <v>0</v>
      </c>
      <c r="N25">
        <v>0</v>
      </c>
      <c r="O25">
        <v>3</v>
      </c>
      <c r="P25">
        <v>0</v>
      </c>
      <c r="Q25">
        <v>3</v>
      </c>
      <c r="R25">
        <v>0</v>
      </c>
      <c r="S25">
        <v>30</v>
      </c>
      <c r="T25">
        <v>24</v>
      </c>
      <c r="U25">
        <v>0</v>
      </c>
      <c r="V25">
        <v>54</v>
      </c>
      <c r="W25">
        <v>780</v>
      </c>
      <c r="X25">
        <v>0</v>
      </c>
      <c r="Y25">
        <v>1</v>
      </c>
      <c r="Z25">
        <v>1</v>
      </c>
      <c r="AA25">
        <v>0</v>
      </c>
      <c r="AB25">
        <v>690</v>
      </c>
      <c r="AC25">
        <v>0</v>
      </c>
      <c r="AD25">
        <v>0</v>
      </c>
      <c r="AE25">
        <v>690</v>
      </c>
      <c r="AF25">
        <v>690</v>
      </c>
      <c r="AG25">
        <v>780</v>
      </c>
      <c r="AH25">
        <v>780</v>
      </c>
      <c r="AI25">
        <v>0</v>
      </c>
      <c r="AJ25">
        <v>690</v>
      </c>
      <c r="AK25">
        <v>780</v>
      </c>
      <c r="AL25">
        <v>780</v>
      </c>
      <c r="AM25">
        <v>0</v>
      </c>
      <c r="AN25">
        <v>0</v>
      </c>
      <c r="AO25">
        <v>0</v>
      </c>
      <c r="AP25">
        <v>2</v>
      </c>
      <c r="AQ25">
        <v>0</v>
      </c>
      <c r="AR25">
        <v>0</v>
      </c>
      <c r="AS25">
        <v>0</v>
      </c>
      <c r="AT25">
        <v>198</v>
      </c>
      <c r="AU25">
        <v>103</v>
      </c>
      <c r="AV25">
        <v>33</v>
      </c>
      <c r="AW25">
        <v>85</v>
      </c>
      <c r="AX25">
        <v>30</v>
      </c>
      <c r="AY25">
        <v>30</v>
      </c>
      <c r="AZ25">
        <v>0</v>
      </c>
      <c r="BA25">
        <v>0</v>
      </c>
      <c r="BB25">
        <v>24</v>
      </c>
      <c r="BC25">
        <v>24</v>
      </c>
      <c r="BD25">
        <v>0</v>
      </c>
      <c r="BE25">
        <v>0</v>
      </c>
    </row>
    <row r="26" spans="1:57">
      <c r="A26" t="s">
        <v>16886</v>
      </c>
      <c r="B26" t="s">
        <v>18787</v>
      </c>
      <c r="C26">
        <v>43</v>
      </c>
      <c r="D26">
        <v>43</v>
      </c>
      <c r="E26">
        <v>42</v>
      </c>
      <c r="F26">
        <v>43</v>
      </c>
      <c r="G26">
        <v>43</v>
      </c>
      <c r="H26">
        <v>43</v>
      </c>
      <c r="I26">
        <v>43</v>
      </c>
      <c r="J26">
        <v>43</v>
      </c>
      <c r="K26">
        <v>443</v>
      </c>
      <c r="L26">
        <v>31</v>
      </c>
      <c r="M26">
        <v>7</v>
      </c>
      <c r="N26">
        <v>3</v>
      </c>
      <c r="O26">
        <v>4</v>
      </c>
      <c r="P26">
        <v>1</v>
      </c>
      <c r="Q26">
        <v>0</v>
      </c>
      <c r="R26">
        <v>0</v>
      </c>
      <c r="S26">
        <v>0</v>
      </c>
      <c r="T26">
        <v>0</v>
      </c>
      <c r="U26">
        <v>0</v>
      </c>
      <c r="V26">
        <v>0</v>
      </c>
      <c r="W26">
        <v>0</v>
      </c>
      <c r="X26">
        <v>0</v>
      </c>
      <c r="Y26">
        <v>0</v>
      </c>
      <c r="Z26">
        <v>0</v>
      </c>
      <c r="AA26">
        <v>0</v>
      </c>
      <c r="AB26">
        <v>0</v>
      </c>
      <c r="AC26">
        <v>10</v>
      </c>
      <c r="AD26">
        <v>10</v>
      </c>
      <c r="AE26">
        <v>10</v>
      </c>
      <c r="AF26">
        <v>10</v>
      </c>
      <c r="AG26">
        <v>10</v>
      </c>
      <c r="AH26">
        <v>0</v>
      </c>
      <c r="AI26">
        <v>10</v>
      </c>
      <c r="AJ26">
        <v>10</v>
      </c>
      <c r="AK26">
        <v>10</v>
      </c>
      <c r="AL26">
        <v>0</v>
      </c>
      <c r="AM26">
        <v>0</v>
      </c>
      <c r="AN26">
        <v>1</v>
      </c>
      <c r="AO26">
        <v>0</v>
      </c>
      <c r="AP26">
        <v>0</v>
      </c>
      <c r="AQ26">
        <v>0</v>
      </c>
      <c r="AR26">
        <v>0</v>
      </c>
      <c r="AS26">
        <v>0</v>
      </c>
      <c r="AT26">
        <v>443</v>
      </c>
      <c r="AU26">
        <v>443</v>
      </c>
      <c r="AV26">
        <v>0</v>
      </c>
      <c r="AW26">
        <v>443</v>
      </c>
      <c r="AX26">
        <v>0</v>
      </c>
      <c r="AY26">
        <v>0</v>
      </c>
      <c r="AZ26">
        <v>0</v>
      </c>
      <c r="BA26">
        <v>0</v>
      </c>
      <c r="BB26">
        <v>0</v>
      </c>
      <c r="BC26">
        <v>0</v>
      </c>
      <c r="BD26">
        <v>0</v>
      </c>
      <c r="BE26">
        <v>0</v>
      </c>
    </row>
    <row r="27" spans="1:57">
      <c r="A27" t="s">
        <v>16887</v>
      </c>
      <c r="B27" t="s">
        <v>16887</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row>
    <row r="28" spans="1:57">
      <c r="A28" t="s">
        <v>17207</v>
      </c>
      <c r="B28" t="s">
        <v>17208</v>
      </c>
      <c r="C28">
        <v>82</v>
      </c>
      <c r="D28">
        <v>560</v>
      </c>
      <c r="E28">
        <v>560</v>
      </c>
      <c r="F28">
        <v>560</v>
      </c>
      <c r="G28">
        <v>4</v>
      </c>
      <c r="H28">
        <v>62</v>
      </c>
      <c r="I28">
        <v>62</v>
      </c>
      <c r="J28">
        <v>546</v>
      </c>
      <c r="K28">
        <v>4197</v>
      </c>
      <c r="L28">
        <v>268</v>
      </c>
      <c r="M28">
        <v>3</v>
      </c>
      <c r="N28">
        <v>2</v>
      </c>
      <c r="O28">
        <v>265</v>
      </c>
      <c r="P28">
        <v>5</v>
      </c>
      <c r="Q28">
        <v>3</v>
      </c>
      <c r="R28">
        <v>0</v>
      </c>
      <c r="S28">
        <v>152.202</v>
      </c>
      <c r="T28">
        <v>565.5</v>
      </c>
      <c r="U28">
        <v>0</v>
      </c>
      <c r="V28">
        <v>717.702</v>
      </c>
      <c r="W28">
        <v>10949.52</v>
      </c>
      <c r="X28">
        <v>0</v>
      </c>
      <c r="Y28">
        <v>470</v>
      </c>
      <c r="Z28">
        <v>0</v>
      </c>
      <c r="AA28">
        <v>-1882.5</v>
      </c>
      <c r="AB28">
        <v>342.5</v>
      </c>
      <c r="AC28">
        <v>90</v>
      </c>
      <c r="AD28">
        <v>90</v>
      </c>
      <c r="AE28">
        <v>405</v>
      </c>
      <c r="AF28">
        <v>432.5</v>
      </c>
      <c r="AG28">
        <v>11039.52</v>
      </c>
      <c r="AH28">
        <v>10634.52</v>
      </c>
      <c r="AI28">
        <v>405</v>
      </c>
      <c r="AJ28">
        <v>432.5</v>
      </c>
      <c r="AK28">
        <v>1564.5</v>
      </c>
      <c r="AL28">
        <v>1159.5</v>
      </c>
      <c r="AM28">
        <v>0</v>
      </c>
      <c r="AN28">
        <v>0</v>
      </c>
      <c r="AO28">
        <v>0</v>
      </c>
      <c r="AP28">
        <v>2</v>
      </c>
      <c r="AQ28">
        <v>0</v>
      </c>
      <c r="AR28">
        <v>0</v>
      </c>
      <c r="AS28">
        <v>0</v>
      </c>
      <c r="AT28">
        <v>4197</v>
      </c>
      <c r="AU28">
        <v>1505</v>
      </c>
      <c r="AV28">
        <v>2376</v>
      </c>
      <c r="AW28">
        <v>624</v>
      </c>
      <c r="AX28">
        <v>152.202</v>
      </c>
      <c r="AY28">
        <v>29.7</v>
      </c>
      <c r="AZ28">
        <v>105.50200000000001</v>
      </c>
      <c r="BA28">
        <v>20.25</v>
      </c>
      <c r="BB28">
        <v>565.5</v>
      </c>
      <c r="BC28">
        <v>76.5</v>
      </c>
      <c r="BD28">
        <v>421</v>
      </c>
      <c r="BE28">
        <v>84</v>
      </c>
    </row>
    <row r="29" spans="1:57">
      <c r="A29" t="s">
        <v>17219</v>
      </c>
      <c r="B29" t="s">
        <v>17220</v>
      </c>
      <c r="C29">
        <v>1</v>
      </c>
      <c r="D29">
        <v>426</v>
      </c>
      <c r="E29">
        <v>413</v>
      </c>
      <c r="F29">
        <v>395</v>
      </c>
      <c r="G29">
        <v>52</v>
      </c>
      <c r="H29">
        <v>42</v>
      </c>
      <c r="I29">
        <v>15</v>
      </c>
      <c r="J29">
        <v>419</v>
      </c>
      <c r="K29">
        <v>4460</v>
      </c>
      <c r="L29">
        <v>134</v>
      </c>
      <c r="M29">
        <v>50</v>
      </c>
      <c r="N29">
        <v>160</v>
      </c>
      <c r="O29">
        <v>30</v>
      </c>
      <c r="P29">
        <v>16</v>
      </c>
      <c r="Q29">
        <v>65</v>
      </c>
      <c r="R29">
        <v>0</v>
      </c>
      <c r="S29">
        <v>142.5</v>
      </c>
      <c r="T29">
        <v>918.5</v>
      </c>
      <c r="U29">
        <v>240</v>
      </c>
      <c r="V29">
        <v>1301</v>
      </c>
      <c r="W29">
        <v>19792.5</v>
      </c>
      <c r="X29">
        <v>0</v>
      </c>
      <c r="Y29">
        <v>257</v>
      </c>
      <c r="Z29">
        <v>63</v>
      </c>
      <c r="AA29">
        <v>-2.5</v>
      </c>
      <c r="AB29">
        <v>16055</v>
      </c>
      <c r="AC29">
        <v>881.74</v>
      </c>
      <c r="AD29">
        <v>851.74</v>
      </c>
      <c r="AE29">
        <v>10137.209999999999</v>
      </c>
      <c r="AF29">
        <v>16906.739999999991</v>
      </c>
      <c r="AG29">
        <v>25474.240000000002</v>
      </c>
      <c r="AH29">
        <v>16737.03</v>
      </c>
      <c r="AI29">
        <v>2619.0300000000002</v>
      </c>
      <c r="AJ29">
        <v>3323.3600000000006</v>
      </c>
      <c r="AK29">
        <v>5380.86</v>
      </c>
      <c r="AL29">
        <v>2761.83</v>
      </c>
      <c r="AM29">
        <v>36</v>
      </c>
      <c r="AN29">
        <v>25</v>
      </c>
      <c r="AO29">
        <v>14</v>
      </c>
      <c r="AP29">
        <v>32</v>
      </c>
      <c r="AQ29">
        <v>1</v>
      </c>
      <c r="AR29">
        <v>1</v>
      </c>
      <c r="AS29">
        <v>0</v>
      </c>
      <c r="AT29">
        <v>4460</v>
      </c>
      <c r="AU29">
        <v>825</v>
      </c>
      <c r="AV29">
        <v>3559</v>
      </c>
      <c r="AW29">
        <v>1</v>
      </c>
      <c r="AX29">
        <v>142.5</v>
      </c>
      <c r="AY29">
        <v>23.25</v>
      </c>
      <c r="AZ29">
        <v>117</v>
      </c>
      <c r="BA29">
        <v>0.25</v>
      </c>
      <c r="BB29">
        <v>918.5</v>
      </c>
      <c r="BC29">
        <v>159.25</v>
      </c>
      <c r="BD29">
        <v>759.25</v>
      </c>
      <c r="BE29">
        <v>0</v>
      </c>
    </row>
    <row r="30" spans="1:57">
      <c r="A30" t="s">
        <v>17209</v>
      </c>
      <c r="B30" t="s">
        <v>18789</v>
      </c>
      <c r="C30">
        <v>0</v>
      </c>
      <c r="D30">
        <v>6</v>
      </c>
      <c r="E30">
        <v>2</v>
      </c>
      <c r="F30">
        <v>0</v>
      </c>
      <c r="G30">
        <v>0</v>
      </c>
      <c r="H30">
        <v>1</v>
      </c>
      <c r="I30">
        <v>0</v>
      </c>
      <c r="J30">
        <v>6</v>
      </c>
      <c r="K30">
        <v>72</v>
      </c>
      <c r="L30">
        <v>3</v>
      </c>
      <c r="M30">
        <v>0</v>
      </c>
      <c r="N30">
        <v>1</v>
      </c>
      <c r="O30">
        <v>0</v>
      </c>
      <c r="P30">
        <v>2</v>
      </c>
      <c r="Q30">
        <v>0</v>
      </c>
      <c r="R30">
        <v>0</v>
      </c>
      <c r="S30">
        <v>8</v>
      </c>
      <c r="T30">
        <v>7</v>
      </c>
      <c r="U30">
        <v>0</v>
      </c>
      <c r="V30">
        <v>15</v>
      </c>
      <c r="W30">
        <v>220</v>
      </c>
      <c r="X30">
        <v>0</v>
      </c>
      <c r="Y30">
        <v>0</v>
      </c>
      <c r="Z30">
        <v>0</v>
      </c>
      <c r="AA30">
        <v>0</v>
      </c>
      <c r="AB30">
        <v>0</v>
      </c>
      <c r="AC30">
        <v>190.5</v>
      </c>
      <c r="AD30">
        <v>190.5</v>
      </c>
      <c r="AE30">
        <v>190.5</v>
      </c>
      <c r="AF30">
        <v>190.5</v>
      </c>
      <c r="AG30">
        <v>410.5</v>
      </c>
      <c r="AH30">
        <v>220</v>
      </c>
      <c r="AI30">
        <v>190.5</v>
      </c>
      <c r="AJ30">
        <v>190.5</v>
      </c>
      <c r="AK30">
        <v>410.5</v>
      </c>
      <c r="AL30">
        <v>220</v>
      </c>
      <c r="AM30">
        <v>0</v>
      </c>
      <c r="AN30">
        <v>0</v>
      </c>
      <c r="AO30">
        <v>0</v>
      </c>
      <c r="AP30">
        <v>1</v>
      </c>
      <c r="AQ30">
        <v>0</v>
      </c>
      <c r="AR30">
        <v>0</v>
      </c>
      <c r="AS30">
        <v>0</v>
      </c>
      <c r="AT30">
        <v>72</v>
      </c>
      <c r="AU30">
        <v>57</v>
      </c>
      <c r="AV30">
        <v>15</v>
      </c>
      <c r="AW30">
        <v>0</v>
      </c>
      <c r="AX30">
        <v>8</v>
      </c>
      <c r="AY30">
        <v>8</v>
      </c>
      <c r="AZ30">
        <v>0</v>
      </c>
      <c r="BA30">
        <v>0</v>
      </c>
      <c r="BB30">
        <v>7</v>
      </c>
      <c r="BC30">
        <v>7</v>
      </c>
      <c r="BD30">
        <v>0</v>
      </c>
      <c r="BE30">
        <v>0</v>
      </c>
    </row>
    <row r="31" spans="1:57">
      <c r="A31" t="s">
        <v>17209</v>
      </c>
      <c r="B31" t="s">
        <v>18789</v>
      </c>
      <c r="C31">
        <v>0</v>
      </c>
      <c r="D31">
        <v>1</v>
      </c>
      <c r="E31">
        <v>1</v>
      </c>
      <c r="F31">
        <v>1</v>
      </c>
      <c r="G31">
        <v>0</v>
      </c>
      <c r="H31">
        <v>0</v>
      </c>
      <c r="I31">
        <v>0</v>
      </c>
      <c r="J31">
        <v>1</v>
      </c>
      <c r="K31">
        <v>10</v>
      </c>
      <c r="L31">
        <v>0</v>
      </c>
      <c r="M31">
        <v>0</v>
      </c>
      <c r="N31">
        <v>0</v>
      </c>
      <c r="O31">
        <v>0</v>
      </c>
      <c r="P31">
        <v>1</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10</v>
      </c>
      <c r="AU31">
        <v>0</v>
      </c>
      <c r="AV31">
        <v>10</v>
      </c>
      <c r="AW31">
        <v>0</v>
      </c>
      <c r="AX31">
        <v>0</v>
      </c>
      <c r="AY31">
        <v>0</v>
      </c>
      <c r="AZ31">
        <v>0</v>
      </c>
      <c r="BA31">
        <v>0</v>
      </c>
      <c r="BB31">
        <v>0</v>
      </c>
      <c r="BC31">
        <v>0</v>
      </c>
      <c r="BD31">
        <v>0</v>
      </c>
      <c r="BE31">
        <v>0</v>
      </c>
    </row>
    <row r="32" spans="1:57">
      <c r="A32" t="s">
        <v>16888</v>
      </c>
      <c r="B32" t="s">
        <v>17350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row>
    <row r="33" spans="1:57">
      <c r="A33" t="s">
        <v>19966</v>
      </c>
      <c r="B33" t="s">
        <v>19967</v>
      </c>
      <c r="C33">
        <v>0</v>
      </c>
      <c r="D33">
        <v>2</v>
      </c>
      <c r="E33">
        <v>2</v>
      </c>
      <c r="F33">
        <v>2</v>
      </c>
      <c r="G33">
        <v>0</v>
      </c>
      <c r="H33">
        <v>0</v>
      </c>
      <c r="I33">
        <v>0</v>
      </c>
      <c r="J33">
        <v>2</v>
      </c>
      <c r="K33">
        <v>19</v>
      </c>
      <c r="L33">
        <v>2</v>
      </c>
      <c r="M33">
        <v>0</v>
      </c>
      <c r="N33">
        <v>0</v>
      </c>
      <c r="O33">
        <v>0</v>
      </c>
      <c r="P33">
        <v>0</v>
      </c>
      <c r="Q33">
        <v>0</v>
      </c>
      <c r="R33">
        <v>0</v>
      </c>
      <c r="S33">
        <v>6</v>
      </c>
      <c r="T33">
        <v>3</v>
      </c>
      <c r="U33">
        <v>0</v>
      </c>
      <c r="V33">
        <v>9</v>
      </c>
      <c r="W33">
        <v>120</v>
      </c>
      <c r="X33">
        <v>0</v>
      </c>
      <c r="Y33">
        <v>2</v>
      </c>
      <c r="Z33">
        <v>0</v>
      </c>
      <c r="AA33">
        <v>0</v>
      </c>
      <c r="AB33">
        <v>60</v>
      </c>
      <c r="AC33">
        <v>0</v>
      </c>
      <c r="AD33">
        <v>0</v>
      </c>
      <c r="AE33">
        <v>0</v>
      </c>
      <c r="AF33">
        <v>60</v>
      </c>
      <c r="AG33">
        <v>120</v>
      </c>
      <c r="AH33">
        <v>120</v>
      </c>
      <c r="AI33">
        <v>0</v>
      </c>
      <c r="AJ33">
        <v>0</v>
      </c>
      <c r="AK33">
        <v>0</v>
      </c>
      <c r="AL33">
        <v>0</v>
      </c>
      <c r="AM33">
        <v>0</v>
      </c>
      <c r="AN33">
        <v>0</v>
      </c>
      <c r="AO33">
        <v>0</v>
      </c>
      <c r="AP33">
        <v>0</v>
      </c>
      <c r="AQ33">
        <v>0</v>
      </c>
      <c r="AR33">
        <v>0</v>
      </c>
      <c r="AS33">
        <v>0</v>
      </c>
      <c r="AT33">
        <v>19</v>
      </c>
      <c r="AU33">
        <v>0</v>
      </c>
      <c r="AV33">
        <v>19</v>
      </c>
      <c r="AW33">
        <v>0</v>
      </c>
      <c r="AX33">
        <v>6</v>
      </c>
      <c r="AY33">
        <v>0</v>
      </c>
      <c r="AZ33">
        <v>6</v>
      </c>
      <c r="BA33">
        <v>0</v>
      </c>
      <c r="BB33">
        <v>3</v>
      </c>
      <c r="BC33">
        <v>0</v>
      </c>
      <c r="BD33">
        <v>3</v>
      </c>
      <c r="BE33">
        <v>0</v>
      </c>
    </row>
    <row r="34" spans="1:57">
      <c r="A34" t="s">
        <v>19966</v>
      </c>
      <c r="B34" t="s">
        <v>19967</v>
      </c>
      <c r="C34">
        <v>0</v>
      </c>
      <c r="D34">
        <v>4</v>
      </c>
      <c r="E34">
        <v>4</v>
      </c>
      <c r="F34">
        <v>4</v>
      </c>
      <c r="G34">
        <v>0</v>
      </c>
      <c r="H34">
        <v>0</v>
      </c>
      <c r="I34">
        <v>0</v>
      </c>
      <c r="J34">
        <v>4</v>
      </c>
      <c r="K34">
        <v>29</v>
      </c>
      <c r="L34">
        <v>1</v>
      </c>
      <c r="M34">
        <v>1</v>
      </c>
      <c r="N34">
        <v>1</v>
      </c>
      <c r="O34">
        <v>1</v>
      </c>
      <c r="P34">
        <v>0</v>
      </c>
      <c r="Q34">
        <v>0</v>
      </c>
      <c r="R34">
        <v>0</v>
      </c>
      <c r="S34">
        <v>2.5</v>
      </c>
      <c r="T34">
        <v>1.25</v>
      </c>
      <c r="U34">
        <v>0</v>
      </c>
      <c r="V34">
        <v>3.75</v>
      </c>
      <c r="W34">
        <v>50</v>
      </c>
      <c r="X34">
        <v>0</v>
      </c>
      <c r="Y34">
        <v>4</v>
      </c>
      <c r="Z34">
        <v>0</v>
      </c>
      <c r="AA34">
        <v>0</v>
      </c>
      <c r="AB34">
        <v>0</v>
      </c>
      <c r="AC34">
        <v>0</v>
      </c>
      <c r="AD34">
        <v>0</v>
      </c>
      <c r="AE34">
        <v>0</v>
      </c>
      <c r="AF34">
        <v>0</v>
      </c>
      <c r="AG34">
        <v>50</v>
      </c>
      <c r="AH34">
        <v>50</v>
      </c>
      <c r="AI34">
        <v>0</v>
      </c>
      <c r="AJ34">
        <v>0</v>
      </c>
      <c r="AK34">
        <v>0</v>
      </c>
      <c r="AL34">
        <v>0</v>
      </c>
      <c r="AM34">
        <v>0</v>
      </c>
      <c r="AN34">
        <v>0</v>
      </c>
      <c r="AO34">
        <v>0</v>
      </c>
      <c r="AP34">
        <v>0</v>
      </c>
      <c r="AQ34">
        <v>0</v>
      </c>
      <c r="AR34">
        <v>0</v>
      </c>
      <c r="AS34">
        <v>0</v>
      </c>
      <c r="AT34">
        <v>29</v>
      </c>
      <c r="AU34">
        <v>0</v>
      </c>
      <c r="AV34">
        <v>29</v>
      </c>
      <c r="AW34">
        <v>0</v>
      </c>
      <c r="AX34">
        <v>2.5</v>
      </c>
      <c r="AY34">
        <v>0</v>
      </c>
      <c r="AZ34">
        <v>2.5</v>
      </c>
      <c r="BA34">
        <v>0</v>
      </c>
      <c r="BB34">
        <v>1.25</v>
      </c>
      <c r="BC34">
        <v>0</v>
      </c>
      <c r="BD34">
        <v>1.25</v>
      </c>
      <c r="BE34">
        <v>0</v>
      </c>
    </row>
    <row r="35" spans="1:57">
      <c r="A35" t="s">
        <v>18790</v>
      </c>
      <c r="B35" t="s">
        <v>17356</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row>
    <row r="36" spans="1:57">
      <c r="A36" t="s">
        <v>18790</v>
      </c>
      <c r="B36" t="s">
        <v>17356</v>
      </c>
      <c r="C36">
        <v>0</v>
      </c>
      <c r="D36">
        <v>2</v>
      </c>
      <c r="E36">
        <v>2</v>
      </c>
      <c r="F36">
        <v>0</v>
      </c>
      <c r="G36">
        <v>0</v>
      </c>
      <c r="H36">
        <v>0</v>
      </c>
      <c r="I36">
        <v>0</v>
      </c>
      <c r="J36">
        <v>2</v>
      </c>
      <c r="K36">
        <v>36</v>
      </c>
      <c r="L36">
        <v>2</v>
      </c>
      <c r="M36">
        <v>0</v>
      </c>
      <c r="N36">
        <v>0</v>
      </c>
      <c r="O36">
        <v>0</v>
      </c>
      <c r="P36">
        <v>0</v>
      </c>
      <c r="Q36">
        <v>0</v>
      </c>
      <c r="R36">
        <v>0</v>
      </c>
      <c r="S36">
        <v>3</v>
      </c>
      <c r="T36">
        <v>3</v>
      </c>
      <c r="U36">
        <v>0</v>
      </c>
      <c r="V36">
        <v>6</v>
      </c>
      <c r="W36">
        <v>90</v>
      </c>
      <c r="X36">
        <v>0</v>
      </c>
      <c r="Y36">
        <v>1</v>
      </c>
      <c r="Z36">
        <v>1</v>
      </c>
      <c r="AA36">
        <v>0</v>
      </c>
      <c r="AB36">
        <v>20</v>
      </c>
      <c r="AC36">
        <v>0</v>
      </c>
      <c r="AD36">
        <v>0</v>
      </c>
      <c r="AE36">
        <v>0</v>
      </c>
      <c r="AF36">
        <v>20</v>
      </c>
      <c r="AG36">
        <v>90</v>
      </c>
      <c r="AH36">
        <v>90</v>
      </c>
      <c r="AI36">
        <v>0</v>
      </c>
      <c r="AJ36">
        <v>0</v>
      </c>
      <c r="AK36">
        <v>0</v>
      </c>
      <c r="AL36">
        <v>0</v>
      </c>
      <c r="AM36">
        <v>0</v>
      </c>
      <c r="AN36">
        <v>0</v>
      </c>
      <c r="AO36">
        <v>0</v>
      </c>
      <c r="AP36">
        <v>0</v>
      </c>
      <c r="AQ36">
        <v>0</v>
      </c>
      <c r="AR36">
        <v>0</v>
      </c>
      <c r="AS36">
        <v>0</v>
      </c>
      <c r="AT36">
        <v>36</v>
      </c>
      <c r="AU36">
        <v>0</v>
      </c>
      <c r="AV36">
        <v>36</v>
      </c>
      <c r="AW36">
        <v>0</v>
      </c>
      <c r="AX36">
        <v>3</v>
      </c>
      <c r="AY36">
        <v>0</v>
      </c>
      <c r="AZ36">
        <v>3</v>
      </c>
      <c r="BA36">
        <v>0</v>
      </c>
      <c r="BB36">
        <v>3</v>
      </c>
      <c r="BC36">
        <v>0</v>
      </c>
      <c r="BD36">
        <v>3</v>
      </c>
      <c r="BE36">
        <v>0</v>
      </c>
    </row>
    <row r="37" spans="1:57">
      <c r="A37" t="s">
        <v>17228</v>
      </c>
      <c r="B37" t="s">
        <v>17229</v>
      </c>
      <c r="C37">
        <v>0</v>
      </c>
      <c r="D37">
        <v>4</v>
      </c>
      <c r="E37">
        <v>0</v>
      </c>
      <c r="F37">
        <v>2</v>
      </c>
      <c r="G37">
        <v>0</v>
      </c>
      <c r="H37">
        <v>0</v>
      </c>
      <c r="I37">
        <v>0</v>
      </c>
      <c r="J37">
        <v>4</v>
      </c>
      <c r="K37">
        <v>56</v>
      </c>
      <c r="L37">
        <v>2</v>
      </c>
      <c r="M37">
        <v>1</v>
      </c>
      <c r="N37">
        <v>0</v>
      </c>
      <c r="O37">
        <v>0</v>
      </c>
      <c r="P37">
        <v>1</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56</v>
      </c>
      <c r="AU37">
        <v>0</v>
      </c>
      <c r="AV37">
        <v>56</v>
      </c>
      <c r="AW37">
        <v>0</v>
      </c>
      <c r="AX37">
        <v>0</v>
      </c>
      <c r="AY37">
        <v>0</v>
      </c>
      <c r="AZ37">
        <v>0</v>
      </c>
      <c r="BA37">
        <v>0</v>
      </c>
      <c r="BB37">
        <v>0</v>
      </c>
      <c r="BC37">
        <v>0</v>
      </c>
      <c r="BD37">
        <v>0</v>
      </c>
      <c r="BE37">
        <v>0</v>
      </c>
    </row>
    <row r="38" spans="1:57">
      <c r="A38" t="s">
        <v>16889</v>
      </c>
      <c r="B38" t="s">
        <v>17351</v>
      </c>
      <c r="C38">
        <v>0</v>
      </c>
      <c r="D38">
        <v>20</v>
      </c>
      <c r="E38">
        <v>20</v>
      </c>
      <c r="F38">
        <v>19</v>
      </c>
      <c r="G38">
        <v>5</v>
      </c>
      <c r="H38">
        <v>2</v>
      </c>
      <c r="I38">
        <v>0</v>
      </c>
      <c r="J38">
        <v>20</v>
      </c>
      <c r="K38">
        <v>290</v>
      </c>
      <c r="L38">
        <v>3</v>
      </c>
      <c r="M38">
        <v>0</v>
      </c>
      <c r="N38">
        <v>10</v>
      </c>
      <c r="O38">
        <v>5</v>
      </c>
      <c r="P38">
        <v>1</v>
      </c>
      <c r="Q38">
        <v>1</v>
      </c>
      <c r="R38">
        <v>0</v>
      </c>
      <c r="S38">
        <v>12.25</v>
      </c>
      <c r="T38">
        <v>17.25</v>
      </c>
      <c r="U38">
        <v>0</v>
      </c>
      <c r="V38">
        <v>29.5</v>
      </c>
      <c r="W38">
        <v>467.5</v>
      </c>
      <c r="X38">
        <v>0</v>
      </c>
      <c r="Y38">
        <v>17</v>
      </c>
      <c r="Z38">
        <v>0</v>
      </c>
      <c r="AA38">
        <v>0</v>
      </c>
      <c r="AB38">
        <v>205</v>
      </c>
      <c r="AC38">
        <v>40.5</v>
      </c>
      <c r="AD38">
        <v>40.5</v>
      </c>
      <c r="AE38">
        <v>57.75</v>
      </c>
      <c r="AF38">
        <v>245.5</v>
      </c>
      <c r="AG38">
        <v>508</v>
      </c>
      <c r="AH38">
        <v>450.25</v>
      </c>
      <c r="AI38">
        <v>50.5</v>
      </c>
      <c r="AJ38">
        <v>230.5</v>
      </c>
      <c r="AK38">
        <v>290.5</v>
      </c>
      <c r="AL38">
        <v>240</v>
      </c>
      <c r="AM38">
        <v>2</v>
      </c>
      <c r="AN38">
        <v>0</v>
      </c>
      <c r="AO38">
        <v>1</v>
      </c>
      <c r="AP38">
        <v>0</v>
      </c>
      <c r="AQ38">
        <v>0</v>
      </c>
      <c r="AR38">
        <v>0</v>
      </c>
      <c r="AS38">
        <v>0</v>
      </c>
      <c r="AT38">
        <v>290</v>
      </c>
      <c r="AU38">
        <v>53</v>
      </c>
      <c r="AV38">
        <v>237</v>
      </c>
      <c r="AW38">
        <v>0</v>
      </c>
      <c r="AX38">
        <v>12.25</v>
      </c>
      <c r="AY38">
        <v>6.5</v>
      </c>
      <c r="AZ38">
        <v>5.75</v>
      </c>
      <c r="BA38">
        <v>0</v>
      </c>
      <c r="BB38">
        <v>17.25</v>
      </c>
      <c r="BC38">
        <v>10</v>
      </c>
      <c r="BD38">
        <v>7.25</v>
      </c>
      <c r="BE38">
        <v>0</v>
      </c>
    </row>
    <row r="39" spans="1:57">
      <c r="A39" t="s">
        <v>16890</v>
      </c>
      <c r="B39" t="s">
        <v>16891</v>
      </c>
      <c r="C39">
        <v>0</v>
      </c>
      <c r="D39">
        <v>47</v>
      </c>
      <c r="E39">
        <v>44</v>
      </c>
      <c r="F39">
        <v>46</v>
      </c>
      <c r="G39">
        <v>4</v>
      </c>
      <c r="H39">
        <v>13</v>
      </c>
      <c r="I39">
        <v>1</v>
      </c>
      <c r="J39">
        <v>43</v>
      </c>
      <c r="K39">
        <v>627</v>
      </c>
      <c r="L39">
        <v>24</v>
      </c>
      <c r="M39">
        <v>1</v>
      </c>
      <c r="N39">
        <v>10</v>
      </c>
      <c r="O39">
        <v>7</v>
      </c>
      <c r="P39">
        <v>1</v>
      </c>
      <c r="Q39">
        <v>3</v>
      </c>
      <c r="R39">
        <v>0</v>
      </c>
      <c r="S39">
        <v>75.5</v>
      </c>
      <c r="T39">
        <v>7</v>
      </c>
      <c r="U39">
        <v>0</v>
      </c>
      <c r="V39">
        <v>82.5</v>
      </c>
      <c r="W39">
        <v>892.5</v>
      </c>
      <c r="X39">
        <v>0</v>
      </c>
      <c r="Y39">
        <v>38</v>
      </c>
      <c r="Z39">
        <v>0</v>
      </c>
      <c r="AA39">
        <v>0</v>
      </c>
      <c r="AB39">
        <v>260</v>
      </c>
      <c r="AC39">
        <v>1765.5</v>
      </c>
      <c r="AD39">
        <v>1765.5</v>
      </c>
      <c r="AE39">
        <v>1698.5</v>
      </c>
      <c r="AF39">
        <v>2025.5</v>
      </c>
      <c r="AG39">
        <v>2658</v>
      </c>
      <c r="AH39">
        <v>959.5</v>
      </c>
      <c r="AI39">
        <v>261</v>
      </c>
      <c r="AJ39">
        <v>538</v>
      </c>
      <c r="AK39">
        <v>758</v>
      </c>
      <c r="AL39">
        <v>497</v>
      </c>
      <c r="AM39">
        <v>2</v>
      </c>
      <c r="AN39">
        <v>11</v>
      </c>
      <c r="AO39">
        <v>4</v>
      </c>
      <c r="AP39">
        <v>6</v>
      </c>
      <c r="AQ39">
        <v>0</v>
      </c>
      <c r="AR39">
        <v>0</v>
      </c>
      <c r="AS39">
        <v>0</v>
      </c>
      <c r="AT39">
        <v>627</v>
      </c>
      <c r="AU39">
        <v>304</v>
      </c>
      <c r="AV39">
        <v>323</v>
      </c>
      <c r="AW39">
        <v>0</v>
      </c>
      <c r="AX39">
        <v>75.5</v>
      </c>
      <c r="AY39">
        <v>37.5</v>
      </c>
      <c r="AZ39">
        <v>38</v>
      </c>
      <c r="BA39">
        <v>0</v>
      </c>
      <c r="BB39">
        <v>7</v>
      </c>
      <c r="BC39">
        <v>2.75</v>
      </c>
      <c r="BD39">
        <v>4.25</v>
      </c>
      <c r="BE39">
        <v>0</v>
      </c>
    </row>
    <row r="40" spans="1:57">
      <c r="A40" t="s">
        <v>19969</v>
      </c>
      <c r="B40" t="s">
        <v>19970</v>
      </c>
      <c r="C40">
        <v>6</v>
      </c>
      <c r="D40">
        <v>23</v>
      </c>
      <c r="E40">
        <v>0</v>
      </c>
      <c r="F40">
        <v>14</v>
      </c>
      <c r="G40">
        <v>0</v>
      </c>
      <c r="H40">
        <v>2</v>
      </c>
      <c r="I40">
        <v>0</v>
      </c>
      <c r="J40">
        <v>21</v>
      </c>
      <c r="K40">
        <v>199</v>
      </c>
      <c r="L40">
        <v>12</v>
      </c>
      <c r="M40">
        <v>2</v>
      </c>
      <c r="N40">
        <v>4</v>
      </c>
      <c r="O40">
        <v>4</v>
      </c>
      <c r="P40">
        <v>0</v>
      </c>
      <c r="Q40">
        <v>2</v>
      </c>
      <c r="R40">
        <v>0</v>
      </c>
      <c r="S40">
        <v>3</v>
      </c>
      <c r="T40">
        <v>22.25</v>
      </c>
      <c r="U40">
        <v>0</v>
      </c>
      <c r="V40">
        <v>25.25</v>
      </c>
      <c r="W40">
        <v>395</v>
      </c>
      <c r="X40">
        <v>0</v>
      </c>
      <c r="Y40">
        <v>5</v>
      </c>
      <c r="Z40">
        <v>2</v>
      </c>
      <c r="AA40">
        <v>-80</v>
      </c>
      <c r="AB40">
        <v>210</v>
      </c>
      <c r="AC40">
        <v>249.24</v>
      </c>
      <c r="AD40">
        <v>249.24</v>
      </c>
      <c r="AE40">
        <v>384.74</v>
      </c>
      <c r="AF40">
        <v>459.24</v>
      </c>
      <c r="AG40">
        <v>644.24</v>
      </c>
      <c r="AH40">
        <v>259.5</v>
      </c>
      <c r="AI40">
        <v>329.74</v>
      </c>
      <c r="AJ40">
        <v>399.24</v>
      </c>
      <c r="AK40">
        <v>489.24</v>
      </c>
      <c r="AL40">
        <v>159.5</v>
      </c>
      <c r="AM40">
        <v>0</v>
      </c>
      <c r="AN40">
        <v>0</v>
      </c>
      <c r="AO40">
        <v>1</v>
      </c>
      <c r="AP40">
        <v>1</v>
      </c>
      <c r="AQ40">
        <v>0</v>
      </c>
      <c r="AR40">
        <v>0</v>
      </c>
      <c r="AS40">
        <v>0</v>
      </c>
      <c r="AT40">
        <v>199</v>
      </c>
      <c r="AU40">
        <v>0</v>
      </c>
      <c r="AV40">
        <v>140</v>
      </c>
      <c r="AW40">
        <v>59</v>
      </c>
      <c r="AX40">
        <v>3</v>
      </c>
      <c r="AY40">
        <v>0</v>
      </c>
      <c r="AZ40">
        <v>1.5</v>
      </c>
      <c r="BA40">
        <v>1.5</v>
      </c>
      <c r="BB40">
        <v>22.25</v>
      </c>
      <c r="BC40">
        <v>12</v>
      </c>
      <c r="BD40">
        <v>7</v>
      </c>
      <c r="BE40">
        <v>3.25</v>
      </c>
    </row>
    <row r="41" spans="1:57">
      <c r="A41" t="s">
        <v>16892</v>
      </c>
      <c r="B41" t="s">
        <v>16893</v>
      </c>
      <c r="C41">
        <v>0</v>
      </c>
      <c r="D41">
        <v>7</v>
      </c>
      <c r="E41">
        <v>7</v>
      </c>
      <c r="F41">
        <v>7</v>
      </c>
      <c r="G41">
        <v>0</v>
      </c>
      <c r="H41">
        <v>0</v>
      </c>
      <c r="I41">
        <v>0</v>
      </c>
      <c r="J41">
        <v>7</v>
      </c>
      <c r="K41">
        <v>49</v>
      </c>
      <c r="L41">
        <v>5</v>
      </c>
      <c r="M41">
        <v>1</v>
      </c>
      <c r="N41">
        <v>0</v>
      </c>
      <c r="O41">
        <v>1</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49</v>
      </c>
      <c r="AU41">
        <v>0</v>
      </c>
      <c r="AV41">
        <v>49</v>
      </c>
      <c r="AW41">
        <v>0</v>
      </c>
      <c r="AX41">
        <v>0</v>
      </c>
      <c r="AY41">
        <v>0</v>
      </c>
      <c r="AZ41">
        <v>0</v>
      </c>
      <c r="BA41">
        <v>0</v>
      </c>
      <c r="BB41">
        <v>0</v>
      </c>
      <c r="BC41">
        <v>0</v>
      </c>
      <c r="BD41">
        <v>0</v>
      </c>
      <c r="BE41">
        <v>0</v>
      </c>
    </row>
    <row r="42" spans="1:57">
      <c r="A42" t="s">
        <v>16894</v>
      </c>
      <c r="B42" t="s">
        <v>16895</v>
      </c>
      <c r="C42">
        <v>0</v>
      </c>
      <c r="D42">
        <v>8</v>
      </c>
      <c r="E42">
        <v>8</v>
      </c>
      <c r="F42">
        <v>7</v>
      </c>
      <c r="G42">
        <v>0</v>
      </c>
      <c r="H42">
        <v>0</v>
      </c>
      <c r="I42">
        <v>0</v>
      </c>
      <c r="J42">
        <v>8</v>
      </c>
      <c r="K42">
        <v>125</v>
      </c>
      <c r="L42">
        <v>7</v>
      </c>
      <c r="M42">
        <v>1</v>
      </c>
      <c r="N42">
        <v>0</v>
      </c>
      <c r="O42">
        <v>0</v>
      </c>
      <c r="P42">
        <v>0</v>
      </c>
      <c r="Q42">
        <v>0</v>
      </c>
      <c r="R42">
        <v>0</v>
      </c>
      <c r="S42">
        <v>6.25</v>
      </c>
      <c r="T42">
        <v>5.25</v>
      </c>
      <c r="U42">
        <v>0</v>
      </c>
      <c r="V42">
        <v>11.5</v>
      </c>
      <c r="W42">
        <v>167.5</v>
      </c>
      <c r="X42">
        <v>0</v>
      </c>
      <c r="Y42">
        <v>0</v>
      </c>
      <c r="Z42">
        <v>4</v>
      </c>
      <c r="AA42">
        <v>0</v>
      </c>
      <c r="AB42">
        <v>0</v>
      </c>
      <c r="AC42">
        <v>0</v>
      </c>
      <c r="AD42">
        <v>0</v>
      </c>
      <c r="AE42">
        <v>0</v>
      </c>
      <c r="AF42">
        <v>0</v>
      </c>
      <c r="AG42">
        <v>167.5</v>
      </c>
      <c r="AH42">
        <v>167.5</v>
      </c>
      <c r="AI42">
        <v>0</v>
      </c>
      <c r="AJ42">
        <v>0</v>
      </c>
      <c r="AK42">
        <v>0</v>
      </c>
      <c r="AL42">
        <v>0</v>
      </c>
      <c r="AM42">
        <v>0</v>
      </c>
      <c r="AN42">
        <v>0</v>
      </c>
      <c r="AO42">
        <v>0</v>
      </c>
      <c r="AP42">
        <v>0</v>
      </c>
      <c r="AQ42">
        <v>0</v>
      </c>
      <c r="AR42">
        <v>0</v>
      </c>
      <c r="AS42">
        <v>0</v>
      </c>
      <c r="AT42">
        <v>125</v>
      </c>
      <c r="AU42">
        <v>0</v>
      </c>
      <c r="AV42">
        <v>125</v>
      </c>
      <c r="AW42">
        <v>0</v>
      </c>
      <c r="AX42">
        <v>6.25</v>
      </c>
      <c r="AY42">
        <v>0</v>
      </c>
      <c r="AZ42">
        <v>6.25</v>
      </c>
      <c r="BA42">
        <v>0</v>
      </c>
      <c r="BB42">
        <v>5.25</v>
      </c>
      <c r="BC42">
        <v>0</v>
      </c>
      <c r="BD42">
        <v>5.25</v>
      </c>
      <c r="BE42">
        <v>0</v>
      </c>
    </row>
    <row r="43" spans="1:57">
      <c r="A43" t="s">
        <v>16900</v>
      </c>
      <c r="B43" t="s">
        <v>16901</v>
      </c>
      <c r="C43">
        <v>0</v>
      </c>
      <c r="D43">
        <v>5</v>
      </c>
      <c r="E43">
        <v>5</v>
      </c>
      <c r="F43">
        <v>5</v>
      </c>
      <c r="G43">
        <v>0</v>
      </c>
      <c r="H43">
        <v>0</v>
      </c>
      <c r="I43">
        <v>0</v>
      </c>
      <c r="J43">
        <v>5</v>
      </c>
      <c r="K43">
        <v>29</v>
      </c>
      <c r="L43">
        <v>1</v>
      </c>
      <c r="M43">
        <v>4</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29</v>
      </c>
      <c r="AU43">
        <v>0</v>
      </c>
      <c r="AV43">
        <v>29</v>
      </c>
      <c r="AW43">
        <v>0</v>
      </c>
      <c r="AX43">
        <v>0</v>
      </c>
      <c r="AY43">
        <v>0</v>
      </c>
      <c r="AZ43">
        <v>0</v>
      </c>
      <c r="BA43">
        <v>0</v>
      </c>
      <c r="BB43">
        <v>0</v>
      </c>
      <c r="BC43">
        <v>0</v>
      </c>
      <c r="BD43">
        <v>0</v>
      </c>
      <c r="BE43">
        <v>0</v>
      </c>
    </row>
    <row r="44" spans="1:57">
      <c r="A44" t="s">
        <v>16902</v>
      </c>
      <c r="B44" t="s">
        <v>16903</v>
      </c>
      <c r="C44">
        <v>2</v>
      </c>
      <c r="D44">
        <v>4</v>
      </c>
      <c r="E44">
        <v>4</v>
      </c>
      <c r="F44">
        <v>3</v>
      </c>
      <c r="G44">
        <v>0</v>
      </c>
      <c r="H44">
        <v>0</v>
      </c>
      <c r="I44">
        <v>0</v>
      </c>
      <c r="J44">
        <v>4</v>
      </c>
      <c r="K44">
        <v>28</v>
      </c>
      <c r="L44">
        <v>3</v>
      </c>
      <c r="M44">
        <v>1</v>
      </c>
      <c r="N44">
        <v>0</v>
      </c>
      <c r="O44">
        <v>0</v>
      </c>
      <c r="P44">
        <v>0</v>
      </c>
      <c r="Q44">
        <v>0</v>
      </c>
      <c r="R44">
        <v>0</v>
      </c>
      <c r="S44">
        <v>0.75</v>
      </c>
      <c r="T44">
        <v>1.25</v>
      </c>
      <c r="U44">
        <v>1</v>
      </c>
      <c r="V44">
        <v>3</v>
      </c>
      <c r="W44">
        <v>30</v>
      </c>
      <c r="X44">
        <v>0</v>
      </c>
      <c r="Y44">
        <v>2</v>
      </c>
      <c r="Z44">
        <v>0</v>
      </c>
      <c r="AA44">
        <v>-2.5</v>
      </c>
      <c r="AB44">
        <v>0</v>
      </c>
      <c r="AC44">
        <v>0</v>
      </c>
      <c r="AD44">
        <v>0</v>
      </c>
      <c r="AE44">
        <v>0</v>
      </c>
      <c r="AF44">
        <v>0</v>
      </c>
      <c r="AG44">
        <v>50</v>
      </c>
      <c r="AH44">
        <v>50</v>
      </c>
      <c r="AI44">
        <v>0</v>
      </c>
      <c r="AJ44">
        <v>0</v>
      </c>
      <c r="AK44">
        <v>0</v>
      </c>
      <c r="AL44">
        <v>0</v>
      </c>
      <c r="AM44">
        <v>0</v>
      </c>
      <c r="AN44">
        <v>0</v>
      </c>
      <c r="AO44">
        <v>0</v>
      </c>
      <c r="AP44">
        <v>0</v>
      </c>
      <c r="AQ44">
        <v>0</v>
      </c>
      <c r="AR44">
        <v>0</v>
      </c>
      <c r="AS44">
        <v>0</v>
      </c>
      <c r="AT44">
        <v>28</v>
      </c>
      <c r="AU44">
        <v>0</v>
      </c>
      <c r="AV44">
        <v>21</v>
      </c>
      <c r="AW44">
        <v>7</v>
      </c>
      <c r="AX44">
        <v>0.75</v>
      </c>
      <c r="AY44">
        <v>0</v>
      </c>
      <c r="AZ44">
        <v>0.5</v>
      </c>
      <c r="BA44">
        <v>0.25</v>
      </c>
      <c r="BB44">
        <v>1.25</v>
      </c>
      <c r="BC44">
        <v>0</v>
      </c>
      <c r="BD44">
        <v>1.25</v>
      </c>
      <c r="BE44">
        <v>0</v>
      </c>
    </row>
    <row r="45" spans="1:57">
      <c r="A45" t="s">
        <v>16904</v>
      </c>
      <c r="B45" t="s">
        <v>16905</v>
      </c>
      <c r="C45">
        <v>0</v>
      </c>
      <c r="D45">
        <v>23</v>
      </c>
      <c r="E45">
        <v>23</v>
      </c>
      <c r="F45">
        <v>23</v>
      </c>
      <c r="G45">
        <v>3</v>
      </c>
      <c r="H45">
        <v>1</v>
      </c>
      <c r="I45">
        <v>4</v>
      </c>
      <c r="J45">
        <v>23</v>
      </c>
      <c r="K45">
        <v>311</v>
      </c>
      <c r="L45">
        <v>8</v>
      </c>
      <c r="M45">
        <v>8</v>
      </c>
      <c r="N45">
        <v>4</v>
      </c>
      <c r="O45">
        <v>3</v>
      </c>
      <c r="P45">
        <v>0</v>
      </c>
      <c r="Q45">
        <v>0</v>
      </c>
      <c r="R45">
        <v>0</v>
      </c>
      <c r="S45">
        <v>8.5</v>
      </c>
      <c r="T45">
        <v>4.875</v>
      </c>
      <c r="U45">
        <v>0</v>
      </c>
      <c r="V45">
        <v>13.375</v>
      </c>
      <c r="W45">
        <v>182.5</v>
      </c>
      <c r="X45">
        <v>0</v>
      </c>
      <c r="Y45">
        <v>5</v>
      </c>
      <c r="Z45">
        <v>0</v>
      </c>
      <c r="AA45">
        <v>0</v>
      </c>
      <c r="AB45">
        <v>60</v>
      </c>
      <c r="AC45">
        <v>0</v>
      </c>
      <c r="AD45">
        <v>0</v>
      </c>
      <c r="AE45">
        <v>0</v>
      </c>
      <c r="AF45">
        <v>60</v>
      </c>
      <c r="AG45">
        <v>182.5</v>
      </c>
      <c r="AH45">
        <v>182.5</v>
      </c>
      <c r="AI45">
        <v>0</v>
      </c>
      <c r="AJ45">
        <v>0</v>
      </c>
      <c r="AK45">
        <v>0</v>
      </c>
      <c r="AL45">
        <v>0</v>
      </c>
      <c r="AM45">
        <v>0</v>
      </c>
      <c r="AN45">
        <v>0</v>
      </c>
      <c r="AO45">
        <v>0</v>
      </c>
      <c r="AP45">
        <v>0</v>
      </c>
      <c r="AQ45">
        <v>0</v>
      </c>
      <c r="AR45">
        <v>0</v>
      </c>
      <c r="AS45">
        <v>0</v>
      </c>
      <c r="AT45">
        <v>311</v>
      </c>
      <c r="AU45">
        <v>7</v>
      </c>
      <c r="AV45">
        <v>304</v>
      </c>
      <c r="AW45">
        <v>0</v>
      </c>
      <c r="AX45">
        <v>8.5</v>
      </c>
      <c r="AY45">
        <v>0</v>
      </c>
      <c r="AZ45">
        <v>8.5</v>
      </c>
      <c r="BA45">
        <v>0</v>
      </c>
      <c r="BB45">
        <v>4.875</v>
      </c>
      <c r="BC45">
        <v>0</v>
      </c>
      <c r="BD45">
        <v>4.875</v>
      </c>
      <c r="BE45">
        <v>0</v>
      </c>
    </row>
    <row r="46" spans="1:57">
      <c r="A46" t="s">
        <v>16908</v>
      </c>
      <c r="B46" t="s">
        <v>16909</v>
      </c>
      <c r="C46">
        <v>0</v>
      </c>
      <c r="D46">
        <v>14</v>
      </c>
      <c r="E46">
        <v>9</v>
      </c>
      <c r="F46">
        <v>12</v>
      </c>
      <c r="G46">
        <v>0</v>
      </c>
      <c r="H46">
        <v>0</v>
      </c>
      <c r="I46">
        <v>0</v>
      </c>
      <c r="J46">
        <v>14</v>
      </c>
      <c r="K46">
        <v>151</v>
      </c>
      <c r="L46">
        <v>11</v>
      </c>
      <c r="M46">
        <v>0</v>
      </c>
      <c r="N46">
        <v>0</v>
      </c>
      <c r="O46">
        <v>2</v>
      </c>
      <c r="P46">
        <v>0</v>
      </c>
      <c r="Q46">
        <v>0</v>
      </c>
      <c r="R46">
        <v>1</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151</v>
      </c>
      <c r="AU46">
        <v>0</v>
      </c>
      <c r="AV46">
        <v>151</v>
      </c>
      <c r="AW46">
        <v>0</v>
      </c>
      <c r="AX46">
        <v>0</v>
      </c>
      <c r="AY46">
        <v>0</v>
      </c>
      <c r="AZ46">
        <v>0</v>
      </c>
      <c r="BA46">
        <v>0</v>
      </c>
      <c r="BB46">
        <v>0</v>
      </c>
      <c r="BC46">
        <v>0</v>
      </c>
      <c r="BD46">
        <v>0</v>
      </c>
      <c r="BE46">
        <v>0</v>
      </c>
    </row>
    <row r="47" spans="1:57">
      <c r="A47" t="s">
        <v>17221</v>
      </c>
      <c r="B47" t="s">
        <v>17405</v>
      </c>
      <c r="C47">
        <v>10</v>
      </c>
      <c r="D47">
        <v>156</v>
      </c>
      <c r="E47">
        <v>143</v>
      </c>
      <c r="F47">
        <v>140</v>
      </c>
      <c r="G47">
        <v>15</v>
      </c>
      <c r="H47">
        <v>9</v>
      </c>
      <c r="I47">
        <v>12</v>
      </c>
      <c r="J47">
        <v>156</v>
      </c>
      <c r="K47">
        <v>1186</v>
      </c>
      <c r="L47">
        <v>120</v>
      </c>
      <c r="M47">
        <v>2</v>
      </c>
      <c r="N47">
        <v>8</v>
      </c>
      <c r="O47">
        <v>1</v>
      </c>
      <c r="P47">
        <v>0</v>
      </c>
      <c r="Q47">
        <v>4</v>
      </c>
      <c r="R47">
        <v>0</v>
      </c>
      <c r="S47">
        <v>99.55</v>
      </c>
      <c r="T47">
        <v>31.5</v>
      </c>
      <c r="U47">
        <v>0</v>
      </c>
      <c r="V47">
        <v>131.05000000000001</v>
      </c>
      <c r="W47">
        <v>1225.5</v>
      </c>
      <c r="X47">
        <v>0</v>
      </c>
      <c r="Y47">
        <v>48</v>
      </c>
      <c r="Z47">
        <v>0</v>
      </c>
      <c r="AA47">
        <v>-400</v>
      </c>
      <c r="AB47">
        <v>480</v>
      </c>
      <c r="AC47">
        <v>41</v>
      </c>
      <c r="AD47">
        <v>0</v>
      </c>
      <c r="AE47">
        <v>41</v>
      </c>
      <c r="AF47">
        <v>480</v>
      </c>
      <c r="AG47">
        <v>1266.5</v>
      </c>
      <c r="AH47">
        <v>1225.5</v>
      </c>
      <c r="AI47">
        <v>41</v>
      </c>
      <c r="AJ47">
        <v>0</v>
      </c>
      <c r="AK47">
        <v>41</v>
      </c>
      <c r="AL47">
        <v>0</v>
      </c>
      <c r="AM47">
        <v>0</v>
      </c>
      <c r="AN47">
        <v>1</v>
      </c>
      <c r="AO47">
        <v>0</v>
      </c>
      <c r="AP47">
        <v>0</v>
      </c>
      <c r="AQ47">
        <v>0</v>
      </c>
      <c r="AR47">
        <v>0</v>
      </c>
      <c r="AS47">
        <v>0</v>
      </c>
      <c r="AT47">
        <v>1186</v>
      </c>
      <c r="AU47">
        <v>69</v>
      </c>
      <c r="AV47">
        <v>1109</v>
      </c>
      <c r="AW47">
        <v>77</v>
      </c>
      <c r="AX47">
        <v>99.55</v>
      </c>
      <c r="AY47">
        <v>11</v>
      </c>
      <c r="AZ47">
        <v>87.55</v>
      </c>
      <c r="BA47">
        <v>12</v>
      </c>
      <c r="BB47">
        <v>31.5</v>
      </c>
      <c r="BC47">
        <v>13</v>
      </c>
      <c r="BD47">
        <v>17.5</v>
      </c>
      <c r="BE47">
        <v>14</v>
      </c>
    </row>
    <row r="48" spans="1:57">
      <c r="A48" t="s">
        <v>16910</v>
      </c>
      <c r="B48" t="s">
        <v>16911</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row>
    <row r="49" spans="1:57">
      <c r="A49" t="s">
        <v>16912</v>
      </c>
      <c r="B49" t="s">
        <v>16913</v>
      </c>
      <c r="C49">
        <v>0</v>
      </c>
      <c r="D49">
        <v>4</v>
      </c>
      <c r="E49">
        <v>2</v>
      </c>
      <c r="F49">
        <v>2</v>
      </c>
      <c r="G49">
        <v>2</v>
      </c>
      <c r="H49">
        <v>1</v>
      </c>
      <c r="I49">
        <v>1</v>
      </c>
      <c r="J49">
        <v>4</v>
      </c>
      <c r="K49">
        <v>51</v>
      </c>
      <c r="L49">
        <v>3</v>
      </c>
      <c r="M49">
        <v>0</v>
      </c>
      <c r="N49">
        <v>0</v>
      </c>
      <c r="O49">
        <v>1</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51</v>
      </c>
      <c r="AU49">
        <v>33</v>
      </c>
      <c r="AV49">
        <v>18</v>
      </c>
      <c r="AW49">
        <v>0</v>
      </c>
      <c r="AX49">
        <v>0</v>
      </c>
      <c r="AY49">
        <v>0</v>
      </c>
      <c r="AZ49">
        <v>0</v>
      </c>
      <c r="BA49">
        <v>0</v>
      </c>
      <c r="BB49">
        <v>0</v>
      </c>
      <c r="BC49">
        <v>0</v>
      </c>
      <c r="BD49">
        <v>0</v>
      </c>
      <c r="BE49">
        <v>0</v>
      </c>
    </row>
    <row r="50" spans="1:57">
      <c r="A50" t="s">
        <v>16914</v>
      </c>
      <c r="B50" t="s">
        <v>16915</v>
      </c>
      <c r="C50">
        <v>0</v>
      </c>
      <c r="D50">
        <v>4</v>
      </c>
      <c r="E50">
        <v>4</v>
      </c>
      <c r="F50">
        <v>4</v>
      </c>
      <c r="G50">
        <v>0</v>
      </c>
      <c r="H50">
        <v>3</v>
      </c>
      <c r="I50">
        <v>0</v>
      </c>
      <c r="J50">
        <v>4</v>
      </c>
      <c r="K50">
        <v>68</v>
      </c>
      <c r="L50">
        <v>0</v>
      </c>
      <c r="M50">
        <v>0</v>
      </c>
      <c r="N50">
        <v>2</v>
      </c>
      <c r="O50">
        <v>1</v>
      </c>
      <c r="P50">
        <v>1</v>
      </c>
      <c r="Q50">
        <v>0</v>
      </c>
      <c r="R50">
        <v>0</v>
      </c>
      <c r="S50">
        <v>1</v>
      </c>
      <c r="T50">
        <v>5.5</v>
      </c>
      <c r="U50">
        <v>0</v>
      </c>
      <c r="V50">
        <v>6.5</v>
      </c>
      <c r="W50">
        <v>120</v>
      </c>
      <c r="X50">
        <v>0</v>
      </c>
      <c r="Y50">
        <v>1</v>
      </c>
      <c r="Z50">
        <v>0</v>
      </c>
      <c r="AA50">
        <v>0</v>
      </c>
      <c r="AB50">
        <v>90</v>
      </c>
      <c r="AC50">
        <v>15.9</v>
      </c>
      <c r="AD50">
        <v>15.9</v>
      </c>
      <c r="AE50">
        <v>105.9</v>
      </c>
      <c r="AF50">
        <v>90</v>
      </c>
      <c r="AG50">
        <v>135.9</v>
      </c>
      <c r="AH50">
        <v>30</v>
      </c>
      <c r="AI50">
        <v>105.9</v>
      </c>
      <c r="AJ50">
        <v>90</v>
      </c>
      <c r="AK50">
        <v>135.9</v>
      </c>
      <c r="AL50">
        <v>30</v>
      </c>
      <c r="AM50">
        <v>0</v>
      </c>
      <c r="AN50">
        <v>1</v>
      </c>
      <c r="AO50">
        <v>1</v>
      </c>
      <c r="AP50">
        <v>0</v>
      </c>
      <c r="AQ50">
        <v>0</v>
      </c>
      <c r="AR50">
        <v>0</v>
      </c>
      <c r="AS50">
        <v>0</v>
      </c>
      <c r="AT50">
        <v>68</v>
      </c>
      <c r="AU50">
        <v>64</v>
      </c>
      <c r="AV50">
        <v>4</v>
      </c>
      <c r="AW50">
        <v>0</v>
      </c>
      <c r="AX50">
        <v>1</v>
      </c>
      <c r="AY50">
        <v>1</v>
      </c>
      <c r="AZ50">
        <v>0</v>
      </c>
      <c r="BA50">
        <v>0</v>
      </c>
      <c r="BB50">
        <v>5.5</v>
      </c>
      <c r="BC50">
        <v>5.5</v>
      </c>
      <c r="BD50">
        <v>0</v>
      </c>
      <c r="BE50">
        <v>0</v>
      </c>
    </row>
    <row r="51" spans="1:57">
      <c r="A51" t="s">
        <v>16916</v>
      </c>
      <c r="B51" t="s">
        <v>16917</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row>
    <row r="52" spans="1:57">
      <c r="A52" t="s">
        <v>16941</v>
      </c>
      <c r="B52" t="s">
        <v>16942</v>
      </c>
      <c r="C52">
        <v>0</v>
      </c>
      <c r="D52">
        <v>4</v>
      </c>
      <c r="E52">
        <v>4</v>
      </c>
      <c r="F52">
        <v>4</v>
      </c>
      <c r="G52">
        <v>2</v>
      </c>
      <c r="H52">
        <v>1</v>
      </c>
      <c r="I52">
        <v>1</v>
      </c>
      <c r="J52">
        <v>2</v>
      </c>
      <c r="K52">
        <v>15</v>
      </c>
      <c r="L52">
        <v>2</v>
      </c>
      <c r="M52">
        <v>0</v>
      </c>
      <c r="N52">
        <v>0</v>
      </c>
      <c r="O52">
        <v>0</v>
      </c>
      <c r="P52">
        <v>0</v>
      </c>
      <c r="Q52">
        <v>2</v>
      </c>
      <c r="R52">
        <v>0</v>
      </c>
      <c r="S52">
        <v>0.5</v>
      </c>
      <c r="T52">
        <v>0.5</v>
      </c>
      <c r="U52">
        <v>0</v>
      </c>
      <c r="V52">
        <v>1</v>
      </c>
      <c r="W52">
        <v>15</v>
      </c>
      <c r="X52">
        <v>0</v>
      </c>
      <c r="Y52">
        <v>2</v>
      </c>
      <c r="Z52">
        <v>0</v>
      </c>
      <c r="AA52">
        <v>0</v>
      </c>
      <c r="AB52">
        <v>0</v>
      </c>
      <c r="AC52">
        <v>0</v>
      </c>
      <c r="AD52">
        <v>0</v>
      </c>
      <c r="AE52">
        <v>0</v>
      </c>
      <c r="AF52">
        <v>0</v>
      </c>
      <c r="AG52">
        <v>15</v>
      </c>
      <c r="AH52">
        <v>15</v>
      </c>
      <c r="AI52">
        <v>0</v>
      </c>
      <c r="AJ52">
        <v>0</v>
      </c>
      <c r="AK52">
        <v>7.5</v>
      </c>
      <c r="AL52">
        <v>7.5</v>
      </c>
      <c r="AM52">
        <v>0</v>
      </c>
      <c r="AN52">
        <v>0</v>
      </c>
      <c r="AO52">
        <v>0</v>
      </c>
      <c r="AP52">
        <v>0</v>
      </c>
      <c r="AQ52">
        <v>0</v>
      </c>
      <c r="AR52">
        <v>0</v>
      </c>
      <c r="AS52">
        <v>0</v>
      </c>
      <c r="AT52">
        <v>15</v>
      </c>
      <c r="AU52">
        <v>14</v>
      </c>
      <c r="AV52">
        <v>1</v>
      </c>
      <c r="AW52">
        <v>0</v>
      </c>
      <c r="AX52">
        <v>0.5</v>
      </c>
      <c r="AY52">
        <v>0.25</v>
      </c>
      <c r="AZ52">
        <v>0.25</v>
      </c>
      <c r="BA52">
        <v>0</v>
      </c>
      <c r="BB52">
        <v>0.5</v>
      </c>
      <c r="BC52">
        <v>0.25</v>
      </c>
      <c r="BD52">
        <v>0.25</v>
      </c>
      <c r="BE52">
        <v>0</v>
      </c>
    </row>
    <row r="53" spans="1:57">
      <c r="A53" t="s">
        <v>16920</v>
      </c>
      <c r="B53" t="s">
        <v>16921</v>
      </c>
      <c r="C53">
        <v>0</v>
      </c>
      <c r="D53">
        <v>3</v>
      </c>
      <c r="E53">
        <v>3</v>
      </c>
      <c r="F53">
        <v>3</v>
      </c>
      <c r="G53">
        <v>0</v>
      </c>
      <c r="H53">
        <v>2</v>
      </c>
      <c r="I53">
        <v>0</v>
      </c>
      <c r="J53">
        <v>3</v>
      </c>
      <c r="K53">
        <v>3</v>
      </c>
      <c r="L53">
        <v>3</v>
      </c>
      <c r="M53">
        <v>0</v>
      </c>
      <c r="N53">
        <v>0</v>
      </c>
      <c r="O53">
        <v>0</v>
      </c>
      <c r="P53">
        <v>0</v>
      </c>
      <c r="Q53">
        <v>0</v>
      </c>
      <c r="R53">
        <v>0</v>
      </c>
      <c r="S53">
        <v>3</v>
      </c>
      <c r="T53">
        <v>0</v>
      </c>
      <c r="U53">
        <v>0</v>
      </c>
      <c r="V53">
        <v>3</v>
      </c>
      <c r="W53">
        <v>30</v>
      </c>
      <c r="X53">
        <v>0</v>
      </c>
      <c r="Y53">
        <v>3</v>
      </c>
      <c r="Z53">
        <v>0</v>
      </c>
      <c r="AA53">
        <v>0</v>
      </c>
      <c r="AB53">
        <v>0</v>
      </c>
      <c r="AC53">
        <v>0</v>
      </c>
      <c r="AD53">
        <v>0</v>
      </c>
      <c r="AE53">
        <v>0</v>
      </c>
      <c r="AF53">
        <v>0</v>
      </c>
      <c r="AG53">
        <v>30</v>
      </c>
      <c r="AH53">
        <v>30</v>
      </c>
      <c r="AI53">
        <v>0</v>
      </c>
      <c r="AJ53">
        <v>0</v>
      </c>
      <c r="AK53">
        <v>20</v>
      </c>
      <c r="AL53">
        <v>20</v>
      </c>
      <c r="AM53">
        <v>0</v>
      </c>
      <c r="AN53">
        <v>0</v>
      </c>
      <c r="AO53">
        <v>0</v>
      </c>
      <c r="AP53">
        <v>0</v>
      </c>
      <c r="AQ53">
        <v>0</v>
      </c>
      <c r="AR53">
        <v>0</v>
      </c>
      <c r="AS53">
        <v>0</v>
      </c>
      <c r="AT53">
        <v>3</v>
      </c>
      <c r="AU53">
        <v>2</v>
      </c>
      <c r="AV53">
        <v>1</v>
      </c>
      <c r="AW53">
        <v>0</v>
      </c>
      <c r="AX53">
        <v>3</v>
      </c>
      <c r="AY53">
        <v>2</v>
      </c>
      <c r="AZ53">
        <v>1</v>
      </c>
      <c r="BA53">
        <v>0</v>
      </c>
      <c r="BB53">
        <v>0</v>
      </c>
      <c r="BC53">
        <v>0</v>
      </c>
      <c r="BD53">
        <v>0</v>
      </c>
      <c r="BE53">
        <v>0</v>
      </c>
    </row>
    <row r="54" spans="1:57">
      <c r="A54" t="s">
        <v>16922</v>
      </c>
      <c r="B54" t="s">
        <v>16923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row>
    <row r="55" spans="1:57">
      <c r="A55" t="s">
        <v>19971</v>
      </c>
      <c r="B55" t="s">
        <v>19972</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row>
    <row r="56" spans="1:57">
      <c r="A56" t="s">
        <v>16924</v>
      </c>
      <c r="B56" t="s">
        <v>16925</v>
      </c>
      <c r="C56">
        <v>1</v>
      </c>
      <c r="D56">
        <v>4</v>
      </c>
      <c r="E56">
        <v>4</v>
      </c>
      <c r="F56">
        <v>3</v>
      </c>
      <c r="G56">
        <v>1</v>
      </c>
      <c r="H56">
        <v>1</v>
      </c>
      <c r="I56">
        <v>0</v>
      </c>
      <c r="J56">
        <v>4</v>
      </c>
      <c r="K56">
        <v>40</v>
      </c>
      <c r="L56">
        <v>2</v>
      </c>
      <c r="M56">
        <v>0</v>
      </c>
      <c r="N56">
        <v>1</v>
      </c>
      <c r="O56">
        <v>1</v>
      </c>
      <c r="P56">
        <v>0</v>
      </c>
      <c r="Q56">
        <v>0</v>
      </c>
      <c r="R56">
        <v>0</v>
      </c>
      <c r="S56">
        <v>2</v>
      </c>
      <c r="T56">
        <v>2.25</v>
      </c>
      <c r="U56">
        <v>1</v>
      </c>
      <c r="V56">
        <v>5.25</v>
      </c>
      <c r="W56">
        <v>60</v>
      </c>
      <c r="X56">
        <v>0</v>
      </c>
      <c r="Y56">
        <v>2</v>
      </c>
      <c r="Z56">
        <v>0</v>
      </c>
      <c r="AA56">
        <v>-5</v>
      </c>
      <c r="AB56">
        <v>0</v>
      </c>
      <c r="AC56">
        <v>0</v>
      </c>
      <c r="AD56">
        <v>0</v>
      </c>
      <c r="AE56">
        <v>0</v>
      </c>
      <c r="AF56">
        <v>0</v>
      </c>
      <c r="AG56">
        <v>80</v>
      </c>
      <c r="AH56">
        <v>80</v>
      </c>
      <c r="AI56">
        <v>0</v>
      </c>
      <c r="AJ56">
        <v>0</v>
      </c>
      <c r="AK56">
        <v>30</v>
      </c>
      <c r="AL56">
        <v>30</v>
      </c>
      <c r="AM56">
        <v>0</v>
      </c>
      <c r="AN56">
        <v>0</v>
      </c>
      <c r="AO56">
        <v>0</v>
      </c>
      <c r="AP56">
        <v>0</v>
      </c>
      <c r="AQ56">
        <v>0</v>
      </c>
      <c r="AR56">
        <v>0</v>
      </c>
      <c r="AS56">
        <v>0</v>
      </c>
      <c r="AT56">
        <v>40</v>
      </c>
      <c r="AU56">
        <v>15</v>
      </c>
      <c r="AV56">
        <v>13</v>
      </c>
      <c r="AW56">
        <v>12</v>
      </c>
      <c r="AX56">
        <v>2</v>
      </c>
      <c r="AY56">
        <v>1</v>
      </c>
      <c r="AZ56">
        <v>1</v>
      </c>
      <c r="BA56">
        <v>0</v>
      </c>
      <c r="BB56">
        <v>2.25</v>
      </c>
      <c r="BC56">
        <v>1</v>
      </c>
      <c r="BD56">
        <v>1</v>
      </c>
      <c r="BE56">
        <v>0.25</v>
      </c>
    </row>
    <row r="57" spans="1:57">
      <c r="A57" t="s">
        <v>16926</v>
      </c>
      <c r="B57" t="s">
        <v>16927</v>
      </c>
      <c r="C57">
        <v>1</v>
      </c>
      <c r="D57">
        <v>22</v>
      </c>
      <c r="E57">
        <v>3</v>
      </c>
      <c r="F57">
        <v>16</v>
      </c>
      <c r="G57">
        <v>1</v>
      </c>
      <c r="H57">
        <v>2</v>
      </c>
      <c r="I57">
        <v>2</v>
      </c>
      <c r="J57">
        <v>20</v>
      </c>
      <c r="K57">
        <v>193</v>
      </c>
      <c r="L57">
        <v>13</v>
      </c>
      <c r="M57">
        <v>0</v>
      </c>
      <c r="N57">
        <v>4</v>
      </c>
      <c r="O57">
        <v>2</v>
      </c>
      <c r="P57">
        <v>1</v>
      </c>
      <c r="Q57">
        <v>0</v>
      </c>
      <c r="R57">
        <v>0</v>
      </c>
      <c r="S57">
        <v>17.149999999999999</v>
      </c>
      <c r="T57">
        <v>0</v>
      </c>
      <c r="U57">
        <v>0</v>
      </c>
      <c r="V57">
        <v>17.149999999999999</v>
      </c>
      <c r="W57">
        <v>169</v>
      </c>
      <c r="X57">
        <v>0</v>
      </c>
      <c r="Y57">
        <v>18</v>
      </c>
      <c r="Z57">
        <v>0</v>
      </c>
      <c r="AA57">
        <v>-2.5</v>
      </c>
      <c r="AB57">
        <v>20</v>
      </c>
      <c r="AC57">
        <v>0</v>
      </c>
      <c r="AD57">
        <v>0</v>
      </c>
      <c r="AE57">
        <v>0</v>
      </c>
      <c r="AF57">
        <v>20</v>
      </c>
      <c r="AG57">
        <v>169</v>
      </c>
      <c r="AH57">
        <v>169</v>
      </c>
      <c r="AI57">
        <v>0</v>
      </c>
      <c r="AJ57">
        <v>20</v>
      </c>
      <c r="AK57">
        <v>70</v>
      </c>
      <c r="AL57">
        <v>70</v>
      </c>
      <c r="AM57">
        <v>0</v>
      </c>
      <c r="AN57">
        <v>0</v>
      </c>
      <c r="AO57">
        <v>0</v>
      </c>
      <c r="AP57">
        <v>0</v>
      </c>
      <c r="AQ57">
        <v>0</v>
      </c>
      <c r="AR57">
        <v>0</v>
      </c>
      <c r="AS57">
        <v>0</v>
      </c>
      <c r="AT57">
        <v>193</v>
      </c>
      <c r="AU57">
        <v>31</v>
      </c>
      <c r="AV57">
        <v>161</v>
      </c>
      <c r="AW57">
        <v>1</v>
      </c>
      <c r="AX57">
        <v>17.149999999999999</v>
      </c>
      <c r="AY57">
        <v>7</v>
      </c>
      <c r="AZ57">
        <v>9.9</v>
      </c>
      <c r="BA57">
        <v>0.25</v>
      </c>
      <c r="BB57">
        <v>0</v>
      </c>
      <c r="BC57">
        <v>0</v>
      </c>
      <c r="BD57">
        <v>0</v>
      </c>
      <c r="BE57">
        <v>0</v>
      </c>
    </row>
    <row r="58" spans="1:57">
      <c r="A58" t="s">
        <v>16928</v>
      </c>
      <c r="B58" t="s">
        <v>16929</v>
      </c>
      <c r="C58">
        <v>1</v>
      </c>
      <c r="D58">
        <v>1</v>
      </c>
      <c r="E58">
        <v>0</v>
      </c>
      <c r="F58">
        <v>1</v>
      </c>
      <c r="G58">
        <v>0</v>
      </c>
      <c r="H58">
        <v>0</v>
      </c>
      <c r="I58">
        <v>0</v>
      </c>
      <c r="J58">
        <v>1</v>
      </c>
      <c r="K58">
        <v>2</v>
      </c>
      <c r="L58">
        <v>0</v>
      </c>
      <c r="M58">
        <v>0</v>
      </c>
      <c r="N58">
        <v>0</v>
      </c>
      <c r="O58">
        <v>0</v>
      </c>
      <c r="P58">
        <v>0</v>
      </c>
      <c r="Q58">
        <v>1</v>
      </c>
      <c r="R58">
        <v>0</v>
      </c>
      <c r="S58">
        <v>0</v>
      </c>
      <c r="T58">
        <v>0</v>
      </c>
      <c r="U58">
        <v>0</v>
      </c>
      <c r="V58">
        <v>0</v>
      </c>
      <c r="W58">
        <v>0</v>
      </c>
      <c r="X58">
        <v>0</v>
      </c>
      <c r="Y58">
        <v>0</v>
      </c>
      <c r="Z58">
        <v>0</v>
      </c>
      <c r="AA58">
        <v>0</v>
      </c>
      <c r="AB58">
        <v>0</v>
      </c>
      <c r="AC58">
        <v>7</v>
      </c>
      <c r="AD58">
        <v>7</v>
      </c>
      <c r="AE58">
        <v>0</v>
      </c>
      <c r="AF58">
        <v>7</v>
      </c>
      <c r="AG58">
        <v>7</v>
      </c>
      <c r="AH58">
        <v>7</v>
      </c>
      <c r="AI58">
        <v>0</v>
      </c>
      <c r="AJ58">
        <v>0</v>
      </c>
      <c r="AK58">
        <v>0</v>
      </c>
      <c r="AL58">
        <v>0</v>
      </c>
      <c r="AM58">
        <v>0</v>
      </c>
      <c r="AN58">
        <v>0</v>
      </c>
      <c r="AO58">
        <v>0</v>
      </c>
      <c r="AP58">
        <v>0</v>
      </c>
      <c r="AQ58">
        <v>0</v>
      </c>
      <c r="AR58">
        <v>0</v>
      </c>
      <c r="AS58">
        <v>0</v>
      </c>
      <c r="AT58">
        <v>2</v>
      </c>
      <c r="AU58">
        <v>0</v>
      </c>
      <c r="AV58">
        <v>0</v>
      </c>
      <c r="AW58">
        <v>2</v>
      </c>
      <c r="AX58">
        <v>0</v>
      </c>
      <c r="AY58">
        <v>0</v>
      </c>
      <c r="AZ58">
        <v>0</v>
      </c>
      <c r="BA58">
        <v>0</v>
      </c>
      <c r="BB58">
        <v>0</v>
      </c>
      <c r="BC58">
        <v>0</v>
      </c>
      <c r="BD58">
        <v>0</v>
      </c>
      <c r="BE58">
        <v>0</v>
      </c>
    </row>
    <row r="59" spans="1:57">
      <c r="A59" t="s">
        <v>16930</v>
      </c>
      <c r="B59" t="s">
        <v>16931</v>
      </c>
      <c r="C59">
        <v>0</v>
      </c>
      <c r="D59">
        <v>3</v>
      </c>
      <c r="E59">
        <v>3</v>
      </c>
      <c r="F59">
        <v>1</v>
      </c>
      <c r="G59">
        <v>0</v>
      </c>
      <c r="H59">
        <v>1</v>
      </c>
      <c r="I59">
        <v>1</v>
      </c>
      <c r="J59">
        <v>1</v>
      </c>
      <c r="K59">
        <v>130</v>
      </c>
      <c r="L59">
        <v>3</v>
      </c>
      <c r="M59">
        <v>0</v>
      </c>
      <c r="N59">
        <v>0</v>
      </c>
      <c r="O59">
        <v>0</v>
      </c>
      <c r="P59">
        <v>0</v>
      </c>
      <c r="Q59">
        <v>0</v>
      </c>
      <c r="R59">
        <v>0</v>
      </c>
      <c r="S59">
        <v>0</v>
      </c>
      <c r="T59">
        <v>0</v>
      </c>
      <c r="U59">
        <v>7.5</v>
      </c>
      <c r="V59">
        <v>7.5</v>
      </c>
      <c r="W59">
        <v>0</v>
      </c>
      <c r="X59">
        <v>0</v>
      </c>
      <c r="Y59">
        <v>0</v>
      </c>
      <c r="Z59">
        <v>0</v>
      </c>
      <c r="AA59">
        <v>0</v>
      </c>
      <c r="AB59">
        <v>0</v>
      </c>
      <c r="AC59">
        <v>0</v>
      </c>
      <c r="AD59">
        <v>0</v>
      </c>
      <c r="AE59">
        <v>0</v>
      </c>
      <c r="AF59">
        <v>0</v>
      </c>
      <c r="AG59">
        <v>150</v>
      </c>
      <c r="AH59">
        <v>150</v>
      </c>
      <c r="AI59">
        <v>0</v>
      </c>
      <c r="AJ59">
        <v>0</v>
      </c>
      <c r="AK59">
        <v>40</v>
      </c>
      <c r="AL59">
        <v>40</v>
      </c>
      <c r="AM59">
        <v>0</v>
      </c>
      <c r="AN59">
        <v>0</v>
      </c>
      <c r="AO59">
        <v>0</v>
      </c>
      <c r="AP59">
        <v>0</v>
      </c>
      <c r="AQ59">
        <v>0</v>
      </c>
      <c r="AR59">
        <v>0</v>
      </c>
      <c r="AS59">
        <v>0</v>
      </c>
      <c r="AT59">
        <v>130</v>
      </c>
      <c r="AU59">
        <v>29</v>
      </c>
      <c r="AV59">
        <v>101</v>
      </c>
      <c r="AW59">
        <v>0</v>
      </c>
      <c r="AX59">
        <v>0</v>
      </c>
      <c r="AY59">
        <v>0</v>
      </c>
      <c r="AZ59">
        <v>0</v>
      </c>
      <c r="BA59">
        <v>0</v>
      </c>
      <c r="BB59">
        <v>0</v>
      </c>
      <c r="BC59">
        <v>0</v>
      </c>
      <c r="BD59">
        <v>0</v>
      </c>
      <c r="BE59">
        <v>0</v>
      </c>
    </row>
    <row r="60" spans="1:57">
      <c r="A60" t="s">
        <v>17222</v>
      </c>
      <c r="B60" t="s">
        <v>17223</v>
      </c>
      <c r="C60">
        <v>0</v>
      </c>
      <c r="D60">
        <v>133</v>
      </c>
      <c r="E60">
        <v>0</v>
      </c>
      <c r="F60">
        <v>113</v>
      </c>
      <c r="G60">
        <v>0</v>
      </c>
      <c r="H60">
        <v>0</v>
      </c>
      <c r="I60">
        <v>0</v>
      </c>
      <c r="J60">
        <v>122</v>
      </c>
      <c r="K60">
        <v>0</v>
      </c>
      <c r="L60">
        <v>43</v>
      </c>
      <c r="M60">
        <v>0</v>
      </c>
      <c r="N60">
        <v>50</v>
      </c>
      <c r="O60">
        <v>29</v>
      </c>
      <c r="P60">
        <v>0</v>
      </c>
      <c r="Q60">
        <v>1</v>
      </c>
      <c r="R60">
        <v>0</v>
      </c>
      <c r="S60">
        <v>49.929999999999993</v>
      </c>
      <c r="T60">
        <v>39.599999999999994</v>
      </c>
      <c r="U60">
        <v>0</v>
      </c>
      <c r="V60">
        <v>89.529999999999987</v>
      </c>
      <c r="W60">
        <v>1291.3</v>
      </c>
      <c r="X60">
        <v>0</v>
      </c>
      <c r="Y60">
        <v>79</v>
      </c>
      <c r="Z60">
        <v>1</v>
      </c>
      <c r="AA60">
        <v>0</v>
      </c>
      <c r="AB60">
        <v>569</v>
      </c>
      <c r="AC60">
        <v>24.5</v>
      </c>
      <c r="AD60">
        <v>24.5</v>
      </c>
      <c r="AE60">
        <v>24.5</v>
      </c>
      <c r="AF60">
        <v>593.5</v>
      </c>
      <c r="AG60">
        <v>1291.3</v>
      </c>
      <c r="AH60">
        <v>1290.3</v>
      </c>
      <c r="AI60">
        <v>0</v>
      </c>
      <c r="AJ60">
        <v>0</v>
      </c>
      <c r="AK60">
        <v>0</v>
      </c>
      <c r="AL60">
        <v>0</v>
      </c>
      <c r="AM60">
        <v>122</v>
      </c>
      <c r="AN60">
        <v>0</v>
      </c>
      <c r="AO60">
        <v>122</v>
      </c>
      <c r="AP60">
        <v>0</v>
      </c>
      <c r="AQ60">
        <v>63</v>
      </c>
      <c r="AR60">
        <v>0</v>
      </c>
      <c r="AS60">
        <v>63</v>
      </c>
      <c r="AT60">
        <v>0</v>
      </c>
      <c r="AU60">
        <v>39.599999999999994</v>
      </c>
      <c r="AV60">
        <v>0</v>
      </c>
      <c r="AW60">
        <v>39.599999999999994</v>
      </c>
      <c r="AX60">
        <v>0</v>
      </c>
      <c r="AY60">
        <v>0</v>
      </c>
      <c r="AZ60">
        <v>0</v>
      </c>
      <c r="BA60">
        <v>0</v>
      </c>
      <c r="BB60">
        <v>0</v>
      </c>
      <c r="BC60">
        <v>0</v>
      </c>
      <c r="BD60">
        <v>0</v>
      </c>
      <c r="BE60">
        <v>0</v>
      </c>
    </row>
    <row r="61" spans="1:57">
      <c r="A61" t="s">
        <v>16943</v>
      </c>
      <c r="B61" t="s">
        <v>16944</v>
      </c>
      <c r="C61">
        <v>0</v>
      </c>
      <c r="D61">
        <v>1</v>
      </c>
      <c r="E61">
        <v>1</v>
      </c>
      <c r="F61">
        <v>1</v>
      </c>
      <c r="G61">
        <v>0</v>
      </c>
      <c r="H61">
        <v>0</v>
      </c>
      <c r="I61">
        <v>0</v>
      </c>
      <c r="J61">
        <v>1</v>
      </c>
      <c r="K61">
        <v>9</v>
      </c>
      <c r="L61">
        <v>0</v>
      </c>
      <c r="M61">
        <v>0</v>
      </c>
      <c r="N61">
        <v>0</v>
      </c>
      <c r="O61">
        <v>1</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9</v>
      </c>
      <c r="AU61">
        <v>0</v>
      </c>
      <c r="AV61">
        <v>9</v>
      </c>
      <c r="AW61">
        <v>0</v>
      </c>
      <c r="AX61">
        <v>0</v>
      </c>
      <c r="AY61">
        <v>0</v>
      </c>
      <c r="AZ61">
        <v>0</v>
      </c>
      <c r="BA61">
        <v>0</v>
      </c>
      <c r="BB61">
        <v>0</v>
      </c>
      <c r="BC61">
        <v>0</v>
      </c>
      <c r="BD61">
        <v>0</v>
      </c>
      <c r="BE61">
        <v>0</v>
      </c>
    </row>
    <row r="62" spans="1:57">
      <c r="A62" t="s">
        <v>17224</v>
      </c>
      <c r="B62" t="s">
        <v>17225</v>
      </c>
      <c r="C62">
        <v>0</v>
      </c>
      <c r="D62">
        <v>1</v>
      </c>
      <c r="E62">
        <v>1</v>
      </c>
      <c r="F62">
        <v>1</v>
      </c>
      <c r="G62">
        <v>0</v>
      </c>
      <c r="H62">
        <v>0</v>
      </c>
      <c r="I62">
        <v>0</v>
      </c>
      <c r="J62">
        <v>1</v>
      </c>
      <c r="K62">
        <v>4</v>
      </c>
      <c r="L62">
        <v>1</v>
      </c>
      <c r="M62">
        <v>0</v>
      </c>
      <c r="N62">
        <v>0</v>
      </c>
      <c r="O62">
        <v>0</v>
      </c>
      <c r="P62">
        <v>0</v>
      </c>
      <c r="Q62">
        <v>0</v>
      </c>
      <c r="R62">
        <v>0</v>
      </c>
      <c r="S62">
        <v>0.25</v>
      </c>
      <c r="T62">
        <v>0</v>
      </c>
      <c r="U62">
        <v>0</v>
      </c>
      <c r="V62">
        <v>0.25</v>
      </c>
      <c r="W62">
        <v>2.5</v>
      </c>
      <c r="X62">
        <v>0</v>
      </c>
      <c r="Y62">
        <v>1</v>
      </c>
      <c r="Z62">
        <v>0</v>
      </c>
      <c r="AA62">
        <v>0</v>
      </c>
      <c r="AB62">
        <v>0</v>
      </c>
      <c r="AC62">
        <v>0</v>
      </c>
      <c r="AD62">
        <v>0</v>
      </c>
      <c r="AE62">
        <v>0</v>
      </c>
      <c r="AF62">
        <v>0</v>
      </c>
      <c r="AG62">
        <v>2.5</v>
      </c>
      <c r="AH62">
        <v>2.5</v>
      </c>
      <c r="AI62">
        <v>0</v>
      </c>
      <c r="AJ62">
        <v>0</v>
      </c>
      <c r="AK62">
        <v>0</v>
      </c>
      <c r="AL62">
        <v>0</v>
      </c>
      <c r="AM62">
        <v>0</v>
      </c>
      <c r="AN62">
        <v>0</v>
      </c>
      <c r="AO62">
        <v>0</v>
      </c>
      <c r="AP62">
        <v>0</v>
      </c>
      <c r="AQ62">
        <v>0</v>
      </c>
      <c r="AR62">
        <v>0</v>
      </c>
      <c r="AS62">
        <v>0</v>
      </c>
      <c r="AT62">
        <v>4</v>
      </c>
      <c r="AU62">
        <v>0</v>
      </c>
      <c r="AV62">
        <v>4</v>
      </c>
      <c r="AW62">
        <v>0</v>
      </c>
      <c r="AX62">
        <v>0.25</v>
      </c>
      <c r="AY62">
        <v>0</v>
      </c>
      <c r="AZ62">
        <v>0.25</v>
      </c>
      <c r="BA62">
        <v>0</v>
      </c>
      <c r="BB62">
        <v>0</v>
      </c>
      <c r="BC62">
        <v>0</v>
      </c>
      <c r="BD62">
        <v>0</v>
      </c>
      <c r="BE62">
        <v>0</v>
      </c>
    </row>
    <row r="63" spans="1:57">
      <c r="A63" t="s">
        <v>16945</v>
      </c>
      <c r="B63" t="s">
        <v>16946</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row>
    <row r="64" spans="1:57">
      <c r="A64" t="s">
        <v>16949</v>
      </c>
      <c r="B64" t="s">
        <v>16950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row>
    <row r="65" spans="1:57">
      <c r="A65" t="s">
        <v>16951</v>
      </c>
      <c r="B65" t="s">
        <v>17398</v>
      </c>
      <c r="C65">
        <v>0</v>
      </c>
      <c r="D65">
        <v>4</v>
      </c>
      <c r="E65">
        <v>0</v>
      </c>
      <c r="F65">
        <v>3</v>
      </c>
      <c r="G65">
        <v>0</v>
      </c>
      <c r="H65">
        <v>0</v>
      </c>
      <c r="I65">
        <v>0</v>
      </c>
      <c r="J65">
        <v>4</v>
      </c>
      <c r="K65">
        <v>7</v>
      </c>
      <c r="L65">
        <v>2</v>
      </c>
      <c r="M65">
        <v>0</v>
      </c>
      <c r="N65">
        <v>1</v>
      </c>
      <c r="O65">
        <v>0</v>
      </c>
      <c r="P65">
        <v>1</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7</v>
      </c>
      <c r="AU65">
        <v>0</v>
      </c>
      <c r="AV65">
        <v>7</v>
      </c>
      <c r="AW65">
        <v>0</v>
      </c>
      <c r="AX65">
        <v>0</v>
      </c>
      <c r="AY65">
        <v>0</v>
      </c>
      <c r="AZ65">
        <v>0</v>
      </c>
      <c r="BA65">
        <v>0</v>
      </c>
      <c r="BB65">
        <v>0</v>
      </c>
      <c r="BC65">
        <v>0</v>
      </c>
      <c r="BD65">
        <v>0</v>
      </c>
      <c r="BE65">
        <v>0</v>
      </c>
    </row>
    <row r="66" spans="1:57">
      <c r="A66" t="s">
        <v>16954</v>
      </c>
      <c r="B66" t="s">
        <v>16955</v>
      </c>
      <c r="C66">
        <v>0</v>
      </c>
      <c r="D66">
        <v>30</v>
      </c>
      <c r="E66">
        <v>30</v>
      </c>
      <c r="F66">
        <v>30</v>
      </c>
      <c r="G66">
        <v>0</v>
      </c>
      <c r="H66">
        <v>0</v>
      </c>
      <c r="I66">
        <v>0</v>
      </c>
      <c r="J66">
        <v>30</v>
      </c>
      <c r="K66">
        <v>128</v>
      </c>
      <c r="L66">
        <v>15</v>
      </c>
      <c r="M66">
        <v>1</v>
      </c>
      <c r="N66">
        <v>0</v>
      </c>
      <c r="O66">
        <v>13</v>
      </c>
      <c r="P66">
        <v>0</v>
      </c>
      <c r="Q66">
        <v>1</v>
      </c>
      <c r="R66">
        <v>0</v>
      </c>
      <c r="S66">
        <v>24</v>
      </c>
      <c r="T66">
        <v>0</v>
      </c>
      <c r="U66">
        <v>0</v>
      </c>
      <c r="V66">
        <v>24</v>
      </c>
      <c r="W66">
        <v>240</v>
      </c>
      <c r="X66">
        <v>0</v>
      </c>
      <c r="Y66">
        <v>1</v>
      </c>
      <c r="Z66">
        <v>0</v>
      </c>
      <c r="AA66">
        <v>0</v>
      </c>
      <c r="AB66">
        <v>210</v>
      </c>
      <c r="AC66">
        <v>0</v>
      </c>
      <c r="AD66">
        <v>0</v>
      </c>
      <c r="AE66">
        <v>210</v>
      </c>
      <c r="AF66">
        <v>210</v>
      </c>
      <c r="AG66">
        <v>240</v>
      </c>
      <c r="AH66">
        <v>30</v>
      </c>
      <c r="AI66">
        <v>0</v>
      </c>
      <c r="AJ66">
        <v>0</v>
      </c>
      <c r="AK66">
        <v>0</v>
      </c>
      <c r="AL66">
        <v>0</v>
      </c>
      <c r="AM66">
        <v>0</v>
      </c>
      <c r="AN66">
        <v>0</v>
      </c>
      <c r="AO66">
        <v>0</v>
      </c>
      <c r="AP66">
        <v>1</v>
      </c>
      <c r="AQ66">
        <v>0</v>
      </c>
      <c r="AR66">
        <v>0</v>
      </c>
      <c r="AS66">
        <v>0</v>
      </c>
      <c r="AT66">
        <v>128</v>
      </c>
      <c r="AU66">
        <v>0</v>
      </c>
      <c r="AV66">
        <v>128</v>
      </c>
      <c r="AW66">
        <v>0</v>
      </c>
      <c r="AX66">
        <v>24</v>
      </c>
      <c r="AY66">
        <v>0</v>
      </c>
      <c r="AZ66">
        <v>24</v>
      </c>
      <c r="BA66">
        <v>0</v>
      </c>
      <c r="BB66">
        <v>0</v>
      </c>
      <c r="BC66">
        <v>0</v>
      </c>
      <c r="BD66">
        <v>0</v>
      </c>
      <c r="BE66">
        <v>0</v>
      </c>
    </row>
    <row r="67" spans="1:57">
      <c r="A67" t="s">
        <v>16956</v>
      </c>
      <c r="B67" t="s">
        <v>16957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row>
    <row r="68" spans="1:57">
      <c r="A68" t="s">
        <v>16958</v>
      </c>
      <c r="B68" t="s">
        <v>16959</v>
      </c>
      <c r="C68">
        <v>0</v>
      </c>
      <c r="D68">
        <v>18</v>
      </c>
      <c r="E68">
        <v>18</v>
      </c>
      <c r="F68">
        <v>0</v>
      </c>
      <c r="G68">
        <v>0</v>
      </c>
      <c r="H68">
        <v>0</v>
      </c>
      <c r="I68">
        <v>0</v>
      </c>
      <c r="J68">
        <v>18</v>
      </c>
      <c r="K68">
        <v>0</v>
      </c>
      <c r="L68">
        <v>0</v>
      </c>
      <c r="M68">
        <v>0</v>
      </c>
      <c r="N68">
        <v>0</v>
      </c>
      <c r="O68">
        <v>0</v>
      </c>
      <c r="P68">
        <v>0</v>
      </c>
      <c r="Q68">
        <v>0</v>
      </c>
      <c r="R68">
        <v>0</v>
      </c>
      <c r="S68">
        <v>0</v>
      </c>
      <c r="T68">
        <v>0</v>
      </c>
      <c r="U68">
        <v>0</v>
      </c>
      <c r="V68">
        <v>0</v>
      </c>
      <c r="W68">
        <v>0</v>
      </c>
      <c r="X68">
        <v>0</v>
      </c>
      <c r="Y68">
        <v>0</v>
      </c>
      <c r="Z68">
        <v>0</v>
      </c>
      <c r="AA68">
        <v>0</v>
      </c>
      <c r="AB68">
        <v>0</v>
      </c>
      <c r="AC68">
        <v>0</v>
      </c>
      <c r="AD68">
        <v>0</v>
      </c>
      <c r="AE68">
        <v>18665.25</v>
      </c>
      <c r="AF68">
        <v>0</v>
      </c>
      <c r="AG68">
        <v>0</v>
      </c>
      <c r="AH68">
        <v>0</v>
      </c>
      <c r="AI68">
        <v>0</v>
      </c>
      <c r="AJ68">
        <v>0</v>
      </c>
      <c r="AK68">
        <v>0</v>
      </c>
      <c r="AL68">
        <v>0</v>
      </c>
      <c r="AM68">
        <v>0</v>
      </c>
      <c r="AN68">
        <v>2</v>
      </c>
      <c r="AO68">
        <v>1</v>
      </c>
      <c r="AP68">
        <v>10</v>
      </c>
      <c r="AQ68">
        <v>0</v>
      </c>
      <c r="AR68">
        <v>1</v>
      </c>
      <c r="AS68">
        <v>1</v>
      </c>
      <c r="AT68">
        <v>0</v>
      </c>
      <c r="AU68">
        <v>0</v>
      </c>
      <c r="AV68">
        <v>0</v>
      </c>
      <c r="AW68">
        <v>0</v>
      </c>
      <c r="AX68">
        <v>0</v>
      </c>
      <c r="AY68">
        <v>0</v>
      </c>
      <c r="AZ68">
        <v>0</v>
      </c>
      <c r="BA68">
        <v>0</v>
      </c>
      <c r="BB68">
        <v>0</v>
      </c>
      <c r="BC68">
        <v>0</v>
      </c>
      <c r="BD68">
        <v>0</v>
      </c>
      <c r="BE68">
        <v>0</v>
      </c>
    </row>
    <row r="69" spans="1:57">
      <c r="A69" t="s">
        <v>16960</v>
      </c>
      <c r="B69" t="s">
        <v>18795</v>
      </c>
      <c r="C69">
        <v>0</v>
      </c>
      <c r="D69">
        <v>33</v>
      </c>
      <c r="E69">
        <v>0</v>
      </c>
      <c r="F69">
        <v>28</v>
      </c>
      <c r="G69">
        <v>4</v>
      </c>
      <c r="H69">
        <v>1</v>
      </c>
      <c r="I69">
        <v>1</v>
      </c>
      <c r="J69">
        <v>40</v>
      </c>
      <c r="K69">
        <v>172</v>
      </c>
      <c r="L69">
        <v>26</v>
      </c>
      <c r="M69">
        <v>0</v>
      </c>
      <c r="N69">
        <v>1</v>
      </c>
      <c r="O69">
        <v>6</v>
      </c>
      <c r="P69">
        <v>0</v>
      </c>
      <c r="Q69">
        <v>0</v>
      </c>
      <c r="R69">
        <v>0</v>
      </c>
      <c r="S69">
        <v>14.75</v>
      </c>
      <c r="T69">
        <v>0</v>
      </c>
      <c r="U69">
        <v>0</v>
      </c>
      <c r="V69">
        <v>10</v>
      </c>
      <c r="W69">
        <v>115</v>
      </c>
      <c r="X69">
        <v>0</v>
      </c>
      <c r="Y69">
        <v>28</v>
      </c>
      <c r="Z69">
        <v>0</v>
      </c>
      <c r="AA69">
        <v>0</v>
      </c>
      <c r="AB69">
        <v>0</v>
      </c>
      <c r="AC69">
        <v>53.5</v>
      </c>
      <c r="AD69">
        <v>53.5</v>
      </c>
      <c r="AE69">
        <v>21.5</v>
      </c>
      <c r="AF69">
        <v>43.5</v>
      </c>
      <c r="AG69">
        <v>143.5</v>
      </c>
      <c r="AH69">
        <v>122</v>
      </c>
      <c r="AI69">
        <v>0</v>
      </c>
      <c r="AJ69">
        <v>0</v>
      </c>
      <c r="AK69">
        <v>12.5</v>
      </c>
      <c r="AL69">
        <v>12.5</v>
      </c>
      <c r="AM69">
        <v>3</v>
      </c>
      <c r="AN69">
        <v>2</v>
      </c>
      <c r="AO69">
        <v>0</v>
      </c>
      <c r="AP69">
        <v>0</v>
      </c>
      <c r="AQ69">
        <v>0</v>
      </c>
      <c r="AR69">
        <v>0</v>
      </c>
      <c r="AS69">
        <v>0</v>
      </c>
      <c r="AT69">
        <v>172</v>
      </c>
      <c r="AU69">
        <v>14</v>
      </c>
      <c r="AV69">
        <v>152</v>
      </c>
      <c r="AW69">
        <v>0</v>
      </c>
      <c r="AX69">
        <v>14.75</v>
      </c>
      <c r="AY69">
        <v>1.25</v>
      </c>
      <c r="AZ69">
        <v>13</v>
      </c>
      <c r="BA69">
        <v>0</v>
      </c>
      <c r="BB69">
        <v>0</v>
      </c>
      <c r="BC69">
        <v>0</v>
      </c>
      <c r="BD69">
        <v>0</v>
      </c>
      <c r="BE69">
        <v>0</v>
      </c>
    </row>
    <row r="70" spans="1:57">
      <c r="A70" t="s">
        <v>16961</v>
      </c>
      <c r="B70" t="s">
        <v>16962</v>
      </c>
      <c r="C70">
        <v>0</v>
      </c>
      <c r="D70">
        <v>1</v>
      </c>
      <c r="E70">
        <v>1</v>
      </c>
      <c r="F70">
        <v>1</v>
      </c>
      <c r="G70">
        <v>0</v>
      </c>
      <c r="H70">
        <v>0</v>
      </c>
      <c r="I70">
        <v>0</v>
      </c>
      <c r="J70">
        <v>1</v>
      </c>
      <c r="K70">
        <v>19</v>
      </c>
      <c r="L70">
        <v>1</v>
      </c>
      <c r="M70">
        <v>0</v>
      </c>
      <c r="N70">
        <v>0</v>
      </c>
      <c r="O70">
        <v>0</v>
      </c>
      <c r="P70">
        <v>0</v>
      </c>
      <c r="Q70">
        <v>0</v>
      </c>
      <c r="R70">
        <v>0</v>
      </c>
      <c r="S70">
        <v>3</v>
      </c>
      <c r="T70">
        <v>6</v>
      </c>
      <c r="U70">
        <v>0</v>
      </c>
      <c r="V70">
        <v>9</v>
      </c>
      <c r="W70">
        <v>150</v>
      </c>
      <c r="X70">
        <v>0</v>
      </c>
      <c r="Y70">
        <v>1</v>
      </c>
      <c r="Z70">
        <v>0</v>
      </c>
      <c r="AA70">
        <v>0</v>
      </c>
      <c r="AB70">
        <v>120</v>
      </c>
      <c r="AC70">
        <v>0</v>
      </c>
      <c r="AD70">
        <v>0</v>
      </c>
      <c r="AE70">
        <v>120</v>
      </c>
      <c r="AF70">
        <v>120</v>
      </c>
      <c r="AG70">
        <v>150</v>
      </c>
      <c r="AH70">
        <v>30</v>
      </c>
      <c r="AI70">
        <v>0</v>
      </c>
      <c r="AJ70">
        <v>0</v>
      </c>
      <c r="AK70">
        <v>0</v>
      </c>
      <c r="AL70">
        <v>0</v>
      </c>
      <c r="AM70">
        <v>0</v>
      </c>
      <c r="AN70">
        <v>0</v>
      </c>
      <c r="AO70">
        <v>0</v>
      </c>
      <c r="AP70">
        <v>1</v>
      </c>
      <c r="AQ70">
        <v>0</v>
      </c>
      <c r="AR70">
        <v>0</v>
      </c>
      <c r="AS70">
        <v>0</v>
      </c>
      <c r="AT70">
        <v>19</v>
      </c>
      <c r="AU70">
        <v>0</v>
      </c>
      <c r="AV70">
        <v>19</v>
      </c>
      <c r="AW70">
        <v>0</v>
      </c>
      <c r="AX70">
        <v>3</v>
      </c>
      <c r="AY70">
        <v>0</v>
      </c>
      <c r="AZ70">
        <v>3</v>
      </c>
      <c r="BA70">
        <v>0</v>
      </c>
      <c r="BB70">
        <v>6</v>
      </c>
      <c r="BC70">
        <v>0</v>
      </c>
      <c r="BD70">
        <v>6</v>
      </c>
      <c r="BE70">
        <v>0</v>
      </c>
    </row>
    <row r="71" spans="1:57">
      <c r="A71" t="s">
        <v>17395</v>
      </c>
      <c r="B71" t="s">
        <v>17396</v>
      </c>
      <c r="C71">
        <v>0</v>
      </c>
      <c r="D71">
        <v>3</v>
      </c>
      <c r="E71">
        <v>3</v>
      </c>
      <c r="F71">
        <v>0</v>
      </c>
      <c r="G71">
        <v>2</v>
      </c>
      <c r="H71">
        <v>1</v>
      </c>
      <c r="I71">
        <v>1</v>
      </c>
      <c r="J71">
        <v>2</v>
      </c>
      <c r="K71">
        <v>27</v>
      </c>
      <c r="L71">
        <v>0</v>
      </c>
      <c r="M71">
        <v>0</v>
      </c>
      <c r="N71">
        <v>2</v>
      </c>
      <c r="O71">
        <v>0</v>
      </c>
      <c r="P71">
        <v>0</v>
      </c>
      <c r="Q71">
        <v>0</v>
      </c>
      <c r="R71">
        <v>0</v>
      </c>
      <c r="S71">
        <v>12</v>
      </c>
      <c r="T71">
        <v>15</v>
      </c>
      <c r="U71">
        <v>14</v>
      </c>
      <c r="V71">
        <v>24</v>
      </c>
      <c r="W71">
        <v>420</v>
      </c>
      <c r="X71">
        <v>0</v>
      </c>
      <c r="Y71">
        <v>2</v>
      </c>
      <c r="Z71">
        <v>0</v>
      </c>
      <c r="AA71">
        <v>0</v>
      </c>
      <c r="AB71">
        <v>360</v>
      </c>
      <c r="AC71">
        <v>0</v>
      </c>
      <c r="AD71">
        <v>0</v>
      </c>
      <c r="AE71">
        <v>360</v>
      </c>
      <c r="AF71">
        <v>360</v>
      </c>
      <c r="AG71">
        <v>700</v>
      </c>
      <c r="AH71">
        <v>340</v>
      </c>
      <c r="AI71">
        <v>310</v>
      </c>
      <c r="AJ71">
        <v>310</v>
      </c>
      <c r="AK71">
        <v>600</v>
      </c>
      <c r="AL71">
        <v>290</v>
      </c>
      <c r="AM71">
        <v>0</v>
      </c>
      <c r="AN71">
        <v>0</v>
      </c>
      <c r="AO71">
        <v>1</v>
      </c>
      <c r="AP71">
        <v>1</v>
      </c>
      <c r="AQ71">
        <v>0</v>
      </c>
      <c r="AR71">
        <v>0</v>
      </c>
      <c r="AS71">
        <v>0</v>
      </c>
      <c r="AT71">
        <v>27</v>
      </c>
      <c r="AU71">
        <v>19</v>
      </c>
      <c r="AV71">
        <v>8</v>
      </c>
      <c r="AW71">
        <v>0</v>
      </c>
      <c r="AX71">
        <v>12</v>
      </c>
      <c r="AY71">
        <v>6</v>
      </c>
      <c r="AZ71">
        <v>6</v>
      </c>
      <c r="BA71">
        <v>0</v>
      </c>
      <c r="BB71">
        <v>15</v>
      </c>
      <c r="BC71">
        <v>14</v>
      </c>
      <c r="BD71">
        <v>1</v>
      </c>
      <c r="BE71">
        <v>0</v>
      </c>
    </row>
    <row r="72" spans="1:57">
      <c r="A72" t="s">
        <v>17395</v>
      </c>
      <c r="B72" t="s">
        <v>17396</v>
      </c>
      <c r="C72">
        <v>0</v>
      </c>
      <c r="D72">
        <v>6</v>
      </c>
      <c r="E72">
        <v>6</v>
      </c>
      <c r="F72">
        <v>6</v>
      </c>
      <c r="G72">
        <v>0</v>
      </c>
      <c r="H72">
        <v>0</v>
      </c>
      <c r="I72">
        <v>0</v>
      </c>
      <c r="J72">
        <v>6</v>
      </c>
      <c r="K72">
        <v>35</v>
      </c>
      <c r="L72">
        <v>4</v>
      </c>
      <c r="M72">
        <v>0</v>
      </c>
      <c r="N72">
        <v>2</v>
      </c>
      <c r="O72">
        <v>0</v>
      </c>
      <c r="P72">
        <v>0</v>
      </c>
      <c r="Q72">
        <v>0</v>
      </c>
      <c r="R72">
        <v>0</v>
      </c>
      <c r="S72">
        <v>11</v>
      </c>
      <c r="T72">
        <v>0</v>
      </c>
      <c r="U72">
        <v>0</v>
      </c>
      <c r="V72">
        <v>10</v>
      </c>
      <c r="W72">
        <v>110</v>
      </c>
      <c r="X72">
        <v>0</v>
      </c>
      <c r="Y72">
        <v>6</v>
      </c>
      <c r="Z72">
        <v>0</v>
      </c>
      <c r="AA72">
        <v>0</v>
      </c>
      <c r="AB72">
        <v>0</v>
      </c>
      <c r="AC72">
        <v>0</v>
      </c>
      <c r="AD72">
        <v>0</v>
      </c>
      <c r="AE72">
        <v>0</v>
      </c>
      <c r="AF72">
        <v>0</v>
      </c>
      <c r="AG72">
        <v>110</v>
      </c>
      <c r="AH72">
        <v>110</v>
      </c>
      <c r="AI72">
        <v>0</v>
      </c>
      <c r="AJ72">
        <v>0</v>
      </c>
      <c r="AK72">
        <v>0</v>
      </c>
      <c r="AL72">
        <v>0</v>
      </c>
      <c r="AM72">
        <v>0</v>
      </c>
      <c r="AN72">
        <v>0</v>
      </c>
      <c r="AO72">
        <v>0</v>
      </c>
      <c r="AP72">
        <v>0</v>
      </c>
      <c r="AQ72">
        <v>0</v>
      </c>
      <c r="AR72">
        <v>0</v>
      </c>
      <c r="AS72">
        <v>0</v>
      </c>
      <c r="AT72">
        <v>35</v>
      </c>
      <c r="AU72">
        <v>0</v>
      </c>
      <c r="AV72">
        <v>35</v>
      </c>
      <c r="AW72">
        <v>0</v>
      </c>
      <c r="AX72">
        <v>11</v>
      </c>
      <c r="AY72">
        <v>0</v>
      </c>
      <c r="AZ72">
        <v>11</v>
      </c>
      <c r="BA72">
        <v>0</v>
      </c>
      <c r="BB72">
        <v>0</v>
      </c>
      <c r="BC72">
        <v>0</v>
      </c>
      <c r="BD72">
        <v>0</v>
      </c>
      <c r="BE72">
        <v>0</v>
      </c>
    </row>
    <row r="73" spans="1:57">
      <c r="A73" t="s">
        <v>16963</v>
      </c>
      <c r="B73" t="s">
        <v>16964</v>
      </c>
      <c r="C73">
        <v>5</v>
      </c>
      <c r="D73">
        <v>12</v>
      </c>
      <c r="E73">
        <v>11</v>
      </c>
      <c r="F73">
        <v>9</v>
      </c>
      <c r="G73">
        <v>1</v>
      </c>
      <c r="H73">
        <v>3</v>
      </c>
      <c r="I73">
        <v>0</v>
      </c>
      <c r="J73">
        <v>12</v>
      </c>
      <c r="K73">
        <v>69</v>
      </c>
      <c r="L73">
        <v>4</v>
      </c>
      <c r="M73">
        <v>1</v>
      </c>
      <c r="N73">
        <v>3</v>
      </c>
      <c r="O73">
        <v>4</v>
      </c>
      <c r="P73">
        <v>0</v>
      </c>
      <c r="Q73">
        <v>0</v>
      </c>
      <c r="R73">
        <v>0</v>
      </c>
      <c r="S73">
        <v>5</v>
      </c>
      <c r="T73">
        <v>1</v>
      </c>
      <c r="U73">
        <v>0</v>
      </c>
      <c r="V73">
        <v>6</v>
      </c>
      <c r="W73">
        <v>70</v>
      </c>
      <c r="X73">
        <v>0</v>
      </c>
      <c r="Y73">
        <v>1</v>
      </c>
      <c r="Z73">
        <v>0</v>
      </c>
      <c r="AA73">
        <v>0</v>
      </c>
      <c r="AB73">
        <v>40</v>
      </c>
      <c r="AC73">
        <v>0</v>
      </c>
      <c r="AD73">
        <v>0</v>
      </c>
      <c r="AE73">
        <v>40</v>
      </c>
      <c r="AF73">
        <v>40</v>
      </c>
      <c r="AG73">
        <v>70</v>
      </c>
      <c r="AH73">
        <v>30</v>
      </c>
      <c r="AI73">
        <v>0</v>
      </c>
      <c r="AJ73">
        <v>0</v>
      </c>
      <c r="AK73">
        <v>0</v>
      </c>
      <c r="AL73">
        <v>0</v>
      </c>
      <c r="AM73">
        <v>0</v>
      </c>
      <c r="AN73">
        <v>1</v>
      </c>
      <c r="AO73">
        <v>0</v>
      </c>
      <c r="AP73">
        <v>0</v>
      </c>
      <c r="AQ73">
        <v>0</v>
      </c>
      <c r="AR73">
        <v>0</v>
      </c>
      <c r="AS73">
        <v>0</v>
      </c>
      <c r="AT73">
        <v>69</v>
      </c>
      <c r="AU73">
        <v>31</v>
      </c>
      <c r="AV73">
        <v>27</v>
      </c>
      <c r="AW73">
        <v>27</v>
      </c>
      <c r="AX73">
        <v>5</v>
      </c>
      <c r="AY73">
        <v>0</v>
      </c>
      <c r="AZ73">
        <v>5</v>
      </c>
      <c r="BA73">
        <v>0</v>
      </c>
      <c r="BB73">
        <v>1</v>
      </c>
      <c r="BC73">
        <v>0</v>
      </c>
      <c r="BD73">
        <v>1</v>
      </c>
      <c r="BE73">
        <v>0</v>
      </c>
    </row>
    <row r="74" spans="1:57">
      <c r="A74" t="s">
        <v>16963</v>
      </c>
      <c r="B74" t="s">
        <v>16964</v>
      </c>
      <c r="C74">
        <v>0</v>
      </c>
      <c r="D74">
        <v>3</v>
      </c>
      <c r="E74">
        <v>3</v>
      </c>
      <c r="F74">
        <v>3</v>
      </c>
      <c r="G74">
        <v>0</v>
      </c>
      <c r="H74">
        <v>0</v>
      </c>
      <c r="I74">
        <v>0</v>
      </c>
      <c r="J74">
        <v>3</v>
      </c>
      <c r="K74">
        <v>10</v>
      </c>
      <c r="L74">
        <v>1</v>
      </c>
      <c r="M74">
        <v>0</v>
      </c>
      <c r="N74">
        <v>2</v>
      </c>
      <c r="O74">
        <v>0</v>
      </c>
      <c r="P74">
        <v>0</v>
      </c>
      <c r="Q74">
        <v>0</v>
      </c>
      <c r="R74">
        <v>0</v>
      </c>
      <c r="S74">
        <v>2.25</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10</v>
      </c>
      <c r="AU74">
        <v>0</v>
      </c>
      <c r="AV74">
        <v>8</v>
      </c>
      <c r="AW74">
        <v>0</v>
      </c>
      <c r="AX74">
        <v>2.25</v>
      </c>
      <c r="AY74">
        <v>0</v>
      </c>
      <c r="AZ74">
        <v>1.25</v>
      </c>
      <c r="BA74">
        <v>0</v>
      </c>
      <c r="BB74">
        <v>0.25</v>
      </c>
      <c r="BC74">
        <v>0</v>
      </c>
      <c r="BD74">
        <v>0</v>
      </c>
      <c r="BE74">
        <v>0</v>
      </c>
    </row>
    <row r="75" spans="1:57">
      <c r="A75" t="s">
        <v>16965</v>
      </c>
      <c r="B75" t="s">
        <v>16966</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row>
    <row r="76" spans="1:57">
      <c r="A76" t="s">
        <v>17226</v>
      </c>
      <c r="B76" t="s">
        <v>17227</v>
      </c>
      <c r="C76">
        <v>0</v>
      </c>
      <c r="D76">
        <v>7</v>
      </c>
      <c r="E76">
        <v>7</v>
      </c>
      <c r="F76">
        <v>7</v>
      </c>
      <c r="G76">
        <v>0</v>
      </c>
      <c r="H76">
        <v>0</v>
      </c>
      <c r="I76">
        <v>0</v>
      </c>
      <c r="J76">
        <v>7</v>
      </c>
      <c r="K76">
        <v>67</v>
      </c>
      <c r="L76">
        <v>4</v>
      </c>
      <c r="M76">
        <v>1</v>
      </c>
      <c r="N76">
        <v>1</v>
      </c>
      <c r="O76">
        <v>1</v>
      </c>
      <c r="P76">
        <v>0</v>
      </c>
      <c r="Q76">
        <v>0</v>
      </c>
      <c r="R76">
        <v>0</v>
      </c>
      <c r="S76">
        <v>5.8</v>
      </c>
      <c r="T76">
        <v>0</v>
      </c>
      <c r="U76">
        <v>0</v>
      </c>
      <c r="V76">
        <v>5.8</v>
      </c>
      <c r="W76">
        <v>58</v>
      </c>
      <c r="X76">
        <v>0</v>
      </c>
      <c r="Y76">
        <v>6</v>
      </c>
      <c r="Z76">
        <v>0</v>
      </c>
      <c r="AA76">
        <v>0</v>
      </c>
      <c r="AB76">
        <v>0</v>
      </c>
      <c r="AC76">
        <v>0</v>
      </c>
      <c r="AD76">
        <v>0</v>
      </c>
      <c r="AE76">
        <v>0</v>
      </c>
      <c r="AF76">
        <v>0</v>
      </c>
      <c r="AG76">
        <v>58</v>
      </c>
      <c r="AH76">
        <v>58</v>
      </c>
      <c r="AI76">
        <v>0</v>
      </c>
      <c r="AJ76">
        <v>0</v>
      </c>
      <c r="AK76">
        <v>0</v>
      </c>
      <c r="AL76">
        <v>0</v>
      </c>
      <c r="AM76">
        <v>0</v>
      </c>
      <c r="AN76">
        <v>0</v>
      </c>
      <c r="AO76">
        <v>0</v>
      </c>
      <c r="AP76">
        <v>0</v>
      </c>
      <c r="AQ76">
        <v>0</v>
      </c>
      <c r="AR76">
        <v>0</v>
      </c>
      <c r="AS76">
        <v>0</v>
      </c>
      <c r="AT76">
        <v>67</v>
      </c>
      <c r="AU76">
        <v>0</v>
      </c>
      <c r="AV76">
        <v>67</v>
      </c>
      <c r="AW76">
        <v>0</v>
      </c>
      <c r="AX76">
        <v>5.8</v>
      </c>
      <c r="AY76">
        <v>0</v>
      </c>
      <c r="AZ76">
        <v>5.8</v>
      </c>
      <c r="BA76">
        <v>0</v>
      </c>
      <c r="BB76">
        <v>0</v>
      </c>
      <c r="BC76">
        <v>0</v>
      </c>
      <c r="BD76">
        <v>0</v>
      </c>
      <c r="BE76">
        <v>0</v>
      </c>
    </row>
    <row r="77" spans="1:57">
      <c r="A77" t="s">
        <v>17373</v>
      </c>
      <c r="B77" t="s">
        <v>17374</v>
      </c>
      <c r="C77">
        <v>0</v>
      </c>
      <c r="D77">
        <v>15</v>
      </c>
      <c r="E77">
        <v>14</v>
      </c>
      <c r="F77">
        <v>11</v>
      </c>
      <c r="G77">
        <v>2</v>
      </c>
      <c r="H77">
        <v>13</v>
      </c>
      <c r="I77">
        <v>1</v>
      </c>
      <c r="J77">
        <v>15</v>
      </c>
      <c r="K77">
        <v>461</v>
      </c>
      <c r="L77">
        <v>6</v>
      </c>
      <c r="M77">
        <v>2</v>
      </c>
      <c r="N77">
        <v>3</v>
      </c>
      <c r="O77">
        <v>0</v>
      </c>
      <c r="P77">
        <v>1</v>
      </c>
      <c r="Q77">
        <v>3</v>
      </c>
      <c r="R77">
        <v>0</v>
      </c>
      <c r="S77">
        <v>12</v>
      </c>
      <c r="T77">
        <v>20.5</v>
      </c>
      <c r="U77">
        <v>0</v>
      </c>
      <c r="V77">
        <v>32.5</v>
      </c>
      <c r="W77">
        <v>530</v>
      </c>
      <c r="X77">
        <v>0</v>
      </c>
      <c r="Y77">
        <v>12</v>
      </c>
      <c r="Z77">
        <v>0</v>
      </c>
      <c r="AA77">
        <v>0</v>
      </c>
      <c r="AB77">
        <v>200</v>
      </c>
      <c r="AC77">
        <v>3092</v>
      </c>
      <c r="AD77">
        <v>2762</v>
      </c>
      <c r="AE77">
        <v>2132.5</v>
      </c>
      <c r="AF77">
        <v>2962</v>
      </c>
      <c r="AG77">
        <v>3622</v>
      </c>
      <c r="AH77">
        <v>1489.5</v>
      </c>
      <c r="AI77">
        <v>2028.5</v>
      </c>
      <c r="AJ77">
        <v>2858</v>
      </c>
      <c r="AK77">
        <v>3518</v>
      </c>
      <c r="AL77">
        <v>1489.5</v>
      </c>
      <c r="AM77">
        <v>1</v>
      </c>
      <c r="AN77">
        <v>1</v>
      </c>
      <c r="AO77">
        <v>1</v>
      </c>
      <c r="AP77">
        <v>8</v>
      </c>
      <c r="AQ77">
        <v>0</v>
      </c>
      <c r="AR77">
        <v>0</v>
      </c>
      <c r="AS77">
        <v>0</v>
      </c>
      <c r="AT77">
        <v>461</v>
      </c>
      <c r="AU77">
        <v>410</v>
      </c>
      <c r="AV77">
        <v>51</v>
      </c>
      <c r="AW77">
        <v>0</v>
      </c>
      <c r="AX77">
        <v>12</v>
      </c>
      <c r="AY77">
        <v>12</v>
      </c>
      <c r="AZ77">
        <v>0</v>
      </c>
      <c r="BA77">
        <v>0</v>
      </c>
      <c r="BB77">
        <v>20.5</v>
      </c>
      <c r="BC77">
        <v>20.5</v>
      </c>
      <c r="BD77">
        <v>0</v>
      </c>
      <c r="BE77">
        <v>0</v>
      </c>
    </row>
    <row r="78" spans="1:57">
      <c r="A78" t="s">
        <v>17376</v>
      </c>
      <c r="B78" t="s">
        <v>17377</v>
      </c>
      <c r="C78">
        <v>0</v>
      </c>
      <c r="D78">
        <v>19</v>
      </c>
      <c r="E78">
        <v>19</v>
      </c>
      <c r="F78">
        <v>19</v>
      </c>
      <c r="G78">
        <v>0</v>
      </c>
      <c r="H78">
        <v>1</v>
      </c>
      <c r="I78">
        <v>3</v>
      </c>
      <c r="J78">
        <v>24</v>
      </c>
      <c r="K78">
        <v>113</v>
      </c>
      <c r="L78">
        <v>18</v>
      </c>
      <c r="M78">
        <v>1</v>
      </c>
      <c r="N78">
        <v>0</v>
      </c>
      <c r="O78">
        <v>0</v>
      </c>
      <c r="P78">
        <v>0</v>
      </c>
      <c r="Q78">
        <v>0</v>
      </c>
      <c r="R78">
        <v>0</v>
      </c>
      <c r="S78">
        <v>11.25</v>
      </c>
      <c r="T78">
        <v>27.25</v>
      </c>
      <c r="U78">
        <v>0</v>
      </c>
      <c r="V78">
        <v>38.5</v>
      </c>
      <c r="W78">
        <v>657.5</v>
      </c>
      <c r="X78">
        <v>0</v>
      </c>
      <c r="Y78">
        <v>13</v>
      </c>
      <c r="Z78">
        <v>6</v>
      </c>
      <c r="AA78">
        <v>0</v>
      </c>
      <c r="AB78">
        <v>295</v>
      </c>
      <c r="AC78">
        <v>356.5</v>
      </c>
      <c r="AD78">
        <v>356.5</v>
      </c>
      <c r="AE78">
        <v>674</v>
      </c>
      <c r="AF78">
        <v>639.5</v>
      </c>
      <c r="AG78">
        <v>924.5</v>
      </c>
      <c r="AH78">
        <v>255</v>
      </c>
      <c r="AI78">
        <v>206.5</v>
      </c>
      <c r="AJ78">
        <v>206.5</v>
      </c>
      <c r="AK78">
        <v>266.5</v>
      </c>
      <c r="AL78">
        <v>60</v>
      </c>
      <c r="AM78">
        <v>1</v>
      </c>
      <c r="AN78">
        <v>7</v>
      </c>
      <c r="AO78">
        <v>1</v>
      </c>
      <c r="AP78">
        <v>3</v>
      </c>
      <c r="AQ78">
        <v>0</v>
      </c>
      <c r="AR78">
        <v>0</v>
      </c>
      <c r="AS78">
        <v>0</v>
      </c>
      <c r="AT78">
        <v>113</v>
      </c>
      <c r="AU78">
        <v>12</v>
      </c>
      <c r="AV78">
        <v>79</v>
      </c>
      <c r="AW78">
        <v>0</v>
      </c>
      <c r="AX78">
        <v>9</v>
      </c>
      <c r="AY78">
        <v>0</v>
      </c>
      <c r="AZ78">
        <v>9</v>
      </c>
      <c r="BA78">
        <v>0</v>
      </c>
      <c r="BB78">
        <v>24</v>
      </c>
      <c r="BC78">
        <v>8</v>
      </c>
      <c r="BD78">
        <v>15.5</v>
      </c>
      <c r="BE78">
        <v>0</v>
      </c>
    </row>
    <row r="79" spans="1:57">
      <c r="A79" t="s">
        <v>16967</v>
      </c>
      <c r="B79" t="s">
        <v>16968</v>
      </c>
      <c r="C79">
        <v>0</v>
      </c>
      <c r="D79">
        <v>2</v>
      </c>
      <c r="E79">
        <v>1</v>
      </c>
      <c r="F79">
        <v>1</v>
      </c>
      <c r="G79">
        <v>1</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row>
    <row r="80" spans="1:57">
      <c r="A80" t="s">
        <v>16971</v>
      </c>
      <c r="B80" t="s">
        <v>17397</v>
      </c>
      <c r="C80">
        <v>27</v>
      </c>
      <c r="D80">
        <v>51</v>
      </c>
      <c r="E80">
        <v>10</v>
      </c>
      <c r="F80">
        <v>48</v>
      </c>
      <c r="G80">
        <v>1</v>
      </c>
      <c r="H80">
        <v>2</v>
      </c>
      <c r="I80">
        <v>1</v>
      </c>
      <c r="J80">
        <v>49</v>
      </c>
      <c r="K80">
        <v>235</v>
      </c>
      <c r="L80">
        <v>40</v>
      </c>
      <c r="M80">
        <v>0</v>
      </c>
      <c r="N80">
        <v>2</v>
      </c>
      <c r="O80">
        <v>8</v>
      </c>
      <c r="P80">
        <v>0</v>
      </c>
      <c r="Q80">
        <v>0</v>
      </c>
      <c r="R80">
        <v>0</v>
      </c>
      <c r="S80">
        <v>35.049999999999997</v>
      </c>
      <c r="T80">
        <v>3.5</v>
      </c>
      <c r="U80">
        <v>0.75</v>
      </c>
      <c r="V80">
        <v>39.299999999999997</v>
      </c>
      <c r="W80">
        <v>273</v>
      </c>
      <c r="X80">
        <v>0</v>
      </c>
      <c r="Y80">
        <v>21</v>
      </c>
      <c r="Z80">
        <v>2</v>
      </c>
      <c r="AA80">
        <v>-147.5</v>
      </c>
      <c r="AB80">
        <v>0</v>
      </c>
      <c r="AC80">
        <v>5.5</v>
      </c>
      <c r="AD80">
        <v>5.5</v>
      </c>
      <c r="AE80">
        <v>0</v>
      </c>
      <c r="AF80">
        <v>5.5</v>
      </c>
      <c r="AG80">
        <v>293.5</v>
      </c>
      <c r="AH80">
        <v>293.5</v>
      </c>
      <c r="AI80">
        <v>0</v>
      </c>
      <c r="AJ80">
        <v>0</v>
      </c>
      <c r="AK80">
        <v>32.5</v>
      </c>
      <c r="AL80">
        <v>32.5</v>
      </c>
      <c r="AM80">
        <v>0</v>
      </c>
      <c r="AN80">
        <v>0</v>
      </c>
      <c r="AO80">
        <v>0</v>
      </c>
      <c r="AP80">
        <v>0</v>
      </c>
      <c r="AQ80">
        <v>0</v>
      </c>
      <c r="AR80">
        <v>0</v>
      </c>
      <c r="AS80">
        <v>0</v>
      </c>
      <c r="AT80">
        <v>235</v>
      </c>
      <c r="AU80">
        <v>22</v>
      </c>
      <c r="AV80">
        <v>110</v>
      </c>
      <c r="AW80">
        <v>103</v>
      </c>
      <c r="AX80">
        <v>35.049999999999997</v>
      </c>
      <c r="AY80">
        <v>0.25</v>
      </c>
      <c r="AZ80">
        <v>20.05</v>
      </c>
      <c r="BA80">
        <v>14.75</v>
      </c>
      <c r="BB80">
        <v>3.5</v>
      </c>
      <c r="BC80">
        <v>1</v>
      </c>
      <c r="BD80">
        <v>2.5</v>
      </c>
      <c r="BE80">
        <v>0</v>
      </c>
    </row>
    <row r="81" spans="1:57">
      <c r="A81" t="s">
        <v>16972</v>
      </c>
      <c r="B81" t="s">
        <v>16973</v>
      </c>
      <c r="C81">
        <v>0</v>
      </c>
      <c r="D81">
        <v>2</v>
      </c>
      <c r="E81">
        <v>2</v>
      </c>
      <c r="F81">
        <v>2</v>
      </c>
      <c r="G81">
        <v>0</v>
      </c>
      <c r="H81">
        <v>0</v>
      </c>
      <c r="I81">
        <v>0</v>
      </c>
      <c r="J81">
        <v>2</v>
      </c>
      <c r="K81">
        <v>14</v>
      </c>
      <c r="L81">
        <v>2</v>
      </c>
      <c r="M81">
        <v>0</v>
      </c>
      <c r="N81">
        <v>0</v>
      </c>
      <c r="O81">
        <v>0</v>
      </c>
      <c r="P81">
        <v>0</v>
      </c>
      <c r="Q81">
        <v>0</v>
      </c>
      <c r="R81">
        <v>0</v>
      </c>
      <c r="S81">
        <v>0.5</v>
      </c>
      <c r="T81">
        <v>0.5</v>
      </c>
      <c r="U81">
        <v>0</v>
      </c>
      <c r="V81">
        <v>1</v>
      </c>
      <c r="W81">
        <v>15</v>
      </c>
      <c r="X81">
        <v>0</v>
      </c>
      <c r="Y81">
        <v>2</v>
      </c>
      <c r="Z81">
        <v>0</v>
      </c>
      <c r="AA81">
        <v>0</v>
      </c>
      <c r="AB81">
        <v>0</v>
      </c>
      <c r="AC81">
        <v>0</v>
      </c>
      <c r="AD81">
        <v>0</v>
      </c>
      <c r="AE81">
        <v>0</v>
      </c>
      <c r="AF81">
        <v>0</v>
      </c>
      <c r="AG81">
        <v>15</v>
      </c>
      <c r="AH81">
        <v>15</v>
      </c>
      <c r="AI81">
        <v>0</v>
      </c>
      <c r="AJ81">
        <v>0</v>
      </c>
      <c r="AK81">
        <v>0</v>
      </c>
      <c r="AL81">
        <v>0</v>
      </c>
      <c r="AM81">
        <v>0</v>
      </c>
      <c r="AN81">
        <v>0</v>
      </c>
      <c r="AO81">
        <v>0</v>
      </c>
      <c r="AP81">
        <v>0</v>
      </c>
      <c r="AQ81">
        <v>0</v>
      </c>
      <c r="AR81">
        <v>0</v>
      </c>
      <c r="AS81">
        <v>0</v>
      </c>
      <c r="AT81">
        <v>14</v>
      </c>
      <c r="AU81">
        <v>0</v>
      </c>
      <c r="AV81">
        <v>14</v>
      </c>
      <c r="AW81">
        <v>0</v>
      </c>
      <c r="AX81">
        <v>0.5</v>
      </c>
      <c r="AY81">
        <v>0</v>
      </c>
      <c r="AZ81">
        <v>0.5</v>
      </c>
      <c r="BA81">
        <v>0</v>
      </c>
      <c r="BB81">
        <v>0.5</v>
      </c>
      <c r="BC81">
        <v>0</v>
      </c>
      <c r="BD81">
        <v>0.5</v>
      </c>
      <c r="BE81">
        <v>0</v>
      </c>
    </row>
    <row r="82" spans="1:57">
      <c r="A82" t="s">
        <v>16976</v>
      </c>
      <c r="B82" t="s">
        <v>19335</v>
      </c>
      <c r="C82">
        <v>8</v>
      </c>
      <c r="D82">
        <v>13</v>
      </c>
      <c r="E82">
        <v>0</v>
      </c>
      <c r="F82">
        <v>6</v>
      </c>
      <c r="G82">
        <v>0</v>
      </c>
      <c r="H82">
        <v>0</v>
      </c>
      <c r="I82">
        <v>0</v>
      </c>
      <c r="J82">
        <v>13</v>
      </c>
      <c r="K82">
        <v>234</v>
      </c>
      <c r="L82">
        <v>9</v>
      </c>
      <c r="M82">
        <v>0</v>
      </c>
      <c r="N82">
        <v>0</v>
      </c>
      <c r="O82">
        <v>0</v>
      </c>
      <c r="P82">
        <v>0</v>
      </c>
      <c r="Q82">
        <v>0</v>
      </c>
      <c r="R82">
        <v>0</v>
      </c>
      <c r="S82">
        <v>13</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234</v>
      </c>
      <c r="AU82">
        <v>0</v>
      </c>
      <c r="AV82">
        <v>61</v>
      </c>
      <c r="AW82">
        <v>173</v>
      </c>
      <c r="AX82">
        <v>13</v>
      </c>
      <c r="AY82">
        <v>0</v>
      </c>
      <c r="AZ82">
        <v>6</v>
      </c>
      <c r="BA82">
        <v>7</v>
      </c>
      <c r="BB82">
        <v>0</v>
      </c>
      <c r="BC82">
        <v>0</v>
      </c>
      <c r="BD82">
        <v>0</v>
      </c>
      <c r="BE82">
        <v>0</v>
      </c>
    </row>
    <row r="83" spans="1:57">
      <c r="A83" t="s">
        <v>18802</v>
      </c>
      <c r="B83" t="s">
        <v>18802</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row>
    <row r="84" spans="1:57">
      <c r="A84" t="s">
        <v>16935</v>
      </c>
      <c r="B84" t="s">
        <v>17389</v>
      </c>
      <c r="C84">
        <v>0</v>
      </c>
      <c r="D84">
        <v>15</v>
      </c>
      <c r="E84">
        <v>15</v>
      </c>
      <c r="F84">
        <v>15</v>
      </c>
      <c r="G84">
        <v>0</v>
      </c>
      <c r="H84">
        <v>0</v>
      </c>
      <c r="I84">
        <v>0</v>
      </c>
      <c r="J84">
        <v>15</v>
      </c>
      <c r="K84">
        <v>110</v>
      </c>
      <c r="L84">
        <v>9</v>
      </c>
      <c r="M84">
        <v>0</v>
      </c>
      <c r="N84">
        <v>2</v>
      </c>
      <c r="O84">
        <v>3</v>
      </c>
      <c r="P84">
        <v>0</v>
      </c>
      <c r="Q84">
        <v>1</v>
      </c>
      <c r="R84">
        <v>0</v>
      </c>
      <c r="S84">
        <v>14.5</v>
      </c>
      <c r="T84">
        <v>10</v>
      </c>
      <c r="U84">
        <v>0</v>
      </c>
      <c r="V84">
        <v>24.5</v>
      </c>
      <c r="W84">
        <v>345</v>
      </c>
      <c r="X84">
        <v>0</v>
      </c>
      <c r="Y84">
        <v>4</v>
      </c>
      <c r="Z84">
        <v>1</v>
      </c>
      <c r="AA84">
        <v>0</v>
      </c>
      <c r="AB84">
        <v>195</v>
      </c>
      <c r="AC84">
        <v>7</v>
      </c>
      <c r="AD84">
        <v>7</v>
      </c>
      <c r="AE84">
        <v>0</v>
      </c>
      <c r="AF84">
        <v>202</v>
      </c>
      <c r="AG84">
        <v>352</v>
      </c>
      <c r="AH84">
        <v>352</v>
      </c>
      <c r="AI84">
        <v>0</v>
      </c>
      <c r="AJ84">
        <v>0</v>
      </c>
      <c r="AK84">
        <v>0</v>
      </c>
      <c r="AL84">
        <v>0</v>
      </c>
      <c r="AM84">
        <v>0</v>
      </c>
      <c r="AN84">
        <v>0</v>
      </c>
      <c r="AO84">
        <v>0</v>
      </c>
      <c r="AP84">
        <v>0</v>
      </c>
      <c r="AQ84">
        <v>0</v>
      </c>
      <c r="AR84">
        <v>0</v>
      </c>
      <c r="AS84">
        <v>0</v>
      </c>
      <c r="AT84">
        <v>110</v>
      </c>
      <c r="AU84">
        <v>0</v>
      </c>
      <c r="AV84">
        <v>110</v>
      </c>
      <c r="AW84">
        <v>0</v>
      </c>
      <c r="AX84">
        <v>14.5</v>
      </c>
      <c r="AY84">
        <v>0</v>
      </c>
      <c r="AZ84">
        <v>14.5</v>
      </c>
      <c r="BA84">
        <v>0</v>
      </c>
      <c r="BB84">
        <v>10</v>
      </c>
      <c r="BC84">
        <v>0</v>
      </c>
      <c r="BD84">
        <v>10</v>
      </c>
      <c r="BE84">
        <v>0</v>
      </c>
    </row>
    <row r="85" spans="1:57">
      <c r="A85" t="s">
        <v>17390</v>
      </c>
      <c r="B85" t="s">
        <v>17391</v>
      </c>
      <c r="C85">
        <v>0</v>
      </c>
      <c r="D85">
        <v>32</v>
      </c>
      <c r="E85">
        <v>32</v>
      </c>
      <c r="F85">
        <v>24</v>
      </c>
      <c r="G85">
        <v>0</v>
      </c>
      <c r="H85">
        <v>0</v>
      </c>
      <c r="I85">
        <v>0</v>
      </c>
      <c r="J85">
        <v>32</v>
      </c>
      <c r="K85">
        <v>214</v>
      </c>
      <c r="L85">
        <v>32</v>
      </c>
      <c r="M85">
        <v>0</v>
      </c>
      <c r="N85">
        <v>0</v>
      </c>
      <c r="O85">
        <v>0</v>
      </c>
      <c r="P85">
        <v>0</v>
      </c>
      <c r="Q85">
        <v>0</v>
      </c>
      <c r="R85">
        <v>0</v>
      </c>
      <c r="S85">
        <v>32</v>
      </c>
      <c r="T85">
        <v>0</v>
      </c>
      <c r="U85">
        <v>0</v>
      </c>
      <c r="V85">
        <v>32</v>
      </c>
      <c r="W85">
        <v>320</v>
      </c>
      <c r="X85">
        <v>0</v>
      </c>
      <c r="Y85">
        <v>32</v>
      </c>
      <c r="Z85">
        <v>0</v>
      </c>
      <c r="AA85">
        <v>0</v>
      </c>
      <c r="AB85">
        <v>0</v>
      </c>
      <c r="AC85">
        <v>3271.0949999999989</v>
      </c>
      <c r="AD85">
        <v>3271.2499999999991</v>
      </c>
      <c r="AE85">
        <v>3271.099999999999</v>
      </c>
      <c r="AF85">
        <v>3271.2499999999991</v>
      </c>
      <c r="AG85">
        <v>3591.0949999999984</v>
      </c>
      <c r="AH85">
        <v>319.995</v>
      </c>
      <c r="AI85">
        <v>0</v>
      </c>
      <c r="AJ85">
        <v>0</v>
      </c>
      <c r="AK85">
        <v>0</v>
      </c>
      <c r="AL85">
        <v>0</v>
      </c>
      <c r="AM85">
        <v>0</v>
      </c>
      <c r="AN85">
        <v>0</v>
      </c>
      <c r="AO85">
        <v>0</v>
      </c>
      <c r="AP85">
        <v>31</v>
      </c>
      <c r="AQ85">
        <v>0</v>
      </c>
      <c r="AR85">
        <v>0</v>
      </c>
      <c r="AS85">
        <v>0</v>
      </c>
      <c r="AT85">
        <v>214</v>
      </c>
      <c r="AU85">
        <v>0</v>
      </c>
      <c r="AV85">
        <v>214</v>
      </c>
      <c r="AW85">
        <v>0</v>
      </c>
      <c r="AX85">
        <v>32</v>
      </c>
      <c r="AY85">
        <v>0</v>
      </c>
      <c r="AZ85">
        <v>32</v>
      </c>
      <c r="BA85">
        <v>0</v>
      </c>
      <c r="BB85">
        <v>0</v>
      </c>
      <c r="BC85">
        <v>0</v>
      </c>
      <c r="BD85">
        <v>0</v>
      </c>
      <c r="BE85">
        <v>0</v>
      </c>
    </row>
    <row r="86" spans="1:57">
      <c r="A86" t="s">
        <v>16936</v>
      </c>
      <c r="B86" t="s">
        <v>16937</v>
      </c>
      <c r="C86">
        <v>0</v>
      </c>
      <c r="D86">
        <v>61</v>
      </c>
      <c r="E86">
        <v>0</v>
      </c>
      <c r="F86">
        <v>61</v>
      </c>
      <c r="G86">
        <v>0</v>
      </c>
      <c r="H86">
        <v>6</v>
      </c>
      <c r="I86">
        <v>7</v>
      </c>
      <c r="J86">
        <v>61</v>
      </c>
      <c r="K86">
        <v>728</v>
      </c>
      <c r="L86">
        <v>38</v>
      </c>
      <c r="M86">
        <v>1</v>
      </c>
      <c r="N86">
        <v>0</v>
      </c>
      <c r="O86">
        <v>22</v>
      </c>
      <c r="P86">
        <v>0</v>
      </c>
      <c r="Q86">
        <v>1</v>
      </c>
      <c r="R86">
        <v>0</v>
      </c>
      <c r="S86">
        <v>154</v>
      </c>
      <c r="T86">
        <v>0</v>
      </c>
      <c r="U86">
        <v>0</v>
      </c>
      <c r="V86">
        <v>154</v>
      </c>
      <c r="W86">
        <v>1540</v>
      </c>
      <c r="X86">
        <v>0</v>
      </c>
      <c r="Y86">
        <v>47</v>
      </c>
      <c r="Z86">
        <v>0</v>
      </c>
      <c r="AA86">
        <v>0</v>
      </c>
      <c r="AB86">
        <v>660</v>
      </c>
      <c r="AC86">
        <v>0</v>
      </c>
      <c r="AD86">
        <v>0</v>
      </c>
      <c r="AE86">
        <v>0</v>
      </c>
      <c r="AF86">
        <v>660</v>
      </c>
      <c r="AG86">
        <v>1540</v>
      </c>
      <c r="AH86">
        <v>1540</v>
      </c>
      <c r="AI86">
        <v>0</v>
      </c>
      <c r="AJ86">
        <v>140</v>
      </c>
      <c r="AK86">
        <v>250</v>
      </c>
      <c r="AL86">
        <v>250</v>
      </c>
      <c r="AM86">
        <v>0</v>
      </c>
      <c r="AN86">
        <v>0</v>
      </c>
      <c r="AO86">
        <v>0</v>
      </c>
      <c r="AP86">
        <v>0</v>
      </c>
      <c r="AQ86">
        <v>0</v>
      </c>
      <c r="AR86">
        <v>0</v>
      </c>
      <c r="AS86">
        <v>0</v>
      </c>
      <c r="AT86">
        <v>728</v>
      </c>
      <c r="AU86">
        <v>192</v>
      </c>
      <c r="AV86">
        <v>536</v>
      </c>
      <c r="AW86">
        <v>0</v>
      </c>
      <c r="AX86">
        <v>154</v>
      </c>
      <c r="AY86">
        <v>25</v>
      </c>
      <c r="AZ86">
        <v>129</v>
      </c>
      <c r="BA86">
        <v>0</v>
      </c>
      <c r="BB86">
        <v>0</v>
      </c>
      <c r="BC86">
        <v>0</v>
      </c>
      <c r="BD86">
        <v>0</v>
      </c>
      <c r="BE86">
        <v>0</v>
      </c>
    </row>
    <row r="87" spans="1:57">
      <c r="A87" t="s">
        <v>16938</v>
      </c>
      <c r="B87" t="s">
        <v>16939</v>
      </c>
      <c r="C87">
        <v>0</v>
      </c>
      <c r="D87">
        <v>27</v>
      </c>
      <c r="E87">
        <v>27</v>
      </c>
      <c r="F87">
        <v>26</v>
      </c>
      <c r="G87">
        <v>0</v>
      </c>
      <c r="H87">
        <v>1</v>
      </c>
      <c r="I87">
        <v>0</v>
      </c>
      <c r="J87">
        <v>27</v>
      </c>
      <c r="K87">
        <v>153</v>
      </c>
      <c r="L87">
        <v>21</v>
      </c>
      <c r="M87">
        <v>1</v>
      </c>
      <c r="N87">
        <v>2</v>
      </c>
      <c r="O87">
        <v>3</v>
      </c>
      <c r="P87">
        <v>0</v>
      </c>
      <c r="Q87">
        <v>0</v>
      </c>
      <c r="R87">
        <v>0</v>
      </c>
      <c r="S87">
        <v>10</v>
      </c>
      <c r="T87">
        <v>12</v>
      </c>
      <c r="U87">
        <v>2.5</v>
      </c>
      <c r="V87">
        <v>24.5</v>
      </c>
      <c r="W87">
        <v>340</v>
      </c>
      <c r="X87">
        <v>0</v>
      </c>
      <c r="Y87">
        <v>20</v>
      </c>
      <c r="Z87">
        <v>4</v>
      </c>
      <c r="AA87">
        <v>0</v>
      </c>
      <c r="AB87">
        <v>55</v>
      </c>
      <c r="AC87">
        <v>0</v>
      </c>
      <c r="AD87">
        <v>0</v>
      </c>
      <c r="AE87">
        <v>0</v>
      </c>
      <c r="AF87">
        <v>40</v>
      </c>
      <c r="AG87">
        <v>390</v>
      </c>
      <c r="AH87">
        <v>390</v>
      </c>
      <c r="AI87">
        <v>0</v>
      </c>
      <c r="AJ87">
        <v>0</v>
      </c>
      <c r="AK87">
        <v>40</v>
      </c>
      <c r="AL87">
        <v>40</v>
      </c>
      <c r="AM87">
        <v>0</v>
      </c>
      <c r="AN87">
        <v>0</v>
      </c>
      <c r="AO87">
        <v>0</v>
      </c>
      <c r="AP87">
        <v>0</v>
      </c>
      <c r="AQ87">
        <v>0</v>
      </c>
      <c r="AR87">
        <v>0</v>
      </c>
      <c r="AS87">
        <v>0</v>
      </c>
      <c r="AT87">
        <v>153</v>
      </c>
      <c r="AU87">
        <v>7</v>
      </c>
      <c r="AV87">
        <v>146</v>
      </c>
      <c r="AW87">
        <v>0</v>
      </c>
      <c r="AX87">
        <v>10</v>
      </c>
      <c r="AY87">
        <v>0</v>
      </c>
      <c r="AZ87">
        <v>10</v>
      </c>
      <c r="BA87">
        <v>0</v>
      </c>
      <c r="BB87">
        <v>12</v>
      </c>
      <c r="BC87">
        <v>0</v>
      </c>
      <c r="BD87">
        <v>12</v>
      </c>
      <c r="BE87">
        <v>0</v>
      </c>
    </row>
    <row r="88" spans="1:57">
      <c r="A88" t="s">
        <v>16977</v>
      </c>
      <c r="B88" t="s">
        <v>17380</v>
      </c>
      <c r="C88">
        <v>0</v>
      </c>
      <c r="D88">
        <v>11</v>
      </c>
      <c r="E88">
        <v>0</v>
      </c>
      <c r="F88">
        <v>0</v>
      </c>
      <c r="G88">
        <v>0</v>
      </c>
      <c r="H88">
        <v>0</v>
      </c>
      <c r="I88">
        <v>0</v>
      </c>
      <c r="J88">
        <v>11</v>
      </c>
      <c r="K88">
        <v>46</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46</v>
      </c>
      <c r="AU88">
        <v>0</v>
      </c>
      <c r="AV88">
        <v>46</v>
      </c>
      <c r="AW88">
        <v>0</v>
      </c>
      <c r="AX88">
        <v>0</v>
      </c>
      <c r="AY88">
        <v>0</v>
      </c>
      <c r="AZ88">
        <v>0</v>
      </c>
      <c r="BA88">
        <v>0</v>
      </c>
      <c r="BB88">
        <v>0</v>
      </c>
      <c r="BC88">
        <v>0</v>
      </c>
      <c r="BD88">
        <v>0</v>
      </c>
      <c r="BE88">
        <v>0</v>
      </c>
    </row>
    <row r="89" spans="1:57">
      <c r="A89" t="s">
        <v>16977</v>
      </c>
      <c r="B89" t="s">
        <v>17380</v>
      </c>
      <c r="C89">
        <v>0</v>
      </c>
      <c r="D89">
        <v>10</v>
      </c>
      <c r="E89">
        <v>0</v>
      </c>
      <c r="F89">
        <v>1</v>
      </c>
      <c r="G89">
        <v>0</v>
      </c>
      <c r="H89">
        <v>0</v>
      </c>
      <c r="I89">
        <v>0</v>
      </c>
      <c r="J89">
        <v>3</v>
      </c>
      <c r="K89">
        <v>24</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24</v>
      </c>
      <c r="AU89">
        <v>0</v>
      </c>
      <c r="AV89">
        <v>24</v>
      </c>
      <c r="AW89">
        <v>0</v>
      </c>
      <c r="AX89">
        <v>0</v>
      </c>
      <c r="AY89">
        <v>0</v>
      </c>
      <c r="AZ89">
        <v>0</v>
      </c>
      <c r="BA89">
        <v>0</v>
      </c>
      <c r="BB89">
        <v>0</v>
      </c>
      <c r="BC89">
        <v>0</v>
      </c>
      <c r="BD89">
        <v>0</v>
      </c>
      <c r="BE89">
        <v>0</v>
      </c>
    </row>
    <row r="90" spans="1:57">
      <c r="A90" t="s">
        <v>16980</v>
      </c>
      <c r="B90" t="s">
        <v>16981</v>
      </c>
      <c r="C90">
        <v>0</v>
      </c>
      <c r="D90">
        <v>299</v>
      </c>
      <c r="E90">
        <v>0</v>
      </c>
      <c r="F90">
        <v>96</v>
      </c>
      <c r="G90">
        <v>0</v>
      </c>
      <c r="H90">
        <v>76</v>
      </c>
      <c r="I90">
        <v>1</v>
      </c>
      <c r="J90">
        <v>290</v>
      </c>
      <c r="K90">
        <v>2098</v>
      </c>
      <c r="L90">
        <v>289</v>
      </c>
      <c r="M90">
        <v>0</v>
      </c>
      <c r="N90">
        <v>0</v>
      </c>
      <c r="O90">
        <v>0</v>
      </c>
      <c r="P90">
        <v>6</v>
      </c>
      <c r="Q90">
        <v>0</v>
      </c>
      <c r="R90">
        <v>0</v>
      </c>
      <c r="S90">
        <v>33.75</v>
      </c>
      <c r="T90">
        <v>0</v>
      </c>
      <c r="U90">
        <v>0</v>
      </c>
      <c r="V90">
        <v>33.75</v>
      </c>
      <c r="W90">
        <v>337.5</v>
      </c>
      <c r="X90">
        <v>0</v>
      </c>
      <c r="Y90">
        <v>101</v>
      </c>
      <c r="Z90">
        <v>0</v>
      </c>
      <c r="AA90">
        <v>0</v>
      </c>
      <c r="AB90">
        <v>0</v>
      </c>
      <c r="AC90">
        <v>0</v>
      </c>
      <c r="AD90">
        <v>0</v>
      </c>
      <c r="AE90">
        <v>0</v>
      </c>
      <c r="AF90">
        <v>0</v>
      </c>
      <c r="AG90">
        <v>337.5</v>
      </c>
      <c r="AH90">
        <v>337.5</v>
      </c>
      <c r="AI90">
        <v>0</v>
      </c>
      <c r="AJ90">
        <v>0</v>
      </c>
      <c r="AK90">
        <v>135</v>
      </c>
      <c r="AL90">
        <v>135</v>
      </c>
      <c r="AM90">
        <v>0</v>
      </c>
      <c r="AN90">
        <v>0</v>
      </c>
      <c r="AO90">
        <v>0</v>
      </c>
      <c r="AP90">
        <v>0</v>
      </c>
      <c r="AQ90">
        <v>0</v>
      </c>
      <c r="AR90">
        <v>0</v>
      </c>
      <c r="AS90">
        <v>0</v>
      </c>
      <c r="AT90">
        <v>2098</v>
      </c>
      <c r="AU90">
        <v>878</v>
      </c>
      <c r="AV90">
        <v>1220</v>
      </c>
      <c r="AW90">
        <v>0</v>
      </c>
      <c r="AX90">
        <v>33.75</v>
      </c>
      <c r="AY90">
        <v>13.5</v>
      </c>
      <c r="AZ90">
        <v>20.25</v>
      </c>
      <c r="BA90">
        <v>0</v>
      </c>
      <c r="BB90">
        <v>0</v>
      </c>
      <c r="BC90">
        <v>0</v>
      </c>
      <c r="BD90">
        <v>0</v>
      </c>
      <c r="BE90">
        <v>0</v>
      </c>
    </row>
    <row r="91" spans="1:57">
      <c r="A91" t="s">
        <v>16982</v>
      </c>
      <c r="B91" t="s">
        <v>17343</v>
      </c>
      <c r="C91">
        <v>0</v>
      </c>
      <c r="D91">
        <v>9</v>
      </c>
      <c r="E91">
        <v>9</v>
      </c>
      <c r="F91">
        <v>8</v>
      </c>
      <c r="G91">
        <v>0</v>
      </c>
      <c r="H91">
        <v>2</v>
      </c>
      <c r="I91">
        <v>1</v>
      </c>
      <c r="J91">
        <v>8</v>
      </c>
      <c r="K91">
        <v>67</v>
      </c>
      <c r="L91">
        <v>5</v>
      </c>
      <c r="M91">
        <v>0</v>
      </c>
      <c r="N91">
        <v>1</v>
      </c>
      <c r="O91">
        <v>0</v>
      </c>
      <c r="P91">
        <v>1</v>
      </c>
      <c r="Q91">
        <v>2</v>
      </c>
      <c r="R91">
        <v>0</v>
      </c>
      <c r="S91">
        <v>52.25</v>
      </c>
      <c r="T91">
        <v>8.5</v>
      </c>
      <c r="U91">
        <v>0</v>
      </c>
      <c r="V91">
        <v>60.75</v>
      </c>
      <c r="W91">
        <v>692.5</v>
      </c>
      <c r="X91">
        <v>0</v>
      </c>
      <c r="Y91">
        <v>3</v>
      </c>
      <c r="Z91">
        <v>1</v>
      </c>
      <c r="AA91">
        <v>0</v>
      </c>
      <c r="AB91">
        <v>542.5</v>
      </c>
      <c r="AC91">
        <v>0</v>
      </c>
      <c r="AD91">
        <v>0</v>
      </c>
      <c r="AE91">
        <v>0</v>
      </c>
      <c r="AF91">
        <v>542.5</v>
      </c>
      <c r="AG91">
        <v>692.5</v>
      </c>
      <c r="AH91">
        <v>692.5</v>
      </c>
      <c r="AI91">
        <v>0</v>
      </c>
      <c r="AJ91">
        <v>420</v>
      </c>
      <c r="AK91">
        <v>480</v>
      </c>
      <c r="AL91">
        <v>480</v>
      </c>
      <c r="AM91">
        <v>0</v>
      </c>
      <c r="AN91">
        <v>0</v>
      </c>
      <c r="AO91">
        <v>0</v>
      </c>
      <c r="AP91">
        <v>0</v>
      </c>
      <c r="AQ91">
        <v>0</v>
      </c>
      <c r="AR91">
        <v>0</v>
      </c>
      <c r="AS91">
        <v>0</v>
      </c>
      <c r="AT91">
        <v>67</v>
      </c>
      <c r="AU91">
        <v>50</v>
      </c>
      <c r="AV91">
        <v>17</v>
      </c>
      <c r="AW91">
        <v>0</v>
      </c>
      <c r="AX91">
        <v>52.25</v>
      </c>
      <c r="AY91">
        <v>42</v>
      </c>
      <c r="AZ91">
        <v>10.25</v>
      </c>
      <c r="BA91">
        <v>0</v>
      </c>
      <c r="BB91">
        <v>8.5</v>
      </c>
      <c r="BC91">
        <v>3</v>
      </c>
      <c r="BD91">
        <v>5.5</v>
      </c>
      <c r="BE91">
        <v>0</v>
      </c>
    </row>
    <row r="92" spans="1:57">
      <c r="A92" t="s">
        <v>16983</v>
      </c>
      <c r="B92" t="s">
        <v>16984</v>
      </c>
      <c r="C92">
        <v>0</v>
      </c>
      <c r="D92">
        <v>11</v>
      </c>
      <c r="E92">
        <v>10</v>
      </c>
      <c r="F92">
        <v>9</v>
      </c>
      <c r="G92">
        <v>0</v>
      </c>
      <c r="H92">
        <v>0</v>
      </c>
      <c r="I92">
        <v>0</v>
      </c>
      <c r="J92">
        <v>10</v>
      </c>
      <c r="K92">
        <v>58</v>
      </c>
      <c r="L92">
        <v>8</v>
      </c>
      <c r="M92">
        <v>2</v>
      </c>
      <c r="N92">
        <v>0</v>
      </c>
      <c r="O92">
        <v>0</v>
      </c>
      <c r="P92">
        <v>1</v>
      </c>
      <c r="Q92">
        <v>0</v>
      </c>
      <c r="R92">
        <v>0</v>
      </c>
      <c r="S92">
        <v>2.5</v>
      </c>
      <c r="T92">
        <v>2.75</v>
      </c>
      <c r="U92">
        <v>0</v>
      </c>
      <c r="V92">
        <v>5.25</v>
      </c>
      <c r="W92" s="4">
        <v>80</v>
      </c>
      <c r="X92" s="4">
        <v>0</v>
      </c>
      <c r="Y92">
        <v>10</v>
      </c>
      <c r="Z92">
        <v>0</v>
      </c>
      <c r="AA92" s="4">
        <v>0</v>
      </c>
      <c r="AB92" s="4">
        <v>0</v>
      </c>
      <c r="AC92" s="4">
        <v>12.35</v>
      </c>
      <c r="AD92" s="4">
        <v>12.35</v>
      </c>
      <c r="AE92" s="4">
        <v>0</v>
      </c>
      <c r="AF92" s="4">
        <v>12.35</v>
      </c>
      <c r="AG92" s="4">
        <v>92.35</v>
      </c>
      <c r="AH92" s="4">
        <v>92.35</v>
      </c>
      <c r="AI92" s="4">
        <v>0</v>
      </c>
      <c r="AJ92" s="4">
        <v>0</v>
      </c>
      <c r="AK92" s="4">
        <v>0</v>
      </c>
      <c r="AL92" s="4">
        <v>0</v>
      </c>
      <c r="AM92">
        <v>0</v>
      </c>
      <c r="AN92">
        <v>0</v>
      </c>
      <c r="AO92">
        <v>0</v>
      </c>
      <c r="AP92">
        <v>0</v>
      </c>
      <c r="AQ92">
        <v>0</v>
      </c>
      <c r="AR92">
        <v>0</v>
      </c>
      <c r="AS92">
        <v>0</v>
      </c>
      <c r="AT92">
        <v>58</v>
      </c>
      <c r="AU92">
        <v>0</v>
      </c>
      <c r="AV92">
        <v>58</v>
      </c>
      <c r="AW92">
        <v>0</v>
      </c>
      <c r="AX92">
        <v>2.5</v>
      </c>
      <c r="AY92">
        <v>0</v>
      </c>
      <c r="AZ92">
        <v>2.5</v>
      </c>
      <c r="BA92">
        <v>0</v>
      </c>
      <c r="BB92">
        <v>2.75</v>
      </c>
      <c r="BC92">
        <v>0</v>
      </c>
      <c r="BD92">
        <v>2.75</v>
      </c>
      <c r="BE92">
        <v>0</v>
      </c>
    </row>
    <row r="93" spans="1:57">
      <c r="A93" t="s">
        <v>16985</v>
      </c>
      <c r="B93" t="s">
        <v>16986</v>
      </c>
      <c r="C93">
        <v>2</v>
      </c>
      <c r="D93">
        <v>5</v>
      </c>
      <c r="E93">
        <v>4</v>
      </c>
      <c r="F93">
        <v>5</v>
      </c>
      <c r="G93">
        <v>0</v>
      </c>
      <c r="H93">
        <v>4</v>
      </c>
      <c r="I93">
        <v>0</v>
      </c>
      <c r="J93">
        <v>1</v>
      </c>
      <c r="K93">
        <v>1</v>
      </c>
      <c r="L93">
        <v>0</v>
      </c>
      <c r="M93">
        <v>0</v>
      </c>
      <c r="N93">
        <v>0</v>
      </c>
      <c r="O93">
        <v>1</v>
      </c>
      <c r="P93">
        <v>0</v>
      </c>
      <c r="Q93">
        <v>2</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1</v>
      </c>
      <c r="AU93">
        <v>0</v>
      </c>
      <c r="AV93">
        <v>1</v>
      </c>
      <c r="AW93">
        <v>0</v>
      </c>
      <c r="AX93">
        <v>0</v>
      </c>
      <c r="AY93">
        <v>0</v>
      </c>
      <c r="AZ93">
        <v>0</v>
      </c>
      <c r="BA93">
        <v>0</v>
      </c>
      <c r="BB93">
        <v>0</v>
      </c>
      <c r="BC93">
        <v>0</v>
      </c>
      <c r="BD93">
        <v>0</v>
      </c>
      <c r="BE93">
        <v>0</v>
      </c>
    </row>
    <row r="94" spans="1:57">
      <c r="A94" t="s">
        <v>16987</v>
      </c>
      <c r="B94" t="s">
        <v>17382</v>
      </c>
      <c r="C94">
        <v>0</v>
      </c>
      <c r="D94">
        <v>7</v>
      </c>
      <c r="E94">
        <v>0</v>
      </c>
      <c r="F94">
        <v>0</v>
      </c>
      <c r="G94">
        <v>0</v>
      </c>
      <c r="H94">
        <v>0</v>
      </c>
      <c r="I94">
        <v>0</v>
      </c>
      <c r="J94">
        <v>0</v>
      </c>
      <c r="K94">
        <v>0</v>
      </c>
      <c r="L94">
        <v>1</v>
      </c>
      <c r="M94">
        <v>1</v>
      </c>
      <c r="N94">
        <v>0</v>
      </c>
      <c r="O94">
        <v>4</v>
      </c>
      <c r="P94">
        <v>0</v>
      </c>
      <c r="Q94">
        <v>1</v>
      </c>
      <c r="R94">
        <v>0</v>
      </c>
      <c r="S94">
        <v>3</v>
      </c>
      <c r="T94">
        <v>4.25</v>
      </c>
      <c r="U94">
        <v>0</v>
      </c>
      <c r="V94">
        <v>7.25</v>
      </c>
      <c r="W94">
        <v>115</v>
      </c>
      <c r="X94">
        <v>0</v>
      </c>
      <c r="Y94">
        <v>0</v>
      </c>
      <c r="Z94">
        <v>0</v>
      </c>
      <c r="AA94">
        <v>0</v>
      </c>
      <c r="AB94">
        <v>60</v>
      </c>
      <c r="AC94">
        <v>1</v>
      </c>
      <c r="AD94">
        <v>0</v>
      </c>
      <c r="AE94">
        <v>0</v>
      </c>
      <c r="AF94">
        <v>60</v>
      </c>
      <c r="AG94">
        <v>121</v>
      </c>
      <c r="AH94">
        <v>121</v>
      </c>
      <c r="AI94">
        <v>0</v>
      </c>
      <c r="AJ94">
        <v>0</v>
      </c>
      <c r="AK94">
        <v>0</v>
      </c>
      <c r="AL94">
        <v>999</v>
      </c>
      <c r="AM94">
        <v>0</v>
      </c>
      <c r="AN94">
        <v>0</v>
      </c>
      <c r="AO94">
        <v>0</v>
      </c>
      <c r="AP94">
        <v>0</v>
      </c>
      <c r="AQ94">
        <v>0</v>
      </c>
      <c r="AR94">
        <v>0</v>
      </c>
      <c r="AS94">
        <v>0</v>
      </c>
      <c r="AT94">
        <v>45</v>
      </c>
      <c r="AU94">
        <v>0</v>
      </c>
      <c r="AV94">
        <v>45</v>
      </c>
      <c r="AW94">
        <v>0</v>
      </c>
      <c r="AX94">
        <v>3</v>
      </c>
      <c r="AY94">
        <v>0</v>
      </c>
      <c r="AZ94">
        <v>3</v>
      </c>
      <c r="BA94">
        <v>0</v>
      </c>
      <c r="BB94">
        <v>4.25</v>
      </c>
      <c r="BC94">
        <v>0</v>
      </c>
      <c r="BD94">
        <v>4.25</v>
      </c>
      <c r="BE94">
        <v>0</v>
      </c>
    </row>
    <row r="95" spans="1:57">
      <c r="A95" t="s">
        <v>16988</v>
      </c>
      <c r="B95" t="s">
        <v>16988</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row>
    <row r="96" spans="1:57">
      <c r="A96" t="s">
        <v>17344</v>
      </c>
      <c r="B96" t="s">
        <v>17345</v>
      </c>
      <c r="C96">
        <v>0</v>
      </c>
      <c r="D96">
        <v>22</v>
      </c>
      <c r="E96">
        <v>22</v>
      </c>
      <c r="F96">
        <v>18</v>
      </c>
      <c r="G96">
        <v>0</v>
      </c>
      <c r="H96">
        <v>1</v>
      </c>
      <c r="I96">
        <v>1</v>
      </c>
      <c r="J96">
        <v>22</v>
      </c>
      <c r="K96">
        <v>125</v>
      </c>
      <c r="L96">
        <v>22</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125</v>
      </c>
      <c r="AU96">
        <v>21</v>
      </c>
      <c r="AV96">
        <v>104</v>
      </c>
      <c r="AW96">
        <v>0</v>
      </c>
      <c r="AX96">
        <v>0</v>
      </c>
      <c r="AY96">
        <v>0</v>
      </c>
      <c r="AZ96">
        <v>0</v>
      </c>
      <c r="BA96">
        <v>0</v>
      </c>
      <c r="BB96">
        <v>0</v>
      </c>
      <c r="BC96">
        <v>0</v>
      </c>
      <c r="BD96">
        <v>0</v>
      </c>
      <c r="BE96">
        <v>0</v>
      </c>
    </row>
    <row r="97" spans="1:57">
      <c r="A97" t="s">
        <v>16990</v>
      </c>
      <c r="B97" t="s">
        <v>17359</v>
      </c>
      <c r="C97">
        <v>12</v>
      </c>
      <c r="D97">
        <v>22</v>
      </c>
      <c r="E97">
        <v>21</v>
      </c>
      <c r="F97">
        <v>21</v>
      </c>
      <c r="G97">
        <v>4</v>
      </c>
      <c r="H97">
        <v>9</v>
      </c>
      <c r="I97">
        <v>4</v>
      </c>
      <c r="J97">
        <v>21</v>
      </c>
      <c r="K97">
        <v>334</v>
      </c>
      <c r="L97">
        <v>10</v>
      </c>
      <c r="M97">
        <v>1</v>
      </c>
      <c r="N97">
        <v>5</v>
      </c>
      <c r="O97">
        <v>1</v>
      </c>
      <c r="P97">
        <v>0</v>
      </c>
      <c r="Q97">
        <v>3</v>
      </c>
      <c r="R97">
        <v>0</v>
      </c>
      <c r="S97">
        <v>2.75</v>
      </c>
      <c r="T97">
        <v>36</v>
      </c>
      <c r="U97">
        <v>0.5</v>
      </c>
      <c r="V97">
        <v>39.25</v>
      </c>
      <c r="W97">
        <v>615</v>
      </c>
      <c r="X97">
        <v>0</v>
      </c>
      <c r="Y97">
        <v>3</v>
      </c>
      <c r="Z97">
        <v>1</v>
      </c>
      <c r="AA97">
        <v>-130</v>
      </c>
      <c r="AB97">
        <v>527.5</v>
      </c>
      <c r="AC97">
        <v>151.69999999999999</v>
      </c>
      <c r="AD97">
        <v>121.86000000000001</v>
      </c>
      <c r="AE97">
        <v>550.86</v>
      </c>
      <c r="AF97">
        <v>544.36</v>
      </c>
      <c r="AG97">
        <v>712.2</v>
      </c>
      <c r="AH97">
        <v>180.83999999999997</v>
      </c>
      <c r="AI97">
        <v>444.36</v>
      </c>
      <c r="AJ97">
        <v>412.86</v>
      </c>
      <c r="AK97">
        <v>506.46000000000004</v>
      </c>
      <c r="AL97">
        <v>66.599999999999994</v>
      </c>
      <c r="AM97">
        <v>0</v>
      </c>
      <c r="AN97">
        <v>2</v>
      </c>
      <c r="AO97">
        <v>1</v>
      </c>
      <c r="AP97">
        <v>2</v>
      </c>
      <c r="AQ97">
        <v>0</v>
      </c>
      <c r="AR97">
        <v>0</v>
      </c>
      <c r="AS97">
        <v>0</v>
      </c>
      <c r="AT97">
        <v>334</v>
      </c>
      <c r="AU97">
        <v>163</v>
      </c>
      <c r="AV97">
        <v>29</v>
      </c>
      <c r="AW97">
        <v>124</v>
      </c>
      <c r="AX97">
        <v>20.75</v>
      </c>
      <c r="AY97">
        <v>1.5</v>
      </c>
      <c r="AZ97">
        <v>0.5</v>
      </c>
      <c r="BA97">
        <v>1.25</v>
      </c>
      <c r="BB97">
        <v>34.5</v>
      </c>
      <c r="BC97">
        <v>7</v>
      </c>
      <c r="BD97">
        <v>1</v>
      </c>
      <c r="BE97">
        <v>10.5</v>
      </c>
    </row>
    <row r="98" spans="1:57">
      <c r="A98" t="s">
        <v>16991</v>
      </c>
      <c r="B98" t="s">
        <v>16991</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row>
    <row r="99" spans="1:57">
      <c r="A99" t="s">
        <v>16993</v>
      </c>
      <c r="B99" t="s">
        <v>16994</v>
      </c>
      <c r="C99">
        <v>0</v>
      </c>
      <c r="D99">
        <v>1</v>
      </c>
      <c r="E99">
        <v>1</v>
      </c>
      <c r="F99">
        <v>1</v>
      </c>
      <c r="G99">
        <v>0</v>
      </c>
      <c r="H99">
        <v>0</v>
      </c>
      <c r="I99">
        <v>0</v>
      </c>
      <c r="J99">
        <v>1</v>
      </c>
      <c r="K99">
        <v>10</v>
      </c>
      <c r="L99">
        <v>1</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10</v>
      </c>
      <c r="AU99">
        <v>0</v>
      </c>
      <c r="AV99">
        <v>10</v>
      </c>
      <c r="AW99">
        <v>0</v>
      </c>
      <c r="AX99">
        <v>0</v>
      </c>
      <c r="AY99">
        <v>0</v>
      </c>
      <c r="AZ99">
        <v>0</v>
      </c>
      <c r="BA99">
        <v>0</v>
      </c>
      <c r="BB99">
        <v>0</v>
      </c>
      <c r="BC99">
        <v>0</v>
      </c>
      <c r="BD99">
        <v>0</v>
      </c>
      <c r="BE99">
        <v>0</v>
      </c>
    </row>
    <row r="100" spans="1:57">
      <c r="A100" t="s">
        <v>16995</v>
      </c>
      <c r="B100" t="s">
        <v>16996</v>
      </c>
      <c r="C100">
        <v>0</v>
      </c>
      <c r="D100">
        <v>1</v>
      </c>
      <c r="E100">
        <v>0</v>
      </c>
      <c r="F100">
        <v>1</v>
      </c>
      <c r="G100">
        <v>1</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9</v>
      </c>
      <c r="AU100">
        <v>0</v>
      </c>
      <c r="AV100">
        <v>9</v>
      </c>
      <c r="AW100">
        <v>0</v>
      </c>
      <c r="AX100">
        <v>0</v>
      </c>
      <c r="AY100">
        <v>0</v>
      </c>
      <c r="AZ100">
        <v>0</v>
      </c>
      <c r="BA100">
        <v>0</v>
      </c>
      <c r="BB100">
        <v>0</v>
      </c>
      <c r="BC100">
        <v>0</v>
      </c>
      <c r="BD100">
        <v>0</v>
      </c>
      <c r="BE100">
        <v>0</v>
      </c>
    </row>
    <row r="101" spans="1:57">
      <c r="A101" t="s">
        <v>16995</v>
      </c>
      <c r="B101" t="s">
        <v>16996</v>
      </c>
      <c r="C101">
        <v>0</v>
      </c>
      <c r="D101">
        <v>2</v>
      </c>
      <c r="E101">
        <v>2</v>
      </c>
      <c r="F101">
        <v>2</v>
      </c>
      <c r="G101">
        <v>0</v>
      </c>
      <c r="H101">
        <v>0</v>
      </c>
      <c r="I101">
        <v>0</v>
      </c>
      <c r="J101">
        <v>2</v>
      </c>
      <c r="K101">
        <v>2</v>
      </c>
      <c r="L101">
        <v>2</v>
      </c>
      <c r="M101">
        <v>0</v>
      </c>
      <c r="N101">
        <v>0</v>
      </c>
      <c r="O101">
        <v>0</v>
      </c>
      <c r="P101">
        <v>0</v>
      </c>
      <c r="Q101">
        <v>0</v>
      </c>
      <c r="R101">
        <v>0</v>
      </c>
      <c r="S101">
        <v>8.5</v>
      </c>
      <c r="T101">
        <v>0</v>
      </c>
      <c r="U101">
        <v>0</v>
      </c>
      <c r="V101">
        <v>8.5</v>
      </c>
      <c r="W101">
        <v>85</v>
      </c>
      <c r="X101">
        <v>0</v>
      </c>
      <c r="Y101">
        <v>2</v>
      </c>
      <c r="Z101">
        <v>0</v>
      </c>
      <c r="AA101">
        <v>0</v>
      </c>
      <c r="AB101">
        <v>50</v>
      </c>
      <c r="AC101">
        <v>0</v>
      </c>
      <c r="AD101">
        <v>0</v>
      </c>
      <c r="AE101">
        <v>0</v>
      </c>
      <c r="AF101">
        <v>50.3</v>
      </c>
      <c r="AG101">
        <v>85</v>
      </c>
      <c r="AH101">
        <v>85</v>
      </c>
      <c r="AI101">
        <v>0</v>
      </c>
      <c r="AJ101">
        <v>0</v>
      </c>
      <c r="AK101">
        <v>0</v>
      </c>
      <c r="AL101">
        <v>0</v>
      </c>
      <c r="AM101">
        <v>0</v>
      </c>
      <c r="AN101">
        <v>0</v>
      </c>
      <c r="AO101">
        <v>0</v>
      </c>
      <c r="AP101">
        <v>0</v>
      </c>
      <c r="AQ101">
        <v>0</v>
      </c>
      <c r="AR101">
        <v>0</v>
      </c>
      <c r="AS101">
        <v>0</v>
      </c>
      <c r="AT101">
        <v>2</v>
      </c>
      <c r="AU101">
        <v>0</v>
      </c>
      <c r="AV101">
        <v>2</v>
      </c>
      <c r="AW101">
        <v>0</v>
      </c>
      <c r="AX101">
        <v>8.5</v>
      </c>
      <c r="AY101">
        <v>0</v>
      </c>
      <c r="AZ101">
        <v>8.5</v>
      </c>
      <c r="BA101">
        <v>0</v>
      </c>
      <c r="BB101">
        <v>0</v>
      </c>
      <c r="BC101">
        <v>0</v>
      </c>
      <c r="BD101">
        <v>0</v>
      </c>
      <c r="BE101">
        <v>0</v>
      </c>
    </row>
    <row r="102" spans="1:57">
      <c r="A102" t="s">
        <v>16995</v>
      </c>
      <c r="B102" t="s">
        <v>16996</v>
      </c>
      <c r="C102">
        <v>0</v>
      </c>
      <c r="D102">
        <v>1</v>
      </c>
      <c r="E102">
        <v>1</v>
      </c>
      <c r="F102">
        <v>1</v>
      </c>
      <c r="G102">
        <v>0</v>
      </c>
      <c r="H102">
        <v>0</v>
      </c>
      <c r="I102">
        <v>0</v>
      </c>
      <c r="J102">
        <v>1</v>
      </c>
      <c r="K102">
        <v>32</v>
      </c>
      <c r="L102">
        <v>1</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32</v>
      </c>
      <c r="AU102">
        <v>0</v>
      </c>
      <c r="AV102">
        <v>32</v>
      </c>
      <c r="AW102">
        <v>0</v>
      </c>
      <c r="AX102">
        <v>0</v>
      </c>
      <c r="AY102">
        <v>0</v>
      </c>
      <c r="AZ102">
        <v>0</v>
      </c>
      <c r="BA102">
        <v>0</v>
      </c>
      <c r="BB102">
        <v>0</v>
      </c>
      <c r="BC102">
        <v>0</v>
      </c>
      <c r="BD102">
        <v>0</v>
      </c>
      <c r="BE102">
        <v>0</v>
      </c>
    </row>
    <row r="103" spans="1:57">
      <c r="A103" t="s">
        <v>16995</v>
      </c>
      <c r="B103" t="s">
        <v>16996</v>
      </c>
      <c r="C103">
        <v>0</v>
      </c>
      <c r="D103">
        <v>10</v>
      </c>
      <c r="E103">
        <v>10</v>
      </c>
      <c r="F103">
        <v>9</v>
      </c>
      <c r="G103">
        <v>1</v>
      </c>
      <c r="H103">
        <v>0</v>
      </c>
      <c r="I103">
        <v>0</v>
      </c>
      <c r="J103">
        <v>10</v>
      </c>
      <c r="K103">
        <v>99</v>
      </c>
      <c r="L103">
        <v>8</v>
      </c>
      <c r="M103">
        <v>0</v>
      </c>
      <c r="N103">
        <v>1</v>
      </c>
      <c r="O103">
        <v>0</v>
      </c>
      <c r="P103">
        <v>0</v>
      </c>
      <c r="Q103">
        <v>1</v>
      </c>
      <c r="R103">
        <v>0</v>
      </c>
      <c r="S103">
        <v>2.5</v>
      </c>
      <c r="T103">
        <v>4.25</v>
      </c>
      <c r="U103">
        <v>0</v>
      </c>
      <c r="V103">
        <v>6.75</v>
      </c>
      <c r="W103">
        <v>110</v>
      </c>
      <c r="X103">
        <v>0</v>
      </c>
      <c r="Y103">
        <v>9</v>
      </c>
      <c r="Z103">
        <v>0</v>
      </c>
      <c r="AA103">
        <v>0</v>
      </c>
      <c r="AB103">
        <v>0</v>
      </c>
      <c r="AC103">
        <v>0</v>
      </c>
      <c r="AD103">
        <v>0</v>
      </c>
      <c r="AE103">
        <v>0</v>
      </c>
      <c r="AF103">
        <v>0</v>
      </c>
      <c r="AG103">
        <v>110</v>
      </c>
      <c r="AH103">
        <v>110</v>
      </c>
      <c r="AI103">
        <v>0</v>
      </c>
      <c r="AJ103">
        <v>0</v>
      </c>
      <c r="AK103">
        <v>0</v>
      </c>
      <c r="AL103">
        <v>0</v>
      </c>
      <c r="AM103">
        <v>0</v>
      </c>
      <c r="AN103">
        <v>0</v>
      </c>
      <c r="AO103">
        <v>0</v>
      </c>
      <c r="AP103">
        <v>0</v>
      </c>
      <c r="AQ103">
        <v>0</v>
      </c>
      <c r="AR103">
        <v>0</v>
      </c>
      <c r="AS103">
        <v>0</v>
      </c>
      <c r="AT103">
        <v>99</v>
      </c>
      <c r="AU103">
        <v>0</v>
      </c>
      <c r="AV103">
        <v>99</v>
      </c>
      <c r="AW103">
        <v>0</v>
      </c>
      <c r="AX103">
        <v>2.5</v>
      </c>
      <c r="AY103">
        <v>0</v>
      </c>
      <c r="AZ103">
        <v>2.5</v>
      </c>
      <c r="BA103">
        <v>0</v>
      </c>
      <c r="BB103">
        <v>4.25</v>
      </c>
      <c r="BC103">
        <v>0</v>
      </c>
      <c r="BD103">
        <v>4.25</v>
      </c>
      <c r="BE103">
        <v>0</v>
      </c>
    </row>
    <row r="104" spans="1:57">
      <c r="A104" t="s">
        <v>16999</v>
      </c>
      <c r="B104" t="s">
        <v>17000</v>
      </c>
      <c r="C104">
        <v>0</v>
      </c>
      <c r="D104">
        <v>33</v>
      </c>
      <c r="E104">
        <v>31</v>
      </c>
      <c r="F104">
        <v>32</v>
      </c>
      <c r="G104">
        <v>15</v>
      </c>
      <c r="H104">
        <v>3</v>
      </c>
      <c r="I104">
        <v>2</v>
      </c>
      <c r="J104">
        <v>32</v>
      </c>
      <c r="K104">
        <v>250</v>
      </c>
      <c r="L104">
        <v>15</v>
      </c>
      <c r="M104">
        <v>8</v>
      </c>
      <c r="N104">
        <v>1</v>
      </c>
      <c r="O104">
        <v>2</v>
      </c>
      <c r="P104">
        <v>2</v>
      </c>
      <c r="Q104">
        <v>5</v>
      </c>
      <c r="R104">
        <v>0</v>
      </c>
      <c r="S104">
        <v>18.5</v>
      </c>
      <c r="T104">
        <v>37.75</v>
      </c>
      <c r="U104">
        <v>0</v>
      </c>
      <c r="V104">
        <v>56.25</v>
      </c>
      <c r="W104">
        <v>940</v>
      </c>
      <c r="X104">
        <v>0</v>
      </c>
      <c r="Y104">
        <v>27</v>
      </c>
      <c r="Z104">
        <v>3</v>
      </c>
      <c r="AA104">
        <v>0</v>
      </c>
      <c r="AB104">
        <v>432.5</v>
      </c>
      <c r="AC104">
        <v>24.6</v>
      </c>
      <c r="AD104">
        <v>0</v>
      </c>
      <c r="AE104">
        <v>0</v>
      </c>
      <c r="AF104">
        <v>432.5</v>
      </c>
      <c r="AG104">
        <v>964.6</v>
      </c>
      <c r="AH104">
        <v>964.6</v>
      </c>
      <c r="AI104">
        <v>0</v>
      </c>
      <c r="AJ104">
        <v>375</v>
      </c>
      <c r="AK104">
        <v>485</v>
      </c>
      <c r="AL104">
        <v>485</v>
      </c>
      <c r="AM104">
        <v>0</v>
      </c>
      <c r="AN104">
        <v>0</v>
      </c>
      <c r="AO104">
        <v>0</v>
      </c>
      <c r="AP104">
        <v>0</v>
      </c>
      <c r="AQ104">
        <v>0</v>
      </c>
      <c r="AR104">
        <v>0</v>
      </c>
      <c r="AS104">
        <v>0</v>
      </c>
      <c r="AT104">
        <v>250</v>
      </c>
      <c r="AU104">
        <v>31</v>
      </c>
      <c r="AV104">
        <v>219</v>
      </c>
      <c r="AW104">
        <v>0</v>
      </c>
      <c r="AX104">
        <v>18.5</v>
      </c>
      <c r="AY104">
        <v>4.5</v>
      </c>
      <c r="AZ104">
        <v>14</v>
      </c>
      <c r="BA104">
        <v>0</v>
      </c>
      <c r="BB104">
        <v>37.75</v>
      </c>
      <c r="BC104">
        <v>22</v>
      </c>
      <c r="BD104">
        <v>15.75</v>
      </c>
      <c r="BE104">
        <v>0</v>
      </c>
    </row>
    <row r="105" spans="1:57">
      <c r="A105" t="s">
        <v>16969</v>
      </c>
      <c r="B105" t="s">
        <v>21067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row>
    <row r="106" spans="1:57">
      <c r="A106" t="s">
        <v>16969</v>
      </c>
      <c r="B106" t="s">
        <v>18804</v>
      </c>
      <c r="C106">
        <v>0</v>
      </c>
      <c r="D106">
        <v>4</v>
      </c>
      <c r="E106">
        <v>4</v>
      </c>
      <c r="F106">
        <v>4</v>
      </c>
      <c r="G106">
        <v>1</v>
      </c>
      <c r="H106">
        <v>0</v>
      </c>
      <c r="I106">
        <v>0</v>
      </c>
      <c r="J106">
        <v>4</v>
      </c>
      <c r="K106">
        <v>18</v>
      </c>
      <c r="L106">
        <v>0</v>
      </c>
      <c r="M106">
        <v>0</v>
      </c>
      <c r="N106">
        <v>0</v>
      </c>
      <c r="O106">
        <v>0</v>
      </c>
      <c r="P106">
        <v>1</v>
      </c>
      <c r="Q106">
        <v>3</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18</v>
      </c>
      <c r="AU106">
        <v>0</v>
      </c>
      <c r="AV106">
        <v>18</v>
      </c>
      <c r="AW106">
        <v>0</v>
      </c>
      <c r="AX106">
        <v>0</v>
      </c>
      <c r="AY106">
        <v>0</v>
      </c>
      <c r="AZ106">
        <v>0</v>
      </c>
      <c r="BA106">
        <v>0</v>
      </c>
      <c r="BB106">
        <v>0</v>
      </c>
      <c r="BC106">
        <v>0</v>
      </c>
      <c r="BD106">
        <v>0</v>
      </c>
      <c r="BE106">
        <v>0</v>
      </c>
    </row>
    <row r="107" spans="1:57">
      <c r="A107" t="s">
        <v>16969</v>
      </c>
      <c r="B107" t="s">
        <v>21066</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row>
    <row r="108" spans="1:57">
      <c r="A108" t="s">
        <v>16969</v>
      </c>
      <c r="B108" t="s">
        <v>21065</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row>
    <row r="109" spans="1:57">
      <c r="A109" t="s">
        <v>16969</v>
      </c>
      <c r="B109" t="s">
        <v>17006</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row>
    <row r="110" spans="1:57">
      <c r="A110" t="s">
        <v>16969</v>
      </c>
      <c r="B110" t="s">
        <v>20666</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row>
    <row r="111" spans="1:57">
      <c r="A111" t="s">
        <v>16969</v>
      </c>
      <c r="B111" t="s">
        <v>19338</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row>
    <row r="112" spans="1:57">
      <c r="A112" t="s">
        <v>16969</v>
      </c>
      <c r="B112" t="s">
        <v>19339</v>
      </c>
      <c r="C112">
        <v>1</v>
      </c>
      <c r="D112">
        <v>4</v>
      </c>
      <c r="E112">
        <v>4</v>
      </c>
      <c r="F112">
        <v>4</v>
      </c>
      <c r="G112">
        <v>1</v>
      </c>
      <c r="H112">
        <v>0</v>
      </c>
      <c r="I112">
        <v>0</v>
      </c>
      <c r="J112">
        <v>4</v>
      </c>
      <c r="K112">
        <v>54</v>
      </c>
      <c r="L112">
        <v>4</v>
      </c>
      <c r="M112">
        <v>0</v>
      </c>
      <c r="N112">
        <v>0</v>
      </c>
      <c r="O112">
        <v>0</v>
      </c>
      <c r="P112">
        <v>0</v>
      </c>
      <c r="Q112">
        <v>0</v>
      </c>
      <c r="R112">
        <v>0</v>
      </c>
      <c r="S112">
        <v>0</v>
      </c>
      <c r="T112">
        <v>6</v>
      </c>
      <c r="U112">
        <v>0</v>
      </c>
      <c r="V112">
        <v>6</v>
      </c>
      <c r="W112">
        <v>90</v>
      </c>
      <c r="X112">
        <v>0</v>
      </c>
      <c r="Y112">
        <v>3</v>
      </c>
      <c r="Z112">
        <v>0</v>
      </c>
      <c r="AA112">
        <v>-30</v>
      </c>
      <c r="AB112">
        <v>0</v>
      </c>
      <c r="AC112">
        <v>0</v>
      </c>
      <c r="AD112">
        <v>0</v>
      </c>
      <c r="AE112">
        <v>0</v>
      </c>
      <c r="AF112">
        <v>0</v>
      </c>
      <c r="AG112">
        <v>90</v>
      </c>
      <c r="AH112">
        <v>90</v>
      </c>
      <c r="AI112">
        <v>0</v>
      </c>
      <c r="AJ112">
        <v>0</v>
      </c>
      <c r="AK112">
        <v>0</v>
      </c>
      <c r="AL112">
        <v>0</v>
      </c>
      <c r="AM112">
        <v>0</v>
      </c>
      <c r="AN112">
        <v>0</v>
      </c>
      <c r="AO112">
        <v>0</v>
      </c>
      <c r="AP112">
        <v>0</v>
      </c>
      <c r="AQ112">
        <v>0</v>
      </c>
      <c r="AR112">
        <v>0</v>
      </c>
      <c r="AS112">
        <v>0</v>
      </c>
      <c r="AT112">
        <v>54</v>
      </c>
      <c r="AU112">
        <v>0</v>
      </c>
      <c r="AV112">
        <v>41</v>
      </c>
      <c r="AW112">
        <v>13</v>
      </c>
      <c r="AX112">
        <v>0</v>
      </c>
      <c r="AY112">
        <v>0</v>
      </c>
      <c r="AZ112">
        <v>0</v>
      </c>
      <c r="BA112">
        <v>0</v>
      </c>
      <c r="BB112">
        <v>6</v>
      </c>
      <c r="BC112">
        <v>0</v>
      </c>
      <c r="BD112">
        <v>4.5</v>
      </c>
      <c r="BE112">
        <v>1.5</v>
      </c>
    </row>
    <row r="113" spans="1:57">
      <c r="A113" t="s">
        <v>16969</v>
      </c>
      <c r="B113" t="s">
        <v>19974</v>
      </c>
      <c r="C113">
        <v>0</v>
      </c>
      <c r="D113">
        <v>4</v>
      </c>
      <c r="E113">
        <v>4</v>
      </c>
      <c r="F113">
        <v>3</v>
      </c>
      <c r="G113">
        <v>0</v>
      </c>
      <c r="H113">
        <v>1</v>
      </c>
      <c r="I113">
        <v>0</v>
      </c>
      <c r="J113">
        <v>4</v>
      </c>
      <c r="K113">
        <v>38</v>
      </c>
      <c r="L113">
        <v>4</v>
      </c>
      <c r="M113">
        <v>0</v>
      </c>
      <c r="N113">
        <v>0</v>
      </c>
      <c r="O113">
        <v>0</v>
      </c>
      <c r="P113">
        <v>0</v>
      </c>
      <c r="Q113">
        <v>0</v>
      </c>
      <c r="R113">
        <v>0</v>
      </c>
      <c r="S113">
        <v>3.25</v>
      </c>
      <c r="T113">
        <v>8.75</v>
      </c>
      <c r="U113">
        <v>0</v>
      </c>
      <c r="V113">
        <v>12</v>
      </c>
      <c r="W113">
        <v>207.5</v>
      </c>
      <c r="X113">
        <v>0</v>
      </c>
      <c r="Y113">
        <v>4</v>
      </c>
      <c r="Z113">
        <v>0</v>
      </c>
      <c r="AA113">
        <v>0</v>
      </c>
      <c r="AB113">
        <v>120</v>
      </c>
      <c r="AC113">
        <v>0</v>
      </c>
      <c r="AD113">
        <v>0</v>
      </c>
      <c r="AE113">
        <v>120</v>
      </c>
      <c r="AF113">
        <v>120</v>
      </c>
      <c r="AG113">
        <v>207.5</v>
      </c>
      <c r="AH113">
        <v>87.5</v>
      </c>
      <c r="AI113">
        <v>40</v>
      </c>
      <c r="AJ113">
        <v>40</v>
      </c>
      <c r="AK113">
        <v>70</v>
      </c>
      <c r="AL113">
        <v>30</v>
      </c>
      <c r="AM113">
        <v>0</v>
      </c>
      <c r="AN113">
        <v>1</v>
      </c>
      <c r="AO113">
        <v>1</v>
      </c>
      <c r="AP113">
        <v>0</v>
      </c>
      <c r="AQ113">
        <v>0</v>
      </c>
      <c r="AR113">
        <v>0</v>
      </c>
      <c r="AS113">
        <v>0</v>
      </c>
      <c r="AT113">
        <v>38</v>
      </c>
      <c r="AU113">
        <v>18</v>
      </c>
      <c r="AV113">
        <v>20</v>
      </c>
      <c r="AW113">
        <v>0</v>
      </c>
      <c r="AX113">
        <v>3.25</v>
      </c>
      <c r="AY113">
        <v>1.5</v>
      </c>
      <c r="AZ113">
        <v>1.75</v>
      </c>
      <c r="BA113">
        <v>0</v>
      </c>
      <c r="BB113">
        <v>8.75</v>
      </c>
      <c r="BC113">
        <v>2.75</v>
      </c>
      <c r="BD113">
        <v>6</v>
      </c>
      <c r="BE113">
        <v>0</v>
      </c>
    </row>
    <row r="114" spans="1:57">
      <c r="A114" t="s">
        <v>16969</v>
      </c>
      <c r="B114" t="s">
        <v>21068</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row>
    <row r="115" spans="1:57">
      <c r="A115" t="s">
        <v>16969</v>
      </c>
      <c r="B115" t="s">
        <v>21069</v>
      </c>
      <c r="C115">
        <v>0</v>
      </c>
      <c r="D115">
        <v>2</v>
      </c>
      <c r="E115">
        <v>2</v>
      </c>
      <c r="F115">
        <v>2</v>
      </c>
      <c r="G115">
        <v>2</v>
      </c>
      <c r="H115">
        <v>0</v>
      </c>
      <c r="I115">
        <v>0</v>
      </c>
      <c r="J115">
        <v>2</v>
      </c>
      <c r="K115">
        <v>10</v>
      </c>
      <c r="L115">
        <v>2</v>
      </c>
      <c r="M115">
        <v>0</v>
      </c>
      <c r="N115">
        <v>0</v>
      </c>
      <c r="O115">
        <v>0</v>
      </c>
      <c r="P115">
        <v>0</v>
      </c>
      <c r="Q115">
        <v>0</v>
      </c>
      <c r="R115">
        <v>0</v>
      </c>
      <c r="S115">
        <v>2.75</v>
      </c>
      <c r="T115">
        <v>31.25</v>
      </c>
      <c r="U115">
        <v>0</v>
      </c>
      <c r="V115">
        <v>34</v>
      </c>
      <c r="W115">
        <v>652.5</v>
      </c>
      <c r="X115">
        <v>0</v>
      </c>
      <c r="Y115">
        <v>2</v>
      </c>
      <c r="Z115">
        <v>0</v>
      </c>
      <c r="AA115">
        <v>0</v>
      </c>
      <c r="AB115">
        <v>600</v>
      </c>
      <c r="AC115">
        <v>0</v>
      </c>
      <c r="AD115">
        <v>0</v>
      </c>
      <c r="AE115">
        <v>652.5</v>
      </c>
      <c r="AF115">
        <v>600</v>
      </c>
      <c r="AG115">
        <v>652.5</v>
      </c>
      <c r="AH115">
        <v>0</v>
      </c>
      <c r="AI115">
        <v>0</v>
      </c>
      <c r="AJ115">
        <v>0</v>
      </c>
      <c r="AK115">
        <v>0</v>
      </c>
      <c r="AL115">
        <v>0</v>
      </c>
      <c r="AM115">
        <v>0</v>
      </c>
      <c r="AN115">
        <v>1</v>
      </c>
      <c r="AO115">
        <v>0</v>
      </c>
      <c r="AP115">
        <v>0</v>
      </c>
      <c r="AQ115">
        <v>1</v>
      </c>
      <c r="AR115">
        <v>0</v>
      </c>
      <c r="AS115">
        <v>0</v>
      </c>
      <c r="AT115">
        <v>10</v>
      </c>
      <c r="AU115">
        <v>0</v>
      </c>
      <c r="AV115">
        <v>10</v>
      </c>
      <c r="AW115">
        <v>0</v>
      </c>
      <c r="AX115">
        <v>2.75</v>
      </c>
      <c r="AY115">
        <v>0</v>
      </c>
      <c r="AZ115">
        <v>2.75</v>
      </c>
      <c r="BA115">
        <v>0</v>
      </c>
      <c r="BB115">
        <v>31.25</v>
      </c>
      <c r="BC115">
        <v>0</v>
      </c>
      <c r="BD115">
        <v>31.25</v>
      </c>
      <c r="BE115">
        <v>0</v>
      </c>
    </row>
    <row r="116" spans="1:57">
      <c r="A116" t="s">
        <v>16969</v>
      </c>
      <c r="B116" t="s">
        <v>18807</v>
      </c>
      <c r="C116">
        <v>0</v>
      </c>
      <c r="D116">
        <v>1</v>
      </c>
      <c r="E116">
        <v>1</v>
      </c>
      <c r="F116">
        <v>1</v>
      </c>
      <c r="G116">
        <v>0</v>
      </c>
      <c r="H116">
        <v>0</v>
      </c>
      <c r="I116">
        <v>0</v>
      </c>
      <c r="J116">
        <v>1</v>
      </c>
      <c r="K116">
        <v>5</v>
      </c>
      <c r="L116">
        <v>1</v>
      </c>
      <c r="M116">
        <v>0</v>
      </c>
      <c r="N116">
        <v>0</v>
      </c>
      <c r="O116">
        <v>0</v>
      </c>
      <c r="P116">
        <v>0</v>
      </c>
      <c r="Q116">
        <v>0</v>
      </c>
      <c r="R116">
        <v>0</v>
      </c>
      <c r="S116">
        <v>5</v>
      </c>
      <c r="T116">
        <v>0.25</v>
      </c>
      <c r="U116">
        <v>0</v>
      </c>
      <c r="V116">
        <v>5.25</v>
      </c>
      <c r="W116">
        <v>55</v>
      </c>
      <c r="X116">
        <v>0</v>
      </c>
      <c r="Y116">
        <v>0</v>
      </c>
      <c r="Z116">
        <v>1</v>
      </c>
      <c r="AA116">
        <v>0</v>
      </c>
      <c r="AB116">
        <v>0</v>
      </c>
      <c r="AC116">
        <v>0</v>
      </c>
      <c r="AD116">
        <v>0</v>
      </c>
      <c r="AE116">
        <v>0</v>
      </c>
      <c r="AF116">
        <v>0</v>
      </c>
      <c r="AG116">
        <v>55</v>
      </c>
      <c r="AH116">
        <v>55</v>
      </c>
      <c r="AI116">
        <v>0</v>
      </c>
      <c r="AJ116">
        <v>0</v>
      </c>
      <c r="AK116">
        <v>0</v>
      </c>
      <c r="AL116">
        <v>0</v>
      </c>
      <c r="AM116">
        <v>0</v>
      </c>
      <c r="AN116">
        <v>0</v>
      </c>
      <c r="AO116">
        <v>0</v>
      </c>
      <c r="AP116">
        <v>0</v>
      </c>
      <c r="AQ116">
        <v>0</v>
      </c>
      <c r="AR116">
        <v>0</v>
      </c>
      <c r="AS116">
        <v>0</v>
      </c>
      <c r="AT116">
        <v>5</v>
      </c>
      <c r="AU116">
        <v>0</v>
      </c>
      <c r="AV116">
        <v>5</v>
      </c>
      <c r="AW116">
        <v>0</v>
      </c>
      <c r="AX116">
        <v>5</v>
      </c>
      <c r="AY116">
        <v>0</v>
      </c>
      <c r="AZ116">
        <v>5</v>
      </c>
      <c r="BA116">
        <v>0</v>
      </c>
      <c r="BB116">
        <v>0.25</v>
      </c>
      <c r="BC116">
        <v>0</v>
      </c>
      <c r="BD116">
        <v>0.25</v>
      </c>
      <c r="BE116">
        <v>0</v>
      </c>
    </row>
    <row r="117" spans="1:57">
      <c r="A117" t="s">
        <v>16969</v>
      </c>
      <c r="B117" t="s">
        <v>20667</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row>
    <row r="118" spans="1:57">
      <c r="A118" t="s">
        <v>16969</v>
      </c>
      <c r="B118" t="s">
        <v>17021</v>
      </c>
      <c r="C118">
        <v>0</v>
      </c>
      <c r="D118">
        <v>42</v>
      </c>
      <c r="E118">
        <v>42</v>
      </c>
      <c r="F118">
        <v>42</v>
      </c>
      <c r="G118">
        <v>0</v>
      </c>
      <c r="H118">
        <v>0</v>
      </c>
      <c r="I118">
        <v>0</v>
      </c>
      <c r="J118">
        <v>42</v>
      </c>
      <c r="K118">
        <v>423</v>
      </c>
      <c r="L118">
        <v>5</v>
      </c>
      <c r="M118">
        <v>11</v>
      </c>
      <c r="N118">
        <v>3</v>
      </c>
      <c r="O118">
        <v>17</v>
      </c>
      <c r="P118">
        <v>0</v>
      </c>
      <c r="Q118">
        <v>6</v>
      </c>
      <c r="R118">
        <v>0</v>
      </c>
      <c r="S118">
        <v>1.75</v>
      </c>
      <c r="T118">
        <v>0</v>
      </c>
      <c r="U118">
        <v>0</v>
      </c>
      <c r="V118">
        <v>1.75</v>
      </c>
      <c r="W118">
        <v>17.5</v>
      </c>
      <c r="X118">
        <v>0</v>
      </c>
      <c r="Y118">
        <v>7</v>
      </c>
      <c r="Z118">
        <v>0</v>
      </c>
      <c r="AA118">
        <v>0</v>
      </c>
      <c r="AB118">
        <v>0</v>
      </c>
      <c r="AC118">
        <v>0</v>
      </c>
      <c r="AD118">
        <v>0</v>
      </c>
      <c r="AE118">
        <v>0</v>
      </c>
      <c r="AF118">
        <v>0</v>
      </c>
      <c r="AG118">
        <v>17.5</v>
      </c>
      <c r="AH118">
        <v>17.5</v>
      </c>
      <c r="AI118">
        <v>0</v>
      </c>
      <c r="AJ118">
        <v>0</v>
      </c>
      <c r="AK118">
        <v>0</v>
      </c>
      <c r="AL118">
        <v>0</v>
      </c>
      <c r="AM118">
        <v>0</v>
      </c>
      <c r="AN118">
        <v>0</v>
      </c>
      <c r="AO118">
        <v>0</v>
      </c>
      <c r="AP118">
        <v>0</v>
      </c>
      <c r="AQ118">
        <v>0</v>
      </c>
      <c r="AR118">
        <v>0</v>
      </c>
      <c r="AS118">
        <v>0</v>
      </c>
      <c r="AT118">
        <v>423</v>
      </c>
      <c r="AU118">
        <v>0</v>
      </c>
      <c r="AV118">
        <v>423</v>
      </c>
      <c r="AW118">
        <v>0</v>
      </c>
      <c r="AX118">
        <v>1.75</v>
      </c>
      <c r="AY118">
        <v>0</v>
      </c>
      <c r="AZ118">
        <v>1.75</v>
      </c>
      <c r="BA118">
        <v>0</v>
      </c>
      <c r="BB118">
        <v>0</v>
      </c>
      <c r="BC118">
        <v>0</v>
      </c>
      <c r="BD118">
        <v>0</v>
      </c>
      <c r="BE118">
        <v>0</v>
      </c>
    </row>
    <row r="119" spans="1:57">
      <c r="A119" t="s">
        <v>16969</v>
      </c>
      <c r="B119" t="s">
        <v>18809</v>
      </c>
      <c r="C119">
        <v>0</v>
      </c>
      <c r="D119">
        <v>23</v>
      </c>
      <c r="E119">
        <v>22</v>
      </c>
      <c r="F119">
        <v>18</v>
      </c>
      <c r="G119">
        <v>2</v>
      </c>
      <c r="H119">
        <v>0</v>
      </c>
      <c r="I119">
        <v>0</v>
      </c>
      <c r="J119">
        <v>23</v>
      </c>
      <c r="K119">
        <v>164</v>
      </c>
      <c r="L119">
        <v>9</v>
      </c>
      <c r="M119">
        <v>0</v>
      </c>
      <c r="N119">
        <v>10</v>
      </c>
      <c r="O119">
        <v>3</v>
      </c>
      <c r="P119">
        <v>0</v>
      </c>
      <c r="Q119">
        <v>1</v>
      </c>
      <c r="R119">
        <v>0</v>
      </c>
      <c r="S119">
        <v>9.5</v>
      </c>
      <c r="T119">
        <v>8.5</v>
      </c>
      <c r="U119">
        <v>0</v>
      </c>
      <c r="V119">
        <v>18</v>
      </c>
      <c r="W119">
        <v>265</v>
      </c>
      <c r="X119">
        <v>0</v>
      </c>
      <c r="Y119">
        <v>11</v>
      </c>
      <c r="Z119">
        <v>0</v>
      </c>
      <c r="AA119">
        <v>0</v>
      </c>
      <c r="AB119">
        <v>107.5</v>
      </c>
      <c r="AC119">
        <v>0</v>
      </c>
      <c r="AD119">
        <v>0</v>
      </c>
      <c r="AE119">
        <v>37.5</v>
      </c>
      <c r="AF119">
        <v>107.5</v>
      </c>
      <c r="AG119">
        <v>265</v>
      </c>
      <c r="AH119">
        <v>227.5</v>
      </c>
      <c r="AI119">
        <v>0</v>
      </c>
      <c r="AJ119">
        <v>0</v>
      </c>
      <c r="AK119">
        <v>0</v>
      </c>
      <c r="AL119">
        <v>0</v>
      </c>
      <c r="AM119">
        <v>0</v>
      </c>
      <c r="AN119">
        <v>1</v>
      </c>
      <c r="AO119">
        <v>0</v>
      </c>
      <c r="AP119">
        <v>0</v>
      </c>
      <c r="AQ119">
        <v>0</v>
      </c>
      <c r="AR119">
        <v>0</v>
      </c>
      <c r="AS119">
        <v>0</v>
      </c>
      <c r="AT119">
        <v>164</v>
      </c>
      <c r="AU119">
        <v>0</v>
      </c>
      <c r="AV119">
        <v>164</v>
      </c>
      <c r="AW119">
        <v>0</v>
      </c>
      <c r="AX119">
        <v>9.5</v>
      </c>
      <c r="AY119">
        <v>0</v>
      </c>
      <c r="AZ119">
        <v>9.5</v>
      </c>
      <c r="BA119">
        <v>0</v>
      </c>
      <c r="BB119">
        <v>8.5</v>
      </c>
      <c r="BC119">
        <v>0</v>
      </c>
      <c r="BD119">
        <v>8.5</v>
      </c>
      <c r="BE119">
        <v>0</v>
      </c>
    </row>
    <row r="120" spans="1:57">
      <c r="A120" t="s">
        <v>16969</v>
      </c>
      <c r="B120" t="s">
        <v>21070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row>
    <row r="121" spans="1:57">
      <c r="A121" t="s">
        <v>16969</v>
      </c>
      <c r="B121" t="s">
        <v>17024</v>
      </c>
      <c r="C121">
        <v>0</v>
      </c>
      <c r="D121">
        <v>16</v>
      </c>
      <c r="E121">
        <v>0</v>
      </c>
      <c r="F121">
        <v>15</v>
      </c>
      <c r="G121">
        <v>0</v>
      </c>
      <c r="H121">
        <v>0</v>
      </c>
      <c r="I121">
        <v>0</v>
      </c>
      <c r="J121">
        <v>16</v>
      </c>
      <c r="K121">
        <v>60</v>
      </c>
      <c r="L121">
        <v>3</v>
      </c>
      <c r="M121">
        <v>0</v>
      </c>
      <c r="N121">
        <v>0</v>
      </c>
      <c r="O121">
        <v>13</v>
      </c>
      <c r="P121">
        <v>0</v>
      </c>
      <c r="Q121">
        <v>0</v>
      </c>
      <c r="R121">
        <v>0</v>
      </c>
      <c r="S121">
        <v>24.25</v>
      </c>
      <c r="T121">
        <v>0</v>
      </c>
      <c r="U121">
        <v>0</v>
      </c>
      <c r="V121">
        <v>24.25</v>
      </c>
      <c r="W121">
        <v>242.5</v>
      </c>
      <c r="X121">
        <v>0</v>
      </c>
      <c r="Y121">
        <v>16</v>
      </c>
      <c r="Z121">
        <v>0</v>
      </c>
      <c r="AA121">
        <v>0</v>
      </c>
      <c r="AB121">
        <v>127.5</v>
      </c>
      <c r="AC121">
        <v>0</v>
      </c>
      <c r="AD121">
        <v>0</v>
      </c>
      <c r="AE121">
        <v>0</v>
      </c>
      <c r="AF121">
        <v>127.5</v>
      </c>
      <c r="AG121">
        <v>242.5</v>
      </c>
      <c r="AH121">
        <v>242.5</v>
      </c>
      <c r="AI121">
        <v>0</v>
      </c>
      <c r="AJ121">
        <v>0</v>
      </c>
      <c r="AK121">
        <v>0</v>
      </c>
      <c r="AL121">
        <v>0</v>
      </c>
      <c r="AM121">
        <v>0</v>
      </c>
      <c r="AN121">
        <v>0</v>
      </c>
      <c r="AO121">
        <v>0</v>
      </c>
      <c r="AP121">
        <v>0</v>
      </c>
      <c r="AQ121">
        <v>0</v>
      </c>
      <c r="AR121">
        <v>0</v>
      </c>
      <c r="AS121">
        <v>0</v>
      </c>
      <c r="AT121">
        <v>60</v>
      </c>
      <c r="AU121">
        <v>0</v>
      </c>
      <c r="AV121">
        <v>60</v>
      </c>
      <c r="AW121">
        <v>0</v>
      </c>
      <c r="AX121">
        <v>24.25</v>
      </c>
      <c r="AY121">
        <v>0</v>
      </c>
      <c r="AZ121">
        <v>24.25</v>
      </c>
      <c r="BA121">
        <v>0</v>
      </c>
      <c r="BB121">
        <v>0</v>
      </c>
      <c r="BC121">
        <v>0</v>
      </c>
      <c r="BD121">
        <v>0</v>
      </c>
      <c r="BE121">
        <v>0</v>
      </c>
    </row>
    <row r="122" spans="1:57">
      <c r="A122" t="s">
        <v>16969</v>
      </c>
      <c r="B122" t="s">
        <v>17328</v>
      </c>
      <c r="C122">
        <v>0</v>
      </c>
      <c r="D122">
        <v>7</v>
      </c>
      <c r="E122">
        <v>0</v>
      </c>
      <c r="F122">
        <v>6</v>
      </c>
      <c r="G122">
        <v>0</v>
      </c>
      <c r="H122">
        <v>0</v>
      </c>
      <c r="I122">
        <v>0</v>
      </c>
      <c r="J122">
        <v>7</v>
      </c>
      <c r="K122">
        <v>81</v>
      </c>
      <c r="L122">
        <v>6</v>
      </c>
      <c r="M122">
        <v>0</v>
      </c>
      <c r="N122">
        <v>0</v>
      </c>
      <c r="O122">
        <v>1</v>
      </c>
      <c r="P122">
        <v>0</v>
      </c>
      <c r="Q122">
        <v>0</v>
      </c>
      <c r="R122">
        <v>0</v>
      </c>
      <c r="S122">
        <v>2.5</v>
      </c>
      <c r="T122">
        <v>7.75</v>
      </c>
      <c r="U122">
        <v>0</v>
      </c>
      <c r="V122">
        <v>10.25</v>
      </c>
      <c r="W122">
        <v>180</v>
      </c>
      <c r="X122">
        <v>0</v>
      </c>
      <c r="Y122">
        <v>2</v>
      </c>
      <c r="Z122">
        <v>0</v>
      </c>
      <c r="AA122">
        <v>0</v>
      </c>
      <c r="AB122">
        <v>120</v>
      </c>
      <c r="AC122">
        <v>0</v>
      </c>
      <c r="AD122">
        <v>0</v>
      </c>
      <c r="AE122">
        <v>0</v>
      </c>
      <c r="AF122">
        <v>120</v>
      </c>
      <c r="AG122">
        <v>180</v>
      </c>
      <c r="AH122">
        <v>180</v>
      </c>
      <c r="AI122">
        <v>0</v>
      </c>
      <c r="AJ122">
        <v>0</v>
      </c>
      <c r="AK122">
        <v>0</v>
      </c>
      <c r="AL122">
        <v>0</v>
      </c>
      <c r="AM122">
        <v>0</v>
      </c>
      <c r="AN122">
        <v>0</v>
      </c>
      <c r="AO122">
        <v>0</v>
      </c>
      <c r="AP122">
        <v>0</v>
      </c>
      <c r="AQ122">
        <v>0</v>
      </c>
      <c r="AR122">
        <v>0</v>
      </c>
      <c r="AS122">
        <v>0</v>
      </c>
      <c r="AT122">
        <v>81</v>
      </c>
      <c r="AU122">
        <v>0</v>
      </c>
      <c r="AV122">
        <v>81</v>
      </c>
      <c r="AW122">
        <v>0</v>
      </c>
      <c r="AX122">
        <v>2.5</v>
      </c>
      <c r="AY122">
        <v>0</v>
      </c>
      <c r="AZ122">
        <v>2.5</v>
      </c>
      <c r="BA122">
        <v>0</v>
      </c>
      <c r="BB122">
        <v>7.75</v>
      </c>
      <c r="BC122">
        <v>0</v>
      </c>
      <c r="BD122">
        <v>7.75</v>
      </c>
      <c r="BE122">
        <v>0</v>
      </c>
    </row>
    <row r="123" spans="1:57">
      <c r="A123" t="s">
        <v>16969</v>
      </c>
      <c r="B123" t="s">
        <v>17327</v>
      </c>
      <c r="C123">
        <v>0</v>
      </c>
      <c r="D123">
        <v>9</v>
      </c>
      <c r="E123">
        <v>7</v>
      </c>
      <c r="F123">
        <v>9</v>
      </c>
      <c r="G123">
        <v>0</v>
      </c>
      <c r="H123">
        <v>0</v>
      </c>
      <c r="I123">
        <v>0</v>
      </c>
      <c r="J123">
        <v>9</v>
      </c>
      <c r="K123">
        <v>24</v>
      </c>
      <c r="L123">
        <v>2</v>
      </c>
      <c r="M123">
        <v>6</v>
      </c>
      <c r="N123">
        <v>1</v>
      </c>
      <c r="O123">
        <v>0</v>
      </c>
      <c r="P123">
        <v>0</v>
      </c>
      <c r="Q123">
        <v>0</v>
      </c>
      <c r="R123">
        <v>0</v>
      </c>
      <c r="S123">
        <v>3</v>
      </c>
      <c r="T123">
        <v>0</v>
      </c>
      <c r="U123">
        <v>0</v>
      </c>
      <c r="V123">
        <v>3</v>
      </c>
      <c r="W123">
        <v>30</v>
      </c>
      <c r="X123">
        <v>0</v>
      </c>
      <c r="Y123">
        <v>3</v>
      </c>
      <c r="Z123">
        <v>0</v>
      </c>
      <c r="AA123">
        <v>0</v>
      </c>
      <c r="AB123">
        <v>0</v>
      </c>
      <c r="AC123">
        <v>0</v>
      </c>
      <c r="AD123">
        <v>0</v>
      </c>
      <c r="AE123">
        <v>0</v>
      </c>
      <c r="AF123">
        <v>0</v>
      </c>
      <c r="AG123">
        <v>30</v>
      </c>
      <c r="AH123">
        <v>30</v>
      </c>
      <c r="AI123">
        <v>0</v>
      </c>
      <c r="AJ123">
        <v>0</v>
      </c>
      <c r="AK123">
        <v>0</v>
      </c>
      <c r="AL123">
        <v>0</v>
      </c>
      <c r="AM123">
        <v>0</v>
      </c>
      <c r="AN123">
        <v>0</v>
      </c>
      <c r="AO123">
        <v>0</v>
      </c>
      <c r="AP123">
        <v>0</v>
      </c>
      <c r="AQ123">
        <v>0</v>
      </c>
      <c r="AR123">
        <v>0</v>
      </c>
      <c r="AS123">
        <v>0</v>
      </c>
      <c r="AT123">
        <v>24</v>
      </c>
      <c r="AU123">
        <v>0</v>
      </c>
      <c r="AV123">
        <v>24</v>
      </c>
      <c r="AW123">
        <v>0</v>
      </c>
      <c r="AX123">
        <v>3</v>
      </c>
      <c r="AY123">
        <v>0</v>
      </c>
      <c r="AZ123">
        <v>3</v>
      </c>
      <c r="BA123">
        <v>0</v>
      </c>
      <c r="BB123">
        <v>0</v>
      </c>
      <c r="BC123">
        <v>0</v>
      </c>
      <c r="BD123">
        <v>0</v>
      </c>
      <c r="BE123">
        <v>0</v>
      </c>
    </row>
    <row r="124" spans="1:57">
      <c r="A124" t="s">
        <v>16969</v>
      </c>
      <c r="B124" t="s">
        <v>18811</v>
      </c>
      <c r="C124">
        <v>0</v>
      </c>
      <c r="D124">
        <v>3</v>
      </c>
      <c r="E124">
        <v>3</v>
      </c>
      <c r="F124">
        <v>2</v>
      </c>
      <c r="G124">
        <v>1</v>
      </c>
      <c r="H124">
        <v>0</v>
      </c>
      <c r="I124">
        <v>1</v>
      </c>
      <c r="J124">
        <v>3</v>
      </c>
      <c r="K124">
        <v>26</v>
      </c>
      <c r="L124">
        <v>2</v>
      </c>
      <c r="M124">
        <v>0</v>
      </c>
      <c r="N124">
        <v>0</v>
      </c>
      <c r="O124">
        <v>0</v>
      </c>
      <c r="P124">
        <v>0</v>
      </c>
      <c r="Q124">
        <v>1</v>
      </c>
      <c r="R124">
        <v>0</v>
      </c>
      <c r="S124">
        <v>1.5</v>
      </c>
      <c r="T124">
        <v>1</v>
      </c>
      <c r="U124">
        <v>0</v>
      </c>
      <c r="V124">
        <v>2.5</v>
      </c>
      <c r="W124">
        <v>35</v>
      </c>
      <c r="X124">
        <v>0</v>
      </c>
      <c r="Y124">
        <v>2</v>
      </c>
      <c r="Z124">
        <v>0</v>
      </c>
      <c r="AA124">
        <v>0</v>
      </c>
      <c r="AB124">
        <v>0</v>
      </c>
      <c r="AC124">
        <v>0</v>
      </c>
      <c r="AD124">
        <v>0</v>
      </c>
      <c r="AE124">
        <v>0</v>
      </c>
      <c r="AF124">
        <v>0</v>
      </c>
      <c r="AG124">
        <v>35</v>
      </c>
      <c r="AH124">
        <v>35</v>
      </c>
      <c r="AI124">
        <v>0</v>
      </c>
      <c r="AJ124">
        <v>0</v>
      </c>
      <c r="AK124">
        <v>0</v>
      </c>
      <c r="AL124">
        <v>0</v>
      </c>
      <c r="AM124">
        <v>0</v>
      </c>
      <c r="AN124">
        <v>0</v>
      </c>
      <c r="AO124">
        <v>0</v>
      </c>
      <c r="AP124">
        <v>0</v>
      </c>
      <c r="AQ124">
        <v>0</v>
      </c>
      <c r="AR124">
        <v>0</v>
      </c>
      <c r="AS124">
        <v>0</v>
      </c>
      <c r="AT124">
        <v>26</v>
      </c>
      <c r="AU124">
        <v>0</v>
      </c>
      <c r="AV124">
        <v>26</v>
      </c>
      <c r="AW124">
        <v>0</v>
      </c>
      <c r="AX124">
        <v>1.5</v>
      </c>
      <c r="AY124">
        <v>0</v>
      </c>
      <c r="AZ124">
        <v>1.5</v>
      </c>
      <c r="BA124">
        <v>0</v>
      </c>
      <c r="BB124">
        <v>1</v>
      </c>
      <c r="BC124">
        <v>0</v>
      </c>
      <c r="BD124">
        <v>1</v>
      </c>
      <c r="BE124">
        <v>0</v>
      </c>
    </row>
    <row r="125" spans="1:57">
      <c r="A125" t="s">
        <v>16969</v>
      </c>
      <c r="B125" t="s">
        <v>17030</v>
      </c>
      <c r="C125">
        <v>0</v>
      </c>
      <c r="D125">
        <v>4</v>
      </c>
      <c r="E125">
        <v>4</v>
      </c>
      <c r="F125">
        <v>4</v>
      </c>
      <c r="G125">
        <v>0</v>
      </c>
      <c r="H125">
        <v>1</v>
      </c>
      <c r="I125">
        <v>0</v>
      </c>
      <c r="J125">
        <v>4</v>
      </c>
      <c r="K125">
        <v>12</v>
      </c>
      <c r="L125">
        <v>0</v>
      </c>
      <c r="M125">
        <v>0</v>
      </c>
      <c r="N125">
        <v>0</v>
      </c>
      <c r="O125">
        <v>0</v>
      </c>
      <c r="P125">
        <v>0</v>
      </c>
      <c r="Q125">
        <v>0</v>
      </c>
      <c r="R125">
        <v>0</v>
      </c>
      <c r="S125">
        <v>3</v>
      </c>
      <c r="T125">
        <v>10.5</v>
      </c>
      <c r="U125">
        <v>0</v>
      </c>
      <c r="V125">
        <v>13.5</v>
      </c>
      <c r="W125">
        <v>240</v>
      </c>
      <c r="X125">
        <v>0</v>
      </c>
      <c r="Y125">
        <v>0</v>
      </c>
      <c r="Z125">
        <v>1</v>
      </c>
      <c r="AA125">
        <v>0</v>
      </c>
      <c r="AB125">
        <v>180</v>
      </c>
      <c r="AC125">
        <v>0</v>
      </c>
      <c r="AD125">
        <v>0</v>
      </c>
      <c r="AE125">
        <v>180</v>
      </c>
      <c r="AF125">
        <v>180</v>
      </c>
      <c r="AG125">
        <v>240</v>
      </c>
      <c r="AH125">
        <v>60</v>
      </c>
      <c r="AI125">
        <v>180</v>
      </c>
      <c r="AJ125">
        <v>180</v>
      </c>
      <c r="AK125">
        <v>240</v>
      </c>
      <c r="AL125">
        <v>60</v>
      </c>
      <c r="AM125">
        <v>0</v>
      </c>
      <c r="AN125">
        <v>0</v>
      </c>
      <c r="AO125">
        <v>0</v>
      </c>
      <c r="AP125">
        <v>1</v>
      </c>
      <c r="AQ125">
        <v>0</v>
      </c>
      <c r="AR125">
        <v>0</v>
      </c>
      <c r="AS125">
        <v>0</v>
      </c>
      <c r="AT125">
        <v>12</v>
      </c>
      <c r="AU125">
        <v>8</v>
      </c>
      <c r="AV125">
        <v>4</v>
      </c>
      <c r="AW125">
        <v>0</v>
      </c>
      <c r="AX125">
        <v>3</v>
      </c>
      <c r="AY125">
        <v>3</v>
      </c>
      <c r="AZ125">
        <v>0</v>
      </c>
      <c r="BA125">
        <v>0</v>
      </c>
      <c r="BB125">
        <v>10.5</v>
      </c>
      <c r="BC125">
        <v>10.5</v>
      </c>
      <c r="BD125">
        <v>0</v>
      </c>
      <c r="BE125">
        <v>0</v>
      </c>
    </row>
    <row r="126" spans="1:57">
      <c r="A126" t="s">
        <v>16969</v>
      </c>
      <c r="B126" t="s">
        <v>21071</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row>
    <row r="127" spans="1:57">
      <c r="A127" t="s">
        <v>16969</v>
      </c>
      <c r="B127" t="s">
        <v>19340</v>
      </c>
      <c r="C127">
        <v>0</v>
      </c>
      <c r="D127">
        <v>53</v>
      </c>
      <c r="E127">
        <v>1</v>
      </c>
      <c r="F127">
        <v>52</v>
      </c>
      <c r="G127">
        <v>0</v>
      </c>
      <c r="H127">
        <v>1</v>
      </c>
      <c r="I127">
        <v>0</v>
      </c>
      <c r="J127">
        <v>53</v>
      </c>
      <c r="K127">
        <v>199</v>
      </c>
      <c r="L127">
        <v>39</v>
      </c>
      <c r="M127">
        <v>0</v>
      </c>
      <c r="N127">
        <v>14</v>
      </c>
      <c r="O127">
        <v>0</v>
      </c>
      <c r="P127">
        <v>0</v>
      </c>
      <c r="Q127">
        <v>0</v>
      </c>
      <c r="R127">
        <v>0</v>
      </c>
      <c r="S127">
        <v>35.25</v>
      </c>
      <c r="T127">
        <v>15</v>
      </c>
      <c r="U127">
        <v>0</v>
      </c>
      <c r="V127">
        <v>50.25</v>
      </c>
      <c r="W127">
        <v>652.5</v>
      </c>
      <c r="X127">
        <v>0</v>
      </c>
      <c r="Y127">
        <v>52</v>
      </c>
      <c r="Z127">
        <v>1</v>
      </c>
      <c r="AA127">
        <v>0</v>
      </c>
      <c r="AB127">
        <v>40</v>
      </c>
      <c r="AC127">
        <v>0</v>
      </c>
      <c r="AD127">
        <v>0</v>
      </c>
      <c r="AE127">
        <v>0</v>
      </c>
      <c r="AF127">
        <v>40</v>
      </c>
      <c r="AG127">
        <v>652.5</v>
      </c>
      <c r="AH127">
        <v>652.5</v>
      </c>
      <c r="AI127">
        <v>0</v>
      </c>
      <c r="AJ127">
        <v>40</v>
      </c>
      <c r="AK127">
        <v>100</v>
      </c>
      <c r="AL127">
        <v>100</v>
      </c>
      <c r="AM127">
        <v>0</v>
      </c>
      <c r="AN127">
        <v>0</v>
      </c>
      <c r="AO127">
        <v>0</v>
      </c>
      <c r="AP127">
        <v>0</v>
      </c>
      <c r="AQ127">
        <v>0</v>
      </c>
      <c r="AR127">
        <v>0</v>
      </c>
      <c r="AS127">
        <v>0</v>
      </c>
      <c r="AT127">
        <v>199</v>
      </c>
      <c r="AU127">
        <v>16</v>
      </c>
      <c r="AV127">
        <v>183</v>
      </c>
      <c r="AW127">
        <v>0</v>
      </c>
      <c r="AX127">
        <v>35.25</v>
      </c>
      <c r="AY127">
        <v>6</v>
      </c>
      <c r="AZ127">
        <v>29.25</v>
      </c>
      <c r="BA127">
        <v>0</v>
      </c>
      <c r="BB127">
        <v>15</v>
      </c>
      <c r="BC127">
        <v>2</v>
      </c>
      <c r="BD127">
        <v>13</v>
      </c>
      <c r="BE127">
        <v>0</v>
      </c>
    </row>
    <row r="128" spans="1:57">
      <c r="A128" t="s">
        <v>16898</v>
      </c>
      <c r="B128" t="s">
        <v>16934</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row>
    <row r="129" spans="1:57">
      <c r="A129" t="s">
        <v>16898</v>
      </c>
      <c r="B129" t="s">
        <v>16899</v>
      </c>
      <c r="C129">
        <v>0</v>
      </c>
      <c r="D129">
        <v>3</v>
      </c>
      <c r="E129">
        <v>3</v>
      </c>
      <c r="F129">
        <v>3</v>
      </c>
      <c r="G129">
        <v>0</v>
      </c>
      <c r="H129">
        <v>0</v>
      </c>
      <c r="I129">
        <v>0</v>
      </c>
      <c r="J129">
        <v>3</v>
      </c>
      <c r="K129">
        <v>16</v>
      </c>
      <c r="L129">
        <v>1</v>
      </c>
      <c r="M129">
        <v>0</v>
      </c>
      <c r="N129">
        <v>2</v>
      </c>
      <c r="O129">
        <v>0</v>
      </c>
      <c r="P129">
        <v>0</v>
      </c>
      <c r="Q129">
        <v>0</v>
      </c>
      <c r="R129">
        <v>0</v>
      </c>
      <c r="S129">
        <v>1.75</v>
      </c>
      <c r="T129">
        <v>4</v>
      </c>
      <c r="U129">
        <v>0</v>
      </c>
      <c r="V129">
        <v>5.75</v>
      </c>
      <c r="W129">
        <v>97.5</v>
      </c>
      <c r="X129">
        <v>0</v>
      </c>
      <c r="Y129">
        <v>3</v>
      </c>
      <c r="Z129">
        <v>0</v>
      </c>
      <c r="AA129">
        <v>0</v>
      </c>
      <c r="AB129">
        <v>40</v>
      </c>
      <c r="AC129">
        <v>93.5</v>
      </c>
      <c r="AD129">
        <v>93.5</v>
      </c>
      <c r="AE129">
        <v>86</v>
      </c>
      <c r="AF129">
        <v>133.5</v>
      </c>
      <c r="AG129">
        <v>191</v>
      </c>
      <c r="AH129">
        <v>105</v>
      </c>
      <c r="AI129">
        <v>0</v>
      </c>
      <c r="AJ129">
        <v>0</v>
      </c>
      <c r="AK129">
        <v>0</v>
      </c>
      <c r="AL129">
        <v>0</v>
      </c>
      <c r="AM129">
        <v>0</v>
      </c>
      <c r="AN129">
        <v>1</v>
      </c>
      <c r="AO129">
        <v>1</v>
      </c>
      <c r="AP129">
        <v>0</v>
      </c>
      <c r="AQ129">
        <v>0</v>
      </c>
      <c r="AR129">
        <v>0</v>
      </c>
      <c r="AS129">
        <v>0</v>
      </c>
      <c r="AT129">
        <v>16</v>
      </c>
      <c r="AU129">
        <v>0</v>
      </c>
      <c r="AV129">
        <v>16</v>
      </c>
      <c r="AW129">
        <v>0</v>
      </c>
      <c r="AX129">
        <v>1.75</v>
      </c>
      <c r="AY129">
        <v>0</v>
      </c>
      <c r="AZ129">
        <v>1.75</v>
      </c>
      <c r="BA129">
        <v>0</v>
      </c>
      <c r="BB129">
        <v>4</v>
      </c>
      <c r="BC129">
        <v>0</v>
      </c>
      <c r="BD129">
        <v>4</v>
      </c>
      <c r="BE129">
        <v>0</v>
      </c>
    </row>
    <row r="130" spans="1:57">
      <c r="A130" t="s">
        <v>16898</v>
      </c>
      <c r="B130" t="s">
        <v>17031</v>
      </c>
      <c r="C130">
        <v>0</v>
      </c>
      <c r="D130">
        <v>8</v>
      </c>
      <c r="E130">
        <v>7</v>
      </c>
      <c r="F130">
        <v>8</v>
      </c>
      <c r="G130">
        <v>1</v>
      </c>
      <c r="H130">
        <v>1</v>
      </c>
      <c r="I130">
        <v>1</v>
      </c>
      <c r="J130">
        <v>8</v>
      </c>
      <c r="K130">
        <v>16</v>
      </c>
      <c r="L130">
        <v>8</v>
      </c>
      <c r="M130">
        <v>0</v>
      </c>
      <c r="N130">
        <v>0</v>
      </c>
      <c r="O130">
        <v>0</v>
      </c>
      <c r="P130">
        <v>0</v>
      </c>
      <c r="Q130">
        <v>0</v>
      </c>
      <c r="R130">
        <v>0</v>
      </c>
      <c r="S130">
        <v>9</v>
      </c>
      <c r="T130">
        <v>5</v>
      </c>
      <c r="U130">
        <v>0</v>
      </c>
      <c r="V130">
        <v>14</v>
      </c>
      <c r="W130">
        <v>190</v>
      </c>
      <c r="X130">
        <v>0</v>
      </c>
      <c r="Y130">
        <v>3</v>
      </c>
      <c r="Z130">
        <v>5</v>
      </c>
      <c r="AA130">
        <v>0</v>
      </c>
      <c r="AB130">
        <v>100</v>
      </c>
      <c r="AC130">
        <v>0</v>
      </c>
      <c r="AD130">
        <v>0</v>
      </c>
      <c r="AE130">
        <v>0</v>
      </c>
      <c r="AF130">
        <v>100</v>
      </c>
      <c r="AG130">
        <v>190</v>
      </c>
      <c r="AH130">
        <v>190</v>
      </c>
      <c r="AI130">
        <v>0</v>
      </c>
      <c r="AJ130">
        <v>100</v>
      </c>
      <c r="AK130">
        <v>130</v>
      </c>
      <c r="AL130">
        <v>130</v>
      </c>
      <c r="AM130">
        <v>0</v>
      </c>
      <c r="AN130">
        <v>0</v>
      </c>
      <c r="AO130">
        <v>0</v>
      </c>
      <c r="AP130">
        <v>0</v>
      </c>
      <c r="AQ130">
        <v>0</v>
      </c>
      <c r="AR130">
        <v>0</v>
      </c>
      <c r="AS130">
        <v>0</v>
      </c>
      <c r="AT130">
        <v>16</v>
      </c>
      <c r="AU130">
        <v>0</v>
      </c>
      <c r="AV130">
        <v>16</v>
      </c>
      <c r="AW130">
        <v>0</v>
      </c>
      <c r="AX130">
        <v>1.25</v>
      </c>
      <c r="AY130">
        <v>0</v>
      </c>
      <c r="AZ130">
        <v>1.25</v>
      </c>
      <c r="BA130">
        <v>0</v>
      </c>
      <c r="BB130">
        <v>0.5</v>
      </c>
      <c r="BC130">
        <v>0</v>
      </c>
      <c r="BD130">
        <v>0.5</v>
      </c>
      <c r="BE130">
        <v>0</v>
      </c>
    </row>
    <row r="131" spans="1:57">
      <c r="A131" t="s">
        <v>16898</v>
      </c>
      <c r="B131" t="s">
        <v>17007</v>
      </c>
      <c r="C131">
        <v>0</v>
      </c>
      <c r="D131">
        <v>2</v>
      </c>
      <c r="E131">
        <v>2</v>
      </c>
      <c r="F131">
        <v>2</v>
      </c>
      <c r="G131">
        <v>0</v>
      </c>
      <c r="H131">
        <v>0</v>
      </c>
      <c r="I131">
        <v>0</v>
      </c>
      <c r="J131">
        <v>2</v>
      </c>
      <c r="K131">
        <v>6</v>
      </c>
      <c r="L131">
        <v>2</v>
      </c>
      <c r="M131">
        <v>0</v>
      </c>
      <c r="N131">
        <v>0</v>
      </c>
      <c r="O131">
        <v>0</v>
      </c>
      <c r="P131">
        <v>0</v>
      </c>
      <c r="Q131">
        <v>0</v>
      </c>
      <c r="R131">
        <v>0</v>
      </c>
      <c r="S131">
        <v>1.75</v>
      </c>
      <c r="T131">
        <v>2.5</v>
      </c>
      <c r="U131">
        <v>0</v>
      </c>
      <c r="V131">
        <v>4.25</v>
      </c>
      <c r="W131">
        <v>67.5</v>
      </c>
      <c r="X131">
        <v>0</v>
      </c>
      <c r="Y131">
        <v>2</v>
      </c>
      <c r="Z131">
        <v>0</v>
      </c>
      <c r="AA131">
        <v>0</v>
      </c>
      <c r="AB131">
        <v>22.5</v>
      </c>
      <c r="AC131">
        <v>0</v>
      </c>
      <c r="AD131">
        <v>0</v>
      </c>
      <c r="AE131">
        <v>11.25</v>
      </c>
      <c r="AF131">
        <v>22.5</v>
      </c>
      <c r="AG131">
        <v>67.5</v>
      </c>
      <c r="AH131">
        <v>56.25</v>
      </c>
      <c r="AI131">
        <v>0</v>
      </c>
      <c r="AJ131">
        <v>0</v>
      </c>
      <c r="AK131">
        <v>0</v>
      </c>
      <c r="AL131">
        <v>0</v>
      </c>
      <c r="AM131">
        <v>0</v>
      </c>
      <c r="AN131">
        <v>1</v>
      </c>
      <c r="AO131">
        <v>0</v>
      </c>
      <c r="AP131">
        <v>0</v>
      </c>
      <c r="AQ131">
        <v>0</v>
      </c>
      <c r="AR131">
        <v>0</v>
      </c>
      <c r="AS131">
        <v>0</v>
      </c>
      <c r="AT131">
        <v>6</v>
      </c>
      <c r="AU131">
        <v>0</v>
      </c>
      <c r="AV131">
        <v>6</v>
      </c>
      <c r="AW131">
        <v>0</v>
      </c>
      <c r="AX131">
        <v>1.75</v>
      </c>
      <c r="AY131">
        <v>0</v>
      </c>
      <c r="AZ131">
        <v>1.75</v>
      </c>
      <c r="BA131">
        <v>0</v>
      </c>
      <c r="BB131">
        <v>2.5</v>
      </c>
      <c r="BC131">
        <v>0</v>
      </c>
      <c r="BD131">
        <v>2.5</v>
      </c>
      <c r="BE131">
        <v>0</v>
      </c>
    </row>
    <row r="132" spans="1:57">
      <c r="A132" t="s">
        <v>16898</v>
      </c>
      <c r="B132" t="s">
        <v>17032</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row>
    <row r="133" spans="1:57">
      <c r="A133" t="s">
        <v>16898</v>
      </c>
      <c r="B133" t="s">
        <v>17009</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row>
    <row r="134" spans="1:57">
      <c r="A134" t="s">
        <v>16898</v>
      </c>
      <c r="B134" t="s">
        <v>18812</v>
      </c>
      <c r="C134">
        <v>17</v>
      </c>
      <c r="D134">
        <v>17</v>
      </c>
      <c r="E134">
        <v>0</v>
      </c>
      <c r="F134">
        <v>15</v>
      </c>
      <c r="G134">
        <v>0</v>
      </c>
      <c r="H134">
        <v>0</v>
      </c>
      <c r="I134">
        <v>0</v>
      </c>
      <c r="J134">
        <v>17</v>
      </c>
      <c r="K134">
        <v>15</v>
      </c>
      <c r="L134">
        <v>17</v>
      </c>
      <c r="M134">
        <v>0</v>
      </c>
      <c r="N134">
        <v>0</v>
      </c>
      <c r="O134">
        <v>0</v>
      </c>
      <c r="P134">
        <v>0</v>
      </c>
      <c r="Q134">
        <v>0</v>
      </c>
      <c r="R134">
        <v>0</v>
      </c>
      <c r="S134">
        <v>0</v>
      </c>
      <c r="T134">
        <v>4.25</v>
      </c>
      <c r="U134">
        <v>0</v>
      </c>
      <c r="V134">
        <v>4.25</v>
      </c>
      <c r="W134">
        <v>0</v>
      </c>
      <c r="X134">
        <v>0</v>
      </c>
      <c r="Y134">
        <v>0</v>
      </c>
      <c r="Z134">
        <v>0</v>
      </c>
      <c r="AA134">
        <v>-85</v>
      </c>
      <c r="AB134">
        <v>0</v>
      </c>
      <c r="AC134">
        <v>96</v>
      </c>
      <c r="AD134">
        <v>31</v>
      </c>
      <c r="AE134">
        <v>31</v>
      </c>
      <c r="AF134">
        <v>31</v>
      </c>
      <c r="AG134">
        <v>96</v>
      </c>
      <c r="AH134">
        <v>65</v>
      </c>
      <c r="AI134">
        <v>0</v>
      </c>
      <c r="AJ134">
        <v>0</v>
      </c>
      <c r="AK134">
        <v>0</v>
      </c>
      <c r="AL134">
        <v>0</v>
      </c>
      <c r="AM134">
        <v>17</v>
      </c>
      <c r="AN134">
        <v>0</v>
      </c>
      <c r="AO134">
        <v>0</v>
      </c>
      <c r="AP134">
        <v>0</v>
      </c>
      <c r="AQ134">
        <v>0</v>
      </c>
      <c r="AR134">
        <v>0</v>
      </c>
      <c r="AS134">
        <v>0</v>
      </c>
      <c r="AT134">
        <v>15</v>
      </c>
      <c r="AU134">
        <v>0</v>
      </c>
      <c r="AV134">
        <v>0</v>
      </c>
      <c r="AW134">
        <v>14</v>
      </c>
      <c r="AX134">
        <v>0</v>
      </c>
      <c r="AY134">
        <v>0</v>
      </c>
      <c r="AZ134">
        <v>0</v>
      </c>
      <c r="BA134">
        <v>0</v>
      </c>
      <c r="BB134">
        <v>4.25</v>
      </c>
      <c r="BC134">
        <v>0</v>
      </c>
      <c r="BD134">
        <v>0</v>
      </c>
      <c r="BE134">
        <v>4</v>
      </c>
    </row>
    <row r="135" spans="1:57">
      <c r="A135" t="s">
        <v>16898</v>
      </c>
      <c r="B135" t="s">
        <v>18813</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row>
    <row r="136" spans="1:57">
      <c r="A136" t="s">
        <v>16898</v>
      </c>
      <c r="B136" t="s">
        <v>21570</v>
      </c>
      <c r="C136">
        <v>2</v>
      </c>
      <c r="D136">
        <v>2</v>
      </c>
      <c r="E136">
        <v>2</v>
      </c>
      <c r="F136">
        <v>2</v>
      </c>
      <c r="G136">
        <v>0</v>
      </c>
      <c r="H136">
        <v>0</v>
      </c>
      <c r="I136">
        <v>0</v>
      </c>
      <c r="J136">
        <v>2</v>
      </c>
      <c r="K136">
        <v>6</v>
      </c>
      <c r="L136">
        <v>1</v>
      </c>
      <c r="M136">
        <v>0</v>
      </c>
      <c r="N136">
        <v>0</v>
      </c>
      <c r="O136">
        <v>1</v>
      </c>
      <c r="P136">
        <v>0</v>
      </c>
      <c r="Q136">
        <v>0</v>
      </c>
      <c r="R136">
        <v>0</v>
      </c>
      <c r="S136">
        <v>0.75</v>
      </c>
      <c r="T136">
        <v>2</v>
      </c>
      <c r="U136">
        <v>0</v>
      </c>
      <c r="V136">
        <v>2.75</v>
      </c>
      <c r="W136">
        <v>0</v>
      </c>
      <c r="X136">
        <v>0</v>
      </c>
      <c r="Y136">
        <v>0</v>
      </c>
      <c r="Z136">
        <v>0</v>
      </c>
      <c r="AA136">
        <v>-47.5</v>
      </c>
      <c r="AB136">
        <v>0</v>
      </c>
      <c r="AC136">
        <v>4.8499999999999996</v>
      </c>
      <c r="AD136">
        <v>0</v>
      </c>
      <c r="AE136">
        <v>0</v>
      </c>
      <c r="AF136">
        <v>0</v>
      </c>
      <c r="AG136">
        <v>4.8499999999999996</v>
      </c>
      <c r="AH136">
        <v>4.8499999999999996</v>
      </c>
      <c r="AI136">
        <v>0</v>
      </c>
      <c r="AJ136">
        <v>0</v>
      </c>
      <c r="AK136">
        <v>0</v>
      </c>
      <c r="AL136">
        <v>0</v>
      </c>
      <c r="AM136">
        <v>0</v>
      </c>
      <c r="AN136">
        <v>0</v>
      </c>
      <c r="AO136">
        <v>0</v>
      </c>
      <c r="AP136">
        <v>0</v>
      </c>
      <c r="AQ136">
        <v>0</v>
      </c>
      <c r="AR136">
        <v>0</v>
      </c>
      <c r="AS136">
        <v>0</v>
      </c>
      <c r="AT136">
        <v>6</v>
      </c>
      <c r="AU136">
        <v>0</v>
      </c>
      <c r="AV136">
        <v>0</v>
      </c>
      <c r="AW136">
        <v>6</v>
      </c>
      <c r="AX136">
        <v>0.75</v>
      </c>
      <c r="AY136">
        <v>0</v>
      </c>
      <c r="AZ136">
        <v>0</v>
      </c>
      <c r="BA136">
        <v>0.75</v>
      </c>
      <c r="BB136">
        <v>2</v>
      </c>
      <c r="BC136">
        <v>0</v>
      </c>
      <c r="BD136">
        <v>0</v>
      </c>
      <c r="BE136">
        <v>2</v>
      </c>
    </row>
    <row r="137" spans="1:57">
      <c r="A137" t="s">
        <v>16898</v>
      </c>
      <c r="B137" t="s">
        <v>21072</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7">
      <c r="A138" t="s">
        <v>16898</v>
      </c>
      <c r="B138" t="s">
        <v>17205</v>
      </c>
      <c r="C138">
        <v>0</v>
      </c>
      <c r="D138">
        <v>8</v>
      </c>
      <c r="E138">
        <v>8</v>
      </c>
      <c r="F138">
        <v>7</v>
      </c>
      <c r="G138">
        <v>0</v>
      </c>
      <c r="H138">
        <v>0</v>
      </c>
      <c r="I138">
        <v>0</v>
      </c>
      <c r="J138">
        <v>8</v>
      </c>
      <c r="K138">
        <v>69</v>
      </c>
      <c r="L138">
        <v>1</v>
      </c>
      <c r="M138">
        <v>0</v>
      </c>
      <c r="N138">
        <v>0</v>
      </c>
      <c r="O138">
        <v>6</v>
      </c>
      <c r="P138">
        <v>0</v>
      </c>
      <c r="Q138">
        <v>1</v>
      </c>
      <c r="R138">
        <v>0</v>
      </c>
      <c r="S138">
        <v>0.25</v>
      </c>
      <c r="T138">
        <v>0</v>
      </c>
      <c r="U138">
        <v>0</v>
      </c>
      <c r="V138">
        <v>0.25</v>
      </c>
      <c r="W138">
        <v>2.5</v>
      </c>
      <c r="X138">
        <v>0</v>
      </c>
      <c r="Y138">
        <v>1</v>
      </c>
      <c r="Z138">
        <v>0</v>
      </c>
      <c r="AA138">
        <v>0</v>
      </c>
      <c r="AB138">
        <v>0</v>
      </c>
      <c r="AC138">
        <v>0.1</v>
      </c>
      <c r="AD138">
        <v>0</v>
      </c>
      <c r="AE138">
        <v>0</v>
      </c>
      <c r="AF138">
        <v>0</v>
      </c>
      <c r="AG138">
        <v>2.6</v>
      </c>
      <c r="AH138">
        <v>0</v>
      </c>
      <c r="AI138">
        <v>0</v>
      </c>
      <c r="AJ138">
        <v>0</v>
      </c>
      <c r="AK138">
        <v>0</v>
      </c>
      <c r="AL138">
        <v>0</v>
      </c>
      <c r="AM138">
        <v>0</v>
      </c>
      <c r="AN138">
        <v>0</v>
      </c>
      <c r="AO138">
        <v>0</v>
      </c>
      <c r="AP138">
        <v>0</v>
      </c>
      <c r="AQ138">
        <v>0</v>
      </c>
      <c r="AR138">
        <v>0</v>
      </c>
      <c r="AS138">
        <v>0</v>
      </c>
      <c r="AT138">
        <v>69</v>
      </c>
      <c r="AU138">
        <v>0</v>
      </c>
      <c r="AV138">
        <v>69</v>
      </c>
      <c r="AW138">
        <v>0</v>
      </c>
      <c r="AX138">
        <v>0.25</v>
      </c>
      <c r="AY138">
        <v>0</v>
      </c>
      <c r="AZ138">
        <v>0.25</v>
      </c>
      <c r="BA138">
        <v>0</v>
      </c>
      <c r="BB138">
        <v>0</v>
      </c>
      <c r="BC138">
        <v>0</v>
      </c>
      <c r="BD138">
        <v>0</v>
      </c>
      <c r="BE138">
        <v>0</v>
      </c>
    </row>
    <row r="139" spans="1:57">
      <c r="A139" t="s">
        <v>16898</v>
      </c>
      <c r="B139" t="s">
        <v>19976</v>
      </c>
      <c r="C139">
        <v>1</v>
      </c>
      <c r="D139">
        <v>1</v>
      </c>
      <c r="E139">
        <v>1</v>
      </c>
      <c r="F139">
        <v>1</v>
      </c>
      <c r="G139">
        <v>0</v>
      </c>
      <c r="H139">
        <v>0</v>
      </c>
      <c r="I139">
        <v>0</v>
      </c>
      <c r="J139">
        <v>1</v>
      </c>
      <c r="K139">
        <v>7</v>
      </c>
      <c r="L139">
        <v>1</v>
      </c>
      <c r="M139">
        <v>0</v>
      </c>
      <c r="N139">
        <v>0</v>
      </c>
      <c r="O139">
        <v>0</v>
      </c>
      <c r="P139">
        <v>0</v>
      </c>
      <c r="Q139">
        <v>0</v>
      </c>
      <c r="R139">
        <v>0</v>
      </c>
      <c r="S139">
        <v>0.25</v>
      </c>
      <c r="T139">
        <v>0</v>
      </c>
      <c r="U139">
        <v>0</v>
      </c>
      <c r="V139">
        <v>0.25</v>
      </c>
      <c r="W139">
        <v>0</v>
      </c>
      <c r="X139">
        <v>0</v>
      </c>
      <c r="Y139">
        <v>0</v>
      </c>
      <c r="Z139">
        <v>0</v>
      </c>
      <c r="AA139">
        <v>-2.5</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7</v>
      </c>
      <c r="AU139">
        <v>0</v>
      </c>
      <c r="AV139">
        <v>0</v>
      </c>
      <c r="AW139">
        <v>7</v>
      </c>
      <c r="AX139">
        <v>0.25</v>
      </c>
      <c r="AY139">
        <v>0</v>
      </c>
      <c r="AZ139">
        <v>0</v>
      </c>
      <c r="BA139">
        <v>0.25</v>
      </c>
      <c r="BB139">
        <v>0</v>
      </c>
      <c r="BC139">
        <v>0</v>
      </c>
      <c r="BD139">
        <v>0</v>
      </c>
      <c r="BE139">
        <v>0</v>
      </c>
    </row>
    <row r="140" spans="1:57">
      <c r="A140" t="s">
        <v>16898</v>
      </c>
      <c r="B140" t="s">
        <v>17010</v>
      </c>
      <c r="C140">
        <v>0</v>
      </c>
      <c r="D140">
        <v>31</v>
      </c>
      <c r="E140">
        <v>30</v>
      </c>
      <c r="F140">
        <v>29</v>
      </c>
      <c r="G140">
        <v>1</v>
      </c>
      <c r="H140">
        <v>1</v>
      </c>
      <c r="I140">
        <v>1</v>
      </c>
      <c r="J140">
        <v>28</v>
      </c>
      <c r="K140">
        <v>260</v>
      </c>
      <c r="L140">
        <v>0</v>
      </c>
      <c r="M140">
        <v>6</v>
      </c>
      <c r="N140">
        <v>18</v>
      </c>
      <c r="O140">
        <v>2</v>
      </c>
      <c r="P140">
        <v>2</v>
      </c>
      <c r="Q140">
        <v>2</v>
      </c>
      <c r="R140">
        <v>0</v>
      </c>
      <c r="S140">
        <v>15.25</v>
      </c>
      <c r="T140">
        <v>30.75</v>
      </c>
      <c r="U140">
        <v>0</v>
      </c>
      <c r="V140">
        <v>46</v>
      </c>
      <c r="W140">
        <v>767.5</v>
      </c>
      <c r="X140">
        <v>0</v>
      </c>
      <c r="Y140">
        <v>19</v>
      </c>
      <c r="Z140">
        <v>4</v>
      </c>
      <c r="AA140">
        <v>0</v>
      </c>
      <c r="AB140">
        <v>227.5</v>
      </c>
      <c r="AC140">
        <v>271.96000000000004</v>
      </c>
      <c r="AD140">
        <v>268.21000000000004</v>
      </c>
      <c r="AE140">
        <v>219.46</v>
      </c>
      <c r="AF140">
        <v>495.71000000000004</v>
      </c>
      <c r="AG140">
        <v>1039.46</v>
      </c>
      <c r="AH140">
        <v>820</v>
      </c>
      <c r="AI140">
        <v>0</v>
      </c>
      <c r="AJ140">
        <v>0</v>
      </c>
      <c r="AK140">
        <v>0</v>
      </c>
      <c r="AL140">
        <v>0</v>
      </c>
      <c r="AM140">
        <v>0</v>
      </c>
      <c r="AN140">
        <v>6</v>
      </c>
      <c r="AO140">
        <v>2</v>
      </c>
      <c r="AP140">
        <v>0</v>
      </c>
      <c r="AQ140">
        <v>0</v>
      </c>
      <c r="AR140">
        <v>0</v>
      </c>
      <c r="AS140">
        <v>0</v>
      </c>
      <c r="AT140">
        <v>260</v>
      </c>
      <c r="AU140">
        <v>0</v>
      </c>
      <c r="AV140">
        <v>260</v>
      </c>
      <c r="AW140">
        <v>0</v>
      </c>
      <c r="AX140">
        <v>15.25</v>
      </c>
      <c r="AY140">
        <v>0</v>
      </c>
      <c r="AZ140">
        <v>15.25</v>
      </c>
      <c r="BA140">
        <v>0</v>
      </c>
      <c r="BB140">
        <v>30.75</v>
      </c>
      <c r="BC140">
        <v>0</v>
      </c>
      <c r="BD140">
        <v>30.75</v>
      </c>
      <c r="BE140">
        <v>0</v>
      </c>
    </row>
    <row r="141" spans="1:57">
      <c r="A141" t="s">
        <v>16898</v>
      </c>
      <c r="B141" t="s">
        <v>19977</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row>
    <row r="142" spans="1:57">
      <c r="A142" t="s">
        <v>16898</v>
      </c>
      <c r="B142" t="s">
        <v>17011</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row>
    <row r="143" spans="1:57">
      <c r="A143" t="s">
        <v>16898</v>
      </c>
      <c r="B143" t="s">
        <v>17033</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row>
    <row r="144" spans="1:57">
      <c r="A144" t="s">
        <v>16898</v>
      </c>
      <c r="B144" t="s">
        <v>17034</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row>
    <row r="145" spans="1:57">
      <c r="A145" t="s">
        <v>17035</v>
      </c>
      <c r="B145" t="s">
        <v>17507</v>
      </c>
      <c r="C145">
        <v>3</v>
      </c>
      <c r="D145">
        <v>45</v>
      </c>
      <c r="E145">
        <v>42</v>
      </c>
      <c r="F145">
        <v>33</v>
      </c>
      <c r="G145">
        <v>0</v>
      </c>
      <c r="H145">
        <v>0</v>
      </c>
      <c r="I145">
        <v>0</v>
      </c>
      <c r="J145">
        <v>42</v>
      </c>
      <c r="K145">
        <v>362</v>
      </c>
      <c r="L145">
        <v>6</v>
      </c>
      <c r="M145">
        <v>6</v>
      </c>
      <c r="N145">
        <v>10</v>
      </c>
      <c r="O145">
        <v>17</v>
      </c>
      <c r="P145">
        <v>0</v>
      </c>
      <c r="Q145">
        <v>2</v>
      </c>
      <c r="R145">
        <v>0</v>
      </c>
      <c r="S145">
        <v>338</v>
      </c>
      <c r="T145">
        <v>1420.5</v>
      </c>
      <c r="U145">
        <v>0</v>
      </c>
      <c r="V145">
        <v>1758.5</v>
      </c>
      <c r="W145">
        <v>31782.5</v>
      </c>
      <c r="X145">
        <v>0</v>
      </c>
      <c r="Y145">
        <v>12</v>
      </c>
      <c r="Z145">
        <v>2</v>
      </c>
      <c r="AA145">
        <v>-7.5</v>
      </c>
      <c r="AB145">
        <v>31375</v>
      </c>
      <c r="AC145">
        <v>220.5</v>
      </c>
      <c r="AD145">
        <v>549.4</v>
      </c>
      <c r="AE145">
        <v>29.4</v>
      </c>
      <c r="AF145">
        <v>31924.400000000001</v>
      </c>
      <c r="AG145">
        <v>32003</v>
      </c>
      <c r="AH145">
        <v>31973.599999999999</v>
      </c>
      <c r="AI145">
        <v>0</v>
      </c>
      <c r="AJ145">
        <v>0</v>
      </c>
      <c r="AK145">
        <v>0</v>
      </c>
      <c r="AL145">
        <v>0</v>
      </c>
      <c r="AM145">
        <v>0</v>
      </c>
      <c r="AN145">
        <v>1</v>
      </c>
      <c r="AO145">
        <v>0</v>
      </c>
      <c r="AP145">
        <v>0</v>
      </c>
      <c r="AQ145">
        <v>0</v>
      </c>
      <c r="AR145">
        <v>0</v>
      </c>
      <c r="AS145">
        <v>0</v>
      </c>
      <c r="AT145">
        <v>362</v>
      </c>
      <c r="AU145">
        <v>0</v>
      </c>
      <c r="AV145">
        <v>347</v>
      </c>
      <c r="AW145">
        <v>15</v>
      </c>
      <c r="AX145">
        <v>338</v>
      </c>
      <c r="AY145">
        <v>0</v>
      </c>
      <c r="AZ145">
        <v>337.75</v>
      </c>
      <c r="BA145">
        <v>0.25</v>
      </c>
      <c r="BB145">
        <v>1420.5</v>
      </c>
      <c r="BC145">
        <v>0</v>
      </c>
      <c r="BD145">
        <v>1420.25</v>
      </c>
      <c r="BE145">
        <v>0.25</v>
      </c>
    </row>
    <row r="146" spans="1:57">
      <c r="A146" t="s">
        <v>16932</v>
      </c>
      <c r="B146" t="s">
        <v>17371</v>
      </c>
      <c r="C146">
        <v>0</v>
      </c>
      <c r="D146">
        <v>3</v>
      </c>
      <c r="E146">
        <v>3</v>
      </c>
      <c r="F146">
        <v>3</v>
      </c>
      <c r="G146">
        <v>2</v>
      </c>
      <c r="H146">
        <v>0</v>
      </c>
      <c r="I146">
        <v>0</v>
      </c>
      <c r="J146">
        <v>3</v>
      </c>
      <c r="K146">
        <v>17</v>
      </c>
      <c r="L146">
        <v>1</v>
      </c>
      <c r="M146">
        <v>0</v>
      </c>
      <c r="N146">
        <v>0</v>
      </c>
      <c r="O146">
        <v>0</v>
      </c>
      <c r="P146">
        <v>0</v>
      </c>
      <c r="Q146">
        <v>2</v>
      </c>
      <c r="R146">
        <v>0</v>
      </c>
      <c r="S146">
        <v>1</v>
      </c>
      <c r="T146">
        <v>0</v>
      </c>
      <c r="U146">
        <v>0</v>
      </c>
      <c r="V146">
        <v>1</v>
      </c>
      <c r="W146">
        <v>10</v>
      </c>
      <c r="X146">
        <v>0</v>
      </c>
      <c r="Y146">
        <v>0</v>
      </c>
      <c r="Z146">
        <v>1</v>
      </c>
      <c r="AA146">
        <v>0</v>
      </c>
      <c r="AB146">
        <v>0</v>
      </c>
      <c r="AC146">
        <v>0</v>
      </c>
      <c r="AD146">
        <v>0</v>
      </c>
      <c r="AE146">
        <v>0</v>
      </c>
      <c r="AF146">
        <v>0</v>
      </c>
      <c r="AG146">
        <v>10</v>
      </c>
      <c r="AH146">
        <v>10</v>
      </c>
      <c r="AI146">
        <v>0</v>
      </c>
      <c r="AJ146">
        <v>0</v>
      </c>
      <c r="AK146">
        <v>0</v>
      </c>
      <c r="AL146">
        <v>0</v>
      </c>
      <c r="AM146">
        <v>0</v>
      </c>
      <c r="AN146">
        <v>0</v>
      </c>
      <c r="AO146">
        <v>0</v>
      </c>
      <c r="AP146">
        <v>0</v>
      </c>
      <c r="AQ146">
        <v>0</v>
      </c>
      <c r="AR146">
        <v>0</v>
      </c>
      <c r="AS146">
        <v>0</v>
      </c>
      <c r="AT146">
        <v>17</v>
      </c>
      <c r="AU146">
        <v>0</v>
      </c>
      <c r="AV146">
        <v>17</v>
      </c>
      <c r="AW146">
        <v>0</v>
      </c>
      <c r="AX146">
        <v>1</v>
      </c>
      <c r="AY146">
        <v>0</v>
      </c>
      <c r="AZ146">
        <v>1</v>
      </c>
      <c r="BA146">
        <v>0</v>
      </c>
      <c r="BB146">
        <v>0</v>
      </c>
      <c r="BC146">
        <v>0</v>
      </c>
      <c r="BD146">
        <v>0</v>
      </c>
      <c r="BE146">
        <v>0</v>
      </c>
    </row>
    <row r="147" spans="1:57">
      <c r="A147" t="s">
        <v>16932</v>
      </c>
      <c r="B147" t="s">
        <v>17361</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row>
    <row r="148" spans="1:57">
      <c r="A148" t="s">
        <v>16932</v>
      </c>
      <c r="B148" t="s">
        <v>17036</v>
      </c>
      <c r="C148">
        <v>0</v>
      </c>
      <c r="D148">
        <v>26</v>
      </c>
      <c r="E148">
        <v>25</v>
      </c>
      <c r="F148">
        <v>24</v>
      </c>
      <c r="G148">
        <v>0</v>
      </c>
      <c r="H148">
        <v>22</v>
      </c>
      <c r="I148">
        <v>0</v>
      </c>
      <c r="J148">
        <v>18</v>
      </c>
      <c r="K148">
        <v>396</v>
      </c>
      <c r="L148">
        <v>16</v>
      </c>
      <c r="M148">
        <v>0</v>
      </c>
      <c r="N148">
        <v>0</v>
      </c>
      <c r="O148">
        <v>2</v>
      </c>
      <c r="P148">
        <v>0</v>
      </c>
      <c r="Q148">
        <v>0</v>
      </c>
      <c r="R148">
        <v>0</v>
      </c>
      <c r="S148">
        <v>16</v>
      </c>
      <c r="T148">
        <v>21</v>
      </c>
      <c r="U148">
        <v>0</v>
      </c>
      <c r="V148">
        <v>37</v>
      </c>
      <c r="W148">
        <v>580</v>
      </c>
      <c r="X148">
        <v>0</v>
      </c>
      <c r="Y148">
        <v>15</v>
      </c>
      <c r="Z148">
        <v>0</v>
      </c>
      <c r="AA148">
        <v>0</v>
      </c>
      <c r="AB148">
        <v>130</v>
      </c>
      <c r="AC148">
        <v>87.949999999999989</v>
      </c>
      <c r="AD148">
        <v>0</v>
      </c>
      <c r="AE148">
        <v>152.95000000000005</v>
      </c>
      <c r="AF148">
        <v>147.90000000000003</v>
      </c>
      <c r="AG148">
        <v>667.94999999999982</v>
      </c>
      <c r="AH148">
        <v>515</v>
      </c>
      <c r="AI148">
        <v>152.95000000000005</v>
      </c>
      <c r="AJ148">
        <v>147.90000000000003</v>
      </c>
      <c r="AK148">
        <v>637.94999999999982</v>
      </c>
      <c r="AL148">
        <v>515</v>
      </c>
      <c r="AM148">
        <v>11</v>
      </c>
      <c r="AN148">
        <v>5</v>
      </c>
      <c r="AO148">
        <v>1</v>
      </c>
      <c r="AP148">
        <v>0</v>
      </c>
      <c r="AQ148">
        <v>0</v>
      </c>
      <c r="AR148">
        <v>0</v>
      </c>
      <c r="AS148">
        <v>0</v>
      </c>
      <c r="AT148">
        <v>396</v>
      </c>
      <c r="AU148">
        <v>356</v>
      </c>
      <c r="AV148">
        <v>12</v>
      </c>
      <c r="AW148">
        <v>0</v>
      </c>
      <c r="AX148">
        <v>16</v>
      </c>
      <c r="AY148">
        <v>15</v>
      </c>
      <c r="AZ148">
        <v>0</v>
      </c>
      <c r="BA148">
        <v>0</v>
      </c>
      <c r="BB148">
        <v>21</v>
      </c>
      <c r="BC148">
        <v>20</v>
      </c>
      <c r="BD148">
        <v>0</v>
      </c>
      <c r="BE148">
        <v>0</v>
      </c>
    </row>
    <row r="149" spans="1:57">
      <c r="A149" t="s">
        <v>16932</v>
      </c>
      <c r="B149" t="s">
        <v>18815</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row>
    <row r="150" spans="1:57">
      <c r="A150" t="s">
        <v>16932</v>
      </c>
      <c r="B150" t="s">
        <v>17360</v>
      </c>
      <c r="C150">
        <v>0</v>
      </c>
      <c r="D150">
        <v>18</v>
      </c>
      <c r="E150">
        <v>16</v>
      </c>
      <c r="F150">
        <v>14</v>
      </c>
      <c r="G150">
        <v>1</v>
      </c>
      <c r="H150">
        <v>0</v>
      </c>
      <c r="I150">
        <v>1</v>
      </c>
      <c r="J150">
        <v>14</v>
      </c>
      <c r="K150">
        <v>47</v>
      </c>
      <c r="L150">
        <v>15</v>
      </c>
      <c r="M150">
        <v>0</v>
      </c>
      <c r="N150">
        <v>0</v>
      </c>
      <c r="O150">
        <v>0</v>
      </c>
      <c r="P150">
        <v>1</v>
      </c>
      <c r="Q150">
        <v>1</v>
      </c>
      <c r="R150">
        <v>0</v>
      </c>
      <c r="S150">
        <v>0.5</v>
      </c>
      <c r="T150">
        <v>0.5</v>
      </c>
      <c r="U150">
        <v>0</v>
      </c>
      <c r="V150">
        <v>1</v>
      </c>
      <c r="W150">
        <v>15</v>
      </c>
      <c r="X150">
        <v>0</v>
      </c>
      <c r="Y150">
        <v>1</v>
      </c>
      <c r="Z150">
        <v>0</v>
      </c>
      <c r="AA150">
        <v>0</v>
      </c>
      <c r="AB150">
        <v>0</v>
      </c>
      <c r="AC150">
        <v>316.75</v>
      </c>
      <c r="AD150">
        <v>316.75</v>
      </c>
      <c r="AE150">
        <v>0</v>
      </c>
      <c r="AF150">
        <v>316.75</v>
      </c>
      <c r="AG150">
        <v>331.75</v>
      </c>
      <c r="AH150">
        <v>331.75</v>
      </c>
      <c r="AI150">
        <v>0</v>
      </c>
      <c r="AJ150">
        <v>0</v>
      </c>
      <c r="AK150">
        <v>0</v>
      </c>
      <c r="AL150">
        <v>0</v>
      </c>
      <c r="AM150">
        <v>0</v>
      </c>
      <c r="AN150">
        <v>0</v>
      </c>
      <c r="AO150">
        <v>0</v>
      </c>
      <c r="AP150">
        <v>0</v>
      </c>
      <c r="AQ150">
        <v>0</v>
      </c>
      <c r="AR150">
        <v>0</v>
      </c>
      <c r="AS150">
        <v>0</v>
      </c>
      <c r="AT150">
        <v>47</v>
      </c>
      <c r="AU150">
        <v>0</v>
      </c>
      <c r="AV150">
        <v>47</v>
      </c>
      <c r="AW150">
        <v>0</v>
      </c>
      <c r="AX150">
        <v>0.5</v>
      </c>
      <c r="AY150">
        <v>0</v>
      </c>
      <c r="AZ150">
        <v>0.5</v>
      </c>
      <c r="BA150">
        <v>0</v>
      </c>
      <c r="BB150">
        <v>0.5</v>
      </c>
      <c r="BC150">
        <v>0</v>
      </c>
      <c r="BD150">
        <v>0.5</v>
      </c>
      <c r="BE150">
        <v>0</v>
      </c>
    </row>
    <row r="151" spans="1:57">
      <c r="A151" t="s">
        <v>16932</v>
      </c>
      <c r="B151" t="s">
        <v>18816</v>
      </c>
      <c r="C151">
        <v>0</v>
      </c>
      <c r="D151">
        <v>5</v>
      </c>
      <c r="E151">
        <v>5</v>
      </c>
      <c r="F151">
        <v>4</v>
      </c>
      <c r="G151">
        <v>1</v>
      </c>
      <c r="H151">
        <v>0</v>
      </c>
      <c r="I151">
        <v>0</v>
      </c>
      <c r="J151">
        <v>5</v>
      </c>
      <c r="K151">
        <v>38</v>
      </c>
      <c r="L151">
        <v>1</v>
      </c>
      <c r="M151">
        <v>0</v>
      </c>
      <c r="N151">
        <v>0</v>
      </c>
      <c r="O151">
        <v>4</v>
      </c>
      <c r="P151">
        <v>0</v>
      </c>
      <c r="Q151">
        <v>0</v>
      </c>
      <c r="R151">
        <v>0</v>
      </c>
      <c r="S151">
        <v>0.25</v>
      </c>
      <c r="T151">
        <v>0</v>
      </c>
      <c r="U151">
        <v>0</v>
      </c>
      <c r="V151">
        <v>0.25</v>
      </c>
      <c r="W151">
        <v>2.5</v>
      </c>
      <c r="X151">
        <v>0</v>
      </c>
      <c r="Y151">
        <v>0</v>
      </c>
      <c r="Z151">
        <v>1</v>
      </c>
      <c r="AA151">
        <v>0</v>
      </c>
      <c r="AB151">
        <v>0</v>
      </c>
      <c r="AC151">
        <v>0</v>
      </c>
      <c r="AD151">
        <v>0</v>
      </c>
      <c r="AE151">
        <v>0</v>
      </c>
      <c r="AF151">
        <v>0</v>
      </c>
      <c r="AG151">
        <v>2.5</v>
      </c>
      <c r="AH151">
        <v>2.5</v>
      </c>
      <c r="AI151">
        <v>0</v>
      </c>
      <c r="AJ151">
        <v>0</v>
      </c>
      <c r="AK151">
        <v>0</v>
      </c>
      <c r="AL151">
        <v>0</v>
      </c>
      <c r="AM151">
        <v>0</v>
      </c>
      <c r="AN151">
        <v>0</v>
      </c>
      <c r="AO151">
        <v>0</v>
      </c>
      <c r="AP151">
        <v>0</v>
      </c>
      <c r="AQ151">
        <v>0</v>
      </c>
      <c r="AR151">
        <v>0</v>
      </c>
      <c r="AS151">
        <v>0</v>
      </c>
      <c r="AT151">
        <v>38</v>
      </c>
      <c r="AU151">
        <v>0</v>
      </c>
      <c r="AV151">
        <v>38</v>
      </c>
      <c r="AW151">
        <v>0</v>
      </c>
      <c r="AX151">
        <v>0.25</v>
      </c>
      <c r="AY151">
        <v>0</v>
      </c>
      <c r="AZ151">
        <v>0.25</v>
      </c>
      <c r="BA151">
        <v>0</v>
      </c>
      <c r="BB151">
        <v>0</v>
      </c>
      <c r="BC151">
        <v>0</v>
      </c>
      <c r="BD151">
        <v>0</v>
      </c>
      <c r="BE151">
        <v>0</v>
      </c>
    </row>
    <row r="152" spans="1:57">
      <c r="A152" t="s">
        <v>16932</v>
      </c>
      <c r="B152" t="s">
        <v>18817</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row>
    <row r="153" spans="1:57">
      <c r="A153" t="s">
        <v>16932</v>
      </c>
      <c r="B153" t="s">
        <v>21064</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row>
    <row r="154" spans="1:57">
      <c r="A154" t="s">
        <v>16932</v>
      </c>
      <c r="B154" t="s">
        <v>17370</v>
      </c>
      <c r="C154">
        <v>0</v>
      </c>
      <c r="D154">
        <v>15</v>
      </c>
      <c r="E154">
        <v>0</v>
      </c>
      <c r="F154">
        <v>12</v>
      </c>
      <c r="G154">
        <v>1</v>
      </c>
      <c r="H154">
        <v>0</v>
      </c>
      <c r="I154">
        <v>0</v>
      </c>
      <c r="J154">
        <v>15</v>
      </c>
      <c r="K154">
        <v>76</v>
      </c>
      <c r="L154">
        <v>4</v>
      </c>
      <c r="M154">
        <v>10</v>
      </c>
      <c r="N154">
        <v>0</v>
      </c>
      <c r="O154">
        <v>0</v>
      </c>
      <c r="P154">
        <v>1</v>
      </c>
      <c r="Q154">
        <v>0</v>
      </c>
      <c r="R154">
        <v>0</v>
      </c>
      <c r="S154">
        <v>1.25</v>
      </c>
      <c r="T154">
        <v>24.25</v>
      </c>
      <c r="U154">
        <v>0</v>
      </c>
      <c r="V154">
        <v>25.5</v>
      </c>
      <c r="W154">
        <v>497.5</v>
      </c>
      <c r="X154">
        <v>0</v>
      </c>
      <c r="Y154">
        <v>2</v>
      </c>
      <c r="Z154">
        <v>0</v>
      </c>
      <c r="AA154">
        <v>0</v>
      </c>
      <c r="AB154">
        <v>460</v>
      </c>
      <c r="AC154">
        <v>1.5</v>
      </c>
      <c r="AD154">
        <v>4.9399999999999995</v>
      </c>
      <c r="AE154">
        <v>0</v>
      </c>
      <c r="AF154">
        <v>464.94000000000005</v>
      </c>
      <c r="AG154">
        <v>499</v>
      </c>
      <c r="AH154">
        <v>499</v>
      </c>
      <c r="AI154">
        <v>0</v>
      </c>
      <c r="AJ154">
        <v>0</v>
      </c>
      <c r="AK154">
        <v>0</v>
      </c>
      <c r="AL154">
        <v>0</v>
      </c>
      <c r="AM154">
        <v>0</v>
      </c>
      <c r="AN154">
        <v>0</v>
      </c>
      <c r="AO154">
        <v>0</v>
      </c>
      <c r="AP154">
        <v>0</v>
      </c>
      <c r="AQ154">
        <v>0</v>
      </c>
      <c r="AR154">
        <v>0</v>
      </c>
      <c r="AS154">
        <v>0</v>
      </c>
      <c r="AT154">
        <v>76</v>
      </c>
      <c r="AU154">
        <v>0</v>
      </c>
      <c r="AV154">
        <v>76</v>
      </c>
      <c r="AW154">
        <v>0</v>
      </c>
      <c r="AX154">
        <v>1.25</v>
      </c>
      <c r="AY154">
        <v>0</v>
      </c>
      <c r="AZ154">
        <v>1.25</v>
      </c>
      <c r="BA154">
        <v>0</v>
      </c>
      <c r="BB154">
        <v>24.25</v>
      </c>
      <c r="BC154">
        <v>0</v>
      </c>
      <c r="BD154">
        <v>24.25</v>
      </c>
      <c r="BE154">
        <v>0</v>
      </c>
    </row>
    <row r="155" spans="1:57">
      <c r="A155" t="s">
        <v>17041</v>
      </c>
      <c r="B155" t="s">
        <v>21569</v>
      </c>
      <c r="C155">
        <v>0</v>
      </c>
      <c r="D155">
        <v>1</v>
      </c>
      <c r="E155">
        <v>1</v>
      </c>
      <c r="F155">
        <v>1</v>
      </c>
      <c r="G155">
        <v>0</v>
      </c>
      <c r="H155">
        <v>0</v>
      </c>
      <c r="I155">
        <v>0</v>
      </c>
      <c r="J155">
        <v>1</v>
      </c>
      <c r="K155">
        <v>2</v>
      </c>
      <c r="L155">
        <v>1</v>
      </c>
      <c r="M155">
        <v>0</v>
      </c>
      <c r="N155">
        <v>0</v>
      </c>
      <c r="O155">
        <v>0</v>
      </c>
      <c r="P155">
        <v>0</v>
      </c>
      <c r="Q155">
        <v>0</v>
      </c>
      <c r="R155">
        <v>0</v>
      </c>
      <c r="S155">
        <v>3</v>
      </c>
      <c r="T155">
        <v>0</v>
      </c>
      <c r="U155">
        <v>0</v>
      </c>
      <c r="V155">
        <v>3</v>
      </c>
      <c r="W155">
        <v>30</v>
      </c>
      <c r="X155">
        <v>0</v>
      </c>
      <c r="Y155">
        <v>1</v>
      </c>
      <c r="Z155">
        <v>0</v>
      </c>
      <c r="AA155">
        <v>0</v>
      </c>
      <c r="AB155">
        <v>0</v>
      </c>
      <c r="AC155">
        <v>0</v>
      </c>
      <c r="AD155">
        <v>0</v>
      </c>
      <c r="AE155">
        <v>0</v>
      </c>
      <c r="AF155">
        <v>0</v>
      </c>
      <c r="AG155">
        <v>30</v>
      </c>
      <c r="AH155">
        <v>30</v>
      </c>
      <c r="AI155">
        <v>0</v>
      </c>
      <c r="AJ155">
        <v>0</v>
      </c>
      <c r="AK155">
        <v>0</v>
      </c>
      <c r="AL155">
        <v>0</v>
      </c>
      <c r="AM155">
        <v>0</v>
      </c>
      <c r="AN155">
        <v>0</v>
      </c>
      <c r="AO155">
        <v>0</v>
      </c>
      <c r="AP155">
        <v>0</v>
      </c>
      <c r="AQ155">
        <v>0</v>
      </c>
      <c r="AR155">
        <v>0</v>
      </c>
      <c r="AS155">
        <v>0</v>
      </c>
      <c r="AT155">
        <v>2</v>
      </c>
      <c r="AU155">
        <v>0</v>
      </c>
      <c r="AV155">
        <v>2</v>
      </c>
      <c r="AW155">
        <v>0</v>
      </c>
      <c r="AX155">
        <v>3</v>
      </c>
      <c r="AY155">
        <v>0</v>
      </c>
      <c r="AZ155">
        <v>3</v>
      </c>
      <c r="BA155">
        <v>0</v>
      </c>
      <c r="BB155">
        <v>0</v>
      </c>
      <c r="BC155">
        <v>0</v>
      </c>
      <c r="BD155">
        <v>0</v>
      </c>
      <c r="BE155">
        <v>0</v>
      </c>
    </row>
    <row r="156" spans="1:57">
      <c r="A156" t="s">
        <v>17041</v>
      </c>
      <c r="B156" t="s">
        <v>17325</v>
      </c>
      <c r="C156">
        <v>0</v>
      </c>
      <c r="D156">
        <v>6</v>
      </c>
      <c r="E156">
        <v>2</v>
      </c>
      <c r="F156">
        <v>5</v>
      </c>
      <c r="G156">
        <v>1</v>
      </c>
      <c r="H156">
        <v>1</v>
      </c>
      <c r="I156">
        <v>1</v>
      </c>
      <c r="J156">
        <v>6</v>
      </c>
      <c r="K156">
        <v>106</v>
      </c>
      <c r="L156">
        <v>3</v>
      </c>
      <c r="M156">
        <v>0</v>
      </c>
      <c r="N156">
        <v>1</v>
      </c>
      <c r="O156">
        <v>2</v>
      </c>
      <c r="P156">
        <v>0</v>
      </c>
      <c r="Q156">
        <v>0</v>
      </c>
      <c r="R156">
        <v>0</v>
      </c>
      <c r="S156">
        <v>4</v>
      </c>
      <c r="T156">
        <v>9</v>
      </c>
      <c r="U156">
        <v>5.25</v>
      </c>
      <c r="V156">
        <v>18.25</v>
      </c>
      <c r="W156">
        <v>220</v>
      </c>
      <c r="X156">
        <v>0</v>
      </c>
      <c r="Y156">
        <v>5</v>
      </c>
      <c r="Z156">
        <v>1</v>
      </c>
      <c r="AA156">
        <v>0</v>
      </c>
      <c r="AB156">
        <v>92.5</v>
      </c>
      <c r="AC156">
        <v>0</v>
      </c>
      <c r="AD156">
        <v>0</v>
      </c>
      <c r="AE156">
        <v>92.5</v>
      </c>
      <c r="AF156">
        <v>92.5</v>
      </c>
      <c r="AG156">
        <v>325</v>
      </c>
      <c r="AH156">
        <v>232.5</v>
      </c>
      <c r="AI156">
        <v>0</v>
      </c>
      <c r="AJ156">
        <v>0</v>
      </c>
      <c r="AK156">
        <v>100</v>
      </c>
      <c r="AL156">
        <v>100</v>
      </c>
      <c r="AM156">
        <v>0</v>
      </c>
      <c r="AN156">
        <v>0</v>
      </c>
      <c r="AO156">
        <v>1</v>
      </c>
      <c r="AP156">
        <v>0</v>
      </c>
      <c r="AQ156">
        <v>0</v>
      </c>
      <c r="AR156">
        <v>0</v>
      </c>
      <c r="AS156">
        <v>0</v>
      </c>
      <c r="AT156">
        <v>106</v>
      </c>
      <c r="AU156">
        <v>20</v>
      </c>
      <c r="AV156">
        <v>86</v>
      </c>
      <c r="AW156">
        <v>0</v>
      </c>
      <c r="AX156">
        <v>4</v>
      </c>
      <c r="AY156">
        <v>2</v>
      </c>
      <c r="AZ156">
        <v>2</v>
      </c>
      <c r="BA156">
        <v>0</v>
      </c>
      <c r="BB156">
        <v>9</v>
      </c>
      <c r="BC156">
        <v>2</v>
      </c>
      <c r="BD156">
        <v>7</v>
      </c>
      <c r="BE156">
        <v>0</v>
      </c>
    </row>
    <row r="157" spans="1:57">
      <c r="A157" t="s">
        <v>17041</v>
      </c>
      <c r="B157" t="s">
        <v>21568</v>
      </c>
      <c r="C157">
        <v>0</v>
      </c>
      <c r="D157">
        <v>13</v>
      </c>
      <c r="E157">
        <v>0</v>
      </c>
      <c r="F157">
        <v>10</v>
      </c>
      <c r="G157">
        <v>5</v>
      </c>
      <c r="H157">
        <v>3</v>
      </c>
      <c r="I157">
        <v>4</v>
      </c>
      <c r="J157">
        <v>13</v>
      </c>
      <c r="K157">
        <v>143</v>
      </c>
      <c r="L157">
        <v>9</v>
      </c>
      <c r="M157">
        <v>0</v>
      </c>
      <c r="N157">
        <v>0</v>
      </c>
      <c r="O157">
        <v>1</v>
      </c>
      <c r="P157">
        <v>3</v>
      </c>
      <c r="Q157">
        <v>0</v>
      </c>
      <c r="R157">
        <v>0</v>
      </c>
      <c r="S157">
        <v>28</v>
      </c>
      <c r="T157">
        <v>0</v>
      </c>
      <c r="U157">
        <v>0</v>
      </c>
      <c r="V157">
        <v>28</v>
      </c>
      <c r="W157">
        <v>280</v>
      </c>
      <c r="X157">
        <v>0</v>
      </c>
      <c r="Y157">
        <v>2</v>
      </c>
      <c r="Z157">
        <v>0</v>
      </c>
      <c r="AA157">
        <v>0</v>
      </c>
      <c r="AB157">
        <v>220</v>
      </c>
      <c r="AC157">
        <v>0</v>
      </c>
      <c r="AD157">
        <v>0</v>
      </c>
      <c r="AE157">
        <v>0</v>
      </c>
      <c r="AF157">
        <v>220</v>
      </c>
      <c r="AG157">
        <v>280</v>
      </c>
      <c r="AH157">
        <v>280</v>
      </c>
      <c r="AI157">
        <v>0</v>
      </c>
      <c r="AJ157">
        <v>220</v>
      </c>
      <c r="AK157">
        <v>280</v>
      </c>
      <c r="AL157">
        <v>280</v>
      </c>
      <c r="AM157">
        <v>0</v>
      </c>
      <c r="AN157">
        <v>0</v>
      </c>
      <c r="AO157">
        <v>0</v>
      </c>
      <c r="AP157">
        <v>0</v>
      </c>
      <c r="AQ157">
        <v>0</v>
      </c>
      <c r="AR157">
        <v>0</v>
      </c>
      <c r="AS157">
        <v>0</v>
      </c>
      <c r="AT157">
        <v>143</v>
      </c>
      <c r="AU157">
        <v>78</v>
      </c>
      <c r="AV157">
        <v>65</v>
      </c>
      <c r="AW157">
        <v>0</v>
      </c>
      <c r="AX157">
        <v>28</v>
      </c>
      <c r="AY157">
        <v>28</v>
      </c>
      <c r="AZ157">
        <v>0</v>
      </c>
      <c r="BA157">
        <v>0</v>
      </c>
      <c r="BB157">
        <v>0</v>
      </c>
      <c r="BC157">
        <v>0</v>
      </c>
      <c r="BD157">
        <v>0</v>
      </c>
      <c r="BE157">
        <v>0</v>
      </c>
    </row>
    <row r="158" spans="1:57">
      <c r="A158" t="s">
        <v>17041</v>
      </c>
      <c r="B158" t="s">
        <v>21567</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row>
    <row r="159" spans="1:57">
      <c r="A159" t="s">
        <v>17041</v>
      </c>
      <c r="B159" t="s">
        <v>17042</v>
      </c>
      <c r="C159">
        <v>4</v>
      </c>
      <c r="D159">
        <v>19</v>
      </c>
      <c r="E159">
        <v>18</v>
      </c>
      <c r="F159">
        <v>19</v>
      </c>
      <c r="G159">
        <v>1</v>
      </c>
      <c r="H159">
        <v>2</v>
      </c>
      <c r="I159">
        <v>1</v>
      </c>
      <c r="J159">
        <v>19</v>
      </c>
      <c r="K159">
        <v>98</v>
      </c>
      <c r="L159">
        <v>6</v>
      </c>
      <c r="M159">
        <v>0</v>
      </c>
      <c r="N159">
        <v>7</v>
      </c>
      <c r="O159">
        <v>2</v>
      </c>
      <c r="P159">
        <v>3</v>
      </c>
      <c r="Q159">
        <v>0</v>
      </c>
      <c r="R159">
        <v>0</v>
      </c>
      <c r="S159">
        <v>10</v>
      </c>
      <c r="T159">
        <v>15.25</v>
      </c>
      <c r="U159">
        <v>2.75</v>
      </c>
      <c r="V159">
        <v>28</v>
      </c>
      <c r="W159">
        <v>365</v>
      </c>
      <c r="X159">
        <v>0</v>
      </c>
      <c r="Y159">
        <v>12</v>
      </c>
      <c r="Z159">
        <v>0</v>
      </c>
      <c r="AA159">
        <v>-40</v>
      </c>
      <c r="AB159">
        <v>150</v>
      </c>
      <c r="AC159">
        <v>0</v>
      </c>
      <c r="AD159">
        <v>0</v>
      </c>
      <c r="AE159">
        <v>150</v>
      </c>
      <c r="AF159">
        <v>150</v>
      </c>
      <c r="AG159">
        <v>407.5</v>
      </c>
      <c r="AH159">
        <v>257.5</v>
      </c>
      <c r="AI159">
        <v>150</v>
      </c>
      <c r="AJ159">
        <v>150</v>
      </c>
      <c r="AK159">
        <v>180</v>
      </c>
      <c r="AL159">
        <v>30</v>
      </c>
      <c r="AM159">
        <v>0</v>
      </c>
      <c r="AN159">
        <v>0</v>
      </c>
      <c r="AO159">
        <v>0</v>
      </c>
      <c r="AP159">
        <v>1</v>
      </c>
      <c r="AQ159">
        <v>0</v>
      </c>
      <c r="AR159">
        <v>0</v>
      </c>
      <c r="AS159">
        <v>0</v>
      </c>
      <c r="AT159">
        <v>98</v>
      </c>
      <c r="AU159">
        <v>13</v>
      </c>
      <c r="AV159">
        <v>57</v>
      </c>
      <c r="AW159">
        <v>15</v>
      </c>
      <c r="AX159">
        <v>9.75</v>
      </c>
      <c r="AY159">
        <v>0</v>
      </c>
      <c r="AZ159">
        <v>6.25</v>
      </c>
      <c r="BA159">
        <v>2</v>
      </c>
      <c r="BB159">
        <v>15.25</v>
      </c>
      <c r="BC159">
        <v>9</v>
      </c>
      <c r="BD159">
        <v>4.25</v>
      </c>
      <c r="BE159">
        <v>1</v>
      </c>
    </row>
    <row r="160" spans="1:57">
      <c r="A160" t="s">
        <v>17041</v>
      </c>
      <c r="B160" t="s">
        <v>21566</v>
      </c>
      <c r="C160">
        <v>2</v>
      </c>
      <c r="D160">
        <v>3</v>
      </c>
      <c r="E160">
        <v>0</v>
      </c>
      <c r="F160">
        <v>3</v>
      </c>
      <c r="G160">
        <v>0</v>
      </c>
      <c r="H160">
        <v>0</v>
      </c>
      <c r="I160">
        <v>0</v>
      </c>
      <c r="J160">
        <v>3</v>
      </c>
      <c r="K160">
        <v>4</v>
      </c>
      <c r="L160">
        <v>3</v>
      </c>
      <c r="M160">
        <v>0</v>
      </c>
      <c r="N160">
        <v>0</v>
      </c>
      <c r="O160">
        <v>0</v>
      </c>
      <c r="P160">
        <v>0</v>
      </c>
      <c r="Q160">
        <v>0</v>
      </c>
      <c r="R160">
        <v>0</v>
      </c>
      <c r="S160">
        <v>7.5</v>
      </c>
      <c r="T160">
        <v>0</v>
      </c>
      <c r="U160">
        <v>0</v>
      </c>
      <c r="V160">
        <v>7.5</v>
      </c>
      <c r="W160">
        <v>10</v>
      </c>
      <c r="X160">
        <v>0</v>
      </c>
      <c r="Y160">
        <v>1</v>
      </c>
      <c r="Z160">
        <v>0</v>
      </c>
      <c r="AA160">
        <v>-65</v>
      </c>
      <c r="AB160">
        <v>0</v>
      </c>
      <c r="AC160">
        <v>0</v>
      </c>
      <c r="AD160">
        <v>0</v>
      </c>
      <c r="AE160">
        <v>0</v>
      </c>
      <c r="AF160">
        <v>0</v>
      </c>
      <c r="AG160">
        <v>10</v>
      </c>
      <c r="AH160">
        <v>10</v>
      </c>
      <c r="AI160">
        <v>0</v>
      </c>
      <c r="AJ160">
        <v>0</v>
      </c>
      <c r="AK160">
        <v>0</v>
      </c>
      <c r="AL160">
        <v>0</v>
      </c>
      <c r="AM160">
        <v>0</v>
      </c>
      <c r="AN160">
        <v>0</v>
      </c>
      <c r="AO160">
        <v>0</v>
      </c>
      <c r="AP160">
        <v>0</v>
      </c>
      <c r="AQ160">
        <v>0</v>
      </c>
      <c r="AR160">
        <v>0</v>
      </c>
      <c r="AS160">
        <v>0</v>
      </c>
      <c r="AT160">
        <v>4</v>
      </c>
      <c r="AU160">
        <v>0</v>
      </c>
      <c r="AV160">
        <v>1</v>
      </c>
      <c r="AW160">
        <v>3</v>
      </c>
      <c r="AX160">
        <v>7.5</v>
      </c>
      <c r="AY160">
        <v>0</v>
      </c>
      <c r="AZ160">
        <v>1</v>
      </c>
      <c r="BA160">
        <v>6.5</v>
      </c>
      <c r="BB160">
        <v>0</v>
      </c>
      <c r="BC160">
        <v>0</v>
      </c>
      <c r="BD160">
        <v>0</v>
      </c>
      <c r="BE160">
        <v>0</v>
      </c>
    </row>
    <row r="161" spans="1:57">
      <c r="A161" t="s">
        <v>17041</v>
      </c>
      <c r="B161" t="s">
        <v>17043</v>
      </c>
      <c r="C161">
        <v>0</v>
      </c>
      <c r="D161">
        <v>2</v>
      </c>
      <c r="E161">
        <v>2</v>
      </c>
      <c r="F161">
        <v>0</v>
      </c>
      <c r="G161">
        <v>1</v>
      </c>
      <c r="H161">
        <v>1</v>
      </c>
      <c r="I161">
        <v>0</v>
      </c>
      <c r="J161">
        <v>1</v>
      </c>
      <c r="K161">
        <v>21</v>
      </c>
      <c r="L161">
        <v>1</v>
      </c>
      <c r="M161">
        <v>0</v>
      </c>
      <c r="N161">
        <v>0</v>
      </c>
      <c r="O161">
        <v>0</v>
      </c>
      <c r="P161">
        <v>1</v>
      </c>
      <c r="Q161">
        <v>0</v>
      </c>
      <c r="R161">
        <v>0</v>
      </c>
      <c r="S161">
        <v>3</v>
      </c>
      <c r="T161">
        <v>39</v>
      </c>
      <c r="U161">
        <v>0</v>
      </c>
      <c r="V161">
        <v>42</v>
      </c>
      <c r="W161">
        <v>810</v>
      </c>
      <c r="X161">
        <v>0</v>
      </c>
      <c r="Y161">
        <v>1</v>
      </c>
      <c r="Z161">
        <v>1</v>
      </c>
      <c r="AA161">
        <v>0</v>
      </c>
      <c r="AB161">
        <v>750</v>
      </c>
      <c r="AC161">
        <v>0</v>
      </c>
      <c r="AD161">
        <v>0</v>
      </c>
      <c r="AE161">
        <v>0</v>
      </c>
      <c r="AF161">
        <v>750</v>
      </c>
      <c r="AG161">
        <v>810</v>
      </c>
      <c r="AH161">
        <v>810</v>
      </c>
      <c r="AI161">
        <v>0</v>
      </c>
      <c r="AJ161">
        <v>750</v>
      </c>
      <c r="AK161">
        <v>780</v>
      </c>
      <c r="AL161">
        <v>780</v>
      </c>
      <c r="AM161">
        <v>0</v>
      </c>
      <c r="AN161">
        <v>0</v>
      </c>
      <c r="AO161">
        <v>0</v>
      </c>
      <c r="AP161">
        <v>0</v>
      </c>
      <c r="AQ161">
        <v>0</v>
      </c>
      <c r="AR161">
        <v>0</v>
      </c>
      <c r="AS161">
        <v>0</v>
      </c>
      <c r="AT161">
        <v>21</v>
      </c>
      <c r="AU161">
        <v>0</v>
      </c>
      <c r="AV161">
        <v>21</v>
      </c>
      <c r="AW161">
        <v>0</v>
      </c>
      <c r="AX161">
        <v>3</v>
      </c>
      <c r="AY161">
        <v>2</v>
      </c>
      <c r="AZ161">
        <v>1</v>
      </c>
      <c r="BA161">
        <v>0</v>
      </c>
      <c r="BB161">
        <v>39</v>
      </c>
      <c r="BC161">
        <v>38</v>
      </c>
      <c r="BD161">
        <v>1</v>
      </c>
      <c r="BE161">
        <v>0</v>
      </c>
    </row>
    <row r="162" spans="1:57">
      <c r="A162" t="s">
        <v>17041</v>
      </c>
      <c r="B162" t="s">
        <v>19341</v>
      </c>
      <c r="C162">
        <v>0</v>
      </c>
      <c r="D162">
        <v>9</v>
      </c>
      <c r="E162">
        <v>0</v>
      </c>
      <c r="F162">
        <v>0</v>
      </c>
      <c r="G162">
        <v>0</v>
      </c>
      <c r="H162">
        <v>0</v>
      </c>
      <c r="I162">
        <v>0</v>
      </c>
      <c r="J162">
        <v>7</v>
      </c>
      <c r="K162">
        <v>60</v>
      </c>
      <c r="L162">
        <v>7</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60</v>
      </c>
      <c r="AU162">
        <v>0</v>
      </c>
      <c r="AV162">
        <v>60</v>
      </c>
      <c r="AW162">
        <v>0</v>
      </c>
      <c r="AX162">
        <v>0</v>
      </c>
      <c r="AY162">
        <v>0</v>
      </c>
      <c r="AZ162">
        <v>0</v>
      </c>
      <c r="BA162">
        <v>0</v>
      </c>
      <c r="BB162">
        <v>0</v>
      </c>
      <c r="BC162">
        <v>0</v>
      </c>
      <c r="BD162">
        <v>0</v>
      </c>
      <c r="BE162">
        <v>0</v>
      </c>
    </row>
    <row r="163" spans="1:57">
      <c r="A163" t="s">
        <v>17041</v>
      </c>
      <c r="B163" t="s">
        <v>19979</v>
      </c>
      <c r="C163">
        <v>1</v>
      </c>
      <c r="D163">
        <v>1</v>
      </c>
      <c r="E163">
        <v>1</v>
      </c>
      <c r="F163">
        <v>1</v>
      </c>
      <c r="G163">
        <v>1</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row>
    <row r="164" spans="1:57">
      <c r="A164" t="s">
        <v>17041</v>
      </c>
      <c r="B164" t="s">
        <v>17303</v>
      </c>
      <c r="C164">
        <v>0</v>
      </c>
      <c r="D164">
        <v>7</v>
      </c>
      <c r="E164">
        <v>7</v>
      </c>
      <c r="F164">
        <v>7</v>
      </c>
      <c r="G164">
        <v>0</v>
      </c>
      <c r="H164">
        <v>0</v>
      </c>
      <c r="I164">
        <v>0</v>
      </c>
      <c r="J164">
        <v>7</v>
      </c>
      <c r="K164">
        <v>36</v>
      </c>
      <c r="L164">
        <v>1</v>
      </c>
      <c r="M164">
        <v>0</v>
      </c>
      <c r="N164">
        <v>1</v>
      </c>
      <c r="O164">
        <v>0</v>
      </c>
      <c r="P164">
        <v>0</v>
      </c>
      <c r="Q164">
        <v>0</v>
      </c>
      <c r="R164">
        <v>0</v>
      </c>
      <c r="S164">
        <v>38.25</v>
      </c>
      <c r="T164">
        <v>0</v>
      </c>
      <c r="U164">
        <v>0</v>
      </c>
      <c r="V164">
        <v>38.25</v>
      </c>
      <c r="W164">
        <v>382.5</v>
      </c>
      <c r="X164">
        <v>0</v>
      </c>
      <c r="Y164">
        <v>7</v>
      </c>
      <c r="Z164">
        <v>0</v>
      </c>
      <c r="AA164">
        <v>0</v>
      </c>
      <c r="AB164">
        <v>245</v>
      </c>
      <c r="AC164">
        <v>0</v>
      </c>
      <c r="AD164">
        <v>0</v>
      </c>
      <c r="AE164">
        <v>0</v>
      </c>
      <c r="AF164">
        <v>245</v>
      </c>
      <c r="AG164">
        <v>382.5</v>
      </c>
      <c r="AH164">
        <v>382.5</v>
      </c>
      <c r="AI164">
        <v>0</v>
      </c>
      <c r="AJ164">
        <v>0</v>
      </c>
      <c r="AK164">
        <v>0</v>
      </c>
      <c r="AL164">
        <v>0</v>
      </c>
      <c r="AM164">
        <v>0</v>
      </c>
      <c r="AN164">
        <v>0</v>
      </c>
      <c r="AO164">
        <v>0</v>
      </c>
      <c r="AP164">
        <v>0</v>
      </c>
      <c r="AQ164">
        <v>0</v>
      </c>
      <c r="AR164">
        <v>0</v>
      </c>
      <c r="AS164">
        <v>0</v>
      </c>
      <c r="AT164">
        <v>36</v>
      </c>
      <c r="AU164">
        <v>0</v>
      </c>
      <c r="AV164">
        <v>36</v>
      </c>
      <c r="AW164">
        <v>0</v>
      </c>
      <c r="AX164">
        <v>38.25</v>
      </c>
      <c r="AY164">
        <v>0</v>
      </c>
      <c r="AZ164">
        <v>38.25</v>
      </c>
      <c r="BA164">
        <v>0</v>
      </c>
      <c r="BB164">
        <v>0</v>
      </c>
      <c r="BC164">
        <v>0</v>
      </c>
      <c r="BD164">
        <v>0</v>
      </c>
      <c r="BE164">
        <v>0</v>
      </c>
    </row>
    <row r="165" spans="1:57">
      <c r="A165" t="s">
        <v>17044</v>
      </c>
      <c r="B165" t="s">
        <v>17046</v>
      </c>
      <c r="C165">
        <v>0</v>
      </c>
      <c r="D165">
        <v>14</v>
      </c>
      <c r="E165">
        <v>14</v>
      </c>
      <c r="F165">
        <v>13</v>
      </c>
      <c r="G165">
        <v>0</v>
      </c>
      <c r="H165">
        <v>2</v>
      </c>
      <c r="I165">
        <v>1</v>
      </c>
      <c r="J165">
        <v>14</v>
      </c>
      <c r="K165">
        <v>132</v>
      </c>
      <c r="L165">
        <v>2</v>
      </c>
      <c r="M165">
        <v>2</v>
      </c>
      <c r="N165">
        <v>5</v>
      </c>
      <c r="O165">
        <v>5</v>
      </c>
      <c r="P165">
        <v>0</v>
      </c>
      <c r="Q165">
        <v>0</v>
      </c>
      <c r="R165">
        <v>0</v>
      </c>
      <c r="S165">
        <v>16.25</v>
      </c>
      <c r="T165">
        <v>48.25</v>
      </c>
      <c r="U165">
        <v>56.5</v>
      </c>
      <c r="V165">
        <v>121</v>
      </c>
      <c r="W165">
        <v>1127.5</v>
      </c>
      <c r="X165">
        <v>0</v>
      </c>
      <c r="Y165">
        <v>12</v>
      </c>
      <c r="Z165">
        <v>0</v>
      </c>
      <c r="AA165">
        <v>0</v>
      </c>
      <c r="AB165">
        <v>945</v>
      </c>
      <c r="AC165">
        <v>51.5</v>
      </c>
      <c r="AD165">
        <v>51.5</v>
      </c>
      <c r="AE165">
        <v>885</v>
      </c>
      <c r="AF165">
        <v>996.5</v>
      </c>
      <c r="AG165">
        <v>2309</v>
      </c>
      <c r="AH165">
        <v>1424</v>
      </c>
      <c r="AI165">
        <v>885</v>
      </c>
      <c r="AJ165">
        <v>989</v>
      </c>
      <c r="AK165">
        <v>1976.5</v>
      </c>
      <c r="AL165">
        <v>1091.5</v>
      </c>
      <c r="AM165">
        <v>0</v>
      </c>
      <c r="AN165">
        <v>0</v>
      </c>
      <c r="AO165">
        <v>0</v>
      </c>
      <c r="AP165">
        <v>0</v>
      </c>
      <c r="AQ165">
        <v>1</v>
      </c>
      <c r="AR165">
        <v>0</v>
      </c>
      <c r="AS165">
        <v>0</v>
      </c>
      <c r="AT165">
        <v>132</v>
      </c>
      <c r="AU165">
        <v>65</v>
      </c>
      <c r="AV165">
        <v>67</v>
      </c>
      <c r="AW165">
        <v>0</v>
      </c>
      <c r="AX165">
        <v>16.25</v>
      </c>
      <c r="AY165">
        <v>9.5</v>
      </c>
      <c r="AZ165">
        <v>6.75</v>
      </c>
      <c r="BA165">
        <v>0</v>
      </c>
      <c r="BB165">
        <v>48.25</v>
      </c>
      <c r="BC165">
        <v>44.75</v>
      </c>
      <c r="BD165">
        <v>3.5</v>
      </c>
      <c r="BE165">
        <v>0</v>
      </c>
    </row>
    <row r="166" spans="1:57">
      <c r="A166" t="s">
        <v>17044</v>
      </c>
      <c r="B166" t="s">
        <v>17047</v>
      </c>
      <c r="C166">
        <v>0</v>
      </c>
      <c r="D166">
        <v>3</v>
      </c>
      <c r="E166">
        <v>1</v>
      </c>
      <c r="F166">
        <v>3</v>
      </c>
      <c r="G166">
        <v>1</v>
      </c>
      <c r="H166">
        <v>1</v>
      </c>
      <c r="I166">
        <v>0</v>
      </c>
      <c r="J166">
        <v>3</v>
      </c>
      <c r="K166">
        <v>14</v>
      </c>
      <c r="L166">
        <v>1</v>
      </c>
      <c r="M166">
        <v>0</v>
      </c>
      <c r="N166">
        <v>0</v>
      </c>
      <c r="O166">
        <v>1</v>
      </c>
      <c r="P166">
        <v>0</v>
      </c>
      <c r="Q166">
        <v>1</v>
      </c>
      <c r="R166">
        <v>0</v>
      </c>
      <c r="S166">
        <v>2.25</v>
      </c>
      <c r="T166">
        <v>2.25</v>
      </c>
      <c r="U166">
        <v>0</v>
      </c>
      <c r="V166">
        <v>4.5</v>
      </c>
      <c r="W166">
        <v>67.5</v>
      </c>
      <c r="X166">
        <v>0</v>
      </c>
      <c r="Y166">
        <v>2</v>
      </c>
      <c r="Z166">
        <v>0</v>
      </c>
      <c r="AA166">
        <v>0</v>
      </c>
      <c r="AB166">
        <v>30</v>
      </c>
      <c r="AC166">
        <v>0</v>
      </c>
      <c r="AD166">
        <v>0</v>
      </c>
      <c r="AE166">
        <v>0</v>
      </c>
      <c r="AF166">
        <v>30</v>
      </c>
      <c r="AG166">
        <v>67.5</v>
      </c>
      <c r="AH166">
        <v>67.5</v>
      </c>
      <c r="AI166">
        <v>0</v>
      </c>
      <c r="AJ166">
        <v>30</v>
      </c>
      <c r="AK166">
        <v>60</v>
      </c>
      <c r="AL166">
        <v>60</v>
      </c>
      <c r="AM166">
        <v>0</v>
      </c>
      <c r="AN166">
        <v>0</v>
      </c>
      <c r="AO166">
        <v>0</v>
      </c>
      <c r="AP166">
        <v>0</v>
      </c>
      <c r="AQ166">
        <v>0</v>
      </c>
      <c r="AR166">
        <v>0</v>
      </c>
      <c r="AS166">
        <v>0</v>
      </c>
      <c r="AT166">
        <v>14</v>
      </c>
      <c r="AU166">
        <v>11</v>
      </c>
      <c r="AV166">
        <v>3</v>
      </c>
      <c r="AW166">
        <v>0</v>
      </c>
      <c r="AX166">
        <v>2.25</v>
      </c>
      <c r="AY166">
        <v>2</v>
      </c>
      <c r="AZ166">
        <v>0.25</v>
      </c>
      <c r="BA166">
        <v>0</v>
      </c>
      <c r="BB166">
        <v>2.25</v>
      </c>
      <c r="BC166">
        <v>2</v>
      </c>
      <c r="BD166">
        <v>0.25</v>
      </c>
      <c r="BE166">
        <v>0</v>
      </c>
    </row>
    <row r="167" spans="1:57">
      <c r="A167" t="s">
        <v>17044</v>
      </c>
      <c r="B167" t="s">
        <v>17048</v>
      </c>
      <c r="C167">
        <v>1</v>
      </c>
      <c r="D167">
        <v>4</v>
      </c>
      <c r="E167">
        <v>2</v>
      </c>
      <c r="F167">
        <v>4</v>
      </c>
      <c r="G167">
        <v>0</v>
      </c>
      <c r="H167">
        <v>0</v>
      </c>
      <c r="I167">
        <v>0</v>
      </c>
      <c r="J167">
        <v>4</v>
      </c>
      <c r="K167">
        <v>23</v>
      </c>
      <c r="L167">
        <v>1</v>
      </c>
      <c r="M167">
        <v>0</v>
      </c>
      <c r="N167">
        <v>1</v>
      </c>
      <c r="O167">
        <v>0</v>
      </c>
      <c r="P167">
        <v>2</v>
      </c>
      <c r="Q167">
        <v>0</v>
      </c>
      <c r="R167">
        <v>0</v>
      </c>
      <c r="S167">
        <v>5</v>
      </c>
      <c r="T167">
        <v>0</v>
      </c>
      <c r="U167">
        <v>3.5</v>
      </c>
      <c r="V167">
        <v>8.5</v>
      </c>
      <c r="W167">
        <v>45</v>
      </c>
      <c r="X167">
        <v>0</v>
      </c>
      <c r="Y167">
        <v>2</v>
      </c>
      <c r="Z167">
        <v>0</v>
      </c>
      <c r="AA167">
        <v>-5</v>
      </c>
      <c r="AB167">
        <v>0</v>
      </c>
      <c r="AC167">
        <v>0</v>
      </c>
      <c r="AD167">
        <v>0</v>
      </c>
      <c r="AE167">
        <v>0</v>
      </c>
      <c r="AF167">
        <v>0</v>
      </c>
      <c r="AG167">
        <v>115</v>
      </c>
      <c r="AH167">
        <v>115</v>
      </c>
      <c r="AI167">
        <v>0</v>
      </c>
      <c r="AJ167">
        <v>0</v>
      </c>
      <c r="AK167">
        <v>0</v>
      </c>
      <c r="AL167">
        <v>0</v>
      </c>
      <c r="AM167">
        <v>0</v>
      </c>
      <c r="AN167">
        <v>0</v>
      </c>
      <c r="AO167">
        <v>0</v>
      </c>
      <c r="AP167">
        <v>0</v>
      </c>
      <c r="AQ167">
        <v>0</v>
      </c>
      <c r="AR167">
        <v>0</v>
      </c>
      <c r="AS167">
        <v>0</v>
      </c>
      <c r="AT167">
        <v>23</v>
      </c>
      <c r="AU167">
        <v>0</v>
      </c>
      <c r="AV167">
        <v>13</v>
      </c>
      <c r="AW167">
        <v>10</v>
      </c>
      <c r="AX167">
        <v>5</v>
      </c>
      <c r="AY167">
        <v>0</v>
      </c>
      <c r="AZ167">
        <v>4.5</v>
      </c>
      <c r="BA167">
        <v>0.5</v>
      </c>
      <c r="BB167">
        <v>0</v>
      </c>
      <c r="BC167">
        <v>0</v>
      </c>
      <c r="BD167">
        <v>0</v>
      </c>
      <c r="BE167">
        <v>0</v>
      </c>
    </row>
    <row r="168" spans="1:57">
      <c r="A168" t="s">
        <v>17044</v>
      </c>
      <c r="B168" t="s">
        <v>17049</v>
      </c>
      <c r="C168">
        <v>0</v>
      </c>
      <c r="D168">
        <v>22</v>
      </c>
      <c r="E168">
        <v>22</v>
      </c>
      <c r="F168">
        <v>22</v>
      </c>
      <c r="G168">
        <v>4</v>
      </c>
      <c r="H168">
        <v>2</v>
      </c>
      <c r="I168">
        <v>3</v>
      </c>
      <c r="J168">
        <v>22</v>
      </c>
      <c r="K168">
        <v>155</v>
      </c>
      <c r="L168">
        <v>2</v>
      </c>
      <c r="M168">
        <v>3</v>
      </c>
      <c r="N168">
        <v>6</v>
      </c>
      <c r="O168">
        <v>5</v>
      </c>
      <c r="P168">
        <v>0</v>
      </c>
      <c r="Q168">
        <v>7</v>
      </c>
      <c r="R168">
        <v>0</v>
      </c>
      <c r="S168">
        <v>10.5</v>
      </c>
      <c r="T168">
        <v>38</v>
      </c>
      <c r="U168">
        <v>0</v>
      </c>
      <c r="V168">
        <v>46.75</v>
      </c>
      <c r="W168">
        <v>837.5</v>
      </c>
      <c r="X168">
        <v>0</v>
      </c>
      <c r="Y168">
        <v>16</v>
      </c>
      <c r="Z168">
        <v>0</v>
      </c>
      <c r="AA168">
        <v>0</v>
      </c>
      <c r="AB168">
        <v>512.5</v>
      </c>
      <c r="AC168">
        <v>0</v>
      </c>
      <c r="AD168">
        <v>114.75</v>
      </c>
      <c r="AE168">
        <v>6.75</v>
      </c>
      <c r="AF168">
        <v>603.25</v>
      </c>
      <c r="AG168">
        <v>837.5</v>
      </c>
      <c r="AH168">
        <v>830.75</v>
      </c>
      <c r="AI168">
        <v>0</v>
      </c>
      <c r="AJ168">
        <v>160.5</v>
      </c>
      <c r="AK168">
        <v>167.5</v>
      </c>
      <c r="AL168">
        <v>167.5</v>
      </c>
      <c r="AM168">
        <v>4</v>
      </c>
      <c r="AN168">
        <v>0</v>
      </c>
      <c r="AO168">
        <v>0</v>
      </c>
      <c r="AP168">
        <v>0</v>
      </c>
      <c r="AQ168">
        <v>0</v>
      </c>
      <c r="AR168">
        <v>0</v>
      </c>
      <c r="AS168">
        <v>0</v>
      </c>
      <c r="AT168">
        <v>155</v>
      </c>
      <c r="AU168">
        <v>43</v>
      </c>
      <c r="AV168">
        <v>112</v>
      </c>
      <c r="AW168">
        <v>0</v>
      </c>
      <c r="AX168">
        <v>9.75</v>
      </c>
      <c r="AY168">
        <v>0.75</v>
      </c>
      <c r="AZ168">
        <v>9</v>
      </c>
      <c r="BA168">
        <v>0</v>
      </c>
      <c r="BB168">
        <v>37</v>
      </c>
      <c r="BC168">
        <v>8</v>
      </c>
      <c r="BD168">
        <v>29</v>
      </c>
      <c r="BE168">
        <v>0</v>
      </c>
    </row>
    <row r="169" spans="1:57">
      <c r="A169" t="s">
        <v>17044</v>
      </c>
      <c r="B169" t="s">
        <v>17050</v>
      </c>
      <c r="C169">
        <v>0</v>
      </c>
      <c r="D169">
        <v>23</v>
      </c>
      <c r="E169">
        <v>17</v>
      </c>
      <c r="F169">
        <v>16</v>
      </c>
      <c r="G169">
        <v>4</v>
      </c>
      <c r="H169">
        <v>0</v>
      </c>
      <c r="I169">
        <v>1</v>
      </c>
      <c r="J169">
        <v>14</v>
      </c>
      <c r="K169">
        <v>177</v>
      </c>
      <c r="L169">
        <v>2</v>
      </c>
      <c r="M169">
        <v>2</v>
      </c>
      <c r="N169">
        <v>3</v>
      </c>
      <c r="O169">
        <v>5</v>
      </c>
      <c r="P169">
        <v>1</v>
      </c>
      <c r="Q169">
        <v>5</v>
      </c>
      <c r="R169">
        <v>0</v>
      </c>
      <c r="S169">
        <v>33</v>
      </c>
      <c r="T169">
        <v>15.75</v>
      </c>
      <c r="U169">
        <v>0</v>
      </c>
      <c r="V169">
        <v>48.75</v>
      </c>
      <c r="W169">
        <v>645</v>
      </c>
      <c r="X169">
        <v>0</v>
      </c>
      <c r="Y169">
        <v>6</v>
      </c>
      <c r="Z169">
        <v>1</v>
      </c>
      <c r="AA169">
        <v>0</v>
      </c>
      <c r="AB169">
        <v>465</v>
      </c>
      <c r="AC169">
        <v>566.41</v>
      </c>
      <c r="AD169">
        <v>565.91</v>
      </c>
      <c r="AE169">
        <v>304.25</v>
      </c>
      <c r="AF169">
        <v>1030.9100000000001</v>
      </c>
      <c r="AG169">
        <v>1211.4100000000001</v>
      </c>
      <c r="AH169">
        <v>907.16</v>
      </c>
      <c r="AI169">
        <v>0</v>
      </c>
      <c r="AJ169">
        <v>0</v>
      </c>
      <c r="AK169">
        <v>0</v>
      </c>
      <c r="AL169">
        <v>0</v>
      </c>
      <c r="AM169">
        <v>0</v>
      </c>
      <c r="AN169">
        <v>1</v>
      </c>
      <c r="AO169">
        <v>1</v>
      </c>
      <c r="AP169">
        <v>1</v>
      </c>
      <c r="AQ169">
        <v>0</v>
      </c>
      <c r="AR169">
        <v>0</v>
      </c>
      <c r="AS169">
        <v>0</v>
      </c>
      <c r="AT169">
        <v>177</v>
      </c>
      <c r="AU169">
        <v>0</v>
      </c>
      <c r="AV169">
        <v>177</v>
      </c>
      <c r="AW169">
        <v>0</v>
      </c>
      <c r="AX169">
        <v>33</v>
      </c>
      <c r="AY169">
        <v>0</v>
      </c>
      <c r="AZ169">
        <v>33</v>
      </c>
      <c r="BA169">
        <v>0</v>
      </c>
      <c r="BB169">
        <v>15.75</v>
      </c>
      <c r="BC169">
        <v>0</v>
      </c>
      <c r="BD169">
        <v>15.75</v>
      </c>
      <c r="BE169">
        <v>0</v>
      </c>
    </row>
    <row r="170" spans="1:57">
      <c r="A170" t="s">
        <v>17044</v>
      </c>
      <c r="B170" t="s">
        <v>17341</v>
      </c>
      <c r="C170">
        <v>0</v>
      </c>
      <c r="D170">
        <v>2</v>
      </c>
      <c r="E170">
        <v>0</v>
      </c>
      <c r="F170">
        <v>0</v>
      </c>
      <c r="G170">
        <v>0</v>
      </c>
      <c r="H170">
        <v>0</v>
      </c>
      <c r="I170">
        <v>0</v>
      </c>
      <c r="J170">
        <v>2</v>
      </c>
      <c r="K170">
        <v>13</v>
      </c>
      <c r="L170">
        <v>0</v>
      </c>
      <c r="M170">
        <v>0</v>
      </c>
      <c r="N170">
        <v>1</v>
      </c>
      <c r="O170">
        <v>1</v>
      </c>
      <c r="P170">
        <v>0</v>
      </c>
      <c r="Q170">
        <v>0</v>
      </c>
      <c r="R170">
        <v>0</v>
      </c>
      <c r="S170">
        <v>3</v>
      </c>
      <c r="T170">
        <v>0</v>
      </c>
      <c r="U170">
        <v>0</v>
      </c>
      <c r="V170">
        <v>3</v>
      </c>
      <c r="W170">
        <v>30</v>
      </c>
      <c r="X170">
        <v>0</v>
      </c>
      <c r="Y170">
        <v>2</v>
      </c>
      <c r="Z170">
        <v>0</v>
      </c>
      <c r="AA170">
        <v>0</v>
      </c>
      <c r="AB170">
        <v>0</v>
      </c>
      <c r="AC170">
        <v>0</v>
      </c>
      <c r="AD170">
        <v>0</v>
      </c>
      <c r="AE170">
        <v>0</v>
      </c>
      <c r="AF170">
        <v>0</v>
      </c>
      <c r="AG170">
        <v>30</v>
      </c>
      <c r="AH170">
        <v>30</v>
      </c>
      <c r="AI170">
        <v>0</v>
      </c>
      <c r="AJ170">
        <v>0</v>
      </c>
      <c r="AK170">
        <v>0</v>
      </c>
      <c r="AL170">
        <v>0</v>
      </c>
      <c r="AM170">
        <v>0</v>
      </c>
      <c r="AN170">
        <v>0</v>
      </c>
      <c r="AO170">
        <v>0</v>
      </c>
      <c r="AP170">
        <v>0</v>
      </c>
      <c r="AQ170">
        <v>0</v>
      </c>
      <c r="AR170">
        <v>0</v>
      </c>
      <c r="AS170">
        <v>0</v>
      </c>
      <c r="AT170">
        <v>13</v>
      </c>
      <c r="AU170">
        <v>0</v>
      </c>
      <c r="AV170">
        <v>13</v>
      </c>
      <c r="AW170">
        <v>0</v>
      </c>
      <c r="AX170">
        <v>3</v>
      </c>
      <c r="AY170">
        <v>0</v>
      </c>
      <c r="AZ170">
        <v>3</v>
      </c>
      <c r="BA170">
        <v>0</v>
      </c>
      <c r="BB170">
        <v>0</v>
      </c>
      <c r="BC170">
        <v>0</v>
      </c>
      <c r="BD170">
        <v>0</v>
      </c>
      <c r="BE170">
        <v>0</v>
      </c>
    </row>
    <row r="171" spans="1:57">
      <c r="A171" t="s">
        <v>17044</v>
      </c>
      <c r="B171" t="s">
        <v>17052</v>
      </c>
      <c r="C171">
        <v>0</v>
      </c>
      <c r="D171">
        <v>10</v>
      </c>
      <c r="E171">
        <v>10</v>
      </c>
      <c r="F171">
        <v>10</v>
      </c>
      <c r="G171">
        <v>0</v>
      </c>
      <c r="H171">
        <v>2</v>
      </c>
      <c r="I171">
        <v>0</v>
      </c>
      <c r="J171">
        <v>10</v>
      </c>
      <c r="K171">
        <v>60</v>
      </c>
      <c r="L171">
        <v>4</v>
      </c>
      <c r="M171">
        <v>0</v>
      </c>
      <c r="N171">
        <v>4</v>
      </c>
      <c r="O171">
        <v>2</v>
      </c>
      <c r="P171">
        <v>0</v>
      </c>
      <c r="Q171">
        <v>0</v>
      </c>
      <c r="R171">
        <v>0</v>
      </c>
      <c r="S171">
        <v>13.75</v>
      </c>
      <c r="T171">
        <v>15.1</v>
      </c>
      <c r="U171">
        <v>0</v>
      </c>
      <c r="V171">
        <v>28.85</v>
      </c>
      <c r="W171">
        <v>439.5</v>
      </c>
      <c r="X171">
        <v>0</v>
      </c>
      <c r="Y171">
        <v>10</v>
      </c>
      <c r="Z171">
        <v>0</v>
      </c>
      <c r="AA171">
        <v>0</v>
      </c>
      <c r="AB171">
        <v>217.5</v>
      </c>
      <c r="AC171">
        <v>0</v>
      </c>
      <c r="AD171">
        <v>0</v>
      </c>
      <c r="AE171">
        <v>0</v>
      </c>
      <c r="AF171">
        <v>217.5</v>
      </c>
      <c r="AG171">
        <v>439.5</v>
      </c>
      <c r="AH171">
        <v>439.5</v>
      </c>
      <c r="AI171">
        <v>0</v>
      </c>
      <c r="AJ171">
        <v>105</v>
      </c>
      <c r="AK171">
        <v>165</v>
      </c>
      <c r="AL171">
        <v>165</v>
      </c>
      <c r="AM171">
        <v>0</v>
      </c>
      <c r="AN171">
        <v>0</v>
      </c>
      <c r="AO171">
        <v>0</v>
      </c>
      <c r="AP171">
        <v>0</v>
      </c>
      <c r="AQ171">
        <v>0</v>
      </c>
      <c r="AR171">
        <v>0</v>
      </c>
      <c r="AS171">
        <v>0</v>
      </c>
      <c r="AT171">
        <v>60</v>
      </c>
      <c r="AU171">
        <v>34</v>
      </c>
      <c r="AV171">
        <v>26</v>
      </c>
      <c r="AW171">
        <v>0</v>
      </c>
      <c r="AX171">
        <v>13.75</v>
      </c>
      <c r="AY171">
        <v>4.5</v>
      </c>
      <c r="AZ171">
        <v>9.25</v>
      </c>
      <c r="BA171">
        <v>0</v>
      </c>
      <c r="BB171">
        <v>15.1</v>
      </c>
      <c r="BC171">
        <v>6</v>
      </c>
      <c r="BD171">
        <v>9.1</v>
      </c>
      <c r="BE171">
        <v>0</v>
      </c>
    </row>
    <row r="172" spans="1:57">
      <c r="A172" t="s">
        <v>17044</v>
      </c>
      <c r="B172" t="s">
        <v>17342</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row>
    <row r="173" spans="1:57">
      <c r="A173" t="s">
        <v>17044</v>
      </c>
      <c r="B173" t="s">
        <v>17057</v>
      </c>
      <c r="C173">
        <v>56</v>
      </c>
      <c r="D173">
        <v>63</v>
      </c>
      <c r="E173">
        <v>63</v>
      </c>
      <c r="F173">
        <v>57</v>
      </c>
      <c r="G173">
        <v>4</v>
      </c>
      <c r="H173">
        <v>1</v>
      </c>
      <c r="I173">
        <v>0</v>
      </c>
      <c r="J173">
        <v>63</v>
      </c>
      <c r="K173">
        <v>776</v>
      </c>
      <c r="L173">
        <v>26</v>
      </c>
      <c r="M173">
        <v>0</v>
      </c>
      <c r="N173">
        <v>29</v>
      </c>
      <c r="O173">
        <v>2</v>
      </c>
      <c r="P173">
        <v>1</v>
      </c>
      <c r="Q173">
        <v>3</v>
      </c>
      <c r="R173">
        <v>0</v>
      </c>
      <c r="S173">
        <v>14.4</v>
      </c>
      <c r="T173">
        <v>8.65</v>
      </c>
      <c r="U173">
        <v>1.25</v>
      </c>
      <c r="V173">
        <v>24.3</v>
      </c>
      <c r="W173">
        <v>55</v>
      </c>
      <c r="X173">
        <v>0</v>
      </c>
      <c r="Y173">
        <v>6</v>
      </c>
      <c r="Z173">
        <v>0</v>
      </c>
      <c r="AA173">
        <v>-262</v>
      </c>
      <c r="AB173">
        <v>0</v>
      </c>
      <c r="AC173">
        <v>420.00400000000002</v>
      </c>
      <c r="AD173">
        <v>420</v>
      </c>
      <c r="AE173">
        <v>306.74</v>
      </c>
      <c r="AF173">
        <v>420</v>
      </c>
      <c r="AG173">
        <v>500.00400000000002</v>
      </c>
      <c r="AH173">
        <v>193.26400000000001</v>
      </c>
      <c r="AI173">
        <v>0</v>
      </c>
      <c r="AJ173">
        <v>0</v>
      </c>
      <c r="AK173">
        <v>27.5</v>
      </c>
      <c r="AL173">
        <v>27.5</v>
      </c>
      <c r="AM173">
        <v>38</v>
      </c>
      <c r="AN173">
        <v>11</v>
      </c>
      <c r="AO173">
        <v>0</v>
      </c>
      <c r="AP173">
        <v>0</v>
      </c>
      <c r="AQ173">
        <v>0</v>
      </c>
      <c r="AR173">
        <v>0</v>
      </c>
      <c r="AS173">
        <v>0</v>
      </c>
      <c r="AT173">
        <v>776</v>
      </c>
      <c r="AU173">
        <v>21</v>
      </c>
      <c r="AV173">
        <v>25</v>
      </c>
      <c r="AW173">
        <v>730</v>
      </c>
      <c r="AX173">
        <v>14.4</v>
      </c>
      <c r="AY173">
        <v>0.25</v>
      </c>
      <c r="AZ173">
        <v>1.25</v>
      </c>
      <c r="BA173">
        <v>12.9</v>
      </c>
      <c r="BB173">
        <v>8.65</v>
      </c>
      <c r="BC173">
        <v>1.25</v>
      </c>
      <c r="BD173">
        <v>0.75</v>
      </c>
      <c r="BE173">
        <v>6.65</v>
      </c>
    </row>
    <row r="174" spans="1:57">
      <c r="A174" t="s">
        <v>17044</v>
      </c>
      <c r="B174" t="s">
        <v>17340</v>
      </c>
      <c r="C174">
        <v>0</v>
      </c>
      <c r="D174">
        <v>30</v>
      </c>
      <c r="E174">
        <v>30</v>
      </c>
      <c r="F174">
        <v>25</v>
      </c>
      <c r="G174">
        <v>3</v>
      </c>
      <c r="H174">
        <v>7</v>
      </c>
      <c r="I174">
        <v>3</v>
      </c>
      <c r="J174">
        <v>30</v>
      </c>
      <c r="K174">
        <v>467</v>
      </c>
      <c r="L174">
        <v>22</v>
      </c>
      <c r="M174">
        <v>2</v>
      </c>
      <c r="N174">
        <v>1</v>
      </c>
      <c r="O174">
        <v>5</v>
      </c>
      <c r="P174">
        <v>0</v>
      </c>
      <c r="Q174">
        <v>0</v>
      </c>
      <c r="R174">
        <v>0</v>
      </c>
      <c r="S174">
        <v>27.75</v>
      </c>
      <c r="T174">
        <v>48.5</v>
      </c>
      <c r="U174">
        <v>0</v>
      </c>
      <c r="V174">
        <v>76.25</v>
      </c>
      <c r="W174">
        <v>1247.5</v>
      </c>
      <c r="X174">
        <v>0</v>
      </c>
      <c r="Y174">
        <v>30</v>
      </c>
      <c r="Z174">
        <v>0</v>
      </c>
      <c r="AA174">
        <v>0</v>
      </c>
      <c r="AB174">
        <v>700</v>
      </c>
      <c r="AC174">
        <v>115.3</v>
      </c>
      <c r="AD174">
        <v>115.3</v>
      </c>
      <c r="AE174">
        <v>635.29999999999995</v>
      </c>
      <c r="AF174">
        <v>815.3</v>
      </c>
      <c r="AG174">
        <v>1362.8</v>
      </c>
      <c r="AH174">
        <v>727.5</v>
      </c>
      <c r="AI174">
        <v>635.29999999999995</v>
      </c>
      <c r="AJ174">
        <v>815.3</v>
      </c>
      <c r="AK174">
        <v>1010.3</v>
      </c>
      <c r="AL174">
        <v>375</v>
      </c>
      <c r="AM174">
        <v>0</v>
      </c>
      <c r="AN174">
        <v>2</v>
      </c>
      <c r="AO174">
        <v>0</v>
      </c>
      <c r="AP174">
        <v>3</v>
      </c>
      <c r="AQ174">
        <v>0</v>
      </c>
      <c r="AR174">
        <v>0</v>
      </c>
      <c r="AS174">
        <v>0</v>
      </c>
      <c r="AT174">
        <v>467</v>
      </c>
      <c r="AU174">
        <v>253</v>
      </c>
      <c r="AV174">
        <v>214</v>
      </c>
      <c r="AW174">
        <v>0</v>
      </c>
      <c r="AX174">
        <v>27.75</v>
      </c>
      <c r="AY174">
        <v>16.5</v>
      </c>
      <c r="AZ174">
        <v>11.25</v>
      </c>
      <c r="BA174">
        <v>0</v>
      </c>
      <c r="BB174">
        <v>48.5</v>
      </c>
      <c r="BC174">
        <v>36.5</v>
      </c>
      <c r="BD174">
        <v>12</v>
      </c>
      <c r="BE174">
        <v>0</v>
      </c>
    </row>
    <row r="175" spans="1:57">
      <c r="A175" t="s">
        <v>17044</v>
      </c>
      <c r="B175" t="s">
        <v>17058</v>
      </c>
      <c r="C175">
        <v>81</v>
      </c>
      <c r="D175">
        <v>162</v>
      </c>
      <c r="E175">
        <v>162</v>
      </c>
      <c r="F175">
        <v>162</v>
      </c>
      <c r="G175">
        <v>0</v>
      </c>
      <c r="H175">
        <v>0</v>
      </c>
      <c r="I175">
        <v>0</v>
      </c>
      <c r="J175">
        <v>162</v>
      </c>
      <c r="K175">
        <v>819</v>
      </c>
      <c r="L175">
        <v>45</v>
      </c>
      <c r="M175">
        <v>37</v>
      </c>
      <c r="N175">
        <v>55</v>
      </c>
      <c r="O175">
        <v>24</v>
      </c>
      <c r="P175">
        <v>0</v>
      </c>
      <c r="Q175">
        <v>0</v>
      </c>
      <c r="R175">
        <v>0</v>
      </c>
      <c r="S175">
        <v>114</v>
      </c>
      <c r="T175">
        <v>156.5</v>
      </c>
      <c r="U175">
        <v>0</v>
      </c>
      <c r="V175">
        <v>270.5</v>
      </c>
      <c r="W175">
        <v>1955</v>
      </c>
      <c r="X175">
        <v>0</v>
      </c>
      <c r="Y175">
        <v>81</v>
      </c>
      <c r="Z175">
        <v>0</v>
      </c>
      <c r="AA175">
        <v>-2315</v>
      </c>
      <c r="AB175">
        <v>240</v>
      </c>
      <c r="AC175">
        <v>2085.5</v>
      </c>
      <c r="AD175">
        <v>2085.5</v>
      </c>
      <c r="AE175">
        <v>1059</v>
      </c>
      <c r="AF175">
        <v>2304.75</v>
      </c>
      <c r="AG175">
        <v>4040.5</v>
      </c>
      <c r="AH175">
        <v>2982.75</v>
      </c>
      <c r="AI175">
        <v>0</v>
      </c>
      <c r="AJ175">
        <v>0</v>
      </c>
      <c r="AK175">
        <v>0</v>
      </c>
      <c r="AL175">
        <v>0</v>
      </c>
      <c r="AM175">
        <v>21</v>
      </c>
      <c r="AN175">
        <v>20</v>
      </c>
      <c r="AO175">
        <v>4</v>
      </c>
      <c r="AP175">
        <v>2</v>
      </c>
      <c r="AQ175">
        <v>0</v>
      </c>
      <c r="AR175">
        <v>0</v>
      </c>
      <c r="AS175">
        <v>0</v>
      </c>
      <c r="AT175">
        <v>819</v>
      </c>
      <c r="AU175">
        <v>0</v>
      </c>
      <c r="AV175">
        <v>393</v>
      </c>
      <c r="AW175">
        <v>426</v>
      </c>
      <c r="AX175">
        <v>114</v>
      </c>
      <c r="AY175">
        <v>0</v>
      </c>
      <c r="AZ175">
        <v>55.5</v>
      </c>
      <c r="BA175">
        <v>58.5</v>
      </c>
      <c r="BB175">
        <v>156.5</v>
      </c>
      <c r="BC175">
        <v>0</v>
      </c>
      <c r="BD175">
        <v>70</v>
      </c>
      <c r="BE175">
        <v>86.5</v>
      </c>
    </row>
    <row r="176" spans="1:57">
      <c r="A176" t="s">
        <v>17059</v>
      </c>
      <c r="B176" t="s">
        <v>20669</v>
      </c>
      <c r="C176">
        <v>0</v>
      </c>
      <c r="D176">
        <v>5</v>
      </c>
      <c r="E176">
        <v>5</v>
      </c>
      <c r="F176">
        <v>0</v>
      </c>
      <c r="G176">
        <v>4</v>
      </c>
      <c r="H176">
        <v>2</v>
      </c>
      <c r="I176">
        <v>1</v>
      </c>
      <c r="J176">
        <v>5</v>
      </c>
      <c r="K176">
        <v>65</v>
      </c>
      <c r="L176">
        <v>4</v>
      </c>
      <c r="M176">
        <v>0</v>
      </c>
      <c r="N176">
        <v>0</v>
      </c>
      <c r="O176">
        <v>0</v>
      </c>
      <c r="P176">
        <v>0</v>
      </c>
      <c r="Q176">
        <v>1</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65</v>
      </c>
      <c r="AU176">
        <v>6</v>
      </c>
      <c r="AV176">
        <v>59</v>
      </c>
      <c r="AW176">
        <v>0</v>
      </c>
      <c r="AX176">
        <v>0</v>
      </c>
      <c r="AY176">
        <v>0</v>
      </c>
      <c r="AZ176">
        <v>0</v>
      </c>
      <c r="BA176">
        <v>0</v>
      </c>
      <c r="BB176">
        <v>0</v>
      </c>
      <c r="BC176">
        <v>0</v>
      </c>
      <c r="BD176">
        <v>0</v>
      </c>
      <c r="BE176">
        <v>0</v>
      </c>
    </row>
    <row r="177" spans="1:57">
      <c r="A177" t="s">
        <v>16978</v>
      </c>
      <c r="B177" t="s">
        <v>20671</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row>
    <row r="178" spans="1:57">
      <c r="A178" t="s">
        <v>16978</v>
      </c>
      <c r="B178" t="s">
        <v>18823</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row>
    <row r="179" spans="1:57">
      <c r="A179" t="s">
        <v>16978</v>
      </c>
      <c r="B179" t="s">
        <v>20670</v>
      </c>
    </row>
    <row r="180" spans="1:57">
      <c r="A180" t="s">
        <v>16978</v>
      </c>
      <c r="B180" t="s">
        <v>17330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row>
    <row r="181" spans="1:57">
      <c r="A181" t="s">
        <v>16978</v>
      </c>
      <c r="B181" t="s">
        <v>18824</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row>
    <row r="182" spans="1:57">
      <c r="A182" t="s">
        <v>16978</v>
      </c>
      <c r="B182" t="s">
        <v>17064</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row>
    <row r="183" spans="1:57">
      <c r="A183" t="s">
        <v>16978</v>
      </c>
      <c r="B183" t="s">
        <v>17065</v>
      </c>
      <c r="C183">
        <v>3</v>
      </c>
      <c r="D183">
        <v>6</v>
      </c>
      <c r="E183">
        <v>0</v>
      </c>
      <c r="F183">
        <v>3</v>
      </c>
      <c r="G183">
        <v>3</v>
      </c>
      <c r="H183">
        <v>4</v>
      </c>
      <c r="I183">
        <v>0</v>
      </c>
      <c r="J183">
        <v>6</v>
      </c>
      <c r="K183">
        <v>79</v>
      </c>
      <c r="L183">
        <v>2</v>
      </c>
      <c r="M183">
        <v>0</v>
      </c>
      <c r="N183">
        <v>3</v>
      </c>
      <c r="O183">
        <v>1</v>
      </c>
      <c r="P183">
        <v>0</v>
      </c>
      <c r="Q183">
        <v>0</v>
      </c>
      <c r="R183">
        <v>0</v>
      </c>
      <c r="S183">
        <v>24</v>
      </c>
      <c r="T183">
        <v>1</v>
      </c>
      <c r="U183">
        <v>31</v>
      </c>
      <c r="V183">
        <v>56</v>
      </c>
      <c r="W183">
        <v>50</v>
      </c>
      <c r="X183">
        <v>0</v>
      </c>
      <c r="Y183">
        <v>2</v>
      </c>
      <c r="Z183">
        <v>0</v>
      </c>
      <c r="AA183">
        <v>-210</v>
      </c>
      <c r="AB183">
        <v>10</v>
      </c>
      <c r="AC183">
        <v>0</v>
      </c>
      <c r="AD183">
        <v>0</v>
      </c>
      <c r="AE183">
        <v>0</v>
      </c>
      <c r="AF183">
        <v>10</v>
      </c>
      <c r="AG183">
        <v>670</v>
      </c>
      <c r="AH183">
        <v>670</v>
      </c>
      <c r="AI183">
        <v>0</v>
      </c>
      <c r="AJ183">
        <v>10</v>
      </c>
      <c r="AK183">
        <v>560</v>
      </c>
      <c r="AL183">
        <v>560</v>
      </c>
      <c r="AM183">
        <v>0</v>
      </c>
      <c r="AN183">
        <v>0</v>
      </c>
      <c r="AO183">
        <v>0</v>
      </c>
      <c r="AP183">
        <v>0</v>
      </c>
      <c r="AQ183">
        <v>0</v>
      </c>
      <c r="AR183">
        <v>0</v>
      </c>
      <c r="AS183">
        <v>0</v>
      </c>
      <c r="AT183">
        <v>79</v>
      </c>
      <c r="AU183">
        <v>67</v>
      </c>
      <c r="AV183">
        <v>12</v>
      </c>
      <c r="AW183">
        <v>44</v>
      </c>
      <c r="AX183">
        <v>24</v>
      </c>
      <c r="AY183">
        <v>23</v>
      </c>
      <c r="AZ183">
        <v>1</v>
      </c>
      <c r="BA183">
        <v>21</v>
      </c>
      <c r="BB183">
        <v>1</v>
      </c>
      <c r="BC183">
        <v>1</v>
      </c>
      <c r="BD183">
        <v>0</v>
      </c>
      <c r="BE183">
        <v>0</v>
      </c>
    </row>
    <row r="184" spans="1:57">
      <c r="A184" t="s">
        <v>16978</v>
      </c>
      <c r="B184" t="s">
        <v>17066</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7">
      <c r="A185" t="s">
        <v>16978</v>
      </c>
      <c r="B185" t="s">
        <v>17067</v>
      </c>
      <c r="C185">
        <v>0</v>
      </c>
      <c r="D185">
        <v>3</v>
      </c>
      <c r="E185">
        <v>0</v>
      </c>
      <c r="F185">
        <v>3</v>
      </c>
      <c r="G185">
        <v>0</v>
      </c>
      <c r="H185">
        <v>0</v>
      </c>
      <c r="I185">
        <v>0</v>
      </c>
      <c r="J185">
        <v>3</v>
      </c>
      <c r="K185">
        <v>4</v>
      </c>
      <c r="L185">
        <v>3</v>
      </c>
      <c r="M185">
        <v>0</v>
      </c>
      <c r="N185">
        <v>0</v>
      </c>
      <c r="O185">
        <v>0</v>
      </c>
      <c r="P185">
        <v>0</v>
      </c>
      <c r="Q185">
        <v>0</v>
      </c>
      <c r="R185">
        <v>0</v>
      </c>
      <c r="S185">
        <v>0.55000000000000004</v>
      </c>
      <c r="T185">
        <v>0</v>
      </c>
      <c r="U185">
        <v>0</v>
      </c>
      <c r="V185">
        <v>0.55000000000000004</v>
      </c>
      <c r="W185">
        <v>5.5</v>
      </c>
      <c r="X185">
        <v>0</v>
      </c>
      <c r="Y185">
        <v>3</v>
      </c>
      <c r="Z185">
        <v>0</v>
      </c>
      <c r="AA185">
        <v>0</v>
      </c>
      <c r="AB185">
        <v>0</v>
      </c>
      <c r="AC185">
        <v>0</v>
      </c>
      <c r="AD185">
        <v>0</v>
      </c>
      <c r="AE185">
        <v>0</v>
      </c>
      <c r="AF185">
        <v>0</v>
      </c>
      <c r="AG185">
        <v>5.5</v>
      </c>
      <c r="AH185">
        <v>5.5</v>
      </c>
      <c r="AI185">
        <v>0</v>
      </c>
      <c r="AJ185">
        <v>0</v>
      </c>
      <c r="AK185">
        <v>0</v>
      </c>
      <c r="AL185">
        <v>0</v>
      </c>
      <c r="AM185">
        <v>0</v>
      </c>
      <c r="AN185">
        <v>0</v>
      </c>
      <c r="AO185">
        <v>0</v>
      </c>
      <c r="AP185">
        <v>0</v>
      </c>
      <c r="AQ185">
        <v>0</v>
      </c>
      <c r="AR185">
        <v>0</v>
      </c>
      <c r="AS185">
        <v>0</v>
      </c>
      <c r="AT185">
        <v>4</v>
      </c>
      <c r="AU185">
        <v>0</v>
      </c>
      <c r="AV185">
        <v>4</v>
      </c>
      <c r="AW185">
        <v>0</v>
      </c>
      <c r="AX185">
        <v>0.55000000000000004</v>
      </c>
      <c r="AY185">
        <v>0</v>
      </c>
      <c r="AZ185">
        <v>0.55000000000000004</v>
      </c>
      <c r="BA185">
        <v>0</v>
      </c>
      <c r="BB185">
        <v>0</v>
      </c>
      <c r="BC185">
        <v>0</v>
      </c>
      <c r="BD185">
        <v>0</v>
      </c>
      <c r="BE185">
        <v>0</v>
      </c>
    </row>
    <row r="186" spans="1:57">
      <c r="A186" t="s">
        <v>16978</v>
      </c>
      <c r="B186" t="s">
        <v>17331</v>
      </c>
      <c r="C186">
        <v>13</v>
      </c>
      <c r="D186">
        <v>13</v>
      </c>
      <c r="E186">
        <v>0</v>
      </c>
      <c r="F186">
        <v>11</v>
      </c>
      <c r="G186">
        <v>2</v>
      </c>
      <c r="H186">
        <v>2</v>
      </c>
      <c r="I186">
        <v>0</v>
      </c>
      <c r="J186">
        <v>13</v>
      </c>
      <c r="K186">
        <v>61</v>
      </c>
      <c r="L186">
        <v>13</v>
      </c>
      <c r="M186">
        <v>0</v>
      </c>
      <c r="N186">
        <v>0</v>
      </c>
      <c r="O186">
        <v>0</v>
      </c>
      <c r="P186">
        <v>0</v>
      </c>
      <c r="Q186">
        <v>0</v>
      </c>
      <c r="R186">
        <v>0</v>
      </c>
      <c r="S186">
        <v>12.75</v>
      </c>
      <c r="T186">
        <v>0</v>
      </c>
      <c r="U186">
        <v>0</v>
      </c>
      <c r="V186">
        <v>12.75</v>
      </c>
      <c r="W186">
        <v>0</v>
      </c>
      <c r="X186">
        <v>0</v>
      </c>
      <c r="Y186">
        <v>0</v>
      </c>
      <c r="Z186">
        <v>0</v>
      </c>
      <c r="AA186">
        <v>-127.5</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61</v>
      </c>
      <c r="AU186">
        <v>41</v>
      </c>
      <c r="AV186">
        <v>0</v>
      </c>
      <c r="AW186">
        <v>61</v>
      </c>
      <c r="AX186">
        <v>12.75</v>
      </c>
      <c r="AY186">
        <v>4</v>
      </c>
      <c r="AZ186">
        <v>0</v>
      </c>
      <c r="BA186">
        <v>12.75</v>
      </c>
      <c r="BB186">
        <v>0</v>
      </c>
      <c r="BC186">
        <v>0</v>
      </c>
      <c r="BD186">
        <v>0</v>
      </c>
      <c r="BE186">
        <v>0</v>
      </c>
    </row>
    <row r="187" spans="1:57">
      <c r="A187" t="s">
        <v>16978</v>
      </c>
      <c r="B187" t="s">
        <v>17332</v>
      </c>
      <c r="C187">
        <v>29</v>
      </c>
      <c r="D187">
        <v>29</v>
      </c>
      <c r="E187">
        <v>0</v>
      </c>
      <c r="F187">
        <v>28</v>
      </c>
      <c r="G187">
        <v>0</v>
      </c>
      <c r="H187">
        <v>0</v>
      </c>
      <c r="I187">
        <v>0</v>
      </c>
      <c r="J187">
        <v>29</v>
      </c>
      <c r="K187">
        <v>58</v>
      </c>
      <c r="L187">
        <v>29</v>
      </c>
      <c r="M187">
        <v>0</v>
      </c>
      <c r="N187">
        <v>0</v>
      </c>
      <c r="O187">
        <v>0</v>
      </c>
      <c r="P187">
        <v>0</v>
      </c>
      <c r="Q187">
        <v>0</v>
      </c>
      <c r="R187">
        <v>0</v>
      </c>
      <c r="S187">
        <v>14.5</v>
      </c>
      <c r="T187">
        <v>0</v>
      </c>
      <c r="U187">
        <v>0</v>
      </c>
      <c r="V187">
        <v>14.5</v>
      </c>
      <c r="W187">
        <v>0</v>
      </c>
      <c r="X187">
        <v>0</v>
      </c>
      <c r="Y187">
        <v>0</v>
      </c>
      <c r="Z187">
        <v>0</v>
      </c>
      <c r="AA187">
        <v>-145</v>
      </c>
      <c r="AB187">
        <v>0</v>
      </c>
      <c r="AC187">
        <v>0</v>
      </c>
      <c r="AD187">
        <v>165</v>
      </c>
      <c r="AE187">
        <v>165</v>
      </c>
      <c r="AF187">
        <v>165</v>
      </c>
      <c r="AG187">
        <v>0</v>
      </c>
      <c r="AH187">
        <v>0</v>
      </c>
      <c r="AI187">
        <v>0</v>
      </c>
      <c r="AJ187">
        <v>0</v>
      </c>
      <c r="AK187">
        <v>0</v>
      </c>
      <c r="AL187">
        <v>0</v>
      </c>
      <c r="AM187">
        <v>0</v>
      </c>
      <c r="AN187">
        <v>29</v>
      </c>
      <c r="AO187">
        <v>0</v>
      </c>
      <c r="AP187">
        <v>0</v>
      </c>
      <c r="AQ187">
        <v>0</v>
      </c>
      <c r="AR187">
        <v>0</v>
      </c>
      <c r="AS187">
        <v>0</v>
      </c>
      <c r="AT187">
        <v>58</v>
      </c>
      <c r="AU187">
        <v>0</v>
      </c>
      <c r="AV187">
        <v>0</v>
      </c>
      <c r="AW187">
        <v>58</v>
      </c>
      <c r="AX187">
        <v>14.5</v>
      </c>
      <c r="AY187">
        <v>0</v>
      </c>
      <c r="AZ187">
        <v>0</v>
      </c>
      <c r="BA187">
        <v>14.5</v>
      </c>
      <c r="BB187">
        <v>0</v>
      </c>
      <c r="BC187">
        <v>0</v>
      </c>
      <c r="BD187">
        <v>0</v>
      </c>
      <c r="BE187">
        <v>0</v>
      </c>
    </row>
    <row r="188" spans="1:57">
      <c r="A188" t="s">
        <v>16978</v>
      </c>
      <c r="B188" t="s">
        <v>17068</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row>
    <row r="189" spans="1:57">
      <c r="A189" t="s">
        <v>16978</v>
      </c>
      <c r="B189" t="s">
        <v>19982</v>
      </c>
    </row>
    <row r="190" spans="1:57">
      <c r="A190" t="s">
        <v>16978</v>
      </c>
      <c r="B190" t="s">
        <v>17363</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row>
    <row r="191" spans="1:57">
      <c r="A191" t="s">
        <v>16978</v>
      </c>
      <c r="B191" t="s">
        <v>17069</v>
      </c>
      <c r="C191">
        <v>0</v>
      </c>
      <c r="D191">
        <v>1</v>
      </c>
      <c r="E191">
        <v>1</v>
      </c>
      <c r="F191">
        <v>1</v>
      </c>
      <c r="G191">
        <v>1</v>
      </c>
      <c r="H191">
        <v>0</v>
      </c>
      <c r="I191">
        <v>1</v>
      </c>
      <c r="J191">
        <v>1</v>
      </c>
      <c r="K191">
        <v>8</v>
      </c>
      <c r="L191">
        <v>1</v>
      </c>
      <c r="M191">
        <v>0</v>
      </c>
      <c r="N191">
        <v>0</v>
      </c>
      <c r="O191">
        <v>0</v>
      </c>
      <c r="P191">
        <v>0</v>
      </c>
      <c r="Q191">
        <v>0</v>
      </c>
      <c r="R191">
        <v>0</v>
      </c>
      <c r="S191">
        <v>0.5</v>
      </c>
      <c r="T191">
        <v>0.5</v>
      </c>
      <c r="U191">
        <v>0</v>
      </c>
      <c r="V191">
        <v>1</v>
      </c>
      <c r="W191">
        <v>15</v>
      </c>
      <c r="X191">
        <v>0</v>
      </c>
      <c r="Y191">
        <v>1</v>
      </c>
      <c r="Z191">
        <v>0</v>
      </c>
      <c r="AA191">
        <v>0</v>
      </c>
      <c r="AB191">
        <v>0</v>
      </c>
      <c r="AC191">
        <v>0</v>
      </c>
      <c r="AD191">
        <v>0</v>
      </c>
      <c r="AE191">
        <v>0</v>
      </c>
      <c r="AF191">
        <v>0</v>
      </c>
      <c r="AG191">
        <v>15</v>
      </c>
      <c r="AH191">
        <v>15</v>
      </c>
      <c r="AI191">
        <v>0</v>
      </c>
      <c r="AJ191">
        <v>0</v>
      </c>
      <c r="AK191">
        <v>0</v>
      </c>
      <c r="AL191">
        <v>0</v>
      </c>
      <c r="AM191">
        <v>0</v>
      </c>
      <c r="AN191">
        <v>0</v>
      </c>
      <c r="AO191">
        <v>0</v>
      </c>
      <c r="AP191">
        <v>0</v>
      </c>
      <c r="AQ191">
        <v>0</v>
      </c>
      <c r="AR191">
        <v>0</v>
      </c>
      <c r="AS191">
        <v>0</v>
      </c>
      <c r="AT191">
        <v>8</v>
      </c>
      <c r="AU191">
        <v>0</v>
      </c>
      <c r="AV191">
        <v>8</v>
      </c>
      <c r="AW191">
        <v>0</v>
      </c>
      <c r="AX191">
        <v>0.5</v>
      </c>
      <c r="AY191">
        <v>0</v>
      </c>
      <c r="AZ191">
        <v>0.5</v>
      </c>
      <c r="BA191">
        <v>0</v>
      </c>
      <c r="BB191">
        <v>0.5</v>
      </c>
      <c r="BC191">
        <v>0</v>
      </c>
      <c r="BD191">
        <v>0.5</v>
      </c>
      <c r="BE191">
        <v>0</v>
      </c>
    </row>
    <row r="192" spans="1:57">
      <c r="A192" t="s">
        <v>16978</v>
      </c>
      <c r="B192" t="s">
        <v>20672</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row>
    <row r="193" spans="1:57">
      <c r="A193" t="s">
        <v>16978</v>
      </c>
      <c r="B193" t="s">
        <v>17073</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row>
    <row r="194" spans="1:57">
      <c r="A194" t="s">
        <v>16978</v>
      </c>
      <c r="B194" t="s">
        <v>17365</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row>
    <row r="195" spans="1:57">
      <c r="A195" t="s">
        <v>16978</v>
      </c>
      <c r="B195" t="s">
        <v>17366</v>
      </c>
    </row>
    <row r="196" spans="1:57">
      <c r="A196" t="s">
        <v>16978</v>
      </c>
      <c r="B196" t="s">
        <v>18827</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row>
    <row r="197" spans="1:57">
      <c r="A197" t="s">
        <v>16978</v>
      </c>
      <c r="B197" t="s">
        <v>17075</v>
      </c>
    </row>
    <row r="198" spans="1:57">
      <c r="A198" t="s">
        <v>16978</v>
      </c>
      <c r="B198" t="s">
        <v>17078</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row>
    <row r="199" spans="1:57">
      <c r="A199" t="s">
        <v>16978</v>
      </c>
      <c r="B199" t="s">
        <v>17079</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row>
    <row r="200" spans="1:57">
      <c r="A200" t="s">
        <v>16978</v>
      </c>
      <c r="B200" t="s">
        <v>18828</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row>
    <row r="201" spans="1:57">
      <c r="A201" t="s">
        <v>16978</v>
      </c>
      <c r="B201" t="s">
        <v>19347</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row>
    <row r="202" spans="1:57">
      <c r="A202" t="s">
        <v>16978</v>
      </c>
      <c r="B202" t="s">
        <v>17054</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row>
    <row r="203" spans="1:57">
      <c r="A203" t="s">
        <v>16978</v>
      </c>
      <c r="B203" t="s">
        <v>20673</v>
      </c>
    </row>
    <row r="204" spans="1:57">
      <c r="A204" t="s">
        <v>16978</v>
      </c>
      <c r="B204" t="s">
        <v>20674</v>
      </c>
      <c r="C204">
        <v>58</v>
      </c>
      <c r="D204">
        <v>64</v>
      </c>
      <c r="E204">
        <v>64</v>
      </c>
      <c r="F204">
        <v>64</v>
      </c>
      <c r="G204">
        <v>0</v>
      </c>
      <c r="H204">
        <v>0</v>
      </c>
      <c r="I204">
        <v>0</v>
      </c>
      <c r="J204">
        <v>64</v>
      </c>
      <c r="K204">
        <v>90</v>
      </c>
      <c r="L204">
        <v>64</v>
      </c>
      <c r="M204">
        <v>0</v>
      </c>
      <c r="N204">
        <v>0</v>
      </c>
      <c r="O204">
        <v>0</v>
      </c>
      <c r="P204">
        <v>0</v>
      </c>
      <c r="Q204">
        <v>0</v>
      </c>
      <c r="R204">
        <v>0</v>
      </c>
      <c r="S204">
        <v>17.5</v>
      </c>
      <c r="T204">
        <v>0</v>
      </c>
      <c r="U204">
        <v>0</v>
      </c>
      <c r="V204">
        <v>17.5</v>
      </c>
      <c r="W204">
        <v>17.5</v>
      </c>
      <c r="X204">
        <v>0</v>
      </c>
      <c r="Y204">
        <v>6</v>
      </c>
      <c r="Z204">
        <v>0</v>
      </c>
      <c r="AA204">
        <v>-157.5</v>
      </c>
      <c r="AB204">
        <v>0</v>
      </c>
      <c r="AC204">
        <v>126.8</v>
      </c>
      <c r="AD204">
        <v>126.8</v>
      </c>
      <c r="AE204">
        <v>126.8</v>
      </c>
      <c r="AF204">
        <v>126.8</v>
      </c>
      <c r="AG204">
        <v>144.30000000000001</v>
      </c>
      <c r="AH204">
        <v>17.5</v>
      </c>
      <c r="AI204">
        <v>0</v>
      </c>
      <c r="AJ204">
        <v>0</v>
      </c>
      <c r="AK204">
        <v>0</v>
      </c>
      <c r="AL204">
        <v>0</v>
      </c>
      <c r="AM204">
        <v>0</v>
      </c>
      <c r="AN204">
        <v>3</v>
      </c>
      <c r="AO204">
        <v>0</v>
      </c>
      <c r="AP204">
        <v>0</v>
      </c>
      <c r="AQ204">
        <v>0</v>
      </c>
      <c r="AR204">
        <v>0</v>
      </c>
      <c r="AS204">
        <v>0</v>
      </c>
      <c r="AT204">
        <v>90</v>
      </c>
      <c r="AU204">
        <v>0</v>
      </c>
      <c r="AV204">
        <v>8</v>
      </c>
      <c r="AW204">
        <v>82</v>
      </c>
      <c r="AX204">
        <v>17.5</v>
      </c>
      <c r="AY204">
        <v>0</v>
      </c>
      <c r="AZ204">
        <v>1.75</v>
      </c>
      <c r="BA204">
        <v>15.75</v>
      </c>
      <c r="BB204">
        <v>0</v>
      </c>
      <c r="BC204">
        <v>0</v>
      </c>
      <c r="BD204">
        <v>0</v>
      </c>
      <c r="BE204">
        <v>0</v>
      </c>
    </row>
    <row r="205" spans="1:57">
      <c r="A205" t="s">
        <v>16978</v>
      </c>
      <c r="B205" t="s">
        <v>17081</v>
      </c>
      <c r="C205">
        <v>4</v>
      </c>
      <c r="D205">
        <v>5</v>
      </c>
      <c r="E205">
        <v>0</v>
      </c>
      <c r="F205">
        <v>0</v>
      </c>
      <c r="G205">
        <v>0</v>
      </c>
      <c r="H205">
        <v>0</v>
      </c>
      <c r="I205">
        <v>0</v>
      </c>
      <c r="J205">
        <v>5</v>
      </c>
      <c r="K205">
        <v>15</v>
      </c>
      <c r="L205">
        <v>5</v>
      </c>
      <c r="M205">
        <v>0</v>
      </c>
      <c r="N205">
        <v>0</v>
      </c>
      <c r="O205">
        <v>0</v>
      </c>
      <c r="P205">
        <v>0</v>
      </c>
      <c r="Q205">
        <v>0</v>
      </c>
      <c r="R205">
        <v>0</v>
      </c>
      <c r="S205">
        <v>4.5</v>
      </c>
      <c r="T205">
        <v>0</v>
      </c>
      <c r="U205">
        <v>0</v>
      </c>
      <c r="V205">
        <v>4.5</v>
      </c>
      <c r="W205">
        <v>0</v>
      </c>
      <c r="X205">
        <v>0</v>
      </c>
      <c r="Y205">
        <v>0</v>
      </c>
      <c r="Z205">
        <v>0</v>
      </c>
      <c r="AA205">
        <v>-35</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15</v>
      </c>
      <c r="AU205">
        <v>0</v>
      </c>
      <c r="AV205">
        <v>0</v>
      </c>
      <c r="AW205">
        <v>14</v>
      </c>
      <c r="AX205">
        <v>4.5</v>
      </c>
      <c r="AY205">
        <v>0</v>
      </c>
      <c r="AZ205">
        <v>0</v>
      </c>
      <c r="BA205">
        <v>3.5</v>
      </c>
      <c r="BB205">
        <v>0</v>
      </c>
      <c r="BC205">
        <v>0</v>
      </c>
      <c r="BD205">
        <v>0</v>
      </c>
      <c r="BE205">
        <v>0</v>
      </c>
    </row>
    <row r="206" spans="1:57">
      <c r="A206" t="s">
        <v>16978</v>
      </c>
      <c r="B206" t="s">
        <v>17082</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row>
    <row r="207" spans="1:57">
      <c r="A207" t="s">
        <v>16978</v>
      </c>
      <c r="B207" t="s">
        <v>18830</v>
      </c>
    </row>
    <row r="208" spans="1:57">
      <c r="A208" t="s">
        <v>16978</v>
      </c>
      <c r="B208" t="s">
        <v>17369</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row>
    <row r="209" spans="1:57">
      <c r="A209" t="s">
        <v>16978</v>
      </c>
      <c r="B209" t="s">
        <v>19348</v>
      </c>
      <c r="C209">
        <v>4</v>
      </c>
      <c r="D209">
        <v>69</v>
      </c>
      <c r="E209">
        <v>68</v>
      </c>
      <c r="F209">
        <v>69</v>
      </c>
      <c r="G209">
        <v>2</v>
      </c>
      <c r="H209">
        <v>6</v>
      </c>
      <c r="I209">
        <v>6</v>
      </c>
      <c r="J209">
        <v>66</v>
      </c>
      <c r="K209">
        <v>1106</v>
      </c>
      <c r="L209">
        <v>16</v>
      </c>
      <c r="M209">
        <v>0</v>
      </c>
      <c r="N209">
        <v>30</v>
      </c>
      <c r="O209">
        <v>18</v>
      </c>
      <c r="P209">
        <v>1</v>
      </c>
      <c r="Q209">
        <v>3</v>
      </c>
      <c r="R209">
        <v>0</v>
      </c>
      <c r="S209">
        <v>96</v>
      </c>
      <c r="T209">
        <v>471</v>
      </c>
      <c r="U209">
        <v>0</v>
      </c>
      <c r="V209">
        <v>567</v>
      </c>
      <c r="W209">
        <v>10147.5</v>
      </c>
      <c r="X209">
        <v>0</v>
      </c>
      <c r="Y209">
        <v>57</v>
      </c>
      <c r="Z209">
        <v>6</v>
      </c>
      <c r="AA209">
        <v>-232.5</v>
      </c>
      <c r="AB209">
        <v>8902.5</v>
      </c>
      <c r="AC209">
        <v>713.61999999999978</v>
      </c>
      <c r="AD209">
        <v>713.61999999999978</v>
      </c>
      <c r="AE209">
        <v>2751.57</v>
      </c>
      <c r="AF209">
        <v>9616.119999999999</v>
      </c>
      <c r="AG209">
        <v>10861.119999999999</v>
      </c>
      <c r="AH209">
        <v>8109.5499999999993</v>
      </c>
      <c r="AI209">
        <v>1047.5</v>
      </c>
      <c r="AJ209">
        <v>1355</v>
      </c>
      <c r="AK209">
        <v>1505</v>
      </c>
      <c r="AL209">
        <v>457.5</v>
      </c>
      <c r="AM209">
        <v>2</v>
      </c>
      <c r="AN209">
        <v>3</v>
      </c>
      <c r="AO209">
        <v>5</v>
      </c>
      <c r="AP209">
        <v>10</v>
      </c>
      <c r="AQ209">
        <v>0</v>
      </c>
      <c r="AR209">
        <v>0</v>
      </c>
      <c r="AS209">
        <v>0</v>
      </c>
      <c r="AT209">
        <v>1106</v>
      </c>
      <c r="AU209">
        <v>168</v>
      </c>
      <c r="AV209">
        <v>878</v>
      </c>
      <c r="AW209">
        <v>60</v>
      </c>
      <c r="AX209">
        <v>96</v>
      </c>
      <c r="AY209">
        <v>26.5</v>
      </c>
      <c r="AZ209">
        <v>68.25</v>
      </c>
      <c r="BA209">
        <v>4.25</v>
      </c>
      <c r="BB209">
        <v>471</v>
      </c>
      <c r="BC209">
        <v>55</v>
      </c>
      <c r="BD209">
        <v>410.5</v>
      </c>
      <c r="BE209">
        <v>9.5</v>
      </c>
    </row>
    <row r="210" spans="1:57">
      <c r="A210" t="s">
        <v>16978</v>
      </c>
      <c r="B210" t="s">
        <v>17086</v>
      </c>
      <c r="C210">
        <v>0</v>
      </c>
      <c r="D210">
        <v>11</v>
      </c>
      <c r="E210">
        <v>10</v>
      </c>
      <c r="F210">
        <v>9</v>
      </c>
      <c r="G210">
        <v>0</v>
      </c>
      <c r="H210">
        <v>1</v>
      </c>
      <c r="I210">
        <v>0</v>
      </c>
      <c r="J210">
        <v>11</v>
      </c>
      <c r="K210">
        <v>144</v>
      </c>
      <c r="L210">
        <v>2</v>
      </c>
      <c r="M210">
        <v>4</v>
      </c>
      <c r="N210">
        <v>3</v>
      </c>
      <c r="O210">
        <v>0</v>
      </c>
      <c r="P210">
        <v>1</v>
      </c>
      <c r="Q210">
        <v>0</v>
      </c>
      <c r="R210">
        <v>0</v>
      </c>
      <c r="S210">
        <v>3.3</v>
      </c>
      <c r="T210">
        <v>3</v>
      </c>
      <c r="U210">
        <v>0</v>
      </c>
      <c r="V210">
        <v>6.3</v>
      </c>
      <c r="W210">
        <v>93</v>
      </c>
      <c r="X210">
        <v>0</v>
      </c>
      <c r="Y210">
        <v>5</v>
      </c>
      <c r="Z210">
        <v>0</v>
      </c>
      <c r="AA210">
        <v>0</v>
      </c>
      <c r="AB210">
        <v>40</v>
      </c>
      <c r="AC210">
        <v>0</v>
      </c>
      <c r="AD210">
        <v>0</v>
      </c>
      <c r="AE210">
        <v>0</v>
      </c>
      <c r="AF210">
        <v>40</v>
      </c>
      <c r="AG210">
        <v>93</v>
      </c>
      <c r="AH210">
        <v>93</v>
      </c>
      <c r="AI210">
        <v>0</v>
      </c>
      <c r="AJ210">
        <v>40</v>
      </c>
      <c r="AK210">
        <v>70</v>
      </c>
      <c r="AL210">
        <v>70</v>
      </c>
      <c r="AM210">
        <v>0</v>
      </c>
      <c r="AN210">
        <v>0</v>
      </c>
      <c r="AO210">
        <v>0</v>
      </c>
      <c r="AP210">
        <v>0</v>
      </c>
      <c r="AQ210">
        <v>0</v>
      </c>
      <c r="AR210">
        <v>0</v>
      </c>
      <c r="AS210">
        <v>0</v>
      </c>
      <c r="AT210">
        <v>144</v>
      </c>
      <c r="AU210">
        <v>22</v>
      </c>
      <c r="AV210">
        <v>122</v>
      </c>
      <c r="AW210">
        <v>0</v>
      </c>
      <c r="AX210">
        <v>3.3</v>
      </c>
      <c r="AY210">
        <v>1</v>
      </c>
      <c r="AZ210">
        <v>2.2999999999999998</v>
      </c>
      <c r="BA210">
        <v>0</v>
      </c>
      <c r="BB210">
        <v>3</v>
      </c>
      <c r="BC210">
        <v>3</v>
      </c>
      <c r="BD210">
        <v>0</v>
      </c>
      <c r="BE210">
        <v>0</v>
      </c>
    </row>
    <row r="211" spans="1:57">
      <c r="A211" t="s">
        <v>16978</v>
      </c>
      <c r="B211" t="s">
        <v>17087</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row>
    <row r="212" spans="1:57">
      <c r="A212" t="s">
        <v>16978</v>
      </c>
      <c r="B212" t="s">
        <v>17088</v>
      </c>
      <c r="C212">
        <v>2</v>
      </c>
      <c r="D212">
        <v>2</v>
      </c>
      <c r="E212">
        <v>0</v>
      </c>
      <c r="F212">
        <v>2</v>
      </c>
      <c r="G212">
        <v>1</v>
      </c>
      <c r="H212">
        <v>1</v>
      </c>
      <c r="I212">
        <v>0</v>
      </c>
      <c r="J212">
        <v>2</v>
      </c>
      <c r="K212">
        <v>17</v>
      </c>
      <c r="L212">
        <v>2</v>
      </c>
      <c r="M212">
        <v>0</v>
      </c>
      <c r="N212">
        <v>0</v>
      </c>
      <c r="O212">
        <v>0</v>
      </c>
      <c r="P212">
        <v>0</v>
      </c>
      <c r="Q212">
        <v>0</v>
      </c>
      <c r="R212">
        <v>0</v>
      </c>
      <c r="S212">
        <v>4</v>
      </c>
      <c r="T212">
        <v>4</v>
      </c>
      <c r="U212">
        <v>8</v>
      </c>
      <c r="V212">
        <v>16</v>
      </c>
      <c r="W212">
        <v>0</v>
      </c>
      <c r="X212">
        <v>0</v>
      </c>
      <c r="Y212">
        <v>0</v>
      </c>
      <c r="Z212">
        <v>0</v>
      </c>
      <c r="AA212">
        <v>-120</v>
      </c>
      <c r="AB212">
        <v>0</v>
      </c>
      <c r="AC212">
        <v>219.25</v>
      </c>
      <c r="AD212">
        <v>11.25</v>
      </c>
      <c r="AE212">
        <v>0</v>
      </c>
      <c r="AF212">
        <v>11.25</v>
      </c>
      <c r="AG212">
        <v>379.25</v>
      </c>
      <c r="AH212">
        <v>379.25</v>
      </c>
      <c r="AI212">
        <v>0</v>
      </c>
      <c r="AJ212">
        <v>10</v>
      </c>
      <c r="AK212">
        <v>278</v>
      </c>
      <c r="AL212">
        <v>278</v>
      </c>
      <c r="AM212">
        <v>0</v>
      </c>
      <c r="AN212">
        <v>0</v>
      </c>
      <c r="AO212">
        <v>0</v>
      </c>
      <c r="AP212">
        <v>0</v>
      </c>
      <c r="AQ212">
        <v>0</v>
      </c>
      <c r="AR212">
        <v>0</v>
      </c>
      <c r="AS212">
        <v>0</v>
      </c>
      <c r="AT212">
        <v>17</v>
      </c>
      <c r="AU212">
        <v>14</v>
      </c>
      <c r="AV212">
        <v>0</v>
      </c>
      <c r="AW212">
        <v>17</v>
      </c>
      <c r="AX212">
        <v>4</v>
      </c>
      <c r="AY212">
        <v>3</v>
      </c>
      <c r="AZ212">
        <v>0</v>
      </c>
      <c r="BA212">
        <v>4</v>
      </c>
      <c r="BB212">
        <v>4</v>
      </c>
      <c r="BC212">
        <v>3</v>
      </c>
      <c r="BD212">
        <v>0</v>
      </c>
      <c r="BE212">
        <v>4</v>
      </c>
    </row>
    <row r="213" spans="1:57">
      <c r="A213" t="s">
        <v>16978</v>
      </c>
      <c r="B213" t="s">
        <v>17089</v>
      </c>
      <c r="C213">
        <v>9</v>
      </c>
      <c r="D213">
        <v>9</v>
      </c>
      <c r="E213">
        <v>9</v>
      </c>
      <c r="F213">
        <v>9</v>
      </c>
      <c r="G213">
        <v>0</v>
      </c>
      <c r="H213">
        <v>0</v>
      </c>
      <c r="I213">
        <v>0</v>
      </c>
      <c r="J213">
        <v>9</v>
      </c>
      <c r="K213">
        <v>16</v>
      </c>
      <c r="L213">
        <v>9</v>
      </c>
      <c r="M213">
        <v>0</v>
      </c>
      <c r="N213">
        <v>0</v>
      </c>
      <c r="O213">
        <v>0</v>
      </c>
      <c r="P213">
        <v>0</v>
      </c>
      <c r="Q213">
        <v>0</v>
      </c>
      <c r="R213">
        <v>0</v>
      </c>
      <c r="S213">
        <v>3.7509999999999999</v>
      </c>
      <c r="T213">
        <v>0</v>
      </c>
      <c r="U213">
        <v>0</v>
      </c>
      <c r="V213">
        <v>3.7509999999999999</v>
      </c>
      <c r="W213">
        <v>0</v>
      </c>
      <c r="X213">
        <v>0</v>
      </c>
      <c r="Y213">
        <v>0</v>
      </c>
      <c r="Z213">
        <v>0</v>
      </c>
      <c r="AA213">
        <v>-37.51</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16</v>
      </c>
      <c r="AU213">
        <v>0</v>
      </c>
      <c r="AV213">
        <v>0</v>
      </c>
      <c r="AW213">
        <v>16</v>
      </c>
      <c r="AX213">
        <v>3.7509999999999999</v>
      </c>
      <c r="AY213">
        <v>0</v>
      </c>
      <c r="AZ213">
        <v>0</v>
      </c>
      <c r="BA213">
        <v>3.7509999999999999</v>
      </c>
      <c r="BB213">
        <v>0</v>
      </c>
      <c r="BC213">
        <v>0</v>
      </c>
      <c r="BD213">
        <v>0</v>
      </c>
      <c r="BE213">
        <v>0</v>
      </c>
    </row>
    <row r="214" spans="1:57">
      <c r="A214" t="s">
        <v>16978</v>
      </c>
      <c r="B214" t="s">
        <v>19984</v>
      </c>
      <c r="C214">
        <v>0</v>
      </c>
      <c r="D214">
        <v>2</v>
      </c>
      <c r="E214">
        <v>0</v>
      </c>
      <c r="F214">
        <v>2</v>
      </c>
      <c r="G214">
        <v>0</v>
      </c>
      <c r="H214">
        <v>0</v>
      </c>
      <c r="I214">
        <v>0</v>
      </c>
      <c r="J214">
        <v>2</v>
      </c>
      <c r="K214">
        <v>15</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15</v>
      </c>
      <c r="AU214">
        <v>0</v>
      </c>
      <c r="AV214">
        <v>15</v>
      </c>
      <c r="AW214">
        <v>0</v>
      </c>
      <c r="AX214">
        <v>0</v>
      </c>
      <c r="AY214">
        <v>0</v>
      </c>
      <c r="AZ214">
        <v>0</v>
      </c>
      <c r="BA214">
        <v>0</v>
      </c>
      <c r="BB214">
        <v>0</v>
      </c>
      <c r="BC214">
        <v>0</v>
      </c>
      <c r="BD214">
        <v>0</v>
      </c>
      <c r="BE214">
        <v>0</v>
      </c>
    </row>
    <row r="215" spans="1:57">
      <c r="A215" t="s">
        <v>16978</v>
      </c>
      <c r="B215" t="s">
        <v>17091</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row>
    <row r="216" spans="1:57">
      <c r="A216" t="s">
        <v>16978</v>
      </c>
      <c r="B216" t="s">
        <v>17092</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row>
    <row r="217" spans="1:57">
      <c r="A217" t="s">
        <v>17097</v>
      </c>
      <c r="B217" t="s">
        <v>17098</v>
      </c>
      <c r="C217">
        <v>0</v>
      </c>
      <c r="D217">
        <v>28</v>
      </c>
      <c r="E217">
        <v>28</v>
      </c>
      <c r="F217">
        <v>24</v>
      </c>
      <c r="G217">
        <v>6</v>
      </c>
      <c r="H217">
        <v>6</v>
      </c>
      <c r="I217">
        <v>0</v>
      </c>
      <c r="J217">
        <v>28</v>
      </c>
      <c r="K217">
        <v>406</v>
      </c>
      <c r="L217">
        <v>4</v>
      </c>
      <c r="M217">
        <v>0</v>
      </c>
      <c r="N217">
        <v>6</v>
      </c>
      <c r="O217">
        <v>16</v>
      </c>
      <c r="P217">
        <v>0</v>
      </c>
      <c r="Q217">
        <v>3</v>
      </c>
      <c r="R217">
        <v>0</v>
      </c>
      <c r="S217">
        <v>14.25</v>
      </c>
      <c r="T217">
        <v>18.5</v>
      </c>
      <c r="U217">
        <v>18</v>
      </c>
      <c r="V217">
        <v>50.75</v>
      </c>
      <c r="W217">
        <v>512.5</v>
      </c>
      <c r="X217">
        <v>0</v>
      </c>
      <c r="Y217">
        <v>8</v>
      </c>
      <c r="Z217">
        <v>6</v>
      </c>
      <c r="AA217">
        <v>0</v>
      </c>
      <c r="AB217">
        <v>250</v>
      </c>
      <c r="AC217">
        <v>0</v>
      </c>
      <c r="AD217">
        <v>0</v>
      </c>
      <c r="AE217">
        <v>150</v>
      </c>
      <c r="AF217">
        <v>250</v>
      </c>
      <c r="AG217">
        <v>872.5</v>
      </c>
      <c r="AH217">
        <v>722.5</v>
      </c>
      <c r="AI217">
        <v>150</v>
      </c>
      <c r="AJ217">
        <v>250</v>
      </c>
      <c r="AK217">
        <v>500</v>
      </c>
      <c r="AL217">
        <v>350</v>
      </c>
      <c r="AM217">
        <v>0</v>
      </c>
      <c r="AN217">
        <v>0</v>
      </c>
      <c r="AO217">
        <v>0</v>
      </c>
      <c r="AP217">
        <v>1</v>
      </c>
      <c r="AQ217">
        <v>0</v>
      </c>
      <c r="AR217">
        <v>0</v>
      </c>
      <c r="AS217">
        <v>0</v>
      </c>
      <c r="AT217">
        <v>406</v>
      </c>
      <c r="AU217">
        <v>122</v>
      </c>
      <c r="AV217">
        <v>284</v>
      </c>
      <c r="AW217">
        <v>0</v>
      </c>
      <c r="AX217">
        <v>14.25</v>
      </c>
      <c r="AY217">
        <v>5</v>
      </c>
      <c r="AZ217">
        <v>9.25</v>
      </c>
      <c r="BA217">
        <v>0</v>
      </c>
      <c r="BB217">
        <v>18.5</v>
      </c>
      <c r="BC217">
        <v>15.5</v>
      </c>
      <c r="BD217">
        <v>3</v>
      </c>
      <c r="BE217">
        <v>0</v>
      </c>
    </row>
    <row r="218" spans="1:57">
      <c r="A218" t="s">
        <v>18833</v>
      </c>
      <c r="B218" t="s">
        <v>20677</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row>
    <row r="219" spans="1:57">
      <c r="A219" t="s">
        <v>18833</v>
      </c>
      <c r="B219" t="s">
        <v>21078</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row>
    <row r="220" spans="1:57">
      <c r="A220" t="s">
        <v>18833</v>
      </c>
      <c r="B220" t="s">
        <v>21077</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row>
    <row r="221" spans="1:57">
      <c r="A221" t="s">
        <v>18833</v>
      </c>
      <c r="B221" t="s">
        <v>21076</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row>
    <row r="222" spans="1:57">
      <c r="A222" t="s">
        <v>18833</v>
      </c>
      <c r="B222" t="s">
        <v>21075</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row>
    <row r="223" spans="1:57">
      <c r="A223" t="s">
        <v>18833</v>
      </c>
      <c r="B223" t="s">
        <v>21074</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row>
    <row r="224" spans="1:57">
      <c r="A224" t="s">
        <v>17099</v>
      </c>
      <c r="B224" t="s">
        <v>18832</v>
      </c>
      <c r="C224">
        <v>17</v>
      </c>
      <c r="D224">
        <v>32</v>
      </c>
      <c r="E224">
        <v>26</v>
      </c>
      <c r="F224">
        <v>14</v>
      </c>
      <c r="G224">
        <v>2</v>
      </c>
      <c r="H224">
        <v>1</v>
      </c>
      <c r="I224">
        <v>0</v>
      </c>
      <c r="J224">
        <v>25</v>
      </c>
      <c r="K224">
        <v>351</v>
      </c>
      <c r="L224">
        <v>13</v>
      </c>
      <c r="M224">
        <v>3</v>
      </c>
      <c r="N224">
        <v>7</v>
      </c>
      <c r="O224">
        <v>1</v>
      </c>
      <c r="P224">
        <v>1</v>
      </c>
      <c r="Q224">
        <v>0</v>
      </c>
      <c r="R224">
        <v>0</v>
      </c>
      <c r="S224">
        <v>1</v>
      </c>
      <c r="T224">
        <v>2</v>
      </c>
      <c r="U224">
        <v>0</v>
      </c>
      <c r="V224">
        <v>3</v>
      </c>
      <c r="W224">
        <v>50</v>
      </c>
      <c r="X224">
        <v>0</v>
      </c>
      <c r="Y224">
        <v>1</v>
      </c>
      <c r="Z224">
        <v>0</v>
      </c>
      <c r="AA224">
        <v>0</v>
      </c>
      <c r="AB224">
        <v>20</v>
      </c>
      <c r="AC224">
        <v>3.1</v>
      </c>
      <c r="AD224">
        <v>3.1</v>
      </c>
      <c r="AE224">
        <v>23.1</v>
      </c>
      <c r="AF224">
        <v>23.1</v>
      </c>
      <c r="AG224">
        <v>53.1</v>
      </c>
      <c r="AH224">
        <v>30</v>
      </c>
      <c r="AI224">
        <v>0</v>
      </c>
      <c r="AJ224">
        <v>0</v>
      </c>
      <c r="AK224">
        <v>0</v>
      </c>
      <c r="AL224">
        <v>0</v>
      </c>
      <c r="AM224">
        <v>0</v>
      </c>
      <c r="AN224">
        <v>1</v>
      </c>
      <c r="AO224">
        <v>0</v>
      </c>
      <c r="AP224">
        <v>0</v>
      </c>
      <c r="AQ224">
        <v>0</v>
      </c>
      <c r="AR224">
        <v>0</v>
      </c>
      <c r="AS224">
        <v>0</v>
      </c>
      <c r="AT224">
        <v>351</v>
      </c>
      <c r="AU224">
        <v>0</v>
      </c>
      <c r="AV224">
        <v>77</v>
      </c>
      <c r="AW224">
        <v>216</v>
      </c>
      <c r="AX224">
        <v>1</v>
      </c>
      <c r="AY224">
        <v>0</v>
      </c>
      <c r="AZ224">
        <v>1</v>
      </c>
      <c r="BA224">
        <v>0</v>
      </c>
      <c r="BB224">
        <v>2</v>
      </c>
      <c r="BC224">
        <v>0</v>
      </c>
      <c r="BD224">
        <v>2</v>
      </c>
      <c r="BE224">
        <v>0</v>
      </c>
    </row>
    <row r="225" spans="1:58">
      <c r="A225" t="s">
        <v>16974</v>
      </c>
      <c r="B225" t="s">
        <v>17102</v>
      </c>
      <c r="C225">
        <v>0</v>
      </c>
      <c r="D225">
        <v>3</v>
      </c>
      <c r="E225">
        <v>0</v>
      </c>
      <c r="F225">
        <v>2</v>
      </c>
      <c r="G225">
        <v>0</v>
      </c>
      <c r="H225">
        <v>0</v>
      </c>
      <c r="I225">
        <v>0</v>
      </c>
      <c r="J225">
        <v>3</v>
      </c>
      <c r="K225">
        <v>32</v>
      </c>
      <c r="L225">
        <v>1</v>
      </c>
      <c r="M225">
        <v>0</v>
      </c>
      <c r="N225">
        <v>1</v>
      </c>
      <c r="O225">
        <v>0</v>
      </c>
      <c r="P225">
        <v>1</v>
      </c>
      <c r="Q225">
        <v>0</v>
      </c>
      <c r="R225">
        <v>0</v>
      </c>
      <c r="S225">
        <v>0.5</v>
      </c>
      <c r="T225">
        <v>0</v>
      </c>
      <c r="U225">
        <v>0</v>
      </c>
      <c r="V225">
        <v>0.5</v>
      </c>
      <c r="W225">
        <v>5</v>
      </c>
      <c r="X225">
        <v>0</v>
      </c>
      <c r="Y225">
        <v>2</v>
      </c>
      <c r="Z225">
        <v>0</v>
      </c>
      <c r="AA225">
        <v>0</v>
      </c>
      <c r="AB225">
        <v>0</v>
      </c>
      <c r="AC225">
        <v>0</v>
      </c>
      <c r="AD225">
        <v>0</v>
      </c>
      <c r="AE225">
        <v>0</v>
      </c>
      <c r="AF225">
        <v>0</v>
      </c>
      <c r="AG225">
        <v>5</v>
      </c>
      <c r="AH225">
        <v>5</v>
      </c>
      <c r="AI225">
        <v>0</v>
      </c>
      <c r="AJ225">
        <v>0</v>
      </c>
      <c r="AK225">
        <v>0</v>
      </c>
      <c r="AL225">
        <v>0</v>
      </c>
      <c r="AM225">
        <v>0</v>
      </c>
      <c r="AN225">
        <v>0</v>
      </c>
      <c r="AO225">
        <v>0</v>
      </c>
      <c r="AP225">
        <v>0</v>
      </c>
      <c r="AQ225">
        <v>0</v>
      </c>
      <c r="AR225">
        <v>0</v>
      </c>
      <c r="AS225">
        <v>0</v>
      </c>
      <c r="AT225">
        <v>32</v>
      </c>
      <c r="AU225">
        <v>0</v>
      </c>
      <c r="AV225">
        <v>32</v>
      </c>
      <c r="AW225">
        <v>0</v>
      </c>
      <c r="AX225">
        <v>0.5</v>
      </c>
      <c r="AY225">
        <v>0</v>
      </c>
      <c r="AZ225">
        <v>0.5</v>
      </c>
      <c r="BA225">
        <v>0</v>
      </c>
      <c r="BB225">
        <v>0</v>
      </c>
      <c r="BC225">
        <v>0</v>
      </c>
      <c r="BD225">
        <v>0</v>
      </c>
      <c r="BE225">
        <v>0</v>
      </c>
    </row>
    <row r="226" spans="1:58">
      <c r="A226" t="s">
        <v>16974</v>
      </c>
      <c r="B226" t="s">
        <v>17103</v>
      </c>
      <c r="C226">
        <v>0</v>
      </c>
      <c r="D226">
        <v>4</v>
      </c>
      <c r="E226">
        <v>3</v>
      </c>
      <c r="F226">
        <v>4</v>
      </c>
      <c r="G226">
        <v>0</v>
      </c>
      <c r="H226">
        <v>0</v>
      </c>
      <c r="I226">
        <v>0</v>
      </c>
      <c r="J226">
        <v>4</v>
      </c>
      <c r="K226">
        <v>4</v>
      </c>
      <c r="L226">
        <v>0</v>
      </c>
      <c r="M226">
        <v>0</v>
      </c>
      <c r="N226">
        <v>4</v>
      </c>
      <c r="O226">
        <v>0</v>
      </c>
      <c r="P226">
        <v>0</v>
      </c>
      <c r="Q226">
        <v>0</v>
      </c>
      <c r="R226">
        <v>0</v>
      </c>
      <c r="S226">
        <v>8</v>
      </c>
      <c r="T226">
        <v>0</v>
      </c>
      <c r="U226">
        <v>0</v>
      </c>
      <c r="V226">
        <v>8</v>
      </c>
      <c r="W226">
        <v>80</v>
      </c>
      <c r="X226">
        <v>0</v>
      </c>
      <c r="Y226">
        <v>4</v>
      </c>
      <c r="Z226">
        <v>0</v>
      </c>
      <c r="AA226">
        <v>0</v>
      </c>
      <c r="AB226">
        <v>0</v>
      </c>
      <c r="AC226">
        <v>0</v>
      </c>
      <c r="AD226">
        <v>0</v>
      </c>
      <c r="AE226">
        <v>0</v>
      </c>
      <c r="AF226">
        <v>0</v>
      </c>
      <c r="AG226">
        <v>80</v>
      </c>
      <c r="AH226">
        <v>80</v>
      </c>
      <c r="AI226">
        <v>0</v>
      </c>
      <c r="AJ226">
        <v>0</v>
      </c>
      <c r="AK226">
        <v>0</v>
      </c>
      <c r="AL226">
        <v>0</v>
      </c>
      <c r="AM226">
        <v>0</v>
      </c>
      <c r="AN226">
        <v>0</v>
      </c>
      <c r="AO226">
        <v>0</v>
      </c>
      <c r="AP226">
        <v>0</v>
      </c>
      <c r="AQ226">
        <v>0</v>
      </c>
      <c r="AR226">
        <v>0</v>
      </c>
      <c r="AS226">
        <v>0</v>
      </c>
      <c r="AT226">
        <v>4</v>
      </c>
      <c r="AU226">
        <v>0</v>
      </c>
      <c r="AV226">
        <v>4</v>
      </c>
      <c r="AW226">
        <v>0</v>
      </c>
      <c r="AX226">
        <v>8</v>
      </c>
      <c r="AY226">
        <v>0</v>
      </c>
      <c r="AZ226">
        <v>8</v>
      </c>
      <c r="BA226">
        <v>0</v>
      </c>
      <c r="BB226">
        <v>0</v>
      </c>
      <c r="BC226">
        <v>0</v>
      </c>
      <c r="BD226">
        <v>0</v>
      </c>
      <c r="BE226">
        <v>0</v>
      </c>
    </row>
    <row r="227" spans="1:58">
      <c r="A227" t="s">
        <v>16974</v>
      </c>
      <c r="B227" t="s">
        <v>18835</v>
      </c>
      <c r="C227">
        <v>0</v>
      </c>
      <c r="D227">
        <v>91</v>
      </c>
      <c r="E227">
        <v>22</v>
      </c>
      <c r="F227">
        <v>85</v>
      </c>
      <c r="G227">
        <v>9</v>
      </c>
      <c r="H227">
        <v>1</v>
      </c>
      <c r="I227">
        <v>0</v>
      </c>
      <c r="J227">
        <v>88</v>
      </c>
      <c r="K227">
        <v>265</v>
      </c>
      <c r="L227">
        <v>80</v>
      </c>
      <c r="M227">
        <v>3</v>
      </c>
      <c r="N227">
        <v>0</v>
      </c>
      <c r="O227">
        <v>7</v>
      </c>
      <c r="P227">
        <v>0</v>
      </c>
      <c r="Q227">
        <v>0</v>
      </c>
      <c r="R227">
        <v>0</v>
      </c>
      <c r="S227">
        <v>46.5</v>
      </c>
      <c r="T227">
        <v>32</v>
      </c>
      <c r="U227">
        <v>0</v>
      </c>
      <c r="V227">
        <v>78.5</v>
      </c>
      <c r="W227">
        <v>1105</v>
      </c>
      <c r="X227">
        <v>0</v>
      </c>
      <c r="Y227">
        <v>87</v>
      </c>
      <c r="Z227">
        <v>0</v>
      </c>
      <c r="AA227">
        <v>0</v>
      </c>
      <c r="AB227">
        <v>20</v>
      </c>
      <c r="AC227">
        <v>0</v>
      </c>
      <c r="AD227">
        <v>0</v>
      </c>
      <c r="AE227">
        <v>0</v>
      </c>
      <c r="AF227">
        <v>20</v>
      </c>
      <c r="AG227">
        <v>1105</v>
      </c>
      <c r="AH227">
        <v>1105</v>
      </c>
      <c r="AI227">
        <v>0</v>
      </c>
      <c r="AJ227">
        <v>20</v>
      </c>
      <c r="AK227">
        <v>50</v>
      </c>
      <c r="AL227">
        <v>50</v>
      </c>
      <c r="AM227">
        <v>0</v>
      </c>
      <c r="AN227">
        <v>0</v>
      </c>
      <c r="AO227">
        <v>0</v>
      </c>
      <c r="AP227">
        <v>0</v>
      </c>
      <c r="AQ227">
        <v>0</v>
      </c>
      <c r="AR227">
        <v>0</v>
      </c>
      <c r="AS227">
        <v>0</v>
      </c>
      <c r="AT227">
        <v>265</v>
      </c>
      <c r="AU227">
        <v>10</v>
      </c>
      <c r="AV227">
        <v>255</v>
      </c>
      <c r="AW227">
        <v>0</v>
      </c>
      <c r="AX227">
        <v>46.5</v>
      </c>
      <c r="AY227">
        <v>3</v>
      </c>
      <c r="AZ227">
        <v>43.5</v>
      </c>
      <c r="BA227">
        <v>0</v>
      </c>
      <c r="BB227">
        <v>32</v>
      </c>
      <c r="BC227">
        <v>1</v>
      </c>
      <c r="BD227">
        <v>31</v>
      </c>
      <c r="BE227">
        <v>0</v>
      </c>
      <c r="BF227">
        <v>29</v>
      </c>
    </row>
    <row r="228" spans="1:58">
      <c r="A228" t="s">
        <v>16974</v>
      </c>
      <c r="B228" t="s">
        <v>17313</v>
      </c>
      <c r="C228">
        <v>0</v>
      </c>
      <c r="D228">
        <v>6</v>
      </c>
      <c r="E228">
        <v>6</v>
      </c>
      <c r="F228">
        <v>6</v>
      </c>
      <c r="G228">
        <v>0</v>
      </c>
      <c r="H228">
        <v>0</v>
      </c>
      <c r="I228">
        <v>0</v>
      </c>
      <c r="J228">
        <v>6</v>
      </c>
      <c r="K228">
        <v>28</v>
      </c>
      <c r="L228">
        <v>3</v>
      </c>
      <c r="M228">
        <v>0</v>
      </c>
      <c r="N228">
        <v>0</v>
      </c>
      <c r="O228">
        <v>3</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28</v>
      </c>
      <c r="AU228">
        <v>0</v>
      </c>
      <c r="AV228">
        <v>28</v>
      </c>
      <c r="AW228">
        <v>0</v>
      </c>
      <c r="AX228">
        <v>0</v>
      </c>
      <c r="AY228">
        <v>0</v>
      </c>
      <c r="AZ228">
        <v>0</v>
      </c>
      <c r="BA228">
        <v>0</v>
      </c>
      <c r="BB228">
        <v>0</v>
      </c>
      <c r="BC228">
        <v>0</v>
      </c>
      <c r="BD228">
        <v>0</v>
      </c>
      <c r="BE228">
        <v>0</v>
      </c>
    </row>
    <row r="229" spans="1:58">
      <c r="A229" t="s">
        <v>16974</v>
      </c>
      <c r="B229" t="s">
        <v>17108</v>
      </c>
      <c r="C229">
        <v>3</v>
      </c>
      <c r="D229">
        <v>5</v>
      </c>
      <c r="E229">
        <v>0</v>
      </c>
      <c r="F229">
        <v>5</v>
      </c>
      <c r="G229">
        <v>0</v>
      </c>
      <c r="H229">
        <v>0</v>
      </c>
      <c r="I229">
        <v>0</v>
      </c>
      <c r="J229">
        <v>5</v>
      </c>
      <c r="K229">
        <v>15</v>
      </c>
      <c r="L229">
        <v>5</v>
      </c>
      <c r="M229">
        <v>0</v>
      </c>
      <c r="N229">
        <v>0</v>
      </c>
      <c r="O229">
        <v>0</v>
      </c>
      <c r="P229">
        <v>0</v>
      </c>
      <c r="Q229">
        <v>0</v>
      </c>
      <c r="R229">
        <v>0</v>
      </c>
      <c r="S229">
        <v>3</v>
      </c>
      <c r="T229">
        <v>0</v>
      </c>
      <c r="U229">
        <v>0</v>
      </c>
      <c r="V229">
        <v>3</v>
      </c>
      <c r="W229">
        <v>10</v>
      </c>
      <c r="X229">
        <v>0</v>
      </c>
      <c r="Y229">
        <v>2</v>
      </c>
      <c r="Z229">
        <v>0</v>
      </c>
      <c r="AA229">
        <v>-20</v>
      </c>
      <c r="AB229">
        <v>0</v>
      </c>
      <c r="AC229">
        <v>0</v>
      </c>
      <c r="AD229">
        <v>0</v>
      </c>
      <c r="AE229">
        <v>0</v>
      </c>
      <c r="AF229">
        <v>0</v>
      </c>
      <c r="AG229">
        <v>10</v>
      </c>
      <c r="AH229">
        <v>10</v>
      </c>
      <c r="AI229">
        <v>0</v>
      </c>
      <c r="AJ229">
        <v>0</v>
      </c>
      <c r="AK229">
        <v>0</v>
      </c>
      <c r="AL229">
        <v>0</v>
      </c>
      <c r="AM229">
        <v>0</v>
      </c>
      <c r="AN229">
        <v>0</v>
      </c>
      <c r="AO229">
        <v>0</v>
      </c>
      <c r="AP229">
        <v>0</v>
      </c>
      <c r="AQ229">
        <v>0</v>
      </c>
      <c r="AR229">
        <v>0</v>
      </c>
      <c r="AS229">
        <v>0</v>
      </c>
      <c r="AT229">
        <v>15</v>
      </c>
      <c r="AU229">
        <v>0</v>
      </c>
      <c r="AV229">
        <v>5</v>
      </c>
      <c r="AW229">
        <v>10</v>
      </c>
      <c r="AX229">
        <v>3</v>
      </c>
      <c r="AY229">
        <v>0</v>
      </c>
      <c r="AZ229">
        <v>1</v>
      </c>
      <c r="BA229">
        <v>2</v>
      </c>
      <c r="BB229">
        <v>0</v>
      </c>
      <c r="BC229">
        <v>0</v>
      </c>
      <c r="BD229">
        <v>0</v>
      </c>
      <c r="BE229">
        <v>0</v>
      </c>
    </row>
    <row r="230" spans="1:58">
      <c r="A230" t="s">
        <v>16974</v>
      </c>
      <c r="B230" t="s">
        <v>17109</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row>
    <row r="231" spans="1:58">
      <c r="A231" t="s">
        <v>16974</v>
      </c>
      <c r="B231" t="s">
        <v>17312</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row>
    <row r="232" spans="1:58">
      <c r="A232" t="s">
        <v>16974</v>
      </c>
      <c r="B232" t="s">
        <v>17110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row>
    <row r="233" spans="1:58">
      <c r="A233" t="s">
        <v>16974</v>
      </c>
      <c r="B233" t="s">
        <v>17111</v>
      </c>
      <c r="C233">
        <v>0</v>
      </c>
      <c r="D233">
        <v>5</v>
      </c>
      <c r="E233">
        <v>0</v>
      </c>
      <c r="F233">
        <v>5</v>
      </c>
      <c r="G233">
        <v>0</v>
      </c>
      <c r="H233">
        <v>0</v>
      </c>
      <c r="I233">
        <v>0</v>
      </c>
      <c r="J233">
        <v>5</v>
      </c>
      <c r="K233">
        <v>12</v>
      </c>
      <c r="L233">
        <v>3</v>
      </c>
      <c r="M233">
        <v>0</v>
      </c>
      <c r="N233">
        <v>1</v>
      </c>
      <c r="O233">
        <v>1</v>
      </c>
      <c r="P233">
        <v>0</v>
      </c>
      <c r="Q233">
        <v>0</v>
      </c>
      <c r="R233">
        <v>0</v>
      </c>
      <c r="S233">
        <v>4</v>
      </c>
      <c r="T233">
        <v>0</v>
      </c>
      <c r="U233">
        <v>0</v>
      </c>
      <c r="V233">
        <v>4</v>
      </c>
      <c r="W233">
        <v>40</v>
      </c>
      <c r="X233">
        <v>0</v>
      </c>
      <c r="Y233">
        <v>4</v>
      </c>
      <c r="Z233">
        <v>0</v>
      </c>
      <c r="AA233">
        <v>0</v>
      </c>
      <c r="AB233">
        <v>0</v>
      </c>
      <c r="AC233">
        <v>7</v>
      </c>
      <c r="AD233">
        <v>3</v>
      </c>
      <c r="AE233">
        <v>3</v>
      </c>
      <c r="AF233">
        <v>3</v>
      </c>
      <c r="AG233">
        <v>47</v>
      </c>
      <c r="AH233">
        <v>44</v>
      </c>
      <c r="AI233">
        <v>0</v>
      </c>
      <c r="AJ233">
        <v>0</v>
      </c>
      <c r="AK233">
        <v>0</v>
      </c>
      <c r="AL233">
        <v>0</v>
      </c>
      <c r="AM233">
        <v>1</v>
      </c>
      <c r="AN233">
        <v>0</v>
      </c>
      <c r="AO233">
        <v>0</v>
      </c>
      <c r="AP233">
        <v>0</v>
      </c>
      <c r="AQ233">
        <v>0</v>
      </c>
      <c r="AR233">
        <v>0</v>
      </c>
      <c r="AS233">
        <v>0</v>
      </c>
      <c r="AT233">
        <v>12</v>
      </c>
      <c r="AU233">
        <v>0</v>
      </c>
      <c r="AV233">
        <v>12</v>
      </c>
      <c r="AW233">
        <v>0</v>
      </c>
      <c r="AX233">
        <v>4</v>
      </c>
      <c r="AY233">
        <v>0</v>
      </c>
      <c r="AZ233">
        <v>4</v>
      </c>
      <c r="BA233">
        <v>0</v>
      </c>
      <c r="BB233">
        <v>0</v>
      </c>
      <c r="BC233">
        <v>0</v>
      </c>
      <c r="BD233">
        <v>0</v>
      </c>
      <c r="BE233">
        <v>0</v>
      </c>
    </row>
    <row r="234" spans="1:58">
      <c r="A234" t="s">
        <v>16974</v>
      </c>
      <c r="B234" t="s">
        <v>17386</v>
      </c>
      <c r="C234">
        <v>0</v>
      </c>
      <c r="D234">
        <v>1</v>
      </c>
      <c r="E234">
        <v>1</v>
      </c>
      <c r="F234">
        <v>0</v>
      </c>
      <c r="G234">
        <v>0</v>
      </c>
      <c r="H234">
        <v>0</v>
      </c>
      <c r="I234">
        <v>0</v>
      </c>
      <c r="J234">
        <v>1</v>
      </c>
      <c r="K234">
        <v>6</v>
      </c>
      <c r="L234">
        <v>0</v>
      </c>
      <c r="M234">
        <v>0</v>
      </c>
      <c r="N234">
        <v>0</v>
      </c>
      <c r="O234">
        <v>0</v>
      </c>
      <c r="P234">
        <v>0</v>
      </c>
      <c r="Q234">
        <v>0</v>
      </c>
      <c r="R234">
        <v>0</v>
      </c>
      <c r="S234">
        <v>1</v>
      </c>
      <c r="T234">
        <v>0</v>
      </c>
      <c r="U234">
        <v>0</v>
      </c>
      <c r="V234">
        <v>1</v>
      </c>
      <c r="W234">
        <v>10</v>
      </c>
      <c r="X234">
        <v>0</v>
      </c>
      <c r="Y234">
        <v>1</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6</v>
      </c>
      <c r="AU234">
        <v>0</v>
      </c>
      <c r="AV234">
        <v>0</v>
      </c>
      <c r="AW234">
        <v>6</v>
      </c>
      <c r="AX234">
        <v>1</v>
      </c>
      <c r="AY234">
        <v>0</v>
      </c>
      <c r="AZ234">
        <v>1</v>
      </c>
      <c r="BA234">
        <v>0</v>
      </c>
      <c r="BB234">
        <v>0</v>
      </c>
      <c r="BC234">
        <v>0</v>
      </c>
      <c r="BD234">
        <v>0</v>
      </c>
      <c r="BE234">
        <v>0</v>
      </c>
    </row>
    <row r="235" spans="1:58">
      <c r="A235" t="s">
        <v>16974</v>
      </c>
      <c r="B235" t="s">
        <v>17309</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8">
      <c r="A236" t="s">
        <v>16974</v>
      </c>
      <c r="B236" t="s">
        <v>17117</v>
      </c>
      <c r="C236">
        <v>0</v>
      </c>
      <c r="D236">
        <v>18</v>
      </c>
      <c r="E236">
        <v>18</v>
      </c>
      <c r="F236">
        <v>13</v>
      </c>
      <c r="G236">
        <v>2</v>
      </c>
      <c r="H236">
        <v>5</v>
      </c>
      <c r="I236">
        <v>0</v>
      </c>
      <c r="J236">
        <v>18</v>
      </c>
      <c r="K236">
        <v>248</v>
      </c>
      <c r="L236">
        <v>1</v>
      </c>
      <c r="M236">
        <v>1</v>
      </c>
      <c r="N236">
        <v>1</v>
      </c>
      <c r="O236">
        <v>12</v>
      </c>
      <c r="P236">
        <v>0</v>
      </c>
      <c r="Q236">
        <v>3</v>
      </c>
      <c r="R236">
        <v>0</v>
      </c>
      <c r="S236">
        <v>41</v>
      </c>
      <c r="T236">
        <v>50</v>
      </c>
      <c r="U236">
        <v>0</v>
      </c>
      <c r="V236">
        <v>88</v>
      </c>
      <c r="W236">
        <v>1410</v>
      </c>
      <c r="X236">
        <v>0</v>
      </c>
      <c r="Y236">
        <v>1</v>
      </c>
      <c r="Z236">
        <v>3</v>
      </c>
      <c r="AA236">
        <v>0</v>
      </c>
      <c r="AB236">
        <v>1200</v>
      </c>
      <c r="AC236">
        <v>0</v>
      </c>
      <c r="AD236">
        <v>0</v>
      </c>
      <c r="AE236">
        <v>0</v>
      </c>
      <c r="AF236">
        <v>1200</v>
      </c>
      <c r="AG236">
        <v>1410</v>
      </c>
      <c r="AH236">
        <v>1410</v>
      </c>
      <c r="AI236">
        <v>0</v>
      </c>
      <c r="AJ236">
        <v>1200</v>
      </c>
      <c r="AK236">
        <v>1410</v>
      </c>
      <c r="AL236">
        <v>1410</v>
      </c>
      <c r="AM236">
        <v>0</v>
      </c>
      <c r="AN236">
        <v>0</v>
      </c>
      <c r="AO236">
        <v>0</v>
      </c>
      <c r="AP236">
        <v>0</v>
      </c>
      <c r="AQ236">
        <v>0</v>
      </c>
      <c r="AR236">
        <v>0</v>
      </c>
      <c r="AS236">
        <v>0</v>
      </c>
      <c r="AT236">
        <v>248</v>
      </c>
      <c r="AU236">
        <v>132</v>
      </c>
      <c r="AV236">
        <v>116</v>
      </c>
      <c r="AW236">
        <v>0</v>
      </c>
      <c r="AX236">
        <v>41</v>
      </c>
      <c r="AY236">
        <v>41</v>
      </c>
      <c r="AZ236">
        <v>0</v>
      </c>
      <c r="BA236">
        <v>0</v>
      </c>
      <c r="BB236">
        <v>50</v>
      </c>
      <c r="BC236">
        <v>50</v>
      </c>
      <c r="BD236">
        <v>0</v>
      </c>
      <c r="BE236">
        <v>0</v>
      </c>
    </row>
    <row r="237" spans="1:58">
      <c r="A237" t="s">
        <v>16974</v>
      </c>
      <c r="B237" t="s">
        <v>17119</v>
      </c>
      <c r="C237">
        <v>0</v>
      </c>
      <c r="D237">
        <v>1</v>
      </c>
      <c r="E237">
        <v>0</v>
      </c>
      <c r="F237">
        <v>0</v>
      </c>
      <c r="G237">
        <v>1</v>
      </c>
      <c r="H237">
        <v>1</v>
      </c>
      <c r="I237">
        <v>0</v>
      </c>
      <c r="J237">
        <v>1</v>
      </c>
      <c r="K237">
        <v>31</v>
      </c>
      <c r="L237">
        <v>0</v>
      </c>
      <c r="M237">
        <v>0</v>
      </c>
      <c r="N237">
        <v>0</v>
      </c>
      <c r="O237">
        <v>0</v>
      </c>
      <c r="P237">
        <v>0</v>
      </c>
      <c r="Q237">
        <v>0</v>
      </c>
      <c r="R237">
        <v>0</v>
      </c>
      <c r="S237">
        <v>50</v>
      </c>
      <c r="T237">
        <v>0</v>
      </c>
      <c r="U237">
        <v>0</v>
      </c>
      <c r="V237">
        <v>50</v>
      </c>
      <c r="W237">
        <v>500</v>
      </c>
      <c r="X237">
        <v>0</v>
      </c>
      <c r="Y237">
        <v>1</v>
      </c>
      <c r="Z237">
        <v>0</v>
      </c>
      <c r="AA237">
        <v>0</v>
      </c>
      <c r="AB237">
        <v>470</v>
      </c>
      <c r="AC237">
        <v>0</v>
      </c>
      <c r="AD237">
        <v>0</v>
      </c>
      <c r="AE237">
        <v>0</v>
      </c>
      <c r="AF237">
        <v>470</v>
      </c>
      <c r="AG237">
        <v>500</v>
      </c>
      <c r="AH237">
        <v>500</v>
      </c>
      <c r="AI237">
        <v>0</v>
      </c>
      <c r="AJ237">
        <v>470</v>
      </c>
      <c r="AK237">
        <v>500</v>
      </c>
      <c r="AL237">
        <v>500</v>
      </c>
      <c r="AM237">
        <v>0</v>
      </c>
      <c r="AN237">
        <v>0</v>
      </c>
      <c r="AO237">
        <v>0</v>
      </c>
      <c r="AP237">
        <v>0</v>
      </c>
      <c r="AQ237">
        <v>0</v>
      </c>
      <c r="AR237">
        <v>0</v>
      </c>
      <c r="AS237">
        <v>0</v>
      </c>
      <c r="AT237">
        <v>31</v>
      </c>
      <c r="AU237">
        <v>31</v>
      </c>
      <c r="AV237">
        <v>0</v>
      </c>
      <c r="AW237">
        <v>0</v>
      </c>
      <c r="AX237">
        <v>50</v>
      </c>
      <c r="AY237">
        <v>50</v>
      </c>
      <c r="AZ237">
        <v>0</v>
      </c>
      <c r="BA237">
        <v>0</v>
      </c>
      <c r="BB237">
        <v>0</v>
      </c>
      <c r="BC237">
        <v>0</v>
      </c>
      <c r="BD237">
        <v>0</v>
      </c>
      <c r="BE237">
        <v>0</v>
      </c>
    </row>
    <row r="238" spans="1:58">
      <c r="A238" t="s">
        <v>16974</v>
      </c>
      <c r="B238" t="s">
        <v>17096</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row>
    <row r="239" spans="1:58">
      <c r="A239" t="s">
        <v>16974</v>
      </c>
      <c r="B239" t="s">
        <v>17336</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row>
    <row r="240" spans="1:58">
      <c r="A240" t="s">
        <v>16974</v>
      </c>
      <c r="B240" t="s">
        <v>17308</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row>
    <row r="241" spans="1:57">
      <c r="A241" t="s">
        <v>16974</v>
      </c>
      <c r="B241" t="s">
        <v>17121</v>
      </c>
      <c r="C241">
        <v>0</v>
      </c>
      <c r="D241">
        <v>2</v>
      </c>
      <c r="E241">
        <v>0</v>
      </c>
      <c r="F241">
        <v>0</v>
      </c>
      <c r="G241">
        <v>0</v>
      </c>
      <c r="H241">
        <v>0</v>
      </c>
      <c r="I241">
        <v>0</v>
      </c>
      <c r="J241">
        <v>2</v>
      </c>
      <c r="K241">
        <v>14</v>
      </c>
      <c r="L241">
        <v>1</v>
      </c>
      <c r="M241">
        <v>0</v>
      </c>
      <c r="N241">
        <v>0</v>
      </c>
      <c r="O241">
        <v>1</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14</v>
      </c>
      <c r="AU241">
        <v>0</v>
      </c>
      <c r="AV241">
        <v>14</v>
      </c>
      <c r="AW241">
        <v>0</v>
      </c>
      <c r="AX241">
        <v>0</v>
      </c>
      <c r="AY241">
        <v>0</v>
      </c>
      <c r="AZ241">
        <v>0</v>
      </c>
      <c r="BA241">
        <v>0</v>
      </c>
      <c r="BB241">
        <v>0</v>
      </c>
      <c r="BC241">
        <v>0</v>
      </c>
      <c r="BD241">
        <v>0</v>
      </c>
      <c r="BE241">
        <v>0</v>
      </c>
    </row>
    <row r="242" spans="1:57">
      <c r="A242" t="s">
        <v>16974</v>
      </c>
      <c r="B242" t="s">
        <v>17122</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row>
    <row r="243" spans="1:57">
      <c r="A243" t="s">
        <v>16974</v>
      </c>
      <c r="B243" t="s">
        <v>19986</v>
      </c>
      <c r="C243">
        <v>0</v>
      </c>
      <c r="D243">
        <v>1</v>
      </c>
      <c r="E243">
        <v>0</v>
      </c>
      <c r="F243">
        <v>0</v>
      </c>
      <c r="G243">
        <v>0</v>
      </c>
      <c r="H243">
        <v>0</v>
      </c>
      <c r="I243">
        <v>0</v>
      </c>
      <c r="J243">
        <v>1</v>
      </c>
      <c r="K243">
        <v>1</v>
      </c>
      <c r="L243">
        <v>1</v>
      </c>
      <c r="M243">
        <v>0</v>
      </c>
      <c r="N243">
        <v>0</v>
      </c>
      <c r="O243">
        <v>0</v>
      </c>
      <c r="P243">
        <v>0</v>
      </c>
      <c r="Q243">
        <v>0</v>
      </c>
      <c r="R243">
        <v>0</v>
      </c>
      <c r="S243">
        <v>2</v>
      </c>
      <c r="T243">
        <v>0</v>
      </c>
      <c r="U243">
        <v>0</v>
      </c>
      <c r="V243">
        <v>2</v>
      </c>
      <c r="W243">
        <v>20</v>
      </c>
      <c r="X243">
        <v>0</v>
      </c>
      <c r="Y243">
        <v>1</v>
      </c>
      <c r="Z243">
        <v>0</v>
      </c>
      <c r="AA243">
        <v>0</v>
      </c>
      <c r="AB243">
        <v>0</v>
      </c>
      <c r="AC243">
        <v>0</v>
      </c>
      <c r="AD243">
        <v>0</v>
      </c>
      <c r="AE243">
        <v>0</v>
      </c>
      <c r="AF243">
        <v>0</v>
      </c>
      <c r="AG243">
        <v>20</v>
      </c>
      <c r="AH243">
        <v>20</v>
      </c>
      <c r="AI243">
        <v>0</v>
      </c>
      <c r="AJ243">
        <v>0</v>
      </c>
      <c r="AK243">
        <v>0</v>
      </c>
      <c r="AL243">
        <v>0</v>
      </c>
      <c r="AM243">
        <v>0</v>
      </c>
      <c r="AN243">
        <v>0</v>
      </c>
      <c r="AO243">
        <v>0</v>
      </c>
      <c r="AP243">
        <v>0</v>
      </c>
      <c r="AQ243">
        <v>0</v>
      </c>
      <c r="AR243">
        <v>0</v>
      </c>
      <c r="AS243">
        <v>0</v>
      </c>
      <c r="AT243">
        <v>1</v>
      </c>
      <c r="AU243">
        <v>0</v>
      </c>
      <c r="AV243">
        <v>1</v>
      </c>
      <c r="AW243">
        <v>0</v>
      </c>
      <c r="AX243">
        <v>2</v>
      </c>
      <c r="AY243">
        <v>0</v>
      </c>
      <c r="AZ243">
        <v>2</v>
      </c>
      <c r="BA243">
        <v>0</v>
      </c>
      <c r="BB243">
        <v>0</v>
      </c>
      <c r="BC243">
        <v>0</v>
      </c>
      <c r="BD243">
        <v>0</v>
      </c>
      <c r="BE243">
        <v>0</v>
      </c>
    </row>
    <row r="244" spans="1:57">
      <c r="A244" t="s">
        <v>16974</v>
      </c>
      <c r="B244" t="s">
        <v>17125</v>
      </c>
      <c r="C244">
        <v>0</v>
      </c>
      <c r="D244">
        <v>31</v>
      </c>
      <c r="E244">
        <v>0</v>
      </c>
      <c r="F244">
        <v>19</v>
      </c>
      <c r="G244">
        <v>0</v>
      </c>
      <c r="H244">
        <v>0</v>
      </c>
      <c r="I244">
        <v>0</v>
      </c>
      <c r="J244">
        <v>31</v>
      </c>
      <c r="K244">
        <v>370</v>
      </c>
      <c r="L244">
        <v>31</v>
      </c>
      <c r="M244">
        <v>0</v>
      </c>
      <c r="N244">
        <v>0</v>
      </c>
      <c r="O244">
        <v>0</v>
      </c>
      <c r="P244">
        <v>0</v>
      </c>
      <c r="Q244">
        <v>0</v>
      </c>
      <c r="R244">
        <v>0</v>
      </c>
      <c r="S244">
        <v>86.5</v>
      </c>
      <c r="T244">
        <v>0</v>
      </c>
      <c r="U244">
        <v>0</v>
      </c>
      <c r="V244">
        <v>86.5</v>
      </c>
      <c r="W244">
        <v>865</v>
      </c>
      <c r="X244">
        <v>0</v>
      </c>
      <c r="Y244">
        <v>31</v>
      </c>
      <c r="Z244">
        <v>0</v>
      </c>
      <c r="AA244">
        <v>0</v>
      </c>
      <c r="AB244">
        <v>125</v>
      </c>
      <c r="AC244">
        <v>0</v>
      </c>
      <c r="AD244">
        <v>0</v>
      </c>
      <c r="AE244">
        <v>0</v>
      </c>
      <c r="AF244">
        <v>125</v>
      </c>
      <c r="AG244">
        <v>865</v>
      </c>
      <c r="AH244">
        <v>865</v>
      </c>
      <c r="AI244">
        <v>0</v>
      </c>
      <c r="AJ244">
        <v>0</v>
      </c>
      <c r="AK244">
        <v>0</v>
      </c>
      <c r="AL244">
        <v>0</v>
      </c>
      <c r="AM244">
        <v>0</v>
      </c>
      <c r="AN244">
        <v>0</v>
      </c>
      <c r="AO244">
        <v>0</v>
      </c>
      <c r="AP244">
        <v>0</v>
      </c>
      <c r="AQ244">
        <v>0</v>
      </c>
      <c r="AR244">
        <v>0</v>
      </c>
      <c r="AS244">
        <v>0</v>
      </c>
      <c r="AT244">
        <v>370</v>
      </c>
      <c r="AU244">
        <v>0</v>
      </c>
      <c r="AV244">
        <v>370</v>
      </c>
      <c r="AW244">
        <v>0</v>
      </c>
      <c r="AX244">
        <v>86.5</v>
      </c>
      <c r="AY244">
        <v>0</v>
      </c>
      <c r="AZ244">
        <v>86.5</v>
      </c>
      <c r="BA244">
        <v>0</v>
      </c>
      <c r="BB244">
        <v>0</v>
      </c>
      <c r="BC244">
        <v>0</v>
      </c>
      <c r="BD244">
        <v>0</v>
      </c>
      <c r="BE244">
        <v>0</v>
      </c>
    </row>
    <row r="245" spans="1:57">
      <c r="A245" t="s">
        <v>16974</v>
      </c>
      <c r="B245" t="s">
        <v>17126</v>
      </c>
      <c r="C245">
        <v>0</v>
      </c>
      <c r="D245">
        <v>1</v>
      </c>
      <c r="E245">
        <v>1</v>
      </c>
      <c r="F245">
        <v>1</v>
      </c>
      <c r="G245">
        <v>0</v>
      </c>
      <c r="H245">
        <v>0</v>
      </c>
      <c r="I245">
        <v>0</v>
      </c>
      <c r="J245">
        <v>1</v>
      </c>
      <c r="K245">
        <v>7</v>
      </c>
      <c r="L245">
        <v>1</v>
      </c>
      <c r="M245">
        <v>0</v>
      </c>
      <c r="N245">
        <v>0</v>
      </c>
      <c r="O245">
        <v>0</v>
      </c>
      <c r="P245">
        <v>0</v>
      </c>
      <c r="Q245">
        <v>0</v>
      </c>
      <c r="R245">
        <v>0</v>
      </c>
      <c r="S245">
        <v>1</v>
      </c>
      <c r="T245">
        <v>0</v>
      </c>
      <c r="U245">
        <v>0</v>
      </c>
      <c r="V245">
        <v>1</v>
      </c>
      <c r="W245">
        <v>10</v>
      </c>
      <c r="X245">
        <v>0</v>
      </c>
      <c r="Y245">
        <v>0</v>
      </c>
      <c r="Z245">
        <v>1</v>
      </c>
      <c r="AA245">
        <v>0</v>
      </c>
      <c r="AB245">
        <v>0</v>
      </c>
      <c r="AC245">
        <v>0</v>
      </c>
      <c r="AD245">
        <v>0</v>
      </c>
      <c r="AE245">
        <v>0</v>
      </c>
      <c r="AF245">
        <v>0</v>
      </c>
      <c r="AG245">
        <v>10</v>
      </c>
      <c r="AH245">
        <v>10</v>
      </c>
      <c r="AI245">
        <v>0</v>
      </c>
      <c r="AJ245">
        <v>0</v>
      </c>
      <c r="AK245">
        <v>0</v>
      </c>
      <c r="AL245">
        <v>0</v>
      </c>
      <c r="AM245">
        <v>0</v>
      </c>
      <c r="AN245">
        <v>0</v>
      </c>
      <c r="AO245">
        <v>0</v>
      </c>
      <c r="AP245">
        <v>0</v>
      </c>
      <c r="AQ245">
        <v>0</v>
      </c>
      <c r="AR245">
        <v>0</v>
      </c>
      <c r="AS245">
        <v>0</v>
      </c>
      <c r="AT245">
        <v>7</v>
      </c>
      <c r="AU245">
        <v>0</v>
      </c>
      <c r="AV245">
        <v>7</v>
      </c>
      <c r="AW245">
        <v>0</v>
      </c>
      <c r="AX245">
        <v>1</v>
      </c>
      <c r="AY245">
        <v>0</v>
      </c>
      <c r="AZ245">
        <v>1</v>
      </c>
      <c r="BA245">
        <v>0</v>
      </c>
      <c r="BB245">
        <v>0</v>
      </c>
      <c r="BC245">
        <v>0</v>
      </c>
      <c r="BD245">
        <v>0</v>
      </c>
      <c r="BE245">
        <v>0</v>
      </c>
    </row>
    <row r="246" spans="1:57">
      <c r="A246" t="s">
        <v>16974</v>
      </c>
      <c r="B246" t="s">
        <v>18837</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row>
    <row r="247" spans="1:57">
      <c r="A247" t="s">
        <v>16974</v>
      </c>
      <c r="B247" t="s">
        <v>17127</v>
      </c>
      <c r="C247">
        <v>0</v>
      </c>
      <c r="D247">
        <v>80</v>
      </c>
      <c r="E247">
        <v>0</v>
      </c>
      <c r="F247">
        <v>58</v>
      </c>
      <c r="G247">
        <v>0</v>
      </c>
      <c r="H247">
        <v>0</v>
      </c>
      <c r="I247">
        <v>0</v>
      </c>
      <c r="J247">
        <v>80</v>
      </c>
      <c r="K247">
        <v>543</v>
      </c>
      <c r="L247">
        <v>80</v>
      </c>
      <c r="M247">
        <v>0</v>
      </c>
      <c r="N247">
        <v>0</v>
      </c>
      <c r="O247">
        <v>0</v>
      </c>
      <c r="P247">
        <v>0</v>
      </c>
      <c r="Q247">
        <v>0</v>
      </c>
      <c r="R247">
        <v>0</v>
      </c>
      <c r="S247">
        <v>65</v>
      </c>
      <c r="T247">
        <v>70.25</v>
      </c>
      <c r="U247">
        <v>0</v>
      </c>
      <c r="V247">
        <v>135.25</v>
      </c>
      <c r="W247">
        <v>2055</v>
      </c>
      <c r="X247">
        <v>0</v>
      </c>
      <c r="Y247">
        <v>70</v>
      </c>
      <c r="Z247">
        <v>0</v>
      </c>
      <c r="AA247">
        <v>0</v>
      </c>
      <c r="AB247">
        <v>1685</v>
      </c>
      <c r="AC247">
        <v>0</v>
      </c>
      <c r="AD247">
        <v>0</v>
      </c>
      <c r="AE247">
        <v>0</v>
      </c>
      <c r="AF247">
        <v>1685</v>
      </c>
      <c r="AG247">
        <v>2055</v>
      </c>
      <c r="AH247">
        <v>2055</v>
      </c>
      <c r="AI247">
        <v>0</v>
      </c>
      <c r="AJ247">
        <v>0</v>
      </c>
      <c r="AK247">
        <v>0</v>
      </c>
      <c r="AL247">
        <v>0</v>
      </c>
      <c r="AM247">
        <v>0</v>
      </c>
      <c r="AN247">
        <v>0</v>
      </c>
      <c r="AO247">
        <v>0</v>
      </c>
      <c r="AP247">
        <v>0</v>
      </c>
      <c r="AQ247">
        <v>0</v>
      </c>
      <c r="AR247">
        <v>0</v>
      </c>
      <c r="AS247">
        <v>0</v>
      </c>
      <c r="AT247">
        <v>543</v>
      </c>
      <c r="AU247">
        <v>0</v>
      </c>
      <c r="AV247">
        <v>543</v>
      </c>
      <c r="AW247">
        <v>0</v>
      </c>
      <c r="AX247">
        <v>65</v>
      </c>
      <c r="AY247">
        <v>0</v>
      </c>
      <c r="AZ247">
        <v>65</v>
      </c>
      <c r="BA247">
        <v>0</v>
      </c>
      <c r="BB247">
        <v>70.25</v>
      </c>
      <c r="BC247">
        <v>0</v>
      </c>
      <c r="BD247">
        <v>70.25</v>
      </c>
      <c r="BE247">
        <v>0</v>
      </c>
    </row>
    <row r="248" spans="1:57">
      <c r="A248" t="s">
        <v>16974</v>
      </c>
      <c r="B248" t="s">
        <v>17128</v>
      </c>
      <c r="C248">
        <v>0</v>
      </c>
      <c r="D248">
        <v>79</v>
      </c>
      <c r="E248">
        <v>79</v>
      </c>
      <c r="F248">
        <v>55</v>
      </c>
      <c r="G248">
        <v>0</v>
      </c>
      <c r="H248">
        <v>0</v>
      </c>
      <c r="I248">
        <v>0</v>
      </c>
      <c r="J248">
        <v>79</v>
      </c>
      <c r="K248">
        <v>1096</v>
      </c>
      <c r="L248">
        <v>79</v>
      </c>
      <c r="M248">
        <v>0</v>
      </c>
      <c r="N248">
        <v>0</v>
      </c>
      <c r="O248">
        <v>0</v>
      </c>
      <c r="P248">
        <v>0</v>
      </c>
      <c r="Q248">
        <v>0</v>
      </c>
      <c r="R248">
        <v>0</v>
      </c>
      <c r="S248">
        <v>22</v>
      </c>
      <c r="T248">
        <v>0</v>
      </c>
      <c r="U248">
        <v>0</v>
      </c>
      <c r="V248">
        <v>22</v>
      </c>
      <c r="W248">
        <v>220</v>
      </c>
      <c r="X248">
        <v>0</v>
      </c>
      <c r="Y248">
        <v>79</v>
      </c>
      <c r="Z248">
        <v>0</v>
      </c>
      <c r="AA248">
        <v>0</v>
      </c>
      <c r="AB248">
        <v>0</v>
      </c>
      <c r="AC248">
        <v>0</v>
      </c>
      <c r="AD248">
        <v>0</v>
      </c>
      <c r="AE248">
        <v>0</v>
      </c>
      <c r="AF248">
        <v>0</v>
      </c>
      <c r="AG248">
        <v>217.5</v>
      </c>
      <c r="AH248">
        <v>217.5</v>
      </c>
      <c r="AI248">
        <v>0</v>
      </c>
      <c r="AJ248">
        <v>0</v>
      </c>
      <c r="AK248">
        <v>0</v>
      </c>
      <c r="AL248">
        <v>0</v>
      </c>
      <c r="AM248">
        <v>0</v>
      </c>
      <c r="AN248">
        <v>0</v>
      </c>
      <c r="AO248">
        <v>0</v>
      </c>
      <c r="AP248">
        <v>0</v>
      </c>
      <c r="AQ248">
        <v>0</v>
      </c>
      <c r="AR248">
        <v>0</v>
      </c>
      <c r="AS248">
        <v>0</v>
      </c>
      <c r="AT248">
        <v>1096</v>
      </c>
      <c r="AU248">
        <v>0</v>
      </c>
      <c r="AV248">
        <v>1084</v>
      </c>
      <c r="AW248">
        <v>0</v>
      </c>
      <c r="AX248">
        <v>22</v>
      </c>
      <c r="AY248">
        <v>0</v>
      </c>
      <c r="AZ248">
        <v>21.75</v>
      </c>
      <c r="BA248">
        <v>0</v>
      </c>
      <c r="BB248">
        <v>0</v>
      </c>
      <c r="BC248">
        <v>0</v>
      </c>
      <c r="BD248">
        <v>0</v>
      </c>
      <c r="BE248">
        <v>0</v>
      </c>
    </row>
    <row r="249" spans="1:57">
      <c r="A249" t="s">
        <v>16974</v>
      </c>
      <c r="B249" t="s">
        <v>21079</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row>
    <row r="250" spans="1:57">
      <c r="A250" t="s">
        <v>16974</v>
      </c>
      <c r="B250" t="s">
        <v>17201</v>
      </c>
      <c r="C250">
        <v>0</v>
      </c>
      <c r="D250">
        <v>826</v>
      </c>
      <c r="E250">
        <v>784</v>
      </c>
      <c r="F250">
        <v>629</v>
      </c>
      <c r="G250">
        <v>0</v>
      </c>
      <c r="H250">
        <v>0</v>
      </c>
      <c r="I250">
        <v>0</v>
      </c>
      <c r="J250">
        <v>806</v>
      </c>
      <c r="K250">
        <v>8275</v>
      </c>
      <c r="L250">
        <v>325</v>
      </c>
      <c r="M250">
        <v>0</v>
      </c>
      <c r="N250">
        <v>7</v>
      </c>
      <c r="O250">
        <v>472</v>
      </c>
      <c r="P250">
        <v>0</v>
      </c>
      <c r="Q250">
        <v>2</v>
      </c>
      <c r="R250">
        <v>0</v>
      </c>
      <c r="S250">
        <v>206.00800000000001</v>
      </c>
      <c r="T250">
        <v>88.001999999999995</v>
      </c>
      <c r="U250">
        <v>0</v>
      </c>
      <c r="V250">
        <v>294.01</v>
      </c>
      <c r="W250">
        <v>3820.12</v>
      </c>
      <c r="X250">
        <v>0</v>
      </c>
      <c r="Y250">
        <v>806</v>
      </c>
      <c r="Z250">
        <v>0</v>
      </c>
      <c r="AA250">
        <v>0</v>
      </c>
      <c r="AB250">
        <v>20</v>
      </c>
      <c r="AC250">
        <v>1</v>
      </c>
      <c r="AD250">
        <v>1</v>
      </c>
      <c r="AE250">
        <v>0</v>
      </c>
      <c r="AF250">
        <v>21</v>
      </c>
      <c r="AG250">
        <v>3821.12</v>
      </c>
      <c r="AH250">
        <v>3821.12</v>
      </c>
      <c r="AI250">
        <v>0</v>
      </c>
      <c r="AJ250">
        <v>0</v>
      </c>
      <c r="AK250">
        <v>0</v>
      </c>
      <c r="AL250">
        <v>0</v>
      </c>
      <c r="AM250">
        <v>0</v>
      </c>
      <c r="AN250">
        <v>0</v>
      </c>
      <c r="AO250">
        <v>0</v>
      </c>
      <c r="AP250">
        <v>0</v>
      </c>
      <c r="AQ250">
        <v>0</v>
      </c>
      <c r="AR250">
        <v>0</v>
      </c>
      <c r="AS250">
        <v>0</v>
      </c>
      <c r="AT250">
        <v>8275</v>
      </c>
      <c r="AU250">
        <v>0</v>
      </c>
      <c r="AV250">
        <v>8275</v>
      </c>
      <c r="AW250">
        <v>0</v>
      </c>
      <c r="AX250">
        <v>206.00800000000001</v>
      </c>
      <c r="AY250">
        <v>0</v>
      </c>
      <c r="AZ250">
        <v>206.00800000000001</v>
      </c>
      <c r="BA250">
        <v>0</v>
      </c>
      <c r="BB250">
        <v>88.001999999999995</v>
      </c>
      <c r="BC250">
        <v>0</v>
      </c>
      <c r="BD250">
        <v>88.001999999999995</v>
      </c>
      <c r="BE250">
        <v>0</v>
      </c>
    </row>
    <row r="251" spans="1:57">
      <c r="A251" t="s">
        <v>16974</v>
      </c>
      <c r="B251" t="s">
        <v>17201</v>
      </c>
      <c r="C251">
        <v>0</v>
      </c>
      <c r="D251">
        <v>1000</v>
      </c>
      <c r="E251">
        <v>889</v>
      </c>
      <c r="F251">
        <v>751</v>
      </c>
      <c r="G251">
        <v>0</v>
      </c>
      <c r="H251">
        <v>0</v>
      </c>
      <c r="I251">
        <v>0</v>
      </c>
      <c r="J251">
        <v>1000</v>
      </c>
      <c r="K251">
        <v>7473</v>
      </c>
      <c r="L251">
        <v>217</v>
      </c>
      <c r="M251">
        <v>0</v>
      </c>
      <c r="N251">
        <v>8</v>
      </c>
      <c r="O251">
        <v>772</v>
      </c>
      <c r="P251">
        <v>0</v>
      </c>
      <c r="Q251">
        <v>3</v>
      </c>
      <c r="R251">
        <v>0</v>
      </c>
      <c r="S251">
        <v>255.5</v>
      </c>
      <c r="T251">
        <v>62.503999999999998</v>
      </c>
      <c r="U251">
        <v>0</v>
      </c>
      <c r="V251">
        <v>318.00400000000002</v>
      </c>
      <c r="W251">
        <v>3805.08</v>
      </c>
      <c r="X251">
        <v>0</v>
      </c>
      <c r="Y251">
        <v>1000</v>
      </c>
      <c r="Z251">
        <v>0</v>
      </c>
      <c r="AA251">
        <v>0</v>
      </c>
      <c r="AB251">
        <v>85</v>
      </c>
      <c r="AC251">
        <v>22.6</v>
      </c>
      <c r="AD251">
        <v>4.5999999999999996</v>
      </c>
      <c r="AE251">
        <v>1</v>
      </c>
      <c r="AF251">
        <v>89.6</v>
      </c>
      <c r="AG251">
        <v>3827.68</v>
      </c>
      <c r="AH251">
        <v>3826.68</v>
      </c>
      <c r="AI251">
        <v>0</v>
      </c>
      <c r="AJ251">
        <v>0</v>
      </c>
      <c r="AK251">
        <v>0</v>
      </c>
      <c r="AL251">
        <v>0</v>
      </c>
      <c r="AM251">
        <v>1</v>
      </c>
      <c r="AN251">
        <v>0</v>
      </c>
      <c r="AO251">
        <v>0</v>
      </c>
      <c r="AP251">
        <v>0</v>
      </c>
      <c r="AQ251">
        <v>0</v>
      </c>
      <c r="AR251">
        <v>0</v>
      </c>
      <c r="AS251">
        <v>0</v>
      </c>
      <c r="AT251">
        <v>7473</v>
      </c>
      <c r="AU251">
        <v>0</v>
      </c>
      <c r="AV251">
        <v>7473</v>
      </c>
      <c r="AW251">
        <v>0</v>
      </c>
      <c r="AX251">
        <v>255.5</v>
      </c>
      <c r="AY251">
        <v>0</v>
      </c>
      <c r="AZ251">
        <v>255.5</v>
      </c>
      <c r="BA251">
        <v>0</v>
      </c>
      <c r="BB251">
        <v>62.503999999999998</v>
      </c>
      <c r="BC251">
        <v>0</v>
      </c>
      <c r="BD251">
        <v>62.503999999999998</v>
      </c>
      <c r="BE251">
        <v>0</v>
      </c>
    </row>
    <row r="252" spans="1:57">
      <c r="A252" t="s">
        <v>16974</v>
      </c>
      <c r="B252" t="s">
        <v>17201</v>
      </c>
      <c r="C252">
        <v>0</v>
      </c>
      <c r="D252">
        <v>997</v>
      </c>
      <c r="E252">
        <v>802</v>
      </c>
      <c r="F252">
        <v>376</v>
      </c>
      <c r="G252">
        <v>1</v>
      </c>
      <c r="H252">
        <v>41</v>
      </c>
      <c r="I252">
        <v>0</v>
      </c>
      <c r="J252">
        <v>997</v>
      </c>
      <c r="K252">
        <v>10442</v>
      </c>
      <c r="L252">
        <v>204</v>
      </c>
      <c r="M252">
        <v>0</v>
      </c>
      <c r="N252">
        <v>3</v>
      </c>
      <c r="O252">
        <v>789</v>
      </c>
      <c r="P252">
        <v>0</v>
      </c>
      <c r="Q252">
        <v>0</v>
      </c>
      <c r="R252">
        <v>0</v>
      </c>
      <c r="S252">
        <v>252.25</v>
      </c>
      <c r="T252">
        <v>54.75</v>
      </c>
      <c r="U252">
        <v>0</v>
      </c>
      <c r="V252">
        <v>307</v>
      </c>
      <c r="W252">
        <v>3617.5</v>
      </c>
      <c r="X252">
        <v>0</v>
      </c>
      <c r="Y252">
        <v>995</v>
      </c>
      <c r="Z252">
        <v>0</v>
      </c>
      <c r="AA252">
        <v>0</v>
      </c>
      <c r="AB252">
        <v>10</v>
      </c>
      <c r="AC252">
        <v>13</v>
      </c>
      <c r="AD252">
        <v>1</v>
      </c>
      <c r="AE252">
        <v>11</v>
      </c>
      <c r="AF252">
        <v>11</v>
      </c>
      <c r="AG252">
        <v>3630.5</v>
      </c>
      <c r="AH252">
        <v>3619.5</v>
      </c>
      <c r="AI252">
        <v>0</v>
      </c>
      <c r="AJ252">
        <v>0</v>
      </c>
      <c r="AK252">
        <v>292.5</v>
      </c>
      <c r="AL252">
        <v>292.5</v>
      </c>
      <c r="AM252">
        <v>1</v>
      </c>
      <c r="AN252">
        <v>1</v>
      </c>
      <c r="AO252">
        <v>0</v>
      </c>
      <c r="AP252">
        <v>0</v>
      </c>
      <c r="AQ252">
        <v>0</v>
      </c>
      <c r="AR252">
        <v>0</v>
      </c>
      <c r="AS252">
        <v>0</v>
      </c>
      <c r="AT252">
        <v>10442</v>
      </c>
      <c r="AU252">
        <v>697</v>
      </c>
      <c r="AV252">
        <v>9745</v>
      </c>
      <c r="AW252">
        <v>0</v>
      </c>
      <c r="AX252">
        <v>252.25</v>
      </c>
      <c r="AY252">
        <v>10.25</v>
      </c>
      <c r="AZ252">
        <v>242</v>
      </c>
      <c r="BA252">
        <v>0</v>
      </c>
      <c r="BB252">
        <v>54.75</v>
      </c>
      <c r="BC252">
        <v>9.5</v>
      </c>
      <c r="BD252">
        <v>45.25</v>
      </c>
      <c r="BE252">
        <v>0</v>
      </c>
    </row>
    <row r="253" spans="1:57">
      <c r="A253" t="s">
        <v>16974</v>
      </c>
      <c r="B253" t="s">
        <v>17201</v>
      </c>
      <c r="C253">
        <v>0</v>
      </c>
      <c r="D253">
        <v>1000</v>
      </c>
      <c r="E253">
        <v>822</v>
      </c>
      <c r="F253">
        <v>282</v>
      </c>
      <c r="G253">
        <v>3</v>
      </c>
      <c r="H253">
        <v>1</v>
      </c>
      <c r="I253">
        <v>0</v>
      </c>
      <c r="J253">
        <v>998</v>
      </c>
      <c r="K253">
        <v>14371</v>
      </c>
      <c r="L253">
        <v>191</v>
      </c>
      <c r="M253">
        <v>1</v>
      </c>
      <c r="N253">
        <v>5</v>
      </c>
      <c r="O253">
        <v>801</v>
      </c>
      <c r="P253">
        <v>0</v>
      </c>
      <c r="Q253">
        <v>0</v>
      </c>
      <c r="R253">
        <v>0</v>
      </c>
      <c r="S253">
        <v>252.00200000000001</v>
      </c>
      <c r="T253">
        <v>49</v>
      </c>
      <c r="U253">
        <v>0</v>
      </c>
      <c r="V253" t="e">
        <v>#VALUE!</v>
      </c>
      <c r="W253" t="e">
        <v>#VALUE!</v>
      </c>
      <c r="X253">
        <v>0</v>
      </c>
      <c r="Y253">
        <v>997</v>
      </c>
      <c r="Z253">
        <v>0</v>
      </c>
      <c r="AA253">
        <v>0</v>
      </c>
      <c r="AB253">
        <v>0</v>
      </c>
      <c r="AC253">
        <v>0</v>
      </c>
      <c r="AD253">
        <v>0</v>
      </c>
      <c r="AE253">
        <v>0</v>
      </c>
      <c r="AF253">
        <v>0</v>
      </c>
      <c r="AG253">
        <v>3500.02</v>
      </c>
      <c r="AH253">
        <v>3500.02</v>
      </c>
      <c r="AI253">
        <v>0</v>
      </c>
      <c r="AJ253">
        <v>0</v>
      </c>
      <c r="AK253">
        <v>7.5</v>
      </c>
      <c r="AL253">
        <v>7.5</v>
      </c>
      <c r="AM253">
        <v>0</v>
      </c>
      <c r="AN253">
        <v>0</v>
      </c>
      <c r="AO253">
        <v>0</v>
      </c>
      <c r="AP253">
        <v>0</v>
      </c>
      <c r="AQ253">
        <v>0</v>
      </c>
      <c r="AR253">
        <v>0</v>
      </c>
      <c r="AS253">
        <v>0</v>
      </c>
      <c r="AT253">
        <v>14371</v>
      </c>
      <c r="AU253">
        <v>54</v>
      </c>
      <c r="AV253">
        <v>14317</v>
      </c>
      <c r="AW253">
        <v>0</v>
      </c>
      <c r="AX253">
        <v>252.00200000000001</v>
      </c>
      <c r="AY253">
        <v>0.25</v>
      </c>
      <c r="AZ253">
        <v>251.75200000000001</v>
      </c>
      <c r="BA253">
        <v>0</v>
      </c>
      <c r="BB253">
        <v>49</v>
      </c>
      <c r="BC253">
        <v>0.25</v>
      </c>
      <c r="BD253">
        <v>48.75</v>
      </c>
      <c r="BE253">
        <v>0</v>
      </c>
    </row>
    <row r="254" spans="1:57">
      <c r="A254" t="s">
        <v>16974</v>
      </c>
      <c r="B254" t="s">
        <v>17201</v>
      </c>
      <c r="C254">
        <v>0</v>
      </c>
      <c r="D254">
        <v>137</v>
      </c>
      <c r="E254">
        <v>114</v>
      </c>
      <c r="F254">
        <v>40</v>
      </c>
      <c r="G254">
        <v>0</v>
      </c>
      <c r="H254">
        <v>0</v>
      </c>
      <c r="I254">
        <v>0</v>
      </c>
      <c r="J254">
        <v>136</v>
      </c>
      <c r="K254">
        <v>1617</v>
      </c>
      <c r="L254">
        <v>34</v>
      </c>
      <c r="M254">
        <v>0</v>
      </c>
      <c r="N254">
        <v>4</v>
      </c>
      <c r="O254">
        <v>98</v>
      </c>
      <c r="P254">
        <v>0</v>
      </c>
      <c r="Q254">
        <v>0</v>
      </c>
      <c r="R254">
        <v>0</v>
      </c>
      <c r="S254">
        <v>35.5</v>
      </c>
      <c r="T254">
        <v>10.5</v>
      </c>
      <c r="U254">
        <v>0</v>
      </c>
      <c r="V254">
        <v>46</v>
      </c>
      <c r="W254">
        <v>565</v>
      </c>
      <c r="X254">
        <v>0</v>
      </c>
      <c r="Y254">
        <v>136</v>
      </c>
      <c r="Z254">
        <v>0</v>
      </c>
      <c r="AA254">
        <v>0</v>
      </c>
      <c r="AB254">
        <v>0</v>
      </c>
      <c r="AC254">
        <v>1</v>
      </c>
      <c r="AD254">
        <v>1</v>
      </c>
      <c r="AE254">
        <v>0</v>
      </c>
      <c r="AF254">
        <v>1</v>
      </c>
      <c r="AG254">
        <v>566</v>
      </c>
      <c r="AH254">
        <v>566</v>
      </c>
      <c r="AI254">
        <v>0</v>
      </c>
      <c r="AJ254">
        <v>0</v>
      </c>
      <c r="AK254">
        <v>0</v>
      </c>
      <c r="AL254">
        <v>0</v>
      </c>
      <c r="AM254">
        <v>0</v>
      </c>
      <c r="AN254">
        <v>0</v>
      </c>
      <c r="AO254">
        <v>0</v>
      </c>
      <c r="AP254">
        <v>0</v>
      </c>
      <c r="AQ254">
        <v>0</v>
      </c>
      <c r="AR254">
        <v>0</v>
      </c>
      <c r="AS254">
        <v>0</v>
      </c>
      <c r="AT254">
        <v>1617</v>
      </c>
      <c r="AU254">
        <v>0</v>
      </c>
      <c r="AV254">
        <v>1617</v>
      </c>
      <c r="AW254">
        <v>0</v>
      </c>
      <c r="AX254">
        <v>35.5</v>
      </c>
      <c r="AY254">
        <v>0</v>
      </c>
      <c r="AZ254">
        <v>35.5</v>
      </c>
      <c r="BA254">
        <v>0</v>
      </c>
      <c r="BB254">
        <v>10.5</v>
      </c>
      <c r="BC254">
        <v>0</v>
      </c>
      <c r="BD254">
        <v>10.5</v>
      </c>
      <c r="BE254">
        <v>0</v>
      </c>
    </row>
    <row r="255" spans="1:57">
      <c r="A255" t="s">
        <v>16974</v>
      </c>
      <c r="B255" t="s">
        <v>17130</v>
      </c>
      <c r="C255">
        <v>0</v>
      </c>
      <c r="D255">
        <v>13</v>
      </c>
      <c r="E255">
        <v>0</v>
      </c>
      <c r="F255">
        <v>0</v>
      </c>
      <c r="G255">
        <v>0</v>
      </c>
      <c r="H255">
        <v>0</v>
      </c>
      <c r="I255">
        <v>0</v>
      </c>
      <c r="J255">
        <v>13</v>
      </c>
      <c r="K255">
        <v>103</v>
      </c>
      <c r="L255">
        <v>12</v>
      </c>
      <c r="M255">
        <v>0</v>
      </c>
      <c r="N255">
        <v>0</v>
      </c>
      <c r="O255">
        <v>1</v>
      </c>
      <c r="P255">
        <v>0</v>
      </c>
      <c r="Q255">
        <v>0</v>
      </c>
      <c r="R255">
        <v>0</v>
      </c>
      <c r="S255">
        <v>13</v>
      </c>
      <c r="T255">
        <v>0</v>
      </c>
      <c r="U255">
        <v>0</v>
      </c>
      <c r="V255">
        <v>13</v>
      </c>
      <c r="W255">
        <v>130</v>
      </c>
      <c r="X255">
        <v>0</v>
      </c>
      <c r="Y255">
        <v>11</v>
      </c>
      <c r="Z255">
        <v>0</v>
      </c>
      <c r="AA255">
        <v>0</v>
      </c>
      <c r="AB255">
        <v>0</v>
      </c>
      <c r="AC255">
        <v>0</v>
      </c>
      <c r="AD255">
        <v>0</v>
      </c>
      <c r="AE255">
        <v>0</v>
      </c>
      <c r="AF255">
        <v>0</v>
      </c>
      <c r="AG255">
        <v>130</v>
      </c>
      <c r="AH255">
        <v>130</v>
      </c>
      <c r="AI255">
        <v>0</v>
      </c>
      <c r="AJ255">
        <v>0</v>
      </c>
      <c r="AK255">
        <v>0</v>
      </c>
      <c r="AL255">
        <v>0</v>
      </c>
      <c r="AM255">
        <v>0</v>
      </c>
      <c r="AN255">
        <v>0</v>
      </c>
      <c r="AO255">
        <v>0</v>
      </c>
      <c r="AP255">
        <v>0</v>
      </c>
      <c r="AQ255">
        <v>0</v>
      </c>
      <c r="AR255">
        <v>0</v>
      </c>
      <c r="AS255">
        <v>0</v>
      </c>
      <c r="AT255">
        <v>103</v>
      </c>
      <c r="AU255">
        <v>0</v>
      </c>
      <c r="AV255">
        <v>103</v>
      </c>
      <c r="AW255">
        <v>0</v>
      </c>
      <c r="AX255">
        <v>13</v>
      </c>
      <c r="AY255">
        <v>0</v>
      </c>
      <c r="AZ255">
        <v>13</v>
      </c>
      <c r="BA255">
        <v>0</v>
      </c>
      <c r="BB255">
        <v>0</v>
      </c>
      <c r="BC255">
        <v>0</v>
      </c>
      <c r="BD255">
        <v>0</v>
      </c>
      <c r="BE255">
        <v>0</v>
      </c>
    </row>
    <row r="256" spans="1:57">
      <c r="A256" t="s">
        <v>16974</v>
      </c>
      <c r="B256" t="s">
        <v>17131</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row>
    <row r="257" spans="1:58">
      <c r="A257" t="s">
        <v>16974</v>
      </c>
      <c r="B257" t="s">
        <v>16975</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row>
    <row r="258" spans="1:58">
      <c r="A258" t="s">
        <v>16974</v>
      </c>
      <c r="B258" t="s">
        <v>17085</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row>
    <row r="259" spans="1:58">
      <c r="A259" t="s">
        <v>16974</v>
      </c>
      <c r="B259" t="s">
        <v>17132</v>
      </c>
      <c r="C259">
        <v>0</v>
      </c>
      <c r="D259">
        <v>116</v>
      </c>
      <c r="E259">
        <v>116</v>
      </c>
      <c r="F259">
        <v>115</v>
      </c>
      <c r="G259">
        <v>0</v>
      </c>
      <c r="H259">
        <v>0</v>
      </c>
      <c r="I259">
        <v>0</v>
      </c>
      <c r="J259">
        <v>116</v>
      </c>
      <c r="K259">
        <v>695</v>
      </c>
      <c r="L259">
        <v>116</v>
      </c>
      <c r="M259">
        <v>0</v>
      </c>
      <c r="N259">
        <v>0</v>
      </c>
      <c r="O259">
        <v>116</v>
      </c>
      <c r="P259">
        <v>0</v>
      </c>
      <c r="Q259">
        <v>0</v>
      </c>
      <c r="R259">
        <v>0</v>
      </c>
      <c r="S259">
        <v>0</v>
      </c>
      <c r="T259">
        <v>0</v>
      </c>
      <c r="U259">
        <v>0</v>
      </c>
      <c r="V259" t="e">
        <v>#VALUE!</v>
      </c>
      <c r="W259" t="e">
        <v>#VALUE!</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695</v>
      </c>
      <c r="AU259">
        <v>0</v>
      </c>
      <c r="AV259">
        <v>695</v>
      </c>
      <c r="AW259">
        <v>0</v>
      </c>
      <c r="AX259">
        <v>0</v>
      </c>
      <c r="AY259">
        <v>0</v>
      </c>
      <c r="AZ259">
        <v>0</v>
      </c>
      <c r="BA259">
        <v>0</v>
      </c>
      <c r="BB259">
        <v>0</v>
      </c>
      <c r="BC259">
        <v>0</v>
      </c>
      <c r="BD259">
        <v>0</v>
      </c>
      <c r="BE259">
        <v>0</v>
      </c>
    </row>
    <row r="260" spans="1:58">
      <c r="A260" t="s">
        <v>16974</v>
      </c>
      <c r="B260" t="s">
        <v>17132</v>
      </c>
      <c r="C260">
        <v>0</v>
      </c>
      <c r="D260">
        <v>65</v>
      </c>
      <c r="E260">
        <v>65</v>
      </c>
      <c r="F260">
        <v>65</v>
      </c>
      <c r="G260">
        <v>0</v>
      </c>
      <c r="H260">
        <v>0</v>
      </c>
      <c r="I260">
        <v>0</v>
      </c>
      <c r="J260">
        <v>65</v>
      </c>
      <c r="K260">
        <v>367</v>
      </c>
      <c r="L260">
        <v>33</v>
      </c>
      <c r="M260">
        <v>0</v>
      </c>
      <c r="N260">
        <v>0</v>
      </c>
      <c r="O260">
        <v>32</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367</v>
      </c>
      <c r="AU260">
        <v>0</v>
      </c>
      <c r="AV260">
        <v>367</v>
      </c>
      <c r="AW260">
        <v>0</v>
      </c>
      <c r="AX260">
        <v>0</v>
      </c>
      <c r="AY260">
        <v>0</v>
      </c>
      <c r="AZ260">
        <v>0</v>
      </c>
      <c r="BA260">
        <v>0</v>
      </c>
      <c r="BB260">
        <v>0</v>
      </c>
      <c r="BC260">
        <v>0</v>
      </c>
      <c r="BD260">
        <v>0</v>
      </c>
      <c r="BE260">
        <v>0</v>
      </c>
    </row>
    <row r="261" spans="1:58">
      <c r="A261" t="s">
        <v>16974</v>
      </c>
      <c r="B261" t="s">
        <v>17133</v>
      </c>
      <c r="C261">
        <v>0</v>
      </c>
      <c r="D261">
        <v>6</v>
      </c>
      <c r="E261">
        <v>6</v>
      </c>
      <c r="F261">
        <v>3</v>
      </c>
      <c r="G261">
        <v>3</v>
      </c>
      <c r="H261">
        <v>2</v>
      </c>
      <c r="I261">
        <v>0</v>
      </c>
      <c r="J261">
        <v>6</v>
      </c>
      <c r="K261">
        <v>60</v>
      </c>
      <c r="L261">
        <v>0</v>
      </c>
      <c r="M261">
        <v>1</v>
      </c>
      <c r="N261">
        <v>4</v>
      </c>
      <c r="O261">
        <v>1</v>
      </c>
      <c r="P261">
        <v>0</v>
      </c>
      <c r="Q261">
        <v>1</v>
      </c>
      <c r="R261">
        <v>0</v>
      </c>
      <c r="S261">
        <v>5</v>
      </c>
      <c r="T261">
        <v>3</v>
      </c>
      <c r="U261">
        <v>0</v>
      </c>
      <c r="V261">
        <v>8</v>
      </c>
      <c r="W261">
        <v>110</v>
      </c>
      <c r="X261">
        <v>0</v>
      </c>
      <c r="Y261">
        <v>3</v>
      </c>
      <c r="Z261">
        <v>0</v>
      </c>
      <c r="AA261">
        <v>0</v>
      </c>
      <c r="AB261">
        <v>40</v>
      </c>
      <c r="AC261">
        <v>76</v>
      </c>
      <c r="AD261">
        <v>0</v>
      </c>
      <c r="AE261">
        <v>106.75</v>
      </c>
      <c r="AF261">
        <v>40</v>
      </c>
      <c r="AG261">
        <v>186</v>
      </c>
      <c r="AH261">
        <v>79.25</v>
      </c>
      <c r="AI261">
        <v>0</v>
      </c>
      <c r="AJ261">
        <v>0</v>
      </c>
      <c r="AK261">
        <v>0</v>
      </c>
      <c r="AL261">
        <v>0</v>
      </c>
      <c r="AM261">
        <v>0</v>
      </c>
      <c r="AN261">
        <v>1</v>
      </c>
      <c r="AO261">
        <v>1</v>
      </c>
      <c r="AP261">
        <v>0</v>
      </c>
      <c r="AQ261">
        <v>0</v>
      </c>
      <c r="AR261">
        <v>0</v>
      </c>
      <c r="AS261">
        <v>0</v>
      </c>
      <c r="AT261">
        <v>60</v>
      </c>
      <c r="AU261">
        <v>14</v>
      </c>
      <c r="AV261">
        <v>46</v>
      </c>
      <c r="AW261">
        <v>0</v>
      </c>
      <c r="AX261">
        <v>5</v>
      </c>
      <c r="AY261">
        <v>0</v>
      </c>
      <c r="AZ261">
        <v>5</v>
      </c>
      <c r="BA261">
        <v>0</v>
      </c>
      <c r="BB261">
        <v>3</v>
      </c>
      <c r="BC261">
        <v>0</v>
      </c>
      <c r="BD261">
        <v>3</v>
      </c>
      <c r="BE261">
        <v>0</v>
      </c>
    </row>
    <row r="262" spans="1:58">
      <c r="A262" t="s">
        <v>16974</v>
      </c>
      <c r="B262" t="s">
        <v>17134</v>
      </c>
      <c r="C262">
        <v>0</v>
      </c>
      <c r="D262">
        <v>14</v>
      </c>
      <c r="E262">
        <v>14</v>
      </c>
      <c r="F262">
        <v>12</v>
      </c>
      <c r="G262">
        <v>2</v>
      </c>
      <c r="H262">
        <v>9</v>
      </c>
      <c r="I262">
        <v>3</v>
      </c>
      <c r="J262">
        <v>14</v>
      </c>
      <c r="K262">
        <v>186</v>
      </c>
      <c r="L262">
        <v>3</v>
      </c>
      <c r="M262">
        <v>10</v>
      </c>
      <c r="N262">
        <v>0</v>
      </c>
      <c r="O262">
        <v>0</v>
      </c>
      <c r="P262">
        <v>0</v>
      </c>
      <c r="Q262">
        <v>1</v>
      </c>
      <c r="R262">
        <v>0</v>
      </c>
      <c r="S262">
        <v>20.5</v>
      </c>
      <c r="T262">
        <v>20.75</v>
      </c>
      <c r="U262">
        <v>1.25</v>
      </c>
      <c r="V262">
        <v>42.5</v>
      </c>
      <c r="W262">
        <v>605</v>
      </c>
      <c r="X262">
        <v>0</v>
      </c>
      <c r="Y262">
        <v>2</v>
      </c>
      <c r="Z262">
        <v>1</v>
      </c>
      <c r="AA262">
        <v>0</v>
      </c>
      <c r="AB262">
        <v>520</v>
      </c>
      <c r="AC262">
        <v>32.5</v>
      </c>
      <c r="AD262">
        <v>32.5</v>
      </c>
      <c r="AE262">
        <v>0</v>
      </c>
      <c r="AF262">
        <v>552.5</v>
      </c>
      <c r="AG262">
        <v>662.5</v>
      </c>
      <c r="AH262">
        <v>662.5</v>
      </c>
      <c r="AI262">
        <v>0</v>
      </c>
      <c r="AJ262">
        <v>537.5</v>
      </c>
      <c r="AK262">
        <v>630</v>
      </c>
      <c r="AL262">
        <v>630</v>
      </c>
      <c r="AM262">
        <v>0</v>
      </c>
      <c r="AN262">
        <v>0</v>
      </c>
      <c r="AO262">
        <v>0</v>
      </c>
      <c r="AP262">
        <v>0</v>
      </c>
      <c r="AQ262">
        <v>0</v>
      </c>
      <c r="AR262">
        <v>0</v>
      </c>
      <c r="AS262">
        <v>0</v>
      </c>
      <c r="AT262">
        <v>186</v>
      </c>
      <c r="AU262">
        <v>133</v>
      </c>
      <c r="AV262">
        <v>53</v>
      </c>
      <c r="AW262">
        <v>0</v>
      </c>
      <c r="AX262">
        <v>24</v>
      </c>
      <c r="AY262">
        <v>18.75</v>
      </c>
      <c r="AZ262">
        <v>5.25</v>
      </c>
      <c r="BA262">
        <v>0</v>
      </c>
      <c r="BB262">
        <v>20.75</v>
      </c>
      <c r="BC262">
        <v>20.5</v>
      </c>
      <c r="BD262">
        <v>2.75</v>
      </c>
      <c r="BE262">
        <v>0</v>
      </c>
      <c r="BF262">
        <v>162</v>
      </c>
    </row>
    <row r="263" spans="1:58">
      <c r="A263" t="s">
        <v>16974</v>
      </c>
      <c r="B263" t="s">
        <v>17137</v>
      </c>
      <c r="C263">
        <v>73</v>
      </c>
      <c r="D263">
        <v>73</v>
      </c>
      <c r="E263">
        <v>0</v>
      </c>
      <c r="F263">
        <v>73</v>
      </c>
      <c r="G263">
        <v>0</v>
      </c>
      <c r="H263">
        <v>0</v>
      </c>
      <c r="I263">
        <v>0</v>
      </c>
      <c r="J263">
        <v>73</v>
      </c>
      <c r="K263">
        <v>230</v>
      </c>
      <c r="L263">
        <v>0</v>
      </c>
      <c r="M263">
        <v>0</v>
      </c>
      <c r="N263">
        <v>0</v>
      </c>
      <c r="O263">
        <v>0</v>
      </c>
      <c r="P263">
        <v>0</v>
      </c>
      <c r="Q263">
        <v>0</v>
      </c>
      <c r="R263">
        <v>0</v>
      </c>
      <c r="S263">
        <v>0</v>
      </c>
      <c r="T263">
        <v>0</v>
      </c>
      <c r="U263">
        <v>0</v>
      </c>
      <c r="V263">
        <v>0</v>
      </c>
      <c r="W263" t="e">
        <v>#REF!</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230</v>
      </c>
      <c r="AU263">
        <v>0</v>
      </c>
      <c r="AV263">
        <v>0</v>
      </c>
      <c r="AW263">
        <v>227</v>
      </c>
      <c r="AX263">
        <v>0</v>
      </c>
      <c r="AY263">
        <v>0</v>
      </c>
      <c r="AZ263">
        <v>0</v>
      </c>
      <c r="BA263">
        <v>0</v>
      </c>
      <c r="BB263">
        <v>0</v>
      </c>
      <c r="BC263">
        <v>0</v>
      </c>
      <c r="BD263">
        <v>0</v>
      </c>
      <c r="BE263">
        <v>0</v>
      </c>
    </row>
    <row r="264" spans="1:58">
      <c r="A264" t="s">
        <v>16974</v>
      </c>
      <c r="B264" t="s">
        <v>17138</v>
      </c>
      <c r="C264">
        <v>0</v>
      </c>
      <c r="D264">
        <v>6</v>
      </c>
      <c r="E264">
        <v>6</v>
      </c>
      <c r="F264">
        <v>6</v>
      </c>
      <c r="G264">
        <v>0</v>
      </c>
      <c r="H264">
        <v>0</v>
      </c>
      <c r="I264">
        <v>0</v>
      </c>
      <c r="J264">
        <v>6</v>
      </c>
      <c r="K264">
        <v>12</v>
      </c>
      <c r="L264">
        <v>6</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12</v>
      </c>
      <c r="AU264">
        <v>0</v>
      </c>
      <c r="AV264">
        <v>12</v>
      </c>
      <c r="AW264">
        <v>0</v>
      </c>
      <c r="AX264">
        <v>0</v>
      </c>
      <c r="AY264">
        <v>0</v>
      </c>
      <c r="AZ264">
        <v>0</v>
      </c>
      <c r="BA264">
        <v>0</v>
      </c>
      <c r="BB264">
        <v>0</v>
      </c>
      <c r="BC264">
        <v>0</v>
      </c>
      <c r="BD264">
        <v>0</v>
      </c>
      <c r="BE264">
        <v>0</v>
      </c>
    </row>
    <row r="265" spans="1:58">
      <c r="A265" t="s">
        <v>16974</v>
      </c>
      <c r="B265" t="s">
        <v>17314</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row>
    <row r="266" spans="1:58">
      <c r="A266" t="s">
        <v>16974</v>
      </c>
      <c r="B266" t="s">
        <v>17139</v>
      </c>
      <c r="C266">
        <v>0</v>
      </c>
      <c r="D266">
        <v>1</v>
      </c>
      <c r="E266">
        <v>1</v>
      </c>
      <c r="F266">
        <v>0</v>
      </c>
      <c r="G266">
        <v>1</v>
      </c>
      <c r="H266">
        <v>0</v>
      </c>
      <c r="I266">
        <v>1</v>
      </c>
      <c r="J266">
        <v>1</v>
      </c>
      <c r="K266">
        <v>38</v>
      </c>
      <c r="L266">
        <v>1</v>
      </c>
      <c r="M266">
        <v>0</v>
      </c>
      <c r="N266">
        <v>0</v>
      </c>
      <c r="O266">
        <v>0</v>
      </c>
      <c r="P266">
        <v>0</v>
      </c>
      <c r="Q266">
        <v>0</v>
      </c>
      <c r="R266">
        <v>0</v>
      </c>
      <c r="S266">
        <v>0.25</v>
      </c>
      <c r="T266">
        <v>0.25</v>
      </c>
      <c r="U266">
        <v>0</v>
      </c>
      <c r="V266">
        <v>0.5</v>
      </c>
      <c r="W266">
        <v>7.5</v>
      </c>
      <c r="X266">
        <v>0</v>
      </c>
      <c r="Y266">
        <v>0</v>
      </c>
      <c r="Z266">
        <v>1</v>
      </c>
      <c r="AA266">
        <v>0</v>
      </c>
      <c r="AB266">
        <v>0</v>
      </c>
      <c r="AC266">
        <v>0</v>
      </c>
      <c r="AD266">
        <v>0</v>
      </c>
      <c r="AE266">
        <v>0</v>
      </c>
      <c r="AF266">
        <v>0</v>
      </c>
      <c r="AG266">
        <v>7.5</v>
      </c>
      <c r="AH266">
        <v>7.5</v>
      </c>
      <c r="AI266">
        <v>0</v>
      </c>
      <c r="AJ266">
        <v>0</v>
      </c>
      <c r="AK266">
        <v>0</v>
      </c>
      <c r="AL266">
        <v>0</v>
      </c>
      <c r="AM266">
        <v>0</v>
      </c>
      <c r="AN266">
        <v>0</v>
      </c>
      <c r="AO266">
        <v>0</v>
      </c>
      <c r="AP266">
        <v>0</v>
      </c>
      <c r="AQ266">
        <v>0</v>
      </c>
      <c r="AR266">
        <v>0</v>
      </c>
      <c r="AS266">
        <v>0</v>
      </c>
      <c r="AT266">
        <v>38</v>
      </c>
      <c r="AU266">
        <v>0</v>
      </c>
      <c r="AV266">
        <v>38</v>
      </c>
      <c r="AW266">
        <v>0</v>
      </c>
      <c r="AX266">
        <v>0.25</v>
      </c>
      <c r="AY266">
        <v>0</v>
      </c>
      <c r="AZ266">
        <v>0.25</v>
      </c>
      <c r="BA266">
        <v>0</v>
      </c>
      <c r="BB266">
        <v>0.25</v>
      </c>
      <c r="BC266">
        <v>0</v>
      </c>
      <c r="BD266">
        <v>0.25</v>
      </c>
      <c r="BE266">
        <v>0</v>
      </c>
    </row>
    <row r="267" spans="1:58">
      <c r="A267" t="s">
        <v>16974</v>
      </c>
      <c r="B267" t="s">
        <v>19349</v>
      </c>
      <c r="C267">
        <v>0</v>
      </c>
      <c r="D267">
        <v>15</v>
      </c>
      <c r="E267">
        <v>13</v>
      </c>
      <c r="F267">
        <v>10</v>
      </c>
      <c r="G267">
        <v>14</v>
      </c>
      <c r="H267">
        <v>7</v>
      </c>
      <c r="I267">
        <v>7</v>
      </c>
      <c r="J267">
        <v>13</v>
      </c>
      <c r="K267">
        <v>203</v>
      </c>
      <c r="L267">
        <v>13</v>
      </c>
      <c r="M267">
        <v>0</v>
      </c>
      <c r="N267">
        <v>0</v>
      </c>
      <c r="O267">
        <v>0</v>
      </c>
      <c r="P267">
        <v>0</v>
      </c>
      <c r="Q267">
        <v>0</v>
      </c>
      <c r="R267">
        <v>0</v>
      </c>
      <c r="S267">
        <v>13</v>
      </c>
      <c r="T267">
        <v>18.25</v>
      </c>
      <c r="U267">
        <v>0</v>
      </c>
      <c r="V267">
        <v>31.25</v>
      </c>
      <c r="W267">
        <v>495</v>
      </c>
      <c r="X267">
        <v>0</v>
      </c>
      <c r="Y267">
        <v>13</v>
      </c>
      <c r="Z267">
        <v>0</v>
      </c>
      <c r="AA267">
        <v>0</v>
      </c>
      <c r="AB267">
        <v>150</v>
      </c>
      <c r="AC267">
        <v>660.75</v>
      </c>
      <c r="AD267">
        <v>660.75</v>
      </c>
      <c r="AE267">
        <v>815.25</v>
      </c>
      <c r="AF267">
        <v>810.75</v>
      </c>
      <c r="AG267">
        <v>1155.75</v>
      </c>
      <c r="AH267">
        <v>340.5</v>
      </c>
      <c r="AI267">
        <v>815.25</v>
      </c>
      <c r="AJ267">
        <v>810.75</v>
      </c>
      <c r="AK267">
        <v>1020.75</v>
      </c>
      <c r="AL267">
        <v>205.5</v>
      </c>
      <c r="AM267">
        <v>6</v>
      </c>
      <c r="AN267">
        <v>0</v>
      </c>
      <c r="AO267">
        <v>0</v>
      </c>
      <c r="AP267">
        <v>0</v>
      </c>
      <c r="AQ267">
        <v>0</v>
      </c>
      <c r="AR267">
        <v>0</v>
      </c>
      <c r="AS267">
        <v>0</v>
      </c>
      <c r="AT267">
        <v>203</v>
      </c>
      <c r="AU267">
        <v>135</v>
      </c>
      <c r="AV267">
        <v>68</v>
      </c>
      <c r="AW267">
        <v>0</v>
      </c>
      <c r="AX267">
        <v>13</v>
      </c>
      <c r="AY267">
        <v>7</v>
      </c>
      <c r="AZ267">
        <v>6</v>
      </c>
      <c r="BA267">
        <v>0</v>
      </c>
      <c r="BB267">
        <v>18.25</v>
      </c>
      <c r="BC267">
        <v>14.5</v>
      </c>
      <c r="BD267">
        <v>3.75</v>
      </c>
      <c r="BE267">
        <v>0</v>
      </c>
    </row>
    <row r="268" spans="1:58">
      <c r="A268" t="s">
        <v>16974</v>
      </c>
      <c r="B268" t="s">
        <v>17142</v>
      </c>
      <c r="C268">
        <v>0</v>
      </c>
      <c r="D268">
        <v>1</v>
      </c>
      <c r="E268">
        <v>1</v>
      </c>
      <c r="F268">
        <v>1</v>
      </c>
      <c r="G268">
        <v>0</v>
      </c>
      <c r="H268">
        <v>0</v>
      </c>
      <c r="I268">
        <v>0</v>
      </c>
      <c r="J268">
        <v>1</v>
      </c>
      <c r="K268">
        <v>14</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14</v>
      </c>
      <c r="AU268">
        <v>0</v>
      </c>
      <c r="AV268">
        <v>14</v>
      </c>
      <c r="AW268">
        <v>0</v>
      </c>
      <c r="AX268">
        <v>0</v>
      </c>
      <c r="AY268">
        <v>0</v>
      </c>
      <c r="AZ268">
        <v>0</v>
      </c>
      <c r="BA268">
        <v>0</v>
      </c>
      <c r="BB268">
        <v>0</v>
      </c>
      <c r="BC268">
        <v>0</v>
      </c>
      <c r="BD268">
        <v>0</v>
      </c>
      <c r="BE268">
        <v>0</v>
      </c>
    </row>
    <row r="269" spans="1:58">
      <c r="A269" t="s">
        <v>16974</v>
      </c>
      <c r="B269" t="s">
        <v>17142</v>
      </c>
      <c r="C269">
        <v>0</v>
      </c>
      <c r="D269">
        <v>6</v>
      </c>
      <c r="E269">
        <v>6</v>
      </c>
      <c r="F269">
        <v>0</v>
      </c>
      <c r="G269">
        <v>0</v>
      </c>
      <c r="H269">
        <v>6</v>
      </c>
      <c r="I269">
        <v>0</v>
      </c>
      <c r="J269">
        <v>6</v>
      </c>
      <c r="K269">
        <v>165</v>
      </c>
      <c r="L269">
        <v>6</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165</v>
      </c>
      <c r="AU269">
        <v>165</v>
      </c>
      <c r="AV269">
        <v>0</v>
      </c>
      <c r="AW269">
        <v>0</v>
      </c>
      <c r="AX269">
        <v>0</v>
      </c>
      <c r="AY269">
        <v>0</v>
      </c>
      <c r="AZ269">
        <v>0</v>
      </c>
      <c r="BA269">
        <v>0</v>
      </c>
      <c r="BB269">
        <v>0</v>
      </c>
      <c r="BC269">
        <v>0</v>
      </c>
      <c r="BD269">
        <v>0</v>
      </c>
      <c r="BE269">
        <v>0</v>
      </c>
    </row>
    <row r="270" spans="1:58">
      <c r="A270" t="s">
        <v>16974</v>
      </c>
      <c r="B270" t="s">
        <v>17143</v>
      </c>
      <c r="C270">
        <v>0</v>
      </c>
      <c r="D270">
        <v>4</v>
      </c>
      <c r="E270">
        <v>4</v>
      </c>
      <c r="F270">
        <v>4</v>
      </c>
      <c r="G270">
        <v>2</v>
      </c>
      <c r="H270">
        <v>0</v>
      </c>
      <c r="I270">
        <v>0</v>
      </c>
      <c r="J270">
        <v>4</v>
      </c>
      <c r="K270">
        <v>59</v>
      </c>
      <c r="L270">
        <v>2</v>
      </c>
      <c r="M270">
        <v>0</v>
      </c>
      <c r="N270">
        <v>1</v>
      </c>
      <c r="O270">
        <v>1</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59</v>
      </c>
      <c r="AU270">
        <v>0</v>
      </c>
      <c r="AV270">
        <v>59</v>
      </c>
      <c r="AW270">
        <v>0</v>
      </c>
      <c r="AX270">
        <v>0</v>
      </c>
      <c r="AY270">
        <v>0</v>
      </c>
      <c r="AZ270">
        <v>0</v>
      </c>
      <c r="BA270">
        <v>0</v>
      </c>
      <c r="BB270">
        <v>0</v>
      </c>
      <c r="BC270">
        <v>0</v>
      </c>
      <c r="BD270">
        <v>0</v>
      </c>
      <c r="BE270">
        <v>0</v>
      </c>
    </row>
    <row r="271" spans="1:58">
      <c r="A271" t="s">
        <v>16974</v>
      </c>
      <c r="B271" t="s">
        <v>17143</v>
      </c>
      <c r="C271">
        <v>0</v>
      </c>
      <c r="D271">
        <v>2</v>
      </c>
      <c r="E271">
        <v>0</v>
      </c>
      <c r="F271">
        <v>2</v>
      </c>
      <c r="G271">
        <v>0</v>
      </c>
      <c r="H271">
        <v>0</v>
      </c>
      <c r="I271">
        <v>0</v>
      </c>
      <c r="J271">
        <v>2</v>
      </c>
      <c r="K271">
        <v>33</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33</v>
      </c>
      <c r="AU271">
        <v>0</v>
      </c>
      <c r="AV271">
        <v>33</v>
      </c>
      <c r="AW271">
        <v>0</v>
      </c>
      <c r="AX271">
        <v>0</v>
      </c>
      <c r="AY271">
        <v>0</v>
      </c>
      <c r="AZ271">
        <v>0</v>
      </c>
      <c r="BA271">
        <v>0</v>
      </c>
      <c r="BB271">
        <v>0</v>
      </c>
      <c r="BC271">
        <v>0</v>
      </c>
      <c r="BD271">
        <v>0</v>
      </c>
      <c r="BE271">
        <v>0</v>
      </c>
    </row>
    <row r="272" spans="1:58">
      <c r="A272" t="s">
        <v>16974</v>
      </c>
      <c r="B272" t="s">
        <v>19351</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row>
    <row r="273" spans="1:57">
      <c r="A273" t="s">
        <v>16974</v>
      </c>
      <c r="B273" t="s">
        <v>17144</v>
      </c>
      <c r="C273">
        <v>0</v>
      </c>
      <c r="D273">
        <v>4</v>
      </c>
      <c r="E273">
        <v>4</v>
      </c>
      <c r="F273">
        <v>4</v>
      </c>
      <c r="G273">
        <v>0</v>
      </c>
      <c r="H273">
        <v>0</v>
      </c>
      <c r="I273">
        <v>0</v>
      </c>
      <c r="J273">
        <v>4</v>
      </c>
      <c r="K273">
        <v>20</v>
      </c>
      <c r="L273">
        <v>2</v>
      </c>
      <c r="M273">
        <v>0</v>
      </c>
      <c r="N273">
        <v>0</v>
      </c>
      <c r="O273">
        <v>2</v>
      </c>
      <c r="P273">
        <v>0</v>
      </c>
      <c r="Q273">
        <v>0</v>
      </c>
      <c r="R273">
        <v>0</v>
      </c>
      <c r="S273">
        <v>9.75</v>
      </c>
      <c r="T273">
        <v>0</v>
      </c>
      <c r="U273">
        <v>0</v>
      </c>
      <c r="V273">
        <v>9.75</v>
      </c>
      <c r="W273">
        <v>97.5</v>
      </c>
      <c r="X273">
        <v>0</v>
      </c>
      <c r="Y273">
        <v>4</v>
      </c>
      <c r="Z273">
        <v>0</v>
      </c>
      <c r="AA273">
        <v>0</v>
      </c>
      <c r="AB273">
        <v>30</v>
      </c>
      <c r="AC273">
        <v>0</v>
      </c>
      <c r="AD273">
        <v>0</v>
      </c>
      <c r="AE273">
        <v>0</v>
      </c>
      <c r="AF273">
        <v>30</v>
      </c>
      <c r="AG273">
        <v>97.5</v>
      </c>
      <c r="AH273">
        <v>97.5</v>
      </c>
      <c r="AI273">
        <v>0</v>
      </c>
      <c r="AJ273">
        <v>0</v>
      </c>
      <c r="AK273">
        <v>0</v>
      </c>
      <c r="AL273">
        <v>0</v>
      </c>
      <c r="AM273">
        <v>0</v>
      </c>
      <c r="AN273">
        <v>0</v>
      </c>
      <c r="AO273">
        <v>0</v>
      </c>
      <c r="AP273">
        <v>0</v>
      </c>
      <c r="AQ273">
        <v>0</v>
      </c>
      <c r="AR273">
        <v>0</v>
      </c>
      <c r="AS273">
        <v>0</v>
      </c>
      <c r="AT273">
        <v>20</v>
      </c>
      <c r="AU273">
        <v>0</v>
      </c>
      <c r="AV273">
        <v>20</v>
      </c>
      <c r="AW273">
        <v>0</v>
      </c>
      <c r="AX273">
        <v>9.75</v>
      </c>
      <c r="AY273">
        <v>0</v>
      </c>
      <c r="AZ273">
        <v>9.75</v>
      </c>
      <c r="BA273">
        <v>0</v>
      </c>
      <c r="BB273">
        <v>0</v>
      </c>
      <c r="BC273">
        <v>0</v>
      </c>
      <c r="BD273">
        <v>0</v>
      </c>
      <c r="BE273">
        <v>0</v>
      </c>
    </row>
    <row r="274" spans="1:57">
      <c r="A274" t="s">
        <v>16974</v>
      </c>
      <c r="B274" t="s">
        <v>17324</v>
      </c>
      <c r="C274">
        <v>0</v>
      </c>
      <c r="D274">
        <v>2</v>
      </c>
      <c r="E274">
        <v>2</v>
      </c>
      <c r="F274">
        <v>2</v>
      </c>
      <c r="G274">
        <v>2</v>
      </c>
      <c r="H274">
        <v>0</v>
      </c>
      <c r="I274">
        <v>0</v>
      </c>
      <c r="J274">
        <v>2</v>
      </c>
      <c r="K274">
        <v>11</v>
      </c>
      <c r="L274">
        <v>2</v>
      </c>
      <c r="M274">
        <v>0</v>
      </c>
      <c r="N274">
        <v>0</v>
      </c>
      <c r="O274">
        <v>0</v>
      </c>
      <c r="P274">
        <v>0</v>
      </c>
      <c r="Q274">
        <v>0</v>
      </c>
      <c r="R274">
        <v>0</v>
      </c>
      <c r="S274">
        <v>0.75</v>
      </c>
      <c r="T274">
        <v>0.75</v>
      </c>
      <c r="U274">
        <v>1</v>
      </c>
      <c r="V274">
        <v>2.5</v>
      </c>
      <c r="W274">
        <v>22.5</v>
      </c>
      <c r="X274">
        <v>0</v>
      </c>
      <c r="Y274">
        <v>2</v>
      </c>
      <c r="Z274">
        <v>0</v>
      </c>
      <c r="AA274">
        <v>0</v>
      </c>
      <c r="AB274">
        <v>0</v>
      </c>
      <c r="AC274">
        <v>0</v>
      </c>
      <c r="AD274">
        <v>0</v>
      </c>
      <c r="AE274">
        <v>0</v>
      </c>
      <c r="AF274">
        <v>0</v>
      </c>
      <c r="AG274">
        <v>42.5</v>
      </c>
      <c r="AH274">
        <v>42.5</v>
      </c>
      <c r="AI274">
        <v>0</v>
      </c>
      <c r="AJ274">
        <v>0</v>
      </c>
      <c r="AK274">
        <v>0</v>
      </c>
      <c r="AL274">
        <v>0</v>
      </c>
      <c r="AM274">
        <v>0</v>
      </c>
      <c r="AN274">
        <v>0</v>
      </c>
      <c r="AO274">
        <v>0</v>
      </c>
      <c r="AP274">
        <v>0</v>
      </c>
      <c r="AQ274">
        <v>0</v>
      </c>
      <c r="AR274">
        <v>0</v>
      </c>
      <c r="AS274">
        <v>0</v>
      </c>
      <c r="AT274">
        <v>11</v>
      </c>
      <c r="AU274">
        <v>0</v>
      </c>
      <c r="AV274">
        <v>11</v>
      </c>
      <c r="AW274">
        <v>0</v>
      </c>
      <c r="AX274">
        <v>0.75</v>
      </c>
      <c r="AY274">
        <v>0</v>
      </c>
      <c r="AZ274">
        <v>0.75</v>
      </c>
      <c r="BA274">
        <v>0</v>
      </c>
      <c r="BB274">
        <v>0.75</v>
      </c>
      <c r="BC274">
        <v>0</v>
      </c>
      <c r="BD274">
        <v>0.75</v>
      </c>
      <c r="BE274">
        <v>0</v>
      </c>
    </row>
    <row r="275" spans="1:57">
      <c r="A275" t="s">
        <v>16974</v>
      </c>
      <c r="B275" t="s">
        <v>17322</v>
      </c>
      <c r="C275">
        <v>0</v>
      </c>
      <c r="D275">
        <v>1</v>
      </c>
      <c r="E275">
        <v>1</v>
      </c>
      <c r="F275">
        <v>1</v>
      </c>
      <c r="G275">
        <v>0</v>
      </c>
      <c r="H275">
        <v>0</v>
      </c>
      <c r="I275">
        <v>0</v>
      </c>
      <c r="J275">
        <v>1</v>
      </c>
      <c r="K275">
        <v>4</v>
      </c>
      <c r="L275">
        <v>1</v>
      </c>
      <c r="M275">
        <v>0</v>
      </c>
      <c r="N275">
        <v>0</v>
      </c>
      <c r="O275">
        <v>0</v>
      </c>
      <c r="P275">
        <v>0</v>
      </c>
      <c r="Q275">
        <v>0</v>
      </c>
      <c r="R275">
        <v>0</v>
      </c>
      <c r="S275">
        <v>1</v>
      </c>
      <c r="T275">
        <v>1</v>
      </c>
      <c r="U275">
        <v>2</v>
      </c>
      <c r="V275">
        <v>4</v>
      </c>
      <c r="W275">
        <v>30</v>
      </c>
      <c r="X275">
        <v>0</v>
      </c>
      <c r="Y275">
        <v>1</v>
      </c>
      <c r="Z275">
        <v>0</v>
      </c>
      <c r="AA275">
        <v>0</v>
      </c>
      <c r="AB275">
        <v>0</v>
      </c>
      <c r="AC275">
        <v>0</v>
      </c>
      <c r="AD275">
        <v>0</v>
      </c>
      <c r="AE275">
        <v>0</v>
      </c>
      <c r="AF275">
        <v>0</v>
      </c>
      <c r="AG275">
        <v>70</v>
      </c>
      <c r="AH275">
        <v>70</v>
      </c>
      <c r="AI275">
        <v>0</v>
      </c>
      <c r="AJ275">
        <v>0</v>
      </c>
      <c r="AK275">
        <v>0</v>
      </c>
      <c r="AL275">
        <v>0</v>
      </c>
      <c r="AM275">
        <v>0</v>
      </c>
      <c r="AN275">
        <v>0</v>
      </c>
      <c r="AO275">
        <v>0</v>
      </c>
      <c r="AP275">
        <v>0</v>
      </c>
      <c r="AQ275">
        <v>0</v>
      </c>
      <c r="AR275">
        <v>0</v>
      </c>
      <c r="AS275">
        <v>0</v>
      </c>
      <c r="AT275">
        <v>4</v>
      </c>
      <c r="AU275">
        <v>0</v>
      </c>
      <c r="AV275">
        <v>4</v>
      </c>
      <c r="AW275">
        <v>0</v>
      </c>
      <c r="AX275">
        <v>1</v>
      </c>
      <c r="AY275">
        <v>0</v>
      </c>
      <c r="AZ275">
        <v>1</v>
      </c>
      <c r="BA275">
        <v>0</v>
      </c>
      <c r="BB275">
        <v>1</v>
      </c>
      <c r="BC275">
        <v>0</v>
      </c>
      <c r="BD275">
        <v>1</v>
      </c>
      <c r="BE275">
        <v>0</v>
      </c>
    </row>
    <row r="276" spans="1:57">
      <c r="A276" t="s">
        <v>16974</v>
      </c>
      <c r="B276" t="s">
        <v>17323</v>
      </c>
      <c r="C276">
        <v>0</v>
      </c>
      <c r="D276">
        <v>3</v>
      </c>
      <c r="E276">
        <v>0</v>
      </c>
      <c r="F276">
        <v>3</v>
      </c>
      <c r="G276">
        <v>0</v>
      </c>
      <c r="H276">
        <v>0</v>
      </c>
      <c r="I276">
        <v>0</v>
      </c>
      <c r="J276">
        <v>3</v>
      </c>
      <c r="K276">
        <v>4</v>
      </c>
      <c r="L276">
        <v>3</v>
      </c>
      <c r="M276">
        <v>0</v>
      </c>
      <c r="N276">
        <v>0</v>
      </c>
      <c r="O276">
        <v>0</v>
      </c>
      <c r="P276">
        <v>0</v>
      </c>
      <c r="Q276">
        <v>0</v>
      </c>
      <c r="R276">
        <v>0</v>
      </c>
      <c r="S276">
        <v>1</v>
      </c>
      <c r="T276">
        <v>0</v>
      </c>
      <c r="U276">
        <v>0</v>
      </c>
      <c r="V276">
        <v>1</v>
      </c>
      <c r="W276">
        <v>10</v>
      </c>
      <c r="X276">
        <v>0</v>
      </c>
      <c r="Y276">
        <v>3</v>
      </c>
      <c r="Z276">
        <v>0</v>
      </c>
      <c r="AA276">
        <v>0</v>
      </c>
      <c r="AB276">
        <v>0</v>
      </c>
      <c r="AC276">
        <v>0</v>
      </c>
      <c r="AD276">
        <v>0</v>
      </c>
      <c r="AE276">
        <v>0</v>
      </c>
      <c r="AF276">
        <v>0</v>
      </c>
      <c r="AG276">
        <v>10</v>
      </c>
      <c r="AH276">
        <v>10</v>
      </c>
      <c r="AI276">
        <v>0</v>
      </c>
      <c r="AJ276">
        <v>0</v>
      </c>
      <c r="AK276">
        <v>0</v>
      </c>
      <c r="AL276">
        <v>0</v>
      </c>
      <c r="AM276">
        <v>0</v>
      </c>
      <c r="AN276">
        <v>0</v>
      </c>
      <c r="AO276">
        <v>0</v>
      </c>
      <c r="AP276">
        <v>0</v>
      </c>
      <c r="AQ276">
        <v>0</v>
      </c>
      <c r="AR276">
        <v>0</v>
      </c>
      <c r="AS276">
        <v>0</v>
      </c>
      <c r="AT276">
        <v>4</v>
      </c>
      <c r="AU276">
        <v>0</v>
      </c>
      <c r="AV276">
        <v>4</v>
      </c>
      <c r="AW276">
        <v>0</v>
      </c>
      <c r="AX276">
        <v>1</v>
      </c>
      <c r="AY276">
        <v>0</v>
      </c>
      <c r="AZ276">
        <v>1</v>
      </c>
      <c r="BA276">
        <v>0</v>
      </c>
      <c r="BB276">
        <v>0</v>
      </c>
      <c r="BC276">
        <v>0</v>
      </c>
      <c r="BD276">
        <v>0</v>
      </c>
      <c r="BE276">
        <v>0</v>
      </c>
    </row>
    <row r="277" spans="1:57">
      <c r="A277" t="s">
        <v>17148</v>
      </c>
      <c r="B277" t="s">
        <v>17304</v>
      </c>
      <c r="C277">
        <v>0</v>
      </c>
      <c r="D277">
        <v>19</v>
      </c>
      <c r="E277">
        <v>17</v>
      </c>
      <c r="F277">
        <v>8</v>
      </c>
      <c r="G277">
        <v>7</v>
      </c>
      <c r="H277">
        <v>7</v>
      </c>
      <c r="I277">
        <v>6</v>
      </c>
      <c r="J277">
        <v>14</v>
      </c>
      <c r="K277">
        <v>249</v>
      </c>
      <c r="L277">
        <v>12</v>
      </c>
      <c r="M277">
        <v>0</v>
      </c>
      <c r="N277">
        <v>2</v>
      </c>
      <c r="O277">
        <v>1</v>
      </c>
      <c r="P277">
        <v>0</v>
      </c>
      <c r="Q277">
        <v>1</v>
      </c>
      <c r="R277">
        <v>0</v>
      </c>
      <c r="S277">
        <v>8.25</v>
      </c>
      <c r="T277">
        <v>0</v>
      </c>
      <c r="U277">
        <v>0</v>
      </c>
      <c r="V277">
        <v>8.25</v>
      </c>
      <c r="W277">
        <v>82.5</v>
      </c>
      <c r="X277">
        <v>0</v>
      </c>
      <c r="Y277">
        <v>0</v>
      </c>
      <c r="Z277">
        <v>13</v>
      </c>
      <c r="AA277">
        <v>0</v>
      </c>
      <c r="AB277">
        <v>0</v>
      </c>
      <c r="AC277">
        <v>0</v>
      </c>
      <c r="AD277">
        <v>0</v>
      </c>
      <c r="AE277">
        <v>0</v>
      </c>
      <c r="AF277">
        <v>0</v>
      </c>
      <c r="AG277">
        <v>82.5</v>
      </c>
      <c r="AH277">
        <v>82.5</v>
      </c>
      <c r="AI277">
        <v>0</v>
      </c>
      <c r="AJ277">
        <v>0</v>
      </c>
      <c r="AK277">
        <v>40</v>
      </c>
      <c r="AL277">
        <v>40</v>
      </c>
      <c r="AM277">
        <v>0</v>
      </c>
      <c r="AN277">
        <v>0</v>
      </c>
      <c r="AO277">
        <v>0</v>
      </c>
      <c r="AP277">
        <v>0</v>
      </c>
      <c r="AQ277">
        <v>0</v>
      </c>
      <c r="AR277">
        <v>0</v>
      </c>
      <c r="AS277">
        <v>0</v>
      </c>
      <c r="AT277">
        <v>249</v>
      </c>
      <c r="AU277">
        <v>143</v>
      </c>
      <c r="AV277">
        <v>106</v>
      </c>
      <c r="AW277">
        <v>0</v>
      </c>
      <c r="AX277">
        <v>8.25</v>
      </c>
      <c r="AY277">
        <v>4</v>
      </c>
      <c r="AZ277">
        <v>4.25</v>
      </c>
      <c r="BA277">
        <v>0</v>
      </c>
      <c r="BB277">
        <v>0</v>
      </c>
      <c r="BC277">
        <v>0</v>
      </c>
      <c r="BD277">
        <v>0</v>
      </c>
      <c r="BE277">
        <v>0</v>
      </c>
    </row>
    <row r="278" spans="1:57">
      <c r="A278" t="s">
        <v>17150</v>
      </c>
      <c r="B278" t="s">
        <v>17152</v>
      </c>
      <c r="C278">
        <v>1</v>
      </c>
      <c r="D278">
        <v>36</v>
      </c>
      <c r="E278">
        <v>36</v>
      </c>
      <c r="F278">
        <v>28</v>
      </c>
      <c r="G278">
        <v>1</v>
      </c>
      <c r="H278">
        <v>0</v>
      </c>
      <c r="I278">
        <v>0</v>
      </c>
      <c r="J278">
        <v>36</v>
      </c>
      <c r="K278">
        <v>328</v>
      </c>
      <c r="L278">
        <v>27</v>
      </c>
      <c r="M278">
        <v>1</v>
      </c>
      <c r="N278">
        <v>6</v>
      </c>
      <c r="O278">
        <v>1</v>
      </c>
      <c r="P278">
        <v>0</v>
      </c>
      <c r="Q278">
        <v>0</v>
      </c>
      <c r="R278">
        <v>0</v>
      </c>
      <c r="S278">
        <v>12.5</v>
      </c>
      <c r="T278">
        <v>7.5</v>
      </c>
      <c r="U278">
        <v>0</v>
      </c>
      <c r="V278">
        <v>20</v>
      </c>
      <c r="W278">
        <v>270</v>
      </c>
      <c r="X278">
        <v>0</v>
      </c>
      <c r="Y278">
        <v>34</v>
      </c>
      <c r="Z278">
        <v>0</v>
      </c>
      <c r="AA278">
        <v>-5</v>
      </c>
      <c r="AB278">
        <v>0</v>
      </c>
      <c r="AC278">
        <v>0</v>
      </c>
      <c r="AD278">
        <v>13</v>
      </c>
      <c r="AE278">
        <v>13</v>
      </c>
      <c r="AF278">
        <v>13</v>
      </c>
      <c r="AG278">
        <v>220</v>
      </c>
      <c r="AH278">
        <v>210</v>
      </c>
      <c r="AI278">
        <v>0</v>
      </c>
      <c r="AJ278">
        <v>0</v>
      </c>
      <c r="AK278">
        <v>0</v>
      </c>
      <c r="AL278">
        <v>0</v>
      </c>
      <c r="AM278">
        <v>0</v>
      </c>
      <c r="AN278">
        <v>1</v>
      </c>
      <c r="AO278">
        <v>0</v>
      </c>
      <c r="AP278">
        <v>0</v>
      </c>
      <c r="AQ278">
        <v>0</v>
      </c>
      <c r="AR278">
        <v>0</v>
      </c>
      <c r="AS278">
        <v>0</v>
      </c>
      <c r="AT278">
        <v>328</v>
      </c>
      <c r="AU278">
        <v>0</v>
      </c>
      <c r="AV278">
        <v>320</v>
      </c>
      <c r="AW278">
        <v>8</v>
      </c>
      <c r="AX278">
        <v>12.5</v>
      </c>
      <c r="AY278">
        <v>0</v>
      </c>
      <c r="AZ278">
        <v>12</v>
      </c>
      <c r="BA278">
        <v>0.5</v>
      </c>
      <c r="BB278">
        <v>7.5</v>
      </c>
      <c r="BC278">
        <v>0</v>
      </c>
      <c r="BD278">
        <v>7.5</v>
      </c>
      <c r="BE278">
        <v>0</v>
      </c>
    </row>
    <row r="279" spans="1:57">
      <c r="A279" t="s">
        <v>17150</v>
      </c>
      <c r="B279" t="s">
        <v>18838</v>
      </c>
      <c r="C279">
        <v>9</v>
      </c>
      <c r="D279">
        <v>94</v>
      </c>
      <c r="E279">
        <v>0</v>
      </c>
      <c r="F279">
        <v>88</v>
      </c>
      <c r="G279">
        <v>0</v>
      </c>
      <c r="H279">
        <v>0</v>
      </c>
      <c r="I279">
        <v>0</v>
      </c>
      <c r="J279">
        <v>89</v>
      </c>
      <c r="K279">
        <v>1804</v>
      </c>
      <c r="L279">
        <v>76</v>
      </c>
      <c r="M279">
        <v>14</v>
      </c>
      <c r="N279">
        <v>0</v>
      </c>
      <c r="O279">
        <v>3</v>
      </c>
      <c r="P279">
        <v>0</v>
      </c>
      <c r="Q279">
        <v>0</v>
      </c>
      <c r="R279">
        <v>0</v>
      </c>
      <c r="S279">
        <v>80</v>
      </c>
      <c r="T279">
        <v>0</v>
      </c>
      <c r="U279">
        <v>0</v>
      </c>
      <c r="V279">
        <v>80</v>
      </c>
      <c r="W279">
        <v>765</v>
      </c>
      <c r="X279">
        <v>0</v>
      </c>
      <c r="Y279">
        <v>66</v>
      </c>
      <c r="Z279">
        <v>0</v>
      </c>
      <c r="AA279">
        <v>-35</v>
      </c>
      <c r="AB279">
        <v>100</v>
      </c>
      <c r="AC279">
        <v>0</v>
      </c>
      <c r="AD279">
        <v>0</v>
      </c>
      <c r="AE279">
        <v>0</v>
      </c>
      <c r="AF279">
        <v>100</v>
      </c>
      <c r="AG279">
        <v>765</v>
      </c>
      <c r="AH279">
        <v>765</v>
      </c>
      <c r="AI279">
        <v>0</v>
      </c>
      <c r="AJ279">
        <v>0</v>
      </c>
      <c r="AK279">
        <v>0</v>
      </c>
      <c r="AL279">
        <v>0</v>
      </c>
      <c r="AM279">
        <v>0</v>
      </c>
      <c r="AN279">
        <v>0</v>
      </c>
      <c r="AO279">
        <v>0</v>
      </c>
      <c r="AP279">
        <v>0</v>
      </c>
      <c r="AQ279">
        <v>0</v>
      </c>
      <c r="AR279">
        <v>0</v>
      </c>
      <c r="AS279">
        <v>0</v>
      </c>
      <c r="AT279">
        <v>1804</v>
      </c>
      <c r="AU279">
        <v>0</v>
      </c>
      <c r="AV279">
        <v>1372</v>
      </c>
      <c r="AW279">
        <v>432</v>
      </c>
      <c r="AX279">
        <v>80</v>
      </c>
      <c r="AY279">
        <v>0</v>
      </c>
      <c r="AZ279">
        <v>76.5</v>
      </c>
      <c r="BA279">
        <v>3.5</v>
      </c>
      <c r="BB279">
        <v>0</v>
      </c>
      <c r="BC279">
        <v>0</v>
      </c>
      <c r="BD279">
        <v>0</v>
      </c>
      <c r="BE279">
        <v>0</v>
      </c>
    </row>
    <row r="280" spans="1:57">
      <c r="A280" t="s">
        <v>17202</v>
      </c>
      <c r="B280" t="s">
        <v>17306</v>
      </c>
      <c r="C280">
        <v>0</v>
      </c>
      <c r="D280">
        <v>1</v>
      </c>
      <c r="E280">
        <v>1</v>
      </c>
      <c r="F280">
        <v>1</v>
      </c>
      <c r="G280">
        <v>0</v>
      </c>
      <c r="H280">
        <v>0</v>
      </c>
      <c r="I280">
        <v>0</v>
      </c>
      <c r="J280">
        <v>1</v>
      </c>
      <c r="K280">
        <v>15</v>
      </c>
      <c r="L280">
        <v>1</v>
      </c>
      <c r="M280">
        <v>0</v>
      </c>
      <c r="N280">
        <v>0</v>
      </c>
      <c r="O280">
        <v>0</v>
      </c>
      <c r="P280">
        <v>0</v>
      </c>
      <c r="Q280">
        <v>0</v>
      </c>
      <c r="R280">
        <v>0</v>
      </c>
      <c r="S280">
        <v>1</v>
      </c>
      <c r="T280">
        <v>0</v>
      </c>
      <c r="U280">
        <v>0.75</v>
      </c>
      <c r="V280">
        <v>1.75</v>
      </c>
      <c r="W280">
        <v>10</v>
      </c>
      <c r="X280">
        <v>0</v>
      </c>
      <c r="Y280">
        <v>1</v>
      </c>
      <c r="Z280">
        <v>0</v>
      </c>
      <c r="AA280">
        <v>0</v>
      </c>
      <c r="AB280">
        <v>0</v>
      </c>
      <c r="AC280">
        <v>0</v>
      </c>
      <c r="AD280">
        <v>0</v>
      </c>
      <c r="AE280">
        <v>0</v>
      </c>
      <c r="AF280">
        <v>0</v>
      </c>
      <c r="AG280">
        <v>25</v>
      </c>
      <c r="AH280">
        <v>25</v>
      </c>
      <c r="AI280">
        <v>0</v>
      </c>
      <c r="AJ280">
        <v>0</v>
      </c>
      <c r="AK280">
        <v>0</v>
      </c>
      <c r="AL280">
        <v>0</v>
      </c>
      <c r="AM280">
        <v>0</v>
      </c>
      <c r="AN280">
        <v>0</v>
      </c>
      <c r="AO280">
        <v>0</v>
      </c>
      <c r="AP280">
        <v>0</v>
      </c>
      <c r="AQ280">
        <v>0</v>
      </c>
      <c r="AR280">
        <v>0</v>
      </c>
      <c r="AS280">
        <v>0</v>
      </c>
      <c r="AT280">
        <v>15</v>
      </c>
      <c r="AU280">
        <v>0</v>
      </c>
      <c r="AV280">
        <v>15</v>
      </c>
      <c r="AW280">
        <v>0</v>
      </c>
      <c r="AX280">
        <v>1</v>
      </c>
      <c r="AY280">
        <v>0</v>
      </c>
      <c r="AZ280">
        <v>1</v>
      </c>
      <c r="BA280">
        <v>0</v>
      </c>
      <c r="BB280">
        <v>0</v>
      </c>
      <c r="BC280">
        <v>0</v>
      </c>
      <c r="BD280">
        <v>0</v>
      </c>
      <c r="BE280">
        <v>0</v>
      </c>
    </row>
    <row r="281" spans="1:57">
      <c r="A281" t="s">
        <v>17202</v>
      </c>
      <c r="B281" t="s">
        <v>18840</v>
      </c>
      <c r="C281">
        <v>0</v>
      </c>
      <c r="D281">
        <v>7</v>
      </c>
      <c r="E281">
        <v>7</v>
      </c>
      <c r="F281">
        <v>7</v>
      </c>
      <c r="G281">
        <v>1</v>
      </c>
      <c r="H281">
        <v>0</v>
      </c>
      <c r="I281">
        <v>0</v>
      </c>
      <c r="J281">
        <v>7</v>
      </c>
      <c r="K281">
        <v>48</v>
      </c>
      <c r="L281">
        <v>7</v>
      </c>
      <c r="M281">
        <v>0</v>
      </c>
      <c r="N281">
        <v>0</v>
      </c>
      <c r="O281">
        <v>0</v>
      </c>
      <c r="P281">
        <v>0</v>
      </c>
      <c r="Q281">
        <v>0</v>
      </c>
      <c r="R281">
        <v>0</v>
      </c>
      <c r="S281">
        <v>7.25</v>
      </c>
      <c r="T281">
        <v>6.25</v>
      </c>
      <c r="U281">
        <v>0</v>
      </c>
      <c r="V281">
        <v>13.5</v>
      </c>
      <c r="W281">
        <v>197.5</v>
      </c>
      <c r="X281">
        <v>0</v>
      </c>
      <c r="Y281">
        <v>7</v>
      </c>
      <c r="Z281">
        <v>0</v>
      </c>
      <c r="AA281">
        <v>0</v>
      </c>
      <c r="AB281">
        <v>10</v>
      </c>
      <c r="AC281">
        <v>0</v>
      </c>
      <c r="AD281">
        <v>0</v>
      </c>
      <c r="AE281">
        <v>0</v>
      </c>
      <c r="AF281">
        <v>10</v>
      </c>
      <c r="AG281">
        <v>197.5</v>
      </c>
      <c r="AH281">
        <v>197.5</v>
      </c>
      <c r="AI281">
        <v>0</v>
      </c>
      <c r="AJ281">
        <v>0</v>
      </c>
      <c r="AK281">
        <v>0</v>
      </c>
      <c r="AL281">
        <v>0</v>
      </c>
      <c r="AM281">
        <v>0</v>
      </c>
      <c r="AN281">
        <v>0</v>
      </c>
      <c r="AO281">
        <v>0</v>
      </c>
      <c r="AP281">
        <v>0</v>
      </c>
      <c r="AQ281">
        <v>0</v>
      </c>
      <c r="AR281">
        <v>0</v>
      </c>
      <c r="AS281">
        <v>0</v>
      </c>
      <c r="AT281">
        <v>48</v>
      </c>
      <c r="AU281">
        <v>0</v>
      </c>
      <c r="AV281">
        <v>48</v>
      </c>
      <c r="AW281">
        <v>0</v>
      </c>
      <c r="AX281">
        <v>7.25</v>
      </c>
      <c r="AY281">
        <v>0</v>
      </c>
      <c r="AZ281">
        <v>6.25</v>
      </c>
      <c r="BA281">
        <v>0</v>
      </c>
      <c r="BB281">
        <v>6.25</v>
      </c>
      <c r="BC281">
        <v>0</v>
      </c>
      <c r="BD281">
        <v>6.25</v>
      </c>
      <c r="BE281">
        <v>0</v>
      </c>
    </row>
    <row r="282" spans="1:57">
      <c r="A282" t="s">
        <v>17202</v>
      </c>
      <c r="B282" t="s">
        <v>21083</v>
      </c>
      <c r="C282">
        <v>0</v>
      </c>
      <c r="D282">
        <v>7</v>
      </c>
      <c r="E282">
        <v>4</v>
      </c>
      <c r="F282">
        <v>6</v>
      </c>
      <c r="G282">
        <v>0</v>
      </c>
      <c r="H282">
        <v>0</v>
      </c>
      <c r="I282">
        <v>0</v>
      </c>
      <c r="J282">
        <v>7</v>
      </c>
      <c r="K282">
        <v>42</v>
      </c>
      <c r="L282">
        <v>6</v>
      </c>
      <c r="M282">
        <v>0</v>
      </c>
      <c r="N282">
        <v>1</v>
      </c>
      <c r="O282">
        <v>0</v>
      </c>
      <c r="P282">
        <v>0</v>
      </c>
      <c r="Q282">
        <v>0</v>
      </c>
      <c r="R282">
        <v>0</v>
      </c>
      <c r="S282">
        <v>4.75</v>
      </c>
      <c r="T282">
        <v>1.5</v>
      </c>
      <c r="U282">
        <v>2</v>
      </c>
      <c r="V282">
        <v>8.25</v>
      </c>
      <c r="W282">
        <v>77.5</v>
      </c>
      <c r="X282">
        <v>0</v>
      </c>
      <c r="Y282">
        <v>7</v>
      </c>
      <c r="Z282">
        <v>0</v>
      </c>
      <c r="AA282">
        <v>0</v>
      </c>
      <c r="AB282">
        <v>0</v>
      </c>
      <c r="AC282">
        <v>0</v>
      </c>
      <c r="AD282">
        <v>0</v>
      </c>
      <c r="AE282">
        <v>0</v>
      </c>
      <c r="AF282">
        <v>0</v>
      </c>
      <c r="AG282">
        <v>117.5</v>
      </c>
      <c r="AH282">
        <v>117.5</v>
      </c>
      <c r="AI282">
        <v>0</v>
      </c>
      <c r="AJ282">
        <v>0</v>
      </c>
      <c r="AK282">
        <v>0</v>
      </c>
      <c r="AL282">
        <v>0</v>
      </c>
      <c r="AM282">
        <v>0</v>
      </c>
      <c r="AN282">
        <v>0</v>
      </c>
      <c r="AO282">
        <v>0</v>
      </c>
      <c r="AP282">
        <v>0</v>
      </c>
      <c r="AQ282">
        <v>0</v>
      </c>
      <c r="AR282">
        <v>0</v>
      </c>
      <c r="AS282">
        <v>0</v>
      </c>
      <c r="AT282">
        <v>42</v>
      </c>
      <c r="AU282">
        <v>0</v>
      </c>
      <c r="AV282">
        <v>42</v>
      </c>
      <c r="AW282">
        <v>0</v>
      </c>
      <c r="AX282">
        <v>4.75</v>
      </c>
      <c r="AY282">
        <v>0</v>
      </c>
      <c r="AZ282">
        <v>4.25</v>
      </c>
      <c r="BA282">
        <v>0</v>
      </c>
      <c r="BB282">
        <v>1.5</v>
      </c>
      <c r="BC282">
        <v>0</v>
      </c>
      <c r="BD282">
        <v>1.5</v>
      </c>
      <c r="BE282">
        <v>0</v>
      </c>
    </row>
    <row r="283" spans="1:57">
      <c r="A283" t="s">
        <v>17202</v>
      </c>
      <c r="B283" t="s">
        <v>19988</v>
      </c>
      <c r="C283">
        <v>0</v>
      </c>
      <c r="D283">
        <v>1</v>
      </c>
      <c r="E283">
        <v>1</v>
      </c>
      <c r="F283">
        <v>1</v>
      </c>
      <c r="G283">
        <v>1</v>
      </c>
      <c r="H283">
        <v>0</v>
      </c>
      <c r="I283">
        <v>0</v>
      </c>
      <c r="J283">
        <v>1</v>
      </c>
      <c r="K283">
        <v>8</v>
      </c>
      <c r="L283">
        <v>0</v>
      </c>
      <c r="M283">
        <v>0</v>
      </c>
      <c r="N283">
        <v>1</v>
      </c>
      <c r="O283">
        <v>0</v>
      </c>
      <c r="P283">
        <v>0</v>
      </c>
      <c r="Q283">
        <v>0</v>
      </c>
      <c r="R283">
        <v>0</v>
      </c>
      <c r="S283">
        <v>1.5</v>
      </c>
      <c r="T283">
        <v>0.5</v>
      </c>
      <c r="U283">
        <v>1</v>
      </c>
      <c r="V283">
        <v>3</v>
      </c>
      <c r="W283">
        <v>25</v>
      </c>
      <c r="X283">
        <v>0</v>
      </c>
      <c r="Y283">
        <v>1</v>
      </c>
      <c r="Z283">
        <v>0</v>
      </c>
      <c r="AA283">
        <v>0</v>
      </c>
      <c r="AB283">
        <v>0</v>
      </c>
      <c r="AC283">
        <v>0</v>
      </c>
      <c r="AD283">
        <v>0</v>
      </c>
      <c r="AE283">
        <v>0</v>
      </c>
      <c r="AF283">
        <v>0</v>
      </c>
      <c r="AG283">
        <v>45</v>
      </c>
      <c r="AH283">
        <v>45</v>
      </c>
      <c r="AI283">
        <v>0</v>
      </c>
      <c r="AJ283">
        <v>0</v>
      </c>
      <c r="AK283">
        <v>0</v>
      </c>
      <c r="AL283">
        <v>0</v>
      </c>
      <c r="AM283">
        <v>0</v>
      </c>
      <c r="AN283">
        <v>0</v>
      </c>
      <c r="AO283">
        <v>0</v>
      </c>
      <c r="AP283">
        <v>0</v>
      </c>
      <c r="AQ283">
        <v>0</v>
      </c>
      <c r="AR283">
        <v>0</v>
      </c>
      <c r="AS283">
        <v>0</v>
      </c>
      <c r="AT283">
        <v>8</v>
      </c>
      <c r="AU283">
        <v>0</v>
      </c>
      <c r="AV283">
        <v>8</v>
      </c>
      <c r="AW283">
        <v>0</v>
      </c>
      <c r="AX283">
        <v>1.5</v>
      </c>
      <c r="AY283">
        <v>0</v>
      </c>
      <c r="AZ283">
        <v>1.5</v>
      </c>
      <c r="BA283">
        <v>0</v>
      </c>
      <c r="BB283">
        <v>0.5</v>
      </c>
      <c r="BC283">
        <v>0</v>
      </c>
      <c r="BD283">
        <v>0.5</v>
      </c>
      <c r="BE283">
        <v>0</v>
      </c>
    </row>
    <row r="284" spans="1:57">
      <c r="A284" t="s">
        <v>17202</v>
      </c>
      <c r="B284" t="s">
        <v>18843</v>
      </c>
      <c r="C284">
        <v>0</v>
      </c>
      <c r="D284">
        <v>1</v>
      </c>
      <c r="E284">
        <v>1</v>
      </c>
      <c r="F284">
        <v>1</v>
      </c>
      <c r="G284">
        <v>0</v>
      </c>
      <c r="H284">
        <v>0</v>
      </c>
      <c r="I284">
        <v>0</v>
      </c>
      <c r="J284">
        <v>1</v>
      </c>
      <c r="K284">
        <v>116</v>
      </c>
      <c r="L284">
        <v>1</v>
      </c>
      <c r="M284">
        <v>0</v>
      </c>
      <c r="N284">
        <v>0</v>
      </c>
      <c r="O284">
        <v>0</v>
      </c>
      <c r="P284">
        <v>0</v>
      </c>
      <c r="Q284">
        <v>0</v>
      </c>
      <c r="R284">
        <v>0</v>
      </c>
      <c r="S284">
        <v>8</v>
      </c>
      <c r="T284">
        <v>15.25</v>
      </c>
      <c r="U284">
        <v>0</v>
      </c>
      <c r="V284">
        <v>23.25</v>
      </c>
      <c r="W284">
        <v>385</v>
      </c>
      <c r="X284">
        <v>0</v>
      </c>
      <c r="Y284">
        <v>1</v>
      </c>
      <c r="Z284">
        <v>0</v>
      </c>
      <c r="AA284">
        <v>0</v>
      </c>
      <c r="AB284">
        <v>355</v>
      </c>
      <c r="AC284">
        <v>0</v>
      </c>
      <c r="AD284">
        <v>0</v>
      </c>
      <c r="AE284">
        <v>355</v>
      </c>
      <c r="AF284">
        <v>355</v>
      </c>
      <c r="AG284">
        <v>385</v>
      </c>
      <c r="AH284">
        <v>30</v>
      </c>
      <c r="AI284">
        <v>0</v>
      </c>
      <c r="AJ284">
        <v>0</v>
      </c>
      <c r="AK284">
        <v>0</v>
      </c>
      <c r="AL284">
        <v>0</v>
      </c>
      <c r="AM284">
        <v>0</v>
      </c>
      <c r="AN284">
        <v>0</v>
      </c>
      <c r="AO284">
        <v>0</v>
      </c>
      <c r="AP284">
        <v>1</v>
      </c>
      <c r="AQ284">
        <v>0</v>
      </c>
      <c r="AR284">
        <v>0</v>
      </c>
      <c r="AS284">
        <v>0</v>
      </c>
      <c r="AT284">
        <v>116</v>
      </c>
      <c r="AU284">
        <v>0</v>
      </c>
      <c r="AV284">
        <v>116</v>
      </c>
      <c r="AW284">
        <v>0</v>
      </c>
      <c r="AX284">
        <v>8</v>
      </c>
      <c r="AY284">
        <v>0</v>
      </c>
      <c r="AZ284">
        <v>8</v>
      </c>
      <c r="BA284">
        <v>0</v>
      </c>
      <c r="BB284">
        <v>15.25</v>
      </c>
      <c r="BC284">
        <v>0</v>
      </c>
      <c r="BD284">
        <v>15.25</v>
      </c>
      <c r="BE284">
        <v>0</v>
      </c>
    </row>
    <row r="285" spans="1:57">
      <c r="A285" t="s">
        <v>17140</v>
      </c>
      <c r="B285" t="s">
        <v>17155</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row>
    <row r="286" spans="1:57">
      <c r="A286" t="s">
        <v>17140</v>
      </c>
      <c r="B286" t="s">
        <v>17156</v>
      </c>
      <c r="C286">
        <v>0</v>
      </c>
      <c r="D286">
        <v>5</v>
      </c>
      <c r="E286">
        <v>5</v>
      </c>
      <c r="F286">
        <v>5</v>
      </c>
      <c r="G286">
        <v>0</v>
      </c>
      <c r="H286">
        <v>0</v>
      </c>
      <c r="I286">
        <v>0</v>
      </c>
      <c r="J286">
        <v>5</v>
      </c>
      <c r="K286">
        <v>18</v>
      </c>
      <c r="L286">
        <v>2</v>
      </c>
      <c r="M286">
        <v>2</v>
      </c>
      <c r="N286">
        <v>1</v>
      </c>
      <c r="O286">
        <v>0</v>
      </c>
      <c r="P286">
        <v>0</v>
      </c>
      <c r="Q286">
        <v>0</v>
      </c>
      <c r="R286">
        <v>0</v>
      </c>
      <c r="S286">
        <v>12.75</v>
      </c>
      <c r="T286">
        <v>1.5</v>
      </c>
      <c r="U286">
        <v>5.5</v>
      </c>
      <c r="V286">
        <v>19.25</v>
      </c>
      <c r="W286">
        <v>147.5</v>
      </c>
      <c r="X286">
        <v>0</v>
      </c>
      <c r="Y286">
        <v>4</v>
      </c>
      <c r="Z286">
        <v>0</v>
      </c>
      <c r="AA286">
        <v>0</v>
      </c>
      <c r="AB286">
        <v>80</v>
      </c>
      <c r="AC286">
        <v>0</v>
      </c>
      <c r="AD286">
        <v>0</v>
      </c>
      <c r="AE286">
        <v>0</v>
      </c>
      <c r="AF286">
        <v>80</v>
      </c>
      <c r="AG286">
        <v>257.5</v>
      </c>
      <c r="AH286">
        <v>257.5</v>
      </c>
      <c r="AI286">
        <v>0</v>
      </c>
      <c r="AJ286">
        <v>0</v>
      </c>
      <c r="AK286">
        <v>0</v>
      </c>
      <c r="AL286">
        <v>0</v>
      </c>
      <c r="AM286">
        <v>0</v>
      </c>
      <c r="AN286">
        <v>0</v>
      </c>
      <c r="AO286">
        <v>0</v>
      </c>
      <c r="AP286">
        <v>0</v>
      </c>
      <c r="AQ286">
        <v>0</v>
      </c>
      <c r="AR286">
        <v>0</v>
      </c>
      <c r="AS286">
        <v>0</v>
      </c>
      <c r="AT286">
        <v>18</v>
      </c>
      <c r="AU286">
        <v>0</v>
      </c>
      <c r="AV286">
        <v>18</v>
      </c>
      <c r="AW286">
        <v>0</v>
      </c>
      <c r="AX286">
        <v>12.75</v>
      </c>
      <c r="AY286">
        <v>0</v>
      </c>
      <c r="AZ286">
        <v>12.75</v>
      </c>
      <c r="BA286">
        <v>0</v>
      </c>
      <c r="BB286">
        <v>1.5</v>
      </c>
      <c r="BC286">
        <v>0</v>
      </c>
      <c r="BD286">
        <v>1.5</v>
      </c>
      <c r="BE286">
        <v>0</v>
      </c>
    </row>
    <row r="287" spans="1:57">
      <c r="A287" t="s">
        <v>17140</v>
      </c>
      <c r="B287" t="s">
        <v>17157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row>
    <row r="288" spans="1:57">
      <c r="A288" t="s">
        <v>17140</v>
      </c>
      <c r="B288" t="s">
        <v>17159</v>
      </c>
      <c r="C288">
        <v>0</v>
      </c>
      <c r="D288">
        <v>4</v>
      </c>
      <c r="E288">
        <v>4</v>
      </c>
      <c r="F288">
        <v>0</v>
      </c>
      <c r="G288">
        <v>0</v>
      </c>
      <c r="H288">
        <v>0</v>
      </c>
      <c r="I288">
        <v>0</v>
      </c>
      <c r="J288">
        <v>4</v>
      </c>
      <c r="K288">
        <v>4</v>
      </c>
      <c r="L288">
        <v>4</v>
      </c>
      <c r="M288">
        <v>0</v>
      </c>
      <c r="N288">
        <v>0</v>
      </c>
      <c r="O288">
        <v>0</v>
      </c>
      <c r="P288">
        <v>0</v>
      </c>
      <c r="Q288">
        <v>0</v>
      </c>
      <c r="R288">
        <v>0</v>
      </c>
      <c r="S288">
        <v>0.75</v>
      </c>
      <c r="T288">
        <v>1.5</v>
      </c>
      <c r="U288">
        <v>0</v>
      </c>
      <c r="V288">
        <v>2.25</v>
      </c>
      <c r="W288">
        <v>37.5</v>
      </c>
      <c r="X288">
        <v>0</v>
      </c>
      <c r="Y288">
        <v>3</v>
      </c>
      <c r="Z288">
        <v>0</v>
      </c>
      <c r="AA288">
        <v>0</v>
      </c>
      <c r="AB288">
        <v>0</v>
      </c>
      <c r="AC288">
        <v>0</v>
      </c>
      <c r="AD288">
        <v>0</v>
      </c>
      <c r="AE288">
        <v>0</v>
      </c>
      <c r="AF288">
        <v>0</v>
      </c>
      <c r="AG288">
        <v>37.5</v>
      </c>
      <c r="AH288">
        <v>37.5</v>
      </c>
      <c r="AI288">
        <v>0</v>
      </c>
      <c r="AJ288">
        <v>0</v>
      </c>
      <c r="AK288">
        <v>0</v>
      </c>
      <c r="AL288">
        <v>0</v>
      </c>
      <c r="AM288">
        <v>0</v>
      </c>
      <c r="AN288">
        <v>0</v>
      </c>
      <c r="AO288">
        <v>0</v>
      </c>
      <c r="AP288">
        <v>0</v>
      </c>
      <c r="AQ288">
        <v>0</v>
      </c>
      <c r="AR288">
        <v>0</v>
      </c>
      <c r="AS288">
        <v>0</v>
      </c>
      <c r="AT288">
        <v>4</v>
      </c>
      <c r="AU288">
        <v>0</v>
      </c>
      <c r="AV288">
        <v>4</v>
      </c>
      <c r="AW288">
        <v>0</v>
      </c>
      <c r="AX288">
        <v>0.75</v>
      </c>
      <c r="AY288">
        <v>0</v>
      </c>
      <c r="AZ288">
        <v>0.75</v>
      </c>
      <c r="BA288">
        <v>0</v>
      </c>
      <c r="BB288">
        <v>1.5</v>
      </c>
      <c r="BC288">
        <v>0</v>
      </c>
      <c r="BD288">
        <v>1.5</v>
      </c>
      <c r="BE288">
        <v>0</v>
      </c>
    </row>
    <row r="289" spans="1:57">
      <c r="A289" t="s">
        <v>17140</v>
      </c>
      <c r="B289" t="s">
        <v>17159</v>
      </c>
      <c r="C289">
        <v>0</v>
      </c>
      <c r="D289">
        <v>3</v>
      </c>
      <c r="E289">
        <v>3</v>
      </c>
      <c r="F289">
        <v>0</v>
      </c>
      <c r="G289">
        <v>0</v>
      </c>
      <c r="H289">
        <v>1</v>
      </c>
      <c r="I289">
        <v>1</v>
      </c>
      <c r="J289">
        <v>3</v>
      </c>
      <c r="K289">
        <v>76</v>
      </c>
      <c r="L289">
        <v>3</v>
      </c>
      <c r="M289">
        <v>0</v>
      </c>
      <c r="N289">
        <v>0</v>
      </c>
      <c r="O289">
        <v>0</v>
      </c>
      <c r="P289">
        <v>0</v>
      </c>
      <c r="Q289">
        <v>0</v>
      </c>
      <c r="R289">
        <v>0</v>
      </c>
      <c r="S289">
        <v>590.5</v>
      </c>
      <c r="T289">
        <v>16</v>
      </c>
      <c r="U289">
        <v>0</v>
      </c>
      <c r="V289">
        <v>606.5</v>
      </c>
      <c r="W289">
        <v>6225</v>
      </c>
      <c r="X289">
        <v>0</v>
      </c>
      <c r="Y289">
        <v>3</v>
      </c>
      <c r="Z289">
        <v>0</v>
      </c>
      <c r="AA289">
        <v>0</v>
      </c>
      <c r="AB289">
        <v>6170</v>
      </c>
      <c r="AC289">
        <v>0</v>
      </c>
      <c r="AD289">
        <v>0</v>
      </c>
      <c r="AE289">
        <v>0</v>
      </c>
      <c r="AF289">
        <v>6170</v>
      </c>
      <c r="AG289">
        <v>6225</v>
      </c>
      <c r="AH289">
        <v>6225</v>
      </c>
      <c r="AI289">
        <v>0</v>
      </c>
      <c r="AJ289">
        <v>6170</v>
      </c>
      <c r="AK289">
        <v>6200</v>
      </c>
      <c r="AL289">
        <v>6200</v>
      </c>
      <c r="AM289">
        <v>0</v>
      </c>
      <c r="AN289">
        <v>0</v>
      </c>
      <c r="AO289">
        <v>0</v>
      </c>
      <c r="AP289">
        <v>0</v>
      </c>
      <c r="AQ289">
        <v>0</v>
      </c>
      <c r="AR289">
        <v>0</v>
      </c>
      <c r="AS289">
        <v>0</v>
      </c>
      <c r="AT289">
        <v>76</v>
      </c>
      <c r="AU289">
        <v>74</v>
      </c>
      <c r="AV289">
        <v>2</v>
      </c>
      <c r="AW289">
        <v>0</v>
      </c>
      <c r="AX289">
        <v>590.5</v>
      </c>
      <c r="AY289">
        <v>590</v>
      </c>
      <c r="AZ289">
        <v>0.5</v>
      </c>
      <c r="BA289">
        <v>0</v>
      </c>
      <c r="BB289">
        <v>16</v>
      </c>
      <c r="BC289">
        <v>15</v>
      </c>
      <c r="BD289">
        <v>1</v>
      </c>
      <c r="BE289">
        <v>0</v>
      </c>
    </row>
    <row r="290" spans="1:57">
      <c r="A290" t="s">
        <v>17140</v>
      </c>
      <c r="B290" t="s">
        <v>17160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row>
    <row r="291" spans="1:57">
      <c r="A291" t="s">
        <v>17140</v>
      </c>
      <c r="B291" t="s">
        <v>17161</v>
      </c>
      <c r="C291">
        <v>0</v>
      </c>
      <c r="D291">
        <v>25</v>
      </c>
      <c r="E291">
        <v>25</v>
      </c>
      <c r="F291">
        <v>21</v>
      </c>
      <c r="G291">
        <v>6</v>
      </c>
      <c r="H291">
        <v>0</v>
      </c>
      <c r="I291">
        <v>4</v>
      </c>
      <c r="J291">
        <v>25</v>
      </c>
      <c r="K291">
        <v>270</v>
      </c>
      <c r="L291">
        <v>11</v>
      </c>
      <c r="M291">
        <v>1</v>
      </c>
      <c r="N291">
        <v>0</v>
      </c>
      <c r="O291">
        <v>7</v>
      </c>
      <c r="P291">
        <v>0</v>
      </c>
      <c r="Q291">
        <v>6</v>
      </c>
      <c r="R291">
        <v>0</v>
      </c>
      <c r="S291">
        <v>8</v>
      </c>
      <c r="T291">
        <v>11.75</v>
      </c>
      <c r="U291">
        <v>0</v>
      </c>
      <c r="V291">
        <v>19.75</v>
      </c>
      <c r="W291">
        <v>315</v>
      </c>
      <c r="X291">
        <v>0</v>
      </c>
      <c r="Y291">
        <v>20</v>
      </c>
      <c r="Z291">
        <v>4</v>
      </c>
      <c r="AA291">
        <v>0</v>
      </c>
      <c r="AB291">
        <v>27.5</v>
      </c>
      <c r="AC291">
        <v>0</v>
      </c>
      <c r="AD291">
        <v>0</v>
      </c>
      <c r="AE291">
        <v>75</v>
      </c>
      <c r="AF291">
        <v>27.5</v>
      </c>
      <c r="AG291">
        <v>315</v>
      </c>
      <c r="AH291">
        <v>240</v>
      </c>
      <c r="AI291">
        <v>0</v>
      </c>
      <c r="AJ291">
        <v>0</v>
      </c>
      <c r="AK291">
        <v>0</v>
      </c>
      <c r="AL291">
        <v>0</v>
      </c>
      <c r="AM291">
        <v>0</v>
      </c>
      <c r="AN291">
        <v>5</v>
      </c>
      <c r="AO291">
        <v>0</v>
      </c>
      <c r="AP291">
        <v>0</v>
      </c>
      <c r="AQ291">
        <v>0</v>
      </c>
      <c r="AR291">
        <v>0</v>
      </c>
      <c r="AS291">
        <v>0</v>
      </c>
      <c r="AT291">
        <v>270</v>
      </c>
      <c r="AU291">
        <v>0</v>
      </c>
      <c r="AV291">
        <v>270</v>
      </c>
      <c r="AW291">
        <v>0</v>
      </c>
      <c r="AX291">
        <v>8</v>
      </c>
      <c r="AY291">
        <v>0</v>
      </c>
      <c r="AZ291">
        <v>8</v>
      </c>
      <c r="BA291">
        <v>0</v>
      </c>
      <c r="BB291">
        <v>11.75</v>
      </c>
      <c r="BC291">
        <v>0</v>
      </c>
      <c r="BD291">
        <v>11.75</v>
      </c>
      <c r="BE291">
        <v>0</v>
      </c>
    </row>
    <row r="292" spans="1:57">
      <c r="A292" t="s">
        <v>17140</v>
      </c>
      <c r="B292" t="s">
        <v>17141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row>
    <row r="293" spans="1:57">
      <c r="A293" t="s">
        <v>17140</v>
      </c>
      <c r="B293" t="s">
        <v>17162</v>
      </c>
      <c r="C293">
        <v>0</v>
      </c>
      <c r="D293">
        <v>5</v>
      </c>
      <c r="E293">
        <v>0</v>
      </c>
      <c r="F293">
        <v>5</v>
      </c>
      <c r="G293">
        <v>0</v>
      </c>
      <c r="H293">
        <v>0</v>
      </c>
      <c r="I293">
        <v>0</v>
      </c>
      <c r="J293">
        <v>5</v>
      </c>
      <c r="K293">
        <v>17</v>
      </c>
      <c r="L293">
        <v>2</v>
      </c>
      <c r="M293">
        <v>2</v>
      </c>
      <c r="N293">
        <v>0</v>
      </c>
      <c r="O293">
        <v>1</v>
      </c>
      <c r="P293">
        <v>0</v>
      </c>
      <c r="Q293">
        <v>0</v>
      </c>
      <c r="R293">
        <v>0</v>
      </c>
      <c r="S293">
        <v>0.75</v>
      </c>
      <c r="T293">
        <v>0.75</v>
      </c>
      <c r="U293">
        <v>0</v>
      </c>
      <c r="V293">
        <v>1.5</v>
      </c>
      <c r="W293">
        <v>22.5</v>
      </c>
      <c r="X293">
        <v>0</v>
      </c>
      <c r="Y293">
        <v>1</v>
      </c>
      <c r="Z293">
        <v>0</v>
      </c>
      <c r="AA293">
        <v>0</v>
      </c>
      <c r="AB293">
        <v>0</v>
      </c>
      <c r="AC293">
        <v>0</v>
      </c>
      <c r="AD293">
        <v>0</v>
      </c>
      <c r="AE293">
        <v>0</v>
      </c>
      <c r="AF293">
        <v>0</v>
      </c>
      <c r="AG293">
        <v>22.5</v>
      </c>
      <c r="AH293">
        <v>22.5</v>
      </c>
      <c r="AI293">
        <v>0</v>
      </c>
      <c r="AJ293">
        <v>0</v>
      </c>
      <c r="AK293">
        <v>0</v>
      </c>
      <c r="AL293">
        <v>0</v>
      </c>
      <c r="AM293">
        <v>0</v>
      </c>
      <c r="AN293">
        <v>0</v>
      </c>
      <c r="AO293">
        <v>0</v>
      </c>
      <c r="AP293">
        <v>0</v>
      </c>
      <c r="AQ293">
        <v>0</v>
      </c>
      <c r="AR293">
        <v>0</v>
      </c>
      <c r="AS293">
        <v>0</v>
      </c>
      <c r="AT293">
        <v>17</v>
      </c>
      <c r="AU293">
        <v>0</v>
      </c>
      <c r="AV293">
        <v>17</v>
      </c>
      <c r="AW293">
        <v>0</v>
      </c>
      <c r="AX293">
        <v>0.75</v>
      </c>
      <c r="AY293">
        <v>0</v>
      </c>
      <c r="AZ293">
        <v>0.75</v>
      </c>
      <c r="BA293">
        <v>0</v>
      </c>
      <c r="BB293">
        <v>0.75</v>
      </c>
      <c r="BC293">
        <v>0</v>
      </c>
      <c r="BD293">
        <v>0.75</v>
      </c>
      <c r="BE293">
        <v>0</v>
      </c>
    </row>
    <row r="294" spans="1:57">
      <c r="A294" t="s">
        <v>17140</v>
      </c>
      <c r="B294" t="s">
        <v>17165</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row>
    <row r="295" spans="1:57">
      <c r="A295" t="s">
        <v>17140</v>
      </c>
      <c r="B295" t="s">
        <v>17166</v>
      </c>
      <c r="C295">
        <v>2</v>
      </c>
      <c r="D295">
        <v>10</v>
      </c>
      <c r="E295">
        <v>10</v>
      </c>
      <c r="F295">
        <v>9</v>
      </c>
      <c r="G295">
        <v>0</v>
      </c>
      <c r="H295">
        <v>2</v>
      </c>
      <c r="I295">
        <v>0</v>
      </c>
      <c r="J295">
        <v>10</v>
      </c>
      <c r="K295">
        <v>77</v>
      </c>
      <c r="L295">
        <v>7</v>
      </c>
      <c r="M295">
        <v>1</v>
      </c>
      <c r="N295">
        <v>0</v>
      </c>
      <c r="O295">
        <v>0</v>
      </c>
      <c r="P295">
        <v>0</v>
      </c>
      <c r="Q295">
        <v>2</v>
      </c>
      <c r="R295">
        <v>0</v>
      </c>
      <c r="S295">
        <v>3.25</v>
      </c>
      <c r="T295">
        <v>1.4</v>
      </c>
      <c r="U295">
        <v>0</v>
      </c>
      <c r="V295">
        <v>4.6500000000000004</v>
      </c>
      <c r="W295">
        <v>60.5</v>
      </c>
      <c r="X295">
        <v>0</v>
      </c>
      <c r="Y295">
        <v>6</v>
      </c>
      <c r="Z295">
        <v>0</v>
      </c>
      <c r="AA295">
        <v>0</v>
      </c>
      <c r="AB295">
        <v>0</v>
      </c>
      <c r="AC295">
        <v>247.95000000000002</v>
      </c>
      <c r="AD295">
        <v>247.95000000000002</v>
      </c>
      <c r="AE295">
        <v>36.6</v>
      </c>
      <c r="AF295">
        <v>247.95000000000002</v>
      </c>
      <c r="AG295">
        <v>308.45000000000005</v>
      </c>
      <c r="AH295">
        <v>300</v>
      </c>
      <c r="AI295">
        <v>0</v>
      </c>
      <c r="AJ295">
        <v>239.5</v>
      </c>
      <c r="AK295">
        <v>239.5</v>
      </c>
      <c r="AL295">
        <v>239.5</v>
      </c>
      <c r="AM295">
        <v>5</v>
      </c>
      <c r="AN295">
        <v>1</v>
      </c>
      <c r="AO295">
        <v>0</v>
      </c>
      <c r="AP295">
        <v>0</v>
      </c>
      <c r="AQ295">
        <v>0</v>
      </c>
      <c r="AR295">
        <v>0</v>
      </c>
      <c r="AS295">
        <v>0</v>
      </c>
      <c r="AT295">
        <v>77</v>
      </c>
      <c r="AU295">
        <v>34</v>
      </c>
      <c r="AV295">
        <v>43</v>
      </c>
      <c r="AW295">
        <v>34</v>
      </c>
      <c r="AX295">
        <v>3.25</v>
      </c>
      <c r="AY295">
        <v>0</v>
      </c>
      <c r="AZ295">
        <v>3.25</v>
      </c>
      <c r="BA295">
        <v>0</v>
      </c>
      <c r="BB295">
        <v>1.4</v>
      </c>
      <c r="BC295">
        <v>0</v>
      </c>
      <c r="BD295">
        <v>1.4</v>
      </c>
      <c r="BE295">
        <v>0</v>
      </c>
    </row>
    <row r="296" spans="1:57">
      <c r="A296" t="s">
        <v>17140</v>
      </c>
      <c r="B296" t="s">
        <v>17168</v>
      </c>
      <c r="C296">
        <v>0</v>
      </c>
      <c r="D296">
        <v>1</v>
      </c>
      <c r="E296">
        <v>1</v>
      </c>
      <c r="F296">
        <v>0</v>
      </c>
      <c r="G296">
        <v>0</v>
      </c>
      <c r="H296">
        <v>0</v>
      </c>
      <c r="I296">
        <v>0</v>
      </c>
      <c r="J296">
        <v>1</v>
      </c>
      <c r="K296">
        <v>19</v>
      </c>
      <c r="L296">
        <v>1</v>
      </c>
      <c r="M296">
        <v>0</v>
      </c>
      <c r="N296">
        <v>0</v>
      </c>
      <c r="O296">
        <v>0</v>
      </c>
      <c r="P296">
        <v>0</v>
      </c>
      <c r="Q296">
        <v>0</v>
      </c>
      <c r="R296">
        <v>0</v>
      </c>
      <c r="S296">
        <v>2</v>
      </c>
      <c r="T296">
        <v>0.5</v>
      </c>
      <c r="U296">
        <v>0</v>
      </c>
      <c r="V296">
        <v>2.5</v>
      </c>
      <c r="W296">
        <v>30</v>
      </c>
      <c r="X296">
        <v>0</v>
      </c>
      <c r="Y296">
        <v>1</v>
      </c>
      <c r="Z296">
        <v>0</v>
      </c>
      <c r="AA296">
        <v>0</v>
      </c>
      <c r="AB296">
        <v>0</v>
      </c>
      <c r="AC296">
        <v>0</v>
      </c>
      <c r="AD296">
        <v>0</v>
      </c>
      <c r="AE296">
        <v>0</v>
      </c>
      <c r="AF296">
        <v>0</v>
      </c>
      <c r="AG296">
        <v>30</v>
      </c>
      <c r="AH296">
        <v>30</v>
      </c>
      <c r="AI296">
        <v>0</v>
      </c>
      <c r="AJ296">
        <v>0</v>
      </c>
      <c r="AK296">
        <v>0</v>
      </c>
      <c r="AL296">
        <v>0</v>
      </c>
      <c r="AM296">
        <v>0</v>
      </c>
      <c r="AN296">
        <v>0</v>
      </c>
      <c r="AO296">
        <v>0</v>
      </c>
      <c r="AP296">
        <v>0</v>
      </c>
      <c r="AQ296">
        <v>0</v>
      </c>
      <c r="AR296">
        <v>0</v>
      </c>
      <c r="AS296">
        <v>0</v>
      </c>
      <c r="AT296">
        <v>19</v>
      </c>
      <c r="AU296">
        <v>0</v>
      </c>
      <c r="AV296">
        <v>19</v>
      </c>
      <c r="AW296">
        <v>0</v>
      </c>
      <c r="AX296">
        <v>2</v>
      </c>
      <c r="AY296">
        <v>0</v>
      </c>
      <c r="AZ296">
        <v>2</v>
      </c>
      <c r="BA296">
        <v>0</v>
      </c>
      <c r="BB296">
        <v>0.5</v>
      </c>
      <c r="BC296">
        <v>0</v>
      </c>
      <c r="BD296">
        <v>0.5</v>
      </c>
      <c r="BE296">
        <v>0</v>
      </c>
    </row>
    <row r="297" spans="1:57">
      <c r="A297" t="s">
        <v>17169</v>
      </c>
      <c r="B297" t="s">
        <v>17170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row>
    <row r="298" spans="1:57">
      <c r="A298" t="s">
        <v>17169</v>
      </c>
      <c r="B298" t="s">
        <v>17319</v>
      </c>
      <c r="C298">
        <v>35</v>
      </c>
      <c r="D298">
        <v>85</v>
      </c>
      <c r="E298">
        <v>85</v>
      </c>
      <c r="F298">
        <v>79</v>
      </c>
      <c r="G298">
        <v>0</v>
      </c>
      <c r="H298">
        <v>11</v>
      </c>
      <c r="I298">
        <v>4</v>
      </c>
      <c r="J298">
        <v>84</v>
      </c>
      <c r="K298">
        <v>496</v>
      </c>
      <c r="L298">
        <v>81</v>
      </c>
      <c r="M298">
        <v>0</v>
      </c>
      <c r="N298">
        <v>3</v>
      </c>
      <c r="O298">
        <v>0</v>
      </c>
      <c r="P298">
        <v>0</v>
      </c>
      <c r="Q298">
        <v>0</v>
      </c>
      <c r="R298">
        <v>0</v>
      </c>
      <c r="S298">
        <v>65.5</v>
      </c>
      <c r="T298">
        <v>2.75</v>
      </c>
      <c r="U298">
        <v>0</v>
      </c>
      <c r="V298">
        <v>68.25</v>
      </c>
      <c r="W298">
        <v>622.5</v>
      </c>
      <c r="X298">
        <v>0</v>
      </c>
      <c r="Y298">
        <v>49</v>
      </c>
      <c r="Z298">
        <v>0</v>
      </c>
      <c r="AA298">
        <v>-87.5</v>
      </c>
      <c r="AB298">
        <v>210</v>
      </c>
      <c r="AC298">
        <v>0</v>
      </c>
      <c r="AD298">
        <v>0</v>
      </c>
      <c r="AE298">
        <v>0</v>
      </c>
      <c r="AF298">
        <v>210</v>
      </c>
      <c r="AG298">
        <v>622.5</v>
      </c>
      <c r="AH298">
        <v>622.5</v>
      </c>
      <c r="AI298">
        <v>0</v>
      </c>
      <c r="AJ298">
        <v>150</v>
      </c>
      <c r="AK298">
        <v>287.5</v>
      </c>
      <c r="AL298">
        <v>287.5</v>
      </c>
      <c r="AM298">
        <v>0</v>
      </c>
      <c r="AN298">
        <v>0</v>
      </c>
      <c r="AO298">
        <v>0</v>
      </c>
      <c r="AP298">
        <v>0</v>
      </c>
      <c r="AQ298">
        <v>0</v>
      </c>
      <c r="AR298">
        <v>0</v>
      </c>
      <c r="AS298">
        <v>0</v>
      </c>
      <c r="AT298">
        <v>496</v>
      </c>
      <c r="AU298">
        <v>170</v>
      </c>
      <c r="AV298">
        <v>276</v>
      </c>
      <c r="AW298">
        <v>50</v>
      </c>
      <c r="AX298">
        <v>65.5</v>
      </c>
      <c r="AY298">
        <v>28.75</v>
      </c>
      <c r="AZ298">
        <v>28</v>
      </c>
      <c r="BA298">
        <v>8.75</v>
      </c>
      <c r="BB298">
        <v>2.75</v>
      </c>
      <c r="BC298">
        <v>0</v>
      </c>
      <c r="BD298">
        <v>2.75</v>
      </c>
      <c r="BE298">
        <v>0</v>
      </c>
    </row>
    <row r="299" spans="1:57">
      <c r="A299" t="s">
        <v>17169</v>
      </c>
      <c r="B299" t="s">
        <v>17172</v>
      </c>
      <c r="C299">
        <v>0</v>
      </c>
      <c r="D299">
        <v>33</v>
      </c>
      <c r="E299">
        <v>33</v>
      </c>
      <c r="F299">
        <v>31</v>
      </c>
      <c r="G299">
        <v>3</v>
      </c>
      <c r="H299">
        <v>0</v>
      </c>
      <c r="I299">
        <v>0</v>
      </c>
      <c r="J299">
        <v>33</v>
      </c>
      <c r="K299">
        <v>264</v>
      </c>
      <c r="L299">
        <v>7</v>
      </c>
      <c r="M299">
        <v>1</v>
      </c>
      <c r="N299">
        <v>11</v>
      </c>
      <c r="O299">
        <v>6</v>
      </c>
      <c r="P299">
        <v>1</v>
      </c>
      <c r="Q299">
        <v>7</v>
      </c>
      <c r="R299">
        <v>0</v>
      </c>
      <c r="S299">
        <v>53.25</v>
      </c>
      <c r="T299">
        <v>15.5</v>
      </c>
      <c r="U299">
        <v>0</v>
      </c>
      <c r="V299">
        <v>68.75</v>
      </c>
      <c r="W299">
        <v>842.5</v>
      </c>
      <c r="X299">
        <v>0</v>
      </c>
      <c r="Y299">
        <v>17</v>
      </c>
      <c r="Z299">
        <v>2</v>
      </c>
      <c r="AA299">
        <v>0</v>
      </c>
      <c r="AB299">
        <v>410</v>
      </c>
      <c r="AC299">
        <v>195.5</v>
      </c>
      <c r="AD299">
        <v>195.5</v>
      </c>
      <c r="AE299">
        <v>395.5</v>
      </c>
      <c r="AF299">
        <v>605.5</v>
      </c>
      <c r="AG299">
        <v>1038</v>
      </c>
      <c r="AH299">
        <v>642.5</v>
      </c>
      <c r="AI299">
        <v>0</v>
      </c>
      <c r="AJ299">
        <v>0</v>
      </c>
      <c r="AK299">
        <v>0</v>
      </c>
      <c r="AL299">
        <v>0</v>
      </c>
      <c r="AM299">
        <v>264</v>
      </c>
      <c r="AN299">
        <v>0</v>
      </c>
      <c r="AO299">
        <v>264</v>
      </c>
      <c r="AP299">
        <v>0</v>
      </c>
      <c r="AQ299">
        <v>53.25</v>
      </c>
      <c r="AR299">
        <v>0</v>
      </c>
      <c r="AS299">
        <v>53.25</v>
      </c>
      <c r="AT299">
        <v>0</v>
      </c>
      <c r="AU299">
        <v>15.5</v>
      </c>
      <c r="AV299">
        <v>0</v>
      </c>
      <c r="AW299">
        <v>15.5</v>
      </c>
      <c r="AX299">
        <v>0</v>
      </c>
    </row>
    <row r="300" spans="1:57">
      <c r="A300" t="s">
        <v>17169</v>
      </c>
      <c r="B300" t="s">
        <v>17173</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row>
    <row r="301" spans="1:57">
      <c r="A301" t="s">
        <v>17169</v>
      </c>
      <c r="B301" t="s">
        <v>17174</v>
      </c>
      <c r="C301">
        <v>0</v>
      </c>
      <c r="D301">
        <v>3</v>
      </c>
      <c r="E301">
        <v>3</v>
      </c>
      <c r="F301">
        <v>3</v>
      </c>
      <c r="G301">
        <v>3</v>
      </c>
      <c r="H301">
        <v>0</v>
      </c>
      <c r="I301">
        <v>0</v>
      </c>
      <c r="J301">
        <v>3</v>
      </c>
      <c r="K301">
        <v>3</v>
      </c>
      <c r="L301">
        <v>0</v>
      </c>
      <c r="M301">
        <v>0</v>
      </c>
      <c r="N301">
        <v>0</v>
      </c>
      <c r="O301">
        <v>0</v>
      </c>
      <c r="P301">
        <v>0</v>
      </c>
      <c r="Q301">
        <v>0</v>
      </c>
      <c r="R301">
        <v>0</v>
      </c>
      <c r="S301">
        <v>24</v>
      </c>
      <c r="T301">
        <v>24</v>
      </c>
      <c r="U301">
        <v>0</v>
      </c>
      <c r="V301">
        <v>0</v>
      </c>
      <c r="W301">
        <v>720</v>
      </c>
      <c r="X301">
        <v>0</v>
      </c>
      <c r="Y301">
        <v>1</v>
      </c>
      <c r="Z301">
        <v>0</v>
      </c>
      <c r="AA301">
        <v>0</v>
      </c>
      <c r="AB301">
        <v>690</v>
      </c>
      <c r="AC301">
        <v>0</v>
      </c>
      <c r="AD301">
        <v>0</v>
      </c>
      <c r="AE301">
        <v>690</v>
      </c>
      <c r="AF301">
        <v>690</v>
      </c>
      <c r="AG301">
        <v>720</v>
      </c>
      <c r="AH301">
        <v>30</v>
      </c>
      <c r="AI301">
        <v>0</v>
      </c>
      <c r="AJ301">
        <v>0</v>
      </c>
      <c r="AK301">
        <v>0</v>
      </c>
      <c r="AL301">
        <v>0</v>
      </c>
      <c r="AM301">
        <v>0</v>
      </c>
      <c r="AN301">
        <v>0</v>
      </c>
      <c r="AO301">
        <v>0</v>
      </c>
      <c r="AP301">
        <v>0</v>
      </c>
      <c r="AQ301">
        <v>1</v>
      </c>
      <c r="AR301">
        <v>0</v>
      </c>
      <c r="AS301">
        <v>0</v>
      </c>
      <c r="AT301">
        <v>3</v>
      </c>
      <c r="AU301">
        <v>0</v>
      </c>
      <c r="AV301">
        <v>3</v>
      </c>
      <c r="AW301">
        <v>0</v>
      </c>
      <c r="AX301">
        <v>24</v>
      </c>
      <c r="AY301">
        <v>0</v>
      </c>
      <c r="AZ301">
        <v>24</v>
      </c>
      <c r="BA301">
        <v>0</v>
      </c>
      <c r="BB301">
        <v>24</v>
      </c>
      <c r="BC301">
        <v>0</v>
      </c>
      <c r="BD301">
        <v>24</v>
      </c>
      <c r="BE301">
        <v>0</v>
      </c>
    </row>
    <row r="302" spans="1:57">
      <c r="A302" t="s">
        <v>17169</v>
      </c>
      <c r="B302" t="s">
        <v>17175</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row>
    <row r="303" spans="1:57">
      <c r="A303" t="s">
        <v>17169</v>
      </c>
      <c r="B303" t="s">
        <v>17176</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row>
    <row r="304" spans="1:57">
      <c r="A304" t="s">
        <v>17169</v>
      </c>
      <c r="B304" t="s">
        <v>17177</v>
      </c>
      <c r="C304">
        <v>0</v>
      </c>
      <c r="D304">
        <v>28</v>
      </c>
      <c r="E304">
        <v>28</v>
      </c>
      <c r="F304">
        <v>25</v>
      </c>
      <c r="G304">
        <v>1</v>
      </c>
      <c r="H304">
        <v>0</v>
      </c>
      <c r="I304">
        <v>0</v>
      </c>
      <c r="J304">
        <v>28</v>
      </c>
      <c r="K304">
        <v>283</v>
      </c>
      <c r="L304">
        <v>25</v>
      </c>
      <c r="M304">
        <v>0</v>
      </c>
      <c r="N304">
        <v>0</v>
      </c>
      <c r="O304">
        <v>3</v>
      </c>
      <c r="P304">
        <v>0</v>
      </c>
      <c r="Q304">
        <v>0</v>
      </c>
      <c r="R304">
        <v>0</v>
      </c>
      <c r="S304">
        <v>13.5</v>
      </c>
      <c r="T304">
        <v>8.75</v>
      </c>
      <c r="U304">
        <v>0</v>
      </c>
      <c r="V304">
        <v>22.25</v>
      </c>
      <c r="W304">
        <v>310</v>
      </c>
      <c r="X304">
        <v>0</v>
      </c>
      <c r="Y304">
        <v>26</v>
      </c>
      <c r="Z304">
        <v>0</v>
      </c>
      <c r="AA304">
        <v>0</v>
      </c>
      <c r="AB304">
        <v>110</v>
      </c>
      <c r="AC304">
        <v>733</v>
      </c>
      <c r="AD304">
        <v>733</v>
      </c>
      <c r="AE304">
        <v>843</v>
      </c>
      <c r="AF304">
        <v>843</v>
      </c>
      <c r="AG304">
        <v>1043</v>
      </c>
      <c r="AH304">
        <v>200</v>
      </c>
      <c r="AI304">
        <v>0</v>
      </c>
      <c r="AJ304">
        <v>0</v>
      </c>
      <c r="AK304">
        <v>0</v>
      </c>
      <c r="AL304">
        <v>0</v>
      </c>
      <c r="AM304">
        <v>1</v>
      </c>
      <c r="AN304">
        <v>4</v>
      </c>
      <c r="AO304">
        <v>0</v>
      </c>
      <c r="AP304">
        <v>3</v>
      </c>
      <c r="AQ304">
        <v>0</v>
      </c>
      <c r="AR304">
        <v>0</v>
      </c>
      <c r="AS304">
        <v>0</v>
      </c>
      <c r="AT304">
        <v>283</v>
      </c>
      <c r="AU304">
        <v>0</v>
      </c>
      <c r="AV304">
        <v>283</v>
      </c>
      <c r="AW304">
        <v>0</v>
      </c>
      <c r="AX304">
        <v>13.5</v>
      </c>
      <c r="AY304">
        <v>0</v>
      </c>
      <c r="AZ304">
        <v>13.5</v>
      </c>
      <c r="BA304">
        <v>0</v>
      </c>
      <c r="BB304">
        <v>8.75</v>
      </c>
      <c r="BC304">
        <v>0</v>
      </c>
      <c r="BD304">
        <v>8.75</v>
      </c>
      <c r="BE304">
        <v>0</v>
      </c>
    </row>
    <row r="305" spans="1:57">
      <c r="A305" t="s">
        <v>17169</v>
      </c>
      <c r="B305" t="s">
        <v>17307</v>
      </c>
      <c r="C305">
        <v>0</v>
      </c>
      <c r="D305">
        <v>18</v>
      </c>
      <c r="E305">
        <v>18</v>
      </c>
      <c r="F305">
        <v>18</v>
      </c>
      <c r="G305">
        <v>0</v>
      </c>
      <c r="H305">
        <v>0</v>
      </c>
      <c r="I305">
        <v>0</v>
      </c>
      <c r="J305">
        <v>18</v>
      </c>
      <c r="K305">
        <v>67</v>
      </c>
      <c r="L305">
        <v>12</v>
      </c>
      <c r="M305">
        <v>0</v>
      </c>
      <c r="N305">
        <v>0</v>
      </c>
      <c r="O305">
        <v>4</v>
      </c>
      <c r="P305">
        <v>0</v>
      </c>
      <c r="Q305">
        <v>2</v>
      </c>
      <c r="R305">
        <v>0</v>
      </c>
      <c r="S305">
        <v>1.75</v>
      </c>
      <c r="T305">
        <v>5</v>
      </c>
      <c r="U305">
        <v>0</v>
      </c>
      <c r="V305">
        <v>6.75</v>
      </c>
      <c r="W305">
        <v>117.5</v>
      </c>
      <c r="X305">
        <v>0</v>
      </c>
      <c r="Y305">
        <v>9</v>
      </c>
      <c r="Z305">
        <v>0</v>
      </c>
      <c r="AA305">
        <v>0</v>
      </c>
      <c r="AB305">
        <v>0</v>
      </c>
      <c r="AC305">
        <v>0</v>
      </c>
      <c r="AD305">
        <v>0</v>
      </c>
      <c r="AE305">
        <v>0</v>
      </c>
      <c r="AF305">
        <v>0</v>
      </c>
      <c r="AG305">
        <v>117.5</v>
      </c>
      <c r="AH305">
        <v>117.5</v>
      </c>
      <c r="AI305">
        <v>0</v>
      </c>
      <c r="AJ305">
        <v>0</v>
      </c>
      <c r="AK305">
        <v>0</v>
      </c>
      <c r="AL305">
        <v>0</v>
      </c>
      <c r="AM305">
        <v>0</v>
      </c>
      <c r="AN305">
        <v>0</v>
      </c>
      <c r="AO305">
        <v>0</v>
      </c>
      <c r="AP305">
        <v>0</v>
      </c>
      <c r="AQ305">
        <v>0</v>
      </c>
      <c r="AR305">
        <v>0</v>
      </c>
      <c r="AS305">
        <v>0</v>
      </c>
      <c r="AT305">
        <v>67</v>
      </c>
      <c r="AU305">
        <v>0</v>
      </c>
      <c r="AV305">
        <v>67</v>
      </c>
      <c r="AW305">
        <v>0</v>
      </c>
      <c r="AX305">
        <v>1.75</v>
      </c>
      <c r="AY305">
        <v>0</v>
      </c>
      <c r="AZ305">
        <v>1.75</v>
      </c>
      <c r="BA305">
        <v>0</v>
      </c>
      <c r="BB305">
        <v>5</v>
      </c>
      <c r="BC305">
        <v>0</v>
      </c>
      <c r="BD305">
        <v>5</v>
      </c>
      <c r="BE305">
        <v>0</v>
      </c>
    </row>
    <row r="306" spans="1:57">
      <c r="A306" t="s">
        <v>17169</v>
      </c>
      <c r="B306" t="s">
        <v>18850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row>
    <row r="307" spans="1:57">
      <c r="A307" t="s">
        <v>17169</v>
      </c>
      <c r="B307" t="s">
        <v>17181</v>
      </c>
      <c r="C307">
        <v>0</v>
      </c>
      <c r="D307">
        <v>29</v>
      </c>
      <c r="E307">
        <v>29</v>
      </c>
      <c r="F307">
        <v>22</v>
      </c>
      <c r="G307">
        <v>6</v>
      </c>
      <c r="H307">
        <v>3</v>
      </c>
      <c r="I307">
        <v>0</v>
      </c>
      <c r="J307">
        <v>26</v>
      </c>
      <c r="K307">
        <v>641</v>
      </c>
      <c r="L307">
        <v>15</v>
      </c>
      <c r="M307">
        <v>4</v>
      </c>
      <c r="N307">
        <v>0</v>
      </c>
      <c r="O307">
        <v>2</v>
      </c>
      <c r="P307">
        <v>0</v>
      </c>
      <c r="Q307">
        <v>6</v>
      </c>
      <c r="R307">
        <v>0</v>
      </c>
      <c r="S307">
        <v>15.5</v>
      </c>
      <c r="T307">
        <v>0</v>
      </c>
      <c r="U307">
        <v>0</v>
      </c>
      <c r="V307">
        <v>15.5</v>
      </c>
      <c r="W307">
        <v>155</v>
      </c>
      <c r="X307">
        <v>0</v>
      </c>
      <c r="Y307">
        <v>24</v>
      </c>
      <c r="Z307">
        <v>0</v>
      </c>
      <c r="AA307">
        <v>0</v>
      </c>
      <c r="AB307">
        <v>0</v>
      </c>
      <c r="AC307">
        <v>0</v>
      </c>
      <c r="AD307">
        <v>0</v>
      </c>
      <c r="AE307">
        <v>0</v>
      </c>
      <c r="AF307">
        <v>0</v>
      </c>
      <c r="AG307">
        <v>155</v>
      </c>
      <c r="AH307">
        <v>155</v>
      </c>
      <c r="AI307">
        <v>0</v>
      </c>
      <c r="AJ307">
        <v>0</v>
      </c>
      <c r="AK307">
        <v>10</v>
      </c>
      <c r="AL307">
        <v>10</v>
      </c>
      <c r="AM307">
        <v>0</v>
      </c>
      <c r="AN307">
        <v>0</v>
      </c>
      <c r="AO307">
        <v>0</v>
      </c>
      <c r="AP307">
        <v>0</v>
      </c>
      <c r="AQ307">
        <v>0</v>
      </c>
      <c r="AR307">
        <v>0</v>
      </c>
      <c r="AS307">
        <v>0</v>
      </c>
      <c r="AT307">
        <v>641</v>
      </c>
      <c r="AU307">
        <v>277</v>
      </c>
      <c r="AV307">
        <v>364</v>
      </c>
      <c r="AW307">
        <v>0</v>
      </c>
      <c r="AX307">
        <v>15.5</v>
      </c>
      <c r="AY307">
        <v>1</v>
      </c>
      <c r="AZ307">
        <v>14.5</v>
      </c>
      <c r="BA307">
        <v>0</v>
      </c>
      <c r="BB307">
        <v>0</v>
      </c>
      <c r="BC307">
        <v>0</v>
      </c>
      <c r="BD307">
        <v>0</v>
      </c>
      <c r="BE307">
        <v>0</v>
      </c>
    </row>
    <row r="308" spans="1:57">
      <c r="A308" t="s">
        <v>17169</v>
      </c>
      <c r="B308" t="s">
        <v>18851</v>
      </c>
      <c r="C308">
        <v>0</v>
      </c>
      <c r="D308">
        <v>23</v>
      </c>
      <c r="E308">
        <v>22</v>
      </c>
      <c r="F308">
        <v>19</v>
      </c>
      <c r="G308">
        <v>0</v>
      </c>
      <c r="H308">
        <v>0</v>
      </c>
      <c r="I308">
        <v>0</v>
      </c>
      <c r="J308">
        <v>22</v>
      </c>
      <c r="K308">
        <v>114</v>
      </c>
      <c r="L308">
        <v>18</v>
      </c>
      <c r="M308">
        <v>0</v>
      </c>
      <c r="N308">
        <v>0</v>
      </c>
      <c r="O308">
        <v>3</v>
      </c>
      <c r="P308">
        <v>0</v>
      </c>
      <c r="Q308">
        <v>1</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114</v>
      </c>
      <c r="AU308">
        <v>0</v>
      </c>
      <c r="AV308">
        <v>114</v>
      </c>
      <c r="AW308">
        <v>0</v>
      </c>
      <c r="AX308">
        <v>0</v>
      </c>
      <c r="AY308">
        <v>0</v>
      </c>
      <c r="AZ308">
        <v>0</v>
      </c>
      <c r="BA308">
        <v>0</v>
      </c>
      <c r="BB308">
        <v>0</v>
      </c>
      <c r="BC308">
        <v>0</v>
      </c>
      <c r="BD308">
        <v>0</v>
      </c>
      <c r="BE308">
        <v>0</v>
      </c>
    </row>
    <row r="309" spans="1:57">
      <c r="A309" t="s">
        <v>17169</v>
      </c>
      <c r="B309" t="s">
        <v>17183</v>
      </c>
      <c r="C309">
        <v>3</v>
      </c>
      <c r="D309">
        <v>88</v>
      </c>
      <c r="E309">
        <v>87</v>
      </c>
      <c r="F309">
        <v>83</v>
      </c>
      <c r="G309">
        <v>9</v>
      </c>
      <c r="H309">
        <v>1</v>
      </c>
      <c r="I309">
        <v>1</v>
      </c>
      <c r="J309">
        <v>86</v>
      </c>
      <c r="K309">
        <v>844</v>
      </c>
      <c r="L309">
        <v>54</v>
      </c>
      <c r="M309">
        <v>13</v>
      </c>
      <c r="N309">
        <v>1</v>
      </c>
      <c r="O309">
        <v>11</v>
      </c>
      <c r="P309">
        <v>0</v>
      </c>
      <c r="Q309">
        <v>7</v>
      </c>
      <c r="R309">
        <v>0</v>
      </c>
      <c r="S309">
        <v>32</v>
      </c>
      <c r="T309">
        <v>30</v>
      </c>
      <c r="U309">
        <v>0</v>
      </c>
      <c r="V309">
        <v>62</v>
      </c>
      <c r="W309">
        <v>920</v>
      </c>
      <c r="X309">
        <v>0</v>
      </c>
      <c r="Y309">
        <v>4</v>
      </c>
      <c r="Z309">
        <v>0</v>
      </c>
      <c r="AA309">
        <v>0</v>
      </c>
      <c r="AB309">
        <v>800</v>
      </c>
      <c r="AC309">
        <v>129.5</v>
      </c>
      <c r="AD309">
        <v>129.5</v>
      </c>
      <c r="AE309">
        <v>584.5</v>
      </c>
      <c r="AF309">
        <v>929.5</v>
      </c>
      <c r="AG309">
        <v>1049.5</v>
      </c>
      <c r="AH309">
        <v>465</v>
      </c>
      <c r="AI309">
        <v>0</v>
      </c>
      <c r="AJ309">
        <v>0</v>
      </c>
      <c r="AK309">
        <v>0</v>
      </c>
      <c r="AL309">
        <v>0</v>
      </c>
      <c r="AM309">
        <v>0</v>
      </c>
      <c r="AN309">
        <v>3</v>
      </c>
      <c r="AO309">
        <v>0</v>
      </c>
      <c r="AP309">
        <v>2</v>
      </c>
      <c r="AQ309">
        <v>0</v>
      </c>
      <c r="AR309">
        <v>0</v>
      </c>
      <c r="AS309">
        <v>0</v>
      </c>
      <c r="AT309">
        <v>844</v>
      </c>
      <c r="AU309">
        <v>84</v>
      </c>
      <c r="AV309">
        <v>739</v>
      </c>
      <c r="AW309">
        <v>14</v>
      </c>
      <c r="AX309">
        <v>32</v>
      </c>
      <c r="AY309">
        <v>0</v>
      </c>
      <c r="AZ309">
        <v>32</v>
      </c>
      <c r="BA309">
        <v>0</v>
      </c>
      <c r="BB309">
        <v>30</v>
      </c>
      <c r="BC309">
        <v>0</v>
      </c>
      <c r="BD309">
        <v>30</v>
      </c>
      <c r="BE309">
        <v>0</v>
      </c>
    </row>
    <row r="310" spans="1:57">
      <c r="A310" t="s">
        <v>17169</v>
      </c>
      <c r="B310" t="s">
        <v>17184</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row>
    <row r="311" spans="1:57">
      <c r="A311" t="s">
        <v>17169</v>
      </c>
      <c r="B311" t="s">
        <v>19990</v>
      </c>
      <c r="C311">
        <v>0</v>
      </c>
      <c r="D311">
        <v>9</v>
      </c>
      <c r="E311">
        <v>0</v>
      </c>
      <c r="F311">
        <v>3</v>
      </c>
      <c r="G311">
        <v>0</v>
      </c>
      <c r="H311">
        <v>9</v>
      </c>
      <c r="I311">
        <v>0</v>
      </c>
      <c r="J311">
        <v>9</v>
      </c>
      <c r="K311">
        <v>328</v>
      </c>
      <c r="L311">
        <v>8</v>
      </c>
      <c r="M311">
        <v>0</v>
      </c>
      <c r="N311">
        <v>0</v>
      </c>
      <c r="O311">
        <v>1</v>
      </c>
      <c r="P311">
        <v>0</v>
      </c>
      <c r="Q311">
        <v>0</v>
      </c>
      <c r="R311">
        <v>0</v>
      </c>
      <c r="S311">
        <v>156</v>
      </c>
      <c r="T311">
        <v>52</v>
      </c>
      <c r="U311">
        <v>0</v>
      </c>
      <c r="V311">
        <v>208</v>
      </c>
      <c r="W311">
        <v>2600</v>
      </c>
      <c r="X311">
        <v>0</v>
      </c>
      <c r="Y311">
        <v>8</v>
      </c>
      <c r="Z311">
        <v>0</v>
      </c>
      <c r="AA311">
        <v>0</v>
      </c>
      <c r="AB311">
        <v>2360</v>
      </c>
      <c r="AC311">
        <v>0</v>
      </c>
      <c r="AD311">
        <v>0</v>
      </c>
      <c r="AE311">
        <v>602.15</v>
      </c>
      <c r="AF311">
        <v>2360</v>
      </c>
      <c r="AG311">
        <v>2600</v>
      </c>
      <c r="AH311">
        <v>1997.85</v>
      </c>
      <c r="AI311">
        <v>602.15</v>
      </c>
      <c r="AJ311">
        <v>2360</v>
      </c>
      <c r="AK311">
        <v>2600</v>
      </c>
      <c r="AL311">
        <v>1997.85</v>
      </c>
      <c r="AM311">
        <v>0</v>
      </c>
      <c r="AN311">
        <v>0</v>
      </c>
      <c r="AO311">
        <v>0</v>
      </c>
      <c r="AP311">
        <v>0</v>
      </c>
      <c r="AQ311">
        <v>1</v>
      </c>
      <c r="AR311">
        <v>0</v>
      </c>
      <c r="AS311">
        <v>0</v>
      </c>
      <c r="AT311">
        <v>328</v>
      </c>
      <c r="AU311">
        <v>328</v>
      </c>
      <c r="AV311">
        <v>0</v>
      </c>
      <c r="AW311">
        <v>0</v>
      </c>
      <c r="AX311">
        <v>156</v>
      </c>
      <c r="AY311">
        <v>156</v>
      </c>
      <c r="AZ311">
        <v>0</v>
      </c>
      <c r="BA311">
        <v>0</v>
      </c>
      <c r="BB311">
        <v>52</v>
      </c>
      <c r="BC311">
        <v>52</v>
      </c>
      <c r="BD311">
        <v>0</v>
      </c>
      <c r="BE311">
        <v>0</v>
      </c>
    </row>
    <row r="312" spans="1:57">
      <c r="A312" t="s">
        <v>17169</v>
      </c>
      <c r="B312" t="s">
        <v>17358</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row>
    <row r="313" spans="1:57">
      <c r="A313" t="s">
        <v>17300</v>
      </c>
      <c r="B313" t="s">
        <v>17301</v>
      </c>
      <c r="C313">
        <v>5</v>
      </c>
      <c r="D313">
        <v>16</v>
      </c>
      <c r="E313">
        <v>16</v>
      </c>
      <c r="F313">
        <v>16</v>
      </c>
      <c r="G313">
        <v>0</v>
      </c>
      <c r="H313">
        <v>1</v>
      </c>
      <c r="I313">
        <v>1</v>
      </c>
      <c r="J313">
        <v>16</v>
      </c>
      <c r="K313">
        <v>97</v>
      </c>
      <c r="L313">
        <v>7</v>
      </c>
      <c r="M313">
        <v>6</v>
      </c>
      <c r="N313">
        <v>3</v>
      </c>
      <c r="O313">
        <v>0</v>
      </c>
      <c r="P313">
        <v>0</v>
      </c>
      <c r="Q313">
        <v>0</v>
      </c>
      <c r="R313">
        <v>0</v>
      </c>
      <c r="S313">
        <v>28</v>
      </c>
      <c r="T313">
        <v>12.75</v>
      </c>
      <c r="U313">
        <v>32.25</v>
      </c>
      <c r="V313">
        <v>73</v>
      </c>
      <c r="W313">
        <v>522.5</v>
      </c>
      <c r="X313">
        <v>0</v>
      </c>
      <c r="Y313">
        <v>11</v>
      </c>
      <c r="Z313">
        <v>0</v>
      </c>
      <c r="AA313">
        <v>-12.5</v>
      </c>
      <c r="AB313">
        <v>450</v>
      </c>
      <c r="AC313">
        <v>0</v>
      </c>
      <c r="AD313">
        <v>0</v>
      </c>
      <c r="AE313">
        <v>0</v>
      </c>
      <c r="AF313">
        <v>450</v>
      </c>
      <c r="AG313">
        <v>1167.5</v>
      </c>
      <c r="AH313">
        <v>1167.5</v>
      </c>
      <c r="AI313">
        <v>0</v>
      </c>
      <c r="AJ313">
        <v>450</v>
      </c>
      <c r="AK313">
        <v>880</v>
      </c>
      <c r="AL313">
        <v>880</v>
      </c>
      <c r="AM313">
        <v>0</v>
      </c>
      <c r="AN313">
        <v>0</v>
      </c>
      <c r="AO313">
        <v>0</v>
      </c>
      <c r="AP313">
        <v>0</v>
      </c>
      <c r="AQ313">
        <v>0</v>
      </c>
      <c r="AR313">
        <v>0</v>
      </c>
      <c r="AS313">
        <v>0</v>
      </c>
      <c r="AT313">
        <v>97</v>
      </c>
      <c r="AU313">
        <v>10</v>
      </c>
      <c r="AV313">
        <v>42</v>
      </c>
      <c r="AW313">
        <v>45</v>
      </c>
      <c r="AX313">
        <v>28</v>
      </c>
      <c r="AY313">
        <v>24</v>
      </c>
      <c r="AZ313">
        <v>2.75</v>
      </c>
      <c r="BA313">
        <v>1.25</v>
      </c>
      <c r="BB313">
        <v>12.75</v>
      </c>
      <c r="BC313">
        <v>12</v>
      </c>
      <c r="BD313">
        <v>0.75</v>
      </c>
      <c r="BE313">
        <v>0</v>
      </c>
    </row>
    <row r="314" spans="1:57">
      <c r="A314" t="s">
        <v>17300</v>
      </c>
      <c r="B314" t="s">
        <v>17378</v>
      </c>
      <c r="C314">
        <v>0</v>
      </c>
      <c r="D314">
        <v>12</v>
      </c>
      <c r="E314">
        <v>12</v>
      </c>
      <c r="F314">
        <v>12</v>
      </c>
      <c r="G314">
        <v>0</v>
      </c>
      <c r="H314">
        <v>0</v>
      </c>
      <c r="I314">
        <v>0</v>
      </c>
      <c r="J314">
        <v>12</v>
      </c>
      <c r="K314">
        <v>125</v>
      </c>
      <c r="L314">
        <v>6</v>
      </c>
      <c r="M314">
        <v>3</v>
      </c>
      <c r="N314">
        <v>0</v>
      </c>
      <c r="O314">
        <v>3</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125</v>
      </c>
      <c r="AU314">
        <v>0</v>
      </c>
      <c r="AV314">
        <v>125</v>
      </c>
      <c r="AW314">
        <v>0</v>
      </c>
      <c r="AX314">
        <v>0</v>
      </c>
      <c r="AY314">
        <v>0</v>
      </c>
      <c r="AZ314">
        <v>0</v>
      </c>
      <c r="BA314">
        <v>0</v>
      </c>
      <c r="BB314">
        <v>0</v>
      </c>
      <c r="BC314">
        <v>0</v>
      </c>
      <c r="BD314">
        <v>0</v>
      </c>
      <c r="BE314">
        <v>0</v>
      </c>
    </row>
    <row r="315" spans="1:57">
      <c r="A315" t="s">
        <v>17300</v>
      </c>
      <c r="B315" t="s">
        <v>17329</v>
      </c>
      <c r="C315">
        <v>0</v>
      </c>
      <c r="D315">
        <v>5</v>
      </c>
      <c r="E315">
        <v>5</v>
      </c>
      <c r="F315">
        <v>5</v>
      </c>
      <c r="G315">
        <v>1</v>
      </c>
      <c r="H315">
        <v>0</v>
      </c>
      <c r="I315">
        <v>0</v>
      </c>
      <c r="J315">
        <v>5</v>
      </c>
      <c r="K315">
        <v>29</v>
      </c>
      <c r="L315">
        <v>4</v>
      </c>
      <c r="M315">
        <v>0</v>
      </c>
      <c r="N315">
        <v>0</v>
      </c>
      <c r="O315">
        <v>0</v>
      </c>
      <c r="P315">
        <v>0</v>
      </c>
      <c r="Q315">
        <v>1</v>
      </c>
      <c r="R315">
        <v>0</v>
      </c>
      <c r="S315">
        <v>9.9</v>
      </c>
      <c r="T315">
        <v>10.4</v>
      </c>
      <c r="U315">
        <v>0</v>
      </c>
      <c r="V315">
        <v>20.3</v>
      </c>
      <c r="W315">
        <v>307</v>
      </c>
      <c r="X315">
        <v>0</v>
      </c>
      <c r="Y315">
        <v>5</v>
      </c>
      <c r="Z315">
        <v>0</v>
      </c>
      <c r="AA315">
        <v>0</v>
      </c>
      <c r="AB315">
        <v>182.5</v>
      </c>
      <c r="AC315">
        <v>0</v>
      </c>
      <c r="AD315">
        <v>0</v>
      </c>
      <c r="AE315">
        <v>0</v>
      </c>
      <c r="AF315">
        <v>182.5</v>
      </c>
      <c r="AG315">
        <v>307</v>
      </c>
      <c r="AH315">
        <v>307</v>
      </c>
      <c r="AI315">
        <v>0</v>
      </c>
      <c r="AJ315">
        <v>0</v>
      </c>
      <c r="AK315">
        <v>0</v>
      </c>
      <c r="AL315">
        <v>0</v>
      </c>
      <c r="AM315">
        <v>0</v>
      </c>
      <c r="AN315">
        <v>0</v>
      </c>
      <c r="AO315">
        <v>0</v>
      </c>
      <c r="AP315">
        <v>0</v>
      </c>
      <c r="AQ315">
        <v>0</v>
      </c>
      <c r="AR315">
        <v>0</v>
      </c>
      <c r="AS315">
        <v>0</v>
      </c>
      <c r="AT315">
        <v>29</v>
      </c>
      <c r="AU315">
        <v>0</v>
      </c>
      <c r="AV315">
        <v>29</v>
      </c>
      <c r="AW315">
        <v>0</v>
      </c>
      <c r="AX315">
        <v>9.9</v>
      </c>
      <c r="AY315">
        <v>0</v>
      </c>
      <c r="AZ315">
        <v>9.9</v>
      </c>
      <c r="BA315">
        <v>0</v>
      </c>
      <c r="BB315">
        <v>10.4</v>
      </c>
      <c r="BC315">
        <v>0</v>
      </c>
      <c r="BD315">
        <v>10.4</v>
      </c>
      <c r="BE315">
        <v>0</v>
      </c>
    </row>
    <row r="316" spans="1:57">
      <c r="A316" t="s">
        <v>17300</v>
      </c>
      <c r="B316" t="s">
        <v>17316</v>
      </c>
      <c r="C316">
        <v>3</v>
      </c>
      <c r="D316">
        <v>5</v>
      </c>
      <c r="E316">
        <v>5</v>
      </c>
      <c r="F316">
        <v>5</v>
      </c>
      <c r="G316">
        <v>0</v>
      </c>
      <c r="H316">
        <v>1</v>
      </c>
      <c r="I316">
        <v>1</v>
      </c>
      <c r="J316">
        <v>5</v>
      </c>
      <c r="K316">
        <v>19</v>
      </c>
      <c r="L316">
        <v>2</v>
      </c>
      <c r="M316">
        <v>2</v>
      </c>
      <c r="N316">
        <v>0</v>
      </c>
      <c r="O316">
        <v>0</v>
      </c>
      <c r="P316">
        <v>0</v>
      </c>
      <c r="Q316">
        <v>1</v>
      </c>
      <c r="R316">
        <v>0</v>
      </c>
      <c r="S316">
        <v>0</v>
      </c>
      <c r="T316">
        <v>0</v>
      </c>
      <c r="U316">
        <v>0</v>
      </c>
      <c r="V316">
        <v>0.25</v>
      </c>
      <c r="W316">
        <v>0.25</v>
      </c>
      <c r="X316">
        <v>0.75</v>
      </c>
      <c r="Y316">
        <v>0</v>
      </c>
      <c r="Z316">
        <v>0</v>
      </c>
      <c r="AA316">
        <v>0</v>
      </c>
      <c r="AB316">
        <v>0</v>
      </c>
      <c r="AC316">
        <v>0</v>
      </c>
      <c r="AD316">
        <v>0</v>
      </c>
      <c r="AE316">
        <v>0</v>
      </c>
      <c r="AF316">
        <v>0</v>
      </c>
      <c r="AG316">
        <v>1</v>
      </c>
      <c r="AH316">
        <v>1</v>
      </c>
      <c r="AI316">
        <v>0</v>
      </c>
      <c r="AJ316">
        <v>0</v>
      </c>
      <c r="AK316">
        <v>0</v>
      </c>
      <c r="AL316">
        <v>0</v>
      </c>
      <c r="AM316">
        <v>0</v>
      </c>
      <c r="AN316">
        <v>0</v>
      </c>
      <c r="AO316">
        <v>0</v>
      </c>
      <c r="AP316">
        <v>0</v>
      </c>
      <c r="AQ316">
        <v>0</v>
      </c>
      <c r="AR316">
        <v>0</v>
      </c>
      <c r="AS316">
        <v>0</v>
      </c>
      <c r="AT316">
        <v>19</v>
      </c>
      <c r="AU316">
        <v>0</v>
      </c>
      <c r="AV316">
        <v>14</v>
      </c>
      <c r="AW316">
        <v>5</v>
      </c>
      <c r="AX316">
        <v>0</v>
      </c>
      <c r="AY316">
        <v>0</v>
      </c>
      <c r="AZ316">
        <v>0</v>
      </c>
      <c r="BA316">
        <v>0</v>
      </c>
      <c r="BB316">
        <v>0</v>
      </c>
      <c r="BC316">
        <v>0</v>
      </c>
      <c r="BD316">
        <v>0</v>
      </c>
      <c r="BE316">
        <v>0</v>
      </c>
    </row>
    <row r="317" spans="1:57">
      <c r="A317" t="s">
        <v>17300</v>
      </c>
      <c r="B317" t="s">
        <v>17381</v>
      </c>
      <c r="C317">
        <v>2</v>
      </c>
      <c r="D317">
        <v>7</v>
      </c>
      <c r="E317">
        <v>0</v>
      </c>
      <c r="F317">
        <v>0</v>
      </c>
      <c r="G317">
        <v>0</v>
      </c>
      <c r="H317">
        <v>1</v>
      </c>
      <c r="I317">
        <v>0</v>
      </c>
      <c r="J317">
        <v>7</v>
      </c>
      <c r="K317">
        <v>117</v>
      </c>
      <c r="L317">
        <v>4</v>
      </c>
      <c r="M317">
        <v>0</v>
      </c>
      <c r="N317">
        <v>0</v>
      </c>
      <c r="O317">
        <v>3</v>
      </c>
      <c r="P317">
        <v>0</v>
      </c>
      <c r="Q317">
        <v>0</v>
      </c>
      <c r="R317">
        <v>0</v>
      </c>
      <c r="S317">
        <v>34</v>
      </c>
      <c r="T317">
        <v>0</v>
      </c>
      <c r="U317">
        <v>0</v>
      </c>
      <c r="V317">
        <v>34</v>
      </c>
      <c r="W317">
        <v>180</v>
      </c>
      <c r="X317">
        <v>0</v>
      </c>
      <c r="Y317">
        <v>6</v>
      </c>
      <c r="Z317">
        <v>0</v>
      </c>
      <c r="AA317">
        <v>-160</v>
      </c>
      <c r="AB317">
        <v>30</v>
      </c>
      <c r="AC317">
        <v>0</v>
      </c>
      <c r="AD317">
        <v>0</v>
      </c>
      <c r="AE317">
        <v>0</v>
      </c>
      <c r="AF317">
        <v>30</v>
      </c>
      <c r="AG317">
        <v>180</v>
      </c>
      <c r="AH317">
        <v>180</v>
      </c>
      <c r="AI317">
        <v>0</v>
      </c>
      <c r="AJ317">
        <v>0</v>
      </c>
      <c r="AK317">
        <v>0</v>
      </c>
      <c r="AL317">
        <v>0</v>
      </c>
      <c r="AM317">
        <v>0</v>
      </c>
      <c r="AN317">
        <v>0</v>
      </c>
      <c r="AO317">
        <v>0</v>
      </c>
      <c r="AP317">
        <v>0</v>
      </c>
      <c r="AQ317">
        <v>0</v>
      </c>
      <c r="AR317">
        <v>0</v>
      </c>
      <c r="AS317">
        <v>0</v>
      </c>
      <c r="AT317">
        <v>117</v>
      </c>
      <c r="AU317">
        <v>37</v>
      </c>
      <c r="AV317">
        <v>68</v>
      </c>
      <c r="AW317">
        <v>49</v>
      </c>
      <c r="AX317">
        <v>34</v>
      </c>
      <c r="AY317">
        <v>12</v>
      </c>
      <c r="AZ317">
        <v>18</v>
      </c>
      <c r="BA317">
        <v>16</v>
      </c>
      <c r="BB317">
        <v>0</v>
      </c>
      <c r="BC317">
        <v>0</v>
      </c>
      <c r="BD317">
        <v>0</v>
      </c>
      <c r="BE317">
        <v>0</v>
      </c>
    </row>
    <row r="318" spans="1:57">
      <c r="A318" t="s">
        <v>17300</v>
      </c>
      <c r="B318" t="s">
        <v>17339</v>
      </c>
      <c r="C318">
        <v>0</v>
      </c>
      <c r="D318">
        <v>11</v>
      </c>
      <c r="E318">
        <v>0</v>
      </c>
      <c r="F318">
        <v>11</v>
      </c>
      <c r="G318">
        <v>0</v>
      </c>
      <c r="H318">
        <v>0</v>
      </c>
      <c r="I318">
        <v>0</v>
      </c>
      <c r="J318">
        <v>11</v>
      </c>
      <c r="K318">
        <v>18</v>
      </c>
      <c r="L318">
        <v>9</v>
      </c>
      <c r="M318">
        <v>2</v>
      </c>
      <c r="N318">
        <v>0</v>
      </c>
      <c r="O318">
        <v>0</v>
      </c>
      <c r="P318">
        <v>0</v>
      </c>
      <c r="Q318">
        <v>0</v>
      </c>
      <c r="R318">
        <v>0</v>
      </c>
      <c r="S318">
        <v>6.05</v>
      </c>
      <c r="T318">
        <v>2.2999999999999998</v>
      </c>
      <c r="U318">
        <v>0.25</v>
      </c>
      <c r="V318">
        <v>8.6</v>
      </c>
      <c r="W318">
        <v>106.5</v>
      </c>
      <c r="X318">
        <v>0</v>
      </c>
      <c r="Y318">
        <v>10</v>
      </c>
      <c r="Z318">
        <v>0</v>
      </c>
      <c r="AA318">
        <v>0</v>
      </c>
      <c r="AB318">
        <v>0</v>
      </c>
      <c r="AC318">
        <v>0</v>
      </c>
      <c r="AD318">
        <v>0</v>
      </c>
      <c r="AE318">
        <v>0</v>
      </c>
      <c r="AF318">
        <v>0</v>
      </c>
      <c r="AG318">
        <v>111.5</v>
      </c>
      <c r="AH318">
        <v>111.5</v>
      </c>
      <c r="AI318">
        <v>0</v>
      </c>
      <c r="AJ318">
        <v>0</v>
      </c>
      <c r="AK318">
        <v>0</v>
      </c>
      <c r="AL318">
        <v>0</v>
      </c>
      <c r="AM318">
        <v>0</v>
      </c>
      <c r="AN318">
        <v>0</v>
      </c>
      <c r="AO318">
        <v>0</v>
      </c>
      <c r="AP318">
        <v>0</v>
      </c>
      <c r="AQ318">
        <v>0</v>
      </c>
      <c r="AR318">
        <v>0</v>
      </c>
      <c r="AS318">
        <v>0</v>
      </c>
      <c r="AT318">
        <v>18</v>
      </c>
      <c r="AU318">
        <v>0</v>
      </c>
      <c r="AV318">
        <v>18</v>
      </c>
      <c r="AW318">
        <v>0</v>
      </c>
      <c r="AX318">
        <v>6.05</v>
      </c>
      <c r="AY318">
        <v>0</v>
      </c>
      <c r="AZ318">
        <v>6.05</v>
      </c>
      <c r="BA318">
        <v>0</v>
      </c>
      <c r="BB318">
        <v>2.2999999999999998</v>
      </c>
      <c r="BC318">
        <v>0</v>
      </c>
      <c r="BD318">
        <v>2.2999999999999998</v>
      </c>
      <c r="BE318">
        <v>0</v>
      </c>
    </row>
    <row r="319" spans="1:57">
      <c r="A319" t="s">
        <v>17185</v>
      </c>
      <c r="B319" t="s">
        <v>17187</v>
      </c>
      <c r="C319">
        <v>8</v>
      </c>
      <c r="D319">
        <v>8</v>
      </c>
      <c r="E319">
        <v>8</v>
      </c>
      <c r="F319">
        <v>8</v>
      </c>
      <c r="G319">
        <v>0</v>
      </c>
      <c r="H319">
        <v>0</v>
      </c>
      <c r="I319">
        <v>0</v>
      </c>
      <c r="J319">
        <v>8</v>
      </c>
      <c r="K319">
        <v>48</v>
      </c>
      <c r="L319">
        <v>2</v>
      </c>
      <c r="M319">
        <v>0</v>
      </c>
      <c r="N319">
        <v>0</v>
      </c>
      <c r="O319">
        <v>6</v>
      </c>
      <c r="P319">
        <v>0</v>
      </c>
      <c r="Q319">
        <v>0</v>
      </c>
      <c r="R319">
        <v>0</v>
      </c>
      <c r="S319">
        <v>10</v>
      </c>
      <c r="T319">
        <v>27</v>
      </c>
      <c r="U319">
        <v>0</v>
      </c>
      <c r="V319">
        <v>37</v>
      </c>
      <c r="W319">
        <v>0</v>
      </c>
      <c r="X319">
        <v>0</v>
      </c>
      <c r="Y319">
        <v>0</v>
      </c>
      <c r="Z319">
        <v>0</v>
      </c>
      <c r="AA319">
        <v>-640</v>
      </c>
      <c r="AB319">
        <v>0</v>
      </c>
      <c r="AC319">
        <v>24.9</v>
      </c>
      <c r="AD319">
        <v>0</v>
      </c>
      <c r="AE319">
        <v>0</v>
      </c>
      <c r="AF319">
        <v>0</v>
      </c>
      <c r="AG319">
        <v>24.9</v>
      </c>
      <c r="AH319">
        <v>24.9</v>
      </c>
      <c r="AI319">
        <v>0</v>
      </c>
      <c r="AJ319">
        <v>0</v>
      </c>
      <c r="AK319">
        <v>0</v>
      </c>
      <c r="AL319">
        <v>0</v>
      </c>
      <c r="AM319">
        <v>0</v>
      </c>
      <c r="AN319">
        <v>0</v>
      </c>
      <c r="AO319">
        <v>0</v>
      </c>
      <c r="AP319">
        <v>0</v>
      </c>
      <c r="AQ319">
        <v>0</v>
      </c>
      <c r="AR319">
        <v>0</v>
      </c>
      <c r="AS319">
        <v>0</v>
      </c>
      <c r="AT319">
        <v>48</v>
      </c>
      <c r="AU319">
        <v>0</v>
      </c>
      <c r="AV319">
        <v>0</v>
      </c>
      <c r="AW319">
        <v>48</v>
      </c>
      <c r="AX319">
        <v>10</v>
      </c>
      <c r="AY319">
        <v>0</v>
      </c>
      <c r="AZ319">
        <v>0</v>
      </c>
      <c r="BA319">
        <v>10</v>
      </c>
      <c r="BB319">
        <v>27</v>
      </c>
      <c r="BC319">
        <v>0</v>
      </c>
      <c r="BD319">
        <v>0</v>
      </c>
      <c r="BE319">
        <v>27</v>
      </c>
    </row>
    <row r="320" spans="1:57">
      <c r="A320" t="s">
        <v>17188</v>
      </c>
      <c r="B320" t="s">
        <v>17189</v>
      </c>
      <c r="C320">
        <v>6</v>
      </c>
      <c r="D320">
        <v>70</v>
      </c>
      <c r="E320">
        <v>33</v>
      </c>
      <c r="F320">
        <v>64</v>
      </c>
      <c r="G320">
        <v>6</v>
      </c>
      <c r="H320">
        <v>3</v>
      </c>
      <c r="I320">
        <v>0</v>
      </c>
      <c r="J320">
        <v>64</v>
      </c>
      <c r="K320">
        <v>465</v>
      </c>
      <c r="L320">
        <v>36</v>
      </c>
      <c r="M320">
        <v>11</v>
      </c>
      <c r="N320">
        <v>2</v>
      </c>
      <c r="O320">
        <v>10</v>
      </c>
      <c r="P320">
        <v>0</v>
      </c>
      <c r="Q320">
        <v>6</v>
      </c>
      <c r="R320">
        <v>0</v>
      </c>
      <c r="S320">
        <v>144</v>
      </c>
      <c r="T320">
        <v>15</v>
      </c>
      <c r="U320">
        <v>0</v>
      </c>
      <c r="V320">
        <v>159</v>
      </c>
      <c r="W320">
        <v>1740</v>
      </c>
      <c r="X320">
        <v>0</v>
      </c>
      <c r="Y320">
        <v>6</v>
      </c>
      <c r="Z320">
        <v>0</v>
      </c>
      <c r="AA320">
        <v>0</v>
      </c>
      <c r="AB320">
        <v>1560</v>
      </c>
      <c r="AC320">
        <v>295</v>
      </c>
      <c r="AD320">
        <v>295</v>
      </c>
      <c r="AE320">
        <v>295</v>
      </c>
      <c r="AF320">
        <v>1855</v>
      </c>
      <c r="AG320">
        <v>2035</v>
      </c>
      <c r="AH320">
        <v>1740</v>
      </c>
      <c r="AI320">
        <v>0</v>
      </c>
      <c r="AJ320">
        <v>40</v>
      </c>
      <c r="AK320">
        <v>70</v>
      </c>
      <c r="AL320">
        <v>70</v>
      </c>
      <c r="AM320">
        <v>0</v>
      </c>
      <c r="AN320">
        <v>3</v>
      </c>
      <c r="AO320">
        <v>0</v>
      </c>
      <c r="AP320">
        <v>1</v>
      </c>
      <c r="AQ320">
        <v>0</v>
      </c>
      <c r="AR320">
        <v>0</v>
      </c>
      <c r="AS320">
        <v>0</v>
      </c>
      <c r="AT320">
        <v>465</v>
      </c>
      <c r="AU320">
        <v>70</v>
      </c>
      <c r="AV320">
        <v>374</v>
      </c>
      <c r="AW320">
        <v>21</v>
      </c>
      <c r="AX320">
        <v>144</v>
      </c>
      <c r="AY320">
        <v>5</v>
      </c>
      <c r="AZ320">
        <v>139</v>
      </c>
      <c r="BA320">
        <v>0</v>
      </c>
      <c r="BB320">
        <v>15</v>
      </c>
      <c r="BC320">
        <v>1</v>
      </c>
      <c r="BD320">
        <v>14</v>
      </c>
      <c r="BE320">
        <v>0</v>
      </c>
    </row>
    <row r="321" spans="1:57">
      <c r="A321" t="s">
        <v>17191</v>
      </c>
      <c r="B321" t="s">
        <v>17192</v>
      </c>
      <c r="C321">
        <v>6</v>
      </c>
      <c r="D321">
        <v>11</v>
      </c>
      <c r="E321">
        <v>0</v>
      </c>
      <c r="F321">
        <v>8</v>
      </c>
      <c r="G321">
        <v>5</v>
      </c>
      <c r="H321">
        <v>3</v>
      </c>
      <c r="I321">
        <v>1</v>
      </c>
      <c r="J321">
        <v>11</v>
      </c>
      <c r="K321">
        <v>160</v>
      </c>
      <c r="L321">
        <v>7</v>
      </c>
      <c r="M321">
        <v>3</v>
      </c>
      <c r="N321">
        <v>1</v>
      </c>
      <c r="O321">
        <v>0</v>
      </c>
      <c r="P321">
        <v>0</v>
      </c>
      <c r="Q321">
        <v>0</v>
      </c>
      <c r="R321">
        <v>0</v>
      </c>
      <c r="S321">
        <v>17</v>
      </c>
      <c r="T321">
        <v>2</v>
      </c>
      <c r="U321">
        <v>0</v>
      </c>
      <c r="V321">
        <v>19</v>
      </c>
      <c r="W321">
        <v>50</v>
      </c>
      <c r="X321">
        <v>0</v>
      </c>
      <c r="Y321">
        <v>2</v>
      </c>
      <c r="Z321">
        <v>0</v>
      </c>
      <c r="AA321">
        <v>-160</v>
      </c>
      <c r="AB321">
        <v>0</v>
      </c>
      <c r="AC321">
        <v>0</v>
      </c>
      <c r="AD321">
        <v>0</v>
      </c>
      <c r="AE321">
        <v>0</v>
      </c>
      <c r="AF321">
        <v>0</v>
      </c>
      <c r="AG321">
        <v>50</v>
      </c>
      <c r="AH321">
        <v>50</v>
      </c>
      <c r="AI321">
        <v>0</v>
      </c>
      <c r="AJ321">
        <v>0</v>
      </c>
      <c r="AK321">
        <v>50</v>
      </c>
      <c r="AL321">
        <v>50</v>
      </c>
      <c r="AM321">
        <v>0</v>
      </c>
      <c r="AN321">
        <v>0</v>
      </c>
      <c r="AO321">
        <v>0</v>
      </c>
      <c r="AP321">
        <v>0</v>
      </c>
      <c r="AQ321">
        <v>0</v>
      </c>
      <c r="AR321">
        <v>0</v>
      </c>
      <c r="AS321">
        <v>0</v>
      </c>
      <c r="AT321">
        <v>160</v>
      </c>
      <c r="AU321">
        <v>60</v>
      </c>
      <c r="AV321">
        <v>50</v>
      </c>
      <c r="AW321">
        <v>50</v>
      </c>
      <c r="AX321">
        <v>17</v>
      </c>
      <c r="AY321">
        <v>5</v>
      </c>
      <c r="AZ321">
        <v>0</v>
      </c>
      <c r="BA321">
        <v>12</v>
      </c>
      <c r="BB321">
        <v>2</v>
      </c>
      <c r="BC321">
        <v>0</v>
      </c>
      <c r="BD321">
        <v>0</v>
      </c>
      <c r="BE321">
        <v>2</v>
      </c>
    </row>
    <row r="322" spans="1:57">
      <c r="A322" t="s">
        <v>17193</v>
      </c>
      <c r="B322" t="s">
        <v>17194</v>
      </c>
      <c r="C322">
        <v>0</v>
      </c>
      <c r="D322">
        <v>13</v>
      </c>
      <c r="E322">
        <v>13</v>
      </c>
      <c r="F322">
        <v>10</v>
      </c>
      <c r="G322">
        <v>3</v>
      </c>
      <c r="H322">
        <v>1</v>
      </c>
      <c r="I322">
        <v>0</v>
      </c>
      <c r="J322">
        <v>13</v>
      </c>
      <c r="K322">
        <v>176</v>
      </c>
      <c r="L322">
        <v>7</v>
      </c>
      <c r="M322">
        <v>1</v>
      </c>
      <c r="N322">
        <v>0</v>
      </c>
      <c r="O322">
        <v>0</v>
      </c>
      <c r="P322">
        <v>0</v>
      </c>
      <c r="Q322">
        <v>5</v>
      </c>
      <c r="R322">
        <v>0</v>
      </c>
      <c r="S322">
        <v>14.25</v>
      </c>
      <c r="T322">
        <v>49.5</v>
      </c>
      <c r="U322">
        <v>0</v>
      </c>
      <c r="V322">
        <v>63.75</v>
      </c>
      <c r="W322">
        <v>1132.5</v>
      </c>
      <c r="X322">
        <v>0</v>
      </c>
      <c r="Y322">
        <v>12</v>
      </c>
      <c r="Z322">
        <v>0</v>
      </c>
      <c r="AA322">
        <v>0</v>
      </c>
      <c r="AB322">
        <v>975</v>
      </c>
      <c r="AC322">
        <v>0</v>
      </c>
      <c r="AD322">
        <v>0</v>
      </c>
      <c r="AE322">
        <v>0</v>
      </c>
      <c r="AF322">
        <v>975</v>
      </c>
      <c r="AG322">
        <v>1132.5</v>
      </c>
      <c r="AH322">
        <v>1132.5</v>
      </c>
      <c r="AI322">
        <v>0</v>
      </c>
      <c r="AJ322">
        <v>0</v>
      </c>
      <c r="AK322">
        <v>20</v>
      </c>
      <c r="AL322">
        <v>20</v>
      </c>
      <c r="AM322">
        <v>0</v>
      </c>
      <c r="AN322">
        <v>0</v>
      </c>
      <c r="AO322">
        <v>0</v>
      </c>
      <c r="AP322">
        <v>0</v>
      </c>
      <c r="AQ322">
        <v>0</v>
      </c>
      <c r="AR322">
        <v>0</v>
      </c>
      <c r="AS322">
        <v>0</v>
      </c>
      <c r="AT322">
        <v>176</v>
      </c>
      <c r="AU322">
        <v>10</v>
      </c>
      <c r="AV322">
        <v>166</v>
      </c>
      <c r="AW322">
        <v>0</v>
      </c>
      <c r="AX322">
        <v>14.25</v>
      </c>
      <c r="AY322">
        <v>2</v>
      </c>
      <c r="AZ322">
        <v>12.25</v>
      </c>
      <c r="BA322">
        <v>0</v>
      </c>
      <c r="BB322">
        <v>49.5</v>
      </c>
      <c r="BC322">
        <v>0</v>
      </c>
      <c r="BD322">
        <v>49.5</v>
      </c>
      <c r="BE322">
        <v>0</v>
      </c>
    </row>
    <row r="323" spans="1:57">
      <c r="A323" t="s">
        <v>17193</v>
      </c>
      <c r="B323" t="s">
        <v>17195</v>
      </c>
      <c r="C323">
        <v>0</v>
      </c>
      <c r="D323">
        <v>40</v>
      </c>
      <c r="E323">
        <v>39</v>
      </c>
      <c r="F323">
        <v>37</v>
      </c>
      <c r="G323">
        <v>2</v>
      </c>
      <c r="H323">
        <v>5</v>
      </c>
      <c r="I323">
        <v>1</v>
      </c>
      <c r="J323">
        <v>38</v>
      </c>
      <c r="K323">
        <v>493</v>
      </c>
      <c r="L323">
        <v>32</v>
      </c>
      <c r="M323">
        <v>0</v>
      </c>
      <c r="N323">
        <v>2</v>
      </c>
      <c r="O323">
        <v>3</v>
      </c>
      <c r="P323">
        <v>1</v>
      </c>
      <c r="Q323">
        <v>1</v>
      </c>
      <c r="R323">
        <v>0</v>
      </c>
      <c r="S323">
        <v>275.25200000000001</v>
      </c>
      <c r="T323">
        <v>74</v>
      </c>
      <c r="U323">
        <v>0</v>
      </c>
      <c r="V323">
        <v>349.25200000000001</v>
      </c>
      <c r="W323">
        <v>4232.5200000000004</v>
      </c>
      <c r="X323">
        <v>0</v>
      </c>
      <c r="Y323">
        <v>36</v>
      </c>
      <c r="Z323">
        <v>0</v>
      </c>
      <c r="AA323">
        <v>0</v>
      </c>
      <c r="AB323">
        <v>3810</v>
      </c>
      <c r="AC323">
        <v>222.51</v>
      </c>
      <c r="AD323">
        <v>222.51</v>
      </c>
      <c r="AE323">
        <v>3024.61</v>
      </c>
      <c r="AF323">
        <v>4032.51</v>
      </c>
      <c r="AG323">
        <v>4455.03</v>
      </c>
      <c r="AH323">
        <v>1430.42</v>
      </c>
      <c r="AI323">
        <v>249.61</v>
      </c>
      <c r="AJ323">
        <v>249.61</v>
      </c>
      <c r="AK323">
        <v>322.11</v>
      </c>
      <c r="AL323">
        <v>72.5</v>
      </c>
      <c r="AM323">
        <v>0</v>
      </c>
      <c r="AN323">
        <v>2</v>
      </c>
      <c r="AO323">
        <v>1</v>
      </c>
      <c r="AP323">
        <v>1</v>
      </c>
      <c r="AQ323">
        <v>0</v>
      </c>
      <c r="AR323">
        <v>1</v>
      </c>
      <c r="AS323">
        <v>0</v>
      </c>
      <c r="AT323">
        <v>493</v>
      </c>
      <c r="AU323">
        <v>64</v>
      </c>
      <c r="AV323">
        <v>429</v>
      </c>
      <c r="AW323">
        <v>0</v>
      </c>
      <c r="AX323">
        <v>275.25200000000001</v>
      </c>
      <c r="AY323">
        <v>18.25</v>
      </c>
      <c r="AZ323">
        <v>257.00200000000001</v>
      </c>
      <c r="BA323">
        <v>0</v>
      </c>
      <c r="BB323">
        <v>74</v>
      </c>
      <c r="BC323">
        <v>0</v>
      </c>
      <c r="BD323">
        <v>74</v>
      </c>
      <c r="BE323">
        <v>0</v>
      </c>
    </row>
    <row r="324" spans="1:57">
      <c r="A324" t="s">
        <v>17193</v>
      </c>
      <c r="B324" t="s">
        <v>17196</v>
      </c>
      <c r="C324">
        <v>4</v>
      </c>
      <c r="D324">
        <v>16</v>
      </c>
      <c r="E324">
        <v>16</v>
      </c>
      <c r="F324">
        <v>12</v>
      </c>
      <c r="G324">
        <v>1</v>
      </c>
      <c r="H324">
        <v>7</v>
      </c>
      <c r="I324">
        <v>4</v>
      </c>
      <c r="J324">
        <v>16</v>
      </c>
      <c r="K324">
        <v>292</v>
      </c>
      <c r="L324">
        <v>3</v>
      </c>
      <c r="M324">
        <v>10</v>
      </c>
      <c r="N324">
        <v>1</v>
      </c>
      <c r="O324">
        <v>0</v>
      </c>
      <c r="P324">
        <v>2</v>
      </c>
      <c r="Q324">
        <v>0</v>
      </c>
      <c r="R324">
        <v>0</v>
      </c>
      <c r="S324">
        <v>7.5</v>
      </c>
      <c r="T324">
        <v>5.5</v>
      </c>
      <c r="U324">
        <v>0</v>
      </c>
      <c r="V324">
        <v>11.75</v>
      </c>
      <c r="W324">
        <v>170</v>
      </c>
      <c r="X324">
        <v>0</v>
      </c>
      <c r="Y324">
        <v>10</v>
      </c>
      <c r="Z324">
        <v>0</v>
      </c>
      <c r="AA324">
        <v>-2.5</v>
      </c>
      <c r="AB324">
        <v>0</v>
      </c>
      <c r="AC324">
        <v>150</v>
      </c>
      <c r="AD324">
        <v>150</v>
      </c>
      <c r="AE324">
        <v>370</v>
      </c>
      <c r="AF324">
        <v>150</v>
      </c>
      <c r="AG324">
        <v>320</v>
      </c>
      <c r="AH324">
        <v>60</v>
      </c>
      <c r="AI324">
        <v>143</v>
      </c>
      <c r="AJ324">
        <v>53</v>
      </c>
      <c r="AK324">
        <v>188</v>
      </c>
      <c r="AL324">
        <v>45</v>
      </c>
      <c r="AM324">
        <v>0</v>
      </c>
      <c r="AN324">
        <v>2</v>
      </c>
      <c r="AO324">
        <v>0</v>
      </c>
      <c r="AP324">
        <v>2</v>
      </c>
      <c r="AQ324">
        <v>0</v>
      </c>
      <c r="AR324">
        <v>0</v>
      </c>
      <c r="AS324">
        <v>0</v>
      </c>
      <c r="AT324">
        <v>292</v>
      </c>
      <c r="AU324">
        <v>175</v>
      </c>
      <c r="AV324">
        <v>38</v>
      </c>
      <c r="AW324">
        <v>79</v>
      </c>
      <c r="AX324">
        <v>7.5</v>
      </c>
      <c r="AY324">
        <v>3.5</v>
      </c>
      <c r="AZ324">
        <v>2.75</v>
      </c>
      <c r="BA324">
        <v>1.25</v>
      </c>
      <c r="BB324">
        <v>5.5</v>
      </c>
      <c r="BC324">
        <v>5</v>
      </c>
      <c r="BD324">
        <v>0.5</v>
      </c>
      <c r="BE324">
        <v>0</v>
      </c>
    </row>
    <row r="325" spans="1:57">
      <c r="A325" t="s">
        <v>17193</v>
      </c>
      <c r="B325" t="s">
        <v>17206</v>
      </c>
      <c r="C325">
        <v>62</v>
      </c>
      <c r="D325">
        <v>86</v>
      </c>
      <c r="E325">
        <v>86</v>
      </c>
      <c r="F325">
        <v>84</v>
      </c>
      <c r="G325">
        <v>1</v>
      </c>
      <c r="H325">
        <v>4</v>
      </c>
      <c r="I325">
        <v>4</v>
      </c>
      <c r="J325">
        <v>86</v>
      </c>
      <c r="K325">
        <v>560</v>
      </c>
      <c r="L325">
        <v>75</v>
      </c>
      <c r="M325">
        <v>4</v>
      </c>
      <c r="N325">
        <v>1</v>
      </c>
      <c r="O325">
        <v>1</v>
      </c>
      <c r="P325">
        <v>2</v>
      </c>
      <c r="Q325">
        <v>3</v>
      </c>
      <c r="R325">
        <v>0</v>
      </c>
      <c r="S325">
        <v>64.25</v>
      </c>
      <c r="T325">
        <v>31</v>
      </c>
      <c r="U325">
        <v>0</v>
      </c>
      <c r="V325">
        <v>95.25</v>
      </c>
      <c r="W325">
        <v>1107.5</v>
      </c>
      <c r="X325">
        <v>0</v>
      </c>
      <c r="Y325">
        <v>24</v>
      </c>
      <c r="Z325">
        <v>0</v>
      </c>
      <c r="AA325">
        <v>-155</v>
      </c>
      <c r="AB325">
        <v>860</v>
      </c>
      <c r="AC325">
        <v>0</v>
      </c>
      <c r="AD325">
        <v>0</v>
      </c>
      <c r="AE325">
        <v>0</v>
      </c>
      <c r="AF325">
        <v>860</v>
      </c>
      <c r="AG325">
        <v>1107.5</v>
      </c>
      <c r="AH325">
        <v>1107.5</v>
      </c>
      <c r="AI325">
        <v>0</v>
      </c>
      <c r="AJ325">
        <v>0</v>
      </c>
      <c r="AK325">
        <v>17.5</v>
      </c>
      <c r="AL325">
        <v>17.5</v>
      </c>
      <c r="AM325">
        <v>0</v>
      </c>
      <c r="AN325">
        <v>0</v>
      </c>
      <c r="AO325">
        <v>0</v>
      </c>
      <c r="AP325">
        <v>0</v>
      </c>
      <c r="AQ325">
        <v>0</v>
      </c>
      <c r="AR325">
        <v>0</v>
      </c>
      <c r="AS325">
        <v>0</v>
      </c>
      <c r="AT325">
        <v>560</v>
      </c>
      <c r="AU325">
        <v>64</v>
      </c>
      <c r="AV325">
        <v>176</v>
      </c>
      <c r="AW325">
        <v>320</v>
      </c>
      <c r="AX325">
        <v>64.25</v>
      </c>
      <c r="AY325">
        <v>1.75</v>
      </c>
      <c r="AZ325">
        <v>47</v>
      </c>
      <c r="BA325">
        <v>15.5</v>
      </c>
      <c r="BB325">
        <v>31</v>
      </c>
      <c r="BC325">
        <v>0</v>
      </c>
      <c r="BD325">
        <v>31</v>
      </c>
      <c r="BE325">
        <v>0</v>
      </c>
    </row>
    <row r="326" spans="1:57">
      <c r="A326" t="s">
        <v>17193</v>
      </c>
      <c r="B326" t="s">
        <v>17302</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row>
    <row r="327" spans="1:57">
      <c r="A327" t="s">
        <v>17197</v>
      </c>
      <c r="B327" t="s">
        <v>17198</v>
      </c>
      <c r="C327">
        <v>0</v>
      </c>
      <c r="D327">
        <v>25</v>
      </c>
      <c r="E327">
        <v>25</v>
      </c>
      <c r="F327">
        <v>10</v>
      </c>
      <c r="G327">
        <v>1</v>
      </c>
      <c r="H327">
        <v>0</v>
      </c>
      <c r="I327">
        <v>1</v>
      </c>
      <c r="J327">
        <v>25</v>
      </c>
      <c r="K327">
        <v>296</v>
      </c>
      <c r="L327">
        <v>15</v>
      </c>
      <c r="M327">
        <v>3</v>
      </c>
      <c r="N327">
        <v>5</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296</v>
      </c>
      <c r="AU327">
        <v>0</v>
      </c>
      <c r="AV327">
        <v>296</v>
      </c>
      <c r="AW327">
        <v>0</v>
      </c>
      <c r="AX327">
        <v>0</v>
      </c>
      <c r="AY327">
        <v>0</v>
      </c>
      <c r="AZ327">
        <v>0</v>
      </c>
      <c r="BA327">
        <v>0</v>
      </c>
      <c r="BB327">
        <v>0</v>
      </c>
      <c r="BC327">
        <v>0</v>
      </c>
      <c r="BD327">
        <v>0</v>
      </c>
      <c r="BE327">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AABC-B899-8340-99B3-2FC7A30A17A5}">
  <dimension ref="A1:BF344"/>
  <sheetViews>
    <sheetView workbookViewId="0"/>
  </sheetViews>
  <sheetFormatPr baseColWidth="10" defaultRowHeight="15"/>
  <cols>
    <col min="2" max="2" width="55.5" customWidth="1"/>
  </cols>
  <sheetData>
    <row r="1" spans="1:58" ht="15" customHeight="1">
      <c r="A1" t="s">
        <v>17292</v>
      </c>
      <c r="B1" t="s">
        <v>16796</v>
      </c>
      <c r="C1" t="s">
        <v>19940</v>
      </c>
      <c r="D1" t="s">
        <v>16821</v>
      </c>
      <c r="E1" t="s">
        <v>16822</v>
      </c>
      <c r="F1" t="s">
        <v>16823</v>
      </c>
      <c r="G1" s="1" t="s">
        <v>19941</v>
      </c>
      <c r="H1" t="s">
        <v>16825</v>
      </c>
      <c r="I1" s="1" t="s">
        <v>19942</v>
      </c>
      <c r="J1" s="1" t="s">
        <v>19943</v>
      </c>
      <c r="K1" t="s">
        <v>16828</v>
      </c>
      <c r="L1" t="s">
        <v>16829</v>
      </c>
      <c r="M1" t="s">
        <v>16830</v>
      </c>
      <c r="N1" s="1" t="s">
        <v>19944</v>
      </c>
      <c r="O1" t="s">
        <v>16832</v>
      </c>
      <c r="P1" t="s">
        <v>16833</v>
      </c>
      <c r="Q1" s="1" t="s">
        <v>19945</v>
      </c>
      <c r="R1" s="1" t="s">
        <v>19946</v>
      </c>
      <c r="S1" s="1" t="s">
        <v>19947</v>
      </c>
      <c r="T1" t="s">
        <v>19948</v>
      </c>
      <c r="U1" s="1" t="s">
        <v>19949</v>
      </c>
      <c r="V1" s="1" t="s">
        <v>19950</v>
      </c>
      <c r="W1" s="1" t="s">
        <v>19951</v>
      </c>
      <c r="X1" t="s">
        <v>16841</v>
      </c>
      <c r="Y1" s="1" t="s">
        <v>19952</v>
      </c>
      <c r="Z1" s="1" t="s">
        <v>19953</v>
      </c>
      <c r="AA1" t="s">
        <v>16844</v>
      </c>
      <c r="AB1" s="1" t="s">
        <v>19954</v>
      </c>
      <c r="AC1" s="1" t="s">
        <v>19955</v>
      </c>
      <c r="AD1" s="1" t="s">
        <v>19956</v>
      </c>
      <c r="AE1" t="s">
        <v>16848</v>
      </c>
      <c r="AF1" s="1" t="s">
        <v>19957</v>
      </c>
      <c r="AG1" s="1" t="s">
        <v>19958</v>
      </c>
      <c r="AH1" s="1" t="s">
        <v>19959</v>
      </c>
      <c r="AI1" t="s">
        <v>16852</v>
      </c>
      <c r="AJ1" t="s">
        <v>16853</v>
      </c>
      <c r="AK1" t="s">
        <v>16854</v>
      </c>
      <c r="AL1" t="s">
        <v>16855</v>
      </c>
      <c r="AM1" t="s">
        <v>18775</v>
      </c>
      <c r="AN1" t="s">
        <v>19324</v>
      </c>
      <c r="AO1" t="s">
        <v>18777</v>
      </c>
      <c r="AP1" t="s">
        <v>18778</v>
      </c>
      <c r="AQ1" t="s">
        <v>18779</v>
      </c>
      <c r="AR1" t="s">
        <v>18780</v>
      </c>
      <c r="AS1" t="s">
        <v>18781</v>
      </c>
      <c r="AT1" t="s">
        <v>16856</v>
      </c>
      <c r="AU1" t="s">
        <v>16857</v>
      </c>
      <c r="AV1" t="s">
        <v>16858</v>
      </c>
      <c r="AW1" t="s">
        <v>19960</v>
      </c>
      <c r="AX1" t="s">
        <v>16860</v>
      </c>
      <c r="AY1" t="s">
        <v>16861</v>
      </c>
      <c r="AZ1" t="s">
        <v>16862</v>
      </c>
      <c r="BA1" t="s">
        <v>16863</v>
      </c>
      <c r="BB1" t="s">
        <v>16864</v>
      </c>
      <c r="BC1" t="s">
        <v>16865</v>
      </c>
      <c r="BD1" t="s">
        <v>16866</v>
      </c>
      <c r="BE1" t="s">
        <v>16867</v>
      </c>
      <c r="BF1" t="s">
        <v>18782</v>
      </c>
    </row>
    <row r="2" spans="1:58">
      <c r="A2" t="s">
        <v>16869</v>
      </c>
      <c r="B2" t="s">
        <v>17346</v>
      </c>
      <c r="C2">
        <v>0</v>
      </c>
      <c r="D2">
        <v>5</v>
      </c>
      <c r="E2">
        <v>5</v>
      </c>
      <c r="F2">
        <v>5</v>
      </c>
      <c r="G2">
        <v>1</v>
      </c>
      <c r="H2">
        <v>0</v>
      </c>
      <c r="I2">
        <v>0</v>
      </c>
      <c r="J2">
        <v>5</v>
      </c>
      <c r="K2">
        <v>39</v>
      </c>
      <c r="L2">
        <v>5</v>
      </c>
      <c r="M2">
        <v>0</v>
      </c>
      <c r="N2">
        <v>0</v>
      </c>
      <c r="O2">
        <v>0</v>
      </c>
      <c r="P2">
        <v>0</v>
      </c>
      <c r="Q2">
        <v>0</v>
      </c>
      <c r="R2">
        <v>0</v>
      </c>
      <c r="S2">
        <v>6.75</v>
      </c>
      <c r="T2">
        <v>2.75</v>
      </c>
      <c r="U2">
        <v>0</v>
      </c>
      <c r="V2">
        <v>9.5</v>
      </c>
      <c r="W2">
        <v>122.5</v>
      </c>
      <c r="X2">
        <v>0</v>
      </c>
      <c r="Y2">
        <v>0</v>
      </c>
      <c r="Z2">
        <v>4</v>
      </c>
      <c r="AA2">
        <v>0</v>
      </c>
      <c r="AB2">
        <v>0</v>
      </c>
      <c r="AC2">
        <v>0</v>
      </c>
      <c r="AD2">
        <v>0</v>
      </c>
      <c r="AE2">
        <v>0</v>
      </c>
      <c r="AF2">
        <v>0</v>
      </c>
      <c r="AG2">
        <v>122.5</v>
      </c>
      <c r="AH2">
        <v>122.5</v>
      </c>
      <c r="AI2">
        <v>0</v>
      </c>
      <c r="AJ2">
        <v>0</v>
      </c>
      <c r="AK2">
        <v>0</v>
      </c>
      <c r="AL2">
        <v>0</v>
      </c>
      <c r="AM2">
        <v>0</v>
      </c>
      <c r="AN2">
        <v>0</v>
      </c>
      <c r="AO2">
        <v>0</v>
      </c>
      <c r="AP2">
        <v>0</v>
      </c>
      <c r="AQ2">
        <v>0</v>
      </c>
      <c r="AR2">
        <v>0</v>
      </c>
      <c r="AS2">
        <v>0</v>
      </c>
      <c r="AT2">
        <v>39</v>
      </c>
      <c r="AU2">
        <v>0</v>
      </c>
      <c r="AV2">
        <v>39</v>
      </c>
      <c r="AW2">
        <v>0</v>
      </c>
      <c r="AX2">
        <v>6.75</v>
      </c>
      <c r="AY2">
        <v>0</v>
      </c>
      <c r="AZ2">
        <v>6.75</v>
      </c>
      <c r="BA2">
        <v>0</v>
      </c>
      <c r="BB2">
        <v>2.75</v>
      </c>
      <c r="BC2">
        <v>0</v>
      </c>
      <c r="BD2">
        <v>2.75</v>
      </c>
      <c r="BE2">
        <v>0</v>
      </c>
    </row>
    <row r="3" spans="1:58">
      <c r="A3" t="s">
        <v>16869</v>
      </c>
      <c r="B3" t="s">
        <v>16871</v>
      </c>
      <c r="C3">
        <v>1</v>
      </c>
      <c r="D3">
        <v>4</v>
      </c>
      <c r="E3">
        <v>0</v>
      </c>
      <c r="F3">
        <v>0</v>
      </c>
      <c r="G3">
        <v>0</v>
      </c>
      <c r="H3">
        <v>0</v>
      </c>
      <c r="I3">
        <v>0</v>
      </c>
      <c r="J3">
        <v>4</v>
      </c>
      <c r="K3">
        <v>29</v>
      </c>
      <c r="L3">
        <v>3</v>
      </c>
      <c r="M3">
        <v>1</v>
      </c>
      <c r="N3">
        <v>0</v>
      </c>
      <c r="O3">
        <v>0</v>
      </c>
      <c r="P3">
        <v>0</v>
      </c>
      <c r="Q3">
        <v>0</v>
      </c>
      <c r="R3">
        <v>0</v>
      </c>
      <c r="S3">
        <v>14.25</v>
      </c>
      <c r="T3">
        <v>9.25</v>
      </c>
      <c r="U3">
        <v>0</v>
      </c>
      <c r="V3">
        <v>23.5</v>
      </c>
      <c r="W3">
        <v>327.5</v>
      </c>
      <c r="X3">
        <v>0</v>
      </c>
      <c r="Y3">
        <v>3</v>
      </c>
      <c r="Z3">
        <v>0</v>
      </c>
      <c r="AA3">
        <v>0</v>
      </c>
      <c r="AB3">
        <v>250</v>
      </c>
      <c r="AC3">
        <v>0</v>
      </c>
      <c r="AD3">
        <v>0</v>
      </c>
      <c r="AE3">
        <v>0</v>
      </c>
      <c r="AF3">
        <v>250</v>
      </c>
      <c r="AG3">
        <v>327.5</v>
      </c>
      <c r="AH3">
        <v>327.5</v>
      </c>
      <c r="AI3">
        <v>0</v>
      </c>
      <c r="AJ3">
        <v>0</v>
      </c>
      <c r="AK3">
        <v>0</v>
      </c>
      <c r="AL3">
        <v>0</v>
      </c>
      <c r="AM3">
        <v>0</v>
      </c>
      <c r="AN3">
        <v>0</v>
      </c>
      <c r="AO3">
        <v>0</v>
      </c>
      <c r="AP3">
        <v>0</v>
      </c>
      <c r="AQ3">
        <v>0</v>
      </c>
      <c r="AR3">
        <v>0</v>
      </c>
      <c r="AS3">
        <v>0</v>
      </c>
      <c r="AT3">
        <v>29</v>
      </c>
      <c r="AU3">
        <v>0</v>
      </c>
      <c r="AV3">
        <v>27</v>
      </c>
      <c r="AW3">
        <v>2</v>
      </c>
      <c r="AX3">
        <v>14.25</v>
      </c>
      <c r="AY3">
        <v>0</v>
      </c>
      <c r="AZ3">
        <v>14.25</v>
      </c>
      <c r="BA3">
        <v>0</v>
      </c>
      <c r="BB3">
        <v>9.25</v>
      </c>
      <c r="BC3">
        <v>0</v>
      </c>
      <c r="BD3">
        <v>9.25</v>
      </c>
      <c r="BE3">
        <v>0</v>
      </c>
    </row>
    <row r="4" spans="1:58">
      <c r="A4" t="s">
        <v>16869</v>
      </c>
      <c r="B4" t="s">
        <v>16871</v>
      </c>
      <c r="C4">
        <v>0</v>
      </c>
      <c r="D4">
        <v>3</v>
      </c>
      <c r="E4">
        <v>0</v>
      </c>
      <c r="F4">
        <v>0</v>
      </c>
      <c r="G4">
        <v>0</v>
      </c>
      <c r="H4">
        <v>0</v>
      </c>
      <c r="I4">
        <v>0</v>
      </c>
      <c r="J4">
        <v>3</v>
      </c>
      <c r="K4">
        <v>13</v>
      </c>
      <c r="L4">
        <v>2</v>
      </c>
      <c r="M4">
        <v>1</v>
      </c>
      <c r="N4">
        <v>0</v>
      </c>
      <c r="O4">
        <v>0</v>
      </c>
      <c r="P4">
        <v>0</v>
      </c>
      <c r="Q4">
        <v>0</v>
      </c>
      <c r="R4">
        <v>0</v>
      </c>
      <c r="S4">
        <v>3.5</v>
      </c>
      <c r="T4">
        <v>0.5</v>
      </c>
      <c r="U4">
        <v>0</v>
      </c>
      <c r="V4">
        <v>4</v>
      </c>
      <c r="W4">
        <v>45</v>
      </c>
      <c r="X4">
        <v>0</v>
      </c>
      <c r="Y4">
        <v>2</v>
      </c>
      <c r="Z4">
        <v>0</v>
      </c>
      <c r="AA4">
        <v>0</v>
      </c>
      <c r="AB4">
        <v>0</v>
      </c>
      <c r="AC4">
        <v>0</v>
      </c>
      <c r="AD4">
        <v>0</v>
      </c>
      <c r="AE4">
        <v>0</v>
      </c>
      <c r="AF4">
        <v>0</v>
      </c>
      <c r="AG4">
        <v>45</v>
      </c>
      <c r="AH4">
        <v>45</v>
      </c>
      <c r="AI4">
        <v>0</v>
      </c>
      <c r="AJ4">
        <v>0</v>
      </c>
      <c r="AK4">
        <v>0</v>
      </c>
      <c r="AL4">
        <v>0</v>
      </c>
      <c r="AM4">
        <v>0</v>
      </c>
      <c r="AN4">
        <v>0</v>
      </c>
      <c r="AO4">
        <v>0</v>
      </c>
      <c r="AP4">
        <v>0</v>
      </c>
      <c r="AQ4">
        <v>0</v>
      </c>
      <c r="AR4">
        <v>0</v>
      </c>
      <c r="AS4">
        <v>0</v>
      </c>
      <c r="AT4">
        <v>13</v>
      </c>
      <c r="AU4">
        <v>0</v>
      </c>
      <c r="AV4">
        <v>13</v>
      </c>
      <c r="AW4">
        <v>0</v>
      </c>
      <c r="AX4">
        <v>3.5</v>
      </c>
      <c r="AY4">
        <v>0</v>
      </c>
      <c r="AZ4">
        <v>3.5</v>
      </c>
      <c r="BA4">
        <v>0</v>
      </c>
      <c r="BB4">
        <v>0.5</v>
      </c>
      <c r="BC4">
        <v>0</v>
      </c>
      <c r="BD4">
        <v>0.5</v>
      </c>
      <c r="BE4">
        <v>0</v>
      </c>
    </row>
    <row r="5" spans="1:58">
      <c r="A5" t="s">
        <v>16869</v>
      </c>
      <c r="B5" t="s">
        <v>20679</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row>
    <row r="6" spans="1:58">
      <c r="A6" t="s">
        <v>16869</v>
      </c>
      <c r="B6" t="s">
        <v>17498</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row>
    <row r="7" spans="1:58">
      <c r="A7" t="s">
        <v>16869</v>
      </c>
      <c r="B7" t="s">
        <v>18784</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row>
    <row r="8" spans="1:58">
      <c r="A8" t="s">
        <v>16869</v>
      </c>
      <c r="B8" t="s">
        <v>17200</v>
      </c>
      <c r="C8">
        <v>4</v>
      </c>
      <c r="D8">
        <v>270</v>
      </c>
      <c r="E8">
        <v>269</v>
      </c>
      <c r="F8">
        <v>269</v>
      </c>
      <c r="G8">
        <v>47</v>
      </c>
      <c r="H8">
        <v>24</v>
      </c>
      <c r="I8">
        <v>26</v>
      </c>
      <c r="J8">
        <v>268</v>
      </c>
      <c r="K8">
        <v>1428</v>
      </c>
      <c r="L8">
        <v>253</v>
      </c>
      <c r="M8">
        <v>0</v>
      </c>
      <c r="N8">
        <v>6</v>
      </c>
      <c r="O8">
        <v>8</v>
      </c>
      <c r="P8">
        <v>2</v>
      </c>
      <c r="Q8">
        <v>0</v>
      </c>
      <c r="R8">
        <v>0</v>
      </c>
      <c r="S8">
        <v>75.160000000000025</v>
      </c>
      <c r="T8">
        <v>16.850000000000001</v>
      </c>
      <c r="U8">
        <v>0</v>
      </c>
      <c r="V8">
        <v>92.010000000000019</v>
      </c>
      <c r="W8">
        <v>1088.6000000000001</v>
      </c>
      <c r="X8">
        <v>0</v>
      </c>
      <c r="Y8">
        <v>32</v>
      </c>
      <c r="Z8">
        <v>0</v>
      </c>
      <c r="AA8">
        <v>0</v>
      </c>
      <c r="AB8">
        <v>452.4</v>
      </c>
      <c r="AC8">
        <v>2089.3199999999993</v>
      </c>
      <c r="AD8">
        <v>1166.2049999999995</v>
      </c>
      <c r="AE8">
        <v>1448.3299999999995</v>
      </c>
      <c r="AF8">
        <v>1618.6049999999993</v>
      </c>
      <c r="AG8">
        <v>3177.9200000000019</v>
      </c>
      <c r="AH8">
        <v>1730.5900000000001</v>
      </c>
      <c r="AI8">
        <v>798.65</v>
      </c>
      <c r="AJ8">
        <v>955.44499999999994</v>
      </c>
      <c r="AK8">
        <v>1877.51</v>
      </c>
      <c r="AL8">
        <v>1078.8599999999999</v>
      </c>
      <c r="AM8">
        <v>95</v>
      </c>
      <c r="AN8">
        <v>38</v>
      </c>
      <c r="AO8">
        <v>3</v>
      </c>
      <c r="AP8">
        <v>3</v>
      </c>
      <c r="AQ8">
        <v>0</v>
      </c>
      <c r="AR8">
        <v>0</v>
      </c>
      <c r="AS8">
        <v>0</v>
      </c>
      <c r="AT8">
        <v>1428</v>
      </c>
      <c r="AU8">
        <v>506</v>
      </c>
      <c r="AV8">
        <v>922</v>
      </c>
      <c r="AW8">
        <v>0</v>
      </c>
      <c r="AX8">
        <v>75.160000000000025</v>
      </c>
      <c r="AY8">
        <v>50.690000000000005</v>
      </c>
      <c r="AZ8">
        <v>24.470000000000002</v>
      </c>
      <c r="BA8">
        <v>0</v>
      </c>
      <c r="BB8">
        <v>16.850000000000001</v>
      </c>
      <c r="BC8">
        <v>12.93</v>
      </c>
      <c r="BD8">
        <v>3.92</v>
      </c>
      <c r="BE8">
        <v>0</v>
      </c>
    </row>
    <row r="9" spans="1:58">
      <c r="A9" t="s">
        <v>16869</v>
      </c>
      <c r="B9" t="s">
        <v>16872</v>
      </c>
      <c r="C9">
        <v>1</v>
      </c>
      <c r="D9">
        <v>83</v>
      </c>
      <c r="E9">
        <v>82</v>
      </c>
      <c r="F9">
        <v>67</v>
      </c>
      <c r="G9">
        <v>1</v>
      </c>
      <c r="H9">
        <v>7</v>
      </c>
      <c r="I9">
        <v>3</v>
      </c>
      <c r="J9">
        <v>79</v>
      </c>
      <c r="K9">
        <v>752</v>
      </c>
      <c r="L9">
        <v>32</v>
      </c>
      <c r="M9">
        <v>8</v>
      </c>
      <c r="N9">
        <v>27</v>
      </c>
      <c r="O9">
        <v>3</v>
      </c>
      <c r="P9">
        <v>5</v>
      </c>
      <c r="Q9">
        <v>8</v>
      </c>
      <c r="R9">
        <v>0</v>
      </c>
      <c r="S9">
        <v>47.75</v>
      </c>
      <c r="T9">
        <v>59.5</v>
      </c>
      <c r="U9">
        <v>1.5</v>
      </c>
      <c r="V9">
        <v>108.75</v>
      </c>
      <c r="W9">
        <v>1660</v>
      </c>
      <c r="X9">
        <v>0</v>
      </c>
      <c r="Y9">
        <v>68</v>
      </c>
      <c r="Z9">
        <v>2</v>
      </c>
      <c r="AA9">
        <v>-7.5</v>
      </c>
      <c r="AB9">
        <v>692.5</v>
      </c>
      <c r="AC9">
        <v>75.25</v>
      </c>
      <c r="AD9">
        <v>1312.75</v>
      </c>
      <c r="AE9">
        <v>1787.75</v>
      </c>
      <c r="AF9">
        <v>2005.25</v>
      </c>
      <c r="AG9">
        <v>1770.25</v>
      </c>
      <c r="AH9">
        <v>1076</v>
      </c>
      <c r="AI9">
        <v>1444.75</v>
      </c>
      <c r="AJ9">
        <v>1483.25</v>
      </c>
      <c r="AK9">
        <v>465</v>
      </c>
      <c r="AL9">
        <v>97.75</v>
      </c>
      <c r="AM9">
        <v>3</v>
      </c>
      <c r="AN9">
        <v>7</v>
      </c>
      <c r="AO9">
        <v>4</v>
      </c>
      <c r="AP9">
        <v>2</v>
      </c>
      <c r="AQ9">
        <v>1</v>
      </c>
      <c r="AR9">
        <v>0</v>
      </c>
      <c r="AS9">
        <v>0</v>
      </c>
      <c r="AT9">
        <v>752</v>
      </c>
      <c r="AU9">
        <v>127</v>
      </c>
      <c r="AV9">
        <v>622</v>
      </c>
      <c r="AW9">
        <v>3</v>
      </c>
      <c r="AX9">
        <v>47.5</v>
      </c>
      <c r="AY9">
        <v>11</v>
      </c>
      <c r="AZ9">
        <v>36.25</v>
      </c>
      <c r="BA9">
        <v>0.25</v>
      </c>
      <c r="BB9">
        <v>59.5</v>
      </c>
      <c r="BC9">
        <v>16.25</v>
      </c>
      <c r="BD9">
        <v>43</v>
      </c>
      <c r="BE9">
        <v>0.25</v>
      </c>
    </row>
    <row r="10" spans="1:58">
      <c r="A10" t="s">
        <v>16869</v>
      </c>
      <c r="B10" t="s">
        <v>16873</v>
      </c>
      <c r="C10">
        <v>0</v>
      </c>
      <c r="D10">
        <v>12</v>
      </c>
      <c r="E10">
        <v>0</v>
      </c>
      <c r="F10">
        <v>12</v>
      </c>
      <c r="G10">
        <v>2</v>
      </c>
      <c r="H10">
        <v>0</v>
      </c>
      <c r="I10">
        <v>0</v>
      </c>
      <c r="J10">
        <v>12</v>
      </c>
      <c r="K10">
        <v>96</v>
      </c>
      <c r="L10">
        <v>8</v>
      </c>
      <c r="M10">
        <v>0</v>
      </c>
      <c r="N10">
        <v>1</v>
      </c>
      <c r="O10">
        <v>3</v>
      </c>
      <c r="P10">
        <v>0</v>
      </c>
      <c r="Q10">
        <v>0</v>
      </c>
      <c r="R10">
        <v>0</v>
      </c>
      <c r="S10">
        <v>6.5</v>
      </c>
      <c r="T10">
        <v>1.5</v>
      </c>
      <c r="U10">
        <v>0</v>
      </c>
      <c r="V10">
        <v>8</v>
      </c>
      <c r="W10">
        <v>95</v>
      </c>
      <c r="X10">
        <v>0</v>
      </c>
      <c r="Y10">
        <v>9</v>
      </c>
      <c r="Z10">
        <v>0</v>
      </c>
      <c r="AA10">
        <v>0</v>
      </c>
      <c r="AB10">
        <v>30</v>
      </c>
      <c r="AC10">
        <v>0</v>
      </c>
      <c r="AD10">
        <v>0</v>
      </c>
      <c r="AE10">
        <v>0</v>
      </c>
      <c r="AF10">
        <v>30</v>
      </c>
      <c r="AG10">
        <v>95</v>
      </c>
      <c r="AH10">
        <v>95</v>
      </c>
      <c r="AI10">
        <v>0</v>
      </c>
      <c r="AJ10">
        <v>0</v>
      </c>
      <c r="AK10">
        <v>0</v>
      </c>
      <c r="AL10">
        <v>0</v>
      </c>
      <c r="AM10">
        <v>0</v>
      </c>
      <c r="AN10">
        <v>0</v>
      </c>
      <c r="AO10">
        <v>0</v>
      </c>
      <c r="AP10">
        <v>0</v>
      </c>
      <c r="AQ10">
        <v>0</v>
      </c>
      <c r="AR10">
        <v>0</v>
      </c>
      <c r="AS10">
        <v>0</v>
      </c>
      <c r="AT10">
        <v>96</v>
      </c>
      <c r="AU10">
        <v>0</v>
      </c>
      <c r="AV10">
        <v>96</v>
      </c>
      <c r="AW10">
        <v>0</v>
      </c>
      <c r="AX10">
        <v>6.5</v>
      </c>
      <c r="AY10">
        <v>0</v>
      </c>
      <c r="AZ10">
        <v>6.5</v>
      </c>
      <c r="BA10">
        <v>0</v>
      </c>
      <c r="BB10">
        <v>1.5</v>
      </c>
      <c r="BC10">
        <v>0</v>
      </c>
      <c r="BD10">
        <v>1.5</v>
      </c>
      <c r="BE10">
        <v>0</v>
      </c>
    </row>
    <row r="11" spans="1:58">
      <c r="A11" t="s">
        <v>16869</v>
      </c>
      <c r="B11" t="s">
        <v>18785</v>
      </c>
      <c r="C11">
        <v>0</v>
      </c>
      <c r="D11">
        <v>46</v>
      </c>
      <c r="E11">
        <v>46</v>
      </c>
      <c r="F11">
        <v>35</v>
      </c>
      <c r="G11">
        <v>6</v>
      </c>
      <c r="H11">
        <v>0</v>
      </c>
      <c r="I11">
        <v>0</v>
      </c>
      <c r="J11">
        <v>46</v>
      </c>
      <c r="K11">
        <v>515</v>
      </c>
      <c r="L11">
        <v>39</v>
      </c>
      <c r="M11">
        <v>3</v>
      </c>
      <c r="N11">
        <v>2</v>
      </c>
      <c r="O11">
        <v>1</v>
      </c>
      <c r="P11">
        <v>1</v>
      </c>
      <c r="Q11">
        <v>6</v>
      </c>
      <c r="R11">
        <v>0</v>
      </c>
      <c r="S11">
        <v>58.5</v>
      </c>
      <c r="T11">
        <v>52.75</v>
      </c>
      <c r="U11">
        <v>0</v>
      </c>
      <c r="V11">
        <v>111.25</v>
      </c>
      <c r="W11">
        <v>1640</v>
      </c>
      <c r="X11">
        <v>0</v>
      </c>
      <c r="Y11">
        <v>40</v>
      </c>
      <c r="Z11">
        <v>0</v>
      </c>
      <c r="AA11">
        <v>0</v>
      </c>
      <c r="AB11">
        <v>657.5</v>
      </c>
      <c r="AC11">
        <v>2467.5</v>
      </c>
      <c r="AD11">
        <v>1777.5</v>
      </c>
      <c r="AE11">
        <v>1620.5</v>
      </c>
      <c r="AF11">
        <v>2435</v>
      </c>
      <c r="AG11">
        <v>4107.5</v>
      </c>
      <c r="AH11">
        <v>3001.25</v>
      </c>
      <c r="AI11">
        <v>0</v>
      </c>
      <c r="AJ11">
        <v>0</v>
      </c>
      <c r="AK11">
        <v>0</v>
      </c>
      <c r="AL11">
        <v>0</v>
      </c>
      <c r="AM11">
        <v>14</v>
      </c>
      <c r="AN11">
        <v>2</v>
      </c>
      <c r="AO11">
        <v>1</v>
      </c>
      <c r="AP11">
        <v>3</v>
      </c>
      <c r="AQ11">
        <v>1</v>
      </c>
      <c r="AR11">
        <v>0</v>
      </c>
      <c r="AS11">
        <v>0</v>
      </c>
      <c r="AT11">
        <v>515</v>
      </c>
      <c r="AU11">
        <v>0</v>
      </c>
      <c r="AV11">
        <v>515</v>
      </c>
      <c r="AW11">
        <v>0</v>
      </c>
      <c r="AX11">
        <v>58.5</v>
      </c>
      <c r="AY11">
        <v>0</v>
      </c>
      <c r="AZ11">
        <v>58.5</v>
      </c>
      <c r="BA11">
        <v>0</v>
      </c>
      <c r="BB11">
        <v>52.75</v>
      </c>
      <c r="BC11">
        <v>0</v>
      </c>
      <c r="BD11">
        <v>52.75</v>
      </c>
      <c r="BE11">
        <v>0</v>
      </c>
    </row>
    <row r="12" spans="1:58">
      <c r="A12" t="s">
        <v>16874</v>
      </c>
      <c r="B12" t="s">
        <v>16875</v>
      </c>
      <c r="C12">
        <v>0</v>
      </c>
      <c r="D12">
        <v>6</v>
      </c>
      <c r="E12">
        <v>6</v>
      </c>
      <c r="F12">
        <v>6</v>
      </c>
      <c r="G12">
        <v>0</v>
      </c>
      <c r="H12">
        <v>0</v>
      </c>
      <c r="I12">
        <v>0</v>
      </c>
      <c r="J12">
        <v>6</v>
      </c>
      <c r="K12">
        <v>19</v>
      </c>
      <c r="L12">
        <v>1</v>
      </c>
      <c r="M12">
        <v>0</v>
      </c>
      <c r="N12">
        <v>2</v>
      </c>
      <c r="O12">
        <v>3</v>
      </c>
      <c r="P12">
        <v>0</v>
      </c>
      <c r="Q12">
        <v>0</v>
      </c>
      <c r="R12">
        <v>0</v>
      </c>
      <c r="S12">
        <v>0.3</v>
      </c>
      <c r="T12">
        <v>0</v>
      </c>
      <c r="U12">
        <v>0</v>
      </c>
      <c r="V12">
        <v>0.3</v>
      </c>
      <c r="W12">
        <v>3</v>
      </c>
      <c r="X12">
        <v>0</v>
      </c>
      <c r="Y12">
        <v>2</v>
      </c>
      <c r="Z12">
        <v>0</v>
      </c>
      <c r="AA12">
        <v>0</v>
      </c>
      <c r="AB12">
        <v>0</v>
      </c>
      <c r="AC12">
        <v>0</v>
      </c>
      <c r="AD12">
        <v>0</v>
      </c>
      <c r="AE12">
        <v>0</v>
      </c>
      <c r="AF12">
        <v>0</v>
      </c>
      <c r="AG12">
        <v>3</v>
      </c>
      <c r="AH12">
        <v>3</v>
      </c>
      <c r="AI12">
        <v>0</v>
      </c>
      <c r="AJ12">
        <v>0</v>
      </c>
      <c r="AK12">
        <v>0</v>
      </c>
      <c r="AL12">
        <v>0</v>
      </c>
      <c r="AM12">
        <v>0</v>
      </c>
      <c r="AN12">
        <v>0</v>
      </c>
      <c r="AO12">
        <v>0</v>
      </c>
      <c r="AP12">
        <v>0</v>
      </c>
      <c r="AQ12">
        <v>0</v>
      </c>
      <c r="AR12">
        <v>0</v>
      </c>
      <c r="AS12">
        <v>0</v>
      </c>
      <c r="AT12">
        <v>19</v>
      </c>
      <c r="AU12">
        <v>0</v>
      </c>
      <c r="AV12">
        <v>19</v>
      </c>
      <c r="AW12">
        <v>0</v>
      </c>
      <c r="AX12">
        <v>0.3</v>
      </c>
      <c r="AY12">
        <v>0</v>
      </c>
      <c r="AZ12">
        <v>0.3</v>
      </c>
      <c r="BA12">
        <v>0</v>
      </c>
      <c r="BB12">
        <v>0</v>
      </c>
      <c r="BC12">
        <v>0</v>
      </c>
      <c r="BD12">
        <v>0</v>
      </c>
      <c r="BE12">
        <v>0</v>
      </c>
    </row>
    <row r="13" spans="1:58">
      <c r="A13" t="s">
        <v>16876</v>
      </c>
      <c r="B13" t="s">
        <v>16877</v>
      </c>
      <c r="C13">
        <v>0</v>
      </c>
      <c r="D13">
        <v>42</v>
      </c>
      <c r="E13">
        <v>42</v>
      </c>
      <c r="F13">
        <v>42</v>
      </c>
      <c r="G13">
        <v>2</v>
      </c>
      <c r="H13">
        <v>1</v>
      </c>
      <c r="I13">
        <v>1</v>
      </c>
      <c r="J13">
        <v>42</v>
      </c>
      <c r="K13">
        <v>480</v>
      </c>
      <c r="L13">
        <v>8</v>
      </c>
      <c r="M13">
        <v>7</v>
      </c>
      <c r="N13">
        <v>1</v>
      </c>
      <c r="O13">
        <v>22</v>
      </c>
      <c r="P13">
        <v>0</v>
      </c>
      <c r="Q13">
        <v>4</v>
      </c>
      <c r="R13">
        <v>0</v>
      </c>
      <c r="S13">
        <v>7</v>
      </c>
      <c r="T13">
        <v>4.5</v>
      </c>
      <c r="U13">
        <v>0</v>
      </c>
      <c r="V13">
        <v>11.5</v>
      </c>
      <c r="W13">
        <v>160</v>
      </c>
      <c r="X13">
        <v>0</v>
      </c>
      <c r="Y13">
        <v>2</v>
      </c>
      <c r="Z13">
        <v>0</v>
      </c>
      <c r="AA13">
        <v>0</v>
      </c>
      <c r="AB13">
        <v>110</v>
      </c>
      <c r="AC13">
        <v>19.25</v>
      </c>
      <c r="AD13">
        <v>19.25</v>
      </c>
      <c r="AE13">
        <v>129.25</v>
      </c>
      <c r="AF13">
        <v>129.25</v>
      </c>
      <c r="AG13">
        <v>179.25</v>
      </c>
      <c r="AH13">
        <v>50</v>
      </c>
      <c r="AI13">
        <v>0</v>
      </c>
      <c r="AJ13">
        <v>0</v>
      </c>
      <c r="AK13">
        <v>0</v>
      </c>
      <c r="AL13">
        <v>0</v>
      </c>
      <c r="AM13">
        <v>0</v>
      </c>
      <c r="AN13">
        <v>0</v>
      </c>
      <c r="AO13">
        <v>0</v>
      </c>
      <c r="AP13">
        <v>1</v>
      </c>
      <c r="AQ13">
        <v>0</v>
      </c>
      <c r="AR13">
        <v>0</v>
      </c>
      <c r="AS13">
        <v>0</v>
      </c>
      <c r="AT13">
        <v>480</v>
      </c>
      <c r="AU13">
        <v>11</v>
      </c>
      <c r="AV13">
        <v>469</v>
      </c>
      <c r="AW13">
        <v>0</v>
      </c>
      <c r="AX13">
        <v>7</v>
      </c>
      <c r="AY13">
        <v>0</v>
      </c>
      <c r="AZ13">
        <v>7</v>
      </c>
      <c r="BA13">
        <v>0</v>
      </c>
      <c r="BB13">
        <v>4.5</v>
      </c>
      <c r="BC13">
        <v>0</v>
      </c>
      <c r="BD13">
        <v>4.5</v>
      </c>
      <c r="BE13">
        <v>0</v>
      </c>
    </row>
    <row r="14" spans="1:58">
      <c r="A14" t="s">
        <v>17496</v>
      </c>
      <c r="B14" t="s">
        <v>17497</v>
      </c>
      <c r="C14">
        <v>0</v>
      </c>
      <c r="D14">
        <v>7</v>
      </c>
      <c r="E14">
        <v>7</v>
      </c>
      <c r="F14">
        <v>7</v>
      </c>
      <c r="G14">
        <v>2</v>
      </c>
      <c r="H14">
        <v>0</v>
      </c>
      <c r="I14">
        <v>0</v>
      </c>
      <c r="J14">
        <v>7</v>
      </c>
      <c r="K14">
        <v>41</v>
      </c>
      <c r="L14">
        <v>2</v>
      </c>
      <c r="M14">
        <v>0</v>
      </c>
      <c r="N14">
        <v>3</v>
      </c>
      <c r="O14">
        <v>2</v>
      </c>
      <c r="P14">
        <v>0</v>
      </c>
      <c r="Q14">
        <v>0</v>
      </c>
      <c r="R14">
        <v>0</v>
      </c>
      <c r="S14">
        <v>14.75</v>
      </c>
      <c r="T14">
        <v>4</v>
      </c>
      <c r="U14">
        <v>0</v>
      </c>
      <c r="V14">
        <v>18.75</v>
      </c>
      <c r="W14">
        <v>227.5</v>
      </c>
      <c r="X14">
        <v>0</v>
      </c>
      <c r="Y14">
        <v>0</v>
      </c>
      <c r="Z14">
        <v>0</v>
      </c>
      <c r="AA14">
        <v>0</v>
      </c>
      <c r="AB14">
        <v>47.5</v>
      </c>
      <c r="AC14">
        <v>0</v>
      </c>
      <c r="AD14">
        <v>0</v>
      </c>
      <c r="AE14">
        <v>47.5</v>
      </c>
      <c r="AF14">
        <v>47.5</v>
      </c>
      <c r="AG14">
        <v>227.5</v>
      </c>
      <c r="AH14">
        <v>180</v>
      </c>
      <c r="AI14">
        <v>0</v>
      </c>
      <c r="AJ14">
        <v>0</v>
      </c>
      <c r="AK14">
        <v>0</v>
      </c>
      <c r="AL14">
        <v>0</v>
      </c>
      <c r="AM14">
        <v>0</v>
      </c>
      <c r="AN14">
        <v>2</v>
      </c>
      <c r="AO14">
        <v>0</v>
      </c>
      <c r="AP14">
        <v>0</v>
      </c>
      <c r="AQ14">
        <v>0</v>
      </c>
      <c r="AR14">
        <v>0</v>
      </c>
      <c r="AS14">
        <v>0</v>
      </c>
      <c r="AT14">
        <v>41</v>
      </c>
      <c r="AU14">
        <v>0</v>
      </c>
      <c r="AV14">
        <v>41</v>
      </c>
      <c r="AW14">
        <v>0</v>
      </c>
      <c r="AX14">
        <v>14.75</v>
      </c>
      <c r="AY14">
        <v>0</v>
      </c>
      <c r="AZ14">
        <v>14.75</v>
      </c>
      <c r="BA14">
        <v>0</v>
      </c>
      <c r="BB14">
        <v>4</v>
      </c>
      <c r="BC14">
        <v>0</v>
      </c>
      <c r="BD14">
        <v>4</v>
      </c>
      <c r="BE14">
        <v>0</v>
      </c>
    </row>
    <row r="15" spans="1:58">
      <c r="A15" t="s">
        <v>16878</v>
      </c>
      <c r="B15" t="s">
        <v>17347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row>
    <row r="16" spans="1:58">
      <c r="A16" t="s">
        <v>17210</v>
      </c>
      <c r="B16" t="s">
        <v>17211</v>
      </c>
      <c r="C16">
        <v>0</v>
      </c>
      <c r="D16">
        <v>23</v>
      </c>
      <c r="E16">
        <v>23</v>
      </c>
      <c r="F16">
        <v>23</v>
      </c>
      <c r="G16">
        <v>1</v>
      </c>
      <c r="H16">
        <v>0</v>
      </c>
      <c r="I16">
        <v>0</v>
      </c>
      <c r="J16">
        <v>23</v>
      </c>
      <c r="K16">
        <v>159</v>
      </c>
      <c r="L16">
        <v>3</v>
      </c>
      <c r="M16">
        <v>0</v>
      </c>
      <c r="N16">
        <v>8</v>
      </c>
      <c r="O16">
        <v>7</v>
      </c>
      <c r="P16">
        <v>0</v>
      </c>
      <c r="Q16">
        <v>5</v>
      </c>
      <c r="R16">
        <v>0</v>
      </c>
      <c r="S16">
        <v>82.25</v>
      </c>
      <c r="T16">
        <v>18</v>
      </c>
      <c r="U16">
        <v>0</v>
      </c>
      <c r="V16">
        <v>100.25</v>
      </c>
      <c r="W16">
        <v>1182.5</v>
      </c>
      <c r="X16">
        <v>0</v>
      </c>
      <c r="Y16">
        <v>4</v>
      </c>
      <c r="Z16">
        <v>3</v>
      </c>
      <c r="AA16">
        <v>0</v>
      </c>
      <c r="AB16">
        <v>930</v>
      </c>
      <c r="AC16">
        <v>164.75</v>
      </c>
      <c r="AD16">
        <v>164.75</v>
      </c>
      <c r="AE16">
        <v>632.25</v>
      </c>
      <c r="AF16">
        <v>1094.75</v>
      </c>
      <c r="AG16">
        <v>1347.25</v>
      </c>
      <c r="AH16">
        <v>715</v>
      </c>
      <c r="AI16">
        <v>0</v>
      </c>
      <c r="AJ16">
        <v>0</v>
      </c>
      <c r="AK16">
        <v>0</v>
      </c>
      <c r="AL16">
        <v>0</v>
      </c>
      <c r="AM16">
        <v>0</v>
      </c>
      <c r="AN16">
        <v>1</v>
      </c>
      <c r="AO16">
        <v>1</v>
      </c>
      <c r="AP16">
        <v>2</v>
      </c>
      <c r="AQ16">
        <v>0</v>
      </c>
      <c r="AR16">
        <v>0</v>
      </c>
      <c r="AS16">
        <v>0</v>
      </c>
      <c r="AT16">
        <v>159</v>
      </c>
      <c r="AU16">
        <v>0</v>
      </c>
      <c r="AV16">
        <v>159</v>
      </c>
      <c r="AW16">
        <v>0</v>
      </c>
      <c r="AX16">
        <v>82.25</v>
      </c>
      <c r="AY16">
        <v>0</v>
      </c>
      <c r="AZ16">
        <v>82.25</v>
      </c>
      <c r="BA16">
        <v>0</v>
      </c>
      <c r="BB16">
        <v>18</v>
      </c>
      <c r="BC16">
        <v>0</v>
      </c>
      <c r="BD16">
        <v>18</v>
      </c>
      <c r="BE16">
        <v>0</v>
      </c>
    </row>
    <row r="17" spans="1:57">
      <c r="A17" t="s">
        <v>16879</v>
      </c>
      <c r="B17" t="s">
        <v>16880</v>
      </c>
      <c r="C17">
        <v>0</v>
      </c>
      <c r="D17">
        <v>1</v>
      </c>
      <c r="E17">
        <v>1</v>
      </c>
      <c r="F17">
        <v>1</v>
      </c>
      <c r="G17">
        <v>0</v>
      </c>
      <c r="H17">
        <v>0</v>
      </c>
      <c r="I17">
        <v>0</v>
      </c>
      <c r="J17">
        <v>1</v>
      </c>
      <c r="K17">
        <v>2</v>
      </c>
      <c r="L17">
        <v>0</v>
      </c>
      <c r="M17">
        <v>0</v>
      </c>
      <c r="N17">
        <v>1</v>
      </c>
      <c r="O17">
        <v>0</v>
      </c>
      <c r="P17">
        <v>0</v>
      </c>
      <c r="Q17">
        <v>0</v>
      </c>
      <c r="R17">
        <v>0</v>
      </c>
      <c r="S17">
        <v>0.25</v>
      </c>
      <c r="T17">
        <v>0</v>
      </c>
      <c r="U17">
        <v>0</v>
      </c>
      <c r="V17">
        <v>0.25</v>
      </c>
      <c r="W17">
        <v>2.5</v>
      </c>
      <c r="X17">
        <v>0</v>
      </c>
      <c r="Y17">
        <v>1</v>
      </c>
      <c r="Z17">
        <v>0</v>
      </c>
      <c r="AA17">
        <v>0</v>
      </c>
      <c r="AB17">
        <v>0</v>
      </c>
      <c r="AC17">
        <v>0</v>
      </c>
      <c r="AD17">
        <v>0</v>
      </c>
      <c r="AE17">
        <v>0</v>
      </c>
      <c r="AF17">
        <v>0</v>
      </c>
      <c r="AG17">
        <v>2.5</v>
      </c>
      <c r="AH17">
        <v>2.5</v>
      </c>
      <c r="AI17">
        <v>0</v>
      </c>
      <c r="AJ17">
        <v>0</v>
      </c>
      <c r="AK17">
        <v>0</v>
      </c>
      <c r="AL17">
        <v>0</v>
      </c>
      <c r="AM17">
        <v>0</v>
      </c>
      <c r="AN17">
        <v>0</v>
      </c>
      <c r="AO17">
        <v>0</v>
      </c>
      <c r="AP17">
        <v>0</v>
      </c>
      <c r="AQ17">
        <v>0</v>
      </c>
      <c r="AR17">
        <v>0</v>
      </c>
      <c r="AS17">
        <v>0</v>
      </c>
      <c r="AT17">
        <v>2</v>
      </c>
      <c r="AU17">
        <v>0</v>
      </c>
      <c r="AV17">
        <v>2</v>
      </c>
      <c r="AW17">
        <v>0</v>
      </c>
      <c r="AX17">
        <v>0.25</v>
      </c>
      <c r="AY17">
        <v>0</v>
      </c>
      <c r="AZ17">
        <v>0.25</v>
      </c>
      <c r="BA17">
        <v>0</v>
      </c>
      <c r="BB17">
        <v>0</v>
      </c>
      <c r="BC17">
        <v>0</v>
      </c>
      <c r="BD17">
        <v>0</v>
      </c>
      <c r="BE17">
        <v>0</v>
      </c>
    </row>
    <row r="18" spans="1:57">
      <c r="A18" t="s">
        <v>16881</v>
      </c>
      <c r="B18" t="s">
        <v>16882</v>
      </c>
      <c r="C18">
        <v>0</v>
      </c>
      <c r="D18">
        <v>1</v>
      </c>
      <c r="E18">
        <v>1</v>
      </c>
      <c r="F18">
        <v>0</v>
      </c>
      <c r="G18">
        <v>0</v>
      </c>
      <c r="H18">
        <v>0</v>
      </c>
      <c r="I18">
        <v>0</v>
      </c>
      <c r="J18">
        <v>1</v>
      </c>
      <c r="K18">
        <v>2</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2</v>
      </c>
      <c r="AU18">
        <v>0</v>
      </c>
      <c r="AV18">
        <v>2</v>
      </c>
      <c r="AW18">
        <v>0</v>
      </c>
      <c r="AX18">
        <v>0</v>
      </c>
      <c r="AY18">
        <v>0</v>
      </c>
      <c r="AZ18">
        <v>0</v>
      </c>
      <c r="BA18">
        <v>0</v>
      </c>
      <c r="BB18">
        <v>0</v>
      </c>
      <c r="BC18">
        <v>0</v>
      </c>
      <c r="BD18">
        <v>0</v>
      </c>
      <c r="BE18">
        <v>0</v>
      </c>
    </row>
    <row r="19" spans="1:57">
      <c r="A19" t="s">
        <v>16881</v>
      </c>
      <c r="B19" t="s">
        <v>16882</v>
      </c>
      <c r="C19">
        <v>0</v>
      </c>
      <c r="D19">
        <v>1</v>
      </c>
      <c r="E19">
        <v>1</v>
      </c>
      <c r="F19">
        <v>1</v>
      </c>
      <c r="G19">
        <v>0</v>
      </c>
      <c r="H19">
        <v>0</v>
      </c>
      <c r="I19">
        <v>0</v>
      </c>
      <c r="J19">
        <v>1</v>
      </c>
      <c r="K19">
        <v>2</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2</v>
      </c>
      <c r="AU19">
        <v>0</v>
      </c>
      <c r="AV19">
        <v>2</v>
      </c>
      <c r="AW19">
        <v>0</v>
      </c>
      <c r="AX19">
        <v>0</v>
      </c>
      <c r="AY19">
        <v>0</v>
      </c>
      <c r="AZ19">
        <v>0</v>
      </c>
      <c r="BA19">
        <v>0</v>
      </c>
      <c r="BB19">
        <v>0</v>
      </c>
      <c r="BC19">
        <v>0</v>
      </c>
      <c r="BD19">
        <v>0</v>
      </c>
      <c r="BE19">
        <v>0</v>
      </c>
    </row>
    <row r="20" spans="1:57">
      <c r="A20" t="s">
        <v>17212</v>
      </c>
      <c r="B20" t="s">
        <v>17213</v>
      </c>
      <c r="C20">
        <v>0</v>
      </c>
      <c r="D20">
        <v>14</v>
      </c>
      <c r="E20">
        <v>13</v>
      </c>
      <c r="F20">
        <v>13</v>
      </c>
      <c r="G20">
        <v>2</v>
      </c>
      <c r="H20">
        <v>2</v>
      </c>
      <c r="I20">
        <v>1</v>
      </c>
      <c r="J20">
        <v>11</v>
      </c>
      <c r="K20">
        <v>226</v>
      </c>
      <c r="L20">
        <v>5</v>
      </c>
      <c r="M20">
        <v>0</v>
      </c>
      <c r="N20">
        <v>0</v>
      </c>
      <c r="O20">
        <v>7</v>
      </c>
      <c r="P20">
        <v>0</v>
      </c>
      <c r="Q20">
        <v>0</v>
      </c>
      <c r="R20">
        <v>0</v>
      </c>
      <c r="S20">
        <v>22.25</v>
      </c>
      <c r="T20">
        <v>46.5</v>
      </c>
      <c r="U20">
        <v>0</v>
      </c>
      <c r="V20">
        <v>68.75</v>
      </c>
      <c r="W20">
        <v>1152.5</v>
      </c>
      <c r="X20">
        <v>0</v>
      </c>
      <c r="Y20">
        <v>8</v>
      </c>
      <c r="Z20">
        <v>1</v>
      </c>
      <c r="AA20">
        <v>0</v>
      </c>
      <c r="AB20">
        <v>970</v>
      </c>
      <c r="AC20">
        <v>500</v>
      </c>
      <c r="AD20">
        <v>500</v>
      </c>
      <c r="AE20">
        <v>920</v>
      </c>
      <c r="AF20">
        <v>1470</v>
      </c>
      <c r="AG20">
        <v>1652.5</v>
      </c>
      <c r="AH20">
        <v>732.5</v>
      </c>
      <c r="AI20">
        <v>920</v>
      </c>
      <c r="AJ20">
        <v>1300</v>
      </c>
      <c r="AK20">
        <v>1330</v>
      </c>
      <c r="AL20">
        <v>410</v>
      </c>
      <c r="AM20">
        <v>0</v>
      </c>
      <c r="AN20">
        <v>0</v>
      </c>
      <c r="AO20">
        <v>0</v>
      </c>
      <c r="AP20">
        <v>0</v>
      </c>
      <c r="AQ20">
        <v>1</v>
      </c>
      <c r="AR20">
        <v>0</v>
      </c>
      <c r="AS20">
        <v>0</v>
      </c>
      <c r="AT20">
        <v>226</v>
      </c>
      <c r="AU20">
        <v>130</v>
      </c>
      <c r="AV20">
        <v>96</v>
      </c>
      <c r="AW20">
        <v>0</v>
      </c>
      <c r="AX20">
        <v>22.25</v>
      </c>
      <c r="AY20">
        <v>3</v>
      </c>
      <c r="AZ20">
        <v>19.25</v>
      </c>
      <c r="BA20">
        <v>0</v>
      </c>
      <c r="BB20">
        <v>46.5</v>
      </c>
      <c r="BC20">
        <v>40</v>
      </c>
      <c r="BD20">
        <v>6.5</v>
      </c>
      <c r="BE20">
        <v>0</v>
      </c>
    </row>
    <row r="21" spans="1:57">
      <c r="A21" t="s">
        <v>16883</v>
      </c>
      <c r="B21" t="s">
        <v>17348</v>
      </c>
      <c r="C21">
        <v>2</v>
      </c>
      <c r="D21">
        <v>2</v>
      </c>
      <c r="E21">
        <v>0</v>
      </c>
      <c r="F21">
        <v>2</v>
      </c>
      <c r="G21">
        <v>0</v>
      </c>
      <c r="H21">
        <v>0</v>
      </c>
      <c r="I21">
        <v>0</v>
      </c>
      <c r="J21">
        <v>2</v>
      </c>
      <c r="K21">
        <v>2</v>
      </c>
      <c r="L21">
        <v>1</v>
      </c>
      <c r="M21">
        <v>0</v>
      </c>
      <c r="N21">
        <v>0</v>
      </c>
      <c r="O21">
        <v>0</v>
      </c>
      <c r="P21">
        <v>1</v>
      </c>
      <c r="Q21">
        <v>0</v>
      </c>
      <c r="R21">
        <v>0</v>
      </c>
      <c r="S21">
        <v>0.25</v>
      </c>
      <c r="T21">
        <v>0.25</v>
      </c>
      <c r="U21">
        <v>0</v>
      </c>
      <c r="V21">
        <v>0.5</v>
      </c>
      <c r="W21">
        <v>0</v>
      </c>
      <c r="X21">
        <v>0</v>
      </c>
      <c r="Y21">
        <v>0</v>
      </c>
      <c r="Z21">
        <v>0</v>
      </c>
      <c r="AA21">
        <v>-7.5</v>
      </c>
      <c r="AB21">
        <v>0</v>
      </c>
      <c r="AC21">
        <v>0</v>
      </c>
      <c r="AD21">
        <v>0</v>
      </c>
      <c r="AE21">
        <v>0</v>
      </c>
      <c r="AF21">
        <v>0</v>
      </c>
      <c r="AG21">
        <v>0</v>
      </c>
      <c r="AH21">
        <v>0</v>
      </c>
      <c r="AI21">
        <v>0</v>
      </c>
      <c r="AJ21">
        <v>0</v>
      </c>
      <c r="AK21">
        <v>0</v>
      </c>
      <c r="AL21">
        <v>0</v>
      </c>
      <c r="AM21">
        <v>0</v>
      </c>
      <c r="AN21">
        <v>0</v>
      </c>
      <c r="AO21">
        <v>0</v>
      </c>
      <c r="AP21">
        <v>0</v>
      </c>
      <c r="AQ21">
        <v>0</v>
      </c>
      <c r="AR21">
        <v>0</v>
      </c>
      <c r="AS21">
        <v>0</v>
      </c>
      <c r="AT21">
        <v>2</v>
      </c>
      <c r="AU21">
        <v>0</v>
      </c>
      <c r="AV21">
        <v>0</v>
      </c>
      <c r="AW21">
        <v>2</v>
      </c>
      <c r="AX21">
        <v>0.25</v>
      </c>
      <c r="AY21">
        <v>0</v>
      </c>
      <c r="AZ21">
        <v>0</v>
      </c>
      <c r="BA21">
        <v>0.25</v>
      </c>
      <c r="BB21">
        <v>0.25</v>
      </c>
      <c r="BC21">
        <v>0</v>
      </c>
      <c r="BD21">
        <v>0</v>
      </c>
      <c r="BE21">
        <v>0.25</v>
      </c>
    </row>
    <row r="22" spans="1:57">
      <c r="A22" t="s">
        <v>17214</v>
      </c>
      <c r="B22" t="s">
        <v>17215</v>
      </c>
      <c r="C22">
        <v>0</v>
      </c>
      <c r="D22">
        <v>1</v>
      </c>
      <c r="E22">
        <v>1</v>
      </c>
      <c r="F22">
        <v>0</v>
      </c>
      <c r="G22">
        <v>0</v>
      </c>
      <c r="H22">
        <v>0</v>
      </c>
      <c r="I22">
        <v>0</v>
      </c>
      <c r="J22">
        <v>1</v>
      </c>
      <c r="K22">
        <v>1</v>
      </c>
      <c r="L22">
        <v>1</v>
      </c>
      <c r="M22">
        <v>0</v>
      </c>
      <c r="N22">
        <v>0</v>
      </c>
      <c r="O22">
        <v>0</v>
      </c>
      <c r="P22">
        <v>0</v>
      </c>
      <c r="Q22">
        <v>0</v>
      </c>
      <c r="R22">
        <v>0</v>
      </c>
      <c r="S22">
        <v>2</v>
      </c>
      <c r="T22">
        <v>2</v>
      </c>
      <c r="U22">
        <v>0</v>
      </c>
      <c r="V22">
        <v>4</v>
      </c>
      <c r="W22">
        <v>60</v>
      </c>
      <c r="X22">
        <v>0</v>
      </c>
      <c r="Y22">
        <v>1</v>
      </c>
      <c r="Z22">
        <v>0</v>
      </c>
      <c r="AA22">
        <v>0</v>
      </c>
      <c r="AB22">
        <v>30</v>
      </c>
      <c r="AC22">
        <v>0</v>
      </c>
      <c r="AD22">
        <v>0</v>
      </c>
      <c r="AE22">
        <v>0</v>
      </c>
      <c r="AF22">
        <v>30</v>
      </c>
      <c r="AG22">
        <v>60</v>
      </c>
      <c r="AH22">
        <v>60</v>
      </c>
      <c r="AI22">
        <v>0</v>
      </c>
      <c r="AJ22">
        <v>0</v>
      </c>
      <c r="AK22">
        <v>0</v>
      </c>
      <c r="AL22">
        <v>0</v>
      </c>
      <c r="AM22">
        <v>1</v>
      </c>
      <c r="AN22">
        <v>1</v>
      </c>
      <c r="AO22">
        <v>1</v>
      </c>
      <c r="AP22">
        <v>1</v>
      </c>
      <c r="AQ22">
        <v>1</v>
      </c>
      <c r="AR22">
        <v>1</v>
      </c>
      <c r="AS22">
        <v>1</v>
      </c>
      <c r="AT22">
        <v>1</v>
      </c>
      <c r="AU22">
        <v>0</v>
      </c>
      <c r="AV22">
        <v>1</v>
      </c>
      <c r="AW22">
        <v>1</v>
      </c>
      <c r="AX22">
        <v>2</v>
      </c>
      <c r="AY22">
        <v>0</v>
      </c>
      <c r="AZ22">
        <v>2</v>
      </c>
      <c r="BA22">
        <v>0</v>
      </c>
      <c r="BB22">
        <v>2</v>
      </c>
      <c r="BC22">
        <v>0</v>
      </c>
      <c r="BD22">
        <v>2</v>
      </c>
      <c r="BE22">
        <v>2</v>
      </c>
    </row>
    <row r="23" spans="1:57">
      <c r="A23" t="s">
        <v>16884</v>
      </c>
      <c r="B23" t="s">
        <v>16885</v>
      </c>
      <c r="C23">
        <v>0</v>
      </c>
      <c r="D23">
        <v>8</v>
      </c>
      <c r="E23">
        <v>8</v>
      </c>
      <c r="F23">
        <v>8</v>
      </c>
      <c r="G23">
        <v>0</v>
      </c>
      <c r="H23">
        <v>0</v>
      </c>
      <c r="I23">
        <v>2</v>
      </c>
      <c r="J23">
        <v>8</v>
      </c>
      <c r="K23">
        <v>64</v>
      </c>
      <c r="L23">
        <v>8</v>
      </c>
      <c r="M23">
        <v>0</v>
      </c>
      <c r="N23">
        <v>0</v>
      </c>
      <c r="O23">
        <v>0</v>
      </c>
      <c r="P23">
        <v>0</v>
      </c>
      <c r="Q23">
        <v>0</v>
      </c>
      <c r="R23">
        <v>0</v>
      </c>
      <c r="S23">
        <v>9</v>
      </c>
      <c r="T23">
        <v>8.25</v>
      </c>
      <c r="U23">
        <v>0</v>
      </c>
      <c r="V23">
        <v>17.25</v>
      </c>
      <c r="W23">
        <v>255</v>
      </c>
      <c r="X23">
        <v>0</v>
      </c>
      <c r="Y23">
        <v>7</v>
      </c>
      <c r="Z23">
        <v>0</v>
      </c>
      <c r="AA23">
        <v>0</v>
      </c>
      <c r="AB23">
        <v>137.5</v>
      </c>
      <c r="AC23">
        <v>135.75</v>
      </c>
      <c r="AD23">
        <v>135.75</v>
      </c>
      <c r="AE23">
        <v>135.75</v>
      </c>
      <c r="AF23">
        <v>273.25</v>
      </c>
      <c r="AG23">
        <v>390.75</v>
      </c>
      <c r="AH23">
        <v>255</v>
      </c>
      <c r="AI23">
        <v>0</v>
      </c>
      <c r="AJ23">
        <v>0</v>
      </c>
      <c r="AK23">
        <v>0</v>
      </c>
      <c r="AL23">
        <v>0</v>
      </c>
      <c r="AM23">
        <v>0</v>
      </c>
      <c r="AN23">
        <v>1</v>
      </c>
      <c r="AO23">
        <v>0</v>
      </c>
      <c r="AP23">
        <v>1</v>
      </c>
      <c r="AQ23">
        <v>0</v>
      </c>
      <c r="AR23">
        <v>0</v>
      </c>
      <c r="AS23">
        <v>0</v>
      </c>
      <c r="AT23">
        <v>64</v>
      </c>
      <c r="AU23">
        <v>0</v>
      </c>
      <c r="AV23">
        <v>64</v>
      </c>
      <c r="AW23">
        <v>0</v>
      </c>
      <c r="AX23">
        <v>9</v>
      </c>
      <c r="AY23">
        <v>0</v>
      </c>
      <c r="AZ23">
        <v>9</v>
      </c>
      <c r="BA23">
        <v>0</v>
      </c>
      <c r="BB23">
        <v>8.25</v>
      </c>
      <c r="BC23">
        <v>0</v>
      </c>
      <c r="BD23">
        <v>8.25</v>
      </c>
      <c r="BE23">
        <v>0</v>
      </c>
    </row>
    <row r="24" spans="1:57">
      <c r="A24" t="s">
        <v>16884</v>
      </c>
      <c r="B24" t="s">
        <v>16885</v>
      </c>
      <c r="C24">
        <v>0</v>
      </c>
      <c r="D24">
        <v>7</v>
      </c>
      <c r="E24">
        <v>7</v>
      </c>
      <c r="F24">
        <v>7</v>
      </c>
      <c r="G24">
        <v>1</v>
      </c>
      <c r="H24">
        <v>1</v>
      </c>
      <c r="I24">
        <v>0</v>
      </c>
      <c r="J24">
        <v>7</v>
      </c>
      <c r="K24">
        <v>139</v>
      </c>
      <c r="L24">
        <v>6</v>
      </c>
      <c r="M24">
        <v>0</v>
      </c>
      <c r="N24">
        <v>1</v>
      </c>
      <c r="O24">
        <v>0</v>
      </c>
      <c r="P24">
        <v>0</v>
      </c>
      <c r="Q24">
        <v>0</v>
      </c>
      <c r="R24">
        <v>0</v>
      </c>
      <c r="S24">
        <v>41</v>
      </c>
      <c r="T24">
        <v>4</v>
      </c>
      <c r="U24">
        <v>2</v>
      </c>
      <c r="V24">
        <v>47</v>
      </c>
      <c r="W24">
        <v>490</v>
      </c>
      <c r="X24">
        <v>0</v>
      </c>
      <c r="Y24">
        <v>6</v>
      </c>
      <c r="Z24">
        <v>1</v>
      </c>
      <c r="AA24">
        <v>0</v>
      </c>
      <c r="AB24">
        <v>315</v>
      </c>
      <c r="AC24">
        <v>235.5</v>
      </c>
      <c r="AD24">
        <v>235.5</v>
      </c>
      <c r="AE24">
        <v>520.5</v>
      </c>
      <c r="AF24">
        <v>550.5</v>
      </c>
      <c r="AG24">
        <v>765.5</v>
      </c>
      <c r="AH24">
        <v>245</v>
      </c>
      <c r="AI24">
        <v>490.5</v>
      </c>
      <c r="AJ24">
        <v>490.5</v>
      </c>
      <c r="AK24">
        <v>520.5</v>
      </c>
      <c r="AL24">
        <v>30</v>
      </c>
      <c r="AM24">
        <v>0</v>
      </c>
      <c r="AN24">
        <v>1</v>
      </c>
      <c r="AO24">
        <v>0</v>
      </c>
      <c r="AP24">
        <v>1</v>
      </c>
      <c r="AQ24">
        <v>0</v>
      </c>
      <c r="AR24">
        <v>0</v>
      </c>
      <c r="AS24">
        <v>0</v>
      </c>
      <c r="AT24">
        <v>139</v>
      </c>
      <c r="AU24">
        <v>44</v>
      </c>
      <c r="AV24">
        <v>95</v>
      </c>
      <c r="AW24">
        <v>0</v>
      </c>
      <c r="AX24">
        <v>41</v>
      </c>
      <c r="AY24">
        <v>28.5</v>
      </c>
      <c r="AZ24">
        <v>12.5</v>
      </c>
      <c r="BA24">
        <v>0</v>
      </c>
      <c r="BB24">
        <v>4</v>
      </c>
      <c r="BC24">
        <v>1.5</v>
      </c>
      <c r="BD24">
        <v>2.5</v>
      </c>
      <c r="BE24">
        <v>0</v>
      </c>
    </row>
    <row r="25" spans="1:57">
      <c r="A25" t="s">
        <v>17352</v>
      </c>
      <c r="B25" t="s">
        <v>17353</v>
      </c>
      <c r="C25">
        <v>2</v>
      </c>
      <c r="D25">
        <v>5</v>
      </c>
      <c r="E25">
        <v>5</v>
      </c>
      <c r="F25">
        <v>5</v>
      </c>
      <c r="G25">
        <v>2</v>
      </c>
      <c r="H25">
        <v>1</v>
      </c>
      <c r="I25">
        <v>0</v>
      </c>
      <c r="J25">
        <v>5</v>
      </c>
      <c r="K25">
        <v>48</v>
      </c>
      <c r="L25">
        <v>0</v>
      </c>
      <c r="M25">
        <v>1</v>
      </c>
      <c r="N25">
        <v>1</v>
      </c>
      <c r="O25">
        <v>1</v>
      </c>
      <c r="P25">
        <v>0</v>
      </c>
      <c r="Q25">
        <v>2</v>
      </c>
      <c r="R25">
        <v>0</v>
      </c>
      <c r="S25">
        <v>8.75</v>
      </c>
      <c r="T25">
        <v>0.5</v>
      </c>
      <c r="U25">
        <v>0</v>
      </c>
      <c r="V25">
        <v>9.25</v>
      </c>
      <c r="W25">
        <v>85</v>
      </c>
      <c r="X25">
        <v>0</v>
      </c>
      <c r="Y25">
        <v>2</v>
      </c>
      <c r="Z25">
        <v>0</v>
      </c>
      <c r="AA25">
        <v>-12.5</v>
      </c>
      <c r="AB25">
        <v>25</v>
      </c>
      <c r="AC25">
        <v>1.25</v>
      </c>
      <c r="AD25">
        <v>0</v>
      </c>
      <c r="AE25">
        <v>0</v>
      </c>
      <c r="AF25">
        <v>25</v>
      </c>
      <c r="AG25">
        <v>86.25</v>
      </c>
      <c r="AH25">
        <v>86.25</v>
      </c>
      <c r="AI25">
        <v>0</v>
      </c>
      <c r="AJ25">
        <v>0</v>
      </c>
      <c r="AK25">
        <v>0</v>
      </c>
      <c r="AL25">
        <v>0</v>
      </c>
      <c r="AM25">
        <v>0</v>
      </c>
      <c r="AN25">
        <v>0</v>
      </c>
      <c r="AO25">
        <v>0</v>
      </c>
      <c r="AP25">
        <v>0</v>
      </c>
      <c r="AQ25">
        <v>0</v>
      </c>
      <c r="AR25">
        <v>0</v>
      </c>
      <c r="AS25">
        <v>0</v>
      </c>
      <c r="AT25">
        <v>48</v>
      </c>
      <c r="AU25">
        <v>4</v>
      </c>
      <c r="AV25">
        <v>30</v>
      </c>
      <c r="AW25">
        <v>14</v>
      </c>
      <c r="AX25">
        <v>8.75</v>
      </c>
      <c r="AY25">
        <v>0</v>
      </c>
      <c r="AZ25">
        <v>7.5</v>
      </c>
      <c r="BA25">
        <v>1.25</v>
      </c>
      <c r="BB25">
        <v>0.5</v>
      </c>
      <c r="BC25">
        <v>0</v>
      </c>
      <c r="BD25">
        <v>0.5</v>
      </c>
      <c r="BE25">
        <v>0</v>
      </c>
    </row>
    <row r="26" spans="1:57">
      <c r="A26" t="s">
        <v>17216</v>
      </c>
      <c r="B26" t="s">
        <v>17217</v>
      </c>
      <c r="C26">
        <v>0</v>
      </c>
      <c r="D26">
        <v>9</v>
      </c>
      <c r="E26">
        <v>9</v>
      </c>
      <c r="F26">
        <v>4</v>
      </c>
      <c r="G26">
        <v>0</v>
      </c>
      <c r="H26">
        <v>0</v>
      </c>
      <c r="I26">
        <v>0</v>
      </c>
      <c r="J26">
        <v>8</v>
      </c>
      <c r="K26">
        <v>148</v>
      </c>
      <c r="L26">
        <v>5</v>
      </c>
      <c r="M26">
        <v>3</v>
      </c>
      <c r="N26">
        <v>0</v>
      </c>
      <c r="O26">
        <v>0</v>
      </c>
      <c r="P26">
        <v>0</v>
      </c>
      <c r="Q26">
        <v>1</v>
      </c>
      <c r="R26">
        <v>0</v>
      </c>
      <c r="S26">
        <v>16.5</v>
      </c>
      <c r="T26">
        <v>0</v>
      </c>
      <c r="U26">
        <v>0</v>
      </c>
      <c r="V26">
        <v>16.5</v>
      </c>
      <c r="W26">
        <v>165</v>
      </c>
      <c r="X26">
        <v>0</v>
      </c>
      <c r="Y26">
        <v>2</v>
      </c>
      <c r="Z26">
        <v>4</v>
      </c>
      <c r="AA26">
        <v>0</v>
      </c>
      <c r="AB26">
        <v>30</v>
      </c>
      <c r="AC26">
        <v>0</v>
      </c>
      <c r="AD26">
        <v>1140.5</v>
      </c>
      <c r="AE26">
        <v>66.5</v>
      </c>
      <c r="AF26">
        <v>1170.5</v>
      </c>
      <c r="AG26">
        <v>165</v>
      </c>
      <c r="AH26">
        <v>130.25</v>
      </c>
      <c r="AI26">
        <v>0</v>
      </c>
      <c r="AJ26">
        <v>0</v>
      </c>
      <c r="AK26">
        <v>0</v>
      </c>
      <c r="AL26">
        <v>0</v>
      </c>
      <c r="AM26">
        <v>2</v>
      </c>
      <c r="AN26">
        <v>3</v>
      </c>
      <c r="AO26">
        <v>0</v>
      </c>
      <c r="AP26">
        <v>0</v>
      </c>
      <c r="AQ26">
        <v>0</v>
      </c>
      <c r="AR26">
        <v>0</v>
      </c>
      <c r="AS26">
        <v>0</v>
      </c>
      <c r="AT26">
        <v>148</v>
      </c>
      <c r="AU26">
        <v>0</v>
      </c>
      <c r="AV26">
        <v>148</v>
      </c>
      <c r="AW26">
        <v>0</v>
      </c>
      <c r="AX26">
        <v>16.5</v>
      </c>
      <c r="AY26">
        <v>0</v>
      </c>
      <c r="AZ26">
        <v>16.5</v>
      </c>
      <c r="BA26">
        <v>0</v>
      </c>
      <c r="BB26">
        <v>0</v>
      </c>
      <c r="BC26">
        <v>0</v>
      </c>
      <c r="BD26">
        <v>0</v>
      </c>
      <c r="BE26">
        <v>0</v>
      </c>
    </row>
    <row r="27" spans="1:57">
      <c r="A27" t="s">
        <v>17218</v>
      </c>
      <c r="B27" t="s">
        <v>18786</v>
      </c>
      <c r="C27">
        <v>0</v>
      </c>
      <c r="D27">
        <v>14</v>
      </c>
      <c r="E27">
        <v>14</v>
      </c>
      <c r="F27">
        <v>14</v>
      </c>
      <c r="G27">
        <v>1</v>
      </c>
      <c r="H27">
        <v>4</v>
      </c>
      <c r="I27">
        <v>0</v>
      </c>
      <c r="J27">
        <v>13</v>
      </c>
      <c r="K27">
        <v>173</v>
      </c>
      <c r="L27">
        <v>11</v>
      </c>
      <c r="M27">
        <v>0</v>
      </c>
      <c r="N27">
        <v>0</v>
      </c>
      <c r="O27">
        <v>2</v>
      </c>
      <c r="P27">
        <v>0</v>
      </c>
      <c r="Q27">
        <v>0</v>
      </c>
      <c r="R27">
        <v>0</v>
      </c>
      <c r="S27">
        <v>20</v>
      </c>
      <c r="T27">
        <v>28</v>
      </c>
      <c r="U27">
        <v>0</v>
      </c>
      <c r="V27">
        <v>48</v>
      </c>
      <c r="W27">
        <v>760</v>
      </c>
      <c r="X27">
        <v>0</v>
      </c>
      <c r="Y27">
        <v>2</v>
      </c>
      <c r="Z27">
        <v>1</v>
      </c>
      <c r="AA27">
        <v>0</v>
      </c>
      <c r="AB27">
        <v>640</v>
      </c>
      <c r="AC27">
        <v>0</v>
      </c>
      <c r="AD27">
        <v>0</v>
      </c>
      <c r="AE27">
        <v>0</v>
      </c>
      <c r="AF27">
        <v>640</v>
      </c>
      <c r="AG27">
        <v>760</v>
      </c>
      <c r="AH27">
        <v>760</v>
      </c>
      <c r="AI27">
        <v>0</v>
      </c>
      <c r="AJ27">
        <v>640</v>
      </c>
      <c r="AK27">
        <v>760</v>
      </c>
      <c r="AL27">
        <v>760</v>
      </c>
      <c r="AM27">
        <v>0</v>
      </c>
      <c r="AN27">
        <v>0</v>
      </c>
      <c r="AO27">
        <v>0</v>
      </c>
      <c r="AP27">
        <v>0</v>
      </c>
      <c r="AQ27">
        <v>0</v>
      </c>
      <c r="AR27">
        <v>0</v>
      </c>
      <c r="AS27">
        <v>0</v>
      </c>
      <c r="AT27">
        <v>0</v>
      </c>
      <c r="AU27">
        <v>0</v>
      </c>
      <c r="AV27">
        <v>0</v>
      </c>
      <c r="AW27">
        <v>0</v>
      </c>
      <c r="AX27">
        <v>20</v>
      </c>
      <c r="AY27">
        <v>20</v>
      </c>
      <c r="AZ27">
        <v>0</v>
      </c>
      <c r="BA27">
        <v>0</v>
      </c>
      <c r="BB27">
        <v>28</v>
      </c>
      <c r="BC27">
        <v>28</v>
      </c>
      <c r="BD27">
        <v>0</v>
      </c>
      <c r="BE27">
        <v>0</v>
      </c>
    </row>
    <row r="28" spans="1:57">
      <c r="A28" t="s">
        <v>16886</v>
      </c>
      <c r="B28" t="s">
        <v>18787</v>
      </c>
      <c r="C28">
        <v>0</v>
      </c>
      <c r="D28">
        <v>51</v>
      </c>
      <c r="E28">
        <v>51</v>
      </c>
      <c r="F28">
        <v>28</v>
      </c>
      <c r="G28">
        <v>2</v>
      </c>
      <c r="H28">
        <v>1</v>
      </c>
      <c r="I28">
        <v>2</v>
      </c>
      <c r="J28">
        <v>50</v>
      </c>
      <c r="K28">
        <v>581</v>
      </c>
      <c r="L28">
        <v>46</v>
      </c>
      <c r="M28">
        <v>0</v>
      </c>
      <c r="N28">
        <v>1</v>
      </c>
      <c r="O28">
        <v>2</v>
      </c>
      <c r="P28">
        <v>0</v>
      </c>
      <c r="Q28">
        <v>1</v>
      </c>
      <c r="R28">
        <v>1</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581</v>
      </c>
      <c r="AU28">
        <v>43</v>
      </c>
      <c r="AV28">
        <v>538</v>
      </c>
      <c r="AW28">
        <v>0</v>
      </c>
      <c r="AX28">
        <v>0</v>
      </c>
      <c r="AY28">
        <v>0</v>
      </c>
      <c r="AZ28">
        <v>0</v>
      </c>
      <c r="BA28">
        <v>0</v>
      </c>
      <c r="BB28">
        <v>0</v>
      </c>
      <c r="BC28">
        <v>0</v>
      </c>
      <c r="BD28">
        <v>0</v>
      </c>
      <c r="BE28">
        <v>0</v>
      </c>
    </row>
    <row r="29" spans="1:57">
      <c r="A29" t="s">
        <v>16887</v>
      </c>
      <c r="B29" t="s">
        <v>16887</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row>
    <row r="30" spans="1:57">
      <c r="A30" t="s">
        <v>17207</v>
      </c>
      <c r="B30" t="s">
        <v>17208</v>
      </c>
      <c r="C30">
        <v>133</v>
      </c>
      <c r="D30">
        <v>560</v>
      </c>
      <c r="E30">
        <v>560</v>
      </c>
      <c r="F30">
        <v>560</v>
      </c>
      <c r="G30">
        <v>12</v>
      </c>
      <c r="H30">
        <v>44</v>
      </c>
      <c r="I30">
        <v>44</v>
      </c>
      <c r="J30">
        <v>549</v>
      </c>
      <c r="K30">
        <v>3782</v>
      </c>
      <c r="L30">
        <v>253</v>
      </c>
      <c r="M30">
        <v>223</v>
      </c>
      <c r="N30">
        <v>1</v>
      </c>
      <c r="O30">
        <v>60</v>
      </c>
      <c r="P30">
        <v>10</v>
      </c>
      <c r="Q30">
        <v>2</v>
      </c>
      <c r="R30">
        <v>0</v>
      </c>
      <c r="S30">
        <v>138.251</v>
      </c>
      <c r="T30">
        <v>546.75</v>
      </c>
      <c r="U30">
        <v>0</v>
      </c>
      <c r="V30">
        <v>685.00099999999998</v>
      </c>
      <c r="W30">
        <v>9380.01</v>
      </c>
      <c r="X30">
        <v>0</v>
      </c>
      <c r="Y30">
        <v>417</v>
      </c>
      <c r="Z30">
        <v>0</v>
      </c>
      <c r="AA30">
        <v>-2937.5</v>
      </c>
      <c r="AB30">
        <v>5</v>
      </c>
      <c r="AC30">
        <v>0</v>
      </c>
      <c r="AD30">
        <v>0</v>
      </c>
      <c r="AE30">
        <v>0</v>
      </c>
      <c r="AF30">
        <v>5</v>
      </c>
      <c r="AG30">
        <v>9380.01</v>
      </c>
      <c r="AH30">
        <v>9380.01</v>
      </c>
      <c r="AI30">
        <v>0</v>
      </c>
      <c r="AJ30">
        <v>5</v>
      </c>
      <c r="AK30">
        <v>822.5</v>
      </c>
      <c r="AL30">
        <v>822.5</v>
      </c>
      <c r="AM30">
        <v>0</v>
      </c>
      <c r="AN30">
        <v>0</v>
      </c>
      <c r="AO30">
        <v>0</v>
      </c>
      <c r="AP30">
        <v>0</v>
      </c>
      <c r="AQ30">
        <v>0</v>
      </c>
      <c r="AR30">
        <v>0</v>
      </c>
      <c r="AS30">
        <v>0</v>
      </c>
      <c r="AT30">
        <v>3782</v>
      </c>
      <c r="AU30">
        <v>1016</v>
      </c>
      <c r="AV30">
        <v>2127</v>
      </c>
      <c r="AW30">
        <v>832</v>
      </c>
      <c r="AX30">
        <v>138.251</v>
      </c>
      <c r="AY30">
        <v>12.25</v>
      </c>
      <c r="AZ30">
        <v>95.251000000000005</v>
      </c>
      <c r="BA30">
        <v>32.75</v>
      </c>
      <c r="BB30">
        <v>546.75</v>
      </c>
      <c r="BC30">
        <v>44</v>
      </c>
      <c r="BD30">
        <v>380.25</v>
      </c>
      <c r="BE30">
        <v>130.5</v>
      </c>
    </row>
    <row r="31" spans="1:57">
      <c r="A31" t="s">
        <v>17219</v>
      </c>
      <c r="B31" t="s">
        <v>17220</v>
      </c>
      <c r="C31">
        <v>1</v>
      </c>
      <c r="D31">
        <v>403</v>
      </c>
      <c r="E31">
        <v>399</v>
      </c>
      <c r="F31">
        <v>381</v>
      </c>
      <c r="G31">
        <v>41</v>
      </c>
      <c r="H31">
        <v>37</v>
      </c>
      <c r="I31">
        <v>7</v>
      </c>
      <c r="J31">
        <v>398</v>
      </c>
      <c r="K31">
        <v>4406</v>
      </c>
      <c r="L31">
        <v>98</v>
      </c>
      <c r="M31">
        <v>43</v>
      </c>
      <c r="N31">
        <v>202</v>
      </c>
      <c r="O31">
        <v>38</v>
      </c>
      <c r="P31">
        <v>14</v>
      </c>
      <c r="Q31">
        <v>56</v>
      </c>
      <c r="R31">
        <v>0</v>
      </c>
      <c r="S31">
        <v>217.75</v>
      </c>
      <c r="T31">
        <v>783</v>
      </c>
      <c r="U31">
        <v>255</v>
      </c>
      <c r="V31">
        <v>1255.75</v>
      </c>
      <c r="W31">
        <v>17835</v>
      </c>
      <c r="X31">
        <v>0</v>
      </c>
      <c r="Y31">
        <v>322</v>
      </c>
      <c r="Z31">
        <v>25</v>
      </c>
      <c r="AA31">
        <v>-2.5</v>
      </c>
      <c r="AB31">
        <v>13087.5</v>
      </c>
      <c r="AC31">
        <v>1250.9500000000003</v>
      </c>
      <c r="AD31">
        <v>1247.2000000000003</v>
      </c>
      <c r="AE31">
        <v>11363.459999999997</v>
      </c>
      <c r="AF31">
        <v>14334.699999999997</v>
      </c>
      <c r="AG31">
        <v>24185.950000000004</v>
      </c>
      <c r="AH31">
        <v>12822.49</v>
      </c>
      <c r="AI31">
        <v>1307.26</v>
      </c>
      <c r="AJ31">
        <v>2070.06</v>
      </c>
      <c r="AK31">
        <v>4300.0600000000004</v>
      </c>
      <c r="AL31">
        <v>2992.8</v>
      </c>
      <c r="AM31">
        <v>27</v>
      </c>
      <c r="AN31">
        <v>38</v>
      </c>
      <c r="AO31">
        <v>18</v>
      </c>
      <c r="AP31">
        <v>37</v>
      </c>
      <c r="AQ31">
        <v>3</v>
      </c>
      <c r="AR31">
        <v>0</v>
      </c>
      <c r="AS31">
        <v>0</v>
      </c>
      <c r="AT31">
        <v>4406</v>
      </c>
      <c r="AU31">
        <v>941</v>
      </c>
      <c r="AV31">
        <v>3458</v>
      </c>
      <c r="AW31">
        <v>7</v>
      </c>
      <c r="AX31">
        <v>217.75</v>
      </c>
      <c r="AY31">
        <v>97.25</v>
      </c>
      <c r="AZ31">
        <v>120.25</v>
      </c>
      <c r="BA31">
        <v>0.25</v>
      </c>
      <c r="BB31">
        <v>783</v>
      </c>
      <c r="BC31">
        <v>70</v>
      </c>
      <c r="BD31">
        <v>713</v>
      </c>
      <c r="BE31">
        <v>0</v>
      </c>
    </row>
    <row r="32" spans="1:57">
      <c r="A32" t="s">
        <v>17209</v>
      </c>
      <c r="B32" t="s">
        <v>18789</v>
      </c>
      <c r="C32">
        <v>0</v>
      </c>
      <c r="D32">
        <v>8</v>
      </c>
      <c r="E32">
        <v>5</v>
      </c>
      <c r="F32">
        <v>7</v>
      </c>
      <c r="G32">
        <v>1</v>
      </c>
      <c r="H32">
        <v>1</v>
      </c>
      <c r="I32">
        <v>1</v>
      </c>
      <c r="J32">
        <v>8</v>
      </c>
      <c r="K32">
        <v>172</v>
      </c>
      <c r="L32">
        <v>5</v>
      </c>
      <c r="M32">
        <v>0</v>
      </c>
      <c r="N32">
        <v>1</v>
      </c>
      <c r="O32">
        <v>0</v>
      </c>
      <c r="P32">
        <v>2</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172</v>
      </c>
      <c r="AU32">
        <v>53</v>
      </c>
      <c r="AV32">
        <v>119</v>
      </c>
      <c r="AW32">
        <v>0</v>
      </c>
      <c r="AX32">
        <v>0</v>
      </c>
      <c r="AY32">
        <v>0</v>
      </c>
      <c r="AZ32">
        <v>0</v>
      </c>
      <c r="BA32">
        <v>0</v>
      </c>
      <c r="BB32">
        <v>0</v>
      </c>
      <c r="BC32">
        <v>0</v>
      </c>
      <c r="BD32">
        <v>0</v>
      </c>
      <c r="BE32">
        <v>0</v>
      </c>
    </row>
    <row r="33" spans="1:57">
      <c r="A33" t="s">
        <v>16888</v>
      </c>
      <c r="B33" t="s">
        <v>17350</v>
      </c>
      <c r="C33">
        <v>0</v>
      </c>
      <c r="D33">
        <v>2</v>
      </c>
      <c r="E33">
        <v>0</v>
      </c>
      <c r="F33">
        <v>2</v>
      </c>
      <c r="G33">
        <v>0</v>
      </c>
      <c r="H33">
        <v>0</v>
      </c>
      <c r="I33">
        <v>0</v>
      </c>
      <c r="J33">
        <v>2</v>
      </c>
      <c r="K33">
        <v>2</v>
      </c>
      <c r="L33">
        <v>0</v>
      </c>
      <c r="M33">
        <v>0</v>
      </c>
      <c r="N33">
        <v>0</v>
      </c>
      <c r="O33">
        <v>2</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2</v>
      </c>
      <c r="AU33">
        <v>0</v>
      </c>
      <c r="AV33">
        <v>2</v>
      </c>
      <c r="AW33">
        <v>0</v>
      </c>
      <c r="AX33">
        <v>0</v>
      </c>
      <c r="AY33">
        <v>0</v>
      </c>
      <c r="AZ33">
        <v>0</v>
      </c>
      <c r="BA33">
        <v>0</v>
      </c>
      <c r="BB33">
        <v>0</v>
      </c>
      <c r="BC33">
        <v>0</v>
      </c>
      <c r="BD33">
        <v>0</v>
      </c>
      <c r="BE33">
        <v>0</v>
      </c>
    </row>
    <row r="34" spans="1:57">
      <c r="A34" t="s">
        <v>19966</v>
      </c>
      <c r="B34" t="s">
        <v>19967</v>
      </c>
      <c r="C34">
        <v>0</v>
      </c>
      <c r="D34">
        <v>4</v>
      </c>
      <c r="E34">
        <v>4</v>
      </c>
      <c r="F34">
        <v>4</v>
      </c>
      <c r="G34">
        <v>1</v>
      </c>
      <c r="H34">
        <v>1</v>
      </c>
      <c r="I34">
        <v>0</v>
      </c>
      <c r="J34">
        <v>4</v>
      </c>
      <c r="K34">
        <v>59</v>
      </c>
      <c r="L34">
        <v>0</v>
      </c>
      <c r="M34">
        <v>0</v>
      </c>
      <c r="N34">
        <v>0</v>
      </c>
      <c r="O34">
        <v>3</v>
      </c>
      <c r="P34">
        <v>0</v>
      </c>
      <c r="Q34">
        <v>1</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59</v>
      </c>
      <c r="AU34">
        <v>43</v>
      </c>
      <c r="AV34">
        <v>16</v>
      </c>
      <c r="AW34">
        <v>0</v>
      </c>
      <c r="AX34">
        <v>0</v>
      </c>
      <c r="AY34">
        <v>0</v>
      </c>
      <c r="AZ34">
        <v>0</v>
      </c>
      <c r="BA34">
        <v>0</v>
      </c>
      <c r="BB34">
        <v>0</v>
      </c>
      <c r="BC34">
        <v>0</v>
      </c>
      <c r="BD34">
        <v>0</v>
      </c>
      <c r="BE34">
        <v>0</v>
      </c>
    </row>
    <row r="35" spans="1:57">
      <c r="A35" t="s">
        <v>18790</v>
      </c>
      <c r="B35" t="s">
        <v>17356</v>
      </c>
      <c r="C35">
        <v>0</v>
      </c>
      <c r="D35">
        <v>1</v>
      </c>
      <c r="E35">
        <v>1</v>
      </c>
      <c r="F35">
        <v>1</v>
      </c>
      <c r="G35">
        <v>0</v>
      </c>
      <c r="H35">
        <v>0</v>
      </c>
      <c r="I35">
        <v>0</v>
      </c>
      <c r="J35">
        <v>1</v>
      </c>
      <c r="K35">
        <v>34</v>
      </c>
      <c r="L35">
        <v>1</v>
      </c>
      <c r="M35">
        <v>0</v>
      </c>
      <c r="N35">
        <v>0</v>
      </c>
      <c r="O35">
        <v>0</v>
      </c>
      <c r="P35">
        <v>0</v>
      </c>
      <c r="Q35">
        <v>0</v>
      </c>
      <c r="R35">
        <v>0</v>
      </c>
      <c r="S35">
        <v>0.25</v>
      </c>
      <c r="T35">
        <v>0</v>
      </c>
      <c r="U35">
        <v>0</v>
      </c>
      <c r="V35">
        <v>0.25</v>
      </c>
      <c r="W35">
        <v>2.5</v>
      </c>
      <c r="X35">
        <v>0</v>
      </c>
      <c r="Y35">
        <v>1</v>
      </c>
      <c r="Z35">
        <v>0</v>
      </c>
      <c r="AA35">
        <v>0</v>
      </c>
      <c r="AB35">
        <v>0</v>
      </c>
      <c r="AC35">
        <v>0</v>
      </c>
      <c r="AD35">
        <v>0</v>
      </c>
      <c r="AE35">
        <v>0</v>
      </c>
      <c r="AF35">
        <v>0</v>
      </c>
      <c r="AG35">
        <v>2.5</v>
      </c>
      <c r="AH35">
        <v>2.5</v>
      </c>
      <c r="AI35">
        <v>0</v>
      </c>
      <c r="AJ35">
        <v>0</v>
      </c>
      <c r="AK35">
        <v>0</v>
      </c>
      <c r="AL35">
        <v>0</v>
      </c>
      <c r="AM35">
        <v>0</v>
      </c>
      <c r="AN35">
        <v>0</v>
      </c>
      <c r="AO35">
        <v>0</v>
      </c>
      <c r="AP35">
        <v>0</v>
      </c>
      <c r="AQ35">
        <v>0</v>
      </c>
      <c r="AR35">
        <v>0</v>
      </c>
      <c r="AS35">
        <v>0</v>
      </c>
      <c r="AT35">
        <v>34</v>
      </c>
      <c r="AU35">
        <v>0</v>
      </c>
      <c r="AV35">
        <v>34</v>
      </c>
      <c r="AW35">
        <v>0</v>
      </c>
      <c r="AX35">
        <v>0.25</v>
      </c>
      <c r="AY35">
        <v>0</v>
      </c>
      <c r="AZ35">
        <v>0.25</v>
      </c>
      <c r="BA35">
        <v>0</v>
      </c>
      <c r="BB35">
        <v>0</v>
      </c>
      <c r="BC35">
        <v>0</v>
      </c>
      <c r="BD35">
        <v>0</v>
      </c>
      <c r="BE35">
        <v>0</v>
      </c>
    </row>
    <row r="36" spans="1:57">
      <c r="A36" t="s">
        <v>17228</v>
      </c>
      <c r="B36" t="s">
        <v>17229</v>
      </c>
      <c r="C36">
        <v>0</v>
      </c>
      <c r="D36">
        <v>4</v>
      </c>
      <c r="E36">
        <v>2</v>
      </c>
      <c r="F36">
        <v>4</v>
      </c>
      <c r="G36">
        <v>0</v>
      </c>
      <c r="H36">
        <v>1</v>
      </c>
      <c r="I36">
        <v>0</v>
      </c>
      <c r="J36">
        <v>4</v>
      </c>
      <c r="K36">
        <v>8</v>
      </c>
      <c r="L36">
        <v>1</v>
      </c>
      <c r="M36">
        <v>0</v>
      </c>
      <c r="N36">
        <v>0</v>
      </c>
      <c r="O36">
        <v>1</v>
      </c>
      <c r="P36">
        <v>0</v>
      </c>
      <c r="Q36">
        <v>0</v>
      </c>
      <c r="R36">
        <v>0</v>
      </c>
      <c r="S36">
        <v>1.5</v>
      </c>
      <c r="T36">
        <v>0</v>
      </c>
      <c r="U36">
        <v>0</v>
      </c>
      <c r="V36">
        <v>1.5</v>
      </c>
      <c r="W36">
        <v>15</v>
      </c>
      <c r="X36">
        <v>0</v>
      </c>
      <c r="Y36">
        <v>3</v>
      </c>
      <c r="Z36">
        <v>0</v>
      </c>
      <c r="AA36">
        <v>0</v>
      </c>
      <c r="AB36">
        <v>0</v>
      </c>
      <c r="AC36">
        <v>0</v>
      </c>
      <c r="AD36">
        <v>0</v>
      </c>
      <c r="AE36">
        <v>0</v>
      </c>
      <c r="AF36">
        <v>0</v>
      </c>
      <c r="AG36">
        <v>15</v>
      </c>
      <c r="AH36">
        <v>15</v>
      </c>
      <c r="AI36">
        <v>0</v>
      </c>
      <c r="AJ36">
        <v>0</v>
      </c>
      <c r="AK36">
        <v>0</v>
      </c>
      <c r="AL36">
        <v>0</v>
      </c>
      <c r="AM36">
        <v>0</v>
      </c>
      <c r="AN36">
        <v>0</v>
      </c>
      <c r="AO36">
        <v>0</v>
      </c>
      <c r="AP36">
        <v>0</v>
      </c>
      <c r="AQ36">
        <v>0</v>
      </c>
      <c r="AR36">
        <v>0</v>
      </c>
      <c r="AS36">
        <v>0</v>
      </c>
      <c r="AT36">
        <v>8</v>
      </c>
      <c r="AU36">
        <v>1</v>
      </c>
      <c r="AV36">
        <v>7</v>
      </c>
      <c r="AW36">
        <v>0</v>
      </c>
      <c r="AX36">
        <v>1.5</v>
      </c>
      <c r="AY36">
        <v>0</v>
      </c>
      <c r="AZ36">
        <v>1.5</v>
      </c>
      <c r="BA36">
        <v>0</v>
      </c>
      <c r="BB36">
        <v>0</v>
      </c>
      <c r="BC36">
        <v>0</v>
      </c>
      <c r="BD36">
        <v>0</v>
      </c>
      <c r="BE36">
        <v>0</v>
      </c>
    </row>
    <row r="37" spans="1:57">
      <c r="A37" t="s">
        <v>16889</v>
      </c>
      <c r="B37" t="s">
        <v>17351</v>
      </c>
      <c r="C37">
        <v>0</v>
      </c>
      <c r="D37">
        <v>17</v>
      </c>
      <c r="E37">
        <v>17</v>
      </c>
      <c r="F37">
        <v>17</v>
      </c>
      <c r="G37">
        <v>4</v>
      </c>
      <c r="H37">
        <v>3</v>
      </c>
      <c r="I37">
        <v>1</v>
      </c>
      <c r="J37">
        <v>17</v>
      </c>
      <c r="K37">
        <v>244</v>
      </c>
      <c r="L37">
        <v>5</v>
      </c>
      <c r="M37">
        <v>1</v>
      </c>
      <c r="N37">
        <v>6</v>
      </c>
      <c r="O37">
        <v>4</v>
      </c>
      <c r="P37">
        <v>1</v>
      </c>
      <c r="Q37">
        <v>0</v>
      </c>
      <c r="R37">
        <v>0</v>
      </c>
      <c r="S37">
        <v>5.75</v>
      </c>
      <c r="T37">
        <v>21.25</v>
      </c>
      <c r="U37">
        <v>0</v>
      </c>
      <c r="V37">
        <v>27</v>
      </c>
      <c r="W37">
        <v>482.5</v>
      </c>
      <c r="X37">
        <v>0</v>
      </c>
      <c r="Y37">
        <v>14</v>
      </c>
      <c r="Z37">
        <v>2</v>
      </c>
      <c r="AA37">
        <v>0</v>
      </c>
      <c r="AB37">
        <v>270</v>
      </c>
      <c r="AC37">
        <v>291.41000000000003</v>
      </c>
      <c r="AD37">
        <v>288.91000000000003</v>
      </c>
      <c r="AE37">
        <v>288.91000000000003</v>
      </c>
      <c r="AF37">
        <v>558.91000000000008</v>
      </c>
      <c r="AG37">
        <v>773.91000000000008</v>
      </c>
      <c r="AH37">
        <v>485.00000000000006</v>
      </c>
      <c r="AI37">
        <v>284.66000000000003</v>
      </c>
      <c r="AJ37">
        <v>554.66000000000008</v>
      </c>
      <c r="AK37">
        <v>644.66000000000008</v>
      </c>
      <c r="AL37">
        <v>360.00000000000006</v>
      </c>
      <c r="AM37">
        <v>1</v>
      </c>
      <c r="AN37">
        <v>0</v>
      </c>
      <c r="AO37">
        <v>0</v>
      </c>
      <c r="AP37">
        <v>1</v>
      </c>
      <c r="AQ37">
        <v>0</v>
      </c>
      <c r="AR37">
        <v>0</v>
      </c>
      <c r="AS37">
        <v>0</v>
      </c>
      <c r="AT37">
        <v>244</v>
      </c>
      <c r="AU37">
        <v>73</v>
      </c>
      <c r="AV37">
        <v>171</v>
      </c>
      <c r="AW37">
        <v>0</v>
      </c>
      <c r="AX37">
        <v>5.75</v>
      </c>
      <c r="AY37">
        <v>2</v>
      </c>
      <c r="AZ37">
        <v>3.75</v>
      </c>
      <c r="BA37">
        <v>0</v>
      </c>
      <c r="BB37">
        <v>21.25</v>
      </c>
      <c r="BC37">
        <v>17</v>
      </c>
      <c r="BD37">
        <v>4.25</v>
      </c>
      <c r="BE37">
        <v>0</v>
      </c>
    </row>
    <row r="38" spans="1:57">
      <c r="A38" t="s">
        <v>16890</v>
      </c>
      <c r="B38" t="s">
        <v>16891</v>
      </c>
      <c r="C38">
        <v>0</v>
      </c>
      <c r="D38">
        <v>44</v>
      </c>
      <c r="E38">
        <v>36</v>
      </c>
      <c r="F38">
        <v>40</v>
      </c>
      <c r="G38">
        <v>9</v>
      </c>
      <c r="H38">
        <v>12</v>
      </c>
      <c r="I38">
        <v>0</v>
      </c>
      <c r="J38">
        <v>36</v>
      </c>
      <c r="K38">
        <v>395</v>
      </c>
      <c r="L38">
        <v>20</v>
      </c>
      <c r="M38">
        <v>1</v>
      </c>
      <c r="N38">
        <v>7</v>
      </c>
      <c r="O38">
        <v>5</v>
      </c>
      <c r="P38">
        <v>1</v>
      </c>
      <c r="Q38">
        <v>6</v>
      </c>
      <c r="R38">
        <v>0</v>
      </c>
      <c r="S38">
        <v>31.25</v>
      </c>
      <c r="T38">
        <v>5.25</v>
      </c>
      <c r="U38">
        <v>0</v>
      </c>
      <c r="V38">
        <v>36.5</v>
      </c>
      <c r="W38">
        <v>417.5</v>
      </c>
      <c r="X38">
        <v>0</v>
      </c>
      <c r="Y38">
        <v>28</v>
      </c>
      <c r="Z38">
        <v>0</v>
      </c>
      <c r="AA38">
        <v>0</v>
      </c>
      <c r="AB38">
        <v>40</v>
      </c>
      <c r="AC38">
        <v>404.75</v>
      </c>
      <c r="AD38">
        <v>404.75</v>
      </c>
      <c r="AE38">
        <v>404.75</v>
      </c>
      <c r="AF38">
        <v>444.75</v>
      </c>
      <c r="AG38">
        <v>822.25</v>
      </c>
      <c r="AH38">
        <v>417.5</v>
      </c>
      <c r="AI38">
        <v>96</v>
      </c>
      <c r="AJ38">
        <v>136</v>
      </c>
      <c r="AK38">
        <v>246</v>
      </c>
      <c r="AL38">
        <v>150</v>
      </c>
      <c r="AM38">
        <v>2</v>
      </c>
      <c r="AN38">
        <v>14</v>
      </c>
      <c r="AO38">
        <v>1</v>
      </c>
      <c r="AP38">
        <v>1</v>
      </c>
      <c r="AQ38">
        <v>0</v>
      </c>
      <c r="AR38">
        <v>0</v>
      </c>
      <c r="AS38">
        <v>0</v>
      </c>
      <c r="AT38">
        <v>395</v>
      </c>
      <c r="AU38">
        <v>156</v>
      </c>
      <c r="AV38">
        <v>239</v>
      </c>
      <c r="AW38">
        <v>0</v>
      </c>
      <c r="AX38">
        <v>31.25</v>
      </c>
      <c r="AY38">
        <v>6</v>
      </c>
      <c r="AZ38">
        <v>25.25</v>
      </c>
      <c r="BA38">
        <v>0</v>
      </c>
      <c r="BB38">
        <v>5.25</v>
      </c>
      <c r="BC38">
        <v>4.5</v>
      </c>
      <c r="BD38">
        <v>0.75</v>
      </c>
      <c r="BE38">
        <v>0</v>
      </c>
    </row>
    <row r="39" spans="1:57">
      <c r="A39" t="s">
        <v>19969</v>
      </c>
      <c r="B39" t="s">
        <v>19970</v>
      </c>
      <c r="C39">
        <v>1</v>
      </c>
      <c r="D39">
        <v>8</v>
      </c>
      <c r="E39">
        <v>1</v>
      </c>
      <c r="F39">
        <v>5</v>
      </c>
      <c r="G39">
        <v>0</v>
      </c>
      <c r="H39">
        <v>1</v>
      </c>
      <c r="I39">
        <v>0</v>
      </c>
      <c r="J39">
        <v>8</v>
      </c>
      <c r="K39">
        <v>204</v>
      </c>
      <c r="L39">
        <v>1</v>
      </c>
      <c r="M39">
        <v>1</v>
      </c>
      <c r="N39">
        <v>3</v>
      </c>
      <c r="O39">
        <v>1</v>
      </c>
      <c r="P39">
        <v>0</v>
      </c>
      <c r="Q39">
        <v>2</v>
      </c>
      <c r="R39">
        <v>0</v>
      </c>
      <c r="S39">
        <v>1.25</v>
      </c>
      <c r="T39">
        <v>14.75</v>
      </c>
      <c r="U39">
        <v>0</v>
      </c>
      <c r="V39">
        <v>16</v>
      </c>
      <c r="W39">
        <v>265</v>
      </c>
      <c r="X39">
        <v>0</v>
      </c>
      <c r="Y39">
        <v>3</v>
      </c>
      <c r="Z39">
        <v>2</v>
      </c>
      <c r="AA39">
        <v>-42.5</v>
      </c>
      <c r="AB39">
        <v>152.5</v>
      </c>
      <c r="AC39">
        <v>381.19</v>
      </c>
      <c r="AD39">
        <v>241.19</v>
      </c>
      <c r="AE39">
        <v>381.19</v>
      </c>
      <c r="AF39">
        <v>393.69</v>
      </c>
      <c r="AG39">
        <v>646.19000000000005</v>
      </c>
      <c r="AH39">
        <v>265</v>
      </c>
      <c r="AI39">
        <v>329.74</v>
      </c>
      <c r="AJ39">
        <v>329.74</v>
      </c>
      <c r="AK39">
        <v>529.74</v>
      </c>
      <c r="AL39">
        <v>200</v>
      </c>
      <c r="AM39">
        <v>1</v>
      </c>
      <c r="AN39">
        <v>2</v>
      </c>
      <c r="AO39">
        <v>0</v>
      </c>
      <c r="AP39">
        <v>1</v>
      </c>
      <c r="AQ39">
        <v>0</v>
      </c>
      <c r="AR39">
        <v>0</v>
      </c>
      <c r="AS39">
        <v>0</v>
      </c>
      <c r="AT39">
        <v>204</v>
      </c>
      <c r="AU39">
        <v>132</v>
      </c>
      <c r="AV39">
        <v>62</v>
      </c>
      <c r="AW39">
        <v>10</v>
      </c>
      <c r="AX39">
        <v>1.25</v>
      </c>
      <c r="AY39">
        <v>0</v>
      </c>
      <c r="AZ39">
        <v>1</v>
      </c>
      <c r="BA39">
        <v>0.25</v>
      </c>
      <c r="BB39">
        <v>14.75</v>
      </c>
      <c r="BC39">
        <v>10</v>
      </c>
      <c r="BD39">
        <v>2.75</v>
      </c>
      <c r="BE39">
        <v>2</v>
      </c>
    </row>
    <row r="40" spans="1:57">
      <c r="A40" t="s">
        <v>16892</v>
      </c>
      <c r="B40" t="s">
        <v>16893</v>
      </c>
      <c r="C40">
        <v>0</v>
      </c>
      <c r="D40">
        <v>8</v>
      </c>
      <c r="E40">
        <v>8</v>
      </c>
      <c r="F40">
        <v>8</v>
      </c>
      <c r="G40">
        <v>0</v>
      </c>
      <c r="H40">
        <v>2</v>
      </c>
      <c r="I40">
        <v>0</v>
      </c>
      <c r="J40">
        <v>8</v>
      </c>
      <c r="K40">
        <v>81</v>
      </c>
      <c r="L40">
        <v>6</v>
      </c>
      <c r="M40">
        <v>1</v>
      </c>
      <c r="N40">
        <v>0</v>
      </c>
      <c r="O40">
        <v>1</v>
      </c>
      <c r="P40">
        <v>0</v>
      </c>
      <c r="Q40">
        <v>0</v>
      </c>
      <c r="R40">
        <v>0</v>
      </c>
      <c r="S40">
        <v>4</v>
      </c>
      <c r="T40">
        <v>4</v>
      </c>
      <c r="U40">
        <v>0</v>
      </c>
      <c r="V40">
        <v>8</v>
      </c>
      <c r="W40">
        <v>120</v>
      </c>
      <c r="X40">
        <v>0</v>
      </c>
      <c r="Y40">
        <v>4</v>
      </c>
      <c r="Z40">
        <v>0</v>
      </c>
      <c r="AA40">
        <v>0</v>
      </c>
      <c r="AB40">
        <v>0</v>
      </c>
      <c r="AC40">
        <v>0</v>
      </c>
      <c r="AD40">
        <v>0</v>
      </c>
      <c r="AE40">
        <v>0</v>
      </c>
      <c r="AF40">
        <v>0</v>
      </c>
      <c r="AG40">
        <v>120</v>
      </c>
      <c r="AH40">
        <v>120</v>
      </c>
      <c r="AI40">
        <v>0</v>
      </c>
      <c r="AJ40">
        <v>0</v>
      </c>
      <c r="AK40">
        <v>60</v>
      </c>
      <c r="AL40">
        <v>60</v>
      </c>
      <c r="AM40">
        <v>0</v>
      </c>
      <c r="AN40">
        <v>0</v>
      </c>
      <c r="AO40">
        <v>0</v>
      </c>
      <c r="AP40">
        <v>0</v>
      </c>
      <c r="AQ40">
        <v>0</v>
      </c>
      <c r="AR40">
        <v>0</v>
      </c>
      <c r="AS40">
        <v>0</v>
      </c>
      <c r="AT40">
        <v>81</v>
      </c>
      <c r="AU40">
        <v>46</v>
      </c>
      <c r="AV40">
        <v>35</v>
      </c>
      <c r="AW40">
        <v>0</v>
      </c>
      <c r="AX40">
        <v>4</v>
      </c>
      <c r="AY40">
        <v>2</v>
      </c>
      <c r="AZ40">
        <v>2</v>
      </c>
      <c r="BA40">
        <v>0</v>
      </c>
      <c r="BB40">
        <v>4</v>
      </c>
      <c r="BC40">
        <v>2</v>
      </c>
      <c r="BD40">
        <v>2</v>
      </c>
      <c r="BE40">
        <v>0</v>
      </c>
    </row>
    <row r="41" spans="1:57">
      <c r="A41" t="s">
        <v>16894</v>
      </c>
      <c r="B41" t="s">
        <v>16895</v>
      </c>
      <c r="C41">
        <v>0</v>
      </c>
      <c r="D41">
        <v>10</v>
      </c>
      <c r="E41">
        <v>10</v>
      </c>
      <c r="F41">
        <v>8</v>
      </c>
      <c r="G41">
        <v>0</v>
      </c>
      <c r="H41">
        <v>0</v>
      </c>
      <c r="I41">
        <v>1</v>
      </c>
      <c r="J41">
        <v>10</v>
      </c>
      <c r="K41">
        <v>256</v>
      </c>
      <c r="L41">
        <v>6</v>
      </c>
      <c r="M41">
        <v>2</v>
      </c>
      <c r="N41">
        <v>1</v>
      </c>
      <c r="O41">
        <v>1</v>
      </c>
      <c r="P41">
        <v>0</v>
      </c>
      <c r="Q41">
        <v>0</v>
      </c>
      <c r="R41">
        <v>0</v>
      </c>
      <c r="S41">
        <v>10.25</v>
      </c>
      <c r="T41">
        <v>31.5</v>
      </c>
      <c r="U41">
        <v>2</v>
      </c>
      <c r="V41">
        <v>43.75</v>
      </c>
      <c r="W41">
        <v>732.5</v>
      </c>
      <c r="X41">
        <v>0</v>
      </c>
      <c r="Y41">
        <v>3</v>
      </c>
      <c r="Z41">
        <v>2</v>
      </c>
      <c r="AA41">
        <v>0</v>
      </c>
      <c r="AB41">
        <v>540</v>
      </c>
      <c r="AC41">
        <v>105</v>
      </c>
      <c r="AD41">
        <v>0</v>
      </c>
      <c r="AE41">
        <v>290</v>
      </c>
      <c r="AF41">
        <v>540</v>
      </c>
      <c r="AG41">
        <v>877.5</v>
      </c>
      <c r="AH41">
        <v>587.5</v>
      </c>
      <c r="AI41">
        <v>0</v>
      </c>
      <c r="AJ41">
        <v>0</v>
      </c>
      <c r="AK41">
        <v>0</v>
      </c>
      <c r="AL41">
        <v>0</v>
      </c>
      <c r="AM41">
        <v>0</v>
      </c>
      <c r="AN41">
        <v>0</v>
      </c>
      <c r="AO41">
        <v>0</v>
      </c>
      <c r="AP41">
        <v>2</v>
      </c>
      <c r="AQ41">
        <v>0</v>
      </c>
      <c r="AR41">
        <v>0</v>
      </c>
      <c r="AS41">
        <v>0</v>
      </c>
      <c r="AT41">
        <v>256</v>
      </c>
      <c r="AU41">
        <v>0</v>
      </c>
      <c r="AV41">
        <v>256</v>
      </c>
      <c r="AW41">
        <v>0</v>
      </c>
      <c r="AX41">
        <v>10.25</v>
      </c>
      <c r="AY41">
        <v>0</v>
      </c>
      <c r="AZ41">
        <v>10.25</v>
      </c>
      <c r="BA41">
        <v>0</v>
      </c>
      <c r="BB41">
        <v>31.5</v>
      </c>
      <c r="BC41">
        <v>0</v>
      </c>
      <c r="BD41">
        <v>31.5</v>
      </c>
      <c r="BE41">
        <v>0</v>
      </c>
    </row>
    <row r="42" spans="1:57">
      <c r="A42" t="s">
        <v>16900</v>
      </c>
      <c r="B42" t="s">
        <v>16901</v>
      </c>
      <c r="C42">
        <v>0</v>
      </c>
      <c r="D42">
        <v>1</v>
      </c>
      <c r="E42">
        <v>1</v>
      </c>
      <c r="F42">
        <v>1</v>
      </c>
      <c r="G42">
        <v>0</v>
      </c>
      <c r="H42">
        <v>0</v>
      </c>
      <c r="I42">
        <v>0</v>
      </c>
      <c r="J42">
        <v>1</v>
      </c>
      <c r="K42">
        <v>10</v>
      </c>
      <c r="L42">
        <v>0</v>
      </c>
      <c r="M42">
        <v>0</v>
      </c>
      <c r="N42">
        <v>1</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10</v>
      </c>
      <c r="AU42">
        <v>0</v>
      </c>
      <c r="AV42">
        <v>10</v>
      </c>
      <c r="AW42">
        <v>0</v>
      </c>
      <c r="AX42">
        <v>0</v>
      </c>
      <c r="AY42">
        <v>0</v>
      </c>
      <c r="AZ42">
        <v>0</v>
      </c>
      <c r="BA42">
        <v>0</v>
      </c>
      <c r="BB42">
        <v>0</v>
      </c>
      <c r="BC42">
        <v>0</v>
      </c>
      <c r="BD42">
        <v>0</v>
      </c>
      <c r="BE42">
        <v>0</v>
      </c>
    </row>
    <row r="43" spans="1:57">
      <c r="A43" t="s">
        <v>16902</v>
      </c>
      <c r="B43" t="s">
        <v>16903</v>
      </c>
      <c r="C43">
        <v>0</v>
      </c>
      <c r="D43">
        <v>2</v>
      </c>
      <c r="E43">
        <v>2</v>
      </c>
      <c r="F43">
        <v>2</v>
      </c>
      <c r="G43">
        <v>0</v>
      </c>
      <c r="H43">
        <v>0</v>
      </c>
      <c r="I43">
        <v>0</v>
      </c>
      <c r="J43">
        <v>2</v>
      </c>
      <c r="K43">
        <v>13</v>
      </c>
      <c r="L43">
        <v>0</v>
      </c>
      <c r="M43">
        <v>1</v>
      </c>
      <c r="N43">
        <v>1</v>
      </c>
      <c r="O43">
        <v>0</v>
      </c>
      <c r="P43">
        <v>0</v>
      </c>
      <c r="Q43">
        <v>0</v>
      </c>
      <c r="R43">
        <v>0</v>
      </c>
      <c r="S43">
        <v>0.5</v>
      </c>
      <c r="T43">
        <v>2</v>
      </c>
      <c r="U43">
        <v>1.25</v>
      </c>
      <c r="V43">
        <v>3.75</v>
      </c>
      <c r="W43">
        <v>45</v>
      </c>
      <c r="X43">
        <v>0</v>
      </c>
      <c r="Y43">
        <v>1</v>
      </c>
      <c r="Z43">
        <v>0</v>
      </c>
      <c r="AA43">
        <v>0</v>
      </c>
      <c r="AB43">
        <v>15</v>
      </c>
      <c r="AC43">
        <v>0</v>
      </c>
      <c r="AD43">
        <v>0</v>
      </c>
      <c r="AE43">
        <v>0</v>
      </c>
      <c r="AF43">
        <v>15</v>
      </c>
      <c r="AG43">
        <v>70</v>
      </c>
      <c r="AH43">
        <v>70</v>
      </c>
      <c r="AI43">
        <v>0</v>
      </c>
      <c r="AJ43">
        <v>0</v>
      </c>
      <c r="AK43">
        <v>0</v>
      </c>
      <c r="AL43">
        <v>0</v>
      </c>
      <c r="AM43">
        <v>0</v>
      </c>
      <c r="AN43">
        <v>0</v>
      </c>
      <c r="AO43">
        <v>0</v>
      </c>
      <c r="AP43">
        <v>0</v>
      </c>
      <c r="AQ43">
        <v>0</v>
      </c>
      <c r="AR43">
        <v>0</v>
      </c>
      <c r="AS43">
        <v>0</v>
      </c>
      <c r="AT43">
        <v>13</v>
      </c>
      <c r="AU43">
        <v>0</v>
      </c>
      <c r="AV43">
        <v>13</v>
      </c>
      <c r="AW43">
        <v>0</v>
      </c>
      <c r="AX43">
        <v>0.5</v>
      </c>
      <c r="AY43">
        <v>0</v>
      </c>
      <c r="AZ43">
        <v>0.5</v>
      </c>
      <c r="BA43">
        <v>0</v>
      </c>
      <c r="BB43">
        <v>2</v>
      </c>
      <c r="BC43">
        <v>0</v>
      </c>
      <c r="BD43">
        <v>2</v>
      </c>
      <c r="BE43">
        <v>0</v>
      </c>
    </row>
    <row r="44" spans="1:57">
      <c r="A44" t="s">
        <v>16904</v>
      </c>
      <c r="B44" t="s">
        <v>16905</v>
      </c>
      <c r="C44">
        <v>0</v>
      </c>
      <c r="D44">
        <v>52</v>
      </c>
      <c r="E44">
        <v>52</v>
      </c>
      <c r="F44">
        <v>47</v>
      </c>
      <c r="G44">
        <v>8</v>
      </c>
      <c r="H44">
        <v>4</v>
      </c>
      <c r="I44">
        <v>1</v>
      </c>
      <c r="J44">
        <v>52</v>
      </c>
      <c r="K44">
        <v>547</v>
      </c>
      <c r="L44">
        <v>8</v>
      </c>
      <c r="M44">
        <v>1</v>
      </c>
      <c r="N44">
        <v>6</v>
      </c>
      <c r="O44">
        <v>29</v>
      </c>
      <c r="P44">
        <v>1</v>
      </c>
      <c r="Q44">
        <v>5</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547</v>
      </c>
      <c r="AU44">
        <v>121</v>
      </c>
      <c r="AV44">
        <v>426</v>
      </c>
      <c r="AW44">
        <v>0</v>
      </c>
      <c r="AX44">
        <v>0</v>
      </c>
      <c r="AY44">
        <v>0</v>
      </c>
      <c r="AZ44">
        <v>0</v>
      </c>
      <c r="BA44">
        <v>0</v>
      </c>
      <c r="BB44">
        <v>0</v>
      </c>
      <c r="BC44">
        <v>0</v>
      </c>
      <c r="BD44">
        <v>0</v>
      </c>
      <c r="BE44">
        <v>0</v>
      </c>
    </row>
    <row r="45" spans="1:57">
      <c r="A45" t="s">
        <v>16908</v>
      </c>
      <c r="B45" t="s">
        <v>16909</v>
      </c>
      <c r="C45">
        <v>1</v>
      </c>
      <c r="D45">
        <v>24</v>
      </c>
      <c r="E45">
        <v>23</v>
      </c>
      <c r="F45">
        <v>19</v>
      </c>
      <c r="G45">
        <v>0</v>
      </c>
      <c r="H45">
        <v>0</v>
      </c>
      <c r="I45">
        <v>0</v>
      </c>
      <c r="J45">
        <v>23</v>
      </c>
      <c r="K45">
        <v>78</v>
      </c>
      <c r="L45">
        <v>17</v>
      </c>
      <c r="M45">
        <v>0</v>
      </c>
      <c r="N45">
        <v>0</v>
      </c>
      <c r="O45">
        <v>7</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78</v>
      </c>
      <c r="AU45">
        <v>0</v>
      </c>
      <c r="AV45">
        <v>71</v>
      </c>
      <c r="AW45">
        <v>7</v>
      </c>
      <c r="AX45">
        <v>0</v>
      </c>
      <c r="AY45">
        <v>0</v>
      </c>
      <c r="AZ45">
        <v>0</v>
      </c>
      <c r="BA45">
        <v>0</v>
      </c>
      <c r="BB45">
        <v>0</v>
      </c>
      <c r="BC45">
        <v>0</v>
      </c>
      <c r="BD45">
        <v>0</v>
      </c>
      <c r="BE45">
        <v>0</v>
      </c>
    </row>
    <row r="46" spans="1:57">
      <c r="A46" t="s">
        <v>17221</v>
      </c>
      <c r="B46" t="s">
        <v>17405</v>
      </c>
      <c r="C46">
        <v>2</v>
      </c>
      <c r="D46">
        <v>245</v>
      </c>
      <c r="E46">
        <v>227</v>
      </c>
      <c r="F46">
        <v>240</v>
      </c>
      <c r="G46">
        <v>4</v>
      </c>
      <c r="H46">
        <v>1</v>
      </c>
      <c r="I46">
        <v>1</v>
      </c>
      <c r="J46">
        <v>243</v>
      </c>
      <c r="K46">
        <v>1423</v>
      </c>
      <c r="L46">
        <v>227</v>
      </c>
      <c r="M46">
        <v>3</v>
      </c>
      <c r="N46">
        <v>3</v>
      </c>
      <c r="O46">
        <v>4</v>
      </c>
      <c r="P46">
        <v>0</v>
      </c>
      <c r="Q46">
        <v>3</v>
      </c>
      <c r="R46">
        <v>0</v>
      </c>
      <c r="S46">
        <v>68.2</v>
      </c>
      <c r="T46">
        <v>19.5</v>
      </c>
      <c r="U46">
        <v>10</v>
      </c>
      <c r="V46">
        <v>97.7</v>
      </c>
      <c r="W46">
        <v>1044.5</v>
      </c>
      <c r="X46">
        <v>0</v>
      </c>
      <c r="Y46">
        <v>63</v>
      </c>
      <c r="Z46">
        <v>0</v>
      </c>
      <c r="AA46">
        <v>-27.5</v>
      </c>
      <c r="AB46">
        <v>377.5</v>
      </c>
      <c r="AC46">
        <v>0</v>
      </c>
      <c r="AD46">
        <v>0</v>
      </c>
      <c r="AE46">
        <v>0</v>
      </c>
      <c r="AF46">
        <v>377.5</v>
      </c>
      <c r="AG46">
        <v>1244.5</v>
      </c>
      <c r="AH46">
        <v>1244.5</v>
      </c>
      <c r="AI46">
        <v>0</v>
      </c>
      <c r="AJ46">
        <v>142.5</v>
      </c>
      <c r="AK46">
        <v>292.5</v>
      </c>
      <c r="AL46">
        <v>292.5</v>
      </c>
      <c r="AM46">
        <v>0</v>
      </c>
      <c r="AN46">
        <v>0</v>
      </c>
      <c r="AO46">
        <v>0</v>
      </c>
      <c r="AP46">
        <v>0</v>
      </c>
      <c r="AQ46">
        <v>0</v>
      </c>
      <c r="AR46">
        <v>0</v>
      </c>
      <c r="AS46">
        <v>0</v>
      </c>
      <c r="AT46">
        <v>1423</v>
      </c>
      <c r="AU46">
        <v>19</v>
      </c>
      <c r="AV46">
        <v>1402</v>
      </c>
      <c r="AW46">
        <v>2</v>
      </c>
      <c r="AX46">
        <v>68.2</v>
      </c>
      <c r="AY46">
        <v>1.25</v>
      </c>
      <c r="AZ46">
        <v>66.2</v>
      </c>
      <c r="BA46">
        <v>0.75</v>
      </c>
      <c r="BB46">
        <v>19.5</v>
      </c>
      <c r="BC46">
        <v>8</v>
      </c>
      <c r="BD46">
        <v>10.5</v>
      </c>
      <c r="BE46">
        <v>1</v>
      </c>
    </row>
    <row r="47" spans="1:57">
      <c r="A47" t="s">
        <v>16910</v>
      </c>
      <c r="B47" t="s">
        <v>16911</v>
      </c>
      <c r="C47">
        <v>54</v>
      </c>
      <c r="D47">
        <v>226</v>
      </c>
      <c r="E47">
        <v>163</v>
      </c>
      <c r="F47">
        <v>132</v>
      </c>
      <c r="G47">
        <v>49</v>
      </c>
      <c r="H47">
        <v>2</v>
      </c>
      <c r="I47">
        <v>0</v>
      </c>
      <c r="J47">
        <v>225</v>
      </c>
      <c r="K47">
        <v>5445</v>
      </c>
      <c r="L47">
        <v>167</v>
      </c>
      <c r="M47">
        <v>1</v>
      </c>
      <c r="N47">
        <v>2</v>
      </c>
      <c r="O47">
        <v>34</v>
      </c>
      <c r="P47">
        <v>5</v>
      </c>
      <c r="Q47">
        <v>17</v>
      </c>
      <c r="R47">
        <v>0</v>
      </c>
      <c r="S47">
        <v>344.75</v>
      </c>
      <c r="T47">
        <v>0</v>
      </c>
      <c r="U47">
        <v>0</v>
      </c>
      <c r="V47">
        <v>320</v>
      </c>
      <c r="W47">
        <v>3447.5</v>
      </c>
      <c r="X47">
        <v>0</v>
      </c>
      <c r="Y47">
        <v>10</v>
      </c>
      <c r="Z47">
        <v>0</v>
      </c>
      <c r="AA47">
        <v>0</v>
      </c>
      <c r="AB47">
        <v>3147.5</v>
      </c>
      <c r="AC47">
        <v>0</v>
      </c>
      <c r="AD47">
        <v>0</v>
      </c>
      <c r="AE47">
        <v>143.75</v>
      </c>
      <c r="AF47">
        <v>3147.5</v>
      </c>
      <c r="AG47">
        <v>3447.5</v>
      </c>
      <c r="AH47">
        <v>3338.75</v>
      </c>
      <c r="AI47">
        <v>108.75</v>
      </c>
      <c r="AJ47">
        <v>217.5</v>
      </c>
      <c r="AK47">
        <v>247.5</v>
      </c>
      <c r="AL47">
        <v>138.75</v>
      </c>
      <c r="AM47">
        <v>0</v>
      </c>
      <c r="AN47">
        <v>7</v>
      </c>
      <c r="AO47">
        <v>0</v>
      </c>
      <c r="AP47">
        <v>1</v>
      </c>
      <c r="AQ47">
        <v>0</v>
      </c>
      <c r="AR47">
        <v>0</v>
      </c>
      <c r="AS47">
        <v>0</v>
      </c>
      <c r="AT47">
        <v>5445</v>
      </c>
      <c r="AU47">
        <v>128</v>
      </c>
      <c r="AV47">
        <v>3191</v>
      </c>
      <c r="AW47">
        <v>2126</v>
      </c>
      <c r="AX47">
        <v>344.75</v>
      </c>
      <c r="AY47">
        <v>24.75</v>
      </c>
      <c r="AZ47">
        <v>320</v>
      </c>
      <c r="BA47">
        <v>0</v>
      </c>
      <c r="BB47">
        <v>0</v>
      </c>
      <c r="BC47">
        <v>0</v>
      </c>
      <c r="BD47">
        <v>0</v>
      </c>
      <c r="BE47">
        <v>0</v>
      </c>
    </row>
    <row r="48" spans="1:57">
      <c r="A48" t="s">
        <v>16912</v>
      </c>
      <c r="B48" t="s">
        <v>16913</v>
      </c>
      <c r="C48">
        <v>0</v>
      </c>
      <c r="D48">
        <v>8</v>
      </c>
      <c r="E48">
        <v>8</v>
      </c>
      <c r="F48">
        <v>5</v>
      </c>
      <c r="G48">
        <v>0</v>
      </c>
      <c r="H48">
        <v>3</v>
      </c>
      <c r="I48">
        <v>0</v>
      </c>
      <c r="J48">
        <v>8</v>
      </c>
      <c r="K48">
        <v>109</v>
      </c>
      <c r="L48">
        <v>8</v>
      </c>
      <c r="M48">
        <v>0</v>
      </c>
      <c r="N48">
        <v>0</v>
      </c>
      <c r="O48">
        <v>0</v>
      </c>
      <c r="P48">
        <v>0</v>
      </c>
      <c r="Q48">
        <v>0</v>
      </c>
      <c r="R48">
        <v>0</v>
      </c>
      <c r="S48">
        <v>16.75</v>
      </c>
      <c r="T48">
        <v>11</v>
      </c>
      <c r="U48">
        <v>0</v>
      </c>
      <c r="V48">
        <v>27.75</v>
      </c>
      <c r="W48">
        <v>387.5</v>
      </c>
      <c r="X48">
        <v>0</v>
      </c>
      <c r="Y48">
        <v>5</v>
      </c>
      <c r="Z48">
        <v>0</v>
      </c>
      <c r="AA48">
        <v>0</v>
      </c>
      <c r="AB48">
        <v>247.5</v>
      </c>
      <c r="AC48">
        <v>0</v>
      </c>
      <c r="AD48">
        <v>0</v>
      </c>
      <c r="AE48">
        <v>247.5</v>
      </c>
      <c r="AF48">
        <v>247.5</v>
      </c>
      <c r="AG48">
        <v>387.5</v>
      </c>
      <c r="AH48">
        <v>140</v>
      </c>
      <c r="AI48">
        <v>247.5</v>
      </c>
      <c r="AJ48">
        <v>247.5</v>
      </c>
      <c r="AK48">
        <v>337.5</v>
      </c>
      <c r="AL48">
        <v>90</v>
      </c>
      <c r="AM48">
        <v>0</v>
      </c>
      <c r="AN48">
        <v>0</v>
      </c>
      <c r="AO48">
        <v>2</v>
      </c>
      <c r="AP48">
        <v>1</v>
      </c>
      <c r="AQ48">
        <v>0</v>
      </c>
      <c r="AR48">
        <v>0</v>
      </c>
      <c r="AS48">
        <v>0</v>
      </c>
      <c r="AT48">
        <v>109</v>
      </c>
      <c r="AU48">
        <v>66</v>
      </c>
      <c r="AV48">
        <v>43</v>
      </c>
      <c r="AW48">
        <v>0</v>
      </c>
      <c r="AX48">
        <v>16.75</v>
      </c>
      <c r="AY48">
        <v>14.75</v>
      </c>
      <c r="AZ48">
        <v>2</v>
      </c>
      <c r="BA48">
        <v>0</v>
      </c>
      <c r="BB48">
        <v>11</v>
      </c>
      <c r="BC48">
        <v>9.5</v>
      </c>
      <c r="BD48">
        <v>1.5</v>
      </c>
      <c r="BE48">
        <v>0</v>
      </c>
    </row>
    <row r="49" spans="1:57">
      <c r="A49" t="s">
        <v>16914</v>
      </c>
      <c r="B49" t="s">
        <v>16915</v>
      </c>
      <c r="C49">
        <v>0</v>
      </c>
      <c r="D49">
        <v>8</v>
      </c>
      <c r="E49">
        <v>8</v>
      </c>
      <c r="F49">
        <v>8</v>
      </c>
      <c r="G49">
        <v>0</v>
      </c>
      <c r="H49">
        <v>0</v>
      </c>
      <c r="I49">
        <v>0</v>
      </c>
      <c r="J49">
        <v>8</v>
      </c>
      <c r="K49">
        <v>21</v>
      </c>
      <c r="L49">
        <v>1</v>
      </c>
      <c r="M49">
        <v>0</v>
      </c>
      <c r="N49">
        <v>2</v>
      </c>
      <c r="O49">
        <v>5</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21</v>
      </c>
      <c r="AU49">
        <v>0</v>
      </c>
      <c r="AV49">
        <v>21</v>
      </c>
      <c r="AW49">
        <v>0</v>
      </c>
      <c r="AX49">
        <v>0</v>
      </c>
      <c r="AY49">
        <v>0</v>
      </c>
      <c r="AZ49">
        <v>0</v>
      </c>
      <c r="BA49">
        <v>0</v>
      </c>
      <c r="BB49">
        <v>0</v>
      </c>
      <c r="BC49">
        <v>0</v>
      </c>
      <c r="BD49">
        <v>0</v>
      </c>
      <c r="BE49">
        <v>0</v>
      </c>
    </row>
    <row r="50" spans="1:57">
      <c r="A50" t="s">
        <v>16916</v>
      </c>
      <c r="B50" t="s">
        <v>16917</v>
      </c>
      <c r="C50">
        <v>0</v>
      </c>
      <c r="D50">
        <v>3</v>
      </c>
      <c r="E50">
        <v>3</v>
      </c>
      <c r="F50">
        <v>3</v>
      </c>
      <c r="G50">
        <v>1</v>
      </c>
      <c r="H50">
        <v>1</v>
      </c>
      <c r="I50">
        <v>1</v>
      </c>
      <c r="J50">
        <v>3</v>
      </c>
      <c r="K50">
        <v>67</v>
      </c>
      <c r="L50">
        <v>0</v>
      </c>
      <c r="M50">
        <v>1</v>
      </c>
      <c r="N50">
        <v>2</v>
      </c>
      <c r="O50">
        <v>0</v>
      </c>
      <c r="P50">
        <v>0</v>
      </c>
      <c r="Q50">
        <v>0</v>
      </c>
      <c r="R50">
        <v>0</v>
      </c>
      <c r="S50">
        <v>10.25</v>
      </c>
      <c r="T50">
        <v>7</v>
      </c>
      <c r="U50">
        <v>0</v>
      </c>
      <c r="V50">
        <v>17.25</v>
      </c>
      <c r="W50">
        <v>242.5</v>
      </c>
      <c r="X50">
        <v>0</v>
      </c>
      <c r="Y50">
        <v>2</v>
      </c>
      <c r="Z50">
        <v>0</v>
      </c>
      <c r="AA50">
        <v>0</v>
      </c>
      <c r="AB50">
        <v>182.5</v>
      </c>
      <c r="AC50">
        <v>0</v>
      </c>
      <c r="AD50">
        <v>0</v>
      </c>
      <c r="AE50">
        <v>182.5</v>
      </c>
      <c r="AF50">
        <v>182.5</v>
      </c>
      <c r="AG50">
        <v>242.5</v>
      </c>
      <c r="AH50">
        <v>60</v>
      </c>
      <c r="AI50">
        <v>0</v>
      </c>
      <c r="AJ50">
        <v>0</v>
      </c>
      <c r="AK50">
        <v>0</v>
      </c>
      <c r="AL50">
        <v>0</v>
      </c>
      <c r="AM50">
        <v>0</v>
      </c>
      <c r="AN50">
        <v>1</v>
      </c>
      <c r="AO50">
        <v>0</v>
      </c>
      <c r="AP50">
        <v>1</v>
      </c>
      <c r="AQ50">
        <v>0</v>
      </c>
      <c r="AR50">
        <v>0</v>
      </c>
      <c r="AS50">
        <v>0</v>
      </c>
      <c r="AT50">
        <v>67</v>
      </c>
      <c r="AU50">
        <v>14</v>
      </c>
      <c r="AV50">
        <v>53</v>
      </c>
      <c r="AW50">
        <v>0</v>
      </c>
      <c r="AX50">
        <v>10.25</v>
      </c>
      <c r="AY50">
        <v>0</v>
      </c>
      <c r="AZ50">
        <v>10.25</v>
      </c>
      <c r="BA50">
        <v>0</v>
      </c>
      <c r="BB50">
        <v>7</v>
      </c>
      <c r="BC50">
        <v>0</v>
      </c>
      <c r="BD50">
        <v>7</v>
      </c>
      <c r="BE50">
        <v>0</v>
      </c>
    </row>
    <row r="51" spans="1:57">
      <c r="A51" t="s">
        <v>16941</v>
      </c>
      <c r="B51" t="s">
        <v>16942</v>
      </c>
      <c r="C51">
        <v>0</v>
      </c>
      <c r="D51">
        <v>3</v>
      </c>
      <c r="E51">
        <v>2</v>
      </c>
      <c r="F51">
        <v>3</v>
      </c>
      <c r="G51">
        <v>2</v>
      </c>
      <c r="H51">
        <v>0</v>
      </c>
      <c r="I51">
        <v>0</v>
      </c>
      <c r="J51">
        <v>3</v>
      </c>
      <c r="K51">
        <v>11</v>
      </c>
      <c r="L51">
        <v>1</v>
      </c>
      <c r="M51">
        <v>0</v>
      </c>
      <c r="N51">
        <v>0</v>
      </c>
      <c r="O51">
        <v>0</v>
      </c>
      <c r="P51">
        <v>0</v>
      </c>
      <c r="Q51">
        <v>2</v>
      </c>
      <c r="R51">
        <v>0</v>
      </c>
      <c r="S51">
        <v>2</v>
      </c>
      <c r="T51">
        <v>0</v>
      </c>
      <c r="U51">
        <v>0</v>
      </c>
      <c r="V51">
        <v>2</v>
      </c>
      <c r="W51">
        <v>20</v>
      </c>
      <c r="X51">
        <v>0</v>
      </c>
      <c r="Y51">
        <v>3</v>
      </c>
      <c r="Z51">
        <v>0</v>
      </c>
      <c r="AA51">
        <v>0</v>
      </c>
      <c r="AB51">
        <v>0</v>
      </c>
      <c r="AC51">
        <v>0</v>
      </c>
      <c r="AD51">
        <v>0</v>
      </c>
      <c r="AE51">
        <v>0</v>
      </c>
      <c r="AF51">
        <v>0</v>
      </c>
      <c r="AG51">
        <v>20</v>
      </c>
      <c r="AH51">
        <v>20</v>
      </c>
      <c r="AI51">
        <v>0</v>
      </c>
      <c r="AJ51">
        <v>0</v>
      </c>
      <c r="AK51">
        <v>0</v>
      </c>
      <c r="AL51">
        <v>0</v>
      </c>
      <c r="AM51">
        <v>0</v>
      </c>
      <c r="AN51">
        <v>0</v>
      </c>
      <c r="AO51">
        <v>0</v>
      </c>
      <c r="AP51">
        <v>0</v>
      </c>
      <c r="AQ51">
        <v>0</v>
      </c>
      <c r="AR51">
        <v>0</v>
      </c>
      <c r="AS51">
        <v>0</v>
      </c>
      <c r="AT51">
        <v>11</v>
      </c>
      <c r="AU51">
        <v>0</v>
      </c>
      <c r="AV51">
        <v>11</v>
      </c>
      <c r="AW51">
        <v>0</v>
      </c>
      <c r="AX51">
        <v>2</v>
      </c>
      <c r="AY51">
        <v>0</v>
      </c>
      <c r="AZ51">
        <v>2</v>
      </c>
      <c r="BA51">
        <v>0</v>
      </c>
      <c r="BB51">
        <v>0</v>
      </c>
      <c r="BC51">
        <v>0</v>
      </c>
      <c r="BD51">
        <v>0</v>
      </c>
      <c r="BE51">
        <v>0</v>
      </c>
    </row>
    <row r="52" spans="1:57">
      <c r="A52" t="s">
        <v>16920</v>
      </c>
      <c r="B52" t="s">
        <v>16921</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row>
    <row r="53" spans="1:57">
      <c r="A53" t="s">
        <v>16922</v>
      </c>
      <c r="B53" t="s">
        <v>16923</v>
      </c>
      <c r="C53">
        <v>0</v>
      </c>
      <c r="D53">
        <v>2</v>
      </c>
      <c r="E53">
        <v>2</v>
      </c>
      <c r="F53">
        <v>2</v>
      </c>
      <c r="G53">
        <v>0</v>
      </c>
      <c r="H53">
        <v>1</v>
      </c>
      <c r="I53">
        <v>0</v>
      </c>
      <c r="J53">
        <v>2</v>
      </c>
      <c r="K53">
        <v>23</v>
      </c>
      <c r="L53">
        <v>0</v>
      </c>
      <c r="M53">
        <v>1</v>
      </c>
      <c r="N53">
        <v>0</v>
      </c>
      <c r="O53">
        <v>0</v>
      </c>
      <c r="P53">
        <v>0</v>
      </c>
      <c r="Q53">
        <v>1</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23</v>
      </c>
      <c r="AU53">
        <v>11</v>
      </c>
      <c r="AV53">
        <v>12</v>
      </c>
      <c r="AW53">
        <v>0</v>
      </c>
      <c r="AX53">
        <v>0</v>
      </c>
      <c r="AY53">
        <v>0</v>
      </c>
      <c r="AZ53">
        <v>0</v>
      </c>
      <c r="BA53">
        <v>0</v>
      </c>
      <c r="BB53">
        <v>0</v>
      </c>
      <c r="BC53">
        <v>0</v>
      </c>
      <c r="BD53">
        <v>0</v>
      </c>
      <c r="BE53">
        <v>0</v>
      </c>
    </row>
    <row r="54" spans="1:57">
      <c r="A54" t="s">
        <v>19971</v>
      </c>
      <c r="B54" t="s">
        <v>19972</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row>
    <row r="55" spans="1:57">
      <c r="A55" t="s">
        <v>16924</v>
      </c>
      <c r="B55" t="s">
        <v>16925</v>
      </c>
      <c r="C55">
        <v>0</v>
      </c>
      <c r="D55">
        <v>12</v>
      </c>
      <c r="E55">
        <v>12</v>
      </c>
      <c r="F55">
        <v>7</v>
      </c>
      <c r="G55">
        <v>0</v>
      </c>
      <c r="H55">
        <v>1</v>
      </c>
      <c r="I55">
        <v>0</v>
      </c>
      <c r="J55">
        <v>12</v>
      </c>
      <c r="K55">
        <v>182</v>
      </c>
      <c r="L55">
        <v>6</v>
      </c>
      <c r="M55">
        <v>1</v>
      </c>
      <c r="N55">
        <v>0</v>
      </c>
      <c r="O55">
        <v>5</v>
      </c>
      <c r="P55">
        <v>0</v>
      </c>
      <c r="Q55">
        <v>0</v>
      </c>
      <c r="R55">
        <v>0</v>
      </c>
      <c r="S55">
        <v>5.75</v>
      </c>
      <c r="T55">
        <v>0.25</v>
      </c>
      <c r="U55">
        <v>2.5</v>
      </c>
      <c r="V55">
        <v>8.5</v>
      </c>
      <c r="W55">
        <v>62.5</v>
      </c>
      <c r="X55">
        <v>0</v>
      </c>
      <c r="Y55">
        <v>6</v>
      </c>
      <c r="Z55">
        <v>0</v>
      </c>
      <c r="AA55">
        <v>0</v>
      </c>
      <c r="AB55">
        <v>0</v>
      </c>
      <c r="AC55">
        <v>0</v>
      </c>
      <c r="AD55">
        <v>0</v>
      </c>
      <c r="AE55">
        <v>0</v>
      </c>
      <c r="AF55">
        <v>0</v>
      </c>
      <c r="AG55">
        <v>112.5</v>
      </c>
      <c r="AH55">
        <v>112.5</v>
      </c>
      <c r="AI55">
        <v>0</v>
      </c>
      <c r="AJ55">
        <v>0</v>
      </c>
      <c r="AK55">
        <v>0</v>
      </c>
      <c r="AL55">
        <v>0</v>
      </c>
      <c r="AM55">
        <v>0</v>
      </c>
      <c r="AN55">
        <v>0</v>
      </c>
      <c r="AO55">
        <v>0</v>
      </c>
      <c r="AP55">
        <v>0</v>
      </c>
      <c r="AQ55">
        <v>0</v>
      </c>
      <c r="AR55">
        <v>0</v>
      </c>
      <c r="AS55">
        <v>0</v>
      </c>
      <c r="AT55">
        <v>182</v>
      </c>
      <c r="AU55">
        <v>13</v>
      </c>
      <c r="AV55">
        <v>169</v>
      </c>
      <c r="AW55">
        <v>0</v>
      </c>
      <c r="AX55">
        <v>5.75</v>
      </c>
      <c r="AY55">
        <v>0</v>
      </c>
      <c r="AZ55">
        <v>5.75</v>
      </c>
      <c r="BA55">
        <v>0</v>
      </c>
      <c r="BB55">
        <v>0.25</v>
      </c>
      <c r="BC55">
        <v>0</v>
      </c>
      <c r="BD55">
        <v>0.25</v>
      </c>
      <c r="BE55">
        <v>0</v>
      </c>
    </row>
    <row r="56" spans="1:57">
      <c r="A56" t="s">
        <v>16926</v>
      </c>
      <c r="B56" t="s">
        <v>16927</v>
      </c>
      <c r="C56">
        <v>3</v>
      </c>
      <c r="D56">
        <v>41</v>
      </c>
      <c r="E56">
        <v>39</v>
      </c>
      <c r="F56">
        <v>30</v>
      </c>
      <c r="G56">
        <v>1</v>
      </c>
      <c r="H56">
        <v>10</v>
      </c>
      <c r="I56">
        <v>2</v>
      </c>
      <c r="J56">
        <v>39</v>
      </c>
      <c r="K56">
        <v>394</v>
      </c>
      <c r="L56">
        <v>27</v>
      </c>
      <c r="M56">
        <v>3</v>
      </c>
      <c r="N56">
        <v>5</v>
      </c>
      <c r="O56">
        <v>4</v>
      </c>
      <c r="P56">
        <v>0</v>
      </c>
      <c r="Q56">
        <v>0</v>
      </c>
      <c r="R56">
        <v>0</v>
      </c>
      <c r="S56">
        <v>113.74999999999999</v>
      </c>
      <c r="T56">
        <v>14</v>
      </c>
      <c r="U56">
        <v>0</v>
      </c>
      <c r="V56">
        <v>127.74999999999999</v>
      </c>
      <c r="W56">
        <v>1360</v>
      </c>
      <c r="X56">
        <v>0</v>
      </c>
      <c r="Y56">
        <v>35</v>
      </c>
      <c r="Z56">
        <v>0</v>
      </c>
      <c r="AA56">
        <v>-57.5</v>
      </c>
      <c r="AB56">
        <v>830</v>
      </c>
      <c r="AC56">
        <v>0</v>
      </c>
      <c r="AD56">
        <v>0</v>
      </c>
      <c r="AE56">
        <v>0</v>
      </c>
      <c r="AF56">
        <v>830</v>
      </c>
      <c r="AG56">
        <v>1360</v>
      </c>
      <c r="AH56">
        <v>1360</v>
      </c>
      <c r="AI56">
        <v>0</v>
      </c>
      <c r="AJ56">
        <v>810</v>
      </c>
      <c r="AK56">
        <v>1040</v>
      </c>
      <c r="AL56">
        <v>1040</v>
      </c>
      <c r="AM56">
        <v>0</v>
      </c>
      <c r="AN56">
        <v>0</v>
      </c>
      <c r="AO56">
        <v>0</v>
      </c>
      <c r="AP56">
        <v>0</v>
      </c>
      <c r="AQ56">
        <v>0</v>
      </c>
      <c r="AR56">
        <v>0</v>
      </c>
      <c r="AS56">
        <v>0</v>
      </c>
      <c r="AT56">
        <v>394</v>
      </c>
      <c r="AU56">
        <v>152</v>
      </c>
      <c r="AV56">
        <v>225</v>
      </c>
      <c r="AW56">
        <v>30</v>
      </c>
      <c r="AX56">
        <v>113.74999999999999</v>
      </c>
      <c r="AY56">
        <v>87</v>
      </c>
      <c r="AZ56">
        <v>25.500000000000004</v>
      </c>
      <c r="BA56">
        <v>5.25</v>
      </c>
      <c r="BB56">
        <v>14</v>
      </c>
      <c r="BC56">
        <v>10.5</v>
      </c>
      <c r="BD56">
        <v>3.25</v>
      </c>
      <c r="BE56">
        <v>0.25</v>
      </c>
    </row>
    <row r="57" spans="1:57">
      <c r="A57" t="s">
        <v>16928</v>
      </c>
      <c r="B57" t="s">
        <v>16929</v>
      </c>
      <c r="C57">
        <v>2</v>
      </c>
      <c r="D57">
        <v>4</v>
      </c>
      <c r="E57">
        <v>2</v>
      </c>
      <c r="F57">
        <v>2</v>
      </c>
      <c r="G57">
        <v>2</v>
      </c>
      <c r="H57">
        <v>2</v>
      </c>
      <c r="I57">
        <v>0</v>
      </c>
      <c r="J57">
        <v>4</v>
      </c>
      <c r="K57">
        <v>95</v>
      </c>
      <c r="L57">
        <v>1</v>
      </c>
      <c r="M57">
        <v>0</v>
      </c>
      <c r="N57">
        <v>1</v>
      </c>
      <c r="O57">
        <v>0</v>
      </c>
      <c r="P57">
        <v>0</v>
      </c>
      <c r="Q57">
        <v>0</v>
      </c>
      <c r="R57">
        <v>0</v>
      </c>
      <c r="S57">
        <v>16.75</v>
      </c>
      <c r="T57">
        <v>16.5</v>
      </c>
      <c r="U57">
        <v>0</v>
      </c>
      <c r="V57">
        <v>33.25</v>
      </c>
      <c r="W57">
        <v>165</v>
      </c>
      <c r="X57">
        <v>0</v>
      </c>
      <c r="Y57">
        <v>2</v>
      </c>
      <c r="Z57">
        <v>0</v>
      </c>
      <c r="AA57">
        <v>-332.5</v>
      </c>
      <c r="AB57">
        <v>105</v>
      </c>
      <c r="AC57">
        <v>8</v>
      </c>
      <c r="AD57">
        <v>8</v>
      </c>
      <c r="AE57">
        <v>1</v>
      </c>
      <c r="AF57">
        <v>113</v>
      </c>
      <c r="AG57">
        <v>173</v>
      </c>
      <c r="AH57">
        <v>172</v>
      </c>
      <c r="AI57">
        <v>0</v>
      </c>
      <c r="AJ57">
        <v>105</v>
      </c>
      <c r="AK57">
        <v>165</v>
      </c>
      <c r="AL57">
        <v>165</v>
      </c>
      <c r="AM57">
        <v>1</v>
      </c>
      <c r="AN57">
        <v>0</v>
      </c>
      <c r="AO57">
        <v>0</v>
      </c>
      <c r="AP57">
        <v>0</v>
      </c>
      <c r="AQ57">
        <v>0</v>
      </c>
      <c r="AR57">
        <v>0</v>
      </c>
      <c r="AS57">
        <v>0</v>
      </c>
      <c r="AT57">
        <v>95</v>
      </c>
      <c r="AU57">
        <v>72</v>
      </c>
      <c r="AV57">
        <v>0</v>
      </c>
      <c r="AW57">
        <v>23</v>
      </c>
      <c r="AX57">
        <v>16.75</v>
      </c>
      <c r="AY57">
        <v>16.5</v>
      </c>
      <c r="AZ57">
        <v>0</v>
      </c>
      <c r="BA57">
        <v>0.25</v>
      </c>
      <c r="BB57">
        <v>16.5</v>
      </c>
      <c r="BC57">
        <v>0</v>
      </c>
      <c r="BD57">
        <v>0</v>
      </c>
      <c r="BE57">
        <v>16.5</v>
      </c>
    </row>
    <row r="58" spans="1:57">
      <c r="A58" t="s">
        <v>16930</v>
      </c>
      <c r="B58" t="s">
        <v>16931</v>
      </c>
      <c r="C58">
        <v>0</v>
      </c>
      <c r="D58">
        <v>1</v>
      </c>
      <c r="E58">
        <v>1</v>
      </c>
      <c r="F58">
        <v>0</v>
      </c>
      <c r="G58">
        <v>0</v>
      </c>
      <c r="H58">
        <v>0</v>
      </c>
      <c r="I58">
        <v>0</v>
      </c>
      <c r="J58">
        <v>1</v>
      </c>
      <c r="K58">
        <v>42</v>
      </c>
      <c r="L58">
        <v>1</v>
      </c>
      <c r="M58">
        <v>0</v>
      </c>
      <c r="N58">
        <v>0</v>
      </c>
      <c r="O58">
        <v>0</v>
      </c>
      <c r="P58">
        <v>0</v>
      </c>
      <c r="Q58">
        <v>0</v>
      </c>
      <c r="R58">
        <v>0</v>
      </c>
      <c r="S58">
        <v>0.5</v>
      </c>
      <c r="T58">
        <v>0</v>
      </c>
      <c r="U58">
        <v>0</v>
      </c>
      <c r="V58">
        <v>0.5</v>
      </c>
      <c r="W58">
        <v>5</v>
      </c>
      <c r="X58">
        <v>0</v>
      </c>
      <c r="Y58">
        <v>1</v>
      </c>
      <c r="Z58">
        <v>0</v>
      </c>
      <c r="AA58">
        <v>0</v>
      </c>
      <c r="AB58">
        <v>0</v>
      </c>
      <c r="AC58">
        <v>0</v>
      </c>
      <c r="AD58">
        <v>0</v>
      </c>
      <c r="AE58">
        <v>0</v>
      </c>
      <c r="AF58">
        <v>0</v>
      </c>
      <c r="AG58">
        <v>5</v>
      </c>
      <c r="AH58">
        <v>5</v>
      </c>
      <c r="AI58">
        <v>0</v>
      </c>
      <c r="AJ58">
        <v>0</v>
      </c>
      <c r="AK58">
        <v>0</v>
      </c>
      <c r="AL58">
        <v>0</v>
      </c>
      <c r="AM58">
        <v>0</v>
      </c>
      <c r="AN58">
        <v>0</v>
      </c>
      <c r="AO58">
        <v>0</v>
      </c>
      <c r="AP58">
        <v>0</v>
      </c>
      <c r="AQ58">
        <v>0</v>
      </c>
      <c r="AR58">
        <v>0</v>
      </c>
      <c r="AS58">
        <v>0</v>
      </c>
      <c r="AT58">
        <v>42</v>
      </c>
      <c r="AU58">
        <v>0</v>
      </c>
      <c r="AV58">
        <v>42</v>
      </c>
      <c r="AW58">
        <v>0</v>
      </c>
      <c r="AX58">
        <v>0.5</v>
      </c>
      <c r="AY58">
        <v>0</v>
      </c>
      <c r="AZ58">
        <v>0.5</v>
      </c>
      <c r="BA58">
        <v>0</v>
      </c>
      <c r="BB58">
        <v>0</v>
      </c>
      <c r="BC58">
        <v>0</v>
      </c>
      <c r="BD58">
        <v>0</v>
      </c>
      <c r="BE58">
        <v>0</v>
      </c>
    </row>
    <row r="59" spans="1:57">
      <c r="A59" t="s">
        <v>17222</v>
      </c>
      <c r="B59" t="s">
        <v>17223</v>
      </c>
      <c r="C59">
        <v>0</v>
      </c>
      <c r="D59">
        <v>127</v>
      </c>
      <c r="E59">
        <v>0</v>
      </c>
      <c r="F59">
        <v>88</v>
      </c>
      <c r="G59">
        <v>0</v>
      </c>
      <c r="H59">
        <v>0</v>
      </c>
      <c r="I59">
        <v>0</v>
      </c>
      <c r="J59">
        <v>108</v>
      </c>
      <c r="K59">
        <v>1399</v>
      </c>
      <c r="L59">
        <v>53</v>
      </c>
      <c r="M59">
        <v>1</v>
      </c>
      <c r="N59">
        <v>29</v>
      </c>
      <c r="O59">
        <v>20</v>
      </c>
      <c r="P59">
        <v>5</v>
      </c>
      <c r="Q59">
        <v>1</v>
      </c>
      <c r="R59">
        <v>0</v>
      </c>
      <c r="S59">
        <v>38.65</v>
      </c>
      <c r="T59">
        <v>14.600000000000001</v>
      </c>
      <c r="U59">
        <v>0</v>
      </c>
      <c r="V59">
        <v>53.249999999999993</v>
      </c>
      <c r="W59">
        <v>678.5</v>
      </c>
      <c r="X59">
        <v>0</v>
      </c>
      <c r="Y59">
        <v>51</v>
      </c>
      <c r="Z59">
        <v>0</v>
      </c>
      <c r="AA59">
        <v>0</v>
      </c>
      <c r="AB59">
        <v>201.5</v>
      </c>
      <c r="AC59">
        <v>0</v>
      </c>
      <c r="AD59">
        <v>0</v>
      </c>
      <c r="AE59">
        <v>0</v>
      </c>
      <c r="AF59">
        <v>201.5</v>
      </c>
      <c r="AG59">
        <v>678.5</v>
      </c>
      <c r="AH59">
        <v>678.5</v>
      </c>
      <c r="AI59">
        <v>0</v>
      </c>
      <c r="AJ59">
        <v>0</v>
      </c>
      <c r="AK59">
        <v>0</v>
      </c>
      <c r="AL59">
        <v>0</v>
      </c>
      <c r="AM59">
        <v>0</v>
      </c>
      <c r="AN59">
        <v>0</v>
      </c>
      <c r="AO59">
        <v>0</v>
      </c>
      <c r="AP59">
        <v>0</v>
      </c>
      <c r="AQ59">
        <v>0</v>
      </c>
      <c r="AR59">
        <v>0</v>
      </c>
      <c r="AS59">
        <v>0</v>
      </c>
      <c r="AT59">
        <v>1399</v>
      </c>
      <c r="AU59">
        <v>0</v>
      </c>
      <c r="AV59">
        <v>1399</v>
      </c>
      <c r="AW59">
        <v>0</v>
      </c>
      <c r="AX59">
        <v>38.65</v>
      </c>
      <c r="AY59">
        <v>0</v>
      </c>
      <c r="AZ59">
        <v>38.65</v>
      </c>
      <c r="BA59">
        <v>0</v>
      </c>
      <c r="BB59">
        <v>14.600000000000001</v>
      </c>
      <c r="BC59">
        <v>0</v>
      </c>
      <c r="BD59">
        <v>14.600000000000001</v>
      </c>
      <c r="BE59">
        <v>0</v>
      </c>
    </row>
    <row r="60" spans="1:57">
      <c r="A60" t="s">
        <v>16943</v>
      </c>
      <c r="B60" t="s">
        <v>16944</v>
      </c>
      <c r="C60">
        <v>0</v>
      </c>
      <c r="D60">
        <v>2</v>
      </c>
      <c r="E60">
        <v>1</v>
      </c>
      <c r="F60">
        <v>1</v>
      </c>
      <c r="G60">
        <v>0</v>
      </c>
      <c r="H60">
        <v>0</v>
      </c>
      <c r="I60">
        <v>0</v>
      </c>
      <c r="J60">
        <v>1</v>
      </c>
      <c r="K60">
        <v>7</v>
      </c>
      <c r="L60">
        <v>0</v>
      </c>
      <c r="M60">
        <v>0</v>
      </c>
      <c r="N60">
        <v>0</v>
      </c>
      <c r="O60">
        <v>0</v>
      </c>
      <c r="P60">
        <v>0</v>
      </c>
      <c r="Q60">
        <v>0</v>
      </c>
      <c r="R60">
        <v>0</v>
      </c>
      <c r="S60">
        <v>2</v>
      </c>
      <c r="T60">
        <v>1</v>
      </c>
      <c r="U60">
        <v>0</v>
      </c>
      <c r="V60">
        <v>3</v>
      </c>
      <c r="W60">
        <v>40</v>
      </c>
      <c r="X60">
        <v>0</v>
      </c>
      <c r="Y60">
        <v>1</v>
      </c>
      <c r="Z60">
        <v>0</v>
      </c>
      <c r="AA60">
        <v>0</v>
      </c>
      <c r="AB60">
        <v>10</v>
      </c>
      <c r="AC60">
        <v>0</v>
      </c>
      <c r="AD60">
        <v>0</v>
      </c>
      <c r="AE60">
        <v>0</v>
      </c>
      <c r="AF60">
        <v>10</v>
      </c>
      <c r="AG60">
        <v>40</v>
      </c>
      <c r="AH60">
        <v>40</v>
      </c>
      <c r="AI60">
        <v>0</v>
      </c>
      <c r="AJ60">
        <v>0</v>
      </c>
      <c r="AK60">
        <v>0</v>
      </c>
      <c r="AL60">
        <v>0</v>
      </c>
      <c r="AM60">
        <v>0</v>
      </c>
      <c r="AN60">
        <v>0</v>
      </c>
      <c r="AO60">
        <v>0</v>
      </c>
      <c r="AP60">
        <v>0</v>
      </c>
      <c r="AQ60">
        <v>0</v>
      </c>
      <c r="AR60">
        <v>0</v>
      </c>
      <c r="AS60">
        <v>0</v>
      </c>
      <c r="AT60">
        <v>7</v>
      </c>
      <c r="AU60">
        <v>0</v>
      </c>
      <c r="AV60">
        <v>7</v>
      </c>
      <c r="AW60">
        <v>0</v>
      </c>
      <c r="AX60">
        <v>2</v>
      </c>
      <c r="AY60">
        <v>0</v>
      </c>
      <c r="AZ60">
        <v>2</v>
      </c>
      <c r="BA60">
        <v>0</v>
      </c>
      <c r="BB60">
        <v>1</v>
      </c>
      <c r="BC60">
        <v>0</v>
      </c>
      <c r="BD60">
        <v>1</v>
      </c>
      <c r="BE60">
        <v>0</v>
      </c>
    </row>
    <row r="61" spans="1:57">
      <c r="A61" t="s">
        <v>17224</v>
      </c>
      <c r="B61" t="s">
        <v>17225</v>
      </c>
      <c r="C61">
        <v>0</v>
      </c>
      <c r="D61">
        <v>1</v>
      </c>
      <c r="E61">
        <v>1</v>
      </c>
      <c r="F61">
        <v>1</v>
      </c>
      <c r="G61">
        <v>0</v>
      </c>
      <c r="H61">
        <v>0</v>
      </c>
      <c r="I61">
        <v>0</v>
      </c>
      <c r="J61">
        <v>1</v>
      </c>
      <c r="K61">
        <v>13</v>
      </c>
      <c r="L61">
        <v>1</v>
      </c>
      <c r="M61">
        <v>0</v>
      </c>
      <c r="N61">
        <v>0</v>
      </c>
      <c r="O61">
        <v>0</v>
      </c>
      <c r="P61">
        <v>0</v>
      </c>
      <c r="Q61">
        <v>0</v>
      </c>
      <c r="R61">
        <v>0</v>
      </c>
      <c r="S61">
        <v>0.25</v>
      </c>
      <c r="T61">
        <v>0</v>
      </c>
      <c r="U61">
        <v>0</v>
      </c>
      <c r="V61">
        <v>0.25</v>
      </c>
      <c r="W61">
        <v>2.5</v>
      </c>
      <c r="X61">
        <v>0</v>
      </c>
      <c r="Y61">
        <v>1</v>
      </c>
      <c r="Z61">
        <v>0</v>
      </c>
      <c r="AA61">
        <v>0</v>
      </c>
      <c r="AB61">
        <v>0</v>
      </c>
      <c r="AC61">
        <v>0</v>
      </c>
      <c r="AD61">
        <v>0</v>
      </c>
      <c r="AE61">
        <v>0</v>
      </c>
      <c r="AF61">
        <v>0</v>
      </c>
      <c r="AG61">
        <v>2.5</v>
      </c>
      <c r="AH61">
        <v>2.5</v>
      </c>
      <c r="AI61">
        <v>0</v>
      </c>
      <c r="AJ61">
        <v>0</v>
      </c>
      <c r="AK61">
        <v>0</v>
      </c>
      <c r="AL61">
        <v>0</v>
      </c>
      <c r="AM61">
        <v>0</v>
      </c>
      <c r="AN61">
        <v>0</v>
      </c>
      <c r="AO61">
        <v>0</v>
      </c>
      <c r="AP61">
        <v>0</v>
      </c>
      <c r="AQ61">
        <v>0</v>
      </c>
      <c r="AR61">
        <v>0</v>
      </c>
      <c r="AS61">
        <v>0</v>
      </c>
      <c r="AT61">
        <v>13</v>
      </c>
      <c r="AU61">
        <v>0</v>
      </c>
      <c r="AV61">
        <v>13</v>
      </c>
      <c r="AW61">
        <v>0</v>
      </c>
      <c r="AX61">
        <v>0.25</v>
      </c>
      <c r="AY61">
        <v>0</v>
      </c>
      <c r="AZ61">
        <v>0.25</v>
      </c>
      <c r="BA61">
        <v>0</v>
      </c>
      <c r="BB61">
        <v>0</v>
      </c>
      <c r="BC61">
        <v>0</v>
      </c>
      <c r="BD61">
        <v>0</v>
      </c>
      <c r="BE61">
        <v>0</v>
      </c>
    </row>
    <row r="62" spans="1:57">
      <c r="A62" t="s">
        <v>16945</v>
      </c>
      <c r="B62" t="s">
        <v>16946</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row>
    <row r="63" spans="1:57">
      <c r="A63" t="s">
        <v>16949</v>
      </c>
      <c r="B63" t="s">
        <v>16950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row>
    <row r="64" spans="1:57">
      <c r="A64" t="s">
        <v>16951</v>
      </c>
      <c r="B64" t="s">
        <v>17398</v>
      </c>
      <c r="C64">
        <v>0</v>
      </c>
      <c r="D64">
        <v>2</v>
      </c>
      <c r="E64">
        <v>0</v>
      </c>
      <c r="F64">
        <v>2</v>
      </c>
      <c r="G64">
        <v>0</v>
      </c>
      <c r="H64">
        <v>0</v>
      </c>
      <c r="I64">
        <v>0</v>
      </c>
      <c r="J64">
        <v>2</v>
      </c>
      <c r="K64">
        <v>14</v>
      </c>
      <c r="L64">
        <v>1</v>
      </c>
      <c r="M64">
        <v>0</v>
      </c>
      <c r="N64">
        <v>0</v>
      </c>
      <c r="O64">
        <v>1</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14</v>
      </c>
      <c r="AU64">
        <v>0</v>
      </c>
      <c r="AV64">
        <v>14</v>
      </c>
      <c r="AW64">
        <v>0</v>
      </c>
      <c r="AX64">
        <v>0</v>
      </c>
      <c r="AY64">
        <v>0</v>
      </c>
      <c r="AZ64">
        <v>0</v>
      </c>
      <c r="BA64">
        <v>0</v>
      </c>
      <c r="BB64">
        <v>0</v>
      </c>
      <c r="BC64">
        <v>0</v>
      </c>
      <c r="BD64">
        <v>0</v>
      </c>
      <c r="BE64">
        <v>0</v>
      </c>
    </row>
    <row r="65" spans="1:57">
      <c r="A65" t="s">
        <v>16954</v>
      </c>
      <c r="B65" t="s">
        <v>16955</v>
      </c>
      <c r="C65">
        <v>0</v>
      </c>
      <c r="D65">
        <v>29</v>
      </c>
      <c r="E65">
        <v>29</v>
      </c>
      <c r="F65">
        <v>26</v>
      </c>
      <c r="G65">
        <v>1</v>
      </c>
      <c r="H65">
        <v>0</v>
      </c>
      <c r="I65">
        <v>0</v>
      </c>
      <c r="J65">
        <v>29</v>
      </c>
      <c r="K65">
        <v>225</v>
      </c>
      <c r="L65">
        <v>9</v>
      </c>
      <c r="M65">
        <v>2</v>
      </c>
      <c r="N65">
        <v>1</v>
      </c>
      <c r="O65">
        <v>12</v>
      </c>
      <c r="P65">
        <v>0</v>
      </c>
      <c r="Q65">
        <v>5</v>
      </c>
      <c r="R65">
        <v>0</v>
      </c>
      <c r="S65">
        <v>17.5</v>
      </c>
      <c r="T65">
        <v>18</v>
      </c>
      <c r="U65">
        <v>8</v>
      </c>
      <c r="V65">
        <v>43.5</v>
      </c>
      <c r="W65">
        <v>535</v>
      </c>
      <c r="X65">
        <v>0</v>
      </c>
      <c r="Y65">
        <v>8</v>
      </c>
      <c r="Z65">
        <v>0</v>
      </c>
      <c r="AA65">
        <v>0</v>
      </c>
      <c r="AB65">
        <v>325</v>
      </c>
      <c r="AC65">
        <v>20.7</v>
      </c>
      <c r="AD65">
        <v>20.7</v>
      </c>
      <c r="AE65">
        <v>0</v>
      </c>
      <c r="AF65">
        <v>345.7</v>
      </c>
      <c r="AG65">
        <v>715.7</v>
      </c>
      <c r="AH65">
        <v>715.7</v>
      </c>
      <c r="AI65">
        <v>0</v>
      </c>
      <c r="AJ65">
        <v>0</v>
      </c>
      <c r="AK65">
        <v>0</v>
      </c>
      <c r="AL65">
        <v>0</v>
      </c>
      <c r="AM65">
        <v>0</v>
      </c>
      <c r="AN65">
        <v>0</v>
      </c>
      <c r="AO65">
        <v>0</v>
      </c>
      <c r="AP65">
        <v>0</v>
      </c>
      <c r="AQ65">
        <v>0</v>
      </c>
      <c r="AR65">
        <v>0</v>
      </c>
      <c r="AS65">
        <v>0</v>
      </c>
      <c r="AT65">
        <v>225</v>
      </c>
      <c r="AU65">
        <v>0</v>
      </c>
      <c r="AV65">
        <v>225</v>
      </c>
      <c r="AW65">
        <v>0</v>
      </c>
      <c r="AX65">
        <v>17.5</v>
      </c>
      <c r="AY65">
        <v>0</v>
      </c>
      <c r="AZ65">
        <v>17.5</v>
      </c>
      <c r="BA65">
        <v>0</v>
      </c>
      <c r="BB65">
        <v>18</v>
      </c>
      <c r="BC65">
        <v>0</v>
      </c>
      <c r="BD65">
        <v>18</v>
      </c>
      <c r="BE65">
        <v>0</v>
      </c>
    </row>
    <row r="66" spans="1:57">
      <c r="A66" t="s">
        <v>16956</v>
      </c>
      <c r="B66" t="s">
        <v>16957</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row>
    <row r="67" spans="1:57">
      <c r="A67" t="s">
        <v>16958</v>
      </c>
      <c r="B67" t="s">
        <v>16959</v>
      </c>
      <c r="C67">
        <v>0</v>
      </c>
      <c r="D67">
        <v>5</v>
      </c>
      <c r="E67">
        <v>5</v>
      </c>
      <c r="F67">
        <v>5</v>
      </c>
      <c r="G67">
        <v>5</v>
      </c>
      <c r="H67">
        <v>5</v>
      </c>
      <c r="I67">
        <v>0</v>
      </c>
      <c r="J67">
        <v>5</v>
      </c>
      <c r="K67">
        <v>18</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18</v>
      </c>
      <c r="AU67">
        <v>18</v>
      </c>
      <c r="AV67">
        <v>0</v>
      </c>
      <c r="AW67">
        <v>0</v>
      </c>
      <c r="AX67">
        <v>0</v>
      </c>
      <c r="AY67">
        <v>0</v>
      </c>
      <c r="AZ67">
        <v>0</v>
      </c>
      <c r="BA67">
        <v>0</v>
      </c>
      <c r="BB67">
        <v>0</v>
      </c>
      <c r="BC67">
        <v>0</v>
      </c>
      <c r="BD67">
        <v>0</v>
      </c>
      <c r="BE67">
        <v>0</v>
      </c>
    </row>
    <row r="68" spans="1:57">
      <c r="A68" t="s">
        <v>16958</v>
      </c>
      <c r="B68" t="s">
        <v>16959</v>
      </c>
      <c r="C68">
        <v>5</v>
      </c>
      <c r="D68">
        <v>23</v>
      </c>
      <c r="E68">
        <v>23</v>
      </c>
      <c r="F68">
        <v>23</v>
      </c>
      <c r="G68">
        <v>23</v>
      </c>
      <c r="H68">
        <v>23</v>
      </c>
      <c r="I68">
        <v>23</v>
      </c>
      <c r="J68">
        <v>23</v>
      </c>
      <c r="K68">
        <v>97</v>
      </c>
      <c r="L68">
        <v>23</v>
      </c>
      <c r="M68">
        <v>0</v>
      </c>
      <c r="N68">
        <v>0</v>
      </c>
      <c r="O68">
        <v>0</v>
      </c>
      <c r="P68">
        <v>0</v>
      </c>
      <c r="Q68">
        <v>0</v>
      </c>
      <c r="R68">
        <v>0</v>
      </c>
      <c r="S68">
        <v>30</v>
      </c>
      <c r="T68">
        <v>14.5</v>
      </c>
      <c r="U68">
        <v>0</v>
      </c>
      <c r="V68">
        <v>44.5</v>
      </c>
      <c r="W68">
        <v>380</v>
      </c>
      <c r="X68">
        <v>0</v>
      </c>
      <c r="Y68">
        <v>18</v>
      </c>
      <c r="Z68">
        <v>0</v>
      </c>
      <c r="AA68">
        <v>-210</v>
      </c>
      <c r="AB68">
        <v>147.5</v>
      </c>
      <c r="AC68">
        <v>0</v>
      </c>
      <c r="AD68">
        <v>0</v>
      </c>
      <c r="AE68">
        <v>0</v>
      </c>
      <c r="AF68">
        <v>147.5</v>
      </c>
      <c r="AG68">
        <v>380</v>
      </c>
      <c r="AH68">
        <v>380</v>
      </c>
      <c r="AI68">
        <v>0</v>
      </c>
      <c r="AJ68">
        <v>147.5</v>
      </c>
      <c r="AK68">
        <v>380</v>
      </c>
      <c r="AL68">
        <v>380</v>
      </c>
      <c r="AM68">
        <v>0</v>
      </c>
      <c r="AN68">
        <v>0</v>
      </c>
      <c r="AO68">
        <v>0</v>
      </c>
      <c r="AP68">
        <v>0</v>
      </c>
      <c r="AQ68">
        <v>0</v>
      </c>
      <c r="AR68">
        <v>0</v>
      </c>
      <c r="AS68">
        <v>0</v>
      </c>
      <c r="AT68">
        <v>97</v>
      </c>
      <c r="AU68">
        <v>97</v>
      </c>
      <c r="AV68">
        <v>0</v>
      </c>
      <c r="AW68">
        <v>31</v>
      </c>
      <c r="AX68">
        <v>30</v>
      </c>
      <c r="AY68">
        <v>30</v>
      </c>
      <c r="AZ68">
        <v>0</v>
      </c>
      <c r="BA68">
        <v>16.5</v>
      </c>
      <c r="BB68">
        <v>14.5</v>
      </c>
      <c r="BC68">
        <v>14.5</v>
      </c>
      <c r="BD68">
        <v>0</v>
      </c>
      <c r="BE68">
        <v>2.25</v>
      </c>
    </row>
    <row r="69" spans="1:57">
      <c r="A69" t="s">
        <v>16960</v>
      </c>
      <c r="B69" t="s">
        <v>18795</v>
      </c>
      <c r="C69">
        <v>8</v>
      </c>
      <c r="D69">
        <v>64</v>
      </c>
      <c r="E69">
        <v>0</v>
      </c>
      <c r="F69">
        <v>60</v>
      </c>
      <c r="G69">
        <v>12</v>
      </c>
      <c r="H69">
        <v>6</v>
      </c>
      <c r="I69">
        <v>11</v>
      </c>
      <c r="J69">
        <v>64</v>
      </c>
      <c r="K69">
        <v>349</v>
      </c>
      <c r="L69">
        <v>53</v>
      </c>
      <c r="M69">
        <v>0</v>
      </c>
      <c r="N69">
        <v>3</v>
      </c>
      <c r="O69">
        <v>8</v>
      </c>
      <c r="P69">
        <v>0</v>
      </c>
      <c r="Q69">
        <v>0</v>
      </c>
      <c r="R69">
        <v>0</v>
      </c>
      <c r="S69">
        <v>33</v>
      </c>
      <c r="T69">
        <v>0</v>
      </c>
      <c r="U69">
        <v>0</v>
      </c>
      <c r="V69">
        <v>33</v>
      </c>
      <c r="W69">
        <v>260</v>
      </c>
      <c r="X69">
        <v>0</v>
      </c>
      <c r="Y69">
        <v>56</v>
      </c>
      <c r="Z69">
        <v>0</v>
      </c>
      <c r="AA69">
        <v>-70</v>
      </c>
      <c r="AB69">
        <v>10</v>
      </c>
      <c r="AC69">
        <v>15</v>
      </c>
      <c r="AD69">
        <v>15</v>
      </c>
      <c r="AE69">
        <v>15</v>
      </c>
      <c r="AF69">
        <v>25</v>
      </c>
      <c r="AG69">
        <v>275</v>
      </c>
      <c r="AH69">
        <v>260</v>
      </c>
      <c r="AI69">
        <v>0</v>
      </c>
      <c r="AJ69">
        <v>10</v>
      </c>
      <c r="AK69">
        <v>62.5</v>
      </c>
      <c r="AL69">
        <v>62.5</v>
      </c>
      <c r="AM69">
        <v>0</v>
      </c>
      <c r="AN69">
        <v>3</v>
      </c>
      <c r="AO69">
        <v>0</v>
      </c>
      <c r="AP69">
        <v>0</v>
      </c>
      <c r="AQ69">
        <v>0</v>
      </c>
      <c r="AR69">
        <v>0</v>
      </c>
      <c r="AS69">
        <v>0</v>
      </c>
      <c r="AT69">
        <v>349</v>
      </c>
      <c r="AU69">
        <v>76</v>
      </c>
      <c r="AV69">
        <v>232</v>
      </c>
      <c r="AW69">
        <v>58</v>
      </c>
      <c r="AX69">
        <v>33</v>
      </c>
      <c r="AY69">
        <v>8.75</v>
      </c>
      <c r="AZ69">
        <v>19.75</v>
      </c>
      <c r="BA69">
        <v>7</v>
      </c>
      <c r="BB69">
        <v>0</v>
      </c>
      <c r="BC69">
        <v>0</v>
      </c>
      <c r="BD69">
        <v>0</v>
      </c>
      <c r="BE69">
        <v>0</v>
      </c>
    </row>
    <row r="70" spans="1:57">
      <c r="A70" t="s">
        <v>16961</v>
      </c>
      <c r="B70" t="s">
        <v>16962</v>
      </c>
      <c r="C70">
        <v>1</v>
      </c>
      <c r="D70">
        <v>2</v>
      </c>
      <c r="E70">
        <v>2</v>
      </c>
      <c r="F70">
        <v>2</v>
      </c>
      <c r="G70">
        <v>0</v>
      </c>
      <c r="H70">
        <v>1</v>
      </c>
      <c r="I70">
        <v>0</v>
      </c>
      <c r="J70">
        <v>2</v>
      </c>
      <c r="K70">
        <v>25</v>
      </c>
      <c r="L70">
        <v>2</v>
      </c>
      <c r="M70">
        <v>0</v>
      </c>
      <c r="N70">
        <v>0</v>
      </c>
      <c r="O70">
        <v>0</v>
      </c>
      <c r="P70">
        <v>0</v>
      </c>
      <c r="Q70">
        <v>0</v>
      </c>
      <c r="R70">
        <v>0</v>
      </c>
      <c r="S70">
        <v>3</v>
      </c>
      <c r="T70">
        <v>1</v>
      </c>
      <c r="U70">
        <v>0</v>
      </c>
      <c r="V70">
        <v>4</v>
      </c>
      <c r="W70">
        <v>0</v>
      </c>
      <c r="X70">
        <v>0</v>
      </c>
      <c r="Y70">
        <v>0</v>
      </c>
      <c r="Z70">
        <v>0</v>
      </c>
      <c r="AA70">
        <v>-50</v>
      </c>
      <c r="AB70">
        <v>0</v>
      </c>
      <c r="AC70">
        <v>0</v>
      </c>
      <c r="AD70">
        <v>0</v>
      </c>
      <c r="AE70">
        <v>50</v>
      </c>
      <c r="AF70">
        <v>0</v>
      </c>
      <c r="AG70">
        <v>0</v>
      </c>
      <c r="AH70">
        <v>0</v>
      </c>
      <c r="AI70">
        <v>50</v>
      </c>
      <c r="AJ70">
        <v>0</v>
      </c>
      <c r="AK70">
        <v>0</v>
      </c>
      <c r="AL70">
        <v>0</v>
      </c>
      <c r="AM70">
        <v>0</v>
      </c>
      <c r="AN70">
        <v>0</v>
      </c>
      <c r="AO70">
        <v>1</v>
      </c>
      <c r="AP70">
        <v>0</v>
      </c>
      <c r="AQ70">
        <v>0</v>
      </c>
      <c r="AR70">
        <v>0</v>
      </c>
      <c r="AS70">
        <v>0</v>
      </c>
      <c r="AT70">
        <v>25</v>
      </c>
      <c r="AU70">
        <v>22</v>
      </c>
      <c r="AV70">
        <v>3</v>
      </c>
      <c r="AW70">
        <v>22</v>
      </c>
      <c r="AX70">
        <v>3</v>
      </c>
      <c r="AY70">
        <v>3</v>
      </c>
      <c r="AZ70">
        <v>0</v>
      </c>
      <c r="BA70">
        <v>3</v>
      </c>
      <c r="BB70">
        <v>1</v>
      </c>
      <c r="BC70">
        <v>1</v>
      </c>
      <c r="BD70">
        <v>0</v>
      </c>
      <c r="BE70">
        <v>1</v>
      </c>
    </row>
    <row r="71" spans="1:57">
      <c r="A71" t="s">
        <v>17395</v>
      </c>
      <c r="B71" t="s">
        <v>17396</v>
      </c>
      <c r="C71">
        <v>0</v>
      </c>
      <c r="D71">
        <v>9</v>
      </c>
      <c r="E71">
        <v>9</v>
      </c>
      <c r="F71">
        <v>9</v>
      </c>
      <c r="G71">
        <v>0</v>
      </c>
      <c r="H71">
        <v>0</v>
      </c>
      <c r="I71">
        <v>0</v>
      </c>
      <c r="J71">
        <v>9</v>
      </c>
      <c r="K71">
        <v>21</v>
      </c>
      <c r="L71">
        <v>9</v>
      </c>
      <c r="M71">
        <v>0</v>
      </c>
      <c r="N71">
        <v>0</v>
      </c>
      <c r="O71">
        <v>0</v>
      </c>
      <c r="P71">
        <v>0</v>
      </c>
      <c r="Q71">
        <v>0</v>
      </c>
      <c r="R71">
        <v>0</v>
      </c>
      <c r="S71">
        <v>9</v>
      </c>
      <c r="T71">
        <v>0</v>
      </c>
      <c r="U71">
        <v>0</v>
      </c>
      <c r="V71">
        <v>8</v>
      </c>
      <c r="W71">
        <v>90</v>
      </c>
      <c r="X71">
        <v>0</v>
      </c>
      <c r="Y71">
        <v>9</v>
      </c>
      <c r="Z71">
        <v>0</v>
      </c>
      <c r="AA71">
        <v>0</v>
      </c>
      <c r="AB71">
        <v>0</v>
      </c>
      <c r="AC71">
        <v>0</v>
      </c>
      <c r="AD71">
        <v>0</v>
      </c>
      <c r="AE71">
        <v>0</v>
      </c>
      <c r="AF71">
        <v>0</v>
      </c>
      <c r="AG71">
        <v>90</v>
      </c>
      <c r="AH71">
        <v>90</v>
      </c>
      <c r="AI71">
        <v>0</v>
      </c>
      <c r="AJ71">
        <v>0</v>
      </c>
      <c r="AK71">
        <v>0</v>
      </c>
      <c r="AL71">
        <v>0</v>
      </c>
      <c r="AM71">
        <v>0</v>
      </c>
      <c r="AN71">
        <v>0</v>
      </c>
      <c r="AO71">
        <v>0</v>
      </c>
      <c r="AP71">
        <v>0</v>
      </c>
      <c r="AQ71">
        <v>0</v>
      </c>
      <c r="AR71">
        <v>0</v>
      </c>
      <c r="AS71">
        <v>0</v>
      </c>
      <c r="AT71">
        <v>21</v>
      </c>
      <c r="AU71">
        <v>0</v>
      </c>
      <c r="AV71">
        <v>21</v>
      </c>
      <c r="AW71">
        <v>0</v>
      </c>
      <c r="AX71">
        <v>9</v>
      </c>
      <c r="AY71">
        <v>0</v>
      </c>
      <c r="AZ71">
        <v>9</v>
      </c>
      <c r="BA71">
        <v>0</v>
      </c>
      <c r="BB71">
        <v>0</v>
      </c>
      <c r="BC71">
        <v>0</v>
      </c>
      <c r="BD71">
        <v>0</v>
      </c>
      <c r="BE71">
        <v>0</v>
      </c>
    </row>
    <row r="72" spans="1:57">
      <c r="A72" t="s">
        <v>16963</v>
      </c>
      <c r="B72" t="s">
        <v>22083</v>
      </c>
      <c r="C72">
        <v>4</v>
      </c>
      <c r="D72">
        <v>14</v>
      </c>
      <c r="E72">
        <v>13</v>
      </c>
      <c r="F72">
        <v>14</v>
      </c>
      <c r="G72">
        <v>0</v>
      </c>
      <c r="H72">
        <v>2</v>
      </c>
      <c r="I72">
        <v>0</v>
      </c>
      <c r="J72">
        <v>13</v>
      </c>
      <c r="K72">
        <v>39</v>
      </c>
      <c r="L72">
        <v>8</v>
      </c>
      <c r="M72">
        <v>0</v>
      </c>
      <c r="N72">
        <v>4</v>
      </c>
      <c r="O72">
        <v>1</v>
      </c>
      <c r="P72">
        <v>0</v>
      </c>
      <c r="Q72">
        <v>0</v>
      </c>
      <c r="R72">
        <v>0</v>
      </c>
      <c r="S72">
        <v>7.5</v>
      </c>
      <c r="T72">
        <v>4</v>
      </c>
      <c r="U72">
        <v>0.25</v>
      </c>
      <c r="V72">
        <v>11.75</v>
      </c>
      <c r="W72">
        <v>62.5</v>
      </c>
      <c r="X72">
        <v>0</v>
      </c>
      <c r="Y72">
        <v>2</v>
      </c>
      <c r="Z72">
        <v>0</v>
      </c>
      <c r="AA72">
        <v>-92.5</v>
      </c>
      <c r="AB72">
        <v>10</v>
      </c>
      <c r="AC72">
        <v>0</v>
      </c>
      <c r="AD72">
        <v>0</v>
      </c>
      <c r="AE72">
        <v>0</v>
      </c>
      <c r="AF72">
        <v>10</v>
      </c>
      <c r="AG72">
        <v>67.5</v>
      </c>
      <c r="AH72">
        <v>67.5</v>
      </c>
      <c r="AI72">
        <v>0</v>
      </c>
      <c r="AJ72">
        <v>10</v>
      </c>
      <c r="AK72">
        <v>40</v>
      </c>
      <c r="AL72">
        <v>40</v>
      </c>
      <c r="AM72">
        <v>0</v>
      </c>
      <c r="AN72">
        <v>0</v>
      </c>
      <c r="AO72">
        <v>0</v>
      </c>
      <c r="AP72">
        <v>0</v>
      </c>
      <c r="AQ72">
        <v>0</v>
      </c>
      <c r="AR72">
        <v>0</v>
      </c>
      <c r="AS72">
        <v>0</v>
      </c>
      <c r="AT72">
        <v>39</v>
      </c>
      <c r="AU72">
        <v>5</v>
      </c>
      <c r="AV72">
        <v>26</v>
      </c>
      <c r="AW72">
        <v>8</v>
      </c>
      <c r="AX72">
        <v>7.5</v>
      </c>
      <c r="AY72">
        <v>4</v>
      </c>
      <c r="AZ72">
        <v>0.25</v>
      </c>
      <c r="BA72">
        <v>3.25</v>
      </c>
      <c r="BB72">
        <v>4</v>
      </c>
      <c r="BC72">
        <v>0</v>
      </c>
      <c r="BD72">
        <v>1</v>
      </c>
      <c r="BE72">
        <v>3</v>
      </c>
    </row>
    <row r="73" spans="1:57">
      <c r="A73" t="s">
        <v>16963</v>
      </c>
      <c r="B73" t="s">
        <v>16964</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row>
    <row r="74" spans="1:57">
      <c r="A74" t="s">
        <v>16965</v>
      </c>
      <c r="B74" t="s">
        <v>16966</v>
      </c>
      <c r="C74">
        <v>0</v>
      </c>
      <c r="D74">
        <v>3</v>
      </c>
      <c r="E74">
        <v>3</v>
      </c>
      <c r="F74">
        <v>3</v>
      </c>
      <c r="G74">
        <v>0</v>
      </c>
      <c r="H74">
        <v>0</v>
      </c>
      <c r="I74">
        <v>0</v>
      </c>
      <c r="J74">
        <v>3</v>
      </c>
      <c r="K74">
        <v>5</v>
      </c>
      <c r="L74">
        <v>3</v>
      </c>
      <c r="M74">
        <v>0</v>
      </c>
      <c r="N74">
        <v>0</v>
      </c>
      <c r="O74">
        <v>0</v>
      </c>
      <c r="P74">
        <v>0</v>
      </c>
      <c r="Q74">
        <v>0</v>
      </c>
      <c r="R74">
        <v>0</v>
      </c>
      <c r="S74">
        <v>2.5</v>
      </c>
      <c r="T74">
        <v>8.5</v>
      </c>
      <c r="U74">
        <v>0</v>
      </c>
      <c r="V74">
        <v>11</v>
      </c>
      <c r="W74">
        <v>195</v>
      </c>
      <c r="X74">
        <v>0</v>
      </c>
      <c r="Y74">
        <v>3</v>
      </c>
      <c r="Z74">
        <v>0</v>
      </c>
      <c r="AA74">
        <v>0</v>
      </c>
      <c r="AB74">
        <v>120</v>
      </c>
      <c r="AC74">
        <v>0</v>
      </c>
      <c r="AD74">
        <v>0</v>
      </c>
      <c r="AE74">
        <v>0</v>
      </c>
      <c r="AF74">
        <v>120</v>
      </c>
      <c r="AG74">
        <v>195</v>
      </c>
      <c r="AH74">
        <v>195</v>
      </c>
      <c r="AI74">
        <v>0</v>
      </c>
      <c r="AJ74">
        <v>0</v>
      </c>
      <c r="AK74">
        <v>0</v>
      </c>
      <c r="AL74">
        <v>0</v>
      </c>
      <c r="AM74">
        <v>0</v>
      </c>
      <c r="AN74">
        <v>0</v>
      </c>
      <c r="AO74">
        <v>0</v>
      </c>
      <c r="AP74">
        <v>0</v>
      </c>
      <c r="AQ74">
        <v>0</v>
      </c>
      <c r="AR74">
        <v>0</v>
      </c>
      <c r="AS74">
        <v>0</v>
      </c>
      <c r="AT74">
        <v>5</v>
      </c>
      <c r="AU74">
        <v>0</v>
      </c>
      <c r="AV74">
        <v>5</v>
      </c>
      <c r="AW74">
        <v>0</v>
      </c>
      <c r="AX74">
        <v>2.5</v>
      </c>
      <c r="AY74">
        <v>0</v>
      </c>
      <c r="AZ74">
        <v>2.5</v>
      </c>
      <c r="BA74">
        <v>0</v>
      </c>
      <c r="BB74">
        <v>8.5</v>
      </c>
      <c r="BC74">
        <v>0</v>
      </c>
      <c r="BD74">
        <v>8.5</v>
      </c>
      <c r="BE74">
        <v>0</v>
      </c>
    </row>
    <row r="75" spans="1:57">
      <c r="A75" t="s">
        <v>17226</v>
      </c>
      <c r="B75" t="s">
        <v>17227</v>
      </c>
      <c r="C75">
        <v>0</v>
      </c>
      <c r="D75">
        <v>5</v>
      </c>
      <c r="E75">
        <v>0</v>
      </c>
      <c r="F75">
        <v>1</v>
      </c>
      <c r="G75">
        <v>0</v>
      </c>
      <c r="H75">
        <v>4</v>
      </c>
      <c r="I75">
        <v>0</v>
      </c>
      <c r="J75">
        <v>5</v>
      </c>
      <c r="K75">
        <v>59</v>
      </c>
      <c r="L75">
        <v>4</v>
      </c>
      <c r="M75">
        <v>0</v>
      </c>
      <c r="N75">
        <v>1</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59</v>
      </c>
      <c r="AU75">
        <v>57</v>
      </c>
      <c r="AV75">
        <v>2</v>
      </c>
      <c r="AW75">
        <v>0</v>
      </c>
      <c r="AX75">
        <v>0</v>
      </c>
      <c r="AY75">
        <v>0</v>
      </c>
      <c r="AZ75">
        <v>0</v>
      </c>
      <c r="BA75">
        <v>0</v>
      </c>
      <c r="BB75">
        <v>0</v>
      </c>
      <c r="BC75">
        <v>0</v>
      </c>
      <c r="BD75">
        <v>0</v>
      </c>
      <c r="BE75">
        <v>0</v>
      </c>
    </row>
    <row r="76" spans="1:57">
      <c r="A76" t="s">
        <v>17373</v>
      </c>
      <c r="B76" t="s">
        <v>17374</v>
      </c>
      <c r="C76">
        <v>0</v>
      </c>
      <c r="D76">
        <v>3</v>
      </c>
      <c r="E76">
        <v>3</v>
      </c>
      <c r="F76">
        <v>2</v>
      </c>
      <c r="G76">
        <v>1</v>
      </c>
      <c r="H76">
        <v>3</v>
      </c>
      <c r="I76">
        <v>2</v>
      </c>
      <c r="J76">
        <v>3</v>
      </c>
      <c r="K76">
        <v>152</v>
      </c>
      <c r="L76">
        <v>0</v>
      </c>
      <c r="M76">
        <v>0</v>
      </c>
      <c r="N76">
        <v>3</v>
      </c>
      <c r="O76">
        <v>0</v>
      </c>
      <c r="P76">
        <v>0</v>
      </c>
      <c r="Q76">
        <v>0</v>
      </c>
      <c r="R76">
        <v>0</v>
      </c>
      <c r="S76">
        <v>2.25</v>
      </c>
      <c r="T76">
        <v>3.25</v>
      </c>
      <c r="U76">
        <v>0</v>
      </c>
      <c r="V76">
        <v>5.5</v>
      </c>
      <c r="W76">
        <v>87.5</v>
      </c>
      <c r="X76">
        <v>0</v>
      </c>
      <c r="Y76">
        <v>3</v>
      </c>
      <c r="Z76">
        <v>0</v>
      </c>
      <c r="AA76">
        <v>0</v>
      </c>
      <c r="AB76">
        <v>20</v>
      </c>
      <c r="AC76">
        <v>516.5</v>
      </c>
      <c r="AD76">
        <v>429</v>
      </c>
      <c r="AE76">
        <v>449</v>
      </c>
      <c r="AF76">
        <v>449</v>
      </c>
      <c r="AG76">
        <v>604</v>
      </c>
      <c r="AH76">
        <v>155</v>
      </c>
      <c r="AI76">
        <v>449</v>
      </c>
      <c r="AJ76">
        <v>449</v>
      </c>
      <c r="AK76">
        <v>604</v>
      </c>
      <c r="AL76">
        <v>155</v>
      </c>
      <c r="AM76">
        <v>0</v>
      </c>
      <c r="AN76">
        <v>2</v>
      </c>
      <c r="AO76">
        <v>0</v>
      </c>
      <c r="AP76">
        <v>1</v>
      </c>
      <c r="AQ76">
        <v>0</v>
      </c>
      <c r="AR76">
        <v>0</v>
      </c>
      <c r="AS76">
        <v>0</v>
      </c>
      <c r="AT76">
        <v>152</v>
      </c>
      <c r="AU76">
        <v>152</v>
      </c>
      <c r="AV76">
        <v>0</v>
      </c>
      <c r="AW76">
        <v>0</v>
      </c>
      <c r="AX76">
        <v>2.25</v>
      </c>
      <c r="AY76">
        <v>2.25</v>
      </c>
      <c r="AZ76">
        <v>0</v>
      </c>
      <c r="BA76">
        <v>0</v>
      </c>
      <c r="BB76">
        <v>3.25</v>
      </c>
      <c r="BC76">
        <v>3.25</v>
      </c>
      <c r="BD76">
        <v>0</v>
      </c>
      <c r="BE76">
        <v>0</v>
      </c>
    </row>
    <row r="77" spans="1:57">
      <c r="A77" t="s">
        <v>17373</v>
      </c>
      <c r="B77" t="s">
        <v>17374</v>
      </c>
      <c r="C77">
        <v>0</v>
      </c>
      <c r="D77">
        <v>2</v>
      </c>
      <c r="E77">
        <v>0</v>
      </c>
      <c r="F77">
        <v>1</v>
      </c>
      <c r="G77">
        <v>2</v>
      </c>
      <c r="H77">
        <v>0</v>
      </c>
      <c r="I77">
        <v>0</v>
      </c>
      <c r="J77">
        <v>2</v>
      </c>
      <c r="K77">
        <v>24</v>
      </c>
      <c r="L77">
        <v>0</v>
      </c>
      <c r="M77">
        <v>0</v>
      </c>
      <c r="N77">
        <v>2</v>
      </c>
      <c r="O77">
        <v>0</v>
      </c>
      <c r="P77">
        <v>0</v>
      </c>
      <c r="Q77">
        <v>0</v>
      </c>
      <c r="R77">
        <v>0</v>
      </c>
      <c r="S77">
        <v>1.25</v>
      </c>
      <c r="T77">
        <v>7</v>
      </c>
      <c r="U77">
        <v>0</v>
      </c>
      <c r="V77">
        <v>8.25</v>
      </c>
      <c r="W77">
        <v>152.5</v>
      </c>
      <c r="X77">
        <v>0</v>
      </c>
      <c r="Y77">
        <v>2</v>
      </c>
      <c r="Z77">
        <v>0</v>
      </c>
      <c r="AA77">
        <v>0</v>
      </c>
      <c r="AB77">
        <v>92.5</v>
      </c>
      <c r="AC77">
        <v>315.10000000000002</v>
      </c>
      <c r="AD77">
        <v>162.6</v>
      </c>
      <c r="AE77">
        <v>255.10000000000002</v>
      </c>
      <c r="AF77">
        <v>255.10000000000002</v>
      </c>
      <c r="AG77">
        <v>467.6</v>
      </c>
      <c r="AH77">
        <v>212.5</v>
      </c>
      <c r="AI77">
        <v>0</v>
      </c>
      <c r="AJ77">
        <v>0</v>
      </c>
      <c r="AK77">
        <v>0</v>
      </c>
      <c r="AL77">
        <v>0</v>
      </c>
      <c r="AM77">
        <v>0</v>
      </c>
      <c r="AN77">
        <v>0</v>
      </c>
      <c r="AO77">
        <v>0</v>
      </c>
      <c r="AP77">
        <v>2</v>
      </c>
      <c r="AQ77">
        <v>0</v>
      </c>
      <c r="AR77">
        <v>0</v>
      </c>
      <c r="AS77">
        <v>0</v>
      </c>
      <c r="AT77">
        <v>24</v>
      </c>
      <c r="AU77">
        <v>0</v>
      </c>
      <c r="AV77">
        <v>24</v>
      </c>
      <c r="AW77">
        <v>0</v>
      </c>
      <c r="AX77">
        <v>1.25</v>
      </c>
      <c r="AY77">
        <v>0</v>
      </c>
      <c r="AZ77">
        <v>1.25</v>
      </c>
      <c r="BA77">
        <v>0</v>
      </c>
      <c r="BB77">
        <v>7</v>
      </c>
      <c r="BC77">
        <v>0</v>
      </c>
      <c r="BD77">
        <v>7</v>
      </c>
      <c r="BE77">
        <v>0</v>
      </c>
    </row>
    <row r="78" spans="1:57">
      <c r="A78" t="s">
        <v>17376</v>
      </c>
      <c r="B78" t="s">
        <v>17377</v>
      </c>
      <c r="C78">
        <v>9</v>
      </c>
      <c r="D78">
        <v>27</v>
      </c>
      <c r="E78">
        <v>26</v>
      </c>
      <c r="F78">
        <v>25</v>
      </c>
      <c r="G78">
        <v>0</v>
      </c>
      <c r="H78">
        <v>4</v>
      </c>
      <c r="I78">
        <v>0</v>
      </c>
      <c r="J78">
        <v>27</v>
      </c>
      <c r="K78">
        <v>273</v>
      </c>
      <c r="L78">
        <v>24</v>
      </c>
      <c r="M78">
        <v>0</v>
      </c>
      <c r="N78">
        <v>0</v>
      </c>
      <c r="O78">
        <v>2</v>
      </c>
      <c r="P78">
        <v>0</v>
      </c>
      <c r="Q78">
        <v>2</v>
      </c>
      <c r="R78">
        <v>0</v>
      </c>
      <c r="S78">
        <v>13.75</v>
      </c>
      <c r="T78">
        <v>86</v>
      </c>
      <c r="U78">
        <v>0</v>
      </c>
      <c r="V78">
        <v>99.75</v>
      </c>
      <c r="W78">
        <v>1615</v>
      </c>
      <c r="X78">
        <v>0</v>
      </c>
      <c r="Y78">
        <v>5</v>
      </c>
      <c r="Z78">
        <v>9</v>
      </c>
      <c r="AA78">
        <v>-200</v>
      </c>
      <c r="AB78">
        <v>992.5</v>
      </c>
      <c r="AC78">
        <v>0</v>
      </c>
      <c r="AD78">
        <v>1924.75</v>
      </c>
      <c r="AE78">
        <v>1914.75</v>
      </c>
      <c r="AF78">
        <v>2747.5</v>
      </c>
      <c r="AG78">
        <v>1527.5</v>
      </c>
      <c r="AH78">
        <v>308.5</v>
      </c>
      <c r="AI78">
        <v>876.5</v>
      </c>
      <c r="AJ78">
        <v>1349</v>
      </c>
      <c r="AK78">
        <v>642.5</v>
      </c>
      <c r="AL78">
        <v>93.5</v>
      </c>
      <c r="AM78">
        <v>2</v>
      </c>
      <c r="AN78">
        <v>5</v>
      </c>
      <c r="AO78">
        <v>4</v>
      </c>
      <c r="AP78">
        <v>3</v>
      </c>
      <c r="AQ78">
        <v>1</v>
      </c>
      <c r="AR78">
        <v>0</v>
      </c>
      <c r="AS78">
        <v>0</v>
      </c>
      <c r="AT78">
        <v>273</v>
      </c>
      <c r="AU78">
        <v>105</v>
      </c>
      <c r="AV78">
        <v>107</v>
      </c>
      <c r="AW78">
        <v>54</v>
      </c>
      <c r="AX78">
        <v>9.75</v>
      </c>
      <c r="AY78">
        <v>2.25</v>
      </c>
      <c r="AZ78">
        <v>6</v>
      </c>
      <c r="BA78">
        <v>1.5</v>
      </c>
      <c r="BB78">
        <v>81</v>
      </c>
      <c r="BC78">
        <v>31</v>
      </c>
      <c r="BD78">
        <v>37.75</v>
      </c>
      <c r="BE78">
        <v>10.25</v>
      </c>
    </row>
    <row r="79" spans="1:57">
      <c r="A79" t="s">
        <v>16967</v>
      </c>
      <c r="B79" t="s">
        <v>16968</v>
      </c>
      <c r="C79">
        <v>0</v>
      </c>
      <c r="D79">
        <v>1</v>
      </c>
      <c r="E79">
        <v>1</v>
      </c>
      <c r="F79">
        <v>1</v>
      </c>
      <c r="G79">
        <v>1</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row>
    <row r="80" spans="1:57">
      <c r="A80" t="s">
        <v>16971</v>
      </c>
      <c r="B80" t="s">
        <v>17397</v>
      </c>
      <c r="C80">
        <v>44</v>
      </c>
      <c r="D80">
        <v>67</v>
      </c>
      <c r="E80">
        <v>19</v>
      </c>
      <c r="F80">
        <v>58</v>
      </c>
      <c r="G80">
        <v>2</v>
      </c>
      <c r="H80">
        <v>5</v>
      </c>
      <c r="I80">
        <v>2</v>
      </c>
      <c r="J80">
        <v>64</v>
      </c>
      <c r="K80">
        <v>332</v>
      </c>
      <c r="L80">
        <v>53</v>
      </c>
      <c r="M80">
        <v>9</v>
      </c>
      <c r="N80">
        <v>1</v>
      </c>
      <c r="O80">
        <v>0</v>
      </c>
      <c r="P80">
        <v>0</v>
      </c>
      <c r="Q80">
        <v>1</v>
      </c>
      <c r="R80">
        <v>0</v>
      </c>
      <c r="S80">
        <v>34.35</v>
      </c>
      <c r="T80">
        <v>1.75</v>
      </c>
      <c r="U80">
        <v>0</v>
      </c>
      <c r="V80">
        <v>28.6</v>
      </c>
      <c r="W80">
        <v>193.5</v>
      </c>
      <c r="X80">
        <v>0</v>
      </c>
      <c r="Y80">
        <v>20</v>
      </c>
      <c r="Z80">
        <v>0</v>
      </c>
      <c r="AA80">
        <v>-107.5</v>
      </c>
      <c r="AB80">
        <v>0</v>
      </c>
      <c r="AC80">
        <v>0</v>
      </c>
      <c r="AD80">
        <v>0</v>
      </c>
      <c r="AE80">
        <v>0</v>
      </c>
      <c r="AF80">
        <v>150</v>
      </c>
      <c r="AG80">
        <v>193.5</v>
      </c>
      <c r="AH80">
        <v>193.5</v>
      </c>
      <c r="AI80">
        <v>0</v>
      </c>
      <c r="AJ80">
        <v>0</v>
      </c>
      <c r="AK80">
        <v>82.5</v>
      </c>
      <c r="AL80">
        <v>82.5</v>
      </c>
      <c r="AM80">
        <v>0</v>
      </c>
      <c r="AN80">
        <v>0</v>
      </c>
      <c r="AO80">
        <v>0</v>
      </c>
      <c r="AP80">
        <v>0</v>
      </c>
      <c r="AQ80">
        <v>0</v>
      </c>
      <c r="AR80">
        <v>0</v>
      </c>
      <c r="AS80">
        <v>0</v>
      </c>
      <c r="AT80">
        <v>332</v>
      </c>
      <c r="AU80">
        <v>38</v>
      </c>
      <c r="AV80">
        <v>99</v>
      </c>
      <c r="AW80">
        <v>195</v>
      </c>
      <c r="AX80">
        <v>34.35</v>
      </c>
      <c r="AY80">
        <v>6.75</v>
      </c>
      <c r="AZ80">
        <v>9.35</v>
      </c>
      <c r="BA80">
        <v>18.25</v>
      </c>
      <c r="BB80">
        <v>1.75</v>
      </c>
      <c r="BC80">
        <v>0.75</v>
      </c>
      <c r="BD80">
        <v>1</v>
      </c>
      <c r="BE80">
        <v>0</v>
      </c>
    </row>
    <row r="81" spans="1:57">
      <c r="A81" t="s">
        <v>16972</v>
      </c>
      <c r="B81" t="s">
        <v>16973</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row>
    <row r="82" spans="1:57">
      <c r="A82" t="s">
        <v>16976</v>
      </c>
      <c r="B82" t="s">
        <v>19335</v>
      </c>
      <c r="C82">
        <v>6</v>
      </c>
      <c r="D82">
        <v>19</v>
      </c>
      <c r="E82">
        <v>4</v>
      </c>
      <c r="F82">
        <v>12</v>
      </c>
      <c r="G82">
        <v>7</v>
      </c>
      <c r="H82">
        <v>6</v>
      </c>
      <c r="I82">
        <v>0</v>
      </c>
      <c r="J82">
        <v>15</v>
      </c>
      <c r="K82">
        <v>188</v>
      </c>
      <c r="L82">
        <v>10</v>
      </c>
      <c r="M82">
        <v>0</v>
      </c>
      <c r="N82">
        <v>1</v>
      </c>
      <c r="O82">
        <v>3</v>
      </c>
      <c r="P82">
        <v>0</v>
      </c>
      <c r="Q82">
        <v>2</v>
      </c>
      <c r="R82">
        <v>0</v>
      </c>
      <c r="S82">
        <v>34</v>
      </c>
      <c r="T82">
        <v>30</v>
      </c>
      <c r="U82">
        <v>0</v>
      </c>
      <c r="V82">
        <v>64</v>
      </c>
      <c r="W82">
        <v>515</v>
      </c>
      <c r="X82">
        <v>0</v>
      </c>
      <c r="Y82">
        <v>5</v>
      </c>
      <c r="Z82">
        <v>4</v>
      </c>
      <c r="AA82">
        <v>-425</v>
      </c>
      <c r="AB82">
        <v>180</v>
      </c>
      <c r="AC82">
        <v>0</v>
      </c>
      <c r="AD82">
        <v>0</v>
      </c>
      <c r="AE82">
        <v>30</v>
      </c>
      <c r="AF82">
        <v>180</v>
      </c>
      <c r="AG82">
        <v>515</v>
      </c>
      <c r="AH82">
        <v>485</v>
      </c>
      <c r="AI82">
        <v>0</v>
      </c>
      <c r="AJ82">
        <v>120</v>
      </c>
      <c r="AK82">
        <v>180</v>
      </c>
      <c r="AL82">
        <v>180</v>
      </c>
      <c r="AM82">
        <v>0</v>
      </c>
      <c r="AN82">
        <v>1</v>
      </c>
      <c r="AO82">
        <v>0</v>
      </c>
      <c r="AP82">
        <v>0</v>
      </c>
      <c r="AQ82">
        <v>0</v>
      </c>
      <c r="AR82">
        <v>0</v>
      </c>
      <c r="AS82">
        <v>0</v>
      </c>
      <c r="AT82">
        <v>188</v>
      </c>
      <c r="AU82">
        <v>53</v>
      </c>
      <c r="AV82">
        <v>108</v>
      </c>
      <c r="AW82">
        <v>52</v>
      </c>
      <c r="AX82">
        <v>34</v>
      </c>
      <c r="AY82">
        <v>15.5</v>
      </c>
      <c r="AZ82">
        <v>13.5</v>
      </c>
      <c r="BA82">
        <v>14.5</v>
      </c>
      <c r="BB82">
        <v>30</v>
      </c>
      <c r="BC82">
        <v>15.5</v>
      </c>
      <c r="BD82">
        <v>10</v>
      </c>
      <c r="BE82">
        <v>14</v>
      </c>
    </row>
    <row r="83" spans="1:57">
      <c r="A83" t="s">
        <v>18802</v>
      </c>
      <c r="B83" t="s">
        <v>18802</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row>
    <row r="84" spans="1:57">
      <c r="A84" t="s">
        <v>16935</v>
      </c>
      <c r="B84" t="s">
        <v>17389</v>
      </c>
      <c r="C84">
        <v>0</v>
      </c>
      <c r="D84">
        <v>12</v>
      </c>
      <c r="E84">
        <v>12</v>
      </c>
      <c r="F84">
        <v>9</v>
      </c>
      <c r="G84">
        <v>0</v>
      </c>
      <c r="H84">
        <v>0</v>
      </c>
      <c r="I84">
        <v>0</v>
      </c>
      <c r="J84">
        <v>12</v>
      </c>
      <c r="K84">
        <v>120</v>
      </c>
      <c r="L84">
        <v>9</v>
      </c>
      <c r="M84">
        <v>0</v>
      </c>
      <c r="N84">
        <v>1</v>
      </c>
      <c r="O84">
        <v>2</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120</v>
      </c>
      <c r="AU84">
        <v>0</v>
      </c>
      <c r="AV84">
        <v>120</v>
      </c>
      <c r="AW84">
        <v>0</v>
      </c>
      <c r="AX84">
        <v>0</v>
      </c>
      <c r="AY84">
        <v>0</v>
      </c>
      <c r="AZ84">
        <v>0</v>
      </c>
      <c r="BA84">
        <v>0</v>
      </c>
      <c r="BB84">
        <v>0</v>
      </c>
      <c r="BC84">
        <v>0</v>
      </c>
      <c r="BD84">
        <v>0</v>
      </c>
      <c r="BE84">
        <v>0</v>
      </c>
    </row>
    <row r="85" spans="1:57">
      <c r="A85" t="s">
        <v>17390</v>
      </c>
      <c r="B85" t="s">
        <v>17391</v>
      </c>
      <c r="C85">
        <v>0</v>
      </c>
      <c r="D85">
        <v>35</v>
      </c>
      <c r="E85">
        <v>35</v>
      </c>
      <c r="F85">
        <v>32</v>
      </c>
      <c r="G85">
        <v>0</v>
      </c>
      <c r="H85">
        <v>0</v>
      </c>
      <c r="I85">
        <v>0</v>
      </c>
      <c r="J85">
        <v>35</v>
      </c>
      <c r="K85">
        <v>173</v>
      </c>
      <c r="L85">
        <v>35</v>
      </c>
      <c r="M85">
        <v>0</v>
      </c>
      <c r="N85">
        <v>0</v>
      </c>
      <c r="O85">
        <v>0</v>
      </c>
      <c r="P85">
        <v>0</v>
      </c>
      <c r="Q85">
        <v>0</v>
      </c>
      <c r="R85">
        <v>0</v>
      </c>
      <c r="S85">
        <v>35</v>
      </c>
      <c r="T85">
        <v>0</v>
      </c>
      <c r="U85">
        <v>0</v>
      </c>
      <c r="V85">
        <v>35</v>
      </c>
      <c r="W85">
        <v>350</v>
      </c>
      <c r="X85">
        <v>0</v>
      </c>
      <c r="Y85">
        <v>35</v>
      </c>
      <c r="Z85">
        <v>0</v>
      </c>
      <c r="AA85">
        <v>0</v>
      </c>
      <c r="AB85">
        <v>0</v>
      </c>
      <c r="AC85">
        <v>3257.2999999999988</v>
      </c>
      <c r="AD85">
        <v>3257.2999999999988</v>
      </c>
      <c r="AE85">
        <v>3257.2999999999988</v>
      </c>
      <c r="AF85">
        <v>3257.2999999999988</v>
      </c>
      <c r="AG85">
        <v>3607.2999999999988</v>
      </c>
      <c r="AH85">
        <v>350</v>
      </c>
      <c r="AI85">
        <v>0</v>
      </c>
      <c r="AJ85">
        <v>0</v>
      </c>
      <c r="AK85">
        <v>0</v>
      </c>
      <c r="AL85">
        <v>0</v>
      </c>
      <c r="AM85">
        <v>0</v>
      </c>
      <c r="AN85">
        <v>0</v>
      </c>
      <c r="AO85">
        <v>0</v>
      </c>
      <c r="AP85">
        <v>31</v>
      </c>
      <c r="AQ85">
        <v>0</v>
      </c>
      <c r="AR85">
        <v>0</v>
      </c>
      <c r="AS85">
        <v>0</v>
      </c>
      <c r="AT85">
        <v>173</v>
      </c>
      <c r="AU85">
        <v>0</v>
      </c>
      <c r="AV85">
        <v>173</v>
      </c>
      <c r="AW85">
        <v>0</v>
      </c>
      <c r="AX85">
        <v>35</v>
      </c>
      <c r="AY85">
        <v>0</v>
      </c>
      <c r="AZ85">
        <v>35</v>
      </c>
      <c r="BA85">
        <v>0</v>
      </c>
      <c r="BB85">
        <v>0</v>
      </c>
      <c r="BC85">
        <v>0</v>
      </c>
      <c r="BD85">
        <v>0</v>
      </c>
      <c r="BE85">
        <v>0</v>
      </c>
    </row>
    <row r="86" spans="1:57">
      <c r="A86" t="s">
        <v>16936</v>
      </c>
      <c r="B86" t="s">
        <v>16937</v>
      </c>
      <c r="C86">
        <v>0</v>
      </c>
      <c r="D86">
        <v>51</v>
      </c>
      <c r="E86">
        <v>0</v>
      </c>
      <c r="F86">
        <v>51</v>
      </c>
      <c r="G86">
        <v>0</v>
      </c>
      <c r="H86">
        <v>19</v>
      </c>
      <c r="I86">
        <v>3</v>
      </c>
      <c r="J86">
        <v>51</v>
      </c>
      <c r="K86">
        <v>448</v>
      </c>
      <c r="L86">
        <v>29</v>
      </c>
      <c r="M86">
        <v>1</v>
      </c>
      <c r="N86">
        <v>1</v>
      </c>
      <c r="O86">
        <v>16</v>
      </c>
      <c r="P86">
        <v>0</v>
      </c>
      <c r="Q86">
        <v>3</v>
      </c>
      <c r="R86">
        <v>0</v>
      </c>
      <c r="S86">
        <v>116</v>
      </c>
      <c r="T86">
        <v>0</v>
      </c>
      <c r="U86">
        <v>0</v>
      </c>
      <c r="V86">
        <v>116</v>
      </c>
      <c r="W86">
        <v>1160</v>
      </c>
      <c r="X86">
        <v>0</v>
      </c>
      <c r="Y86">
        <v>50</v>
      </c>
      <c r="Z86">
        <v>0</v>
      </c>
      <c r="AA86">
        <v>0</v>
      </c>
      <c r="AB86">
        <v>250</v>
      </c>
      <c r="AC86">
        <v>0</v>
      </c>
      <c r="AD86">
        <v>0</v>
      </c>
      <c r="AE86">
        <v>0</v>
      </c>
      <c r="AF86">
        <v>250</v>
      </c>
      <c r="AG86">
        <v>1160</v>
      </c>
      <c r="AH86">
        <v>1160</v>
      </c>
      <c r="AI86">
        <v>0</v>
      </c>
      <c r="AJ86">
        <v>250</v>
      </c>
      <c r="AK86">
        <v>720</v>
      </c>
      <c r="AL86">
        <v>720</v>
      </c>
      <c r="AM86">
        <v>0</v>
      </c>
      <c r="AN86">
        <v>0</v>
      </c>
      <c r="AO86">
        <v>0</v>
      </c>
      <c r="AP86">
        <v>0</v>
      </c>
      <c r="AQ86">
        <v>0</v>
      </c>
      <c r="AR86">
        <v>0</v>
      </c>
      <c r="AS86">
        <v>0</v>
      </c>
      <c r="AT86">
        <v>448</v>
      </c>
      <c r="AU86">
        <v>305</v>
      </c>
      <c r="AV86">
        <v>143</v>
      </c>
      <c r="AW86">
        <v>0</v>
      </c>
      <c r="AX86">
        <v>116</v>
      </c>
      <c r="AY86">
        <v>72</v>
      </c>
      <c r="AZ86">
        <v>44</v>
      </c>
      <c r="BA86">
        <v>0</v>
      </c>
      <c r="BB86">
        <v>0</v>
      </c>
      <c r="BC86">
        <v>0</v>
      </c>
      <c r="BD86">
        <v>0</v>
      </c>
      <c r="BE86">
        <v>0</v>
      </c>
    </row>
    <row r="87" spans="1:57">
      <c r="A87" t="s">
        <v>22103</v>
      </c>
      <c r="B87" t="s">
        <v>22104</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row>
    <row r="88" spans="1:57">
      <c r="A88" t="s">
        <v>16938</v>
      </c>
      <c r="B88" t="s">
        <v>16939</v>
      </c>
      <c r="C88">
        <v>0</v>
      </c>
      <c r="D88">
        <v>15</v>
      </c>
      <c r="E88">
        <v>15</v>
      </c>
      <c r="F88">
        <v>15</v>
      </c>
      <c r="G88">
        <v>1</v>
      </c>
      <c r="H88">
        <v>0</v>
      </c>
      <c r="I88">
        <v>0</v>
      </c>
      <c r="J88">
        <v>15</v>
      </c>
      <c r="K88">
        <v>69</v>
      </c>
      <c r="L88">
        <v>11</v>
      </c>
      <c r="M88">
        <v>0</v>
      </c>
      <c r="N88">
        <v>0</v>
      </c>
      <c r="O88">
        <v>3</v>
      </c>
      <c r="P88">
        <v>0</v>
      </c>
      <c r="Q88">
        <v>0</v>
      </c>
      <c r="R88">
        <v>0</v>
      </c>
      <c r="S88">
        <v>11.25</v>
      </c>
      <c r="T88">
        <v>8.5</v>
      </c>
      <c r="U88">
        <v>0</v>
      </c>
      <c r="V88">
        <v>19.75</v>
      </c>
      <c r="W88">
        <v>282.5</v>
      </c>
      <c r="X88">
        <v>0</v>
      </c>
      <c r="Y88">
        <v>4</v>
      </c>
      <c r="Z88">
        <v>9</v>
      </c>
      <c r="AA88">
        <v>0</v>
      </c>
      <c r="AB88">
        <v>30</v>
      </c>
      <c r="AC88">
        <v>0</v>
      </c>
      <c r="AD88">
        <v>0</v>
      </c>
      <c r="AE88">
        <v>0</v>
      </c>
      <c r="AF88">
        <v>30</v>
      </c>
      <c r="AG88">
        <v>282.5</v>
      </c>
      <c r="AH88">
        <v>282.5</v>
      </c>
      <c r="AI88">
        <v>0</v>
      </c>
      <c r="AJ88">
        <v>0</v>
      </c>
      <c r="AK88">
        <v>0</v>
      </c>
      <c r="AL88">
        <v>0</v>
      </c>
      <c r="AM88">
        <v>0</v>
      </c>
      <c r="AN88">
        <v>0</v>
      </c>
      <c r="AO88">
        <v>0</v>
      </c>
      <c r="AP88">
        <v>0</v>
      </c>
      <c r="AQ88">
        <v>0</v>
      </c>
      <c r="AR88">
        <v>0</v>
      </c>
      <c r="AS88">
        <v>0</v>
      </c>
      <c r="AT88">
        <v>69</v>
      </c>
      <c r="AU88">
        <v>0</v>
      </c>
      <c r="AV88">
        <v>69</v>
      </c>
      <c r="AW88">
        <v>0</v>
      </c>
      <c r="AX88">
        <v>11.25</v>
      </c>
      <c r="AY88">
        <v>0</v>
      </c>
      <c r="AZ88">
        <v>11.25</v>
      </c>
      <c r="BA88">
        <v>0</v>
      </c>
      <c r="BB88">
        <v>8.5</v>
      </c>
      <c r="BC88">
        <v>0</v>
      </c>
      <c r="BD88">
        <v>8.5</v>
      </c>
      <c r="BE88">
        <v>0</v>
      </c>
    </row>
    <row r="89" spans="1:57">
      <c r="A89" t="s">
        <v>16977</v>
      </c>
      <c r="B89" t="s">
        <v>17380</v>
      </c>
      <c r="C89">
        <v>0</v>
      </c>
      <c r="D89">
        <v>10</v>
      </c>
      <c r="E89">
        <v>0</v>
      </c>
      <c r="F89">
        <v>0</v>
      </c>
      <c r="G89">
        <v>0</v>
      </c>
      <c r="H89">
        <v>0</v>
      </c>
      <c r="I89">
        <v>0</v>
      </c>
      <c r="J89">
        <v>10</v>
      </c>
      <c r="K89">
        <v>102</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102</v>
      </c>
      <c r="AU89">
        <v>0</v>
      </c>
      <c r="AV89">
        <v>102</v>
      </c>
      <c r="AW89">
        <v>0</v>
      </c>
      <c r="AX89">
        <v>0</v>
      </c>
      <c r="AY89">
        <v>0</v>
      </c>
      <c r="AZ89">
        <v>0</v>
      </c>
      <c r="BA89">
        <v>0</v>
      </c>
      <c r="BB89">
        <v>0</v>
      </c>
      <c r="BC89">
        <v>0</v>
      </c>
      <c r="BD89">
        <v>0</v>
      </c>
      <c r="BE89">
        <v>0</v>
      </c>
    </row>
    <row r="90" spans="1:57">
      <c r="A90" t="s">
        <v>16980</v>
      </c>
      <c r="B90" t="s">
        <v>16981</v>
      </c>
      <c r="C90">
        <v>0</v>
      </c>
      <c r="D90">
        <v>87</v>
      </c>
      <c r="E90">
        <v>0</v>
      </c>
      <c r="F90">
        <v>14</v>
      </c>
      <c r="G90">
        <v>0</v>
      </c>
      <c r="H90">
        <v>0</v>
      </c>
      <c r="I90">
        <v>0</v>
      </c>
      <c r="J90">
        <v>83</v>
      </c>
      <c r="K90">
        <v>402</v>
      </c>
      <c r="L90">
        <v>83</v>
      </c>
      <c r="M90">
        <v>0</v>
      </c>
      <c r="N90">
        <v>0</v>
      </c>
      <c r="O90">
        <v>0</v>
      </c>
      <c r="P90">
        <v>3</v>
      </c>
      <c r="Q90">
        <v>0</v>
      </c>
      <c r="R90">
        <v>0</v>
      </c>
      <c r="S90">
        <v>1.5</v>
      </c>
      <c r="T90">
        <v>0</v>
      </c>
      <c r="U90">
        <v>0</v>
      </c>
      <c r="V90">
        <v>1.5</v>
      </c>
      <c r="W90">
        <v>15</v>
      </c>
      <c r="X90">
        <v>0</v>
      </c>
      <c r="Y90">
        <v>4</v>
      </c>
      <c r="Z90">
        <v>0</v>
      </c>
      <c r="AA90">
        <v>0</v>
      </c>
      <c r="AB90">
        <v>0</v>
      </c>
      <c r="AC90">
        <v>0</v>
      </c>
      <c r="AD90">
        <v>0</v>
      </c>
      <c r="AE90">
        <v>0</v>
      </c>
      <c r="AF90">
        <v>0</v>
      </c>
      <c r="AG90">
        <v>15</v>
      </c>
      <c r="AH90">
        <v>15</v>
      </c>
      <c r="AI90">
        <v>0</v>
      </c>
      <c r="AJ90">
        <v>0</v>
      </c>
      <c r="AK90">
        <v>0</v>
      </c>
      <c r="AL90">
        <v>0</v>
      </c>
      <c r="AM90">
        <v>0</v>
      </c>
      <c r="AN90">
        <v>0</v>
      </c>
      <c r="AO90">
        <v>0</v>
      </c>
      <c r="AP90">
        <v>0</v>
      </c>
      <c r="AQ90">
        <v>0</v>
      </c>
      <c r="AR90">
        <v>0</v>
      </c>
      <c r="AS90">
        <v>0</v>
      </c>
      <c r="AT90">
        <v>402</v>
      </c>
      <c r="AU90">
        <v>0</v>
      </c>
      <c r="AV90">
        <v>402</v>
      </c>
      <c r="AW90">
        <v>0</v>
      </c>
      <c r="AX90">
        <v>1.5</v>
      </c>
      <c r="AY90">
        <v>0</v>
      </c>
      <c r="AZ90">
        <v>1.5</v>
      </c>
      <c r="BA90">
        <v>0</v>
      </c>
      <c r="BB90">
        <v>0</v>
      </c>
      <c r="BC90">
        <v>0</v>
      </c>
      <c r="BD90">
        <v>0</v>
      </c>
      <c r="BE90">
        <v>0</v>
      </c>
    </row>
    <row r="91" spans="1:57">
      <c r="A91" t="s">
        <v>16980</v>
      </c>
      <c r="B91" t="s">
        <v>16981</v>
      </c>
      <c r="C91">
        <v>0</v>
      </c>
      <c r="D91">
        <v>55</v>
      </c>
      <c r="E91">
        <v>0</v>
      </c>
      <c r="F91">
        <v>0</v>
      </c>
      <c r="G91">
        <v>0</v>
      </c>
      <c r="H91">
        <v>0</v>
      </c>
      <c r="I91">
        <v>0</v>
      </c>
      <c r="J91">
        <v>48</v>
      </c>
      <c r="K91">
        <v>37</v>
      </c>
      <c r="L91">
        <v>48</v>
      </c>
      <c r="M91">
        <v>0</v>
      </c>
      <c r="N91">
        <v>0</v>
      </c>
      <c r="O91">
        <v>0</v>
      </c>
      <c r="P91">
        <v>7</v>
      </c>
      <c r="Q91">
        <v>0</v>
      </c>
      <c r="R91">
        <v>0</v>
      </c>
      <c r="S91">
        <v>18.75</v>
      </c>
      <c r="T91">
        <v>0</v>
      </c>
      <c r="U91">
        <v>0</v>
      </c>
      <c r="V91">
        <v>20.5</v>
      </c>
      <c r="W91">
        <v>187.5</v>
      </c>
      <c r="X91">
        <v>0</v>
      </c>
      <c r="Y91">
        <v>64</v>
      </c>
      <c r="Z91">
        <v>0</v>
      </c>
      <c r="AA91">
        <v>0</v>
      </c>
      <c r="AB91">
        <v>0</v>
      </c>
      <c r="AC91">
        <v>0</v>
      </c>
      <c r="AD91">
        <v>0</v>
      </c>
      <c r="AE91">
        <v>0</v>
      </c>
      <c r="AF91">
        <v>0</v>
      </c>
      <c r="AG91">
        <v>187.5</v>
      </c>
      <c r="AH91">
        <v>187.5</v>
      </c>
      <c r="AI91">
        <v>0</v>
      </c>
      <c r="AJ91">
        <v>0</v>
      </c>
      <c r="AK91">
        <v>0</v>
      </c>
      <c r="AL91">
        <v>0</v>
      </c>
      <c r="AM91">
        <v>0</v>
      </c>
      <c r="AN91">
        <v>0</v>
      </c>
      <c r="AO91">
        <v>0</v>
      </c>
      <c r="AP91">
        <v>0</v>
      </c>
      <c r="AQ91">
        <v>0</v>
      </c>
      <c r="AR91">
        <v>0</v>
      </c>
      <c r="AS91">
        <v>0</v>
      </c>
      <c r="AT91">
        <v>37</v>
      </c>
      <c r="AU91">
        <v>0</v>
      </c>
      <c r="AV91">
        <v>37</v>
      </c>
      <c r="AW91">
        <v>0</v>
      </c>
      <c r="AX91">
        <v>18.75</v>
      </c>
      <c r="AY91">
        <v>0</v>
      </c>
      <c r="AZ91">
        <v>18.75</v>
      </c>
      <c r="BA91">
        <v>0</v>
      </c>
      <c r="BB91">
        <v>0</v>
      </c>
      <c r="BC91">
        <v>0</v>
      </c>
      <c r="BD91">
        <v>0</v>
      </c>
      <c r="BE91">
        <v>0</v>
      </c>
    </row>
    <row r="92" spans="1:57">
      <c r="A92" t="s">
        <v>16982</v>
      </c>
      <c r="B92" t="s">
        <v>17343</v>
      </c>
      <c r="C92">
        <v>0</v>
      </c>
      <c r="D92">
        <v>5</v>
      </c>
      <c r="E92">
        <v>5</v>
      </c>
      <c r="F92">
        <v>3</v>
      </c>
      <c r="G92">
        <v>0</v>
      </c>
      <c r="H92">
        <v>1</v>
      </c>
      <c r="I92">
        <v>0</v>
      </c>
      <c r="J92">
        <v>5</v>
      </c>
      <c r="K92">
        <v>85</v>
      </c>
      <c r="L92">
        <v>3</v>
      </c>
      <c r="M92">
        <v>1</v>
      </c>
      <c r="N92">
        <v>1</v>
      </c>
      <c r="O92">
        <v>0</v>
      </c>
      <c r="P92">
        <v>0</v>
      </c>
      <c r="Q92">
        <v>0</v>
      </c>
      <c r="R92">
        <v>0</v>
      </c>
      <c r="S92">
        <v>5</v>
      </c>
      <c r="T92">
        <v>6</v>
      </c>
      <c r="U92">
        <v>0</v>
      </c>
      <c r="V92">
        <v>11</v>
      </c>
      <c r="W92">
        <v>170</v>
      </c>
      <c r="X92">
        <v>0</v>
      </c>
      <c r="Y92">
        <v>1</v>
      </c>
      <c r="Z92">
        <v>2</v>
      </c>
      <c r="AA92">
        <v>0</v>
      </c>
      <c r="AB92">
        <v>30</v>
      </c>
      <c r="AC92">
        <v>0</v>
      </c>
      <c r="AD92">
        <v>0</v>
      </c>
      <c r="AE92">
        <v>30</v>
      </c>
      <c r="AF92">
        <v>30</v>
      </c>
      <c r="AG92">
        <v>170</v>
      </c>
      <c r="AH92">
        <v>140</v>
      </c>
      <c r="AI92">
        <v>0</v>
      </c>
      <c r="AJ92">
        <v>0</v>
      </c>
      <c r="AK92">
        <v>0</v>
      </c>
      <c r="AL92">
        <v>0</v>
      </c>
      <c r="AM92">
        <v>0</v>
      </c>
      <c r="AN92">
        <v>1</v>
      </c>
      <c r="AO92">
        <v>0</v>
      </c>
      <c r="AP92">
        <v>0</v>
      </c>
      <c r="AQ92">
        <v>0</v>
      </c>
      <c r="AR92">
        <v>0</v>
      </c>
      <c r="AS92">
        <v>0</v>
      </c>
      <c r="AT92">
        <v>85</v>
      </c>
      <c r="AU92">
        <v>16</v>
      </c>
      <c r="AV92">
        <v>69</v>
      </c>
      <c r="AW92">
        <v>0</v>
      </c>
      <c r="AX92">
        <v>5</v>
      </c>
      <c r="AY92">
        <v>0</v>
      </c>
      <c r="AZ92">
        <v>5</v>
      </c>
      <c r="BA92">
        <v>0</v>
      </c>
      <c r="BB92">
        <v>6</v>
      </c>
      <c r="BC92">
        <v>0</v>
      </c>
      <c r="BD92">
        <v>6</v>
      </c>
      <c r="BE92">
        <v>0</v>
      </c>
    </row>
    <row r="93" spans="1:57">
      <c r="A93" t="s">
        <v>16983</v>
      </c>
      <c r="B93" t="s">
        <v>16984</v>
      </c>
      <c r="C93">
        <v>0</v>
      </c>
      <c r="D93">
        <v>11</v>
      </c>
      <c r="E93">
        <v>11</v>
      </c>
      <c r="F93">
        <v>11</v>
      </c>
      <c r="G93">
        <v>0</v>
      </c>
      <c r="H93">
        <v>0</v>
      </c>
      <c r="I93">
        <v>0</v>
      </c>
      <c r="J93">
        <v>11</v>
      </c>
      <c r="K93">
        <v>18</v>
      </c>
      <c r="L93">
        <v>11</v>
      </c>
      <c r="M93">
        <v>0</v>
      </c>
      <c r="N93">
        <v>0</v>
      </c>
      <c r="O93">
        <v>0</v>
      </c>
      <c r="P93">
        <v>0</v>
      </c>
      <c r="Q93">
        <v>0</v>
      </c>
      <c r="R93">
        <v>0</v>
      </c>
      <c r="S93">
        <v>2.5</v>
      </c>
      <c r="T93">
        <v>5</v>
      </c>
      <c r="U93">
        <v>0</v>
      </c>
      <c r="V93">
        <v>7.5</v>
      </c>
      <c r="W93" s="4">
        <v>125</v>
      </c>
      <c r="X93" s="4">
        <v>0</v>
      </c>
      <c r="Y93">
        <v>10</v>
      </c>
      <c r="Z93">
        <v>0</v>
      </c>
      <c r="AA93" s="4">
        <v>0</v>
      </c>
      <c r="AB93" s="4">
        <v>0</v>
      </c>
      <c r="AC93" s="4">
        <v>0</v>
      </c>
      <c r="AD93" s="4">
        <v>0</v>
      </c>
      <c r="AE93" s="4">
        <v>20.75</v>
      </c>
      <c r="AF93" s="4">
        <v>0</v>
      </c>
      <c r="AG93" s="4">
        <v>125</v>
      </c>
      <c r="AH93" s="4">
        <v>104.25</v>
      </c>
      <c r="AI93" s="4">
        <v>5</v>
      </c>
      <c r="AJ93" s="4">
        <v>0</v>
      </c>
      <c r="AK93" s="4">
        <v>0</v>
      </c>
      <c r="AL93" s="4">
        <v>0</v>
      </c>
      <c r="AM93">
        <v>8</v>
      </c>
      <c r="AN93">
        <v>1</v>
      </c>
      <c r="AO93">
        <v>0</v>
      </c>
      <c r="AP93">
        <v>0</v>
      </c>
      <c r="AQ93">
        <v>0</v>
      </c>
      <c r="AR93">
        <v>0</v>
      </c>
      <c r="AS93">
        <v>0</v>
      </c>
      <c r="AT93">
        <v>18</v>
      </c>
      <c r="AU93">
        <v>0</v>
      </c>
      <c r="AV93">
        <v>18</v>
      </c>
      <c r="AW93">
        <v>0</v>
      </c>
      <c r="AX93">
        <v>2.5</v>
      </c>
      <c r="AY93">
        <v>0</v>
      </c>
      <c r="AZ93">
        <v>2.5</v>
      </c>
      <c r="BA93">
        <v>0</v>
      </c>
      <c r="BB93">
        <v>5</v>
      </c>
      <c r="BC93">
        <v>0</v>
      </c>
      <c r="BD93">
        <v>5</v>
      </c>
      <c r="BE93">
        <v>0</v>
      </c>
    </row>
    <row r="94" spans="1:57">
      <c r="A94" t="s">
        <v>17393</v>
      </c>
      <c r="B94" t="s">
        <v>17394</v>
      </c>
      <c r="C94">
        <v>0</v>
      </c>
      <c r="D94">
        <v>1</v>
      </c>
      <c r="E94">
        <v>1</v>
      </c>
      <c r="F94">
        <v>1</v>
      </c>
      <c r="G94">
        <v>0</v>
      </c>
      <c r="H94">
        <v>0</v>
      </c>
      <c r="I94">
        <v>0</v>
      </c>
      <c r="J94">
        <v>1</v>
      </c>
      <c r="K94">
        <v>22</v>
      </c>
      <c r="L94">
        <v>1</v>
      </c>
      <c r="M94">
        <v>0</v>
      </c>
      <c r="N94">
        <v>0</v>
      </c>
      <c r="O94">
        <v>0</v>
      </c>
      <c r="P94">
        <v>0</v>
      </c>
      <c r="Q94">
        <v>0</v>
      </c>
      <c r="R94">
        <v>0</v>
      </c>
      <c r="S94">
        <v>2</v>
      </c>
      <c r="T94">
        <v>0</v>
      </c>
      <c r="U94">
        <v>0</v>
      </c>
      <c r="V94">
        <v>2</v>
      </c>
      <c r="W94" s="4">
        <v>20</v>
      </c>
      <c r="X94" s="4">
        <v>0</v>
      </c>
      <c r="Y94">
        <v>1</v>
      </c>
      <c r="Z94">
        <v>0</v>
      </c>
      <c r="AA94" s="4">
        <v>0</v>
      </c>
      <c r="AB94" s="4">
        <v>0</v>
      </c>
      <c r="AC94" s="4">
        <v>0</v>
      </c>
      <c r="AD94" s="4">
        <v>0</v>
      </c>
      <c r="AE94" s="4">
        <v>0</v>
      </c>
      <c r="AF94" s="4">
        <v>0</v>
      </c>
      <c r="AG94" s="4">
        <v>20</v>
      </c>
      <c r="AH94" s="4">
        <v>20</v>
      </c>
      <c r="AI94" s="4">
        <v>0</v>
      </c>
      <c r="AJ94" s="4">
        <v>0</v>
      </c>
      <c r="AK94" s="4">
        <v>0</v>
      </c>
      <c r="AL94" s="4">
        <v>0</v>
      </c>
      <c r="AM94">
        <v>0</v>
      </c>
      <c r="AN94">
        <v>0</v>
      </c>
      <c r="AO94">
        <v>0</v>
      </c>
      <c r="AP94">
        <v>0</v>
      </c>
      <c r="AQ94">
        <v>0</v>
      </c>
      <c r="AR94">
        <v>0</v>
      </c>
      <c r="AS94">
        <v>0</v>
      </c>
      <c r="AT94">
        <v>22</v>
      </c>
      <c r="AU94">
        <v>0</v>
      </c>
      <c r="AV94">
        <v>22</v>
      </c>
      <c r="AW94">
        <v>0</v>
      </c>
      <c r="AX94">
        <v>2</v>
      </c>
      <c r="AY94">
        <v>0</v>
      </c>
      <c r="AZ94">
        <v>2</v>
      </c>
      <c r="BA94">
        <v>0</v>
      </c>
      <c r="BB94">
        <v>0</v>
      </c>
      <c r="BC94">
        <v>0</v>
      </c>
      <c r="BD94">
        <v>0</v>
      </c>
      <c r="BE94">
        <v>0</v>
      </c>
    </row>
    <row r="95" spans="1:57">
      <c r="A95" t="s">
        <v>16985</v>
      </c>
      <c r="B95" t="s">
        <v>16986</v>
      </c>
      <c r="C95">
        <v>6</v>
      </c>
      <c r="D95">
        <v>13</v>
      </c>
      <c r="E95">
        <v>9</v>
      </c>
      <c r="F95">
        <v>10</v>
      </c>
      <c r="G95">
        <v>0</v>
      </c>
      <c r="H95">
        <v>0</v>
      </c>
      <c r="I95">
        <v>0</v>
      </c>
      <c r="J95">
        <v>11</v>
      </c>
      <c r="K95">
        <v>203</v>
      </c>
      <c r="L95">
        <v>6</v>
      </c>
      <c r="M95">
        <v>0</v>
      </c>
      <c r="N95">
        <v>0</v>
      </c>
      <c r="O95">
        <v>2</v>
      </c>
      <c r="P95">
        <v>0</v>
      </c>
      <c r="Q95">
        <v>3</v>
      </c>
      <c r="R95">
        <v>0</v>
      </c>
      <c r="S95">
        <v>5.2</v>
      </c>
      <c r="T95">
        <v>1</v>
      </c>
      <c r="U95">
        <v>0</v>
      </c>
      <c r="V95">
        <v>6.2</v>
      </c>
      <c r="W95">
        <v>30</v>
      </c>
      <c r="X95">
        <v>0</v>
      </c>
      <c r="Y95">
        <v>1</v>
      </c>
      <c r="Z95">
        <v>0</v>
      </c>
      <c r="AA95">
        <v>-42</v>
      </c>
      <c r="AB95">
        <v>0</v>
      </c>
      <c r="AC95">
        <v>0</v>
      </c>
      <c r="AD95">
        <v>0</v>
      </c>
      <c r="AE95">
        <v>0</v>
      </c>
      <c r="AF95">
        <v>0</v>
      </c>
      <c r="AG95">
        <v>30</v>
      </c>
      <c r="AH95">
        <v>30</v>
      </c>
      <c r="AI95">
        <v>0</v>
      </c>
      <c r="AJ95">
        <v>0</v>
      </c>
      <c r="AK95">
        <v>0</v>
      </c>
      <c r="AL95">
        <v>0</v>
      </c>
      <c r="AM95">
        <v>0</v>
      </c>
      <c r="AN95">
        <v>0</v>
      </c>
      <c r="AO95">
        <v>0</v>
      </c>
      <c r="AP95">
        <v>0</v>
      </c>
      <c r="AQ95">
        <v>0</v>
      </c>
      <c r="AR95">
        <v>0</v>
      </c>
      <c r="AS95">
        <v>0</v>
      </c>
      <c r="AT95">
        <v>203</v>
      </c>
      <c r="AU95">
        <v>0</v>
      </c>
      <c r="AV95">
        <v>96</v>
      </c>
      <c r="AW95">
        <v>107</v>
      </c>
      <c r="AX95">
        <v>5.2</v>
      </c>
      <c r="AY95">
        <v>0</v>
      </c>
      <c r="AZ95">
        <v>3</v>
      </c>
      <c r="BA95">
        <v>2.2000000000000002</v>
      </c>
      <c r="BB95">
        <v>1</v>
      </c>
      <c r="BC95">
        <v>0</v>
      </c>
      <c r="BD95">
        <v>0</v>
      </c>
      <c r="BE95">
        <v>1</v>
      </c>
    </row>
    <row r="96" spans="1:57">
      <c r="A96" t="s">
        <v>16987</v>
      </c>
      <c r="B96" t="s">
        <v>17382</v>
      </c>
      <c r="C96">
        <v>0</v>
      </c>
      <c r="D96">
        <v>3</v>
      </c>
      <c r="E96">
        <v>3</v>
      </c>
      <c r="F96">
        <v>3</v>
      </c>
      <c r="G96">
        <v>0</v>
      </c>
      <c r="H96">
        <v>0</v>
      </c>
      <c r="I96">
        <v>0</v>
      </c>
      <c r="J96">
        <v>3</v>
      </c>
      <c r="K96">
        <v>54</v>
      </c>
      <c r="L96">
        <v>3</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54</v>
      </c>
      <c r="AU96">
        <v>0</v>
      </c>
      <c r="AV96">
        <v>54</v>
      </c>
      <c r="AW96">
        <v>0</v>
      </c>
      <c r="AX96">
        <v>0</v>
      </c>
      <c r="AY96">
        <v>0</v>
      </c>
      <c r="AZ96">
        <v>0</v>
      </c>
      <c r="BA96">
        <v>0</v>
      </c>
      <c r="BB96">
        <v>0</v>
      </c>
      <c r="BC96">
        <v>0</v>
      </c>
      <c r="BD96">
        <v>0</v>
      </c>
      <c r="BE96">
        <v>0</v>
      </c>
    </row>
    <row r="97" spans="1:57">
      <c r="A97" t="s">
        <v>16988</v>
      </c>
      <c r="B97" t="s">
        <v>16988</v>
      </c>
      <c r="C97">
        <v>0</v>
      </c>
      <c r="D97">
        <v>1</v>
      </c>
      <c r="E97">
        <v>0</v>
      </c>
      <c r="F97">
        <v>0</v>
      </c>
      <c r="G97">
        <v>0</v>
      </c>
      <c r="H97">
        <v>0</v>
      </c>
      <c r="I97">
        <v>0</v>
      </c>
      <c r="J97">
        <v>1</v>
      </c>
      <c r="K97">
        <v>22</v>
      </c>
      <c r="L97">
        <v>1</v>
      </c>
      <c r="M97">
        <v>0</v>
      </c>
      <c r="N97">
        <v>0</v>
      </c>
      <c r="O97">
        <v>0</v>
      </c>
      <c r="P97">
        <v>0</v>
      </c>
      <c r="Q97">
        <v>0</v>
      </c>
      <c r="R97">
        <v>0</v>
      </c>
      <c r="S97">
        <v>2</v>
      </c>
      <c r="T97">
        <v>0</v>
      </c>
      <c r="U97">
        <v>0</v>
      </c>
      <c r="V97">
        <v>2</v>
      </c>
      <c r="W97">
        <v>20</v>
      </c>
      <c r="X97">
        <v>0</v>
      </c>
      <c r="Y97">
        <v>1</v>
      </c>
      <c r="Z97">
        <v>0</v>
      </c>
      <c r="AA97">
        <v>0</v>
      </c>
      <c r="AB97">
        <v>0</v>
      </c>
      <c r="AC97">
        <v>0</v>
      </c>
      <c r="AD97">
        <v>0</v>
      </c>
      <c r="AE97">
        <v>0</v>
      </c>
      <c r="AF97">
        <v>0</v>
      </c>
      <c r="AG97">
        <v>20</v>
      </c>
      <c r="AH97">
        <v>20</v>
      </c>
      <c r="AI97">
        <v>0</v>
      </c>
      <c r="AJ97">
        <v>0</v>
      </c>
      <c r="AK97">
        <v>0</v>
      </c>
      <c r="AL97">
        <v>0</v>
      </c>
      <c r="AM97">
        <v>0</v>
      </c>
      <c r="AN97">
        <v>0</v>
      </c>
      <c r="AO97">
        <v>0</v>
      </c>
      <c r="AP97">
        <v>0</v>
      </c>
      <c r="AQ97">
        <v>0</v>
      </c>
      <c r="AR97">
        <v>0</v>
      </c>
      <c r="AS97">
        <v>0</v>
      </c>
      <c r="AT97">
        <v>22</v>
      </c>
      <c r="AU97">
        <v>0</v>
      </c>
      <c r="AV97">
        <v>22</v>
      </c>
      <c r="AW97">
        <v>0</v>
      </c>
      <c r="AX97">
        <v>2</v>
      </c>
      <c r="AY97">
        <v>0</v>
      </c>
      <c r="AZ97">
        <v>2</v>
      </c>
      <c r="BA97">
        <v>0</v>
      </c>
      <c r="BB97">
        <v>0</v>
      </c>
      <c r="BC97">
        <v>0</v>
      </c>
      <c r="BD97">
        <v>0</v>
      </c>
      <c r="BE97">
        <v>0</v>
      </c>
    </row>
    <row r="98" spans="1:57">
      <c r="A98" t="s">
        <v>17344</v>
      </c>
      <c r="B98" t="s">
        <v>17345</v>
      </c>
      <c r="C98">
        <v>0</v>
      </c>
      <c r="D98">
        <v>70</v>
      </c>
      <c r="E98">
        <v>70</v>
      </c>
      <c r="F98">
        <v>66</v>
      </c>
      <c r="G98">
        <v>4</v>
      </c>
      <c r="H98">
        <v>6</v>
      </c>
      <c r="I98">
        <v>6</v>
      </c>
      <c r="J98">
        <v>70</v>
      </c>
      <c r="K98">
        <v>1039</v>
      </c>
      <c r="L98">
        <v>70</v>
      </c>
      <c r="M98">
        <v>0</v>
      </c>
      <c r="N98">
        <v>0</v>
      </c>
      <c r="O98">
        <v>0</v>
      </c>
      <c r="P98">
        <v>0</v>
      </c>
      <c r="Q98">
        <v>0</v>
      </c>
      <c r="R98">
        <v>0</v>
      </c>
      <c r="S98">
        <v>43.5</v>
      </c>
      <c r="T98">
        <v>19.5</v>
      </c>
      <c r="U98">
        <v>0</v>
      </c>
      <c r="V98">
        <v>63</v>
      </c>
      <c r="W98">
        <v>825</v>
      </c>
      <c r="X98">
        <v>0</v>
      </c>
      <c r="Y98">
        <v>7</v>
      </c>
      <c r="Z98">
        <v>0</v>
      </c>
      <c r="AA98">
        <v>0</v>
      </c>
      <c r="AB98">
        <v>615</v>
      </c>
      <c r="AC98">
        <v>87</v>
      </c>
      <c r="AD98">
        <v>87</v>
      </c>
      <c r="AE98">
        <v>534</v>
      </c>
      <c r="AF98">
        <v>702</v>
      </c>
      <c r="AG98">
        <v>912</v>
      </c>
      <c r="AH98">
        <v>378</v>
      </c>
      <c r="AI98">
        <v>394</v>
      </c>
      <c r="AJ98">
        <v>489</v>
      </c>
      <c r="AK98">
        <v>579</v>
      </c>
      <c r="AL98">
        <v>185</v>
      </c>
      <c r="AM98">
        <v>0</v>
      </c>
      <c r="AN98">
        <v>4</v>
      </c>
      <c r="AO98">
        <v>1</v>
      </c>
      <c r="AP98">
        <v>2</v>
      </c>
      <c r="AQ98">
        <v>0</v>
      </c>
      <c r="AR98">
        <v>0</v>
      </c>
      <c r="AS98">
        <v>0</v>
      </c>
      <c r="AT98">
        <v>1039</v>
      </c>
      <c r="AU98">
        <v>218</v>
      </c>
      <c r="AV98">
        <v>821</v>
      </c>
      <c r="AW98">
        <v>0</v>
      </c>
      <c r="AX98">
        <v>43.5</v>
      </c>
      <c r="AY98">
        <v>35.5</v>
      </c>
      <c r="AZ98">
        <v>8</v>
      </c>
      <c r="BA98">
        <v>0</v>
      </c>
      <c r="BB98">
        <v>19.5</v>
      </c>
      <c r="BC98">
        <v>10</v>
      </c>
      <c r="BD98">
        <v>9.5</v>
      </c>
      <c r="BE98">
        <v>0</v>
      </c>
    </row>
    <row r="99" spans="1:57">
      <c r="A99" t="s">
        <v>16990</v>
      </c>
      <c r="B99" t="s">
        <v>17359</v>
      </c>
      <c r="C99">
        <v>21</v>
      </c>
      <c r="D99">
        <v>58</v>
      </c>
      <c r="E99">
        <v>53</v>
      </c>
      <c r="F99">
        <v>50</v>
      </c>
      <c r="G99">
        <v>3</v>
      </c>
      <c r="H99">
        <v>16</v>
      </c>
      <c r="I99">
        <v>5</v>
      </c>
      <c r="J99">
        <v>51</v>
      </c>
      <c r="K99">
        <v>1737</v>
      </c>
      <c r="L99">
        <v>2</v>
      </c>
      <c r="M99">
        <v>6</v>
      </c>
      <c r="N99">
        <v>35</v>
      </c>
      <c r="O99">
        <v>4</v>
      </c>
      <c r="P99">
        <v>2</v>
      </c>
      <c r="Q99">
        <v>4</v>
      </c>
      <c r="R99">
        <v>0</v>
      </c>
      <c r="S99">
        <v>9.25</v>
      </c>
      <c r="T99">
        <v>271.02</v>
      </c>
      <c r="U99">
        <v>1.5</v>
      </c>
      <c r="V99">
        <v>281.77</v>
      </c>
      <c r="W99">
        <v>4593</v>
      </c>
      <c r="X99">
        <v>0</v>
      </c>
      <c r="Y99" t="e">
        <v>#VALUE!</v>
      </c>
      <c r="Z99" t="e">
        <v>#VALUE!</v>
      </c>
      <c r="AA99">
        <v>-935</v>
      </c>
      <c r="AB99" t="e">
        <v>#VALUE!</v>
      </c>
      <c r="AC99">
        <v>154.61999999999998</v>
      </c>
      <c r="AD99">
        <v>316.73</v>
      </c>
      <c r="AE99">
        <v>4212.1399999999994</v>
      </c>
      <c r="AF99">
        <v>1396.27</v>
      </c>
      <c r="AG99">
        <v>5086.5499999999993</v>
      </c>
      <c r="AH99">
        <v>962.57</v>
      </c>
      <c r="AI99">
        <v>2625.29</v>
      </c>
      <c r="AJ99">
        <v>564.33000000000015</v>
      </c>
      <c r="AK99">
        <v>2819.07</v>
      </c>
      <c r="AL99">
        <v>229.24</v>
      </c>
      <c r="AM99">
        <v>0</v>
      </c>
      <c r="AN99">
        <v>6</v>
      </c>
      <c r="AO99">
        <v>1</v>
      </c>
      <c r="AP99">
        <v>12</v>
      </c>
      <c r="AQ99">
        <v>0</v>
      </c>
      <c r="AR99">
        <v>0</v>
      </c>
      <c r="AS99">
        <v>0</v>
      </c>
      <c r="AT99">
        <v>1737</v>
      </c>
      <c r="AU99">
        <v>1009</v>
      </c>
      <c r="AV99">
        <v>402</v>
      </c>
      <c r="AW99">
        <v>420</v>
      </c>
      <c r="AX99">
        <v>27</v>
      </c>
      <c r="AY99">
        <v>3.25</v>
      </c>
      <c r="AZ99">
        <v>4.5</v>
      </c>
      <c r="BA99">
        <v>2.25</v>
      </c>
      <c r="BB99">
        <v>285.77</v>
      </c>
      <c r="BC99">
        <v>157.12</v>
      </c>
      <c r="BD99">
        <v>102.65</v>
      </c>
      <c r="BE99">
        <v>47.75</v>
      </c>
    </row>
    <row r="100" spans="1:57">
      <c r="A100" t="s">
        <v>16991</v>
      </c>
      <c r="B100" t="s">
        <v>16991</v>
      </c>
      <c r="C100">
        <v>0</v>
      </c>
      <c r="D100">
        <v>5</v>
      </c>
      <c r="E100">
        <v>5</v>
      </c>
      <c r="F100">
        <v>5</v>
      </c>
      <c r="G100">
        <v>0</v>
      </c>
      <c r="H100">
        <v>5</v>
      </c>
      <c r="I100">
        <v>0</v>
      </c>
      <c r="J100">
        <v>3</v>
      </c>
      <c r="K100">
        <v>45</v>
      </c>
      <c r="L100">
        <v>2</v>
      </c>
      <c r="M100">
        <v>0</v>
      </c>
      <c r="N100">
        <v>0</v>
      </c>
      <c r="O100">
        <v>1</v>
      </c>
      <c r="P100">
        <v>0</v>
      </c>
      <c r="Q100">
        <v>0</v>
      </c>
      <c r="R100">
        <v>0</v>
      </c>
      <c r="S100">
        <v>6</v>
      </c>
      <c r="T100">
        <v>0</v>
      </c>
      <c r="U100">
        <v>0</v>
      </c>
      <c r="V100">
        <v>6</v>
      </c>
      <c r="W100">
        <v>60</v>
      </c>
      <c r="X100">
        <v>0</v>
      </c>
      <c r="Y100">
        <v>3</v>
      </c>
      <c r="Z100">
        <v>0</v>
      </c>
      <c r="AA100">
        <v>0</v>
      </c>
      <c r="AB100">
        <v>0</v>
      </c>
      <c r="AC100">
        <v>0</v>
      </c>
      <c r="AD100">
        <v>0</v>
      </c>
      <c r="AE100">
        <v>0</v>
      </c>
      <c r="AF100">
        <v>0</v>
      </c>
      <c r="AG100">
        <v>60</v>
      </c>
      <c r="AH100">
        <v>60</v>
      </c>
      <c r="AI100">
        <v>0</v>
      </c>
      <c r="AJ100">
        <v>0</v>
      </c>
      <c r="AK100">
        <v>60</v>
      </c>
      <c r="AL100">
        <v>60</v>
      </c>
      <c r="AM100">
        <v>0</v>
      </c>
      <c r="AN100">
        <v>0</v>
      </c>
      <c r="AO100">
        <v>0</v>
      </c>
      <c r="AP100">
        <v>0</v>
      </c>
      <c r="AQ100">
        <v>0</v>
      </c>
      <c r="AR100">
        <v>0</v>
      </c>
      <c r="AS100">
        <v>0</v>
      </c>
      <c r="AT100">
        <v>45</v>
      </c>
      <c r="AU100">
        <v>45</v>
      </c>
      <c r="AV100">
        <v>0</v>
      </c>
      <c r="AW100">
        <v>0</v>
      </c>
      <c r="AX100">
        <v>6</v>
      </c>
      <c r="AY100">
        <v>6</v>
      </c>
      <c r="AZ100">
        <v>0</v>
      </c>
      <c r="BA100">
        <v>0</v>
      </c>
      <c r="BB100">
        <v>0</v>
      </c>
      <c r="BC100">
        <v>0</v>
      </c>
      <c r="BD100">
        <v>0</v>
      </c>
      <c r="BE100">
        <v>0</v>
      </c>
    </row>
    <row r="101" spans="1:57">
      <c r="A101" t="s">
        <v>16992</v>
      </c>
      <c r="B101" t="s">
        <v>16992</v>
      </c>
      <c r="C101">
        <v>0</v>
      </c>
      <c r="D101">
        <v>6</v>
      </c>
      <c r="E101">
        <v>3</v>
      </c>
      <c r="F101">
        <v>4</v>
      </c>
      <c r="G101">
        <v>0</v>
      </c>
      <c r="H101">
        <v>0</v>
      </c>
      <c r="I101">
        <v>0</v>
      </c>
      <c r="J101">
        <v>3</v>
      </c>
      <c r="K101">
        <v>66</v>
      </c>
      <c r="L101">
        <v>1</v>
      </c>
      <c r="M101">
        <v>0</v>
      </c>
      <c r="N101">
        <v>0</v>
      </c>
      <c r="O101">
        <v>2</v>
      </c>
      <c r="P101">
        <v>0</v>
      </c>
      <c r="Q101">
        <v>0</v>
      </c>
      <c r="R101">
        <v>0</v>
      </c>
      <c r="S101">
        <v>10</v>
      </c>
      <c r="T101">
        <v>2.75</v>
      </c>
      <c r="U101">
        <v>0</v>
      </c>
      <c r="V101">
        <v>12.75</v>
      </c>
      <c r="W101">
        <v>155</v>
      </c>
      <c r="X101">
        <v>0</v>
      </c>
      <c r="Y101">
        <v>0</v>
      </c>
      <c r="Z101">
        <v>3</v>
      </c>
      <c r="AA101">
        <v>0</v>
      </c>
      <c r="AB101">
        <v>60</v>
      </c>
      <c r="AC101">
        <v>0</v>
      </c>
      <c r="AD101">
        <v>0</v>
      </c>
      <c r="AE101">
        <v>60</v>
      </c>
      <c r="AF101">
        <v>60</v>
      </c>
      <c r="AG101">
        <v>155</v>
      </c>
      <c r="AH101">
        <v>95</v>
      </c>
      <c r="AI101">
        <v>0</v>
      </c>
      <c r="AJ101">
        <v>0</v>
      </c>
      <c r="AK101">
        <v>0</v>
      </c>
      <c r="AL101">
        <v>0</v>
      </c>
      <c r="AM101">
        <v>0</v>
      </c>
      <c r="AN101">
        <v>0</v>
      </c>
      <c r="AO101">
        <v>1</v>
      </c>
      <c r="AP101">
        <v>0</v>
      </c>
      <c r="AQ101">
        <v>0</v>
      </c>
      <c r="AR101">
        <v>0</v>
      </c>
      <c r="AS101">
        <v>0</v>
      </c>
      <c r="AT101">
        <v>66</v>
      </c>
      <c r="AU101">
        <v>0</v>
      </c>
      <c r="AV101">
        <v>66</v>
      </c>
      <c r="AW101">
        <v>0</v>
      </c>
      <c r="AX101">
        <v>10</v>
      </c>
      <c r="AY101">
        <v>0</v>
      </c>
      <c r="AZ101">
        <v>10</v>
      </c>
      <c r="BA101">
        <v>0</v>
      </c>
      <c r="BB101">
        <v>2.75</v>
      </c>
      <c r="BC101">
        <v>0</v>
      </c>
      <c r="BD101">
        <v>2.75</v>
      </c>
      <c r="BE101">
        <v>0</v>
      </c>
    </row>
    <row r="102" spans="1:57">
      <c r="A102" t="s">
        <v>16993</v>
      </c>
      <c r="B102" t="s">
        <v>16994</v>
      </c>
      <c r="C102">
        <v>0</v>
      </c>
      <c r="D102">
        <v>2</v>
      </c>
      <c r="E102">
        <v>2</v>
      </c>
      <c r="F102">
        <v>2</v>
      </c>
      <c r="G102">
        <v>0</v>
      </c>
      <c r="H102">
        <v>1</v>
      </c>
      <c r="I102">
        <v>1</v>
      </c>
      <c r="J102">
        <v>1</v>
      </c>
      <c r="K102">
        <v>8</v>
      </c>
      <c r="L102">
        <v>1</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8</v>
      </c>
      <c r="AU102">
        <v>0</v>
      </c>
      <c r="AV102">
        <v>8</v>
      </c>
      <c r="AW102">
        <v>0</v>
      </c>
      <c r="AX102">
        <v>0</v>
      </c>
      <c r="AY102">
        <v>0</v>
      </c>
      <c r="AZ102">
        <v>0</v>
      </c>
      <c r="BA102">
        <v>0</v>
      </c>
      <c r="BB102">
        <v>0</v>
      </c>
      <c r="BC102">
        <v>0</v>
      </c>
      <c r="BD102">
        <v>0</v>
      </c>
      <c r="BE102">
        <v>0</v>
      </c>
    </row>
    <row r="103" spans="1:57">
      <c r="A103" t="s">
        <v>16995</v>
      </c>
      <c r="B103" t="s">
        <v>16996</v>
      </c>
      <c r="C103">
        <v>0</v>
      </c>
      <c r="D103">
        <v>1</v>
      </c>
      <c r="E103">
        <v>0</v>
      </c>
      <c r="F103">
        <v>0</v>
      </c>
      <c r="G103">
        <v>0</v>
      </c>
      <c r="H103">
        <v>1</v>
      </c>
      <c r="I103">
        <v>0</v>
      </c>
      <c r="J103">
        <v>1</v>
      </c>
      <c r="K103">
        <v>3</v>
      </c>
      <c r="L103">
        <v>1</v>
      </c>
      <c r="M103">
        <v>0</v>
      </c>
      <c r="N103">
        <v>0</v>
      </c>
      <c r="O103">
        <v>0</v>
      </c>
      <c r="P103">
        <v>0</v>
      </c>
      <c r="Q103">
        <v>0</v>
      </c>
      <c r="R103">
        <v>0</v>
      </c>
      <c r="S103">
        <v>3</v>
      </c>
      <c r="T103">
        <v>0</v>
      </c>
      <c r="U103">
        <v>0</v>
      </c>
      <c r="V103">
        <v>3</v>
      </c>
      <c r="W103">
        <v>30</v>
      </c>
      <c r="X103">
        <v>0</v>
      </c>
      <c r="Y103">
        <v>1</v>
      </c>
      <c r="Z103">
        <v>0</v>
      </c>
      <c r="AA103">
        <v>0</v>
      </c>
      <c r="AB103">
        <v>0</v>
      </c>
      <c r="AC103">
        <v>0</v>
      </c>
      <c r="AD103">
        <v>0</v>
      </c>
      <c r="AE103">
        <v>0</v>
      </c>
      <c r="AF103">
        <v>0.3</v>
      </c>
      <c r="AG103">
        <v>30</v>
      </c>
      <c r="AH103">
        <v>30</v>
      </c>
      <c r="AI103">
        <v>0</v>
      </c>
      <c r="AJ103">
        <v>0</v>
      </c>
      <c r="AK103">
        <v>30</v>
      </c>
      <c r="AL103">
        <v>30</v>
      </c>
      <c r="AM103">
        <v>0</v>
      </c>
      <c r="AN103">
        <v>0</v>
      </c>
      <c r="AO103">
        <v>0</v>
      </c>
      <c r="AP103">
        <v>0</v>
      </c>
      <c r="AQ103">
        <v>0</v>
      </c>
      <c r="AR103">
        <v>0</v>
      </c>
      <c r="AS103">
        <v>0</v>
      </c>
      <c r="AT103">
        <v>3</v>
      </c>
      <c r="AU103">
        <v>3</v>
      </c>
      <c r="AV103">
        <v>0</v>
      </c>
      <c r="AW103">
        <v>0</v>
      </c>
      <c r="AX103">
        <v>3</v>
      </c>
      <c r="AY103">
        <v>3</v>
      </c>
      <c r="AZ103">
        <v>0</v>
      </c>
      <c r="BA103">
        <v>0</v>
      </c>
      <c r="BB103">
        <v>0</v>
      </c>
      <c r="BC103">
        <v>0</v>
      </c>
      <c r="BD103">
        <v>0</v>
      </c>
      <c r="BE103">
        <v>0</v>
      </c>
    </row>
    <row r="104" spans="1:57">
      <c r="A104" t="s">
        <v>16995</v>
      </c>
      <c r="B104" t="s">
        <v>16996</v>
      </c>
      <c r="C104">
        <v>0</v>
      </c>
      <c r="D104">
        <v>1</v>
      </c>
      <c r="E104">
        <v>1</v>
      </c>
      <c r="F104">
        <v>1</v>
      </c>
      <c r="G104">
        <v>0</v>
      </c>
      <c r="H104">
        <v>1</v>
      </c>
      <c r="I104">
        <v>1</v>
      </c>
      <c r="J104">
        <v>1</v>
      </c>
      <c r="K104">
        <v>41</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41</v>
      </c>
      <c r="AU104">
        <v>41</v>
      </c>
      <c r="AV104">
        <v>0</v>
      </c>
      <c r="AW104">
        <v>0</v>
      </c>
      <c r="AX104">
        <v>0</v>
      </c>
      <c r="AY104">
        <v>0</v>
      </c>
      <c r="AZ104">
        <v>0</v>
      </c>
      <c r="BA104">
        <v>0</v>
      </c>
      <c r="BB104">
        <v>0</v>
      </c>
      <c r="BC104">
        <v>0</v>
      </c>
      <c r="BD104">
        <v>0</v>
      </c>
      <c r="BE104">
        <v>0</v>
      </c>
    </row>
    <row r="105" spans="1:57">
      <c r="A105" t="s">
        <v>16995</v>
      </c>
      <c r="B105" t="s">
        <v>16996</v>
      </c>
      <c r="C105">
        <v>0</v>
      </c>
      <c r="D105">
        <v>18</v>
      </c>
      <c r="E105">
        <v>8</v>
      </c>
      <c r="F105">
        <v>6</v>
      </c>
      <c r="G105">
        <v>1</v>
      </c>
      <c r="H105">
        <v>0</v>
      </c>
      <c r="I105">
        <v>0</v>
      </c>
      <c r="J105">
        <v>12</v>
      </c>
      <c r="K105">
        <v>192</v>
      </c>
      <c r="L105">
        <v>6</v>
      </c>
      <c r="M105">
        <v>1</v>
      </c>
      <c r="N105">
        <v>1</v>
      </c>
      <c r="O105">
        <v>2</v>
      </c>
      <c r="P105">
        <v>0</v>
      </c>
      <c r="Q105">
        <v>3</v>
      </c>
      <c r="R105">
        <v>0</v>
      </c>
      <c r="S105">
        <v>6</v>
      </c>
      <c r="T105">
        <v>1.5</v>
      </c>
      <c r="U105">
        <v>0</v>
      </c>
      <c r="V105">
        <v>7.5</v>
      </c>
      <c r="W105">
        <v>90</v>
      </c>
      <c r="X105">
        <v>0</v>
      </c>
      <c r="Y105">
        <v>7</v>
      </c>
      <c r="Z105">
        <v>0</v>
      </c>
      <c r="AA105">
        <v>0</v>
      </c>
      <c r="AB105">
        <v>0</v>
      </c>
      <c r="AC105">
        <v>0</v>
      </c>
      <c r="AD105">
        <v>0</v>
      </c>
      <c r="AE105">
        <v>0</v>
      </c>
      <c r="AF105">
        <v>0</v>
      </c>
      <c r="AG105">
        <v>90</v>
      </c>
      <c r="AH105">
        <v>90</v>
      </c>
      <c r="AI105">
        <v>0</v>
      </c>
      <c r="AJ105">
        <v>0</v>
      </c>
      <c r="AK105">
        <v>0</v>
      </c>
      <c r="AL105">
        <v>0</v>
      </c>
      <c r="AM105">
        <v>0</v>
      </c>
      <c r="AN105">
        <v>0</v>
      </c>
      <c r="AO105">
        <v>0</v>
      </c>
      <c r="AP105">
        <v>0</v>
      </c>
      <c r="AQ105">
        <v>0</v>
      </c>
      <c r="AR105">
        <v>0</v>
      </c>
      <c r="AS105">
        <v>0</v>
      </c>
      <c r="AT105">
        <v>192</v>
      </c>
      <c r="AU105">
        <v>0</v>
      </c>
      <c r="AV105">
        <v>192</v>
      </c>
      <c r="AW105">
        <v>0</v>
      </c>
      <c r="AX105">
        <v>6</v>
      </c>
      <c r="AY105">
        <v>0</v>
      </c>
      <c r="AZ105">
        <v>6</v>
      </c>
      <c r="BA105">
        <v>0</v>
      </c>
      <c r="BB105">
        <v>1.5</v>
      </c>
      <c r="BC105">
        <v>0</v>
      </c>
      <c r="BD105">
        <v>1.5</v>
      </c>
      <c r="BE105">
        <v>0</v>
      </c>
    </row>
    <row r="106" spans="1:57">
      <c r="A106" t="s">
        <v>16999</v>
      </c>
      <c r="B106" t="s">
        <v>17000</v>
      </c>
      <c r="C106">
        <v>1</v>
      </c>
      <c r="D106">
        <v>12</v>
      </c>
      <c r="E106">
        <v>12</v>
      </c>
      <c r="F106">
        <v>12</v>
      </c>
      <c r="G106">
        <v>3</v>
      </c>
      <c r="H106">
        <v>1</v>
      </c>
      <c r="I106">
        <v>1</v>
      </c>
      <c r="J106">
        <v>12</v>
      </c>
      <c r="K106">
        <v>100</v>
      </c>
      <c r="L106">
        <v>6</v>
      </c>
      <c r="M106">
        <v>2</v>
      </c>
      <c r="N106">
        <v>2</v>
      </c>
      <c r="O106">
        <v>0</v>
      </c>
      <c r="P106">
        <v>0</v>
      </c>
      <c r="Q106">
        <v>2</v>
      </c>
      <c r="R106">
        <v>0</v>
      </c>
      <c r="S106">
        <v>8.5</v>
      </c>
      <c r="T106">
        <v>19.25</v>
      </c>
      <c r="U106">
        <v>1.5</v>
      </c>
      <c r="V106">
        <v>29.25</v>
      </c>
      <c r="W106">
        <v>470</v>
      </c>
      <c r="X106">
        <v>0</v>
      </c>
      <c r="Y106">
        <v>5</v>
      </c>
      <c r="Z106">
        <v>3</v>
      </c>
      <c r="AA106">
        <v>0</v>
      </c>
      <c r="AB106">
        <v>250</v>
      </c>
      <c r="AC106">
        <v>0</v>
      </c>
      <c r="AD106">
        <v>0</v>
      </c>
      <c r="AE106">
        <v>55</v>
      </c>
      <c r="AF106">
        <v>250</v>
      </c>
      <c r="AG106">
        <v>500</v>
      </c>
      <c r="AH106">
        <v>445</v>
      </c>
      <c r="AI106">
        <v>15</v>
      </c>
      <c r="AJ106">
        <v>30</v>
      </c>
      <c r="AK106">
        <v>120</v>
      </c>
      <c r="AL106">
        <v>105</v>
      </c>
      <c r="AM106">
        <v>0</v>
      </c>
      <c r="AN106">
        <v>2</v>
      </c>
      <c r="AO106">
        <v>0</v>
      </c>
      <c r="AP106">
        <v>0</v>
      </c>
      <c r="AQ106">
        <v>0</v>
      </c>
      <c r="AR106">
        <v>0</v>
      </c>
      <c r="AS106">
        <v>0</v>
      </c>
      <c r="AT106">
        <v>106</v>
      </c>
      <c r="AU106">
        <v>5</v>
      </c>
      <c r="AV106">
        <v>82</v>
      </c>
      <c r="AW106">
        <v>19</v>
      </c>
      <c r="AX106">
        <v>9.5625</v>
      </c>
      <c r="AY106">
        <v>0.25</v>
      </c>
      <c r="AZ106">
        <v>9.0625</v>
      </c>
      <c r="BA106">
        <v>0.25</v>
      </c>
      <c r="BB106">
        <v>19.25</v>
      </c>
      <c r="BC106">
        <v>4</v>
      </c>
      <c r="BD106">
        <v>15.25</v>
      </c>
      <c r="BE106">
        <v>0</v>
      </c>
    </row>
    <row r="107" spans="1:57">
      <c r="A107" t="s">
        <v>16969</v>
      </c>
      <c r="B107" t="s">
        <v>21067</v>
      </c>
      <c r="C107">
        <v>0</v>
      </c>
      <c r="D107">
        <v>1</v>
      </c>
      <c r="E107">
        <v>1</v>
      </c>
      <c r="F107">
        <v>1</v>
      </c>
      <c r="G107">
        <v>0</v>
      </c>
      <c r="H107">
        <v>0</v>
      </c>
      <c r="I107">
        <v>0</v>
      </c>
      <c r="J107">
        <v>1</v>
      </c>
      <c r="K107">
        <v>3</v>
      </c>
      <c r="L107">
        <v>1</v>
      </c>
      <c r="M107">
        <v>0</v>
      </c>
      <c r="N107">
        <v>0</v>
      </c>
      <c r="O107">
        <v>0</v>
      </c>
      <c r="P107">
        <v>0</v>
      </c>
      <c r="Q107">
        <v>0</v>
      </c>
      <c r="R107">
        <v>0</v>
      </c>
      <c r="S107">
        <v>0.25</v>
      </c>
      <c r="T107">
        <v>0</v>
      </c>
      <c r="U107">
        <v>0</v>
      </c>
      <c r="V107">
        <v>0.25</v>
      </c>
      <c r="W107">
        <v>2.5</v>
      </c>
      <c r="X107">
        <v>0</v>
      </c>
      <c r="Y107">
        <v>1</v>
      </c>
      <c r="Z107">
        <v>0</v>
      </c>
      <c r="AA107">
        <v>0</v>
      </c>
      <c r="AB107">
        <v>0</v>
      </c>
      <c r="AC107">
        <v>0</v>
      </c>
      <c r="AD107">
        <v>0</v>
      </c>
      <c r="AE107">
        <v>0</v>
      </c>
      <c r="AF107">
        <v>0</v>
      </c>
      <c r="AG107">
        <v>2.5</v>
      </c>
      <c r="AH107">
        <v>2.5</v>
      </c>
      <c r="AI107">
        <v>0</v>
      </c>
      <c r="AJ107">
        <v>0</v>
      </c>
      <c r="AK107">
        <v>0</v>
      </c>
      <c r="AL107">
        <v>0</v>
      </c>
      <c r="AM107">
        <v>0</v>
      </c>
      <c r="AN107">
        <v>0</v>
      </c>
      <c r="AO107">
        <v>0</v>
      </c>
      <c r="AP107">
        <v>0</v>
      </c>
      <c r="AQ107">
        <v>0</v>
      </c>
      <c r="AR107">
        <v>0</v>
      </c>
      <c r="AS107">
        <v>0</v>
      </c>
      <c r="AT107">
        <v>3</v>
      </c>
      <c r="AU107">
        <v>0</v>
      </c>
      <c r="AV107">
        <v>3</v>
      </c>
      <c r="AW107">
        <v>0</v>
      </c>
      <c r="AX107">
        <v>0.25</v>
      </c>
      <c r="AY107">
        <v>0</v>
      </c>
      <c r="AZ107">
        <v>0.25</v>
      </c>
      <c r="BA107">
        <v>0</v>
      </c>
      <c r="BB107">
        <v>0</v>
      </c>
      <c r="BC107">
        <v>0</v>
      </c>
      <c r="BD107">
        <v>0</v>
      </c>
      <c r="BE107">
        <v>0</v>
      </c>
    </row>
    <row r="108" spans="1:57">
      <c r="A108" t="s">
        <v>16969</v>
      </c>
      <c r="B108" t="s">
        <v>18804</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row>
    <row r="109" spans="1:57">
      <c r="A109" t="s">
        <v>16969</v>
      </c>
      <c r="B109" t="s">
        <v>21066</v>
      </c>
    </row>
    <row r="110" spans="1:57">
      <c r="A110" t="s">
        <v>16969</v>
      </c>
      <c r="B110" t="s">
        <v>21065</v>
      </c>
    </row>
    <row r="111" spans="1:57">
      <c r="A111" t="s">
        <v>16969</v>
      </c>
      <c r="B111" t="s">
        <v>17006</v>
      </c>
      <c r="C111">
        <v>0</v>
      </c>
      <c r="D111">
        <v>3</v>
      </c>
      <c r="E111">
        <v>1</v>
      </c>
      <c r="F111">
        <v>2</v>
      </c>
      <c r="G111">
        <v>0</v>
      </c>
      <c r="H111">
        <v>0</v>
      </c>
      <c r="I111">
        <v>0</v>
      </c>
      <c r="J111">
        <v>3</v>
      </c>
      <c r="K111">
        <v>36</v>
      </c>
      <c r="L111">
        <v>3</v>
      </c>
      <c r="M111">
        <v>0</v>
      </c>
      <c r="N111">
        <v>0</v>
      </c>
      <c r="O111">
        <v>0</v>
      </c>
      <c r="P111">
        <v>0</v>
      </c>
      <c r="Q111">
        <v>0</v>
      </c>
      <c r="R111">
        <v>0</v>
      </c>
      <c r="S111">
        <v>1.75</v>
      </c>
      <c r="T111">
        <v>0.5</v>
      </c>
      <c r="U111">
        <v>0</v>
      </c>
      <c r="V111">
        <v>2.25</v>
      </c>
      <c r="W111">
        <v>27.5</v>
      </c>
      <c r="X111">
        <v>0</v>
      </c>
      <c r="Y111">
        <v>3</v>
      </c>
      <c r="Z111">
        <v>0</v>
      </c>
      <c r="AA111">
        <v>0</v>
      </c>
      <c r="AB111">
        <v>0</v>
      </c>
      <c r="AC111">
        <v>0</v>
      </c>
      <c r="AD111">
        <v>0</v>
      </c>
      <c r="AE111">
        <v>0</v>
      </c>
      <c r="AF111">
        <v>0</v>
      </c>
      <c r="AG111">
        <v>27.5</v>
      </c>
      <c r="AH111">
        <v>27.5</v>
      </c>
      <c r="AI111">
        <v>0</v>
      </c>
      <c r="AJ111">
        <v>0</v>
      </c>
      <c r="AK111">
        <v>0</v>
      </c>
      <c r="AL111">
        <v>0</v>
      </c>
      <c r="AM111">
        <v>0</v>
      </c>
      <c r="AN111">
        <v>0</v>
      </c>
      <c r="AO111">
        <v>0</v>
      </c>
      <c r="AP111">
        <v>0</v>
      </c>
      <c r="AQ111">
        <v>0</v>
      </c>
      <c r="AR111">
        <v>0</v>
      </c>
      <c r="AS111">
        <v>0</v>
      </c>
      <c r="AT111">
        <v>36</v>
      </c>
      <c r="AU111">
        <v>0</v>
      </c>
      <c r="AV111">
        <v>36</v>
      </c>
      <c r="AW111">
        <v>0</v>
      </c>
      <c r="AX111">
        <v>1.75</v>
      </c>
      <c r="AY111">
        <v>0</v>
      </c>
      <c r="AZ111">
        <v>1.75</v>
      </c>
      <c r="BA111">
        <v>0</v>
      </c>
      <c r="BB111">
        <v>0.5</v>
      </c>
      <c r="BC111">
        <v>0</v>
      </c>
      <c r="BD111">
        <v>0.5</v>
      </c>
      <c r="BE111">
        <v>0</v>
      </c>
    </row>
    <row r="112" spans="1:57">
      <c r="A112" t="s">
        <v>16969</v>
      </c>
      <c r="B112" t="s">
        <v>20666</v>
      </c>
    </row>
    <row r="113" spans="1:57">
      <c r="A113" t="s">
        <v>16969</v>
      </c>
      <c r="B113" t="s">
        <v>19338</v>
      </c>
    </row>
    <row r="114" spans="1:57">
      <c r="A114" t="s">
        <v>16969</v>
      </c>
      <c r="B114" t="s">
        <v>19339</v>
      </c>
      <c r="C114">
        <v>0</v>
      </c>
      <c r="D114">
        <v>6</v>
      </c>
      <c r="E114">
        <v>6</v>
      </c>
      <c r="F114">
        <v>4</v>
      </c>
      <c r="G114">
        <v>1</v>
      </c>
      <c r="H114">
        <v>1</v>
      </c>
      <c r="I114">
        <v>1</v>
      </c>
      <c r="J114">
        <v>5</v>
      </c>
      <c r="K114">
        <v>86</v>
      </c>
      <c r="L114">
        <v>3</v>
      </c>
      <c r="M114">
        <v>0</v>
      </c>
      <c r="N114">
        <v>1</v>
      </c>
      <c r="O114">
        <v>1</v>
      </c>
      <c r="P114">
        <v>0</v>
      </c>
      <c r="Q114">
        <v>0</v>
      </c>
      <c r="R114">
        <v>0</v>
      </c>
      <c r="S114">
        <v>25</v>
      </c>
      <c r="T114">
        <v>0</v>
      </c>
      <c r="U114">
        <v>0</v>
      </c>
      <c r="V114">
        <v>21</v>
      </c>
      <c r="W114">
        <v>250</v>
      </c>
      <c r="X114">
        <v>0</v>
      </c>
      <c r="Y114">
        <v>5</v>
      </c>
      <c r="Z114">
        <v>0</v>
      </c>
      <c r="AA114">
        <v>0</v>
      </c>
      <c r="AB114">
        <v>100</v>
      </c>
      <c r="AC114">
        <v>0</v>
      </c>
      <c r="AD114">
        <v>0</v>
      </c>
      <c r="AE114">
        <v>0</v>
      </c>
      <c r="AF114">
        <v>100</v>
      </c>
      <c r="AG114">
        <v>250</v>
      </c>
      <c r="AH114">
        <v>250</v>
      </c>
      <c r="AI114">
        <v>0</v>
      </c>
      <c r="AJ114">
        <v>30</v>
      </c>
      <c r="AK114">
        <v>60</v>
      </c>
      <c r="AL114">
        <v>60</v>
      </c>
      <c r="AM114">
        <v>0</v>
      </c>
      <c r="AN114">
        <v>0</v>
      </c>
      <c r="AO114">
        <v>0</v>
      </c>
      <c r="AP114">
        <v>0</v>
      </c>
      <c r="AQ114">
        <v>0</v>
      </c>
      <c r="AR114">
        <v>0</v>
      </c>
      <c r="AS114">
        <v>0</v>
      </c>
      <c r="AT114">
        <v>86</v>
      </c>
      <c r="AU114">
        <v>23</v>
      </c>
      <c r="AV114">
        <v>63</v>
      </c>
      <c r="AW114">
        <v>0</v>
      </c>
      <c r="AX114">
        <v>25</v>
      </c>
      <c r="AY114">
        <v>6</v>
      </c>
      <c r="AZ114">
        <v>19</v>
      </c>
      <c r="BA114">
        <v>0</v>
      </c>
      <c r="BB114">
        <v>0</v>
      </c>
      <c r="BC114">
        <v>0</v>
      </c>
      <c r="BD114">
        <v>0</v>
      </c>
      <c r="BE114">
        <v>0</v>
      </c>
    </row>
    <row r="115" spans="1:57">
      <c r="A115" t="s">
        <v>16969</v>
      </c>
      <c r="B115" t="s">
        <v>19974</v>
      </c>
    </row>
    <row r="116" spans="1:57">
      <c r="A116" t="s">
        <v>16969</v>
      </c>
      <c r="B116" t="s">
        <v>21068</v>
      </c>
    </row>
    <row r="117" spans="1:57">
      <c r="A117" t="s">
        <v>16969</v>
      </c>
      <c r="B117" t="s">
        <v>21069</v>
      </c>
    </row>
    <row r="118" spans="1:57">
      <c r="A118" t="s">
        <v>16969</v>
      </c>
      <c r="B118" t="s">
        <v>18807</v>
      </c>
    </row>
    <row r="119" spans="1:57">
      <c r="A119" t="s">
        <v>16969</v>
      </c>
      <c r="B119" t="s">
        <v>20667</v>
      </c>
      <c r="C119">
        <v>0</v>
      </c>
      <c r="D119">
        <v>1</v>
      </c>
      <c r="E119">
        <v>0</v>
      </c>
      <c r="F119">
        <v>1</v>
      </c>
      <c r="G119">
        <v>0</v>
      </c>
      <c r="H119">
        <v>0</v>
      </c>
      <c r="I119">
        <v>0</v>
      </c>
      <c r="J119">
        <v>1</v>
      </c>
      <c r="K119">
        <v>8</v>
      </c>
      <c r="L119">
        <v>0</v>
      </c>
      <c r="M119">
        <v>0</v>
      </c>
      <c r="N119">
        <v>0</v>
      </c>
      <c r="O119">
        <v>0</v>
      </c>
      <c r="P119">
        <v>0</v>
      </c>
      <c r="Q119">
        <v>0</v>
      </c>
      <c r="R119">
        <v>0</v>
      </c>
      <c r="S119">
        <v>6</v>
      </c>
      <c r="T119">
        <v>4</v>
      </c>
      <c r="U119">
        <v>0</v>
      </c>
      <c r="V119">
        <v>10</v>
      </c>
      <c r="W119">
        <v>140</v>
      </c>
      <c r="X119">
        <v>0</v>
      </c>
      <c r="Y119">
        <v>1</v>
      </c>
      <c r="Z119">
        <v>0</v>
      </c>
      <c r="AA119">
        <v>0</v>
      </c>
      <c r="AB119">
        <v>110</v>
      </c>
      <c r="AC119">
        <v>0</v>
      </c>
      <c r="AD119">
        <v>0</v>
      </c>
      <c r="AE119">
        <v>0</v>
      </c>
      <c r="AF119">
        <v>110</v>
      </c>
      <c r="AG119">
        <v>140</v>
      </c>
      <c r="AH119">
        <v>140</v>
      </c>
      <c r="AI119">
        <v>0</v>
      </c>
      <c r="AJ119">
        <v>0</v>
      </c>
      <c r="AK119">
        <v>0</v>
      </c>
      <c r="AL119">
        <v>0</v>
      </c>
      <c r="AM119">
        <v>0</v>
      </c>
      <c r="AN119">
        <v>0</v>
      </c>
      <c r="AO119">
        <v>0</v>
      </c>
      <c r="AP119">
        <v>0</v>
      </c>
      <c r="AQ119">
        <v>0</v>
      </c>
      <c r="AR119">
        <v>0</v>
      </c>
      <c r="AS119">
        <v>0</v>
      </c>
      <c r="AT119">
        <v>8</v>
      </c>
      <c r="AU119">
        <v>0</v>
      </c>
      <c r="AV119">
        <v>8</v>
      </c>
      <c r="AW119">
        <v>0</v>
      </c>
      <c r="AX119">
        <v>6</v>
      </c>
      <c r="AY119">
        <v>0</v>
      </c>
      <c r="AZ119">
        <v>6</v>
      </c>
      <c r="BA119">
        <v>0</v>
      </c>
      <c r="BB119">
        <v>4</v>
      </c>
      <c r="BC119">
        <v>0</v>
      </c>
      <c r="BD119">
        <v>4</v>
      </c>
      <c r="BE119">
        <v>0</v>
      </c>
    </row>
    <row r="120" spans="1:57">
      <c r="A120" t="s">
        <v>16969</v>
      </c>
      <c r="B120" t="s">
        <v>17021</v>
      </c>
      <c r="C120">
        <v>0</v>
      </c>
      <c r="D120">
        <v>162</v>
      </c>
      <c r="E120">
        <v>162</v>
      </c>
      <c r="F120">
        <v>162</v>
      </c>
      <c r="G120">
        <v>0</v>
      </c>
      <c r="H120">
        <v>0</v>
      </c>
      <c r="I120">
        <v>0</v>
      </c>
      <c r="J120">
        <v>162</v>
      </c>
      <c r="K120">
        <v>1723</v>
      </c>
      <c r="L120">
        <v>6</v>
      </c>
      <c r="M120">
        <v>11</v>
      </c>
      <c r="N120">
        <v>20</v>
      </c>
      <c r="O120">
        <v>123</v>
      </c>
      <c r="P120">
        <v>0</v>
      </c>
      <c r="Q120">
        <v>0</v>
      </c>
      <c r="R120">
        <v>0</v>
      </c>
      <c r="S120">
        <v>6</v>
      </c>
      <c r="T120">
        <v>0</v>
      </c>
      <c r="U120">
        <v>0</v>
      </c>
      <c r="V120">
        <v>6</v>
      </c>
      <c r="W120">
        <v>60</v>
      </c>
      <c r="X120">
        <v>0</v>
      </c>
      <c r="Y120">
        <v>24</v>
      </c>
      <c r="Z120">
        <v>0</v>
      </c>
      <c r="AA120">
        <v>0</v>
      </c>
      <c r="AB120">
        <v>0</v>
      </c>
      <c r="AC120">
        <v>0</v>
      </c>
      <c r="AD120">
        <v>0</v>
      </c>
      <c r="AE120">
        <v>0</v>
      </c>
      <c r="AF120">
        <v>0</v>
      </c>
      <c r="AG120">
        <v>60</v>
      </c>
      <c r="AH120">
        <v>60</v>
      </c>
      <c r="AI120">
        <v>0</v>
      </c>
      <c r="AJ120">
        <v>0</v>
      </c>
      <c r="AK120">
        <v>0</v>
      </c>
      <c r="AL120">
        <v>0</v>
      </c>
      <c r="AM120">
        <v>0</v>
      </c>
      <c r="AN120">
        <v>0</v>
      </c>
      <c r="AO120">
        <v>0</v>
      </c>
      <c r="AP120">
        <v>0</v>
      </c>
      <c r="AQ120">
        <v>0</v>
      </c>
      <c r="AR120">
        <v>0</v>
      </c>
      <c r="AS120">
        <v>0</v>
      </c>
      <c r="AT120">
        <v>1723</v>
      </c>
      <c r="AU120">
        <v>0</v>
      </c>
      <c r="AV120">
        <v>1723</v>
      </c>
      <c r="AW120">
        <v>0</v>
      </c>
      <c r="AX120">
        <v>6</v>
      </c>
      <c r="AY120">
        <v>0</v>
      </c>
      <c r="AZ120">
        <v>6</v>
      </c>
      <c r="BA120">
        <v>0</v>
      </c>
      <c r="BB120">
        <v>0</v>
      </c>
      <c r="BC120">
        <v>0</v>
      </c>
      <c r="BD120">
        <v>0</v>
      </c>
      <c r="BE120">
        <v>0</v>
      </c>
    </row>
    <row r="121" spans="1:57">
      <c r="A121" t="s">
        <v>16969</v>
      </c>
      <c r="B121" t="s">
        <v>18809</v>
      </c>
      <c r="C121">
        <v>0</v>
      </c>
      <c r="D121">
        <v>12</v>
      </c>
      <c r="E121">
        <v>9</v>
      </c>
      <c r="F121">
        <v>12</v>
      </c>
      <c r="G121">
        <v>0</v>
      </c>
      <c r="H121">
        <v>0</v>
      </c>
      <c r="I121">
        <v>0</v>
      </c>
      <c r="J121">
        <v>12</v>
      </c>
      <c r="K121">
        <v>74</v>
      </c>
      <c r="L121">
        <v>7</v>
      </c>
      <c r="M121">
        <v>0</v>
      </c>
      <c r="N121">
        <v>4</v>
      </c>
      <c r="O121">
        <v>1</v>
      </c>
      <c r="P121">
        <v>0</v>
      </c>
      <c r="Q121">
        <v>0</v>
      </c>
      <c r="R121">
        <v>0</v>
      </c>
      <c r="S121">
        <v>6</v>
      </c>
      <c r="T121">
        <v>5</v>
      </c>
      <c r="U121">
        <v>0</v>
      </c>
      <c r="V121">
        <v>11</v>
      </c>
      <c r="W121">
        <v>160</v>
      </c>
      <c r="X121">
        <v>0</v>
      </c>
      <c r="Y121">
        <v>9</v>
      </c>
      <c r="Z121">
        <v>0</v>
      </c>
      <c r="AA121">
        <v>0</v>
      </c>
      <c r="AB121">
        <v>37.5</v>
      </c>
      <c r="AC121">
        <v>0</v>
      </c>
      <c r="AD121">
        <v>0</v>
      </c>
      <c r="AE121">
        <v>37.5</v>
      </c>
      <c r="AF121">
        <v>37.5</v>
      </c>
      <c r="AG121">
        <v>160</v>
      </c>
      <c r="AH121">
        <v>122.5</v>
      </c>
      <c r="AI121">
        <v>0</v>
      </c>
      <c r="AJ121">
        <v>0</v>
      </c>
      <c r="AK121">
        <v>0</v>
      </c>
      <c r="AL121">
        <v>0</v>
      </c>
      <c r="AM121">
        <v>0</v>
      </c>
      <c r="AN121">
        <v>1</v>
      </c>
      <c r="AO121">
        <v>0</v>
      </c>
      <c r="AP121">
        <v>0</v>
      </c>
      <c r="AQ121">
        <v>0</v>
      </c>
      <c r="AR121">
        <v>0</v>
      </c>
      <c r="AS121">
        <v>0</v>
      </c>
      <c r="AT121">
        <v>74</v>
      </c>
      <c r="AU121">
        <v>0</v>
      </c>
      <c r="AV121">
        <v>74</v>
      </c>
      <c r="AW121">
        <v>0</v>
      </c>
      <c r="AX121">
        <v>6</v>
      </c>
      <c r="AY121">
        <v>0</v>
      </c>
      <c r="AZ121">
        <v>6</v>
      </c>
      <c r="BA121">
        <v>0</v>
      </c>
      <c r="BB121">
        <v>5</v>
      </c>
      <c r="BC121">
        <v>0</v>
      </c>
      <c r="BD121">
        <v>5</v>
      </c>
      <c r="BE121">
        <v>0</v>
      </c>
    </row>
    <row r="122" spans="1:57">
      <c r="A122" t="s">
        <v>16969</v>
      </c>
      <c r="B122" t="s">
        <v>21070</v>
      </c>
    </row>
    <row r="123" spans="1:57">
      <c r="A123" t="s">
        <v>16969</v>
      </c>
      <c r="B123" t="s">
        <v>17024</v>
      </c>
      <c r="C123">
        <v>0</v>
      </c>
      <c r="D123">
        <v>21</v>
      </c>
      <c r="E123">
        <v>0</v>
      </c>
      <c r="F123">
        <v>20</v>
      </c>
      <c r="G123">
        <v>8</v>
      </c>
      <c r="H123">
        <v>0</v>
      </c>
      <c r="I123">
        <v>0</v>
      </c>
      <c r="J123">
        <v>21</v>
      </c>
      <c r="K123">
        <v>84</v>
      </c>
      <c r="L123">
        <v>1</v>
      </c>
      <c r="M123">
        <v>0</v>
      </c>
      <c r="N123">
        <v>0</v>
      </c>
      <c r="O123">
        <v>20</v>
      </c>
      <c r="P123">
        <v>0</v>
      </c>
      <c r="Q123">
        <v>0</v>
      </c>
      <c r="R123">
        <v>0</v>
      </c>
      <c r="S123">
        <v>13.5</v>
      </c>
      <c r="T123">
        <v>0</v>
      </c>
      <c r="U123">
        <v>0</v>
      </c>
      <c r="V123">
        <v>13.5</v>
      </c>
      <c r="W123">
        <v>135</v>
      </c>
      <c r="X123">
        <v>0</v>
      </c>
      <c r="Y123">
        <v>21</v>
      </c>
      <c r="Z123">
        <v>0</v>
      </c>
      <c r="AA123">
        <v>0</v>
      </c>
      <c r="AB123">
        <v>0</v>
      </c>
      <c r="AC123">
        <v>0</v>
      </c>
      <c r="AD123">
        <v>0</v>
      </c>
      <c r="AE123">
        <v>0</v>
      </c>
      <c r="AF123">
        <v>0</v>
      </c>
      <c r="AG123">
        <v>135</v>
      </c>
      <c r="AH123">
        <v>135</v>
      </c>
      <c r="AI123">
        <v>0</v>
      </c>
      <c r="AJ123">
        <v>0</v>
      </c>
      <c r="AK123">
        <v>0</v>
      </c>
      <c r="AL123">
        <v>0</v>
      </c>
      <c r="AM123">
        <v>0</v>
      </c>
      <c r="AN123">
        <v>0</v>
      </c>
      <c r="AO123">
        <v>0</v>
      </c>
      <c r="AP123">
        <v>0</v>
      </c>
      <c r="AQ123">
        <v>0</v>
      </c>
      <c r="AR123">
        <v>0</v>
      </c>
      <c r="AS123">
        <v>0</v>
      </c>
      <c r="AT123">
        <v>84</v>
      </c>
      <c r="AU123">
        <v>0</v>
      </c>
      <c r="AV123">
        <v>84</v>
      </c>
      <c r="AW123">
        <v>0</v>
      </c>
      <c r="AX123">
        <v>13.5</v>
      </c>
      <c r="AY123">
        <v>0</v>
      </c>
      <c r="AZ123">
        <v>13.5</v>
      </c>
      <c r="BA123">
        <v>0</v>
      </c>
      <c r="BB123">
        <v>0</v>
      </c>
      <c r="BC123">
        <v>0</v>
      </c>
      <c r="BD123">
        <v>0</v>
      </c>
      <c r="BE123">
        <v>0</v>
      </c>
    </row>
    <row r="124" spans="1:57">
      <c r="A124" t="s">
        <v>16969</v>
      </c>
      <c r="B124" t="s">
        <v>17328</v>
      </c>
      <c r="C124">
        <v>0</v>
      </c>
      <c r="D124">
        <v>14</v>
      </c>
      <c r="E124">
        <v>0</v>
      </c>
      <c r="F124">
        <v>0</v>
      </c>
      <c r="G124">
        <v>1</v>
      </c>
      <c r="H124">
        <v>0</v>
      </c>
      <c r="I124">
        <v>1</v>
      </c>
      <c r="J124">
        <v>14</v>
      </c>
      <c r="K124">
        <v>68</v>
      </c>
      <c r="L124">
        <v>11</v>
      </c>
      <c r="M124">
        <v>1</v>
      </c>
      <c r="N124">
        <v>2</v>
      </c>
      <c r="O124">
        <v>0</v>
      </c>
      <c r="P124">
        <v>0</v>
      </c>
      <c r="Q124">
        <v>0</v>
      </c>
      <c r="R124">
        <v>0</v>
      </c>
      <c r="S124">
        <v>3</v>
      </c>
      <c r="T124">
        <v>23</v>
      </c>
      <c r="U124">
        <v>0</v>
      </c>
      <c r="V124">
        <v>26</v>
      </c>
      <c r="W124">
        <v>490</v>
      </c>
      <c r="X124">
        <v>0</v>
      </c>
      <c r="Y124">
        <v>1</v>
      </c>
      <c r="Z124">
        <v>1</v>
      </c>
      <c r="AA124">
        <v>0</v>
      </c>
      <c r="AB124">
        <v>400</v>
      </c>
      <c r="AC124">
        <v>0</v>
      </c>
      <c r="AD124">
        <v>0</v>
      </c>
      <c r="AE124">
        <v>75</v>
      </c>
      <c r="AF124">
        <v>400</v>
      </c>
      <c r="AG124">
        <v>490</v>
      </c>
      <c r="AH124">
        <v>415</v>
      </c>
      <c r="AI124">
        <v>0</v>
      </c>
      <c r="AJ124">
        <v>0</v>
      </c>
      <c r="AK124">
        <v>0</v>
      </c>
      <c r="AL124">
        <v>0</v>
      </c>
      <c r="AM124">
        <v>0</v>
      </c>
      <c r="AN124">
        <v>0</v>
      </c>
      <c r="AO124">
        <v>1</v>
      </c>
      <c r="AP124">
        <v>0</v>
      </c>
      <c r="AQ124">
        <v>0</v>
      </c>
      <c r="AR124">
        <v>0</v>
      </c>
      <c r="AS124">
        <v>0</v>
      </c>
      <c r="AT124">
        <v>68</v>
      </c>
      <c r="AU124">
        <v>0</v>
      </c>
      <c r="AV124">
        <v>68</v>
      </c>
      <c r="AW124">
        <v>0</v>
      </c>
      <c r="AX124">
        <v>3</v>
      </c>
      <c r="AY124">
        <v>0</v>
      </c>
      <c r="AZ124">
        <v>3</v>
      </c>
      <c r="BA124">
        <v>0</v>
      </c>
      <c r="BB124">
        <v>23</v>
      </c>
      <c r="BC124">
        <v>0</v>
      </c>
      <c r="BD124">
        <v>23</v>
      </c>
      <c r="BE124">
        <v>0</v>
      </c>
    </row>
    <row r="125" spans="1:57">
      <c r="A125" t="s">
        <v>16969</v>
      </c>
      <c r="B125" t="s">
        <v>17327</v>
      </c>
      <c r="C125">
        <v>0</v>
      </c>
      <c r="D125">
        <v>1</v>
      </c>
      <c r="E125">
        <v>0</v>
      </c>
      <c r="F125">
        <v>1</v>
      </c>
      <c r="G125">
        <v>0</v>
      </c>
      <c r="H125">
        <v>0</v>
      </c>
      <c r="I125">
        <v>0</v>
      </c>
      <c r="J125">
        <v>1</v>
      </c>
      <c r="K125">
        <v>10</v>
      </c>
      <c r="L125">
        <v>0</v>
      </c>
      <c r="M125">
        <v>1</v>
      </c>
      <c r="N125">
        <v>0</v>
      </c>
      <c r="O125">
        <v>0</v>
      </c>
      <c r="P125">
        <v>0</v>
      </c>
      <c r="Q125">
        <v>0</v>
      </c>
      <c r="R125">
        <v>0</v>
      </c>
      <c r="S125">
        <v>0.25</v>
      </c>
      <c r="T125">
        <v>0</v>
      </c>
      <c r="U125">
        <v>0</v>
      </c>
      <c r="V125">
        <v>0.25</v>
      </c>
      <c r="W125">
        <v>2.5</v>
      </c>
      <c r="X125">
        <v>0</v>
      </c>
      <c r="Y125">
        <v>1</v>
      </c>
      <c r="Z125">
        <v>0</v>
      </c>
      <c r="AA125">
        <v>0</v>
      </c>
      <c r="AB125">
        <v>0</v>
      </c>
      <c r="AC125">
        <v>0</v>
      </c>
      <c r="AD125">
        <v>0</v>
      </c>
      <c r="AE125">
        <v>0</v>
      </c>
      <c r="AF125">
        <v>0</v>
      </c>
      <c r="AG125">
        <v>2.5</v>
      </c>
      <c r="AH125">
        <v>2.5</v>
      </c>
      <c r="AI125">
        <v>0</v>
      </c>
      <c r="AJ125">
        <v>0</v>
      </c>
      <c r="AK125">
        <v>0</v>
      </c>
      <c r="AL125">
        <v>0</v>
      </c>
      <c r="AM125">
        <v>0</v>
      </c>
      <c r="AN125">
        <v>0</v>
      </c>
      <c r="AO125">
        <v>0</v>
      </c>
      <c r="AP125">
        <v>0</v>
      </c>
      <c r="AQ125">
        <v>0</v>
      </c>
      <c r="AR125">
        <v>0</v>
      </c>
      <c r="AS125">
        <v>0</v>
      </c>
      <c r="AT125">
        <v>10</v>
      </c>
      <c r="AU125">
        <v>0</v>
      </c>
      <c r="AV125">
        <v>10</v>
      </c>
      <c r="AW125">
        <v>0</v>
      </c>
      <c r="AX125">
        <v>0.25</v>
      </c>
      <c r="AY125">
        <v>0</v>
      </c>
      <c r="AZ125">
        <v>0.25</v>
      </c>
      <c r="BA125">
        <v>0</v>
      </c>
      <c r="BB125">
        <v>0</v>
      </c>
      <c r="BC125">
        <v>0</v>
      </c>
      <c r="BD125">
        <v>0</v>
      </c>
      <c r="BE125">
        <v>0</v>
      </c>
    </row>
    <row r="126" spans="1:57">
      <c r="A126" t="s">
        <v>16969</v>
      </c>
      <c r="B126" t="s">
        <v>17030</v>
      </c>
      <c r="C126">
        <v>0</v>
      </c>
      <c r="D126">
        <v>14</v>
      </c>
      <c r="E126">
        <v>14</v>
      </c>
      <c r="F126">
        <v>10</v>
      </c>
      <c r="G126">
        <v>6</v>
      </c>
      <c r="H126">
        <v>4</v>
      </c>
      <c r="I126">
        <v>0</v>
      </c>
      <c r="J126">
        <v>14</v>
      </c>
      <c r="K126">
        <v>223</v>
      </c>
      <c r="L126">
        <v>8</v>
      </c>
      <c r="M126">
        <v>2</v>
      </c>
      <c r="N126">
        <v>1</v>
      </c>
      <c r="O126">
        <v>1</v>
      </c>
      <c r="P126">
        <v>0</v>
      </c>
      <c r="Q126">
        <v>2</v>
      </c>
      <c r="R126">
        <v>0</v>
      </c>
      <c r="S126">
        <v>7.25</v>
      </c>
      <c r="T126">
        <v>6</v>
      </c>
      <c r="U126">
        <v>0</v>
      </c>
      <c r="V126">
        <v>13.25</v>
      </c>
      <c r="W126">
        <v>192.5</v>
      </c>
      <c r="X126">
        <v>0</v>
      </c>
      <c r="Y126">
        <v>4</v>
      </c>
      <c r="Z126">
        <v>0</v>
      </c>
      <c r="AA126">
        <v>0</v>
      </c>
      <c r="AB126">
        <v>140</v>
      </c>
      <c r="AC126">
        <v>0</v>
      </c>
      <c r="AD126">
        <v>0</v>
      </c>
      <c r="AE126">
        <v>0</v>
      </c>
      <c r="AF126">
        <v>140</v>
      </c>
      <c r="AG126">
        <v>192.5</v>
      </c>
      <c r="AH126">
        <v>192.5</v>
      </c>
      <c r="AI126">
        <v>0</v>
      </c>
      <c r="AJ126">
        <v>140</v>
      </c>
      <c r="AK126">
        <v>170</v>
      </c>
      <c r="AL126">
        <v>170</v>
      </c>
      <c r="AM126">
        <v>0</v>
      </c>
      <c r="AN126">
        <v>0</v>
      </c>
      <c r="AO126">
        <v>0</v>
      </c>
      <c r="AP126">
        <v>0</v>
      </c>
      <c r="AQ126">
        <v>0</v>
      </c>
      <c r="AR126">
        <v>0</v>
      </c>
      <c r="AS126">
        <v>0</v>
      </c>
      <c r="AT126">
        <v>223</v>
      </c>
      <c r="AU126">
        <v>114</v>
      </c>
      <c r="AV126">
        <v>109</v>
      </c>
      <c r="AW126">
        <v>0</v>
      </c>
      <c r="AX126">
        <v>7.25</v>
      </c>
      <c r="AY126">
        <v>5</v>
      </c>
      <c r="AZ126">
        <v>2.25</v>
      </c>
      <c r="BA126">
        <v>0</v>
      </c>
      <c r="BB126">
        <v>6</v>
      </c>
      <c r="BC126">
        <v>6</v>
      </c>
      <c r="BD126">
        <v>0</v>
      </c>
      <c r="BE126">
        <v>0</v>
      </c>
    </row>
    <row r="127" spans="1:57">
      <c r="A127" t="s">
        <v>16969</v>
      </c>
      <c r="B127" t="s">
        <v>21071</v>
      </c>
    </row>
    <row r="128" spans="1:57">
      <c r="A128" t="s">
        <v>16969</v>
      </c>
      <c r="B128" t="s">
        <v>19340</v>
      </c>
      <c r="C128">
        <v>0</v>
      </c>
      <c r="D128">
        <v>49</v>
      </c>
      <c r="E128">
        <v>0</v>
      </c>
      <c r="F128">
        <v>49</v>
      </c>
      <c r="G128">
        <v>0</v>
      </c>
      <c r="H128">
        <v>0</v>
      </c>
      <c r="I128">
        <v>0</v>
      </c>
      <c r="J128">
        <v>49</v>
      </c>
      <c r="K128">
        <v>129</v>
      </c>
      <c r="L128">
        <v>32</v>
      </c>
      <c r="M128">
        <v>0</v>
      </c>
      <c r="N128">
        <v>17</v>
      </c>
      <c r="O128">
        <v>0</v>
      </c>
      <c r="P128">
        <v>0</v>
      </c>
      <c r="Q128">
        <v>0</v>
      </c>
      <c r="R128">
        <v>0</v>
      </c>
      <c r="S128">
        <v>28.75</v>
      </c>
      <c r="T128">
        <v>12.25</v>
      </c>
      <c r="U128">
        <v>0</v>
      </c>
      <c r="V128">
        <v>41</v>
      </c>
      <c r="W128">
        <v>532.5</v>
      </c>
      <c r="X128">
        <v>0</v>
      </c>
      <c r="Y128">
        <v>49</v>
      </c>
      <c r="Z128">
        <v>0</v>
      </c>
      <c r="AA128">
        <v>0</v>
      </c>
      <c r="AB128">
        <v>0</v>
      </c>
      <c r="AC128">
        <v>0</v>
      </c>
      <c r="AD128">
        <v>0</v>
      </c>
      <c r="AE128">
        <v>0</v>
      </c>
      <c r="AF128">
        <v>0</v>
      </c>
      <c r="AG128">
        <v>532.5</v>
      </c>
      <c r="AH128">
        <v>532.5</v>
      </c>
      <c r="AI128">
        <v>0</v>
      </c>
      <c r="AJ128">
        <v>0</v>
      </c>
      <c r="AK128">
        <v>0</v>
      </c>
      <c r="AL128">
        <v>0</v>
      </c>
      <c r="AM128">
        <v>0</v>
      </c>
      <c r="AN128">
        <v>0</v>
      </c>
      <c r="AO128">
        <v>0</v>
      </c>
      <c r="AP128">
        <v>0</v>
      </c>
      <c r="AQ128">
        <v>0</v>
      </c>
      <c r="AR128">
        <v>0</v>
      </c>
      <c r="AS128">
        <v>0</v>
      </c>
      <c r="AT128">
        <v>129</v>
      </c>
      <c r="AU128">
        <v>0</v>
      </c>
      <c r="AV128">
        <v>129</v>
      </c>
      <c r="AW128">
        <v>0</v>
      </c>
      <c r="AX128">
        <v>28.75</v>
      </c>
      <c r="AY128">
        <v>0</v>
      </c>
      <c r="AZ128">
        <v>28.75</v>
      </c>
      <c r="BA128">
        <v>0</v>
      </c>
      <c r="BB128">
        <v>12.25</v>
      </c>
      <c r="BC128">
        <v>0</v>
      </c>
      <c r="BD128">
        <v>12.25</v>
      </c>
      <c r="BE128">
        <v>0</v>
      </c>
    </row>
    <row r="129" spans="1:57">
      <c r="A129" t="s">
        <v>16969</v>
      </c>
      <c r="B129" t="s">
        <v>22084</v>
      </c>
      <c r="C129">
        <v>0</v>
      </c>
      <c r="D129">
        <v>5</v>
      </c>
      <c r="E129">
        <v>5</v>
      </c>
      <c r="F129">
        <v>5</v>
      </c>
      <c r="G129">
        <v>2</v>
      </c>
      <c r="H129">
        <v>0</v>
      </c>
      <c r="I129">
        <v>0</v>
      </c>
      <c r="J129">
        <v>5</v>
      </c>
      <c r="K129">
        <v>33</v>
      </c>
      <c r="L129">
        <v>5</v>
      </c>
      <c r="M129">
        <v>0</v>
      </c>
      <c r="N129">
        <v>0</v>
      </c>
      <c r="O129">
        <v>0</v>
      </c>
      <c r="P129">
        <v>0</v>
      </c>
      <c r="Q129">
        <v>0</v>
      </c>
      <c r="R129">
        <v>0</v>
      </c>
      <c r="S129">
        <v>2</v>
      </c>
      <c r="T129">
        <v>0</v>
      </c>
      <c r="U129">
        <v>0</v>
      </c>
      <c r="V129">
        <v>2</v>
      </c>
      <c r="W129">
        <v>20</v>
      </c>
      <c r="X129">
        <v>0</v>
      </c>
      <c r="Y129">
        <v>0</v>
      </c>
      <c r="Z129">
        <v>2</v>
      </c>
      <c r="AA129">
        <v>0</v>
      </c>
      <c r="AB129">
        <v>0</v>
      </c>
      <c r="AC129">
        <v>0</v>
      </c>
      <c r="AD129">
        <v>0</v>
      </c>
      <c r="AE129">
        <v>0</v>
      </c>
      <c r="AF129">
        <v>0</v>
      </c>
      <c r="AG129">
        <v>20</v>
      </c>
      <c r="AH129">
        <v>20</v>
      </c>
      <c r="AI129">
        <v>0</v>
      </c>
      <c r="AJ129">
        <v>0</v>
      </c>
      <c r="AK129">
        <v>0</v>
      </c>
      <c r="AL129">
        <v>0</v>
      </c>
      <c r="AM129">
        <v>0</v>
      </c>
      <c r="AN129">
        <v>0</v>
      </c>
      <c r="AO129">
        <v>0</v>
      </c>
      <c r="AP129">
        <v>0</v>
      </c>
      <c r="AQ129">
        <v>0</v>
      </c>
      <c r="AR129">
        <v>0</v>
      </c>
      <c r="AS129">
        <v>0</v>
      </c>
      <c r="AT129">
        <v>33</v>
      </c>
      <c r="AU129">
        <v>0</v>
      </c>
      <c r="AV129">
        <v>33</v>
      </c>
      <c r="AW129">
        <v>0</v>
      </c>
      <c r="AX129">
        <v>2</v>
      </c>
      <c r="AY129">
        <v>0</v>
      </c>
      <c r="AZ129">
        <v>2</v>
      </c>
      <c r="BA129">
        <v>0</v>
      </c>
      <c r="BB129">
        <v>0</v>
      </c>
      <c r="BC129">
        <v>0</v>
      </c>
      <c r="BD129">
        <v>0</v>
      </c>
      <c r="BE129">
        <v>0</v>
      </c>
    </row>
    <row r="130" spans="1:57">
      <c r="A130" t="s">
        <v>16898</v>
      </c>
      <c r="B130" t="s">
        <v>16934</v>
      </c>
      <c r="C130">
        <v>0</v>
      </c>
      <c r="D130">
        <v>1</v>
      </c>
      <c r="E130">
        <v>1</v>
      </c>
      <c r="F130">
        <v>1</v>
      </c>
      <c r="G130">
        <v>0</v>
      </c>
      <c r="H130">
        <v>0</v>
      </c>
      <c r="I130">
        <v>0</v>
      </c>
      <c r="J130">
        <v>1</v>
      </c>
      <c r="K130">
        <v>11</v>
      </c>
      <c r="L130">
        <v>1</v>
      </c>
      <c r="M130">
        <v>0</v>
      </c>
      <c r="N130">
        <v>0</v>
      </c>
      <c r="O130">
        <v>0</v>
      </c>
      <c r="P130">
        <v>0</v>
      </c>
      <c r="Q130">
        <v>0</v>
      </c>
      <c r="R130">
        <v>0</v>
      </c>
      <c r="S130">
        <v>6</v>
      </c>
      <c r="T130">
        <v>3</v>
      </c>
      <c r="U130">
        <v>0</v>
      </c>
      <c r="V130">
        <v>9</v>
      </c>
      <c r="W130">
        <v>120</v>
      </c>
      <c r="X130">
        <v>0</v>
      </c>
      <c r="Y130">
        <v>0</v>
      </c>
      <c r="Z130">
        <v>1</v>
      </c>
      <c r="AA130">
        <v>0</v>
      </c>
      <c r="AB130">
        <v>60</v>
      </c>
      <c r="AC130">
        <v>0</v>
      </c>
      <c r="AD130">
        <v>0</v>
      </c>
      <c r="AE130">
        <v>60</v>
      </c>
      <c r="AF130">
        <v>60</v>
      </c>
      <c r="AG130">
        <v>120</v>
      </c>
      <c r="AH130">
        <v>60</v>
      </c>
      <c r="AI130">
        <v>0</v>
      </c>
      <c r="AJ130">
        <v>0</v>
      </c>
      <c r="AK130">
        <v>0</v>
      </c>
      <c r="AL130">
        <v>0</v>
      </c>
      <c r="AM130">
        <v>0</v>
      </c>
      <c r="AN130">
        <v>0</v>
      </c>
      <c r="AO130">
        <v>1</v>
      </c>
      <c r="AP130">
        <v>0</v>
      </c>
      <c r="AQ130">
        <v>0</v>
      </c>
      <c r="AR130">
        <v>0</v>
      </c>
      <c r="AS130">
        <v>0</v>
      </c>
      <c r="AT130">
        <v>11</v>
      </c>
      <c r="AU130">
        <v>0</v>
      </c>
      <c r="AV130">
        <v>11</v>
      </c>
      <c r="AW130">
        <v>0</v>
      </c>
      <c r="AX130">
        <v>6</v>
      </c>
      <c r="AY130">
        <v>0</v>
      </c>
      <c r="AZ130">
        <v>6</v>
      </c>
      <c r="BA130">
        <v>0</v>
      </c>
      <c r="BB130">
        <v>3</v>
      </c>
      <c r="BC130">
        <v>0</v>
      </c>
      <c r="BD130">
        <v>3</v>
      </c>
      <c r="BE130">
        <v>0</v>
      </c>
    </row>
    <row r="131" spans="1:57">
      <c r="A131" t="s">
        <v>16898</v>
      </c>
      <c r="B131" t="s">
        <v>16899</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row>
    <row r="132" spans="1:57">
      <c r="A132" t="s">
        <v>16898</v>
      </c>
      <c r="B132" t="s">
        <v>17007</v>
      </c>
      <c r="C132">
        <v>0</v>
      </c>
      <c r="D132">
        <v>1</v>
      </c>
      <c r="E132">
        <v>1</v>
      </c>
      <c r="F132">
        <v>1</v>
      </c>
      <c r="G132">
        <v>0</v>
      </c>
      <c r="H132">
        <v>0</v>
      </c>
      <c r="I132">
        <v>0</v>
      </c>
      <c r="J132">
        <v>1</v>
      </c>
      <c r="K132">
        <v>8</v>
      </c>
      <c r="L132">
        <v>1</v>
      </c>
      <c r="M132">
        <v>0</v>
      </c>
      <c r="N132">
        <v>0</v>
      </c>
      <c r="O132">
        <v>0</v>
      </c>
      <c r="P132">
        <v>0</v>
      </c>
      <c r="Q132">
        <v>0</v>
      </c>
      <c r="R132">
        <v>0</v>
      </c>
      <c r="S132">
        <v>1</v>
      </c>
      <c r="T132">
        <v>0</v>
      </c>
      <c r="U132">
        <v>0</v>
      </c>
      <c r="V132">
        <v>1</v>
      </c>
      <c r="W132">
        <v>10</v>
      </c>
      <c r="X132">
        <v>0</v>
      </c>
      <c r="Y132">
        <v>1</v>
      </c>
      <c r="Z132">
        <v>0</v>
      </c>
      <c r="AA132">
        <v>0</v>
      </c>
      <c r="AB132">
        <v>0</v>
      </c>
      <c r="AC132">
        <v>0</v>
      </c>
      <c r="AD132">
        <v>0</v>
      </c>
      <c r="AE132">
        <v>0</v>
      </c>
      <c r="AF132">
        <v>0</v>
      </c>
      <c r="AG132">
        <v>10</v>
      </c>
      <c r="AH132">
        <v>10</v>
      </c>
      <c r="AI132">
        <v>0</v>
      </c>
      <c r="AJ132">
        <v>0</v>
      </c>
      <c r="AK132">
        <v>0</v>
      </c>
      <c r="AL132">
        <v>0</v>
      </c>
      <c r="AM132">
        <v>0</v>
      </c>
      <c r="AN132">
        <v>0</v>
      </c>
      <c r="AO132">
        <v>0</v>
      </c>
      <c r="AP132">
        <v>0</v>
      </c>
      <c r="AQ132">
        <v>0</v>
      </c>
      <c r="AR132">
        <v>0</v>
      </c>
      <c r="AS132">
        <v>0</v>
      </c>
      <c r="AT132">
        <v>8</v>
      </c>
      <c r="AU132">
        <v>0</v>
      </c>
      <c r="AV132">
        <v>8</v>
      </c>
      <c r="AW132">
        <v>0</v>
      </c>
      <c r="AX132">
        <v>1</v>
      </c>
      <c r="AY132">
        <v>0</v>
      </c>
      <c r="AZ132">
        <v>1</v>
      </c>
      <c r="BA132">
        <v>0</v>
      </c>
      <c r="BB132">
        <v>0</v>
      </c>
      <c r="BC132">
        <v>0</v>
      </c>
      <c r="BD132">
        <v>0</v>
      </c>
      <c r="BE132">
        <v>0</v>
      </c>
    </row>
    <row r="133" spans="1:57">
      <c r="A133" t="s">
        <v>16898</v>
      </c>
      <c r="B133" t="s">
        <v>17032</v>
      </c>
      <c r="C133">
        <v>0</v>
      </c>
      <c r="D133">
        <v>1</v>
      </c>
      <c r="E133">
        <v>0</v>
      </c>
      <c r="F133">
        <v>1</v>
      </c>
      <c r="G133">
        <v>0</v>
      </c>
      <c r="H133">
        <v>0</v>
      </c>
      <c r="I133">
        <v>0</v>
      </c>
      <c r="J133">
        <v>1</v>
      </c>
      <c r="K133">
        <v>1</v>
      </c>
      <c r="L133">
        <v>1</v>
      </c>
      <c r="M133">
        <v>0</v>
      </c>
      <c r="N133">
        <v>0</v>
      </c>
      <c r="O133">
        <v>0</v>
      </c>
      <c r="P133">
        <v>0</v>
      </c>
      <c r="Q133">
        <v>0</v>
      </c>
      <c r="R133">
        <v>0</v>
      </c>
      <c r="S133">
        <v>0.25</v>
      </c>
      <c r="T133">
        <v>0</v>
      </c>
      <c r="U133">
        <v>0</v>
      </c>
      <c r="V133">
        <v>0.25</v>
      </c>
      <c r="W133">
        <v>2.5</v>
      </c>
      <c r="X133">
        <v>0</v>
      </c>
      <c r="Y133">
        <v>1</v>
      </c>
      <c r="Z133">
        <v>0</v>
      </c>
      <c r="AA133">
        <v>0</v>
      </c>
      <c r="AB133">
        <v>0</v>
      </c>
      <c r="AC133">
        <v>0</v>
      </c>
      <c r="AD133">
        <v>0</v>
      </c>
      <c r="AE133">
        <v>0</v>
      </c>
      <c r="AF133">
        <v>0</v>
      </c>
      <c r="AG133">
        <v>2.5</v>
      </c>
      <c r="AH133">
        <v>2.5</v>
      </c>
      <c r="AI133">
        <v>0</v>
      </c>
      <c r="AJ133">
        <v>0</v>
      </c>
      <c r="AK133">
        <v>0</v>
      </c>
      <c r="AL133">
        <v>0</v>
      </c>
      <c r="AM133">
        <v>0</v>
      </c>
      <c r="AN133">
        <v>0</v>
      </c>
      <c r="AO133">
        <v>0</v>
      </c>
      <c r="AP133">
        <v>0</v>
      </c>
      <c r="AQ133">
        <v>0</v>
      </c>
      <c r="AR133">
        <v>0</v>
      </c>
      <c r="AS133">
        <v>0</v>
      </c>
      <c r="AT133">
        <v>1</v>
      </c>
      <c r="AU133">
        <v>0</v>
      </c>
      <c r="AV133">
        <v>1</v>
      </c>
      <c r="AW133">
        <v>0</v>
      </c>
      <c r="AX133">
        <v>0.25</v>
      </c>
      <c r="AY133">
        <v>0</v>
      </c>
      <c r="AZ133">
        <v>0.25</v>
      </c>
      <c r="BA133">
        <v>0</v>
      </c>
      <c r="BB133">
        <v>0</v>
      </c>
      <c r="BC133">
        <v>0</v>
      </c>
      <c r="BD133">
        <v>0</v>
      </c>
      <c r="BE133">
        <v>0</v>
      </c>
    </row>
    <row r="134" spans="1:57">
      <c r="A134" t="s">
        <v>16898</v>
      </c>
      <c r="B134" t="s">
        <v>17009</v>
      </c>
      <c r="C134">
        <v>0</v>
      </c>
      <c r="D134">
        <v>4</v>
      </c>
      <c r="E134">
        <v>0</v>
      </c>
      <c r="F134">
        <v>4</v>
      </c>
      <c r="G134">
        <v>0</v>
      </c>
      <c r="H134">
        <v>0</v>
      </c>
      <c r="I134">
        <v>0</v>
      </c>
      <c r="J134">
        <v>4</v>
      </c>
      <c r="K134">
        <v>41</v>
      </c>
      <c r="L134">
        <v>3</v>
      </c>
      <c r="M134">
        <v>0</v>
      </c>
      <c r="N134">
        <v>1</v>
      </c>
      <c r="O134">
        <v>0</v>
      </c>
      <c r="P134">
        <v>0</v>
      </c>
      <c r="Q134">
        <v>0</v>
      </c>
      <c r="R134">
        <v>0</v>
      </c>
      <c r="S134">
        <v>7.75</v>
      </c>
      <c r="T134">
        <v>2</v>
      </c>
      <c r="U134">
        <v>0</v>
      </c>
      <c r="V134">
        <v>9.75</v>
      </c>
      <c r="W134">
        <v>117.5</v>
      </c>
      <c r="X134">
        <v>0</v>
      </c>
      <c r="Y134">
        <v>4</v>
      </c>
      <c r="Z134">
        <v>0</v>
      </c>
      <c r="AA134">
        <v>0</v>
      </c>
      <c r="AB134">
        <v>60</v>
      </c>
      <c r="AC134">
        <v>0</v>
      </c>
      <c r="AD134">
        <v>0</v>
      </c>
      <c r="AE134">
        <v>60</v>
      </c>
      <c r="AF134">
        <v>60</v>
      </c>
      <c r="AG134">
        <v>117.5</v>
      </c>
      <c r="AH134">
        <v>57.5</v>
      </c>
      <c r="AI134">
        <v>0</v>
      </c>
      <c r="AJ134">
        <v>0</v>
      </c>
      <c r="AK134">
        <v>0</v>
      </c>
      <c r="AL134">
        <v>0</v>
      </c>
      <c r="AM134">
        <v>0</v>
      </c>
      <c r="AN134">
        <v>0</v>
      </c>
      <c r="AO134">
        <v>1</v>
      </c>
      <c r="AP134">
        <v>0</v>
      </c>
      <c r="AQ134">
        <v>0</v>
      </c>
      <c r="AR134">
        <v>0</v>
      </c>
      <c r="AS134">
        <v>0</v>
      </c>
      <c r="AT134">
        <v>41</v>
      </c>
      <c r="AU134">
        <v>0</v>
      </c>
      <c r="AV134">
        <v>41</v>
      </c>
      <c r="AW134">
        <v>0</v>
      </c>
      <c r="AX134">
        <v>7.75</v>
      </c>
      <c r="AY134">
        <v>0</v>
      </c>
      <c r="AZ134">
        <v>7.75</v>
      </c>
      <c r="BA134">
        <v>0</v>
      </c>
      <c r="BB134">
        <v>2</v>
      </c>
      <c r="BC134">
        <v>0</v>
      </c>
      <c r="BD134">
        <v>2</v>
      </c>
      <c r="BE134">
        <v>0</v>
      </c>
    </row>
    <row r="135" spans="1:57">
      <c r="A135" t="s">
        <v>16898</v>
      </c>
      <c r="B135" t="s">
        <v>18812</v>
      </c>
      <c r="C135">
        <v>10</v>
      </c>
      <c r="D135">
        <v>10</v>
      </c>
      <c r="E135">
        <v>0</v>
      </c>
      <c r="F135">
        <v>10</v>
      </c>
      <c r="G135">
        <v>0</v>
      </c>
      <c r="H135">
        <v>0</v>
      </c>
      <c r="I135">
        <v>0</v>
      </c>
      <c r="J135">
        <v>10</v>
      </c>
      <c r="K135">
        <v>10</v>
      </c>
      <c r="L135">
        <v>10</v>
      </c>
      <c r="M135">
        <v>0</v>
      </c>
      <c r="N135">
        <v>0</v>
      </c>
      <c r="O135">
        <v>0</v>
      </c>
      <c r="P135">
        <v>0</v>
      </c>
      <c r="Q135">
        <v>0</v>
      </c>
      <c r="R135">
        <v>0</v>
      </c>
      <c r="S135">
        <v>0</v>
      </c>
      <c r="T135">
        <v>2.5</v>
      </c>
      <c r="U135">
        <v>0</v>
      </c>
      <c r="V135">
        <v>2.5</v>
      </c>
      <c r="W135">
        <v>0</v>
      </c>
      <c r="X135">
        <v>0</v>
      </c>
      <c r="Y135">
        <v>0</v>
      </c>
      <c r="Z135">
        <v>0</v>
      </c>
      <c r="AA135">
        <v>-50</v>
      </c>
      <c r="AB135">
        <v>0</v>
      </c>
      <c r="AC135">
        <v>17</v>
      </c>
      <c r="AD135">
        <v>17</v>
      </c>
      <c r="AE135">
        <v>2.5</v>
      </c>
      <c r="AF135">
        <v>17</v>
      </c>
      <c r="AG135">
        <v>17</v>
      </c>
      <c r="AH135">
        <v>14.5</v>
      </c>
      <c r="AI135">
        <v>0</v>
      </c>
      <c r="AJ135">
        <v>0</v>
      </c>
      <c r="AK135">
        <v>0</v>
      </c>
      <c r="AL135">
        <v>0</v>
      </c>
      <c r="AM135">
        <v>2</v>
      </c>
      <c r="AN135">
        <v>0</v>
      </c>
      <c r="AO135">
        <v>0</v>
      </c>
      <c r="AP135">
        <v>0</v>
      </c>
      <c r="AQ135">
        <v>0</v>
      </c>
      <c r="AR135">
        <v>0</v>
      </c>
      <c r="AS135">
        <v>0</v>
      </c>
      <c r="AT135">
        <v>10</v>
      </c>
      <c r="AU135">
        <v>0</v>
      </c>
      <c r="AV135">
        <v>0</v>
      </c>
      <c r="AW135">
        <v>10</v>
      </c>
      <c r="AX135">
        <v>0</v>
      </c>
      <c r="AY135">
        <v>0</v>
      </c>
      <c r="AZ135">
        <v>0</v>
      </c>
      <c r="BA135">
        <v>0</v>
      </c>
      <c r="BB135">
        <v>2.5</v>
      </c>
      <c r="BC135">
        <v>0</v>
      </c>
      <c r="BD135">
        <v>0</v>
      </c>
      <c r="BE135">
        <v>2.5</v>
      </c>
    </row>
    <row r="136" spans="1:57">
      <c r="A136" t="s">
        <v>16898</v>
      </c>
      <c r="B136" t="s">
        <v>18813</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row>
    <row r="137" spans="1:57">
      <c r="A137" t="s">
        <v>16898</v>
      </c>
      <c r="B137" t="s">
        <v>21072</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7">
      <c r="A138" t="s">
        <v>16898</v>
      </c>
      <c r="B138" t="s">
        <v>17205</v>
      </c>
      <c r="C138">
        <v>1</v>
      </c>
      <c r="D138">
        <v>9</v>
      </c>
      <c r="E138">
        <v>9</v>
      </c>
      <c r="F138">
        <v>9</v>
      </c>
      <c r="G138">
        <v>0</v>
      </c>
      <c r="H138">
        <v>1</v>
      </c>
      <c r="I138">
        <v>0</v>
      </c>
      <c r="J138">
        <v>9</v>
      </c>
      <c r="K138">
        <v>25</v>
      </c>
      <c r="L138">
        <v>1</v>
      </c>
      <c r="M138">
        <v>7</v>
      </c>
      <c r="N138">
        <v>1</v>
      </c>
      <c r="O138">
        <v>0</v>
      </c>
      <c r="P138">
        <v>0</v>
      </c>
      <c r="Q138">
        <v>0</v>
      </c>
      <c r="R138">
        <v>0</v>
      </c>
      <c r="S138">
        <v>0.5</v>
      </c>
      <c r="T138">
        <v>0.5</v>
      </c>
      <c r="U138">
        <v>0</v>
      </c>
      <c r="V138">
        <v>1</v>
      </c>
      <c r="W138">
        <v>7.5</v>
      </c>
      <c r="X138">
        <v>0</v>
      </c>
      <c r="Y138">
        <v>1</v>
      </c>
      <c r="Z138">
        <v>0</v>
      </c>
      <c r="AA138">
        <v>-7.5</v>
      </c>
      <c r="AB138">
        <v>0</v>
      </c>
      <c r="AC138">
        <v>0</v>
      </c>
      <c r="AD138">
        <v>0</v>
      </c>
      <c r="AE138">
        <v>0</v>
      </c>
      <c r="AF138">
        <v>0</v>
      </c>
      <c r="AG138">
        <v>7.5</v>
      </c>
      <c r="AH138">
        <v>7.5</v>
      </c>
      <c r="AI138">
        <v>0</v>
      </c>
      <c r="AJ138">
        <v>0</v>
      </c>
      <c r="AK138">
        <v>0</v>
      </c>
      <c r="AL138">
        <v>0</v>
      </c>
      <c r="AM138">
        <v>0</v>
      </c>
      <c r="AN138">
        <v>0</v>
      </c>
      <c r="AO138">
        <v>0</v>
      </c>
      <c r="AP138">
        <v>0</v>
      </c>
      <c r="AQ138">
        <v>0</v>
      </c>
      <c r="AR138">
        <v>0</v>
      </c>
      <c r="AS138">
        <v>0</v>
      </c>
      <c r="AT138">
        <v>25</v>
      </c>
      <c r="AU138">
        <v>8</v>
      </c>
      <c r="AV138">
        <v>17</v>
      </c>
      <c r="AW138">
        <v>8</v>
      </c>
      <c r="AX138">
        <v>0.5</v>
      </c>
      <c r="AY138">
        <v>0.25</v>
      </c>
      <c r="AZ138">
        <v>0.25</v>
      </c>
      <c r="BA138">
        <v>0.25</v>
      </c>
      <c r="BB138">
        <v>0.5</v>
      </c>
      <c r="BC138">
        <v>0.25</v>
      </c>
      <c r="BD138">
        <v>0.25</v>
      </c>
      <c r="BE138">
        <v>0.25</v>
      </c>
    </row>
    <row r="139" spans="1:57">
      <c r="A139" t="s">
        <v>16898</v>
      </c>
      <c r="B139" t="s">
        <v>19976</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row>
    <row r="140" spans="1:57">
      <c r="A140" t="s">
        <v>16898</v>
      </c>
      <c r="B140" t="s">
        <v>17010</v>
      </c>
      <c r="C140">
        <v>0</v>
      </c>
      <c r="D140">
        <v>23</v>
      </c>
      <c r="E140">
        <v>23</v>
      </c>
      <c r="F140">
        <v>22</v>
      </c>
      <c r="G140">
        <v>0</v>
      </c>
      <c r="H140">
        <v>0</v>
      </c>
      <c r="I140">
        <v>0</v>
      </c>
      <c r="J140">
        <v>22</v>
      </c>
      <c r="K140">
        <v>192</v>
      </c>
      <c r="L140">
        <v>5</v>
      </c>
      <c r="M140">
        <v>3</v>
      </c>
      <c r="N140">
        <v>10</v>
      </c>
      <c r="O140">
        <v>4</v>
      </c>
      <c r="P140">
        <v>0</v>
      </c>
      <c r="Q140">
        <v>0</v>
      </c>
      <c r="R140">
        <v>0</v>
      </c>
      <c r="S140">
        <v>10.75</v>
      </c>
      <c r="T140">
        <v>13</v>
      </c>
      <c r="U140">
        <v>0</v>
      </c>
      <c r="V140">
        <v>23.75</v>
      </c>
      <c r="W140">
        <v>367.5</v>
      </c>
      <c r="X140">
        <v>0</v>
      </c>
      <c r="Y140">
        <v>22</v>
      </c>
      <c r="Z140">
        <v>0</v>
      </c>
      <c r="AA140">
        <v>0</v>
      </c>
      <c r="AB140">
        <v>10</v>
      </c>
      <c r="AC140">
        <v>82.25</v>
      </c>
      <c r="AD140">
        <v>82.25</v>
      </c>
      <c r="AE140">
        <v>76.5</v>
      </c>
      <c r="AF140">
        <v>92.25</v>
      </c>
      <c r="AG140">
        <v>449.75</v>
      </c>
      <c r="AH140">
        <v>373.25</v>
      </c>
      <c r="AI140">
        <v>0</v>
      </c>
      <c r="AJ140">
        <v>0</v>
      </c>
      <c r="AK140">
        <v>0</v>
      </c>
      <c r="AL140">
        <v>0</v>
      </c>
      <c r="AM140">
        <v>0</v>
      </c>
      <c r="AN140">
        <v>5</v>
      </c>
      <c r="AO140">
        <v>0</v>
      </c>
      <c r="AP140">
        <v>0</v>
      </c>
      <c r="AQ140">
        <v>0</v>
      </c>
      <c r="AR140">
        <v>0</v>
      </c>
      <c r="AS140">
        <v>0</v>
      </c>
      <c r="AT140">
        <v>192</v>
      </c>
      <c r="AU140">
        <v>0</v>
      </c>
      <c r="AV140">
        <v>192</v>
      </c>
      <c r="AW140">
        <v>0</v>
      </c>
      <c r="AX140">
        <v>10.75</v>
      </c>
      <c r="AY140">
        <v>0</v>
      </c>
      <c r="AZ140">
        <v>10.75</v>
      </c>
      <c r="BA140">
        <v>0</v>
      </c>
      <c r="BB140">
        <v>13</v>
      </c>
      <c r="BC140">
        <v>0</v>
      </c>
      <c r="BD140">
        <v>13</v>
      </c>
      <c r="BE140">
        <v>0</v>
      </c>
    </row>
    <row r="141" spans="1:57">
      <c r="A141" t="s">
        <v>16898</v>
      </c>
      <c r="B141" t="s">
        <v>19977</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row>
    <row r="142" spans="1:57">
      <c r="A142" t="s">
        <v>16898</v>
      </c>
      <c r="B142" t="s">
        <v>17011</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row>
    <row r="143" spans="1:57">
      <c r="A143" t="s">
        <v>16898</v>
      </c>
      <c r="B143" t="s">
        <v>17033</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row>
    <row r="144" spans="1:57">
      <c r="A144" t="s">
        <v>16898</v>
      </c>
      <c r="B144" t="s">
        <v>17034</v>
      </c>
      <c r="C144">
        <v>0</v>
      </c>
      <c r="D144">
        <v>1</v>
      </c>
      <c r="E144">
        <v>1</v>
      </c>
      <c r="F144">
        <v>1</v>
      </c>
      <c r="G144">
        <v>0</v>
      </c>
      <c r="H144">
        <v>0</v>
      </c>
      <c r="I144">
        <v>0</v>
      </c>
      <c r="J144">
        <v>1</v>
      </c>
      <c r="K144">
        <v>3</v>
      </c>
      <c r="L144">
        <v>1</v>
      </c>
      <c r="M144">
        <v>0</v>
      </c>
      <c r="N144">
        <v>0</v>
      </c>
      <c r="O144">
        <v>0</v>
      </c>
      <c r="P144">
        <v>0</v>
      </c>
      <c r="Q144">
        <v>0</v>
      </c>
      <c r="R144">
        <v>0</v>
      </c>
      <c r="S144">
        <v>0.25</v>
      </c>
      <c r="T144">
        <v>0</v>
      </c>
      <c r="U144">
        <v>0</v>
      </c>
      <c r="V144">
        <v>0.25</v>
      </c>
      <c r="W144">
        <v>2.5</v>
      </c>
      <c r="X144">
        <v>0</v>
      </c>
      <c r="Y144">
        <v>1</v>
      </c>
      <c r="Z144">
        <v>0</v>
      </c>
      <c r="AA144">
        <v>0</v>
      </c>
      <c r="AB144">
        <v>0</v>
      </c>
      <c r="AC144">
        <v>0</v>
      </c>
      <c r="AD144">
        <v>0</v>
      </c>
      <c r="AE144">
        <v>0</v>
      </c>
      <c r="AF144">
        <v>0</v>
      </c>
      <c r="AG144">
        <v>2.5</v>
      </c>
      <c r="AH144">
        <v>2.5</v>
      </c>
      <c r="AI144">
        <v>0</v>
      </c>
      <c r="AJ144">
        <v>0</v>
      </c>
      <c r="AK144">
        <v>0</v>
      </c>
      <c r="AL144">
        <v>0</v>
      </c>
      <c r="AM144">
        <v>0</v>
      </c>
      <c r="AN144">
        <v>0</v>
      </c>
      <c r="AO144">
        <v>0</v>
      </c>
      <c r="AP144">
        <v>0</v>
      </c>
      <c r="AQ144">
        <v>0</v>
      </c>
      <c r="AR144">
        <v>0</v>
      </c>
      <c r="AS144">
        <v>0</v>
      </c>
      <c r="AT144">
        <v>3</v>
      </c>
      <c r="AU144">
        <v>0</v>
      </c>
      <c r="AV144">
        <v>3</v>
      </c>
      <c r="AW144">
        <v>0</v>
      </c>
      <c r="AX144">
        <v>0.25</v>
      </c>
      <c r="AY144">
        <v>0</v>
      </c>
      <c r="AZ144">
        <v>0.25</v>
      </c>
      <c r="BA144">
        <v>0</v>
      </c>
      <c r="BB144">
        <v>0</v>
      </c>
      <c r="BC144">
        <v>0</v>
      </c>
      <c r="BD144">
        <v>0</v>
      </c>
      <c r="BE144">
        <v>0</v>
      </c>
    </row>
    <row r="145" spans="1:57">
      <c r="A145" t="s">
        <v>17035</v>
      </c>
      <c r="B145" t="s">
        <v>17507</v>
      </c>
      <c r="C145">
        <v>1</v>
      </c>
      <c r="D145">
        <v>46</v>
      </c>
      <c r="E145">
        <v>44</v>
      </c>
      <c r="F145">
        <v>29</v>
      </c>
      <c r="G145">
        <v>0</v>
      </c>
      <c r="H145">
        <v>0</v>
      </c>
      <c r="I145">
        <v>0</v>
      </c>
      <c r="J145">
        <v>44</v>
      </c>
      <c r="K145">
        <v>449</v>
      </c>
      <c r="L145">
        <v>7</v>
      </c>
      <c r="M145">
        <v>3</v>
      </c>
      <c r="N145">
        <v>13</v>
      </c>
      <c r="O145">
        <v>21</v>
      </c>
      <c r="P145">
        <v>0</v>
      </c>
      <c r="Q145">
        <v>0</v>
      </c>
      <c r="R145">
        <v>0</v>
      </c>
      <c r="S145">
        <v>85</v>
      </c>
      <c r="T145">
        <v>106</v>
      </c>
      <c r="U145">
        <v>0</v>
      </c>
      <c r="V145">
        <v>191</v>
      </c>
      <c r="W145">
        <v>2970</v>
      </c>
      <c r="X145">
        <v>0</v>
      </c>
      <c r="Y145">
        <v>4</v>
      </c>
      <c r="Z145">
        <v>0</v>
      </c>
      <c r="AA145">
        <v>0</v>
      </c>
      <c r="AB145">
        <v>2870</v>
      </c>
      <c r="AC145">
        <v>0</v>
      </c>
      <c r="AD145">
        <v>0</v>
      </c>
      <c r="AE145">
        <v>70</v>
      </c>
      <c r="AF145">
        <v>2750</v>
      </c>
      <c r="AG145">
        <v>2820</v>
      </c>
      <c r="AH145">
        <v>2750</v>
      </c>
      <c r="AI145">
        <v>0</v>
      </c>
      <c r="AJ145">
        <v>0</v>
      </c>
      <c r="AK145">
        <v>0</v>
      </c>
      <c r="AL145">
        <v>0</v>
      </c>
      <c r="AM145">
        <v>0</v>
      </c>
      <c r="AN145">
        <v>0</v>
      </c>
      <c r="AO145">
        <v>1</v>
      </c>
      <c r="AP145">
        <v>0</v>
      </c>
      <c r="AQ145">
        <v>0</v>
      </c>
      <c r="AR145">
        <v>0</v>
      </c>
      <c r="AS145">
        <v>0</v>
      </c>
      <c r="AT145">
        <v>449</v>
      </c>
      <c r="AU145">
        <v>0</v>
      </c>
      <c r="AV145">
        <v>434</v>
      </c>
      <c r="AW145">
        <v>11</v>
      </c>
      <c r="AX145">
        <v>82</v>
      </c>
      <c r="AY145">
        <v>0</v>
      </c>
      <c r="AZ145">
        <v>82</v>
      </c>
      <c r="BA145">
        <v>0</v>
      </c>
      <c r="BB145">
        <v>100</v>
      </c>
      <c r="BC145">
        <v>0</v>
      </c>
      <c r="BD145">
        <v>100</v>
      </c>
      <c r="BE145">
        <v>0</v>
      </c>
    </row>
    <row r="146" spans="1:57">
      <c r="A146" t="s">
        <v>16932</v>
      </c>
      <c r="B146" t="s">
        <v>17371</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row>
    <row r="147" spans="1:57">
      <c r="A147" t="s">
        <v>16932</v>
      </c>
      <c r="B147" t="s">
        <v>17361</v>
      </c>
      <c r="C147">
        <v>0</v>
      </c>
      <c r="D147">
        <v>4</v>
      </c>
      <c r="E147">
        <v>0</v>
      </c>
      <c r="F147">
        <v>4</v>
      </c>
      <c r="G147">
        <v>0</v>
      </c>
      <c r="H147">
        <v>1</v>
      </c>
      <c r="I147">
        <v>1</v>
      </c>
      <c r="J147">
        <v>4</v>
      </c>
      <c r="K147">
        <v>24</v>
      </c>
      <c r="L147">
        <v>1</v>
      </c>
      <c r="M147">
        <v>1</v>
      </c>
      <c r="N147">
        <v>1</v>
      </c>
      <c r="O147">
        <v>1</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24</v>
      </c>
      <c r="AU147">
        <v>13</v>
      </c>
      <c r="AV147">
        <v>11</v>
      </c>
      <c r="AW147">
        <v>0</v>
      </c>
      <c r="AX147">
        <v>0</v>
      </c>
      <c r="AY147">
        <v>0</v>
      </c>
      <c r="AZ147">
        <v>0</v>
      </c>
      <c r="BA147">
        <v>0</v>
      </c>
      <c r="BB147">
        <v>0</v>
      </c>
      <c r="BC147">
        <v>0</v>
      </c>
      <c r="BD147">
        <v>0</v>
      </c>
      <c r="BE147">
        <v>0</v>
      </c>
    </row>
    <row r="148" spans="1:57">
      <c r="A148" t="s">
        <v>16932</v>
      </c>
      <c r="B148" t="s">
        <v>17036</v>
      </c>
      <c r="C148">
        <v>3</v>
      </c>
      <c r="D148">
        <v>46</v>
      </c>
      <c r="E148">
        <v>46</v>
      </c>
      <c r="F148">
        <v>46</v>
      </c>
      <c r="G148">
        <v>3</v>
      </c>
      <c r="H148">
        <v>20</v>
      </c>
      <c r="I148">
        <v>0</v>
      </c>
      <c r="J148">
        <v>46</v>
      </c>
      <c r="K148">
        <v>279</v>
      </c>
      <c r="L148">
        <v>22</v>
      </c>
      <c r="M148">
        <v>3</v>
      </c>
      <c r="N148">
        <v>10</v>
      </c>
      <c r="O148">
        <v>5</v>
      </c>
      <c r="P148">
        <v>0</v>
      </c>
      <c r="Q148">
        <v>1</v>
      </c>
      <c r="R148">
        <v>0</v>
      </c>
      <c r="S148">
        <v>46.75</v>
      </c>
      <c r="T148">
        <v>28</v>
      </c>
      <c r="U148">
        <v>3.5</v>
      </c>
      <c r="V148">
        <v>78.25</v>
      </c>
      <c r="W148">
        <v>975</v>
      </c>
      <c r="X148">
        <v>0</v>
      </c>
      <c r="Y148">
        <v>16</v>
      </c>
      <c r="Z148">
        <v>0</v>
      </c>
      <c r="AA148">
        <v>-42.5</v>
      </c>
      <c r="AB148">
        <v>650</v>
      </c>
      <c r="AC148">
        <v>818.5</v>
      </c>
      <c r="AD148">
        <v>818.5</v>
      </c>
      <c r="AE148">
        <v>350.5</v>
      </c>
      <c r="AF148">
        <v>1468.5</v>
      </c>
      <c r="AG148">
        <v>1863.5</v>
      </c>
      <c r="AH148">
        <v>1513</v>
      </c>
      <c r="AI148">
        <v>0</v>
      </c>
      <c r="AJ148">
        <v>646.5</v>
      </c>
      <c r="AK148">
        <v>819</v>
      </c>
      <c r="AL148">
        <v>819</v>
      </c>
      <c r="AM148">
        <v>0</v>
      </c>
      <c r="AN148">
        <v>0</v>
      </c>
      <c r="AO148">
        <v>0</v>
      </c>
      <c r="AP148">
        <v>1</v>
      </c>
      <c r="AQ148">
        <v>0</v>
      </c>
      <c r="AR148">
        <v>0</v>
      </c>
      <c r="AS148">
        <v>0</v>
      </c>
      <c r="AT148">
        <v>279</v>
      </c>
      <c r="AU148">
        <v>105</v>
      </c>
      <c r="AV148">
        <v>152</v>
      </c>
      <c r="AW148">
        <v>15</v>
      </c>
      <c r="AX148">
        <v>46.75</v>
      </c>
      <c r="AY148">
        <v>29.75</v>
      </c>
      <c r="AZ148">
        <v>14.25</v>
      </c>
      <c r="BA148">
        <v>1.75</v>
      </c>
      <c r="BB148">
        <v>28</v>
      </c>
      <c r="BC148">
        <v>14.25</v>
      </c>
      <c r="BD148">
        <v>12.5</v>
      </c>
      <c r="BE148">
        <v>1.25</v>
      </c>
    </row>
    <row r="149" spans="1:57">
      <c r="A149" t="s">
        <v>16932</v>
      </c>
      <c r="B149" t="s">
        <v>18815</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row>
    <row r="150" spans="1:57">
      <c r="A150" t="s">
        <v>16932</v>
      </c>
      <c r="B150" t="s">
        <v>17360</v>
      </c>
      <c r="C150">
        <v>0</v>
      </c>
      <c r="D150">
        <v>7</v>
      </c>
      <c r="E150">
        <v>0</v>
      </c>
      <c r="F150">
        <v>5</v>
      </c>
      <c r="G150">
        <v>0</v>
      </c>
      <c r="H150">
        <v>0</v>
      </c>
      <c r="I150">
        <v>0</v>
      </c>
      <c r="J150">
        <v>7</v>
      </c>
      <c r="K150">
        <v>57</v>
      </c>
      <c r="L150">
        <v>6</v>
      </c>
      <c r="M150">
        <v>1</v>
      </c>
      <c r="N150">
        <v>0</v>
      </c>
      <c r="O150">
        <v>0</v>
      </c>
      <c r="P150">
        <v>0</v>
      </c>
      <c r="Q150">
        <v>0</v>
      </c>
      <c r="R150">
        <v>0</v>
      </c>
      <c r="S150">
        <v>0</v>
      </c>
      <c r="T150">
        <v>1.5</v>
      </c>
      <c r="U150">
        <v>0</v>
      </c>
      <c r="V150">
        <v>1.5</v>
      </c>
      <c r="W150">
        <v>30</v>
      </c>
      <c r="X150">
        <v>0</v>
      </c>
      <c r="Y150">
        <v>1</v>
      </c>
      <c r="Z150">
        <v>0</v>
      </c>
      <c r="AA150">
        <v>0</v>
      </c>
      <c r="AB150">
        <v>0</v>
      </c>
      <c r="AC150">
        <v>143.94999999999999</v>
      </c>
      <c r="AD150">
        <v>143.94999999999999</v>
      </c>
      <c r="AE150">
        <v>143.94999999999999</v>
      </c>
      <c r="AF150">
        <v>143.94999999999999</v>
      </c>
      <c r="AG150">
        <v>173.95</v>
      </c>
      <c r="AH150">
        <v>30</v>
      </c>
      <c r="AI150">
        <v>0</v>
      </c>
      <c r="AJ150">
        <v>0</v>
      </c>
      <c r="AK150">
        <v>0</v>
      </c>
      <c r="AL150">
        <v>0</v>
      </c>
      <c r="AM150">
        <v>0</v>
      </c>
      <c r="AN150">
        <v>1</v>
      </c>
      <c r="AO150">
        <v>0</v>
      </c>
      <c r="AP150">
        <v>1</v>
      </c>
      <c r="AQ150">
        <v>0</v>
      </c>
      <c r="AR150">
        <v>0</v>
      </c>
      <c r="AS150">
        <v>0</v>
      </c>
      <c r="AT150">
        <v>57</v>
      </c>
      <c r="AU150">
        <v>0</v>
      </c>
      <c r="AV150">
        <v>57</v>
      </c>
      <c r="AW150">
        <v>0</v>
      </c>
      <c r="AX150">
        <v>0</v>
      </c>
      <c r="AY150">
        <v>0</v>
      </c>
      <c r="AZ150">
        <v>0</v>
      </c>
      <c r="BA150">
        <v>0</v>
      </c>
      <c r="BB150">
        <v>1.5</v>
      </c>
      <c r="BC150">
        <v>0</v>
      </c>
      <c r="BD150">
        <v>1.5</v>
      </c>
      <c r="BE150">
        <v>0</v>
      </c>
    </row>
    <row r="151" spans="1:57">
      <c r="A151" t="s">
        <v>16932</v>
      </c>
      <c r="B151" t="s">
        <v>18816</v>
      </c>
      <c r="C151">
        <v>0</v>
      </c>
      <c r="D151">
        <v>7</v>
      </c>
      <c r="E151">
        <v>7</v>
      </c>
      <c r="F151">
        <v>7</v>
      </c>
      <c r="G151">
        <v>2</v>
      </c>
      <c r="H151">
        <v>0</v>
      </c>
      <c r="I151">
        <v>0</v>
      </c>
      <c r="J151">
        <v>7</v>
      </c>
      <c r="K151">
        <v>47</v>
      </c>
      <c r="L151">
        <v>4</v>
      </c>
      <c r="M151">
        <v>3</v>
      </c>
      <c r="N151">
        <v>0</v>
      </c>
      <c r="O151">
        <v>0</v>
      </c>
      <c r="P151">
        <v>0</v>
      </c>
      <c r="Q151">
        <v>0</v>
      </c>
      <c r="R151">
        <v>0</v>
      </c>
      <c r="S151">
        <v>6.5</v>
      </c>
      <c r="T151">
        <v>0</v>
      </c>
      <c r="U151">
        <v>0</v>
      </c>
      <c r="V151">
        <v>6.25</v>
      </c>
      <c r="W151">
        <v>62.5</v>
      </c>
      <c r="X151">
        <v>0</v>
      </c>
      <c r="Y151">
        <v>4</v>
      </c>
      <c r="Z151">
        <v>0</v>
      </c>
      <c r="AA151">
        <v>0</v>
      </c>
      <c r="AB151">
        <v>10</v>
      </c>
      <c r="AC151">
        <v>0</v>
      </c>
      <c r="AD151">
        <v>0</v>
      </c>
      <c r="AE151">
        <v>0</v>
      </c>
      <c r="AF151">
        <v>10</v>
      </c>
      <c r="AG151">
        <v>62.5</v>
      </c>
      <c r="AH151">
        <v>62.5</v>
      </c>
      <c r="AI151">
        <v>0</v>
      </c>
      <c r="AJ151">
        <v>0</v>
      </c>
      <c r="AK151">
        <v>0</v>
      </c>
      <c r="AL151">
        <v>0</v>
      </c>
      <c r="AM151">
        <v>0</v>
      </c>
      <c r="AN151">
        <v>0</v>
      </c>
      <c r="AO151">
        <v>0</v>
      </c>
      <c r="AP151">
        <v>0</v>
      </c>
      <c r="AQ151">
        <v>0</v>
      </c>
      <c r="AR151">
        <v>0</v>
      </c>
      <c r="AS151">
        <v>0</v>
      </c>
      <c r="AT151">
        <v>47</v>
      </c>
      <c r="AU151">
        <v>0</v>
      </c>
      <c r="AV151">
        <v>47</v>
      </c>
      <c r="AW151">
        <v>0</v>
      </c>
      <c r="AX151">
        <v>6.5</v>
      </c>
      <c r="AY151">
        <v>0</v>
      </c>
      <c r="AZ151">
        <v>6.5</v>
      </c>
      <c r="BA151">
        <v>0</v>
      </c>
      <c r="BB151">
        <v>0</v>
      </c>
      <c r="BC151">
        <v>0</v>
      </c>
      <c r="BD151">
        <v>0</v>
      </c>
      <c r="BE151">
        <v>0</v>
      </c>
    </row>
    <row r="152" spans="1:57">
      <c r="A152" t="s">
        <v>16932</v>
      </c>
      <c r="B152" t="s">
        <v>18817</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row>
    <row r="153" spans="1:57">
      <c r="A153" t="s">
        <v>16932</v>
      </c>
      <c r="B153" t="s">
        <v>21064</v>
      </c>
      <c r="C153">
        <v>0</v>
      </c>
      <c r="D153">
        <v>6</v>
      </c>
      <c r="E153">
        <v>6</v>
      </c>
      <c r="F153">
        <v>6</v>
      </c>
      <c r="G153">
        <v>2</v>
      </c>
      <c r="H153">
        <v>0</v>
      </c>
      <c r="I153">
        <v>0</v>
      </c>
      <c r="J153">
        <v>6</v>
      </c>
      <c r="K153">
        <v>119</v>
      </c>
      <c r="L153">
        <v>3</v>
      </c>
      <c r="M153">
        <v>0</v>
      </c>
      <c r="N153">
        <v>0</v>
      </c>
      <c r="O153">
        <v>3</v>
      </c>
      <c r="P153">
        <v>0</v>
      </c>
      <c r="Q153">
        <v>0</v>
      </c>
      <c r="R153">
        <v>0</v>
      </c>
      <c r="S153">
        <v>1</v>
      </c>
      <c r="T153">
        <v>5</v>
      </c>
      <c r="U153">
        <v>0</v>
      </c>
      <c r="V153">
        <v>6</v>
      </c>
      <c r="W153">
        <v>110</v>
      </c>
      <c r="X153">
        <v>0</v>
      </c>
      <c r="Y153">
        <v>3</v>
      </c>
      <c r="Z153">
        <v>0</v>
      </c>
      <c r="AA153">
        <v>0</v>
      </c>
      <c r="AB153">
        <v>40</v>
      </c>
      <c r="AC153">
        <v>0</v>
      </c>
      <c r="AD153">
        <v>0</v>
      </c>
      <c r="AE153">
        <v>40</v>
      </c>
      <c r="AF153">
        <v>40</v>
      </c>
      <c r="AG153">
        <v>110</v>
      </c>
      <c r="AH153">
        <v>70</v>
      </c>
      <c r="AI153">
        <v>0</v>
      </c>
      <c r="AJ153">
        <v>0</v>
      </c>
      <c r="AK153">
        <v>0</v>
      </c>
      <c r="AL153">
        <v>0</v>
      </c>
      <c r="AM153">
        <v>0</v>
      </c>
      <c r="AN153">
        <v>2</v>
      </c>
      <c r="AO153">
        <v>0</v>
      </c>
      <c r="AP153">
        <v>0</v>
      </c>
      <c r="AQ153">
        <v>0</v>
      </c>
      <c r="AR153">
        <v>0</v>
      </c>
      <c r="AS153">
        <v>0</v>
      </c>
      <c r="AT153">
        <v>119</v>
      </c>
      <c r="AU153">
        <v>0</v>
      </c>
      <c r="AV153">
        <v>119</v>
      </c>
      <c r="AW153">
        <v>0</v>
      </c>
      <c r="AX153">
        <v>1</v>
      </c>
      <c r="AY153">
        <v>0</v>
      </c>
      <c r="AZ153">
        <v>1</v>
      </c>
      <c r="BA153">
        <v>0</v>
      </c>
      <c r="BB153">
        <v>5</v>
      </c>
      <c r="BC153">
        <v>0</v>
      </c>
      <c r="BD153">
        <v>5</v>
      </c>
      <c r="BE153">
        <v>0</v>
      </c>
    </row>
    <row r="154" spans="1:57">
      <c r="A154" t="s">
        <v>16932</v>
      </c>
      <c r="B154" t="s">
        <v>17370</v>
      </c>
      <c r="C154">
        <v>0</v>
      </c>
      <c r="D154">
        <v>14</v>
      </c>
      <c r="E154">
        <v>0</v>
      </c>
      <c r="F154">
        <v>12</v>
      </c>
      <c r="G154">
        <v>3</v>
      </c>
      <c r="H154">
        <v>0</v>
      </c>
      <c r="I154">
        <v>0</v>
      </c>
      <c r="J154">
        <v>14</v>
      </c>
      <c r="K154">
        <v>139</v>
      </c>
      <c r="L154">
        <v>3</v>
      </c>
      <c r="M154">
        <v>7</v>
      </c>
      <c r="N154">
        <v>1</v>
      </c>
      <c r="O154">
        <v>0</v>
      </c>
      <c r="P154">
        <v>3</v>
      </c>
      <c r="Q154">
        <v>0</v>
      </c>
      <c r="R154">
        <v>0</v>
      </c>
      <c r="S154">
        <v>1.25</v>
      </c>
      <c r="T154">
        <v>25</v>
      </c>
      <c r="U154">
        <v>1</v>
      </c>
      <c r="V154">
        <v>27.25</v>
      </c>
      <c r="W154">
        <v>512.5</v>
      </c>
      <c r="X154">
        <v>0</v>
      </c>
      <c r="Y154">
        <v>3</v>
      </c>
      <c r="Z154">
        <v>0</v>
      </c>
      <c r="AA154">
        <v>0</v>
      </c>
      <c r="AB154">
        <v>452.5</v>
      </c>
      <c r="AC154">
        <v>21.96</v>
      </c>
      <c r="AD154">
        <v>21.96</v>
      </c>
      <c r="AE154">
        <v>0</v>
      </c>
      <c r="AF154">
        <v>474.46000000000004</v>
      </c>
      <c r="AG154">
        <v>554.46</v>
      </c>
      <c r="AH154">
        <v>554.46</v>
      </c>
      <c r="AI154">
        <v>0</v>
      </c>
      <c r="AJ154">
        <v>0</v>
      </c>
      <c r="AK154">
        <v>0</v>
      </c>
      <c r="AL154">
        <v>0</v>
      </c>
      <c r="AM154">
        <v>0</v>
      </c>
      <c r="AN154">
        <v>0</v>
      </c>
      <c r="AO154">
        <v>0</v>
      </c>
      <c r="AP154">
        <v>0</v>
      </c>
      <c r="AQ154">
        <v>0</v>
      </c>
      <c r="AR154">
        <v>0</v>
      </c>
      <c r="AS154">
        <v>0</v>
      </c>
      <c r="AT154">
        <v>139</v>
      </c>
      <c r="AU154">
        <v>0</v>
      </c>
      <c r="AV154">
        <v>139</v>
      </c>
      <c r="AW154">
        <v>0</v>
      </c>
      <c r="AX154">
        <v>1.25</v>
      </c>
      <c r="AY154">
        <v>0</v>
      </c>
      <c r="AZ154">
        <v>1.25</v>
      </c>
      <c r="BA154">
        <v>0</v>
      </c>
      <c r="BB154">
        <v>25</v>
      </c>
      <c r="BC154">
        <v>0</v>
      </c>
      <c r="BD154">
        <v>25</v>
      </c>
      <c r="BE154">
        <v>0</v>
      </c>
    </row>
    <row r="155" spans="1:57">
      <c r="A155" t="s">
        <v>17041</v>
      </c>
      <c r="B155" t="s">
        <v>17039</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row>
    <row r="156" spans="1:57">
      <c r="A156" t="s">
        <v>17041</v>
      </c>
      <c r="B156" t="s">
        <v>22085</v>
      </c>
      <c r="C156">
        <v>0</v>
      </c>
      <c r="D156">
        <v>8</v>
      </c>
      <c r="E156">
        <v>8</v>
      </c>
      <c r="F156">
        <v>8</v>
      </c>
      <c r="G156">
        <v>1</v>
      </c>
      <c r="H156">
        <v>2</v>
      </c>
      <c r="I156">
        <v>0</v>
      </c>
      <c r="J156">
        <v>8</v>
      </c>
      <c r="K156">
        <v>71</v>
      </c>
      <c r="L156">
        <v>8</v>
      </c>
      <c r="M156">
        <v>0</v>
      </c>
      <c r="N156">
        <v>0</v>
      </c>
      <c r="O156">
        <v>0</v>
      </c>
      <c r="P156">
        <v>0</v>
      </c>
      <c r="Q156">
        <v>0</v>
      </c>
      <c r="R156">
        <v>0</v>
      </c>
      <c r="S156">
        <v>10.25</v>
      </c>
      <c r="T156">
        <v>5.25</v>
      </c>
      <c r="U156">
        <v>0</v>
      </c>
      <c r="V156">
        <v>15.5</v>
      </c>
      <c r="W156">
        <v>207.5</v>
      </c>
      <c r="X156">
        <v>0</v>
      </c>
      <c r="Y156">
        <v>2</v>
      </c>
      <c r="Z156">
        <v>6</v>
      </c>
      <c r="AA156">
        <v>0</v>
      </c>
      <c r="AB156">
        <v>30</v>
      </c>
      <c r="AC156">
        <v>0</v>
      </c>
      <c r="AD156">
        <v>0</v>
      </c>
      <c r="AE156">
        <v>0</v>
      </c>
      <c r="AF156">
        <v>30</v>
      </c>
      <c r="AG156">
        <v>207.5</v>
      </c>
      <c r="AH156">
        <v>207.5</v>
      </c>
      <c r="AI156">
        <v>0</v>
      </c>
      <c r="AJ156">
        <v>30</v>
      </c>
      <c r="AK156">
        <v>120</v>
      </c>
      <c r="AL156">
        <v>120</v>
      </c>
      <c r="AM156">
        <v>0</v>
      </c>
      <c r="AN156">
        <v>0</v>
      </c>
      <c r="AO156">
        <v>0</v>
      </c>
      <c r="AP156">
        <v>0</v>
      </c>
      <c r="AQ156">
        <v>0</v>
      </c>
      <c r="AR156">
        <v>0</v>
      </c>
      <c r="AS156">
        <v>0</v>
      </c>
      <c r="AT156">
        <v>71</v>
      </c>
      <c r="AU156">
        <v>40</v>
      </c>
      <c r="AV156">
        <v>31</v>
      </c>
      <c r="AW156">
        <v>0</v>
      </c>
      <c r="AX156">
        <v>10.25</v>
      </c>
      <c r="AY156">
        <v>7</v>
      </c>
      <c r="AZ156">
        <v>3.25</v>
      </c>
      <c r="BA156">
        <v>0</v>
      </c>
      <c r="BB156">
        <v>5.25</v>
      </c>
      <c r="BC156">
        <v>2.5</v>
      </c>
      <c r="BD156">
        <v>2.75</v>
      </c>
      <c r="BE156">
        <v>0</v>
      </c>
    </row>
    <row r="157" spans="1:57">
      <c r="A157" t="s">
        <v>17041</v>
      </c>
      <c r="B157" t="s">
        <v>21569</v>
      </c>
      <c r="C157">
        <v>0</v>
      </c>
      <c r="D157">
        <v>1</v>
      </c>
      <c r="E157">
        <v>1</v>
      </c>
      <c r="F157">
        <v>1</v>
      </c>
      <c r="G157">
        <v>0</v>
      </c>
      <c r="H157">
        <v>0</v>
      </c>
      <c r="I157">
        <v>0</v>
      </c>
      <c r="J157">
        <v>1</v>
      </c>
      <c r="K157">
        <v>9</v>
      </c>
      <c r="L157">
        <v>1</v>
      </c>
      <c r="M157">
        <v>0</v>
      </c>
      <c r="N157">
        <v>0</v>
      </c>
      <c r="O157">
        <v>0</v>
      </c>
      <c r="P157">
        <v>0</v>
      </c>
      <c r="Q157">
        <v>0</v>
      </c>
      <c r="R157">
        <v>0</v>
      </c>
      <c r="S157">
        <v>3</v>
      </c>
      <c r="T157">
        <v>0</v>
      </c>
      <c r="U157">
        <v>0</v>
      </c>
      <c r="V157">
        <v>3</v>
      </c>
      <c r="W157">
        <v>30</v>
      </c>
      <c r="X157">
        <v>0</v>
      </c>
      <c r="Y157">
        <v>1</v>
      </c>
      <c r="Z157">
        <v>0</v>
      </c>
      <c r="AA157">
        <v>0</v>
      </c>
      <c r="AB157">
        <v>0</v>
      </c>
      <c r="AC157">
        <v>0</v>
      </c>
      <c r="AD157">
        <v>0</v>
      </c>
      <c r="AE157">
        <v>0</v>
      </c>
      <c r="AF157">
        <v>0</v>
      </c>
      <c r="AG157">
        <v>30</v>
      </c>
      <c r="AH157">
        <v>30</v>
      </c>
      <c r="AI157">
        <v>0</v>
      </c>
      <c r="AJ157">
        <v>0</v>
      </c>
      <c r="AK157">
        <v>0</v>
      </c>
      <c r="AL157">
        <v>0</v>
      </c>
      <c r="AM157">
        <v>0</v>
      </c>
      <c r="AN157">
        <v>0</v>
      </c>
      <c r="AO157">
        <v>0</v>
      </c>
      <c r="AP157">
        <v>0</v>
      </c>
      <c r="AQ157">
        <v>0</v>
      </c>
      <c r="AR157">
        <v>0</v>
      </c>
      <c r="AS157">
        <v>0</v>
      </c>
      <c r="AT157">
        <v>9</v>
      </c>
      <c r="AU157">
        <v>0</v>
      </c>
      <c r="AV157">
        <v>9</v>
      </c>
      <c r="AW157">
        <v>0</v>
      </c>
      <c r="AX157">
        <v>3</v>
      </c>
      <c r="AY157">
        <v>0</v>
      </c>
      <c r="AZ157">
        <v>3</v>
      </c>
      <c r="BA157">
        <v>0</v>
      </c>
      <c r="BB157">
        <v>0</v>
      </c>
      <c r="BC157">
        <v>0</v>
      </c>
      <c r="BD157">
        <v>0</v>
      </c>
      <c r="BE157">
        <v>0</v>
      </c>
    </row>
    <row r="158" spans="1:57">
      <c r="A158" t="s">
        <v>17041</v>
      </c>
      <c r="B158" t="s">
        <v>17325</v>
      </c>
      <c r="C158">
        <v>0</v>
      </c>
      <c r="D158">
        <v>2</v>
      </c>
      <c r="E158">
        <v>2</v>
      </c>
      <c r="F158">
        <v>2</v>
      </c>
      <c r="G158">
        <v>0</v>
      </c>
      <c r="H158">
        <v>0</v>
      </c>
      <c r="I158">
        <v>0</v>
      </c>
      <c r="J158">
        <v>2</v>
      </c>
      <c r="K158">
        <v>13</v>
      </c>
      <c r="L158">
        <v>1</v>
      </c>
      <c r="M158">
        <v>0</v>
      </c>
      <c r="N158">
        <v>0</v>
      </c>
      <c r="O158">
        <v>1</v>
      </c>
      <c r="P158">
        <v>0</v>
      </c>
      <c r="Q158">
        <v>0</v>
      </c>
      <c r="R158">
        <v>0</v>
      </c>
      <c r="S158">
        <v>1.75</v>
      </c>
      <c r="T158">
        <v>3</v>
      </c>
      <c r="U158">
        <v>1</v>
      </c>
      <c r="V158">
        <v>5.75</v>
      </c>
      <c r="W158">
        <v>77.5</v>
      </c>
      <c r="X158">
        <v>0</v>
      </c>
      <c r="Y158">
        <v>1</v>
      </c>
      <c r="Z158">
        <v>1</v>
      </c>
      <c r="AA158">
        <v>0</v>
      </c>
      <c r="AB158">
        <v>0</v>
      </c>
      <c r="AC158">
        <v>0</v>
      </c>
      <c r="AD158">
        <v>0</v>
      </c>
      <c r="AE158">
        <v>0</v>
      </c>
      <c r="AF158">
        <v>0</v>
      </c>
      <c r="AG158">
        <v>97.5</v>
      </c>
      <c r="AH158">
        <v>97.5</v>
      </c>
      <c r="AI158">
        <v>0</v>
      </c>
      <c r="AJ158">
        <v>0</v>
      </c>
      <c r="AK158">
        <v>0</v>
      </c>
      <c r="AL158">
        <v>0</v>
      </c>
      <c r="AM158">
        <v>0</v>
      </c>
      <c r="AN158">
        <v>0</v>
      </c>
      <c r="AO158">
        <v>0</v>
      </c>
      <c r="AP158">
        <v>0</v>
      </c>
      <c r="AQ158">
        <v>0</v>
      </c>
      <c r="AR158">
        <v>0</v>
      </c>
      <c r="AS158">
        <v>0</v>
      </c>
      <c r="AT158">
        <v>13</v>
      </c>
      <c r="AU158">
        <v>0</v>
      </c>
      <c r="AV158">
        <v>13</v>
      </c>
      <c r="AW158">
        <v>0</v>
      </c>
      <c r="AX158">
        <v>1.75</v>
      </c>
      <c r="AY158">
        <v>0</v>
      </c>
      <c r="AZ158">
        <v>1.75</v>
      </c>
      <c r="BA158">
        <v>0</v>
      </c>
      <c r="BB158">
        <v>3</v>
      </c>
      <c r="BC158">
        <v>0</v>
      </c>
      <c r="BD158">
        <v>3</v>
      </c>
      <c r="BE158">
        <v>0</v>
      </c>
    </row>
    <row r="159" spans="1:57">
      <c r="A159" t="s">
        <v>17041</v>
      </c>
      <c r="B159" t="s">
        <v>22086</v>
      </c>
      <c r="C159">
        <v>0</v>
      </c>
      <c r="D159">
        <v>1</v>
      </c>
      <c r="E159">
        <v>1</v>
      </c>
      <c r="F159">
        <v>1</v>
      </c>
      <c r="G159">
        <v>0</v>
      </c>
      <c r="H159">
        <v>0</v>
      </c>
      <c r="I159">
        <v>0</v>
      </c>
      <c r="J159">
        <v>1</v>
      </c>
      <c r="K159">
        <v>2</v>
      </c>
      <c r="L159">
        <v>0</v>
      </c>
      <c r="M159">
        <v>0</v>
      </c>
      <c r="N159">
        <v>0</v>
      </c>
      <c r="O159">
        <v>0</v>
      </c>
      <c r="P159">
        <v>0</v>
      </c>
      <c r="Q159">
        <v>1</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2</v>
      </c>
      <c r="AU159">
        <v>0</v>
      </c>
      <c r="AV159">
        <v>2</v>
      </c>
      <c r="AW159">
        <v>0</v>
      </c>
      <c r="AX159">
        <v>0</v>
      </c>
      <c r="AY159">
        <v>0</v>
      </c>
      <c r="AZ159">
        <v>0</v>
      </c>
      <c r="BA159">
        <v>0</v>
      </c>
      <c r="BB159">
        <v>0</v>
      </c>
      <c r="BC159">
        <v>0</v>
      </c>
      <c r="BD159">
        <v>0</v>
      </c>
      <c r="BE159">
        <v>0</v>
      </c>
    </row>
    <row r="160" spans="1:57">
      <c r="A160" t="s">
        <v>17041</v>
      </c>
      <c r="B160" t="s">
        <v>21568</v>
      </c>
      <c r="C160">
        <v>0</v>
      </c>
      <c r="D160">
        <v>35</v>
      </c>
      <c r="E160">
        <v>28</v>
      </c>
      <c r="F160">
        <v>33</v>
      </c>
      <c r="G160">
        <v>1</v>
      </c>
      <c r="H160">
        <v>2</v>
      </c>
      <c r="I160">
        <v>2</v>
      </c>
      <c r="J160">
        <v>35</v>
      </c>
      <c r="K160">
        <v>325</v>
      </c>
      <c r="L160">
        <v>29</v>
      </c>
      <c r="M160">
        <v>0</v>
      </c>
      <c r="N160">
        <v>1</v>
      </c>
      <c r="O160">
        <v>2</v>
      </c>
      <c r="P160">
        <v>2</v>
      </c>
      <c r="Q160">
        <v>1</v>
      </c>
      <c r="R160">
        <v>0</v>
      </c>
      <c r="S160">
        <v>18.5</v>
      </c>
      <c r="T160">
        <v>3.5</v>
      </c>
      <c r="U160">
        <v>0</v>
      </c>
      <c r="V160">
        <v>22</v>
      </c>
      <c r="W160">
        <v>255</v>
      </c>
      <c r="X160">
        <v>0</v>
      </c>
      <c r="Y160">
        <v>33</v>
      </c>
      <c r="Z160">
        <v>0</v>
      </c>
      <c r="AA160">
        <v>0</v>
      </c>
      <c r="AB160">
        <v>80</v>
      </c>
      <c r="AC160">
        <v>0</v>
      </c>
      <c r="AD160">
        <v>0</v>
      </c>
      <c r="AE160">
        <v>0</v>
      </c>
      <c r="AF160">
        <v>80</v>
      </c>
      <c r="AG160">
        <v>255</v>
      </c>
      <c r="AH160">
        <v>255</v>
      </c>
      <c r="AI160">
        <v>0</v>
      </c>
      <c r="AJ160">
        <v>0</v>
      </c>
      <c r="AK160">
        <v>5</v>
      </c>
      <c r="AL160">
        <v>5</v>
      </c>
      <c r="AM160">
        <v>0</v>
      </c>
      <c r="AN160">
        <v>0</v>
      </c>
      <c r="AO160">
        <v>0</v>
      </c>
      <c r="AP160">
        <v>0</v>
      </c>
      <c r="AQ160">
        <v>0</v>
      </c>
      <c r="AR160">
        <v>0</v>
      </c>
      <c r="AS160">
        <v>0</v>
      </c>
      <c r="AT160">
        <v>325</v>
      </c>
      <c r="AU160">
        <v>62</v>
      </c>
      <c r="AV160">
        <v>263</v>
      </c>
      <c r="AW160">
        <v>0</v>
      </c>
      <c r="AX160">
        <v>18.5</v>
      </c>
      <c r="AY160">
        <v>0.5</v>
      </c>
      <c r="AZ160">
        <v>18</v>
      </c>
      <c r="BA160">
        <v>0</v>
      </c>
      <c r="BB160">
        <v>3.5</v>
      </c>
      <c r="BC160">
        <v>0</v>
      </c>
      <c r="BD160">
        <v>3.5</v>
      </c>
      <c r="BE160">
        <v>0</v>
      </c>
    </row>
    <row r="161" spans="1:57">
      <c r="A161" t="s">
        <v>17041</v>
      </c>
      <c r="B161" t="s">
        <v>21567</v>
      </c>
      <c r="C161">
        <v>0</v>
      </c>
      <c r="D161">
        <v>4</v>
      </c>
      <c r="E161">
        <v>4</v>
      </c>
      <c r="F161">
        <v>4</v>
      </c>
      <c r="G161">
        <v>0</v>
      </c>
      <c r="H161">
        <v>0</v>
      </c>
      <c r="I161">
        <v>0</v>
      </c>
      <c r="J161">
        <v>4</v>
      </c>
      <c r="K161">
        <v>8</v>
      </c>
      <c r="L161">
        <v>4</v>
      </c>
      <c r="M161">
        <v>0</v>
      </c>
      <c r="N161">
        <v>0</v>
      </c>
      <c r="O161">
        <v>0</v>
      </c>
      <c r="P161">
        <v>0</v>
      </c>
      <c r="Q161">
        <v>0</v>
      </c>
      <c r="R161">
        <v>0</v>
      </c>
      <c r="S161">
        <v>1</v>
      </c>
      <c r="T161">
        <v>0</v>
      </c>
      <c r="U161">
        <v>0</v>
      </c>
      <c r="V161">
        <v>1</v>
      </c>
      <c r="W161">
        <v>10</v>
      </c>
      <c r="X161">
        <v>0</v>
      </c>
      <c r="Y161">
        <v>4</v>
      </c>
      <c r="Z161">
        <v>0</v>
      </c>
      <c r="AA161">
        <v>0</v>
      </c>
      <c r="AB161">
        <v>0</v>
      </c>
      <c r="AC161">
        <v>0</v>
      </c>
      <c r="AD161">
        <v>0</v>
      </c>
      <c r="AE161">
        <v>0</v>
      </c>
      <c r="AF161">
        <v>0</v>
      </c>
      <c r="AG161">
        <v>10</v>
      </c>
      <c r="AH161">
        <v>10</v>
      </c>
      <c r="AI161">
        <v>0</v>
      </c>
      <c r="AJ161">
        <v>0</v>
      </c>
      <c r="AK161">
        <v>0</v>
      </c>
      <c r="AL161">
        <v>0</v>
      </c>
      <c r="AM161">
        <v>0</v>
      </c>
      <c r="AN161">
        <v>0</v>
      </c>
      <c r="AO161">
        <v>0</v>
      </c>
      <c r="AP161">
        <v>0</v>
      </c>
      <c r="AQ161">
        <v>0</v>
      </c>
      <c r="AR161">
        <v>0</v>
      </c>
      <c r="AS161">
        <v>0</v>
      </c>
      <c r="AT161">
        <v>8</v>
      </c>
      <c r="AU161">
        <v>0</v>
      </c>
      <c r="AV161">
        <v>8</v>
      </c>
      <c r="AW161">
        <v>0</v>
      </c>
      <c r="AX161">
        <v>1</v>
      </c>
      <c r="AY161">
        <v>0</v>
      </c>
      <c r="AZ161">
        <v>1</v>
      </c>
      <c r="BA161">
        <v>0</v>
      </c>
      <c r="BB161">
        <v>0</v>
      </c>
      <c r="BC161">
        <v>0</v>
      </c>
      <c r="BD161">
        <v>0</v>
      </c>
      <c r="BE161">
        <v>0</v>
      </c>
    </row>
    <row r="162" spans="1:57">
      <c r="A162" t="s">
        <v>17041</v>
      </c>
      <c r="B162" t="s">
        <v>17042</v>
      </c>
      <c r="C162">
        <v>0</v>
      </c>
      <c r="D162">
        <v>14</v>
      </c>
      <c r="E162">
        <v>0</v>
      </c>
      <c r="F162">
        <v>13</v>
      </c>
      <c r="G162">
        <v>0</v>
      </c>
      <c r="H162">
        <v>0</v>
      </c>
      <c r="I162">
        <v>0</v>
      </c>
      <c r="J162">
        <v>14</v>
      </c>
      <c r="K162">
        <v>108</v>
      </c>
      <c r="L162">
        <v>7</v>
      </c>
      <c r="M162">
        <v>0</v>
      </c>
      <c r="N162">
        <v>5</v>
      </c>
      <c r="O162">
        <v>4</v>
      </c>
      <c r="P162">
        <v>2</v>
      </c>
      <c r="Q162">
        <v>1</v>
      </c>
      <c r="R162">
        <v>0</v>
      </c>
      <c r="S162">
        <v>15.75</v>
      </c>
      <c r="T162">
        <v>6</v>
      </c>
      <c r="U162">
        <v>0</v>
      </c>
      <c r="V162">
        <v>21.75</v>
      </c>
      <c r="W162">
        <v>277.5</v>
      </c>
      <c r="X162">
        <v>0</v>
      </c>
      <c r="Y162">
        <v>13</v>
      </c>
      <c r="Z162">
        <v>0</v>
      </c>
      <c r="AA162">
        <v>0</v>
      </c>
      <c r="AB162">
        <v>80</v>
      </c>
      <c r="AC162">
        <v>0</v>
      </c>
      <c r="AD162">
        <v>0</v>
      </c>
      <c r="AE162">
        <v>0</v>
      </c>
      <c r="AF162">
        <v>80</v>
      </c>
      <c r="AG162">
        <v>277.5</v>
      </c>
      <c r="AH162">
        <v>277.5</v>
      </c>
      <c r="AI162">
        <v>0</v>
      </c>
      <c r="AJ162">
        <v>0</v>
      </c>
      <c r="AK162">
        <v>0</v>
      </c>
      <c r="AL162">
        <v>0</v>
      </c>
      <c r="AM162">
        <v>0</v>
      </c>
      <c r="AN162">
        <v>0</v>
      </c>
      <c r="AO162">
        <v>0</v>
      </c>
      <c r="AP162">
        <v>0</v>
      </c>
      <c r="AQ162">
        <v>0</v>
      </c>
      <c r="AR162">
        <v>0</v>
      </c>
      <c r="AS162">
        <v>0</v>
      </c>
      <c r="AT162">
        <v>108</v>
      </c>
      <c r="AU162">
        <v>0</v>
      </c>
      <c r="AV162">
        <v>102</v>
      </c>
      <c r="AW162">
        <v>0</v>
      </c>
      <c r="AX162">
        <v>15.75</v>
      </c>
      <c r="AY162">
        <v>0</v>
      </c>
      <c r="AZ162">
        <v>15.25</v>
      </c>
      <c r="BA162">
        <v>0</v>
      </c>
      <c r="BB162">
        <v>6</v>
      </c>
      <c r="BC162">
        <v>0</v>
      </c>
      <c r="BD162">
        <v>5.5</v>
      </c>
      <c r="BE162">
        <v>0</v>
      </c>
    </row>
    <row r="163" spans="1:57">
      <c r="A163" t="s">
        <v>17041</v>
      </c>
      <c r="B163" t="s">
        <v>21566</v>
      </c>
      <c r="C163">
        <v>2</v>
      </c>
      <c r="D163">
        <v>3</v>
      </c>
      <c r="E163">
        <v>0</v>
      </c>
      <c r="F163">
        <v>3</v>
      </c>
      <c r="G163">
        <v>0</v>
      </c>
      <c r="H163">
        <v>0</v>
      </c>
      <c r="I163">
        <v>0</v>
      </c>
      <c r="J163">
        <v>3</v>
      </c>
      <c r="K163">
        <v>5</v>
      </c>
      <c r="L163">
        <v>3</v>
      </c>
      <c r="M163">
        <v>0</v>
      </c>
      <c r="N163">
        <v>0</v>
      </c>
      <c r="O163">
        <v>0</v>
      </c>
      <c r="P163">
        <v>0</v>
      </c>
      <c r="Q163">
        <v>0</v>
      </c>
      <c r="R163">
        <v>0</v>
      </c>
      <c r="S163">
        <v>12</v>
      </c>
      <c r="T163">
        <v>0</v>
      </c>
      <c r="U163">
        <v>0</v>
      </c>
      <c r="V163">
        <v>12</v>
      </c>
      <c r="W163">
        <v>80</v>
      </c>
      <c r="X163">
        <v>0</v>
      </c>
      <c r="Y163">
        <v>1</v>
      </c>
      <c r="Z163">
        <v>0</v>
      </c>
      <c r="AA163">
        <v>-40</v>
      </c>
      <c r="AB163">
        <v>50</v>
      </c>
      <c r="AC163">
        <v>0</v>
      </c>
      <c r="AD163">
        <v>0</v>
      </c>
      <c r="AE163">
        <v>0</v>
      </c>
      <c r="AF163">
        <v>50</v>
      </c>
      <c r="AG163">
        <v>80</v>
      </c>
      <c r="AH163">
        <v>80</v>
      </c>
      <c r="AI163">
        <v>0</v>
      </c>
      <c r="AJ163">
        <v>0</v>
      </c>
      <c r="AK163">
        <v>0</v>
      </c>
      <c r="AL163">
        <v>0</v>
      </c>
      <c r="AM163">
        <v>0</v>
      </c>
      <c r="AN163">
        <v>0</v>
      </c>
      <c r="AO163">
        <v>0</v>
      </c>
      <c r="AP163">
        <v>0</v>
      </c>
      <c r="AQ163">
        <v>0</v>
      </c>
      <c r="AR163">
        <v>0</v>
      </c>
      <c r="AS163">
        <v>0</v>
      </c>
      <c r="AT163">
        <v>5</v>
      </c>
      <c r="AU163">
        <v>0</v>
      </c>
      <c r="AV163">
        <v>3</v>
      </c>
      <c r="AW163">
        <v>2</v>
      </c>
      <c r="AX163">
        <v>12</v>
      </c>
      <c r="AY163">
        <v>0</v>
      </c>
      <c r="AZ163">
        <v>8</v>
      </c>
      <c r="BA163">
        <v>4</v>
      </c>
      <c r="BB163">
        <v>0</v>
      </c>
      <c r="BC163">
        <v>0</v>
      </c>
      <c r="BD163">
        <v>0</v>
      </c>
      <c r="BE163">
        <v>0</v>
      </c>
    </row>
    <row r="164" spans="1:57">
      <c r="A164" t="s">
        <v>17041</v>
      </c>
      <c r="B164" t="s">
        <v>17495</v>
      </c>
      <c r="C164">
        <v>0</v>
      </c>
      <c r="D164">
        <v>5</v>
      </c>
      <c r="E164">
        <v>5</v>
      </c>
      <c r="F164">
        <v>5</v>
      </c>
      <c r="G164">
        <v>2</v>
      </c>
      <c r="H164">
        <v>1</v>
      </c>
      <c r="I164">
        <v>1</v>
      </c>
      <c r="J164">
        <v>4</v>
      </c>
      <c r="K164">
        <v>15</v>
      </c>
      <c r="L164">
        <v>2</v>
      </c>
      <c r="M164">
        <v>0</v>
      </c>
      <c r="N164">
        <v>0</v>
      </c>
      <c r="O164">
        <v>0</v>
      </c>
      <c r="P164">
        <v>0</v>
      </c>
      <c r="Q164">
        <v>2</v>
      </c>
      <c r="R164">
        <v>0</v>
      </c>
      <c r="S164">
        <v>40</v>
      </c>
      <c r="T164">
        <v>20</v>
      </c>
      <c r="U164">
        <v>40</v>
      </c>
      <c r="V164">
        <v>100</v>
      </c>
      <c r="W164">
        <v>800</v>
      </c>
      <c r="X164">
        <v>0</v>
      </c>
      <c r="Y164">
        <v>1</v>
      </c>
      <c r="Z164">
        <v>0</v>
      </c>
      <c r="AA164">
        <v>0</v>
      </c>
      <c r="AB164">
        <v>570</v>
      </c>
      <c r="AC164">
        <v>0</v>
      </c>
      <c r="AD164">
        <v>0</v>
      </c>
      <c r="AE164">
        <v>0</v>
      </c>
      <c r="AF164">
        <v>570</v>
      </c>
      <c r="AG164">
        <v>1600</v>
      </c>
      <c r="AH164">
        <v>1600</v>
      </c>
      <c r="AI164">
        <v>0</v>
      </c>
      <c r="AJ164">
        <v>570</v>
      </c>
      <c r="AK164">
        <v>1400</v>
      </c>
      <c r="AL164">
        <v>1400</v>
      </c>
      <c r="AM164">
        <v>0</v>
      </c>
      <c r="AN164">
        <v>0</v>
      </c>
      <c r="AO164">
        <v>0</v>
      </c>
      <c r="AP164">
        <v>0</v>
      </c>
      <c r="AQ164">
        <v>0</v>
      </c>
      <c r="AR164">
        <v>0</v>
      </c>
      <c r="AS164">
        <v>0</v>
      </c>
      <c r="AT164">
        <v>15</v>
      </c>
      <c r="AU164">
        <v>5</v>
      </c>
      <c r="AV164">
        <v>10</v>
      </c>
      <c r="AW164">
        <v>0</v>
      </c>
      <c r="AX164">
        <v>40</v>
      </c>
      <c r="AY164">
        <v>20</v>
      </c>
      <c r="AZ164">
        <v>20</v>
      </c>
      <c r="BA164">
        <v>0</v>
      </c>
      <c r="BB164">
        <v>20</v>
      </c>
      <c r="BC164">
        <v>20</v>
      </c>
      <c r="BD164">
        <v>0</v>
      </c>
      <c r="BE164">
        <v>0</v>
      </c>
    </row>
    <row r="165" spans="1:57">
      <c r="A165" t="s">
        <v>17041</v>
      </c>
      <c r="B165" t="s">
        <v>17043</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row>
    <row r="166" spans="1:57">
      <c r="A166" t="s">
        <v>17041</v>
      </c>
      <c r="B166" t="s">
        <v>19341</v>
      </c>
      <c r="C166">
        <v>0</v>
      </c>
      <c r="D166">
        <v>6</v>
      </c>
      <c r="E166">
        <v>6</v>
      </c>
      <c r="F166">
        <v>6</v>
      </c>
      <c r="G166">
        <v>0</v>
      </c>
      <c r="H166">
        <v>3</v>
      </c>
      <c r="I166">
        <v>0</v>
      </c>
      <c r="J166">
        <v>6</v>
      </c>
      <c r="K166">
        <v>510</v>
      </c>
      <c r="L166">
        <v>3</v>
      </c>
      <c r="M166">
        <v>0</v>
      </c>
      <c r="N166">
        <v>1</v>
      </c>
      <c r="O166">
        <v>2</v>
      </c>
      <c r="P166">
        <v>0</v>
      </c>
      <c r="Q166">
        <v>0</v>
      </c>
      <c r="R166">
        <v>0</v>
      </c>
      <c r="S166">
        <v>130</v>
      </c>
      <c r="T166">
        <v>20</v>
      </c>
      <c r="U166">
        <v>0</v>
      </c>
      <c r="V166">
        <v>150</v>
      </c>
      <c r="W166">
        <v>1700</v>
      </c>
      <c r="X166">
        <v>0</v>
      </c>
      <c r="Y166">
        <v>6</v>
      </c>
      <c r="Z166">
        <v>0</v>
      </c>
      <c r="AA166">
        <v>0</v>
      </c>
      <c r="AB166">
        <v>1520</v>
      </c>
      <c r="AC166">
        <v>0</v>
      </c>
      <c r="AD166">
        <v>0</v>
      </c>
      <c r="AE166">
        <v>0</v>
      </c>
      <c r="AF166">
        <v>1520</v>
      </c>
      <c r="AG166">
        <v>1700</v>
      </c>
      <c r="AH166">
        <v>1700</v>
      </c>
      <c r="AI166">
        <v>0</v>
      </c>
      <c r="AJ166">
        <v>1310</v>
      </c>
      <c r="AK166">
        <v>1400</v>
      </c>
      <c r="AL166">
        <v>1400</v>
      </c>
      <c r="AM166">
        <v>0</v>
      </c>
      <c r="AN166">
        <v>0</v>
      </c>
      <c r="AO166">
        <v>0</v>
      </c>
      <c r="AP166">
        <v>0</v>
      </c>
      <c r="AQ166">
        <v>0</v>
      </c>
      <c r="AR166">
        <v>0</v>
      </c>
      <c r="AS166">
        <v>0</v>
      </c>
      <c r="AT166">
        <v>510</v>
      </c>
      <c r="AU166">
        <v>470</v>
      </c>
      <c r="AV166">
        <v>40</v>
      </c>
      <c r="AW166">
        <v>0</v>
      </c>
      <c r="AX166">
        <v>130</v>
      </c>
      <c r="AY166">
        <v>100</v>
      </c>
      <c r="AZ166">
        <v>30</v>
      </c>
      <c r="BA166">
        <v>0</v>
      </c>
      <c r="BB166">
        <v>20</v>
      </c>
      <c r="BC166">
        <v>20</v>
      </c>
      <c r="BD166">
        <v>0</v>
      </c>
      <c r="BE166">
        <v>0</v>
      </c>
    </row>
    <row r="167" spans="1:57">
      <c r="A167" t="s">
        <v>17041</v>
      </c>
      <c r="B167" t="s">
        <v>19979</v>
      </c>
      <c r="C167">
        <v>7</v>
      </c>
      <c r="D167">
        <v>7</v>
      </c>
      <c r="E167">
        <v>7</v>
      </c>
      <c r="F167">
        <v>7</v>
      </c>
      <c r="G167">
        <v>7</v>
      </c>
      <c r="H167">
        <v>1</v>
      </c>
      <c r="I167">
        <v>1</v>
      </c>
      <c r="J167">
        <v>1</v>
      </c>
      <c r="K167">
        <v>0</v>
      </c>
      <c r="L167">
        <v>7</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row>
    <row r="168" spans="1:57">
      <c r="A168" t="s">
        <v>17041</v>
      </c>
      <c r="B168" t="s">
        <v>22087</v>
      </c>
      <c r="C168">
        <v>1</v>
      </c>
      <c r="D168">
        <v>5</v>
      </c>
      <c r="E168">
        <v>5</v>
      </c>
      <c r="F168">
        <v>5</v>
      </c>
      <c r="G168">
        <v>0</v>
      </c>
      <c r="H168">
        <v>0</v>
      </c>
      <c r="I168">
        <v>0</v>
      </c>
      <c r="J168">
        <v>5</v>
      </c>
      <c r="K168">
        <v>33</v>
      </c>
      <c r="L168">
        <v>5</v>
      </c>
      <c r="M168">
        <v>0</v>
      </c>
      <c r="N168">
        <v>0</v>
      </c>
      <c r="O168">
        <v>0</v>
      </c>
      <c r="P168">
        <v>0</v>
      </c>
      <c r="Q168">
        <v>0</v>
      </c>
      <c r="R168">
        <v>0</v>
      </c>
      <c r="S168">
        <v>3.75</v>
      </c>
      <c r="T168">
        <v>2.5</v>
      </c>
      <c r="U168">
        <v>0</v>
      </c>
      <c r="V168">
        <v>6.25</v>
      </c>
      <c r="W168">
        <v>70</v>
      </c>
      <c r="X168">
        <v>0</v>
      </c>
      <c r="Y168">
        <v>4</v>
      </c>
      <c r="Z168">
        <v>0</v>
      </c>
      <c r="AA168">
        <v>-17.5</v>
      </c>
      <c r="AB168">
        <v>0</v>
      </c>
      <c r="AC168">
        <v>0</v>
      </c>
      <c r="AD168">
        <v>0</v>
      </c>
      <c r="AE168">
        <v>0</v>
      </c>
      <c r="AF168">
        <v>0</v>
      </c>
      <c r="AG168">
        <v>70</v>
      </c>
      <c r="AH168">
        <v>70</v>
      </c>
      <c r="AI168">
        <v>0</v>
      </c>
      <c r="AJ168">
        <v>0</v>
      </c>
      <c r="AK168">
        <v>0</v>
      </c>
      <c r="AL168">
        <v>0</v>
      </c>
      <c r="AM168">
        <v>0</v>
      </c>
      <c r="AN168">
        <v>0</v>
      </c>
      <c r="AO168">
        <v>0</v>
      </c>
      <c r="AP168">
        <v>0</v>
      </c>
      <c r="AQ168">
        <v>0</v>
      </c>
      <c r="AR168">
        <v>0</v>
      </c>
      <c r="AS168">
        <v>0</v>
      </c>
      <c r="AT168">
        <v>33</v>
      </c>
      <c r="AU168">
        <v>0</v>
      </c>
      <c r="AV168">
        <v>29</v>
      </c>
      <c r="AW168">
        <v>4</v>
      </c>
      <c r="AX168">
        <v>3.75</v>
      </c>
      <c r="AY168">
        <v>0</v>
      </c>
      <c r="AZ168">
        <v>3</v>
      </c>
      <c r="BA168">
        <v>0.75</v>
      </c>
      <c r="BB168">
        <v>2.5</v>
      </c>
      <c r="BC168">
        <v>0</v>
      </c>
      <c r="BD168">
        <v>2</v>
      </c>
      <c r="BE168">
        <v>0.5</v>
      </c>
    </row>
    <row r="169" spans="1:57">
      <c r="A169" t="s">
        <v>17041</v>
      </c>
      <c r="B169" t="s">
        <v>17303</v>
      </c>
      <c r="C169">
        <v>0</v>
      </c>
      <c r="D169">
        <v>2</v>
      </c>
      <c r="E169">
        <v>2</v>
      </c>
      <c r="F169">
        <v>2</v>
      </c>
      <c r="G169">
        <v>0</v>
      </c>
      <c r="H169">
        <v>1</v>
      </c>
      <c r="I169">
        <v>0</v>
      </c>
      <c r="J169">
        <v>1</v>
      </c>
      <c r="K169">
        <v>5</v>
      </c>
      <c r="L169">
        <v>1</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5</v>
      </c>
      <c r="AU169">
        <v>0</v>
      </c>
      <c r="AV169">
        <v>5</v>
      </c>
      <c r="AW169">
        <v>0</v>
      </c>
      <c r="AX169">
        <v>0</v>
      </c>
      <c r="AY169">
        <v>0</v>
      </c>
      <c r="AZ169">
        <v>0</v>
      </c>
      <c r="BA169">
        <v>0</v>
      </c>
      <c r="BB169">
        <v>0</v>
      </c>
      <c r="BC169">
        <v>0</v>
      </c>
      <c r="BD169">
        <v>0</v>
      </c>
      <c r="BE169">
        <v>0</v>
      </c>
    </row>
    <row r="170" spans="1:57">
      <c r="A170" t="s">
        <v>17044</v>
      </c>
      <c r="B170" t="s">
        <v>17046</v>
      </c>
      <c r="C170">
        <v>1</v>
      </c>
      <c r="D170">
        <v>17</v>
      </c>
      <c r="E170">
        <v>17</v>
      </c>
      <c r="F170">
        <v>17</v>
      </c>
      <c r="G170">
        <v>0</v>
      </c>
      <c r="H170">
        <v>0</v>
      </c>
      <c r="I170">
        <v>0</v>
      </c>
      <c r="J170">
        <v>17</v>
      </c>
      <c r="K170">
        <v>159</v>
      </c>
      <c r="L170">
        <v>1</v>
      </c>
      <c r="M170">
        <v>0</v>
      </c>
      <c r="N170">
        <v>1</v>
      </c>
      <c r="O170">
        <v>12</v>
      </c>
      <c r="P170">
        <v>1</v>
      </c>
      <c r="Q170">
        <v>2</v>
      </c>
      <c r="R170">
        <v>0</v>
      </c>
      <c r="S170">
        <v>5</v>
      </c>
      <c r="T170">
        <v>15.25</v>
      </c>
      <c r="U170">
        <v>7.5</v>
      </c>
      <c r="V170">
        <v>27.75</v>
      </c>
      <c r="W170">
        <v>305</v>
      </c>
      <c r="X170">
        <v>0</v>
      </c>
      <c r="Y170">
        <v>4</v>
      </c>
      <c r="Z170">
        <v>1</v>
      </c>
      <c r="AA170">
        <v>-50</v>
      </c>
      <c r="AB170">
        <v>210</v>
      </c>
      <c r="AC170">
        <v>5</v>
      </c>
      <c r="AD170">
        <v>5</v>
      </c>
      <c r="AE170">
        <v>0</v>
      </c>
      <c r="AF170">
        <v>215</v>
      </c>
      <c r="AG170">
        <v>460</v>
      </c>
      <c r="AH170">
        <v>460</v>
      </c>
      <c r="AI170">
        <v>0</v>
      </c>
      <c r="AJ170">
        <v>0</v>
      </c>
      <c r="AK170">
        <v>0</v>
      </c>
      <c r="AL170">
        <v>0</v>
      </c>
      <c r="AM170">
        <v>0</v>
      </c>
      <c r="AN170">
        <v>0</v>
      </c>
      <c r="AO170">
        <v>0</v>
      </c>
      <c r="AP170">
        <v>0</v>
      </c>
      <c r="AQ170">
        <v>0</v>
      </c>
      <c r="AR170">
        <v>0</v>
      </c>
      <c r="AS170">
        <v>0</v>
      </c>
      <c r="AT170">
        <v>159</v>
      </c>
      <c r="AU170">
        <v>0</v>
      </c>
      <c r="AV170">
        <v>138</v>
      </c>
      <c r="AW170">
        <v>21</v>
      </c>
      <c r="AX170">
        <v>5</v>
      </c>
      <c r="AY170">
        <v>0</v>
      </c>
      <c r="AZ170">
        <v>2</v>
      </c>
      <c r="BA170">
        <v>3</v>
      </c>
      <c r="BB170">
        <v>15.25</v>
      </c>
      <c r="BC170">
        <v>0</v>
      </c>
      <c r="BD170">
        <v>14.25</v>
      </c>
      <c r="BE170">
        <v>1</v>
      </c>
    </row>
    <row r="171" spans="1:57">
      <c r="A171" t="s">
        <v>17044</v>
      </c>
      <c r="B171" t="s">
        <v>17047</v>
      </c>
      <c r="C171">
        <v>0</v>
      </c>
      <c r="D171">
        <v>2</v>
      </c>
      <c r="E171">
        <v>2</v>
      </c>
      <c r="F171">
        <v>2</v>
      </c>
      <c r="G171">
        <v>0</v>
      </c>
      <c r="H171">
        <v>0</v>
      </c>
      <c r="I171">
        <v>0</v>
      </c>
      <c r="J171">
        <v>2</v>
      </c>
      <c r="K171">
        <v>14</v>
      </c>
      <c r="L171">
        <v>2</v>
      </c>
      <c r="M171">
        <v>0</v>
      </c>
      <c r="N171">
        <v>0</v>
      </c>
      <c r="O171">
        <v>0</v>
      </c>
      <c r="P171">
        <v>0</v>
      </c>
      <c r="Q171">
        <v>0</v>
      </c>
      <c r="R171">
        <v>0</v>
      </c>
      <c r="S171">
        <v>1</v>
      </c>
      <c r="T171">
        <v>1.5</v>
      </c>
      <c r="U171">
        <v>0</v>
      </c>
      <c r="V171">
        <v>2.5</v>
      </c>
      <c r="W171">
        <v>40</v>
      </c>
      <c r="X171">
        <v>0</v>
      </c>
      <c r="Y171">
        <v>2</v>
      </c>
      <c r="Z171">
        <v>0</v>
      </c>
      <c r="AA171">
        <v>0</v>
      </c>
      <c r="AB171">
        <v>0</v>
      </c>
      <c r="AC171">
        <v>0</v>
      </c>
      <c r="AD171">
        <v>0</v>
      </c>
      <c r="AE171">
        <v>0</v>
      </c>
      <c r="AF171">
        <v>0</v>
      </c>
      <c r="AG171">
        <v>40</v>
      </c>
      <c r="AH171">
        <v>40</v>
      </c>
      <c r="AI171">
        <v>0</v>
      </c>
      <c r="AJ171">
        <v>0</v>
      </c>
      <c r="AK171">
        <v>0</v>
      </c>
      <c r="AL171">
        <v>0</v>
      </c>
      <c r="AM171">
        <v>0</v>
      </c>
      <c r="AN171">
        <v>0</v>
      </c>
      <c r="AO171">
        <v>0</v>
      </c>
      <c r="AP171">
        <v>0</v>
      </c>
      <c r="AQ171">
        <v>0</v>
      </c>
      <c r="AR171">
        <v>0</v>
      </c>
      <c r="AS171">
        <v>0</v>
      </c>
      <c r="AT171">
        <v>14</v>
      </c>
      <c r="AU171">
        <v>0</v>
      </c>
      <c r="AV171">
        <v>14</v>
      </c>
      <c r="AW171">
        <v>0</v>
      </c>
      <c r="AX171">
        <v>1</v>
      </c>
      <c r="AY171">
        <v>0</v>
      </c>
      <c r="AZ171">
        <v>1</v>
      </c>
      <c r="BA171">
        <v>0</v>
      </c>
      <c r="BB171">
        <v>1.5</v>
      </c>
      <c r="BC171">
        <v>0</v>
      </c>
      <c r="BD171">
        <v>1.5</v>
      </c>
      <c r="BE171">
        <v>0</v>
      </c>
    </row>
    <row r="172" spans="1:57">
      <c r="A172" t="s">
        <v>17044</v>
      </c>
      <c r="B172" t="s">
        <v>17048</v>
      </c>
      <c r="C172">
        <v>0</v>
      </c>
      <c r="D172">
        <v>3</v>
      </c>
      <c r="E172">
        <v>3</v>
      </c>
      <c r="F172">
        <v>3</v>
      </c>
      <c r="G172">
        <v>0</v>
      </c>
      <c r="H172">
        <v>0</v>
      </c>
      <c r="I172">
        <v>0</v>
      </c>
      <c r="J172">
        <v>3</v>
      </c>
      <c r="K172">
        <v>28</v>
      </c>
      <c r="L172">
        <v>1</v>
      </c>
      <c r="M172">
        <v>0</v>
      </c>
      <c r="N172">
        <v>2</v>
      </c>
      <c r="O172">
        <v>0</v>
      </c>
      <c r="P172">
        <v>0</v>
      </c>
      <c r="Q172">
        <v>0</v>
      </c>
      <c r="R172">
        <v>0</v>
      </c>
      <c r="S172">
        <v>8</v>
      </c>
      <c r="T172">
        <v>3.5</v>
      </c>
      <c r="U172">
        <v>4</v>
      </c>
      <c r="V172">
        <v>15.5</v>
      </c>
      <c r="W172">
        <v>150</v>
      </c>
      <c r="X172">
        <v>0</v>
      </c>
      <c r="Y172">
        <v>2</v>
      </c>
      <c r="Z172">
        <v>1</v>
      </c>
      <c r="AA172">
        <v>0</v>
      </c>
      <c r="AB172">
        <v>40</v>
      </c>
      <c r="AC172">
        <v>0</v>
      </c>
      <c r="AD172">
        <v>0</v>
      </c>
      <c r="AE172">
        <v>40</v>
      </c>
      <c r="AF172">
        <v>40</v>
      </c>
      <c r="AG172">
        <v>230</v>
      </c>
      <c r="AH172">
        <v>190</v>
      </c>
      <c r="AI172">
        <v>0</v>
      </c>
      <c r="AJ172">
        <v>0</v>
      </c>
      <c r="AK172">
        <v>0</v>
      </c>
      <c r="AL172">
        <v>0</v>
      </c>
      <c r="AM172">
        <v>0</v>
      </c>
      <c r="AN172">
        <v>1</v>
      </c>
      <c r="AO172">
        <v>0</v>
      </c>
      <c r="AP172">
        <v>0</v>
      </c>
      <c r="AQ172">
        <v>0</v>
      </c>
      <c r="AR172">
        <v>0</v>
      </c>
      <c r="AS172">
        <v>0</v>
      </c>
      <c r="AT172">
        <v>28</v>
      </c>
      <c r="AU172">
        <v>0</v>
      </c>
      <c r="AV172">
        <v>28</v>
      </c>
      <c r="AW172">
        <v>0</v>
      </c>
      <c r="AX172">
        <v>8</v>
      </c>
      <c r="AY172">
        <v>0</v>
      </c>
      <c r="AZ172">
        <v>8</v>
      </c>
      <c r="BA172">
        <v>0</v>
      </c>
      <c r="BB172">
        <v>3.5</v>
      </c>
      <c r="BC172">
        <v>0</v>
      </c>
      <c r="BD172">
        <v>3.5</v>
      </c>
      <c r="BE172">
        <v>0</v>
      </c>
    </row>
    <row r="173" spans="1:57">
      <c r="A173" t="s">
        <v>17044</v>
      </c>
      <c r="B173" t="s">
        <v>17049</v>
      </c>
      <c r="C173">
        <v>0</v>
      </c>
      <c r="D173">
        <v>12</v>
      </c>
      <c r="E173">
        <v>12</v>
      </c>
      <c r="F173">
        <v>12</v>
      </c>
      <c r="G173">
        <v>0</v>
      </c>
      <c r="H173">
        <v>0</v>
      </c>
      <c r="I173">
        <v>0</v>
      </c>
      <c r="J173">
        <v>12</v>
      </c>
      <c r="K173">
        <v>79</v>
      </c>
      <c r="L173">
        <v>3</v>
      </c>
      <c r="M173">
        <v>0</v>
      </c>
      <c r="N173">
        <v>3</v>
      </c>
      <c r="O173">
        <v>1</v>
      </c>
      <c r="P173">
        <v>0</v>
      </c>
      <c r="Q173">
        <v>5</v>
      </c>
      <c r="R173">
        <v>0</v>
      </c>
      <c r="S173">
        <v>10</v>
      </c>
      <c r="T173">
        <v>1.5</v>
      </c>
      <c r="U173">
        <v>0</v>
      </c>
      <c r="V173">
        <v>11.5</v>
      </c>
      <c r="W173">
        <v>130</v>
      </c>
      <c r="X173">
        <v>0</v>
      </c>
      <c r="Y173">
        <v>11</v>
      </c>
      <c r="Z173">
        <v>0</v>
      </c>
      <c r="AA173">
        <v>0</v>
      </c>
      <c r="AB173">
        <v>20</v>
      </c>
      <c r="AC173">
        <v>65.75</v>
      </c>
      <c r="AD173">
        <v>35.75</v>
      </c>
      <c r="AE173">
        <v>27.75</v>
      </c>
      <c r="AF173">
        <v>55.75</v>
      </c>
      <c r="AG173">
        <v>195.75</v>
      </c>
      <c r="AH173">
        <v>168</v>
      </c>
      <c r="AI173">
        <v>0</v>
      </c>
      <c r="AJ173">
        <v>0</v>
      </c>
      <c r="AK173">
        <v>0</v>
      </c>
      <c r="AL173">
        <v>0</v>
      </c>
      <c r="AM173">
        <v>4</v>
      </c>
      <c r="AN173">
        <v>1</v>
      </c>
      <c r="AO173">
        <v>0</v>
      </c>
      <c r="AP173">
        <v>0</v>
      </c>
      <c r="AQ173">
        <v>0</v>
      </c>
      <c r="AR173">
        <v>0</v>
      </c>
      <c r="AS173">
        <v>0</v>
      </c>
      <c r="AT173">
        <v>79</v>
      </c>
      <c r="AU173">
        <v>0</v>
      </c>
      <c r="AV173">
        <v>79</v>
      </c>
      <c r="AW173">
        <v>0</v>
      </c>
      <c r="AX173">
        <v>10</v>
      </c>
      <c r="AY173">
        <v>0</v>
      </c>
      <c r="AZ173">
        <v>10</v>
      </c>
      <c r="BA173">
        <v>0</v>
      </c>
      <c r="BB173">
        <v>1.5</v>
      </c>
      <c r="BC173">
        <v>0</v>
      </c>
      <c r="BD173">
        <v>1.5</v>
      </c>
      <c r="BE173">
        <v>0</v>
      </c>
    </row>
    <row r="174" spans="1:57">
      <c r="A174" t="s">
        <v>17044</v>
      </c>
      <c r="B174" t="s">
        <v>17049</v>
      </c>
      <c r="C174">
        <v>0</v>
      </c>
      <c r="D174">
        <v>11</v>
      </c>
      <c r="E174">
        <v>11</v>
      </c>
      <c r="F174">
        <v>10</v>
      </c>
      <c r="G174">
        <v>0</v>
      </c>
      <c r="H174">
        <v>0</v>
      </c>
      <c r="I174">
        <v>0</v>
      </c>
      <c r="J174">
        <v>11</v>
      </c>
      <c r="K174">
        <v>53</v>
      </c>
      <c r="L174">
        <v>1</v>
      </c>
      <c r="M174">
        <v>0</v>
      </c>
      <c r="N174">
        <v>3</v>
      </c>
      <c r="O174">
        <v>3</v>
      </c>
      <c r="P174">
        <v>1</v>
      </c>
      <c r="Q174">
        <v>3</v>
      </c>
      <c r="R174">
        <v>0</v>
      </c>
      <c r="S174">
        <v>13</v>
      </c>
      <c r="T174">
        <v>7.75</v>
      </c>
      <c r="U174">
        <v>0</v>
      </c>
      <c r="V174">
        <v>20.75</v>
      </c>
      <c r="W174">
        <v>285</v>
      </c>
      <c r="X174">
        <v>0</v>
      </c>
      <c r="Y174">
        <v>10</v>
      </c>
      <c r="Z174">
        <v>0</v>
      </c>
      <c r="AA174">
        <v>0</v>
      </c>
      <c r="AB174">
        <v>50</v>
      </c>
      <c r="AC174">
        <v>227.5</v>
      </c>
      <c r="AD174">
        <v>67.5</v>
      </c>
      <c r="AE174">
        <v>62.75</v>
      </c>
      <c r="AF174">
        <v>117.5</v>
      </c>
      <c r="AG174">
        <v>512.5</v>
      </c>
      <c r="AH174">
        <v>449.75</v>
      </c>
      <c r="AI174">
        <v>0</v>
      </c>
      <c r="AJ174">
        <v>0</v>
      </c>
      <c r="AK174">
        <v>0</v>
      </c>
      <c r="AL174">
        <v>0</v>
      </c>
      <c r="AM174">
        <v>0</v>
      </c>
      <c r="AN174">
        <v>4</v>
      </c>
      <c r="AO174">
        <v>0</v>
      </c>
      <c r="AP174">
        <v>0</v>
      </c>
      <c r="AQ174">
        <v>0</v>
      </c>
      <c r="AR174">
        <v>0</v>
      </c>
      <c r="AS174">
        <v>0</v>
      </c>
      <c r="AT174">
        <v>53</v>
      </c>
      <c r="AU174">
        <v>0</v>
      </c>
      <c r="AV174">
        <v>53</v>
      </c>
      <c r="AW174">
        <v>0</v>
      </c>
      <c r="AX174">
        <v>13</v>
      </c>
      <c r="AY174">
        <v>0</v>
      </c>
      <c r="AZ174">
        <v>13</v>
      </c>
      <c r="BA174">
        <v>0</v>
      </c>
      <c r="BB174">
        <v>7.75</v>
      </c>
      <c r="BC174">
        <v>0</v>
      </c>
      <c r="BD174">
        <v>7.75</v>
      </c>
      <c r="BE174">
        <v>0</v>
      </c>
    </row>
    <row r="175" spans="1:57">
      <c r="A175" t="s">
        <v>17044</v>
      </c>
      <c r="B175" t="s">
        <v>17050</v>
      </c>
      <c r="C175">
        <v>0</v>
      </c>
      <c r="D175">
        <v>15</v>
      </c>
      <c r="E175">
        <v>13</v>
      </c>
      <c r="F175">
        <v>15</v>
      </c>
      <c r="G175">
        <v>3</v>
      </c>
      <c r="H175">
        <v>0</v>
      </c>
      <c r="I175">
        <v>0</v>
      </c>
      <c r="J175">
        <v>13</v>
      </c>
      <c r="K175">
        <v>123</v>
      </c>
      <c r="L175">
        <v>2</v>
      </c>
      <c r="M175">
        <v>4</v>
      </c>
      <c r="N175">
        <v>2</v>
      </c>
      <c r="O175">
        <v>3</v>
      </c>
      <c r="P175">
        <v>1</v>
      </c>
      <c r="Q175">
        <v>3</v>
      </c>
      <c r="R175">
        <v>0</v>
      </c>
      <c r="S175">
        <v>16</v>
      </c>
      <c r="T175">
        <v>2.5</v>
      </c>
      <c r="U175">
        <v>0</v>
      </c>
      <c r="V175">
        <v>18.5</v>
      </c>
      <c r="W175">
        <v>210</v>
      </c>
      <c r="X175">
        <v>0</v>
      </c>
      <c r="Y175">
        <v>4</v>
      </c>
      <c r="Z175">
        <v>1</v>
      </c>
      <c r="AA175">
        <v>0</v>
      </c>
      <c r="AB175">
        <v>130</v>
      </c>
      <c r="AC175">
        <v>1065.8499999999999</v>
      </c>
      <c r="AD175">
        <v>1065</v>
      </c>
      <c r="AE175">
        <v>139</v>
      </c>
      <c r="AF175">
        <v>1195</v>
      </c>
      <c r="AG175">
        <v>1275.8499999999999</v>
      </c>
      <c r="AH175">
        <v>1136.8499999999999</v>
      </c>
      <c r="AI175">
        <v>0</v>
      </c>
      <c r="AJ175">
        <v>0</v>
      </c>
      <c r="AK175">
        <v>0</v>
      </c>
      <c r="AL175">
        <v>0</v>
      </c>
      <c r="AM175">
        <v>0</v>
      </c>
      <c r="AN175">
        <v>0</v>
      </c>
      <c r="AO175">
        <v>0</v>
      </c>
      <c r="AP175">
        <v>1</v>
      </c>
      <c r="AQ175">
        <v>0</v>
      </c>
      <c r="AR175">
        <v>0</v>
      </c>
      <c r="AS175">
        <v>0</v>
      </c>
      <c r="AT175">
        <v>123</v>
      </c>
      <c r="AU175">
        <v>0</v>
      </c>
      <c r="AV175">
        <v>123</v>
      </c>
      <c r="AW175">
        <v>0</v>
      </c>
      <c r="AX175">
        <v>16</v>
      </c>
      <c r="AY175">
        <v>0</v>
      </c>
      <c r="AZ175">
        <v>16</v>
      </c>
      <c r="BA175">
        <v>0</v>
      </c>
      <c r="BB175">
        <v>2.5</v>
      </c>
      <c r="BC175">
        <v>0</v>
      </c>
      <c r="BD175">
        <v>2.5</v>
      </c>
      <c r="BE175">
        <v>0</v>
      </c>
    </row>
    <row r="176" spans="1:57">
      <c r="A176" t="s">
        <v>17044</v>
      </c>
      <c r="B176" t="s">
        <v>17341</v>
      </c>
      <c r="C176">
        <v>0</v>
      </c>
      <c r="D176">
        <v>1</v>
      </c>
      <c r="E176">
        <v>0</v>
      </c>
      <c r="F176">
        <v>0</v>
      </c>
      <c r="G176">
        <v>0</v>
      </c>
      <c r="H176">
        <v>0</v>
      </c>
      <c r="I176">
        <v>0</v>
      </c>
      <c r="J176">
        <v>0</v>
      </c>
      <c r="K176">
        <v>0</v>
      </c>
      <c r="L176">
        <v>1</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row>
    <row r="177" spans="1:57">
      <c r="A177" t="s">
        <v>17044</v>
      </c>
      <c r="B177" t="s">
        <v>17341</v>
      </c>
      <c r="C177">
        <v>0</v>
      </c>
      <c r="D177">
        <v>3</v>
      </c>
      <c r="E177">
        <v>3</v>
      </c>
      <c r="F177">
        <v>0</v>
      </c>
      <c r="G177">
        <v>0</v>
      </c>
      <c r="H177">
        <v>0</v>
      </c>
      <c r="I177">
        <v>0</v>
      </c>
      <c r="J177">
        <v>3</v>
      </c>
      <c r="K177">
        <v>8</v>
      </c>
      <c r="L177">
        <v>2</v>
      </c>
      <c r="M177">
        <v>0</v>
      </c>
      <c r="N177">
        <v>1</v>
      </c>
      <c r="O177">
        <v>0</v>
      </c>
      <c r="P177">
        <v>0</v>
      </c>
      <c r="Q177">
        <v>0</v>
      </c>
      <c r="R177">
        <v>0</v>
      </c>
      <c r="S177">
        <v>3</v>
      </c>
      <c r="T177">
        <v>0</v>
      </c>
      <c r="U177">
        <v>0</v>
      </c>
      <c r="V177">
        <v>2</v>
      </c>
      <c r="W177">
        <v>20</v>
      </c>
      <c r="X177">
        <v>0</v>
      </c>
      <c r="Y177">
        <v>1</v>
      </c>
      <c r="Z177">
        <v>0</v>
      </c>
      <c r="AA177">
        <v>0</v>
      </c>
      <c r="AB177">
        <v>0</v>
      </c>
      <c r="AC177">
        <v>0</v>
      </c>
      <c r="AD177">
        <v>0</v>
      </c>
      <c r="AE177">
        <v>0</v>
      </c>
      <c r="AF177">
        <v>0</v>
      </c>
      <c r="AG177">
        <v>20</v>
      </c>
      <c r="AH177">
        <v>20</v>
      </c>
      <c r="AI177">
        <v>0</v>
      </c>
      <c r="AJ177">
        <v>0</v>
      </c>
      <c r="AK177">
        <v>0</v>
      </c>
      <c r="AL177">
        <v>0</v>
      </c>
      <c r="AM177">
        <v>0</v>
      </c>
      <c r="AN177">
        <v>0</v>
      </c>
      <c r="AO177">
        <v>0</v>
      </c>
      <c r="AP177">
        <v>0</v>
      </c>
      <c r="AQ177">
        <v>0</v>
      </c>
      <c r="AR177">
        <v>0</v>
      </c>
      <c r="AS177">
        <v>0</v>
      </c>
      <c r="AT177">
        <v>8</v>
      </c>
      <c r="AU177">
        <v>0</v>
      </c>
      <c r="AV177">
        <v>8</v>
      </c>
      <c r="AW177">
        <v>0</v>
      </c>
      <c r="AX177">
        <v>2</v>
      </c>
      <c r="AY177">
        <v>0</v>
      </c>
      <c r="AZ177">
        <v>2</v>
      </c>
      <c r="BA177">
        <v>0</v>
      </c>
      <c r="BB177">
        <v>0</v>
      </c>
      <c r="BC177">
        <v>0</v>
      </c>
      <c r="BD177">
        <v>0</v>
      </c>
      <c r="BE177">
        <v>0</v>
      </c>
    </row>
    <row r="178" spans="1:57">
      <c r="A178" t="s">
        <v>17044</v>
      </c>
      <c r="B178" t="s">
        <v>17052</v>
      </c>
      <c r="C178">
        <v>0</v>
      </c>
      <c r="D178">
        <v>6</v>
      </c>
      <c r="E178">
        <v>6</v>
      </c>
      <c r="F178">
        <v>6</v>
      </c>
      <c r="G178">
        <v>0</v>
      </c>
      <c r="H178">
        <v>1</v>
      </c>
      <c r="I178">
        <v>0</v>
      </c>
      <c r="J178">
        <v>6</v>
      </c>
      <c r="K178">
        <v>50</v>
      </c>
      <c r="L178">
        <v>2</v>
      </c>
      <c r="M178">
        <v>1</v>
      </c>
      <c r="N178">
        <v>1</v>
      </c>
      <c r="O178">
        <v>1</v>
      </c>
      <c r="P178">
        <v>0</v>
      </c>
      <c r="Q178">
        <v>0</v>
      </c>
      <c r="R178">
        <v>0</v>
      </c>
      <c r="S178">
        <v>17.25</v>
      </c>
      <c r="T178">
        <v>8.5</v>
      </c>
      <c r="U178">
        <v>0</v>
      </c>
      <c r="V178">
        <v>25.75</v>
      </c>
      <c r="W178">
        <v>342.5</v>
      </c>
      <c r="X178">
        <v>0</v>
      </c>
      <c r="Y178">
        <v>0</v>
      </c>
      <c r="Z178">
        <v>6</v>
      </c>
      <c r="AA178">
        <v>0</v>
      </c>
      <c r="AB178">
        <v>85</v>
      </c>
      <c r="AC178">
        <v>0</v>
      </c>
      <c r="AD178">
        <v>0</v>
      </c>
      <c r="AE178">
        <v>0</v>
      </c>
      <c r="AF178">
        <v>85</v>
      </c>
      <c r="AG178">
        <v>342.5</v>
      </c>
      <c r="AH178">
        <v>342.5</v>
      </c>
      <c r="AI178">
        <v>0</v>
      </c>
      <c r="AJ178">
        <v>25</v>
      </c>
      <c r="AK178">
        <v>85</v>
      </c>
      <c r="AL178">
        <v>85</v>
      </c>
      <c r="AM178">
        <v>0</v>
      </c>
      <c r="AN178">
        <v>0</v>
      </c>
      <c r="AO178">
        <v>0</v>
      </c>
      <c r="AP178">
        <v>0</v>
      </c>
      <c r="AQ178">
        <v>0</v>
      </c>
      <c r="AR178">
        <v>0</v>
      </c>
      <c r="AS178">
        <v>0</v>
      </c>
      <c r="AT178">
        <v>50</v>
      </c>
      <c r="AU178">
        <v>11</v>
      </c>
      <c r="AV178">
        <v>39</v>
      </c>
      <c r="AW178">
        <v>0</v>
      </c>
      <c r="AX178">
        <v>17.25</v>
      </c>
      <c r="AY178">
        <v>4.5</v>
      </c>
      <c r="AZ178">
        <v>12.75</v>
      </c>
      <c r="BA178">
        <v>0</v>
      </c>
      <c r="BB178">
        <v>8.5</v>
      </c>
      <c r="BC178">
        <v>2</v>
      </c>
      <c r="BD178">
        <v>6.5</v>
      </c>
      <c r="BE178">
        <v>0</v>
      </c>
    </row>
    <row r="179" spans="1:57">
      <c r="A179" t="s">
        <v>17044</v>
      </c>
      <c r="B179" t="s">
        <v>17342</v>
      </c>
      <c r="C179">
        <v>0</v>
      </c>
      <c r="D179">
        <v>26</v>
      </c>
      <c r="E179">
        <v>26</v>
      </c>
      <c r="F179">
        <v>24</v>
      </c>
      <c r="G179">
        <v>5</v>
      </c>
      <c r="H179">
        <v>3</v>
      </c>
      <c r="I179">
        <v>2</v>
      </c>
      <c r="J179">
        <v>26</v>
      </c>
      <c r="K179">
        <v>282</v>
      </c>
      <c r="L179">
        <v>4</v>
      </c>
      <c r="M179">
        <v>0</v>
      </c>
      <c r="N179">
        <v>6</v>
      </c>
      <c r="O179">
        <v>8</v>
      </c>
      <c r="P179">
        <v>1</v>
      </c>
      <c r="Q179">
        <v>7</v>
      </c>
      <c r="R179">
        <v>0</v>
      </c>
      <c r="S179">
        <v>18</v>
      </c>
      <c r="T179">
        <v>26.75</v>
      </c>
      <c r="U179">
        <v>250</v>
      </c>
      <c r="V179">
        <v>294.75</v>
      </c>
      <c r="W179">
        <v>715</v>
      </c>
      <c r="X179">
        <v>2090</v>
      </c>
      <c r="Y179">
        <v>19</v>
      </c>
      <c r="Z179">
        <v>6</v>
      </c>
      <c r="AA179">
        <v>0</v>
      </c>
      <c r="AB179">
        <v>240</v>
      </c>
      <c r="AC179">
        <v>0</v>
      </c>
      <c r="AD179">
        <v>0</v>
      </c>
      <c r="AE179">
        <v>180</v>
      </c>
      <c r="AF179">
        <v>240</v>
      </c>
      <c r="AG179">
        <v>7805</v>
      </c>
      <c r="AH179">
        <v>7625</v>
      </c>
      <c r="AI179">
        <v>140</v>
      </c>
      <c r="AJ179">
        <v>140</v>
      </c>
      <c r="AK179">
        <v>7355</v>
      </c>
      <c r="AL179">
        <v>7215</v>
      </c>
      <c r="AM179">
        <v>0</v>
      </c>
      <c r="AN179">
        <v>1</v>
      </c>
      <c r="AO179">
        <v>0</v>
      </c>
      <c r="AP179">
        <v>1</v>
      </c>
      <c r="AQ179">
        <v>0</v>
      </c>
      <c r="AR179">
        <v>0</v>
      </c>
      <c r="AS179">
        <v>0</v>
      </c>
      <c r="AT179">
        <v>282</v>
      </c>
      <c r="AU179">
        <v>74</v>
      </c>
      <c r="AV179">
        <v>208</v>
      </c>
      <c r="AW179">
        <v>0</v>
      </c>
      <c r="AX179">
        <v>18</v>
      </c>
      <c r="AY179">
        <v>4</v>
      </c>
      <c r="AZ179">
        <v>14</v>
      </c>
      <c r="BA179">
        <v>0</v>
      </c>
      <c r="BB179">
        <v>26.75</v>
      </c>
      <c r="BC179">
        <v>11.25</v>
      </c>
      <c r="BD179">
        <v>15.5</v>
      </c>
      <c r="BE179">
        <v>0</v>
      </c>
    </row>
    <row r="180" spans="1:57">
      <c r="A180" t="s">
        <v>17044</v>
      </c>
      <c r="B180" t="s">
        <v>17057</v>
      </c>
      <c r="C180">
        <v>73</v>
      </c>
      <c r="D180">
        <v>92</v>
      </c>
      <c r="E180">
        <v>91</v>
      </c>
      <c r="F180">
        <v>88</v>
      </c>
      <c r="G180">
        <v>6</v>
      </c>
      <c r="H180">
        <v>1</v>
      </c>
      <c r="I180">
        <v>0</v>
      </c>
      <c r="J180">
        <v>92</v>
      </c>
      <c r="K180">
        <v>766</v>
      </c>
      <c r="L180">
        <v>36</v>
      </c>
      <c r="M180">
        <v>1</v>
      </c>
      <c r="N180">
        <v>42</v>
      </c>
      <c r="O180">
        <v>3</v>
      </c>
      <c r="P180">
        <v>0</v>
      </c>
      <c r="Q180">
        <v>9</v>
      </c>
      <c r="R180">
        <v>0</v>
      </c>
      <c r="S180">
        <v>39.254000000000005</v>
      </c>
      <c r="T180">
        <v>25.75</v>
      </c>
      <c r="U180">
        <v>0</v>
      </c>
      <c r="V180">
        <v>65.003999999999991</v>
      </c>
      <c r="W180">
        <v>480</v>
      </c>
      <c r="X180">
        <v>0</v>
      </c>
      <c r="Y180">
        <v>17</v>
      </c>
      <c r="Z180">
        <v>1</v>
      </c>
      <c r="AA180">
        <v>-420.04</v>
      </c>
      <c r="AB180">
        <v>125</v>
      </c>
      <c r="AC180">
        <v>682.45000000000016</v>
      </c>
      <c r="AD180">
        <v>483.15</v>
      </c>
      <c r="AE180">
        <v>516.44999999999993</v>
      </c>
      <c r="AF180">
        <v>608.15000000000009</v>
      </c>
      <c r="AG180">
        <v>1162.45</v>
      </c>
      <c r="AH180">
        <v>647.20000000000005</v>
      </c>
      <c r="AI180">
        <v>11.25</v>
      </c>
      <c r="AJ180">
        <v>66.25</v>
      </c>
      <c r="AK180">
        <v>96.25</v>
      </c>
      <c r="AL180">
        <v>85</v>
      </c>
      <c r="AM180">
        <v>56</v>
      </c>
      <c r="AN180">
        <v>15</v>
      </c>
      <c r="AO180">
        <v>3</v>
      </c>
      <c r="AP180">
        <v>0</v>
      </c>
      <c r="AQ180">
        <v>0</v>
      </c>
      <c r="AR180">
        <v>0</v>
      </c>
      <c r="AS180">
        <v>0</v>
      </c>
      <c r="AT180">
        <v>766</v>
      </c>
      <c r="AU180">
        <v>12</v>
      </c>
      <c r="AV180">
        <v>189</v>
      </c>
      <c r="AW180">
        <v>565</v>
      </c>
      <c r="AX180">
        <v>39.254000000000005</v>
      </c>
      <c r="AY180">
        <v>3.5</v>
      </c>
      <c r="AZ180">
        <v>17.5</v>
      </c>
      <c r="BA180">
        <v>18.253999999999998</v>
      </c>
      <c r="BB180">
        <v>25.75</v>
      </c>
      <c r="BC180">
        <v>2.5</v>
      </c>
      <c r="BD180">
        <v>11</v>
      </c>
      <c r="BE180">
        <v>12.25</v>
      </c>
    </row>
    <row r="181" spans="1:57">
      <c r="A181" t="s">
        <v>17044</v>
      </c>
      <c r="B181" t="s">
        <v>17340</v>
      </c>
      <c r="C181">
        <v>0</v>
      </c>
      <c r="D181">
        <v>29</v>
      </c>
      <c r="E181">
        <v>5</v>
      </c>
      <c r="F181">
        <v>24</v>
      </c>
      <c r="G181">
        <v>3</v>
      </c>
      <c r="H181">
        <v>2</v>
      </c>
      <c r="I181">
        <v>0</v>
      </c>
      <c r="J181">
        <v>29</v>
      </c>
      <c r="K181">
        <v>285</v>
      </c>
      <c r="L181">
        <v>21</v>
      </c>
      <c r="M181">
        <v>1</v>
      </c>
      <c r="N181">
        <v>1</v>
      </c>
      <c r="O181">
        <v>5</v>
      </c>
      <c r="P181">
        <v>1</v>
      </c>
      <c r="Q181">
        <v>0</v>
      </c>
      <c r="R181">
        <v>0</v>
      </c>
      <c r="S181">
        <v>15</v>
      </c>
      <c r="T181">
        <v>15.5</v>
      </c>
      <c r="U181">
        <v>0</v>
      </c>
      <c r="V181">
        <v>30.5</v>
      </c>
      <c r="W181">
        <v>460</v>
      </c>
      <c r="X181">
        <v>0</v>
      </c>
      <c r="Y181">
        <v>29</v>
      </c>
      <c r="Z181">
        <v>0</v>
      </c>
      <c r="AA181">
        <v>0</v>
      </c>
      <c r="AB181">
        <v>10</v>
      </c>
      <c r="AC181">
        <v>0</v>
      </c>
      <c r="AD181">
        <v>0</v>
      </c>
      <c r="AE181">
        <v>5</v>
      </c>
      <c r="AF181">
        <v>10</v>
      </c>
      <c r="AG181">
        <v>460</v>
      </c>
      <c r="AH181">
        <v>455</v>
      </c>
      <c r="AI181">
        <v>5</v>
      </c>
      <c r="AJ181">
        <v>10</v>
      </c>
      <c r="AK181">
        <v>55</v>
      </c>
      <c r="AL181">
        <v>50</v>
      </c>
      <c r="AM181">
        <v>0</v>
      </c>
      <c r="AN181">
        <v>1</v>
      </c>
      <c r="AO181">
        <v>0</v>
      </c>
      <c r="AP181">
        <v>0</v>
      </c>
      <c r="AQ181">
        <v>0</v>
      </c>
      <c r="AR181">
        <v>0</v>
      </c>
      <c r="AS181">
        <v>0</v>
      </c>
      <c r="AT181">
        <v>285</v>
      </c>
      <c r="AU181">
        <v>44</v>
      </c>
      <c r="AV181">
        <v>241</v>
      </c>
      <c r="AW181">
        <v>0</v>
      </c>
      <c r="AX181">
        <v>15</v>
      </c>
      <c r="AY181">
        <v>1.5</v>
      </c>
      <c r="AZ181">
        <v>13.5</v>
      </c>
      <c r="BA181">
        <v>0</v>
      </c>
      <c r="BB181">
        <v>15.5</v>
      </c>
      <c r="BC181">
        <v>2</v>
      </c>
      <c r="BD181">
        <v>13.5</v>
      </c>
      <c r="BE181">
        <v>0</v>
      </c>
    </row>
    <row r="182" spans="1:57">
      <c r="A182" t="s">
        <v>17044</v>
      </c>
      <c r="B182" t="s">
        <v>17058</v>
      </c>
      <c r="C182">
        <v>61</v>
      </c>
      <c r="D182">
        <v>132</v>
      </c>
      <c r="E182">
        <v>132</v>
      </c>
      <c r="F182">
        <v>130</v>
      </c>
      <c r="G182">
        <v>21</v>
      </c>
      <c r="H182">
        <v>12</v>
      </c>
      <c r="I182">
        <v>8</v>
      </c>
      <c r="J182">
        <v>132</v>
      </c>
      <c r="K182">
        <v>869</v>
      </c>
      <c r="L182">
        <v>40</v>
      </c>
      <c r="M182">
        <v>20</v>
      </c>
      <c r="N182">
        <v>45</v>
      </c>
      <c r="O182">
        <v>23</v>
      </c>
      <c r="P182">
        <v>1</v>
      </c>
      <c r="Q182">
        <v>2</v>
      </c>
      <c r="R182">
        <v>0</v>
      </c>
      <c r="S182">
        <v>221.5</v>
      </c>
      <c r="T182">
        <v>271</v>
      </c>
      <c r="U182">
        <v>0</v>
      </c>
      <c r="V182">
        <v>492.5</v>
      </c>
      <c r="W182">
        <v>3952.5</v>
      </c>
      <c r="X182">
        <v>0</v>
      </c>
      <c r="Y182">
        <v>71</v>
      </c>
      <c r="Z182">
        <v>0</v>
      </c>
      <c r="AA182">
        <v>-3682.5</v>
      </c>
      <c r="AB182">
        <v>2235</v>
      </c>
      <c r="AC182">
        <v>1753.24</v>
      </c>
      <c r="AD182">
        <v>1753.24</v>
      </c>
      <c r="AE182">
        <v>1650</v>
      </c>
      <c r="AF182">
        <v>3988.24</v>
      </c>
      <c r="AG182">
        <v>5705.74</v>
      </c>
      <c r="AH182">
        <v>4118.24</v>
      </c>
      <c r="AI182">
        <v>803.25</v>
      </c>
      <c r="AJ182">
        <v>1146.75</v>
      </c>
      <c r="AK182">
        <v>1266.75</v>
      </c>
      <c r="AL182">
        <v>463.5</v>
      </c>
      <c r="AM182">
        <v>13</v>
      </c>
      <c r="AN182">
        <v>16</v>
      </c>
      <c r="AO182">
        <v>6</v>
      </c>
      <c r="AP182">
        <v>6</v>
      </c>
      <c r="AQ182">
        <v>0</v>
      </c>
      <c r="AR182">
        <v>0</v>
      </c>
      <c r="AS182">
        <v>0</v>
      </c>
      <c r="AT182">
        <v>869</v>
      </c>
      <c r="AU182">
        <v>235</v>
      </c>
      <c r="AV182">
        <v>325</v>
      </c>
      <c r="AW182">
        <v>485</v>
      </c>
      <c r="AX182">
        <v>221.5</v>
      </c>
      <c r="AY182">
        <v>51</v>
      </c>
      <c r="AZ182">
        <v>85.75</v>
      </c>
      <c r="BA182">
        <v>122.75</v>
      </c>
      <c r="BB182">
        <v>271</v>
      </c>
      <c r="BC182">
        <v>51</v>
      </c>
      <c r="BD182">
        <v>135.25</v>
      </c>
      <c r="BE182">
        <v>122.75</v>
      </c>
    </row>
    <row r="183" spans="1:57">
      <c r="A183" t="s">
        <v>17059</v>
      </c>
      <c r="B183" t="s">
        <v>20669</v>
      </c>
      <c r="C183">
        <v>0</v>
      </c>
      <c r="D183">
        <v>10</v>
      </c>
      <c r="E183">
        <v>10</v>
      </c>
      <c r="F183">
        <v>0</v>
      </c>
      <c r="G183">
        <v>3</v>
      </c>
      <c r="H183">
        <v>2</v>
      </c>
      <c r="I183">
        <v>2</v>
      </c>
      <c r="J183">
        <v>9</v>
      </c>
      <c r="K183">
        <v>94</v>
      </c>
      <c r="L183">
        <v>9</v>
      </c>
      <c r="M183">
        <v>0</v>
      </c>
      <c r="N183">
        <v>0</v>
      </c>
      <c r="O183">
        <v>0</v>
      </c>
      <c r="P183">
        <v>0</v>
      </c>
      <c r="Q183">
        <v>1</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94</v>
      </c>
      <c r="AU183">
        <v>44</v>
      </c>
      <c r="AV183">
        <v>50</v>
      </c>
      <c r="AW183">
        <v>0</v>
      </c>
      <c r="AX183">
        <v>0</v>
      </c>
      <c r="AY183">
        <v>0</v>
      </c>
      <c r="AZ183">
        <v>0</v>
      </c>
      <c r="BA183">
        <v>0</v>
      </c>
      <c r="BB183">
        <v>0</v>
      </c>
      <c r="BC183">
        <v>0</v>
      </c>
      <c r="BD183">
        <v>0</v>
      </c>
      <c r="BE183">
        <v>0</v>
      </c>
    </row>
    <row r="184" spans="1:57">
      <c r="A184" t="s">
        <v>16978</v>
      </c>
      <c r="B184" t="s">
        <v>20671</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7">
      <c r="A185" t="s">
        <v>16978</v>
      </c>
      <c r="B185" t="s">
        <v>18823</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row>
    <row r="186" spans="1:57">
      <c r="A186" t="s">
        <v>16978</v>
      </c>
      <c r="B186" t="s">
        <v>20670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row>
    <row r="187" spans="1:57">
      <c r="A187" t="s">
        <v>16978</v>
      </c>
      <c r="B187" t="s">
        <v>17330</v>
      </c>
      <c r="C187" s="109">
        <v>0</v>
      </c>
      <c r="D187" s="109">
        <v>0</v>
      </c>
      <c r="E187" s="109">
        <v>0</v>
      </c>
      <c r="F187" s="109">
        <v>0</v>
      </c>
      <c r="G187" s="109">
        <v>0</v>
      </c>
      <c r="H187" s="109">
        <v>0</v>
      </c>
      <c r="I187" s="109">
        <v>0</v>
      </c>
      <c r="J187" s="109">
        <v>0</v>
      </c>
      <c r="K187" s="109">
        <v>0</v>
      </c>
      <c r="L187" s="109">
        <v>0</v>
      </c>
      <c r="M187" s="109">
        <v>0</v>
      </c>
      <c r="N187" s="109">
        <v>0</v>
      </c>
      <c r="O187" s="109">
        <v>0</v>
      </c>
      <c r="P187" s="109">
        <v>0</v>
      </c>
      <c r="Q187" s="109">
        <v>0</v>
      </c>
      <c r="R187" s="109">
        <v>0</v>
      </c>
      <c r="S187" s="109">
        <v>0</v>
      </c>
      <c r="T187" s="109">
        <v>0</v>
      </c>
      <c r="U187" s="109">
        <v>0</v>
      </c>
      <c r="V187" s="109">
        <v>0</v>
      </c>
      <c r="W187" s="109">
        <v>0</v>
      </c>
      <c r="X187" s="109">
        <v>0</v>
      </c>
      <c r="Y187" s="109">
        <v>0</v>
      </c>
      <c r="Z187" s="109">
        <v>0</v>
      </c>
      <c r="AA187" s="109">
        <v>0</v>
      </c>
      <c r="AB187" s="109">
        <v>0</v>
      </c>
      <c r="AC187" s="109">
        <v>0</v>
      </c>
      <c r="AD187" s="109">
        <v>0</v>
      </c>
      <c r="AE187" s="109">
        <v>0</v>
      </c>
      <c r="AF187" s="109">
        <v>0</v>
      </c>
      <c r="AG187" s="109">
        <v>0</v>
      </c>
      <c r="AH187" s="109">
        <v>0</v>
      </c>
      <c r="AI187" s="109">
        <v>0</v>
      </c>
      <c r="AJ187" s="109">
        <v>0</v>
      </c>
      <c r="AK187" s="109">
        <v>0</v>
      </c>
      <c r="AL187" s="109">
        <v>0</v>
      </c>
      <c r="AM187" s="109">
        <v>0</v>
      </c>
      <c r="AN187" s="109">
        <v>0</v>
      </c>
      <c r="AO187" s="109">
        <v>0</v>
      </c>
      <c r="AP187" s="109">
        <v>0</v>
      </c>
      <c r="AQ187" s="109">
        <v>0</v>
      </c>
      <c r="AR187" s="109">
        <v>0</v>
      </c>
      <c r="AS187" s="109">
        <v>0</v>
      </c>
      <c r="AT187" s="109">
        <v>0</v>
      </c>
      <c r="AU187" s="109">
        <v>0</v>
      </c>
      <c r="AV187" s="109">
        <v>0</v>
      </c>
      <c r="AW187" s="109">
        <v>0</v>
      </c>
      <c r="AX187" s="109">
        <v>0</v>
      </c>
      <c r="AY187" s="109">
        <v>0</v>
      </c>
      <c r="AZ187" s="109">
        <v>0</v>
      </c>
      <c r="BA187" s="109">
        <v>0</v>
      </c>
      <c r="BB187" s="109">
        <v>0</v>
      </c>
      <c r="BC187" s="109">
        <v>0</v>
      </c>
      <c r="BD187" s="109">
        <v>0</v>
      </c>
      <c r="BE187" s="109">
        <v>0</v>
      </c>
    </row>
    <row r="188" spans="1:57">
      <c r="A188" t="s">
        <v>16978</v>
      </c>
      <c r="B188" t="s">
        <v>18824</v>
      </c>
      <c r="C188" s="109">
        <v>0</v>
      </c>
      <c r="D188" s="109">
        <v>0</v>
      </c>
      <c r="E188" s="109">
        <v>0</v>
      </c>
      <c r="F188" s="109">
        <v>0</v>
      </c>
      <c r="G188" s="109">
        <v>0</v>
      </c>
      <c r="H188" s="109">
        <v>0</v>
      </c>
      <c r="I188" s="109">
        <v>0</v>
      </c>
      <c r="J188" s="109">
        <v>0</v>
      </c>
      <c r="K188" s="109">
        <v>0</v>
      </c>
      <c r="L188" s="109">
        <v>0</v>
      </c>
      <c r="M188" s="109">
        <v>0</v>
      </c>
      <c r="N188" s="109">
        <v>0</v>
      </c>
      <c r="O188" s="109">
        <v>0</v>
      </c>
      <c r="P188" s="109">
        <v>0</v>
      </c>
      <c r="Q188" s="109">
        <v>0</v>
      </c>
      <c r="R188" s="109">
        <v>0</v>
      </c>
      <c r="S188" s="109">
        <v>0</v>
      </c>
      <c r="T188" s="109">
        <v>0</v>
      </c>
      <c r="U188" s="109">
        <v>0</v>
      </c>
      <c r="V188" s="109">
        <v>0</v>
      </c>
      <c r="W188" s="109">
        <v>0</v>
      </c>
      <c r="X188" s="109">
        <v>0</v>
      </c>
      <c r="Y188" s="109">
        <v>0</v>
      </c>
      <c r="Z188" s="109">
        <v>0</v>
      </c>
      <c r="AA188" s="109">
        <v>0</v>
      </c>
      <c r="AB188" s="109">
        <v>0</v>
      </c>
      <c r="AC188" s="109">
        <v>0</v>
      </c>
      <c r="AD188" s="109">
        <v>0</v>
      </c>
      <c r="AE188" s="109">
        <v>0</v>
      </c>
      <c r="AF188" s="109">
        <v>0</v>
      </c>
      <c r="AG188" s="109">
        <v>0</v>
      </c>
      <c r="AH188" s="109">
        <v>0</v>
      </c>
      <c r="AI188" s="109">
        <v>0</v>
      </c>
      <c r="AJ188" s="109">
        <v>0</v>
      </c>
      <c r="AK188" s="109">
        <v>0</v>
      </c>
      <c r="AL188" s="109">
        <v>0</v>
      </c>
      <c r="AM188" s="109">
        <v>0</v>
      </c>
      <c r="AN188" s="109">
        <v>0</v>
      </c>
      <c r="AO188" s="109">
        <v>0</v>
      </c>
      <c r="AP188" s="109">
        <v>0</v>
      </c>
      <c r="AQ188" s="109">
        <v>0</v>
      </c>
      <c r="AR188" s="109">
        <v>0</v>
      </c>
      <c r="AS188" s="109">
        <v>0</v>
      </c>
      <c r="AT188" s="109">
        <v>0</v>
      </c>
      <c r="AU188" s="109">
        <v>0</v>
      </c>
      <c r="AV188" s="109">
        <v>0</v>
      </c>
      <c r="AW188" s="109">
        <v>0</v>
      </c>
      <c r="AX188" s="109">
        <v>0</v>
      </c>
      <c r="AY188" s="109">
        <v>0</v>
      </c>
      <c r="AZ188" s="109">
        <v>0</v>
      </c>
      <c r="BA188" s="109">
        <v>0</v>
      </c>
      <c r="BB188" s="109">
        <v>0</v>
      </c>
      <c r="BC188" s="109">
        <v>0</v>
      </c>
      <c r="BD188" s="109">
        <v>0</v>
      </c>
      <c r="BE188" s="109">
        <v>0</v>
      </c>
    </row>
    <row r="189" spans="1:57">
      <c r="A189" t="s">
        <v>16978</v>
      </c>
      <c r="B189" t="s">
        <v>17064</v>
      </c>
      <c r="C189" s="109">
        <v>0</v>
      </c>
      <c r="D189" s="109">
        <v>0</v>
      </c>
      <c r="E189" s="109">
        <v>0</v>
      </c>
      <c r="F189" s="109">
        <v>0</v>
      </c>
      <c r="G189" s="109">
        <v>0</v>
      </c>
      <c r="H189" s="109">
        <v>0</v>
      </c>
      <c r="I189" s="109">
        <v>0</v>
      </c>
      <c r="J189" s="109">
        <v>0</v>
      </c>
      <c r="K189" s="109">
        <v>0</v>
      </c>
      <c r="L189" s="109">
        <v>0</v>
      </c>
      <c r="M189" s="109">
        <v>0</v>
      </c>
      <c r="N189" s="109">
        <v>0</v>
      </c>
      <c r="O189" s="109">
        <v>0</v>
      </c>
      <c r="P189" s="109">
        <v>0</v>
      </c>
      <c r="Q189" s="109">
        <v>0</v>
      </c>
      <c r="R189" s="109">
        <v>0</v>
      </c>
      <c r="S189" s="109">
        <v>0</v>
      </c>
      <c r="T189" s="109">
        <v>0</v>
      </c>
      <c r="U189" s="109">
        <v>0</v>
      </c>
      <c r="V189" s="109">
        <v>0</v>
      </c>
      <c r="W189" s="109">
        <v>0</v>
      </c>
      <c r="X189" s="109">
        <v>0</v>
      </c>
      <c r="Y189" s="109">
        <v>0</v>
      </c>
      <c r="Z189" s="109">
        <v>0</v>
      </c>
      <c r="AA189" s="109">
        <v>0</v>
      </c>
      <c r="AB189" s="109">
        <v>0</v>
      </c>
      <c r="AC189" s="109">
        <v>0</v>
      </c>
      <c r="AD189" s="109">
        <v>0</v>
      </c>
      <c r="AE189" s="109">
        <v>0</v>
      </c>
      <c r="AF189" s="109">
        <v>0</v>
      </c>
      <c r="AG189" s="109">
        <v>0</v>
      </c>
      <c r="AH189" s="109">
        <v>0</v>
      </c>
      <c r="AI189" s="109">
        <v>0</v>
      </c>
      <c r="AJ189" s="109">
        <v>0</v>
      </c>
      <c r="AK189" s="109">
        <v>0</v>
      </c>
      <c r="AL189" s="109">
        <v>0</v>
      </c>
      <c r="AM189" s="109">
        <v>0</v>
      </c>
      <c r="AN189" s="109">
        <v>0</v>
      </c>
      <c r="AO189" s="109">
        <v>0</v>
      </c>
      <c r="AP189" s="109">
        <v>0</v>
      </c>
      <c r="AQ189" s="109">
        <v>0</v>
      </c>
      <c r="AR189" s="109">
        <v>0</v>
      </c>
      <c r="AS189" s="109">
        <v>0</v>
      </c>
      <c r="AT189" s="109">
        <v>0</v>
      </c>
      <c r="AU189" s="109">
        <v>0</v>
      </c>
      <c r="AV189" s="109">
        <v>0</v>
      </c>
      <c r="AW189" s="109">
        <v>0</v>
      </c>
      <c r="AX189" s="109">
        <v>0</v>
      </c>
      <c r="AY189" s="109">
        <v>0</v>
      </c>
      <c r="AZ189" s="109">
        <v>0</v>
      </c>
      <c r="BA189" s="109">
        <v>0</v>
      </c>
      <c r="BB189" s="109">
        <v>0</v>
      </c>
      <c r="BC189" s="109">
        <v>0</v>
      </c>
      <c r="BD189" s="109">
        <v>0</v>
      </c>
      <c r="BE189" s="109">
        <v>0</v>
      </c>
    </row>
    <row r="190" spans="1:57">
      <c r="A190" t="s">
        <v>16978</v>
      </c>
      <c r="B190" t="s">
        <v>17065</v>
      </c>
      <c r="C190">
        <v>1</v>
      </c>
      <c r="D190">
        <v>6</v>
      </c>
      <c r="E190">
        <v>6</v>
      </c>
      <c r="F190">
        <v>6</v>
      </c>
      <c r="G190">
        <v>0</v>
      </c>
      <c r="H190">
        <v>3</v>
      </c>
      <c r="I190">
        <v>1</v>
      </c>
      <c r="J190">
        <v>6</v>
      </c>
      <c r="K190">
        <v>56</v>
      </c>
      <c r="L190">
        <v>5</v>
      </c>
      <c r="M190">
        <v>0</v>
      </c>
      <c r="N190">
        <v>0</v>
      </c>
      <c r="O190">
        <v>1</v>
      </c>
      <c r="P190">
        <v>0</v>
      </c>
      <c r="Q190">
        <v>0</v>
      </c>
      <c r="R190">
        <v>0</v>
      </c>
      <c r="S190">
        <v>19</v>
      </c>
      <c r="T190">
        <v>0</v>
      </c>
      <c r="U190">
        <v>0</v>
      </c>
      <c r="V190">
        <v>19</v>
      </c>
      <c r="W190">
        <v>90</v>
      </c>
      <c r="X190">
        <v>0</v>
      </c>
      <c r="Y190">
        <v>5</v>
      </c>
      <c r="Z190">
        <v>0</v>
      </c>
      <c r="AA190">
        <v>-100</v>
      </c>
      <c r="AB190">
        <v>20</v>
      </c>
      <c r="AC190">
        <v>0</v>
      </c>
      <c r="AD190">
        <v>0</v>
      </c>
      <c r="AE190">
        <v>0</v>
      </c>
      <c r="AF190">
        <v>20</v>
      </c>
      <c r="AG190">
        <v>90</v>
      </c>
      <c r="AH190">
        <v>90</v>
      </c>
      <c r="AI190">
        <v>0</v>
      </c>
      <c r="AJ190">
        <v>20</v>
      </c>
      <c r="AK190">
        <v>60</v>
      </c>
      <c r="AL190">
        <v>60</v>
      </c>
      <c r="AM190">
        <v>0</v>
      </c>
      <c r="AN190">
        <v>0</v>
      </c>
      <c r="AO190">
        <v>0</v>
      </c>
      <c r="AP190">
        <v>0</v>
      </c>
      <c r="AQ190">
        <v>0</v>
      </c>
      <c r="AR190">
        <v>0</v>
      </c>
      <c r="AS190">
        <v>0</v>
      </c>
      <c r="AT190">
        <v>62</v>
      </c>
      <c r="AU190">
        <v>41</v>
      </c>
      <c r="AV190">
        <v>21</v>
      </c>
      <c r="AW190">
        <v>24</v>
      </c>
      <c r="AX190">
        <v>19</v>
      </c>
      <c r="AY190">
        <v>16</v>
      </c>
      <c r="AZ190">
        <v>3</v>
      </c>
      <c r="BA190">
        <v>10</v>
      </c>
      <c r="BB190">
        <v>0</v>
      </c>
      <c r="BC190">
        <v>0</v>
      </c>
      <c r="BD190">
        <v>0</v>
      </c>
      <c r="BE190">
        <v>0</v>
      </c>
    </row>
    <row r="191" spans="1:57">
      <c r="A191" t="s">
        <v>16978</v>
      </c>
      <c r="B191" t="s">
        <v>17066</v>
      </c>
      <c r="C191" s="109">
        <v>0</v>
      </c>
      <c r="D191" s="109">
        <v>0</v>
      </c>
      <c r="E191" s="109">
        <v>0</v>
      </c>
      <c r="F191" s="109">
        <v>0</v>
      </c>
      <c r="G191" s="109">
        <v>0</v>
      </c>
      <c r="H191" s="109">
        <v>0</v>
      </c>
      <c r="I191" s="109">
        <v>0</v>
      </c>
      <c r="J191" s="109">
        <v>0</v>
      </c>
      <c r="K191" s="109">
        <v>0</v>
      </c>
      <c r="L191" s="109">
        <v>0</v>
      </c>
      <c r="M191" s="109">
        <v>0</v>
      </c>
      <c r="N191" s="109">
        <v>0</v>
      </c>
      <c r="O191" s="109">
        <v>0</v>
      </c>
      <c r="P191" s="109">
        <v>0</v>
      </c>
      <c r="Q191" s="109">
        <v>0</v>
      </c>
      <c r="R191" s="109">
        <v>0</v>
      </c>
      <c r="S191" s="109">
        <v>0</v>
      </c>
      <c r="T191" s="109">
        <v>0</v>
      </c>
      <c r="U191" s="109">
        <v>0</v>
      </c>
      <c r="V191" s="109">
        <v>0</v>
      </c>
      <c r="W191" s="109">
        <v>0</v>
      </c>
      <c r="X191" s="109">
        <v>0</v>
      </c>
      <c r="Y191" s="109">
        <v>0</v>
      </c>
      <c r="Z191" s="109">
        <v>0</v>
      </c>
      <c r="AA191" s="109">
        <v>0</v>
      </c>
      <c r="AB191" s="109">
        <v>0</v>
      </c>
      <c r="AC191" s="109">
        <v>0</v>
      </c>
      <c r="AD191" s="109">
        <v>0</v>
      </c>
      <c r="AE191" s="109">
        <v>0</v>
      </c>
      <c r="AF191" s="109">
        <v>0</v>
      </c>
      <c r="AG191" s="109">
        <v>0</v>
      </c>
      <c r="AH191" s="109">
        <v>0</v>
      </c>
      <c r="AI191" s="109">
        <v>0</v>
      </c>
      <c r="AJ191" s="109">
        <v>0</v>
      </c>
      <c r="AK191" s="109">
        <v>0</v>
      </c>
      <c r="AL191" s="109">
        <v>0</v>
      </c>
      <c r="AM191" s="109">
        <v>0</v>
      </c>
      <c r="AN191" s="109">
        <v>0</v>
      </c>
      <c r="AO191" s="109">
        <v>0</v>
      </c>
      <c r="AP191" s="109">
        <v>0</v>
      </c>
      <c r="AQ191" s="109">
        <v>0</v>
      </c>
      <c r="AR191" s="109">
        <v>0</v>
      </c>
      <c r="AS191" s="109">
        <v>0</v>
      </c>
      <c r="AT191" s="109">
        <v>0</v>
      </c>
      <c r="AU191" s="109">
        <v>0</v>
      </c>
      <c r="AV191" s="109">
        <v>0</v>
      </c>
      <c r="AW191" s="109">
        <v>0</v>
      </c>
      <c r="AX191" s="109">
        <v>0</v>
      </c>
      <c r="AY191" s="109">
        <v>0</v>
      </c>
      <c r="AZ191" s="109">
        <v>0</v>
      </c>
      <c r="BA191" s="109">
        <v>0</v>
      </c>
      <c r="BB191" s="109">
        <v>0</v>
      </c>
      <c r="BC191" s="109">
        <v>0</v>
      </c>
      <c r="BD191" s="109">
        <v>0</v>
      </c>
      <c r="BE191" s="109">
        <v>0</v>
      </c>
    </row>
    <row r="192" spans="1:57">
      <c r="A192" t="s">
        <v>16978</v>
      </c>
      <c r="B192" t="s">
        <v>17067</v>
      </c>
      <c r="C192">
        <v>0</v>
      </c>
      <c r="D192">
        <v>2</v>
      </c>
      <c r="E192">
        <v>2</v>
      </c>
      <c r="F192">
        <v>2</v>
      </c>
      <c r="G192">
        <v>0</v>
      </c>
      <c r="H192">
        <v>0</v>
      </c>
      <c r="I192">
        <v>0</v>
      </c>
      <c r="J192">
        <v>2</v>
      </c>
      <c r="K192">
        <v>4</v>
      </c>
      <c r="L192">
        <v>2</v>
      </c>
      <c r="M192">
        <v>0</v>
      </c>
      <c r="N192">
        <v>0</v>
      </c>
      <c r="O192">
        <v>0</v>
      </c>
      <c r="P192">
        <v>0</v>
      </c>
      <c r="Q192">
        <v>0</v>
      </c>
      <c r="R192">
        <v>0</v>
      </c>
      <c r="S192">
        <v>0.3</v>
      </c>
      <c r="T192">
        <v>0</v>
      </c>
      <c r="U192">
        <v>0</v>
      </c>
      <c r="V192">
        <v>0.3</v>
      </c>
      <c r="W192">
        <v>3</v>
      </c>
      <c r="X192">
        <v>0</v>
      </c>
      <c r="Y192">
        <v>2</v>
      </c>
      <c r="Z192">
        <v>0</v>
      </c>
      <c r="AA192">
        <v>0</v>
      </c>
      <c r="AB192">
        <v>0</v>
      </c>
      <c r="AC192">
        <v>0</v>
      </c>
      <c r="AD192">
        <v>0</v>
      </c>
      <c r="AE192">
        <v>0</v>
      </c>
      <c r="AF192">
        <v>0</v>
      </c>
      <c r="AG192">
        <v>3</v>
      </c>
      <c r="AH192">
        <v>3</v>
      </c>
      <c r="AI192">
        <v>0</v>
      </c>
      <c r="AJ192">
        <v>0</v>
      </c>
      <c r="AK192">
        <v>0</v>
      </c>
      <c r="AL192">
        <v>0</v>
      </c>
      <c r="AM192">
        <v>0</v>
      </c>
      <c r="AN192">
        <v>0</v>
      </c>
      <c r="AO192">
        <v>0</v>
      </c>
      <c r="AP192">
        <v>0</v>
      </c>
      <c r="AQ192">
        <v>0</v>
      </c>
      <c r="AR192">
        <v>0</v>
      </c>
      <c r="AS192">
        <v>0</v>
      </c>
      <c r="AT192">
        <v>4</v>
      </c>
      <c r="AU192">
        <v>0</v>
      </c>
      <c r="AV192">
        <v>4</v>
      </c>
      <c r="AW192">
        <v>0</v>
      </c>
      <c r="AX192">
        <v>0.3</v>
      </c>
      <c r="AY192">
        <v>0</v>
      </c>
      <c r="AZ192">
        <v>0.3</v>
      </c>
      <c r="BA192">
        <v>0</v>
      </c>
      <c r="BB192">
        <v>0</v>
      </c>
      <c r="BC192">
        <v>0</v>
      </c>
      <c r="BD192">
        <v>0</v>
      </c>
      <c r="BE192">
        <v>0</v>
      </c>
    </row>
    <row r="193" spans="1:57">
      <c r="A193" t="s">
        <v>16978</v>
      </c>
      <c r="B193" t="s">
        <v>17331</v>
      </c>
      <c r="C193">
        <v>4</v>
      </c>
      <c r="D193">
        <v>4</v>
      </c>
      <c r="E193">
        <v>0</v>
      </c>
      <c r="F193">
        <v>4</v>
      </c>
      <c r="G193">
        <v>0</v>
      </c>
      <c r="H193">
        <v>0</v>
      </c>
      <c r="I193">
        <v>0</v>
      </c>
      <c r="J193">
        <v>4</v>
      </c>
      <c r="K193">
        <v>5</v>
      </c>
      <c r="L193">
        <v>4</v>
      </c>
      <c r="M193">
        <v>0</v>
      </c>
      <c r="N193">
        <v>0</v>
      </c>
      <c r="O193">
        <v>0</v>
      </c>
      <c r="P193">
        <v>0</v>
      </c>
      <c r="Q193">
        <v>0</v>
      </c>
      <c r="R193">
        <v>0</v>
      </c>
      <c r="S193">
        <v>6.75</v>
      </c>
      <c r="T193">
        <v>0</v>
      </c>
      <c r="U193">
        <v>0</v>
      </c>
      <c r="V193">
        <v>6.75</v>
      </c>
      <c r="W193">
        <v>0</v>
      </c>
      <c r="X193">
        <v>0</v>
      </c>
      <c r="Y193">
        <v>0</v>
      </c>
      <c r="Z193">
        <v>0</v>
      </c>
      <c r="AA193">
        <v>-67.5</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5</v>
      </c>
      <c r="AU193">
        <v>0</v>
      </c>
      <c r="AV193">
        <v>0</v>
      </c>
      <c r="AW193">
        <v>5</v>
      </c>
      <c r="AX193">
        <v>6.75</v>
      </c>
      <c r="AY193">
        <v>0</v>
      </c>
      <c r="AZ193">
        <v>0</v>
      </c>
      <c r="BA193">
        <v>6.75</v>
      </c>
      <c r="BB193">
        <v>0</v>
      </c>
      <c r="BC193">
        <v>0</v>
      </c>
      <c r="BD193">
        <v>0</v>
      </c>
      <c r="BE193">
        <v>0</v>
      </c>
    </row>
    <row r="194" spans="1:57">
      <c r="A194" t="s">
        <v>16978</v>
      </c>
      <c r="B194" t="s">
        <v>17332</v>
      </c>
      <c r="C194">
        <v>28</v>
      </c>
      <c r="D194">
        <v>28</v>
      </c>
      <c r="E194">
        <v>0</v>
      </c>
      <c r="F194">
        <v>28</v>
      </c>
      <c r="G194">
        <v>0</v>
      </c>
      <c r="H194">
        <v>0</v>
      </c>
      <c r="I194">
        <v>0</v>
      </c>
      <c r="J194">
        <v>28</v>
      </c>
      <c r="K194">
        <v>58</v>
      </c>
      <c r="L194">
        <v>28</v>
      </c>
      <c r="M194">
        <v>0</v>
      </c>
      <c r="N194">
        <v>0</v>
      </c>
      <c r="O194">
        <v>0</v>
      </c>
      <c r="P194">
        <v>0</v>
      </c>
      <c r="Q194">
        <v>0</v>
      </c>
      <c r="R194">
        <v>0</v>
      </c>
      <c r="S194">
        <v>14</v>
      </c>
      <c r="T194">
        <v>0</v>
      </c>
      <c r="U194">
        <v>0</v>
      </c>
      <c r="V194">
        <v>14</v>
      </c>
      <c r="W194">
        <v>0</v>
      </c>
      <c r="X194">
        <v>0</v>
      </c>
      <c r="Y194">
        <v>0</v>
      </c>
      <c r="Z194">
        <v>0</v>
      </c>
      <c r="AA194">
        <v>-140</v>
      </c>
      <c r="AB194">
        <v>0</v>
      </c>
      <c r="AC194">
        <v>35</v>
      </c>
      <c r="AD194">
        <v>35</v>
      </c>
      <c r="AE194">
        <v>35</v>
      </c>
      <c r="AF194">
        <v>160</v>
      </c>
      <c r="AG194">
        <v>35</v>
      </c>
      <c r="AH194">
        <v>0</v>
      </c>
      <c r="AI194">
        <v>0</v>
      </c>
      <c r="AJ194">
        <v>0</v>
      </c>
      <c r="AK194">
        <v>0</v>
      </c>
      <c r="AL194">
        <v>0</v>
      </c>
      <c r="AM194">
        <v>0</v>
      </c>
      <c r="AN194">
        <v>28</v>
      </c>
      <c r="AO194">
        <v>0</v>
      </c>
      <c r="AP194">
        <v>0</v>
      </c>
      <c r="AQ194">
        <v>0</v>
      </c>
      <c r="AR194">
        <v>0</v>
      </c>
      <c r="AS194">
        <v>0</v>
      </c>
      <c r="AT194">
        <v>58</v>
      </c>
      <c r="AU194">
        <v>0</v>
      </c>
      <c r="AV194">
        <v>0</v>
      </c>
      <c r="AW194">
        <v>58</v>
      </c>
      <c r="AX194">
        <v>14</v>
      </c>
      <c r="AY194">
        <v>0</v>
      </c>
      <c r="AZ194">
        <v>0</v>
      </c>
      <c r="BA194">
        <v>14</v>
      </c>
      <c r="BB194">
        <v>0</v>
      </c>
      <c r="BC194">
        <v>0</v>
      </c>
      <c r="BD194">
        <v>0</v>
      </c>
      <c r="BE194">
        <v>0</v>
      </c>
    </row>
    <row r="195" spans="1:57">
      <c r="A195" t="s">
        <v>16978</v>
      </c>
      <c r="B195" t="s">
        <v>17068</v>
      </c>
      <c r="C195" s="109">
        <v>0</v>
      </c>
      <c r="D195" s="109">
        <v>0</v>
      </c>
      <c r="E195" s="109">
        <v>0</v>
      </c>
      <c r="F195" s="109">
        <v>0</v>
      </c>
      <c r="G195" s="109">
        <v>0</v>
      </c>
      <c r="H195" s="109">
        <v>0</v>
      </c>
      <c r="I195" s="109">
        <v>0</v>
      </c>
      <c r="J195" s="109">
        <v>0</v>
      </c>
      <c r="K195" s="109">
        <v>0</v>
      </c>
      <c r="L195" s="109">
        <v>0</v>
      </c>
      <c r="M195" s="109">
        <v>0</v>
      </c>
      <c r="N195" s="109">
        <v>0</v>
      </c>
      <c r="O195" s="109">
        <v>0</v>
      </c>
      <c r="P195" s="109">
        <v>0</v>
      </c>
      <c r="Q195" s="109">
        <v>0</v>
      </c>
      <c r="R195" s="109">
        <v>0</v>
      </c>
      <c r="S195" s="109">
        <v>0</v>
      </c>
      <c r="T195" s="109">
        <v>0</v>
      </c>
      <c r="U195" s="109">
        <v>0</v>
      </c>
      <c r="V195" s="109">
        <v>0</v>
      </c>
      <c r="W195" s="109">
        <v>0</v>
      </c>
      <c r="X195" s="109">
        <v>0</v>
      </c>
      <c r="Y195" s="109">
        <v>0</v>
      </c>
      <c r="Z195" s="109">
        <v>0</v>
      </c>
      <c r="AA195" s="109">
        <v>0</v>
      </c>
      <c r="AB195" s="109">
        <v>0</v>
      </c>
      <c r="AC195" s="109">
        <v>0</v>
      </c>
      <c r="AD195" s="109">
        <v>0</v>
      </c>
      <c r="AE195" s="109">
        <v>0</v>
      </c>
      <c r="AF195" s="109">
        <v>0</v>
      </c>
      <c r="AG195" s="109">
        <v>0</v>
      </c>
      <c r="AH195" s="109">
        <v>0</v>
      </c>
      <c r="AI195" s="109">
        <v>0</v>
      </c>
      <c r="AJ195" s="109">
        <v>0</v>
      </c>
      <c r="AK195" s="109">
        <v>0</v>
      </c>
      <c r="AL195" s="109">
        <v>0</v>
      </c>
      <c r="AM195" s="109">
        <v>0</v>
      </c>
      <c r="AN195" s="109">
        <v>0</v>
      </c>
      <c r="AO195" s="109">
        <v>0</v>
      </c>
      <c r="AP195" s="109">
        <v>0</v>
      </c>
      <c r="AQ195" s="109">
        <v>0</v>
      </c>
      <c r="AR195" s="109">
        <v>0</v>
      </c>
      <c r="AS195" s="109">
        <v>0</v>
      </c>
      <c r="AT195" s="109">
        <v>0</v>
      </c>
      <c r="AU195" s="109">
        <v>0</v>
      </c>
      <c r="AV195" s="109">
        <v>0</v>
      </c>
      <c r="AW195" s="109">
        <v>0</v>
      </c>
      <c r="AX195" s="109">
        <v>0</v>
      </c>
      <c r="AY195" s="109">
        <v>0</v>
      </c>
      <c r="AZ195" s="109">
        <v>0</v>
      </c>
      <c r="BA195" s="109">
        <v>0</v>
      </c>
      <c r="BB195" s="109">
        <v>0</v>
      </c>
      <c r="BC195" s="109">
        <v>0</v>
      </c>
      <c r="BD195" s="109">
        <v>0</v>
      </c>
      <c r="BE195" s="109">
        <v>0</v>
      </c>
    </row>
    <row r="196" spans="1:57">
      <c r="A196" t="s">
        <v>16978</v>
      </c>
      <c r="B196" t="s">
        <v>19982</v>
      </c>
      <c r="C196" s="109">
        <v>0</v>
      </c>
      <c r="D196" s="109">
        <v>0</v>
      </c>
      <c r="E196" s="109">
        <v>0</v>
      </c>
      <c r="F196" s="109">
        <v>0</v>
      </c>
      <c r="G196" s="109">
        <v>0</v>
      </c>
      <c r="H196" s="109">
        <v>0</v>
      </c>
      <c r="I196" s="109">
        <v>0</v>
      </c>
      <c r="J196" s="109">
        <v>0</v>
      </c>
      <c r="K196" s="109">
        <v>0</v>
      </c>
      <c r="L196" s="109">
        <v>0</v>
      </c>
      <c r="M196" s="109">
        <v>0</v>
      </c>
      <c r="N196" s="109">
        <v>0</v>
      </c>
      <c r="O196" s="109">
        <v>0</v>
      </c>
      <c r="P196" s="109">
        <v>0</v>
      </c>
      <c r="Q196" s="109">
        <v>0</v>
      </c>
      <c r="R196" s="109">
        <v>0</v>
      </c>
      <c r="S196" s="109">
        <v>0</v>
      </c>
      <c r="T196" s="109">
        <v>0</v>
      </c>
      <c r="U196" s="109">
        <v>0</v>
      </c>
      <c r="V196" s="109">
        <v>0</v>
      </c>
      <c r="W196" s="109">
        <v>0</v>
      </c>
      <c r="X196" s="109">
        <v>0</v>
      </c>
      <c r="Y196" s="109">
        <v>0</v>
      </c>
      <c r="Z196" s="109">
        <v>0</v>
      </c>
      <c r="AA196" s="109">
        <v>0</v>
      </c>
      <c r="AB196" s="109">
        <v>0</v>
      </c>
      <c r="AC196" s="109">
        <v>0</v>
      </c>
      <c r="AD196" s="109">
        <v>0</v>
      </c>
      <c r="AE196" s="109">
        <v>0</v>
      </c>
      <c r="AF196" s="109">
        <v>0</v>
      </c>
      <c r="AG196" s="109">
        <v>0</v>
      </c>
      <c r="AH196" s="109">
        <v>0</v>
      </c>
      <c r="AI196" s="109">
        <v>0</v>
      </c>
      <c r="AJ196" s="109">
        <v>0</v>
      </c>
      <c r="AK196" s="109">
        <v>0</v>
      </c>
      <c r="AL196" s="109">
        <v>0</v>
      </c>
      <c r="AM196" s="109">
        <v>0</v>
      </c>
      <c r="AN196" s="109">
        <v>0</v>
      </c>
      <c r="AO196" s="109">
        <v>0</v>
      </c>
      <c r="AP196" s="109">
        <v>0</v>
      </c>
      <c r="AQ196" s="109">
        <v>0</v>
      </c>
      <c r="AR196" s="109">
        <v>0</v>
      </c>
      <c r="AS196" s="109">
        <v>0</v>
      </c>
      <c r="AT196" s="109">
        <v>0</v>
      </c>
      <c r="AU196" s="109">
        <v>0</v>
      </c>
      <c r="AV196" s="109">
        <v>0</v>
      </c>
      <c r="AW196" s="109">
        <v>0</v>
      </c>
      <c r="AX196" s="109">
        <v>0</v>
      </c>
      <c r="AY196" s="109">
        <v>0</v>
      </c>
      <c r="AZ196" s="109">
        <v>0</v>
      </c>
      <c r="BA196" s="109">
        <v>0</v>
      </c>
      <c r="BB196" s="109">
        <v>0</v>
      </c>
      <c r="BC196" s="109">
        <v>0</v>
      </c>
      <c r="BD196" s="109">
        <v>0</v>
      </c>
      <c r="BE196" s="109">
        <v>0</v>
      </c>
    </row>
    <row r="197" spans="1:57">
      <c r="A197" t="s">
        <v>16978</v>
      </c>
      <c r="B197" t="s">
        <v>17363</v>
      </c>
      <c r="C197" s="109">
        <v>0</v>
      </c>
      <c r="D197" s="109">
        <v>0</v>
      </c>
      <c r="E197" s="109">
        <v>0</v>
      </c>
      <c r="F197" s="109">
        <v>0</v>
      </c>
      <c r="G197" s="109">
        <v>0</v>
      </c>
      <c r="H197" s="109">
        <v>0</v>
      </c>
      <c r="I197" s="109">
        <v>0</v>
      </c>
      <c r="J197" s="109">
        <v>0</v>
      </c>
      <c r="K197" s="109">
        <v>0</v>
      </c>
      <c r="L197" s="109">
        <v>0</v>
      </c>
      <c r="M197" s="109">
        <v>0</v>
      </c>
      <c r="N197" s="109">
        <v>0</v>
      </c>
      <c r="O197" s="109">
        <v>0</v>
      </c>
      <c r="P197" s="109">
        <v>0</v>
      </c>
      <c r="Q197" s="109">
        <v>0</v>
      </c>
      <c r="R197" s="109">
        <v>0</v>
      </c>
      <c r="S197" s="109">
        <v>0</v>
      </c>
      <c r="T197" s="109">
        <v>0</v>
      </c>
      <c r="U197" s="109">
        <v>0</v>
      </c>
      <c r="V197" s="109">
        <v>0</v>
      </c>
      <c r="W197" s="109">
        <v>0</v>
      </c>
      <c r="X197" s="109">
        <v>0</v>
      </c>
      <c r="Y197" s="109">
        <v>0</v>
      </c>
      <c r="Z197" s="109">
        <v>0</v>
      </c>
      <c r="AA197" s="109">
        <v>0</v>
      </c>
      <c r="AB197" s="109">
        <v>0</v>
      </c>
      <c r="AC197" s="109">
        <v>0</v>
      </c>
      <c r="AD197" s="109">
        <v>0</v>
      </c>
      <c r="AE197" s="109">
        <v>0</v>
      </c>
      <c r="AF197" s="109">
        <v>0</v>
      </c>
      <c r="AG197" s="109">
        <v>0</v>
      </c>
      <c r="AH197" s="109">
        <v>0</v>
      </c>
      <c r="AI197" s="109">
        <v>0</v>
      </c>
      <c r="AJ197" s="109">
        <v>0</v>
      </c>
      <c r="AK197" s="109">
        <v>0</v>
      </c>
      <c r="AL197" s="109">
        <v>0</v>
      </c>
      <c r="AM197" s="109">
        <v>0</v>
      </c>
      <c r="AN197" s="109">
        <v>0</v>
      </c>
      <c r="AO197" s="109">
        <v>0</v>
      </c>
      <c r="AP197" s="109">
        <v>0</v>
      </c>
      <c r="AQ197" s="109">
        <v>0</v>
      </c>
      <c r="AR197" s="109">
        <v>0</v>
      </c>
      <c r="AS197" s="109">
        <v>0</v>
      </c>
      <c r="AT197" s="109">
        <v>0</v>
      </c>
      <c r="AU197" s="109">
        <v>0</v>
      </c>
      <c r="AV197" s="109">
        <v>0</v>
      </c>
      <c r="AW197" s="109">
        <v>0</v>
      </c>
      <c r="AX197" s="109">
        <v>0</v>
      </c>
      <c r="AY197" s="109">
        <v>0</v>
      </c>
      <c r="AZ197" s="109">
        <v>0</v>
      </c>
      <c r="BA197" s="109">
        <v>0</v>
      </c>
      <c r="BB197" s="109">
        <v>0</v>
      </c>
      <c r="BC197" s="109">
        <v>0</v>
      </c>
      <c r="BD197" s="109">
        <v>0</v>
      </c>
      <c r="BE197" s="109">
        <v>0</v>
      </c>
    </row>
    <row r="198" spans="1:57">
      <c r="A198" t="s">
        <v>16978</v>
      </c>
      <c r="B198" t="s">
        <v>17069</v>
      </c>
      <c r="C198" s="109">
        <v>0</v>
      </c>
      <c r="D198" s="109">
        <v>0</v>
      </c>
      <c r="E198" s="109">
        <v>0</v>
      </c>
      <c r="F198" s="109">
        <v>0</v>
      </c>
      <c r="G198" s="109">
        <v>0</v>
      </c>
      <c r="H198" s="109">
        <v>0</v>
      </c>
      <c r="I198" s="109">
        <v>0</v>
      </c>
      <c r="J198" s="109">
        <v>0</v>
      </c>
      <c r="K198" s="109">
        <v>0</v>
      </c>
      <c r="L198" s="109">
        <v>0</v>
      </c>
      <c r="M198" s="109">
        <v>0</v>
      </c>
      <c r="N198" s="109">
        <v>0</v>
      </c>
      <c r="O198" s="109">
        <v>0</v>
      </c>
      <c r="P198" s="109">
        <v>0</v>
      </c>
      <c r="Q198" s="109">
        <v>0</v>
      </c>
      <c r="R198" s="109">
        <v>0</v>
      </c>
      <c r="S198" s="109">
        <v>0</v>
      </c>
      <c r="T198" s="109">
        <v>0</v>
      </c>
      <c r="U198" s="109">
        <v>0</v>
      </c>
      <c r="V198" s="109">
        <v>0</v>
      </c>
      <c r="W198" s="109">
        <v>0</v>
      </c>
      <c r="X198" s="109">
        <v>0</v>
      </c>
      <c r="Y198" s="109">
        <v>0</v>
      </c>
      <c r="Z198" s="109">
        <v>0</v>
      </c>
      <c r="AA198" s="109">
        <v>0</v>
      </c>
      <c r="AB198" s="109">
        <v>0</v>
      </c>
      <c r="AC198" s="109">
        <v>0</v>
      </c>
      <c r="AD198" s="109">
        <v>0</v>
      </c>
      <c r="AE198" s="109">
        <v>0</v>
      </c>
      <c r="AF198" s="109">
        <v>0</v>
      </c>
      <c r="AG198" s="109">
        <v>0</v>
      </c>
      <c r="AH198" s="109">
        <v>0</v>
      </c>
      <c r="AI198" s="109">
        <v>0</v>
      </c>
      <c r="AJ198" s="109">
        <v>0</v>
      </c>
      <c r="AK198" s="109">
        <v>0</v>
      </c>
      <c r="AL198" s="109">
        <v>0</v>
      </c>
      <c r="AM198" s="109">
        <v>0</v>
      </c>
      <c r="AN198" s="109">
        <v>0</v>
      </c>
      <c r="AO198" s="109">
        <v>0</v>
      </c>
      <c r="AP198" s="109">
        <v>0</v>
      </c>
      <c r="AQ198" s="109">
        <v>0</v>
      </c>
      <c r="AR198" s="109">
        <v>0</v>
      </c>
      <c r="AS198" s="109">
        <v>0</v>
      </c>
      <c r="AT198" s="109">
        <v>0</v>
      </c>
      <c r="AU198" s="109">
        <v>0</v>
      </c>
      <c r="AV198" s="109">
        <v>0</v>
      </c>
      <c r="AW198" s="109">
        <v>0</v>
      </c>
      <c r="AX198" s="109">
        <v>0</v>
      </c>
      <c r="AY198" s="109">
        <v>0</v>
      </c>
      <c r="AZ198" s="109">
        <v>0</v>
      </c>
      <c r="BA198" s="109">
        <v>0</v>
      </c>
      <c r="BB198" s="109">
        <v>0</v>
      </c>
      <c r="BC198" s="109">
        <v>0</v>
      </c>
      <c r="BD198" s="109">
        <v>0</v>
      </c>
      <c r="BE198" s="109">
        <v>0</v>
      </c>
    </row>
    <row r="199" spans="1:57">
      <c r="A199" t="s">
        <v>16978</v>
      </c>
      <c r="B199" t="s">
        <v>22093</v>
      </c>
      <c r="C199" s="109">
        <v>0</v>
      </c>
      <c r="D199" s="109">
        <v>0</v>
      </c>
      <c r="E199" s="109">
        <v>0</v>
      </c>
      <c r="F199" s="109">
        <v>0</v>
      </c>
      <c r="G199" s="109">
        <v>0</v>
      </c>
      <c r="H199" s="109">
        <v>0</v>
      </c>
      <c r="I199" s="109">
        <v>0</v>
      </c>
      <c r="J199" s="109">
        <v>0</v>
      </c>
      <c r="K199" s="109">
        <v>0</v>
      </c>
      <c r="L199" s="109">
        <v>0</v>
      </c>
      <c r="M199" s="109">
        <v>0</v>
      </c>
      <c r="N199" s="109">
        <v>0</v>
      </c>
      <c r="O199" s="109">
        <v>0</v>
      </c>
      <c r="P199" s="109">
        <v>0</v>
      </c>
      <c r="Q199" s="109">
        <v>0</v>
      </c>
      <c r="R199" s="109">
        <v>0</v>
      </c>
      <c r="S199" s="109">
        <v>0</v>
      </c>
      <c r="T199" s="109">
        <v>0</v>
      </c>
      <c r="U199" s="109">
        <v>0</v>
      </c>
      <c r="V199" s="109">
        <v>0</v>
      </c>
      <c r="W199" s="109">
        <v>0</v>
      </c>
      <c r="X199" s="109">
        <v>0</v>
      </c>
      <c r="Y199" s="109">
        <v>0</v>
      </c>
      <c r="Z199" s="109">
        <v>0</v>
      </c>
      <c r="AA199" s="109">
        <v>0</v>
      </c>
      <c r="AB199" s="109">
        <v>0</v>
      </c>
      <c r="AC199" s="109">
        <v>0</v>
      </c>
      <c r="AD199" s="109">
        <v>0</v>
      </c>
      <c r="AE199" s="109">
        <v>0</v>
      </c>
      <c r="AF199" s="109">
        <v>0</v>
      </c>
      <c r="AG199" s="109">
        <v>0</v>
      </c>
      <c r="AH199" s="109">
        <v>0</v>
      </c>
      <c r="AI199" s="109">
        <v>0</v>
      </c>
      <c r="AJ199" s="109">
        <v>0</v>
      </c>
      <c r="AK199" s="109">
        <v>0</v>
      </c>
      <c r="AL199" s="109">
        <v>0</v>
      </c>
      <c r="AM199" s="109">
        <v>0</v>
      </c>
      <c r="AN199" s="109">
        <v>0</v>
      </c>
      <c r="AO199" s="109">
        <v>0</v>
      </c>
      <c r="AP199" s="109">
        <v>0</v>
      </c>
      <c r="AQ199" s="109">
        <v>0</v>
      </c>
      <c r="AR199" s="109">
        <v>0</v>
      </c>
      <c r="AS199" s="109">
        <v>0</v>
      </c>
      <c r="AT199" s="109">
        <v>0</v>
      </c>
      <c r="AU199" s="109">
        <v>0</v>
      </c>
      <c r="AV199" s="109">
        <v>0</v>
      </c>
      <c r="AW199" s="109">
        <v>0</v>
      </c>
      <c r="AX199" s="109">
        <v>0</v>
      </c>
      <c r="AY199" s="109">
        <v>0</v>
      </c>
      <c r="AZ199" s="109">
        <v>0</v>
      </c>
      <c r="BA199" s="109">
        <v>0</v>
      </c>
      <c r="BB199" s="109">
        <v>0</v>
      </c>
      <c r="BC199" s="109">
        <v>0</v>
      </c>
      <c r="BD199" s="109">
        <v>0</v>
      </c>
      <c r="BE199" s="109">
        <v>0</v>
      </c>
    </row>
    <row r="200" spans="1:57">
      <c r="A200" t="s">
        <v>16978</v>
      </c>
      <c r="B200" t="s">
        <v>20672</v>
      </c>
      <c r="C200" s="109">
        <v>0</v>
      </c>
      <c r="D200" s="109">
        <v>0</v>
      </c>
      <c r="E200" s="109">
        <v>0</v>
      </c>
      <c r="F200" s="109">
        <v>0</v>
      </c>
      <c r="G200" s="109">
        <v>0</v>
      </c>
      <c r="H200" s="109">
        <v>0</v>
      </c>
      <c r="I200" s="109">
        <v>0</v>
      </c>
      <c r="J200" s="109">
        <v>0</v>
      </c>
      <c r="K200" s="109">
        <v>0</v>
      </c>
      <c r="L200" s="109">
        <v>0</v>
      </c>
      <c r="M200" s="109">
        <v>0</v>
      </c>
      <c r="N200" s="109">
        <v>0</v>
      </c>
      <c r="O200" s="109">
        <v>0</v>
      </c>
      <c r="P200" s="109">
        <v>0</v>
      </c>
      <c r="Q200" s="109">
        <v>0</v>
      </c>
      <c r="R200" s="109">
        <v>0</v>
      </c>
      <c r="S200" s="109">
        <v>0</v>
      </c>
      <c r="T200" s="109">
        <v>0</v>
      </c>
      <c r="U200" s="109">
        <v>0</v>
      </c>
      <c r="V200" s="109">
        <v>0</v>
      </c>
      <c r="W200" s="109">
        <v>0</v>
      </c>
      <c r="X200" s="109">
        <v>0</v>
      </c>
      <c r="Y200" s="109">
        <v>0</v>
      </c>
      <c r="Z200" s="109">
        <v>0</v>
      </c>
      <c r="AA200" s="109">
        <v>0</v>
      </c>
      <c r="AB200" s="109">
        <v>0</v>
      </c>
      <c r="AC200" s="109">
        <v>0</v>
      </c>
      <c r="AD200" s="109">
        <v>0</v>
      </c>
      <c r="AE200" s="109">
        <v>0</v>
      </c>
      <c r="AF200" s="109">
        <v>0</v>
      </c>
      <c r="AG200" s="109">
        <v>0</v>
      </c>
      <c r="AH200" s="109">
        <v>0</v>
      </c>
      <c r="AI200" s="109">
        <v>0</v>
      </c>
      <c r="AJ200" s="109">
        <v>0</v>
      </c>
      <c r="AK200" s="109">
        <v>0</v>
      </c>
      <c r="AL200" s="109">
        <v>0</v>
      </c>
      <c r="AM200" s="109">
        <v>0</v>
      </c>
      <c r="AN200" s="109">
        <v>0</v>
      </c>
      <c r="AO200" s="109">
        <v>0</v>
      </c>
      <c r="AP200" s="109">
        <v>0</v>
      </c>
      <c r="AQ200" s="109">
        <v>0</v>
      </c>
      <c r="AR200" s="109">
        <v>0</v>
      </c>
      <c r="AS200" s="109">
        <v>0</v>
      </c>
      <c r="AT200" s="109">
        <v>0</v>
      </c>
      <c r="AU200" s="109">
        <v>0</v>
      </c>
      <c r="AV200" s="109">
        <v>0</v>
      </c>
      <c r="AW200" s="109">
        <v>0</v>
      </c>
      <c r="AX200" s="109">
        <v>0</v>
      </c>
      <c r="AY200" s="109">
        <v>0</v>
      </c>
      <c r="AZ200" s="109">
        <v>0</v>
      </c>
      <c r="BA200" s="109">
        <v>0</v>
      </c>
      <c r="BB200" s="109">
        <v>0</v>
      </c>
      <c r="BC200" s="109">
        <v>0</v>
      </c>
      <c r="BD200" s="109">
        <v>0</v>
      </c>
      <c r="BE200" s="109">
        <v>0</v>
      </c>
    </row>
    <row r="201" spans="1:57">
      <c r="A201" t="s">
        <v>16978</v>
      </c>
      <c r="B201" t="s">
        <v>17073</v>
      </c>
      <c r="C201" s="109">
        <v>0</v>
      </c>
      <c r="D201" s="109">
        <v>0</v>
      </c>
      <c r="E201" s="109">
        <v>0</v>
      </c>
      <c r="F201" s="109">
        <v>0</v>
      </c>
      <c r="G201" s="109">
        <v>0</v>
      </c>
      <c r="H201" s="109">
        <v>0</v>
      </c>
      <c r="I201" s="109">
        <v>0</v>
      </c>
      <c r="J201" s="109">
        <v>0</v>
      </c>
      <c r="K201" s="109">
        <v>0</v>
      </c>
      <c r="L201" s="109">
        <v>0</v>
      </c>
      <c r="M201" s="109">
        <v>0</v>
      </c>
      <c r="N201" s="109">
        <v>0</v>
      </c>
      <c r="O201" s="109">
        <v>0</v>
      </c>
      <c r="P201" s="109">
        <v>0</v>
      </c>
      <c r="Q201" s="109">
        <v>0</v>
      </c>
      <c r="R201" s="109">
        <v>0</v>
      </c>
      <c r="S201" s="109">
        <v>0</v>
      </c>
      <c r="T201" s="109">
        <v>0</v>
      </c>
      <c r="U201" s="109">
        <v>0</v>
      </c>
      <c r="V201" s="109">
        <v>0</v>
      </c>
      <c r="W201" s="109">
        <v>0</v>
      </c>
      <c r="X201" s="109">
        <v>0</v>
      </c>
      <c r="Y201" s="109">
        <v>0</v>
      </c>
      <c r="Z201" s="109">
        <v>0</v>
      </c>
      <c r="AA201" s="109">
        <v>0</v>
      </c>
      <c r="AB201" s="109">
        <v>0</v>
      </c>
      <c r="AC201" s="109">
        <v>0</v>
      </c>
      <c r="AD201" s="109">
        <v>0</v>
      </c>
      <c r="AE201" s="109">
        <v>0</v>
      </c>
      <c r="AF201" s="109">
        <v>0</v>
      </c>
      <c r="AG201" s="109">
        <v>0</v>
      </c>
      <c r="AH201" s="109">
        <v>0</v>
      </c>
      <c r="AI201" s="109">
        <v>0</v>
      </c>
      <c r="AJ201" s="109">
        <v>0</v>
      </c>
      <c r="AK201" s="109">
        <v>0</v>
      </c>
      <c r="AL201" s="109">
        <v>0</v>
      </c>
      <c r="AM201" s="109">
        <v>0</v>
      </c>
      <c r="AN201" s="109">
        <v>0</v>
      </c>
      <c r="AO201" s="109">
        <v>0</v>
      </c>
      <c r="AP201" s="109">
        <v>0</v>
      </c>
      <c r="AQ201" s="109">
        <v>0</v>
      </c>
      <c r="AR201" s="109">
        <v>0</v>
      </c>
      <c r="AS201" s="109">
        <v>0</v>
      </c>
      <c r="AT201" s="109">
        <v>0</v>
      </c>
      <c r="AU201" s="109">
        <v>0</v>
      </c>
      <c r="AV201" s="109">
        <v>0</v>
      </c>
      <c r="AW201" s="109">
        <v>0</v>
      </c>
      <c r="AX201" s="109">
        <v>0</v>
      </c>
      <c r="AY201" s="109">
        <v>0</v>
      </c>
      <c r="AZ201" s="109">
        <v>0</v>
      </c>
      <c r="BA201" s="109">
        <v>0</v>
      </c>
      <c r="BB201" s="109">
        <v>0</v>
      </c>
      <c r="BC201" s="109">
        <v>0</v>
      </c>
      <c r="BD201" s="109">
        <v>0</v>
      </c>
      <c r="BE201" s="109">
        <v>0</v>
      </c>
    </row>
    <row r="202" spans="1:57">
      <c r="A202" t="s">
        <v>16978</v>
      </c>
      <c r="B202" t="s">
        <v>17365</v>
      </c>
      <c r="C202" s="109">
        <v>0</v>
      </c>
      <c r="D202" s="109">
        <v>0</v>
      </c>
      <c r="E202" s="109">
        <v>0</v>
      </c>
      <c r="F202" s="109">
        <v>0</v>
      </c>
      <c r="G202" s="109">
        <v>0</v>
      </c>
      <c r="H202" s="109">
        <v>0</v>
      </c>
      <c r="I202" s="109">
        <v>0</v>
      </c>
      <c r="J202" s="109">
        <v>0</v>
      </c>
      <c r="K202" s="109">
        <v>0</v>
      </c>
      <c r="L202" s="109">
        <v>0</v>
      </c>
      <c r="M202" s="109">
        <v>0</v>
      </c>
      <c r="N202" s="109">
        <v>0</v>
      </c>
      <c r="O202" s="109">
        <v>0</v>
      </c>
      <c r="P202" s="109">
        <v>0</v>
      </c>
      <c r="Q202" s="109">
        <v>0</v>
      </c>
      <c r="R202" s="109">
        <v>0</v>
      </c>
      <c r="S202" s="109">
        <v>0</v>
      </c>
      <c r="T202" s="109">
        <v>0</v>
      </c>
      <c r="U202" s="109">
        <v>0</v>
      </c>
      <c r="V202" s="109">
        <v>0</v>
      </c>
      <c r="W202" s="109">
        <v>0</v>
      </c>
      <c r="X202" s="109">
        <v>0</v>
      </c>
      <c r="Y202" s="109">
        <v>0</v>
      </c>
      <c r="Z202" s="109">
        <v>0</v>
      </c>
      <c r="AA202" s="109">
        <v>0</v>
      </c>
      <c r="AB202" s="109">
        <v>0</v>
      </c>
      <c r="AC202" s="109">
        <v>0</v>
      </c>
      <c r="AD202" s="109">
        <v>0</v>
      </c>
      <c r="AE202" s="109">
        <v>0</v>
      </c>
      <c r="AF202" s="109">
        <v>0</v>
      </c>
      <c r="AG202" s="109">
        <v>0</v>
      </c>
      <c r="AH202" s="109">
        <v>0</v>
      </c>
      <c r="AI202" s="109">
        <v>0</v>
      </c>
      <c r="AJ202" s="109">
        <v>0</v>
      </c>
      <c r="AK202" s="109">
        <v>0</v>
      </c>
      <c r="AL202" s="109">
        <v>0</v>
      </c>
      <c r="AM202" s="109">
        <v>0</v>
      </c>
      <c r="AN202" s="109">
        <v>0</v>
      </c>
      <c r="AO202" s="109">
        <v>0</v>
      </c>
      <c r="AP202" s="109">
        <v>0</v>
      </c>
      <c r="AQ202" s="109">
        <v>0</v>
      </c>
      <c r="AR202" s="109">
        <v>0</v>
      </c>
      <c r="AS202" s="109">
        <v>0</v>
      </c>
      <c r="AT202" s="109">
        <v>0</v>
      </c>
      <c r="AU202" s="109">
        <v>0</v>
      </c>
      <c r="AV202" s="109">
        <v>0</v>
      </c>
      <c r="AW202" s="109">
        <v>0</v>
      </c>
      <c r="AX202" s="109">
        <v>0</v>
      </c>
      <c r="AY202" s="109">
        <v>0</v>
      </c>
      <c r="AZ202" s="109">
        <v>0</v>
      </c>
      <c r="BA202" s="109">
        <v>0</v>
      </c>
      <c r="BB202" s="109">
        <v>0</v>
      </c>
      <c r="BC202" s="109">
        <v>0</v>
      </c>
      <c r="BD202" s="109">
        <v>0</v>
      </c>
      <c r="BE202" s="109">
        <v>0</v>
      </c>
    </row>
    <row r="203" spans="1:57">
      <c r="A203" t="s">
        <v>16978</v>
      </c>
      <c r="B203" t="s">
        <v>17366</v>
      </c>
      <c r="C203">
        <v>0</v>
      </c>
      <c r="D203">
        <v>4</v>
      </c>
      <c r="E203">
        <v>4</v>
      </c>
      <c r="F203">
        <v>4</v>
      </c>
      <c r="G203">
        <v>0</v>
      </c>
      <c r="H203">
        <v>0</v>
      </c>
      <c r="I203">
        <v>0</v>
      </c>
      <c r="J203">
        <v>4</v>
      </c>
      <c r="K203">
        <v>10</v>
      </c>
      <c r="L203">
        <v>4</v>
      </c>
      <c r="M203">
        <v>0</v>
      </c>
      <c r="N203">
        <v>0</v>
      </c>
      <c r="O203">
        <v>0</v>
      </c>
      <c r="P203">
        <v>0</v>
      </c>
      <c r="Q203">
        <v>0</v>
      </c>
      <c r="R203">
        <v>0</v>
      </c>
      <c r="S203">
        <v>1</v>
      </c>
      <c r="T203">
        <v>0</v>
      </c>
      <c r="U203">
        <v>0</v>
      </c>
      <c r="V203">
        <v>1</v>
      </c>
      <c r="W203">
        <v>10</v>
      </c>
      <c r="X203">
        <v>0</v>
      </c>
      <c r="Y203">
        <v>4</v>
      </c>
      <c r="Z203">
        <v>0</v>
      </c>
      <c r="AA203">
        <v>0</v>
      </c>
      <c r="AB203">
        <v>0</v>
      </c>
      <c r="AC203">
        <v>0</v>
      </c>
      <c r="AD203">
        <v>0</v>
      </c>
      <c r="AE203">
        <v>0</v>
      </c>
      <c r="AF203">
        <v>0</v>
      </c>
      <c r="AG203">
        <v>10</v>
      </c>
      <c r="AH203">
        <v>10</v>
      </c>
      <c r="AI203">
        <v>0</v>
      </c>
      <c r="AJ203">
        <v>0</v>
      </c>
      <c r="AK203">
        <v>0</v>
      </c>
      <c r="AL203">
        <v>0</v>
      </c>
      <c r="AM203">
        <v>0</v>
      </c>
      <c r="AN203">
        <v>0</v>
      </c>
      <c r="AO203">
        <v>0</v>
      </c>
      <c r="AP203">
        <v>0</v>
      </c>
      <c r="AQ203">
        <v>0</v>
      </c>
      <c r="AR203">
        <v>0</v>
      </c>
      <c r="AS203">
        <v>0</v>
      </c>
      <c r="AT203">
        <v>10</v>
      </c>
      <c r="AU203">
        <v>0</v>
      </c>
      <c r="AV203">
        <v>10</v>
      </c>
      <c r="AW203">
        <v>0</v>
      </c>
      <c r="AX203">
        <v>1</v>
      </c>
      <c r="AY203">
        <v>0</v>
      </c>
      <c r="AZ203">
        <v>1</v>
      </c>
      <c r="BA203">
        <v>0</v>
      </c>
      <c r="BB203">
        <v>0</v>
      </c>
      <c r="BC203">
        <v>0</v>
      </c>
      <c r="BD203">
        <v>0</v>
      </c>
      <c r="BE203">
        <v>0</v>
      </c>
    </row>
    <row r="204" spans="1:57">
      <c r="A204" t="s">
        <v>16978</v>
      </c>
      <c r="B204" t="s">
        <v>18827</v>
      </c>
      <c r="C204" s="109">
        <v>0</v>
      </c>
      <c r="D204" s="109">
        <v>0</v>
      </c>
      <c r="E204" s="109">
        <v>0</v>
      </c>
      <c r="F204" s="109">
        <v>0</v>
      </c>
      <c r="G204" s="109">
        <v>0</v>
      </c>
      <c r="H204" s="109">
        <v>0</v>
      </c>
      <c r="I204" s="109">
        <v>0</v>
      </c>
      <c r="J204" s="109">
        <v>0</v>
      </c>
      <c r="K204" s="109">
        <v>0</v>
      </c>
      <c r="L204" s="109">
        <v>0</v>
      </c>
      <c r="M204" s="109">
        <v>0</v>
      </c>
      <c r="N204" s="109">
        <v>0</v>
      </c>
      <c r="O204" s="109">
        <v>0</v>
      </c>
      <c r="P204" s="109">
        <v>0</v>
      </c>
      <c r="Q204" s="109">
        <v>0</v>
      </c>
      <c r="R204" s="109">
        <v>0</v>
      </c>
      <c r="S204" s="109">
        <v>0</v>
      </c>
      <c r="T204" s="109">
        <v>0</v>
      </c>
      <c r="U204" s="109">
        <v>0</v>
      </c>
      <c r="V204" s="109">
        <v>0</v>
      </c>
      <c r="W204" s="109">
        <v>0</v>
      </c>
      <c r="X204" s="109">
        <v>0</v>
      </c>
      <c r="Y204" s="109">
        <v>0</v>
      </c>
      <c r="Z204" s="109">
        <v>0</v>
      </c>
      <c r="AA204" s="109">
        <v>0</v>
      </c>
      <c r="AB204" s="109">
        <v>0</v>
      </c>
      <c r="AC204" s="109">
        <v>0</v>
      </c>
      <c r="AD204" s="109">
        <v>0</v>
      </c>
      <c r="AE204" s="109">
        <v>0</v>
      </c>
      <c r="AF204" s="109">
        <v>0</v>
      </c>
      <c r="AG204" s="109">
        <v>0</v>
      </c>
      <c r="AH204" s="109">
        <v>0</v>
      </c>
      <c r="AI204" s="109">
        <v>0</v>
      </c>
      <c r="AJ204" s="109">
        <v>0</v>
      </c>
      <c r="AK204" s="109">
        <v>0</v>
      </c>
      <c r="AL204" s="109">
        <v>0</v>
      </c>
      <c r="AM204" s="109">
        <v>0</v>
      </c>
      <c r="AN204" s="109">
        <v>0</v>
      </c>
      <c r="AO204" s="109">
        <v>0</v>
      </c>
      <c r="AP204" s="109">
        <v>0</v>
      </c>
      <c r="AQ204" s="109">
        <v>0</v>
      </c>
      <c r="AR204" s="109">
        <v>0</v>
      </c>
      <c r="AS204" s="109">
        <v>0</v>
      </c>
      <c r="AT204" s="109">
        <v>0</v>
      </c>
      <c r="AU204" s="109">
        <v>0</v>
      </c>
      <c r="AV204" s="109">
        <v>0</v>
      </c>
      <c r="AW204" s="109">
        <v>0</v>
      </c>
      <c r="AX204" s="109">
        <v>0</v>
      </c>
      <c r="AY204" s="109">
        <v>0</v>
      </c>
      <c r="AZ204" s="109">
        <v>0</v>
      </c>
      <c r="BA204" s="109">
        <v>0</v>
      </c>
      <c r="BB204" s="109">
        <v>0</v>
      </c>
      <c r="BC204" s="109">
        <v>0</v>
      </c>
      <c r="BD204" s="109">
        <v>0</v>
      </c>
      <c r="BE204" s="109">
        <v>0</v>
      </c>
    </row>
    <row r="205" spans="1:57">
      <c r="A205" t="s">
        <v>16978</v>
      </c>
      <c r="B205" t="s">
        <v>17075</v>
      </c>
      <c r="C205" s="109">
        <v>0</v>
      </c>
      <c r="D205" s="109">
        <v>0</v>
      </c>
      <c r="E205" s="109">
        <v>0</v>
      </c>
      <c r="F205" s="109">
        <v>0</v>
      </c>
      <c r="G205" s="109">
        <v>0</v>
      </c>
      <c r="H205" s="109">
        <v>0</v>
      </c>
      <c r="I205" s="109">
        <v>0</v>
      </c>
      <c r="J205" s="109">
        <v>0</v>
      </c>
      <c r="K205" s="109">
        <v>0</v>
      </c>
      <c r="L205" s="109">
        <v>0</v>
      </c>
      <c r="M205" s="109">
        <v>0</v>
      </c>
      <c r="N205" s="109">
        <v>0</v>
      </c>
      <c r="O205" s="109">
        <v>0</v>
      </c>
      <c r="P205" s="109">
        <v>0</v>
      </c>
      <c r="Q205" s="109">
        <v>0</v>
      </c>
      <c r="R205" s="109">
        <v>0</v>
      </c>
      <c r="S205" s="109">
        <v>0</v>
      </c>
      <c r="T205" s="109">
        <v>0</v>
      </c>
      <c r="U205" s="109">
        <v>0</v>
      </c>
      <c r="V205" s="109">
        <v>0</v>
      </c>
      <c r="W205" s="109">
        <v>0</v>
      </c>
      <c r="X205" s="109">
        <v>0</v>
      </c>
      <c r="Y205" s="109">
        <v>0</v>
      </c>
      <c r="Z205" s="109">
        <v>0</v>
      </c>
      <c r="AA205" s="109">
        <v>0</v>
      </c>
      <c r="AB205" s="109">
        <v>0</v>
      </c>
      <c r="AC205" s="109">
        <v>0</v>
      </c>
      <c r="AD205" s="109">
        <v>0</v>
      </c>
      <c r="AE205" s="109">
        <v>0</v>
      </c>
      <c r="AF205" s="109">
        <v>0</v>
      </c>
      <c r="AG205" s="109">
        <v>0</v>
      </c>
      <c r="AH205" s="109">
        <v>0</v>
      </c>
      <c r="AI205" s="109">
        <v>0</v>
      </c>
      <c r="AJ205" s="109">
        <v>0</v>
      </c>
      <c r="AK205" s="109">
        <v>0</v>
      </c>
      <c r="AL205" s="109">
        <v>0</v>
      </c>
      <c r="AM205" s="109">
        <v>0</v>
      </c>
      <c r="AN205" s="109">
        <v>0</v>
      </c>
      <c r="AO205" s="109">
        <v>0</v>
      </c>
      <c r="AP205" s="109">
        <v>0</v>
      </c>
      <c r="AQ205" s="109">
        <v>0</v>
      </c>
      <c r="AR205" s="109">
        <v>0</v>
      </c>
      <c r="AS205" s="109">
        <v>0</v>
      </c>
      <c r="AT205" s="109">
        <v>0</v>
      </c>
      <c r="AU205" s="109">
        <v>0</v>
      </c>
      <c r="AV205" s="109">
        <v>0</v>
      </c>
      <c r="AW205" s="109">
        <v>0</v>
      </c>
      <c r="AX205" s="109">
        <v>0</v>
      </c>
      <c r="AY205" s="109">
        <v>0</v>
      </c>
      <c r="AZ205" s="109">
        <v>0</v>
      </c>
      <c r="BA205" s="109">
        <v>0</v>
      </c>
      <c r="BB205" s="109">
        <v>0</v>
      </c>
      <c r="BC205" s="109">
        <v>0</v>
      </c>
      <c r="BD205" s="109">
        <v>0</v>
      </c>
      <c r="BE205" s="109">
        <v>0</v>
      </c>
    </row>
    <row r="206" spans="1:57">
      <c r="A206" t="s">
        <v>16978</v>
      </c>
      <c r="B206" t="s">
        <v>17078</v>
      </c>
      <c r="C206" s="109">
        <v>0</v>
      </c>
      <c r="D206" s="109">
        <v>0</v>
      </c>
      <c r="E206" s="109">
        <v>0</v>
      </c>
      <c r="F206" s="109">
        <v>0</v>
      </c>
      <c r="G206" s="109">
        <v>0</v>
      </c>
      <c r="H206" s="109">
        <v>0</v>
      </c>
      <c r="I206" s="109">
        <v>0</v>
      </c>
      <c r="J206" s="109">
        <v>0</v>
      </c>
      <c r="K206" s="109">
        <v>0</v>
      </c>
      <c r="L206" s="109">
        <v>0</v>
      </c>
      <c r="M206" s="109">
        <v>0</v>
      </c>
      <c r="N206" s="109">
        <v>0</v>
      </c>
      <c r="O206" s="109">
        <v>0</v>
      </c>
      <c r="P206" s="109">
        <v>0</v>
      </c>
      <c r="Q206" s="109">
        <v>0</v>
      </c>
      <c r="R206" s="109">
        <v>0</v>
      </c>
      <c r="S206" s="109">
        <v>0</v>
      </c>
      <c r="T206" s="109">
        <v>0</v>
      </c>
      <c r="U206" s="109">
        <v>0</v>
      </c>
      <c r="V206" s="109">
        <v>0</v>
      </c>
      <c r="W206" s="109">
        <v>0</v>
      </c>
      <c r="X206" s="109">
        <v>0</v>
      </c>
      <c r="Y206" s="109">
        <v>0</v>
      </c>
      <c r="Z206" s="109">
        <v>0</v>
      </c>
      <c r="AA206" s="109">
        <v>0</v>
      </c>
      <c r="AB206" s="109">
        <v>0</v>
      </c>
      <c r="AC206" s="109">
        <v>0</v>
      </c>
      <c r="AD206" s="109">
        <v>0</v>
      </c>
      <c r="AE206" s="109">
        <v>0</v>
      </c>
      <c r="AF206" s="109">
        <v>0</v>
      </c>
      <c r="AG206" s="109">
        <v>0</v>
      </c>
      <c r="AH206" s="109">
        <v>0</v>
      </c>
      <c r="AI206" s="109">
        <v>0</v>
      </c>
      <c r="AJ206" s="109">
        <v>0</v>
      </c>
      <c r="AK206" s="109">
        <v>0</v>
      </c>
      <c r="AL206" s="109">
        <v>0</v>
      </c>
      <c r="AM206" s="109">
        <v>0</v>
      </c>
      <c r="AN206" s="109">
        <v>0</v>
      </c>
      <c r="AO206" s="109">
        <v>0</v>
      </c>
      <c r="AP206" s="109">
        <v>0</v>
      </c>
      <c r="AQ206" s="109">
        <v>0</v>
      </c>
      <c r="AR206" s="109">
        <v>0</v>
      </c>
      <c r="AS206" s="109">
        <v>0</v>
      </c>
      <c r="AT206" s="109">
        <v>0</v>
      </c>
      <c r="AU206" s="109">
        <v>0</v>
      </c>
      <c r="AV206" s="109">
        <v>0</v>
      </c>
      <c r="AW206" s="109">
        <v>0</v>
      </c>
      <c r="AX206" s="109">
        <v>0</v>
      </c>
      <c r="AY206" s="109">
        <v>0</v>
      </c>
      <c r="AZ206" s="109">
        <v>0</v>
      </c>
      <c r="BA206" s="109">
        <v>0</v>
      </c>
      <c r="BB206" s="109">
        <v>0</v>
      </c>
      <c r="BC206" s="109">
        <v>0</v>
      </c>
      <c r="BD206" s="109">
        <v>0</v>
      </c>
      <c r="BE206" s="109">
        <v>0</v>
      </c>
    </row>
    <row r="207" spans="1:57">
      <c r="A207" t="s">
        <v>16978</v>
      </c>
      <c r="B207" t="s">
        <v>17079</v>
      </c>
      <c r="C207" s="109">
        <v>0</v>
      </c>
      <c r="D207" s="109">
        <v>0</v>
      </c>
      <c r="E207" s="109">
        <v>0</v>
      </c>
      <c r="F207" s="109">
        <v>0</v>
      </c>
      <c r="G207" s="109">
        <v>0</v>
      </c>
      <c r="H207" s="109">
        <v>0</v>
      </c>
      <c r="I207" s="109">
        <v>0</v>
      </c>
      <c r="J207" s="109">
        <v>0</v>
      </c>
      <c r="K207" s="109">
        <v>0</v>
      </c>
      <c r="L207" s="109">
        <v>0</v>
      </c>
      <c r="M207" s="109">
        <v>0</v>
      </c>
      <c r="N207" s="109">
        <v>0</v>
      </c>
      <c r="O207" s="109">
        <v>0</v>
      </c>
      <c r="P207" s="109">
        <v>0</v>
      </c>
      <c r="Q207" s="109">
        <v>0</v>
      </c>
      <c r="R207" s="109">
        <v>0</v>
      </c>
      <c r="S207" s="109">
        <v>0</v>
      </c>
      <c r="T207" s="109">
        <v>0</v>
      </c>
      <c r="U207" s="109">
        <v>0</v>
      </c>
      <c r="V207" s="109">
        <v>0</v>
      </c>
      <c r="W207" s="109">
        <v>0</v>
      </c>
      <c r="X207" s="109">
        <v>0</v>
      </c>
      <c r="Y207" s="109">
        <v>0</v>
      </c>
      <c r="Z207" s="109">
        <v>0</v>
      </c>
      <c r="AA207" s="109">
        <v>0</v>
      </c>
      <c r="AB207" s="109">
        <v>0</v>
      </c>
      <c r="AC207" s="109">
        <v>0</v>
      </c>
      <c r="AD207" s="109">
        <v>0</v>
      </c>
      <c r="AE207" s="109">
        <v>0</v>
      </c>
      <c r="AF207" s="109">
        <v>0</v>
      </c>
      <c r="AG207" s="109">
        <v>0</v>
      </c>
      <c r="AH207" s="109">
        <v>0</v>
      </c>
      <c r="AI207" s="109">
        <v>0</v>
      </c>
      <c r="AJ207" s="109">
        <v>0</v>
      </c>
      <c r="AK207" s="109">
        <v>0</v>
      </c>
      <c r="AL207" s="109">
        <v>0</v>
      </c>
      <c r="AM207" s="109">
        <v>0</v>
      </c>
      <c r="AN207" s="109">
        <v>0</v>
      </c>
      <c r="AO207" s="109">
        <v>0</v>
      </c>
      <c r="AP207" s="109">
        <v>0</v>
      </c>
      <c r="AQ207" s="109">
        <v>0</v>
      </c>
      <c r="AR207" s="109">
        <v>0</v>
      </c>
      <c r="AS207" s="109">
        <v>0</v>
      </c>
      <c r="AT207" s="109">
        <v>0</v>
      </c>
      <c r="AU207" s="109">
        <v>0</v>
      </c>
      <c r="AV207" s="109">
        <v>0</v>
      </c>
      <c r="AW207" s="109">
        <v>0</v>
      </c>
      <c r="AX207" s="109">
        <v>0</v>
      </c>
      <c r="AY207" s="109">
        <v>0</v>
      </c>
      <c r="AZ207" s="109">
        <v>0</v>
      </c>
      <c r="BA207" s="109">
        <v>0</v>
      </c>
      <c r="BB207" s="109">
        <v>0</v>
      </c>
      <c r="BC207" s="109">
        <v>0</v>
      </c>
      <c r="BD207" s="109">
        <v>0</v>
      </c>
      <c r="BE207" s="109">
        <v>0</v>
      </c>
    </row>
    <row r="208" spans="1:57">
      <c r="A208" t="s">
        <v>16978</v>
      </c>
      <c r="B208" t="s">
        <v>18828</v>
      </c>
      <c r="C208" s="109">
        <v>0</v>
      </c>
      <c r="D208" s="109">
        <v>0</v>
      </c>
      <c r="E208" s="109">
        <v>0</v>
      </c>
      <c r="F208" s="109">
        <v>0</v>
      </c>
      <c r="G208" s="109">
        <v>0</v>
      </c>
      <c r="H208" s="109">
        <v>0</v>
      </c>
      <c r="I208" s="109">
        <v>0</v>
      </c>
      <c r="J208" s="109">
        <v>0</v>
      </c>
      <c r="K208" s="109">
        <v>0</v>
      </c>
      <c r="L208" s="109">
        <v>0</v>
      </c>
      <c r="M208" s="109">
        <v>0</v>
      </c>
      <c r="N208" s="109">
        <v>0</v>
      </c>
      <c r="O208" s="109">
        <v>0</v>
      </c>
      <c r="P208" s="109">
        <v>0</v>
      </c>
      <c r="Q208" s="109">
        <v>0</v>
      </c>
      <c r="R208" s="109">
        <v>0</v>
      </c>
      <c r="S208" s="109">
        <v>0</v>
      </c>
      <c r="T208" s="109">
        <v>0</v>
      </c>
      <c r="U208" s="109">
        <v>0</v>
      </c>
      <c r="V208" s="109">
        <v>0</v>
      </c>
      <c r="W208" s="109">
        <v>0</v>
      </c>
      <c r="X208" s="109">
        <v>0</v>
      </c>
      <c r="Y208" s="109">
        <v>0</v>
      </c>
      <c r="Z208" s="109">
        <v>0</v>
      </c>
      <c r="AA208" s="109">
        <v>0</v>
      </c>
      <c r="AB208" s="109">
        <v>0</v>
      </c>
      <c r="AC208" s="109">
        <v>0</v>
      </c>
      <c r="AD208" s="109">
        <v>0</v>
      </c>
      <c r="AE208" s="109">
        <v>0</v>
      </c>
      <c r="AF208" s="109">
        <v>0</v>
      </c>
      <c r="AG208" s="109">
        <v>0</v>
      </c>
      <c r="AH208" s="109">
        <v>0</v>
      </c>
      <c r="AI208" s="109">
        <v>0</v>
      </c>
      <c r="AJ208" s="109">
        <v>0</v>
      </c>
      <c r="AK208" s="109">
        <v>0</v>
      </c>
      <c r="AL208" s="109">
        <v>0</v>
      </c>
      <c r="AM208" s="109">
        <v>0</v>
      </c>
      <c r="AN208" s="109">
        <v>0</v>
      </c>
      <c r="AO208" s="109">
        <v>0</v>
      </c>
      <c r="AP208" s="109">
        <v>0</v>
      </c>
      <c r="AQ208" s="109">
        <v>0</v>
      </c>
      <c r="AR208" s="109">
        <v>0</v>
      </c>
      <c r="AS208" s="109">
        <v>0</v>
      </c>
      <c r="AT208" s="109">
        <v>0</v>
      </c>
      <c r="AU208" s="109">
        <v>0</v>
      </c>
      <c r="AV208" s="109">
        <v>0</v>
      </c>
      <c r="AW208" s="109">
        <v>0</v>
      </c>
      <c r="AX208" s="109">
        <v>0</v>
      </c>
      <c r="AY208" s="109">
        <v>0</v>
      </c>
      <c r="AZ208" s="109">
        <v>0</v>
      </c>
      <c r="BA208" s="109">
        <v>0</v>
      </c>
      <c r="BB208" s="109">
        <v>0</v>
      </c>
      <c r="BC208" s="109">
        <v>0</v>
      </c>
      <c r="BD208" s="109">
        <v>0</v>
      </c>
      <c r="BE208" s="109">
        <v>0</v>
      </c>
    </row>
    <row r="209" spans="1:57">
      <c r="A209" t="s">
        <v>16978</v>
      </c>
      <c r="B209" t="s">
        <v>19347</v>
      </c>
      <c r="C209" s="109">
        <v>0</v>
      </c>
      <c r="D209" s="109">
        <v>0</v>
      </c>
      <c r="E209" s="109">
        <v>0</v>
      </c>
      <c r="F209" s="109">
        <v>0</v>
      </c>
      <c r="G209" s="109">
        <v>0</v>
      </c>
      <c r="H209" s="109">
        <v>0</v>
      </c>
      <c r="I209" s="109">
        <v>0</v>
      </c>
      <c r="J209" s="109">
        <v>0</v>
      </c>
      <c r="K209" s="109">
        <v>0</v>
      </c>
      <c r="L209" s="109">
        <v>0</v>
      </c>
      <c r="M209" s="109">
        <v>0</v>
      </c>
      <c r="N209" s="109">
        <v>0</v>
      </c>
      <c r="O209" s="109">
        <v>0</v>
      </c>
      <c r="P209" s="109">
        <v>0</v>
      </c>
      <c r="Q209" s="109">
        <v>0</v>
      </c>
      <c r="R209" s="109">
        <v>0</v>
      </c>
      <c r="S209" s="109">
        <v>0</v>
      </c>
      <c r="T209" s="109">
        <v>0</v>
      </c>
      <c r="U209" s="109">
        <v>0</v>
      </c>
      <c r="V209" s="109">
        <v>0</v>
      </c>
      <c r="W209" s="109">
        <v>0</v>
      </c>
      <c r="X209" s="109">
        <v>0</v>
      </c>
      <c r="Y209" s="109">
        <v>0</v>
      </c>
      <c r="Z209" s="109">
        <v>0</v>
      </c>
      <c r="AA209" s="109">
        <v>0</v>
      </c>
      <c r="AB209" s="109">
        <v>0</v>
      </c>
      <c r="AC209" s="109">
        <v>0</v>
      </c>
      <c r="AD209" s="109">
        <v>0</v>
      </c>
      <c r="AE209" s="109">
        <v>0</v>
      </c>
      <c r="AF209" s="109">
        <v>0</v>
      </c>
      <c r="AG209" s="109">
        <v>0</v>
      </c>
      <c r="AH209" s="109">
        <v>0</v>
      </c>
      <c r="AI209" s="109">
        <v>0</v>
      </c>
      <c r="AJ209" s="109">
        <v>0</v>
      </c>
      <c r="AK209" s="109">
        <v>0</v>
      </c>
      <c r="AL209" s="109">
        <v>0</v>
      </c>
      <c r="AM209" s="109">
        <v>0</v>
      </c>
      <c r="AN209" s="109">
        <v>0</v>
      </c>
      <c r="AO209" s="109">
        <v>0</v>
      </c>
      <c r="AP209" s="109">
        <v>0</v>
      </c>
      <c r="AQ209" s="109">
        <v>0</v>
      </c>
      <c r="AR209" s="109">
        <v>0</v>
      </c>
      <c r="AS209" s="109">
        <v>0</v>
      </c>
      <c r="AT209" s="109">
        <v>0</v>
      </c>
      <c r="AU209" s="109">
        <v>0</v>
      </c>
      <c r="AV209" s="109">
        <v>0</v>
      </c>
      <c r="AW209" s="109">
        <v>0</v>
      </c>
      <c r="AX209" s="109">
        <v>0</v>
      </c>
      <c r="AY209" s="109">
        <v>0</v>
      </c>
      <c r="AZ209" s="109">
        <v>0</v>
      </c>
      <c r="BA209" s="109">
        <v>0</v>
      </c>
      <c r="BB209" s="109">
        <v>0</v>
      </c>
      <c r="BC209" s="109">
        <v>0</v>
      </c>
      <c r="BD209" s="109">
        <v>0</v>
      </c>
      <c r="BE209" s="109">
        <v>0</v>
      </c>
    </row>
    <row r="210" spans="1:57">
      <c r="A210" t="s">
        <v>16978</v>
      </c>
      <c r="B210" t="s">
        <v>17054</v>
      </c>
      <c r="C210" s="109">
        <v>0</v>
      </c>
      <c r="D210" s="109">
        <v>0</v>
      </c>
      <c r="E210" s="109">
        <v>0</v>
      </c>
      <c r="F210" s="109">
        <v>0</v>
      </c>
      <c r="G210" s="109">
        <v>0</v>
      </c>
      <c r="H210" s="109">
        <v>0</v>
      </c>
      <c r="I210" s="109">
        <v>0</v>
      </c>
      <c r="J210" s="109">
        <v>0</v>
      </c>
      <c r="K210" s="109">
        <v>0</v>
      </c>
      <c r="L210" s="109">
        <v>0</v>
      </c>
      <c r="M210" s="109">
        <v>0</v>
      </c>
      <c r="N210" s="109">
        <v>0</v>
      </c>
      <c r="O210" s="109">
        <v>0</v>
      </c>
      <c r="P210" s="109">
        <v>0</v>
      </c>
      <c r="Q210" s="109">
        <v>0</v>
      </c>
      <c r="R210" s="109">
        <v>0</v>
      </c>
      <c r="S210" s="109">
        <v>0</v>
      </c>
      <c r="T210" s="109">
        <v>0</v>
      </c>
      <c r="U210" s="109">
        <v>0</v>
      </c>
      <c r="V210" s="109">
        <v>0</v>
      </c>
      <c r="W210" s="109">
        <v>0</v>
      </c>
      <c r="X210" s="109">
        <v>0</v>
      </c>
      <c r="Y210" s="109">
        <v>0</v>
      </c>
      <c r="Z210" s="109">
        <v>0</v>
      </c>
      <c r="AA210" s="109">
        <v>0</v>
      </c>
      <c r="AB210" s="109">
        <v>0</v>
      </c>
      <c r="AC210" s="109">
        <v>0</v>
      </c>
      <c r="AD210" s="109">
        <v>0</v>
      </c>
      <c r="AE210" s="109">
        <v>0</v>
      </c>
      <c r="AF210" s="109">
        <v>0</v>
      </c>
      <c r="AG210" s="109">
        <v>0</v>
      </c>
      <c r="AH210" s="109">
        <v>0</v>
      </c>
      <c r="AI210" s="109">
        <v>0</v>
      </c>
      <c r="AJ210" s="109">
        <v>0</v>
      </c>
      <c r="AK210" s="109">
        <v>0</v>
      </c>
      <c r="AL210" s="109">
        <v>0</v>
      </c>
      <c r="AM210" s="109">
        <v>0</v>
      </c>
      <c r="AN210" s="109">
        <v>0</v>
      </c>
      <c r="AO210" s="109">
        <v>0</v>
      </c>
      <c r="AP210" s="109">
        <v>0</v>
      </c>
      <c r="AQ210" s="109">
        <v>0</v>
      </c>
      <c r="AR210" s="109">
        <v>0</v>
      </c>
      <c r="AS210" s="109">
        <v>0</v>
      </c>
      <c r="AT210" s="109">
        <v>0</v>
      </c>
      <c r="AU210" s="109">
        <v>0</v>
      </c>
      <c r="AV210" s="109">
        <v>0</v>
      </c>
      <c r="AW210" s="109">
        <v>0</v>
      </c>
      <c r="AX210" s="109">
        <v>0</v>
      </c>
      <c r="AY210" s="109">
        <v>0</v>
      </c>
      <c r="AZ210" s="109">
        <v>0</v>
      </c>
      <c r="BA210" s="109">
        <v>0</v>
      </c>
      <c r="BB210" s="109">
        <v>0</v>
      </c>
      <c r="BC210" s="109">
        <v>0</v>
      </c>
      <c r="BD210" s="109">
        <v>0</v>
      </c>
      <c r="BE210" s="109">
        <v>0</v>
      </c>
    </row>
    <row r="211" spans="1:57">
      <c r="A211" t="s">
        <v>16978</v>
      </c>
      <c r="B211" t="s">
        <v>20674</v>
      </c>
      <c r="C211">
        <v>50</v>
      </c>
      <c r="D211">
        <v>60</v>
      </c>
      <c r="E211">
        <v>0</v>
      </c>
      <c r="F211">
        <v>50</v>
      </c>
      <c r="G211">
        <v>0</v>
      </c>
      <c r="H211">
        <v>10</v>
      </c>
      <c r="I211">
        <v>0</v>
      </c>
      <c r="J211">
        <v>60</v>
      </c>
      <c r="K211">
        <v>249.25</v>
      </c>
      <c r="L211">
        <v>60</v>
      </c>
      <c r="M211">
        <v>0</v>
      </c>
      <c r="N211">
        <v>0</v>
      </c>
      <c r="O211">
        <v>0</v>
      </c>
      <c r="P211">
        <v>0</v>
      </c>
      <c r="Q211">
        <v>0</v>
      </c>
      <c r="R211">
        <v>0</v>
      </c>
      <c r="S211">
        <v>70.75</v>
      </c>
      <c r="T211">
        <v>0</v>
      </c>
      <c r="U211">
        <v>0</v>
      </c>
      <c r="V211">
        <v>70.75</v>
      </c>
      <c r="W211">
        <v>0</v>
      </c>
      <c r="X211">
        <v>0</v>
      </c>
      <c r="Y211">
        <v>0</v>
      </c>
      <c r="Z211">
        <v>0</v>
      </c>
      <c r="AA211">
        <v>-707.5</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249.25</v>
      </c>
      <c r="AU211">
        <v>158</v>
      </c>
      <c r="AV211">
        <v>0</v>
      </c>
      <c r="AW211">
        <v>249.25</v>
      </c>
      <c r="AX211">
        <v>70.75</v>
      </c>
      <c r="AY211">
        <v>51.5</v>
      </c>
      <c r="AZ211">
        <v>0</v>
      </c>
      <c r="BA211">
        <v>19.25</v>
      </c>
      <c r="BB211">
        <v>0</v>
      </c>
      <c r="BC211">
        <v>0</v>
      </c>
      <c r="BD211">
        <v>0</v>
      </c>
      <c r="BE211">
        <v>0</v>
      </c>
    </row>
    <row r="212" spans="1:57">
      <c r="A212" t="s">
        <v>16978</v>
      </c>
      <c r="B212" t="s">
        <v>17081</v>
      </c>
      <c r="C212">
        <v>5</v>
      </c>
      <c r="D212">
        <v>7</v>
      </c>
      <c r="E212">
        <v>0</v>
      </c>
      <c r="F212">
        <v>0</v>
      </c>
      <c r="G212">
        <v>0</v>
      </c>
      <c r="H212">
        <v>0</v>
      </c>
      <c r="I212">
        <v>0</v>
      </c>
      <c r="J212">
        <v>7</v>
      </c>
      <c r="K212">
        <v>49</v>
      </c>
      <c r="L212">
        <v>7</v>
      </c>
      <c r="M212">
        <v>0</v>
      </c>
      <c r="N212">
        <v>0</v>
      </c>
      <c r="O212">
        <v>0</v>
      </c>
      <c r="P212">
        <v>0</v>
      </c>
      <c r="Q212">
        <v>0</v>
      </c>
      <c r="R212">
        <v>0</v>
      </c>
      <c r="S212">
        <v>7</v>
      </c>
      <c r="T212">
        <v>0</v>
      </c>
      <c r="U212">
        <v>0</v>
      </c>
      <c r="V212">
        <v>7</v>
      </c>
      <c r="W212">
        <v>20</v>
      </c>
      <c r="X212">
        <v>0</v>
      </c>
      <c r="Y212">
        <v>2</v>
      </c>
      <c r="Z212">
        <v>0</v>
      </c>
      <c r="AA212">
        <v>-50</v>
      </c>
      <c r="AB212">
        <v>0</v>
      </c>
      <c r="AC212">
        <v>0</v>
      </c>
      <c r="AD212">
        <v>0</v>
      </c>
      <c r="AE212">
        <v>0</v>
      </c>
      <c r="AF212">
        <v>0</v>
      </c>
      <c r="AG212">
        <v>20</v>
      </c>
      <c r="AH212">
        <v>20</v>
      </c>
      <c r="AI212">
        <v>0</v>
      </c>
      <c r="AJ212">
        <v>0</v>
      </c>
      <c r="AK212">
        <v>0</v>
      </c>
      <c r="AL212">
        <v>0</v>
      </c>
      <c r="AM212">
        <v>0</v>
      </c>
      <c r="AN212">
        <v>0</v>
      </c>
      <c r="AO212">
        <v>0</v>
      </c>
      <c r="AP212">
        <v>0</v>
      </c>
      <c r="AQ212">
        <v>0</v>
      </c>
      <c r="AR212">
        <v>0</v>
      </c>
      <c r="AS212">
        <v>0</v>
      </c>
      <c r="AT212">
        <v>49</v>
      </c>
      <c r="AU212">
        <v>0</v>
      </c>
      <c r="AV212">
        <v>21</v>
      </c>
      <c r="AW212">
        <v>28</v>
      </c>
      <c r="AX212">
        <v>7</v>
      </c>
      <c r="AY212">
        <v>0</v>
      </c>
      <c r="AZ212">
        <v>2</v>
      </c>
      <c r="BA212">
        <v>5</v>
      </c>
      <c r="BB212">
        <v>0</v>
      </c>
      <c r="BC212">
        <v>0</v>
      </c>
      <c r="BD212">
        <v>0</v>
      </c>
      <c r="BE212">
        <v>0</v>
      </c>
    </row>
    <row r="213" spans="1:57">
      <c r="A213" t="s">
        <v>16978</v>
      </c>
      <c r="B213" t="s">
        <v>17082</v>
      </c>
      <c r="C213" s="109">
        <v>0</v>
      </c>
      <c r="D213" s="109">
        <v>0</v>
      </c>
      <c r="E213" s="109">
        <v>0</v>
      </c>
      <c r="F213" s="109">
        <v>0</v>
      </c>
      <c r="G213" s="109">
        <v>0</v>
      </c>
      <c r="H213" s="109">
        <v>0</v>
      </c>
      <c r="I213" s="109">
        <v>0</v>
      </c>
      <c r="J213" s="109">
        <v>0</v>
      </c>
      <c r="K213" s="109">
        <v>0</v>
      </c>
      <c r="L213" s="109">
        <v>0</v>
      </c>
      <c r="M213" s="109">
        <v>0</v>
      </c>
      <c r="N213" s="109">
        <v>0</v>
      </c>
      <c r="O213" s="109">
        <v>0</v>
      </c>
      <c r="P213" s="109">
        <v>0</v>
      </c>
      <c r="Q213" s="109">
        <v>0</v>
      </c>
      <c r="R213" s="109">
        <v>0</v>
      </c>
      <c r="S213" s="109">
        <v>0</v>
      </c>
      <c r="T213" s="109">
        <v>0</v>
      </c>
      <c r="U213" s="109">
        <v>0</v>
      </c>
      <c r="V213" s="109">
        <v>0</v>
      </c>
      <c r="W213" s="109">
        <v>0</v>
      </c>
      <c r="X213" s="109">
        <v>0</v>
      </c>
      <c r="Y213" s="109">
        <v>0</v>
      </c>
      <c r="Z213" s="109">
        <v>0</v>
      </c>
      <c r="AA213" s="109">
        <v>0</v>
      </c>
      <c r="AB213" s="109">
        <v>0</v>
      </c>
      <c r="AC213" s="109">
        <v>0</v>
      </c>
      <c r="AD213" s="109">
        <v>0</v>
      </c>
      <c r="AE213" s="109">
        <v>0</v>
      </c>
      <c r="AF213" s="109">
        <v>0</v>
      </c>
      <c r="AG213" s="109">
        <v>0</v>
      </c>
      <c r="AH213" s="109">
        <v>0</v>
      </c>
      <c r="AI213" s="109">
        <v>0</v>
      </c>
      <c r="AJ213" s="109">
        <v>0</v>
      </c>
      <c r="AK213" s="109">
        <v>0</v>
      </c>
      <c r="AL213" s="109">
        <v>0</v>
      </c>
      <c r="AM213" s="109">
        <v>0</v>
      </c>
      <c r="AN213" s="109">
        <v>0</v>
      </c>
      <c r="AO213" s="109">
        <v>0</v>
      </c>
      <c r="AP213" s="109">
        <v>0</v>
      </c>
      <c r="AQ213" s="109">
        <v>0</v>
      </c>
      <c r="AR213" s="109">
        <v>0</v>
      </c>
      <c r="AS213" s="109">
        <v>0</v>
      </c>
      <c r="AT213" s="109">
        <v>0</v>
      </c>
      <c r="AU213" s="109">
        <v>0</v>
      </c>
      <c r="AV213" s="109">
        <v>0</v>
      </c>
      <c r="AW213" s="109">
        <v>0</v>
      </c>
      <c r="AX213" s="109">
        <v>0</v>
      </c>
      <c r="AY213" s="109">
        <v>0</v>
      </c>
      <c r="AZ213" s="109">
        <v>0</v>
      </c>
      <c r="BA213" s="109">
        <v>0</v>
      </c>
      <c r="BB213" s="109">
        <v>0</v>
      </c>
      <c r="BC213" s="109">
        <v>0</v>
      </c>
      <c r="BD213" s="109">
        <v>0</v>
      </c>
      <c r="BE213" s="109">
        <v>0</v>
      </c>
    </row>
    <row r="214" spans="1:57">
      <c r="A214" t="s">
        <v>16978</v>
      </c>
      <c r="B214" t="s">
        <v>17369</v>
      </c>
      <c r="C214" s="109">
        <v>0</v>
      </c>
      <c r="D214" s="109">
        <v>0</v>
      </c>
      <c r="E214" s="109">
        <v>0</v>
      </c>
      <c r="F214" s="109">
        <v>0</v>
      </c>
      <c r="G214" s="109">
        <v>0</v>
      </c>
      <c r="H214" s="109">
        <v>0</v>
      </c>
      <c r="I214" s="109">
        <v>0</v>
      </c>
      <c r="J214" s="109">
        <v>0</v>
      </c>
      <c r="K214" s="109">
        <v>0</v>
      </c>
      <c r="L214" s="109">
        <v>0</v>
      </c>
      <c r="M214" s="109">
        <v>0</v>
      </c>
      <c r="N214" s="109">
        <v>0</v>
      </c>
      <c r="O214" s="109">
        <v>0</v>
      </c>
      <c r="P214" s="109">
        <v>0</v>
      </c>
      <c r="Q214" s="109">
        <v>0</v>
      </c>
      <c r="R214" s="109">
        <v>0</v>
      </c>
      <c r="S214" s="109">
        <v>0</v>
      </c>
      <c r="T214" s="109">
        <v>0</v>
      </c>
      <c r="U214" s="109">
        <v>0</v>
      </c>
      <c r="V214" s="109">
        <v>0</v>
      </c>
      <c r="W214" s="109">
        <v>0</v>
      </c>
      <c r="X214" s="109">
        <v>0</v>
      </c>
      <c r="Y214" s="109">
        <v>0</v>
      </c>
      <c r="Z214" s="109">
        <v>0</v>
      </c>
      <c r="AA214" s="109">
        <v>0</v>
      </c>
      <c r="AB214" s="109">
        <v>0</v>
      </c>
      <c r="AC214" s="109">
        <v>0</v>
      </c>
      <c r="AD214" s="109">
        <v>0</v>
      </c>
      <c r="AE214" s="109">
        <v>0</v>
      </c>
      <c r="AF214" s="109">
        <v>0</v>
      </c>
      <c r="AG214" s="109">
        <v>0</v>
      </c>
      <c r="AH214" s="109">
        <v>0</v>
      </c>
      <c r="AI214" s="109">
        <v>0</v>
      </c>
      <c r="AJ214" s="109">
        <v>0</v>
      </c>
      <c r="AK214" s="109">
        <v>0</v>
      </c>
      <c r="AL214" s="109">
        <v>0</v>
      </c>
      <c r="AM214" s="109">
        <v>0</v>
      </c>
      <c r="AN214" s="109">
        <v>0</v>
      </c>
      <c r="AO214" s="109">
        <v>0</v>
      </c>
      <c r="AP214" s="109">
        <v>0</v>
      </c>
      <c r="AQ214" s="109">
        <v>0</v>
      </c>
      <c r="AR214" s="109">
        <v>0</v>
      </c>
      <c r="AS214" s="109">
        <v>0</v>
      </c>
      <c r="AT214" s="109">
        <v>0</v>
      </c>
      <c r="AU214" s="109">
        <v>0</v>
      </c>
      <c r="AV214" s="109">
        <v>0</v>
      </c>
      <c r="AW214" s="109">
        <v>0</v>
      </c>
      <c r="AX214" s="109">
        <v>0</v>
      </c>
      <c r="AY214" s="109">
        <v>0</v>
      </c>
      <c r="AZ214" s="109">
        <v>0</v>
      </c>
      <c r="BA214" s="109">
        <v>0</v>
      </c>
      <c r="BB214" s="109">
        <v>0</v>
      </c>
      <c r="BC214" s="109">
        <v>0</v>
      </c>
      <c r="BD214" s="109">
        <v>0</v>
      </c>
      <c r="BE214" s="109">
        <v>0</v>
      </c>
    </row>
    <row r="215" spans="1:57">
      <c r="A215" t="s">
        <v>16978</v>
      </c>
      <c r="B215" t="s">
        <v>19348</v>
      </c>
      <c r="C215">
        <v>12</v>
      </c>
      <c r="D215">
        <v>79</v>
      </c>
      <c r="E215">
        <v>75</v>
      </c>
      <c r="F215">
        <v>79</v>
      </c>
      <c r="G215">
        <v>9</v>
      </c>
      <c r="H215">
        <v>9</v>
      </c>
      <c r="I215">
        <v>9</v>
      </c>
      <c r="J215">
        <v>74</v>
      </c>
      <c r="K215">
        <v>1223</v>
      </c>
      <c r="L215">
        <v>24</v>
      </c>
      <c r="M215">
        <v>0</v>
      </c>
      <c r="N215">
        <v>27</v>
      </c>
      <c r="O215">
        <v>17</v>
      </c>
      <c r="P215">
        <v>0</v>
      </c>
      <c r="Q215">
        <v>10</v>
      </c>
      <c r="R215">
        <v>0</v>
      </c>
      <c r="S215">
        <v>725.25</v>
      </c>
      <c r="T215">
        <v>4384</v>
      </c>
      <c r="U215">
        <v>0</v>
      </c>
      <c r="V215">
        <v>5109.25</v>
      </c>
      <c r="W215">
        <v>93965</v>
      </c>
      <c r="X215">
        <v>0</v>
      </c>
      <c r="Y215">
        <v>51</v>
      </c>
      <c r="Z215">
        <v>11</v>
      </c>
      <c r="AA215">
        <v>-967.5</v>
      </c>
      <c r="AB215">
        <v>92622.5</v>
      </c>
      <c r="AC215">
        <v>11.5</v>
      </c>
      <c r="AD215">
        <v>11.5</v>
      </c>
      <c r="AE215">
        <v>2634</v>
      </c>
      <c r="AF215">
        <v>92634</v>
      </c>
      <c r="AG215">
        <v>93976.5</v>
      </c>
      <c r="AH215">
        <v>91342.5</v>
      </c>
      <c r="AI215">
        <v>1375</v>
      </c>
      <c r="AJ215">
        <v>80900</v>
      </c>
      <c r="AK215">
        <v>81200</v>
      </c>
      <c r="AL215">
        <v>79825</v>
      </c>
      <c r="AM215">
        <v>0</v>
      </c>
      <c r="AN215">
        <v>1</v>
      </c>
      <c r="AO215">
        <v>3</v>
      </c>
      <c r="AP215">
        <v>8</v>
      </c>
      <c r="AQ215">
        <v>1</v>
      </c>
      <c r="AR215">
        <v>0</v>
      </c>
      <c r="AS215">
        <v>0</v>
      </c>
      <c r="AT215">
        <v>1223</v>
      </c>
      <c r="AU215">
        <v>127</v>
      </c>
      <c r="AV215">
        <v>958</v>
      </c>
      <c r="AW215">
        <v>138</v>
      </c>
      <c r="AX215">
        <v>725.25</v>
      </c>
      <c r="AY215">
        <v>640</v>
      </c>
      <c r="AZ215">
        <v>75.5</v>
      </c>
      <c r="BA215">
        <v>24.75</v>
      </c>
      <c r="BB215">
        <v>4384</v>
      </c>
      <c r="BC215">
        <v>3777.5</v>
      </c>
      <c r="BD215">
        <v>600.5</v>
      </c>
      <c r="BE215">
        <v>36</v>
      </c>
    </row>
    <row r="216" spans="1:57">
      <c r="A216" t="s">
        <v>16978</v>
      </c>
      <c r="B216" t="s">
        <v>17086</v>
      </c>
      <c r="C216">
        <v>0</v>
      </c>
      <c r="D216">
        <v>3</v>
      </c>
      <c r="E216">
        <v>3</v>
      </c>
      <c r="F216">
        <v>2</v>
      </c>
      <c r="G216">
        <v>0</v>
      </c>
      <c r="H216">
        <v>0</v>
      </c>
      <c r="I216">
        <v>0</v>
      </c>
      <c r="J216">
        <v>2</v>
      </c>
      <c r="K216">
        <v>21</v>
      </c>
      <c r="L216">
        <v>2</v>
      </c>
      <c r="M216">
        <v>0</v>
      </c>
      <c r="N216">
        <v>0</v>
      </c>
      <c r="O216">
        <v>0</v>
      </c>
      <c r="P216">
        <v>0</v>
      </c>
      <c r="Q216">
        <v>0</v>
      </c>
      <c r="R216">
        <v>0</v>
      </c>
      <c r="S216">
        <v>3</v>
      </c>
      <c r="T216">
        <v>1</v>
      </c>
      <c r="U216">
        <v>0</v>
      </c>
      <c r="V216">
        <v>4</v>
      </c>
      <c r="W216">
        <v>50</v>
      </c>
      <c r="X216">
        <v>0</v>
      </c>
      <c r="Y216">
        <v>2</v>
      </c>
      <c r="Z216">
        <v>0</v>
      </c>
      <c r="AA216">
        <v>0</v>
      </c>
      <c r="AB216">
        <v>10</v>
      </c>
      <c r="AC216">
        <v>0</v>
      </c>
      <c r="AD216">
        <v>0</v>
      </c>
      <c r="AE216">
        <v>0</v>
      </c>
      <c r="AF216">
        <v>10</v>
      </c>
      <c r="AG216">
        <v>50</v>
      </c>
      <c r="AH216">
        <v>50</v>
      </c>
      <c r="AI216">
        <v>0</v>
      </c>
      <c r="AJ216">
        <v>0</v>
      </c>
      <c r="AK216">
        <v>0</v>
      </c>
      <c r="AL216">
        <v>0</v>
      </c>
      <c r="AM216">
        <v>0</v>
      </c>
      <c r="AN216">
        <v>0</v>
      </c>
      <c r="AO216">
        <v>0</v>
      </c>
      <c r="AP216">
        <v>0</v>
      </c>
      <c r="AQ216">
        <v>0</v>
      </c>
      <c r="AR216">
        <v>0</v>
      </c>
      <c r="AS216">
        <v>0</v>
      </c>
      <c r="AT216">
        <v>21</v>
      </c>
      <c r="AU216">
        <v>0</v>
      </c>
      <c r="AV216">
        <v>21</v>
      </c>
      <c r="AW216">
        <v>0</v>
      </c>
      <c r="AX216">
        <v>3</v>
      </c>
      <c r="AY216">
        <v>0</v>
      </c>
      <c r="AZ216">
        <v>3</v>
      </c>
      <c r="BA216">
        <v>0</v>
      </c>
      <c r="BB216">
        <v>1</v>
      </c>
      <c r="BC216">
        <v>0</v>
      </c>
      <c r="BD216">
        <v>1</v>
      </c>
      <c r="BE216">
        <v>0</v>
      </c>
    </row>
    <row r="217" spans="1:57">
      <c r="A217" t="s">
        <v>16978</v>
      </c>
      <c r="B217" t="s">
        <v>17087</v>
      </c>
      <c r="C217" s="109">
        <v>0</v>
      </c>
      <c r="D217" s="109">
        <v>0</v>
      </c>
      <c r="E217" s="109">
        <v>0</v>
      </c>
      <c r="F217" s="109">
        <v>0</v>
      </c>
      <c r="G217" s="109">
        <v>0</v>
      </c>
      <c r="H217" s="109">
        <v>0</v>
      </c>
      <c r="I217" s="109">
        <v>0</v>
      </c>
      <c r="J217" s="109">
        <v>0</v>
      </c>
      <c r="K217" s="109">
        <v>0</v>
      </c>
      <c r="L217" s="109">
        <v>0</v>
      </c>
      <c r="M217" s="109">
        <v>0</v>
      </c>
      <c r="N217" s="109">
        <v>0</v>
      </c>
      <c r="O217" s="109">
        <v>0</v>
      </c>
      <c r="P217" s="109">
        <v>0</v>
      </c>
      <c r="Q217" s="109">
        <v>0</v>
      </c>
      <c r="R217" s="109">
        <v>0</v>
      </c>
      <c r="S217" s="109">
        <v>0</v>
      </c>
      <c r="T217" s="109">
        <v>0</v>
      </c>
      <c r="U217" s="109">
        <v>0</v>
      </c>
      <c r="V217" s="109">
        <v>0</v>
      </c>
      <c r="W217" s="109">
        <v>0</v>
      </c>
      <c r="X217" s="109">
        <v>0</v>
      </c>
      <c r="Y217" s="109">
        <v>0</v>
      </c>
      <c r="Z217" s="109">
        <v>0</v>
      </c>
      <c r="AA217" s="109">
        <v>0</v>
      </c>
      <c r="AB217" s="109">
        <v>0</v>
      </c>
      <c r="AC217" s="109">
        <v>0</v>
      </c>
      <c r="AD217" s="109">
        <v>0</v>
      </c>
      <c r="AE217" s="109">
        <v>0</v>
      </c>
      <c r="AF217" s="109">
        <v>0</v>
      </c>
      <c r="AG217" s="109">
        <v>0</v>
      </c>
      <c r="AH217" s="109">
        <v>0</v>
      </c>
      <c r="AI217" s="109">
        <v>0</v>
      </c>
      <c r="AJ217" s="109">
        <v>0</v>
      </c>
      <c r="AK217" s="109">
        <v>0</v>
      </c>
      <c r="AL217" s="109">
        <v>0</v>
      </c>
      <c r="AM217" s="109">
        <v>0</v>
      </c>
      <c r="AN217" s="109">
        <v>0</v>
      </c>
      <c r="AO217" s="109">
        <v>0</v>
      </c>
      <c r="AP217" s="109">
        <v>0</v>
      </c>
      <c r="AQ217" s="109">
        <v>0</v>
      </c>
      <c r="AR217" s="109">
        <v>0</v>
      </c>
      <c r="AS217" s="109">
        <v>0</v>
      </c>
      <c r="AT217" s="109">
        <v>0</v>
      </c>
      <c r="AU217" s="109">
        <v>0</v>
      </c>
      <c r="AV217" s="109">
        <v>0</v>
      </c>
      <c r="AW217" s="109">
        <v>0</v>
      </c>
      <c r="AX217" s="109">
        <v>0</v>
      </c>
      <c r="AY217" s="109">
        <v>0</v>
      </c>
      <c r="AZ217" s="109">
        <v>0</v>
      </c>
      <c r="BA217" s="109">
        <v>0</v>
      </c>
      <c r="BB217" s="109">
        <v>0</v>
      </c>
      <c r="BC217" s="109">
        <v>0</v>
      </c>
      <c r="BD217" s="109">
        <v>0</v>
      </c>
      <c r="BE217" s="109">
        <v>0</v>
      </c>
    </row>
    <row r="218" spans="1:57">
      <c r="A218" t="s">
        <v>16978</v>
      </c>
      <c r="B218" t="s">
        <v>17088</v>
      </c>
      <c r="C218" s="109">
        <v>0</v>
      </c>
      <c r="D218" s="109">
        <v>0</v>
      </c>
      <c r="E218" s="109">
        <v>0</v>
      </c>
      <c r="F218" s="109">
        <v>0</v>
      </c>
      <c r="G218" s="109">
        <v>0</v>
      </c>
      <c r="H218" s="109">
        <v>0</v>
      </c>
      <c r="I218" s="109">
        <v>0</v>
      </c>
      <c r="J218" s="109">
        <v>0</v>
      </c>
      <c r="K218" s="109">
        <v>0</v>
      </c>
      <c r="L218" s="109">
        <v>0</v>
      </c>
      <c r="M218" s="109">
        <v>0</v>
      </c>
      <c r="N218" s="109">
        <v>0</v>
      </c>
      <c r="O218" s="109">
        <v>0</v>
      </c>
      <c r="P218" s="109">
        <v>0</v>
      </c>
      <c r="Q218" s="109">
        <v>0</v>
      </c>
      <c r="R218" s="109">
        <v>0</v>
      </c>
      <c r="S218" s="109">
        <v>0</v>
      </c>
      <c r="T218" s="109">
        <v>0</v>
      </c>
      <c r="U218" s="109">
        <v>0</v>
      </c>
      <c r="V218" s="109">
        <v>0</v>
      </c>
      <c r="W218" s="109">
        <v>0</v>
      </c>
      <c r="X218" s="109">
        <v>0</v>
      </c>
      <c r="Y218" s="109">
        <v>0</v>
      </c>
      <c r="Z218" s="109">
        <v>0</v>
      </c>
      <c r="AA218" s="109">
        <v>0</v>
      </c>
      <c r="AB218" s="109">
        <v>0</v>
      </c>
      <c r="AC218" s="109">
        <v>0</v>
      </c>
      <c r="AD218" s="109">
        <v>0</v>
      </c>
      <c r="AE218" s="109">
        <v>0</v>
      </c>
      <c r="AF218" s="109">
        <v>0</v>
      </c>
      <c r="AG218" s="109">
        <v>0</v>
      </c>
      <c r="AH218" s="109">
        <v>0</v>
      </c>
      <c r="AI218" s="109">
        <v>0</v>
      </c>
      <c r="AJ218" s="109">
        <v>0</v>
      </c>
      <c r="AK218" s="109">
        <v>0</v>
      </c>
      <c r="AL218" s="109">
        <v>0</v>
      </c>
      <c r="AM218" s="109">
        <v>0</v>
      </c>
      <c r="AN218" s="109">
        <v>0</v>
      </c>
      <c r="AO218" s="109">
        <v>0</v>
      </c>
      <c r="AP218" s="109">
        <v>0</v>
      </c>
      <c r="AQ218" s="109">
        <v>0</v>
      </c>
      <c r="AR218" s="109">
        <v>0</v>
      </c>
      <c r="AS218" s="109">
        <v>0</v>
      </c>
      <c r="AT218" s="109">
        <v>0</v>
      </c>
      <c r="AU218" s="109">
        <v>0</v>
      </c>
      <c r="AV218" s="109">
        <v>0</v>
      </c>
      <c r="AW218" s="109">
        <v>0</v>
      </c>
      <c r="AX218" s="109">
        <v>0</v>
      </c>
      <c r="AY218" s="109">
        <v>0</v>
      </c>
      <c r="AZ218" s="109">
        <v>0</v>
      </c>
      <c r="BA218" s="109">
        <v>0</v>
      </c>
      <c r="BB218" s="109">
        <v>0</v>
      </c>
      <c r="BC218" s="109">
        <v>0</v>
      </c>
      <c r="BD218" s="109">
        <v>0</v>
      </c>
      <c r="BE218" s="109">
        <v>0</v>
      </c>
    </row>
    <row r="219" spans="1:57">
      <c r="A219" t="s">
        <v>16978</v>
      </c>
      <c r="B219" t="s">
        <v>17089</v>
      </c>
      <c r="C219">
        <v>6</v>
      </c>
      <c r="D219">
        <v>6</v>
      </c>
      <c r="E219">
        <v>4</v>
      </c>
      <c r="F219">
        <v>6</v>
      </c>
      <c r="G219">
        <v>0</v>
      </c>
      <c r="H219">
        <v>0</v>
      </c>
      <c r="I219">
        <v>0</v>
      </c>
      <c r="J219">
        <v>6</v>
      </c>
      <c r="K219">
        <v>6</v>
      </c>
      <c r="L219">
        <v>6</v>
      </c>
      <c r="M219">
        <v>0</v>
      </c>
      <c r="N219">
        <v>0</v>
      </c>
      <c r="O219">
        <v>0</v>
      </c>
      <c r="P219">
        <v>0</v>
      </c>
      <c r="Q219">
        <v>0</v>
      </c>
      <c r="R219">
        <v>0</v>
      </c>
      <c r="S219">
        <v>2.75</v>
      </c>
      <c r="T219">
        <v>0</v>
      </c>
      <c r="U219">
        <v>0</v>
      </c>
      <c r="V219">
        <v>2.75</v>
      </c>
      <c r="W219">
        <v>0</v>
      </c>
      <c r="X219">
        <v>0</v>
      </c>
      <c r="Y219">
        <v>0</v>
      </c>
      <c r="Z219">
        <v>0</v>
      </c>
      <c r="AA219">
        <v>-27.5</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6</v>
      </c>
      <c r="AU219">
        <v>0</v>
      </c>
      <c r="AV219">
        <v>0</v>
      </c>
      <c r="AW219">
        <v>6</v>
      </c>
      <c r="AX219">
        <v>2.75</v>
      </c>
      <c r="AY219">
        <v>0</v>
      </c>
      <c r="AZ219">
        <v>0</v>
      </c>
      <c r="BA219">
        <v>2.75</v>
      </c>
      <c r="BB219">
        <v>0</v>
      </c>
      <c r="BC219">
        <v>0</v>
      </c>
      <c r="BD219">
        <v>0</v>
      </c>
      <c r="BE219">
        <v>0</v>
      </c>
    </row>
    <row r="220" spans="1:57">
      <c r="A220" t="s">
        <v>16978</v>
      </c>
      <c r="B220" t="s">
        <v>19984</v>
      </c>
      <c r="C220">
        <v>16</v>
      </c>
      <c r="D220">
        <v>16</v>
      </c>
      <c r="E220">
        <v>16</v>
      </c>
      <c r="F220">
        <v>16</v>
      </c>
      <c r="G220">
        <v>0</v>
      </c>
      <c r="H220">
        <v>0</v>
      </c>
      <c r="I220">
        <v>0</v>
      </c>
      <c r="J220">
        <v>16</v>
      </c>
      <c r="K220">
        <v>45</v>
      </c>
      <c r="L220">
        <v>16</v>
      </c>
      <c r="M220">
        <v>0</v>
      </c>
      <c r="N220">
        <v>0</v>
      </c>
      <c r="O220">
        <v>0</v>
      </c>
      <c r="P220">
        <v>0</v>
      </c>
      <c r="Q220">
        <v>0</v>
      </c>
      <c r="R220">
        <v>0</v>
      </c>
      <c r="S220">
        <v>0</v>
      </c>
      <c r="T220">
        <v>0</v>
      </c>
      <c r="U220">
        <v>0</v>
      </c>
      <c r="V220">
        <v>0</v>
      </c>
      <c r="W220">
        <v>0</v>
      </c>
      <c r="X220">
        <v>0</v>
      </c>
      <c r="Y220">
        <v>0</v>
      </c>
      <c r="Z220">
        <v>0</v>
      </c>
      <c r="AA220">
        <v>0</v>
      </c>
      <c r="AB220">
        <v>0</v>
      </c>
      <c r="AC220">
        <v>99</v>
      </c>
      <c r="AD220">
        <v>99</v>
      </c>
      <c r="AE220">
        <v>99</v>
      </c>
      <c r="AF220">
        <v>99</v>
      </c>
      <c r="AG220">
        <v>99</v>
      </c>
      <c r="AH220">
        <v>0</v>
      </c>
      <c r="AI220">
        <v>0</v>
      </c>
      <c r="AJ220">
        <v>0</v>
      </c>
      <c r="AK220">
        <v>0</v>
      </c>
      <c r="AL220">
        <v>0</v>
      </c>
      <c r="AM220">
        <v>0</v>
      </c>
      <c r="AN220">
        <v>15</v>
      </c>
      <c r="AO220">
        <v>0</v>
      </c>
      <c r="AP220">
        <v>0</v>
      </c>
      <c r="AQ220">
        <v>0</v>
      </c>
      <c r="AR220">
        <v>0</v>
      </c>
      <c r="AS220">
        <v>0</v>
      </c>
      <c r="AT220">
        <v>45</v>
      </c>
      <c r="AU220">
        <v>0</v>
      </c>
      <c r="AV220">
        <v>0</v>
      </c>
      <c r="AW220">
        <v>45</v>
      </c>
      <c r="AX220">
        <v>0</v>
      </c>
      <c r="AY220">
        <v>0</v>
      </c>
      <c r="AZ220">
        <v>0</v>
      </c>
      <c r="BA220">
        <v>0</v>
      </c>
      <c r="BB220">
        <v>0</v>
      </c>
      <c r="BC220">
        <v>0</v>
      </c>
      <c r="BD220">
        <v>0</v>
      </c>
      <c r="BE220">
        <v>0</v>
      </c>
    </row>
    <row r="221" spans="1:57">
      <c r="A221" t="s">
        <v>16978</v>
      </c>
      <c r="B221" t="s">
        <v>17091</v>
      </c>
      <c r="C221" s="109">
        <v>0</v>
      </c>
      <c r="D221" s="109">
        <v>0</v>
      </c>
      <c r="E221" s="109">
        <v>0</v>
      </c>
      <c r="F221" s="109">
        <v>0</v>
      </c>
      <c r="G221" s="109">
        <v>0</v>
      </c>
      <c r="H221" s="109">
        <v>0</v>
      </c>
      <c r="I221" s="109">
        <v>0</v>
      </c>
      <c r="J221" s="109">
        <v>0</v>
      </c>
      <c r="K221" s="109">
        <v>0</v>
      </c>
      <c r="L221" s="109">
        <v>0</v>
      </c>
      <c r="M221" s="109">
        <v>0</v>
      </c>
      <c r="N221" s="109">
        <v>0</v>
      </c>
      <c r="O221" s="109">
        <v>0</v>
      </c>
      <c r="P221" s="109">
        <v>0</v>
      </c>
      <c r="Q221" s="109">
        <v>0</v>
      </c>
      <c r="R221" s="109">
        <v>0</v>
      </c>
      <c r="S221" s="109">
        <v>0</v>
      </c>
      <c r="T221" s="109">
        <v>0</v>
      </c>
      <c r="U221" s="109">
        <v>0</v>
      </c>
      <c r="V221" s="109">
        <v>0</v>
      </c>
      <c r="W221" s="109">
        <v>0</v>
      </c>
      <c r="X221" s="109">
        <v>0</v>
      </c>
      <c r="Y221" s="109">
        <v>0</v>
      </c>
      <c r="Z221" s="109">
        <v>0</v>
      </c>
      <c r="AA221" s="109">
        <v>0</v>
      </c>
      <c r="AB221" s="109">
        <v>0</v>
      </c>
      <c r="AC221" s="109">
        <v>0</v>
      </c>
      <c r="AD221" s="109">
        <v>0</v>
      </c>
      <c r="AE221" s="109">
        <v>0</v>
      </c>
      <c r="AF221" s="109">
        <v>0</v>
      </c>
      <c r="AG221" s="109">
        <v>0</v>
      </c>
      <c r="AH221" s="109">
        <v>0</v>
      </c>
      <c r="AI221" s="109">
        <v>0</v>
      </c>
      <c r="AJ221" s="109">
        <v>0</v>
      </c>
      <c r="AK221" s="109">
        <v>0</v>
      </c>
      <c r="AL221" s="109">
        <v>0</v>
      </c>
      <c r="AM221" s="109">
        <v>0</v>
      </c>
      <c r="AN221" s="109">
        <v>0</v>
      </c>
      <c r="AO221" s="109">
        <v>0</v>
      </c>
      <c r="AP221" s="109">
        <v>0</v>
      </c>
      <c r="AQ221" s="109">
        <v>0</v>
      </c>
      <c r="AR221" s="109">
        <v>0</v>
      </c>
      <c r="AS221" s="109">
        <v>0</v>
      </c>
      <c r="AT221" s="109">
        <v>0</v>
      </c>
      <c r="AU221" s="109">
        <v>0</v>
      </c>
      <c r="AV221" s="109">
        <v>0</v>
      </c>
      <c r="AW221" s="109">
        <v>0</v>
      </c>
      <c r="AX221" s="109">
        <v>0</v>
      </c>
      <c r="AY221" s="109">
        <v>0</v>
      </c>
      <c r="AZ221" s="109">
        <v>0</v>
      </c>
      <c r="BA221" s="109">
        <v>0</v>
      </c>
      <c r="BB221" s="109">
        <v>0</v>
      </c>
      <c r="BC221" s="109">
        <v>0</v>
      </c>
      <c r="BD221" s="109">
        <v>0</v>
      </c>
      <c r="BE221" s="109">
        <v>0</v>
      </c>
    </row>
    <row r="222" spans="1:57">
      <c r="A222" t="s">
        <v>16978</v>
      </c>
      <c r="B222" t="s">
        <v>17092</v>
      </c>
      <c r="C222">
        <v>0</v>
      </c>
      <c r="D222">
        <v>1</v>
      </c>
      <c r="E222">
        <v>1</v>
      </c>
      <c r="F222">
        <v>1</v>
      </c>
      <c r="G222">
        <v>1</v>
      </c>
      <c r="H222">
        <v>0</v>
      </c>
      <c r="I222">
        <v>0</v>
      </c>
      <c r="J222">
        <v>1</v>
      </c>
      <c r="K222">
        <v>40</v>
      </c>
      <c r="L222">
        <v>1</v>
      </c>
      <c r="M222">
        <v>0</v>
      </c>
      <c r="N222">
        <v>0</v>
      </c>
      <c r="O222">
        <v>0</v>
      </c>
      <c r="P222">
        <v>0</v>
      </c>
      <c r="Q222">
        <v>0</v>
      </c>
      <c r="R222">
        <v>0</v>
      </c>
      <c r="S222">
        <v>0.75</v>
      </c>
      <c r="T222">
        <v>0</v>
      </c>
      <c r="U222">
        <v>0</v>
      </c>
      <c r="V222">
        <v>0.75</v>
      </c>
      <c r="W222">
        <v>7.5</v>
      </c>
      <c r="X222">
        <v>0</v>
      </c>
      <c r="Y222">
        <v>1</v>
      </c>
      <c r="Z222">
        <v>0</v>
      </c>
      <c r="AA222">
        <v>0</v>
      </c>
      <c r="AB222">
        <v>0</v>
      </c>
      <c r="AC222">
        <v>0</v>
      </c>
      <c r="AD222">
        <v>0</v>
      </c>
      <c r="AE222">
        <v>0</v>
      </c>
      <c r="AF222">
        <v>0</v>
      </c>
      <c r="AG222">
        <v>7.5</v>
      </c>
      <c r="AH222">
        <v>7.5</v>
      </c>
      <c r="AI222">
        <v>0</v>
      </c>
      <c r="AJ222">
        <v>0</v>
      </c>
      <c r="AK222">
        <v>0</v>
      </c>
      <c r="AL222">
        <v>0</v>
      </c>
      <c r="AM222">
        <v>0</v>
      </c>
      <c r="AN222">
        <v>0</v>
      </c>
      <c r="AO222">
        <v>0</v>
      </c>
      <c r="AP222">
        <v>0</v>
      </c>
      <c r="AQ222">
        <v>0</v>
      </c>
      <c r="AR222">
        <v>0</v>
      </c>
      <c r="AS222">
        <v>0</v>
      </c>
      <c r="AT222">
        <v>1</v>
      </c>
      <c r="AU222">
        <v>0</v>
      </c>
      <c r="AV222">
        <v>1</v>
      </c>
      <c r="AW222">
        <v>0</v>
      </c>
      <c r="AX222">
        <v>0.75</v>
      </c>
      <c r="AY222">
        <v>0</v>
      </c>
      <c r="AZ222">
        <v>0.75</v>
      </c>
      <c r="BA222">
        <v>0</v>
      </c>
      <c r="BB222">
        <v>0</v>
      </c>
      <c r="BC222">
        <v>0</v>
      </c>
      <c r="BD222">
        <v>0</v>
      </c>
      <c r="BE222">
        <v>0</v>
      </c>
    </row>
    <row r="223" spans="1:57">
      <c r="A223" t="s">
        <v>17097</v>
      </c>
      <c r="B223" t="s">
        <v>17098</v>
      </c>
      <c r="C223">
        <v>0</v>
      </c>
      <c r="D223">
        <v>37</v>
      </c>
      <c r="E223">
        <v>37</v>
      </c>
      <c r="F223">
        <v>34</v>
      </c>
      <c r="G223">
        <v>0</v>
      </c>
      <c r="H223">
        <v>1</v>
      </c>
      <c r="I223">
        <v>1</v>
      </c>
      <c r="J223">
        <v>37</v>
      </c>
      <c r="K223">
        <v>328</v>
      </c>
      <c r="L223">
        <v>9</v>
      </c>
      <c r="M223">
        <v>0</v>
      </c>
      <c r="N223">
        <v>6</v>
      </c>
      <c r="O223">
        <v>22</v>
      </c>
      <c r="P223">
        <v>0</v>
      </c>
      <c r="Q223">
        <v>0</v>
      </c>
      <c r="R223">
        <v>0</v>
      </c>
      <c r="S223">
        <v>11.5</v>
      </c>
      <c r="T223">
        <v>7.5</v>
      </c>
      <c r="U223">
        <v>0</v>
      </c>
      <c r="V223">
        <v>19</v>
      </c>
      <c r="W223">
        <v>265</v>
      </c>
      <c r="X223">
        <v>0</v>
      </c>
      <c r="Y223">
        <v>4</v>
      </c>
      <c r="Z223">
        <v>5</v>
      </c>
      <c r="AA223">
        <v>0</v>
      </c>
      <c r="AB223">
        <v>85</v>
      </c>
      <c r="AC223">
        <v>0</v>
      </c>
      <c r="AD223">
        <v>0</v>
      </c>
      <c r="AE223">
        <v>70</v>
      </c>
      <c r="AF223">
        <v>85</v>
      </c>
      <c r="AG223">
        <v>265</v>
      </c>
      <c r="AH223">
        <v>195</v>
      </c>
      <c r="AI223">
        <v>30</v>
      </c>
      <c r="AJ223">
        <v>30</v>
      </c>
      <c r="AK223">
        <v>60</v>
      </c>
      <c r="AL223">
        <v>30</v>
      </c>
      <c r="AM223">
        <v>0</v>
      </c>
      <c r="AN223">
        <v>2</v>
      </c>
      <c r="AO223">
        <v>0</v>
      </c>
      <c r="AP223">
        <v>0</v>
      </c>
      <c r="AQ223">
        <v>0</v>
      </c>
      <c r="AR223">
        <v>0</v>
      </c>
      <c r="AS223">
        <v>0</v>
      </c>
      <c r="AT223">
        <v>328</v>
      </c>
      <c r="AU223">
        <v>55</v>
      </c>
      <c r="AV223">
        <v>273</v>
      </c>
      <c r="AW223">
        <v>0</v>
      </c>
      <c r="AX223">
        <v>11.5</v>
      </c>
      <c r="AY223">
        <v>2</v>
      </c>
      <c r="AZ223">
        <v>9.5</v>
      </c>
      <c r="BA223">
        <v>0</v>
      </c>
      <c r="BB223">
        <v>7.5</v>
      </c>
      <c r="BC223">
        <v>2</v>
      </c>
      <c r="BD223">
        <v>5.5</v>
      </c>
      <c r="BE223">
        <v>0</v>
      </c>
    </row>
    <row r="224" spans="1:57">
      <c r="A224" t="s">
        <v>18833</v>
      </c>
      <c r="B224" t="s">
        <v>20677</v>
      </c>
      <c r="C224">
        <v>0</v>
      </c>
      <c r="D224">
        <v>1</v>
      </c>
      <c r="E224">
        <v>1</v>
      </c>
      <c r="F224">
        <v>1</v>
      </c>
      <c r="G224">
        <v>0</v>
      </c>
      <c r="H224">
        <v>0</v>
      </c>
      <c r="I224">
        <v>0</v>
      </c>
      <c r="J224">
        <v>1</v>
      </c>
      <c r="K224">
        <v>1</v>
      </c>
      <c r="L224">
        <v>1</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1</v>
      </c>
      <c r="AU224">
        <v>0</v>
      </c>
      <c r="AV224">
        <v>1</v>
      </c>
      <c r="AW224">
        <v>0</v>
      </c>
      <c r="AX224">
        <v>0</v>
      </c>
      <c r="AY224">
        <v>0</v>
      </c>
      <c r="AZ224">
        <v>0</v>
      </c>
      <c r="BA224">
        <v>0</v>
      </c>
      <c r="BB224">
        <v>0</v>
      </c>
      <c r="BC224">
        <v>0</v>
      </c>
      <c r="BD224">
        <v>0</v>
      </c>
      <c r="BE224">
        <v>0</v>
      </c>
    </row>
    <row r="225" spans="1:57">
      <c r="A225" t="s">
        <v>18833</v>
      </c>
      <c r="B225" t="s">
        <v>21078</v>
      </c>
      <c r="C225">
        <v>1</v>
      </c>
      <c r="D225">
        <v>1</v>
      </c>
      <c r="E225">
        <v>1</v>
      </c>
      <c r="F225">
        <v>1</v>
      </c>
      <c r="G225">
        <v>1</v>
      </c>
      <c r="H225">
        <v>0</v>
      </c>
      <c r="I225">
        <v>1</v>
      </c>
      <c r="J225">
        <v>1</v>
      </c>
      <c r="K225">
        <v>5</v>
      </c>
      <c r="L225">
        <v>1</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5</v>
      </c>
      <c r="AU225">
        <v>0</v>
      </c>
      <c r="AV225">
        <v>0</v>
      </c>
      <c r="AW225">
        <v>5</v>
      </c>
      <c r="AX225">
        <v>0</v>
      </c>
      <c r="AY225">
        <v>0</v>
      </c>
      <c r="AZ225">
        <v>0</v>
      </c>
      <c r="BA225">
        <v>0</v>
      </c>
      <c r="BB225">
        <v>0</v>
      </c>
      <c r="BC225">
        <v>0</v>
      </c>
      <c r="BD225">
        <v>0</v>
      </c>
      <c r="BE225">
        <v>0</v>
      </c>
    </row>
    <row r="226" spans="1:57">
      <c r="A226" t="s">
        <v>18833</v>
      </c>
      <c r="B226" t="s">
        <v>21077</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row>
    <row r="227" spans="1:57">
      <c r="A227" t="s">
        <v>18833</v>
      </c>
      <c r="B227" t="s">
        <v>21076</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row>
    <row r="228" spans="1:57">
      <c r="A228" t="s">
        <v>18833</v>
      </c>
      <c r="B228" t="s">
        <v>21075</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row>
    <row r="229" spans="1:57">
      <c r="A229" t="s">
        <v>18833</v>
      </c>
      <c r="B229" t="s">
        <v>21074</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row>
    <row r="230" spans="1:57">
      <c r="A230" t="s">
        <v>17099</v>
      </c>
      <c r="B230" t="s">
        <v>18832</v>
      </c>
      <c r="C230">
        <v>7</v>
      </c>
      <c r="D230">
        <v>27</v>
      </c>
      <c r="E230">
        <v>21</v>
      </c>
      <c r="F230">
        <v>11</v>
      </c>
      <c r="G230">
        <v>0</v>
      </c>
      <c r="H230">
        <v>0</v>
      </c>
      <c r="I230">
        <v>0</v>
      </c>
      <c r="J230">
        <v>21</v>
      </c>
      <c r="K230">
        <v>412</v>
      </c>
      <c r="L230">
        <v>15</v>
      </c>
      <c r="M230">
        <v>0</v>
      </c>
      <c r="N230">
        <v>6</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114</v>
      </c>
      <c r="AU230">
        <v>0</v>
      </c>
      <c r="AV230">
        <v>111</v>
      </c>
      <c r="AW230">
        <v>3</v>
      </c>
      <c r="AX230">
        <v>0</v>
      </c>
      <c r="AY230">
        <v>0</v>
      </c>
      <c r="AZ230">
        <v>0</v>
      </c>
      <c r="BA230">
        <v>0</v>
      </c>
      <c r="BB230">
        <v>0</v>
      </c>
      <c r="BC230">
        <v>0</v>
      </c>
      <c r="BD230">
        <v>0</v>
      </c>
      <c r="BE230">
        <v>0</v>
      </c>
    </row>
    <row r="231" spans="1:57">
      <c r="A231" t="s">
        <v>16974</v>
      </c>
      <c r="B231" t="s">
        <v>17102</v>
      </c>
      <c r="C231">
        <v>0</v>
      </c>
      <c r="D231">
        <v>7</v>
      </c>
      <c r="E231">
        <v>7</v>
      </c>
      <c r="F231">
        <v>6</v>
      </c>
      <c r="G231">
        <v>0</v>
      </c>
      <c r="H231">
        <v>0</v>
      </c>
      <c r="I231">
        <v>1</v>
      </c>
      <c r="J231">
        <v>6</v>
      </c>
      <c r="K231">
        <v>172</v>
      </c>
      <c r="L231">
        <v>1</v>
      </c>
      <c r="M231">
        <v>2</v>
      </c>
      <c r="N231">
        <v>2</v>
      </c>
      <c r="O231">
        <v>0</v>
      </c>
      <c r="P231">
        <v>0</v>
      </c>
      <c r="Q231">
        <v>2</v>
      </c>
      <c r="R231">
        <v>0</v>
      </c>
      <c r="S231">
        <v>9.5</v>
      </c>
      <c r="T231">
        <v>9</v>
      </c>
      <c r="U231">
        <v>0</v>
      </c>
      <c r="V231">
        <v>18.5</v>
      </c>
      <c r="W231">
        <v>275</v>
      </c>
      <c r="X231">
        <v>0</v>
      </c>
      <c r="Y231">
        <v>3</v>
      </c>
      <c r="Z231">
        <v>0</v>
      </c>
      <c r="AA231">
        <v>0</v>
      </c>
      <c r="AB231">
        <v>185</v>
      </c>
      <c r="AC231">
        <v>0</v>
      </c>
      <c r="AD231">
        <v>0</v>
      </c>
      <c r="AE231">
        <v>0</v>
      </c>
      <c r="AF231">
        <v>185</v>
      </c>
      <c r="AG231">
        <v>275</v>
      </c>
      <c r="AH231">
        <v>275</v>
      </c>
      <c r="AI231">
        <v>0</v>
      </c>
      <c r="AJ231">
        <v>0</v>
      </c>
      <c r="AK231">
        <v>0</v>
      </c>
      <c r="AL231">
        <v>0</v>
      </c>
      <c r="AM231">
        <v>0</v>
      </c>
      <c r="AN231">
        <v>0</v>
      </c>
      <c r="AO231">
        <v>0</v>
      </c>
      <c r="AP231">
        <v>0</v>
      </c>
      <c r="AQ231">
        <v>0</v>
      </c>
      <c r="AR231">
        <v>0</v>
      </c>
      <c r="AS231">
        <v>0</v>
      </c>
      <c r="AT231">
        <v>172</v>
      </c>
      <c r="AU231">
        <v>0</v>
      </c>
      <c r="AV231">
        <v>172</v>
      </c>
      <c r="AW231">
        <v>0</v>
      </c>
      <c r="AX231">
        <v>9.5</v>
      </c>
      <c r="AY231">
        <v>0</v>
      </c>
      <c r="AZ231">
        <v>9.5</v>
      </c>
      <c r="BA231">
        <v>0</v>
      </c>
      <c r="BB231">
        <v>9</v>
      </c>
      <c r="BC231">
        <v>0</v>
      </c>
      <c r="BD231">
        <v>9</v>
      </c>
      <c r="BE231">
        <v>0</v>
      </c>
    </row>
    <row r="232" spans="1:57">
      <c r="A232" t="s">
        <v>16974</v>
      </c>
      <c r="B232" t="s">
        <v>17103</v>
      </c>
      <c r="C232">
        <v>0</v>
      </c>
      <c r="D232">
        <v>1</v>
      </c>
      <c r="E232">
        <v>1</v>
      </c>
      <c r="F232">
        <v>0</v>
      </c>
      <c r="G232">
        <v>0</v>
      </c>
      <c r="H232">
        <v>0</v>
      </c>
      <c r="I232">
        <v>0</v>
      </c>
      <c r="J232">
        <v>1</v>
      </c>
      <c r="K232">
        <v>0</v>
      </c>
      <c r="L232">
        <v>0</v>
      </c>
      <c r="M232">
        <v>0</v>
      </c>
      <c r="N232">
        <v>1</v>
      </c>
      <c r="O232">
        <v>0</v>
      </c>
      <c r="P232">
        <v>0</v>
      </c>
      <c r="Q232">
        <v>0</v>
      </c>
      <c r="R232">
        <v>0</v>
      </c>
      <c r="S232">
        <v>1</v>
      </c>
      <c r="T232">
        <v>0</v>
      </c>
      <c r="U232">
        <v>0</v>
      </c>
      <c r="V232">
        <v>1</v>
      </c>
      <c r="W232">
        <v>10</v>
      </c>
      <c r="X232">
        <v>0</v>
      </c>
      <c r="Y232">
        <v>1</v>
      </c>
      <c r="Z232">
        <v>0</v>
      </c>
      <c r="AA232">
        <v>0</v>
      </c>
      <c r="AB232">
        <v>0</v>
      </c>
      <c r="AC232">
        <v>0</v>
      </c>
      <c r="AD232">
        <v>0</v>
      </c>
      <c r="AE232">
        <v>0</v>
      </c>
      <c r="AF232">
        <v>0</v>
      </c>
      <c r="AG232">
        <v>10</v>
      </c>
      <c r="AH232">
        <v>10</v>
      </c>
      <c r="AI232">
        <v>0</v>
      </c>
      <c r="AJ232">
        <v>0</v>
      </c>
      <c r="AK232">
        <v>0</v>
      </c>
      <c r="AL232">
        <v>0</v>
      </c>
      <c r="AM232">
        <v>0</v>
      </c>
      <c r="AN232">
        <v>0</v>
      </c>
      <c r="AO232">
        <v>0</v>
      </c>
      <c r="AP232">
        <v>0</v>
      </c>
      <c r="AQ232">
        <v>0</v>
      </c>
      <c r="AR232">
        <v>0</v>
      </c>
      <c r="AS232">
        <v>0</v>
      </c>
      <c r="AT232">
        <v>0</v>
      </c>
      <c r="AU232">
        <v>0</v>
      </c>
      <c r="AV232">
        <v>0</v>
      </c>
      <c r="AW232">
        <v>0</v>
      </c>
      <c r="AX232">
        <v>1</v>
      </c>
      <c r="AY232">
        <v>0</v>
      </c>
      <c r="AZ232">
        <v>1</v>
      </c>
      <c r="BA232">
        <v>0</v>
      </c>
      <c r="BB232">
        <v>0</v>
      </c>
      <c r="BC232">
        <v>0</v>
      </c>
      <c r="BD232">
        <v>0</v>
      </c>
      <c r="BE232">
        <v>0</v>
      </c>
    </row>
    <row r="233" spans="1:57">
      <c r="A233" t="s">
        <v>16974</v>
      </c>
      <c r="B233" t="s">
        <v>18835</v>
      </c>
      <c r="C233">
        <v>24</v>
      </c>
      <c r="D233">
        <v>125</v>
      </c>
      <c r="E233">
        <v>39</v>
      </c>
      <c r="F233">
        <v>125</v>
      </c>
      <c r="G233">
        <v>4</v>
      </c>
      <c r="H233">
        <v>3</v>
      </c>
      <c r="I233">
        <v>1</v>
      </c>
      <c r="J233">
        <v>125</v>
      </c>
      <c r="K233">
        <v>281</v>
      </c>
      <c r="L233">
        <v>121</v>
      </c>
      <c r="M233">
        <v>0</v>
      </c>
      <c r="N233">
        <v>0</v>
      </c>
      <c r="O233">
        <v>4</v>
      </c>
      <c r="P233">
        <v>0</v>
      </c>
      <c r="Q233">
        <v>0</v>
      </c>
      <c r="R233">
        <v>0</v>
      </c>
      <c r="S233">
        <v>3.75</v>
      </c>
      <c r="T233">
        <v>5.5</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281</v>
      </c>
      <c r="AU233">
        <v>19</v>
      </c>
      <c r="AV233">
        <v>228</v>
      </c>
      <c r="AW233">
        <v>34</v>
      </c>
      <c r="AX233">
        <v>3.75</v>
      </c>
      <c r="AY233">
        <v>0</v>
      </c>
      <c r="AZ233">
        <v>0</v>
      </c>
      <c r="BA233">
        <v>3.75</v>
      </c>
      <c r="BB233">
        <v>5.5</v>
      </c>
      <c r="BC233">
        <v>0</v>
      </c>
      <c r="BD233">
        <v>0</v>
      </c>
      <c r="BE233">
        <v>5.5</v>
      </c>
    </row>
    <row r="234" spans="1:57">
      <c r="A234" t="s">
        <v>16974</v>
      </c>
      <c r="B234" t="s">
        <v>17313</v>
      </c>
      <c r="C234">
        <v>0</v>
      </c>
      <c r="D234">
        <v>1</v>
      </c>
      <c r="E234">
        <v>1</v>
      </c>
      <c r="F234">
        <v>0</v>
      </c>
      <c r="G234">
        <v>0</v>
      </c>
      <c r="H234">
        <v>0</v>
      </c>
      <c r="I234">
        <v>0</v>
      </c>
      <c r="J234">
        <v>1</v>
      </c>
      <c r="K234">
        <v>13</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13</v>
      </c>
      <c r="AU234">
        <v>0</v>
      </c>
      <c r="AV234">
        <v>13</v>
      </c>
      <c r="AW234">
        <v>0</v>
      </c>
      <c r="AX234">
        <v>0</v>
      </c>
      <c r="AY234">
        <v>0</v>
      </c>
      <c r="AZ234">
        <v>0</v>
      </c>
      <c r="BA234">
        <v>0</v>
      </c>
      <c r="BB234">
        <v>0</v>
      </c>
      <c r="BC234">
        <v>0</v>
      </c>
      <c r="BD234">
        <v>0</v>
      </c>
      <c r="BE234">
        <v>0</v>
      </c>
    </row>
    <row r="235" spans="1:57">
      <c r="A235" t="s">
        <v>16974</v>
      </c>
      <c r="B235" t="s">
        <v>17108</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7">
      <c r="A236" t="s">
        <v>16974</v>
      </c>
      <c r="B236" t="s">
        <v>17109</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row>
    <row r="237" spans="1:57">
      <c r="A237" t="s">
        <v>16974</v>
      </c>
      <c r="B237" t="s">
        <v>17312</v>
      </c>
    </row>
    <row r="238" spans="1:57">
      <c r="A238" t="s">
        <v>16974</v>
      </c>
      <c r="B238" t="s">
        <v>17110</v>
      </c>
      <c r="C238">
        <v>1</v>
      </c>
      <c r="D238">
        <v>1</v>
      </c>
      <c r="E238">
        <v>0</v>
      </c>
      <c r="F238">
        <v>1</v>
      </c>
      <c r="G238">
        <v>0</v>
      </c>
      <c r="H238">
        <v>1</v>
      </c>
      <c r="I238">
        <v>0</v>
      </c>
      <c r="J238">
        <v>1</v>
      </c>
      <c r="K238">
        <v>1</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1</v>
      </c>
      <c r="AU238">
        <v>1</v>
      </c>
      <c r="AV238">
        <v>0</v>
      </c>
      <c r="AW238">
        <v>1</v>
      </c>
      <c r="AX238">
        <v>0</v>
      </c>
      <c r="AY238">
        <v>0</v>
      </c>
      <c r="AZ238">
        <v>0</v>
      </c>
      <c r="BA238">
        <v>0</v>
      </c>
      <c r="BB238">
        <v>0</v>
      </c>
      <c r="BC238">
        <v>0</v>
      </c>
      <c r="BD238">
        <v>0</v>
      </c>
      <c r="BE238">
        <v>0</v>
      </c>
    </row>
    <row r="239" spans="1:57">
      <c r="A239" t="s">
        <v>16974</v>
      </c>
      <c r="B239" t="s">
        <v>17111</v>
      </c>
      <c r="C239">
        <v>0</v>
      </c>
      <c r="D239">
        <v>1</v>
      </c>
      <c r="E239">
        <v>0</v>
      </c>
      <c r="F239">
        <v>0</v>
      </c>
      <c r="G239">
        <v>0</v>
      </c>
      <c r="H239">
        <v>0</v>
      </c>
      <c r="I239">
        <v>0</v>
      </c>
      <c r="J239">
        <v>1</v>
      </c>
      <c r="K239">
        <v>1</v>
      </c>
      <c r="L239">
        <v>1</v>
      </c>
      <c r="M239">
        <v>0</v>
      </c>
      <c r="N239">
        <v>0</v>
      </c>
      <c r="O239">
        <v>0</v>
      </c>
      <c r="P239">
        <v>0</v>
      </c>
      <c r="Q239">
        <v>0</v>
      </c>
      <c r="R239">
        <v>0</v>
      </c>
      <c r="S239">
        <v>0.25</v>
      </c>
      <c r="T239">
        <v>0</v>
      </c>
      <c r="U239">
        <v>0</v>
      </c>
      <c r="V239">
        <v>0.25</v>
      </c>
      <c r="W239">
        <v>2.5</v>
      </c>
      <c r="X239">
        <v>0</v>
      </c>
      <c r="Y239">
        <v>1</v>
      </c>
      <c r="Z239">
        <v>0</v>
      </c>
      <c r="AA239">
        <v>0</v>
      </c>
      <c r="AB239">
        <v>0</v>
      </c>
      <c r="AC239">
        <v>0.5</v>
      </c>
      <c r="AD239">
        <v>0.5</v>
      </c>
      <c r="AE239">
        <v>0</v>
      </c>
      <c r="AF239">
        <v>0.5</v>
      </c>
      <c r="AG239">
        <v>3</v>
      </c>
      <c r="AH239">
        <v>3</v>
      </c>
      <c r="AI239">
        <v>0</v>
      </c>
      <c r="AJ239">
        <v>0</v>
      </c>
      <c r="AK239">
        <v>0</v>
      </c>
      <c r="AL239">
        <v>0</v>
      </c>
      <c r="AM239">
        <v>0</v>
      </c>
      <c r="AN239">
        <v>0</v>
      </c>
      <c r="AO239">
        <v>0</v>
      </c>
      <c r="AP239">
        <v>0</v>
      </c>
      <c r="AQ239">
        <v>0</v>
      </c>
      <c r="AR239">
        <v>0</v>
      </c>
      <c r="AS239">
        <v>0</v>
      </c>
      <c r="AT239">
        <v>1</v>
      </c>
      <c r="AU239">
        <v>0</v>
      </c>
      <c r="AV239">
        <v>1</v>
      </c>
      <c r="AW239">
        <v>0</v>
      </c>
      <c r="AX239">
        <v>0.25</v>
      </c>
      <c r="AY239">
        <v>0</v>
      </c>
      <c r="AZ239">
        <v>0.25</v>
      </c>
      <c r="BA239">
        <v>0</v>
      </c>
      <c r="BB239">
        <v>0</v>
      </c>
      <c r="BC239">
        <v>0</v>
      </c>
      <c r="BD239">
        <v>0</v>
      </c>
      <c r="BE239">
        <v>0</v>
      </c>
    </row>
    <row r="240" spans="1:57">
      <c r="A240" t="s">
        <v>16974</v>
      </c>
      <c r="B240" t="s">
        <v>17111</v>
      </c>
      <c r="C240">
        <v>0</v>
      </c>
      <c r="D240">
        <v>2</v>
      </c>
      <c r="E240">
        <v>0</v>
      </c>
      <c r="F240">
        <v>2</v>
      </c>
      <c r="G240">
        <v>0</v>
      </c>
      <c r="H240">
        <v>0</v>
      </c>
      <c r="I240">
        <v>0</v>
      </c>
      <c r="J240">
        <v>2</v>
      </c>
      <c r="K240">
        <v>21</v>
      </c>
      <c r="L240">
        <v>2</v>
      </c>
      <c r="M240">
        <v>0</v>
      </c>
      <c r="N240">
        <v>0</v>
      </c>
      <c r="O240">
        <v>0</v>
      </c>
      <c r="P240">
        <v>0</v>
      </c>
      <c r="Q240">
        <v>0</v>
      </c>
      <c r="R240">
        <v>0</v>
      </c>
      <c r="S240">
        <v>4.1500000000000004</v>
      </c>
      <c r="T240">
        <v>0</v>
      </c>
      <c r="U240">
        <v>0</v>
      </c>
      <c r="V240">
        <v>4.1500000000000004</v>
      </c>
      <c r="W240">
        <v>41.5</v>
      </c>
      <c r="X240">
        <v>0</v>
      </c>
      <c r="Y240">
        <v>2</v>
      </c>
      <c r="Z240">
        <v>0</v>
      </c>
      <c r="AA240">
        <v>0</v>
      </c>
      <c r="AB240">
        <v>4</v>
      </c>
      <c r="AC240">
        <v>0</v>
      </c>
      <c r="AD240">
        <v>0</v>
      </c>
      <c r="AE240">
        <v>0</v>
      </c>
      <c r="AF240">
        <v>4</v>
      </c>
      <c r="AG240">
        <v>41.5</v>
      </c>
      <c r="AH240">
        <v>41.5</v>
      </c>
      <c r="AI240">
        <v>0</v>
      </c>
      <c r="AJ240">
        <v>0</v>
      </c>
      <c r="AK240">
        <v>0</v>
      </c>
      <c r="AL240">
        <v>0</v>
      </c>
      <c r="AM240">
        <v>0</v>
      </c>
      <c r="AN240">
        <v>0</v>
      </c>
      <c r="AO240">
        <v>0</v>
      </c>
      <c r="AP240">
        <v>0</v>
      </c>
      <c r="AQ240">
        <v>0</v>
      </c>
      <c r="AR240">
        <v>0</v>
      </c>
      <c r="AS240">
        <v>0</v>
      </c>
      <c r="AT240">
        <v>21</v>
      </c>
      <c r="AU240">
        <v>0</v>
      </c>
      <c r="AV240">
        <v>21</v>
      </c>
      <c r="AW240">
        <v>0</v>
      </c>
      <c r="AX240">
        <v>4.1500000000000004</v>
      </c>
      <c r="AY240">
        <v>0</v>
      </c>
      <c r="AZ240">
        <v>4.1500000000000004</v>
      </c>
      <c r="BA240">
        <v>0</v>
      </c>
      <c r="BB240">
        <v>0</v>
      </c>
      <c r="BC240">
        <v>0</v>
      </c>
      <c r="BD240">
        <v>0</v>
      </c>
      <c r="BE240">
        <v>0</v>
      </c>
    </row>
    <row r="241" spans="1:57">
      <c r="A241" t="s">
        <v>16974</v>
      </c>
      <c r="B241" t="s">
        <v>17386</v>
      </c>
      <c r="C241">
        <v>0</v>
      </c>
      <c r="D241">
        <v>1</v>
      </c>
      <c r="E241">
        <v>1</v>
      </c>
      <c r="F241">
        <v>1</v>
      </c>
      <c r="G241">
        <v>1</v>
      </c>
      <c r="H241">
        <v>1</v>
      </c>
      <c r="I241">
        <v>1</v>
      </c>
      <c r="J241">
        <v>1</v>
      </c>
      <c r="K241">
        <v>23</v>
      </c>
      <c r="L241">
        <v>0</v>
      </c>
      <c r="M241">
        <v>0</v>
      </c>
      <c r="N241">
        <v>1</v>
      </c>
      <c r="O241">
        <v>0</v>
      </c>
      <c r="P241">
        <v>0</v>
      </c>
      <c r="Q241">
        <v>0</v>
      </c>
      <c r="R241">
        <v>0</v>
      </c>
      <c r="S241">
        <v>2</v>
      </c>
      <c r="T241">
        <v>0</v>
      </c>
      <c r="U241">
        <v>0</v>
      </c>
      <c r="V241">
        <v>2</v>
      </c>
      <c r="W241">
        <v>20</v>
      </c>
      <c r="X241">
        <v>0</v>
      </c>
      <c r="Y241">
        <v>0</v>
      </c>
      <c r="Z241">
        <v>0</v>
      </c>
      <c r="AA241">
        <v>0</v>
      </c>
      <c r="AB241">
        <v>20</v>
      </c>
      <c r="AC241">
        <v>0</v>
      </c>
      <c r="AD241">
        <v>0</v>
      </c>
      <c r="AE241">
        <v>20</v>
      </c>
      <c r="AF241">
        <v>0</v>
      </c>
      <c r="AG241">
        <v>20</v>
      </c>
      <c r="AH241">
        <v>0</v>
      </c>
      <c r="AI241">
        <v>0</v>
      </c>
      <c r="AJ241">
        <v>0</v>
      </c>
      <c r="AK241">
        <v>20</v>
      </c>
      <c r="AL241">
        <v>0</v>
      </c>
      <c r="AM241">
        <v>1</v>
      </c>
      <c r="AN241">
        <v>1</v>
      </c>
      <c r="AO241">
        <v>1</v>
      </c>
      <c r="AP241">
        <v>1</v>
      </c>
      <c r="AQ241">
        <v>1</v>
      </c>
      <c r="AR241">
        <v>1</v>
      </c>
      <c r="AS241">
        <v>1</v>
      </c>
      <c r="AT241">
        <v>23</v>
      </c>
      <c r="AU241">
        <v>0</v>
      </c>
      <c r="AV241">
        <v>0</v>
      </c>
      <c r="AW241">
        <v>0</v>
      </c>
      <c r="AX241">
        <v>2</v>
      </c>
      <c r="AY241">
        <v>0</v>
      </c>
      <c r="AZ241">
        <v>0</v>
      </c>
      <c r="BA241">
        <v>0</v>
      </c>
      <c r="BB241">
        <v>0</v>
      </c>
      <c r="BC241">
        <v>0</v>
      </c>
      <c r="BD241">
        <v>0</v>
      </c>
      <c r="BE241">
        <v>0</v>
      </c>
    </row>
    <row r="242" spans="1:57">
      <c r="A242" t="s">
        <v>16974</v>
      </c>
      <c r="B242" t="s">
        <v>17309</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row>
    <row r="243" spans="1:57">
      <c r="A243" t="s">
        <v>16974</v>
      </c>
      <c r="B243" t="s">
        <v>17117</v>
      </c>
      <c r="C243">
        <v>0</v>
      </c>
      <c r="D243">
        <v>11</v>
      </c>
      <c r="E243">
        <v>10</v>
      </c>
      <c r="F243">
        <v>9</v>
      </c>
      <c r="G243">
        <v>3</v>
      </c>
      <c r="H243">
        <v>3</v>
      </c>
      <c r="I243">
        <v>0</v>
      </c>
      <c r="J243">
        <v>10</v>
      </c>
      <c r="K243">
        <v>111</v>
      </c>
      <c r="L243">
        <v>3</v>
      </c>
      <c r="M243">
        <v>4</v>
      </c>
      <c r="N243">
        <v>2</v>
      </c>
      <c r="O243">
        <v>1</v>
      </c>
      <c r="P243">
        <v>0</v>
      </c>
      <c r="Q243">
        <v>1</v>
      </c>
      <c r="R243">
        <v>0</v>
      </c>
      <c r="S243">
        <v>19.5</v>
      </c>
      <c r="T243">
        <v>112</v>
      </c>
      <c r="U243">
        <v>0</v>
      </c>
      <c r="V243">
        <v>131.5</v>
      </c>
      <c r="W243">
        <v>2435</v>
      </c>
      <c r="X243">
        <v>0</v>
      </c>
      <c r="Y243">
        <v>3</v>
      </c>
      <c r="Z243">
        <v>0</v>
      </c>
      <c r="AA243">
        <v>0</v>
      </c>
      <c r="AB243">
        <v>2345</v>
      </c>
      <c r="AC243">
        <v>0</v>
      </c>
      <c r="AD243">
        <v>0</v>
      </c>
      <c r="AE243">
        <v>0</v>
      </c>
      <c r="AF243">
        <v>2345</v>
      </c>
      <c r="AG243">
        <v>2435</v>
      </c>
      <c r="AH243">
        <v>2435</v>
      </c>
      <c r="AI243">
        <v>0</v>
      </c>
      <c r="AJ243">
        <v>2150</v>
      </c>
      <c r="AK243">
        <v>2180</v>
      </c>
      <c r="AL243">
        <v>2180</v>
      </c>
      <c r="AM243">
        <v>0</v>
      </c>
      <c r="AN243">
        <v>0</v>
      </c>
      <c r="AO243">
        <v>0</v>
      </c>
      <c r="AP243">
        <v>0</v>
      </c>
      <c r="AQ243">
        <v>0</v>
      </c>
      <c r="AR243">
        <v>0</v>
      </c>
      <c r="AS243">
        <v>0</v>
      </c>
      <c r="AT243">
        <v>111</v>
      </c>
      <c r="AU243">
        <v>27</v>
      </c>
      <c r="AV243">
        <v>84</v>
      </c>
      <c r="AW243">
        <v>0</v>
      </c>
      <c r="AX243">
        <v>19.5</v>
      </c>
      <c r="AY243">
        <v>10</v>
      </c>
      <c r="AZ243">
        <v>9.5</v>
      </c>
      <c r="BA243">
        <v>0</v>
      </c>
      <c r="BB243">
        <v>112</v>
      </c>
      <c r="BC243">
        <v>104</v>
      </c>
      <c r="BD243">
        <v>8</v>
      </c>
      <c r="BE243">
        <v>0</v>
      </c>
    </row>
    <row r="244" spans="1:57">
      <c r="A244" t="s">
        <v>16974</v>
      </c>
      <c r="B244" t="s">
        <v>17119</v>
      </c>
      <c r="C244">
        <v>0</v>
      </c>
      <c r="D244">
        <v>4</v>
      </c>
      <c r="E244">
        <v>0</v>
      </c>
      <c r="F244">
        <v>4</v>
      </c>
      <c r="G244">
        <v>0</v>
      </c>
      <c r="H244">
        <v>0</v>
      </c>
      <c r="I244">
        <v>0</v>
      </c>
      <c r="J244">
        <v>4</v>
      </c>
      <c r="K244">
        <v>21</v>
      </c>
      <c r="L244">
        <v>0</v>
      </c>
      <c r="M244">
        <v>0</v>
      </c>
      <c r="N244">
        <v>0</v>
      </c>
      <c r="O244">
        <v>0</v>
      </c>
      <c r="P244">
        <v>0</v>
      </c>
      <c r="Q244">
        <v>0</v>
      </c>
      <c r="R244">
        <v>0</v>
      </c>
      <c r="S244">
        <v>49</v>
      </c>
      <c r="T244">
        <v>0</v>
      </c>
      <c r="U244">
        <v>0</v>
      </c>
      <c r="V244">
        <v>49</v>
      </c>
      <c r="W244">
        <v>490</v>
      </c>
      <c r="X244">
        <v>0</v>
      </c>
      <c r="Y244">
        <v>4</v>
      </c>
      <c r="Z244">
        <v>0</v>
      </c>
      <c r="AA244">
        <v>0</v>
      </c>
      <c r="AB244">
        <v>380</v>
      </c>
      <c r="AC244">
        <v>0</v>
      </c>
      <c r="AD244">
        <v>0</v>
      </c>
      <c r="AE244">
        <v>0</v>
      </c>
      <c r="AF244">
        <v>380</v>
      </c>
      <c r="AG244">
        <v>490</v>
      </c>
      <c r="AH244">
        <v>490</v>
      </c>
      <c r="AI244">
        <v>0</v>
      </c>
      <c r="AJ244">
        <v>0</v>
      </c>
      <c r="AK244">
        <v>0</v>
      </c>
      <c r="AL244">
        <v>0</v>
      </c>
      <c r="AM244">
        <v>0</v>
      </c>
      <c r="AN244">
        <v>0</v>
      </c>
      <c r="AO244">
        <v>0</v>
      </c>
      <c r="AP244">
        <v>0</v>
      </c>
      <c r="AQ244">
        <v>0</v>
      </c>
      <c r="AR244">
        <v>0</v>
      </c>
      <c r="AS244">
        <v>0</v>
      </c>
      <c r="AT244">
        <v>21</v>
      </c>
      <c r="AU244">
        <v>0</v>
      </c>
      <c r="AV244">
        <v>21</v>
      </c>
      <c r="AW244">
        <v>0</v>
      </c>
      <c r="AX244">
        <v>49</v>
      </c>
      <c r="AY244">
        <v>0</v>
      </c>
      <c r="AZ244">
        <v>49</v>
      </c>
      <c r="BA244">
        <v>0</v>
      </c>
      <c r="BB244">
        <v>0</v>
      </c>
      <c r="BC244">
        <v>0</v>
      </c>
      <c r="BD244">
        <v>0</v>
      </c>
      <c r="BE244">
        <v>0</v>
      </c>
    </row>
    <row r="245" spans="1:57">
      <c r="A245" t="s">
        <v>16974</v>
      </c>
      <c r="B245" t="s">
        <v>17096</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row>
    <row r="246" spans="1:57">
      <c r="A246" t="s">
        <v>16974</v>
      </c>
      <c r="B246" t="s">
        <v>17336</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row>
    <row r="247" spans="1:57">
      <c r="A247" t="s">
        <v>16974</v>
      </c>
      <c r="B247" t="s">
        <v>22095</v>
      </c>
      <c r="C247">
        <v>0</v>
      </c>
      <c r="D247">
        <v>13</v>
      </c>
      <c r="E247">
        <v>13</v>
      </c>
      <c r="F247">
        <v>13</v>
      </c>
      <c r="G247">
        <v>0</v>
      </c>
      <c r="H247">
        <v>1</v>
      </c>
      <c r="I247">
        <v>0</v>
      </c>
      <c r="J247">
        <v>13</v>
      </c>
      <c r="K247">
        <v>152</v>
      </c>
      <c r="L247">
        <v>11</v>
      </c>
      <c r="M247">
        <v>1</v>
      </c>
      <c r="N247">
        <v>0</v>
      </c>
      <c r="O247">
        <v>0</v>
      </c>
      <c r="P247">
        <v>0</v>
      </c>
      <c r="Q247">
        <v>2</v>
      </c>
      <c r="R247">
        <v>0</v>
      </c>
      <c r="S247">
        <v>2</v>
      </c>
      <c r="T247">
        <v>2</v>
      </c>
      <c r="U247">
        <v>0</v>
      </c>
      <c r="V247">
        <v>4</v>
      </c>
      <c r="W247">
        <v>60</v>
      </c>
      <c r="X247">
        <v>0</v>
      </c>
      <c r="Y247">
        <v>1</v>
      </c>
      <c r="Z247">
        <v>0</v>
      </c>
      <c r="AA247">
        <v>0</v>
      </c>
      <c r="AB247">
        <v>30</v>
      </c>
      <c r="AC247">
        <v>0</v>
      </c>
      <c r="AD247">
        <v>0</v>
      </c>
      <c r="AE247">
        <v>0</v>
      </c>
      <c r="AF247">
        <v>30</v>
      </c>
      <c r="AG247">
        <v>60</v>
      </c>
      <c r="AH247">
        <v>60</v>
      </c>
      <c r="AI247">
        <v>0</v>
      </c>
      <c r="AJ247">
        <v>30</v>
      </c>
      <c r="AK247">
        <v>60</v>
      </c>
      <c r="AL247">
        <v>60</v>
      </c>
      <c r="AM247">
        <v>0</v>
      </c>
      <c r="AN247">
        <v>0</v>
      </c>
      <c r="AO247">
        <v>0</v>
      </c>
      <c r="AP247">
        <v>0</v>
      </c>
      <c r="AQ247">
        <v>0</v>
      </c>
      <c r="AR247">
        <v>0</v>
      </c>
      <c r="AS247">
        <v>0</v>
      </c>
      <c r="AT247">
        <v>152</v>
      </c>
      <c r="AU247">
        <v>20</v>
      </c>
      <c r="AV247">
        <v>132</v>
      </c>
      <c r="AW247">
        <v>0</v>
      </c>
      <c r="AX247">
        <v>2</v>
      </c>
      <c r="AY247">
        <v>2</v>
      </c>
      <c r="AZ247">
        <v>0</v>
      </c>
      <c r="BA247">
        <v>0</v>
      </c>
      <c r="BB247">
        <v>2</v>
      </c>
      <c r="BC247">
        <v>2</v>
      </c>
      <c r="BD247">
        <v>0</v>
      </c>
      <c r="BE247">
        <v>0</v>
      </c>
    </row>
    <row r="248" spans="1:57">
      <c r="A248" t="s">
        <v>16974</v>
      </c>
      <c r="B248" t="s">
        <v>17308</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row>
    <row r="249" spans="1:57">
      <c r="A249" t="s">
        <v>16974</v>
      </c>
      <c r="B249" t="s">
        <v>17121</v>
      </c>
      <c r="C249">
        <v>0</v>
      </c>
      <c r="D249">
        <v>3</v>
      </c>
      <c r="E249">
        <v>0</v>
      </c>
      <c r="F249">
        <v>3</v>
      </c>
      <c r="G249">
        <v>0</v>
      </c>
      <c r="H249">
        <v>0</v>
      </c>
      <c r="I249">
        <v>0</v>
      </c>
      <c r="J249">
        <v>3</v>
      </c>
      <c r="K249">
        <v>15</v>
      </c>
      <c r="L249">
        <v>2</v>
      </c>
      <c r="M249">
        <v>0</v>
      </c>
      <c r="N249">
        <v>0</v>
      </c>
      <c r="O249">
        <v>1</v>
      </c>
      <c r="P249">
        <v>0</v>
      </c>
      <c r="Q249">
        <v>0</v>
      </c>
      <c r="R249">
        <v>0</v>
      </c>
      <c r="S249">
        <v>0</v>
      </c>
      <c r="T249">
        <v>0</v>
      </c>
      <c r="U249">
        <v>0</v>
      </c>
      <c r="V249">
        <v>0</v>
      </c>
      <c r="W249">
        <v>0</v>
      </c>
      <c r="X249">
        <v>0</v>
      </c>
      <c r="Y249">
        <v>0</v>
      </c>
      <c r="Z249">
        <v>0</v>
      </c>
      <c r="AA249">
        <v>0</v>
      </c>
      <c r="AB249">
        <v>0</v>
      </c>
      <c r="AC249">
        <v>4.4000000000000004</v>
      </c>
      <c r="AD249">
        <v>4.4000000000000004</v>
      </c>
      <c r="AE249">
        <v>4.4000000000000004</v>
      </c>
      <c r="AF249">
        <v>4.4000000000000004</v>
      </c>
      <c r="AG249">
        <v>4.4000000000000004</v>
      </c>
      <c r="AH249">
        <v>0</v>
      </c>
      <c r="AI249">
        <v>0</v>
      </c>
      <c r="AJ249">
        <v>0</v>
      </c>
      <c r="AK249">
        <v>0</v>
      </c>
      <c r="AL249">
        <v>0</v>
      </c>
      <c r="AM249">
        <v>1</v>
      </c>
      <c r="AN249">
        <v>0</v>
      </c>
      <c r="AO249">
        <v>0</v>
      </c>
      <c r="AP249">
        <v>0</v>
      </c>
      <c r="AQ249">
        <v>0</v>
      </c>
      <c r="AR249">
        <v>0</v>
      </c>
      <c r="AS249">
        <v>0</v>
      </c>
      <c r="AT249">
        <v>15</v>
      </c>
      <c r="AU249">
        <v>0</v>
      </c>
      <c r="AV249">
        <v>15</v>
      </c>
      <c r="AW249">
        <v>0</v>
      </c>
      <c r="AX249">
        <v>0</v>
      </c>
      <c r="AY249">
        <v>0</v>
      </c>
      <c r="AZ249">
        <v>0</v>
      </c>
      <c r="BA249">
        <v>0</v>
      </c>
      <c r="BB249">
        <v>0</v>
      </c>
      <c r="BC249">
        <v>0</v>
      </c>
      <c r="BD249">
        <v>0</v>
      </c>
      <c r="BE249">
        <v>0</v>
      </c>
    </row>
    <row r="250" spans="1:57">
      <c r="A250" t="s">
        <v>16974</v>
      </c>
      <c r="B250" t="s">
        <v>17122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row>
    <row r="251" spans="1:57">
      <c r="A251" t="s">
        <v>16974</v>
      </c>
      <c r="B251" t="s">
        <v>19986</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row>
    <row r="252" spans="1:57">
      <c r="A252" t="s">
        <v>16974</v>
      </c>
      <c r="B252" t="s">
        <v>17125</v>
      </c>
      <c r="C252">
        <v>0</v>
      </c>
      <c r="D252">
        <v>12</v>
      </c>
      <c r="E252">
        <v>0</v>
      </c>
      <c r="F252">
        <v>7</v>
      </c>
      <c r="G252">
        <v>0</v>
      </c>
      <c r="H252">
        <v>0</v>
      </c>
      <c r="I252">
        <v>0</v>
      </c>
      <c r="J252">
        <v>12</v>
      </c>
      <c r="K252">
        <v>157</v>
      </c>
      <c r="L252">
        <v>12</v>
      </c>
      <c r="M252">
        <v>0</v>
      </c>
      <c r="N252">
        <v>0</v>
      </c>
      <c r="O252">
        <v>0</v>
      </c>
      <c r="P252">
        <v>0</v>
      </c>
      <c r="Q252">
        <v>0</v>
      </c>
      <c r="R252">
        <v>0</v>
      </c>
      <c r="S252">
        <v>13</v>
      </c>
      <c r="T252">
        <v>0</v>
      </c>
      <c r="U252">
        <v>0</v>
      </c>
      <c r="V252">
        <v>13</v>
      </c>
      <c r="W252">
        <v>130</v>
      </c>
      <c r="X252">
        <v>0</v>
      </c>
      <c r="Y252">
        <v>12</v>
      </c>
      <c r="Z252">
        <v>0</v>
      </c>
      <c r="AA252">
        <v>0</v>
      </c>
      <c r="AB252">
        <v>0</v>
      </c>
      <c r="AC252">
        <v>0</v>
      </c>
      <c r="AD252">
        <v>0</v>
      </c>
      <c r="AE252">
        <v>0</v>
      </c>
      <c r="AF252">
        <v>0</v>
      </c>
      <c r="AG252">
        <v>130</v>
      </c>
      <c r="AH252">
        <v>130</v>
      </c>
      <c r="AI252">
        <v>0</v>
      </c>
      <c r="AJ252">
        <v>0</v>
      </c>
      <c r="AK252">
        <v>0</v>
      </c>
      <c r="AL252">
        <v>0</v>
      </c>
      <c r="AM252">
        <v>0</v>
      </c>
      <c r="AN252">
        <v>0</v>
      </c>
      <c r="AO252">
        <v>0</v>
      </c>
      <c r="AP252">
        <v>0</v>
      </c>
      <c r="AQ252">
        <v>0</v>
      </c>
      <c r="AR252">
        <v>0</v>
      </c>
      <c r="AS252">
        <v>0</v>
      </c>
      <c r="AT252">
        <v>157</v>
      </c>
      <c r="AU252">
        <v>0</v>
      </c>
      <c r="AV252">
        <v>157</v>
      </c>
      <c r="AW252">
        <v>0</v>
      </c>
      <c r="AX252">
        <v>13</v>
      </c>
      <c r="AY252">
        <v>0</v>
      </c>
      <c r="AZ252">
        <v>13</v>
      </c>
      <c r="BA252">
        <v>0</v>
      </c>
      <c r="BB252">
        <v>0</v>
      </c>
      <c r="BC252">
        <v>0</v>
      </c>
      <c r="BD252">
        <v>0</v>
      </c>
      <c r="BE252">
        <v>0</v>
      </c>
    </row>
    <row r="253" spans="1:57">
      <c r="A253" t="s">
        <v>16974</v>
      </c>
      <c r="B253" t="s">
        <v>17126</v>
      </c>
      <c r="C253">
        <v>0</v>
      </c>
      <c r="D253">
        <v>5</v>
      </c>
      <c r="E253">
        <v>5</v>
      </c>
      <c r="F253">
        <v>5</v>
      </c>
      <c r="G253">
        <v>1</v>
      </c>
      <c r="H253">
        <v>0</v>
      </c>
      <c r="I253">
        <v>1</v>
      </c>
      <c r="J253">
        <v>5</v>
      </c>
      <c r="K253">
        <v>10</v>
      </c>
      <c r="L253">
        <v>5</v>
      </c>
      <c r="M253">
        <v>0</v>
      </c>
      <c r="N253">
        <v>0</v>
      </c>
      <c r="O253">
        <v>0</v>
      </c>
      <c r="P253">
        <v>0</v>
      </c>
      <c r="Q253">
        <v>0</v>
      </c>
      <c r="R253">
        <v>0</v>
      </c>
      <c r="S253">
        <v>1.5</v>
      </c>
      <c r="T253">
        <v>0</v>
      </c>
      <c r="U253">
        <v>0</v>
      </c>
      <c r="V253">
        <v>1.5</v>
      </c>
      <c r="W253">
        <v>15</v>
      </c>
      <c r="X253">
        <v>0</v>
      </c>
      <c r="Y253">
        <v>0</v>
      </c>
      <c r="Z253">
        <v>5</v>
      </c>
      <c r="AA253">
        <v>0</v>
      </c>
      <c r="AB253">
        <v>0</v>
      </c>
      <c r="AC253">
        <v>0</v>
      </c>
      <c r="AD253">
        <v>0</v>
      </c>
      <c r="AE253">
        <v>0</v>
      </c>
      <c r="AF253">
        <v>0</v>
      </c>
      <c r="AG253">
        <v>15</v>
      </c>
      <c r="AH253">
        <v>15</v>
      </c>
      <c r="AI253">
        <v>0</v>
      </c>
      <c r="AJ253">
        <v>0</v>
      </c>
      <c r="AK253">
        <v>0</v>
      </c>
      <c r="AL253">
        <v>0</v>
      </c>
      <c r="AM253">
        <v>0</v>
      </c>
      <c r="AN253">
        <v>0</v>
      </c>
      <c r="AO253">
        <v>0</v>
      </c>
      <c r="AP253">
        <v>0</v>
      </c>
      <c r="AQ253">
        <v>0</v>
      </c>
      <c r="AR253">
        <v>0</v>
      </c>
      <c r="AS253">
        <v>0</v>
      </c>
      <c r="AT253">
        <v>10</v>
      </c>
      <c r="AU253">
        <v>0</v>
      </c>
      <c r="AV253">
        <v>10</v>
      </c>
      <c r="AW253">
        <v>0</v>
      </c>
      <c r="AX253">
        <v>1.5</v>
      </c>
      <c r="AY253">
        <v>0</v>
      </c>
      <c r="AZ253">
        <v>1.5</v>
      </c>
      <c r="BA253">
        <v>0</v>
      </c>
      <c r="BB253">
        <v>0</v>
      </c>
      <c r="BC253">
        <v>0</v>
      </c>
      <c r="BD253">
        <v>0</v>
      </c>
      <c r="BE253">
        <v>0</v>
      </c>
    </row>
    <row r="254" spans="1:57">
      <c r="A254" t="s">
        <v>16974</v>
      </c>
      <c r="B254" t="s">
        <v>18837</v>
      </c>
      <c r="C254">
        <v>0</v>
      </c>
      <c r="D254">
        <v>2</v>
      </c>
      <c r="E254">
        <v>2</v>
      </c>
      <c r="F254">
        <v>2</v>
      </c>
      <c r="G254">
        <v>0</v>
      </c>
      <c r="H254">
        <v>0</v>
      </c>
      <c r="I254">
        <v>0</v>
      </c>
      <c r="J254">
        <v>2</v>
      </c>
      <c r="K254">
        <v>2</v>
      </c>
      <c r="L254">
        <v>0</v>
      </c>
      <c r="M254">
        <v>0</v>
      </c>
      <c r="N254">
        <v>0</v>
      </c>
      <c r="O254">
        <v>2</v>
      </c>
      <c r="P254">
        <v>0</v>
      </c>
      <c r="Q254">
        <v>0</v>
      </c>
      <c r="R254">
        <v>0</v>
      </c>
      <c r="S254">
        <v>1</v>
      </c>
      <c r="T254">
        <v>0</v>
      </c>
      <c r="U254">
        <v>0</v>
      </c>
      <c r="V254">
        <v>1</v>
      </c>
      <c r="W254">
        <v>10</v>
      </c>
      <c r="X254">
        <v>0</v>
      </c>
      <c r="Y254">
        <v>2</v>
      </c>
      <c r="Z254">
        <v>0</v>
      </c>
      <c r="AA254">
        <v>0</v>
      </c>
      <c r="AB254">
        <v>0</v>
      </c>
      <c r="AC254">
        <v>0</v>
      </c>
      <c r="AD254">
        <v>0</v>
      </c>
      <c r="AE254">
        <v>0</v>
      </c>
      <c r="AF254">
        <v>0</v>
      </c>
      <c r="AG254">
        <v>10</v>
      </c>
      <c r="AH254">
        <v>10</v>
      </c>
      <c r="AI254">
        <v>0</v>
      </c>
      <c r="AJ254">
        <v>0</v>
      </c>
      <c r="AK254">
        <v>0</v>
      </c>
      <c r="AL254">
        <v>0</v>
      </c>
      <c r="AM254">
        <v>0</v>
      </c>
      <c r="AN254">
        <v>0</v>
      </c>
      <c r="AO254">
        <v>0</v>
      </c>
      <c r="AP254">
        <v>0</v>
      </c>
      <c r="AQ254">
        <v>0</v>
      </c>
      <c r="AR254">
        <v>0</v>
      </c>
      <c r="AS254">
        <v>0</v>
      </c>
      <c r="AT254">
        <v>2</v>
      </c>
      <c r="AU254">
        <v>0</v>
      </c>
      <c r="AV254">
        <v>2</v>
      </c>
      <c r="AW254">
        <v>0</v>
      </c>
      <c r="AX254">
        <v>1</v>
      </c>
      <c r="AY254">
        <v>0</v>
      </c>
      <c r="AZ254">
        <v>1</v>
      </c>
      <c r="BA254">
        <v>0</v>
      </c>
      <c r="BB254">
        <v>0</v>
      </c>
      <c r="BC254">
        <v>0</v>
      </c>
      <c r="BD254">
        <v>0</v>
      </c>
      <c r="BE254">
        <v>0</v>
      </c>
    </row>
    <row r="255" spans="1:57">
      <c r="A255" t="s">
        <v>16974</v>
      </c>
      <c r="B255" t="s">
        <v>17127</v>
      </c>
      <c r="C255">
        <v>0</v>
      </c>
      <c r="D255">
        <v>16</v>
      </c>
      <c r="E255">
        <v>0</v>
      </c>
      <c r="F255">
        <v>0</v>
      </c>
      <c r="G255">
        <v>0</v>
      </c>
      <c r="H255">
        <v>0</v>
      </c>
      <c r="I255">
        <v>0</v>
      </c>
      <c r="J255">
        <v>16</v>
      </c>
      <c r="K255">
        <v>126</v>
      </c>
      <c r="L255">
        <v>16</v>
      </c>
      <c r="M255">
        <v>0</v>
      </c>
      <c r="N255">
        <v>0</v>
      </c>
      <c r="O255">
        <v>0</v>
      </c>
      <c r="P255">
        <v>0</v>
      </c>
      <c r="Q255">
        <v>0</v>
      </c>
      <c r="R255">
        <v>0</v>
      </c>
      <c r="S255">
        <v>1.75</v>
      </c>
      <c r="T255">
        <v>1.25</v>
      </c>
      <c r="U255">
        <v>0</v>
      </c>
      <c r="V255">
        <v>3</v>
      </c>
      <c r="W255">
        <v>42.5</v>
      </c>
      <c r="X255">
        <v>0</v>
      </c>
      <c r="Y255">
        <v>6</v>
      </c>
      <c r="Z255">
        <v>0</v>
      </c>
      <c r="AA255">
        <v>0</v>
      </c>
      <c r="AB255">
        <v>0</v>
      </c>
      <c r="AC255">
        <v>1.1000000000000001</v>
      </c>
      <c r="AD255">
        <v>1.1000000000000001</v>
      </c>
      <c r="AE255">
        <v>1.1000000000000001</v>
      </c>
      <c r="AF255">
        <v>1.1000000000000001</v>
      </c>
      <c r="AG255">
        <v>43.6</v>
      </c>
      <c r="AH255">
        <v>42.5</v>
      </c>
      <c r="AI255">
        <v>0</v>
      </c>
      <c r="AJ255">
        <v>0</v>
      </c>
      <c r="AK255">
        <v>0</v>
      </c>
      <c r="AL255">
        <v>0</v>
      </c>
      <c r="AM255">
        <v>1</v>
      </c>
      <c r="AN255">
        <v>0</v>
      </c>
      <c r="AO255">
        <v>0</v>
      </c>
      <c r="AP255">
        <v>0</v>
      </c>
      <c r="AQ255">
        <v>0</v>
      </c>
      <c r="AR255">
        <v>0</v>
      </c>
      <c r="AS255">
        <v>0</v>
      </c>
      <c r="AT255">
        <v>126</v>
      </c>
      <c r="AU255">
        <v>0</v>
      </c>
      <c r="AV255">
        <v>126</v>
      </c>
      <c r="AW255">
        <v>0</v>
      </c>
      <c r="AX255">
        <v>1.75</v>
      </c>
      <c r="AY255">
        <v>0</v>
      </c>
      <c r="AZ255">
        <v>1.75</v>
      </c>
      <c r="BA255">
        <v>0</v>
      </c>
      <c r="BB255">
        <v>1.25</v>
      </c>
      <c r="BC255">
        <v>0</v>
      </c>
      <c r="BD255">
        <v>1.25</v>
      </c>
      <c r="BE255">
        <v>0</v>
      </c>
    </row>
    <row r="256" spans="1:57">
      <c r="A256" t="s">
        <v>16974</v>
      </c>
      <c r="B256" t="s">
        <v>17128</v>
      </c>
      <c r="C256">
        <v>0</v>
      </c>
      <c r="D256">
        <v>31</v>
      </c>
      <c r="E256">
        <v>31</v>
      </c>
      <c r="F256">
        <v>31</v>
      </c>
      <c r="G256">
        <v>0</v>
      </c>
      <c r="H256">
        <v>0</v>
      </c>
      <c r="I256">
        <v>0</v>
      </c>
      <c r="J256">
        <v>30</v>
      </c>
      <c r="K256">
        <v>236</v>
      </c>
      <c r="L256">
        <v>30</v>
      </c>
      <c r="M256">
        <v>0</v>
      </c>
      <c r="N256">
        <v>0</v>
      </c>
      <c r="O256">
        <v>0</v>
      </c>
      <c r="P256">
        <v>0</v>
      </c>
      <c r="Q256">
        <v>0</v>
      </c>
      <c r="R256">
        <v>0</v>
      </c>
      <c r="S256">
        <v>9.5</v>
      </c>
      <c r="T256">
        <v>0</v>
      </c>
      <c r="U256">
        <v>0</v>
      </c>
      <c r="V256">
        <v>9.5</v>
      </c>
      <c r="W256">
        <v>95</v>
      </c>
      <c r="X256">
        <v>0</v>
      </c>
      <c r="Y256">
        <v>30</v>
      </c>
      <c r="Z256">
        <v>0</v>
      </c>
      <c r="AA256">
        <v>0</v>
      </c>
      <c r="AB256">
        <v>0</v>
      </c>
      <c r="AC256">
        <v>0</v>
      </c>
      <c r="AD256">
        <v>0</v>
      </c>
      <c r="AE256">
        <v>0</v>
      </c>
      <c r="AF256">
        <v>0</v>
      </c>
      <c r="AG256">
        <v>95</v>
      </c>
      <c r="AH256">
        <v>95</v>
      </c>
      <c r="AI256">
        <v>0</v>
      </c>
      <c r="AJ256">
        <v>0</v>
      </c>
      <c r="AK256">
        <v>0</v>
      </c>
      <c r="AL256">
        <v>0</v>
      </c>
      <c r="AM256">
        <v>0</v>
      </c>
      <c r="AN256">
        <v>0</v>
      </c>
      <c r="AO256">
        <v>0</v>
      </c>
      <c r="AP256">
        <v>0</v>
      </c>
      <c r="AQ256">
        <v>0</v>
      </c>
      <c r="AR256">
        <v>0</v>
      </c>
      <c r="AS256">
        <v>0</v>
      </c>
      <c r="AT256">
        <v>236</v>
      </c>
      <c r="AU256">
        <v>0</v>
      </c>
      <c r="AV256">
        <v>234</v>
      </c>
      <c r="AW256">
        <v>0</v>
      </c>
      <c r="AX256">
        <v>9.5</v>
      </c>
      <c r="AY256">
        <v>0</v>
      </c>
      <c r="AZ256">
        <v>9.25</v>
      </c>
      <c r="BA256">
        <v>0</v>
      </c>
      <c r="BB256">
        <v>0</v>
      </c>
      <c r="BC256">
        <v>0</v>
      </c>
      <c r="BD256">
        <v>0</v>
      </c>
      <c r="BE256">
        <v>0</v>
      </c>
    </row>
    <row r="257" spans="1:57">
      <c r="A257" t="s">
        <v>16974</v>
      </c>
      <c r="B257" t="s">
        <v>21079</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row>
    <row r="258" spans="1:57">
      <c r="A258" t="s">
        <v>16974</v>
      </c>
      <c r="B258" t="s">
        <v>17201</v>
      </c>
      <c r="C258">
        <v>0</v>
      </c>
      <c r="D258">
        <v>138</v>
      </c>
      <c r="E258">
        <v>108</v>
      </c>
      <c r="F258">
        <v>81</v>
      </c>
      <c r="G258">
        <v>0</v>
      </c>
      <c r="H258">
        <v>0</v>
      </c>
      <c r="I258">
        <v>0</v>
      </c>
      <c r="J258">
        <v>134</v>
      </c>
      <c r="K258">
        <v>1384</v>
      </c>
      <c r="L258">
        <v>52</v>
      </c>
      <c r="M258">
        <v>0</v>
      </c>
      <c r="N258">
        <v>2</v>
      </c>
      <c r="O258">
        <v>80</v>
      </c>
      <c r="P258">
        <v>0</v>
      </c>
      <c r="Q258">
        <v>0</v>
      </c>
      <c r="R258">
        <v>0</v>
      </c>
      <c r="S258">
        <v>35</v>
      </c>
      <c r="T258">
        <v>15</v>
      </c>
      <c r="U258">
        <v>0</v>
      </c>
      <c r="V258">
        <v>50</v>
      </c>
      <c r="W258">
        <v>650</v>
      </c>
      <c r="X258">
        <v>0</v>
      </c>
      <c r="Y258">
        <v>134</v>
      </c>
      <c r="Z258">
        <v>0</v>
      </c>
      <c r="AA258">
        <v>0</v>
      </c>
      <c r="AB258">
        <v>0</v>
      </c>
      <c r="AC258">
        <v>0</v>
      </c>
      <c r="AD258">
        <v>0</v>
      </c>
      <c r="AE258">
        <v>0</v>
      </c>
      <c r="AF258">
        <v>0</v>
      </c>
      <c r="AG258">
        <v>650</v>
      </c>
      <c r="AH258">
        <v>650</v>
      </c>
      <c r="AI258">
        <v>0</v>
      </c>
      <c r="AJ258">
        <v>0</v>
      </c>
      <c r="AK258">
        <v>0</v>
      </c>
      <c r="AL258">
        <v>0</v>
      </c>
      <c r="AM258">
        <v>0</v>
      </c>
      <c r="AN258">
        <v>0</v>
      </c>
      <c r="AO258">
        <v>0</v>
      </c>
      <c r="AP258">
        <v>0</v>
      </c>
      <c r="AQ258">
        <v>0</v>
      </c>
      <c r="AR258">
        <v>0</v>
      </c>
      <c r="AS258">
        <v>0</v>
      </c>
      <c r="AT258">
        <v>1384</v>
      </c>
      <c r="AU258">
        <v>0</v>
      </c>
      <c r="AV258">
        <v>1384</v>
      </c>
      <c r="AW258">
        <v>0</v>
      </c>
      <c r="AX258">
        <v>35</v>
      </c>
      <c r="AY258">
        <v>0</v>
      </c>
      <c r="AZ258">
        <v>35</v>
      </c>
      <c r="BA258">
        <v>0</v>
      </c>
      <c r="BB258">
        <v>15</v>
      </c>
      <c r="BC258">
        <v>0</v>
      </c>
      <c r="BD258">
        <v>15</v>
      </c>
      <c r="BE258">
        <v>0</v>
      </c>
    </row>
    <row r="259" spans="1:57">
      <c r="A259" t="s">
        <v>16974</v>
      </c>
      <c r="B259" t="s">
        <v>17201</v>
      </c>
      <c r="C259">
        <v>0</v>
      </c>
      <c r="D259">
        <v>999</v>
      </c>
      <c r="E259">
        <v>891</v>
      </c>
      <c r="F259">
        <v>359</v>
      </c>
      <c r="G259">
        <v>1</v>
      </c>
      <c r="H259">
        <v>1</v>
      </c>
      <c r="I259">
        <v>0</v>
      </c>
      <c r="J259">
        <v>999</v>
      </c>
      <c r="K259">
        <v>12932</v>
      </c>
      <c r="L259">
        <v>249</v>
      </c>
      <c r="M259">
        <v>0</v>
      </c>
      <c r="N259">
        <v>5</v>
      </c>
      <c r="O259">
        <v>744</v>
      </c>
      <c r="P259">
        <v>1</v>
      </c>
      <c r="Q259">
        <v>1</v>
      </c>
      <c r="R259">
        <v>0</v>
      </c>
      <c r="S259">
        <v>257.25</v>
      </c>
      <c r="T259">
        <v>63.752000000000002</v>
      </c>
      <c r="U259">
        <v>0</v>
      </c>
      <c r="V259">
        <v>321.00200000000001</v>
      </c>
      <c r="W259">
        <v>3847.54</v>
      </c>
      <c r="X259">
        <v>0</v>
      </c>
      <c r="Y259">
        <v>999</v>
      </c>
      <c r="Z259">
        <v>0</v>
      </c>
      <c r="AA259">
        <v>0</v>
      </c>
      <c r="AB259">
        <v>20</v>
      </c>
      <c r="AC259">
        <v>20</v>
      </c>
      <c r="AD259">
        <v>0</v>
      </c>
      <c r="AE259">
        <v>20</v>
      </c>
      <c r="AF259">
        <v>20</v>
      </c>
      <c r="AG259">
        <v>3867.54</v>
      </c>
      <c r="AH259">
        <v>3847.54</v>
      </c>
      <c r="AI259">
        <v>0</v>
      </c>
      <c r="AJ259">
        <v>0</v>
      </c>
      <c r="AK259">
        <v>7.5</v>
      </c>
      <c r="AL259">
        <v>7.5</v>
      </c>
      <c r="AM259">
        <v>0</v>
      </c>
      <c r="AN259">
        <v>2</v>
      </c>
      <c r="AO259">
        <v>0</v>
      </c>
      <c r="AP259">
        <v>0</v>
      </c>
      <c r="AQ259">
        <v>0</v>
      </c>
      <c r="AR259">
        <v>0</v>
      </c>
      <c r="AS259">
        <v>0</v>
      </c>
      <c r="AT259">
        <v>12932</v>
      </c>
      <c r="AU259">
        <v>15</v>
      </c>
      <c r="AV259">
        <v>12917</v>
      </c>
      <c r="AW259">
        <v>0</v>
      </c>
      <c r="AX259">
        <v>257.25</v>
      </c>
      <c r="AY259">
        <v>0.25</v>
      </c>
      <c r="AZ259">
        <v>257</v>
      </c>
      <c r="BA259">
        <v>0</v>
      </c>
      <c r="BB259">
        <v>63.752000000000002</v>
      </c>
      <c r="BC259">
        <v>0.25</v>
      </c>
      <c r="BD259">
        <v>63.502000000000002</v>
      </c>
      <c r="BE259">
        <v>0</v>
      </c>
    </row>
    <row r="260" spans="1:57">
      <c r="A260" t="s">
        <v>16974</v>
      </c>
      <c r="B260" t="s">
        <v>17201</v>
      </c>
      <c r="C260">
        <v>0</v>
      </c>
      <c r="D260">
        <v>970</v>
      </c>
      <c r="E260">
        <v>942</v>
      </c>
      <c r="F260">
        <v>790</v>
      </c>
      <c r="G260">
        <v>3</v>
      </c>
      <c r="H260">
        <v>0</v>
      </c>
      <c r="I260">
        <v>0</v>
      </c>
      <c r="J260">
        <v>970</v>
      </c>
      <c r="K260">
        <v>8673</v>
      </c>
      <c r="L260">
        <v>158</v>
      </c>
      <c r="M260">
        <v>0</v>
      </c>
      <c r="N260">
        <v>2</v>
      </c>
      <c r="O260">
        <v>805</v>
      </c>
      <c r="P260">
        <v>0</v>
      </c>
      <c r="Q260">
        <v>5</v>
      </c>
      <c r="R260">
        <v>0</v>
      </c>
      <c r="S260">
        <v>244.50900000000001</v>
      </c>
      <c r="T260">
        <v>42.25</v>
      </c>
      <c r="U260">
        <v>0</v>
      </c>
      <c r="V260">
        <v>286.75900000000001</v>
      </c>
      <c r="W260">
        <v>3290.0899999999997</v>
      </c>
      <c r="X260">
        <v>0</v>
      </c>
      <c r="Y260">
        <v>970</v>
      </c>
      <c r="Z260">
        <v>0</v>
      </c>
      <c r="AA260">
        <v>0</v>
      </c>
      <c r="AB260">
        <v>25</v>
      </c>
      <c r="AC260">
        <v>4</v>
      </c>
      <c r="AD260">
        <v>3</v>
      </c>
      <c r="AE260">
        <v>11</v>
      </c>
      <c r="AF260">
        <v>28</v>
      </c>
      <c r="AG260">
        <v>3294.0899999999997</v>
      </c>
      <c r="AH260">
        <v>3283.0899999999997</v>
      </c>
      <c r="AI260">
        <v>0</v>
      </c>
      <c r="AJ260">
        <v>0</v>
      </c>
      <c r="AK260">
        <v>0</v>
      </c>
      <c r="AL260">
        <v>0</v>
      </c>
      <c r="AM260">
        <v>0</v>
      </c>
      <c r="AN260">
        <v>1</v>
      </c>
      <c r="AO260">
        <v>0</v>
      </c>
      <c r="AP260">
        <v>0</v>
      </c>
      <c r="AQ260">
        <v>0</v>
      </c>
      <c r="AR260">
        <v>0</v>
      </c>
      <c r="AS260">
        <v>0</v>
      </c>
      <c r="AT260">
        <v>8673</v>
      </c>
      <c r="AU260">
        <v>0</v>
      </c>
      <c r="AV260">
        <v>8673</v>
      </c>
      <c r="AW260">
        <v>0</v>
      </c>
      <c r="AX260">
        <v>244.50900000000001</v>
      </c>
      <c r="AY260">
        <v>0</v>
      </c>
      <c r="AZ260">
        <v>244.50900000000001</v>
      </c>
      <c r="BA260">
        <v>0</v>
      </c>
      <c r="BB260">
        <v>42.25</v>
      </c>
      <c r="BC260">
        <v>0</v>
      </c>
      <c r="BD260">
        <v>42.25</v>
      </c>
      <c r="BE260">
        <v>0</v>
      </c>
    </row>
    <row r="261" spans="1:57">
      <c r="A261" t="s">
        <v>16974</v>
      </c>
      <c r="B261" t="s">
        <v>17201</v>
      </c>
      <c r="C261">
        <v>0</v>
      </c>
      <c r="D261">
        <v>582</v>
      </c>
      <c r="E261">
        <v>540</v>
      </c>
      <c r="F261">
        <v>474</v>
      </c>
      <c r="G261">
        <v>2</v>
      </c>
      <c r="H261">
        <v>3</v>
      </c>
      <c r="I261">
        <v>0</v>
      </c>
      <c r="J261">
        <v>582</v>
      </c>
      <c r="K261">
        <v>5420</v>
      </c>
      <c r="L261">
        <v>123</v>
      </c>
      <c r="M261">
        <v>0</v>
      </c>
      <c r="N261">
        <v>3</v>
      </c>
      <c r="O261">
        <v>450</v>
      </c>
      <c r="P261">
        <v>1</v>
      </c>
      <c r="Q261">
        <v>3</v>
      </c>
      <c r="R261">
        <v>0</v>
      </c>
      <c r="S261">
        <v>148</v>
      </c>
      <c r="T261">
        <v>35.75</v>
      </c>
      <c r="U261">
        <v>0</v>
      </c>
      <c r="V261">
        <v>183.75</v>
      </c>
      <c r="W261">
        <v>2195</v>
      </c>
      <c r="X261">
        <v>0</v>
      </c>
      <c r="Y261">
        <v>580</v>
      </c>
      <c r="Z261">
        <v>0</v>
      </c>
      <c r="AA261">
        <v>0</v>
      </c>
      <c r="AB261">
        <v>20</v>
      </c>
      <c r="AC261">
        <v>0</v>
      </c>
      <c r="AD261">
        <v>2</v>
      </c>
      <c r="AE261">
        <v>0</v>
      </c>
      <c r="AF261">
        <v>22</v>
      </c>
      <c r="AG261">
        <v>2195</v>
      </c>
      <c r="AH261">
        <v>2195</v>
      </c>
      <c r="AI261">
        <v>0</v>
      </c>
      <c r="AJ261">
        <v>0</v>
      </c>
      <c r="AK261">
        <v>22.5</v>
      </c>
      <c r="AL261">
        <v>22.5</v>
      </c>
      <c r="AM261">
        <v>0</v>
      </c>
      <c r="AN261">
        <v>0</v>
      </c>
      <c r="AO261">
        <v>0</v>
      </c>
      <c r="AP261">
        <v>0</v>
      </c>
      <c r="AQ261">
        <v>0</v>
      </c>
      <c r="AR261">
        <v>0</v>
      </c>
      <c r="AS261">
        <v>0</v>
      </c>
      <c r="AT261">
        <v>5420</v>
      </c>
      <c r="AU261">
        <v>180</v>
      </c>
      <c r="AV261">
        <v>5240</v>
      </c>
      <c r="AW261">
        <v>0</v>
      </c>
      <c r="AX261">
        <v>148</v>
      </c>
      <c r="AY261">
        <v>0.75</v>
      </c>
      <c r="AZ261">
        <v>147.25</v>
      </c>
      <c r="BA261">
        <v>0</v>
      </c>
      <c r="BB261">
        <v>35.75</v>
      </c>
      <c r="BC261">
        <v>0.75</v>
      </c>
      <c r="BD261">
        <v>35</v>
      </c>
      <c r="BE261">
        <v>0</v>
      </c>
    </row>
    <row r="262" spans="1:57">
      <c r="A262" t="s">
        <v>16974</v>
      </c>
      <c r="B262" t="s">
        <v>17130</v>
      </c>
      <c r="C262">
        <v>0</v>
      </c>
      <c r="D262">
        <v>8</v>
      </c>
      <c r="E262">
        <v>0</v>
      </c>
      <c r="F262">
        <v>5</v>
      </c>
      <c r="G262">
        <v>0</v>
      </c>
      <c r="H262">
        <v>0</v>
      </c>
      <c r="I262">
        <v>0</v>
      </c>
      <c r="J262">
        <v>8</v>
      </c>
      <c r="K262">
        <v>65</v>
      </c>
      <c r="L262">
        <v>8</v>
      </c>
      <c r="M262">
        <v>0</v>
      </c>
      <c r="N262">
        <v>0</v>
      </c>
      <c r="O262">
        <v>0</v>
      </c>
      <c r="P262">
        <v>0</v>
      </c>
      <c r="Q262">
        <v>0</v>
      </c>
      <c r="R262">
        <v>0</v>
      </c>
      <c r="S262">
        <v>9</v>
      </c>
      <c r="T262">
        <v>0</v>
      </c>
      <c r="U262">
        <v>0</v>
      </c>
      <c r="V262">
        <v>9</v>
      </c>
      <c r="W262">
        <v>90</v>
      </c>
      <c r="X262">
        <v>0</v>
      </c>
      <c r="Y262">
        <v>7</v>
      </c>
      <c r="Z262">
        <v>0</v>
      </c>
      <c r="AA262">
        <v>0</v>
      </c>
      <c r="AB262">
        <v>0</v>
      </c>
      <c r="AC262">
        <v>0</v>
      </c>
      <c r="AD262">
        <v>0</v>
      </c>
      <c r="AE262">
        <v>0</v>
      </c>
      <c r="AF262">
        <v>0</v>
      </c>
      <c r="AG262">
        <v>90</v>
      </c>
      <c r="AH262">
        <v>90</v>
      </c>
      <c r="AI262">
        <v>0</v>
      </c>
      <c r="AJ262">
        <v>0</v>
      </c>
      <c r="AK262">
        <v>0</v>
      </c>
      <c r="AL262">
        <v>0</v>
      </c>
      <c r="AM262">
        <v>0</v>
      </c>
      <c r="AN262">
        <v>0</v>
      </c>
      <c r="AO262">
        <v>0</v>
      </c>
      <c r="AP262">
        <v>0</v>
      </c>
      <c r="AQ262">
        <v>0</v>
      </c>
      <c r="AR262">
        <v>0</v>
      </c>
      <c r="AS262">
        <v>0</v>
      </c>
      <c r="AT262">
        <v>65</v>
      </c>
      <c r="AU262">
        <v>0</v>
      </c>
      <c r="AV262">
        <v>65</v>
      </c>
      <c r="AW262">
        <v>0</v>
      </c>
      <c r="AX262">
        <v>9</v>
      </c>
      <c r="AY262">
        <v>0</v>
      </c>
      <c r="AZ262">
        <v>9</v>
      </c>
      <c r="BA262">
        <v>0</v>
      </c>
      <c r="BB262">
        <v>0</v>
      </c>
      <c r="BC262">
        <v>0</v>
      </c>
      <c r="BD262">
        <v>0</v>
      </c>
      <c r="BE262">
        <v>0</v>
      </c>
    </row>
    <row r="263" spans="1:57">
      <c r="A263" t="s">
        <v>16974</v>
      </c>
      <c r="B263" t="s">
        <v>17131</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row>
    <row r="264" spans="1:57">
      <c r="A264" t="s">
        <v>16974</v>
      </c>
      <c r="B264" t="s">
        <v>17040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row>
    <row r="265" spans="1:57">
      <c r="A265" t="s">
        <v>16974</v>
      </c>
      <c r="B265" t="s">
        <v>16975</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row>
    <row r="266" spans="1:57">
      <c r="A266" t="s">
        <v>16974</v>
      </c>
      <c r="B266" t="s">
        <v>17085</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row>
    <row r="267" spans="1:57">
      <c r="A267" t="s">
        <v>16974</v>
      </c>
      <c r="B267" t="s">
        <v>17132</v>
      </c>
      <c r="C267">
        <v>0</v>
      </c>
      <c r="D267">
        <v>161</v>
      </c>
      <c r="E267">
        <v>157</v>
      </c>
      <c r="F267">
        <v>159</v>
      </c>
      <c r="G267">
        <v>0</v>
      </c>
      <c r="H267">
        <v>0</v>
      </c>
      <c r="I267">
        <v>0</v>
      </c>
      <c r="J267">
        <v>156</v>
      </c>
      <c r="K267">
        <v>906</v>
      </c>
      <c r="L267">
        <v>68</v>
      </c>
      <c r="M267">
        <v>0</v>
      </c>
      <c r="N267">
        <v>0</v>
      </c>
      <c r="O267">
        <v>86</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906</v>
      </c>
      <c r="AU267">
        <v>0</v>
      </c>
      <c r="AV267">
        <v>906</v>
      </c>
      <c r="AW267">
        <v>0</v>
      </c>
      <c r="AX267">
        <v>0</v>
      </c>
      <c r="AY267">
        <v>0</v>
      </c>
      <c r="AZ267">
        <v>0</v>
      </c>
      <c r="BA267">
        <v>0</v>
      </c>
      <c r="BB267">
        <v>0</v>
      </c>
      <c r="BC267">
        <v>0</v>
      </c>
      <c r="BD267">
        <v>0</v>
      </c>
      <c r="BE267">
        <v>0</v>
      </c>
    </row>
    <row r="268" spans="1:57">
      <c r="A268" t="s">
        <v>16974</v>
      </c>
      <c r="B268" t="s">
        <v>17133</v>
      </c>
      <c r="C268">
        <v>0</v>
      </c>
      <c r="D268">
        <v>6</v>
      </c>
      <c r="E268">
        <v>6</v>
      </c>
      <c r="F268">
        <v>5</v>
      </c>
      <c r="G268">
        <v>1</v>
      </c>
      <c r="H268">
        <v>1</v>
      </c>
      <c r="I268">
        <v>1</v>
      </c>
      <c r="J268">
        <v>6</v>
      </c>
      <c r="K268">
        <v>44</v>
      </c>
      <c r="L268">
        <v>3</v>
      </c>
      <c r="M268">
        <v>0</v>
      </c>
      <c r="N268">
        <v>3</v>
      </c>
      <c r="O268">
        <v>0</v>
      </c>
      <c r="P268">
        <v>0</v>
      </c>
      <c r="Q268">
        <v>0</v>
      </c>
      <c r="R268">
        <v>0</v>
      </c>
      <c r="S268">
        <v>5.25</v>
      </c>
      <c r="T268">
        <v>7.75</v>
      </c>
      <c r="U268">
        <v>0</v>
      </c>
      <c r="V268">
        <v>13</v>
      </c>
      <c r="W268">
        <v>207.5</v>
      </c>
      <c r="X268">
        <v>0</v>
      </c>
      <c r="Y268">
        <v>5</v>
      </c>
      <c r="Z268">
        <v>1</v>
      </c>
      <c r="AA268">
        <v>0</v>
      </c>
      <c r="AB268">
        <v>55</v>
      </c>
      <c r="AC268">
        <v>272.75</v>
      </c>
      <c r="AD268">
        <v>272.75</v>
      </c>
      <c r="AE268">
        <v>272.75</v>
      </c>
      <c r="AF268">
        <v>327.75</v>
      </c>
      <c r="AG268">
        <v>480.25</v>
      </c>
      <c r="AH268">
        <v>207.5</v>
      </c>
      <c r="AI268">
        <v>3.75</v>
      </c>
      <c r="AJ268">
        <v>3.75</v>
      </c>
      <c r="AK268">
        <v>11.25</v>
      </c>
      <c r="AL268">
        <v>7.5</v>
      </c>
      <c r="AM268">
        <v>2</v>
      </c>
      <c r="AN268">
        <v>1</v>
      </c>
      <c r="AO268">
        <v>1</v>
      </c>
      <c r="AP268">
        <v>1</v>
      </c>
      <c r="AQ268">
        <v>0</v>
      </c>
      <c r="AR268">
        <v>0</v>
      </c>
      <c r="AS268">
        <v>0</v>
      </c>
      <c r="AT268">
        <v>44</v>
      </c>
      <c r="AU268">
        <v>15</v>
      </c>
      <c r="AV268">
        <v>29</v>
      </c>
      <c r="AW268">
        <v>0</v>
      </c>
      <c r="AX268">
        <v>5.25</v>
      </c>
      <c r="AY268">
        <v>0.25</v>
      </c>
      <c r="AZ268">
        <v>5</v>
      </c>
      <c r="BA268">
        <v>0</v>
      </c>
      <c r="BB268">
        <v>7.75</v>
      </c>
      <c r="BC268">
        <v>0.25</v>
      </c>
      <c r="BD268">
        <v>7.5</v>
      </c>
      <c r="BE268">
        <v>0</v>
      </c>
    </row>
    <row r="269" spans="1:57">
      <c r="A269" t="s">
        <v>16974</v>
      </c>
      <c r="B269" t="s">
        <v>17134</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row>
    <row r="270" spans="1:57">
      <c r="A270" t="s">
        <v>16974</v>
      </c>
      <c r="B270" t="s">
        <v>22094</v>
      </c>
      <c r="C270">
        <v>0</v>
      </c>
      <c r="D270">
        <v>2</v>
      </c>
      <c r="E270">
        <v>2</v>
      </c>
      <c r="F270">
        <v>2</v>
      </c>
      <c r="G270">
        <v>0</v>
      </c>
      <c r="H270">
        <v>0</v>
      </c>
      <c r="I270">
        <v>0</v>
      </c>
      <c r="J270">
        <v>2</v>
      </c>
      <c r="K270">
        <v>13</v>
      </c>
      <c r="L270">
        <v>2</v>
      </c>
      <c r="M270">
        <v>0</v>
      </c>
      <c r="N270">
        <v>0</v>
      </c>
      <c r="O270">
        <v>0</v>
      </c>
      <c r="P270">
        <v>0</v>
      </c>
      <c r="Q270">
        <v>0</v>
      </c>
      <c r="R270">
        <v>0</v>
      </c>
      <c r="S270">
        <v>7</v>
      </c>
      <c r="T270">
        <v>0</v>
      </c>
      <c r="U270">
        <v>0</v>
      </c>
      <c r="V270">
        <v>7</v>
      </c>
      <c r="W270">
        <v>70</v>
      </c>
      <c r="X270">
        <v>0</v>
      </c>
      <c r="Y270">
        <v>0</v>
      </c>
      <c r="Z270">
        <v>2</v>
      </c>
      <c r="AA270">
        <v>0</v>
      </c>
      <c r="AB270">
        <v>0</v>
      </c>
      <c r="AC270">
        <v>0</v>
      </c>
      <c r="AD270">
        <v>0</v>
      </c>
      <c r="AE270">
        <v>0</v>
      </c>
      <c r="AF270">
        <v>0</v>
      </c>
      <c r="AG270">
        <v>70</v>
      </c>
      <c r="AH270">
        <v>70</v>
      </c>
      <c r="AI270">
        <v>0</v>
      </c>
      <c r="AJ270">
        <v>0</v>
      </c>
      <c r="AK270">
        <v>0</v>
      </c>
      <c r="AL270">
        <v>0</v>
      </c>
      <c r="AM270">
        <v>0</v>
      </c>
      <c r="AN270">
        <v>0</v>
      </c>
      <c r="AO270">
        <v>0</v>
      </c>
      <c r="AP270">
        <v>0</v>
      </c>
      <c r="AQ270">
        <v>0</v>
      </c>
      <c r="AR270">
        <v>0</v>
      </c>
      <c r="AS270">
        <v>0</v>
      </c>
      <c r="AT270">
        <v>13</v>
      </c>
      <c r="AU270">
        <v>0</v>
      </c>
      <c r="AV270">
        <v>13</v>
      </c>
      <c r="AW270">
        <v>0</v>
      </c>
      <c r="AX270">
        <v>7</v>
      </c>
      <c r="AY270">
        <v>0</v>
      </c>
      <c r="AZ270">
        <v>7</v>
      </c>
      <c r="BA270">
        <v>0</v>
      </c>
      <c r="BB270">
        <v>0</v>
      </c>
      <c r="BC270">
        <v>0</v>
      </c>
      <c r="BD270">
        <v>0</v>
      </c>
      <c r="BE270">
        <v>0</v>
      </c>
    </row>
    <row r="271" spans="1:57">
      <c r="A271" t="s">
        <v>16974</v>
      </c>
      <c r="B271" t="s">
        <v>17137</v>
      </c>
      <c r="C271">
        <v>28</v>
      </c>
      <c r="D271">
        <v>28</v>
      </c>
      <c r="E271">
        <v>0</v>
      </c>
      <c r="F271">
        <v>0</v>
      </c>
      <c r="G271">
        <v>0</v>
      </c>
      <c r="H271">
        <v>0</v>
      </c>
      <c r="I271">
        <v>0</v>
      </c>
      <c r="J271">
        <v>28</v>
      </c>
      <c r="K271">
        <v>74</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74</v>
      </c>
      <c r="AU271">
        <v>0</v>
      </c>
      <c r="AV271">
        <v>0</v>
      </c>
      <c r="AW271">
        <v>74</v>
      </c>
      <c r="AX271">
        <v>0</v>
      </c>
      <c r="AY271">
        <v>0</v>
      </c>
      <c r="AZ271">
        <v>0</v>
      </c>
      <c r="BA271">
        <v>0</v>
      </c>
      <c r="BB271">
        <v>0</v>
      </c>
      <c r="BC271">
        <v>0</v>
      </c>
      <c r="BD271">
        <v>0</v>
      </c>
      <c r="BE271">
        <v>0</v>
      </c>
    </row>
    <row r="272" spans="1:57">
      <c r="A272" t="s">
        <v>16974</v>
      </c>
      <c r="B272" t="s">
        <v>17138</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row>
    <row r="273" spans="1:57">
      <c r="A273" t="s">
        <v>16974</v>
      </c>
      <c r="B273" t="s">
        <v>17314</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row>
    <row r="274" spans="1:57">
      <c r="A274" t="s">
        <v>16974</v>
      </c>
      <c r="B274" t="s">
        <v>17139</v>
      </c>
      <c r="C274">
        <v>0</v>
      </c>
      <c r="D274">
        <v>1</v>
      </c>
      <c r="E274">
        <v>1</v>
      </c>
      <c r="F274">
        <v>1</v>
      </c>
      <c r="G274">
        <v>0</v>
      </c>
      <c r="H274">
        <v>0</v>
      </c>
      <c r="I274">
        <v>0</v>
      </c>
      <c r="J274">
        <v>0</v>
      </c>
      <c r="K274">
        <v>0</v>
      </c>
      <c r="L274">
        <v>0</v>
      </c>
      <c r="M274">
        <v>0</v>
      </c>
      <c r="N274">
        <v>0</v>
      </c>
      <c r="O274">
        <v>0</v>
      </c>
      <c r="P274">
        <v>0</v>
      </c>
      <c r="Q274">
        <v>1</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row>
    <row r="275" spans="1:57">
      <c r="A275" t="s">
        <v>16974</v>
      </c>
      <c r="B275" t="s">
        <v>19349</v>
      </c>
      <c r="C275">
        <v>0</v>
      </c>
      <c r="D275">
        <v>4</v>
      </c>
      <c r="E275">
        <v>3</v>
      </c>
      <c r="F275">
        <v>0</v>
      </c>
      <c r="G275">
        <v>0</v>
      </c>
      <c r="H275">
        <v>0</v>
      </c>
      <c r="I275">
        <v>0</v>
      </c>
      <c r="J275">
        <v>3</v>
      </c>
      <c r="K275">
        <v>7</v>
      </c>
      <c r="L275">
        <v>3</v>
      </c>
      <c r="M275">
        <v>0</v>
      </c>
      <c r="N275">
        <v>0</v>
      </c>
      <c r="O275">
        <v>0</v>
      </c>
      <c r="P275">
        <v>0</v>
      </c>
      <c r="Q275">
        <v>0</v>
      </c>
      <c r="R275">
        <v>0</v>
      </c>
      <c r="S275">
        <v>3</v>
      </c>
      <c r="T275">
        <v>2.5</v>
      </c>
      <c r="U275">
        <v>0</v>
      </c>
      <c r="V275">
        <v>5.5</v>
      </c>
      <c r="W275">
        <v>80</v>
      </c>
      <c r="X275">
        <v>0</v>
      </c>
      <c r="Y275">
        <v>3</v>
      </c>
      <c r="Z275">
        <v>0</v>
      </c>
      <c r="AA275">
        <v>0</v>
      </c>
      <c r="AB275">
        <v>0</v>
      </c>
      <c r="AC275">
        <v>0</v>
      </c>
      <c r="AD275">
        <v>0</v>
      </c>
      <c r="AE275">
        <v>0</v>
      </c>
      <c r="AF275">
        <v>0</v>
      </c>
      <c r="AG275">
        <v>80</v>
      </c>
      <c r="AH275">
        <v>80</v>
      </c>
      <c r="AI275">
        <v>0</v>
      </c>
      <c r="AJ275">
        <v>0</v>
      </c>
      <c r="AK275">
        <v>0</v>
      </c>
      <c r="AL275">
        <v>0</v>
      </c>
      <c r="AM275">
        <v>0</v>
      </c>
      <c r="AN275">
        <v>0</v>
      </c>
      <c r="AO275">
        <v>0</v>
      </c>
      <c r="AP275">
        <v>0</v>
      </c>
      <c r="AQ275">
        <v>0</v>
      </c>
      <c r="AR275">
        <v>0</v>
      </c>
      <c r="AS275">
        <v>0</v>
      </c>
      <c r="AT275">
        <v>7</v>
      </c>
      <c r="AU275">
        <v>0</v>
      </c>
      <c r="AV275">
        <v>7</v>
      </c>
      <c r="AW275">
        <v>0</v>
      </c>
      <c r="AX275">
        <v>4</v>
      </c>
      <c r="AY275">
        <v>0</v>
      </c>
      <c r="AZ275">
        <v>4</v>
      </c>
      <c r="BA275">
        <v>0</v>
      </c>
      <c r="BB275">
        <v>3</v>
      </c>
      <c r="BC275">
        <v>0</v>
      </c>
      <c r="BD275">
        <v>3</v>
      </c>
      <c r="BE275">
        <v>0</v>
      </c>
    </row>
    <row r="276" spans="1:57">
      <c r="A276" t="s">
        <v>16974</v>
      </c>
      <c r="B276" t="s">
        <v>19349</v>
      </c>
      <c r="C276">
        <v>0</v>
      </c>
      <c r="D276">
        <v>8</v>
      </c>
      <c r="E276">
        <v>1</v>
      </c>
      <c r="F276">
        <v>0</v>
      </c>
      <c r="G276">
        <v>0</v>
      </c>
      <c r="H276">
        <v>0</v>
      </c>
      <c r="I276">
        <v>0</v>
      </c>
      <c r="J276">
        <v>2</v>
      </c>
      <c r="K276">
        <v>12</v>
      </c>
      <c r="L276">
        <v>2</v>
      </c>
      <c r="M276">
        <v>0</v>
      </c>
      <c r="N276">
        <v>0</v>
      </c>
      <c r="O276">
        <v>0</v>
      </c>
      <c r="P276">
        <v>0</v>
      </c>
      <c r="Q276">
        <v>0</v>
      </c>
      <c r="R276">
        <v>0</v>
      </c>
      <c r="S276">
        <v>2</v>
      </c>
      <c r="T276">
        <v>1.5</v>
      </c>
      <c r="U276">
        <v>0</v>
      </c>
      <c r="V276">
        <v>3.5</v>
      </c>
      <c r="W276">
        <v>50</v>
      </c>
      <c r="X276">
        <v>0</v>
      </c>
      <c r="Y276">
        <v>2</v>
      </c>
      <c r="Z276">
        <v>0</v>
      </c>
      <c r="AA276">
        <v>0</v>
      </c>
      <c r="AB276">
        <v>0</v>
      </c>
      <c r="AC276">
        <v>0</v>
      </c>
      <c r="AD276">
        <v>0</v>
      </c>
      <c r="AE276">
        <v>0</v>
      </c>
      <c r="AF276">
        <v>0</v>
      </c>
      <c r="AG276">
        <v>50</v>
      </c>
      <c r="AH276">
        <v>50</v>
      </c>
      <c r="AI276">
        <v>0</v>
      </c>
      <c r="AJ276">
        <v>0</v>
      </c>
      <c r="AK276">
        <v>0</v>
      </c>
      <c r="AL276">
        <v>0</v>
      </c>
      <c r="AM276">
        <v>0</v>
      </c>
      <c r="AN276">
        <v>0</v>
      </c>
      <c r="AO276">
        <v>0</v>
      </c>
      <c r="AP276">
        <v>0</v>
      </c>
      <c r="AQ276">
        <v>0</v>
      </c>
      <c r="AR276">
        <v>0</v>
      </c>
      <c r="AS276">
        <v>0</v>
      </c>
      <c r="AT276">
        <v>12</v>
      </c>
      <c r="AU276">
        <v>0</v>
      </c>
      <c r="AV276">
        <v>12</v>
      </c>
      <c r="AW276">
        <v>0</v>
      </c>
      <c r="AX276">
        <v>2</v>
      </c>
      <c r="AY276">
        <v>0</v>
      </c>
      <c r="AZ276">
        <v>2</v>
      </c>
      <c r="BA276">
        <v>0</v>
      </c>
      <c r="BB276">
        <v>1.5</v>
      </c>
      <c r="BC276">
        <v>0</v>
      </c>
      <c r="BD276">
        <v>1.5</v>
      </c>
      <c r="BE276">
        <v>0</v>
      </c>
    </row>
    <row r="277" spans="1:57">
      <c r="A277" t="s">
        <v>16974</v>
      </c>
      <c r="B277" t="s">
        <v>17144</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row>
    <row r="278" spans="1:57">
      <c r="A278" t="s">
        <v>16974</v>
      </c>
      <c r="B278" t="s">
        <v>17143</v>
      </c>
      <c r="C278">
        <v>0</v>
      </c>
      <c r="D278">
        <v>4</v>
      </c>
      <c r="E278">
        <v>0</v>
      </c>
      <c r="F278">
        <v>3</v>
      </c>
      <c r="G278">
        <v>2</v>
      </c>
      <c r="H278">
        <v>0</v>
      </c>
      <c r="I278">
        <v>3</v>
      </c>
      <c r="J278">
        <v>4</v>
      </c>
      <c r="K278">
        <v>4</v>
      </c>
      <c r="L278">
        <v>4</v>
      </c>
      <c r="M278">
        <v>0</v>
      </c>
      <c r="N278">
        <v>0</v>
      </c>
      <c r="O278">
        <v>0</v>
      </c>
      <c r="P278">
        <v>0</v>
      </c>
      <c r="Q278">
        <v>0</v>
      </c>
      <c r="R278">
        <v>0</v>
      </c>
      <c r="S278">
        <v>25</v>
      </c>
      <c r="T278">
        <v>0</v>
      </c>
      <c r="U278">
        <v>0</v>
      </c>
      <c r="V278">
        <v>25</v>
      </c>
      <c r="W278">
        <v>250</v>
      </c>
      <c r="X278">
        <v>0</v>
      </c>
      <c r="Y278">
        <v>4</v>
      </c>
      <c r="Z278">
        <v>0</v>
      </c>
      <c r="AA278">
        <v>0</v>
      </c>
      <c r="AB278">
        <v>150</v>
      </c>
      <c r="AC278">
        <v>0</v>
      </c>
      <c r="AD278">
        <v>0</v>
      </c>
      <c r="AE278">
        <v>0</v>
      </c>
      <c r="AF278">
        <v>150</v>
      </c>
      <c r="AG278">
        <v>250</v>
      </c>
      <c r="AH278">
        <v>250</v>
      </c>
      <c r="AI278">
        <v>0</v>
      </c>
      <c r="AJ278">
        <v>0</v>
      </c>
      <c r="AK278">
        <v>0</v>
      </c>
      <c r="AL278">
        <v>0</v>
      </c>
      <c r="AM278">
        <v>0</v>
      </c>
      <c r="AN278">
        <v>0</v>
      </c>
      <c r="AO278">
        <v>0</v>
      </c>
      <c r="AP278">
        <v>0</v>
      </c>
      <c r="AQ278">
        <v>0</v>
      </c>
      <c r="AR278">
        <v>0</v>
      </c>
      <c r="AS278">
        <v>0</v>
      </c>
      <c r="AT278">
        <v>4</v>
      </c>
      <c r="AU278">
        <v>0</v>
      </c>
      <c r="AV278">
        <v>4</v>
      </c>
      <c r="AW278">
        <v>0</v>
      </c>
      <c r="AX278">
        <v>25</v>
      </c>
      <c r="AY278">
        <v>0</v>
      </c>
      <c r="AZ278">
        <v>25</v>
      </c>
      <c r="BA278">
        <v>0</v>
      </c>
      <c r="BB278">
        <v>0</v>
      </c>
      <c r="BC278">
        <v>0</v>
      </c>
      <c r="BD278">
        <v>0</v>
      </c>
      <c r="BE278">
        <v>0</v>
      </c>
    </row>
    <row r="279" spans="1:57">
      <c r="A279" t="s">
        <v>16974</v>
      </c>
      <c r="B279" t="s">
        <v>19351</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row>
    <row r="280" spans="1:57">
      <c r="A280" t="s">
        <v>16974</v>
      </c>
      <c r="B280" t="s">
        <v>17144</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row>
    <row r="281" spans="1:57">
      <c r="A281" t="s">
        <v>16974</v>
      </c>
      <c r="B281" t="s">
        <v>17324</v>
      </c>
      <c r="C281">
        <v>0</v>
      </c>
      <c r="D281">
        <v>2</v>
      </c>
      <c r="E281">
        <v>2</v>
      </c>
      <c r="F281">
        <v>2</v>
      </c>
      <c r="G281">
        <v>1</v>
      </c>
      <c r="H281">
        <v>0</v>
      </c>
      <c r="I281">
        <v>0</v>
      </c>
      <c r="J281">
        <v>2</v>
      </c>
      <c r="K281">
        <v>10</v>
      </c>
      <c r="L281">
        <v>2</v>
      </c>
      <c r="M281">
        <v>0</v>
      </c>
      <c r="N281">
        <v>0</v>
      </c>
      <c r="O281">
        <v>0</v>
      </c>
      <c r="P281">
        <v>0</v>
      </c>
      <c r="Q281">
        <v>0</v>
      </c>
      <c r="R281">
        <v>0</v>
      </c>
      <c r="S281">
        <v>0.75</v>
      </c>
      <c r="T281">
        <v>0.5</v>
      </c>
      <c r="U281">
        <v>1</v>
      </c>
      <c r="V281">
        <v>2.25</v>
      </c>
      <c r="W281">
        <v>17.5</v>
      </c>
      <c r="X281">
        <v>0</v>
      </c>
      <c r="Y281">
        <v>2</v>
      </c>
      <c r="Z281">
        <v>0</v>
      </c>
      <c r="AA281">
        <v>0</v>
      </c>
      <c r="AB281">
        <v>0</v>
      </c>
      <c r="AC281">
        <v>0</v>
      </c>
      <c r="AD281">
        <v>0</v>
      </c>
      <c r="AE281">
        <v>0</v>
      </c>
      <c r="AF281">
        <v>0</v>
      </c>
      <c r="AG281">
        <v>37.5</v>
      </c>
      <c r="AH281">
        <v>37.5</v>
      </c>
      <c r="AI281">
        <v>0</v>
      </c>
      <c r="AJ281">
        <v>0</v>
      </c>
      <c r="AK281">
        <v>0</v>
      </c>
      <c r="AL281">
        <v>0</v>
      </c>
      <c r="AM281">
        <v>0</v>
      </c>
      <c r="AN281">
        <v>0</v>
      </c>
      <c r="AO281">
        <v>0</v>
      </c>
      <c r="AP281">
        <v>0</v>
      </c>
      <c r="AQ281">
        <v>0</v>
      </c>
      <c r="AR281">
        <v>0</v>
      </c>
      <c r="AS281">
        <v>0</v>
      </c>
      <c r="AT281">
        <v>10</v>
      </c>
      <c r="AU281">
        <v>0</v>
      </c>
      <c r="AV281">
        <v>10</v>
      </c>
      <c r="AW281">
        <v>0</v>
      </c>
      <c r="AX281">
        <v>0.75</v>
      </c>
      <c r="AY281">
        <v>0</v>
      </c>
      <c r="AZ281">
        <v>0.75</v>
      </c>
      <c r="BA281">
        <v>0</v>
      </c>
      <c r="BB281">
        <v>0.5</v>
      </c>
      <c r="BC281">
        <v>0</v>
      </c>
      <c r="BD281">
        <v>0.5</v>
      </c>
      <c r="BE281">
        <v>0</v>
      </c>
    </row>
    <row r="282" spans="1:57">
      <c r="A282" t="s">
        <v>16974</v>
      </c>
      <c r="B282" t="s">
        <v>17322</v>
      </c>
      <c r="C282">
        <v>0</v>
      </c>
      <c r="D282">
        <v>1</v>
      </c>
      <c r="E282">
        <v>1</v>
      </c>
      <c r="F282">
        <v>1</v>
      </c>
      <c r="G282">
        <v>0</v>
      </c>
      <c r="H282">
        <v>0</v>
      </c>
      <c r="I282">
        <v>0</v>
      </c>
      <c r="J282">
        <v>1</v>
      </c>
      <c r="K282">
        <v>10</v>
      </c>
      <c r="L282">
        <v>0</v>
      </c>
      <c r="M282">
        <v>0</v>
      </c>
      <c r="N282">
        <v>1</v>
      </c>
      <c r="O282">
        <v>0</v>
      </c>
      <c r="P282">
        <v>0</v>
      </c>
      <c r="Q282">
        <v>0</v>
      </c>
      <c r="R282">
        <v>0</v>
      </c>
      <c r="S282">
        <v>0.25</v>
      </c>
      <c r="T282">
        <v>0.25</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row>
    <row r="283" spans="1:57">
      <c r="A283" t="s">
        <v>16974</v>
      </c>
      <c r="B283" t="s">
        <v>17323</v>
      </c>
      <c r="C283">
        <v>0</v>
      </c>
      <c r="D283">
        <v>3</v>
      </c>
      <c r="E283">
        <v>0</v>
      </c>
      <c r="F283">
        <v>3</v>
      </c>
      <c r="G283">
        <v>0</v>
      </c>
      <c r="H283">
        <v>0</v>
      </c>
      <c r="I283">
        <v>0</v>
      </c>
      <c r="J283">
        <v>3</v>
      </c>
      <c r="K283">
        <v>21</v>
      </c>
      <c r="L283">
        <v>3</v>
      </c>
      <c r="M283">
        <v>0</v>
      </c>
      <c r="N283">
        <v>0</v>
      </c>
      <c r="O283">
        <v>0</v>
      </c>
      <c r="P283">
        <v>0</v>
      </c>
      <c r="Q283">
        <v>0</v>
      </c>
      <c r="R283">
        <v>0</v>
      </c>
      <c r="S283">
        <v>1</v>
      </c>
      <c r="T283">
        <v>0</v>
      </c>
      <c r="U283">
        <v>0</v>
      </c>
      <c r="V283">
        <v>1</v>
      </c>
      <c r="W283">
        <v>10</v>
      </c>
      <c r="X283">
        <v>0</v>
      </c>
      <c r="Y283">
        <v>3</v>
      </c>
      <c r="Z283">
        <v>0</v>
      </c>
      <c r="AA283">
        <v>0</v>
      </c>
      <c r="AB283">
        <v>0</v>
      </c>
      <c r="AC283">
        <v>0</v>
      </c>
      <c r="AD283">
        <v>0</v>
      </c>
      <c r="AE283">
        <v>0</v>
      </c>
      <c r="AF283">
        <v>0</v>
      </c>
      <c r="AG283">
        <v>10</v>
      </c>
      <c r="AH283">
        <v>10</v>
      </c>
      <c r="AI283">
        <v>0</v>
      </c>
      <c r="AJ283">
        <v>0</v>
      </c>
      <c r="AK283">
        <v>0</v>
      </c>
      <c r="AL283">
        <v>0</v>
      </c>
      <c r="AM283">
        <v>0</v>
      </c>
      <c r="AN283">
        <v>0</v>
      </c>
      <c r="AO283">
        <v>0</v>
      </c>
      <c r="AP283">
        <v>0</v>
      </c>
      <c r="AQ283">
        <v>0</v>
      </c>
      <c r="AR283">
        <v>0</v>
      </c>
      <c r="AS283">
        <v>0</v>
      </c>
      <c r="AT283">
        <v>21</v>
      </c>
      <c r="AU283">
        <v>0</v>
      </c>
      <c r="AV283">
        <v>21</v>
      </c>
      <c r="AW283">
        <v>0</v>
      </c>
      <c r="AX283">
        <v>2</v>
      </c>
      <c r="AY283">
        <v>0</v>
      </c>
      <c r="AZ283">
        <v>2</v>
      </c>
      <c r="BA283">
        <v>0</v>
      </c>
      <c r="BB283">
        <v>0.5</v>
      </c>
      <c r="BC283">
        <v>0</v>
      </c>
      <c r="BD283">
        <v>0.5</v>
      </c>
      <c r="BE283">
        <v>0</v>
      </c>
    </row>
    <row r="284" spans="1:57">
      <c r="A284" t="s">
        <v>16974</v>
      </c>
      <c r="B284" t="s">
        <v>17323</v>
      </c>
      <c r="C284">
        <v>1</v>
      </c>
      <c r="D284">
        <v>1</v>
      </c>
      <c r="E284">
        <v>0</v>
      </c>
      <c r="F284">
        <v>1</v>
      </c>
      <c r="G284">
        <v>0</v>
      </c>
      <c r="H284">
        <v>0</v>
      </c>
      <c r="I284">
        <v>0</v>
      </c>
      <c r="J284">
        <v>1</v>
      </c>
      <c r="K284">
        <v>1</v>
      </c>
      <c r="L284">
        <v>1</v>
      </c>
      <c r="M284">
        <v>0</v>
      </c>
      <c r="N284">
        <v>0</v>
      </c>
      <c r="O284">
        <v>0</v>
      </c>
      <c r="P284">
        <v>0</v>
      </c>
      <c r="Q284">
        <v>0</v>
      </c>
      <c r="R284">
        <v>0</v>
      </c>
      <c r="S284">
        <v>1</v>
      </c>
      <c r="T284">
        <v>0.25</v>
      </c>
      <c r="U284">
        <v>0</v>
      </c>
      <c r="V284">
        <v>1.25</v>
      </c>
      <c r="W284">
        <v>0</v>
      </c>
      <c r="X284">
        <v>0</v>
      </c>
      <c r="Y284">
        <v>0</v>
      </c>
      <c r="Z284">
        <v>0</v>
      </c>
      <c r="AA284">
        <v>-15</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1</v>
      </c>
      <c r="AU284">
        <v>0</v>
      </c>
      <c r="AV284">
        <v>0</v>
      </c>
      <c r="AW284">
        <v>1</v>
      </c>
      <c r="AX284">
        <v>1</v>
      </c>
      <c r="AY284">
        <v>0</v>
      </c>
      <c r="AZ284">
        <v>0</v>
      </c>
      <c r="BA284">
        <v>1</v>
      </c>
      <c r="BB284">
        <v>0.25</v>
      </c>
      <c r="BC284">
        <v>0</v>
      </c>
      <c r="BD284">
        <v>0</v>
      </c>
      <c r="BE284">
        <v>0.25</v>
      </c>
    </row>
    <row r="285" spans="1:57">
      <c r="A285" t="s">
        <v>17150</v>
      </c>
      <c r="B285" t="s">
        <v>17392</v>
      </c>
      <c r="C285">
        <v>0</v>
      </c>
      <c r="D285">
        <v>8</v>
      </c>
      <c r="E285">
        <v>4</v>
      </c>
      <c r="F285">
        <v>6</v>
      </c>
      <c r="G285">
        <v>3</v>
      </c>
      <c r="H285">
        <v>2</v>
      </c>
      <c r="I285">
        <v>1</v>
      </c>
      <c r="J285">
        <v>7</v>
      </c>
      <c r="K285">
        <v>161</v>
      </c>
      <c r="L285">
        <v>6</v>
      </c>
      <c r="M285">
        <v>0</v>
      </c>
      <c r="N285">
        <v>0</v>
      </c>
      <c r="O285">
        <v>1</v>
      </c>
      <c r="P285">
        <v>0</v>
      </c>
      <c r="Q285">
        <v>0</v>
      </c>
      <c r="R285">
        <v>0</v>
      </c>
      <c r="S285">
        <v>7.25</v>
      </c>
      <c r="T285">
        <v>2</v>
      </c>
      <c r="U285">
        <v>0</v>
      </c>
      <c r="V285">
        <v>9.25</v>
      </c>
      <c r="W285">
        <v>112.5</v>
      </c>
      <c r="X285">
        <v>0</v>
      </c>
      <c r="Y285">
        <v>3</v>
      </c>
      <c r="Z285">
        <v>1</v>
      </c>
      <c r="AA285">
        <v>0</v>
      </c>
      <c r="AB285">
        <v>0</v>
      </c>
      <c r="AC285">
        <v>0</v>
      </c>
      <c r="AD285">
        <v>0</v>
      </c>
      <c r="AE285">
        <v>0</v>
      </c>
      <c r="AF285">
        <v>0</v>
      </c>
      <c r="AG285">
        <v>112.5</v>
      </c>
      <c r="AH285">
        <v>112.5</v>
      </c>
      <c r="AI285">
        <v>0</v>
      </c>
      <c r="AJ285">
        <v>0</v>
      </c>
      <c r="AK285">
        <v>85</v>
      </c>
      <c r="AL285">
        <v>85</v>
      </c>
      <c r="AM285">
        <v>0</v>
      </c>
      <c r="AN285">
        <v>0</v>
      </c>
      <c r="AO285">
        <v>0</v>
      </c>
      <c r="AP285">
        <v>0</v>
      </c>
      <c r="AQ285">
        <v>0</v>
      </c>
      <c r="AR285">
        <v>0</v>
      </c>
      <c r="AS285">
        <v>0</v>
      </c>
      <c r="AT285">
        <v>161</v>
      </c>
      <c r="AU285">
        <v>123</v>
      </c>
      <c r="AV285">
        <v>38</v>
      </c>
      <c r="AW285">
        <v>0</v>
      </c>
      <c r="AX285">
        <v>7.25</v>
      </c>
      <c r="AY285">
        <v>6</v>
      </c>
      <c r="AZ285">
        <v>1.25</v>
      </c>
      <c r="BA285">
        <v>0</v>
      </c>
      <c r="BB285">
        <v>2</v>
      </c>
      <c r="BC285">
        <v>1.25</v>
      </c>
      <c r="BD285">
        <v>0.75</v>
      </c>
      <c r="BE285">
        <v>0</v>
      </c>
    </row>
    <row r="286" spans="1:57">
      <c r="A286" t="s">
        <v>17148</v>
      </c>
      <c r="B286" t="s">
        <v>17304</v>
      </c>
      <c r="C286">
        <v>0</v>
      </c>
      <c r="D286">
        <v>25</v>
      </c>
      <c r="E286">
        <v>24</v>
      </c>
      <c r="F286">
        <v>19</v>
      </c>
      <c r="G286">
        <v>1</v>
      </c>
      <c r="H286">
        <v>2</v>
      </c>
      <c r="I286">
        <v>0</v>
      </c>
      <c r="J286">
        <v>16</v>
      </c>
      <c r="K286">
        <v>69</v>
      </c>
      <c r="L286">
        <v>5</v>
      </c>
      <c r="M286">
        <v>0</v>
      </c>
      <c r="N286">
        <v>0</v>
      </c>
      <c r="O286">
        <v>0</v>
      </c>
      <c r="P286">
        <v>0</v>
      </c>
      <c r="Q286">
        <v>0</v>
      </c>
      <c r="R286">
        <v>0</v>
      </c>
      <c r="S286">
        <v>7.75</v>
      </c>
      <c r="T286">
        <v>0</v>
      </c>
      <c r="U286">
        <v>0</v>
      </c>
      <c r="V286">
        <v>7.75</v>
      </c>
      <c r="W286">
        <v>77.5</v>
      </c>
      <c r="X286">
        <v>0</v>
      </c>
      <c r="Y286">
        <v>8</v>
      </c>
      <c r="Z286">
        <v>5</v>
      </c>
      <c r="AA286">
        <v>0</v>
      </c>
      <c r="AB286">
        <v>0</v>
      </c>
      <c r="AC286">
        <v>0</v>
      </c>
      <c r="AD286">
        <v>0</v>
      </c>
      <c r="AE286">
        <v>0</v>
      </c>
      <c r="AF286">
        <v>0</v>
      </c>
      <c r="AG286">
        <v>77.5</v>
      </c>
      <c r="AH286">
        <v>77.5</v>
      </c>
      <c r="AI286">
        <v>0</v>
      </c>
      <c r="AJ286">
        <v>0</v>
      </c>
      <c r="AK286">
        <v>10</v>
      </c>
      <c r="AL286">
        <v>10</v>
      </c>
      <c r="AM286">
        <v>0</v>
      </c>
      <c r="AN286">
        <v>0</v>
      </c>
      <c r="AO286">
        <v>0</v>
      </c>
      <c r="AP286">
        <v>0</v>
      </c>
      <c r="AQ286">
        <v>0</v>
      </c>
      <c r="AR286">
        <v>0</v>
      </c>
      <c r="AS286">
        <v>0</v>
      </c>
      <c r="AT286">
        <v>69</v>
      </c>
      <c r="AU286">
        <v>12</v>
      </c>
      <c r="AV286">
        <v>57</v>
      </c>
      <c r="AW286">
        <v>0</v>
      </c>
      <c r="AX286">
        <v>7.75</v>
      </c>
      <c r="AY286">
        <v>1</v>
      </c>
      <c r="AZ286">
        <v>6.75</v>
      </c>
      <c r="BA286">
        <v>0</v>
      </c>
      <c r="BB286">
        <v>0</v>
      </c>
      <c r="BC286">
        <v>0</v>
      </c>
      <c r="BD286">
        <v>0</v>
      </c>
      <c r="BE286">
        <v>0</v>
      </c>
    </row>
    <row r="287" spans="1:57">
      <c r="A287" t="s">
        <v>17150</v>
      </c>
      <c r="B287" t="s">
        <v>22088</v>
      </c>
      <c r="C287">
        <v>0</v>
      </c>
      <c r="D287">
        <v>6</v>
      </c>
      <c r="E287">
        <v>6</v>
      </c>
      <c r="F287">
        <v>6</v>
      </c>
      <c r="G287">
        <v>0</v>
      </c>
      <c r="H287">
        <v>0</v>
      </c>
      <c r="I287">
        <v>0</v>
      </c>
      <c r="J287">
        <v>6</v>
      </c>
      <c r="K287">
        <v>7</v>
      </c>
      <c r="L287">
        <v>5</v>
      </c>
      <c r="M287">
        <v>0</v>
      </c>
      <c r="N287">
        <v>0</v>
      </c>
      <c r="O287">
        <v>2</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7</v>
      </c>
      <c r="AU287">
        <v>0</v>
      </c>
      <c r="AV287">
        <v>7</v>
      </c>
      <c r="AW287">
        <v>0</v>
      </c>
      <c r="AX287">
        <v>0</v>
      </c>
      <c r="AY287">
        <v>0</v>
      </c>
      <c r="AZ287">
        <v>0</v>
      </c>
      <c r="BA287">
        <v>0</v>
      </c>
      <c r="BB287">
        <v>0</v>
      </c>
      <c r="BC287">
        <v>0</v>
      </c>
      <c r="BD287">
        <v>0</v>
      </c>
      <c r="BE287">
        <v>0</v>
      </c>
    </row>
    <row r="288" spans="1:57">
      <c r="A288" t="s">
        <v>17150</v>
      </c>
      <c r="B288" t="s">
        <v>17152</v>
      </c>
      <c r="C288">
        <v>0</v>
      </c>
      <c r="D288">
        <v>31</v>
      </c>
      <c r="E288">
        <v>28</v>
      </c>
      <c r="F288">
        <v>26</v>
      </c>
      <c r="G288">
        <v>0</v>
      </c>
      <c r="H288">
        <v>0</v>
      </c>
      <c r="I288">
        <v>0</v>
      </c>
      <c r="J288">
        <v>31</v>
      </c>
      <c r="K288">
        <v>216</v>
      </c>
      <c r="L288">
        <v>17</v>
      </c>
      <c r="M288">
        <v>0</v>
      </c>
      <c r="N288">
        <v>13</v>
      </c>
      <c r="O288">
        <v>1</v>
      </c>
      <c r="P288">
        <v>0</v>
      </c>
      <c r="Q288">
        <v>0</v>
      </c>
      <c r="R288">
        <v>0</v>
      </c>
      <c r="S288">
        <v>9.25</v>
      </c>
      <c r="T288">
        <v>6</v>
      </c>
      <c r="U288">
        <v>0</v>
      </c>
      <c r="V288">
        <v>15.25</v>
      </c>
      <c r="W288">
        <v>212.5</v>
      </c>
      <c r="X288">
        <v>0</v>
      </c>
      <c r="Y288">
        <v>0</v>
      </c>
      <c r="Z288">
        <v>0</v>
      </c>
      <c r="AA288">
        <v>0</v>
      </c>
      <c r="AB288">
        <v>212.5</v>
      </c>
      <c r="AC288">
        <v>0</v>
      </c>
      <c r="AD288">
        <v>0</v>
      </c>
      <c r="AE288">
        <v>0</v>
      </c>
      <c r="AF288">
        <v>212.5</v>
      </c>
      <c r="AG288">
        <v>212.5</v>
      </c>
      <c r="AH288">
        <v>212.5</v>
      </c>
      <c r="AI288">
        <v>0</v>
      </c>
      <c r="AJ288">
        <v>0</v>
      </c>
      <c r="AK288">
        <v>0</v>
      </c>
      <c r="AL288">
        <v>0</v>
      </c>
      <c r="AM288">
        <v>0</v>
      </c>
      <c r="AN288">
        <v>0</v>
      </c>
      <c r="AO288">
        <v>0</v>
      </c>
      <c r="AP288">
        <v>0</v>
      </c>
      <c r="AQ288">
        <v>0</v>
      </c>
      <c r="AR288">
        <v>0</v>
      </c>
      <c r="AS288">
        <v>0</v>
      </c>
      <c r="AT288">
        <v>216</v>
      </c>
      <c r="AU288">
        <v>0</v>
      </c>
      <c r="AV288">
        <v>216</v>
      </c>
      <c r="AW288">
        <v>0</v>
      </c>
      <c r="AX288">
        <v>9.25</v>
      </c>
      <c r="AY288">
        <v>0</v>
      </c>
      <c r="AZ288">
        <v>9.25</v>
      </c>
      <c r="BA288">
        <v>0</v>
      </c>
      <c r="BB288">
        <v>6</v>
      </c>
      <c r="BC288">
        <v>0</v>
      </c>
      <c r="BD288">
        <v>6</v>
      </c>
      <c r="BE288">
        <v>0</v>
      </c>
    </row>
    <row r="289" spans="1:57">
      <c r="A289" t="s">
        <v>17150</v>
      </c>
      <c r="B289" t="s">
        <v>18838</v>
      </c>
    </row>
    <row r="290" spans="1:57">
      <c r="A290" t="s">
        <v>17150</v>
      </c>
      <c r="B290" t="s">
        <v>17410</v>
      </c>
      <c r="C290">
        <v>0</v>
      </c>
      <c r="D290">
        <v>10</v>
      </c>
      <c r="E290">
        <v>10</v>
      </c>
      <c r="F290">
        <v>0</v>
      </c>
      <c r="G290">
        <v>0</v>
      </c>
      <c r="H290">
        <v>0</v>
      </c>
      <c r="I290">
        <v>0</v>
      </c>
      <c r="J290">
        <v>10</v>
      </c>
      <c r="K290">
        <v>377</v>
      </c>
      <c r="L290">
        <v>9</v>
      </c>
      <c r="M290">
        <v>0</v>
      </c>
      <c r="N290">
        <v>0</v>
      </c>
      <c r="O290">
        <v>1</v>
      </c>
      <c r="P290">
        <v>0</v>
      </c>
      <c r="Q290">
        <v>0</v>
      </c>
      <c r="R290">
        <v>0</v>
      </c>
      <c r="S290">
        <v>4</v>
      </c>
      <c r="T290">
        <v>0</v>
      </c>
      <c r="U290">
        <v>0</v>
      </c>
      <c r="V290">
        <v>4</v>
      </c>
      <c r="W290">
        <v>40</v>
      </c>
      <c r="X290">
        <v>0</v>
      </c>
      <c r="Y290">
        <v>10</v>
      </c>
      <c r="Z290">
        <v>0</v>
      </c>
      <c r="AA290">
        <v>0</v>
      </c>
      <c r="AB290">
        <v>0</v>
      </c>
      <c r="AC290">
        <v>0</v>
      </c>
      <c r="AD290">
        <v>0</v>
      </c>
      <c r="AE290">
        <v>0</v>
      </c>
      <c r="AF290">
        <v>0</v>
      </c>
      <c r="AG290">
        <v>40</v>
      </c>
      <c r="AH290">
        <v>40</v>
      </c>
      <c r="AI290">
        <v>0</v>
      </c>
      <c r="AJ290">
        <v>0</v>
      </c>
      <c r="AK290">
        <v>0</v>
      </c>
      <c r="AL290">
        <v>0</v>
      </c>
      <c r="AM290">
        <v>0</v>
      </c>
      <c r="AN290">
        <v>0</v>
      </c>
      <c r="AO290">
        <v>0</v>
      </c>
      <c r="AP290">
        <v>0</v>
      </c>
      <c r="AQ290">
        <v>0</v>
      </c>
      <c r="AR290">
        <v>0</v>
      </c>
      <c r="AS290">
        <v>0</v>
      </c>
      <c r="AT290">
        <v>377</v>
      </c>
      <c r="AU290">
        <v>0</v>
      </c>
      <c r="AV290">
        <v>377</v>
      </c>
      <c r="AW290">
        <v>0</v>
      </c>
      <c r="AX290">
        <v>4</v>
      </c>
      <c r="AY290">
        <v>0</v>
      </c>
      <c r="AZ290">
        <v>4</v>
      </c>
      <c r="BA290">
        <v>0</v>
      </c>
      <c r="BB290">
        <v>0</v>
      </c>
      <c r="BC290">
        <v>0</v>
      </c>
      <c r="BD290">
        <v>0</v>
      </c>
      <c r="BE290">
        <v>0</v>
      </c>
    </row>
    <row r="291" spans="1:57">
      <c r="A291" t="s">
        <v>17150</v>
      </c>
      <c r="B291" t="s">
        <v>22089</v>
      </c>
      <c r="C291">
        <v>0</v>
      </c>
      <c r="D291">
        <v>9</v>
      </c>
      <c r="E291">
        <v>5</v>
      </c>
      <c r="F291">
        <v>5</v>
      </c>
      <c r="G291">
        <v>1</v>
      </c>
      <c r="H291">
        <v>0</v>
      </c>
      <c r="I291">
        <v>2</v>
      </c>
      <c r="J291">
        <v>5</v>
      </c>
      <c r="K291">
        <v>27</v>
      </c>
      <c r="L291">
        <v>0</v>
      </c>
      <c r="M291">
        <v>0</v>
      </c>
      <c r="N291">
        <v>4</v>
      </c>
      <c r="O291">
        <v>3</v>
      </c>
      <c r="P291">
        <v>0</v>
      </c>
      <c r="Q291">
        <v>1</v>
      </c>
      <c r="R291">
        <v>0</v>
      </c>
      <c r="S291">
        <v>1.25</v>
      </c>
      <c r="T291">
        <v>0</v>
      </c>
      <c r="U291">
        <v>0</v>
      </c>
      <c r="V291">
        <v>1.25</v>
      </c>
      <c r="W291">
        <v>12.5</v>
      </c>
      <c r="X291">
        <v>0</v>
      </c>
      <c r="Y291">
        <v>5</v>
      </c>
      <c r="Z291">
        <v>0</v>
      </c>
      <c r="AA291">
        <v>0</v>
      </c>
      <c r="AB291">
        <v>0</v>
      </c>
      <c r="AC291">
        <v>0</v>
      </c>
      <c r="AD291">
        <v>0</v>
      </c>
      <c r="AE291">
        <v>0</v>
      </c>
      <c r="AF291">
        <v>0</v>
      </c>
      <c r="AG291">
        <v>12.5</v>
      </c>
      <c r="AH291">
        <v>12.5</v>
      </c>
      <c r="AI291">
        <v>0</v>
      </c>
      <c r="AJ291">
        <v>0</v>
      </c>
      <c r="AK291">
        <v>0</v>
      </c>
      <c r="AL291">
        <v>0</v>
      </c>
      <c r="AM291">
        <v>0</v>
      </c>
      <c r="AN291">
        <v>0</v>
      </c>
      <c r="AO291">
        <v>0</v>
      </c>
      <c r="AP291">
        <v>0</v>
      </c>
      <c r="AQ291">
        <v>0</v>
      </c>
      <c r="AR291">
        <v>0</v>
      </c>
      <c r="AS291">
        <v>0</v>
      </c>
      <c r="AT291">
        <v>27</v>
      </c>
      <c r="AU291">
        <v>0</v>
      </c>
      <c r="AV291">
        <v>27</v>
      </c>
      <c r="AW291">
        <v>0</v>
      </c>
      <c r="AX291">
        <v>1.25</v>
      </c>
      <c r="AY291">
        <v>0</v>
      </c>
      <c r="AZ291">
        <v>1.25</v>
      </c>
      <c r="BA291">
        <v>0</v>
      </c>
      <c r="BB291">
        <v>0</v>
      </c>
      <c r="BC291">
        <v>0</v>
      </c>
      <c r="BD291">
        <v>0</v>
      </c>
      <c r="BE291">
        <v>0</v>
      </c>
    </row>
    <row r="292" spans="1:57">
      <c r="A292" t="s">
        <v>17202</v>
      </c>
      <c r="B292" t="s">
        <v>17306</v>
      </c>
    </row>
    <row r="293" spans="1:57">
      <c r="A293" t="s">
        <v>17202</v>
      </c>
      <c r="B293" t="s">
        <v>21082</v>
      </c>
      <c r="C293">
        <v>0</v>
      </c>
      <c r="D293">
        <v>1</v>
      </c>
      <c r="E293">
        <v>1</v>
      </c>
      <c r="F293">
        <v>0</v>
      </c>
      <c r="G293">
        <v>0</v>
      </c>
      <c r="H293">
        <v>0</v>
      </c>
      <c r="I293">
        <v>0</v>
      </c>
      <c r="J293">
        <v>1</v>
      </c>
      <c r="K293">
        <v>16</v>
      </c>
      <c r="L293">
        <v>0</v>
      </c>
      <c r="M293">
        <v>0</v>
      </c>
      <c r="N293">
        <v>0</v>
      </c>
      <c r="O293">
        <v>0</v>
      </c>
      <c r="P293">
        <v>0</v>
      </c>
      <c r="Q293">
        <v>1</v>
      </c>
      <c r="R293">
        <v>0</v>
      </c>
      <c r="S293">
        <v>1.5</v>
      </c>
      <c r="T293">
        <v>2</v>
      </c>
      <c r="U293">
        <v>1</v>
      </c>
      <c r="V293">
        <v>4.5</v>
      </c>
      <c r="W293">
        <v>55</v>
      </c>
      <c r="X293">
        <v>0</v>
      </c>
      <c r="Y293">
        <v>0</v>
      </c>
      <c r="Z293">
        <v>0</v>
      </c>
      <c r="AA293">
        <v>0</v>
      </c>
      <c r="AB293">
        <v>0</v>
      </c>
      <c r="AC293">
        <v>0</v>
      </c>
      <c r="AD293">
        <v>0</v>
      </c>
      <c r="AE293">
        <v>0</v>
      </c>
      <c r="AF293">
        <v>0</v>
      </c>
      <c r="AG293">
        <v>75</v>
      </c>
      <c r="AH293">
        <v>75</v>
      </c>
      <c r="AI293">
        <v>0</v>
      </c>
      <c r="AJ293">
        <v>0</v>
      </c>
      <c r="AK293">
        <v>0</v>
      </c>
      <c r="AL293">
        <v>0</v>
      </c>
      <c r="AM293">
        <v>0</v>
      </c>
      <c r="AN293">
        <v>0</v>
      </c>
      <c r="AO293">
        <v>0</v>
      </c>
      <c r="AP293">
        <v>0</v>
      </c>
      <c r="AQ293">
        <v>0</v>
      </c>
      <c r="AR293">
        <v>0</v>
      </c>
      <c r="AS293">
        <v>0</v>
      </c>
      <c r="AT293">
        <v>16</v>
      </c>
      <c r="AU293">
        <v>0</v>
      </c>
      <c r="AV293">
        <v>16</v>
      </c>
      <c r="AW293">
        <v>0</v>
      </c>
      <c r="AX293">
        <v>1.5</v>
      </c>
      <c r="AY293">
        <v>0</v>
      </c>
      <c r="AZ293">
        <v>1.5</v>
      </c>
      <c r="BA293">
        <v>0</v>
      </c>
      <c r="BB293">
        <v>2</v>
      </c>
      <c r="BC293">
        <v>0</v>
      </c>
      <c r="BD293">
        <v>2</v>
      </c>
      <c r="BE293">
        <v>0</v>
      </c>
    </row>
    <row r="294" spans="1:57">
      <c r="A294" t="s">
        <v>17202</v>
      </c>
      <c r="B294" t="s">
        <v>22090</v>
      </c>
      <c r="C294">
        <v>0</v>
      </c>
      <c r="D294">
        <v>1</v>
      </c>
      <c r="E294">
        <v>1</v>
      </c>
      <c r="F294">
        <v>1</v>
      </c>
      <c r="G294">
        <v>0</v>
      </c>
      <c r="H294">
        <v>0</v>
      </c>
      <c r="I294">
        <v>0</v>
      </c>
      <c r="J294">
        <v>1</v>
      </c>
      <c r="K294">
        <v>12</v>
      </c>
      <c r="L294">
        <v>0</v>
      </c>
      <c r="M294">
        <v>0</v>
      </c>
      <c r="N294">
        <v>1</v>
      </c>
      <c r="O294">
        <v>0</v>
      </c>
      <c r="P294">
        <v>0</v>
      </c>
      <c r="Q294">
        <v>0</v>
      </c>
      <c r="R294">
        <v>0</v>
      </c>
      <c r="S294">
        <v>4</v>
      </c>
      <c r="T294">
        <v>0.5</v>
      </c>
      <c r="U294">
        <v>1</v>
      </c>
      <c r="V294">
        <v>5.5</v>
      </c>
      <c r="W294">
        <v>50</v>
      </c>
      <c r="X294">
        <v>0</v>
      </c>
      <c r="Y294">
        <v>0</v>
      </c>
      <c r="Z294">
        <v>1</v>
      </c>
      <c r="AA294">
        <v>0</v>
      </c>
      <c r="AB294">
        <v>0</v>
      </c>
      <c r="AC294">
        <v>0</v>
      </c>
      <c r="AD294">
        <v>0</v>
      </c>
      <c r="AE294">
        <v>0</v>
      </c>
      <c r="AF294">
        <v>0</v>
      </c>
      <c r="AG294">
        <v>70</v>
      </c>
      <c r="AH294">
        <v>70</v>
      </c>
      <c r="AI294">
        <v>0</v>
      </c>
      <c r="AJ294">
        <v>0</v>
      </c>
      <c r="AK294">
        <v>0</v>
      </c>
      <c r="AL294">
        <v>0</v>
      </c>
      <c r="AM294">
        <v>0</v>
      </c>
      <c r="AN294">
        <v>0</v>
      </c>
      <c r="AO294">
        <v>0</v>
      </c>
      <c r="AP294">
        <v>0</v>
      </c>
      <c r="AQ294">
        <v>0</v>
      </c>
      <c r="AR294">
        <v>0</v>
      </c>
      <c r="AS294">
        <v>0</v>
      </c>
      <c r="AT294">
        <v>12</v>
      </c>
      <c r="AU294">
        <v>0</v>
      </c>
      <c r="AV294">
        <v>12</v>
      </c>
      <c r="AW294">
        <v>0</v>
      </c>
      <c r="AX294">
        <v>4</v>
      </c>
      <c r="AY294">
        <v>0</v>
      </c>
      <c r="AZ294">
        <v>4</v>
      </c>
      <c r="BA294">
        <v>0</v>
      </c>
      <c r="BB294">
        <v>0.5</v>
      </c>
      <c r="BC294">
        <v>0</v>
      </c>
      <c r="BD294">
        <v>0.5</v>
      </c>
      <c r="BE294">
        <v>0</v>
      </c>
    </row>
    <row r="295" spans="1:57">
      <c r="A295" t="s">
        <v>17202</v>
      </c>
      <c r="B295" t="s">
        <v>18840</v>
      </c>
      <c r="C295">
        <v>4</v>
      </c>
      <c r="D295">
        <v>4</v>
      </c>
      <c r="E295">
        <v>4</v>
      </c>
      <c r="F295">
        <v>0</v>
      </c>
      <c r="G295">
        <v>0</v>
      </c>
      <c r="H295">
        <v>0</v>
      </c>
      <c r="I295">
        <v>0</v>
      </c>
      <c r="J295">
        <v>4</v>
      </c>
      <c r="K295">
        <v>29</v>
      </c>
      <c r="L295">
        <v>4</v>
      </c>
      <c r="M295">
        <v>0</v>
      </c>
      <c r="N295">
        <v>0</v>
      </c>
      <c r="O295">
        <v>0</v>
      </c>
      <c r="P295">
        <v>0</v>
      </c>
      <c r="Q295">
        <v>0</v>
      </c>
      <c r="R295">
        <v>0</v>
      </c>
      <c r="S295">
        <v>4</v>
      </c>
      <c r="T295">
        <v>4</v>
      </c>
      <c r="U295">
        <v>0</v>
      </c>
      <c r="V295">
        <v>8</v>
      </c>
      <c r="W295">
        <v>0</v>
      </c>
      <c r="X295">
        <v>0</v>
      </c>
      <c r="Y295">
        <v>0</v>
      </c>
      <c r="Z295">
        <v>0</v>
      </c>
      <c r="AA295">
        <v>-120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29</v>
      </c>
      <c r="AU295">
        <v>0</v>
      </c>
      <c r="AV295">
        <v>0</v>
      </c>
      <c r="AW295">
        <v>29</v>
      </c>
      <c r="AX295">
        <v>4</v>
      </c>
      <c r="AY295">
        <v>0</v>
      </c>
      <c r="AZ295">
        <v>0</v>
      </c>
      <c r="BA295">
        <v>4</v>
      </c>
      <c r="BB295">
        <v>4</v>
      </c>
      <c r="BC295">
        <v>0</v>
      </c>
      <c r="BD295">
        <v>0</v>
      </c>
      <c r="BE295">
        <v>4</v>
      </c>
    </row>
    <row r="296" spans="1:57">
      <c r="A296" t="s">
        <v>17202</v>
      </c>
      <c r="B296" t="s">
        <v>18840</v>
      </c>
      <c r="C296">
        <v>0</v>
      </c>
      <c r="D296">
        <v>3</v>
      </c>
      <c r="E296">
        <v>0</v>
      </c>
      <c r="F296">
        <v>1</v>
      </c>
      <c r="G296">
        <v>0</v>
      </c>
      <c r="H296">
        <v>0</v>
      </c>
      <c r="I296">
        <v>0</v>
      </c>
      <c r="J296">
        <v>3</v>
      </c>
      <c r="K296">
        <v>67</v>
      </c>
      <c r="L296">
        <v>3</v>
      </c>
      <c r="M296">
        <v>0</v>
      </c>
      <c r="N296">
        <v>0</v>
      </c>
      <c r="O296">
        <v>0</v>
      </c>
      <c r="P296">
        <v>0</v>
      </c>
      <c r="Q296">
        <v>0</v>
      </c>
      <c r="R296">
        <v>0</v>
      </c>
      <c r="S296">
        <v>4</v>
      </c>
      <c r="T296">
        <v>4</v>
      </c>
      <c r="U296">
        <v>0</v>
      </c>
      <c r="V296">
        <v>8</v>
      </c>
      <c r="W296">
        <v>120</v>
      </c>
      <c r="X296">
        <v>0</v>
      </c>
      <c r="Y296">
        <v>2</v>
      </c>
      <c r="Z296">
        <v>0</v>
      </c>
      <c r="AA296">
        <v>0</v>
      </c>
      <c r="AB296">
        <v>30</v>
      </c>
      <c r="AC296">
        <v>0</v>
      </c>
      <c r="AD296">
        <v>0</v>
      </c>
      <c r="AE296">
        <v>0</v>
      </c>
      <c r="AF296">
        <v>30</v>
      </c>
      <c r="AG296">
        <v>120</v>
      </c>
      <c r="AH296">
        <v>120</v>
      </c>
      <c r="AI296">
        <v>0</v>
      </c>
      <c r="AJ296">
        <v>0</v>
      </c>
      <c r="AK296">
        <v>0</v>
      </c>
      <c r="AL296">
        <v>0</v>
      </c>
      <c r="AM296">
        <v>0</v>
      </c>
      <c r="AN296">
        <v>0</v>
      </c>
      <c r="AO296">
        <v>0</v>
      </c>
      <c r="AP296">
        <v>0</v>
      </c>
      <c r="AQ296">
        <v>0</v>
      </c>
      <c r="AR296">
        <v>0</v>
      </c>
      <c r="AS296">
        <v>0</v>
      </c>
      <c r="AT296">
        <v>67</v>
      </c>
      <c r="AU296">
        <v>0</v>
      </c>
      <c r="AV296">
        <v>67</v>
      </c>
      <c r="AW296">
        <v>0</v>
      </c>
      <c r="AX296">
        <v>4</v>
      </c>
      <c r="AY296">
        <v>0</v>
      </c>
      <c r="AZ296">
        <v>4</v>
      </c>
      <c r="BA296">
        <v>0</v>
      </c>
      <c r="BB296">
        <v>4</v>
      </c>
      <c r="BC296">
        <v>0</v>
      </c>
      <c r="BD296">
        <v>4</v>
      </c>
      <c r="BE296">
        <v>0</v>
      </c>
    </row>
    <row r="297" spans="1:57">
      <c r="A297" t="s">
        <v>17202</v>
      </c>
      <c r="B297" t="s">
        <v>22092</v>
      </c>
      <c r="C297">
        <v>0</v>
      </c>
      <c r="D297">
        <v>2</v>
      </c>
      <c r="E297">
        <v>2</v>
      </c>
      <c r="F297">
        <v>2</v>
      </c>
      <c r="G297">
        <v>0</v>
      </c>
      <c r="H297">
        <v>1</v>
      </c>
      <c r="I297">
        <v>0</v>
      </c>
      <c r="J297">
        <v>2</v>
      </c>
      <c r="K297">
        <v>32</v>
      </c>
      <c r="L297">
        <v>0</v>
      </c>
      <c r="M297">
        <v>2</v>
      </c>
      <c r="N297">
        <v>0</v>
      </c>
      <c r="O297">
        <v>0</v>
      </c>
      <c r="P297">
        <v>0</v>
      </c>
      <c r="Q297">
        <v>0</v>
      </c>
      <c r="R297">
        <v>0</v>
      </c>
      <c r="S297">
        <v>2</v>
      </c>
      <c r="T297">
        <v>8</v>
      </c>
      <c r="U297">
        <v>17</v>
      </c>
      <c r="V297">
        <v>27</v>
      </c>
      <c r="W297">
        <v>180</v>
      </c>
      <c r="X297">
        <v>0</v>
      </c>
      <c r="Y297">
        <v>2</v>
      </c>
      <c r="Z297">
        <v>0</v>
      </c>
      <c r="AA297">
        <v>0</v>
      </c>
      <c r="AB297">
        <v>120</v>
      </c>
      <c r="AC297">
        <v>0</v>
      </c>
      <c r="AD297">
        <v>0</v>
      </c>
      <c r="AE297">
        <v>0</v>
      </c>
      <c r="AF297">
        <v>120</v>
      </c>
      <c r="AG297">
        <v>520</v>
      </c>
      <c r="AH297">
        <v>520</v>
      </c>
      <c r="AI297">
        <v>0</v>
      </c>
      <c r="AJ297">
        <v>60</v>
      </c>
      <c r="AK297">
        <v>270</v>
      </c>
      <c r="AL297">
        <v>270</v>
      </c>
      <c r="AM297">
        <v>0</v>
      </c>
      <c r="AN297">
        <v>0</v>
      </c>
      <c r="AO297">
        <v>0</v>
      </c>
      <c r="AP297">
        <v>0</v>
      </c>
      <c r="AQ297">
        <v>0</v>
      </c>
      <c r="AR297">
        <v>0</v>
      </c>
      <c r="AS297">
        <v>0</v>
      </c>
      <c r="AT297">
        <v>32</v>
      </c>
      <c r="AU297">
        <v>22</v>
      </c>
      <c r="AV297">
        <v>10</v>
      </c>
      <c r="AW297">
        <v>0</v>
      </c>
      <c r="AX297">
        <v>2</v>
      </c>
      <c r="AY297">
        <v>1</v>
      </c>
      <c r="AZ297">
        <v>1</v>
      </c>
      <c r="BA297">
        <v>0</v>
      </c>
      <c r="BB297">
        <v>8</v>
      </c>
      <c r="BC297">
        <v>4</v>
      </c>
      <c r="BD297">
        <v>4</v>
      </c>
      <c r="BE297">
        <v>0</v>
      </c>
    </row>
    <row r="298" spans="1:57">
      <c r="A298" t="s">
        <v>17202</v>
      </c>
      <c r="B298" t="s">
        <v>22091</v>
      </c>
      <c r="C298">
        <v>0</v>
      </c>
      <c r="D298">
        <v>1</v>
      </c>
      <c r="E298">
        <v>1</v>
      </c>
      <c r="F298">
        <v>1</v>
      </c>
      <c r="G298">
        <v>0</v>
      </c>
      <c r="H298">
        <v>0</v>
      </c>
      <c r="I298">
        <v>0</v>
      </c>
      <c r="J298">
        <v>1</v>
      </c>
      <c r="K298">
        <v>12</v>
      </c>
      <c r="L298">
        <v>0</v>
      </c>
      <c r="M298">
        <v>0</v>
      </c>
      <c r="N298">
        <v>1</v>
      </c>
      <c r="O298">
        <v>0</v>
      </c>
      <c r="P298">
        <v>0</v>
      </c>
      <c r="Q298">
        <v>0</v>
      </c>
      <c r="R298">
        <v>0</v>
      </c>
      <c r="S298">
        <v>8</v>
      </c>
      <c r="T298">
        <v>0.5</v>
      </c>
      <c r="U298">
        <v>4</v>
      </c>
      <c r="V298">
        <v>12.5</v>
      </c>
      <c r="W298">
        <v>90</v>
      </c>
      <c r="X298">
        <v>0</v>
      </c>
      <c r="Y298">
        <v>0</v>
      </c>
      <c r="Z298">
        <v>1</v>
      </c>
      <c r="AA298">
        <v>0</v>
      </c>
      <c r="AB298">
        <v>30</v>
      </c>
      <c r="AC298">
        <v>0</v>
      </c>
      <c r="AD298">
        <v>0</v>
      </c>
      <c r="AE298">
        <v>0</v>
      </c>
      <c r="AF298">
        <v>30</v>
      </c>
      <c r="AG298">
        <v>170</v>
      </c>
      <c r="AH298">
        <v>170</v>
      </c>
      <c r="AI298">
        <v>0</v>
      </c>
      <c r="AJ298">
        <v>0</v>
      </c>
      <c r="AK298">
        <v>0</v>
      </c>
      <c r="AL298">
        <v>0</v>
      </c>
      <c r="AM298">
        <v>0</v>
      </c>
      <c r="AN298">
        <v>0</v>
      </c>
      <c r="AO298">
        <v>0</v>
      </c>
      <c r="AP298">
        <v>0</v>
      </c>
      <c r="AQ298">
        <v>0</v>
      </c>
      <c r="AR298">
        <v>0</v>
      </c>
      <c r="AS298">
        <v>0</v>
      </c>
      <c r="AT298">
        <v>12</v>
      </c>
      <c r="AU298">
        <v>0</v>
      </c>
      <c r="AV298">
        <v>12</v>
      </c>
      <c r="AW298">
        <v>0</v>
      </c>
      <c r="AX298">
        <v>8</v>
      </c>
      <c r="AY298">
        <v>0</v>
      </c>
      <c r="AZ298">
        <v>8</v>
      </c>
      <c r="BA298">
        <v>0</v>
      </c>
      <c r="BB298">
        <v>0.5</v>
      </c>
      <c r="BC298">
        <v>0</v>
      </c>
      <c r="BD298">
        <v>0.5</v>
      </c>
      <c r="BE298">
        <v>0</v>
      </c>
    </row>
    <row r="299" spans="1:57">
      <c r="A299" t="s">
        <v>17202</v>
      </c>
      <c r="B299" t="s">
        <v>21083</v>
      </c>
    </row>
    <row r="300" spans="1:57">
      <c r="A300" t="s">
        <v>17202</v>
      </c>
      <c r="B300" t="s">
        <v>19988</v>
      </c>
      <c r="C300">
        <v>0</v>
      </c>
      <c r="D300">
        <v>1</v>
      </c>
      <c r="E300">
        <v>1</v>
      </c>
      <c r="F300">
        <v>1</v>
      </c>
      <c r="G300">
        <v>0</v>
      </c>
      <c r="H300">
        <v>1</v>
      </c>
      <c r="I300">
        <v>0</v>
      </c>
      <c r="J300">
        <v>1</v>
      </c>
      <c r="K300">
        <v>21</v>
      </c>
      <c r="L300">
        <v>0</v>
      </c>
      <c r="M300">
        <v>1</v>
      </c>
      <c r="N300">
        <v>0</v>
      </c>
      <c r="O300">
        <v>0</v>
      </c>
      <c r="P300">
        <v>0</v>
      </c>
      <c r="Q300">
        <v>0</v>
      </c>
      <c r="R300">
        <v>0</v>
      </c>
      <c r="S300">
        <v>7</v>
      </c>
      <c r="T300">
        <v>11</v>
      </c>
      <c r="U300">
        <v>85</v>
      </c>
      <c r="V300">
        <v>103</v>
      </c>
      <c r="W300">
        <v>290</v>
      </c>
      <c r="X300">
        <v>0</v>
      </c>
      <c r="Y300">
        <v>1</v>
      </c>
      <c r="Z300">
        <v>0</v>
      </c>
      <c r="AA300">
        <v>0</v>
      </c>
      <c r="AB300">
        <v>260</v>
      </c>
      <c r="AC300">
        <v>0</v>
      </c>
      <c r="AD300">
        <v>0</v>
      </c>
      <c r="AE300">
        <v>0</v>
      </c>
      <c r="AF300">
        <v>260</v>
      </c>
      <c r="AG300">
        <v>1990</v>
      </c>
      <c r="AH300">
        <v>1990</v>
      </c>
      <c r="AI300">
        <v>0</v>
      </c>
      <c r="AJ300">
        <v>260</v>
      </c>
      <c r="AK300">
        <v>1990</v>
      </c>
      <c r="AL300">
        <v>1990</v>
      </c>
      <c r="AM300">
        <v>0</v>
      </c>
      <c r="AN300">
        <v>0</v>
      </c>
      <c r="AO300">
        <v>0</v>
      </c>
      <c r="AP300">
        <v>0</v>
      </c>
      <c r="AQ300">
        <v>0</v>
      </c>
      <c r="AR300">
        <v>0</v>
      </c>
      <c r="AS300">
        <v>0</v>
      </c>
      <c r="AT300">
        <v>21</v>
      </c>
      <c r="AU300">
        <v>21</v>
      </c>
      <c r="AV300">
        <v>0</v>
      </c>
      <c r="AW300">
        <v>0</v>
      </c>
      <c r="AX300">
        <v>7</v>
      </c>
      <c r="AY300">
        <v>7</v>
      </c>
      <c r="AZ300">
        <v>0</v>
      </c>
      <c r="BA300">
        <v>0</v>
      </c>
      <c r="BB300">
        <v>11</v>
      </c>
      <c r="BC300">
        <v>11</v>
      </c>
      <c r="BD300">
        <v>0</v>
      </c>
      <c r="BE300">
        <v>0</v>
      </c>
    </row>
    <row r="301" spans="1:57">
      <c r="A301" t="s">
        <v>17202</v>
      </c>
      <c r="B301" t="s">
        <v>18843</v>
      </c>
      <c r="C301">
        <v>0</v>
      </c>
      <c r="D301">
        <v>5</v>
      </c>
      <c r="E301">
        <v>5</v>
      </c>
      <c r="F301">
        <v>5</v>
      </c>
      <c r="G301">
        <v>0</v>
      </c>
      <c r="H301">
        <v>1</v>
      </c>
      <c r="I301">
        <v>1</v>
      </c>
      <c r="J301">
        <v>5</v>
      </c>
      <c r="K301">
        <v>74</v>
      </c>
      <c r="L301">
        <v>3</v>
      </c>
      <c r="M301">
        <v>1</v>
      </c>
      <c r="N301">
        <v>1</v>
      </c>
      <c r="O301">
        <v>0</v>
      </c>
      <c r="P301">
        <v>0</v>
      </c>
      <c r="Q301">
        <v>0</v>
      </c>
      <c r="R301">
        <v>0</v>
      </c>
      <c r="S301">
        <v>17.25</v>
      </c>
      <c r="T301">
        <v>4</v>
      </c>
      <c r="U301">
        <v>1</v>
      </c>
      <c r="V301">
        <v>22.25</v>
      </c>
      <c r="W301">
        <v>252.5</v>
      </c>
      <c r="X301">
        <v>0</v>
      </c>
      <c r="Y301">
        <v>3</v>
      </c>
      <c r="Z301">
        <v>1</v>
      </c>
      <c r="AA301">
        <v>0</v>
      </c>
      <c r="AB301">
        <v>170</v>
      </c>
      <c r="AC301">
        <v>525</v>
      </c>
      <c r="AD301">
        <v>525</v>
      </c>
      <c r="AE301">
        <v>525</v>
      </c>
      <c r="AF301">
        <v>695</v>
      </c>
      <c r="AG301">
        <v>797.5</v>
      </c>
      <c r="AH301">
        <v>272.5</v>
      </c>
      <c r="AI301">
        <v>170</v>
      </c>
      <c r="AJ301">
        <v>340</v>
      </c>
      <c r="AK301">
        <v>420</v>
      </c>
      <c r="AL301">
        <v>250</v>
      </c>
      <c r="AM301">
        <v>0</v>
      </c>
      <c r="AN301">
        <v>0</v>
      </c>
      <c r="AO301">
        <v>0</v>
      </c>
      <c r="AP301">
        <v>2</v>
      </c>
      <c r="AQ301">
        <v>0</v>
      </c>
      <c r="AR301">
        <v>0</v>
      </c>
      <c r="AS301">
        <v>0</v>
      </c>
      <c r="AT301">
        <v>74</v>
      </c>
      <c r="AU301">
        <v>54</v>
      </c>
      <c r="AV301">
        <v>20</v>
      </c>
      <c r="AW301">
        <v>0</v>
      </c>
      <c r="AX301">
        <v>17.25</v>
      </c>
      <c r="AY301">
        <v>15</v>
      </c>
      <c r="AZ301">
        <v>2.25</v>
      </c>
      <c r="BA301">
        <v>0</v>
      </c>
      <c r="BB301">
        <v>4</v>
      </c>
      <c r="BC301">
        <v>4</v>
      </c>
      <c r="BD301">
        <v>0</v>
      </c>
      <c r="BE301">
        <v>0</v>
      </c>
    </row>
    <row r="302" spans="1:57">
      <c r="A302" t="s">
        <v>17140</v>
      </c>
      <c r="B302" t="s">
        <v>17155</v>
      </c>
      <c r="C302">
        <v>0</v>
      </c>
      <c r="D302">
        <v>4</v>
      </c>
      <c r="E302">
        <v>4</v>
      </c>
      <c r="F302">
        <v>3</v>
      </c>
      <c r="G302">
        <v>4</v>
      </c>
      <c r="H302">
        <v>0</v>
      </c>
      <c r="I302">
        <v>0</v>
      </c>
      <c r="J302">
        <v>6</v>
      </c>
      <c r="K302">
        <v>36</v>
      </c>
      <c r="L302">
        <v>0</v>
      </c>
      <c r="M302">
        <v>0</v>
      </c>
      <c r="N302">
        <v>0</v>
      </c>
      <c r="O302">
        <v>0</v>
      </c>
      <c r="P302">
        <v>0</v>
      </c>
      <c r="Q302">
        <v>6</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36</v>
      </c>
      <c r="AU302">
        <v>0</v>
      </c>
      <c r="AV302">
        <v>36</v>
      </c>
      <c r="AW302">
        <v>0</v>
      </c>
      <c r="AX302">
        <v>0</v>
      </c>
      <c r="AY302">
        <v>0</v>
      </c>
      <c r="AZ302">
        <v>0</v>
      </c>
      <c r="BA302">
        <v>0</v>
      </c>
      <c r="BB302">
        <v>0</v>
      </c>
      <c r="BC302">
        <v>0</v>
      </c>
      <c r="BD302">
        <v>0</v>
      </c>
      <c r="BE302">
        <v>0</v>
      </c>
    </row>
    <row r="303" spans="1:57">
      <c r="A303" t="s">
        <v>17140</v>
      </c>
      <c r="B303" t="s">
        <v>17156</v>
      </c>
      <c r="C303">
        <v>0</v>
      </c>
      <c r="D303">
        <v>5</v>
      </c>
      <c r="E303">
        <v>5</v>
      </c>
      <c r="F303">
        <v>5</v>
      </c>
      <c r="G303">
        <v>0</v>
      </c>
      <c r="H303">
        <v>0</v>
      </c>
      <c r="I303">
        <v>0</v>
      </c>
      <c r="J303">
        <v>5</v>
      </c>
      <c r="K303">
        <v>16</v>
      </c>
      <c r="L303">
        <v>2</v>
      </c>
      <c r="M303">
        <v>2</v>
      </c>
      <c r="N303">
        <v>1</v>
      </c>
      <c r="O303">
        <v>0</v>
      </c>
      <c r="P303">
        <v>0</v>
      </c>
      <c r="Q303">
        <v>0</v>
      </c>
      <c r="R303">
        <v>0</v>
      </c>
      <c r="S303">
        <v>11</v>
      </c>
      <c r="T303">
        <v>0</v>
      </c>
      <c r="U303">
        <v>0</v>
      </c>
      <c r="V303">
        <v>10</v>
      </c>
      <c r="W303">
        <v>100</v>
      </c>
      <c r="X303">
        <v>0</v>
      </c>
      <c r="Y303">
        <v>4</v>
      </c>
      <c r="Z303">
        <v>0</v>
      </c>
      <c r="AA303">
        <v>0</v>
      </c>
      <c r="AB303">
        <v>30</v>
      </c>
      <c r="AC303">
        <v>117.5</v>
      </c>
      <c r="AD303">
        <v>117.5</v>
      </c>
      <c r="AE303">
        <v>117.5</v>
      </c>
      <c r="AF303">
        <v>147.5</v>
      </c>
      <c r="AG303">
        <v>217.5</v>
      </c>
      <c r="AH303">
        <v>100</v>
      </c>
      <c r="AI303">
        <v>0</v>
      </c>
      <c r="AJ303">
        <v>0</v>
      </c>
      <c r="AK303">
        <v>0</v>
      </c>
      <c r="AL303">
        <v>0</v>
      </c>
      <c r="AM303">
        <v>0</v>
      </c>
      <c r="AN303">
        <v>0</v>
      </c>
      <c r="AO303">
        <v>0</v>
      </c>
      <c r="AP303">
        <v>1</v>
      </c>
      <c r="AQ303">
        <v>0</v>
      </c>
      <c r="AR303">
        <v>0</v>
      </c>
      <c r="AS303">
        <v>0</v>
      </c>
      <c r="AT303">
        <v>16</v>
      </c>
      <c r="AU303">
        <v>0</v>
      </c>
      <c r="AV303">
        <v>16</v>
      </c>
      <c r="AW303">
        <v>0</v>
      </c>
      <c r="AX303">
        <v>11</v>
      </c>
      <c r="AY303">
        <v>0</v>
      </c>
      <c r="AZ303">
        <v>11</v>
      </c>
      <c r="BA303">
        <v>0</v>
      </c>
      <c r="BB303">
        <v>0</v>
      </c>
      <c r="BC303">
        <v>0</v>
      </c>
      <c r="BD303">
        <v>0</v>
      </c>
      <c r="BE303">
        <v>0</v>
      </c>
    </row>
    <row r="304" spans="1:57">
      <c r="A304" t="s">
        <v>17140</v>
      </c>
      <c r="B304" t="s">
        <v>17157</v>
      </c>
      <c r="C304">
        <v>0</v>
      </c>
      <c r="D304">
        <v>5</v>
      </c>
      <c r="E304">
        <v>5</v>
      </c>
      <c r="F304">
        <v>5</v>
      </c>
      <c r="G304">
        <v>0</v>
      </c>
      <c r="H304">
        <v>0</v>
      </c>
      <c r="I304">
        <v>0</v>
      </c>
      <c r="J304">
        <v>5</v>
      </c>
      <c r="K304">
        <v>22</v>
      </c>
      <c r="L304">
        <v>5</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22</v>
      </c>
      <c r="AU304">
        <v>0</v>
      </c>
      <c r="AV304">
        <v>22</v>
      </c>
      <c r="AW304">
        <v>0</v>
      </c>
      <c r="AX304">
        <v>0</v>
      </c>
      <c r="AY304">
        <v>0</v>
      </c>
      <c r="AZ304">
        <v>0</v>
      </c>
      <c r="BA304">
        <v>0</v>
      </c>
      <c r="BB304">
        <v>0</v>
      </c>
      <c r="BC304">
        <v>0</v>
      </c>
      <c r="BD304">
        <v>0</v>
      </c>
      <c r="BE304">
        <v>0</v>
      </c>
    </row>
    <row r="305" spans="1:57">
      <c r="A305" t="s">
        <v>17140</v>
      </c>
      <c r="B305" t="s">
        <v>17157</v>
      </c>
      <c r="C305">
        <v>0</v>
      </c>
      <c r="D305">
        <v>3</v>
      </c>
      <c r="E305">
        <v>3</v>
      </c>
      <c r="F305">
        <v>2</v>
      </c>
      <c r="G305">
        <v>1</v>
      </c>
      <c r="H305">
        <v>0</v>
      </c>
      <c r="I305">
        <v>0</v>
      </c>
      <c r="J305">
        <v>3</v>
      </c>
      <c r="K305">
        <v>27</v>
      </c>
      <c r="L305">
        <v>3</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27</v>
      </c>
      <c r="AU305">
        <v>0</v>
      </c>
      <c r="AV305">
        <v>27</v>
      </c>
      <c r="AW305">
        <v>0</v>
      </c>
      <c r="AX305">
        <v>0</v>
      </c>
      <c r="AY305">
        <v>0</v>
      </c>
      <c r="AZ305">
        <v>0</v>
      </c>
      <c r="BA305">
        <v>0</v>
      </c>
      <c r="BB305">
        <v>0</v>
      </c>
      <c r="BC305">
        <v>0</v>
      </c>
      <c r="BD305">
        <v>0</v>
      </c>
      <c r="BE305">
        <v>0</v>
      </c>
    </row>
    <row r="306" spans="1:57">
      <c r="A306" t="s">
        <v>17140</v>
      </c>
      <c r="B306" t="s">
        <v>17159</v>
      </c>
      <c r="C306">
        <v>0</v>
      </c>
      <c r="D306">
        <v>3</v>
      </c>
      <c r="E306">
        <v>3</v>
      </c>
      <c r="F306">
        <v>0</v>
      </c>
      <c r="G306">
        <v>0</v>
      </c>
      <c r="H306">
        <v>0</v>
      </c>
      <c r="I306">
        <v>0</v>
      </c>
      <c r="J306">
        <v>3</v>
      </c>
      <c r="K306">
        <v>6</v>
      </c>
      <c r="L306">
        <v>3</v>
      </c>
      <c r="M306">
        <v>0</v>
      </c>
      <c r="N306">
        <v>0</v>
      </c>
      <c r="O306">
        <v>0</v>
      </c>
      <c r="P306">
        <v>0</v>
      </c>
      <c r="Q306">
        <v>0</v>
      </c>
      <c r="R306">
        <v>0</v>
      </c>
      <c r="S306">
        <v>0.75</v>
      </c>
      <c r="T306">
        <v>1.5</v>
      </c>
      <c r="U306">
        <v>0</v>
      </c>
      <c r="V306">
        <v>2.25</v>
      </c>
      <c r="W306">
        <v>37.5</v>
      </c>
      <c r="X306">
        <v>0</v>
      </c>
      <c r="Y306">
        <v>3</v>
      </c>
      <c r="Z306">
        <v>0</v>
      </c>
      <c r="AA306">
        <v>0</v>
      </c>
      <c r="AB306">
        <v>0</v>
      </c>
      <c r="AC306">
        <v>0</v>
      </c>
      <c r="AD306">
        <v>0</v>
      </c>
      <c r="AE306">
        <v>0</v>
      </c>
      <c r="AF306">
        <v>0</v>
      </c>
      <c r="AG306">
        <v>37.5</v>
      </c>
      <c r="AH306">
        <v>37.5</v>
      </c>
      <c r="AI306">
        <v>0</v>
      </c>
      <c r="AJ306">
        <v>0</v>
      </c>
      <c r="AK306">
        <v>0</v>
      </c>
      <c r="AL306">
        <v>0</v>
      </c>
      <c r="AM306">
        <v>0</v>
      </c>
      <c r="AN306">
        <v>0</v>
      </c>
      <c r="AO306">
        <v>0</v>
      </c>
      <c r="AP306">
        <v>0</v>
      </c>
      <c r="AQ306">
        <v>0</v>
      </c>
      <c r="AR306">
        <v>0</v>
      </c>
      <c r="AS306">
        <v>0</v>
      </c>
      <c r="AT306">
        <v>6</v>
      </c>
      <c r="AU306">
        <v>0</v>
      </c>
      <c r="AV306">
        <v>6</v>
      </c>
      <c r="AW306">
        <v>0</v>
      </c>
      <c r="AX306">
        <v>0.75</v>
      </c>
      <c r="AY306">
        <v>0</v>
      </c>
      <c r="AZ306">
        <v>0.75</v>
      </c>
      <c r="BA306">
        <v>0</v>
      </c>
      <c r="BB306">
        <v>1.5</v>
      </c>
      <c r="BC306">
        <v>0</v>
      </c>
      <c r="BD306">
        <v>1.5</v>
      </c>
      <c r="BE306">
        <v>0</v>
      </c>
    </row>
    <row r="307" spans="1:57">
      <c r="A307" t="s">
        <v>17140</v>
      </c>
      <c r="B307" t="s">
        <v>17160</v>
      </c>
      <c r="C307">
        <v>0</v>
      </c>
      <c r="D307">
        <v>4</v>
      </c>
      <c r="E307">
        <v>4</v>
      </c>
      <c r="F307">
        <v>4</v>
      </c>
      <c r="G307">
        <v>0</v>
      </c>
      <c r="H307">
        <v>0</v>
      </c>
      <c r="I307">
        <v>0</v>
      </c>
      <c r="J307">
        <v>4</v>
      </c>
      <c r="K307">
        <v>10</v>
      </c>
      <c r="L307">
        <v>1</v>
      </c>
      <c r="M307">
        <v>0</v>
      </c>
      <c r="N307">
        <v>0</v>
      </c>
      <c r="O307">
        <v>2</v>
      </c>
      <c r="P307">
        <v>1</v>
      </c>
      <c r="Q307">
        <v>0</v>
      </c>
      <c r="R307">
        <v>0</v>
      </c>
      <c r="S307">
        <v>0.25</v>
      </c>
      <c r="T307">
        <v>0</v>
      </c>
      <c r="U307">
        <v>0</v>
      </c>
      <c r="V307">
        <v>0.25</v>
      </c>
      <c r="W307">
        <v>2.5</v>
      </c>
      <c r="X307">
        <v>0</v>
      </c>
      <c r="Y307">
        <v>1</v>
      </c>
      <c r="Z307">
        <v>0</v>
      </c>
      <c r="AA307">
        <v>0</v>
      </c>
      <c r="AB307">
        <v>0</v>
      </c>
      <c r="AC307">
        <v>0</v>
      </c>
      <c r="AD307">
        <v>0</v>
      </c>
      <c r="AE307">
        <v>0</v>
      </c>
      <c r="AF307">
        <v>0</v>
      </c>
      <c r="AG307">
        <v>2.5</v>
      </c>
      <c r="AH307">
        <v>2.5</v>
      </c>
      <c r="AI307">
        <v>0</v>
      </c>
      <c r="AJ307">
        <v>0</v>
      </c>
      <c r="AK307">
        <v>0</v>
      </c>
      <c r="AL307">
        <v>0</v>
      </c>
      <c r="AM307">
        <v>0</v>
      </c>
      <c r="AN307">
        <v>0</v>
      </c>
      <c r="AO307">
        <v>0</v>
      </c>
      <c r="AP307">
        <v>0</v>
      </c>
      <c r="AQ307">
        <v>0</v>
      </c>
      <c r="AR307">
        <v>0</v>
      </c>
      <c r="AS307">
        <v>0</v>
      </c>
      <c r="AT307">
        <v>10</v>
      </c>
      <c r="AU307">
        <v>0</v>
      </c>
      <c r="AV307">
        <v>10</v>
      </c>
      <c r="AW307">
        <v>0</v>
      </c>
      <c r="AX307">
        <v>0.25</v>
      </c>
      <c r="AY307">
        <v>0</v>
      </c>
      <c r="AZ307">
        <v>0.25</v>
      </c>
      <c r="BA307">
        <v>0</v>
      </c>
      <c r="BB307">
        <v>0</v>
      </c>
      <c r="BC307">
        <v>0</v>
      </c>
      <c r="BD307">
        <v>0</v>
      </c>
      <c r="BE307">
        <v>0</v>
      </c>
    </row>
    <row r="308" spans="1:57">
      <c r="A308" t="s">
        <v>17140</v>
      </c>
      <c r="B308" t="s">
        <v>17161</v>
      </c>
      <c r="C308">
        <v>0</v>
      </c>
      <c r="D308">
        <v>29</v>
      </c>
      <c r="E308">
        <v>12</v>
      </c>
      <c r="F308">
        <v>26</v>
      </c>
      <c r="G308">
        <v>2</v>
      </c>
      <c r="H308">
        <v>4</v>
      </c>
      <c r="I308">
        <v>0</v>
      </c>
      <c r="J308">
        <v>26</v>
      </c>
      <c r="K308">
        <v>188</v>
      </c>
      <c r="L308">
        <v>17</v>
      </c>
      <c r="M308">
        <v>2</v>
      </c>
      <c r="N308">
        <v>0</v>
      </c>
      <c r="O308">
        <v>8</v>
      </c>
      <c r="P308">
        <v>0</v>
      </c>
      <c r="Q308">
        <v>0</v>
      </c>
      <c r="R308">
        <v>0</v>
      </c>
      <c r="S308">
        <v>9.5</v>
      </c>
      <c r="T308">
        <v>14.25</v>
      </c>
      <c r="U308">
        <v>0</v>
      </c>
      <c r="V308">
        <v>23.75</v>
      </c>
      <c r="W308">
        <v>380</v>
      </c>
      <c r="X308">
        <v>0</v>
      </c>
      <c r="Y308">
        <v>27</v>
      </c>
      <c r="Z308">
        <v>0</v>
      </c>
      <c r="AA308">
        <v>0</v>
      </c>
      <c r="AB308">
        <v>45</v>
      </c>
      <c r="AC308">
        <v>0</v>
      </c>
      <c r="AD308">
        <v>0</v>
      </c>
      <c r="AE308">
        <v>45</v>
      </c>
      <c r="AF308">
        <v>45</v>
      </c>
      <c r="AG308">
        <v>380</v>
      </c>
      <c r="AH308">
        <v>335</v>
      </c>
      <c r="AI308">
        <v>45</v>
      </c>
      <c r="AJ308">
        <v>45</v>
      </c>
      <c r="AK308">
        <v>137.5</v>
      </c>
      <c r="AL308">
        <v>92.5</v>
      </c>
      <c r="AM308">
        <v>0</v>
      </c>
      <c r="AN308">
        <v>1</v>
      </c>
      <c r="AO308">
        <v>0</v>
      </c>
      <c r="AP308">
        <v>0</v>
      </c>
      <c r="AQ308">
        <v>0</v>
      </c>
      <c r="AR308">
        <v>0</v>
      </c>
      <c r="AS308">
        <v>0</v>
      </c>
      <c r="AT308">
        <v>188</v>
      </c>
      <c r="AU308">
        <v>48</v>
      </c>
      <c r="AV308">
        <v>140</v>
      </c>
      <c r="AW308">
        <v>0</v>
      </c>
      <c r="AX308">
        <v>9.5</v>
      </c>
      <c r="AY308">
        <v>2.25</v>
      </c>
      <c r="AZ308">
        <v>7.25</v>
      </c>
      <c r="BA308">
        <v>0</v>
      </c>
      <c r="BB308">
        <v>14.25</v>
      </c>
      <c r="BC308">
        <v>5.75</v>
      </c>
      <c r="BD308">
        <v>8.5</v>
      </c>
      <c r="BE308">
        <v>0</v>
      </c>
    </row>
    <row r="309" spans="1:57">
      <c r="A309" t="s">
        <v>17140</v>
      </c>
      <c r="B309" t="s">
        <v>17141</v>
      </c>
      <c r="C309">
        <v>1</v>
      </c>
      <c r="D309">
        <v>1</v>
      </c>
      <c r="E309">
        <v>0</v>
      </c>
      <c r="F309">
        <v>0</v>
      </c>
      <c r="G309">
        <v>0</v>
      </c>
      <c r="H309">
        <v>0</v>
      </c>
      <c r="I309">
        <v>0</v>
      </c>
      <c r="J309">
        <v>1</v>
      </c>
      <c r="K309">
        <v>1</v>
      </c>
      <c r="L309">
        <v>1</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1</v>
      </c>
      <c r="AU309">
        <v>0</v>
      </c>
      <c r="AV309">
        <v>0</v>
      </c>
      <c r="AW309">
        <v>1</v>
      </c>
      <c r="AX309">
        <v>0</v>
      </c>
      <c r="AY309">
        <v>0</v>
      </c>
      <c r="AZ309">
        <v>0</v>
      </c>
      <c r="BA309">
        <v>0</v>
      </c>
      <c r="BB309">
        <v>0</v>
      </c>
      <c r="BC309">
        <v>0</v>
      </c>
      <c r="BD309">
        <v>0</v>
      </c>
      <c r="BE309">
        <v>0</v>
      </c>
    </row>
    <row r="310" spans="1:57">
      <c r="A310" t="s">
        <v>17140</v>
      </c>
      <c r="B310" t="s">
        <v>17162</v>
      </c>
      <c r="C310">
        <v>0</v>
      </c>
      <c r="D310">
        <v>6</v>
      </c>
      <c r="E310">
        <v>0</v>
      </c>
      <c r="F310">
        <v>5</v>
      </c>
      <c r="G310">
        <v>1</v>
      </c>
      <c r="H310">
        <v>1</v>
      </c>
      <c r="I310">
        <v>1</v>
      </c>
      <c r="J310">
        <v>6</v>
      </c>
      <c r="K310">
        <v>39</v>
      </c>
      <c r="L310">
        <v>3</v>
      </c>
      <c r="M310">
        <v>0</v>
      </c>
      <c r="N310">
        <v>2</v>
      </c>
      <c r="O310">
        <v>1</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39</v>
      </c>
      <c r="AU310">
        <v>17</v>
      </c>
      <c r="AV310">
        <v>22</v>
      </c>
      <c r="AW310">
        <v>0</v>
      </c>
      <c r="AX310">
        <v>0</v>
      </c>
      <c r="AY310">
        <v>0</v>
      </c>
      <c r="AZ310">
        <v>0</v>
      </c>
      <c r="BA310">
        <v>0</v>
      </c>
      <c r="BB310">
        <v>0</v>
      </c>
      <c r="BC310">
        <v>0</v>
      </c>
      <c r="BD310">
        <v>0</v>
      </c>
      <c r="BE310">
        <v>0</v>
      </c>
    </row>
    <row r="311" spans="1:57">
      <c r="A311" t="s">
        <v>17140</v>
      </c>
      <c r="B311" t="s">
        <v>17165</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row>
    <row r="312" spans="1:57">
      <c r="A312" t="s">
        <v>17140</v>
      </c>
      <c r="B312" t="s">
        <v>17166</v>
      </c>
      <c r="C312">
        <v>0</v>
      </c>
      <c r="D312">
        <v>14</v>
      </c>
      <c r="E312">
        <v>14</v>
      </c>
      <c r="F312">
        <v>13</v>
      </c>
      <c r="G312">
        <v>0</v>
      </c>
      <c r="H312">
        <v>0</v>
      </c>
      <c r="I312">
        <v>0</v>
      </c>
      <c r="J312">
        <v>14</v>
      </c>
      <c r="K312">
        <v>70</v>
      </c>
      <c r="L312">
        <v>8</v>
      </c>
      <c r="M312">
        <v>1</v>
      </c>
      <c r="N312">
        <v>4</v>
      </c>
      <c r="O312">
        <v>1</v>
      </c>
      <c r="P312">
        <v>0</v>
      </c>
      <c r="Q312">
        <v>0</v>
      </c>
      <c r="R312">
        <v>0</v>
      </c>
      <c r="S312">
        <v>10</v>
      </c>
      <c r="T312">
        <v>13.75</v>
      </c>
      <c r="U312">
        <v>0</v>
      </c>
      <c r="V312">
        <v>23.75</v>
      </c>
      <c r="W312">
        <v>375</v>
      </c>
      <c r="X312">
        <v>0</v>
      </c>
      <c r="Y312">
        <v>12</v>
      </c>
      <c r="Z312">
        <v>0</v>
      </c>
      <c r="AA312">
        <v>0</v>
      </c>
      <c r="AB312">
        <v>220</v>
      </c>
      <c r="AC312">
        <v>26.75</v>
      </c>
      <c r="AD312">
        <v>25.2</v>
      </c>
      <c r="AE312">
        <v>245.2</v>
      </c>
      <c r="AF312">
        <v>245.2</v>
      </c>
      <c r="AG312">
        <v>401.75</v>
      </c>
      <c r="AH312">
        <v>156.55000000000001</v>
      </c>
      <c r="AI312">
        <v>0</v>
      </c>
      <c r="AJ312">
        <v>0</v>
      </c>
      <c r="AK312">
        <v>0</v>
      </c>
      <c r="AL312">
        <v>0</v>
      </c>
      <c r="AM312">
        <v>1</v>
      </c>
      <c r="AN312">
        <v>2</v>
      </c>
      <c r="AO312">
        <v>1</v>
      </c>
      <c r="AP312">
        <v>1</v>
      </c>
      <c r="AQ312">
        <v>0</v>
      </c>
      <c r="AR312">
        <v>0</v>
      </c>
      <c r="AS312">
        <v>0</v>
      </c>
      <c r="AT312">
        <v>70</v>
      </c>
      <c r="AU312">
        <v>0</v>
      </c>
      <c r="AV312">
        <v>70</v>
      </c>
      <c r="AW312">
        <v>0</v>
      </c>
      <c r="AX312">
        <v>10</v>
      </c>
      <c r="AY312">
        <v>0</v>
      </c>
      <c r="AZ312">
        <v>10</v>
      </c>
      <c r="BA312">
        <v>0</v>
      </c>
      <c r="BB312">
        <v>13.75</v>
      </c>
      <c r="BC312">
        <v>0</v>
      </c>
      <c r="BD312">
        <v>13.75</v>
      </c>
      <c r="BE312">
        <v>0</v>
      </c>
    </row>
    <row r="313" spans="1:57">
      <c r="A313" t="s">
        <v>17140</v>
      </c>
      <c r="B313" t="s">
        <v>17168</v>
      </c>
      <c r="C313">
        <v>0</v>
      </c>
      <c r="D313">
        <v>4</v>
      </c>
      <c r="E313">
        <v>4</v>
      </c>
      <c r="F313">
        <v>3</v>
      </c>
      <c r="G313">
        <v>0</v>
      </c>
      <c r="H313">
        <v>1</v>
      </c>
      <c r="I313">
        <v>0</v>
      </c>
      <c r="J313">
        <v>4</v>
      </c>
      <c r="K313">
        <v>26</v>
      </c>
      <c r="L313">
        <v>3</v>
      </c>
      <c r="M313">
        <v>0</v>
      </c>
      <c r="N313">
        <v>0</v>
      </c>
      <c r="O313">
        <v>0</v>
      </c>
      <c r="P313">
        <v>0</v>
      </c>
      <c r="Q313">
        <v>1</v>
      </c>
      <c r="R313">
        <v>0</v>
      </c>
      <c r="S313">
        <v>17.7</v>
      </c>
      <c r="T313">
        <v>22.25</v>
      </c>
      <c r="U313">
        <v>0</v>
      </c>
      <c r="V313">
        <v>39.950000000000003</v>
      </c>
      <c r="W313">
        <v>622</v>
      </c>
      <c r="X313">
        <v>0</v>
      </c>
      <c r="Y313">
        <v>4</v>
      </c>
      <c r="Z313">
        <v>0</v>
      </c>
      <c r="AA313">
        <v>0</v>
      </c>
      <c r="AB313">
        <v>522</v>
      </c>
      <c r="AC313">
        <v>15</v>
      </c>
      <c r="AD313">
        <v>0</v>
      </c>
      <c r="AE313">
        <v>520</v>
      </c>
      <c r="AF313">
        <v>522</v>
      </c>
      <c r="AG313">
        <v>637</v>
      </c>
      <c r="AH313">
        <v>117</v>
      </c>
      <c r="AI313">
        <v>520</v>
      </c>
      <c r="AJ313">
        <v>505</v>
      </c>
      <c r="AK313">
        <v>550</v>
      </c>
      <c r="AL313">
        <v>30</v>
      </c>
      <c r="AM313">
        <v>0</v>
      </c>
      <c r="AN313">
        <v>0</v>
      </c>
      <c r="AO313">
        <v>0</v>
      </c>
      <c r="AP313">
        <v>0</v>
      </c>
      <c r="AQ313">
        <v>1</v>
      </c>
      <c r="AR313">
        <v>0</v>
      </c>
      <c r="AS313">
        <v>0</v>
      </c>
      <c r="AT313">
        <v>26</v>
      </c>
      <c r="AU313">
        <v>11</v>
      </c>
      <c r="AV313">
        <v>15</v>
      </c>
      <c r="AW313">
        <v>0</v>
      </c>
      <c r="AX313">
        <v>17.7</v>
      </c>
      <c r="AY313">
        <v>15</v>
      </c>
      <c r="AZ313">
        <v>2.7</v>
      </c>
      <c r="BA313">
        <v>0</v>
      </c>
      <c r="BB313">
        <v>22.25</v>
      </c>
      <c r="BC313">
        <v>19.25</v>
      </c>
      <c r="BD313">
        <v>3</v>
      </c>
      <c r="BE313">
        <v>0</v>
      </c>
    </row>
    <row r="314" spans="1:57">
      <c r="A314" t="s">
        <v>17169</v>
      </c>
      <c r="B314" t="s">
        <v>17170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row>
    <row r="315" spans="1:57">
      <c r="A315" t="s">
        <v>17169</v>
      </c>
      <c r="B315" t="s">
        <v>17319</v>
      </c>
      <c r="C315">
        <v>1</v>
      </c>
      <c r="D315">
        <v>44</v>
      </c>
      <c r="E315">
        <v>42</v>
      </c>
      <c r="F315">
        <v>42</v>
      </c>
      <c r="G315">
        <v>0</v>
      </c>
      <c r="H315">
        <v>4</v>
      </c>
      <c r="I315">
        <v>3</v>
      </c>
      <c r="J315">
        <v>41</v>
      </c>
      <c r="K315">
        <v>358</v>
      </c>
      <c r="L315">
        <v>41</v>
      </c>
      <c r="M315">
        <v>0</v>
      </c>
      <c r="N315">
        <v>0</v>
      </c>
      <c r="O315">
        <v>0</v>
      </c>
      <c r="P315">
        <v>0</v>
      </c>
      <c r="Q315">
        <v>1</v>
      </c>
      <c r="R315">
        <v>0</v>
      </c>
      <c r="S315">
        <v>55.25</v>
      </c>
      <c r="T315">
        <v>0</v>
      </c>
      <c r="U315">
        <v>0</v>
      </c>
      <c r="V315">
        <v>55.25</v>
      </c>
      <c r="W315">
        <v>550</v>
      </c>
      <c r="X315">
        <v>0</v>
      </c>
      <c r="Y315">
        <v>40</v>
      </c>
      <c r="Z315">
        <v>0</v>
      </c>
      <c r="AA315">
        <v>-2.5</v>
      </c>
      <c r="AB315">
        <v>140</v>
      </c>
      <c r="AC315">
        <v>0</v>
      </c>
      <c r="AD315">
        <v>0</v>
      </c>
      <c r="AE315">
        <v>0</v>
      </c>
      <c r="AF315">
        <v>140</v>
      </c>
      <c r="AG315">
        <v>550</v>
      </c>
      <c r="AH315">
        <v>550</v>
      </c>
      <c r="AI315">
        <v>0</v>
      </c>
      <c r="AJ315">
        <v>50</v>
      </c>
      <c r="AK315">
        <v>140</v>
      </c>
      <c r="AL315">
        <v>140</v>
      </c>
      <c r="AM315">
        <v>0</v>
      </c>
      <c r="AN315">
        <v>0</v>
      </c>
      <c r="AO315">
        <v>0</v>
      </c>
      <c r="AP315">
        <v>0</v>
      </c>
      <c r="AQ315">
        <v>0</v>
      </c>
      <c r="AR315">
        <v>0</v>
      </c>
      <c r="AS315">
        <v>0</v>
      </c>
      <c r="AT315">
        <v>358</v>
      </c>
      <c r="AU315">
        <v>44</v>
      </c>
      <c r="AV315">
        <v>308</v>
      </c>
      <c r="AW315">
        <v>6</v>
      </c>
      <c r="AX315">
        <v>55.25</v>
      </c>
      <c r="AY315">
        <v>14</v>
      </c>
      <c r="AZ315">
        <v>41</v>
      </c>
      <c r="BA315">
        <v>0.25</v>
      </c>
      <c r="BB315">
        <v>0</v>
      </c>
      <c r="BC315">
        <v>0</v>
      </c>
      <c r="BD315">
        <v>0</v>
      </c>
      <c r="BE315">
        <v>0</v>
      </c>
    </row>
    <row r="316" spans="1:57">
      <c r="A316" t="s">
        <v>17169</v>
      </c>
      <c r="B316" t="s">
        <v>17172</v>
      </c>
      <c r="C316">
        <v>0</v>
      </c>
      <c r="D316">
        <v>27</v>
      </c>
      <c r="E316">
        <v>26</v>
      </c>
      <c r="F316">
        <v>24</v>
      </c>
      <c r="G316">
        <v>0</v>
      </c>
      <c r="H316">
        <v>0</v>
      </c>
      <c r="I316">
        <v>0</v>
      </c>
      <c r="J316">
        <v>27</v>
      </c>
      <c r="K316">
        <v>288</v>
      </c>
      <c r="L316">
        <v>14</v>
      </c>
      <c r="M316">
        <v>4</v>
      </c>
      <c r="N316">
        <v>5</v>
      </c>
      <c r="O316">
        <v>4</v>
      </c>
      <c r="P316">
        <v>0</v>
      </c>
      <c r="Q316">
        <v>0</v>
      </c>
      <c r="R316">
        <v>0</v>
      </c>
      <c r="S316">
        <v>31.2</v>
      </c>
      <c r="T316">
        <v>59</v>
      </c>
      <c r="U316">
        <v>0</v>
      </c>
      <c r="V316">
        <v>90.2</v>
      </c>
      <c r="W316">
        <v>1492</v>
      </c>
      <c r="X316">
        <v>0</v>
      </c>
      <c r="Y316">
        <v>15</v>
      </c>
      <c r="Z316">
        <v>0</v>
      </c>
      <c r="AA316">
        <v>0</v>
      </c>
      <c r="AB316">
        <v>1027</v>
      </c>
      <c r="AC316">
        <v>1307.5</v>
      </c>
      <c r="AD316">
        <v>1307.5</v>
      </c>
      <c r="AE316">
        <v>806</v>
      </c>
      <c r="AF316">
        <v>2320.5</v>
      </c>
      <c r="AG316">
        <v>2785.5</v>
      </c>
      <c r="AH316">
        <v>1979.5</v>
      </c>
      <c r="AI316">
        <v>0</v>
      </c>
      <c r="AJ316">
        <v>0</v>
      </c>
      <c r="AK316">
        <v>0</v>
      </c>
      <c r="AL316">
        <v>0</v>
      </c>
      <c r="AM316">
        <v>288</v>
      </c>
      <c r="AN316">
        <v>0</v>
      </c>
      <c r="AO316">
        <v>288</v>
      </c>
      <c r="AP316">
        <v>0</v>
      </c>
      <c r="AQ316">
        <v>31.2</v>
      </c>
      <c r="AR316">
        <v>0</v>
      </c>
      <c r="AS316">
        <v>31.2</v>
      </c>
      <c r="AT316">
        <v>0</v>
      </c>
      <c r="AU316">
        <v>59</v>
      </c>
      <c r="AV316">
        <v>0</v>
      </c>
      <c r="AW316">
        <v>59</v>
      </c>
      <c r="AX316">
        <v>0</v>
      </c>
    </row>
    <row r="317" spans="1:57">
      <c r="A317" t="s">
        <v>17169</v>
      </c>
      <c r="B317" t="s">
        <v>17173</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row>
    <row r="318" spans="1:57">
      <c r="A318" t="s">
        <v>17169</v>
      </c>
      <c r="B318" t="s">
        <v>17174</v>
      </c>
      <c r="C318">
        <v>0</v>
      </c>
      <c r="D318">
        <v>2</v>
      </c>
      <c r="E318">
        <v>1</v>
      </c>
      <c r="F318">
        <v>2</v>
      </c>
      <c r="G318">
        <v>0</v>
      </c>
      <c r="H318">
        <v>0</v>
      </c>
      <c r="I318">
        <v>1</v>
      </c>
      <c r="J318">
        <v>2</v>
      </c>
      <c r="K318">
        <v>23</v>
      </c>
      <c r="L318">
        <v>2</v>
      </c>
      <c r="M318">
        <v>0</v>
      </c>
      <c r="N318">
        <v>0</v>
      </c>
      <c r="O318">
        <v>0</v>
      </c>
      <c r="P318">
        <v>0</v>
      </c>
      <c r="Q318">
        <v>0</v>
      </c>
      <c r="R318">
        <v>0</v>
      </c>
      <c r="S318">
        <v>5</v>
      </c>
      <c r="T318">
        <v>0</v>
      </c>
      <c r="U318">
        <v>0</v>
      </c>
      <c r="V318">
        <v>5</v>
      </c>
      <c r="W318">
        <v>50</v>
      </c>
      <c r="X318">
        <v>0</v>
      </c>
      <c r="Y318">
        <v>0</v>
      </c>
      <c r="Z318">
        <v>2</v>
      </c>
      <c r="AA318">
        <v>0</v>
      </c>
      <c r="AB318">
        <v>0</v>
      </c>
      <c r="AC318">
        <v>0</v>
      </c>
      <c r="AD318">
        <v>0</v>
      </c>
      <c r="AE318">
        <v>0</v>
      </c>
      <c r="AF318">
        <v>0</v>
      </c>
      <c r="AG318">
        <v>50</v>
      </c>
      <c r="AH318">
        <v>50</v>
      </c>
      <c r="AI318">
        <v>0</v>
      </c>
      <c r="AJ318">
        <v>0</v>
      </c>
      <c r="AK318">
        <v>0</v>
      </c>
      <c r="AL318">
        <v>0</v>
      </c>
      <c r="AM318">
        <v>0</v>
      </c>
      <c r="AN318">
        <v>0</v>
      </c>
      <c r="AO318">
        <v>0</v>
      </c>
      <c r="AP318">
        <v>0</v>
      </c>
      <c r="AQ318">
        <v>0</v>
      </c>
      <c r="AR318">
        <v>0</v>
      </c>
      <c r="AS318">
        <v>0</v>
      </c>
      <c r="AT318">
        <v>23</v>
      </c>
      <c r="AU318">
        <v>0</v>
      </c>
      <c r="AV318">
        <v>23</v>
      </c>
      <c r="AW318">
        <v>0</v>
      </c>
      <c r="AX318">
        <v>5</v>
      </c>
      <c r="AY318">
        <v>0</v>
      </c>
      <c r="AZ318">
        <v>5</v>
      </c>
      <c r="BA318">
        <v>0</v>
      </c>
      <c r="BB318">
        <v>0</v>
      </c>
      <c r="BC318">
        <v>0</v>
      </c>
      <c r="BD318">
        <v>0</v>
      </c>
      <c r="BE318">
        <v>0</v>
      </c>
    </row>
    <row r="319" spans="1:57">
      <c r="A319" t="s">
        <v>17169</v>
      </c>
      <c r="B319" t="s">
        <v>17175</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row>
    <row r="320" spans="1:57">
      <c r="A320" t="s">
        <v>17169</v>
      </c>
      <c r="B320" t="s">
        <v>17176</v>
      </c>
      <c r="C320">
        <v>0</v>
      </c>
      <c r="D320">
        <v>1</v>
      </c>
      <c r="E320">
        <v>1</v>
      </c>
      <c r="F320">
        <v>0</v>
      </c>
      <c r="G320">
        <v>0</v>
      </c>
      <c r="H320">
        <v>0</v>
      </c>
      <c r="I320">
        <v>0</v>
      </c>
      <c r="J320">
        <v>1</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row>
    <row r="321" spans="1:57">
      <c r="A321" t="s">
        <v>17169</v>
      </c>
      <c r="B321" t="s">
        <v>17177</v>
      </c>
      <c r="C321">
        <v>0</v>
      </c>
      <c r="D321">
        <v>5</v>
      </c>
      <c r="E321">
        <v>5</v>
      </c>
      <c r="F321">
        <v>5</v>
      </c>
      <c r="G321">
        <v>0</v>
      </c>
      <c r="H321">
        <v>0</v>
      </c>
      <c r="I321">
        <v>0</v>
      </c>
      <c r="J321">
        <v>5</v>
      </c>
      <c r="K321">
        <v>31</v>
      </c>
      <c r="L321">
        <v>5</v>
      </c>
      <c r="M321">
        <v>0</v>
      </c>
      <c r="N321">
        <v>0</v>
      </c>
      <c r="O321">
        <v>0</v>
      </c>
      <c r="P321">
        <v>0</v>
      </c>
      <c r="Q321">
        <v>0</v>
      </c>
      <c r="R321">
        <v>0</v>
      </c>
      <c r="S321">
        <v>2.75</v>
      </c>
      <c r="T321">
        <v>2.75</v>
      </c>
      <c r="U321">
        <v>0</v>
      </c>
      <c r="V321">
        <v>5.5</v>
      </c>
      <c r="W321">
        <v>82.5</v>
      </c>
      <c r="X321">
        <v>0</v>
      </c>
      <c r="Y321">
        <v>5</v>
      </c>
      <c r="Z321">
        <v>0</v>
      </c>
      <c r="AA321">
        <v>0</v>
      </c>
      <c r="AB321">
        <v>0</v>
      </c>
      <c r="AC321">
        <v>288</v>
      </c>
      <c r="AD321">
        <v>288</v>
      </c>
      <c r="AE321">
        <v>288</v>
      </c>
      <c r="AF321">
        <v>288</v>
      </c>
      <c r="AG321">
        <v>370.5</v>
      </c>
      <c r="AH321">
        <v>82.5</v>
      </c>
      <c r="AI321">
        <v>0</v>
      </c>
      <c r="AJ321">
        <v>0</v>
      </c>
      <c r="AK321">
        <v>0</v>
      </c>
      <c r="AL321">
        <v>0</v>
      </c>
      <c r="AM321">
        <v>0</v>
      </c>
      <c r="AN321">
        <v>2</v>
      </c>
      <c r="AO321">
        <v>0</v>
      </c>
      <c r="AP321">
        <v>1</v>
      </c>
      <c r="AQ321">
        <v>0</v>
      </c>
      <c r="AR321">
        <v>0</v>
      </c>
      <c r="AS321">
        <v>0</v>
      </c>
      <c r="AT321">
        <v>31</v>
      </c>
      <c r="AU321">
        <v>0</v>
      </c>
      <c r="AV321">
        <v>31</v>
      </c>
      <c r="AW321">
        <v>0</v>
      </c>
      <c r="AX321">
        <v>2.75</v>
      </c>
      <c r="AY321">
        <v>0</v>
      </c>
      <c r="AZ321">
        <v>2.75</v>
      </c>
      <c r="BA321">
        <v>0</v>
      </c>
      <c r="BB321">
        <v>2.75</v>
      </c>
      <c r="BC321">
        <v>0</v>
      </c>
      <c r="BD321">
        <v>2.75</v>
      </c>
      <c r="BE321">
        <v>0</v>
      </c>
    </row>
    <row r="322" spans="1:57">
      <c r="A322" t="s">
        <v>17169</v>
      </c>
      <c r="B322" t="s">
        <v>17307</v>
      </c>
      <c r="C322">
        <v>0</v>
      </c>
      <c r="D322">
        <v>12</v>
      </c>
      <c r="E322">
        <v>12</v>
      </c>
      <c r="F322">
        <v>10</v>
      </c>
      <c r="G322">
        <v>0</v>
      </c>
      <c r="H322">
        <v>0</v>
      </c>
      <c r="I322">
        <v>0</v>
      </c>
      <c r="J322">
        <v>12</v>
      </c>
      <c r="K322">
        <v>166</v>
      </c>
      <c r="L322">
        <v>10</v>
      </c>
      <c r="M322">
        <v>1</v>
      </c>
      <c r="N322">
        <v>0</v>
      </c>
      <c r="O322">
        <v>0</v>
      </c>
      <c r="P322">
        <v>0</v>
      </c>
      <c r="Q322">
        <v>1</v>
      </c>
      <c r="R322">
        <v>0</v>
      </c>
      <c r="S322">
        <v>3.5</v>
      </c>
      <c r="T322">
        <v>2.5</v>
      </c>
      <c r="U322">
        <v>0</v>
      </c>
      <c r="V322">
        <v>6</v>
      </c>
      <c r="W322">
        <v>85</v>
      </c>
      <c r="X322">
        <v>0</v>
      </c>
      <c r="Y322">
        <v>9</v>
      </c>
      <c r="Z322">
        <v>0</v>
      </c>
      <c r="AA322">
        <v>0</v>
      </c>
      <c r="AB322">
        <v>0</v>
      </c>
      <c r="AC322">
        <v>0</v>
      </c>
      <c r="AD322">
        <v>0</v>
      </c>
      <c r="AE322">
        <v>0</v>
      </c>
      <c r="AF322">
        <v>0</v>
      </c>
      <c r="AG322">
        <v>85</v>
      </c>
      <c r="AH322">
        <v>85</v>
      </c>
      <c r="AI322">
        <v>0</v>
      </c>
      <c r="AJ322">
        <v>0</v>
      </c>
      <c r="AK322">
        <v>0</v>
      </c>
      <c r="AL322">
        <v>0</v>
      </c>
      <c r="AM322">
        <v>0</v>
      </c>
      <c r="AN322">
        <v>0</v>
      </c>
      <c r="AO322">
        <v>0</v>
      </c>
      <c r="AP322">
        <v>0</v>
      </c>
      <c r="AQ322">
        <v>0</v>
      </c>
      <c r="AR322">
        <v>0</v>
      </c>
      <c r="AS322">
        <v>0</v>
      </c>
      <c r="AT322">
        <v>166</v>
      </c>
      <c r="AU322">
        <v>0</v>
      </c>
      <c r="AV322">
        <v>166</v>
      </c>
      <c r="AW322">
        <v>0</v>
      </c>
      <c r="AX322">
        <v>3.5</v>
      </c>
      <c r="AY322">
        <v>0</v>
      </c>
      <c r="AZ322">
        <v>3.5</v>
      </c>
      <c r="BA322">
        <v>0</v>
      </c>
      <c r="BB322">
        <v>2.5</v>
      </c>
      <c r="BC322">
        <v>0</v>
      </c>
      <c r="BD322">
        <v>2.5</v>
      </c>
      <c r="BE322">
        <v>0</v>
      </c>
    </row>
    <row r="323" spans="1:57">
      <c r="A323" t="s">
        <v>17169</v>
      </c>
      <c r="B323" t="s">
        <v>18850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row>
    <row r="324" spans="1:57">
      <c r="A324" t="s">
        <v>17169</v>
      </c>
      <c r="B324" t="s">
        <v>17181</v>
      </c>
      <c r="C324">
        <v>0</v>
      </c>
      <c r="D324">
        <v>34</v>
      </c>
      <c r="E324">
        <v>34</v>
      </c>
      <c r="F324">
        <v>27</v>
      </c>
      <c r="G324">
        <v>4</v>
      </c>
      <c r="H324">
        <v>2</v>
      </c>
      <c r="I324">
        <v>0</v>
      </c>
      <c r="J324">
        <v>27</v>
      </c>
      <c r="K324">
        <v>623</v>
      </c>
      <c r="L324">
        <v>11</v>
      </c>
      <c r="M324">
        <v>10</v>
      </c>
      <c r="N324">
        <v>0</v>
      </c>
      <c r="O324">
        <v>0</v>
      </c>
      <c r="P324">
        <v>2</v>
      </c>
      <c r="Q324">
        <v>3</v>
      </c>
      <c r="R324">
        <v>0</v>
      </c>
      <c r="S324">
        <v>18.5</v>
      </c>
      <c r="T324">
        <v>0</v>
      </c>
      <c r="U324">
        <v>0</v>
      </c>
      <c r="V324">
        <v>18.5</v>
      </c>
      <c r="W324">
        <v>185</v>
      </c>
      <c r="X324">
        <v>0</v>
      </c>
      <c r="Y324">
        <v>27</v>
      </c>
      <c r="Z324">
        <v>0</v>
      </c>
      <c r="AA324">
        <v>0</v>
      </c>
      <c r="AB324">
        <v>0</v>
      </c>
      <c r="AC324">
        <v>0</v>
      </c>
      <c r="AD324">
        <v>0</v>
      </c>
      <c r="AE324">
        <v>0</v>
      </c>
      <c r="AF324">
        <v>0</v>
      </c>
      <c r="AG324">
        <v>185</v>
      </c>
      <c r="AH324">
        <v>185</v>
      </c>
      <c r="AI324">
        <v>0</v>
      </c>
      <c r="AJ324">
        <v>0</v>
      </c>
      <c r="AK324">
        <v>30</v>
      </c>
      <c r="AL324">
        <v>30</v>
      </c>
      <c r="AM324">
        <v>0</v>
      </c>
      <c r="AN324">
        <v>0</v>
      </c>
      <c r="AO324">
        <v>0</v>
      </c>
      <c r="AP324">
        <v>0</v>
      </c>
      <c r="AQ324">
        <v>0</v>
      </c>
      <c r="AR324">
        <v>0</v>
      </c>
      <c r="AS324">
        <v>0</v>
      </c>
      <c r="AT324">
        <v>623</v>
      </c>
      <c r="AU324">
        <v>288</v>
      </c>
      <c r="AV324">
        <v>335</v>
      </c>
      <c r="AW324">
        <v>0</v>
      </c>
      <c r="AX324">
        <v>18.5</v>
      </c>
      <c r="AY324">
        <v>3</v>
      </c>
      <c r="AZ324">
        <v>15.5</v>
      </c>
      <c r="BA324">
        <v>0</v>
      </c>
      <c r="BB324">
        <v>0</v>
      </c>
      <c r="BC324">
        <v>0</v>
      </c>
      <c r="BD324">
        <v>0</v>
      </c>
      <c r="BE324">
        <v>0</v>
      </c>
    </row>
    <row r="325" spans="1:57">
      <c r="A325" t="s">
        <v>17169</v>
      </c>
      <c r="B325" t="s">
        <v>18851</v>
      </c>
      <c r="C325">
        <v>0</v>
      </c>
      <c r="D325">
        <v>12</v>
      </c>
      <c r="E325">
        <v>12</v>
      </c>
      <c r="F325">
        <v>9</v>
      </c>
      <c r="G325">
        <v>0</v>
      </c>
      <c r="H325">
        <v>0</v>
      </c>
      <c r="I325">
        <v>0</v>
      </c>
      <c r="J325">
        <v>12</v>
      </c>
      <c r="K325">
        <v>134</v>
      </c>
      <c r="L325">
        <v>8</v>
      </c>
      <c r="M325">
        <v>0</v>
      </c>
      <c r="N325">
        <v>0</v>
      </c>
      <c r="O325">
        <v>4</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134</v>
      </c>
      <c r="AU325">
        <v>0</v>
      </c>
      <c r="AV325">
        <v>134</v>
      </c>
      <c r="AW325">
        <v>0</v>
      </c>
      <c r="AX325">
        <v>0</v>
      </c>
      <c r="AY325">
        <v>0</v>
      </c>
      <c r="AZ325">
        <v>0</v>
      </c>
      <c r="BA325">
        <v>0</v>
      </c>
      <c r="BB325">
        <v>0</v>
      </c>
      <c r="BC325">
        <v>0</v>
      </c>
      <c r="BD325">
        <v>0</v>
      </c>
      <c r="BE325">
        <v>0</v>
      </c>
    </row>
    <row r="326" spans="1:57">
      <c r="A326" t="s">
        <v>17169</v>
      </c>
      <c r="B326" t="s">
        <v>17183</v>
      </c>
      <c r="C326">
        <v>0</v>
      </c>
      <c r="D326">
        <v>87</v>
      </c>
      <c r="E326">
        <v>86</v>
      </c>
      <c r="F326">
        <v>77</v>
      </c>
      <c r="G326">
        <v>10</v>
      </c>
      <c r="H326">
        <v>5</v>
      </c>
      <c r="I326">
        <v>4</v>
      </c>
      <c r="J326">
        <v>83</v>
      </c>
      <c r="K326">
        <v>1201</v>
      </c>
      <c r="L326">
        <v>55</v>
      </c>
      <c r="M326">
        <v>1</v>
      </c>
      <c r="N326">
        <v>4</v>
      </c>
      <c r="O326">
        <v>17</v>
      </c>
      <c r="P326">
        <v>0</v>
      </c>
      <c r="Q326">
        <v>5</v>
      </c>
      <c r="R326">
        <v>0</v>
      </c>
      <c r="S326">
        <v>12</v>
      </c>
      <c r="T326">
        <v>24</v>
      </c>
      <c r="U326">
        <v>0</v>
      </c>
      <c r="V326">
        <v>36</v>
      </c>
      <c r="W326">
        <v>600</v>
      </c>
      <c r="X326">
        <v>0</v>
      </c>
      <c r="Y326">
        <v>0</v>
      </c>
      <c r="Z326">
        <v>1</v>
      </c>
      <c r="AA326">
        <v>0</v>
      </c>
      <c r="AB326">
        <v>540</v>
      </c>
      <c r="AC326">
        <v>263.75</v>
      </c>
      <c r="AD326">
        <v>263.75</v>
      </c>
      <c r="AE326">
        <v>163.75</v>
      </c>
      <c r="AF326">
        <v>803.75</v>
      </c>
      <c r="AG326">
        <v>863.75</v>
      </c>
      <c r="AH326">
        <v>700</v>
      </c>
      <c r="AI326">
        <v>0</v>
      </c>
      <c r="AJ326">
        <v>0</v>
      </c>
      <c r="AK326">
        <v>0</v>
      </c>
      <c r="AL326">
        <v>0</v>
      </c>
      <c r="AM326">
        <v>1</v>
      </c>
      <c r="AN326">
        <v>3</v>
      </c>
      <c r="AO326">
        <v>0</v>
      </c>
      <c r="AP326">
        <v>1</v>
      </c>
      <c r="AQ326">
        <v>0</v>
      </c>
      <c r="AR326">
        <v>0</v>
      </c>
      <c r="AS326">
        <v>0</v>
      </c>
      <c r="AT326">
        <v>1201</v>
      </c>
      <c r="AU326">
        <v>122</v>
      </c>
      <c r="AV326">
        <v>1074</v>
      </c>
      <c r="AW326">
        <v>0</v>
      </c>
      <c r="AX326">
        <v>12</v>
      </c>
      <c r="AY326">
        <v>0</v>
      </c>
      <c r="AZ326">
        <v>12</v>
      </c>
      <c r="BA326">
        <v>0</v>
      </c>
      <c r="BB326">
        <v>24</v>
      </c>
      <c r="BC326">
        <v>0</v>
      </c>
      <c r="BD326">
        <v>24</v>
      </c>
      <c r="BE326">
        <v>0</v>
      </c>
    </row>
    <row r="327" spans="1:57">
      <c r="A327" t="s">
        <v>17169</v>
      </c>
      <c r="B327" t="s">
        <v>17184</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row>
    <row r="328" spans="1:57">
      <c r="A328" t="s">
        <v>17169</v>
      </c>
      <c r="B328" t="s">
        <v>19990</v>
      </c>
      <c r="C328">
        <v>0</v>
      </c>
      <c r="D328">
        <v>10</v>
      </c>
      <c r="E328">
        <v>4</v>
      </c>
      <c r="F328">
        <v>0</v>
      </c>
      <c r="G328">
        <v>0</v>
      </c>
      <c r="H328">
        <v>4</v>
      </c>
      <c r="I328">
        <v>1</v>
      </c>
      <c r="J328">
        <v>10</v>
      </c>
      <c r="K328">
        <v>130</v>
      </c>
      <c r="L328">
        <v>8</v>
      </c>
      <c r="M328">
        <v>1</v>
      </c>
      <c r="N328">
        <v>0</v>
      </c>
      <c r="O328">
        <v>0</v>
      </c>
      <c r="P328">
        <v>0</v>
      </c>
      <c r="Q328">
        <v>1</v>
      </c>
      <c r="R328">
        <v>1</v>
      </c>
      <c r="S328">
        <v>98</v>
      </c>
      <c r="T328">
        <v>13</v>
      </c>
      <c r="U328">
        <v>0</v>
      </c>
      <c r="V328">
        <v>111</v>
      </c>
      <c r="W328">
        <v>920</v>
      </c>
      <c r="X328">
        <v>0</v>
      </c>
      <c r="Y328">
        <v>8</v>
      </c>
      <c r="Z328">
        <v>0</v>
      </c>
      <c r="AA328">
        <v>0</v>
      </c>
      <c r="AB328">
        <v>680</v>
      </c>
      <c r="AC328">
        <v>0</v>
      </c>
      <c r="AD328">
        <v>0</v>
      </c>
      <c r="AE328">
        <v>0</v>
      </c>
      <c r="AF328">
        <v>680</v>
      </c>
      <c r="AG328">
        <v>920</v>
      </c>
      <c r="AH328">
        <v>920</v>
      </c>
      <c r="AI328">
        <v>0</v>
      </c>
      <c r="AJ328">
        <v>410</v>
      </c>
      <c r="AK328">
        <v>500</v>
      </c>
      <c r="AL328">
        <v>500</v>
      </c>
      <c r="AM328">
        <v>0</v>
      </c>
      <c r="AN328">
        <v>0</v>
      </c>
      <c r="AO328">
        <v>0</v>
      </c>
      <c r="AP328">
        <v>0</v>
      </c>
      <c r="AQ328">
        <v>0</v>
      </c>
      <c r="AR328">
        <v>0</v>
      </c>
      <c r="AS328">
        <v>0</v>
      </c>
      <c r="AT328">
        <v>111</v>
      </c>
      <c r="AU328">
        <v>57</v>
      </c>
      <c r="AV328">
        <v>54</v>
      </c>
      <c r="AW328">
        <v>0</v>
      </c>
      <c r="AX328">
        <v>98</v>
      </c>
      <c r="AY328">
        <v>36</v>
      </c>
      <c r="AZ328">
        <v>42</v>
      </c>
      <c r="BA328">
        <v>0</v>
      </c>
      <c r="BB328">
        <v>13</v>
      </c>
      <c r="BC328">
        <v>7</v>
      </c>
      <c r="BD328">
        <v>0</v>
      </c>
      <c r="BE328">
        <v>0</v>
      </c>
    </row>
    <row r="329" spans="1:57">
      <c r="A329" t="s">
        <v>17169</v>
      </c>
      <c r="B329" t="s">
        <v>17358</v>
      </c>
      <c r="C329">
        <v>0</v>
      </c>
      <c r="D329">
        <v>1</v>
      </c>
      <c r="E329">
        <v>0</v>
      </c>
      <c r="F329">
        <v>1</v>
      </c>
      <c r="G329">
        <v>0</v>
      </c>
      <c r="H329">
        <v>0</v>
      </c>
      <c r="I329">
        <v>0</v>
      </c>
      <c r="J329">
        <v>1</v>
      </c>
      <c r="K329">
        <v>4</v>
      </c>
      <c r="L329">
        <v>0</v>
      </c>
      <c r="M329">
        <v>0</v>
      </c>
      <c r="N329">
        <v>0</v>
      </c>
      <c r="O329">
        <v>1</v>
      </c>
      <c r="P329">
        <v>0</v>
      </c>
      <c r="Q329">
        <v>0</v>
      </c>
      <c r="R329">
        <v>0</v>
      </c>
      <c r="S329">
        <v>0</v>
      </c>
      <c r="T329">
        <v>0</v>
      </c>
      <c r="U329">
        <v>0</v>
      </c>
      <c r="V329">
        <v>0</v>
      </c>
      <c r="W329">
        <v>0</v>
      </c>
      <c r="X329">
        <v>0</v>
      </c>
      <c r="Y329">
        <v>0</v>
      </c>
      <c r="Z329">
        <v>0</v>
      </c>
      <c r="AA329">
        <v>0</v>
      </c>
      <c r="AB329">
        <v>0</v>
      </c>
      <c r="AC329">
        <v>0</v>
      </c>
      <c r="AD329">
        <v>0</v>
      </c>
      <c r="AE329">
        <v>0</v>
      </c>
      <c r="AF329">
        <v>1</v>
      </c>
      <c r="AG329">
        <v>0</v>
      </c>
      <c r="AH329">
        <v>0</v>
      </c>
      <c r="AI329">
        <v>0</v>
      </c>
      <c r="AJ329">
        <v>0</v>
      </c>
      <c r="AK329">
        <v>0</v>
      </c>
      <c r="AL329">
        <v>0</v>
      </c>
      <c r="AM329">
        <v>0</v>
      </c>
      <c r="AN329">
        <v>0</v>
      </c>
      <c r="AO329">
        <v>0</v>
      </c>
      <c r="AP329">
        <v>0</v>
      </c>
      <c r="AQ329">
        <v>0</v>
      </c>
      <c r="AR329">
        <v>0</v>
      </c>
      <c r="AS329">
        <v>0</v>
      </c>
      <c r="AT329">
        <v>4</v>
      </c>
      <c r="AU329">
        <v>0</v>
      </c>
      <c r="AV329">
        <v>4</v>
      </c>
      <c r="AW329">
        <v>0</v>
      </c>
      <c r="AX329">
        <v>0</v>
      </c>
      <c r="AY329">
        <v>0</v>
      </c>
      <c r="AZ329">
        <v>0</v>
      </c>
      <c r="BA329">
        <v>0</v>
      </c>
      <c r="BB329">
        <v>0</v>
      </c>
      <c r="BC329">
        <v>0</v>
      </c>
      <c r="BD329">
        <v>0</v>
      </c>
      <c r="BE329">
        <v>0</v>
      </c>
    </row>
    <row r="330" spans="1:57">
      <c r="A330" t="s">
        <v>17300</v>
      </c>
      <c r="B330" t="s">
        <v>17301</v>
      </c>
      <c r="C330">
        <v>1</v>
      </c>
      <c r="D330">
        <v>9</v>
      </c>
      <c r="E330">
        <v>9</v>
      </c>
      <c r="F330">
        <v>9</v>
      </c>
      <c r="G330">
        <v>1</v>
      </c>
      <c r="H330">
        <v>1</v>
      </c>
      <c r="I330">
        <v>0</v>
      </c>
      <c r="J330">
        <v>9</v>
      </c>
      <c r="K330">
        <v>36</v>
      </c>
      <c r="L330">
        <v>3</v>
      </c>
      <c r="M330">
        <v>1</v>
      </c>
      <c r="N330">
        <v>2</v>
      </c>
      <c r="O330">
        <v>2</v>
      </c>
      <c r="P330">
        <v>1</v>
      </c>
      <c r="Q330">
        <v>0</v>
      </c>
      <c r="R330">
        <v>0</v>
      </c>
      <c r="S330">
        <v>6</v>
      </c>
      <c r="T330">
        <v>1.25</v>
      </c>
      <c r="U330">
        <v>10</v>
      </c>
      <c r="V330">
        <v>17.25</v>
      </c>
      <c r="W330">
        <v>82.5</v>
      </c>
      <c r="X330">
        <v>0</v>
      </c>
      <c r="Y330">
        <v>8</v>
      </c>
      <c r="Z330">
        <v>0</v>
      </c>
      <c r="AA330">
        <v>-2.5</v>
      </c>
      <c r="AB330">
        <v>20</v>
      </c>
      <c r="AC330">
        <v>0</v>
      </c>
      <c r="AD330">
        <v>0</v>
      </c>
      <c r="AE330">
        <v>0</v>
      </c>
      <c r="AF330">
        <v>20</v>
      </c>
      <c r="AG330">
        <v>282.5</v>
      </c>
      <c r="AH330">
        <v>282.5</v>
      </c>
      <c r="AI330">
        <v>0</v>
      </c>
      <c r="AJ330">
        <v>20</v>
      </c>
      <c r="AK330">
        <v>210</v>
      </c>
      <c r="AL330">
        <v>210</v>
      </c>
      <c r="AM330">
        <v>0</v>
      </c>
      <c r="AN330">
        <v>0</v>
      </c>
      <c r="AO330">
        <v>0</v>
      </c>
      <c r="AP330">
        <v>0</v>
      </c>
      <c r="AQ330">
        <v>0</v>
      </c>
      <c r="AR330">
        <v>0</v>
      </c>
      <c r="AS330">
        <v>0</v>
      </c>
      <c r="AT330">
        <v>36</v>
      </c>
      <c r="AU330">
        <v>11</v>
      </c>
      <c r="AV330">
        <v>23</v>
      </c>
      <c r="AW330">
        <v>2</v>
      </c>
      <c r="AX330">
        <v>6</v>
      </c>
      <c r="AY330">
        <v>4</v>
      </c>
      <c r="AZ330">
        <v>1.75</v>
      </c>
      <c r="BA330">
        <v>0.25</v>
      </c>
      <c r="BB330">
        <v>1.25</v>
      </c>
      <c r="BC330">
        <v>0.5</v>
      </c>
      <c r="BD330">
        <v>0.75</v>
      </c>
      <c r="BE330">
        <v>0</v>
      </c>
    </row>
    <row r="331" spans="1:57">
      <c r="A331" t="s">
        <v>17300</v>
      </c>
      <c r="B331" t="s">
        <v>17378</v>
      </c>
      <c r="C331">
        <v>0</v>
      </c>
      <c r="D331">
        <v>4</v>
      </c>
      <c r="E331">
        <v>4</v>
      </c>
      <c r="F331">
        <v>3</v>
      </c>
      <c r="G331">
        <v>0</v>
      </c>
      <c r="H331">
        <v>0</v>
      </c>
      <c r="I331">
        <v>0</v>
      </c>
      <c r="J331">
        <v>4</v>
      </c>
      <c r="K331">
        <v>28</v>
      </c>
      <c r="L331">
        <v>2</v>
      </c>
      <c r="M331">
        <v>0</v>
      </c>
      <c r="N331">
        <v>0</v>
      </c>
      <c r="O331">
        <v>2</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28</v>
      </c>
      <c r="AU331">
        <v>0</v>
      </c>
      <c r="AV331">
        <v>28</v>
      </c>
      <c r="AW331">
        <v>0</v>
      </c>
      <c r="AX331">
        <v>0</v>
      </c>
      <c r="AY331">
        <v>0</v>
      </c>
      <c r="AZ331">
        <v>0</v>
      </c>
      <c r="BA331">
        <v>0</v>
      </c>
      <c r="BB331">
        <v>0</v>
      </c>
      <c r="BC331">
        <v>0</v>
      </c>
      <c r="BD331">
        <v>0</v>
      </c>
      <c r="BE331">
        <v>0</v>
      </c>
    </row>
    <row r="332" spans="1:57">
      <c r="A332" t="s">
        <v>17300</v>
      </c>
      <c r="B332" t="s">
        <v>17329</v>
      </c>
      <c r="C332">
        <v>0</v>
      </c>
      <c r="D332">
        <v>4</v>
      </c>
      <c r="E332">
        <v>4</v>
      </c>
      <c r="F332">
        <v>4</v>
      </c>
      <c r="G332">
        <v>0</v>
      </c>
      <c r="H332">
        <v>0</v>
      </c>
      <c r="I332">
        <v>0</v>
      </c>
      <c r="J332">
        <v>4</v>
      </c>
      <c r="K332">
        <v>38</v>
      </c>
      <c r="L332">
        <v>3</v>
      </c>
      <c r="M332">
        <v>0</v>
      </c>
      <c r="N332">
        <v>0</v>
      </c>
      <c r="O332">
        <v>1</v>
      </c>
      <c r="P332">
        <v>0</v>
      </c>
      <c r="Q332">
        <v>0</v>
      </c>
      <c r="R332">
        <v>0</v>
      </c>
      <c r="S332">
        <v>1</v>
      </c>
      <c r="T332">
        <v>1</v>
      </c>
      <c r="U332">
        <v>0</v>
      </c>
      <c r="V332">
        <v>2</v>
      </c>
      <c r="W332">
        <v>30</v>
      </c>
      <c r="X332">
        <v>0</v>
      </c>
      <c r="Y332">
        <v>0</v>
      </c>
      <c r="Z332">
        <v>3</v>
      </c>
      <c r="AA332">
        <v>0</v>
      </c>
      <c r="AB332">
        <v>0</v>
      </c>
      <c r="AC332">
        <v>0</v>
      </c>
      <c r="AD332">
        <v>0</v>
      </c>
      <c r="AE332">
        <v>0</v>
      </c>
      <c r="AF332">
        <v>0</v>
      </c>
      <c r="AG332">
        <v>30</v>
      </c>
      <c r="AH332">
        <v>22.5</v>
      </c>
      <c r="AI332">
        <v>0</v>
      </c>
      <c r="AJ332">
        <v>0</v>
      </c>
      <c r="AK332">
        <v>0</v>
      </c>
      <c r="AL332">
        <v>0</v>
      </c>
      <c r="AM332">
        <v>0</v>
      </c>
      <c r="AN332">
        <v>0</v>
      </c>
      <c r="AO332">
        <v>0</v>
      </c>
      <c r="AP332">
        <v>0</v>
      </c>
      <c r="AQ332">
        <v>0</v>
      </c>
      <c r="AR332">
        <v>0</v>
      </c>
      <c r="AS332">
        <v>0</v>
      </c>
      <c r="AT332">
        <v>38</v>
      </c>
      <c r="AU332">
        <v>0</v>
      </c>
      <c r="AV332">
        <v>38</v>
      </c>
      <c r="AW332">
        <v>0</v>
      </c>
      <c r="AX332">
        <v>1</v>
      </c>
      <c r="AY332">
        <v>0</v>
      </c>
      <c r="AZ332">
        <v>1</v>
      </c>
      <c r="BA332">
        <v>0</v>
      </c>
      <c r="BB332">
        <v>1</v>
      </c>
      <c r="BC332">
        <v>0</v>
      </c>
      <c r="BD332">
        <v>1</v>
      </c>
      <c r="BE332">
        <v>0</v>
      </c>
    </row>
    <row r="333" spans="1:57">
      <c r="A333" t="s">
        <v>17300</v>
      </c>
      <c r="B333" t="s">
        <v>17316</v>
      </c>
      <c r="C333">
        <v>10</v>
      </c>
      <c r="D333">
        <v>13</v>
      </c>
      <c r="E333">
        <v>13</v>
      </c>
      <c r="F333">
        <v>13</v>
      </c>
      <c r="G333">
        <v>0</v>
      </c>
      <c r="H333">
        <v>0</v>
      </c>
      <c r="I333">
        <v>2</v>
      </c>
      <c r="J333">
        <v>13</v>
      </c>
      <c r="K333">
        <v>83</v>
      </c>
      <c r="L333">
        <v>5</v>
      </c>
      <c r="M333">
        <v>3</v>
      </c>
      <c r="N333">
        <v>1</v>
      </c>
      <c r="O333">
        <v>2</v>
      </c>
      <c r="P333">
        <v>0</v>
      </c>
      <c r="Q333">
        <v>2</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83</v>
      </c>
      <c r="AU333">
        <v>0</v>
      </c>
      <c r="AV333">
        <v>12</v>
      </c>
      <c r="AW333">
        <v>71</v>
      </c>
      <c r="AX333">
        <v>0</v>
      </c>
      <c r="AY333">
        <v>0</v>
      </c>
      <c r="AZ333">
        <v>0</v>
      </c>
      <c r="BA333">
        <v>0</v>
      </c>
      <c r="BB333">
        <v>0</v>
      </c>
      <c r="BC333">
        <v>0</v>
      </c>
      <c r="BD333">
        <v>0</v>
      </c>
      <c r="BE333">
        <v>0</v>
      </c>
    </row>
    <row r="334" spans="1:57">
      <c r="A334" t="s">
        <v>17300</v>
      </c>
      <c r="B334" t="s">
        <v>17381</v>
      </c>
      <c r="C334">
        <v>0</v>
      </c>
      <c r="D334">
        <v>7</v>
      </c>
      <c r="E334">
        <v>1</v>
      </c>
      <c r="F334">
        <v>3</v>
      </c>
      <c r="G334">
        <v>0</v>
      </c>
      <c r="H334">
        <v>0</v>
      </c>
      <c r="I334">
        <v>1</v>
      </c>
      <c r="J334">
        <v>6</v>
      </c>
      <c r="K334">
        <v>64</v>
      </c>
      <c r="L334">
        <v>4</v>
      </c>
      <c r="M334">
        <v>0</v>
      </c>
      <c r="N334">
        <v>0</v>
      </c>
      <c r="O334">
        <v>2</v>
      </c>
      <c r="P334">
        <v>0</v>
      </c>
      <c r="Q334">
        <v>0</v>
      </c>
      <c r="R334">
        <v>0</v>
      </c>
      <c r="S334">
        <v>12</v>
      </c>
      <c r="T334">
        <v>12.25</v>
      </c>
      <c r="U334">
        <v>0</v>
      </c>
      <c r="V334">
        <v>24.25</v>
      </c>
      <c r="W334">
        <v>365</v>
      </c>
      <c r="X334">
        <v>0</v>
      </c>
      <c r="Y334">
        <v>6</v>
      </c>
      <c r="Z334">
        <v>0</v>
      </c>
      <c r="AA334">
        <v>0</v>
      </c>
      <c r="AB334">
        <v>210</v>
      </c>
      <c r="AC334">
        <v>0</v>
      </c>
      <c r="AD334">
        <v>0</v>
      </c>
      <c r="AE334">
        <v>0</v>
      </c>
      <c r="AF334">
        <v>210</v>
      </c>
      <c r="AG334">
        <v>365</v>
      </c>
      <c r="AH334">
        <v>365</v>
      </c>
      <c r="AI334">
        <v>0</v>
      </c>
      <c r="AJ334">
        <v>0</v>
      </c>
      <c r="AK334">
        <v>0</v>
      </c>
      <c r="AL334">
        <v>0</v>
      </c>
      <c r="AM334">
        <v>0</v>
      </c>
      <c r="AN334">
        <v>0</v>
      </c>
      <c r="AO334">
        <v>0</v>
      </c>
      <c r="AP334">
        <v>0</v>
      </c>
      <c r="AQ334">
        <v>0</v>
      </c>
      <c r="AR334">
        <v>0</v>
      </c>
      <c r="AS334">
        <v>0</v>
      </c>
      <c r="AT334">
        <v>64</v>
      </c>
      <c r="AU334">
        <v>0</v>
      </c>
      <c r="AV334">
        <v>64</v>
      </c>
      <c r="AW334">
        <v>0</v>
      </c>
      <c r="AX334">
        <v>12</v>
      </c>
      <c r="AY334">
        <v>0</v>
      </c>
      <c r="AZ334">
        <v>12</v>
      </c>
      <c r="BA334">
        <v>0</v>
      </c>
      <c r="BB334">
        <v>12.25</v>
      </c>
      <c r="BC334">
        <v>0</v>
      </c>
      <c r="BD334">
        <v>12.25</v>
      </c>
      <c r="BE334">
        <v>0</v>
      </c>
    </row>
    <row r="335" spans="1:57">
      <c r="A335" t="s">
        <v>17300</v>
      </c>
      <c r="B335" t="s">
        <v>17339</v>
      </c>
      <c r="C335">
        <v>0</v>
      </c>
      <c r="D335">
        <v>9</v>
      </c>
      <c r="E335">
        <v>0</v>
      </c>
      <c r="F335">
        <v>9</v>
      </c>
      <c r="G335">
        <v>1</v>
      </c>
      <c r="H335">
        <v>3</v>
      </c>
      <c r="I335">
        <v>0</v>
      </c>
      <c r="J335">
        <v>9</v>
      </c>
      <c r="K335">
        <v>89</v>
      </c>
      <c r="L335">
        <v>7</v>
      </c>
      <c r="M335">
        <v>0</v>
      </c>
      <c r="N335">
        <v>1</v>
      </c>
      <c r="O335">
        <v>0</v>
      </c>
      <c r="P335">
        <v>0</v>
      </c>
      <c r="Q335">
        <v>1</v>
      </c>
      <c r="R335">
        <v>0</v>
      </c>
      <c r="S335">
        <v>7</v>
      </c>
      <c r="T335">
        <v>2.25</v>
      </c>
      <c r="U335">
        <v>0</v>
      </c>
      <c r="V335">
        <v>9.25</v>
      </c>
      <c r="W335">
        <v>115</v>
      </c>
      <c r="X335">
        <v>0</v>
      </c>
      <c r="Y335">
        <v>8</v>
      </c>
      <c r="Z335">
        <v>0</v>
      </c>
      <c r="AA335">
        <v>0</v>
      </c>
      <c r="AB335">
        <v>0</v>
      </c>
      <c r="AC335">
        <v>0</v>
      </c>
      <c r="AD335">
        <v>0</v>
      </c>
      <c r="AE335">
        <v>0</v>
      </c>
      <c r="AF335">
        <v>0</v>
      </c>
      <c r="AG335">
        <v>115</v>
      </c>
      <c r="AH335">
        <v>115</v>
      </c>
      <c r="AI335">
        <v>0</v>
      </c>
      <c r="AJ335">
        <v>0</v>
      </c>
      <c r="AK335">
        <v>55</v>
      </c>
      <c r="AL335">
        <v>55</v>
      </c>
      <c r="AM335">
        <v>0</v>
      </c>
      <c r="AN335">
        <v>0</v>
      </c>
      <c r="AO335">
        <v>0</v>
      </c>
      <c r="AP335">
        <v>0</v>
      </c>
      <c r="AQ335">
        <v>0</v>
      </c>
      <c r="AR335">
        <v>0</v>
      </c>
      <c r="AS335">
        <v>0</v>
      </c>
      <c r="AT335">
        <v>89</v>
      </c>
      <c r="AU335">
        <v>77</v>
      </c>
      <c r="AV335">
        <v>12</v>
      </c>
      <c r="AW335">
        <v>0</v>
      </c>
      <c r="AX335">
        <v>7</v>
      </c>
      <c r="AY335">
        <v>4</v>
      </c>
      <c r="AZ335">
        <v>3</v>
      </c>
      <c r="BA335">
        <v>0</v>
      </c>
      <c r="BB335">
        <v>2.25</v>
      </c>
      <c r="BC335">
        <v>0.75</v>
      </c>
      <c r="BD335">
        <v>1.5</v>
      </c>
      <c r="BE335">
        <v>0</v>
      </c>
    </row>
    <row r="336" spans="1:57">
      <c r="A336" t="s">
        <v>17185</v>
      </c>
      <c r="B336" t="s">
        <v>17187</v>
      </c>
      <c r="C336">
        <v>2</v>
      </c>
      <c r="D336">
        <v>2</v>
      </c>
      <c r="E336">
        <v>2</v>
      </c>
      <c r="F336">
        <v>1</v>
      </c>
      <c r="G336">
        <v>0</v>
      </c>
      <c r="H336">
        <v>0</v>
      </c>
      <c r="I336">
        <v>0</v>
      </c>
      <c r="J336">
        <v>2</v>
      </c>
      <c r="K336">
        <v>88</v>
      </c>
      <c r="L336">
        <v>1</v>
      </c>
      <c r="M336">
        <v>0</v>
      </c>
      <c r="N336">
        <v>0</v>
      </c>
      <c r="O336">
        <v>0</v>
      </c>
      <c r="P336">
        <v>0</v>
      </c>
      <c r="Q336">
        <v>1</v>
      </c>
      <c r="R336">
        <v>0</v>
      </c>
      <c r="S336">
        <v>1.5</v>
      </c>
      <c r="T336">
        <v>0.5</v>
      </c>
      <c r="U336">
        <v>0</v>
      </c>
      <c r="V336">
        <v>2</v>
      </c>
      <c r="W336">
        <v>0</v>
      </c>
      <c r="X336">
        <v>0</v>
      </c>
      <c r="Y336">
        <v>0</v>
      </c>
      <c r="Z336">
        <v>0</v>
      </c>
      <c r="AA336">
        <v>-25</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88</v>
      </c>
      <c r="AU336">
        <v>0</v>
      </c>
      <c r="AV336">
        <v>0</v>
      </c>
      <c r="AW336">
        <v>88</v>
      </c>
      <c r="AX336">
        <v>1.5</v>
      </c>
      <c r="AY336">
        <v>0</v>
      </c>
      <c r="AZ336">
        <v>0</v>
      </c>
      <c r="BA336">
        <v>1.5</v>
      </c>
      <c r="BB336">
        <v>0.5</v>
      </c>
      <c r="BC336">
        <v>0</v>
      </c>
      <c r="BD336">
        <v>0</v>
      </c>
      <c r="BE336">
        <v>0.5</v>
      </c>
    </row>
    <row r="337" spans="1:57">
      <c r="A337" t="s">
        <v>17188</v>
      </c>
      <c r="B337" t="s">
        <v>17189</v>
      </c>
      <c r="C337">
        <v>12</v>
      </c>
      <c r="D337">
        <v>56</v>
      </c>
      <c r="E337">
        <v>55</v>
      </c>
      <c r="F337">
        <v>56</v>
      </c>
      <c r="G337">
        <v>3</v>
      </c>
      <c r="H337">
        <v>2</v>
      </c>
      <c r="I337">
        <v>2</v>
      </c>
      <c r="J337">
        <v>54</v>
      </c>
      <c r="K337">
        <v>372</v>
      </c>
      <c r="L337">
        <v>39</v>
      </c>
      <c r="M337">
        <v>4</v>
      </c>
      <c r="N337">
        <v>0</v>
      </c>
      <c r="O337">
        <v>8</v>
      </c>
      <c r="P337">
        <v>4</v>
      </c>
      <c r="Q337">
        <v>3</v>
      </c>
      <c r="R337">
        <v>0</v>
      </c>
      <c r="S337">
        <v>0</v>
      </c>
      <c r="T337">
        <v>160</v>
      </c>
      <c r="U337">
        <v>10</v>
      </c>
      <c r="V337">
        <v>170</v>
      </c>
      <c r="W337">
        <v>0</v>
      </c>
      <c r="X337">
        <v>0</v>
      </c>
      <c r="Y337">
        <v>0</v>
      </c>
      <c r="Z337">
        <v>0</v>
      </c>
      <c r="AA337">
        <v>-3200</v>
      </c>
      <c r="AB337">
        <v>0</v>
      </c>
      <c r="AC337">
        <v>545</v>
      </c>
      <c r="AD337">
        <v>545</v>
      </c>
      <c r="AE337">
        <v>480.5</v>
      </c>
      <c r="AF337">
        <v>545</v>
      </c>
      <c r="AG337">
        <v>745</v>
      </c>
      <c r="AH337">
        <v>264.5</v>
      </c>
      <c r="AI337">
        <v>427</v>
      </c>
      <c r="AJ337">
        <v>427</v>
      </c>
      <c r="AK337">
        <v>427</v>
      </c>
      <c r="AL337">
        <v>0</v>
      </c>
      <c r="AM337">
        <v>0</v>
      </c>
      <c r="AN337">
        <v>2</v>
      </c>
      <c r="AO337">
        <v>0</v>
      </c>
      <c r="AP337">
        <v>2</v>
      </c>
      <c r="AQ337">
        <v>0</v>
      </c>
      <c r="AR337">
        <v>0</v>
      </c>
      <c r="AS337">
        <v>0</v>
      </c>
      <c r="AT337">
        <v>372</v>
      </c>
      <c r="AU337">
        <v>91</v>
      </c>
      <c r="AV337">
        <v>222</v>
      </c>
      <c r="AW337">
        <v>150</v>
      </c>
      <c r="AX337">
        <v>0</v>
      </c>
      <c r="AY337">
        <v>0</v>
      </c>
      <c r="AZ337">
        <v>0</v>
      </c>
      <c r="BA337">
        <v>0</v>
      </c>
      <c r="BB337">
        <v>160</v>
      </c>
      <c r="BC337">
        <v>0</v>
      </c>
      <c r="BD337">
        <v>0</v>
      </c>
      <c r="BE337">
        <v>160</v>
      </c>
    </row>
    <row r="338" spans="1:57">
      <c r="A338" t="s">
        <v>17191</v>
      </c>
      <c r="B338" t="s">
        <v>17192</v>
      </c>
      <c r="C338">
        <v>1</v>
      </c>
      <c r="D338">
        <v>16</v>
      </c>
      <c r="E338">
        <v>15</v>
      </c>
      <c r="F338">
        <v>13</v>
      </c>
      <c r="G338">
        <v>2</v>
      </c>
      <c r="H338">
        <v>1</v>
      </c>
      <c r="I338">
        <v>1</v>
      </c>
      <c r="J338">
        <v>15</v>
      </c>
      <c r="K338">
        <v>109</v>
      </c>
      <c r="L338">
        <v>3</v>
      </c>
      <c r="M338">
        <v>4</v>
      </c>
      <c r="N338">
        <v>1</v>
      </c>
      <c r="O338">
        <v>5</v>
      </c>
      <c r="P338">
        <v>0</v>
      </c>
      <c r="Q338">
        <v>1</v>
      </c>
      <c r="R338">
        <v>0</v>
      </c>
      <c r="S338">
        <v>0</v>
      </c>
      <c r="T338">
        <v>0</v>
      </c>
      <c r="U338">
        <v>34.5</v>
      </c>
      <c r="V338">
        <v>34.5</v>
      </c>
      <c r="W338">
        <v>0</v>
      </c>
      <c r="X338">
        <v>0</v>
      </c>
      <c r="Y338">
        <v>0</v>
      </c>
      <c r="Z338">
        <v>0</v>
      </c>
      <c r="AA338">
        <v>0</v>
      </c>
      <c r="AB338">
        <v>0</v>
      </c>
      <c r="AC338">
        <v>0</v>
      </c>
      <c r="AD338">
        <v>0</v>
      </c>
      <c r="AE338">
        <v>0</v>
      </c>
      <c r="AF338">
        <v>0</v>
      </c>
      <c r="AG338">
        <v>690</v>
      </c>
      <c r="AH338">
        <v>690</v>
      </c>
      <c r="AI338">
        <v>0</v>
      </c>
      <c r="AJ338">
        <v>0</v>
      </c>
      <c r="AK338">
        <v>0</v>
      </c>
      <c r="AL338">
        <v>0</v>
      </c>
      <c r="AM338">
        <v>0</v>
      </c>
      <c r="AN338">
        <v>0</v>
      </c>
      <c r="AO338">
        <v>0</v>
      </c>
      <c r="AP338">
        <v>0</v>
      </c>
      <c r="AQ338">
        <v>0</v>
      </c>
      <c r="AR338">
        <v>0</v>
      </c>
      <c r="AS338">
        <v>0</v>
      </c>
      <c r="AT338">
        <v>109</v>
      </c>
      <c r="AU338">
        <v>0</v>
      </c>
      <c r="AV338">
        <v>102</v>
      </c>
      <c r="AW338">
        <v>7</v>
      </c>
      <c r="AX338">
        <v>0</v>
      </c>
      <c r="AY338">
        <v>0</v>
      </c>
      <c r="AZ338">
        <v>0</v>
      </c>
      <c r="BA338">
        <v>0</v>
      </c>
      <c r="BB338">
        <v>0</v>
      </c>
      <c r="BC338">
        <v>0</v>
      </c>
      <c r="BD338">
        <v>0</v>
      </c>
      <c r="BE338">
        <v>0</v>
      </c>
    </row>
    <row r="339" spans="1:57">
      <c r="A339" t="s">
        <v>17193</v>
      </c>
      <c r="B339" t="s">
        <v>17194</v>
      </c>
      <c r="C339">
        <v>0</v>
      </c>
      <c r="D339">
        <v>13</v>
      </c>
      <c r="E339">
        <v>13</v>
      </c>
      <c r="F339">
        <v>12</v>
      </c>
      <c r="G339">
        <v>0</v>
      </c>
      <c r="H339">
        <v>0</v>
      </c>
      <c r="I339">
        <v>0</v>
      </c>
      <c r="J339">
        <v>13</v>
      </c>
      <c r="K339">
        <v>148</v>
      </c>
      <c r="L339">
        <v>7</v>
      </c>
      <c r="M339">
        <v>0</v>
      </c>
      <c r="N339">
        <v>2</v>
      </c>
      <c r="O339">
        <v>4</v>
      </c>
      <c r="P339">
        <v>0</v>
      </c>
      <c r="Q339">
        <v>0</v>
      </c>
      <c r="R339">
        <v>0</v>
      </c>
      <c r="S339">
        <v>10.75</v>
      </c>
      <c r="T339">
        <v>5.5</v>
      </c>
      <c r="U339">
        <v>0</v>
      </c>
      <c r="V339">
        <v>16.25</v>
      </c>
      <c r="W339">
        <v>217.5</v>
      </c>
      <c r="X339">
        <v>0</v>
      </c>
      <c r="Y339">
        <v>13</v>
      </c>
      <c r="Z339">
        <v>0</v>
      </c>
      <c r="AA339">
        <v>0</v>
      </c>
      <c r="AB339">
        <v>45</v>
      </c>
      <c r="AC339">
        <v>0</v>
      </c>
      <c r="AD339">
        <v>0</v>
      </c>
      <c r="AE339">
        <v>0</v>
      </c>
      <c r="AF339">
        <v>45</v>
      </c>
      <c r="AG339">
        <v>217.5</v>
      </c>
      <c r="AH339">
        <v>217.5</v>
      </c>
      <c r="AI339">
        <v>0</v>
      </c>
      <c r="AJ339">
        <v>0</v>
      </c>
      <c r="AK339">
        <v>0</v>
      </c>
      <c r="AL339">
        <v>0</v>
      </c>
      <c r="AM339">
        <v>0</v>
      </c>
      <c r="AN339">
        <v>0</v>
      </c>
      <c r="AO339">
        <v>0</v>
      </c>
      <c r="AP339">
        <v>0</v>
      </c>
      <c r="AQ339">
        <v>0</v>
      </c>
      <c r="AR339">
        <v>0</v>
      </c>
      <c r="AS339">
        <v>0</v>
      </c>
      <c r="AT339">
        <v>148</v>
      </c>
      <c r="AU339">
        <v>0</v>
      </c>
      <c r="AV339">
        <v>148</v>
      </c>
      <c r="AW339">
        <v>0</v>
      </c>
      <c r="AX339">
        <v>10.75</v>
      </c>
      <c r="AY339">
        <v>0</v>
      </c>
      <c r="AZ339">
        <v>10.75</v>
      </c>
      <c r="BA339">
        <v>0</v>
      </c>
      <c r="BB339">
        <v>5.5</v>
      </c>
      <c r="BC339">
        <v>0</v>
      </c>
      <c r="BD339">
        <v>5.5</v>
      </c>
      <c r="BE339">
        <v>0</v>
      </c>
    </row>
    <row r="340" spans="1:57">
      <c r="A340" t="s">
        <v>17193</v>
      </c>
      <c r="B340" t="s">
        <v>17195</v>
      </c>
      <c r="C340">
        <v>0</v>
      </c>
      <c r="D340">
        <v>36</v>
      </c>
      <c r="E340">
        <v>36</v>
      </c>
      <c r="F340">
        <v>34</v>
      </c>
      <c r="G340">
        <v>2</v>
      </c>
      <c r="H340">
        <v>2</v>
      </c>
      <c r="I340">
        <v>1</v>
      </c>
      <c r="J340">
        <v>36</v>
      </c>
      <c r="K340">
        <v>303</v>
      </c>
      <c r="L340">
        <v>33</v>
      </c>
      <c r="M340">
        <v>0</v>
      </c>
      <c r="N340">
        <v>1</v>
      </c>
      <c r="O340">
        <v>1</v>
      </c>
      <c r="P340">
        <v>0</v>
      </c>
      <c r="Q340">
        <v>1</v>
      </c>
      <c r="R340">
        <v>0</v>
      </c>
      <c r="S340">
        <v>0</v>
      </c>
      <c r="T340">
        <v>48</v>
      </c>
      <c r="U340">
        <v>0</v>
      </c>
      <c r="V340">
        <v>110.5</v>
      </c>
      <c r="W340">
        <v>1585</v>
      </c>
      <c r="X340">
        <v>0</v>
      </c>
      <c r="Y340">
        <v>33</v>
      </c>
      <c r="Z340">
        <v>0</v>
      </c>
      <c r="AA340">
        <v>0</v>
      </c>
      <c r="AB340">
        <v>1180</v>
      </c>
      <c r="AC340">
        <v>78.25</v>
      </c>
      <c r="AD340">
        <v>78.25</v>
      </c>
      <c r="AE340">
        <v>908.25</v>
      </c>
      <c r="AF340">
        <v>1258.25</v>
      </c>
      <c r="AG340">
        <v>1663.25</v>
      </c>
      <c r="AH340">
        <v>755</v>
      </c>
      <c r="AI340">
        <v>0</v>
      </c>
      <c r="AJ340">
        <v>330</v>
      </c>
      <c r="AK340">
        <v>365</v>
      </c>
      <c r="AL340">
        <v>365</v>
      </c>
      <c r="AM340">
        <v>0</v>
      </c>
      <c r="AN340">
        <v>2</v>
      </c>
      <c r="AO340">
        <v>1</v>
      </c>
      <c r="AP340">
        <v>0</v>
      </c>
      <c r="AQ340">
        <v>1</v>
      </c>
      <c r="AR340">
        <v>0</v>
      </c>
      <c r="AS340">
        <v>0</v>
      </c>
      <c r="AT340">
        <v>303</v>
      </c>
      <c r="AU340">
        <v>38</v>
      </c>
      <c r="AV340">
        <v>265</v>
      </c>
      <c r="AW340">
        <v>0</v>
      </c>
      <c r="AX340">
        <v>62.5</v>
      </c>
      <c r="AY340">
        <v>24.5</v>
      </c>
      <c r="AZ340">
        <v>38</v>
      </c>
      <c r="BA340">
        <v>0</v>
      </c>
      <c r="BB340">
        <v>48</v>
      </c>
      <c r="BC340">
        <v>6</v>
      </c>
      <c r="BD340">
        <v>42</v>
      </c>
      <c r="BE340">
        <v>0</v>
      </c>
    </row>
    <row r="341" spans="1:57">
      <c r="A341" t="s">
        <v>17193</v>
      </c>
      <c r="B341" t="s">
        <v>17196</v>
      </c>
      <c r="C341">
        <v>0</v>
      </c>
      <c r="D341">
        <v>4</v>
      </c>
      <c r="E341">
        <v>4</v>
      </c>
      <c r="F341">
        <v>2</v>
      </c>
      <c r="G341">
        <v>0</v>
      </c>
      <c r="H341">
        <v>0</v>
      </c>
      <c r="I341">
        <v>0</v>
      </c>
      <c r="J341">
        <v>4</v>
      </c>
      <c r="K341">
        <v>78</v>
      </c>
      <c r="L341">
        <v>2</v>
      </c>
      <c r="M341">
        <v>0</v>
      </c>
      <c r="N341">
        <v>0</v>
      </c>
      <c r="O341">
        <v>1</v>
      </c>
      <c r="P341">
        <v>0</v>
      </c>
      <c r="Q341">
        <v>0</v>
      </c>
      <c r="R341">
        <v>0</v>
      </c>
      <c r="S341">
        <v>2.75</v>
      </c>
      <c r="T341">
        <v>1.5</v>
      </c>
      <c r="U341">
        <v>0</v>
      </c>
      <c r="V341">
        <v>4.25</v>
      </c>
      <c r="W341">
        <v>57.5</v>
      </c>
      <c r="X341">
        <v>0</v>
      </c>
      <c r="Y341">
        <v>4</v>
      </c>
      <c r="Z341">
        <v>0</v>
      </c>
      <c r="AA341">
        <v>0</v>
      </c>
      <c r="AB341">
        <v>0</v>
      </c>
      <c r="AC341">
        <v>0</v>
      </c>
      <c r="AD341">
        <v>0</v>
      </c>
      <c r="AE341">
        <v>0</v>
      </c>
      <c r="AF341">
        <v>0</v>
      </c>
      <c r="AG341">
        <v>57.5</v>
      </c>
      <c r="AH341">
        <v>57.5</v>
      </c>
      <c r="AI341">
        <v>0</v>
      </c>
      <c r="AJ341">
        <v>0</v>
      </c>
      <c r="AK341">
        <v>0</v>
      </c>
      <c r="AL341">
        <v>0</v>
      </c>
      <c r="AM341">
        <v>0</v>
      </c>
      <c r="AN341">
        <v>0</v>
      </c>
      <c r="AO341">
        <v>0</v>
      </c>
      <c r="AP341">
        <v>0</v>
      </c>
      <c r="AQ341">
        <v>0</v>
      </c>
      <c r="AR341">
        <v>0</v>
      </c>
      <c r="AS341">
        <v>0</v>
      </c>
      <c r="AT341">
        <v>78</v>
      </c>
      <c r="AU341">
        <v>0</v>
      </c>
      <c r="AV341">
        <v>78</v>
      </c>
      <c r="AW341">
        <v>0</v>
      </c>
      <c r="AX341">
        <v>2.75</v>
      </c>
      <c r="AY341">
        <v>0</v>
      </c>
      <c r="AZ341">
        <v>2.75</v>
      </c>
      <c r="BA341">
        <v>0</v>
      </c>
      <c r="BB341">
        <v>1.5</v>
      </c>
      <c r="BC341">
        <v>0</v>
      </c>
      <c r="BD341">
        <v>1.5</v>
      </c>
      <c r="BE341">
        <v>0</v>
      </c>
    </row>
    <row r="342" spans="1:57">
      <c r="A342" t="s">
        <v>17193</v>
      </c>
      <c r="B342" t="s">
        <v>17206</v>
      </c>
      <c r="C342">
        <v>23</v>
      </c>
      <c r="D342">
        <v>31</v>
      </c>
      <c r="E342">
        <v>31</v>
      </c>
      <c r="F342">
        <v>27</v>
      </c>
      <c r="G342">
        <v>1</v>
      </c>
      <c r="H342">
        <v>1</v>
      </c>
      <c r="I342">
        <v>0</v>
      </c>
      <c r="J342">
        <v>31</v>
      </c>
      <c r="K342">
        <v>340</v>
      </c>
      <c r="L342">
        <v>26</v>
      </c>
      <c r="M342">
        <v>4</v>
      </c>
      <c r="N342">
        <v>0</v>
      </c>
      <c r="O342">
        <v>0</v>
      </c>
      <c r="P342">
        <v>0</v>
      </c>
      <c r="Q342">
        <v>1</v>
      </c>
      <c r="R342">
        <v>0</v>
      </c>
      <c r="S342">
        <v>19.75</v>
      </c>
      <c r="T342">
        <v>70</v>
      </c>
      <c r="U342">
        <v>0</v>
      </c>
      <c r="V342">
        <v>89.75</v>
      </c>
      <c r="W342">
        <v>1540</v>
      </c>
      <c r="X342">
        <v>0</v>
      </c>
      <c r="Y342">
        <v>8</v>
      </c>
      <c r="Z342">
        <v>0</v>
      </c>
      <c r="AA342">
        <v>-57.5</v>
      </c>
      <c r="AB342">
        <v>1450</v>
      </c>
      <c r="AC342">
        <v>195</v>
      </c>
      <c r="AD342">
        <v>195</v>
      </c>
      <c r="AE342">
        <v>0</v>
      </c>
      <c r="AF342">
        <v>1645</v>
      </c>
      <c r="AG342">
        <v>1735</v>
      </c>
      <c r="AH342">
        <v>1735</v>
      </c>
      <c r="AI342">
        <v>0</v>
      </c>
      <c r="AJ342">
        <v>0</v>
      </c>
      <c r="AK342">
        <v>10</v>
      </c>
      <c r="AL342">
        <v>10</v>
      </c>
      <c r="AM342">
        <v>0</v>
      </c>
      <c r="AN342">
        <v>0</v>
      </c>
      <c r="AO342">
        <v>0</v>
      </c>
      <c r="AP342">
        <v>0</v>
      </c>
      <c r="AQ342">
        <v>0</v>
      </c>
      <c r="AR342">
        <v>0</v>
      </c>
      <c r="AS342">
        <v>0</v>
      </c>
      <c r="AT342">
        <v>340</v>
      </c>
      <c r="AU342">
        <v>11</v>
      </c>
      <c r="AV342">
        <v>154</v>
      </c>
      <c r="AW342">
        <v>175</v>
      </c>
      <c r="AX342">
        <v>19.75</v>
      </c>
      <c r="AY342">
        <v>1</v>
      </c>
      <c r="AZ342">
        <v>13</v>
      </c>
      <c r="BA342">
        <v>5.75</v>
      </c>
      <c r="BB342">
        <v>70</v>
      </c>
      <c r="BC342">
        <v>0</v>
      </c>
      <c r="BD342">
        <v>70</v>
      </c>
      <c r="BE342">
        <v>0</v>
      </c>
    </row>
    <row r="343" spans="1:57">
      <c r="A343" t="s">
        <v>17193</v>
      </c>
      <c r="B343" t="s">
        <v>17302</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row>
    <row r="344" spans="1:57">
      <c r="A344" t="s">
        <v>17197</v>
      </c>
      <c r="B344" t="s">
        <v>17198</v>
      </c>
      <c r="C344">
        <v>7</v>
      </c>
      <c r="D344">
        <v>116</v>
      </c>
      <c r="E344">
        <v>114</v>
      </c>
      <c r="F344">
        <v>64</v>
      </c>
      <c r="G344">
        <v>14</v>
      </c>
      <c r="H344">
        <v>8</v>
      </c>
      <c r="I344">
        <v>5</v>
      </c>
      <c r="J344">
        <v>111</v>
      </c>
      <c r="K344">
        <v>1820</v>
      </c>
      <c r="L344">
        <v>34</v>
      </c>
      <c r="M344">
        <v>17</v>
      </c>
      <c r="N344">
        <v>40</v>
      </c>
      <c r="O344">
        <v>20</v>
      </c>
      <c r="P344">
        <v>2</v>
      </c>
      <c r="Q344">
        <v>2</v>
      </c>
      <c r="R344">
        <v>0</v>
      </c>
      <c r="S344">
        <v>161.25</v>
      </c>
      <c r="T344">
        <v>92.25</v>
      </c>
      <c r="U344">
        <v>0</v>
      </c>
      <c r="V344">
        <v>254.25</v>
      </c>
      <c r="W344">
        <v>3362.5</v>
      </c>
      <c r="X344">
        <v>95</v>
      </c>
      <c r="Y344">
        <v>105</v>
      </c>
      <c r="Z344">
        <v>4</v>
      </c>
      <c r="AA344">
        <v>-95</v>
      </c>
      <c r="AB344">
        <v>2167.5</v>
      </c>
      <c r="AC344">
        <v>0</v>
      </c>
      <c r="AD344">
        <v>0</v>
      </c>
      <c r="AE344">
        <v>0</v>
      </c>
      <c r="AF344">
        <v>2167.5</v>
      </c>
      <c r="AG344">
        <v>3457.5</v>
      </c>
      <c r="AH344">
        <v>3457.5</v>
      </c>
      <c r="AI344">
        <v>0</v>
      </c>
      <c r="AJ344">
        <v>1140</v>
      </c>
      <c r="AK344">
        <v>1272.5</v>
      </c>
      <c r="AL344">
        <v>1272.5</v>
      </c>
      <c r="AM344">
        <v>0</v>
      </c>
      <c r="AN344">
        <v>0</v>
      </c>
      <c r="AO344">
        <v>0</v>
      </c>
      <c r="AP344">
        <v>0</v>
      </c>
      <c r="AQ344">
        <v>0</v>
      </c>
      <c r="AR344">
        <v>0</v>
      </c>
      <c r="AS344">
        <v>0</v>
      </c>
      <c r="AT344">
        <v>1820</v>
      </c>
      <c r="AU344">
        <v>264</v>
      </c>
      <c r="AV344">
        <v>1267</v>
      </c>
      <c r="AW344">
        <v>258</v>
      </c>
      <c r="AX344">
        <v>161</v>
      </c>
      <c r="AY344">
        <v>84.75</v>
      </c>
      <c r="AZ344">
        <v>72.5</v>
      </c>
      <c r="BA344">
        <v>3.25</v>
      </c>
      <c r="BB344">
        <v>92.25</v>
      </c>
      <c r="BC344">
        <v>20.75</v>
      </c>
      <c r="BD344">
        <v>67.25</v>
      </c>
      <c r="BE344">
        <v>3.25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EDBDA-BDE6-8A40-A731-85D5B664E20F}">
  <dimension ref="A1:BF334"/>
  <sheetViews>
    <sheetView tabSelected="1" workbookViewId="0"/>
  </sheetViews>
  <sheetFormatPr baseColWidth="10" defaultRowHeight="15"/>
  <cols>
    <col min="1" max="1" width="16.5" customWidth="1"/>
    <col min="2" max="2" width="75.33203125" customWidth="1"/>
  </cols>
  <sheetData>
    <row r="1" spans="1:58" ht="20" customHeight="1">
      <c r="A1" t="s">
        <v>17292</v>
      </c>
      <c r="B1" t="s">
        <v>16796</v>
      </c>
      <c r="C1" t="s">
        <v>19940</v>
      </c>
      <c r="D1" t="s">
        <v>16821</v>
      </c>
      <c r="E1" t="s">
        <v>16822</v>
      </c>
      <c r="F1" t="s">
        <v>16823</v>
      </c>
      <c r="G1" s="1" t="s">
        <v>19941</v>
      </c>
      <c r="H1" t="s">
        <v>16825</v>
      </c>
      <c r="I1" s="1" t="s">
        <v>19942</v>
      </c>
      <c r="J1" s="1" t="s">
        <v>19943</v>
      </c>
      <c r="K1" t="s">
        <v>16828</v>
      </c>
      <c r="L1" t="s">
        <v>16829</v>
      </c>
      <c r="M1" t="s">
        <v>16830</v>
      </c>
      <c r="N1" s="1" t="s">
        <v>19944</v>
      </c>
      <c r="O1" t="s">
        <v>16832</v>
      </c>
      <c r="P1" t="s">
        <v>16833</v>
      </c>
      <c r="Q1" s="1" t="s">
        <v>19945</v>
      </c>
      <c r="R1" s="1" t="s">
        <v>19946</v>
      </c>
      <c r="S1" s="1" t="s">
        <v>19947</v>
      </c>
      <c r="T1" t="s">
        <v>19948</v>
      </c>
      <c r="U1" s="1" t="s">
        <v>19949</v>
      </c>
      <c r="V1" s="1" t="s">
        <v>19950</v>
      </c>
      <c r="W1" s="1" t="s">
        <v>19951</v>
      </c>
      <c r="X1" t="s">
        <v>16841</v>
      </c>
      <c r="Y1" s="1" t="s">
        <v>19952</v>
      </c>
      <c r="Z1" s="1" t="s">
        <v>19953</v>
      </c>
      <c r="AA1" t="s">
        <v>16844</v>
      </c>
      <c r="AB1" s="1" t="s">
        <v>19954</v>
      </c>
      <c r="AC1" s="1" t="s">
        <v>19955</v>
      </c>
      <c r="AD1" s="1" t="s">
        <v>19956</v>
      </c>
      <c r="AE1" t="s">
        <v>16848</v>
      </c>
      <c r="AF1" s="1" t="s">
        <v>19957</v>
      </c>
      <c r="AG1" s="1" t="s">
        <v>19958</v>
      </c>
      <c r="AH1" s="1" t="s">
        <v>19959</v>
      </c>
      <c r="AI1" t="s">
        <v>16852</v>
      </c>
      <c r="AJ1" t="s">
        <v>16853</v>
      </c>
      <c r="AK1" t="s">
        <v>16854</v>
      </c>
      <c r="AL1" t="s">
        <v>16855</v>
      </c>
      <c r="AM1" t="s">
        <v>18775</v>
      </c>
      <c r="AN1" t="s">
        <v>19324</v>
      </c>
      <c r="AO1" t="s">
        <v>18777</v>
      </c>
      <c r="AP1" t="s">
        <v>18778</v>
      </c>
      <c r="AQ1" t="s">
        <v>18779</v>
      </c>
      <c r="AR1" t="s">
        <v>18780</v>
      </c>
      <c r="AS1" t="s">
        <v>18781</v>
      </c>
      <c r="AT1" t="s">
        <v>16856</v>
      </c>
      <c r="AU1" t="s">
        <v>16857</v>
      </c>
      <c r="AV1" t="s">
        <v>16858</v>
      </c>
      <c r="AW1" t="s">
        <v>19960</v>
      </c>
      <c r="AX1" t="s">
        <v>16860</v>
      </c>
      <c r="AY1" t="s">
        <v>16861</v>
      </c>
      <c r="AZ1" t="s">
        <v>16862</v>
      </c>
      <c r="BA1" t="s">
        <v>16863</v>
      </c>
      <c r="BB1" t="s">
        <v>16864</v>
      </c>
      <c r="BC1" t="s">
        <v>16865</v>
      </c>
      <c r="BD1" t="s">
        <v>16866</v>
      </c>
      <c r="BE1" t="s">
        <v>16867</v>
      </c>
      <c r="BF1" t="s">
        <v>18782</v>
      </c>
    </row>
    <row r="2" spans="1:58">
      <c r="A2" t="s">
        <v>16869</v>
      </c>
      <c r="B2" t="s">
        <v>17346</v>
      </c>
      <c r="C2">
        <v>0</v>
      </c>
      <c r="D2">
        <v>2</v>
      </c>
      <c r="E2">
        <v>2</v>
      </c>
      <c r="F2">
        <v>2</v>
      </c>
      <c r="G2">
        <v>1</v>
      </c>
      <c r="H2">
        <v>1</v>
      </c>
      <c r="I2">
        <v>1</v>
      </c>
      <c r="J2">
        <v>2</v>
      </c>
      <c r="K2">
        <v>11</v>
      </c>
      <c r="L2">
        <v>1</v>
      </c>
      <c r="M2">
        <v>1</v>
      </c>
      <c r="N2">
        <v>0</v>
      </c>
      <c r="O2">
        <v>0</v>
      </c>
      <c r="P2">
        <v>0</v>
      </c>
      <c r="Q2">
        <v>0</v>
      </c>
      <c r="R2">
        <v>0</v>
      </c>
      <c r="S2">
        <v>4.5</v>
      </c>
      <c r="T2">
        <v>1.5</v>
      </c>
      <c r="U2">
        <v>0</v>
      </c>
      <c r="V2">
        <v>6</v>
      </c>
      <c r="W2">
        <v>75</v>
      </c>
      <c r="X2">
        <v>0</v>
      </c>
      <c r="Y2">
        <v>0</v>
      </c>
      <c r="Z2">
        <v>2</v>
      </c>
      <c r="AA2">
        <v>0</v>
      </c>
      <c r="AB2">
        <v>0</v>
      </c>
      <c r="AC2">
        <v>0</v>
      </c>
      <c r="AD2">
        <v>0</v>
      </c>
      <c r="AE2">
        <v>0</v>
      </c>
      <c r="AF2">
        <v>0</v>
      </c>
      <c r="AG2">
        <v>75</v>
      </c>
      <c r="AH2">
        <v>75</v>
      </c>
      <c r="AI2">
        <v>0</v>
      </c>
      <c r="AJ2">
        <v>0</v>
      </c>
      <c r="AK2">
        <v>60</v>
      </c>
      <c r="AL2">
        <v>60</v>
      </c>
      <c r="AM2">
        <v>0</v>
      </c>
      <c r="AN2">
        <v>0</v>
      </c>
      <c r="AO2">
        <v>0</v>
      </c>
      <c r="AP2">
        <v>0</v>
      </c>
      <c r="AQ2">
        <v>0</v>
      </c>
      <c r="AR2">
        <v>0</v>
      </c>
      <c r="AS2">
        <v>0</v>
      </c>
      <c r="AT2">
        <v>11</v>
      </c>
      <c r="AU2">
        <v>8</v>
      </c>
      <c r="AV2">
        <v>3</v>
      </c>
      <c r="AW2">
        <v>0</v>
      </c>
      <c r="AX2">
        <v>4.5</v>
      </c>
      <c r="AY2">
        <v>4</v>
      </c>
      <c r="AZ2">
        <v>0.5</v>
      </c>
      <c r="BA2">
        <v>0</v>
      </c>
      <c r="BB2">
        <v>1.5</v>
      </c>
      <c r="BC2">
        <v>1</v>
      </c>
      <c r="BD2">
        <v>0.5</v>
      </c>
      <c r="BE2">
        <v>0</v>
      </c>
    </row>
    <row r="3" spans="1:58">
      <c r="A3" t="s">
        <v>16869</v>
      </c>
      <c r="B3" t="s">
        <v>16871</v>
      </c>
      <c r="C3">
        <v>0</v>
      </c>
      <c r="D3">
        <v>3</v>
      </c>
      <c r="E3">
        <v>3</v>
      </c>
      <c r="F3">
        <v>3</v>
      </c>
      <c r="G3">
        <v>0</v>
      </c>
      <c r="H3">
        <v>0</v>
      </c>
      <c r="I3">
        <v>0</v>
      </c>
      <c r="J3">
        <v>3</v>
      </c>
      <c r="K3">
        <v>23</v>
      </c>
      <c r="L3">
        <v>3</v>
      </c>
      <c r="M3">
        <v>0</v>
      </c>
      <c r="N3">
        <v>0</v>
      </c>
      <c r="O3">
        <v>0</v>
      </c>
      <c r="P3">
        <v>0</v>
      </c>
      <c r="Q3">
        <v>0</v>
      </c>
      <c r="R3">
        <v>0</v>
      </c>
      <c r="S3">
        <v>1.5</v>
      </c>
      <c r="T3">
        <v>3</v>
      </c>
      <c r="U3">
        <v>0</v>
      </c>
      <c r="V3">
        <v>4.5</v>
      </c>
      <c r="W3">
        <v>75</v>
      </c>
      <c r="X3">
        <v>0</v>
      </c>
      <c r="Y3">
        <v>2</v>
      </c>
      <c r="Z3">
        <v>1</v>
      </c>
      <c r="AA3">
        <v>0</v>
      </c>
      <c r="AB3">
        <v>0</v>
      </c>
      <c r="AC3">
        <v>0</v>
      </c>
      <c r="AD3">
        <v>0</v>
      </c>
      <c r="AE3">
        <v>0</v>
      </c>
      <c r="AF3">
        <v>0</v>
      </c>
      <c r="AG3">
        <v>75</v>
      </c>
      <c r="AH3">
        <v>75</v>
      </c>
      <c r="AI3">
        <v>0</v>
      </c>
      <c r="AJ3">
        <v>0</v>
      </c>
      <c r="AK3">
        <v>0</v>
      </c>
      <c r="AL3">
        <v>0</v>
      </c>
      <c r="AM3">
        <v>0</v>
      </c>
      <c r="AN3">
        <v>0</v>
      </c>
      <c r="AO3">
        <v>0</v>
      </c>
      <c r="AP3">
        <v>0</v>
      </c>
      <c r="AQ3">
        <v>0</v>
      </c>
      <c r="AR3">
        <v>0</v>
      </c>
      <c r="AS3">
        <v>0</v>
      </c>
      <c r="AT3">
        <v>23</v>
      </c>
      <c r="AU3">
        <v>0</v>
      </c>
      <c r="AV3">
        <v>23</v>
      </c>
      <c r="AW3">
        <v>0</v>
      </c>
      <c r="AX3">
        <v>1.5</v>
      </c>
      <c r="AY3">
        <v>0</v>
      </c>
      <c r="AZ3">
        <v>1.5</v>
      </c>
      <c r="BA3">
        <v>0</v>
      </c>
      <c r="BB3">
        <v>3</v>
      </c>
      <c r="BC3">
        <v>0</v>
      </c>
      <c r="BD3">
        <v>3</v>
      </c>
      <c r="BE3">
        <v>0</v>
      </c>
    </row>
    <row r="4" spans="1:58">
      <c r="A4" t="s">
        <v>16869</v>
      </c>
      <c r="B4" t="s">
        <v>20679</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row>
    <row r="5" spans="1:58">
      <c r="A5" t="s">
        <v>16869</v>
      </c>
      <c r="B5" t="s">
        <v>17498</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row>
    <row r="6" spans="1:58">
      <c r="A6" t="s">
        <v>16869</v>
      </c>
      <c r="B6" t="s">
        <v>18784</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row>
    <row r="7" spans="1:58">
      <c r="A7" t="s">
        <v>16869</v>
      </c>
      <c r="B7" t="s">
        <v>17200</v>
      </c>
      <c r="C7">
        <v>1</v>
      </c>
      <c r="D7">
        <v>253</v>
      </c>
      <c r="E7">
        <v>253</v>
      </c>
      <c r="F7">
        <v>246</v>
      </c>
      <c r="G7">
        <v>49</v>
      </c>
      <c r="H7">
        <v>30</v>
      </c>
      <c r="I7">
        <v>15</v>
      </c>
      <c r="J7">
        <v>247</v>
      </c>
      <c r="K7">
        <v>1304</v>
      </c>
      <c r="L7">
        <v>204</v>
      </c>
      <c r="M7">
        <v>11</v>
      </c>
      <c r="N7">
        <v>6</v>
      </c>
      <c r="O7">
        <v>14</v>
      </c>
      <c r="P7">
        <v>8</v>
      </c>
      <c r="Q7">
        <v>3</v>
      </c>
      <c r="R7">
        <v>0</v>
      </c>
      <c r="S7">
        <v>69.25</v>
      </c>
      <c r="T7">
        <v>54.3</v>
      </c>
      <c r="U7">
        <v>0</v>
      </c>
      <c r="V7">
        <v>123.55</v>
      </c>
      <c r="W7">
        <v>1778.5</v>
      </c>
      <c r="X7">
        <v>3.5</v>
      </c>
      <c r="Y7">
        <v>36</v>
      </c>
      <c r="Z7">
        <v>0</v>
      </c>
      <c r="AA7">
        <v>0</v>
      </c>
      <c r="AB7">
        <v>1106</v>
      </c>
      <c r="AC7">
        <v>1223.04</v>
      </c>
      <c r="AD7">
        <v>915.38</v>
      </c>
      <c r="AE7">
        <v>1580.0499999999997</v>
      </c>
      <c r="AF7">
        <v>2020.8799999999997</v>
      </c>
      <c r="AG7">
        <v>3005.04</v>
      </c>
      <c r="AH7">
        <v>1694.58</v>
      </c>
      <c r="AI7">
        <v>994.23</v>
      </c>
      <c r="AJ7">
        <v>1129.05</v>
      </c>
      <c r="AK7">
        <v>1810.7199999999998</v>
      </c>
      <c r="AL7">
        <v>816.49</v>
      </c>
      <c r="AM7">
        <v>69</v>
      </c>
      <c r="AN7">
        <v>37</v>
      </c>
      <c r="AO7">
        <v>4</v>
      </c>
      <c r="AP7">
        <v>2</v>
      </c>
      <c r="AQ7">
        <v>0</v>
      </c>
      <c r="AR7">
        <v>0</v>
      </c>
      <c r="AS7">
        <v>0</v>
      </c>
      <c r="AT7">
        <v>1304</v>
      </c>
      <c r="AU7">
        <v>409</v>
      </c>
      <c r="AV7">
        <v>894</v>
      </c>
      <c r="AW7">
        <v>1</v>
      </c>
      <c r="AX7">
        <v>69.25</v>
      </c>
      <c r="AY7">
        <v>19</v>
      </c>
      <c r="AZ7">
        <v>50.25</v>
      </c>
      <c r="BA7">
        <v>0</v>
      </c>
      <c r="BB7">
        <v>54.3</v>
      </c>
      <c r="BC7">
        <v>40.049999999999997</v>
      </c>
      <c r="BD7">
        <v>14.25</v>
      </c>
      <c r="BE7">
        <v>0</v>
      </c>
    </row>
    <row r="8" spans="1:58">
      <c r="A8" t="s">
        <v>16869</v>
      </c>
      <c r="B8" t="s">
        <v>16872</v>
      </c>
      <c r="C8">
        <v>3</v>
      </c>
      <c r="D8">
        <v>73</v>
      </c>
      <c r="E8">
        <v>70</v>
      </c>
      <c r="F8">
        <v>47</v>
      </c>
      <c r="G8">
        <v>0</v>
      </c>
      <c r="H8">
        <v>7</v>
      </c>
      <c r="I8">
        <v>1</v>
      </c>
      <c r="J8">
        <v>69</v>
      </c>
      <c r="K8">
        <v>781</v>
      </c>
      <c r="L8">
        <v>36</v>
      </c>
      <c r="M8">
        <v>6</v>
      </c>
      <c r="N8">
        <v>14</v>
      </c>
      <c r="O8">
        <v>9</v>
      </c>
      <c r="P8">
        <v>2</v>
      </c>
      <c r="Q8">
        <v>3</v>
      </c>
      <c r="R8">
        <v>0</v>
      </c>
      <c r="S8">
        <v>25</v>
      </c>
      <c r="T8">
        <v>31.5</v>
      </c>
      <c r="U8">
        <v>0</v>
      </c>
      <c r="V8">
        <v>56.5</v>
      </c>
      <c r="W8">
        <v>717.5</v>
      </c>
      <c r="X8">
        <v>0</v>
      </c>
      <c r="Y8">
        <v>51</v>
      </c>
      <c r="Z8">
        <v>0</v>
      </c>
      <c r="AA8">
        <v>-162.5</v>
      </c>
      <c r="AB8">
        <v>187.5</v>
      </c>
      <c r="AC8">
        <v>494.5</v>
      </c>
      <c r="AD8">
        <v>494.5</v>
      </c>
      <c r="AE8">
        <v>614.5</v>
      </c>
      <c r="AF8">
        <v>682</v>
      </c>
      <c r="AG8">
        <v>1212</v>
      </c>
      <c r="AH8">
        <v>597.5</v>
      </c>
      <c r="AI8">
        <v>371.25</v>
      </c>
      <c r="AJ8">
        <v>438.75</v>
      </c>
      <c r="AK8">
        <v>548.75</v>
      </c>
      <c r="AL8">
        <v>177.5</v>
      </c>
      <c r="AM8">
        <v>2</v>
      </c>
      <c r="AN8">
        <v>6</v>
      </c>
      <c r="AO8">
        <v>2</v>
      </c>
      <c r="AP8">
        <v>2</v>
      </c>
      <c r="AQ8">
        <v>0</v>
      </c>
      <c r="AR8">
        <v>0</v>
      </c>
      <c r="AS8">
        <v>0</v>
      </c>
      <c r="AT8">
        <v>781</v>
      </c>
      <c r="AU8">
        <v>146</v>
      </c>
      <c r="AV8">
        <v>618</v>
      </c>
      <c r="AW8">
        <v>73</v>
      </c>
      <c r="AX8">
        <v>25</v>
      </c>
      <c r="AY8">
        <v>7.75</v>
      </c>
      <c r="AZ8">
        <v>17</v>
      </c>
      <c r="BA8">
        <v>3.75</v>
      </c>
      <c r="BB8">
        <v>31.5</v>
      </c>
      <c r="BC8">
        <v>14.75</v>
      </c>
      <c r="BD8">
        <v>16.5</v>
      </c>
      <c r="BE8">
        <v>6.25</v>
      </c>
    </row>
    <row r="9" spans="1:58">
      <c r="A9" t="s">
        <v>16869</v>
      </c>
      <c r="B9" t="s">
        <v>16873</v>
      </c>
      <c r="C9">
        <v>0</v>
      </c>
      <c r="D9">
        <v>20</v>
      </c>
      <c r="E9">
        <v>20</v>
      </c>
      <c r="F9">
        <v>15</v>
      </c>
      <c r="G9">
        <v>3</v>
      </c>
      <c r="H9">
        <v>1</v>
      </c>
      <c r="I9">
        <v>0</v>
      </c>
      <c r="J9">
        <v>20</v>
      </c>
      <c r="K9">
        <v>136</v>
      </c>
      <c r="L9">
        <v>16</v>
      </c>
      <c r="M9">
        <v>0</v>
      </c>
      <c r="N9">
        <v>1</v>
      </c>
      <c r="O9">
        <v>2</v>
      </c>
      <c r="P9">
        <v>0</v>
      </c>
      <c r="Q9">
        <v>1</v>
      </c>
      <c r="R9">
        <v>0</v>
      </c>
      <c r="S9">
        <v>7.5</v>
      </c>
      <c r="T9">
        <v>2.25</v>
      </c>
      <c r="U9">
        <v>0.5</v>
      </c>
      <c r="V9">
        <v>10.25</v>
      </c>
      <c r="W9">
        <v>120</v>
      </c>
      <c r="X9">
        <v>0</v>
      </c>
      <c r="Y9">
        <v>17</v>
      </c>
      <c r="Z9">
        <v>0</v>
      </c>
      <c r="AA9">
        <v>0</v>
      </c>
      <c r="AB9">
        <v>0</v>
      </c>
      <c r="AC9">
        <v>14.11</v>
      </c>
      <c r="AD9">
        <v>13.61</v>
      </c>
      <c r="AE9">
        <v>18.86</v>
      </c>
      <c r="AF9">
        <v>13.61</v>
      </c>
      <c r="AG9">
        <v>144.11000000000001</v>
      </c>
      <c r="AH9">
        <v>127.5</v>
      </c>
      <c r="AI9">
        <v>0</v>
      </c>
      <c r="AJ9">
        <v>0</v>
      </c>
      <c r="AK9">
        <v>27.5</v>
      </c>
      <c r="AL9">
        <v>27.5</v>
      </c>
      <c r="AM9">
        <v>3</v>
      </c>
      <c r="AN9">
        <v>1</v>
      </c>
      <c r="AO9">
        <v>0</v>
      </c>
      <c r="AP9">
        <v>0</v>
      </c>
      <c r="AQ9">
        <v>0</v>
      </c>
      <c r="AR9">
        <v>0</v>
      </c>
      <c r="AS9">
        <v>0</v>
      </c>
      <c r="AT9">
        <v>136</v>
      </c>
      <c r="AU9">
        <v>14</v>
      </c>
      <c r="AV9">
        <v>122</v>
      </c>
      <c r="AW9">
        <v>0</v>
      </c>
      <c r="AX9">
        <v>7.5</v>
      </c>
      <c r="AY9">
        <v>1.75</v>
      </c>
      <c r="AZ9">
        <v>5.75</v>
      </c>
      <c r="BA9">
        <v>0</v>
      </c>
      <c r="BB9">
        <v>2.25</v>
      </c>
      <c r="BC9">
        <v>0</v>
      </c>
      <c r="BD9">
        <v>2.25</v>
      </c>
      <c r="BE9">
        <v>0</v>
      </c>
    </row>
    <row r="10" spans="1:58">
      <c r="A10" t="s">
        <v>16869</v>
      </c>
      <c r="B10" t="s">
        <v>18785</v>
      </c>
      <c r="C10">
        <v>0</v>
      </c>
      <c r="D10">
        <v>117</v>
      </c>
      <c r="E10">
        <v>115</v>
      </c>
      <c r="F10">
        <v>109</v>
      </c>
      <c r="G10">
        <v>5</v>
      </c>
      <c r="H10">
        <v>5</v>
      </c>
      <c r="I10">
        <v>0</v>
      </c>
      <c r="J10">
        <v>115</v>
      </c>
      <c r="K10">
        <v>1191</v>
      </c>
      <c r="L10">
        <v>35</v>
      </c>
      <c r="M10">
        <v>1</v>
      </c>
      <c r="N10">
        <v>3</v>
      </c>
      <c r="O10">
        <v>0</v>
      </c>
      <c r="P10">
        <v>0</v>
      </c>
      <c r="Q10">
        <v>76</v>
      </c>
      <c r="R10">
        <v>1</v>
      </c>
      <c r="S10">
        <v>15.75</v>
      </c>
      <c r="T10">
        <v>37.750999999999998</v>
      </c>
      <c r="U10">
        <v>0</v>
      </c>
      <c r="V10">
        <v>53.501000000000005</v>
      </c>
      <c r="W10">
        <v>912.52</v>
      </c>
      <c r="X10">
        <v>0</v>
      </c>
      <c r="Y10">
        <v>27</v>
      </c>
      <c r="Z10">
        <v>0</v>
      </c>
      <c r="AA10">
        <v>0</v>
      </c>
      <c r="AB10">
        <v>207.51999999999998</v>
      </c>
      <c r="AC10">
        <v>29806.19</v>
      </c>
      <c r="AD10">
        <v>11</v>
      </c>
      <c r="AE10">
        <v>197.25</v>
      </c>
      <c r="AF10">
        <v>218.51999999999998</v>
      </c>
      <c r="AG10">
        <v>30718.71</v>
      </c>
      <c r="AH10">
        <v>30521.46</v>
      </c>
      <c r="AI10">
        <v>100.5</v>
      </c>
      <c r="AJ10">
        <v>67.5</v>
      </c>
      <c r="AK10">
        <v>258</v>
      </c>
      <c r="AL10">
        <v>157.5</v>
      </c>
      <c r="AM10">
        <v>10</v>
      </c>
      <c r="AN10">
        <v>2</v>
      </c>
      <c r="AO10">
        <v>2</v>
      </c>
      <c r="AP10">
        <v>0</v>
      </c>
      <c r="AQ10">
        <v>0</v>
      </c>
      <c r="AR10">
        <v>0</v>
      </c>
      <c r="AS10">
        <v>0</v>
      </c>
      <c r="AT10">
        <v>1191</v>
      </c>
      <c r="AU10">
        <v>85</v>
      </c>
      <c r="AV10">
        <v>1106</v>
      </c>
      <c r="AW10">
        <v>0</v>
      </c>
      <c r="AX10">
        <v>15.75</v>
      </c>
      <c r="AY10">
        <v>4.25</v>
      </c>
      <c r="AZ10">
        <v>11.5</v>
      </c>
      <c r="BA10">
        <v>0</v>
      </c>
      <c r="BB10">
        <v>37.750999999999998</v>
      </c>
      <c r="BC10">
        <v>5.75</v>
      </c>
      <c r="BD10">
        <v>32.000999999999998</v>
      </c>
      <c r="BE10">
        <v>0</v>
      </c>
    </row>
    <row r="11" spans="1:58">
      <c r="A11" t="s">
        <v>16874</v>
      </c>
      <c r="B11" t="s">
        <v>16875</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row>
    <row r="12" spans="1:58">
      <c r="A12" t="s">
        <v>16876</v>
      </c>
      <c r="B12" t="s">
        <v>16877</v>
      </c>
      <c r="C12">
        <v>0</v>
      </c>
      <c r="D12">
        <v>17</v>
      </c>
      <c r="E12">
        <v>17</v>
      </c>
      <c r="F12">
        <v>17</v>
      </c>
      <c r="G12">
        <v>0</v>
      </c>
      <c r="H12">
        <v>0</v>
      </c>
      <c r="I12">
        <v>0</v>
      </c>
      <c r="J12">
        <v>17</v>
      </c>
      <c r="K12">
        <v>151</v>
      </c>
      <c r="L12">
        <v>9</v>
      </c>
      <c r="M12">
        <v>0</v>
      </c>
      <c r="N12">
        <v>3</v>
      </c>
      <c r="O12">
        <v>5</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151</v>
      </c>
      <c r="AU12">
        <v>0</v>
      </c>
      <c r="AV12">
        <v>151</v>
      </c>
      <c r="AW12">
        <v>0</v>
      </c>
      <c r="AX12">
        <v>0</v>
      </c>
      <c r="AY12">
        <v>0</v>
      </c>
      <c r="AZ12">
        <v>0</v>
      </c>
      <c r="BA12">
        <v>0</v>
      </c>
      <c r="BB12">
        <v>0</v>
      </c>
      <c r="BC12">
        <v>0</v>
      </c>
      <c r="BD12">
        <v>0</v>
      </c>
      <c r="BE12">
        <v>0</v>
      </c>
    </row>
    <row r="13" spans="1:58">
      <c r="A13" t="s">
        <v>17496</v>
      </c>
      <c r="B13" t="s">
        <v>17497</v>
      </c>
      <c r="C13">
        <v>0</v>
      </c>
      <c r="D13">
        <v>7</v>
      </c>
      <c r="E13">
        <v>7</v>
      </c>
      <c r="F13">
        <v>4</v>
      </c>
      <c r="G13">
        <v>0</v>
      </c>
      <c r="H13">
        <v>0</v>
      </c>
      <c r="I13">
        <v>0</v>
      </c>
      <c r="J13">
        <v>7</v>
      </c>
      <c r="K13">
        <v>50</v>
      </c>
      <c r="L13">
        <v>3</v>
      </c>
      <c r="M13">
        <v>0</v>
      </c>
      <c r="N13">
        <v>2</v>
      </c>
      <c r="O13">
        <v>2</v>
      </c>
      <c r="P13">
        <v>0</v>
      </c>
      <c r="Q13">
        <v>0</v>
      </c>
      <c r="R13">
        <v>0</v>
      </c>
      <c r="S13">
        <v>6</v>
      </c>
      <c r="T13">
        <v>8</v>
      </c>
      <c r="U13">
        <v>0</v>
      </c>
      <c r="V13">
        <v>14</v>
      </c>
      <c r="W13">
        <v>220</v>
      </c>
      <c r="X13">
        <v>0</v>
      </c>
      <c r="Y13">
        <v>1</v>
      </c>
      <c r="Z13">
        <v>1</v>
      </c>
      <c r="AA13">
        <v>0</v>
      </c>
      <c r="AB13">
        <v>0</v>
      </c>
      <c r="AC13">
        <v>0</v>
      </c>
      <c r="AD13">
        <v>0</v>
      </c>
      <c r="AE13">
        <v>10</v>
      </c>
      <c r="AF13">
        <v>0</v>
      </c>
      <c r="AG13">
        <v>220</v>
      </c>
      <c r="AH13">
        <v>210</v>
      </c>
      <c r="AI13">
        <v>0</v>
      </c>
      <c r="AJ13">
        <v>0</v>
      </c>
      <c r="AK13">
        <v>0</v>
      </c>
      <c r="AL13">
        <v>0</v>
      </c>
      <c r="AM13">
        <v>0</v>
      </c>
      <c r="AN13">
        <v>0</v>
      </c>
      <c r="AO13">
        <v>0</v>
      </c>
      <c r="AP13">
        <v>0</v>
      </c>
      <c r="AQ13">
        <v>0</v>
      </c>
      <c r="AR13">
        <v>0</v>
      </c>
      <c r="AS13">
        <v>0</v>
      </c>
      <c r="AT13">
        <v>50</v>
      </c>
      <c r="AU13">
        <v>0</v>
      </c>
      <c r="AV13">
        <v>50</v>
      </c>
      <c r="AW13">
        <v>0</v>
      </c>
      <c r="AX13">
        <v>6</v>
      </c>
      <c r="AY13">
        <v>0</v>
      </c>
      <c r="AZ13">
        <v>6</v>
      </c>
      <c r="BA13">
        <v>0</v>
      </c>
      <c r="BB13">
        <v>8</v>
      </c>
      <c r="BC13">
        <v>0</v>
      </c>
      <c r="BD13">
        <v>8</v>
      </c>
      <c r="BE13">
        <v>0</v>
      </c>
    </row>
    <row r="14" spans="1:58">
      <c r="A14" t="s">
        <v>16878</v>
      </c>
      <c r="B14" t="s">
        <v>17347</v>
      </c>
      <c r="C14">
        <v>0</v>
      </c>
      <c r="D14">
        <v>1</v>
      </c>
      <c r="E14">
        <v>1</v>
      </c>
      <c r="F14">
        <v>0</v>
      </c>
      <c r="G14">
        <v>1</v>
      </c>
      <c r="H14">
        <v>1</v>
      </c>
      <c r="I14">
        <v>1</v>
      </c>
      <c r="J14">
        <v>1</v>
      </c>
      <c r="K14">
        <v>17</v>
      </c>
      <c r="L14">
        <v>1</v>
      </c>
      <c r="M14">
        <v>0</v>
      </c>
      <c r="N14">
        <v>0</v>
      </c>
      <c r="O14">
        <v>0</v>
      </c>
      <c r="P14">
        <v>0</v>
      </c>
      <c r="Q14">
        <v>0</v>
      </c>
      <c r="R14">
        <v>0</v>
      </c>
      <c r="S14">
        <v>8</v>
      </c>
      <c r="T14">
        <v>0</v>
      </c>
      <c r="U14">
        <v>0</v>
      </c>
      <c r="V14">
        <v>8</v>
      </c>
      <c r="W14">
        <v>80</v>
      </c>
      <c r="X14">
        <v>0</v>
      </c>
      <c r="Y14">
        <v>0</v>
      </c>
      <c r="Z14">
        <v>1</v>
      </c>
      <c r="AA14">
        <v>0</v>
      </c>
      <c r="AB14">
        <v>20</v>
      </c>
      <c r="AC14">
        <v>0</v>
      </c>
      <c r="AD14">
        <v>0</v>
      </c>
      <c r="AE14">
        <v>0</v>
      </c>
      <c r="AF14">
        <v>20</v>
      </c>
      <c r="AG14">
        <v>0</v>
      </c>
      <c r="AH14">
        <v>0</v>
      </c>
      <c r="AI14">
        <v>0</v>
      </c>
      <c r="AJ14">
        <v>20</v>
      </c>
      <c r="AK14">
        <v>0</v>
      </c>
      <c r="AL14">
        <v>0</v>
      </c>
      <c r="AM14">
        <v>0</v>
      </c>
      <c r="AN14">
        <v>0</v>
      </c>
      <c r="AO14">
        <v>0</v>
      </c>
      <c r="AP14">
        <v>0</v>
      </c>
      <c r="AQ14">
        <v>0</v>
      </c>
      <c r="AR14">
        <v>0</v>
      </c>
      <c r="AS14">
        <v>0</v>
      </c>
      <c r="AT14">
        <v>17</v>
      </c>
      <c r="AU14">
        <v>17</v>
      </c>
      <c r="AV14">
        <v>0</v>
      </c>
      <c r="AW14">
        <v>0</v>
      </c>
      <c r="AX14">
        <v>8</v>
      </c>
      <c r="AY14">
        <v>8</v>
      </c>
      <c r="AZ14">
        <v>0</v>
      </c>
      <c r="BA14">
        <v>0</v>
      </c>
      <c r="BB14">
        <v>0</v>
      </c>
      <c r="BC14">
        <v>0</v>
      </c>
      <c r="BD14">
        <v>0</v>
      </c>
      <c r="BE14">
        <v>0</v>
      </c>
    </row>
    <row r="15" spans="1:58">
      <c r="A15" t="s">
        <v>17210</v>
      </c>
      <c r="B15" t="s">
        <v>17211</v>
      </c>
      <c r="C15">
        <v>0</v>
      </c>
      <c r="D15">
        <v>36</v>
      </c>
      <c r="E15">
        <v>35</v>
      </c>
      <c r="F15">
        <v>28</v>
      </c>
      <c r="G15">
        <v>1</v>
      </c>
      <c r="H15">
        <v>6</v>
      </c>
      <c r="I15">
        <v>4</v>
      </c>
      <c r="J15">
        <v>31</v>
      </c>
      <c r="K15">
        <v>406</v>
      </c>
      <c r="L15">
        <v>6</v>
      </c>
      <c r="M15">
        <v>2</v>
      </c>
      <c r="N15">
        <v>11</v>
      </c>
      <c r="O15">
        <v>10</v>
      </c>
      <c r="P15">
        <v>0</v>
      </c>
      <c r="Q15">
        <v>1</v>
      </c>
      <c r="R15">
        <v>0</v>
      </c>
      <c r="S15">
        <v>19.75</v>
      </c>
      <c r="T15">
        <v>109</v>
      </c>
      <c r="U15">
        <v>0</v>
      </c>
      <c r="V15">
        <v>128.75</v>
      </c>
      <c r="W15">
        <v>2377.5</v>
      </c>
      <c r="X15">
        <v>0</v>
      </c>
      <c r="Y15">
        <v>7</v>
      </c>
      <c r="Z15">
        <v>0</v>
      </c>
      <c r="AA15">
        <v>0</v>
      </c>
      <c r="AB15">
        <v>2192.5</v>
      </c>
      <c r="AC15">
        <v>0</v>
      </c>
      <c r="AD15">
        <v>0</v>
      </c>
      <c r="AE15">
        <v>948.75</v>
      </c>
      <c r="AF15">
        <v>2192.5</v>
      </c>
      <c r="AG15">
        <v>2377.5</v>
      </c>
      <c r="AH15">
        <v>1428.75</v>
      </c>
      <c r="AI15">
        <v>688.75</v>
      </c>
      <c r="AJ15">
        <v>1932.5</v>
      </c>
      <c r="AK15">
        <v>2082.5</v>
      </c>
      <c r="AL15">
        <v>1393.75</v>
      </c>
      <c r="AM15">
        <v>0</v>
      </c>
      <c r="AN15">
        <v>2</v>
      </c>
      <c r="AO15">
        <v>1</v>
      </c>
      <c r="AP15">
        <v>1</v>
      </c>
      <c r="AQ15">
        <v>1</v>
      </c>
      <c r="AR15">
        <v>0</v>
      </c>
      <c r="AS15">
        <v>0</v>
      </c>
      <c r="AT15">
        <v>406</v>
      </c>
      <c r="AU15">
        <v>96</v>
      </c>
      <c r="AV15">
        <v>310</v>
      </c>
      <c r="AW15">
        <v>0</v>
      </c>
      <c r="AX15">
        <v>19.75</v>
      </c>
      <c r="AY15">
        <v>14.75</v>
      </c>
      <c r="AZ15">
        <v>5</v>
      </c>
      <c r="BA15">
        <v>0</v>
      </c>
      <c r="BB15">
        <v>109</v>
      </c>
      <c r="BC15">
        <v>96.75</v>
      </c>
      <c r="BD15">
        <v>12.25</v>
      </c>
      <c r="BE15">
        <v>0</v>
      </c>
    </row>
    <row r="16" spans="1:58">
      <c r="A16" t="s">
        <v>16879</v>
      </c>
      <c r="B16" t="s">
        <v>16880</v>
      </c>
      <c r="C16">
        <v>0</v>
      </c>
      <c r="D16">
        <v>1</v>
      </c>
      <c r="E16">
        <v>0</v>
      </c>
      <c r="F16">
        <v>0</v>
      </c>
      <c r="G16">
        <v>0</v>
      </c>
      <c r="H16">
        <v>0</v>
      </c>
      <c r="I16">
        <v>0</v>
      </c>
      <c r="J16">
        <v>1</v>
      </c>
      <c r="K16">
        <v>10</v>
      </c>
      <c r="L16">
        <v>0</v>
      </c>
      <c r="M16">
        <v>0</v>
      </c>
      <c r="N16">
        <v>1</v>
      </c>
      <c r="O16">
        <v>0</v>
      </c>
      <c r="P16">
        <v>0</v>
      </c>
      <c r="Q16">
        <v>0</v>
      </c>
      <c r="R16">
        <v>0</v>
      </c>
      <c r="S16">
        <v>1.5</v>
      </c>
      <c r="T16">
        <v>0</v>
      </c>
      <c r="U16">
        <v>1.5</v>
      </c>
      <c r="V16">
        <v>3</v>
      </c>
      <c r="W16">
        <v>15</v>
      </c>
      <c r="X16">
        <v>0</v>
      </c>
      <c r="Y16">
        <v>1</v>
      </c>
      <c r="Z16">
        <v>0</v>
      </c>
      <c r="AA16">
        <v>0</v>
      </c>
      <c r="AB16">
        <v>0</v>
      </c>
      <c r="AC16">
        <v>0</v>
      </c>
      <c r="AD16">
        <v>0</v>
      </c>
      <c r="AE16">
        <v>0</v>
      </c>
      <c r="AF16">
        <v>0</v>
      </c>
      <c r="AG16">
        <v>45</v>
      </c>
      <c r="AH16">
        <v>45</v>
      </c>
      <c r="AI16">
        <v>0</v>
      </c>
      <c r="AJ16">
        <v>0</v>
      </c>
      <c r="AK16">
        <v>0</v>
      </c>
      <c r="AL16">
        <v>0</v>
      </c>
      <c r="AM16">
        <v>0</v>
      </c>
      <c r="AN16">
        <v>0</v>
      </c>
      <c r="AO16">
        <v>0</v>
      </c>
      <c r="AP16">
        <v>0</v>
      </c>
      <c r="AQ16">
        <v>0</v>
      </c>
      <c r="AR16">
        <v>0</v>
      </c>
      <c r="AS16">
        <v>0</v>
      </c>
      <c r="AT16">
        <v>10</v>
      </c>
      <c r="AU16">
        <v>0</v>
      </c>
      <c r="AV16">
        <v>10</v>
      </c>
      <c r="AW16">
        <v>0</v>
      </c>
      <c r="AX16">
        <v>1.5</v>
      </c>
      <c r="AY16">
        <v>0</v>
      </c>
      <c r="AZ16">
        <v>1.5</v>
      </c>
      <c r="BA16">
        <v>0</v>
      </c>
      <c r="BB16">
        <v>0</v>
      </c>
      <c r="BC16">
        <v>0</v>
      </c>
      <c r="BD16">
        <v>0</v>
      </c>
      <c r="BE16">
        <v>0</v>
      </c>
    </row>
    <row r="17" spans="1:57">
      <c r="A17" t="s">
        <v>16881</v>
      </c>
      <c r="B17" t="s">
        <v>16882</v>
      </c>
      <c r="C17">
        <v>0</v>
      </c>
      <c r="D17">
        <v>7</v>
      </c>
      <c r="E17">
        <v>7</v>
      </c>
      <c r="F17">
        <v>1</v>
      </c>
      <c r="G17">
        <v>0</v>
      </c>
      <c r="H17">
        <v>0</v>
      </c>
      <c r="I17">
        <v>0</v>
      </c>
      <c r="J17">
        <v>6</v>
      </c>
      <c r="K17">
        <v>275</v>
      </c>
      <c r="L17">
        <v>3</v>
      </c>
      <c r="M17">
        <v>0</v>
      </c>
      <c r="N17">
        <v>1</v>
      </c>
      <c r="O17">
        <v>2</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275</v>
      </c>
      <c r="AU17">
        <v>0</v>
      </c>
      <c r="AV17">
        <v>275</v>
      </c>
      <c r="AW17">
        <v>0</v>
      </c>
      <c r="AX17">
        <v>0</v>
      </c>
      <c r="AY17">
        <v>0</v>
      </c>
      <c r="AZ17">
        <v>0</v>
      </c>
      <c r="BA17">
        <v>0</v>
      </c>
      <c r="BB17">
        <v>0</v>
      </c>
      <c r="BC17">
        <v>0</v>
      </c>
      <c r="BD17">
        <v>0</v>
      </c>
      <c r="BE17">
        <v>0</v>
      </c>
    </row>
    <row r="18" spans="1:57">
      <c r="A18" t="s">
        <v>17212</v>
      </c>
      <c r="B18" t="s">
        <v>17213</v>
      </c>
      <c r="C18">
        <v>0</v>
      </c>
      <c r="D18">
        <v>15</v>
      </c>
      <c r="E18">
        <v>15</v>
      </c>
      <c r="F18">
        <v>15</v>
      </c>
      <c r="G18">
        <v>4</v>
      </c>
      <c r="H18">
        <v>5</v>
      </c>
      <c r="I18">
        <v>2</v>
      </c>
      <c r="J18">
        <v>15</v>
      </c>
      <c r="K18">
        <v>496</v>
      </c>
      <c r="L18">
        <v>10</v>
      </c>
      <c r="M18">
        <v>2</v>
      </c>
      <c r="N18">
        <v>2</v>
      </c>
      <c r="O18">
        <v>0</v>
      </c>
      <c r="P18">
        <v>0</v>
      </c>
      <c r="Q18">
        <v>1</v>
      </c>
      <c r="R18">
        <v>0</v>
      </c>
      <c r="S18">
        <v>12.183333333333334</v>
      </c>
      <c r="T18">
        <v>24.166666666666668</v>
      </c>
      <c r="U18">
        <v>0</v>
      </c>
      <c r="V18">
        <v>36.35</v>
      </c>
      <c r="W18">
        <v>605.16666666666674</v>
      </c>
      <c r="X18">
        <v>0</v>
      </c>
      <c r="Y18">
        <v>1</v>
      </c>
      <c r="Z18">
        <v>0</v>
      </c>
      <c r="AA18">
        <v>0</v>
      </c>
      <c r="AB18">
        <v>170</v>
      </c>
      <c r="AC18">
        <v>167.5</v>
      </c>
      <c r="AD18">
        <v>42.5</v>
      </c>
      <c r="AE18">
        <v>60</v>
      </c>
      <c r="AF18">
        <v>212.5</v>
      </c>
      <c r="AG18">
        <v>772.66666666666663</v>
      </c>
      <c r="AH18">
        <v>730.16666666666663</v>
      </c>
      <c r="AI18">
        <v>42.5</v>
      </c>
      <c r="AJ18">
        <v>212.5</v>
      </c>
      <c r="AK18">
        <v>667.5</v>
      </c>
      <c r="AL18">
        <v>625</v>
      </c>
      <c r="AM18">
        <v>0</v>
      </c>
      <c r="AN18">
        <v>2</v>
      </c>
      <c r="AO18">
        <v>0</v>
      </c>
      <c r="AP18">
        <v>0</v>
      </c>
      <c r="AQ18">
        <v>0</v>
      </c>
      <c r="AR18">
        <v>0</v>
      </c>
      <c r="AS18">
        <v>0</v>
      </c>
      <c r="AT18">
        <v>496</v>
      </c>
      <c r="AU18">
        <v>390</v>
      </c>
      <c r="AV18">
        <v>106</v>
      </c>
      <c r="AW18">
        <v>0</v>
      </c>
      <c r="AX18">
        <v>13.433333333333334</v>
      </c>
      <c r="AY18">
        <v>12</v>
      </c>
      <c r="AZ18">
        <v>1.4333333333333333</v>
      </c>
      <c r="BA18">
        <v>0</v>
      </c>
      <c r="BB18">
        <v>25.916666666666668</v>
      </c>
      <c r="BC18">
        <v>24</v>
      </c>
      <c r="BD18">
        <v>1.9166666666666667</v>
      </c>
      <c r="BE18">
        <v>0</v>
      </c>
    </row>
    <row r="19" spans="1:57">
      <c r="A19" t="s">
        <v>16883</v>
      </c>
      <c r="B19" t="s">
        <v>17348</v>
      </c>
      <c r="C19">
        <v>3</v>
      </c>
      <c r="D19">
        <v>3</v>
      </c>
      <c r="E19">
        <v>0</v>
      </c>
      <c r="F19">
        <v>3</v>
      </c>
      <c r="G19">
        <v>0</v>
      </c>
      <c r="H19">
        <v>0</v>
      </c>
      <c r="I19">
        <v>0</v>
      </c>
      <c r="J19">
        <v>1</v>
      </c>
      <c r="K19">
        <v>2</v>
      </c>
      <c r="L19">
        <v>1</v>
      </c>
      <c r="M19">
        <v>0</v>
      </c>
      <c r="N19">
        <v>0</v>
      </c>
      <c r="O19">
        <v>1</v>
      </c>
      <c r="P19">
        <v>1</v>
      </c>
      <c r="Q19">
        <v>0</v>
      </c>
      <c r="R19">
        <v>0</v>
      </c>
      <c r="S19">
        <v>0.25</v>
      </c>
      <c r="T19">
        <v>0.25</v>
      </c>
      <c r="U19">
        <v>0</v>
      </c>
      <c r="V19">
        <v>0.5</v>
      </c>
      <c r="W19">
        <v>0</v>
      </c>
      <c r="X19">
        <v>0</v>
      </c>
      <c r="Y19">
        <v>0</v>
      </c>
      <c r="Z19">
        <v>0</v>
      </c>
      <c r="AA19">
        <v>-7.5</v>
      </c>
      <c r="AB19">
        <v>0</v>
      </c>
      <c r="AC19">
        <v>0</v>
      </c>
      <c r="AD19">
        <v>0</v>
      </c>
      <c r="AE19">
        <v>0</v>
      </c>
      <c r="AF19">
        <v>0</v>
      </c>
      <c r="AG19">
        <v>0</v>
      </c>
      <c r="AH19">
        <v>0</v>
      </c>
      <c r="AI19">
        <v>0</v>
      </c>
      <c r="AJ19">
        <v>0</v>
      </c>
      <c r="AK19">
        <v>0</v>
      </c>
      <c r="AL19">
        <v>0</v>
      </c>
      <c r="AM19">
        <v>0</v>
      </c>
      <c r="AN19">
        <v>0</v>
      </c>
      <c r="AO19">
        <v>0</v>
      </c>
      <c r="AP19">
        <v>0</v>
      </c>
      <c r="AQ19">
        <v>0</v>
      </c>
      <c r="AR19">
        <v>0</v>
      </c>
      <c r="AS19">
        <v>0</v>
      </c>
      <c r="AT19">
        <v>2</v>
      </c>
      <c r="AU19">
        <v>0</v>
      </c>
      <c r="AV19">
        <v>0</v>
      </c>
      <c r="AW19">
        <v>2</v>
      </c>
      <c r="AX19">
        <v>0.25</v>
      </c>
      <c r="AY19">
        <v>0</v>
      </c>
      <c r="AZ19">
        <v>0</v>
      </c>
      <c r="BA19">
        <v>0.25</v>
      </c>
      <c r="BB19">
        <v>0.25</v>
      </c>
      <c r="BC19">
        <v>0</v>
      </c>
      <c r="BD19">
        <v>0</v>
      </c>
      <c r="BE19">
        <v>0.25</v>
      </c>
    </row>
    <row r="20" spans="1:57">
      <c r="A20" t="s">
        <v>17214</v>
      </c>
      <c r="B20" t="s">
        <v>17215</v>
      </c>
      <c r="C20">
        <v>0</v>
      </c>
      <c r="D20">
        <v>3</v>
      </c>
      <c r="E20">
        <v>3</v>
      </c>
      <c r="F20">
        <v>0</v>
      </c>
      <c r="G20">
        <v>0</v>
      </c>
      <c r="H20">
        <v>0</v>
      </c>
      <c r="I20">
        <v>0</v>
      </c>
      <c r="J20">
        <v>3</v>
      </c>
      <c r="K20">
        <v>22</v>
      </c>
      <c r="L20">
        <v>0</v>
      </c>
      <c r="M20">
        <v>0</v>
      </c>
      <c r="N20">
        <v>0</v>
      </c>
      <c r="O20">
        <v>0</v>
      </c>
      <c r="P20">
        <v>0</v>
      </c>
      <c r="Q20">
        <v>0</v>
      </c>
      <c r="R20">
        <v>0</v>
      </c>
      <c r="S20">
        <v>3</v>
      </c>
      <c r="T20">
        <v>0</v>
      </c>
      <c r="U20">
        <v>0</v>
      </c>
      <c r="V20">
        <v>3</v>
      </c>
      <c r="W20">
        <v>0</v>
      </c>
      <c r="X20">
        <v>0</v>
      </c>
      <c r="Y20">
        <v>0</v>
      </c>
      <c r="Z20">
        <v>0</v>
      </c>
      <c r="AA20">
        <v>0</v>
      </c>
      <c r="AB20">
        <v>0</v>
      </c>
      <c r="AC20">
        <v>0</v>
      </c>
      <c r="AD20">
        <v>0</v>
      </c>
      <c r="AE20">
        <v>0</v>
      </c>
      <c r="AF20">
        <v>0</v>
      </c>
      <c r="AG20">
        <v>0</v>
      </c>
      <c r="AH20">
        <v>0</v>
      </c>
      <c r="AI20">
        <v>0</v>
      </c>
      <c r="AJ20">
        <v>0</v>
      </c>
      <c r="AK20">
        <v>0</v>
      </c>
      <c r="AL20">
        <v>0</v>
      </c>
      <c r="AM20">
        <v>3</v>
      </c>
      <c r="AN20">
        <v>0</v>
      </c>
      <c r="AO20">
        <v>0</v>
      </c>
      <c r="AP20">
        <v>0</v>
      </c>
      <c r="AQ20">
        <v>0</v>
      </c>
      <c r="AR20">
        <v>0</v>
      </c>
      <c r="AS20">
        <v>0</v>
      </c>
      <c r="AT20">
        <v>22</v>
      </c>
      <c r="AU20">
        <v>0</v>
      </c>
      <c r="AV20">
        <v>22</v>
      </c>
      <c r="AW20">
        <v>0</v>
      </c>
      <c r="AX20">
        <v>3</v>
      </c>
      <c r="AY20">
        <v>0</v>
      </c>
      <c r="AZ20">
        <v>3</v>
      </c>
      <c r="BA20">
        <v>0</v>
      </c>
      <c r="BB20">
        <v>0</v>
      </c>
      <c r="BC20">
        <v>0</v>
      </c>
      <c r="BD20">
        <v>0</v>
      </c>
      <c r="BE20">
        <v>0</v>
      </c>
    </row>
    <row r="21" spans="1:57">
      <c r="A21" t="s">
        <v>16884</v>
      </c>
      <c r="B21" t="s">
        <v>16885</v>
      </c>
      <c r="C21">
        <v>0</v>
      </c>
      <c r="D21">
        <v>6</v>
      </c>
      <c r="E21">
        <v>6</v>
      </c>
      <c r="F21">
        <v>6</v>
      </c>
      <c r="G21">
        <v>0</v>
      </c>
      <c r="H21">
        <v>1</v>
      </c>
      <c r="I21">
        <v>0</v>
      </c>
      <c r="J21">
        <v>6</v>
      </c>
      <c r="K21">
        <v>30</v>
      </c>
      <c r="L21">
        <v>4</v>
      </c>
      <c r="M21">
        <v>0</v>
      </c>
      <c r="N21">
        <v>0</v>
      </c>
      <c r="O21">
        <v>2</v>
      </c>
      <c r="P21">
        <v>0</v>
      </c>
      <c r="Q21">
        <v>0</v>
      </c>
      <c r="R21">
        <v>0</v>
      </c>
      <c r="S21">
        <v>6.5</v>
      </c>
      <c r="T21">
        <v>0</v>
      </c>
      <c r="U21">
        <v>0</v>
      </c>
      <c r="V21">
        <v>6.5</v>
      </c>
      <c r="W21">
        <v>65</v>
      </c>
      <c r="X21">
        <v>0</v>
      </c>
      <c r="Y21">
        <v>4</v>
      </c>
      <c r="Z21">
        <v>0</v>
      </c>
      <c r="AA21">
        <v>0</v>
      </c>
      <c r="AB21">
        <v>20</v>
      </c>
      <c r="AC21">
        <v>275.25</v>
      </c>
      <c r="AD21">
        <v>275.25</v>
      </c>
      <c r="AE21">
        <v>275.25</v>
      </c>
      <c r="AF21">
        <v>295.25</v>
      </c>
      <c r="AG21">
        <v>340.25</v>
      </c>
      <c r="AH21">
        <v>65</v>
      </c>
      <c r="AI21">
        <v>275.25</v>
      </c>
      <c r="AJ21">
        <v>295.25</v>
      </c>
      <c r="AK21">
        <v>325.25</v>
      </c>
      <c r="AL21">
        <v>50</v>
      </c>
      <c r="AM21">
        <v>0</v>
      </c>
      <c r="AN21">
        <v>0</v>
      </c>
      <c r="AO21">
        <v>0</v>
      </c>
      <c r="AP21">
        <v>1</v>
      </c>
      <c r="AQ21">
        <v>0</v>
      </c>
      <c r="AR21">
        <v>0</v>
      </c>
      <c r="AS21">
        <v>0</v>
      </c>
      <c r="AT21">
        <v>30</v>
      </c>
      <c r="AU21">
        <v>19</v>
      </c>
      <c r="AV21">
        <v>11</v>
      </c>
      <c r="AW21">
        <v>0</v>
      </c>
      <c r="AX21">
        <v>6.5</v>
      </c>
      <c r="AY21">
        <v>5</v>
      </c>
      <c r="AZ21">
        <v>1.5</v>
      </c>
      <c r="BA21">
        <v>0</v>
      </c>
      <c r="BB21">
        <v>0</v>
      </c>
      <c r="BC21">
        <v>0</v>
      </c>
      <c r="BD21">
        <v>0</v>
      </c>
      <c r="BE21">
        <v>0</v>
      </c>
    </row>
    <row r="22" spans="1:57">
      <c r="A22" t="s">
        <v>16884</v>
      </c>
      <c r="B22" t="s">
        <v>16885</v>
      </c>
      <c r="C22">
        <v>0</v>
      </c>
      <c r="D22">
        <v>12</v>
      </c>
      <c r="E22">
        <v>12</v>
      </c>
      <c r="F22">
        <v>12</v>
      </c>
      <c r="G22">
        <v>0</v>
      </c>
      <c r="H22">
        <v>0</v>
      </c>
      <c r="I22">
        <v>0</v>
      </c>
      <c r="J22">
        <v>12</v>
      </c>
      <c r="K22">
        <v>50</v>
      </c>
      <c r="L22">
        <v>8</v>
      </c>
      <c r="M22">
        <v>0</v>
      </c>
      <c r="N22">
        <v>2</v>
      </c>
      <c r="O22">
        <v>2</v>
      </c>
      <c r="P22">
        <v>0</v>
      </c>
      <c r="Q22">
        <v>0</v>
      </c>
      <c r="R22">
        <v>0</v>
      </c>
      <c r="S22">
        <v>10.75</v>
      </c>
      <c r="T22">
        <v>3.5</v>
      </c>
      <c r="U22">
        <v>0</v>
      </c>
      <c r="V22">
        <v>14.5</v>
      </c>
      <c r="W22">
        <v>177.5</v>
      </c>
      <c r="X22">
        <v>0</v>
      </c>
      <c r="Y22">
        <v>8</v>
      </c>
      <c r="Z22">
        <v>0</v>
      </c>
      <c r="AA22">
        <v>0</v>
      </c>
      <c r="AB22">
        <v>52.5</v>
      </c>
      <c r="AC22">
        <v>26</v>
      </c>
      <c r="AD22">
        <v>26</v>
      </c>
      <c r="AE22">
        <v>38.5</v>
      </c>
      <c r="AF22">
        <v>78.5</v>
      </c>
      <c r="AG22">
        <v>203.5</v>
      </c>
      <c r="AH22">
        <v>165</v>
      </c>
      <c r="AI22">
        <v>0</v>
      </c>
      <c r="AJ22">
        <v>0</v>
      </c>
      <c r="AK22">
        <v>0</v>
      </c>
      <c r="AL22">
        <v>0</v>
      </c>
      <c r="AM22">
        <v>0</v>
      </c>
      <c r="AN22">
        <v>1</v>
      </c>
      <c r="AO22">
        <v>0</v>
      </c>
      <c r="AP22">
        <v>0</v>
      </c>
      <c r="AQ22">
        <v>0</v>
      </c>
      <c r="AR22">
        <v>0</v>
      </c>
      <c r="AS22">
        <v>0</v>
      </c>
      <c r="AT22">
        <v>50</v>
      </c>
      <c r="AU22">
        <v>0</v>
      </c>
      <c r="AV22">
        <v>50</v>
      </c>
      <c r="AW22">
        <v>0</v>
      </c>
      <c r="AX22">
        <v>10.75</v>
      </c>
      <c r="AY22">
        <v>0</v>
      </c>
      <c r="AZ22">
        <v>10.75</v>
      </c>
      <c r="BA22">
        <v>0</v>
      </c>
      <c r="BB22">
        <v>3.5</v>
      </c>
      <c r="BC22">
        <v>0</v>
      </c>
      <c r="BD22">
        <v>3.5</v>
      </c>
      <c r="BE22">
        <v>0</v>
      </c>
    </row>
    <row r="23" spans="1:57">
      <c r="A23" t="s">
        <v>17352</v>
      </c>
      <c r="B23" t="s">
        <v>17353</v>
      </c>
      <c r="C23">
        <v>1</v>
      </c>
      <c r="D23">
        <v>5</v>
      </c>
      <c r="E23">
        <v>5</v>
      </c>
      <c r="F23">
        <v>5</v>
      </c>
      <c r="G23">
        <v>0</v>
      </c>
      <c r="H23">
        <v>1</v>
      </c>
      <c r="I23">
        <v>1</v>
      </c>
      <c r="J23">
        <v>5</v>
      </c>
      <c r="K23">
        <v>36</v>
      </c>
      <c r="L23">
        <v>1</v>
      </c>
      <c r="M23">
        <v>2</v>
      </c>
      <c r="N23">
        <v>2</v>
      </c>
      <c r="O23">
        <v>0</v>
      </c>
      <c r="P23">
        <v>0</v>
      </c>
      <c r="Q23">
        <v>0</v>
      </c>
      <c r="R23">
        <v>0</v>
      </c>
      <c r="S23">
        <v>6.75</v>
      </c>
      <c r="T23">
        <v>5.5</v>
      </c>
      <c r="U23">
        <v>0</v>
      </c>
      <c r="V23">
        <v>12.25</v>
      </c>
      <c r="W23">
        <v>172.5</v>
      </c>
      <c r="X23">
        <v>0</v>
      </c>
      <c r="Y23">
        <v>3</v>
      </c>
      <c r="Z23">
        <v>1</v>
      </c>
      <c r="AA23">
        <v>-5</v>
      </c>
      <c r="AB23">
        <v>45</v>
      </c>
      <c r="AC23">
        <v>0</v>
      </c>
      <c r="AD23">
        <v>0</v>
      </c>
      <c r="AE23">
        <v>0</v>
      </c>
      <c r="AF23">
        <v>45</v>
      </c>
      <c r="AG23">
        <v>172.5</v>
      </c>
      <c r="AH23">
        <v>172.5</v>
      </c>
      <c r="AI23">
        <v>0</v>
      </c>
      <c r="AJ23">
        <v>5</v>
      </c>
      <c r="AK23">
        <v>65</v>
      </c>
      <c r="AL23">
        <v>65</v>
      </c>
      <c r="AM23">
        <v>0</v>
      </c>
      <c r="AN23">
        <v>0</v>
      </c>
      <c r="AO23">
        <v>0</v>
      </c>
      <c r="AP23">
        <v>0</v>
      </c>
      <c r="AQ23">
        <v>0</v>
      </c>
      <c r="AR23">
        <v>0</v>
      </c>
      <c r="AS23">
        <v>0</v>
      </c>
      <c r="AT23">
        <v>36</v>
      </c>
      <c r="AU23">
        <v>2</v>
      </c>
      <c r="AV23">
        <v>24</v>
      </c>
      <c r="AW23">
        <v>10</v>
      </c>
      <c r="AX23">
        <v>6.75</v>
      </c>
      <c r="AY23">
        <v>1.5</v>
      </c>
      <c r="AZ23">
        <v>4.75</v>
      </c>
      <c r="BA23">
        <v>0.5</v>
      </c>
      <c r="BB23">
        <v>5.5</v>
      </c>
      <c r="BC23">
        <v>2.5</v>
      </c>
      <c r="BD23">
        <v>3</v>
      </c>
      <c r="BE23">
        <v>0</v>
      </c>
    </row>
    <row r="24" spans="1:57">
      <c r="A24" t="s">
        <v>17216</v>
      </c>
      <c r="B24" t="s">
        <v>17217</v>
      </c>
      <c r="C24">
        <v>0</v>
      </c>
      <c r="D24">
        <v>7</v>
      </c>
      <c r="E24">
        <v>7</v>
      </c>
      <c r="F24">
        <v>3</v>
      </c>
      <c r="G24">
        <v>0</v>
      </c>
      <c r="H24">
        <v>0</v>
      </c>
      <c r="I24">
        <v>0</v>
      </c>
      <c r="J24">
        <v>7</v>
      </c>
      <c r="K24">
        <v>93</v>
      </c>
      <c r="L24">
        <v>4</v>
      </c>
      <c r="M24">
        <v>1</v>
      </c>
      <c r="N24">
        <v>2</v>
      </c>
      <c r="O24">
        <v>0</v>
      </c>
      <c r="P24">
        <v>1</v>
      </c>
      <c r="Q24">
        <v>0</v>
      </c>
      <c r="R24">
        <v>0</v>
      </c>
      <c r="S24">
        <v>5.5</v>
      </c>
      <c r="T24">
        <v>11.75</v>
      </c>
      <c r="U24">
        <v>0</v>
      </c>
      <c r="V24">
        <v>17.25</v>
      </c>
      <c r="W24">
        <v>290</v>
      </c>
      <c r="X24">
        <v>0</v>
      </c>
      <c r="Y24">
        <v>1</v>
      </c>
      <c r="Z24">
        <v>4</v>
      </c>
      <c r="AA24">
        <v>0</v>
      </c>
      <c r="AB24">
        <v>207.5</v>
      </c>
      <c r="AC24">
        <v>0</v>
      </c>
      <c r="AD24">
        <v>133.75</v>
      </c>
      <c r="AE24">
        <v>354</v>
      </c>
      <c r="AF24">
        <v>341.25</v>
      </c>
      <c r="AG24">
        <v>290</v>
      </c>
      <c r="AH24">
        <v>5</v>
      </c>
      <c r="AI24">
        <v>0</v>
      </c>
      <c r="AJ24">
        <v>0</v>
      </c>
      <c r="AK24">
        <v>0</v>
      </c>
      <c r="AL24">
        <v>0</v>
      </c>
      <c r="AM24">
        <v>0</v>
      </c>
      <c r="AN24">
        <v>2</v>
      </c>
      <c r="AO24">
        <v>1</v>
      </c>
      <c r="AP24">
        <v>1</v>
      </c>
      <c r="AQ24">
        <v>0</v>
      </c>
      <c r="AR24">
        <v>0</v>
      </c>
      <c r="AS24">
        <v>0</v>
      </c>
      <c r="AT24">
        <v>93</v>
      </c>
      <c r="AU24">
        <v>0</v>
      </c>
      <c r="AV24">
        <v>93</v>
      </c>
      <c r="AW24">
        <v>0</v>
      </c>
      <c r="AX24">
        <v>5.5</v>
      </c>
      <c r="AY24">
        <v>0</v>
      </c>
      <c r="AZ24">
        <v>5.5</v>
      </c>
      <c r="BA24">
        <v>0</v>
      </c>
      <c r="BB24">
        <v>11.75</v>
      </c>
      <c r="BC24">
        <v>0</v>
      </c>
      <c r="BD24">
        <v>11.75</v>
      </c>
      <c r="BE24">
        <v>0</v>
      </c>
    </row>
    <row r="25" spans="1:57">
      <c r="A25" t="s">
        <v>17218</v>
      </c>
      <c r="B25" t="s">
        <v>18786</v>
      </c>
      <c r="C25">
        <v>0</v>
      </c>
      <c r="D25">
        <v>3</v>
      </c>
      <c r="E25">
        <v>3</v>
      </c>
      <c r="F25">
        <v>3</v>
      </c>
      <c r="G25">
        <v>0</v>
      </c>
      <c r="H25">
        <v>0</v>
      </c>
      <c r="I25">
        <v>0</v>
      </c>
      <c r="J25">
        <v>3</v>
      </c>
      <c r="K25">
        <v>16</v>
      </c>
      <c r="L25">
        <v>3</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16</v>
      </c>
      <c r="AU25">
        <v>0</v>
      </c>
      <c r="AV25">
        <v>16</v>
      </c>
      <c r="AW25">
        <v>0</v>
      </c>
      <c r="AX25">
        <v>0</v>
      </c>
      <c r="AY25">
        <v>0</v>
      </c>
      <c r="AZ25">
        <v>0</v>
      </c>
      <c r="BA25">
        <v>0</v>
      </c>
      <c r="BB25">
        <v>0</v>
      </c>
      <c r="BC25">
        <v>0</v>
      </c>
      <c r="BD25">
        <v>0</v>
      </c>
      <c r="BE25">
        <v>0</v>
      </c>
    </row>
    <row r="26" spans="1:57">
      <c r="A26" t="s">
        <v>16886</v>
      </c>
      <c r="B26" t="s">
        <v>18787</v>
      </c>
      <c r="C26">
        <v>35</v>
      </c>
      <c r="D26">
        <v>35</v>
      </c>
      <c r="E26">
        <v>35</v>
      </c>
      <c r="F26">
        <v>35</v>
      </c>
      <c r="G26">
        <v>35</v>
      </c>
      <c r="H26">
        <v>35</v>
      </c>
      <c r="I26">
        <v>35</v>
      </c>
      <c r="J26">
        <v>35</v>
      </c>
      <c r="K26">
        <v>355</v>
      </c>
      <c r="L26">
        <v>32</v>
      </c>
      <c r="M26">
        <v>1</v>
      </c>
      <c r="N26">
        <v>0</v>
      </c>
      <c r="O26">
        <v>0</v>
      </c>
      <c r="P26">
        <v>0</v>
      </c>
      <c r="Q26">
        <v>2</v>
      </c>
      <c r="R26">
        <v>0</v>
      </c>
      <c r="S26">
        <v>38</v>
      </c>
      <c r="T26">
        <v>33.5</v>
      </c>
      <c r="U26">
        <v>0</v>
      </c>
      <c r="V26">
        <v>70</v>
      </c>
      <c r="W26">
        <v>0</v>
      </c>
      <c r="X26">
        <v>0</v>
      </c>
      <c r="Y26">
        <v>0</v>
      </c>
      <c r="Z26">
        <v>0</v>
      </c>
      <c r="AA26">
        <v>-1050</v>
      </c>
      <c r="AB26">
        <v>0</v>
      </c>
      <c r="AC26">
        <v>0</v>
      </c>
      <c r="AD26">
        <v>510</v>
      </c>
      <c r="AE26">
        <v>320</v>
      </c>
      <c r="AF26">
        <v>510</v>
      </c>
      <c r="AG26">
        <v>0</v>
      </c>
      <c r="AH26">
        <v>0</v>
      </c>
      <c r="AI26">
        <v>320</v>
      </c>
      <c r="AJ26">
        <v>510</v>
      </c>
      <c r="AK26">
        <v>0</v>
      </c>
      <c r="AL26">
        <v>0</v>
      </c>
      <c r="AM26">
        <v>0</v>
      </c>
      <c r="AN26">
        <v>0</v>
      </c>
      <c r="AO26">
        <v>0</v>
      </c>
      <c r="AP26">
        <v>1</v>
      </c>
      <c r="AQ26">
        <v>0</v>
      </c>
      <c r="AR26">
        <v>0</v>
      </c>
      <c r="AS26">
        <v>0</v>
      </c>
      <c r="AT26">
        <v>355</v>
      </c>
      <c r="AU26">
        <v>355</v>
      </c>
      <c r="AV26">
        <v>0</v>
      </c>
      <c r="AW26">
        <v>355</v>
      </c>
      <c r="AX26">
        <v>38</v>
      </c>
      <c r="AY26">
        <v>38</v>
      </c>
      <c r="AZ26">
        <v>0</v>
      </c>
      <c r="BA26">
        <v>38</v>
      </c>
      <c r="BB26">
        <v>33.5</v>
      </c>
      <c r="BC26">
        <v>33.5</v>
      </c>
      <c r="BD26">
        <v>0</v>
      </c>
      <c r="BE26">
        <v>33.5</v>
      </c>
    </row>
    <row r="27" spans="1:57">
      <c r="A27" t="s">
        <v>16887</v>
      </c>
      <c r="B27" t="s">
        <v>16887</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row>
    <row r="28" spans="1:57">
      <c r="A28" t="s">
        <v>17207</v>
      </c>
      <c r="B28" t="s">
        <v>17208</v>
      </c>
      <c r="C28">
        <v>96</v>
      </c>
      <c r="D28">
        <v>392</v>
      </c>
      <c r="E28">
        <v>392</v>
      </c>
      <c r="F28">
        <v>390</v>
      </c>
      <c r="G28">
        <v>12</v>
      </c>
      <c r="H28">
        <v>5</v>
      </c>
      <c r="I28">
        <v>6</v>
      </c>
      <c r="J28">
        <v>362</v>
      </c>
      <c r="K28">
        <v>4859</v>
      </c>
      <c r="L28">
        <v>194</v>
      </c>
      <c r="M28">
        <v>103</v>
      </c>
      <c r="N28">
        <v>1</v>
      </c>
      <c r="O28">
        <v>55</v>
      </c>
      <c r="P28">
        <v>1</v>
      </c>
      <c r="Q28">
        <v>5</v>
      </c>
      <c r="R28">
        <v>0</v>
      </c>
      <c r="S28">
        <v>97.25</v>
      </c>
      <c r="T28">
        <v>371.25</v>
      </c>
      <c r="U28">
        <v>0</v>
      </c>
      <c r="V28">
        <v>468.5</v>
      </c>
      <c r="W28">
        <v>6417.5</v>
      </c>
      <c r="X28">
        <v>0</v>
      </c>
      <c r="Y28">
        <v>274</v>
      </c>
      <c r="Z28">
        <v>0</v>
      </c>
      <c r="AA28">
        <v>-1957.5</v>
      </c>
      <c r="AB28">
        <v>245</v>
      </c>
      <c r="AC28">
        <v>0</v>
      </c>
      <c r="AD28">
        <v>0</v>
      </c>
      <c r="AE28">
        <v>0</v>
      </c>
      <c r="AF28">
        <v>245</v>
      </c>
      <c r="AG28">
        <v>6417.5</v>
      </c>
      <c r="AH28">
        <v>6417.5</v>
      </c>
      <c r="AI28">
        <v>0</v>
      </c>
      <c r="AJ28">
        <v>245</v>
      </c>
      <c r="AK28">
        <v>365</v>
      </c>
      <c r="AL28">
        <v>365</v>
      </c>
      <c r="AM28">
        <v>0</v>
      </c>
      <c r="AN28">
        <v>0</v>
      </c>
      <c r="AO28">
        <v>0</v>
      </c>
      <c r="AP28">
        <v>0</v>
      </c>
      <c r="AQ28">
        <v>0</v>
      </c>
      <c r="AR28">
        <v>0</v>
      </c>
      <c r="AS28">
        <v>0</v>
      </c>
      <c r="AT28">
        <v>4859</v>
      </c>
      <c r="AU28">
        <v>41</v>
      </c>
      <c r="AV28">
        <v>3624</v>
      </c>
      <c r="AW28">
        <v>1194</v>
      </c>
      <c r="AX28">
        <v>97</v>
      </c>
      <c r="AY28">
        <v>8</v>
      </c>
      <c r="AZ28">
        <v>67.25</v>
      </c>
      <c r="BA28">
        <v>21.75</v>
      </c>
      <c r="BB28">
        <v>371.25</v>
      </c>
      <c r="BC28">
        <v>14.25</v>
      </c>
      <c r="BD28">
        <v>269</v>
      </c>
      <c r="BE28">
        <v>88</v>
      </c>
    </row>
    <row r="29" spans="1:57">
      <c r="A29" t="s">
        <v>17219</v>
      </c>
      <c r="B29" t="s">
        <v>17220</v>
      </c>
      <c r="C29">
        <v>1</v>
      </c>
      <c r="D29">
        <v>643</v>
      </c>
      <c r="E29">
        <v>630</v>
      </c>
      <c r="F29">
        <v>619</v>
      </c>
      <c r="G29">
        <v>34</v>
      </c>
      <c r="H29">
        <v>46</v>
      </c>
      <c r="I29">
        <v>67</v>
      </c>
      <c r="J29">
        <v>630</v>
      </c>
      <c r="K29">
        <v>11221</v>
      </c>
      <c r="L29">
        <v>91</v>
      </c>
      <c r="M29">
        <v>75</v>
      </c>
      <c r="N29">
        <v>401</v>
      </c>
      <c r="O29">
        <v>47</v>
      </c>
      <c r="P29">
        <v>19</v>
      </c>
      <c r="Q29">
        <v>168</v>
      </c>
      <c r="R29">
        <v>0</v>
      </c>
      <c r="S29">
        <v>205.50399999999999</v>
      </c>
      <c r="T29">
        <v>1503.25</v>
      </c>
      <c r="U29">
        <v>270.2</v>
      </c>
      <c r="V29">
        <v>1978.954</v>
      </c>
      <c r="W29">
        <v>32107.54</v>
      </c>
      <c r="X29">
        <v>0</v>
      </c>
      <c r="Y29">
        <v>515</v>
      </c>
      <c r="Z29">
        <v>14</v>
      </c>
      <c r="AA29">
        <v>-12.5</v>
      </c>
      <c r="AB29">
        <v>25427.5</v>
      </c>
      <c r="AC29">
        <v>3625.0510000000013</v>
      </c>
      <c r="AD29">
        <v>3625.0500000000011</v>
      </c>
      <c r="AE29">
        <v>15773.285</v>
      </c>
      <c r="AF29">
        <v>29052.55</v>
      </c>
      <c r="AG29">
        <v>41136.590999999993</v>
      </c>
      <c r="AH29">
        <v>25393.306</v>
      </c>
      <c r="AI29">
        <v>3536.7200000000007</v>
      </c>
      <c r="AJ29">
        <v>14977.220000000001</v>
      </c>
      <c r="AK29">
        <v>16822.22</v>
      </c>
      <c r="AL29">
        <v>13285.5</v>
      </c>
      <c r="AM29">
        <v>67</v>
      </c>
      <c r="AN29">
        <v>44</v>
      </c>
      <c r="AO29">
        <v>29</v>
      </c>
      <c r="AP29">
        <v>41</v>
      </c>
      <c r="AQ29">
        <v>6</v>
      </c>
      <c r="AR29">
        <v>0</v>
      </c>
      <c r="AS29">
        <v>0</v>
      </c>
      <c r="AT29">
        <v>11221</v>
      </c>
      <c r="AU29">
        <v>1642</v>
      </c>
      <c r="AV29">
        <v>9579</v>
      </c>
      <c r="AW29">
        <v>23</v>
      </c>
      <c r="AX29">
        <v>205.50399999999999</v>
      </c>
      <c r="AY29">
        <v>38.25</v>
      </c>
      <c r="AZ29">
        <v>167.25400000000002</v>
      </c>
      <c r="BA29">
        <v>0.25</v>
      </c>
      <c r="BB29">
        <v>1503.25</v>
      </c>
      <c r="BC29">
        <v>618.5</v>
      </c>
      <c r="BD29">
        <v>884.75</v>
      </c>
      <c r="BE29">
        <v>0.5</v>
      </c>
    </row>
    <row r="30" spans="1:57">
      <c r="A30" t="s">
        <v>17209</v>
      </c>
      <c r="B30" t="s">
        <v>18789</v>
      </c>
      <c r="C30">
        <v>0</v>
      </c>
      <c r="D30">
        <v>11</v>
      </c>
      <c r="E30">
        <v>5</v>
      </c>
      <c r="F30">
        <v>6</v>
      </c>
      <c r="G30">
        <v>3</v>
      </c>
      <c r="H30">
        <v>1</v>
      </c>
      <c r="I30">
        <v>0</v>
      </c>
      <c r="J30">
        <v>9</v>
      </c>
      <c r="K30">
        <v>214</v>
      </c>
      <c r="L30">
        <v>7</v>
      </c>
      <c r="M30">
        <v>0</v>
      </c>
      <c r="N30">
        <v>0</v>
      </c>
      <c r="O30">
        <v>0</v>
      </c>
      <c r="P30">
        <v>1</v>
      </c>
      <c r="Q30">
        <v>1</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214</v>
      </c>
      <c r="AU30">
        <v>24</v>
      </c>
      <c r="AV30">
        <v>190</v>
      </c>
      <c r="AW30">
        <v>0</v>
      </c>
      <c r="AX30">
        <v>0</v>
      </c>
      <c r="AY30">
        <v>0</v>
      </c>
      <c r="AZ30">
        <v>0</v>
      </c>
      <c r="BA30">
        <v>0</v>
      </c>
      <c r="BB30">
        <v>0</v>
      </c>
      <c r="BC30">
        <v>0</v>
      </c>
      <c r="BD30">
        <v>0</v>
      </c>
      <c r="BE30">
        <v>0</v>
      </c>
    </row>
    <row r="31" spans="1:57">
      <c r="A31" t="s">
        <v>16888</v>
      </c>
      <c r="B31" t="s">
        <v>17350</v>
      </c>
      <c r="C31">
        <v>0</v>
      </c>
      <c r="D31">
        <v>1</v>
      </c>
      <c r="E31">
        <v>0</v>
      </c>
      <c r="F31">
        <v>1</v>
      </c>
      <c r="G31">
        <v>1</v>
      </c>
      <c r="H31">
        <v>0</v>
      </c>
      <c r="I31">
        <v>0</v>
      </c>
      <c r="J31">
        <v>1</v>
      </c>
      <c r="K31">
        <v>9</v>
      </c>
      <c r="L31">
        <v>1</v>
      </c>
      <c r="M31">
        <v>0</v>
      </c>
      <c r="N31">
        <v>0</v>
      </c>
      <c r="O31">
        <v>0</v>
      </c>
      <c r="P31">
        <v>0</v>
      </c>
      <c r="Q31">
        <v>0</v>
      </c>
      <c r="R31">
        <v>0</v>
      </c>
      <c r="S31">
        <v>1</v>
      </c>
      <c r="T31">
        <v>0.5</v>
      </c>
      <c r="U31">
        <v>0</v>
      </c>
      <c r="V31">
        <v>1.5</v>
      </c>
      <c r="W31">
        <v>20</v>
      </c>
      <c r="X31">
        <v>0</v>
      </c>
      <c r="Y31">
        <v>1</v>
      </c>
      <c r="Z31">
        <v>0</v>
      </c>
      <c r="AA31">
        <v>0</v>
      </c>
      <c r="AB31">
        <v>0</v>
      </c>
      <c r="AC31">
        <v>0</v>
      </c>
      <c r="AD31">
        <v>0</v>
      </c>
      <c r="AE31">
        <v>0</v>
      </c>
      <c r="AF31">
        <v>0</v>
      </c>
      <c r="AG31">
        <v>20</v>
      </c>
      <c r="AH31">
        <v>20</v>
      </c>
      <c r="AI31">
        <v>0</v>
      </c>
      <c r="AJ31">
        <v>0</v>
      </c>
      <c r="AK31">
        <v>0</v>
      </c>
      <c r="AL31">
        <v>0</v>
      </c>
      <c r="AM31">
        <v>0</v>
      </c>
      <c r="AN31">
        <v>0</v>
      </c>
      <c r="AO31">
        <v>0</v>
      </c>
      <c r="AP31">
        <v>0</v>
      </c>
      <c r="AQ31">
        <v>0</v>
      </c>
      <c r="AR31">
        <v>0</v>
      </c>
      <c r="AS31">
        <v>0</v>
      </c>
      <c r="AT31">
        <v>9</v>
      </c>
      <c r="AU31">
        <v>0</v>
      </c>
      <c r="AV31">
        <v>9</v>
      </c>
      <c r="AW31">
        <v>0</v>
      </c>
      <c r="AX31">
        <v>1</v>
      </c>
      <c r="AY31">
        <v>0</v>
      </c>
      <c r="AZ31">
        <v>1</v>
      </c>
      <c r="BA31">
        <v>0</v>
      </c>
      <c r="BB31">
        <v>0.5</v>
      </c>
      <c r="BC31">
        <v>0</v>
      </c>
      <c r="BD31">
        <v>0.5</v>
      </c>
      <c r="BE31">
        <v>0</v>
      </c>
    </row>
    <row r="32" spans="1:57">
      <c r="A32" t="s">
        <v>19966</v>
      </c>
      <c r="B32" t="s">
        <v>19967</v>
      </c>
      <c r="C32">
        <v>0</v>
      </c>
      <c r="D32">
        <v>3</v>
      </c>
      <c r="E32">
        <v>3</v>
      </c>
      <c r="F32">
        <v>1</v>
      </c>
      <c r="G32">
        <v>0</v>
      </c>
      <c r="H32">
        <v>0</v>
      </c>
      <c r="I32">
        <v>0</v>
      </c>
      <c r="J32">
        <v>3</v>
      </c>
      <c r="K32">
        <v>29</v>
      </c>
      <c r="L32">
        <v>1</v>
      </c>
      <c r="M32">
        <v>0</v>
      </c>
      <c r="N32">
        <v>1</v>
      </c>
      <c r="O32">
        <v>1</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29</v>
      </c>
      <c r="AU32">
        <v>0</v>
      </c>
      <c r="AV32">
        <v>29</v>
      </c>
      <c r="AW32">
        <v>0</v>
      </c>
      <c r="AX32">
        <v>0</v>
      </c>
      <c r="AY32">
        <v>0</v>
      </c>
      <c r="AZ32">
        <v>0</v>
      </c>
      <c r="BA32">
        <v>0</v>
      </c>
      <c r="BB32">
        <v>0</v>
      </c>
      <c r="BC32">
        <v>0</v>
      </c>
      <c r="BD32">
        <v>0</v>
      </c>
      <c r="BE32">
        <v>0</v>
      </c>
    </row>
    <row r="33" spans="1:57">
      <c r="A33" t="s">
        <v>18790</v>
      </c>
      <c r="B33" t="s">
        <v>17356</v>
      </c>
      <c r="C33">
        <v>0</v>
      </c>
      <c r="D33">
        <v>6</v>
      </c>
      <c r="E33">
        <v>5</v>
      </c>
      <c r="F33">
        <v>4</v>
      </c>
      <c r="G33">
        <v>0</v>
      </c>
      <c r="H33">
        <v>0</v>
      </c>
      <c r="I33">
        <v>0</v>
      </c>
      <c r="J33">
        <v>5</v>
      </c>
      <c r="K33">
        <v>20</v>
      </c>
      <c r="L33">
        <v>3</v>
      </c>
      <c r="M33">
        <v>1</v>
      </c>
      <c r="N33">
        <v>0</v>
      </c>
      <c r="O33">
        <v>1</v>
      </c>
      <c r="P33">
        <v>0</v>
      </c>
      <c r="Q33">
        <v>0</v>
      </c>
      <c r="R33">
        <v>0</v>
      </c>
      <c r="S33">
        <v>5</v>
      </c>
      <c r="T33">
        <v>0</v>
      </c>
      <c r="U33">
        <v>0</v>
      </c>
      <c r="V33">
        <v>5</v>
      </c>
      <c r="W33">
        <v>50</v>
      </c>
      <c r="X33">
        <v>0</v>
      </c>
      <c r="Y33">
        <v>3</v>
      </c>
      <c r="Z33">
        <v>1</v>
      </c>
      <c r="AA33">
        <v>0</v>
      </c>
      <c r="AB33">
        <v>0</v>
      </c>
      <c r="AC33">
        <v>0</v>
      </c>
      <c r="AD33">
        <v>0</v>
      </c>
      <c r="AE33">
        <v>0</v>
      </c>
      <c r="AF33">
        <v>0</v>
      </c>
      <c r="AG33">
        <v>50</v>
      </c>
      <c r="AH33">
        <v>50</v>
      </c>
      <c r="AI33">
        <v>0</v>
      </c>
      <c r="AJ33">
        <v>0</v>
      </c>
      <c r="AK33">
        <v>0</v>
      </c>
      <c r="AL33">
        <v>0</v>
      </c>
      <c r="AM33">
        <v>0</v>
      </c>
      <c r="AN33">
        <v>0</v>
      </c>
      <c r="AO33">
        <v>0</v>
      </c>
      <c r="AP33">
        <v>0</v>
      </c>
      <c r="AQ33">
        <v>0</v>
      </c>
      <c r="AR33">
        <v>0</v>
      </c>
      <c r="AS33">
        <v>0</v>
      </c>
      <c r="AT33">
        <v>20</v>
      </c>
      <c r="AU33">
        <v>0</v>
      </c>
      <c r="AV33">
        <v>20</v>
      </c>
      <c r="AW33">
        <v>0</v>
      </c>
      <c r="AX33">
        <v>5</v>
      </c>
      <c r="AY33">
        <v>0</v>
      </c>
      <c r="AZ33">
        <v>5</v>
      </c>
      <c r="BA33">
        <v>0</v>
      </c>
      <c r="BB33">
        <v>0</v>
      </c>
      <c r="BC33">
        <v>0</v>
      </c>
      <c r="BD33">
        <v>0</v>
      </c>
      <c r="BE33">
        <v>0</v>
      </c>
    </row>
    <row r="34" spans="1:57">
      <c r="A34" t="s">
        <v>17228</v>
      </c>
      <c r="B34" t="s">
        <v>17229</v>
      </c>
      <c r="C34">
        <v>0</v>
      </c>
      <c r="D34">
        <v>3</v>
      </c>
      <c r="E34">
        <v>0</v>
      </c>
      <c r="F34">
        <v>3</v>
      </c>
      <c r="G34">
        <v>1</v>
      </c>
      <c r="H34">
        <v>1</v>
      </c>
      <c r="I34">
        <v>1</v>
      </c>
      <c r="J34">
        <v>3</v>
      </c>
      <c r="K34">
        <v>15</v>
      </c>
      <c r="L34">
        <v>0</v>
      </c>
      <c r="M34">
        <v>0</v>
      </c>
      <c r="N34">
        <v>0</v>
      </c>
      <c r="O34">
        <v>0</v>
      </c>
      <c r="P34">
        <v>0</v>
      </c>
      <c r="Q34">
        <v>0</v>
      </c>
      <c r="R34">
        <v>0</v>
      </c>
      <c r="S34">
        <v>2</v>
      </c>
      <c r="T34">
        <v>0</v>
      </c>
      <c r="U34">
        <v>0</v>
      </c>
      <c r="V34">
        <v>2</v>
      </c>
      <c r="W34">
        <v>20</v>
      </c>
      <c r="X34">
        <v>0</v>
      </c>
      <c r="Y34">
        <v>3</v>
      </c>
      <c r="Z34">
        <v>0</v>
      </c>
      <c r="AA34">
        <v>0</v>
      </c>
      <c r="AB34">
        <v>0</v>
      </c>
      <c r="AC34">
        <v>0</v>
      </c>
      <c r="AD34">
        <v>0</v>
      </c>
      <c r="AE34">
        <v>0</v>
      </c>
      <c r="AF34">
        <v>0</v>
      </c>
      <c r="AG34">
        <v>20</v>
      </c>
      <c r="AH34">
        <v>20</v>
      </c>
      <c r="AI34">
        <v>0</v>
      </c>
      <c r="AJ34">
        <v>0</v>
      </c>
      <c r="AK34">
        <v>0</v>
      </c>
      <c r="AL34">
        <v>0</v>
      </c>
      <c r="AM34">
        <v>0</v>
      </c>
      <c r="AN34">
        <v>0</v>
      </c>
      <c r="AO34">
        <v>0</v>
      </c>
      <c r="AP34">
        <v>0</v>
      </c>
      <c r="AQ34">
        <v>0</v>
      </c>
      <c r="AR34">
        <v>0</v>
      </c>
      <c r="AS34">
        <v>0</v>
      </c>
      <c r="AT34">
        <v>15</v>
      </c>
      <c r="AU34">
        <v>7</v>
      </c>
      <c r="AV34">
        <v>8</v>
      </c>
      <c r="AW34">
        <v>0</v>
      </c>
      <c r="AX34">
        <v>2</v>
      </c>
      <c r="AY34">
        <v>1</v>
      </c>
      <c r="AZ34">
        <v>1</v>
      </c>
      <c r="BA34">
        <v>0</v>
      </c>
      <c r="BB34">
        <v>0</v>
      </c>
      <c r="BC34">
        <v>0</v>
      </c>
      <c r="BD34">
        <v>0</v>
      </c>
      <c r="BE34">
        <v>0</v>
      </c>
    </row>
    <row r="35" spans="1:57">
      <c r="A35" t="s">
        <v>16889</v>
      </c>
      <c r="B35" t="s">
        <v>17351</v>
      </c>
      <c r="C35">
        <v>0</v>
      </c>
      <c r="D35">
        <v>12</v>
      </c>
      <c r="E35">
        <v>8</v>
      </c>
      <c r="F35">
        <v>5</v>
      </c>
      <c r="G35">
        <v>3</v>
      </c>
      <c r="H35">
        <v>1</v>
      </c>
      <c r="I35">
        <v>0</v>
      </c>
      <c r="J35">
        <v>11</v>
      </c>
      <c r="K35">
        <v>356</v>
      </c>
      <c r="L35">
        <v>4</v>
      </c>
      <c r="M35">
        <v>0</v>
      </c>
      <c r="N35">
        <v>5</v>
      </c>
      <c r="O35">
        <v>2</v>
      </c>
      <c r="P35">
        <v>0</v>
      </c>
      <c r="Q35">
        <v>1</v>
      </c>
      <c r="R35">
        <v>0</v>
      </c>
      <c r="S35">
        <v>3.25</v>
      </c>
      <c r="T35">
        <v>4.75</v>
      </c>
      <c r="U35">
        <v>0</v>
      </c>
      <c r="V35">
        <v>8</v>
      </c>
      <c r="W35">
        <v>127.5</v>
      </c>
      <c r="X35">
        <v>0</v>
      </c>
      <c r="Y35">
        <v>8</v>
      </c>
      <c r="Z35">
        <v>0</v>
      </c>
      <c r="AA35">
        <v>0</v>
      </c>
      <c r="AB35">
        <v>0</v>
      </c>
      <c r="AC35">
        <v>0</v>
      </c>
      <c r="AD35">
        <v>0</v>
      </c>
      <c r="AE35">
        <v>0</v>
      </c>
      <c r="AF35">
        <v>0</v>
      </c>
      <c r="AG35">
        <v>127.5</v>
      </c>
      <c r="AH35">
        <v>127.5</v>
      </c>
      <c r="AI35">
        <v>0</v>
      </c>
      <c r="AJ35">
        <v>0</v>
      </c>
      <c r="AK35">
        <v>27.5</v>
      </c>
      <c r="AL35">
        <v>27.5</v>
      </c>
      <c r="AM35">
        <v>0</v>
      </c>
      <c r="AN35">
        <v>0</v>
      </c>
      <c r="AO35">
        <v>0</v>
      </c>
      <c r="AP35">
        <v>0</v>
      </c>
      <c r="AQ35">
        <v>0</v>
      </c>
      <c r="AR35">
        <v>0</v>
      </c>
      <c r="AS35">
        <v>0</v>
      </c>
      <c r="AT35">
        <v>356</v>
      </c>
      <c r="AU35">
        <v>78</v>
      </c>
      <c r="AV35">
        <v>278</v>
      </c>
      <c r="AW35">
        <v>0</v>
      </c>
      <c r="AX35">
        <v>3.25</v>
      </c>
      <c r="AY35">
        <v>0.25</v>
      </c>
      <c r="AZ35">
        <v>3</v>
      </c>
      <c r="BA35">
        <v>0</v>
      </c>
      <c r="BB35">
        <v>4.75</v>
      </c>
      <c r="BC35">
        <v>1.25</v>
      </c>
      <c r="BD35">
        <v>3.5</v>
      </c>
      <c r="BE35">
        <v>0</v>
      </c>
    </row>
    <row r="36" spans="1:57">
      <c r="A36" t="s">
        <v>16890</v>
      </c>
      <c r="B36" t="s">
        <v>16891</v>
      </c>
      <c r="C36">
        <v>0</v>
      </c>
      <c r="D36">
        <v>45</v>
      </c>
      <c r="E36">
        <v>41</v>
      </c>
      <c r="F36">
        <v>0</v>
      </c>
      <c r="G36">
        <v>11</v>
      </c>
      <c r="H36">
        <v>5</v>
      </c>
      <c r="I36">
        <v>0</v>
      </c>
      <c r="J36">
        <v>43</v>
      </c>
      <c r="K36">
        <v>708</v>
      </c>
      <c r="L36">
        <v>22</v>
      </c>
      <c r="M36">
        <v>0</v>
      </c>
      <c r="N36">
        <v>17</v>
      </c>
      <c r="O36">
        <v>2</v>
      </c>
      <c r="P36">
        <v>1</v>
      </c>
      <c r="Q36">
        <v>3</v>
      </c>
      <c r="R36">
        <v>0</v>
      </c>
      <c r="S36">
        <v>88.55</v>
      </c>
      <c r="T36">
        <v>17</v>
      </c>
      <c r="U36">
        <v>0</v>
      </c>
      <c r="V36">
        <v>105.55</v>
      </c>
      <c r="W36">
        <v>1225.5</v>
      </c>
      <c r="X36">
        <v>0</v>
      </c>
      <c r="Y36">
        <v>40</v>
      </c>
      <c r="Z36">
        <v>0</v>
      </c>
      <c r="AA36">
        <v>0</v>
      </c>
      <c r="AB36">
        <v>565</v>
      </c>
      <c r="AC36">
        <v>1012.25</v>
      </c>
      <c r="AD36">
        <v>1012.25</v>
      </c>
      <c r="AE36">
        <v>1046.25</v>
      </c>
      <c r="AF36">
        <v>1572.25</v>
      </c>
      <c r="AG36">
        <v>2237.75</v>
      </c>
      <c r="AH36">
        <v>1191.5</v>
      </c>
      <c r="AI36">
        <v>391.5</v>
      </c>
      <c r="AJ36">
        <v>651.5</v>
      </c>
      <c r="AK36">
        <v>791.5</v>
      </c>
      <c r="AL36">
        <v>400</v>
      </c>
      <c r="AM36">
        <v>2</v>
      </c>
      <c r="AN36">
        <v>22</v>
      </c>
      <c r="AO36">
        <v>1</v>
      </c>
      <c r="AP36">
        <v>5</v>
      </c>
      <c r="AQ36">
        <v>0</v>
      </c>
      <c r="AR36">
        <v>0</v>
      </c>
      <c r="AS36">
        <v>0</v>
      </c>
      <c r="AT36">
        <v>708</v>
      </c>
      <c r="AU36">
        <v>259</v>
      </c>
      <c r="AV36">
        <v>449</v>
      </c>
      <c r="AW36">
        <v>0</v>
      </c>
      <c r="AX36">
        <v>88.55</v>
      </c>
      <c r="AY36">
        <v>33.5</v>
      </c>
      <c r="AZ36">
        <v>55.05</v>
      </c>
      <c r="BA36">
        <v>0</v>
      </c>
      <c r="BB36">
        <v>17</v>
      </c>
      <c r="BC36">
        <v>3.25</v>
      </c>
      <c r="BD36">
        <v>13.75</v>
      </c>
      <c r="BE36">
        <v>0</v>
      </c>
    </row>
    <row r="37" spans="1:57">
      <c r="A37" t="s">
        <v>19969</v>
      </c>
      <c r="B37" t="s">
        <v>19970</v>
      </c>
      <c r="C37">
        <v>0</v>
      </c>
      <c r="D37">
        <v>6</v>
      </c>
      <c r="E37">
        <v>6</v>
      </c>
      <c r="F37">
        <v>6</v>
      </c>
      <c r="G37">
        <v>0</v>
      </c>
      <c r="H37">
        <v>0</v>
      </c>
      <c r="I37">
        <v>0</v>
      </c>
      <c r="J37">
        <v>6</v>
      </c>
      <c r="K37">
        <v>39</v>
      </c>
      <c r="L37">
        <v>3</v>
      </c>
      <c r="M37">
        <v>0</v>
      </c>
      <c r="N37">
        <v>2</v>
      </c>
      <c r="O37">
        <v>0</v>
      </c>
      <c r="P37">
        <v>1</v>
      </c>
      <c r="Q37">
        <v>3</v>
      </c>
      <c r="R37">
        <v>0</v>
      </c>
      <c r="S37">
        <v>0.25</v>
      </c>
      <c r="T37">
        <v>1</v>
      </c>
      <c r="U37">
        <v>0</v>
      </c>
      <c r="V37">
        <v>1.25</v>
      </c>
      <c r="W37">
        <v>22.5</v>
      </c>
      <c r="X37">
        <v>0</v>
      </c>
      <c r="Y37">
        <v>1</v>
      </c>
      <c r="Z37">
        <v>0</v>
      </c>
      <c r="AA37">
        <v>0</v>
      </c>
      <c r="AB37">
        <v>0</v>
      </c>
      <c r="AC37">
        <v>0</v>
      </c>
      <c r="AD37">
        <v>0</v>
      </c>
      <c r="AE37">
        <v>0</v>
      </c>
      <c r="AF37">
        <v>0</v>
      </c>
      <c r="AG37">
        <v>22.5</v>
      </c>
      <c r="AH37">
        <v>22.5</v>
      </c>
      <c r="AI37">
        <v>0</v>
      </c>
      <c r="AJ37">
        <v>0</v>
      </c>
      <c r="AK37">
        <v>0</v>
      </c>
      <c r="AL37">
        <v>0</v>
      </c>
      <c r="AM37">
        <v>0</v>
      </c>
      <c r="AN37">
        <v>0</v>
      </c>
      <c r="AO37">
        <v>0</v>
      </c>
      <c r="AP37">
        <v>0</v>
      </c>
      <c r="AQ37">
        <v>0</v>
      </c>
      <c r="AR37">
        <v>0</v>
      </c>
      <c r="AS37">
        <v>0</v>
      </c>
      <c r="AT37">
        <v>39</v>
      </c>
      <c r="AU37">
        <v>0</v>
      </c>
      <c r="AV37">
        <v>39</v>
      </c>
      <c r="AW37">
        <v>0</v>
      </c>
      <c r="AX37">
        <v>0.25</v>
      </c>
      <c r="AY37">
        <v>0</v>
      </c>
      <c r="AZ37">
        <v>0.25</v>
      </c>
      <c r="BA37">
        <v>0</v>
      </c>
      <c r="BB37">
        <v>1</v>
      </c>
      <c r="BC37">
        <v>0</v>
      </c>
      <c r="BD37">
        <v>1</v>
      </c>
      <c r="BE37">
        <v>0</v>
      </c>
    </row>
    <row r="38" spans="1:57">
      <c r="A38" t="s">
        <v>16892</v>
      </c>
      <c r="B38" t="s">
        <v>16893</v>
      </c>
      <c r="C38">
        <v>0</v>
      </c>
      <c r="D38">
        <v>11</v>
      </c>
      <c r="E38">
        <v>11</v>
      </c>
      <c r="F38">
        <v>10</v>
      </c>
      <c r="G38">
        <v>0</v>
      </c>
      <c r="H38">
        <v>2</v>
      </c>
      <c r="I38">
        <v>0</v>
      </c>
      <c r="J38">
        <v>8</v>
      </c>
      <c r="K38">
        <v>78</v>
      </c>
      <c r="L38">
        <v>4</v>
      </c>
      <c r="M38">
        <v>0</v>
      </c>
      <c r="N38">
        <v>0</v>
      </c>
      <c r="O38">
        <v>4</v>
      </c>
      <c r="P38">
        <v>0</v>
      </c>
      <c r="Q38">
        <v>3</v>
      </c>
      <c r="R38">
        <v>0</v>
      </c>
      <c r="S38">
        <v>4.5</v>
      </c>
      <c r="T38">
        <v>1</v>
      </c>
      <c r="U38">
        <v>0</v>
      </c>
      <c r="V38">
        <v>5.5</v>
      </c>
      <c r="W38">
        <v>65</v>
      </c>
      <c r="X38">
        <v>0</v>
      </c>
      <c r="Y38">
        <v>1</v>
      </c>
      <c r="Z38">
        <v>0</v>
      </c>
      <c r="AA38">
        <v>0</v>
      </c>
      <c r="AB38">
        <v>35</v>
      </c>
      <c r="AC38">
        <v>0</v>
      </c>
      <c r="AD38">
        <v>0</v>
      </c>
      <c r="AE38">
        <v>0</v>
      </c>
      <c r="AF38">
        <v>35</v>
      </c>
      <c r="AG38">
        <v>65</v>
      </c>
      <c r="AH38">
        <v>65</v>
      </c>
      <c r="AI38">
        <v>0</v>
      </c>
      <c r="AJ38">
        <v>0</v>
      </c>
      <c r="AK38">
        <v>0</v>
      </c>
      <c r="AL38">
        <v>0</v>
      </c>
      <c r="AM38">
        <v>0</v>
      </c>
      <c r="AN38">
        <v>0</v>
      </c>
      <c r="AO38">
        <v>0</v>
      </c>
      <c r="AP38">
        <v>0</v>
      </c>
      <c r="AQ38">
        <v>0</v>
      </c>
      <c r="AR38">
        <v>0</v>
      </c>
      <c r="AS38">
        <v>0</v>
      </c>
      <c r="AT38">
        <v>78</v>
      </c>
      <c r="AU38">
        <v>0</v>
      </c>
      <c r="AV38">
        <v>78</v>
      </c>
      <c r="AW38">
        <v>0</v>
      </c>
      <c r="AX38">
        <v>4.5</v>
      </c>
      <c r="AY38">
        <v>0</v>
      </c>
      <c r="AZ38">
        <v>4.5</v>
      </c>
      <c r="BA38">
        <v>0</v>
      </c>
      <c r="BB38">
        <v>1</v>
      </c>
      <c r="BC38">
        <v>0</v>
      </c>
      <c r="BD38">
        <v>1</v>
      </c>
      <c r="BE38">
        <v>0</v>
      </c>
    </row>
    <row r="39" spans="1:57">
      <c r="A39" t="s">
        <v>16894</v>
      </c>
      <c r="B39" t="s">
        <v>16895</v>
      </c>
      <c r="C39">
        <v>0</v>
      </c>
      <c r="D39">
        <v>15</v>
      </c>
      <c r="E39">
        <v>15</v>
      </c>
      <c r="F39">
        <v>12</v>
      </c>
      <c r="G39">
        <v>0</v>
      </c>
      <c r="H39">
        <v>3</v>
      </c>
      <c r="I39">
        <v>0</v>
      </c>
      <c r="J39">
        <v>15</v>
      </c>
      <c r="K39">
        <v>168</v>
      </c>
      <c r="L39">
        <v>11</v>
      </c>
      <c r="M39">
        <v>2</v>
      </c>
      <c r="N39">
        <v>0</v>
      </c>
      <c r="O39">
        <v>2</v>
      </c>
      <c r="P39">
        <v>0</v>
      </c>
      <c r="Q39">
        <v>0</v>
      </c>
      <c r="R39">
        <v>0</v>
      </c>
      <c r="S39">
        <v>27.5</v>
      </c>
      <c r="T39">
        <v>8</v>
      </c>
      <c r="U39">
        <v>1</v>
      </c>
      <c r="V39">
        <v>35.5</v>
      </c>
      <c r="W39">
        <v>435</v>
      </c>
      <c r="X39">
        <v>0</v>
      </c>
      <c r="Y39">
        <v>5</v>
      </c>
      <c r="Z39">
        <v>1</v>
      </c>
      <c r="AA39">
        <v>0</v>
      </c>
      <c r="AB39">
        <v>290</v>
      </c>
      <c r="AC39">
        <v>216.75</v>
      </c>
      <c r="AD39">
        <v>0.5</v>
      </c>
      <c r="AE39">
        <v>216.75</v>
      </c>
      <c r="AF39">
        <v>290.5</v>
      </c>
      <c r="AG39">
        <v>671.75</v>
      </c>
      <c r="AH39">
        <v>455</v>
      </c>
      <c r="AI39">
        <v>216.75</v>
      </c>
      <c r="AJ39">
        <v>290</v>
      </c>
      <c r="AK39">
        <v>616.75</v>
      </c>
      <c r="AL39">
        <v>400</v>
      </c>
      <c r="AM39">
        <v>0</v>
      </c>
      <c r="AN39">
        <v>1</v>
      </c>
      <c r="AO39">
        <v>0</v>
      </c>
      <c r="AP39">
        <v>1</v>
      </c>
      <c r="AQ39">
        <v>0</v>
      </c>
      <c r="AR39">
        <v>0</v>
      </c>
      <c r="AS39">
        <v>0</v>
      </c>
      <c r="AT39">
        <v>168</v>
      </c>
      <c r="AU39">
        <v>62</v>
      </c>
      <c r="AV39">
        <v>106</v>
      </c>
      <c r="AW39">
        <v>0</v>
      </c>
      <c r="AX39">
        <v>27.5</v>
      </c>
      <c r="AY39">
        <v>24</v>
      </c>
      <c r="AZ39">
        <v>3.5</v>
      </c>
      <c r="BA39">
        <v>0</v>
      </c>
      <c r="BB39">
        <v>8</v>
      </c>
      <c r="BC39">
        <v>7</v>
      </c>
      <c r="BD39">
        <v>1</v>
      </c>
      <c r="BE39">
        <v>0</v>
      </c>
    </row>
    <row r="40" spans="1:57">
      <c r="A40" t="s">
        <v>22105</v>
      </c>
      <c r="B40" t="s">
        <v>22106</v>
      </c>
      <c r="C40">
        <v>1</v>
      </c>
      <c r="D40">
        <v>2</v>
      </c>
      <c r="E40">
        <v>2</v>
      </c>
      <c r="F40">
        <v>1</v>
      </c>
      <c r="G40">
        <v>1</v>
      </c>
      <c r="H40">
        <v>0</v>
      </c>
      <c r="I40">
        <v>0</v>
      </c>
      <c r="J40">
        <v>2</v>
      </c>
      <c r="K40">
        <v>18</v>
      </c>
      <c r="L40">
        <v>1</v>
      </c>
      <c r="M40">
        <v>0</v>
      </c>
      <c r="N40">
        <v>0</v>
      </c>
      <c r="O40">
        <v>1</v>
      </c>
      <c r="P40">
        <v>0</v>
      </c>
      <c r="Q40">
        <v>0</v>
      </c>
      <c r="R40">
        <v>0</v>
      </c>
      <c r="S40">
        <v>2.25</v>
      </c>
      <c r="T40">
        <v>0</v>
      </c>
      <c r="U40">
        <v>2</v>
      </c>
      <c r="V40">
        <v>4.25</v>
      </c>
      <c r="W40">
        <v>20</v>
      </c>
      <c r="X40">
        <v>0</v>
      </c>
      <c r="Y40">
        <v>1</v>
      </c>
      <c r="Z40">
        <v>0</v>
      </c>
      <c r="AA40">
        <v>-2.5</v>
      </c>
      <c r="AB40">
        <v>0</v>
      </c>
      <c r="AC40">
        <v>0</v>
      </c>
      <c r="AD40">
        <v>0</v>
      </c>
      <c r="AE40">
        <v>0</v>
      </c>
      <c r="AF40">
        <v>0</v>
      </c>
      <c r="AG40">
        <v>60</v>
      </c>
      <c r="AH40">
        <v>60</v>
      </c>
      <c r="AI40">
        <v>0</v>
      </c>
      <c r="AJ40">
        <v>0</v>
      </c>
      <c r="AK40">
        <v>0</v>
      </c>
      <c r="AL40">
        <v>0</v>
      </c>
      <c r="AM40">
        <v>0</v>
      </c>
      <c r="AN40">
        <v>0</v>
      </c>
      <c r="AO40">
        <v>0</v>
      </c>
      <c r="AP40">
        <v>0</v>
      </c>
      <c r="AQ40">
        <v>0</v>
      </c>
      <c r="AR40">
        <v>0</v>
      </c>
      <c r="AS40">
        <v>0</v>
      </c>
      <c r="AT40">
        <v>18</v>
      </c>
      <c r="AU40">
        <v>0</v>
      </c>
      <c r="AV40">
        <v>5</v>
      </c>
      <c r="AW40">
        <v>13</v>
      </c>
      <c r="AX40">
        <v>2.25</v>
      </c>
      <c r="AY40">
        <v>0</v>
      </c>
      <c r="AZ40">
        <v>2</v>
      </c>
      <c r="BA40">
        <v>0.25</v>
      </c>
      <c r="BB40">
        <v>0</v>
      </c>
      <c r="BC40">
        <v>0</v>
      </c>
      <c r="BD40">
        <v>0</v>
      </c>
      <c r="BE40">
        <v>0</v>
      </c>
    </row>
    <row r="41" spans="1:57">
      <c r="A41" t="s">
        <v>16900</v>
      </c>
      <c r="B41" t="s">
        <v>16901</v>
      </c>
      <c r="C41">
        <v>0</v>
      </c>
      <c r="D41">
        <v>4</v>
      </c>
      <c r="E41">
        <v>4</v>
      </c>
      <c r="F41">
        <v>3</v>
      </c>
      <c r="G41">
        <v>1</v>
      </c>
      <c r="H41">
        <v>1</v>
      </c>
      <c r="I41">
        <v>0</v>
      </c>
      <c r="J41">
        <v>4</v>
      </c>
      <c r="K41">
        <v>33</v>
      </c>
      <c r="L41">
        <v>2</v>
      </c>
      <c r="M41">
        <v>0</v>
      </c>
      <c r="N41">
        <v>1</v>
      </c>
      <c r="O41">
        <v>1</v>
      </c>
      <c r="P41">
        <v>0</v>
      </c>
      <c r="Q41">
        <v>0</v>
      </c>
      <c r="R41">
        <v>0</v>
      </c>
      <c r="S41">
        <v>2.25</v>
      </c>
      <c r="T41">
        <v>1.5</v>
      </c>
      <c r="U41">
        <v>1.5</v>
      </c>
      <c r="V41">
        <v>5.25</v>
      </c>
      <c r="W41">
        <v>52.5</v>
      </c>
      <c r="X41">
        <v>0</v>
      </c>
      <c r="Y41">
        <v>4</v>
      </c>
      <c r="Z41">
        <v>0</v>
      </c>
      <c r="AA41">
        <v>0</v>
      </c>
      <c r="AB41">
        <v>5</v>
      </c>
      <c r="AC41">
        <v>0</v>
      </c>
      <c r="AD41">
        <v>0</v>
      </c>
      <c r="AE41">
        <v>0</v>
      </c>
      <c r="AF41">
        <v>5</v>
      </c>
      <c r="AG41">
        <v>82.5</v>
      </c>
      <c r="AH41">
        <v>82.5</v>
      </c>
      <c r="AI41">
        <v>0</v>
      </c>
      <c r="AJ41">
        <v>5</v>
      </c>
      <c r="AK41">
        <v>55</v>
      </c>
      <c r="AL41">
        <v>55</v>
      </c>
      <c r="AM41">
        <v>0</v>
      </c>
      <c r="AN41">
        <v>0</v>
      </c>
      <c r="AO41">
        <v>0</v>
      </c>
      <c r="AP41">
        <v>0</v>
      </c>
      <c r="AQ41">
        <v>0</v>
      </c>
      <c r="AR41">
        <v>0</v>
      </c>
      <c r="AS41">
        <v>0</v>
      </c>
      <c r="AT41">
        <v>33</v>
      </c>
      <c r="AU41">
        <v>19</v>
      </c>
      <c r="AV41">
        <v>14</v>
      </c>
      <c r="AW41">
        <v>0</v>
      </c>
      <c r="AX41">
        <v>2.25</v>
      </c>
      <c r="AY41">
        <v>1.5</v>
      </c>
      <c r="AZ41">
        <v>0.75</v>
      </c>
      <c r="BA41">
        <v>0</v>
      </c>
      <c r="BB41">
        <v>1.5</v>
      </c>
      <c r="BC41">
        <v>1</v>
      </c>
      <c r="BD41">
        <v>0.5</v>
      </c>
      <c r="BE41">
        <v>0</v>
      </c>
    </row>
    <row r="42" spans="1:57">
      <c r="A42" t="s">
        <v>16902</v>
      </c>
      <c r="B42" t="s">
        <v>16903</v>
      </c>
      <c r="C42">
        <v>1</v>
      </c>
      <c r="D42">
        <v>14</v>
      </c>
      <c r="E42">
        <v>14</v>
      </c>
      <c r="F42">
        <v>13</v>
      </c>
      <c r="G42">
        <v>0</v>
      </c>
      <c r="H42">
        <v>0</v>
      </c>
      <c r="I42">
        <v>0</v>
      </c>
      <c r="J42">
        <v>14</v>
      </c>
      <c r="K42">
        <v>79</v>
      </c>
      <c r="L42">
        <v>9</v>
      </c>
      <c r="M42">
        <v>1</v>
      </c>
      <c r="N42">
        <v>2</v>
      </c>
      <c r="O42">
        <v>2</v>
      </c>
      <c r="P42">
        <v>0</v>
      </c>
      <c r="Q42">
        <v>0</v>
      </c>
      <c r="R42">
        <v>0</v>
      </c>
      <c r="S42">
        <v>5.25</v>
      </c>
      <c r="T42">
        <v>4</v>
      </c>
      <c r="U42">
        <v>12.5</v>
      </c>
      <c r="V42">
        <v>21.75</v>
      </c>
      <c r="W42">
        <v>132.5</v>
      </c>
      <c r="X42">
        <v>0</v>
      </c>
      <c r="Y42">
        <v>11</v>
      </c>
      <c r="Z42">
        <v>1</v>
      </c>
      <c r="AA42">
        <v>0</v>
      </c>
      <c r="AB42">
        <v>12.5</v>
      </c>
      <c r="AC42">
        <v>0</v>
      </c>
      <c r="AD42">
        <v>0</v>
      </c>
      <c r="AE42">
        <v>0</v>
      </c>
      <c r="AF42">
        <v>12.5</v>
      </c>
      <c r="AG42">
        <v>382.5</v>
      </c>
      <c r="AH42">
        <v>382.5</v>
      </c>
      <c r="AI42">
        <v>0</v>
      </c>
      <c r="AJ42">
        <v>0</v>
      </c>
      <c r="AK42">
        <v>0</v>
      </c>
      <c r="AL42">
        <v>0</v>
      </c>
      <c r="AM42">
        <v>0</v>
      </c>
      <c r="AN42">
        <v>0</v>
      </c>
      <c r="AO42">
        <v>0</v>
      </c>
      <c r="AP42">
        <v>0</v>
      </c>
      <c r="AQ42">
        <v>0</v>
      </c>
      <c r="AR42">
        <v>0</v>
      </c>
      <c r="AS42">
        <v>0</v>
      </c>
      <c r="AT42">
        <v>79</v>
      </c>
      <c r="AU42">
        <v>0</v>
      </c>
      <c r="AV42">
        <v>67</v>
      </c>
      <c r="AW42">
        <v>12</v>
      </c>
      <c r="AX42">
        <v>5.25</v>
      </c>
      <c r="AY42">
        <v>0</v>
      </c>
      <c r="AZ42">
        <v>5.25</v>
      </c>
      <c r="BA42">
        <v>0</v>
      </c>
      <c r="BB42">
        <v>4</v>
      </c>
      <c r="BC42">
        <v>0</v>
      </c>
      <c r="BD42">
        <v>4</v>
      </c>
      <c r="BE42">
        <v>0</v>
      </c>
    </row>
    <row r="43" spans="1:57">
      <c r="A43" t="s">
        <v>16904</v>
      </c>
      <c r="B43" t="s">
        <v>16905</v>
      </c>
      <c r="C43">
        <v>0</v>
      </c>
      <c r="D43">
        <v>21</v>
      </c>
      <c r="E43">
        <v>21</v>
      </c>
      <c r="F43">
        <v>18</v>
      </c>
      <c r="G43">
        <v>4</v>
      </c>
      <c r="H43">
        <v>1</v>
      </c>
      <c r="I43">
        <v>1</v>
      </c>
      <c r="J43">
        <v>20</v>
      </c>
      <c r="K43">
        <v>148</v>
      </c>
      <c r="L43">
        <v>6</v>
      </c>
      <c r="M43">
        <v>2</v>
      </c>
      <c r="N43">
        <v>2</v>
      </c>
      <c r="O43">
        <v>9</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148</v>
      </c>
      <c r="AU43">
        <v>19</v>
      </c>
      <c r="AV43">
        <v>129</v>
      </c>
      <c r="AW43">
        <v>0</v>
      </c>
      <c r="AX43">
        <v>0</v>
      </c>
      <c r="AY43">
        <v>0</v>
      </c>
      <c r="AZ43">
        <v>0</v>
      </c>
      <c r="BA43">
        <v>0</v>
      </c>
      <c r="BB43">
        <v>0</v>
      </c>
      <c r="BC43">
        <v>0</v>
      </c>
      <c r="BD43">
        <v>0</v>
      </c>
      <c r="BE43">
        <v>0</v>
      </c>
    </row>
    <row r="44" spans="1:57">
      <c r="A44" t="s">
        <v>16908</v>
      </c>
      <c r="B44" t="s">
        <v>16909</v>
      </c>
      <c r="C44">
        <v>0</v>
      </c>
      <c r="D44">
        <v>18</v>
      </c>
      <c r="E44">
        <v>18</v>
      </c>
      <c r="F44">
        <v>18</v>
      </c>
      <c r="G44">
        <v>3</v>
      </c>
      <c r="H44">
        <v>0</v>
      </c>
      <c r="I44">
        <v>0</v>
      </c>
      <c r="J44">
        <v>15</v>
      </c>
      <c r="K44">
        <v>186</v>
      </c>
      <c r="L44">
        <v>15</v>
      </c>
      <c r="M44">
        <v>0</v>
      </c>
      <c r="N44">
        <v>0</v>
      </c>
      <c r="O44">
        <v>3</v>
      </c>
      <c r="P44">
        <v>0</v>
      </c>
      <c r="Q44">
        <v>0</v>
      </c>
      <c r="R44">
        <v>0</v>
      </c>
      <c r="S44">
        <v>0</v>
      </c>
      <c r="T44">
        <v>0</v>
      </c>
      <c r="U44">
        <v>0</v>
      </c>
      <c r="V44">
        <v>0</v>
      </c>
      <c r="W44">
        <v>0</v>
      </c>
      <c r="X44">
        <v>0</v>
      </c>
      <c r="Y44">
        <v>0</v>
      </c>
      <c r="Z44">
        <v>0</v>
      </c>
      <c r="AA44">
        <v>0</v>
      </c>
      <c r="AB44">
        <v>0</v>
      </c>
      <c r="AC44">
        <v>52.1</v>
      </c>
      <c r="AD44">
        <v>0</v>
      </c>
      <c r="AE44">
        <v>52.1</v>
      </c>
      <c r="AF44">
        <v>52.1</v>
      </c>
      <c r="AG44">
        <v>52.1</v>
      </c>
      <c r="AH44">
        <v>0</v>
      </c>
      <c r="AI44">
        <v>0</v>
      </c>
      <c r="AJ44">
        <v>0</v>
      </c>
      <c r="AK44">
        <v>0</v>
      </c>
      <c r="AL44">
        <v>0</v>
      </c>
      <c r="AM44">
        <v>0</v>
      </c>
      <c r="AN44">
        <v>0</v>
      </c>
      <c r="AO44">
        <v>1</v>
      </c>
      <c r="AP44">
        <v>0</v>
      </c>
      <c r="AQ44">
        <v>0</v>
      </c>
      <c r="AR44">
        <v>0</v>
      </c>
      <c r="AS44">
        <v>0</v>
      </c>
      <c r="AT44">
        <v>186</v>
      </c>
      <c r="AU44">
        <v>0</v>
      </c>
      <c r="AV44">
        <v>186</v>
      </c>
      <c r="AW44">
        <v>0</v>
      </c>
      <c r="AX44">
        <v>0</v>
      </c>
      <c r="AY44">
        <v>0</v>
      </c>
      <c r="AZ44">
        <v>0</v>
      </c>
      <c r="BA44">
        <v>0</v>
      </c>
      <c r="BB44">
        <v>0</v>
      </c>
      <c r="BC44">
        <v>0</v>
      </c>
      <c r="BD44">
        <v>0</v>
      </c>
      <c r="BE44">
        <v>0</v>
      </c>
    </row>
    <row r="45" spans="1:57">
      <c r="A45" t="s">
        <v>17221</v>
      </c>
      <c r="B45" t="s">
        <v>17405</v>
      </c>
      <c r="C45">
        <v>10</v>
      </c>
      <c r="D45">
        <v>266</v>
      </c>
      <c r="E45">
        <v>253</v>
      </c>
      <c r="F45">
        <v>260</v>
      </c>
      <c r="G45">
        <v>3</v>
      </c>
      <c r="H45">
        <v>1</v>
      </c>
      <c r="I45">
        <v>2</v>
      </c>
      <c r="J45">
        <v>266</v>
      </c>
      <c r="K45">
        <v>1684</v>
      </c>
      <c r="L45">
        <v>244</v>
      </c>
      <c r="M45">
        <v>2</v>
      </c>
      <c r="N45">
        <v>5</v>
      </c>
      <c r="O45">
        <v>6</v>
      </c>
      <c r="P45">
        <v>0</v>
      </c>
      <c r="Q45">
        <v>1</v>
      </c>
      <c r="R45">
        <v>0</v>
      </c>
      <c r="S45">
        <v>177.9</v>
      </c>
      <c r="T45">
        <v>4</v>
      </c>
      <c r="U45">
        <v>0</v>
      </c>
      <c r="V45">
        <v>181.9</v>
      </c>
      <c r="W45">
        <v>1689</v>
      </c>
      <c r="X45">
        <v>0</v>
      </c>
      <c r="Y45">
        <v>71</v>
      </c>
      <c r="Z45">
        <v>0</v>
      </c>
      <c r="AA45">
        <v>-170</v>
      </c>
      <c r="AB45">
        <v>395</v>
      </c>
      <c r="AC45">
        <v>0</v>
      </c>
      <c r="AD45">
        <v>5.6</v>
      </c>
      <c r="AE45">
        <v>5.6</v>
      </c>
      <c r="AF45">
        <v>400.6</v>
      </c>
      <c r="AG45">
        <v>1689</v>
      </c>
      <c r="AH45">
        <v>1683.4</v>
      </c>
      <c r="AI45">
        <v>0</v>
      </c>
      <c r="AJ45">
        <v>0</v>
      </c>
      <c r="AK45">
        <v>0</v>
      </c>
      <c r="AL45">
        <v>0</v>
      </c>
      <c r="AM45">
        <v>2</v>
      </c>
      <c r="AN45">
        <v>0</v>
      </c>
      <c r="AO45">
        <v>0</v>
      </c>
      <c r="AP45">
        <v>0</v>
      </c>
      <c r="AQ45">
        <v>0</v>
      </c>
      <c r="AR45">
        <v>0</v>
      </c>
      <c r="AS45">
        <v>0</v>
      </c>
      <c r="AT45">
        <v>1684</v>
      </c>
      <c r="AU45">
        <v>13</v>
      </c>
      <c r="AV45">
        <v>1615</v>
      </c>
      <c r="AW45">
        <v>56</v>
      </c>
      <c r="AX45">
        <v>177.9</v>
      </c>
      <c r="AY45">
        <v>0</v>
      </c>
      <c r="AZ45">
        <v>166.9</v>
      </c>
      <c r="BA45">
        <v>11</v>
      </c>
      <c r="BB45">
        <v>4</v>
      </c>
      <c r="BC45">
        <v>0</v>
      </c>
      <c r="BD45">
        <v>1</v>
      </c>
      <c r="BE45">
        <v>3</v>
      </c>
    </row>
    <row r="46" spans="1:57">
      <c r="A46" t="s">
        <v>16910</v>
      </c>
      <c r="B46" t="s">
        <v>16911</v>
      </c>
      <c r="C46">
        <v>53</v>
      </c>
      <c r="D46">
        <v>193</v>
      </c>
      <c r="E46">
        <v>187</v>
      </c>
      <c r="F46">
        <v>147</v>
      </c>
      <c r="G46">
        <v>38</v>
      </c>
      <c r="H46">
        <v>5</v>
      </c>
      <c r="I46">
        <v>2</v>
      </c>
      <c r="J46">
        <v>190</v>
      </c>
      <c r="K46">
        <v>1492</v>
      </c>
      <c r="L46">
        <v>122</v>
      </c>
      <c r="M46">
        <v>0</v>
      </c>
      <c r="N46">
        <v>0</v>
      </c>
      <c r="O46">
        <v>48</v>
      </c>
      <c r="P46">
        <v>2</v>
      </c>
      <c r="Q46">
        <v>18</v>
      </c>
      <c r="R46">
        <v>0</v>
      </c>
      <c r="S46">
        <v>173.5</v>
      </c>
      <c r="T46">
        <v>0</v>
      </c>
      <c r="U46">
        <v>0</v>
      </c>
      <c r="V46">
        <v>173.5</v>
      </c>
      <c r="W46">
        <v>1735</v>
      </c>
      <c r="X46">
        <v>0</v>
      </c>
      <c r="Y46">
        <v>4</v>
      </c>
      <c r="Z46">
        <v>0</v>
      </c>
      <c r="AA46">
        <v>0</v>
      </c>
      <c r="AB46">
        <v>1615</v>
      </c>
      <c r="AC46">
        <v>2.79</v>
      </c>
      <c r="AD46">
        <v>2.79</v>
      </c>
      <c r="AE46">
        <v>882.79</v>
      </c>
      <c r="AF46">
        <v>1617.79</v>
      </c>
      <c r="AG46">
        <v>1737.79</v>
      </c>
      <c r="AH46">
        <v>865</v>
      </c>
      <c r="AI46">
        <v>0</v>
      </c>
      <c r="AJ46">
        <v>0</v>
      </c>
      <c r="AK46">
        <v>0</v>
      </c>
      <c r="AL46">
        <v>0</v>
      </c>
      <c r="AM46">
        <v>0</v>
      </c>
      <c r="AN46">
        <v>3</v>
      </c>
      <c r="AO46">
        <v>0</v>
      </c>
      <c r="AP46">
        <v>1</v>
      </c>
      <c r="AQ46">
        <v>1</v>
      </c>
      <c r="AR46">
        <v>0</v>
      </c>
      <c r="AS46">
        <v>0</v>
      </c>
      <c r="AT46">
        <v>1492</v>
      </c>
      <c r="AU46">
        <v>62</v>
      </c>
      <c r="AV46">
        <v>1135</v>
      </c>
      <c r="AW46">
        <v>307</v>
      </c>
      <c r="AX46">
        <v>173.5</v>
      </c>
      <c r="AY46">
        <v>0</v>
      </c>
      <c r="AZ46">
        <v>173.5</v>
      </c>
      <c r="BA46">
        <v>0</v>
      </c>
      <c r="BB46">
        <v>0</v>
      </c>
      <c r="BC46">
        <v>0</v>
      </c>
      <c r="BD46">
        <v>0</v>
      </c>
      <c r="BE46">
        <v>0</v>
      </c>
    </row>
    <row r="47" spans="1:57">
      <c r="A47" t="s">
        <v>16912</v>
      </c>
      <c r="B47" t="s">
        <v>16913</v>
      </c>
      <c r="C47">
        <v>0</v>
      </c>
      <c r="D47">
        <v>2</v>
      </c>
      <c r="E47">
        <v>2</v>
      </c>
      <c r="F47">
        <v>1</v>
      </c>
      <c r="G47">
        <v>0</v>
      </c>
      <c r="H47">
        <v>1</v>
      </c>
      <c r="I47">
        <v>0</v>
      </c>
      <c r="J47">
        <v>2</v>
      </c>
      <c r="K47">
        <v>29</v>
      </c>
      <c r="L47">
        <v>2</v>
      </c>
      <c r="M47">
        <v>0</v>
      </c>
      <c r="N47">
        <v>0</v>
      </c>
      <c r="O47">
        <v>0</v>
      </c>
      <c r="P47">
        <v>0</v>
      </c>
      <c r="Q47">
        <v>0</v>
      </c>
      <c r="R47">
        <v>0</v>
      </c>
      <c r="S47">
        <v>3.75</v>
      </c>
      <c r="T47">
        <v>0.5</v>
      </c>
      <c r="U47">
        <v>0</v>
      </c>
      <c r="V47">
        <v>4.25</v>
      </c>
      <c r="W47">
        <v>47.5</v>
      </c>
      <c r="X47">
        <v>0</v>
      </c>
      <c r="Y47">
        <v>1</v>
      </c>
      <c r="Z47">
        <v>1</v>
      </c>
      <c r="AA47">
        <v>0</v>
      </c>
      <c r="AB47">
        <v>0</v>
      </c>
      <c r="AC47">
        <v>0</v>
      </c>
      <c r="AD47">
        <v>0</v>
      </c>
      <c r="AE47">
        <v>0</v>
      </c>
      <c r="AF47">
        <v>0</v>
      </c>
      <c r="AG47">
        <v>47.5</v>
      </c>
      <c r="AH47">
        <v>47.5</v>
      </c>
      <c r="AI47">
        <v>0</v>
      </c>
      <c r="AJ47">
        <v>0</v>
      </c>
      <c r="AK47">
        <v>30</v>
      </c>
      <c r="AL47">
        <v>30</v>
      </c>
      <c r="AM47">
        <v>0</v>
      </c>
      <c r="AN47">
        <v>0</v>
      </c>
      <c r="AO47">
        <v>0</v>
      </c>
      <c r="AP47">
        <v>0</v>
      </c>
      <c r="AQ47">
        <v>0</v>
      </c>
      <c r="AR47">
        <v>0</v>
      </c>
      <c r="AS47">
        <v>0</v>
      </c>
      <c r="AT47">
        <v>29</v>
      </c>
      <c r="AU47">
        <v>21</v>
      </c>
      <c r="AV47">
        <v>8</v>
      </c>
      <c r="AW47">
        <v>0</v>
      </c>
      <c r="AX47">
        <v>3.75</v>
      </c>
      <c r="AY47">
        <v>2</v>
      </c>
      <c r="AZ47">
        <v>1.75</v>
      </c>
      <c r="BA47">
        <v>0</v>
      </c>
      <c r="BB47">
        <v>0.5</v>
      </c>
      <c r="BC47">
        <v>0.5</v>
      </c>
      <c r="BD47">
        <v>0</v>
      </c>
      <c r="BE47">
        <v>0</v>
      </c>
    </row>
    <row r="48" spans="1:57">
      <c r="A48" t="s">
        <v>16914</v>
      </c>
      <c r="B48" t="s">
        <v>16915</v>
      </c>
      <c r="C48">
        <v>0</v>
      </c>
      <c r="D48">
        <v>3</v>
      </c>
      <c r="E48">
        <v>3</v>
      </c>
      <c r="F48">
        <v>3</v>
      </c>
      <c r="G48">
        <v>0</v>
      </c>
      <c r="H48">
        <v>1</v>
      </c>
      <c r="I48">
        <v>0</v>
      </c>
      <c r="J48">
        <v>3</v>
      </c>
      <c r="K48">
        <v>67</v>
      </c>
      <c r="L48">
        <v>0</v>
      </c>
      <c r="M48">
        <v>0</v>
      </c>
      <c r="N48">
        <v>1</v>
      </c>
      <c r="O48">
        <v>2</v>
      </c>
      <c r="P48">
        <v>0</v>
      </c>
      <c r="Q48">
        <v>0</v>
      </c>
      <c r="R48">
        <v>0</v>
      </c>
      <c r="S48">
        <v>1</v>
      </c>
      <c r="T48">
        <v>6.75</v>
      </c>
      <c r="U48">
        <v>0</v>
      </c>
      <c r="V48">
        <v>7.75</v>
      </c>
      <c r="W48">
        <v>145</v>
      </c>
      <c r="X48">
        <v>0</v>
      </c>
      <c r="Y48">
        <v>0</v>
      </c>
      <c r="Z48">
        <v>1</v>
      </c>
      <c r="AA48">
        <v>0</v>
      </c>
      <c r="AB48">
        <v>85</v>
      </c>
      <c r="AC48">
        <v>0</v>
      </c>
      <c r="AD48">
        <v>0</v>
      </c>
      <c r="AE48">
        <v>85</v>
      </c>
      <c r="AF48">
        <v>85</v>
      </c>
      <c r="AG48">
        <v>145</v>
      </c>
      <c r="AH48">
        <v>60</v>
      </c>
      <c r="AI48">
        <v>85</v>
      </c>
      <c r="AJ48">
        <v>85</v>
      </c>
      <c r="AK48">
        <v>145</v>
      </c>
      <c r="AL48">
        <v>60</v>
      </c>
      <c r="AM48">
        <v>0</v>
      </c>
      <c r="AN48">
        <v>0</v>
      </c>
      <c r="AO48">
        <v>1</v>
      </c>
      <c r="AP48">
        <v>0</v>
      </c>
      <c r="AQ48">
        <v>0</v>
      </c>
      <c r="AR48">
        <v>0</v>
      </c>
      <c r="AS48">
        <v>0</v>
      </c>
      <c r="AT48">
        <v>67</v>
      </c>
      <c r="AU48">
        <v>62</v>
      </c>
      <c r="AV48">
        <v>5</v>
      </c>
      <c r="AW48">
        <v>0</v>
      </c>
      <c r="AX48">
        <v>1</v>
      </c>
      <c r="AY48">
        <v>1</v>
      </c>
      <c r="AZ48">
        <v>0</v>
      </c>
      <c r="BA48">
        <v>0</v>
      </c>
      <c r="BB48">
        <v>6.75</v>
      </c>
      <c r="BC48">
        <v>6.75</v>
      </c>
      <c r="BD48">
        <v>0</v>
      </c>
      <c r="BE48">
        <v>0</v>
      </c>
    </row>
    <row r="49" spans="1:57">
      <c r="A49" t="s">
        <v>16916</v>
      </c>
      <c r="B49" t="s">
        <v>16917</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row>
    <row r="50" spans="1:57">
      <c r="A50" t="s">
        <v>16941</v>
      </c>
      <c r="B50" t="s">
        <v>16942</v>
      </c>
      <c r="C50">
        <v>0</v>
      </c>
      <c r="D50">
        <v>4</v>
      </c>
      <c r="E50">
        <v>4</v>
      </c>
      <c r="F50">
        <v>4</v>
      </c>
      <c r="G50">
        <v>2</v>
      </c>
      <c r="H50">
        <v>1</v>
      </c>
      <c r="I50">
        <v>1</v>
      </c>
      <c r="J50">
        <v>4</v>
      </c>
      <c r="K50">
        <v>42</v>
      </c>
      <c r="L50">
        <v>3</v>
      </c>
      <c r="M50">
        <v>0</v>
      </c>
      <c r="N50">
        <v>0</v>
      </c>
      <c r="O50">
        <v>0</v>
      </c>
      <c r="P50">
        <v>1</v>
      </c>
      <c r="Q50">
        <v>0</v>
      </c>
      <c r="R50">
        <v>0</v>
      </c>
      <c r="S50">
        <v>2.5</v>
      </c>
      <c r="T50">
        <v>2</v>
      </c>
      <c r="U50">
        <v>0</v>
      </c>
      <c r="V50">
        <v>4.5</v>
      </c>
      <c r="W50">
        <v>65</v>
      </c>
      <c r="X50">
        <v>0</v>
      </c>
      <c r="Y50">
        <v>4</v>
      </c>
      <c r="Z50">
        <v>0</v>
      </c>
      <c r="AA50">
        <v>0</v>
      </c>
      <c r="AB50">
        <v>0</v>
      </c>
      <c r="AC50">
        <v>0</v>
      </c>
      <c r="AD50">
        <v>0</v>
      </c>
      <c r="AE50">
        <v>0</v>
      </c>
      <c r="AF50">
        <v>0</v>
      </c>
      <c r="AG50">
        <v>65</v>
      </c>
      <c r="AH50">
        <v>65</v>
      </c>
      <c r="AI50">
        <v>0</v>
      </c>
      <c r="AJ50">
        <v>0</v>
      </c>
      <c r="AK50">
        <v>30</v>
      </c>
      <c r="AL50">
        <v>30</v>
      </c>
      <c r="AM50">
        <v>0</v>
      </c>
      <c r="AN50">
        <v>0</v>
      </c>
      <c r="AO50">
        <v>0</v>
      </c>
      <c r="AP50">
        <v>0</v>
      </c>
      <c r="AQ50">
        <v>0</v>
      </c>
      <c r="AR50">
        <v>0</v>
      </c>
      <c r="AS50">
        <v>0</v>
      </c>
      <c r="AT50">
        <v>42</v>
      </c>
      <c r="AU50">
        <v>24</v>
      </c>
      <c r="AV50">
        <v>18</v>
      </c>
      <c r="AW50">
        <v>0</v>
      </c>
      <c r="AX50">
        <v>2.5</v>
      </c>
      <c r="AY50">
        <v>1</v>
      </c>
      <c r="AZ50">
        <v>1.5</v>
      </c>
      <c r="BA50">
        <v>0</v>
      </c>
      <c r="BB50">
        <v>2</v>
      </c>
      <c r="BC50">
        <v>1</v>
      </c>
      <c r="BD50">
        <v>1</v>
      </c>
      <c r="BE50">
        <v>0</v>
      </c>
    </row>
    <row r="51" spans="1:57">
      <c r="A51" t="s">
        <v>16920</v>
      </c>
      <c r="B51" t="s">
        <v>16921</v>
      </c>
      <c r="C51">
        <v>0</v>
      </c>
      <c r="D51">
        <v>4</v>
      </c>
      <c r="E51">
        <v>2</v>
      </c>
      <c r="F51">
        <v>3</v>
      </c>
      <c r="G51">
        <v>0</v>
      </c>
      <c r="H51">
        <v>0</v>
      </c>
      <c r="I51">
        <v>1</v>
      </c>
      <c r="J51">
        <v>4</v>
      </c>
      <c r="K51">
        <v>36</v>
      </c>
      <c r="L51">
        <v>3</v>
      </c>
      <c r="M51">
        <v>0</v>
      </c>
      <c r="N51">
        <v>0</v>
      </c>
      <c r="O51">
        <v>1</v>
      </c>
      <c r="P51">
        <v>0</v>
      </c>
      <c r="Q51">
        <v>0</v>
      </c>
      <c r="R51">
        <v>0</v>
      </c>
      <c r="S51">
        <v>5.25</v>
      </c>
      <c r="T51">
        <v>2</v>
      </c>
      <c r="U51">
        <v>0</v>
      </c>
      <c r="V51">
        <v>7.25</v>
      </c>
      <c r="W51">
        <v>92.5</v>
      </c>
      <c r="X51">
        <v>0</v>
      </c>
      <c r="Y51">
        <v>2</v>
      </c>
      <c r="Z51">
        <v>2</v>
      </c>
      <c r="AA51">
        <v>0</v>
      </c>
      <c r="AB51">
        <v>0</v>
      </c>
      <c r="AC51">
        <v>0</v>
      </c>
      <c r="AD51">
        <v>0</v>
      </c>
      <c r="AE51">
        <v>0</v>
      </c>
      <c r="AF51">
        <v>0</v>
      </c>
      <c r="AG51">
        <v>92.5</v>
      </c>
      <c r="AH51">
        <v>92.5</v>
      </c>
      <c r="AI51">
        <v>0</v>
      </c>
      <c r="AJ51">
        <v>0</v>
      </c>
      <c r="AK51">
        <v>0</v>
      </c>
      <c r="AL51">
        <v>0</v>
      </c>
      <c r="AM51">
        <v>0</v>
      </c>
      <c r="AN51">
        <v>0</v>
      </c>
      <c r="AO51">
        <v>0</v>
      </c>
      <c r="AP51">
        <v>0</v>
      </c>
      <c r="AQ51">
        <v>0</v>
      </c>
      <c r="AR51">
        <v>0</v>
      </c>
      <c r="AS51">
        <v>0</v>
      </c>
      <c r="AT51">
        <v>36</v>
      </c>
      <c r="AU51">
        <v>0</v>
      </c>
      <c r="AV51">
        <v>36</v>
      </c>
      <c r="AW51">
        <v>0</v>
      </c>
      <c r="AX51">
        <v>5.25</v>
      </c>
      <c r="AY51">
        <v>0</v>
      </c>
      <c r="AZ51">
        <v>5.25</v>
      </c>
      <c r="BA51">
        <v>0</v>
      </c>
      <c r="BB51">
        <v>2</v>
      </c>
      <c r="BC51">
        <v>0</v>
      </c>
      <c r="BD51">
        <v>2</v>
      </c>
      <c r="BE51">
        <v>0</v>
      </c>
    </row>
    <row r="52" spans="1:57">
      <c r="A52" t="s">
        <v>16922</v>
      </c>
      <c r="B52" t="s">
        <v>16923</v>
      </c>
      <c r="C52">
        <v>0</v>
      </c>
      <c r="D52">
        <v>3</v>
      </c>
      <c r="E52">
        <v>3</v>
      </c>
      <c r="F52">
        <v>3</v>
      </c>
      <c r="G52">
        <v>0</v>
      </c>
      <c r="H52">
        <v>0</v>
      </c>
      <c r="I52">
        <v>0</v>
      </c>
      <c r="J52">
        <v>3</v>
      </c>
      <c r="K52">
        <v>32</v>
      </c>
      <c r="L52">
        <v>3</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32</v>
      </c>
      <c r="AU52">
        <v>0</v>
      </c>
      <c r="AV52">
        <v>32</v>
      </c>
      <c r="AW52">
        <v>0</v>
      </c>
      <c r="AX52">
        <v>0</v>
      </c>
      <c r="AY52">
        <v>0</v>
      </c>
      <c r="AZ52">
        <v>0</v>
      </c>
      <c r="BA52">
        <v>0</v>
      </c>
      <c r="BB52">
        <v>0</v>
      </c>
      <c r="BC52">
        <v>0</v>
      </c>
      <c r="BD52">
        <v>0</v>
      </c>
      <c r="BE52">
        <v>0</v>
      </c>
    </row>
    <row r="53" spans="1:57">
      <c r="A53" t="s">
        <v>19971</v>
      </c>
      <c r="B53" t="s">
        <v>19972</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row>
    <row r="54" spans="1:57">
      <c r="A54" t="s">
        <v>16924</v>
      </c>
      <c r="B54" t="s">
        <v>16925</v>
      </c>
      <c r="C54">
        <v>0</v>
      </c>
      <c r="D54">
        <v>13</v>
      </c>
      <c r="E54">
        <v>13</v>
      </c>
      <c r="F54">
        <v>9</v>
      </c>
      <c r="G54">
        <v>0</v>
      </c>
      <c r="H54">
        <v>1</v>
      </c>
      <c r="I54">
        <v>0</v>
      </c>
      <c r="J54">
        <v>13</v>
      </c>
      <c r="K54">
        <v>220</v>
      </c>
      <c r="L54">
        <v>8</v>
      </c>
      <c r="M54">
        <v>2</v>
      </c>
      <c r="N54">
        <v>2</v>
      </c>
      <c r="O54">
        <v>1</v>
      </c>
      <c r="P54">
        <v>0</v>
      </c>
      <c r="Q54">
        <v>0</v>
      </c>
      <c r="R54">
        <v>0</v>
      </c>
      <c r="S54">
        <v>7</v>
      </c>
      <c r="T54">
        <v>3</v>
      </c>
      <c r="U54">
        <v>3.5</v>
      </c>
      <c r="V54">
        <v>13.5</v>
      </c>
      <c r="W54">
        <v>130</v>
      </c>
      <c r="X54">
        <v>0</v>
      </c>
      <c r="Y54">
        <v>9</v>
      </c>
      <c r="Z54">
        <v>0</v>
      </c>
      <c r="AA54">
        <v>0</v>
      </c>
      <c r="AB54">
        <v>0</v>
      </c>
      <c r="AC54">
        <v>0</v>
      </c>
      <c r="AD54">
        <v>0</v>
      </c>
      <c r="AE54">
        <v>0</v>
      </c>
      <c r="AF54">
        <v>0</v>
      </c>
      <c r="AG54">
        <v>200</v>
      </c>
      <c r="AH54">
        <v>200</v>
      </c>
      <c r="AI54">
        <v>0</v>
      </c>
      <c r="AJ54">
        <v>0</v>
      </c>
      <c r="AK54">
        <v>30</v>
      </c>
      <c r="AL54">
        <v>30</v>
      </c>
      <c r="AM54">
        <v>0</v>
      </c>
      <c r="AN54">
        <v>0</v>
      </c>
      <c r="AO54">
        <v>0</v>
      </c>
      <c r="AP54">
        <v>0</v>
      </c>
      <c r="AQ54">
        <v>0</v>
      </c>
      <c r="AR54">
        <v>0</v>
      </c>
      <c r="AS54">
        <v>0</v>
      </c>
      <c r="AT54">
        <v>220</v>
      </c>
      <c r="AU54">
        <v>21</v>
      </c>
      <c r="AV54">
        <v>199</v>
      </c>
      <c r="AW54">
        <v>0</v>
      </c>
      <c r="AX54">
        <v>7</v>
      </c>
      <c r="AY54">
        <v>1</v>
      </c>
      <c r="AZ54">
        <v>6</v>
      </c>
      <c r="BA54">
        <v>0</v>
      </c>
      <c r="BB54">
        <v>3</v>
      </c>
      <c r="BC54">
        <v>0</v>
      </c>
      <c r="BD54">
        <v>3</v>
      </c>
      <c r="BE54">
        <v>0</v>
      </c>
    </row>
    <row r="55" spans="1:57">
      <c r="A55" t="s">
        <v>16926</v>
      </c>
      <c r="B55" t="s">
        <v>16927</v>
      </c>
      <c r="C55">
        <v>0</v>
      </c>
      <c r="D55">
        <v>70</v>
      </c>
      <c r="E55">
        <v>69</v>
      </c>
      <c r="F55">
        <v>61</v>
      </c>
      <c r="G55">
        <v>1</v>
      </c>
      <c r="H55">
        <v>11</v>
      </c>
      <c r="I55">
        <v>3</v>
      </c>
      <c r="J55">
        <v>69</v>
      </c>
      <c r="K55">
        <v>556</v>
      </c>
      <c r="L55">
        <v>57</v>
      </c>
      <c r="M55">
        <v>1</v>
      </c>
      <c r="N55">
        <v>0</v>
      </c>
      <c r="O55">
        <v>11</v>
      </c>
      <c r="P55">
        <v>1</v>
      </c>
      <c r="Q55">
        <v>0</v>
      </c>
      <c r="R55">
        <v>0</v>
      </c>
      <c r="S55">
        <v>143.75399999999999</v>
      </c>
      <c r="T55">
        <v>6.5</v>
      </c>
      <c r="U55">
        <v>0</v>
      </c>
      <c r="V55">
        <v>150.25399999999999</v>
      </c>
      <c r="W55">
        <v>1567.54</v>
      </c>
      <c r="X55">
        <v>0</v>
      </c>
      <c r="Y55">
        <v>69</v>
      </c>
      <c r="Z55">
        <v>0</v>
      </c>
      <c r="AA55">
        <v>0</v>
      </c>
      <c r="AB55">
        <v>595</v>
      </c>
      <c r="AC55">
        <v>0</v>
      </c>
      <c r="AD55">
        <v>0</v>
      </c>
      <c r="AE55">
        <v>0</v>
      </c>
      <c r="AF55">
        <v>595</v>
      </c>
      <c r="AG55">
        <v>1567.54</v>
      </c>
      <c r="AH55">
        <v>1567.54</v>
      </c>
      <c r="AI55">
        <v>0</v>
      </c>
      <c r="AJ55">
        <v>500</v>
      </c>
      <c r="AK55">
        <v>742.5</v>
      </c>
      <c r="AL55">
        <v>742.5</v>
      </c>
      <c r="AM55">
        <v>0</v>
      </c>
      <c r="AN55">
        <v>0</v>
      </c>
      <c r="AO55">
        <v>0</v>
      </c>
      <c r="AP55">
        <v>0</v>
      </c>
      <c r="AQ55">
        <v>0</v>
      </c>
      <c r="AR55">
        <v>0</v>
      </c>
      <c r="AS55">
        <v>0</v>
      </c>
      <c r="AT55">
        <v>556</v>
      </c>
      <c r="AU55">
        <v>118</v>
      </c>
      <c r="AV55">
        <v>438</v>
      </c>
      <c r="AW55">
        <v>0</v>
      </c>
      <c r="AX55">
        <v>143.75399999999999</v>
      </c>
      <c r="AY55">
        <v>72.25</v>
      </c>
      <c r="AZ55">
        <v>71.504000000000005</v>
      </c>
      <c r="BA55">
        <v>0</v>
      </c>
      <c r="BB55">
        <v>6.5</v>
      </c>
      <c r="BC55">
        <v>1</v>
      </c>
      <c r="BD55">
        <v>5.5</v>
      </c>
      <c r="BE55">
        <v>0</v>
      </c>
    </row>
    <row r="56" spans="1:57">
      <c r="A56" t="s">
        <v>16928</v>
      </c>
      <c r="B56" t="s">
        <v>16929</v>
      </c>
      <c r="C56">
        <v>5</v>
      </c>
      <c r="D56">
        <v>10</v>
      </c>
      <c r="E56">
        <v>10</v>
      </c>
      <c r="F56">
        <v>10</v>
      </c>
      <c r="G56">
        <v>5</v>
      </c>
      <c r="H56">
        <v>2</v>
      </c>
      <c r="I56">
        <v>0</v>
      </c>
      <c r="J56">
        <v>9</v>
      </c>
      <c r="K56">
        <v>68</v>
      </c>
      <c r="L56">
        <v>0</v>
      </c>
      <c r="M56">
        <v>1</v>
      </c>
      <c r="N56">
        <v>2</v>
      </c>
      <c r="O56">
        <v>0</v>
      </c>
      <c r="P56">
        <v>0</v>
      </c>
      <c r="Q56">
        <v>7</v>
      </c>
      <c r="R56">
        <v>0</v>
      </c>
      <c r="S56">
        <v>1.25</v>
      </c>
      <c r="T56">
        <v>10</v>
      </c>
      <c r="U56">
        <v>0</v>
      </c>
      <c r="V56">
        <v>11.25</v>
      </c>
      <c r="W56">
        <v>212.5</v>
      </c>
      <c r="X56">
        <v>0</v>
      </c>
      <c r="Y56">
        <v>1</v>
      </c>
      <c r="Z56">
        <v>1</v>
      </c>
      <c r="AA56">
        <v>0</v>
      </c>
      <c r="AB56">
        <v>122.5</v>
      </c>
      <c r="AC56">
        <v>15.6</v>
      </c>
      <c r="AD56">
        <v>15.6</v>
      </c>
      <c r="AE56">
        <v>0</v>
      </c>
      <c r="AF56">
        <v>138.10000000000002</v>
      </c>
      <c r="AG56">
        <v>228.10000000000002</v>
      </c>
      <c r="AH56">
        <v>228.10000000000002</v>
      </c>
      <c r="AI56">
        <v>0</v>
      </c>
      <c r="AJ56">
        <v>107</v>
      </c>
      <c r="AK56">
        <v>167</v>
      </c>
      <c r="AL56">
        <v>167</v>
      </c>
      <c r="AM56">
        <v>0</v>
      </c>
      <c r="AN56">
        <v>0</v>
      </c>
      <c r="AO56">
        <v>0</v>
      </c>
      <c r="AP56">
        <v>0</v>
      </c>
      <c r="AQ56">
        <v>0</v>
      </c>
      <c r="AR56">
        <v>0</v>
      </c>
      <c r="AS56">
        <v>0</v>
      </c>
      <c r="AT56">
        <v>68</v>
      </c>
      <c r="AU56">
        <v>46</v>
      </c>
      <c r="AV56">
        <v>12</v>
      </c>
      <c r="AW56">
        <v>16</v>
      </c>
      <c r="AX56">
        <v>1.25</v>
      </c>
      <c r="AY56">
        <v>0.5</v>
      </c>
      <c r="AZ56">
        <v>0.75</v>
      </c>
      <c r="BA56">
        <v>0</v>
      </c>
      <c r="BB56">
        <v>10</v>
      </c>
      <c r="BC56">
        <v>8</v>
      </c>
      <c r="BD56">
        <v>2</v>
      </c>
      <c r="BE56">
        <v>0</v>
      </c>
    </row>
    <row r="57" spans="1:57">
      <c r="A57" t="s">
        <v>16930</v>
      </c>
      <c r="B57" t="s">
        <v>16931</v>
      </c>
      <c r="C57">
        <v>0</v>
      </c>
      <c r="D57">
        <v>1</v>
      </c>
      <c r="E57">
        <v>1</v>
      </c>
      <c r="F57">
        <v>0</v>
      </c>
      <c r="G57">
        <v>0</v>
      </c>
      <c r="H57">
        <v>0</v>
      </c>
      <c r="I57">
        <v>0</v>
      </c>
      <c r="J57">
        <v>0</v>
      </c>
      <c r="K57">
        <v>0</v>
      </c>
      <c r="L57">
        <v>0</v>
      </c>
      <c r="M57">
        <v>0</v>
      </c>
      <c r="N57">
        <v>0</v>
      </c>
      <c r="O57">
        <v>0</v>
      </c>
      <c r="P57">
        <v>1</v>
      </c>
      <c r="Q57">
        <v>0</v>
      </c>
      <c r="R57">
        <v>0</v>
      </c>
      <c r="S57">
        <v>2.5</v>
      </c>
      <c r="T57">
        <v>1</v>
      </c>
      <c r="U57">
        <v>0</v>
      </c>
      <c r="V57">
        <v>3.5</v>
      </c>
      <c r="W57">
        <v>45</v>
      </c>
      <c r="X57">
        <v>0</v>
      </c>
      <c r="Y57">
        <v>1</v>
      </c>
      <c r="Z57">
        <v>0</v>
      </c>
      <c r="AA57">
        <v>0</v>
      </c>
      <c r="AB57">
        <v>15</v>
      </c>
      <c r="AC57">
        <v>0</v>
      </c>
      <c r="AD57">
        <v>0</v>
      </c>
      <c r="AE57">
        <v>0</v>
      </c>
      <c r="AF57">
        <v>15</v>
      </c>
      <c r="AG57">
        <v>45</v>
      </c>
      <c r="AH57">
        <v>45</v>
      </c>
      <c r="AI57">
        <v>0</v>
      </c>
      <c r="AJ57">
        <v>0</v>
      </c>
      <c r="AK57">
        <v>0</v>
      </c>
      <c r="AL57">
        <v>0</v>
      </c>
      <c r="AM57">
        <v>0</v>
      </c>
      <c r="AN57">
        <v>0</v>
      </c>
      <c r="AO57">
        <v>0</v>
      </c>
      <c r="AP57">
        <v>0</v>
      </c>
      <c r="AQ57">
        <v>0</v>
      </c>
      <c r="AR57">
        <v>0</v>
      </c>
      <c r="AS57">
        <v>0</v>
      </c>
      <c r="AT57">
        <v>0</v>
      </c>
      <c r="AU57">
        <v>0</v>
      </c>
      <c r="AV57">
        <v>0</v>
      </c>
      <c r="AW57">
        <v>0</v>
      </c>
      <c r="AX57">
        <v>2.5</v>
      </c>
      <c r="AY57">
        <v>0</v>
      </c>
      <c r="AZ57">
        <v>2.5</v>
      </c>
      <c r="BA57">
        <v>0</v>
      </c>
      <c r="BB57">
        <v>1</v>
      </c>
      <c r="BC57">
        <v>0</v>
      </c>
      <c r="BD57">
        <v>1</v>
      </c>
      <c r="BE57">
        <v>0</v>
      </c>
    </row>
    <row r="58" spans="1:57">
      <c r="A58" t="s">
        <v>17222</v>
      </c>
      <c r="B58" t="s">
        <v>17223</v>
      </c>
      <c r="C58">
        <v>0</v>
      </c>
      <c r="D58">
        <v>144</v>
      </c>
      <c r="E58">
        <v>7</v>
      </c>
      <c r="F58">
        <v>45</v>
      </c>
      <c r="G58">
        <v>0</v>
      </c>
      <c r="H58">
        <v>0</v>
      </c>
      <c r="I58">
        <v>0</v>
      </c>
      <c r="J58">
        <v>105</v>
      </c>
      <c r="K58">
        <v>1346</v>
      </c>
      <c r="L58">
        <v>51</v>
      </c>
      <c r="M58">
        <v>0</v>
      </c>
      <c r="N58">
        <v>31</v>
      </c>
      <c r="O58">
        <v>23</v>
      </c>
      <c r="P58">
        <v>0</v>
      </c>
      <c r="Q58">
        <v>0</v>
      </c>
      <c r="R58">
        <v>0</v>
      </c>
      <c r="S58">
        <v>43.55</v>
      </c>
      <c r="T58">
        <v>21.5</v>
      </c>
      <c r="U58">
        <v>0</v>
      </c>
      <c r="V58">
        <v>65.050000000000011</v>
      </c>
      <c r="W58">
        <v>865.5</v>
      </c>
      <c r="X58">
        <v>0</v>
      </c>
      <c r="Y58">
        <v>48</v>
      </c>
      <c r="Z58">
        <v>0</v>
      </c>
      <c r="AA58">
        <v>0</v>
      </c>
      <c r="AB58">
        <v>322</v>
      </c>
      <c r="AC58">
        <v>0</v>
      </c>
      <c r="AD58">
        <v>0</v>
      </c>
      <c r="AE58">
        <v>0</v>
      </c>
      <c r="AF58">
        <v>322</v>
      </c>
      <c r="AG58">
        <v>865.5</v>
      </c>
      <c r="AH58">
        <v>865.5</v>
      </c>
      <c r="AI58">
        <v>0</v>
      </c>
      <c r="AJ58">
        <v>0</v>
      </c>
      <c r="AK58">
        <v>0</v>
      </c>
      <c r="AL58">
        <v>0</v>
      </c>
      <c r="AM58">
        <v>0</v>
      </c>
      <c r="AN58">
        <v>0</v>
      </c>
      <c r="AO58">
        <v>0</v>
      </c>
      <c r="AP58">
        <v>0</v>
      </c>
      <c r="AQ58">
        <v>0</v>
      </c>
      <c r="AR58">
        <v>0</v>
      </c>
      <c r="AS58">
        <v>0</v>
      </c>
      <c r="AT58">
        <v>1346</v>
      </c>
      <c r="AU58">
        <v>0</v>
      </c>
      <c r="AV58">
        <v>1346</v>
      </c>
      <c r="AW58">
        <v>0</v>
      </c>
      <c r="AX58">
        <v>43.55</v>
      </c>
      <c r="AY58">
        <v>0</v>
      </c>
      <c r="AZ58">
        <v>43.55</v>
      </c>
      <c r="BA58">
        <v>0</v>
      </c>
      <c r="BB58">
        <v>21.5</v>
      </c>
      <c r="BC58">
        <v>0</v>
      </c>
      <c r="BD58">
        <v>21.5</v>
      </c>
      <c r="BE58">
        <v>0</v>
      </c>
    </row>
    <row r="59" spans="1:57">
      <c r="A59" t="s">
        <v>16943</v>
      </c>
      <c r="B59" t="s">
        <v>16944</v>
      </c>
      <c r="C59">
        <v>0</v>
      </c>
      <c r="D59">
        <v>2</v>
      </c>
      <c r="E59">
        <v>1</v>
      </c>
      <c r="F59">
        <v>1</v>
      </c>
      <c r="G59">
        <v>0</v>
      </c>
      <c r="H59">
        <v>0</v>
      </c>
      <c r="I59">
        <v>0</v>
      </c>
      <c r="J59">
        <v>1</v>
      </c>
      <c r="K59">
        <v>9</v>
      </c>
      <c r="L59">
        <v>1</v>
      </c>
      <c r="M59">
        <v>0</v>
      </c>
      <c r="N59">
        <v>1</v>
      </c>
      <c r="O59">
        <v>0</v>
      </c>
      <c r="P59">
        <v>0</v>
      </c>
      <c r="Q59">
        <v>0</v>
      </c>
      <c r="R59">
        <v>0</v>
      </c>
      <c r="S59">
        <v>2</v>
      </c>
      <c r="T59">
        <v>1</v>
      </c>
      <c r="U59">
        <v>0</v>
      </c>
      <c r="V59">
        <v>3</v>
      </c>
      <c r="W59">
        <v>40</v>
      </c>
      <c r="X59">
        <v>0</v>
      </c>
      <c r="Y59">
        <v>1</v>
      </c>
      <c r="Z59">
        <v>0</v>
      </c>
      <c r="AA59">
        <v>0</v>
      </c>
      <c r="AB59">
        <v>10</v>
      </c>
      <c r="AC59">
        <v>0</v>
      </c>
      <c r="AD59">
        <v>0</v>
      </c>
      <c r="AE59">
        <v>0</v>
      </c>
      <c r="AF59">
        <v>10</v>
      </c>
      <c r="AG59">
        <v>40</v>
      </c>
      <c r="AH59">
        <v>40</v>
      </c>
      <c r="AI59">
        <v>0</v>
      </c>
      <c r="AJ59">
        <v>0</v>
      </c>
      <c r="AK59">
        <v>0</v>
      </c>
      <c r="AL59">
        <v>0</v>
      </c>
      <c r="AM59">
        <v>0</v>
      </c>
      <c r="AN59">
        <v>0</v>
      </c>
      <c r="AO59">
        <v>0</v>
      </c>
      <c r="AP59">
        <v>0</v>
      </c>
      <c r="AQ59">
        <v>0</v>
      </c>
      <c r="AR59">
        <v>0</v>
      </c>
      <c r="AS59">
        <v>0</v>
      </c>
      <c r="AT59">
        <v>9</v>
      </c>
      <c r="AU59">
        <v>0</v>
      </c>
      <c r="AV59">
        <v>9</v>
      </c>
      <c r="AW59">
        <v>0</v>
      </c>
      <c r="AX59">
        <v>2</v>
      </c>
      <c r="AY59">
        <v>0</v>
      </c>
      <c r="AZ59">
        <v>2</v>
      </c>
      <c r="BA59">
        <v>0</v>
      </c>
      <c r="BB59">
        <v>1</v>
      </c>
      <c r="BC59">
        <v>0</v>
      </c>
      <c r="BD59">
        <v>1</v>
      </c>
      <c r="BE59">
        <v>0</v>
      </c>
    </row>
    <row r="60" spans="1:57">
      <c r="A60" t="s">
        <v>17224</v>
      </c>
      <c r="B60" t="s">
        <v>17225</v>
      </c>
      <c r="C60">
        <v>0</v>
      </c>
      <c r="D60">
        <v>2</v>
      </c>
      <c r="E60">
        <v>2</v>
      </c>
      <c r="F60">
        <v>2</v>
      </c>
      <c r="G60">
        <v>1</v>
      </c>
      <c r="H60">
        <v>0</v>
      </c>
      <c r="I60">
        <v>0</v>
      </c>
      <c r="J60">
        <v>2</v>
      </c>
      <c r="K60">
        <v>9</v>
      </c>
      <c r="L60">
        <v>1</v>
      </c>
      <c r="M60">
        <v>0</v>
      </c>
      <c r="N60">
        <v>0</v>
      </c>
      <c r="O60">
        <v>1</v>
      </c>
      <c r="P60">
        <v>0</v>
      </c>
      <c r="Q60">
        <v>0</v>
      </c>
      <c r="R60">
        <v>0</v>
      </c>
      <c r="S60">
        <v>0.5</v>
      </c>
      <c r="T60">
        <v>0</v>
      </c>
      <c r="U60">
        <v>0</v>
      </c>
      <c r="V60">
        <v>0.5</v>
      </c>
      <c r="W60">
        <v>5</v>
      </c>
      <c r="X60">
        <v>0</v>
      </c>
      <c r="Y60">
        <v>1</v>
      </c>
      <c r="Z60">
        <v>0</v>
      </c>
      <c r="AA60">
        <v>0</v>
      </c>
      <c r="AB60">
        <v>0</v>
      </c>
      <c r="AC60">
        <v>0</v>
      </c>
      <c r="AD60">
        <v>0</v>
      </c>
      <c r="AE60">
        <v>0</v>
      </c>
      <c r="AF60">
        <v>0</v>
      </c>
      <c r="AG60">
        <v>5</v>
      </c>
      <c r="AH60">
        <v>5</v>
      </c>
      <c r="AI60">
        <v>0</v>
      </c>
      <c r="AJ60">
        <v>0</v>
      </c>
      <c r="AK60">
        <v>0</v>
      </c>
      <c r="AL60">
        <v>0</v>
      </c>
      <c r="AM60">
        <v>0</v>
      </c>
      <c r="AN60">
        <v>0</v>
      </c>
      <c r="AO60">
        <v>0</v>
      </c>
      <c r="AP60">
        <v>0</v>
      </c>
      <c r="AQ60">
        <v>0</v>
      </c>
      <c r="AR60">
        <v>0</v>
      </c>
      <c r="AS60">
        <v>0</v>
      </c>
      <c r="AT60">
        <v>9</v>
      </c>
      <c r="AU60">
        <v>0</v>
      </c>
      <c r="AV60">
        <v>9</v>
      </c>
      <c r="AW60">
        <v>0</v>
      </c>
      <c r="AX60">
        <v>0.5</v>
      </c>
      <c r="AY60">
        <v>0</v>
      </c>
      <c r="AZ60">
        <v>0.5</v>
      </c>
      <c r="BA60">
        <v>0</v>
      </c>
      <c r="BB60">
        <v>0</v>
      </c>
      <c r="BC60">
        <v>0</v>
      </c>
      <c r="BD60">
        <v>0</v>
      </c>
      <c r="BE60">
        <v>0</v>
      </c>
    </row>
    <row r="61" spans="1:57">
      <c r="A61" t="s">
        <v>16945</v>
      </c>
      <c r="B61" t="s">
        <v>16946</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row>
    <row r="62" spans="1:57">
      <c r="A62" t="s">
        <v>16949</v>
      </c>
      <c r="B62" t="s">
        <v>16950</v>
      </c>
      <c r="C62">
        <v>4</v>
      </c>
      <c r="D62">
        <v>5</v>
      </c>
      <c r="E62">
        <v>5</v>
      </c>
      <c r="F62">
        <v>1</v>
      </c>
      <c r="G62">
        <v>5</v>
      </c>
      <c r="H62">
        <v>5</v>
      </c>
      <c r="I62">
        <v>0</v>
      </c>
      <c r="J62">
        <v>5</v>
      </c>
      <c r="K62">
        <v>105</v>
      </c>
      <c r="L62">
        <v>5</v>
      </c>
      <c r="M62">
        <v>0</v>
      </c>
      <c r="N62">
        <v>0</v>
      </c>
      <c r="O62">
        <v>0</v>
      </c>
      <c r="P62">
        <v>0</v>
      </c>
      <c r="Q62">
        <v>0</v>
      </c>
      <c r="R62">
        <v>0</v>
      </c>
      <c r="S62">
        <v>6.5</v>
      </c>
      <c r="T62">
        <v>1</v>
      </c>
      <c r="U62">
        <v>0.25</v>
      </c>
      <c r="V62">
        <v>7.75</v>
      </c>
      <c r="W62">
        <v>5</v>
      </c>
      <c r="X62">
        <v>0</v>
      </c>
      <c r="Y62">
        <v>1</v>
      </c>
      <c r="Z62">
        <v>0</v>
      </c>
      <c r="AA62">
        <v>-80</v>
      </c>
      <c r="AB62">
        <v>0</v>
      </c>
      <c r="AC62">
        <v>0</v>
      </c>
      <c r="AD62">
        <v>0</v>
      </c>
      <c r="AE62">
        <v>0</v>
      </c>
      <c r="AF62">
        <v>0</v>
      </c>
      <c r="AG62">
        <v>10</v>
      </c>
      <c r="AH62">
        <v>10</v>
      </c>
      <c r="AI62">
        <v>0</v>
      </c>
      <c r="AJ62">
        <v>0</v>
      </c>
      <c r="AK62">
        <v>10</v>
      </c>
      <c r="AL62">
        <v>10</v>
      </c>
      <c r="AM62">
        <v>0</v>
      </c>
      <c r="AN62">
        <v>0</v>
      </c>
      <c r="AO62">
        <v>0</v>
      </c>
      <c r="AP62">
        <v>0</v>
      </c>
      <c r="AQ62">
        <v>0</v>
      </c>
      <c r="AR62">
        <v>0</v>
      </c>
      <c r="AS62">
        <v>0</v>
      </c>
      <c r="AT62">
        <v>105</v>
      </c>
      <c r="AU62">
        <v>105</v>
      </c>
      <c r="AV62">
        <v>0</v>
      </c>
      <c r="AW62">
        <v>88</v>
      </c>
      <c r="AX62">
        <v>6.5</v>
      </c>
      <c r="AY62">
        <v>6.5</v>
      </c>
      <c r="AZ62">
        <v>0</v>
      </c>
      <c r="BA62">
        <v>6</v>
      </c>
      <c r="BB62">
        <v>1</v>
      </c>
      <c r="BC62">
        <v>1</v>
      </c>
      <c r="BD62">
        <v>0</v>
      </c>
      <c r="BE62">
        <v>1</v>
      </c>
    </row>
    <row r="63" spans="1:57">
      <c r="A63" t="s">
        <v>16951</v>
      </c>
      <c r="B63" t="s">
        <v>17398</v>
      </c>
      <c r="C63">
        <v>0</v>
      </c>
      <c r="D63">
        <v>3</v>
      </c>
      <c r="E63">
        <v>0</v>
      </c>
      <c r="F63">
        <v>0</v>
      </c>
      <c r="G63">
        <v>0</v>
      </c>
      <c r="H63">
        <v>0</v>
      </c>
      <c r="I63">
        <v>0</v>
      </c>
      <c r="J63">
        <v>3</v>
      </c>
      <c r="K63">
        <v>10</v>
      </c>
      <c r="L63">
        <v>1</v>
      </c>
      <c r="M63">
        <v>0</v>
      </c>
      <c r="N63">
        <v>1</v>
      </c>
      <c r="O63">
        <v>1</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10</v>
      </c>
      <c r="AU63">
        <v>0</v>
      </c>
      <c r="AV63">
        <v>10</v>
      </c>
      <c r="AW63">
        <v>0</v>
      </c>
      <c r="AX63">
        <v>0</v>
      </c>
      <c r="AY63">
        <v>0</v>
      </c>
      <c r="AZ63">
        <v>0</v>
      </c>
      <c r="BA63">
        <v>0</v>
      </c>
      <c r="BB63">
        <v>0</v>
      </c>
      <c r="BC63">
        <v>0</v>
      </c>
      <c r="BD63">
        <v>0</v>
      </c>
      <c r="BE63">
        <v>0</v>
      </c>
    </row>
    <row r="64" spans="1:57">
      <c r="A64" t="s">
        <v>16954</v>
      </c>
      <c r="B64" t="s">
        <v>16955</v>
      </c>
      <c r="C64">
        <v>3</v>
      </c>
      <c r="D64">
        <v>22</v>
      </c>
      <c r="E64">
        <v>20</v>
      </c>
      <c r="F64">
        <v>22</v>
      </c>
      <c r="G64">
        <v>1</v>
      </c>
      <c r="H64">
        <v>1</v>
      </c>
      <c r="I64">
        <v>0</v>
      </c>
      <c r="J64">
        <v>22</v>
      </c>
      <c r="K64">
        <v>66</v>
      </c>
      <c r="L64">
        <v>8</v>
      </c>
      <c r="M64">
        <v>5</v>
      </c>
      <c r="N64">
        <v>4</v>
      </c>
      <c r="O64">
        <v>5</v>
      </c>
      <c r="P64">
        <v>0</v>
      </c>
      <c r="Q64">
        <v>0</v>
      </c>
      <c r="R64">
        <v>0</v>
      </c>
      <c r="S64">
        <v>22.5</v>
      </c>
      <c r="T64">
        <v>30</v>
      </c>
      <c r="U64">
        <v>0</v>
      </c>
      <c r="V64">
        <v>52.5</v>
      </c>
      <c r="W64">
        <v>215</v>
      </c>
      <c r="X64">
        <v>0</v>
      </c>
      <c r="Y64">
        <v>12</v>
      </c>
      <c r="Z64">
        <v>0</v>
      </c>
      <c r="AA64">
        <v>-610</v>
      </c>
      <c r="AB64">
        <v>0</v>
      </c>
      <c r="AC64">
        <v>3</v>
      </c>
      <c r="AD64">
        <v>0</v>
      </c>
      <c r="AE64">
        <v>0</v>
      </c>
      <c r="AF64">
        <v>0</v>
      </c>
      <c r="AG64">
        <v>218</v>
      </c>
      <c r="AH64">
        <v>218</v>
      </c>
      <c r="AI64">
        <v>0</v>
      </c>
      <c r="AJ64">
        <v>0</v>
      </c>
      <c r="AK64">
        <v>0</v>
      </c>
      <c r="AL64">
        <v>0</v>
      </c>
      <c r="AM64">
        <v>0</v>
      </c>
      <c r="AN64">
        <v>0</v>
      </c>
      <c r="AO64">
        <v>0</v>
      </c>
      <c r="AP64">
        <v>0</v>
      </c>
      <c r="AQ64">
        <v>0</v>
      </c>
      <c r="AR64">
        <v>0</v>
      </c>
      <c r="AS64">
        <v>0</v>
      </c>
      <c r="AT64">
        <v>66</v>
      </c>
      <c r="AU64">
        <v>0</v>
      </c>
      <c r="AV64">
        <v>44</v>
      </c>
      <c r="AW64">
        <v>22</v>
      </c>
      <c r="AX64">
        <v>22.5</v>
      </c>
      <c r="AY64">
        <v>1</v>
      </c>
      <c r="AZ64">
        <v>18.5</v>
      </c>
      <c r="BA64">
        <v>1</v>
      </c>
      <c r="BB64">
        <v>30</v>
      </c>
      <c r="BC64">
        <v>30</v>
      </c>
      <c r="BD64">
        <v>0</v>
      </c>
      <c r="BE64">
        <v>30</v>
      </c>
    </row>
    <row r="65" spans="1:57">
      <c r="A65" t="s">
        <v>16956</v>
      </c>
      <c r="B65" t="s">
        <v>16957</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row>
    <row r="66" spans="1:57">
      <c r="A66" t="s">
        <v>22114</v>
      </c>
      <c r="B66" t="s">
        <v>22114</v>
      </c>
      <c r="C66">
        <v>4</v>
      </c>
      <c r="D66">
        <v>4</v>
      </c>
      <c r="E66">
        <v>0</v>
      </c>
      <c r="F66">
        <v>4</v>
      </c>
      <c r="G66">
        <v>0</v>
      </c>
      <c r="H66">
        <v>4</v>
      </c>
      <c r="I66">
        <v>0</v>
      </c>
      <c r="J66">
        <v>4</v>
      </c>
      <c r="K66">
        <v>68</v>
      </c>
      <c r="L66">
        <v>4</v>
      </c>
      <c r="M66">
        <v>0</v>
      </c>
      <c r="N66">
        <v>0</v>
      </c>
      <c r="O66">
        <v>0</v>
      </c>
      <c r="P66">
        <v>0</v>
      </c>
      <c r="Q66">
        <v>0</v>
      </c>
      <c r="R66">
        <v>0</v>
      </c>
      <c r="S66">
        <v>4.25</v>
      </c>
      <c r="T66">
        <v>4.25</v>
      </c>
      <c r="U66">
        <v>0</v>
      </c>
      <c r="V66">
        <v>8.5</v>
      </c>
      <c r="W66">
        <v>0</v>
      </c>
      <c r="X66">
        <v>0</v>
      </c>
      <c r="Y66">
        <v>0</v>
      </c>
      <c r="Z66">
        <v>0</v>
      </c>
      <c r="AA66">
        <v>-127.5</v>
      </c>
      <c r="AB66">
        <v>0</v>
      </c>
      <c r="AC66">
        <v>0</v>
      </c>
      <c r="AD66">
        <v>0</v>
      </c>
      <c r="AE66">
        <v>0</v>
      </c>
      <c r="AF66">
        <v>0</v>
      </c>
      <c r="AG66">
        <v>0</v>
      </c>
      <c r="AH66">
        <v>0</v>
      </c>
      <c r="AI66">
        <v>0</v>
      </c>
      <c r="AJ66">
        <v>0</v>
      </c>
      <c r="AK66">
        <v>0</v>
      </c>
      <c r="AL66">
        <v>0</v>
      </c>
      <c r="AM66">
        <v>0</v>
      </c>
      <c r="AN66">
        <v>0</v>
      </c>
      <c r="AO66">
        <v>0</v>
      </c>
      <c r="AP66">
        <v>0</v>
      </c>
      <c r="AQ66">
        <v>0</v>
      </c>
      <c r="AR66">
        <v>0</v>
      </c>
      <c r="AS66">
        <v>0</v>
      </c>
      <c r="AT66">
        <v>68</v>
      </c>
      <c r="AU66">
        <v>68</v>
      </c>
      <c r="AV66">
        <v>0</v>
      </c>
      <c r="AW66">
        <v>68</v>
      </c>
      <c r="AX66">
        <v>4.25</v>
      </c>
      <c r="AY66">
        <v>4.25</v>
      </c>
      <c r="AZ66">
        <v>0</v>
      </c>
      <c r="BA66">
        <v>4.25</v>
      </c>
      <c r="BB66">
        <v>4.25</v>
      </c>
      <c r="BC66">
        <v>4.25</v>
      </c>
      <c r="BD66">
        <v>0</v>
      </c>
      <c r="BE66">
        <v>4.25</v>
      </c>
    </row>
    <row r="67" spans="1:57">
      <c r="A67" t="s">
        <v>16958</v>
      </c>
      <c r="B67" t="s">
        <v>22115</v>
      </c>
      <c r="C67">
        <v>0</v>
      </c>
      <c r="D67">
        <v>19</v>
      </c>
      <c r="E67">
        <v>0</v>
      </c>
      <c r="F67">
        <v>0</v>
      </c>
      <c r="G67">
        <v>0</v>
      </c>
      <c r="H67">
        <v>19</v>
      </c>
      <c r="I67">
        <v>0</v>
      </c>
      <c r="J67">
        <v>19</v>
      </c>
      <c r="K67">
        <v>604</v>
      </c>
      <c r="L67">
        <v>19</v>
      </c>
      <c r="M67">
        <v>0</v>
      </c>
      <c r="N67">
        <v>0</v>
      </c>
      <c r="O67">
        <v>0</v>
      </c>
      <c r="P67">
        <v>0</v>
      </c>
      <c r="Q67">
        <v>0</v>
      </c>
      <c r="R67">
        <v>0</v>
      </c>
      <c r="S67">
        <v>28</v>
      </c>
      <c r="T67">
        <v>0</v>
      </c>
      <c r="U67">
        <v>0</v>
      </c>
      <c r="V67">
        <v>28</v>
      </c>
      <c r="W67">
        <v>280</v>
      </c>
      <c r="X67">
        <v>0</v>
      </c>
      <c r="Y67">
        <v>20</v>
      </c>
      <c r="Z67">
        <v>0</v>
      </c>
      <c r="AA67">
        <v>0</v>
      </c>
      <c r="AB67">
        <v>90</v>
      </c>
      <c r="AC67">
        <v>0</v>
      </c>
      <c r="AD67">
        <v>0</v>
      </c>
      <c r="AE67">
        <v>0</v>
      </c>
      <c r="AF67">
        <v>90</v>
      </c>
      <c r="AG67">
        <v>280</v>
      </c>
      <c r="AH67">
        <v>280</v>
      </c>
      <c r="AI67">
        <v>0</v>
      </c>
      <c r="AJ67">
        <v>90</v>
      </c>
      <c r="AK67">
        <v>270</v>
      </c>
      <c r="AL67">
        <v>270</v>
      </c>
      <c r="AM67">
        <v>0</v>
      </c>
      <c r="AN67">
        <v>0</v>
      </c>
      <c r="AO67">
        <v>0</v>
      </c>
      <c r="AP67">
        <v>0</v>
      </c>
      <c r="AQ67">
        <v>0</v>
      </c>
      <c r="AR67">
        <v>0</v>
      </c>
      <c r="AS67">
        <v>0</v>
      </c>
      <c r="AT67">
        <v>604</v>
      </c>
      <c r="AU67">
        <v>604</v>
      </c>
      <c r="AV67">
        <v>0</v>
      </c>
      <c r="AW67">
        <v>0</v>
      </c>
      <c r="AX67">
        <v>28</v>
      </c>
      <c r="AY67">
        <v>27</v>
      </c>
      <c r="AZ67">
        <v>1</v>
      </c>
      <c r="BA67">
        <v>0</v>
      </c>
      <c r="BB67">
        <v>0</v>
      </c>
      <c r="BC67">
        <v>0</v>
      </c>
      <c r="BD67">
        <v>0</v>
      </c>
      <c r="BE67">
        <v>0</v>
      </c>
    </row>
    <row r="68" spans="1:57">
      <c r="A68" t="s">
        <v>16958</v>
      </c>
      <c r="B68" t="s">
        <v>16959</v>
      </c>
      <c r="C68">
        <v>0</v>
      </c>
      <c r="D68">
        <v>3</v>
      </c>
      <c r="E68">
        <v>3</v>
      </c>
      <c r="F68">
        <v>3</v>
      </c>
      <c r="G68">
        <v>0</v>
      </c>
      <c r="H68">
        <v>0</v>
      </c>
      <c r="I68">
        <v>0</v>
      </c>
      <c r="J68">
        <v>3</v>
      </c>
      <c r="K68">
        <v>40</v>
      </c>
      <c r="L68">
        <v>3</v>
      </c>
      <c r="M68">
        <v>0</v>
      </c>
      <c r="N68">
        <v>0</v>
      </c>
      <c r="O68">
        <v>0</v>
      </c>
      <c r="P68">
        <v>0</v>
      </c>
      <c r="Q68">
        <v>0</v>
      </c>
      <c r="R68">
        <v>0</v>
      </c>
      <c r="S68">
        <v>16.25</v>
      </c>
      <c r="T68">
        <v>0</v>
      </c>
      <c r="U68">
        <v>0</v>
      </c>
      <c r="V68">
        <v>16.25</v>
      </c>
      <c r="W68">
        <v>162.5</v>
      </c>
      <c r="X68">
        <v>0</v>
      </c>
      <c r="Y68">
        <v>1</v>
      </c>
      <c r="Z68">
        <v>2</v>
      </c>
      <c r="AA68">
        <v>0</v>
      </c>
      <c r="AB68">
        <v>40</v>
      </c>
      <c r="AC68">
        <v>0</v>
      </c>
      <c r="AD68">
        <v>0</v>
      </c>
      <c r="AE68">
        <v>0</v>
      </c>
      <c r="AF68">
        <v>40</v>
      </c>
      <c r="AG68">
        <v>162.5</v>
      </c>
      <c r="AH68">
        <v>162.5</v>
      </c>
      <c r="AI68">
        <v>0</v>
      </c>
      <c r="AJ68">
        <v>0</v>
      </c>
      <c r="AK68">
        <v>0</v>
      </c>
      <c r="AL68">
        <v>0</v>
      </c>
      <c r="AM68">
        <v>0</v>
      </c>
      <c r="AN68">
        <v>0</v>
      </c>
      <c r="AO68">
        <v>0</v>
      </c>
      <c r="AP68">
        <v>0</v>
      </c>
      <c r="AQ68">
        <v>0</v>
      </c>
      <c r="AR68">
        <v>0</v>
      </c>
      <c r="AS68">
        <v>0</v>
      </c>
      <c r="AT68">
        <v>40</v>
      </c>
      <c r="AU68">
        <v>0</v>
      </c>
      <c r="AV68">
        <v>40</v>
      </c>
      <c r="AW68">
        <v>0</v>
      </c>
      <c r="AX68">
        <v>16.25</v>
      </c>
      <c r="AY68">
        <v>0</v>
      </c>
      <c r="AZ68">
        <v>16.25</v>
      </c>
      <c r="BA68">
        <v>0</v>
      </c>
      <c r="BB68">
        <v>0</v>
      </c>
      <c r="BC68">
        <v>0</v>
      </c>
      <c r="BD68">
        <v>0</v>
      </c>
      <c r="BE68">
        <v>0</v>
      </c>
    </row>
    <row r="69" spans="1:57">
      <c r="A69" t="s">
        <v>16960</v>
      </c>
      <c r="B69" t="s">
        <v>18795</v>
      </c>
      <c r="C69">
        <v>12</v>
      </c>
      <c r="D69">
        <v>70</v>
      </c>
      <c r="E69">
        <v>0</v>
      </c>
      <c r="F69">
        <v>61</v>
      </c>
      <c r="G69">
        <v>12</v>
      </c>
      <c r="H69">
        <v>3</v>
      </c>
      <c r="I69">
        <v>8</v>
      </c>
      <c r="J69">
        <v>70</v>
      </c>
      <c r="K69">
        <v>284</v>
      </c>
      <c r="L69">
        <v>48</v>
      </c>
      <c r="M69">
        <v>0</v>
      </c>
      <c r="N69">
        <v>1</v>
      </c>
      <c r="O69">
        <v>21</v>
      </c>
      <c r="P69">
        <v>0</v>
      </c>
      <c r="Q69">
        <v>0</v>
      </c>
      <c r="R69">
        <v>0</v>
      </c>
      <c r="S69">
        <v>39.75</v>
      </c>
      <c r="T69">
        <v>0</v>
      </c>
      <c r="U69">
        <v>4</v>
      </c>
      <c r="V69">
        <v>43.75</v>
      </c>
      <c r="W69">
        <v>347.5</v>
      </c>
      <c r="X69">
        <v>0</v>
      </c>
      <c r="Y69">
        <v>58</v>
      </c>
      <c r="Z69">
        <v>0</v>
      </c>
      <c r="AA69">
        <v>-50</v>
      </c>
      <c r="AB69">
        <v>0</v>
      </c>
      <c r="AC69">
        <v>0</v>
      </c>
      <c r="AD69">
        <v>0</v>
      </c>
      <c r="AE69">
        <v>0</v>
      </c>
      <c r="AF69">
        <v>0</v>
      </c>
      <c r="AG69">
        <v>427.5</v>
      </c>
      <c r="AH69">
        <v>427.5</v>
      </c>
      <c r="AI69">
        <v>0</v>
      </c>
      <c r="AJ69">
        <v>0</v>
      </c>
      <c r="AK69">
        <v>42.5</v>
      </c>
      <c r="AL69">
        <v>42.5</v>
      </c>
      <c r="AM69">
        <v>0</v>
      </c>
      <c r="AN69">
        <v>0</v>
      </c>
      <c r="AO69">
        <v>0</v>
      </c>
      <c r="AP69">
        <v>0</v>
      </c>
      <c r="AQ69">
        <v>0</v>
      </c>
      <c r="AR69">
        <v>0</v>
      </c>
      <c r="AS69">
        <v>0</v>
      </c>
      <c r="AT69">
        <v>284</v>
      </c>
      <c r="AU69">
        <v>50</v>
      </c>
      <c r="AV69">
        <v>194</v>
      </c>
      <c r="AW69">
        <v>40</v>
      </c>
      <c r="AX69">
        <v>39.75</v>
      </c>
      <c r="AY69">
        <v>4.25</v>
      </c>
      <c r="AZ69">
        <v>30.5</v>
      </c>
      <c r="BA69">
        <v>5</v>
      </c>
      <c r="BB69">
        <v>0</v>
      </c>
      <c r="BC69">
        <v>0</v>
      </c>
      <c r="BD69">
        <v>0</v>
      </c>
      <c r="BE69">
        <v>0</v>
      </c>
    </row>
    <row r="70" spans="1:57">
      <c r="A70" t="s">
        <v>16961</v>
      </c>
      <c r="B70" t="s">
        <v>16962</v>
      </c>
      <c r="C70">
        <v>0</v>
      </c>
      <c r="D70">
        <v>2</v>
      </c>
      <c r="E70">
        <v>0</v>
      </c>
      <c r="F70">
        <v>0</v>
      </c>
      <c r="G70">
        <v>0</v>
      </c>
      <c r="H70">
        <v>2</v>
      </c>
      <c r="I70">
        <v>0</v>
      </c>
      <c r="J70">
        <v>2</v>
      </c>
      <c r="K70">
        <v>41</v>
      </c>
      <c r="L70">
        <v>2</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41</v>
      </c>
      <c r="AU70">
        <v>41</v>
      </c>
      <c r="AV70">
        <v>0</v>
      </c>
      <c r="AW70">
        <v>0</v>
      </c>
      <c r="AX70">
        <v>0</v>
      </c>
      <c r="AY70">
        <v>0</v>
      </c>
      <c r="AZ70">
        <v>0</v>
      </c>
      <c r="BA70">
        <v>0</v>
      </c>
      <c r="BB70">
        <v>0</v>
      </c>
      <c r="BC70">
        <v>0</v>
      </c>
      <c r="BD70">
        <v>0</v>
      </c>
      <c r="BE70">
        <v>0</v>
      </c>
    </row>
    <row r="71" spans="1:57">
      <c r="A71" t="s">
        <v>17395</v>
      </c>
      <c r="B71" t="s">
        <v>17396</v>
      </c>
      <c r="C71">
        <v>0</v>
      </c>
      <c r="D71">
        <v>7</v>
      </c>
      <c r="E71">
        <v>7</v>
      </c>
      <c r="F71">
        <v>7</v>
      </c>
      <c r="G71">
        <v>0</v>
      </c>
      <c r="H71">
        <v>0</v>
      </c>
      <c r="I71">
        <v>0</v>
      </c>
      <c r="J71">
        <v>7</v>
      </c>
      <c r="K71">
        <v>7</v>
      </c>
      <c r="L71">
        <v>7</v>
      </c>
      <c r="M71">
        <v>0</v>
      </c>
      <c r="N71">
        <v>0</v>
      </c>
      <c r="O71">
        <v>0</v>
      </c>
      <c r="P71">
        <v>0</v>
      </c>
      <c r="Q71">
        <v>0</v>
      </c>
      <c r="R71">
        <v>0</v>
      </c>
      <c r="S71">
        <v>7</v>
      </c>
      <c r="T71">
        <v>0</v>
      </c>
      <c r="U71">
        <v>0</v>
      </c>
      <c r="V71">
        <v>6</v>
      </c>
      <c r="W71">
        <v>70</v>
      </c>
      <c r="X71">
        <v>0</v>
      </c>
      <c r="Y71">
        <v>7</v>
      </c>
      <c r="Z71">
        <v>0</v>
      </c>
      <c r="AA71">
        <v>0</v>
      </c>
      <c r="AB71">
        <v>0</v>
      </c>
      <c r="AC71">
        <v>0</v>
      </c>
      <c r="AD71">
        <v>0</v>
      </c>
      <c r="AE71">
        <v>0</v>
      </c>
      <c r="AF71">
        <v>0</v>
      </c>
      <c r="AG71">
        <v>70</v>
      </c>
      <c r="AH71">
        <v>70</v>
      </c>
      <c r="AI71">
        <v>0</v>
      </c>
      <c r="AJ71">
        <v>0</v>
      </c>
      <c r="AK71">
        <v>0</v>
      </c>
      <c r="AL71">
        <v>0</v>
      </c>
      <c r="AM71">
        <v>0</v>
      </c>
      <c r="AN71">
        <v>0</v>
      </c>
      <c r="AO71">
        <v>0</v>
      </c>
      <c r="AP71">
        <v>0</v>
      </c>
      <c r="AQ71">
        <v>0</v>
      </c>
      <c r="AR71">
        <v>0</v>
      </c>
      <c r="AS71">
        <v>0</v>
      </c>
      <c r="AT71">
        <v>7</v>
      </c>
      <c r="AU71">
        <v>0</v>
      </c>
      <c r="AV71">
        <v>7</v>
      </c>
      <c r="AW71">
        <v>0</v>
      </c>
      <c r="AX71">
        <v>7</v>
      </c>
      <c r="AY71">
        <v>0</v>
      </c>
      <c r="AZ71">
        <v>7</v>
      </c>
      <c r="BA71">
        <v>0</v>
      </c>
      <c r="BB71">
        <v>0</v>
      </c>
      <c r="BC71">
        <v>0</v>
      </c>
      <c r="BD71">
        <v>0</v>
      </c>
      <c r="BE71">
        <v>0</v>
      </c>
    </row>
    <row r="72" spans="1:57">
      <c r="A72" t="s">
        <v>16963</v>
      </c>
      <c r="B72" t="s">
        <v>22083</v>
      </c>
      <c r="C72">
        <v>3</v>
      </c>
      <c r="D72">
        <v>4</v>
      </c>
      <c r="E72">
        <v>4</v>
      </c>
      <c r="F72">
        <v>3</v>
      </c>
      <c r="G72">
        <v>0</v>
      </c>
      <c r="H72">
        <v>1</v>
      </c>
      <c r="I72">
        <v>1</v>
      </c>
      <c r="J72">
        <v>4</v>
      </c>
      <c r="K72">
        <v>44</v>
      </c>
      <c r="L72">
        <v>1</v>
      </c>
      <c r="M72">
        <v>0</v>
      </c>
      <c r="N72">
        <v>2</v>
      </c>
      <c r="O72">
        <v>1</v>
      </c>
      <c r="P72">
        <v>0</v>
      </c>
      <c r="Q72">
        <v>0</v>
      </c>
      <c r="R72">
        <v>0</v>
      </c>
      <c r="S72">
        <v>2.25</v>
      </c>
      <c r="T72">
        <v>2</v>
      </c>
      <c r="U72">
        <v>0</v>
      </c>
      <c r="V72">
        <v>4.25</v>
      </c>
      <c r="W72">
        <v>60</v>
      </c>
      <c r="X72">
        <v>0</v>
      </c>
      <c r="Y72">
        <v>1</v>
      </c>
      <c r="Z72">
        <v>0</v>
      </c>
      <c r="AA72">
        <v>-2.5</v>
      </c>
      <c r="AB72">
        <v>30</v>
      </c>
      <c r="AC72">
        <v>0</v>
      </c>
      <c r="AD72">
        <v>0</v>
      </c>
      <c r="AE72">
        <v>0</v>
      </c>
      <c r="AF72">
        <v>30</v>
      </c>
      <c r="AG72">
        <v>60</v>
      </c>
      <c r="AH72">
        <v>60</v>
      </c>
      <c r="AI72">
        <v>0</v>
      </c>
      <c r="AJ72">
        <v>30</v>
      </c>
      <c r="AK72">
        <v>60</v>
      </c>
      <c r="AL72">
        <v>60</v>
      </c>
      <c r="AM72">
        <v>0</v>
      </c>
      <c r="AN72">
        <v>0</v>
      </c>
      <c r="AO72">
        <v>0</v>
      </c>
      <c r="AP72">
        <v>0</v>
      </c>
      <c r="AQ72">
        <v>0</v>
      </c>
      <c r="AR72">
        <v>0</v>
      </c>
      <c r="AS72">
        <v>0</v>
      </c>
      <c r="AT72">
        <v>44</v>
      </c>
      <c r="AU72">
        <v>31</v>
      </c>
      <c r="AV72">
        <v>0</v>
      </c>
      <c r="AW72">
        <v>13</v>
      </c>
      <c r="AX72">
        <v>3</v>
      </c>
      <c r="AY72">
        <v>2</v>
      </c>
      <c r="AZ72">
        <v>0</v>
      </c>
      <c r="BA72">
        <v>1</v>
      </c>
      <c r="BB72">
        <v>2</v>
      </c>
      <c r="BC72">
        <v>2</v>
      </c>
      <c r="BD72">
        <v>0</v>
      </c>
      <c r="BE72">
        <v>0</v>
      </c>
    </row>
    <row r="73" spans="1:57">
      <c r="A73" t="s">
        <v>16963</v>
      </c>
      <c r="B73" t="s">
        <v>16964</v>
      </c>
      <c r="C73">
        <v>0</v>
      </c>
      <c r="D73">
        <v>2</v>
      </c>
      <c r="E73">
        <v>2</v>
      </c>
      <c r="F73">
        <v>0</v>
      </c>
      <c r="G73">
        <v>0</v>
      </c>
      <c r="H73">
        <v>0</v>
      </c>
      <c r="I73">
        <v>0</v>
      </c>
      <c r="J73">
        <v>2</v>
      </c>
      <c r="K73">
        <v>11</v>
      </c>
      <c r="L73">
        <v>2</v>
      </c>
      <c r="M73">
        <v>0</v>
      </c>
      <c r="N73">
        <v>0</v>
      </c>
      <c r="O73">
        <v>0</v>
      </c>
      <c r="P73">
        <v>0</v>
      </c>
      <c r="Q73">
        <v>0</v>
      </c>
      <c r="R73">
        <v>0</v>
      </c>
      <c r="S73">
        <v>0.5</v>
      </c>
      <c r="T73">
        <v>2</v>
      </c>
      <c r="U73">
        <v>0</v>
      </c>
      <c r="V73">
        <v>2.5</v>
      </c>
      <c r="W73">
        <v>45</v>
      </c>
      <c r="X73">
        <v>0</v>
      </c>
      <c r="Y73">
        <v>0</v>
      </c>
      <c r="Z73">
        <v>2</v>
      </c>
      <c r="AA73">
        <v>0</v>
      </c>
      <c r="AB73">
        <v>0</v>
      </c>
      <c r="AC73">
        <v>0</v>
      </c>
      <c r="AD73">
        <v>0</v>
      </c>
      <c r="AE73">
        <v>0</v>
      </c>
      <c r="AF73">
        <v>0</v>
      </c>
      <c r="AG73">
        <v>45</v>
      </c>
      <c r="AH73">
        <v>45</v>
      </c>
      <c r="AI73">
        <v>0</v>
      </c>
      <c r="AJ73">
        <v>0</v>
      </c>
      <c r="AK73">
        <v>0</v>
      </c>
      <c r="AL73">
        <v>0</v>
      </c>
      <c r="AM73">
        <v>0</v>
      </c>
      <c r="AN73">
        <v>0</v>
      </c>
      <c r="AO73">
        <v>0</v>
      </c>
      <c r="AP73">
        <v>0</v>
      </c>
      <c r="AQ73">
        <v>0</v>
      </c>
      <c r="AR73">
        <v>0</v>
      </c>
      <c r="AS73">
        <v>0</v>
      </c>
      <c r="AT73">
        <v>11</v>
      </c>
      <c r="AU73">
        <v>0</v>
      </c>
      <c r="AV73">
        <v>11</v>
      </c>
      <c r="AW73">
        <v>0</v>
      </c>
      <c r="AX73">
        <v>0.5</v>
      </c>
      <c r="AY73">
        <v>0</v>
      </c>
      <c r="AZ73">
        <v>0.5</v>
      </c>
      <c r="BA73">
        <v>0</v>
      </c>
      <c r="BB73">
        <v>2</v>
      </c>
      <c r="BC73">
        <v>0</v>
      </c>
      <c r="BD73">
        <v>2</v>
      </c>
      <c r="BE73">
        <v>0</v>
      </c>
    </row>
    <row r="74" spans="1:57">
      <c r="A74" t="s">
        <v>16965</v>
      </c>
      <c r="B74" t="s">
        <v>16966</v>
      </c>
      <c r="C74">
        <v>0</v>
      </c>
      <c r="D74">
        <v>1</v>
      </c>
      <c r="E74">
        <v>1</v>
      </c>
      <c r="F74">
        <v>1</v>
      </c>
      <c r="G74">
        <v>0</v>
      </c>
      <c r="H74">
        <v>0</v>
      </c>
      <c r="I74">
        <v>0</v>
      </c>
      <c r="J74">
        <v>1</v>
      </c>
      <c r="K74">
        <v>5</v>
      </c>
      <c r="L74">
        <v>1</v>
      </c>
      <c r="M74">
        <v>0</v>
      </c>
      <c r="N74">
        <v>0</v>
      </c>
      <c r="O74">
        <v>0</v>
      </c>
      <c r="P74">
        <v>0</v>
      </c>
      <c r="Q74">
        <v>0</v>
      </c>
      <c r="R74">
        <v>0</v>
      </c>
      <c r="S74">
        <v>0.5</v>
      </c>
      <c r="T74">
        <v>0.5</v>
      </c>
      <c r="U74">
        <v>0</v>
      </c>
      <c r="V74">
        <v>1</v>
      </c>
      <c r="W74">
        <v>15</v>
      </c>
      <c r="X74">
        <v>0</v>
      </c>
      <c r="Y74">
        <v>1</v>
      </c>
      <c r="Z74">
        <v>0</v>
      </c>
      <c r="AA74">
        <v>0</v>
      </c>
      <c r="AB74">
        <v>0</v>
      </c>
      <c r="AC74">
        <v>0</v>
      </c>
      <c r="AD74">
        <v>0</v>
      </c>
      <c r="AE74">
        <v>0</v>
      </c>
      <c r="AF74">
        <v>0</v>
      </c>
      <c r="AG74">
        <v>15</v>
      </c>
      <c r="AH74">
        <v>15</v>
      </c>
      <c r="AI74">
        <v>0</v>
      </c>
      <c r="AJ74">
        <v>0</v>
      </c>
      <c r="AK74">
        <v>0</v>
      </c>
      <c r="AL74">
        <v>0</v>
      </c>
      <c r="AM74">
        <v>0</v>
      </c>
      <c r="AN74">
        <v>0</v>
      </c>
      <c r="AO74">
        <v>0</v>
      </c>
      <c r="AP74">
        <v>0</v>
      </c>
      <c r="AQ74">
        <v>0</v>
      </c>
      <c r="AR74">
        <v>0</v>
      </c>
      <c r="AS74">
        <v>0</v>
      </c>
      <c r="AT74">
        <v>5</v>
      </c>
      <c r="AU74">
        <v>0</v>
      </c>
      <c r="AV74">
        <v>5</v>
      </c>
      <c r="AW74">
        <v>0</v>
      </c>
      <c r="AX74">
        <v>0.5</v>
      </c>
      <c r="AY74">
        <v>0</v>
      </c>
      <c r="AZ74">
        <v>0.5</v>
      </c>
      <c r="BA74">
        <v>0</v>
      </c>
      <c r="BB74">
        <v>0.5</v>
      </c>
      <c r="BC74">
        <v>0</v>
      </c>
      <c r="BD74">
        <v>0.5</v>
      </c>
      <c r="BE74">
        <v>0</v>
      </c>
    </row>
    <row r="75" spans="1:57">
      <c r="A75" t="s">
        <v>17226</v>
      </c>
      <c r="B75" t="s">
        <v>17227</v>
      </c>
      <c r="C75">
        <v>0</v>
      </c>
      <c r="D75">
        <v>5</v>
      </c>
      <c r="E75">
        <v>5</v>
      </c>
      <c r="F75">
        <v>5</v>
      </c>
      <c r="G75">
        <v>0</v>
      </c>
      <c r="H75">
        <v>3</v>
      </c>
      <c r="I75">
        <v>0</v>
      </c>
      <c r="J75">
        <v>5</v>
      </c>
      <c r="K75">
        <v>90</v>
      </c>
      <c r="L75">
        <v>2</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90</v>
      </c>
      <c r="AU75">
        <v>66</v>
      </c>
      <c r="AV75">
        <v>24</v>
      </c>
      <c r="AW75">
        <v>0</v>
      </c>
      <c r="AX75">
        <v>0</v>
      </c>
      <c r="AY75">
        <v>0</v>
      </c>
      <c r="AZ75">
        <v>0</v>
      </c>
      <c r="BA75">
        <v>0</v>
      </c>
      <c r="BB75">
        <v>0</v>
      </c>
      <c r="BC75">
        <v>0</v>
      </c>
      <c r="BD75">
        <v>0</v>
      </c>
      <c r="BE75">
        <v>0</v>
      </c>
    </row>
    <row r="76" spans="1:57">
      <c r="A76" t="s">
        <v>17373</v>
      </c>
      <c r="B76" t="s">
        <v>17374</v>
      </c>
      <c r="C76">
        <v>0</v>
      </c>
      <c r="D76">
        <v>3</v>
      </c>
      <c r="E76">
        <v>3</v>
      </c>
      <c r="F76">
        <v>3</v>
      </c>
      <c r="G76">
        <v>3</v>
      </c>
      <c r="H76">
        <v>1</v>
      </c>
      <c r="I76">
        <v>1</v>
      </c>
      <c r="J76">
        <v>3</v>
      </c>
      <c r="K76">
        <v>66</v>
      </c>
      <c r="L76">
        <v>0</v>
      </c>
      <c r="M76">
        <v>0</v>
      </c>
      <c r="N76">
        <v>3</v>
      </c>
      <c r="O76">
        <v>0</v>
      </c>
      <c r="P76">
        <v>0</v>
      </c>
      <c r="Q76">
        <v>0</v>
      </c>
      <c r="R76">
        <v>0</v>
      </c>
      <c r="S76">
        <v>7</v>
      </c>
      <c r="T76">
        <v>5</v>
      </c>
      <c r="U76">
        <v>0</v>
      </c>
      <c r="V76">
        <v>12</v>
      </c>
      <c r="W76">
        <v>170</v>
      </c>
      <c r="X76">
        <v>0</v>
      </c>
      <c r="Y76">
        <v>3</v>
      </c>
      <c r="Z76">
        <v>0</v>
      </c>
      <c r="AA76">
        <v>0</v>
      </c>
      <c r="AB76">
        <v>80</v>
      </c>
      <c r="AC76">
        <v>163.30000000000001</v>
      </c>
      <c r="AD76">
        <v>83.300000000000011</v>
      </c>
      <c r="AE76">
        <v>163.30000000000001</v>
      </c>
      <c r="AF76">
        <v>163.30000000000001</v>
      </c>
      <c r="AG76">
        <v>333.29999999999995</v>
      </c>
      <c r="AH76">
        <v>170</v>
      </c>
      <c r="AI76">
        <v>60</v>
      </c>
      <c r="AJ76">
        <v>60</v>
      </c>
      <c r="AK76">
        <v>110</v>
      </c>
      <c r="AL76">
        <v>50</v>
      </c>
      <c r="AM76">
        <v>0</v>
      </c>
      <c r="AN76">
        <v>1</v>
      </c>
      <c r="AO76">
        <v>2</v>
      </c>
      <c r="AP76">
        <v>0</v>
      </c>
      <c r="AQ76">
        <v>0</v>
      </c>
      <c r="AR76">
        <v>0</v>
      </c>
      <c r="AS76">
        <v>0</v>
      </c>
      <c r="AT76">
        <v>66</v>
      </c>
      <c r="AU76">
        <v>23</v>
      </c>
      <c r="AV76">
        <v>43</v>
      </c>
      <c r="AW76">
        <v>0</v>
      </c>
      <c r="AX76">
        <v>7</v>
      </c>
      <c r="AY76">
        <v>1</v>
      </c>
      <c r="AZ76">
        <v>6</v>
      </c>
      <c r="BA76">
        <v>0</v>
      </c>
      <c r="BB76">
        <v>5</v>
      </c>
      <c r="BC76">
        <v>2</v>
      </c>
      <c r="BD76">
        <v>3</v>
      </c>
      <c r="BE76">
        <v>0</v>
      </c>
    </row>
    <row r="77" spans="1:57">
      <c r="A77" t="s">
        <v>17373</v>
      </c>
      <c r="B77" t="s">
        <v>17374</v>
      </c>
      <c r="C77">
        <v>0</v>
      </c>
      <c r="D77">
        <v>1</v>
      </c>
      <c r="E77">
        <v>1</v>
      </c>
      <c r="F77">
        <v>0</v>
      </c>
      <c r="G77">
        <v>0</v>
      </c>
      <c r="H77">
        <v>0</v>
      </c>
      <c r="I77">
        <v>1</v>
      </c>
      <c r="J77">
        <v>1</v>
      </c>
      <c r="K77">
        <v>17</v>
      </c>
      <c r="L77">
        <v>0</v>
      </c>
      <c r="M77">
        <v>0</v>
      </c>
      <c r="N77">
        <v>1</v>
      </c>
      <c r="O77">
        <v>0</v>
      </c>
      <c r="P77">
        <v>0</v>
      </c>
      <c r="Q77">
        <v>0</v>
      </c>
      <c r="R77">
        <v>0</v>
      </c>
      <c r="S77">
        <v>3</v>
      </c>
      <c r="T77">
        <v>4</v>
      </c>
      <c r="U77">
        <v>0</v>
      </c>
      <c r="V77">
        <v>7</v>
      </c>
      <c r="W77">
        <v>110</v>
      </c>
      <c r="X77">
        <v>0</v>
      </c>
      <c r="Y77">
        <v>0</v>
      </c>
      <c r="Z77">
        <v>1</v>
      </c>
      <c r="AA77">
        <v>0</v>
      </c>
      <c r="AB77">
        <v>50</v>
      </c>
      <c r="AC77">
        <v>252.5</v>
      </c>
      <c r="AD77">
        <v>152.5</v>
      </c>
      <c r="AE77">
        <v>202.5</v>
      </c>
      <c r="AF77">
        <v>202.5</v>
      </c>
      <c r="AG77">
        <v>362.5</v>
      </c>
      <c r="AH77">
        <v>160</v>
      </c>
      <c r="AI77">
        <v>0</v>
      </c>
      <c r="AJ77">
        <v>0</v>
      </c>
      <c r="AK77">
        <v>0</v>
      </c>
      <c r="AL77">
        <v>0</v>
      </c>
      <c r="AM77">
        <v>0</v>
      </c>
      <c r="AN77">
        <v>0</v>
      </c>
      <c r="AO77">
        <v>0</v>
      </c>
      <c r="AP77">
        <v>1</v>
      </c>
      <c r="AQ77">
        <v>0</v>
      </c>
      <c r="AR77">
        <v>0</v>
      </c>
      <c r="AS77">
        <v>0</v>
      </c>
      <c r="AT77">
        <v>17</v>
      </c>
      <c r="AU77">
        <v>0</v>
      </c>
      <c r="AV77">
        <v>17</v>
      </c>
      <c r="AW77">
        <v>0</v>
      </c>
      <c r="AX77">
        <v>3</v>
      </c>
      <c r="AY77">
        <v>0</v>
      </c>
      <c r="AZ77">
        <v>3</v>
      </c>
      <c r="BA77">
        <v>0</v>
      </c>
      <c r="BB77">
        <v>4</v>
      </c>
      <c r="BC77">
        <v>0</v>
      </c>
      <c r="BD77">
        <v>4</v>
      </c>
      <c r="BE77">
        <v>0</v>
      </c>
    </row>
    <row r="78" spans="1:57">
      <c r="A78" t="s">
        <v>17376</v>
      </c>
      <c r="B78" t="s">
        <v>17377</v>
      </c>
      <c r="C78">
        <v>2</v>
      </c>
      <c r="D78">
        <v>18</v>
      </c>
      <c r="E78">
        <v>18</v>
      </c>
      <c r="F78">
        <v>18</v>
      </c>
      <c r="G78">
        <v>0</v>
      </c>
      <c r="H78">
        <v>0</v>
      </c>
      <c r="I78">
        <v>0</v>
      </c>
      <c r="J78">
        <v>23</v>
      </c>
      <c r="K78">
        <v>147</v>
      </c>
      <c r="L78">
        <v>17</v>
      </c>
      <c r="M78">
        <v>1</v>
      </c>
      <c r="N78">
        <v>0</v>
      </c>
      <c r="O78">
        <v>0</v>
      </c>
      <c r="P78">
        <v>0</v>
      </c>
      <c r="Q78">
        <v>1</v>
      </c>
      <c r="R78">
        <v>0</v>
      </c>
      <c r="S78">
        <v>11.5</v>
      </c>
      <c r="T78">
        <v>29.5</v>
      </c>
      <c r="U78">
        <v>0</v>
      </c>
      <c r="V78">
        <v>41</v>
      </c>
      <c r="W78">
        <v>590</v>
      </c>
      <c r="X78">
        <v>0</v>
      </c>
      <c r="Y78">
        <v>13</v>
      </c>
      <c r="Z78">
        <v>1</v>
      </c>
      <c r="AA78">
        <v>-25</v>
      </c>
      <c r="AB78">
        <v>270</v>
      </c>
      <c r="AC78">
        <v>0</v>
      </c>
      <c r="AD78">
        <v>702.25</v>
      </c>
      <c r="AE78">
        <v>637.25</v>
      </c>
      <c r="AF78">
        <v>897.25</v>
      </c>
      <c r="AG78">
        <v>577.5</v>
      </c>
      <c r="AH78">
        <v>132.75</v>
      </c>
      <c r="AI78">
        <v>0</v>
      </c>
      <c r="AJ78">
        <v>0</v>
      </c>
      <c r="AK78">
        <v>0</v>
      </c>
      <c r="AL78">
        <v>0</v>
      </c>
      <c r="AM78">
        <v>1</v>
      </c>
      <c r="AN78">
        <v>9</v>
      </c>
      <c r="AO78">
        <v>1</v>
      </c>
      <c r="AP78">
        <v>0</v>
      </c>
      <c r="AQ78">
        <v>0</v>
      </c>
      <c r="AR78">
        <v>0</v>
      </c>
      <c r="AS78">
        <v>0</v>
      </c>
      <c r="AT78">
        <v>147</v>
      </c>
      <c r="AU78">
        <v>0</v>
      </c>
      <c r="AV78">
        <v>112</v>
      </c>
      <c r="AW78">
        <v>3</v>
      </c>
      <c r="AX78">
        <v>8</v>
      </c>
      <c r="AY78">
        <v>0</v>
      </c>
      <c r="AZ78">
        <v>7.5</v>
      </c>
      <c r="BA78">
        <v>0.5</v>
      </c>
      <c r="BB78">
        <v>25</v>
      </c>
      <c r="BC78">
        <v>0</v>
      </c>
      <c r="BD78">
        <v>10</v>
      </c>
      <c r="BE78">
        <v>1</v>
      </c>
    </row>
    <row r="79" spans="1:57">
      <c r="A79" t="s">
        <v>16967</v>
      </c>
      <c r="B79" t="s">
        <v>16968</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row>
    <row r="80" spans="1:57">
      <c r="A80" t="s">
        <v>16971</v>
      </c>
      <c r="B80" t="s">
        <v>17397</v>
      </c>
      <c r="C80">
        <v>102</v>
      </c>
      <c r="D80">
        <v>121</v>
      </c>
      <c r="E80">
        <v>19</v>
      </c>
      <c r="F80">
        <v>118</v>
      </c>
      <c r="G80">
        <v>1</v>
      </c>
      <c r="H80">
        <v>2</v>
      </c>
      <c r="I80">
        <v>1</v>
      </c>
      <c r="J80">
        <v>121</v>
      </c>
      <c r="K80">
        <v>603</v>
      </c>
      <c r="L80">
        <v>11</v>
      </c>
      <c r="M80">
        <v>8</v>
      </c>
      <c r="N80">
        <v>0</v>
      </c>
      <c r="O80">
        <v>0</v>
      </c>
      <c r="P80">
        <v>0</v>
      </c>
      <c r="Q80">
        <v>0</v>
      </c>
      <c r="R80">
        <v>0</v>
      </c>
      <c r="S80">
        <v>46.75</v>
      </c>
      <c r="T80">
        <v>2.25</v>
      </c>
      <c r="U80">
        <v>0</v>
      </c>
      <c r="V80">
        <v>49</v>
      </c>
      <c r="W80">
        <v>512.5</v>
      </c>
      <c r="X80">
        <v>0</v>
      </c>
      <c r="Y80">
        <v>18</v>
      </c>
      <c r="Z80">
        <v>1</v>
      </c>
      <c r="AA80">
        <v>0</v>
      </c>
      <c r="AB80">
        <v>170</v>
      </c>
      <c r="AC80">
        <v>0</v>
      </c>
      <c r="AD80">
        <v>0</v>
      </c>
      <c r="AE80">
        <v>0</v>
      </c>
      <c r="AF80">
        <v>170</v>
      </c>
      <c r="AG80">
        <v>512.5</v>
      </c>
      <c r="AH80">
        <v>512.5</v>
      </c>
      <c r="AI80">
        <v>0</v>
      </c>
      <c r="AJ80">
        <v>160</v>
      </c>
      <c r="AK80">
        <v>220</v>
      </c>
      <c r="AL80">
        <v>220</v>
      </c>
      <c r="AM80">
        <v>0</v>
      </c>
      <c r="AN80">
        <v>0</v>
      </c>
      <c r="AO80">
        <v>0</v>
      </c>
      <c r="AP80">
        <v>0</v>
      </c>
      <c r="AQ80">
        <v>0</v>
      </c>
      <c r="AR80">
        <v>0</v>
      </c>
      <c r="AS80">
        <v>0</v>
      </c>
      <c r="AT80">
        <v>603</v>
      </c>
      <c r="AU80">
        <v>50</v>
      </c>
      <c r="AV80">
        <v>118</v>
      </c>
      <c r="AW80">
        <v>435</v>
      </c>
      <c r="AX80">
        <v>46.75</v>
      </c>
      <c r="AY80">
        <v>22</v>
      </c>
      <c r="AZ80">
        <v>24.75</v>
      </c>
      <c r="BA80">
        <v>0</v>
      </c>
      <c r="BB80">
        <v>2.25</v>
      </c>
      <c r="BC80">
        <v>0</v>
      </c>
      <c r="BD80">
        <v>2.25</v>
      </c>
      <c r="BE80">
        <v>0</v>
      </c>
    </row>
    <row r="81" spans="1:57">
      <c r="A81" t="s">
        <v>16972</v>
      </c>
      <c r="B81" t="s">
        <v>16973</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row>
    <row r="82" spans="1:57">
      <c r="A82" t="s">
        <v>16976</v>
      </c>
      <c r="B82" t="s">
        <v>19335</v>
      </c>
      <c r="C82">
        <v>0</v>
      </c>
      <c r="D82">
        <v>10</v>
      </c>
      <c r="E82">
        <v>0</v>
      </c>
      <c r="F82">
        <v>6</v>
      </c>
      <c r="G82">
        <v>1</v>
      </c>
      <c r="H82">
        <v>0</v>
      </c>
      <c r="I82">
        <v>1</v>
      </c>
      <c r="J82">
        <v>9</v>
      </c>
      <c r="K82">
        <v>239</v>
      </c>
      <c r="L82">
        <v>6</v>
      </c>
      <c r="M82">
        <v>1</v>
      </c>
      <c r="N82">
        <v>0</v>
      </c>
      <c r="O82">
        <v>0</v>
      </c>
      <c r="P82">
        <v>0</v>
      </c>
      <c r="Q82">
        <v>1</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239</v>
      </c>
      <c r="AU82">
        <v>0</v>
      </c>
      <c r="AV82">
        <v>234</v>
      </c>
      <c r="AW82">
        <v>0</v>
      </c>
      <c r="AX82">
        <v>0</v>
      </c>
      <c r="AY82">
        <v>0</v>
      </c>
      <c r="AZ82">
        <v>0</v>
      </c>
      <c r="BA82">
        <v>0</v>
      </c>
      <c r="BB82">
        <v>0</v>
      </c>
      <c r="BC82">
        <v>0</v>
      </c>
      <c r="BD82">
        <v>0</v>
      </c>
      <c r="BE82">
        <v>0</v>
      </c>
    </row>
    <row r="83" spans="1:57">
      <c r="A83" t="s">
        <v>22116</v>
      </c>
      <c r="B83" t="s">
        <v>22116</v>
      </c>
      <c r="C83">
        <v>0</v>
      </c>
      <c r="D83">
        <v>2</v>
      </c>
      <c r="E83">
        <v>2</v>
      </c>
      <c r="F83">
        <v>2</v>
      </c>
      <c r="G83">
        <v>2</v>
      </c>
      <c r="H83">
        <v>0</v>
      </c>
      <c r="I83">
        <v>0</v>
      </c>
      <c r="J83">
        <v>2</v>
      </c>
      <c r="K83">
        <v>45</v>
      </c>
      <c r="L83">
        <v>1</v>
      </c>
      <c r="M83">
        <v>0</v>
      </c>
      <c r="N83">
        <v>1</v>
      </c>
      <c r="O83">
        <v>0</v>
      </c>
      <c r="P83">
        <v>0</v>
      </c>
      <c r="Q83">
        <v>0</v>
      </c>
      <c r="R83">
        <v>0</v>
      </c>
      <c r="S83">
        <v>2</v>
      </c>
      <c r="T83">
        <v>8</v>
      </c>
      <c r="U83">
        <v>0</v>
      </c>
      <c r="V83">
        <v>10</v>
      </c>
      <c r="W83">
        <v>180</v>
      </c>
      <c r="X83">
        <v>0</v>
      </c>
      <c r="Y83">
        <v>2</v>
      </c>
      <c r="Z83">
        <v>0</v>
      </c>
      <c r="AA83">
        <v>0</v>
      </c>
      <c r="AB83">
        <v>135</v>
      </c>
      <c r="AC83">
        <v>0</v>
      </c>
      <c r="AD83">
        <v>0</v>
      </c>
      <c r="AE83">
        <v>0</v>
      </c>
      <c r="AF83">
        <v>135</v>
      </c>
      <c r="AG83">
        <v>180</v>
      </c>
      <c r="AH83">
        <v>180</v>
      </c>
      <c r="AI83">
        <v>0</v>
      </c>
      <c r="AJ83">
        <v>0</v>
      </c>
      <c r="AK83">
        <v>0</v>
      </c>
      <c r="AL83">
        <v>0</v>
      </c>
      <c r="AM83">
        <v>0</v>
      </c>
      <c r="AN83">
        <v>0</v>
      </c>
      <c r="AO83">
        <v>0</v>
      </c>
      <c r="AP83">
        <v>0</v>
      </c>
      <c r="AQ83">
        <v>0</v>
      </c>
      <c r="AR83">
        <v>0</v>
      </c>
      <c r="AS83">
        <v>0</v>
      </c>
      <c r="AT83">
        <v>45</v>
      </c>
      <c r="AU83">
        <v>0</v>
      </c>
      <c r="AV83">
        <v>45</v>
      </c>
      <c r="AW83">
        <v>0</v>
      </c>
      <c r="AX83">
        <v>2</v>
      </c>
      <c r="AY83">
        <v>0</v>
      </c>
      <c r="AZ83">
        <v>2</v>
      </c>
      <c r="BA83">
        <v>0</v>
      </c>
      <c r="BB83">
        <v>8</v>
      </c>
      <c r="BC83">
        <v>0</v>
      </c>
      <c r="BD83">
        <v>8</v>
      </c>
      <c r="BE83">
        <v>0</v>
      </c>
    </row>
    <row r="84" spans="1:57">
      <c r="A84" t="s">
        <v>18802</v>
      </c>
      <c r="B84" t="s">
        <v>18802</v>
      </c>
      <c r="C84">
        <v>0</v>
      </c>
      <c r="D84">
        <v>4</v>
      </c>
      <c r="E84">
        <v>4</v>
      </c>
      <c r="F84">
        <v>4</v>
      </c>
      <c r="G84">
        <v>0</v>
      </c>
      <c r="H84">
        <v>0</v>
      </c>
      <c r="I84">
        <v>0</v>
      </c>
      <c r="J84">
        <v>4</v>
      </c>
      <c r="K84">
        <v>63</v>
      </c>
      <c r="L84">
        <v>0</v>
      </c>
      <c r="M84">
        <v>2</v>
      </c>
      <c r="N84">
        <v>1</v>
      </c>
      <c r="O84">
        <v>0</v>
      </c>
      <c r="P84">
        <v>0</v>
      </c>
      <c r="Q84">
        <v>1</v>
      </c>
      <c r="R84">
        <v>0</v>
      </c>
      <c r="S84">
        <v>12.5</v>
      </c>
      <c r="T84">
        <v>10</v>
      </c>
      <c r="U84">
        <v>2</v>
      </c>
      <c r="V84">
        <v>24.5</v>
      </c>
      <c r="W84">
        <v>325</v>
      </c>
      <c r="X84">
        <v>0</v>
      </c>
      <c r="Y84">
        <v>3</v>
      </c>
      <c r="Z84">
        <v>1</v>
      </c>
      <c r="AA84">
        <v>0</v>
      </c>
      <c r="AB84">
        <v>250</v>
      </c>
      <c r="AC84">
        <v>0</v>
      </c>
      <c r="AD84">
        <v>0</v>
      </c>
      <c r="AE84">
        <v>0</v>
      </c>
      <c r="AF84">
        <v>250</v>
      </c>
      <c r="AG84">
        <v>365</v>
      </c>
      <c r="AH84">
        <v>365</v>
      </c>
      <c r="AI84">
        <v>0</v>
      </c>
      <c r="AJ84">
        <v>0</v>
      </c>
      <c r="AK84">
        <v>0</v>
      </c>
      <c r="AL84">
        <v>0</v>
      </c>
      <c r="AM84">
        <v>0</v>
      </c>
      <c r="AN84">
        <v>0</v>
      </c>
      <c r="AO84">
        <v>0</v>
      </c>
      <c r="AP84">
        <v>0</v>
      </c>
      <c r="AQ84">
        <v>0</v>
      </c>
      <c r="AR84">
        <v>0</v>
      </c>
      <c r="AS84">
        <v>0</v>
      </c>
      <c r="AT84">
        <v>63</v>
      </c>
      <c r="AU84">
        <v>0</v>
      </c>
      <c r="AV84">
        <v>63</v>
      </c>
      <c r="AW84">
        <v>0</v>
      </c>
      <c r="AX84">
        <v>12.5</v>
      </c>
      <c r="AY84">
        <v>0</v>
      </c>
      <c r="AZ84">
        <v>12.5</v>
      </c>
      <c r="BA84">
        <v>0</v>
      </c>
      <c r="BB84">
        <v>10</v>
      </c>
      <c r="BC84">
        <v>0</v>
      </c>
      <c r="BD84">
        <v>10</v>
      </c>
      <c r="BE84">
        <v>0</v>
      </c>
    </row>
    <row r="85" spans="1:57">
      <c r="A85" t="s">
        <v>16935</v>
      </c>
      <c r="B85" t="s">
        <v>17389</v>
      </c>
      <c r="C85">
        <v>2</v>
      </c>
      <c r="D85">
        <v>30</v>
      </c>
      <c r="E85">
        <v>27</v>
      </c>
      <c r="F85">
        <v>21</v>
      </c>
      <c r="G85">
        <v>1</v>
      </c>
      <c r="H85">
        <v>1</v>
      </c>
      <c r="I85">
        <v>0</v>
      </c>
      <c r="J85">
        <v>29</v>
      </c>
      <c r="K85">
        <v>324</v>
      </c>
      <c r="L85">
        <v>5</v>
      </c>
      <c r="M85">
        <v>9</v>
      </c>
      <c r="N85">
        <v>4</v>
      </c>
      <c r="O85">
        <v>12</v>
      </c>
      <c r="P85">
        <v>0</v>
      </c>
      <c r="Q85">
        <v>1</v>
      </c>
      <c r="R85">
        <v>0</v>
      </c>
      <c r="S85">
        <v>2.75</v>
      </c>
      <c r="T85">
        <v>1.5</v>
      </c>
      <c r="U85">
        <v>4.75</v>
      </c>
      <c r="V85">
        <v>9</v>
      </c>
      <c r="W85">
        <v>50</v>
      </c>
      <c r="X85">
        <v>0</v>
      </c>
      <c r="Y85">
        <v>0</v>
      </c>
      <c r="Z85">
        <v>0</v>
      </c>
      <c r="AA85">
        <v>0</v>
      </c>
      <c r="AB85">
        <v>0</v>
      </c>
      <c r="AC85">
        <v>10</v>
      </c>
      <c r="AD85">
        <v>10</v>
      </c>
      <c r="AE85">
        <v>0</v>
      </c>
      <c r="AF85">
        <v>10</v>
      </c>
      <c r="AG85">
        <v>155</v>
      </c>
      <c r="AH85">
        <v>155</v>
      </c>
      <c r="AI85">
        <v>0</v>
      </c>
      <c r="AJ85">
        <v>0</v>
      </c>
      <c r="AK85">
        <v>5</v>
      </c>
      <c r="AL85">
        <v>5</v>
      </c>
      <c r="AM85">
        <v>0</v>
      </c>
      <c r="AN85">
        <v>0</v>
      </c>
      <c r="AO85">
        <v>0</v>
      </c>
      <c r="AP85">
        <v>0</v>
      </c>
      <c r="AQ85">
        <v>0</v>
      </c>
      <c r="AR85">
        <v>0</v>
      </c>
      <c r="AS85">
        <v>0</v>
      </c>
      <c r="AT85">
        <v>324</v>
      </c>
      <c r="AU85">
        <v>33</v>
      </c>
      <c r="AV85">
        <v>206</v>
      </c>
      <c r="AW85">
        <v>118</v>
      </c>
      <c r="AX85">
        <v>2.75</v>
      </c>
      <c r="AY85">
        <v>0.25</v>
      </c>
      <c r="AZ85">
        <v>2.5</v>
      </c>
      <c r="BA85">
        <v>0.25</v>
      </c>
      <c r="BB85">
        <v>1.5</v>
      </c>
      <c r="BC85">
        <v>0.25</v>
      </c>
      <c r="BD85">
        <v>1.25</v>
      </c>
      <c r="BE85">
        <v>0.25</v>
      </c>
    </row>
    <row r="86" spans="1:57">
      <c r="A86" t="s">
        <v>17390</v>
      </c>
      <c r="B86" t="s">
        <v>17391</v>
      </c>
      <c r="C86">
        <v>0</v>
      </c>
      <c r="D86">
        <v>34</v>
      </c>
      <c r="E86">
        <v>34</v>
      </c>
      <c r="F86">
        <v>34</v>
      </c>
      <c r="G86">
        <v>0</v>
      </c>
      <c r="H86">
        <v>0</v>
      </c>
      <c r="I86">
        <v>0</v>
      </c>
      <c r="J86">
        <v>34</v>
      </c>
      <c r="K86">
        <v>83</v>
      </c>
      <c r="L86">
        <v>34</v>
      </c>
      <c r="M86">
        <v>0</v>
      </c>
      <c r="N86">
        <v>0</v>
      </c>
      <c r="O86">
        <v>0</v>
      </c>
      <c r="P86">
        <v>0</v>
      </c>
      <c r="Q86">
        <v>0</v>
      </c>
      <c r="R86">
        <v>0</v>
      </c>
      <c r="S86">
        <v>34</v>
      </c>
      <c r="T86">
        <v>0</v>
      </c>
      <c r="U86">
        <v>0</v>
      </c>
      <c r="V86">
        <v>34</v>
      </c>
      <c r="W86">
        <v>340</v>
      </c>
      <c r="X86">
        <v>0</v>
      </c>
      <c r="Y86">
        <v>34</v>
      </c>
      <c r="Z86">
        <v>0</v>
      </c>
      <c r="AA86">
        <v>0</v>
      </c>
      <c r="AB86">
        <v>0</v>
      </c>
      <c r="AC86">
        <v>3404.55</v>
      </c>
      <c r="AD86">
        <v>3359.8499999999995</v>
      </c>
      <c r="AE86">
        <v>3252.4999999999995</v>
      </c>
      <c r="AF86">
        <v>3359.8499999999995</v>
      </c>
      <c r="AG86">
        <v>3744.55</v>
      </c>
      <c r="AH86">
        <v>492.05000000000007</v>
      </c>
      <c r="AI86">
        <v>0</v>
      </c>
      <c r="AJ86">
        <v>0</v>
      </c>
      <c r="AK86">
        <v>0</v>
      </c>
      <c r="AL86">
        <v>0</v>
      </c>
      <c r="AM86">
        <v>0</v>
      </c>
      <c r="AN86">
        <v>0</v>
      </c>
      <c r="AO86">
        <v>0</v>
      </c>
      <c r="AP86">
        <v>31</v>
      </c>
      <c r="AQ86">
        <v>0</v>
      </c>
      <c r="AR86">
        <v>0</v>
      </c>
      <c r="AS86">
        <v>0</v>
      </c>
      <c r="AT86">
        <v>83</v>
      </c>
      <c r="AU86">
        <v>0</v>
      </c>
      <c r="AV86">
        <v>83</v>
      </c>
      <c r="AW86">
        <v>0</v>
      </c>
      <c r="AX86">
        <v>34</v>
      </c>
      <c r="AY86">
        <v>0</v>
      </c>
      <c r="AZ86">
        <v>34</v>
      </c>
      <c r="BA86">
        <v>0</v>
      </c>
      <c r="BB86">
        <v>0</v>
      </c>
      <c r="BC86">
        <v>0</v>
      </c>
      <c r="BD86">
        <v>0</v>
      </c>
      <c r="BE86">
        <v>0</v>
      </c>
    </row>
    <row r="87" spans="1:57">
      <c r="A87" t="s">
        <v>16936</v>
      </c>
      <c r="B87" t="s">
        <v>16937</v>
      </c>
      <c r="C87">
        <v>0</v>
      </c>
      <c r="D87">
        <v>68</v>
      </c>
      <c r="E87">
        <v>0</v>
      </c>
      <c r="F87">
        <v>68</v>
      </c>
      <c r="G87">
        <v>3</v>
      </c>
      <c r="H87">
        <v>4</v>
      </c>
      <c r="I87">
        <v>2</v>
      </c>
      <c r="J87">
        <v>68</v>
      </c>
      <c r="K87">
        <v>373</v>
      </c>
      <c r="L87">
        <v>25</v>
      </c>
      <c r="M87">
        <v>0</v>
      </c>
      <c r="N87">
        <v>0</v>
      </c>
      <c r="O87">
        <v>42</v>
      </c>
      <c r="P87">
        <v>0</v>
      </c>
      <c r="Q87">
        <v>1</v>
      </c>
      <c r="R87">
        <v>0</v>
      </c>
      <c r="S87">
        <v>130</v>
      </c>
      <c r="T87">
        <v>0</v>
      </c>
      <c r="U87">
        <v>0</v>
      </c>
      <c r="V87">
        <v>130</v>
      </c>
      <c r="W87">
        <v>1300</v>
      </c>
      <c r="X87">
        <v>0</v>
      </c>
      <c r="Y87">
        <v>68</v>
      </c>
      <c r="Z87">
        <v>0</v>
      </c>
      <c r="AA87">
        <v>0</v>
      </c>
      <c r="AB87">
        <v>290</v>
      </c>
      <c r="AC87">
        <v>0</v>
      </c>
      <c r="AD87">
        <v>0</v>
      </c>
      <c r="AE87">
        <v>0</v>
      </c>
      <c r="AF87">
        <v>290</v>
      </c>
      <c r="AG87">
        <v>1300</v>
      </c>
      <c r="AH87">
        <v>1300</v>
      </c>
      <c r="AI87">
        <v>0</v>
      </c>
      <c r="AJ87">
        <v>240</v>
      </c>
      <c r="AK87">
        <v>360</v>
      </c>
      <c r="AL87">
        <v>360</v>
      </c>
      <c r="AM87">
        <v>0</v>
      </c>
      <c r="AN87">
        <v>0</v>
      </c>
      <c r="AO87">
        <v>0</v>
      </c>
      <c r="AP87">
        <v>0</v>
      </c>
      <c r="AQ87">
        <v>0</v>
      </c>
      <c r="AR87">
        <v>0</v>
      </c>
      <c r="AS87">
        <v>0</v>
      </c>
      <c r="AT87">
        <v>373</v>
      </c>
      <c r="AU87">
        <v>108</v>
      </c>
      <c r="AV87">
        <v>265</v>
      </c>
      <c r="AW87">
        <v>0</v>
      </c>
      <c r="AX87">
        <v>130</v>
      </c>
      <c r="AY87">
        <v>36</v>
      </c>
      <c r="AZ87">
        <v>94</v>
      </c>
      <c r="BA87">
        <v>0</v>
      </c>
      <c r="BB87">
        <v>0</v>
      </c>
      <c r="BC87">
        <v>0</v>
      </c>
      <c r="BD87">
        <v>0</v>
      </c>
      <c r="BE87">
        <v>0</v>
      </c>
    </row>
    <row r="88" spans="1:57">
      <c r="A88" t="s">
        <v>22103</v>
      </c>
      <c r="B88" t="s">
        <v>22104</v>
      </c>
      <c r="C88">
        <v>1</v>
      </c>
      <c r="D88">
        <v>37</v>
      </c>
      <c r="E88">
        <v>28</v>
      </c>
      <c r="F88">
        <v>8</v>
      </c>
      <c r="G88">
        <v>3</v>
      </c>
      <c r="H88">
        <v>7</v>
      </c>
      <c r="I88">
        <v>2</v>
      </c>
      <c r="J88">
        <v>28</v>
      </c>
      <c r="K88">
        <v>1812</v>
      </c>
      <c r="L88">
        <v>3</v>
      </c>
      <c r="M88">
        <v>10</v>
      </c>
      <c r="N88">
        <v>10</v>
      </c>
      <c r="O88">
        <v>0</v>
      </c>
      <c r="P88">
        <v>0</v>
      </c>
      <c r="Q88">
        <v>6</v>
      </c>
      <c r="R88">
        <v>0</v>
      </c>
      <c r="S88">
        <v>11.25</v>
      </c>
      <c r="T88">
        <v>5.75</v>
      </c>
      <c r="U88">
        <v>4</v>
      </c>
      <c r="V88">
        <v>21</v>
      </c>
      <c r="W88">
        <v>227.5</v>
      </c>
      <c r="X88">
        <v>0</v>
      </c>
      <c r="Y88">
        <v>3</v>
      </c>
      <c r="Z88">
        <v>5</v>
      </c>
      <c r="AA88">
        <v>0</v>
      </c>
      <c r="AB88">
        <v>70</v>
      </c>
      <c r="AC88">
        <v>0</v>
      </c>
      <c r="AD88">
        <v>0</v>
      </c>
      <c r="AE88">
        <v>0</v>
      </c>
      <c r="AF88">
        <v>70</v>
      </c>
      <c r="AG88">
        <v>307.5</v>
      </c>
      <c r="AH88">
        <v>307.5</v>
      </c>
      <c r="AI88">
        <v>0</v>
      </c>
      <c r="AJ88">
        <v>70</v>
      </c>
      <c r="AK88">
        <v>222.5</v>
      </c>
      <c r="AL88">
        <v>222.5</v>
      </c>
      <c r="AM88">
        <v>0</v>
      </c>
      <c r="AN88">
        <v>0</v>
      </c>
      <c r="AO88">
        <v>0</v>
      </c>
      <c r="AP88">
        <v>0</v>
      </c>
      <c r="AQ88">
        <v>0</v>
      </c>
      <c r="AR88">
        <v>0</v>
      </c>
      <c r="AS88">
        <v>0</v>
      </c>
      <c r="AT88">
        <v>1812</v>
      </c>
      <c r="AU88">
        <v>474</v>
      </c>
      <c r="AV88">
        <v>1193</v>
      </c>
      <c r="AW88">
        <v>145</v>
      </c>
      <c r="AX88">
        <v>11.25</v>
      </c>
      <c r="AY88">
        <v>8.25</v>
      </c>
      <c r="AZ88">
        <v>3</v>
      </c>
      <c r="BA88">
        <v>0</v>
      </c>
      <c r="BB88">
        <v>5.75</v>
      </c>
      <c r="BC88">
        <v>4</v>
      </c>
      <c r="BD88">
        <v>1.75</v>
      </c>
      <c r="BE88">
        <v>0</v>
      </c>
    </row>
    <row r="89" spans="1:57">
      <c r="A89" t="s">
        <v>16938</v>
      </c>
      <c r="B89" t="s">
        <v>16939</v>
      </c>
      <c r="C89">
        <v>0</v>
      </c>
      <c r="D89">
        <v>13</v>
      </c>
      <c r="E89">
        <v>12</v>
      </c>
      <c r="F89">
        <v>13</v>
      </c>
      <c r="G89">
        <v>0</v>
      </c>
      <c r="H89">
        <v>1</v>
      </c>
      <c r="I89">
        <v>0</v>
      </c>
      <c r="J89">
        <v>13</v>
      </c>
      <c r="K89">
        <v>76</v>
      </c>
      <c r="L89">
        <v>8</v>
      </c>
      <c r="M89">
        <v>0</v>
      </c>
      <c r="N89">
        <v>1</v>
      </c>
      <c r="O89">
        <v>0</v>
      </c>
      <c r="P89">
        <v>0</v>
      </c>
      <c r="Q89">
        <v>0</v>
      </c>
      <c r="R89">
        <v>0</v>
      </c>
      <c r="S89">
        <v>5.25</v>
      </c>
      <c r="T89">
        <v>2.5</v>
      </c>
      <c r="U89">
        <v>0</v>
      </c>
      <c r="V89">
        <v>7.75</v>
      </c>
      <c r="W89">
        <v>102.5</v>
      </c>
      <c r="X89">
        <v>0</v>
      </c>
      <c r="Y89">
        <v>12</v>
      </c>
      <c r="Z89">
        <v>0</v>
      </c>
      <c r="AA89">
        <v>0</v>
      </c>
      <c r="AB89">
        <v>0</v>
      </c>
      <c r="AC89">
        <v>0</v>
      </c>
      <c r="AD89">
        <v>0</v>
      </c>
      <c r="AE89">
        <v>0</v>
      </c>
      <c r="AF89">
        <v>0</v>
      </c>
      <c r="AG89">
        <v>102.5</v>
      </c>
      <c r="AH89">
        <v>102.5</v>
      </c>
      <c r="AI89">
        <v>0</v>
      </c>
      <c r="AJ89">
        <v>0</v>
      </c>
      <c r="AK89">
        <v>20</v>
      </c>
      <c r="AL89">
        <v>20</v>
      </c>
      <c r="AM89">
        <v>0</v>
      </c>
      <c r="AN89">
        <v>0</v>
      </c>
      <c r="AO89">
        <v>0</v>
      </c>
      <c r="AP89">
        <v>0</v>
      </c>
      <c r="AQ89">
        <v>0</v>
      </c>
      <c r="AR89">
        <v>0</v>
      </c>
      <c r="AS89">
        <v>0</v>
      </c>
      <c r="AT89">
        <v>76</v>
      </c>
      <c r="AU89">
        <v>2</v>
      </c>
      <c r="AV89">
        <v>74</v>
      </c>
      <c r="AW89">
        <v>0</v>
      </c>
      <c r="AX89">
        <v>5.25</v>
      </c>
      <c r="AY89">
        <v>1</v>
      </c>
      <c r="AZ89">
        <v>4.25</v>
      </c>
      <c r="BA89">
        <v>0</v>
      </c>
      <c r="BB89">
        <v>2.5</v>
      </c>
      <c r="BC89">
        <v>0.5</v>
      </c>
      <c r="BD89">
        <v>2</v>
      </c>
      <c r="BE89">
        <v>0</v>
      </c>
    </row>
    <row r="90" spans="1:57">
      <c r="A90" t="s">
        <v>16977</v>
      </c>
      <c r="B90" t="s">
        <v>17380</v>
      </c>
      <c r="C90">
        <v>14</v>
      </c>
      <c r="D90">
        <v>20</v>
      </c>
      <c r="E90">
        <v>7</v>
      </c>
      <c r="F90">
        <v>8</v>
      </c>
      <c r="G90">
        <v>0</v>
      </c>
      <c r="H90">
        <v>0</v>
      </c>
      <c r="I90">
        <v>1</v>
      </c>
      <c r="J90">
        <v>18</v>
      </c>
      <c r="K90">
        <v>180</v>
      </c>
      <c r="L90">
        <v>7</v>
      </c>
      <c r="M90">
        <v>0</v>
      </c>
      <c r="N90">
        <v>0</v>
      </c>
      <c r="O90">
        <v>0</v>
      </c>
      <c r="P90">
        <v>0</v>
      </c>
      <c r="Q90">
        <v>1</v>
      </c>
      <c r="R90">
        <v>0</v>
      </c>
      <c r="S90">
        <v>3</v>
      </c>
      <c r="T90">
        <v>0</v>
      </c>
      <c r="U90">
        <v>0</v>
      </c>
      <c r="V90">
        <v>3</v>
      </c>
      <c r="W90">
        <v>17.5</v>
      </c>
      <c r="X90">
        <v>0</v>
      </c>
      <c r="Y90">
        <v>6</v>
      </c>
      <c r="Z90">
        <v>0</v>
      </c>
      <c r="AA90">
        <v>-12.5</v>
      </c>
      <c r="AB90">
        <v>0</v>
      </c>
      <c r="AC90">
        <v>0</v>
      </c>
      <c r="AD90">
        <v>0</v>
      </c>
      <c r="AE90">
        <v>0</v>
      </c>
      <c r="AF90">
        <v>0</v>
      </c>
      <c r="AG90">
        <v>17.5</v>
      </c>
      <c r="AH90">
        <v>17.5</v>
      </c>
      <c r="AI90">
        <v>0</v>
      </c>
      <c r="AJ90">
        <v>0</v>
      </c>
      <c r="AK90">
        <v>0</v>
      </c>
      <c r="AL90">
        <v>0</v>
      </c>
      <c r="AM90">
        <v>0</v>
      </c>
      <c r="AN90">
        <v>0</v>
      </c>
      <c r="AO90">
        <v>0</v>
      </c>
      <c r="AP90">
        <v>0</v>
      </c>
      <c r="AQ90">
        <v>0</v>
      </c>
      <c r="AR90">
        <v>0</v>
      </c>
      <c r="AS90">
        <v>0</v>
      </c>
      <c r="AT90">
        <v>180</v>
      </c>
      <c r="AU90">
        <v>0</v>
      </c>
      <c r="AV90">
        <v>68</v>
      </c>
      <c r="AW90">
        <v>112</v>
      </c>
      <c r="AX90">
        <v>3</v>
      </c>
      <c r="AY90">
        <v>0</v>
      </c>
      <c r="AZ90">
        <v>1.75</v>
      </c>
      <c r="BA90">
        <v>1.25</v>
      </c>
      <c r="BB90">
        <v>0</v>
      </c>
      <c r="BC90">
        <v>0</v>
      </c>
      <c r="BD90">
        <v>0</v>
      </c>
      <c r="BE90">
        <v>0</v>
      </c>
    </row>
    <row r="91" spans="1:57">
      <c r="A91" t="s">
        <v>16980</v>
      </c>
      <c r="B91" t="s">
        <v>16981</v>
      </c>
      <c r="C91">
        <v>8</v>
      </c>
      <c r="D91">
        <v>263</v>
      </c>
      <c r="E91">
        <v>232</v>
      </c>
      <c r="F91">
        <v>172</v>
      </c>
      <c r="G91">
        <v>23</v>
      </c>
      <c r="H91">
        <v>109</v>
      </c>
      <c r="I91">
        <v>5</v>
      </c>
      <c r="J91">
        <v>205</v>
      </c>
      <c r="K91">
        <v>2751</v>
      </c>
      <c r="L91">
        <v>82</v>
      </c>
      <c r="M91">
        <v>104</v>
      </c>
      <c r="N91">
        <v>8</v>
      </c>
      <c r="O91">
        <v>14</v>
      </c>
      <c r="P91">
        <v>7</v>
      </c>
      <c r="Q91">
        <v>7</v>
      </c>
      <c r="R91">
        <v>0</v>
      </c>
      <c r="S91">
        <v>18.75</v>
      </c>
      <c r="T91">
        <v>0</v>
      </c>
      <c r="U91">
        <v>0</v>
      </c>
      <c r="V91">
        <v>24.5</v>
      </c>
      <c r="W91">
        <v>187.5</v>
      </c>
      <c r="X91">
        <v>10</v>
      </c>
      <c r="Y91">
        <v>45</v>
      </c>
      <c r="Z91">
        <v>19</v>
      </c>
      <c r="AA91">
        <v>0</v>
      </c>
      <c r="AB91">
        <v>0</v>
      </c>
      <c r="AC91">
        <v>10</v>
      </c>
      <c r="AD91">
        <v>10</v>
      </c>
      <c r="AE91">
        <v>200</v>
      </c>
      <c r="AF91">
        <v>10</v>
      </c>
      <c r="AG91">
        <v>207.5</v>
      </c>
      <c r="AH91">
        <v>197.5</v>
      </c>
      <c r="AI91">
        <v>190</v>
      </c>
      <c r="AJ91">
        <v>0</v>
      </c>
      <c r="AK91">
        <v>102.5</v>
      </c>
      <c r="AL91">
        <v>102.5</v>
      </c>
      <c r="AM91">
        <v>0</v>
      </c>
      <c r="AN91">
        <v>1</v>
      </c>
      <c r="AO91">
        <v>0</v>
      </c>
      <c r="AP91">
        <v>1</v>
      </c>
      <c r="AQ91">
        <v>0</v>
      </c>
      <c r="AR91">
        <v>0</v>
      </c>
      <c r="AS91">
        <v>0</v>
      </c>
      <c r="AT91">
        <v>2751</v>
      </c>
      <c r="AU91">
        <v>1571</v>
      </c>
      <c r="AV91">
        <v>1085</v>
      </c>
      <c r="AW91">
        <v>95</v>
      </c>
      <c r="AX91">
        <v>18.75</v>
      </c>
      <c r="AY91">
        <v>10.25</v>
      </c>
      <c r="AZ91">
        <v>8.5</v>
      </c>
      <c r="BA91">
        <v>0</v>
      </c>
      <c r="BB91">
        <v>0</v>
      </c>
      <c r="BC91">
        <v>0</v>
      </c>
      <c r="BD91">
        <v>0</v>
      </c>
      <c r="BE91">
        <v>0</v>
      </c>
    </row>
    <row r="92" spans="1:57">
      <c r="A92" t="s">
        <v>16982</v>
      </c>
      <c r="B92" t="s">
        <v>17343</v>
      </c>
      <c r="C92">
        <v>0</v>
      </c>
      <c r="D92">
        <v>4</v>
      </c>
      <c r="E92">
        <v>4</v>
      </c>
      <c r="F92">
        <v>4</v>
      </c>
      <c r="G92">
        <v>0</v>
      </c>
      <c r="H92">
        <v>2</v>
      </c>
      <c r="I92">
        <v>0</v>
      </c>
      <c r="J92">
        <v>4</v>
      </c>
      <c r="K92">
        <v>55</v>
      </c>
      <c r="L92">
        <v>2</v>
      </c>
      <c r="M92">
        <v>1</v>
      </c>
      <c r="N92">
        <v>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55</v>
      </c>
      <c r="AU92">
        <v>37</v>
      </c>
      <c r="AV92">
        <v>18</v>
      </c>
      <c r="AW92">
        <v>0</v>
      </c>
      <c r="AX92">
        <v>0</v>
      </c>
      <c r="AY92">
        <v>0</v>
      </c>
      <c r="AZ92">
        <v>0</v>
      </c>
      <c r="BA92">
        <v>0</v>
      </c>
      <c r="BB92">
        <v>0</v>
      </c>
      <c r="BC92">
        <v>0</v>
      </c>
      <c r="BD92">
        <v>0</v>
      </c>
      <c r="BE92">
        <v>0</v>
      </c>
    </row>
    <row r="93" spans="1:57">
      <c r="A93" t="s">
        <v>16983</v>
      </c>
      <c r="B93" t="s">
        <v>16984</v>
      </c>
      <c r="C93">
        <v>0</v>
      </c>
      <c r="D93">
        <v>18</v>
      </c>
      <c r="E93">
        <v>18</v>
      </c>
      <c r="F93">
        <v>18</v>
      </c>
      <c r="G93">
        <v>0</v>
      </c>
      <c r="H93">
        <v>0</v>
      </c>
      <c r="I93">
        <v>0</v>
      </c>
      <c r="J93">
        <v>18</v>
      </c>
      <c r="K93">
        <v>55</v>
      </c>
      <c r="L93">
        <v>18</v>
      </c>
      <c r="M93">
        <v>0</v>
      </c>
      <c r="N93">
        <v>0</v>
      </c>
      <c r="O93">
        <v>0</v>
      </c>
      <c r="P93">
        <v>0</v>
      </c>
      <c r="Q93">
        <v>0</v>
      </c>
      <c r="R93">
        <v>0</v>
      </c>
      <c r="S93">
        <v>5</v>
      </c>
      <c r="T93">
        <v>0</v>
      </c>
      <c r="U93">
        <v>0.25</v>
      </c>
      <c r="V93">
        <v>5.25</v>
      </c>
      <c r="W93" s="4">
        <v>50</v>
      </c>
      <c r="X93" s="4">
        <v>0</v>
      </c>
      <c r="Y93">
        <v>18</v>
      </c>
      <c r="Z93">
        <v>0</v>
      </c>
      <c r="AA93" s="4">
        <v>0</v>
      </c>
      <c r="AB93" s="4">
        <v>0</v>
      </c>
      <c r="AC93" s="4">
        <v>0</v>
      </c>
      <c r="AD93" s="4">
        <v>0</v>
      </c>
      <c r="AE93" s="4">
        <v>1.9</v>
      </c>
      <c r="AF93" s="4">
        <v>0</v>
      </c>
      <c r="AG93" s="4">
        <v>55</v>
      </c>
      <c r="AH93" s="4">
        <v>53.1</v>
      </c>
      <c r="AI93" s="4">
        <v>0</v>
      </c>
      <c r="AJ93" s="4">
        <v>0</v>
      </c>
      <c r="AK93" s="4">
        <v>0</v>
      </c>
      <c r="AL93" s="4">
        <v>0</v>
      </c>
      <c r="AM93">
        <v>1</v>
      </c>
      <c r="AN93">
        <v>0</v>
      </c>
      <c r="AO93">
        <v>0</v>
      </c>
      <c r="AP93">
        <v>0</v>
      </c>
      <c r="AQ93">
        <v>0</v>
      </c>
      <c r="AR93">
        <v>0</v>
      </c>
      <c r="AS93">
        <v>0</v>
      </c>
      <c r="AT93">
        <v>55</v>
      </c>
      <c r="AU93">
        <v>0</v>
      </c>
      <c r="AV93">
        <v>55</v>
      </c>
      <c r="AW93">
        <v>0</v>
      </c>
      <c r="AX93">
        <v>5</v>
      </c>
      <c r="AY93">
        <v>0</v>
      </c>
      <c r="AZ93">
        <v>5</v>
      </c>
      <c r="BA93">
        <v>0</v>
      </c>
      <c r="BB93">
        <v>0</v>
      </c>
      <c r="BC93">
        <v>0</v>
      </c>
      <c r="BD93">
        <v>0</v>
      </c>
      <c r="BE93">
        <v>0</v>
      </c>
    </row>
    <row r="94" spans="1:57">
      <c r="A94" t="s">
        <v>17393</v>
      </c>
      <c r="B94" t="s">
        <v>17394</v>
      </c>
      <c r="C94">
        <v>0</v>
      </c>
      <c r="D94">
        <v>20</v>
      </c>
      <c r="E94">
        <v>20</v>
      </c>
      <c r="F94">
        <v>13</v>
      </c>
      <c r="G94">
        <v>6</v>
      </c>
      <c r="H94">
        <v>2</v>
      </c>
      <c r="I94">
        <v>1</v>
      </c>
      <c r="J94">
        <v>18</v>
      </c>
      <c r="K94">
        <v>201</v>
      </c>
      <c r="L94">
        <v>6</v>
      </c>
      <c r="M94">
        <v>8</v>
      </c>
      <c r="N94">
        <v>2</v>
      </c>
      <c r="O94">
        <v>0</v>
      </c>
      <c r="P94">
        <v>0</v>
      </c>
      <c r="Q94">
        <v>1</v>
      </c>
      <c r="R94">
        <v>0</v>
      </c>
      <c r="S94">
        <v>7.75</v>
      </c>
      <c r="T94">
        <v>12</v>
      </c>
      <c r="U94">
        <v>0.5</v>
      </c>
      <c r="V94">
        <v>20.25</v>
      </c>
      <c r="W94" s="4">
        <v>317.5</v>
      </c>
      <c r="X94" s="4">
        <v>0</v>
      </c>
      <c r="Y94">
        <v>9</v>
      </c>
      <c r="Z94">
        <v>0</v>
      </c>
      <c r="AA94" s="4">
        <v>0</v>
      </c>
      <c r="AB94" s="4">
        <v>207.5</v>
      </c>
      <c r="AC94" s="4">
        <v>0</v>
      </c>
      <c r="AD94" s="4">
        <v>0</v>
      </c>
      <c r="AE94" s="4">
        <v>0</v>
      </c>
      <c r="AF94" s="4">
        <v>207.5</v>
      </c>
      <c r="AG94" s="4">
        <v>327.5</v>
      </c>
      <c r="AH94" s="4">
        <v>327.5</v>
      </c>
      <c r="AI94" s="4">
        <v>0</v>
      </c>
      <c r="AJ94" s="4">
        <v>0</v>
      </c>
      <c r="AK94" s="4">
        <v>0</v>
      </c>
      <c r="AL94" s="4">
        <v>0</v>
      </c>
      <c r="AM94">
        <v>0</v>
      </c>
      <c r="AN94">
        <v>0</v>
      </c>
      <c r="AO94">
        <v>0</v>
      </c>
      <c r="AP94">
        <v>0</v>
      </c>
      <c r="AQ94">
        <v>0</v>
      </c>
      <c r="AR94">
        <v>0</v>
      </c>
      <c r="AS94">
        <v>0</v>
      </c>
      <c r="AT94">
        <v>201</v>
      </c>
      <c r="AU94">
        <v>0</v>
      </c>
      <c r="AV94">
        <v>201</v>
      </c>
      <c r="AW94">
        <v>0</v>
      </c>
      <c r="AX94">
        <v>7.75</v>
      </c>
      <c r="AY94">
        <v>0</v>
      </c>
      <c r="AZ94">
        <v>7.75</v>
      </c>
      <c r="BA94">
        <v>0</v>
      </c>
      <c r="BB94">
        <v>12</v>
      </c>
      <c r="BC94">
        <v>0</v>
      </c>
      <c r="BD94">
        <v>12</v>
      </c>
      <c r="BE94">
        <v>0</v>
      </c>
    </row>
    <row r="95" spans="1:57">
      <c r="A95" t="s">
        <v>16985</v>
      </c>
      <c r="B95" t="s">
        <v>16986</v>
      </c>
      <c r="C95">
        <v>1</v>
      </c>
      <c r="D95">
        <v>8</v>
      </c>
      <c r="E95">
        <v>8</v>
      </c>
      <c r="F95">
        <v>5</v>
      </c>
      <c r="G95">
        <v>0</v>
      </c>
      <c r="H95">
        <v>2</v>
      </c>
      <c r="I95">
        <v>1</v>
      </c>
      <c r="J95">
        <v>8</v>
      </c>
      <c r="K95">
        <v>126</v>
      </c>
      <c r="L95">
        <v>0</v>
      </c>
      <c r="M95">
        <v>6</v>
      </c>
      <c r="N95">
        <v>0</v>
      </c>
      <c r="O95">
        <v>0</v>
      </c>
      <c r="P95">
        <v>0</v>
      </c>
      <c r="Q95">
        <v>2</v>
      </c>
      <c r="R95">
        <v>0</v>
      </c>
      <c r="S95">
        <v>4.5</v>
      </c>
      <c r="T95">
        <v>12</v>
      </c>
      <c r="U95">
        <v>2.5</v>
      </c>
      <c r="V95">
        <v>19</v>
      </c>
      <c r="W95">
        <v>285</v>
      </c>
      <c r="X95">
        <v>0</v>
      </c>
      <c r="Y95">
        <v>1</v>
      </c>
      <c r="Z95">
        <v>1</v>
      </c>
      <c r="AA95">
        <v>0</v>
      </c>
      <c r="AB95">
        <v>220</v>
      </c>
      <c r="AC95">
        <v>86.56</v>
      </c>
      <c r="AD95">
        <v>86.56</v>
      </c>
      <c r="AE95">
        <v>35</v>
      </c>
      <c r="AF95">
        <v>306.56</v>
      </c>
      <c r="AG95">
        <v>421.56</v>
      </c>
      <c r="AH95">
        <v>386.56</v>
      </c>
      <c r="AI95">
        <v>35</v>
      </c>
      <c r="AJ95">
        <v>306.56</v>
      </c>
      <c r="AK95">
        <v>406.56</v>
      </c>
      <c r="AL95">
        <v>371.56</v>
      </c>
      <c r="AM95">
        <v>0</v>
      </c>
      <c r="AN95">
        <v>1</v>
      </c>
      <c r="AO95">
        <v>0</v>
      </c>
      <c r="AP95">
        <v>0</v>
      </c>
      <c r="AQ95">
        <v>0</v>
      </c>
      <c r="AR95">
        <v>0</v>
      </c>
      <c r="AS95">
        <v>0</v>
      </c>
      <c r="AT95">
        <v>126</v>
      </c>
      <c r="AU95">
        <v>38</v>
      </c>
      <c r="AV95">
        <v>78</v>
      </c>
      <c r="AW95">
        <v>10</v>
      </c>
      <c r="AX95">
        <v>4.5</v>
      </c>
      <c r="AY95">
        <v>4</v>
      </c>
      <c r="AZ95">
        <v>0.5</v>
      </c>
      <c r="BA95">
        <v>0</v>
      </c>
      <c r="BB95">
        <v>12</v>
      </c>
      <c r="BC95">
        <v>12</v>
      </c>
      <c r="BD95">
        <v>0</v>
      </c>
      <c r="BE95">
        <v>0</v>
      </c>
    </row>
    <row r="96" spans="1:57">
      <c r="A96" t="s">
        <v>16987</v>
      </c>
      <c r="B96" t="s">
        <v>17382</v>
      </c>
      <c r="C96">
        <v>0</v>
      </c>
      <c r="D96">
        <v>1</v>
      </c>
      <c r="E96">
        <v>1</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row>
    <row r="97" spans="1:57">
      <c r="A97" t="s">
        <v>16988</v>
      </c>
      <c r="B97" t="s">
        <v>16988</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row>
    <row r="98" spans="1:57">
      <c r="A98" t="s">
        <v>17344</v>
      </c>
      <c r="B98" t="s">
        <v>17345</v>
      </c>
      <c r="C98">
        <v>0</v>
      </c>
      <c r="D98">
        <v>37</v>
      </c>
      <c r="E98">
        <v>30</v>
      </c>
      <c r="F98">
        <v>14</v>
      </c>
      <c r="G98">
        <v>5</v>
      </c>
      <c r="H98">
        <v>1</v>
      </c>
      <c r="I98">
        <v>0</v>
      </c>
      <c r="J98">
        <v>32</v>
      </c>
      <c r="K98">
        <v>472</v>
      </c>
      <c r="L98">
        <v>15</v>
      </c>
      <c r="M98">
        <v>1</v>
      </c>
      <c r="N98">
        <v>1</v>
      </c>
      <c r="O98">
        <v>11</v>
      </c>
      <c r="P98">
        <v>1</v>
      </c>
      <c r="Q98">
        <v>2</v>
      </c>
      <c r="R98">
        <v>0</v>
      </c>
      <c r="S98">
        <v>43</v>
      </c>
      <c r="T98">
        <v>0</v>
      </c>
      <c r="U98">
        <v>0</v>
      </c>
      <c r="V98">
        <v>43</v>
      </c>
      <c r="W98">
        <v>430</v>
      </c>
      <c r="X98">
        <v>0</v>
      </c>
      <c r="Y98">
        <v>3</v>
      </c>
      <c r="Z98">
        <v>23</v>
      </c>
      <c r="AA98">
        <v>0</v>
      </c>
      <c r="AB98">
        <v>0</v>
      </c>
      <c r="AC98">
        <v>0</v>
      </c>
      <c r="AD98">
        <v>0</v>
      </c>
      <c r="AE98">
        <v>0</v>
      </c>
      <c r="AF98">
        <v>0</v>
      </c>
      <c r="AG98">
        <v>430</v>
      </c>
      <c r="AH98">
        <v>430</v>
      </c>
      <c r="AI98">
        <v>0</v>
      </c>
      <c r="AJ98">
        <v>0</v>
      </c>
      <c r="AK98">
        <v>20</v>
      </c>
      <c r="AL98">
        <v>20</v>
      </c>
      <c r="AM98">
        <v>0</v>
      </c>
      <c r="AN98">
        <v>0</v>
      </c>
      <c r="AO98">
        <v>0</v>
      </c>
      <c r="AP98">
        <v>0</v>
      </c>
      <c r="AQ98">
        <v>0</v>
      </c>
      <c r="AR98">
        <v>0</v>
      </c>
      <c r="AS98">
        <v>0</v>
      </c>
      <c r="AT98">
        <v>472</v>
      </c>
      <c r="AU98">
        <v>30</v>
      </c>
      <c r="AV98">
        <v>442</v>
      </c>
      <c r="AW98">
        <v>0</v>
      </c>
      <c r="AX98">
        <v>43</v>
      </c>
      <c r="AY98">
        <v>2</v>
      </c>
      <c r="AZ98">
        <v>41</v>
      </c>
      <c r="BA98">
        <v>0</v>
      </c>
      <c r="BB98">
        <v>0</v>
      </c>
      <c r="BC98">
        <v>0</v>
      </c>
      <c r="BD98">
        <v>0</v>
      </c>
      <c r="BE98">
        <v>0</v>
      </c>
    </row>
    <row r="99" spans="1:57">
      <c r="A99" t="s">
        <v>16990</v>
      </c>
      <c r="B99" t="s">
        <v>17359</v>
      </c>
      <c r="C99">
        <v>10</v>
      </c>
      <c r="D99">
        <v>106</v>
      </c>
      <c r="E99">
        <v>105</v>
      </c>
      <c r="F99">
        <v>101</v>
      </c>
      <c r="G99">
        <v>10</v>
      </c>
      <c r="H99">
        <v>50</v>
      </c>
      <c r="I99">
        <v>48</v>
      </c>
      <c r="J99">
        <v>89</v>
      </c>
      <c r="K99">
        <v>4189</v>
      </c>
      <c r="L99">
        <v>6</v>
      </c>
      <c r="M99">
        <v>6</v>
      </c>
      <c r="N99">
        <v>58</v>
      </c>
      <c r="O99">
        <v>17</v>
      </c>
      <c r="P99">
        <v>7</v>
      </c>
      <c r="Q99">
        <v>12</v>
      </c>
      <c r="R99">
        <v>0</v>
      </c>
      <c r="S99">
        <v>169.5</v>
      </c>
      <c r="T99">
        <v>801</v>
      </c>
      <c r="U99">
        <v>0.5</v>
      </c>
      <c r="V99">
        <v>971</v>
      </c>
      <c r="W99">
        <v>17547.5</v>
      </c>
      <c r="X99">
        <v>0</v>
      </c>
      <c r="Y99">
        <v>30</v>
      </c>
      <c r="Z99">
        <v>8</v>
      </c>
      <c r="AA99">
        <v>-167.5</v>
      </c>
      <c r="AB99">
        <v>15417.5</v>
      </c>
      <c r="AC99">
        <v>0</v>
      </c>
      <c r="AD99">
        <v>70.180000000000007</v>
      </c>
      <c r="AE99">
        <v>11149.06</v>
      </c>
      <c r="AF99">
        <v>15487.68</v>
      </c>
      <c r="AG99">
        <v>17557.5</v>
      </c>
      <c r="AH99">
        <v>6408.4400000000005</v>
      </c>
      <c r="AI99">
        <v>10874.73</v>
      </c>
      <c r="AJ99">
        <v>15030.25</v>
      </c>
      <c r="AK99">
        <v>16852.5</v>
      </c>
      <c r="AL99">
        <v>5977.77</v>
      </c>
      <c r="AM99">
        <v>0</v>
      </c>
      <c r="AN99">
        <v>1</v>
      </c>
      <c r="AO99">
        <v>3</v>
      </c>
      <c r="AP99">
        <v>5</v>
      </c>
      <c r="AQ99">
        <v>4</v>
      </c>
      <c r="AR99">
        <v>4</v>
      </c>
      <c r="AS99">
        <v>0</v>
      </c>
      <c r="AT99">
        <v>4189</v>
      </c>
      <c r="AU99">
        <v>2792</v>
      </c>
      <c r="AV99">
        <v>1177</v>
      </c>
      <c r="AW99">
        <v>365</v>
      </c>
      <c r="AX99">
        <v>169.5</v>
      </c>
      <c r="AY99">
        <v>157.25</v>
      </c>
      <c r="AZ99">
        <v>10</v>
      </c>
      <c r="BA99">
        <v>3.25</v>
      </c>
      <c r="BB99">
        <v>801</v>
      </c>
      <c r="BC99">
        <v>766.5</v>
      </c>
      <c r="BD99">
        <v>29.75</v>
      </c>
      <c r="BE99">
        <v>6.75</v>
      </c>
    </row>
    <row r="100" spans="1:57">
      <c r="A100" t="s">
        <v>16991</v>
      </c>
      <c r="B100" t="s">
        <v>16991</v>
      </c>
      <c r="C100">
        <v>0</v>
      </c>
      <c r="D100">
        <v>17</v>
      </c>
      <c r="E100">
        <v>17</v>
      </c>
      <c r="F100">
        <v>17</v>
      </c>
      <c r="G100">
        <v>0</v>
      </c>
      <c r="H100">
        <v>1</v>
      </c>
      <c r="I100">
        <v>0</v>
      </c>
      <c r="J100">
        <v>17</v>
      </c>
      <c r="K100">
        <v>56</v>
      </c>
      <c r="L100">
        <v>15</v>
      </c>
      <c r="M100">
        <v>0</v>
      </c>
      <c r="N100">
        <v>0</v>
      </c>
      <c r="O100">
        <v>2</v>
      </c>
      <c r="P100">
        <v>0</v>
      </c>
      <c r="Q100">
        <v>0</v>
      </c>
      <c r="R100">
        <v>0</v>
      </c>
      <c r="S100">
        <v>6.75</v>
      </c>
      <c r="T100">
        <v>0</v>
      </c>
      <c r="U100">
        <v>0</v>
      </c>
      <c r="V100">
        <v>6.75</v>
      </c>
      <c r="W100">
        <v>67.5</v>
      </c>
      <c r="X100">
        <v>0</v>
      </c>
      <c r="Y100">
        <v>17</v>
      </c>
      <c r="Z100">
        <v>0</v>
      </c>
      <c r="AA100">
        <v>0</v>
      </c>
      <c r="AB100">
        <v>0</v>
      </c>
      <c r="AC100">
        <v>0</v>
      </c>
      <c r="AD100">
        <v>0</v>
      </c>
      <c r="AE100">
        <v>0</v>
      </c>
      <c r="AF100">
        <v>0</v>
      </c>
      <c r="AG100">
        <v>67.5</v>
      </c>
      <c r="AH100">
        <v>67.5</v>
      </c>
      <c r="AI100">
        <v>0</v>
      </c>
      <c r="AJ100">
        <v>0</v>
      </c>
      <c r="AK100">
        <v>20</v>
      </c>
      <c r="AL100">
        <v>20</v>
      </c>
      <c r="AM100">
        <v>0</v>
      </c>
      <c r="AN100">
        <v>0</v>
      </c>
      <c r="AO100">
        <v>0</v>
      </c>
      <c r="AP100">
        <v>0</v>
      </c>
      <c r="AQ100">
        <v>0</v>
      </c>
      <c r="AR100">
        <v>0</v>
      </c>
      <c r="AS100">
        <v>0</v>
      </c>
      <c r="AT100">
        <v>56</v>
      </c>
      <c r="AU100">
        <v>20</v>
      </c>
      <c r="AV100">
        <v>36</v>
      </c>
      <c r="AW100">
        <v>0</v>
      </c>
      <c r="AX100">
        <v>6.75</v>
      </c>
      <c r="AY100">
        <v>2</v>
      </c>
      <c r="AZ100">
        <v>4.75</v>
      </c>
      <c r="BA100">
        <v>0</v>
      </c>
      <c r="BB100">
        <v>0</v>
      </c>
      <c r="BC100">
        <v>0</v>
      </c>
      <c r="BD100">
        <v>0</v>
      </c>
      <c r="BE100">
        <v>0</v>
      </c>
    </row>
    <row r="101" spans="1:57">
      <c r="A101" t="s">
        <v>16992</v>
      </c>
      <c r="B101" t="s">
        <v>16992</v>
      </c>
      <c r="C101">
        <v>0</v>
      </c>
      <c r="D101">
        <v>23</v>
      </c>
      <c r="E101">
        <v>15</v>
      </c>
      <c r="F101">
        <v>13</v>
      </c>
      <c r="G101">
        <v>1</v>
      </c>
      <c r="H101">
        <v>0</v>
      </c>
      <c r="I101">
        <v>1</v>
      </c>
      <c r="J101">
        <v>4</v>
      </c>
      <c r="K101">
        <v>0</v>
      </c>
      <c r="L101">
        <v>0</v>
      </c>
      <c r="M101">
        <v>0</v>
      </c>
      <c r="N101">
        <v>0</v>
      </c>
      <c r="O101">
        <v>2</v>
      </c>
      <c r="P101">
        <v>0</v>
      </c>
      <c r="Q101">
        <v>5</v>
      </c>
      <c r="R101">
        <v>0</v>
      </c>
      <c r="S101">
        <v>0</v>
      </c>
      <c r="T101">
        <v>0</v>
      </c>
      <c r="U101">
        <v>0</v>
      </c>
      <c r="V101">
        <v>0</v>
      </c>
      <c r="W101">
        <v>0</v>
      </c>
      <c r="X101">
        <v>0</v>
      </c>
      <c r="Y101">
        <v>0</v>
      </c>
      <c r="Z101">
        <v>0</v>
      </c>
      <c r="AA101">
        <v>0</v>
      </c>
      <c r="AB101">
        <v>0</v>
      </c>
      <c r="AC101">
        <v>0</v>
      </c>
      <c r="AD101">
        <v>0</v>
      </c>
      <c r="AE101">
        <v>60</v>
      </c>
      <c r="AF101">
        <v>0</v>
      </c>
      <c r="AG101">
        <v>0</v>
      </c>
      <c r="AH101">
        <v>0</v>
      </c>
      <c r="AI101">
        <v>0</v>
      </c>
      <c r="AJ101">
        <v>0</v>
      </c>
      <c r="AK101">
        <v>0</v>
      </c>
      <c r="AL101">
        <v>0</v>
      </c>
      <c r="AM101">
        <v>0</v>
      </c>
      <c r="AN101">
        <v>0</v>
      </c>
      <c r="AO101">
        <v>1</v>
      </c>
      <c r="AP101">
        <v>0</v>
      </c>
      <c r="AQ101">
        <v>0</v>
      </c>
      <c r="AR101">
        <v>0</v>
      </c>
      <c r="AS101">
        <v>0</v>
      </c>
      <c r="AT101">
        <v>0</v>
      </c>
      <c r="AU101">
        <v>0</v>
      </c>
      <c r="AV101">
        <v>0</v>
      </c>
      <c r="AW101">
        <v>0</v>
      </c>
      <c r="AX101">
        <v>0</v>
      </c>
      <c r="AY101">
        <v>0</v>
      </c>
      <c r="AZ101">
        <v>0</v>
      </c>
      <c r="BA101">
        <v>0</v>
      </c>
      <c r="BB101">
        <v>0</v>
      </c>
      <c r="BC101">
        <v>0</v>
      </c>
      <c r="BD101">
        <v>0</v>
      </c>
      <c r="BE101">
        <v>0</v>
      </c>
    </row>
    <row r="102" spans="1:57">
      <c r="A102" t="s">
        <v>16993</v>
      </c>
      <c r="B102" t="s">
        <v>16994</v>
      </c>
      <c r="C102">
        <v>0</v>
      </c>
      <c r="D102">
        <v>6</v>
      </c>
      <c r="E102">
        <v>6</v>
      </c>
      <c r="F102">
        <v>6</v>
      </c>
      <c r="G102">
        <v>0</v>
      </c>
      <c r="H102">
        <v>4</v>
      </c>
      <c r="I102">
        <v>1</v>
      </c>
      <c r="J102">
        <v>6</v>
      </c>
      <c r="K102">
        <v>146</v>
      </c>
      <c r="L102">
        <v>5</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146</v>
      </c>
      <c r="AU102">
        <v>133</v>
      </c>
      <c r="AV102">
        <v>13</v>
      </c>
      <c r="AW102">
        <v>0</v>
      </c>
      <c r="AX102">
        <v>0</v>
      </c>
      <c r="AY102">
        <v>0</v>
      </c>
      <c r="AZ102">
        <v>0</v>
      </c>
      <c r="BA102">
        <v>0</v>
      </c>
      <c r="BB102">
        <v>0</v>
      </c>
      <c r="BC102">
        <v>0</v>
      </c>
      <c r="BD102">
        <v>0</v>
      </c>
      <c r="BE102">
        <v>0</v>
      </c>
    </row>
    <row r="103" spans="1:57">
      <c r="A103" t="s">
        <v>16995</v>
      </c>
      <c r="B103" t="s">
        <v>16996</v>
      </c>
      <c r="C103">
        <v>0</v>
      </c>
      <c r="D103">
        <v>9</v>
      </c>
      <c r="E103">
        <v>9</v>
      </c>
      <c r="F103">
        <v>9</v>
      </c>
      <c r="G103">
        <v>0</v>
      </c>
      <c r="H103">
        <v>0</v>
      </c>
      <c r="I103">
        <v>0</v>
      </c>
      <c r="J103">
        <v>9</v>
      </c>
      <c r="K103">
        <v>181</v>
      </c>
      <c r="L103">
        <v>6</v>
      </c>
      <c r="M103">
        <v>0</v>
      </c>
      <c r="N103">
        <v>2</v>
      </c>
      <c r="O103">
        <v>0</v>
      </c>
      <c r="P103">
        <v>0</v>
      </c>
      <c r="Q103">
        <v>0</v>
      </c>
      <c r="R103">
        <v>0</v>
      </c>
      <c r="S103">
        <v>132</v>
      </c>
      <c r="T103">
        <v>0</v>
      </c>
      <c r="U103">
        <v>0</v>
      </c>
      <c r="V103">
        <v>132</v>
      </c>
      <c r="W103">
        <v>1320</v>
      </c>
      <c r="X103">
        <v>0</v>
      </c>
      <c r="Y103">
        <v>0</v>
      </c>
      <c r="Z103">
        <v>6</v>
      </c>
      <c r="AA103">
        <v>0</v>
      </c>
      <c r="AB103">
        <v>980</v>
      </c>
      <c r="AC103">
        <v>0</v>
      </c>
      <c r="AD103">
        <v>0</v>
      </c>
      <c r="AE103">
        <v>0</v>
      </c>
      <c r="AF103">
        <v>980</v>
      </c>
      <c r="AG103">
        <v>1320</v>
      </c>
      <c r="AH103">
        <v>1320</v>
      </c>
      <c r="AI103">
        <v>0</v>
      </c>
      <c r="AJ103">
        <v>0</v>
      </c>
      <c r="AK103">
        <v>0</v>
      </c>
      <c r="AL103">
        <v>0</v>
      </c>
      <c r="AM103">
        <v>0</v>
      </c>
      <c r="AN103">
        <v>0</v>
      </c>
      <c r="AO103">
        <v>0</v>
      </c>
      <c r="AP103">
        <v>0</v>
      </c>
      <c r="AQ103">
        <v>0</v>
      </c>
      <c r="AR103">
        <v>0</v>
      </c>
      <c r="AS103">
        <v>0</v>
      </c>
      <c r="AT103">
        <v>181</v>
      </c>
      <c r="AU103">
        <v>0</v>
      </c>
      <c r="AV103">
        <v>181</v>
      </c>
      <c r="AW103">
        <v>0</v>
      </c>
      <c r="AX103">
        <v>132</v>
      </c>
      <c r="AY103">
        <v>0</v>
      </c>
      <c r="AZ103">
        <v>132</v>
      </c>
      <c r="BA103">
        <v>0</v>
      </c>
      <c r="BB103">
        <v>0</v>
      </c>
      <c r="BC103">
        <v>0</v>
      </c>
      <c r="BD103">
        <v>0</v>
      </c>
      <c r="BE103">
        <v>0</v>
      </c>
    </row>
    <row r="104" spans="1:57">
      <c r="A104" t="s">
        <v>16995</v>
      </c>
      <c r="B104" t="s">
        <v>16996</v>
      </c>
      <c r="C104">
        <v>0</v>
      </c>
      <c r="D104">
        <v>6</v>
      </c>
      <c r="E104">
        <v>0</v>
      </c>
      <c r="F104">
        <v>5</v>
      </c>
      <c r="G104">
        <v>3</v>
      </c>
      <c r="H104">
        <v>0</v>
      </c>
      <c r="I104">
        <v>1</v>
      </c>
      <c r="J104">
        <v>5</v>
      </c>
      <c r="K104">
        <v>79</v>
      </c>
      <c r="L104">
        <v>4</v>
      </c>
      <c r="M104">
        <v>1</v>
      </c>
      <c r="N104">
        <v>0</v>
      </c>
      <c r="O104">
        <v>0</v>
      </c>
      <c r="P104">
        <v>0</v>
      </c>
      <c r="Q104">
        <v>1</v>
      </c>
      <c r="R104">
        <v>0</v>
      </c>
      <c r="S104">
        <v>2.5</v>
      </c>
      <c r="T104">
        <v>1.25</v>
      </c>
      <c r="U104">
        <v>0</v>
      </c>
      <c r="V104">
        <v>3.75</v>
      </c>
      <c r="W104">
        <v>50</v>
      </c>
      <c r="X104">
        <v>0</v>
      </c>
      <c r="Y104">
        <v>4</v>
      </c>
      <c r="Z104">
        <v>0</v>
      </c>
      <c r="AA104">
        <v>0</v>
      </c>
      <c r="AB104">
        <v>0</v>
      </c>
      <c r="AC104">
        <v>0</v>
      </c>
      <c r="AD104">
        <v>0</v>
      </c>
      <c r="AE104">
        <v>0</v>
      </c>
      <c r="AF104">
        <v>0</v>
      </c>
      <c r="AG104">
        <v>50</v>
      </c>
      <c r="AH104">
        <v>50</v>
      </c>
      <c r="AI104">
        <v>0</v>
      </c>
      <c r="AJ104">
        <v>0</v>
      </c>
      <c r="AK104">
        <v>0</v>
      </c>
      <c r="AL104">
        <v>0</v>
      </c>
      <c r="AM104">
        <v>0</v>
      </c>
      <c r="AN104">
        <v>0</v>
      </c>
      <c r="AO104">
        <v>0</v>
      </c>
      <c r="AP104">
        <v>0</v>
      </c>
      <c r="AQ104">
        <v>0</v>
      </c>
      <c r="AR104">
        <v>0</v>
      </c>
      <c r="AS104">
        <v>0</v>
      </c>
      <c r="AT104">
        <v>79</v>
      </c>
      <c r="AU104">
        <v>0</v>
      </c>
      <c r="AV104">
        <v>79</v>
      </c>
      <c r="AW104">
        <v>0</v>
      </c>
      <c r="AX104">
        <v>2.5</v>
      </c>
      <c r="AY104">
        <v>0</v>
      </c>
      <c r="AZ104">
        <v>2.5</v>
      </c>
      <c r="BA104">
        <v>0</v>
      </c>
      <c r="BB104">
        <v>1.25</v>
      </c>
      <c r="BC104">
        <v>0</v>
      </c>
      <c r="BD104">
        <v>1.25</v>
      </c>
      <c r="BE104">
        <v>0</v>
      </c>
    </row>
    <row r="105" spans="1:57">
      <c r="A105" t="s">
        <v>16995</v>
      </c>
      <c r="B105" t="s">
        <v>16996</v>
      </c>
      <c r="C105">
        <v>0</v>
      </c>
      <c r="D105">
        <v>1</v>
      </c>
      <c r="E105">
        <v>1</v>
      </c>
      <c r="F105">
        <v>1</v>
      </c>
      <c r="G105">
        <v>0</v>
      </c>
      <c r="H105">
        <v>0</v>
      </c>
      <c r="I105">
        <v>0</v>
      </c>
      <c r="J105">
        <v>1</v>
      </c>
      <c r="K105">
        <v>16</v>
      </c>
      <c r="L105">
        <v>1</v>
      </c>
      <c r="M105">
        <v>0</v>
      </c>
      <c r="N105">
        <v>0</v>
      </c>
      <c r="O105">
        <v>0</v>
      </c>
      <c r="P105">
        <v>0</v>
      </c>
      <c r="Q105">
        <v>0</v>
      </c>
      <c r="R105">
        <v>0</v>
      </c>
      <c r="S105">
        <v>0.5</v>
      </c>
      <c r="T105">
        <v>0</v>
      </c>
      <c r="U105">
        <v>0</v>
      </c>
      <c r="V105">
        <v>0.5</v>
      </c>
      <c r="W105">
        <v>5</v>
      </c>
      <c r="X105">
        <v>0</v>
      </c>
      <c r="Y105">
        <v>0</v>
      </c>
      <c r="Z105">
        <v>1</v>
      </c>
      <c r="AA105">
        <v>0</v>
      </c>
      <c r="AB105">
        <v>0</v>
      </c>
      <c r="AC105">
        <v>0</v>
      </c>
      <c r="AD105">
        <v>0</v>
      </c>
      <c r="AE105">
        <v>0</v>
      </c>
      <c r="AF105">
        <v>0</v>
      </c>
      <c r="AG105">
        <v>5</v>
      </c>
      <c r="AH105">
        <v>5</v>
      </c>
      <c r="AI105">
        <v>0</v>
      </c>
      <c r="AJ105">
        <v>0</v>
      </c>
      <c r="AK105">
        <v>0</v>
      </c>
      <c r="AL105">
        <v>0</v>
      </c>
      <c r="AM105">
        <v>0</v>
      </c>
      <c r="AN105">
        <v>0</v>
      </c>
      <c r="AO105">
        <v>0</v>
      </c>
      <c r="AP105">
        <v>0</v>
      </c>
      <c r="AQ105">
        <v>0</v>
      </c>
      <c r="AR105">
        <v>0</v>
      </c>
      <c r="AS105">
        <v>0</v>
      </c>
      <c r="AT105">
        <v>16</v>
      </c>
      <c r="AU105">
        <v>0</v>
      </c>
      <c r="AV105">
        <v>16</v>
      </c>
      <c r="AW105">
        <v>0</v>
      </c>
      <c r="AX105">
        <v>0.5</v>
      </c>
      <c r="AY105">
        <v>0</v>
      </c>
      <c r="AZ105">
        <v>0.5</v>
      </c>
      <c r="BA105">
        <v>0</v>
      </c>
      <c r="BB105">
        <v>0</v>
      </c>
      <c r="BC105">
        <v>0</v>
      </c>
      <c r="BD105">
        <v>0</v>
      </c>
      <c r="BE105">
        <v>0</v>
      </c>
    </row>
    <row r="106" spans="1:57">
      <c r="A106" t="s">
        <v>16995</v>
      </c>
      <c r="B106" t="s">
        <v>16996</v>
      </c>
      <c r="C106">
        <v>3</v>
      </c>
      <c r="D106">
        <v>34</v>
      </c>
      <c r="E106">
        <v>30</v>
      </c>
      <c r="F106">
        <v>18</v>
      </c>
      <c r="G106">
        <v>8</v>
      </c>
      <c r="H106">
        <v>1</v>
      </c>
      <c r="I106">
        <v>0</v>
      </c>
      <c r="J106">
        <v>31</v>
      </c>
      <c r="K106">
        <v>790</v>
      </c>
      <c r="L106">
        <v>15</v>
      </c>
      <c r="M106">
        <v>6</v>
      </c>
      <c r="N106">
        <v>4</v>
      </c>
      <c r="O106">
        <v>6</v>
      </c>
      <c r="P106">
        <v>1</v>
      </c>
      <c r="Q106">
        <v>2</v>
      </c>
      <c r="R106">
        <v>0</v>
      </c>
      <c r="S106">
        <v>11.75</v>
      </c>
      <c r="T106">
        <v>9.75</v>
      </c>
      <c r="U106">
        <v>0</v>
      </c>
      <c r="V106">
        <v>21.5</v>
      </c>
      <c r="W106">
        <v>222.5</v>
      </c>
      <c r="X106">
        <v>0</v>
      </c>
      <c r="Y106">
        <v>13</v>
      </c>
      <c r="Z106">
        <v>0</v>
      </c>
      <c r="AA106">
        <v>-90</v>
      </c>
      <c r="AB106">
        <v>75</v>
      </c>
      <c r="AC106">
        <v>0</v>
      </c>
      <c r="AD106">
        <v>0</v>
      </c>
      <c r="AE106">
        <v>0</v>
      </c>
      <c r="AF106">
        <v>75</v>
      </c>
      <c r="AG106">
        <v>222.5</v>
      </c>
      <c r="AH106">
        <v>222.5</v>
      </c>
      <c r="AI106">
        <v>0</v>
      </c>
      <c r="AJ106">
        <v>0</v>
      </c>
      <c r="AK106">
        <v>15</v>
      </c>
      <c r="AL106">
        <v>15</v>
      </c>
      <c r="AM106">
        <v>0</v>
      </c>
      <c r="AN106">
        <v>0</v>
      </c>
      <c r="AO106">
        <v>0</v>
      </c>
      <c r="AP106">
        <v>0</v>
      </c>
      <c r="AQ106">
        <v>0</v>
      </c>
      <c r="AR106">
        <v>0</v>
      </c>
      <c r="AS106">
        <v>0</v>
      </c>
      <c r="AT106">
        <v>790</v>
      </c>
      <c r="AU106">
        <v>5</v>
      </c>
      <c r="AV106">
        <v>641</v>
      </c>
      <c r="AW106">
        <v>144</v>
      </c>
      <c r="AX106">
        <v>11.75</v>
      </c>
      <c r="AY106">
        <v>0.5</v>
      </c>
      <c r="AZ106">
        <v>9.25</v>
      </c>
      <c r="BA106">
        <v>2</v>
      </c>
      <c r="BB106">
        <v>9.75</v>
      </c>
      <c r="BC106">
        <v>0.5</v>
      </c>
      <c r="BD106">
        <v>5.75</v>
      </c>
      <c r="BE106">
        <v>3.5</v>
      </c>
    </row>
    <row r="107" spans="1:57">
      <c r="A107" t="s">
        <v>16995</v>
      </c>
      <c r="B107" t="s">
        <v>16996</v>
      </c>
      <c r="C107">
        <v>0</v>
      </c>
      <c r="D107">
        <v>1</v>
      </c>
      <c r="E107">
        <v>0</v>
      </c>
      <c r="F107">
        <v>1</v>
      </c>
      <c r="G107">
        <v>0</v>
      </c>
      <c r="H107">
        <v>0</v>
      </c>
      <c r="I107">
        <v>0</v>
      </c>
      <c r="J107">
        <v>1</v>
      </c>
      <c r="K107">
        <v>1</v>
      </c>
      <c r="L107">
        <v>1</v>
      </c>
      <c r="M107">
        <v>0</v>
      </c>
      <c r="N107">
        <v>0</v>
      </c>
      <c r="O107">
        <v>0</v>
      </c>
      <c r="P107">
        <v>0</v>
      </c>
      <c r="Q107">
        <v>0</v>
      </c>
      <c r="R107">
        <v>0</v>
      </c>
      <c r="S107">
        <v>0.5</v>
      </c>
      <c r="T107">
        <v>0</v>
      </c>
      <c r="U107">
        <v>0</v>
      </c>
      <c r="V107">
        <v>0.5</v>
      </c>
      <c r="W107">
        <v>5</v>
      </c>
      <c r="X107">
        <v>0</v>
      </c>
      <c r="Y107">
        <v>1</v>
      </c>
      <c r="Z107">
        <v>0</v>
      </c>
      <c r="AA107">
        <v>0</v>
      </c>
      <c r="AB107">
        <v>0</v>
      </c>
      <c r="AC107">
        <v>0</v>
      </c>
      <c r="AD107">
        <v>0</v>
      </c>
      <c r="AE107">
        <v>0</v>
      </c>
      <c r="AF107">
        <v>0.3</v>
      </c>
      <c r="AG107">
        <v>5</v>
      </c>
      <c r="AH107">
        <v>5</v>
      </c>
      <c r="AI107">
        <v>0</v>
      </c>
      <c r="AJ107">
        <v>0</v>
      </c>
      <c r="AK107">
        <v>0</v>
      </c>
      <c r="AL107">
        <v>0</v>
      </c>
      <c r="AM107">
        <v>0</v>
      </c>
      <c r="AN107">
        <v>0</v>
      </c>
      <c r="AO107">
        <v>0</v>
      </c>
      <c r="AP107">
        <v>0</v>
      </c>
      <c r="AQ107">
        <v>0</v>
      </c>
      <c r="AR107">
        <v>0</v>
      </c>
      <c r="AS107">
        <v>0</v>
      </c>
      <c r="AT107">
        <v>1</v>
      </c>
      <c r="AU107">
        <v>0</v>
      </c>
      <c r="AV107">
        <v>1</v>
      </c>
      <c r="AW107">
        <v>0</v>
      </c>
      <c r="AX107">
        <v>0.5</v>
      </c>
      <c r="AY107">
        <v>0</v>
      </c>
      <c r="AZ107">
        <v>0.5</v>
      </c>
      <c r="BA107">
        <v>0</v>
      </c>
      <c r="BB107">
        <v>0</v>
      </c>
      <c r="BC107">
        <v>0</v>
      </c>
      <c r="BD107">
        <v>0</v>
      </c>
      <c r="BE107">
        <v>0</v>
      </c>
    </row>
    <row r="108" spans="1:57">
      <c r="A108" t="s">
        <v>16995</v>
      </c>
      <c r="B108" t="s">
        <v>16996</v>
      </c>
      <c r="C108">
        <v>0</v>
      </c>
      <c r="D108">
        <v>1</v>
      </c>
      <c r="E108">
        <v>1</v>
      </c>
      <c r="F108">
        <v>1</v>
      </c>
      <c r="G108">
        <v>0</v>
      </c>
      <c r="H108">
        <v>0</v>
      </c>
      <c r="I108">
        <v>0</v>
      </c>
      <c r="J108">
        <v>1</v>
      </c>
      <c r="K108">
        <v>10</v>
      </c>
      <c r="L108">
        <v>1</v>
      </c>
      <c r="M108">
        <v>0</v>
      </c>
      <c r="N108">
        <v>0</v>
      </c>
      <c r="O108">
        <v>0</v>
      </c>
      <c r="P108">
        <v>0</v>
      </c>
      <c r="Q108">
        <v>0</v>
      </c>
      <c r="R108">
        <v>0</v>
      </c>
      <c r="S108">
        <v>0.25</v>
      </c>
      <c r="T108">
        <v>0.25</v>
      </c>
      <c r="U108">
        <v>0</v>
      </c>
      <c r="V108">
        <v>0.5</v>
      </c>
      <c r="W108">
        <v>7.5</v>
      </c>
      <c r="X108">
        <v>0</v>
      </c>
      <c r="Y108">
        <v>1</v>
      </c>
      <c r="Z108">
        <v>0</v>
      </c>
      <c r="AA108">
        <v>0</v>
      </c>
      <c r="AB108">
        <v>0</v>
      </c>
      <c r="AC108">
        <v>0</v>
      </c>
      <c r="AD108">
        <v>0</v>
      </c>
      <c r="AE108">
        <v>0</v>
      </c>
      <c r="AF108">
        <v>0</v>
      </c>
      <c r="AG108">
        <v>7.5</v>
      </c>
      <c r="AH108">
        <v>7.5</v>
      </c>
      <c r="AI108">
        <v>0</v>
      </c>
      <c r="AJ108">
        <v>0</v>
      </c>
      <c r="AK108">
        <v>0</v>
      </c>
      <c r="AL108">
        <v>0</v>
      </c>
      <c r="AM108">
        <v>0</v>
      </c>
      <c r="AN108">
        <v>0</v>
      </c>
      <c r="AO108">
        <v>0</v>
      </c>
      <c r="AP108">
        <v>0</v>
      </c>
      <c r="AQ108">
        <v>0</v>
      </c>
      <c r="AR108">
        <v>0</v>
      </c>
      <c r="AS108">
        <v>0</v>
      </c>
      <c r="AT108">
        <v>10</v>
      </c>
      <c r="AU108">
        <v>0</v>
      </c>
      <c r="AV108">
        <v>10</v>
      </c>
      <c r="AW108">
        <v>0</v>
      </c>
      <c r="AX108">
        <v>0.25</v>
      </c>
      <c r="AY108">
        <v>0</v>
      </c>
      <c r="AZ108">
        <v>0.25</v>
      </c>
      <c r="BA108">
        <v>0</v>
      </c>
      <c r="BB108">
        <v>0.25</v>
      </c>
      <c r="BC108">
        <v>0</v>
      </c>
      <c r="BD108">
        <v>0.25</v>
      </c>
      <c r="BE108">
        <v>0</v>
      </c>
    </row>
    <row r="109" spans="1:57">
      <c r="A109" t="s">
        <v>16999</v>
      </c>
      <c r="B109" t="s">
        <v>17000</v>
      </c>
      <c r="C109">
        <v>0</v>
      </c>
      <c r="D109">
        <v>16</v>
      </c>
      <c r="E109">
        <v>0</v>
      </c>
      <c r="F109">
        <v>7</v>
      </c>
      <c r="G109">
        <v>3</v>
      </c>
      <c r="H109">
        <v>0</v>
      </c>
      <c r="I109">
        <v>1</v>
      </c>
      <c r="J109">
        <v>16</v>
      </c>
      <c r="K109">
        <v>120</v>
      </c>
      <c r="L109">
        <v>10</v>
      </c>
      <c r="M109">
        <v>4</v>
      </c>
      <c r="N109">
        <v>1</v>
      </c>
      <c r="O109">
        <v>1</v>
      </c>
      <c r="P109">
        <v>0</v>
      </c>
      <c r="Q109">
        <v>2</v>
      </c>
      <c r="R109">
        <v>0</v>
      </c>
      <c r="S109">
        <v>1</v>
      </c>
      <c r="T109">
        <v>6.5</v>
      </c>
      <c r="U109">
        <v>0</v>
      </c>
      <c r="V109">
        <v>7.5</v>
      </c>
      <c r="W109">
        <v>140</v>
      </c>
      <c r="X109">
        <v>0</v>
      </c>
      <c r="Y109">
        <v>1</v>
      </c>
      <c r="Z109">
        <v>0</v>
      </c>
      <c r="AA109">
        <v>0</v>
      </c>
      <c r="AB109">
        <v>55</v>
      </c>
      <c r="AC109">
        <v>0</v>
      </c>
      <c r="AD109">
        <v>0</v>
      </c>
      <c r="AE109">
        <v>0</v>
      </c>
      <c r="AF109">
        <v>55</v>
      </c>
      <c r="AG109">
        <v>140</v>
      </c>
      <c r="AH109">
        <v>140</v>
      </c>
      <c r="AI109">
        <v>0</v>
      </c>
      <c r="AJ109">
        <v>0</v>
      </c>
      <c r="AK109">
        <v>0</v>
      </c>
      <c r="AL109">
        <v>0</v>
      </c>
      <c r="AM109">
        <v>0</v>
      </c>
      <c r="AN109">
        <v>0</v>
      </c>
      <c r="AO109">
        <v>0</v>
      </c>
      <c r="AP109">
        <v>0</v>
      </c>
      <c r="AQ109">
        <v>0</v>
      </c>
      <c r="AR109">
        <v>0</v>
      </c>
      <c r="AS109">
        <v>0</v>
      </c>
      <c r="AT109">
        <v>120</v>
      </c>
      <c r="AU109">
        <v>0</v>
      </c>
      <c r="AV109">
        <v>120</v>
      </c>
      <c r="AW109">
        <v>0</v>
      </c>
      <c r="AX109">
        <v>1</v>
      </c>
      <c r="AY109">
        <v>0</v>
      </c>
      <c r="AZ109">
        <v>1</v>
      </c>
      <c r="BA109">
        <v>0</v>
      </c>
      <c r="BB109">
        <v>6.5</v>
      </c>
      <c r="BC109">
        <v>0</v>
      </c>
      <c r="BD109">
        <v>6.5</v>
      </c>
      <c r="BE109">
        <v>0</v>
      </c>
    </row>
    <row r="110" spans="1:57">
      <c r="A110" t="s">
        <v>16969</v>
      </c>
      <c r="B110" t="s">
        <v>17006</v>
      </c>
      <c r="C110">
        <v>2</v>
      </c>
      <c r="D110">
        <v>6</v>
      </c>
      <c r="E110">
        <v>0</v>
      </c>
      <c r="F110">
        <v>4</v>
      </c>
      <c r="G110">
        <v>0</v>
      </c>
      <c r="H110">
        <v>1</v>
      </c>
      <c r="I110">
        <v>1</v>
      </c>
      <c r="J110">
        <v>6</v>
      </c>
      <c r="K110">
        <v>76</v>
      </c>
      <c r="L110">
        <v>4</v>
      </c>
      <c r="M110">
        <v>0</v>
      </c>
      <c r="N110">
        <v>2</v>
      </c>
      <c r="O110">
        <v>0</v>
      </c>
      <c r="P110">
        <v>0</v>
      </c>
      <c r="Q110">
        <v>0</v>
      </c>
      <c r="R110">
        <v>0</v>
      </c>
      <c r="S110">
        <v>26</v>
      </c>
      <c r="T110">
        <v>71.5</v>
      </c>
      <c r="U110">
        <v>0</v>
      </c>
      <c r="V110">
        <v>97.5</v>
      </c>
      <c r="W110">
        <v>210</v>
      </c>
      <c r="X110">
        <v>0</v>
      </c>
      <c r="Y110">
        <v>4</v>
      </c>
      <c r="Z110">
        <v>0</v>
      </c>
      <c r="AA110">
        <v>-1480</v>
      </c>
      <c r="AB110">
        <v>130</v>
      </c>
      <c r="AC110">
        <v>55.65</v>
      </c>
      <c r="AD110">
        <v>53.12</v>
      </c>
      <c r="AE110">
        <v>55.65</v>
      </c>
      <c r="AF110">
        <v>183.12</v>
      </c>
      <c r="AG110">
        <v>265.64999999999998</v>
      </c>
      <c r="AH110">
        <v>210</v>
      </c>
      <c r="AI110">
        <v>0</v>
      </c>
      <c r="AJ110">
        <v>0</v>
      </c>
      <c r="AK110">
        <v>0</v>
      </c>
      <c r="AL110">
        <v>0</v>
      </c>
      <c r="AM110">
        <v>0</v>
      </c>
      <c r="AN110">
        <v>0</v>
      </c>
      <c r="AO110">
        <v>1</v>
      </c>
      <c r="AP110">
        <v>0</v>
      </c>
      <c r="AQ110">
        <v>0</v>
      </c>
      <c r="AR110">
        <v>0</v>
      </c>
      <c r="AS110">
        <v>0</v>
      </c>
      <c r="AT110">
        <v>76</v>
      </c>
      <c r="AU110">
        <v>34</v>
      </c>
      <c r="AV110">
        <v>37</v>
      </c>
      <c r="AW110">
        <v>39</v>
      </c>
      <c r="AX110">
        <v>26</v>
      </c>
      <c r="AY110">
        <v>18</v>
      </c>
      <c r="AZ110">
        <v>6</v>
      </c>
      <c r="BA110">
        <v>20</v>
      </c>
      <c r="BB110">
        <v>71.5</v>
      </c>
      <c r="BC110">
        <v>60</v>
      </c>
      <c r="BD110">
        <v>7.5</v>
      </c>
      <c r="BE110">
        <v>64</v>
      </c>
    </row>
    <row r="111" spans="1:57">
      <c r="A111" t="s">
        <v>16969</v>
      </c>
      <c r="B111" t="s">
        <v>22119</v>
      </c>
      <c r="C111">
        <v>0</v>
      </c>
      <c r="D111">
        <v>3</v>
      </c>
      <c r="E111">
        <v>3</v>
      </c>
      <c r="F111">
        <v>3</v>
      </c>
      <c r="G111">
        <v>0</v>
      </c>
      <c r="H111">
        <v>0</v>
      </c>
      <c r="I111">
        <v>0</v>
      </c>
      <c r="J111">
        <v>3</v>
      </c>
      <c r="K111">
        <v>17</v>
      </c>
      <c r="L111">
        <v>2</v>
      </c>
      <c r="M111">
        <v>0</v>
      </c>
      <c r="N111">
        <v>0</v>
      </c>
      <c r="O111">
        <v>1</v>
      </c>
      <c r="P111">
        <v>0</v>
      </c>
      <c r="Q111">
        <v>0</v>
      </c>
      <c r="R111">
        <v>0</v>
      </c>
      <c r="S111">
        <v>1.25</v>
      </c>
      <c r="T111">
        <v>0</v>
      </c>
      <c r="U111">
        <v>0</v>
      </c>
      <c r="V111">
        <v>1.25</v>
      </c>
      <c r="W111">
        <v>12.5</v>
      </c>
      <c r="X111">
        <v>0</v>
      </c>
      <c r="Y111">
        <v>3</v>
      </c>
      <c r="Z111">
        <v>0</v>
      </c>
      <c r="AA111">
        <v>0</v>
      </c>
      <c r="AB111">
        <v>0</v>
      </c>
      <c r="AC111">
        <v>0</v>
      </c>
      <c r="AD111">
        <v>0</v>
      </c>
      <c r="AE111">
        <v>0</v>
      </c>
      <c r="AF111">
        <v>0</v>
      </c>
      <c r="AG111">
        <v>12.5</v>
      </c>
      <c r="AH111">
        <v>12.5</v>
      </c>
      <c r="AI111">
        <v>0</v>
      </c>
      <c r="AJ111">
        <v>0</v>
      </c>
      <c r="AK111">
        <v>0</v>
      </c>
      <c r="AL111">
        <v>0</v>
      </c>
      <c r="AM111">
        <v>0</v>
      </c>
      <c r="AN111">
        <v>0</v>
      </c>
      <c r="AO111">
        <v>0</v>
      </c>
      <c r="AP111">
        <v>0</v>
      </c>
      <c r="AQ111">
        <v>0</v>
      </c>
      <c r="AR111">
        <v>0</v>
      </c>
      <c r="AS111">
        <v>0</v>
      </c>
      <c r="AT111">
        <v>17</v>
      </c>
      <c r="AU111">
        <v>0</v>
      </c>
      <c r="AV111">
        <v>17</v>
      </c>
      <c r="AW111">
        <v>0</v>
      </c>
      <c r="AX111">
        <v>1.25</v>
      </c>
      <c r="AY111">
        <v>0</v>
      </c>
      <c r="AZ111">
        <v>1.25</v>
      </c>
      <c r="BA111">
        <v>0</v>
      </c>
      <c r="BB111">
        <v>0</v>
      </c>
      <c r="BC111">
        <v>0</v>
      </c>
      <c r="BD111">
        <v>0</v>
      </c>
      <c r="BE111">
        <v>0</v>
      </c>
    </row>
    <row r="112" spans="1:57">
      <c r="A112" t="s">
        <v>16969</v>
      </c>
      <c r="B112" t="s">
        <v>19339</v>
      </c>
      <c r="C112">
        <v>0</v>
      </c>
      <c r="D112">
        <v>6</v>
      </c>
      <c r="E112">
        <v>6</v>
      </c>
      <c r="F112">
        <v>4</v>
      </c>
      <c r="G112">
        <v>2</v>
      </c>
      <c r="H112">
        <v>2</v>
      </c>
      <c r="I112">
        <v>1</v>
      </c>
      <c r="J112">
        <v>6</v>
      </c>
      <c r="K112">
        <v>72</v>
      </c>
      <c r="L112">
        <v>3</v>
      </c>
      <c r="M112">
        <v>2</v>
      </c>
      <c r="N112">
        <v>0</v>
      </c>
      <c r="O112">
        <v>1</v>
      </c>
      <c r="P112">
        <v>0</v>
      </c>
      <c r="Q112">
        <v>0</v>
      </c>
      <c r="R112">
        <v>0</v>
      </c>
      <c r="S112">
        <v>18</v>
      </c>
      <c r="T112">
        <v>0</v>
      </c>
      <c r="U112">
        <v>0</v>
      </c>
      <c r="V112">
        <v>18</v>
      </c>
      <c r="W112">
        <v>180</v>
      </c>
      <c r="X112">
        <v>0</v>
      </c>
      <c r="Y112">
        <v>0</v>
      </c>
      <c r="Z112">
        <v>6</v>
      </c>
      <c r="AA112">
        <v>0</v>
      </c>
      <c r="AB112">
        <v>0</v>
      </c>
      <c r="AC112">
        <v>0</v>
      </c>
      <c r="AD112">
        <v>0</v>
      </c>
      <c r="AE112">
        <v>0</v>
      </c>
      <c r="AF112">
        <v>0</v>
      </c>
      <c r="AG112">
        <v>180</v>
      </c>
      <c r="AH112">
        <v>180</v>
      </c>
      <c r="AI112">
        <v>0</v>
      </c>
      <c r="AJ112">
        <v>0</v>
      </c>
      <c r="AK112">
        <v>100</v>
      </c>
      <c r="AL112">
        <v>100</v>
      </c>
      <c r="AM112">
        <v>0</v>
      </c>
      <c r="AN112">
        <v>0</v>
      </c>
      <c r="AO112">
        <v>0</v>
      </c>
      <c r="AP112">
        <v>0</v>
      </c>
      <c r="AQ112">
        <v>0</v>
      </c>
      <c r="AR112">
        <v>0</v>
      </c>
      <c r="AS112">
        <v>0</v>
      </c>
      <c r="AT112">
        <v>72</v>
      </c>
      <c r="AU112">
        <v>38</v>
      </c>
      <c r="AV112">
        <v>34</v>
      </c>
      <c r="AW112">
        <v>0</v>
      </c>
      <c r="AX112">
        <v>18</v>
      </c>
      <c r="AY112">
        <v>10</v>
      </c>
      <c r="AZ112">
        <v>8</v>
      </c>
      <c r="BA112">
        <v>0</v>
      </c>
      <c r="BB112">
        <v>0</v>
      </c>
      <c r="BC112">
        <v>0</v>
      </c>
      <c r="BD112">
        <v>0</v>
      </c>
      <c r="BE112">
        <v>0</v>
      </c>
    </row>
    <row r="113" spans="1:57">
      <c r="A113" t="s">
        <v>16969</v>
      </c>
      <c r="B113" t="s">
        <v>21068</v>
      </c>
      <c r="C113">
        <v>1</v>
      </c>
      <c r="D113">
        <v>1</v>
      </c>
      <c r="E113">
        <v>1</v>
      </c>
      <c r="F113">
        <v>1</v>
      </c>
      <c r="G113">
        <v>0</v>
      </c>
      <c r="H113">
        <v>0</v>
      </c>
      <c r="I113">
        <v>0</v>
      </c>
      <c r="J113">
        <v>1</v>
      </c>
      <c r="K113">
        <v>1</v>
      </c>
      <c r="L113">
        <v>1</v>
      </c>
      <c r="M113">
        <v>0</v>
      </c>
      <c r="N113">
        <v>0</v>
      </c>
      <c r="O113">
        <v>0</v>
      </c>
      <c r="P113">
        <v>0</v>
      </c>
      <c r="Q113">
        <v>0</v>
      </c>
      <c r="R113">
        <v>0</v>
      </c>
      <c r="S113">
        <v>1</v>
      </c>
      <c r="T113">
        <v>0</v>
      </c>
      <c r="U113">
        <v>0</v>
      </c>
      <c r="V113">
        <v>1</v>
      </c>
      <c r="W113">
        <v>0</v>
      </c>
      <c r="X113">
        <v>0</v>
      </c>
      <c r="Y113">
        <v>0</v>
      </c>
      <c r="Z113">
        <v>0</v>
      </c>
      <c r="AA113">
        <v>-10</v>
      </c>
      <c r="AB113">
        <v>0</v>
      </c>
      <c r="AC113">
        <v>0</v>
      </c>
      <c r="AD113">
        <v>0</v>
      </c>
      <c r="AE113">
        <v>0</v>
      </c>
      <c r="AF113">
        <v>0</v>
      </c>
      <c r="AG113">
        <v>0</v>
      </c>
      <c r="AH113">
        <v>0</v>
      </c>
      <c r="AI113">
        <v>0</v>
      </c>
      <c r="AJ113">
        <v>0</v>
      </c>
      <c r="AK113">
        <v>0</v>
      </c>
      <c r="AL113">
        <v>0</v>
      </c>
      <c r="AM113">
        <v>1</v>
      </c>
      <c r="AN113">
        <v>0</v>
      </c>
      <c r="AO113">
        <v>0</v>
      </c>
      <c r="AP113">
        <v>0</v>
      </c>
      <c r="AQ113">
        <v>0</v>
      </c>
      <c r="AR113">
        <v>0</v>
      </c>
      <c r="AS113">
        <v>0</v>
      </c>
      <c r="AT113">
        <v>1</v>
      </c>
      <c r="AU113">
        <v>0</v>
      </c>
      <c r="AV113">
        <v>0</v>
      </c>
      <c r="AW113">
        <v>1</v>
      </c>
      <c r="AX113">
        <v>1</v>
      </c>
      <c r="AY113">
        <v>0</v>
      </c>
      <c r="AZ113">
        <v>0</v>
      </c>
      <c r="BA113">
        <v>1</v>
      </c>
      <c r="BB113">
        <v>0</v>
      </c>
      <c r="BC113">
        <v>0</v>
      </c>
      <c r="BD113">
        <v>0</v>
      </c>
      <c r="BE113">
        <v>0</v>
      </c>
    </row>
    <row r="114" spans="1:57">
      <c r="A114" t="s">
        <v>16969</v>
      </c>
      <c r="B114" t="s">
        <v>21069</v>
      </c>
      <c r="C114">
        <v>0</v>
      </c>
      <c r="D114">
        <v>1</v>
      </c>
      <c r="E114">
        <v>0</v>
      </c>
      <c r="F114">
        <v>1</v>
      </c>
      <c r="G114">
        <v>1</v>
      </c>
      <c r="H114">
        <v>0</v>
      </c>
      <c r="I114">
        <v>0</v>
      </c>
      <c r="J114">
        <v>1</v>
      </c>
      <c r="K114">
        <v>7</v>
      </c>
      <c r="L114">
        <v>1</v>
      </c>
      <c r="M114">
        <v>0</v>
      </c>
      <c r="N114">
        <v>0</v>
      </c>
      <c r="O114">
        <v>0</v>
      </c>
      <c r="P114">
        <v>0</v>
      </c>
      <c r="Q114">
        <v>0</v>
      </c>
      <c r="R114">
        <v>0</v>
      </c>
      <c r="S114">
        <v>1</v>
      </c>
      <c r="T114">
        <v>1</v>
      </c>
      <c r="U114">
        <v>0</v>
      </c>
      <c r="V114">
        <v>2</v>
      </c>
      <c r="W114">
        <v>30</v>
      </c>
      <c r="X114">
        <v>0</v>
      </c>
      <c r="Y114">
        <v>1</v>
      </c>
      <c r="Z114">
        <v>0</v>
      </c>
      <c r="AA114">
        <v>0</v>
      </c>
      <c r="AB114">
        <v>0</v>
      </c>
      <c r="AC114">
        <v>0</v>
      </c>
      <c r="AD114">
        <v>0</v>
      </c>
      <c r="AE114">
        <v>0</v>
      </c>
      <c r="AF114">
        <v>0</v>
      </c>
      <c r="AG114">
        <v>30</v>
      </c>
      <c r="AH114">
        <v>0</v>
      </c>
      <c r="AI114">
        <v>0</v>
      </c>
      <c r="AJ114">
        <v>0</v>
      </c>
      <c r="AK114">
        <v>0</v>
      </c>
      <c r="AL114">
        <v>0</v>
      </c>
      <c r="AM114">
        <v>0</v>
      </c>
      <c r="AN114">
        <v>0</v>
      </c>
      <c r="AO114">
        <v>0</v>
      </c>
      <c r="AP114">
        <v>0</v>
      </c>
      <c r="AQ114">
        <v>0</v>
      </c>
      <c r="AR114">
        <v>0</v>
      </c>
      <c r="AS114">
        <v>0</v>
      </c>
      <c r="AT114">
        <v>7</v>
      </c>
      <c r="AU114">
        <v>0</v>
      </c>
      <c r="AV114">
        <v>7</v>
      </c>
      <c r="AW114">
        <v>0</v>
      </c>
      <c r="AX114">
        <v>1</v>
      </c>
      <c r="AY114">
        <v>0</v>
      </c>
      <c r="AZ114">
        <v>1</v>
      </c>
      <c r="BA114">
        <v>0</v>
      </c>
      <c r="BB114">
        <v>1</v>
      </c>
      <c r="BC114">
        <v>0</v>
      </c>
      <c r="BD114">
        <v>1</v>
      </c>
      <c r="BE114">
        <v>0</v>
      </c>
    </row>
    <row r="115" spans="1:57">
      <c r="A115" t="s">
        <v>16969</v>
      </c>
      <c r="B115" t="s">
        <v>17021</v>
      </c>
      <c r="C115">
        <v>0</v>
      </c>
      <c r="D115">
        <v>34</v>
      </c>
      <c r="E115">
        <v>34</v>
      </c>
      <c r="F115">
        <v>34</v>
      </c>
      <c r="G115">
        <v>0</v>
      </c>
      <c r="H115">
        <v>0</v>
      </c>
      <c r="I115">
        <v>0</v>
      </c>
      <c r="J115">
        <v>34</v>
      </c>
      <c r="K115">
        <v>348</v>
      </c>
      <c r="L115">
        <v>10</v>
      </c>
      <c r="M115">
        <v>8</v>
      </c>
      <c r="N115">
        <v>3</v>
      </c>
      <c r="O115">
        <v>13</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348</v>
      </c>
      <c r="AU115">
        <v>0</v>
      </c>
      <c r="AV115">
        <v>348</v>
      </c>
      <c r="AW115">
        <v>0</v>
      </c>
      <c r="AX115">
        <v>0</v>
      </c>
      <c r="AY115">
        <v>0</v>
      </c>
      <c r="AZ115">
        <v>0</v>
      </c>
      <c r="BA115">
        <v>0</v>
      </c>
      <c r="BB115">
        <v>0</v>
      </c>
      <c r="BC115">
        <v>0</v>
      </c>
      <c r="BD115">
        <v>0</v>
      </c>
      <c r="BE115">
        <v>0</v>
      </c>
    </row>
    <row r="116" spans="1:57">
      <c r="A116" t="s">
        <v>16969</v>
      </c>
      <c r="B116" t="s">
        <v>18809</v>
      </c>
      <c r="C116">
        <v>1</v>
      </c>
      <c r="D116">
        <v>14</v>
      </c>
      <c r="E116">
        <v>10</v>
      </c>
      <c r="F116">
        <v>14</v>
      </c>
      <c r="G116">
        <v>0</v>
      </c>
      <c r="H116">
        <v>0</v>
      </c>
      <c r="I116">
        <v>0</v>
      </c>
      <c r="J116">
        <v>14</v>
      </c>
      <c r="K116">
        <v>80</v>
      </c>
      <c r="L116">
        <v>6</v>
      </c>
      <c r="M116">
        <v>1</v>
      </c>
      <c r="N116">
        <v>6</v>
      </c>
      <c r="O116">
        <v>1</v>
      </c>
      <c r="P116">
        <v>0</v>
      </c>
      <c r="Q116">
        <v>0</v>
      </c>
      <c r="R116">
        <v>0</v>
      </c>
      <c r="S116">
        <v>6.25</v>
      </c>
      <c r="T116">
        <v>4.5</v>
      </c>
      <c r="U116">
        <v>0</v>
      </c>
      <c r="V116">
        <v>10.5</v>
      </c>
      <c r="W116">
        <v>150</v>
      </c>
      <c r="X116">
        <v>0</v>
      </c>
      <c r="Y116">
        <v>4</v>
      </c>
      <c r="Z116">
        <v>1</v>
      </c>
      <c r="AA116">
        <v>0</v>
      </c>
      <c r="AB116">
        <v>37.5</v>
      </c>
      <c r="AC116">
        <v>0</v>
      </c>
      <c r="AD116">
        <v>0</v>
      </c>
      <c r="AE116">
        <v>37.5</v>
      </c>
      <c r="AF116">
        <v>37.5</v>
      </c>
      <c r="AG116">
        <v>150</v>
      </c>
      <c r="AH116">
        <v>112.5</v>
      </c>
      <c r="AI116">
        <v>0</v>
      </c>
      <c r="AJ116">
        <v>0</v>
      </c>
      <c r="AK116">
        <v>0</v>
      </c>
      <c r="AL116">
        <v>0</v>
      </c>
      <c r="AM116">
        <v>0</v>
      </c>
      <c r="AN116">
        <v>1</v>
      </c>
      <c r="AO116">
        <v>0</v>
      </c>
      <c r="AP116">
        <v>0</v>
      </c>
      <c r="AQ116">
        <v>0</v>
      </c>
      <c r="AR116">
        <v>0</v>
      </c>
      <c r="AS116">
        <v>0</v>
      </c>
      <c r="AT116">
        <v>80</v>
      </c>
      <c r="AU116">
        <v>0</v>
      </c>
      <c r="AV116">
        <v>80</v>
      </c>
      <c r="AW116">
        <v>0</v>
      </c>
      <c r="AX116">
        <v>6</v>
      </c>
      <c r="AY116">
        <v>0</v>
      </c>
      <c r="AZ116">
        <v>6</v>
      </c>
      <c r="BA116">
        <v>0</v>
      </c>
      <c r="BB116">
        <v>4.5</v>
      </c>
      <c r="BC116">
        <v>0</v>
      </c>
      <c r="BD116">
        <v>4.5</v>
      </c>
      <c r="BE116">
        <v>0</v>
      </c>
    </row>
    <row r="117" spans="1:57">
      <c r="A117" t="s">
        <v>16969</v>
      </c>
      <c r="B117" t="s">
        <v>17024</v>
      </c>
      <c r="C117">
        <v>0</v>
      </c>
      <c r="D117">
        <v>34</v>
      </c>
      <c r="E117">
        <v>0</v>
      </c>
      <c r="F117">
        <v>34</v>
      </c>
      <c r="G117">
        <v>0</v>
      </c>
      <c r="H117">
        <v>0</v>
      </c>
      <c r="I117">
        <v>0</v>
      </c>
      <c r="J117">
        <v>34</v>
      </c>
      <c r="K117">
        <v>129</v>
      </c>
      <c r="L117">
        <v>0</v>
      </c>
      <c r="M117">
        <v>0</v>
      </c>
      <c r="N117">
        <v>0</v>
      </c>
      <c r="O117">
        <v>34</v>
      </c>
      <c r="P117">
        <v>0</v>
      </c>
      <c r="Q117">
        <v>0</v>
      </c>
      <c r="R117">
        <v>0</v>
      </c>
      <c r="S117">
        <v>16.5</v>
      </c>
      <c r="T117">
        <v>0</v>
      </c>
      <c r="U117">
        <v>0</v>
      </c>
      <c r="V117">
        <v>16.5</v>
      </c>
      <c r="W117">
        <v>165</v>
      </c>
      <c r="X117">
        <v>0</v>
      </c>
      <c r="Y117">
        <v>33</v>
      </c>
      <c r="Z117">
        <v>0</v>
      </c>
      <c r="AA117">
        <v>0</v>
      </c>
      <c r="AB117">
        <v>0</v>
      </c>
      <c r="AC117">
        <v>0</v>
      </c>
      <c r="AD117">
        <v>0</v>
      </c>
      <c r="AE117">
        <v>0</v>
      </c>
      <c r="AF117">
        <v>0</v>
      </c>
      <c r="AG117">
        <v>165</v>
      </c>
      <c r="AH117">
        <v>165</v>
      </c>
      <c r="AI117">
        <v>0</v>
      </c>
      <c r="AJ117">
        <v>0</v>
      </c>
      <c r="AK117">
        <v>0</v>
      </c>
      <c r="AL117">
        <v>0</v>
      </c>
      <c r="AM117">
        <v>0</v>
      </c>
      <c r="AN117">
        <v>0</v>
      </c>
      <c r="AO117">
        <v>0</v>
      </c>
      <c r="AP117">
        <v>0</v>
      </c>
      <c r="AQ117">
        <v>0</v>
      </c>
      <c r="AR117">
        <v>0</v>
      </c>
      <c r="AS117">
        <v>0</v>
      </c>
      <c r="AT117">
        <v>129</v>
      </c>
      <c r="AU117">
        <v>0</v>
      </c>
      <c r="AV117">
        <v>129</v>
      </c>
      <c r="AW117">
        <v>0</v>
      </c>
      <c r="AX117">
        <v>16.5</v>
      </c>
      <c r="AY117">
        <v>0</v>
      </c>
      <c r="AZ117">
        <v>16.5</v>
      </c>
      <c r="BA117">
        <v>0</v>
      </c>
      <c r="BB117">
        <v>0</v>
      </c>
      <c r="BC117">
        <v>0</v>
      </c>
      <c r="BD117">
        <v>0</v>
      </c>
      <c r="BE117">
        <v>0</v>
      </c>
    </row>
    <row r="118" spans="1:57">
      <c r="A118" t="s">
        <v>16969</v>
      </c>
      <c r="B118" t="s">
        <v>17328</v>
      </c>
      <c r="C118">
        <v>0</v>
      </c>
      <c r="D118">
        <v>6</v>
      </c>
      <c r="E118">
        <v>0</v>
      </c>
      <c r="F118">
        <v>0</v>
      </c>
      <c r="G118">
        <v>0</v>
      </c>
      <c r="H118">
        <v>0</v>
      </c>
      <c r="I118">
        <v>0</v>
      </c>
      <c r="J118">
        <v>6</v>
      </c>
      <c r="K118">
        <v>25</v>
      </c>
      <c r="L118">
        <v>4</v>
      </c>
      <c r="M118">
        <v>0</v>
      </c>
      <c r="N118">
        <v>0</v>
      </c>
      <c r="O118">
        <v>2</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25</v>
      </c>
      <c r="AU118">
        <v>0</v>
      </c>
      <c r="AV118">
        <v>25</v>
      </c>
      <c r="AW118">
        <v>0</v>
      </c>
      <c r="AX118">
        <v>0</v>
      </c>
      <c r="AY118">
        <v>0</v>
      </c>
      <c r="AZ118">
        <v>0</v>
      </c>
      <c r="BA118">
        <v>0</v>
      </c>
      <c r="BB118">
        <v>0</v>
      </c>
      <c r="BC118">
        <v>0</v>
      </c>
      <c r="BD118">
        <v>0</v>
      </c>
      <c r="BE118">
        <v>0</v>
      </c>
    </row>
    <row r="119" spans="1:57">
      <c r="A119" t="s">
        <v>16969</v>
      </c>
      <c r="B119" t="s">
        <v>17327</v>
      </c>
      <c r="C119">
        <v>0</v>
      </c>
      <c r="D119">
        <v>5</v>
      </c>
      <c r="E119">
        <v>5</v>
      </c>
      <c r="F119">
        <v>5</v>
      </c>
      <c r="G119">
        <v>0</v>
      </c>
      <c r="H119">
        <v>0</v>
      </c>
      <c r="I119">
        <v>0</v>
      </c>
      <c r="J119">
        <v>5</v>
      </c>
      <c r="K119">
        <v>9</v>
      </c>
      <c r="L119">
        <v>0</v>
      </c>
      <c r="M119">
        <v>5</v>
      </c>
      <c r="N119">
        <v>0</v>
      </c>
      <c r="O119">
        <v>0</v>
      </c>
      <c r="P119">
        <v>0</v>
      </c>
      <c r="Q119">
        <v>0</v>
      </c>
      <c r="R119">
        <v>0</v>
      </c>
      <c r="S119">
        <v>5</v>
      </c>
      <c r="T119">
        <v>0</v>
      </c>
      <c r="U119">
        <v>0</v>
      </c>
      <c r="V119">
        <v>5</v>
      </c>
      <c r="W119">
        <v>50</v>
      </c>
      <c r="X119">
        <v>0</v>
      </c>
      <c r="Y119">
        <v>5</v>
      </c>
      <c r="Z119">
        <v>0</v>
      </c>
      <c r="AA119">
        <v>0</v>
      </c>
      <c r="AB119">
        <v>0</v>
      </c>
      <c r="AC119">
        <v>0</v>
      </c>
      <c r="AD119">
        <v>0</v>
      </c>
      <c r="AE119">
        <v>0</v>
      </c>
      <c r="AF119">
        <v>0</v>
      </c>
      <c r="AG119">
        <v>50</v>
      </c>
      <c r="AH119">
        <v>50</v>
      </c>
      <c r="AI119">
        <v>0</v>
      </c>
      <c r="AJ119">
        <v>0</v>
      </c>
      <c r="AK119">
        <v>0</v>
      </c>
      <c r="AL119">
        <v>0</v>
      </c>
      <c r="AM119">
        <v>0</v>
      </c>
      <c r="AN119">
        <v>0</v>
      </c>
      <c r="AO119">
        <v>0</v>
      </c>
      <c r="AP119">
        <v>0</v>
      </c>
      <c r="AQ119">
        <v>0</v>
      </c>
      <c r="AR119">
        <v>0</v>
      </c>
      <c r="AS119">
        <v>0</v>
      </c>
      <c r="AT119">
        <v>9</v>
      </c>
      <c r="AU119">
        <v>0</v>
      </c>
      <c r="AV119">
        <v>9</v>
      </c>
      <c r="AW119">
        <v>0</v>
      </c>
      <c r="AX119">
        <v>5</v>
      </c>
      <c r="AY119">
        <v>0</v>
      </c>
      <c r="AZ119">
        <v>5</v>
      </c>
      <c r="BA119">
        <v>0</v>
      </c>
      <c r="BB119">
        <v>0</v>
      </c>
      <c r="BC119">
        <v>0</v>
      </c>
      <c r="BD119">
        <v>0</v>
      </c>
      <c r="BE119">
        <v>0</v>
      </c>
    </row>
    <row r="120" spans="1:57">
      <c r="A120" t="s">
        <v>16969</v>
      </c>
      <c r="B120" t="s">
        <v>17030</v>
      </c>
      <c r="C120">
        <v>0</v>
      </c>
      <c r="D120">
        <v>35</v>
      </c>
      <c r="E120">
        <v>34</v>
      </c>
      <c r="F120">
        <v>31</v>
      </c>
      <c r="G120">
        <v>1</v>
      </c>
      <c r="H120">
        <v>5</v>
      </c>
      <c r="I120">
        <v>0</v>
      </c>
      <c r="J120">
        <v>35</v>
      </c>
      <c r="K120">
        <v>355</v>
      </c>
      <c r="L120">
        <v>16</v>
      </c>
      <c r="M120">
        <v>16</v>
      </c>
      <c r="N120">
        <v>2</v>
      </c>
      <c r="O120">
        <v>1</v>
      </c>
      <c r="P120">
        <v>0</v>
      </c>
      <c r="Q120">
        <v>0</v>
      </c>
      <c r="R120">
        <v>0</v>
      </c>
      <c r="S120">
        <v>41.75</v>
      </c>
      <c r="T120">
        <v>2.75</v>
      </c>
      <c r="U120">
        <v>0</v>
      </c>
      <c r="V120">
        <v>44.5</v>
      </c>
      <c r="W120">
        <v>472.5</v>
      </c>
      <c r="X120">
        <v>0</v>
      </c>
      <c r="Y120">
        <v>18</v>
      </c>
      <c r="Z120">
        <v>0</v>
      </c>
      <c r="AA120">
        <v>0</v>
      </c>
      <c r="AB120">
        <v>277.5</v>
      </c>
      <c r="AC120">
        <v>0</v>
      </c>
      <c r="AD120">
        <v>20</v>
      </c>
      <c r="AE120">
        <v>275</v>
      </c>
      <c r="AF120">
        <v>297.5</v>
      </c>
      <c r="AG120">
        <v>472.5</v>
      </c>
      <c r="AH120">
        <v>197.5</v>
      </c>
      <c r="AI120">
        <v>275</v>
      </c>
      <c r="AJ120">
        <v>275</v>
      </c>
      <c r="AK120">
        <v>372.5</v>
      </c>
      <c r="AL120">
        <v>97.5</v>
      </c>
      <c r="AM120">
        <v>0</v>
      </c>
      <c r="AN120">
        <v>0</v>
      </c>
      <c r="AO120">
        <v>0</v>
      </c>
      <c r="AP120">
        <v>2</v>
      </c>
      <c r="AQ120">
        <v>0</v>
      </c>
      <c r="AR120">
        <v>0</v>
      </c>
      <c r="AS120">
        <v>0</v>
      </c>
      <c r="AT120">
        <v>355</v>
      </c>
      <c r="AU120">
        <v>197</v>
      </c>
      <c r="AV120">
        <v>158</v>
      </c>
      <c r="AW120">
        <v>0</v>
      </c>
      <c r="AX120">
        <v>41.75</v>
      </c>
      <c r="AY120">
        <v>37.25</v>
      </c>
      <c r="AZ120">
        <v>4.5</v>
      </c>
      <c r="BA120">
        <v>0</v>
      </c>
      <c r="BB120">
        <v>2.75</v>
      </c>
      <c r="BC120">
        <v>0</v>
      </c>
      <c r="BD120">
        <v>2.75</v>
      </c>
      <c r="BE120">
        <v>0</v>
      </c>
    </row>
    <row r="121" spans="1:57">
      <c r="A121" t="s">
        <v>16969</v>
      </c>
      <c r="B121" t="s">
        <v>19340</v>
      </c>
      <c r="C121">
        <v>0</v>
      </c>
      <c r="D121">
        <v>52</v>
      </c>
      <c r="E121">
        <v>0</v>
      </c>
      <c r="F121">
        <v>51</v>
      </c>
      <c r="G121">
        <v>0</v>
      </c>
      <c r="H121">
        <v>0</v>
      </c>
      <c r="I121">
        <v>0</v>
      </c>
      <c r="J121">
        <v>52</v>
      </c>
      <c r="K121">
        <v>145</v>
      </c>
      <c r="L121">
        <v>32</v>
      </c>
      <c r="M121">
        <v>0</v>
      </c>
      <c r="N121">
        <v>20</v>
      </c>
      <c r="O121">
        <v>0</v>
      </c>
      <c r="P121">
        <v>0</v>
      </c>
      <c r="Q121">
        <v>0</v>
      </c>
      <c r="R121">
        <v>0</v>
      </c>
      <c r="S121">
        <v>32</v>
      </c>
      <c r="T121">
        <v>13.25</v>
      </c>
      <c r="U121">
        <v>0</v>
      </c>
      <c r="V121">
        <v>45.25</v>
      </c>
      <c r="W121">
        <v>585</v>
      </c>
      <c r="X121">
        <v>0</v>
      </c>
      <c r="Y121">
        <v>52</v>
      </c>
      <c r="Z121">
        <v>0</v>
      </c>
      <c r="AA121">
        <v>0</v>
      </c>
      <c r="AB121">
        <v>0</v>
      </c>
      <c r="AC121">
        <v>0</v>
      </c>
      <c r="AD121">
        <v>0</v>
      </c>
      <c r="AE121">
        <v>0</v>
      </c>
      <c r="AF121">
        <v>0</v>
      </c>
      <c r="AG121">
        <v>585</v>
      </c>
      <c r="AH121">
        <v>585</v>
      </c>
      <c r="AI121">
        <v>0</v>
      </c>
      <c r="AJ121">
        <v>0</v>
      </c>
      <c r="AK121">
        <v>0</v>
      </c>
      <c r="AL121">
        <v>0</v>
      </c>
      <c r="AM121">
        <v>0</v>
      </c>
      <c r="AN121">
        <v>0</v>
      </c>
      <c r="AO121">
        <v>0</v>
      </c>
      <c r="AP121">
        <v>0</v>
      </c>
      <c r="AQ121">
        <v>0</v>
      </c>
      <c r="AR121">
        <v>0</v>
      </c>
      <c r="AS121">
        <v>0</v>
      </c>
      <c r="AT121">
        <v>145</v>
      </c>
      <c r="AU121">
        <v>0</v>
      </c>
      <c r="AV121">
        <v>145</v>
      </c>
      <c r="AW121">
        <v>0</v>
      </c>
      <c r="AX121">
        <v>32</v>
      </c>
      <c r="AY121">
        <v>0</v>
      </c>
      <c r="AZ121">
        <v>32</v>
      </c>
      <c r="BA121">
        <v>0</v>
      </c>
      <c r="BB121">
        <v>13.25</v>
      </c>
      <c r="BC121">
        <v>0</v>
      </c>
      <c r="BD121">
        <v>13.25</v>
      </c>
      <c r="BE121">
        <v>0</v>
      </c>
    </row>
    <row r="122" spans="1:57">
      <c r="A122" t="s">
        <v>16969</v>
      </c>
      <c r="B122" t="s">
        <v>22084</v>
      </c>
      <c r="C122">
        <v>0</v>
      </c>
      <c r="D122">
        <v>2</v>
      </c>
      <c r="E122">
        <v>2</v>
      </c>
      <c r="F122">
        <v>2</v>
      </c>
      <c r="G122">
        <v>0</v>
      </c>
      <c r="H122">
        <v>0</v>
      </c>
      <c r="I122">
        <v>0</v>
      </c>
      <c r="J122">
        <v>2</v>
      </c>
      <c r="K122">
        <v>2</v>
      </c>
      <c r="L122">
        <v>2</v>
      </c>
      <c r="M122">
        <v>0</v>
      </c>
      <c r="N122">
        <v>0</v>
      </c>
      <c r="O122">
        <v>0</v>
      </c>
      <c r="P122">
        <v>0</v>
      </c>
      <c r="Q122">
        <v>0</v>
      </c>
      <c r="R122">
        <v>0</v>
      </c>
      <c r="S122">
        <v>0.4</v>
      </c>
      <c r="T122">
        <v>0</v>
      </c>
      <c r="U122">
        <v>0</v>
      </c>
      <c r="V122">
        <v>0.4</v>
      </c>
      <c r="W122">
        <v>4</v>
      </c>
      <c r="X122">
        <v>0</v>
      </c>
      <c r="Y122">
        <v>2</v>
      </c>
      <c r="Z122">
        <v>0</v>
      </c>
      <c r="AA122">
        <v>0</v>
      </c>
      <c r="AB122">
        <v>0</v>
      </c>
      <c r="AC122">
        <v>0</v>
      </c>
      <c r="AD122">
        <v>0</v>
      </c>
      <c r="AE122">
        <v>0</v>
      </c>
      <c r="AF122">
        <v>0</v>
      </c>
      <c r="AG122">
        <v>4</v>
      </c>
      <c r="AH122">
        <v>4</v>
      </c>
      <c r="AI122">
        <v>0</v>
      </c>
      <c r="AJ122">
        <v>0</v>
      </c>
      <c r="AK122">
        <v>0</v>
      </c>
      <c r="AL122">
        <v>0</v>
      </c>
      <c r="AM122">
        <v>0</v>
      </c>
      <c r="AN122">
        <v>0</v>
      </c>
      <c r="AO122">
        <v>0</v>
      </c>
      <c r="AP122">
        <v>0</v>
      </c>
      <c r="AQ122">
        <v>0</v>
      </c>
      <c r="AR122">
        <v>0</v>
      </c>
      <c r="AS122">
        <v>0</v>
      </c>
      <c r="AT122">
        <v>2</v>
      </c>
      <c r="AU122">
        <v>0</v>
      </c>
      <c r="AV122">
        <v>2</v>
      </c>
      <c r="AW122">
        <v>0</v>
      </c>
      <c r="AX122">
        <v>0.4</v>
      </c>
      <c r="AY122">
        <v>0</v>
      </c>
      <c r="AZ122">
        <v>0.4</v>
      </c>
      <c r="BA122">
        <v>0</v>
      </c>
      <c r="BB122">
        <v>0</v>
      </c>
      <c r="BC122">
        <v>0</v>
      </c>
      <c r="BD122">
        <v>0</v>
      </c>
      <c r="BE122">
        <v>0</v>
      </c>
    </row>
    <row r="123" spans="1:57">
      <c r="A123" t="s">
        <v>16898</v>
      </c>
      <c r="B123" t="s">
        <v>16934</v>
      </c>
      <c r="C123">
        <v>0</v>
      </c>
      <c r="D123">
        <v>1</v>
      </c>
      <c r="E123">
        <v>0</v>
      </c>
      <c r="F123">
        <v>1</v>
      </c>
      <c r="G123">
        <v>0</v>
      </c>
      <c r="H123">
        <v>0</v>
      </c>
      <c r="I123">
        <v>0</v>
      </c>
      <c r="J123">
        <v>1</v>
      </c>
      <c r="K123">
        <v>21</v>
      </c>
      <c r="L123">
        <v>1</v>
      </c>
      <c r="M123">
        <v>0</v>
      </c>
      <c r="N123">
        <v>0</v>
      </c>
      <c r="O123">
        <v>0</v>
      </c>
      <c r="P123">
        <v>0</v>
      </c>
      <c r="Q123">
        <v>0</v>
      </c>
      <c r="R123">
        <v>0</v>
      </c>
      <c r="S123">
        <v>2</v>
      </c>
      <c r="T123">
        <v>0</v>
      </c>
      <c r="U123">
        <v>0</v>
      </c>
      <c r="V123">
        <v>2</v>
      </c>
      <c r="W123">
        <v>20</v>
      </c>
      <c r="X123">
        <v>0</v>
      </c>
      <c r="Y123">
        <v>0</v>
      </c>
      <c r="Z123">
        <v>1</v>
      </c>
      <c r="AA123">
        <v>0</v>
      </c>
      <c r="AB123">
        <v>0</v>
      </c>
      <c r="AC123">
        <v>0</v>
      </c>
      <c r="AD123">
        <v>0</v>
      </c>
      <c r="AE123">
        <v>0</v>
      </c>
      <c r="AF123">
        <v>0</v>
      </c>
      <c r="AG123">
        <v>20</v>
      </c>
      <c r="AH123">
        <v>20</v>
      </c>
      <c r="AI123">
        <v>0</v>
      </c>
      <c r="AJ123">
        <v>0</v>
      </c>
      <c r="AK123">
        <v>0</v>
      </c>
      <c r="AL123">
        <v>0</v>
      </c>
      <c r="AM123">
        <v>0</v>
      </c>
      <c r="AN123">
        <v>0</v>
      </c>
      <c r="AO123">
        <v>0</v>
      </c>
      <c r="AP123">
        <v>0</v>
      </c>
      <c r="AQ123">
        <v>0</v>
      </c>
      <c r="AR123">
        <v>0</v>
      </c>
      <c r="AS123">
        <v>0</v>
      </c>
      <c r="AT123">
        <v>21</v>
      </c>
      <c r="AU123">
        <v>0</v>
      </c>
      <c r="AV123">
        <v>21</v>
      </c>
      <c r="AW123">
        <v>0</v>
      </c>
      <c r="AX123">
        <v>2</v>
      </c>
      <c r="AY123">
        <v>0</v>
      </c>
      <c r="AZ123">
        <v>2</v>
      </c>
      <c r="BA123">
        <v>0</v>
      </c>
      <c r="BB123">
        <v>0</v>
      </c>
      <c r="BC123">
        <v>0</v>
      </c>
      <c r="BD123">
        <v>0</v>
      </c>
      <c r="BE123">
        <v>0</v>
      </c>
    </row>
    <row r="124" spans="1:57">
      <c r="A124" t="s">
        <v>16898</v>
      </c>
      <c r="B124" t="s">
        <v>16899</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row>
    <row r="125" spans="1:57">
      <c r="A125" t="s">
        <v>16898</v>
      </c>
      <c r="B125" t="s">
        <v>17032</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row>
    <row r="126" spans="1:57">
      <c r="A126" t="s">
        <v>16898</v>
      </c>
      <c r="B126" t="s">
        <v>17009</v>
      </c>
      <c r="C126">
        <v>0</v>
      </c>
      <c r="D126">
        <v>3</v>
      </c>
      <c r="E126">
        <v>0</v>
      </c>
      <c r="F126">
        <v>3</v>
      </c>
      <c r="G126">
        <v>0</v>
      </c>
      <c r="H126">
        <v>0</v>
      </c>
      <c r="I126">
        <v>0</v>
      </c>
      <c r="J126">
        <v>3</v>
      </c>
      <c r="K126">
        <v>14</v>
      </c>
      <c r="L126">
        <v>2</v>
      </c>
      <c r="M126">
        <v>0</v>
      </c>
      <c r="N126">
        <v>1</v>
      </c>
      <c r="O126">
        <v>0</v>
      </c>
      <c r="P126">
        <v>0</v>
      </c>
      <c r="Q126">
        <v>0</v>
      </c>
      <c r="R126">
        <v>0</v>
      </c>
      <c r="S126">
        <v>2</v>
      </c>
      <c r="T126">
        <v>0.5</v>
      </c>
      <c r="U126">
        <v>0</v>
      </c>
      <c r="V126">
        <v>2.5</v>
      </c>
      <c r="W126">
        <v>30</v>
      </c>
      <c r="X126">
        <v>0.53</v>
      </c>
      <c r="Y126">
        <v>3</v>
      </c>
      <c r="Z126">
        <v>0</v>
      </c>
      <c r="AA126">
        <v>0</v>
      </c>
      <c r="AB126">
        <v>0</v>
      </c>
      <c r="AC126">
        <v>0.57999999999999996</v>
      </c>
      <c r="AD126">
        <v>0.05</v>
      </c>
      <c r="AE126">
        <v>0</v>
      </c>
      <c r="AF126">
        <v>0.05</v>
      </c>
      <c r="AG126">
        <v>31.11</v>
      </c>
      <c r="AH126">
        <v>31.11</v>
      </c>
      <c r="AI126">
        <v>0</v>
      </c>
      <c r="AJ126">
        <v>0</v>
      </c>
      <c r="AK126">
        <v>0</v>
      </c>
      <c r="AL126">
        <v>0</v>
      </c>
      <c r="AM126">
        <v>0</v>
      </c>
      <c r="AN126">
        <v>0</v>
      </c>
      <c r="AO126">
        <v>0</v>
      </c>
      <c r="AP126">
        <v>0</v>
      </c>
      <c r="AQ126">
        <v>0</v>
      </c>
      <c r="AR126">
        <v>0</v>
      </c>
      <c r="AS126">
        <v>0</v>
      </c>
      <c r="AT126">
        <v>14</v>
      </c>
      <c r="AU126">
        <v>0</v>
      </c>
      <c r="AV126">
        <v>14</v>
      </c>
      <c r="AW126">
        <v>0</v>
      </c>
      <c r="AX126">
        <v>2</v>
      </c>
      <c r="AY126">
        <v>0</v>
      </c>
      <c r="AZ126">
        <v>2</v>
      </c>
      <c r="BA126">
        <v>0</v>
      </c>
      <c r="BB126">
        <v>0.5</v>
      </c>
      <c r="BC126">
        <v>0</v>
      </c>
      <c r="BD126">
        <v>0.5</v>
      </c>
      <c r="BE126">
        <v>0</v>
      </c>
    </row>
    <row r="127" spans="1:57">
      <c r="A127" t="s">
        <v>16898</v>
      </c>
      <c r="B127" t="s">
        <v>18812</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row>
    <row r="128" spans="1:57">
      <c r="A128" t="s">
        <v>16898</v>
      </c>
      <c r="B128" t="s">
        <v>21072</v>
      </c>
      <c r="C128">
        <v>0</v>
      </c>
      <c r="D128">
        <v>2</v>
      </c>
      <c r="E128">
        <v>2</v>
      </c>
      <c r="F128">
        <v>2</v>
      </c>
      <c r="G128">
        <v>0</v>
      </c>
      <c r="H128">
        <v>2</v>
      </c>
      <c r="I128">
        <v>0</v>
      </c>
      <c r="J128">
        <v>2</v>
      </c>
      <c r="K128">
        <v>13</v>
      </c>
      <c r="L128">
        <v>0</v>
      </c>
      <c r="M128">
        <v>0</v>
      </c>
      <c r="N128">
        <v>0</v>
      </c>
      <c r="O128">
        <v>0</v>
      </c>
      <c r="P128">
        <v>0</v>
      </c>
      <c r="Q128">
        <v>2</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13</v>
      </c>
      <c r="AU128">
        <v>13</v>
      </c>
      <c r="AV128">
        <v>0</v>
      </c>
      <c r="AW128">
        <v>0</v>
      </c>
      <c r="AX128">
        <v>0</v>
      </c>
      <c r="AY128">
        <v>0</v>
      </c>
      <c r="AZ128">
        <v>0</v>
      </c>
      <c r="BA128">
        <v>0</v>
      </c>
      <c r="BB128">
        <v>0</v>
      </c>
      <c r="BC128">
        <v>0</v>
      </c>
      <c r="BD128">
        <v>0</v>
      </c>
      <c r="BE128">
        <v>0</v>
      </c>
    </row>
    <row r="129" spans="1:57">
      <c r="A129" t="s">
        <v>16898</v>
      </c>
      <c r="B129" t="s">
        <v>17205</v>
      </c>
      <c r="C129">
        <v>0</v>
      </c>
      <c r="D129">
        <v>26</v>
      </c>
      <c r="E129">
        <v>2</v>
      </c>
      <c r="F129">
        <v>23</v>
      </c>
      <c r="G129">
        <v>0</v>
      </c>
      <c r="H129">
        <v>0</v>
      </c>
      <c r="I129">
        <v>0</v>
      </c>
      <c r="J129">
        <v>26</v>
      </c>
      <c r="K129">
        <v>97</v>
      </c>
      <c r="L129">
        <v>2</v>
      </c>
      <c r="M129">
        <v>0</v>
      </c>
      <c r="N129">
        <v>0</v>
      </c>
      <c r="O129">
        <v>21</v>
      </c>
      <c r="P129">
        <v>0</v>
      </c>
      <c r="Q129">
        <v>1</v>
      </c>
      <c r="R129">
        <v>0</v>
      </c>
      <c r="S129">
        <v>9.15</v>
      </c>
      <c r="T129">
        <v>7.25</v>
      </c>
      <c r="U129">
        <v>0</v>
      </c>
      <c r="V129">
        <v>16.399999999999999</v>
      </c>
      <c r="W129">
        <v>236.5</v>
      </c>
      <c r="X129">
        <v>0</v>
      </c>
      <c r="Y129">
        <v>1</v>
      </c>
      <c r="Z129">
        <v>1</v>
      </c>
      <c r="AA129">
        <v>0</v>
      </c>
      <c r="AB129">
        <v>190</v>
      </c>
      <c r="AC129">
        <v>33</v>
      </c>
      <c r="AD129">
        <v>12.45</v>
      </c>
      <c r="AE129">
        <v>136.75</v>
      </c>
      <c r="AF129">
        <v>202.45</v>
      </c>
      <c r="AG129">
        <v>269.5</v>
      </c>
      <c r="AH129">
        <v>101.2</v>
      </c>
      <c r="AI129">
        <v>0</v>
      </c>
      <c r="AJ129">
        <v>0</v>
      </c>
      <c r="AK129">
        <v>0</v>
      </c>
      <c r="AL129">
        <v>0</v>
      </c>
      <c r="AM129">
        <v>0</v>
      </c>
      <c r="AN129">
        <v>1</v>
      </c>
      <c r="AO129">
        <v>0</v>
      </c>
      <c r="AP129">
        <v>1</v>
      </c>
      <c r="AQ129">
        <v>0</v>
      </c>
      <c r="AR129">
        <v>0</v>
      </c>
      <c r="AS129">
        <v>0</v>
      </c>
      <c r="AT129">
        <v>97</v>
      </c>
      <c r="AU129">
        <v>0</v>
      </c>
      <c r="AV129">
        <v>97</v>
      </c>
      <c r="AW129">
        <v>0</v>
      </c>
      <c r="AX129">
        <v>9.15</v>
      </c>
      <c r="AY129">
        <v>0</v>
      </c>
      <c r="AZ129">
        <v>9.15</v>
      </c>
      <c r="BA129">
        <v>0</v>
      </c>
      <c r="BB129">
        <v>7.25</v>
      </c>
      <c r="BC129">
        <v>0</v>
      </c>
      <c r="BD129">
        <v>7.25</v>
      </c>
      <c r="BE129">
        <v>0</v>
      </c>
    </row>
    <row r="130" spans="1:57">
      <c r="A130" t="s">
        <v>16898</v>
      </c>
      <c r="B130" t="s">
        <v>17010</v>
      </c>
      <c r="C130">
        <v>0</v>
      </c>
      <c r="D130">
        <v>22</v>
      </c>
      <c r="E130">
        <v>22</v>
      </c>
      <c r="F130">
        <v>22</v>
      </c>
      <c r="G130">
        <v>5</v>
      </c>
      <c r="H130">
        <v>0</v>
      </c>
      <c r="I130">
        <v>0</v>
      </c>
      <c r="J130">
        <v>19</v>
      </c>
      <c r="K130">
        <v>270</v>
      </c>
      <c r="L130">
        <v>3</v>
      </c>
      <c r="M130">
        <v>2</v>
      </c>
      <c r="N130">
        <v>13</v>
      </c>
      <c r="O130">
        <v>0</v>
      </c>
      <c r="P130">
        <v>0</v>
      </c>
      <c r="Q130">
        <v>2</v>
      </c>
      <c r="R130">
        <v>0</v>
      </c>
      <c r="S130">
        <v>14.25</v>
      </c>
      <c r="T130">
        <v>34</v>
      </c>
      <c r="U130">
        <v>0</v>
      </c>
      <c r="V130">
        <v>48.25</v>
      </c>
      <c r="W130">
        <v>822.5</v>
      </c>
      <c r="X130">
        <v>0</v>
      </c>
      <c r="Y130">
        <v>17</v>
      </c>
      <c r="Z130">
        <v>3</v>
      </c>
      <c r="AA130">
        <v>0</v>
      </c>
      <c r="AB130">
        <v>290</v>
      </c>
      <c r="AC130">
        <v>301.39999999999998</v>
      </c>
      <c r="AD130">
        <v>301.39999999999998</v>
      </c>
      <c r="AE130">
        <v>367.15</v>
      </c>
      <c r="AF130">
        <v>591.4</v>
      </c>
      <c r="AG130">
        <v>1123.9000000000001</v>
      </c>
      <c r="AH130">
        <v>756.75</v>
      </c>
      <c r="AI130">
        <v>0</v>
      </c>
      <c r="AJ130">
        <v>0</v>
      </c>
      <c r="AK130">
        <v>0</v>
      </c>
      <c r="AL130">
        <v>0</v>
      </c>
      <c r="AM130">
        <v>0</v>
      </c>
      <c r="AN130">
        <v>9</v>
      </c>
      <c r="AO130">
        <v>0</v>
      </c>
      <c r="AP130">
        <v>1</v>
      </c>
      <c r="AQ130">
        <v>0</v>
      </c>
      <c r="AR130">
        <v>0</v>
      </c>
      <c r="AS130">
        <v>0</v>
      </c>
      <c r="AT130">
        <v>270</v>
      </c>
      <c r="AU130">
        <v>0</v>
      </c>
      <c r="AV130">
        <v>270</v>
      </c>
      <c r="AW130">
        <v>0</v>
      </c>
      <c r="AX130">
        <v>14.25</v>
      </c>
      <c r="AY130">
        <v>0</v>
      </c>
      <c r="AZ130">
        <v>14.25</v>
      </c>
      <c r="BA130">
        <v>0</v>
      </c>
      <c r="BB130">
        <v>34</v>
      </c>
      <c r="BC130">
        <v>0</v>
      </c>
      <c r="BD130">
        <v>34</v>
      </c>
      <c r="BE130">
        <v>0</v>
      </c>
    </row>
    <row r="131" spans="1:57">
      <c r="A131" t="s">
        <v>16898</v>
      </c>
      <c r="B131" t="s">
        <v>19977</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row>
    <row r="132" spans="1:57">
      <c r="A132" t="s">
        <v>16898</v>
      </c>
      <c r="B132" t="s">
        <v>17011</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row>
    <row r="133" spans="1:57">
      <c r="A133" t="s">
        <v>16898</v>
      </c>
      <c r="B133" t="s">
        <v>17033</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row>
    <row r="134" spans="1:57">
      <c r="A134" t="s">
        <v>16898</v>
      </c>
      <c r="B134" t="s">
        <v>17034</v>
      </c>
      <c r="C134">
        <v>0</v>
      </c>
      <c r="D134">
        <v>2</v>
      </c>
      <c r="E134">
        <v>2</v>
      </c>
      <c r="F134">
        <v>2</v>
      </c>
      <c r="G134">
        <v>0</v>
      </c>
      <c r="H134">
        <v>0</v>
      </c>
      <c r="I134">
        <v>0</v>
      </c>
      <c r="J134">
        <v>2</v>
      </c>
      <c r="K134">
        <v>15</v>
      </c>
      <c r="L134">
        <v>0</v>
      </c>
      <c r="M134">
        <v>0</v>
      </c>
      <c r="N134">
        <v>0</v>
      </c>
      <c r="O134">
        <v>0</v>
      </c>
      <c r="P134">
        <v>0</v>
      </c>
      <c r="Q134">
        <v>0</v>
      </c>
      <c r="R134">
        <v>0</v>
      </c>
      <c r="S134">
        <v>0.75</v>
      </c>
      <c r="T134">
        <v>0</v>
      </c>
      <c r="U134">
        <v>0</v>
      </c>
      <c r="V134">
        <v>0.75</v>
      </c>
      <c r="W134">
        <v>7.5</v>
      </c>
      <c r="X134">
        <v>0</v>
      </c>
      <c r="Y134">
        <v>2</v>
      </c>
      <c r="Z134">
        <v>0</v>
      </c>
      <c r="AA134">
        <v>0</v>
      </c>
      <c r="AB134">
        <v>0</v>
      </c>
      <c r="AC134">
        <v>0</v>
      </c>
      <c r="AD134">
        <v>0</v>
      </c>
      <c r="AE134">
        <v>0</v>
      </c>
      <c r="AF134">
        <v>0</v>
      </c>
      <c r="AG134">
        <v>7.5</v>
      </c>
      <c r="AH134">
        <v>7.5</v>
      </c>
      <c r="AI134">
        <v>0</v>
      </c>
      <c r="AJ134">
        <v>0</v>
      </c>
      <c r="AK134">
        <v>0</v>
      </c>
      <c r="AL134">
        <v>0</v>
      </c>
      <c r="AM134">
        <v>0</v>
      </c>
      <c r="AN134">
        <v>0</v>
      </c>
      <c r="AO134">
        <v>0</v>
      </c>
      <c r="AP134">
        <v>0</v>
      </c>
      <c r="AQ134">
        <v>0</v>
      </c>
      <c r="AR134">
        <v>0</v>
      </c>
      <c r="AS134">
        <v>0</v>
      </c>
      <c r="AT134">
        <v>15</v>
      </c>
      <c r="AU134">
        <v>0</v>
      </c>
      <c r="AV134">
        <v>15</v>
      </c>
      <c r="AW134">
        <v>0</v>
      </c>
      <c r="AX134">
        <v>0.75</v>
      </c>
      <c r="AY134">
        <v>0</v>
      </c>
      <c r="AZ134">
        <v>0.75</v>
      </c>
      <c r="BA134">
        <v>0</v>
      </c>
      <c r="BB134">
        <v>0</v>
      </c>
      <c r="BC134">
        <v>0</v>
      </c>
      <c r="BD134">
        <v>0</v>
      </c>
      <c r="BE134">
        <v>0</v>
      </c>
    </row>
    <row r="135" spans="1:57">
      <c r="A135" t="s">
        <v>17035</v>
      </c>
      <c r="B135" t="s">
        <v>17507</v>
      </c>
      <c r="C135">
        <v>0</v>
      </c>
      <c r="D135">
        <v>58</v>
      </c>
      <c r="E135">
        <v>52</v>
      </c>
      <c r="F135">
        <v>28</v>
      </c>
      <c r="G135">
        <v>0</v>
      </c>
      <c r="H135">
        <v>0</v>
      </c>
      <c r="I135">
        <v>0</v>
      </c>
      <c r="J135">
        <v>57</v>
      </c>
      <c r="K135">
        <v>590</v>
      </c>
      <c r="L135">
        <v>10</v>
      </c>
      <c r="M135">
        <v>8</v>
      </c>
      <c r="N135">
        <v>19</v>
      </c>
      <c r="O135">
        <v>15</v>
      </c>
      <c r="P135">
        <v>1</v>
      </c>
      <c r="Q135">
        <v>4</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590</v>
      </c>
      <c r="AU135">
        <v>0</v>
      </c>
      <c r="AV135">
        <v>590</v>
      </c>
      <c r="AW135">
        <v>0</v>
      </c>
      <c r="AX135">
        <v>0</v>
      </c>
      <c r="AY135">
        <v>0</v>
      </c>
      <c r="AZ135">
        <v>0</v>
      </c>
      <c r="BA135">
        <v>0</v>
      </c>
      <c r="BB135">
        <v>0</v>
      </c>
      <c r="BC135">
        <v>0</v>
      </c>
      <c r="BD135">
        <v>0</v>
      </c>
      <c r="BE135">
        <v>0</v>
      </c>
    </row>
    <row r="136" spans="1:57">
      <c r="A136" t="s">
        <v>16932</v>
      </c>
      <c r="B136" t="s">
        <v>17371</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row>
    <row r="137" spans="1:57">
      <c r="A137" t="s">
        <v>16932</v>
      </c>
      <c r="B137" t="s">
        <v>17361</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7">
      <c r="A138" t="s">
        <v>16932</v>
      </c>
      <c r="B138" t="s">
        <v>17036</v>
      </c>
      <c r="C138">
        <v>0</v>
      </c>
      <c r="D138">
        <v>52</v>
      </c>
      <c r="E138">
        <v>52</v>
      </c>
      <c r="F138">
        <v>49</v>
      </c>
      <c r="G138">
        <v>2</v>
      </c>
      <c r="H138">
        <v>28</v>
      </c>
      <c r="I138">
        <v>2</v>
      </c>
      <c r="J138">
        <v>52</v>
      </c>
      <c r="K138">
        <v>394</v>
      </c>
      <c r="L138">
        <v>24</v>
      </c>
      <c r="M138">
        <v>10</v>
      </c>
      <c r="N138">
        <v>10</v>
      </c>
      <c r="O138">
        <v>2</v>
      </c>
      <c r="P138">
        <v>1</v>
      </c>
      <c r="Q138">
        <v>7</v>
      </c>
      <c r="R138">
        <v>0</v>
      </c>
      <c r="S138">
        <v>60.75</v>
      </c>
      <c r="T138">
        <v>98.666700000000006</v>
      </c>
      <c r="U138">
        <v>0</v>
      </c>
      <c r="V138">
        <v>159.41669999999999</v>
      </c>
      <c r="W138">
        <v>2580.8339999999998</v>
      </c>
      <c r="X138">
        <v>0</v>
      </c>
      <c r="Y138">
        <v>37</v>
      </c>
      <c r="Z138">
        <v>0</v>
      </c>
      <c r="AA138">
        <v>0</v>
      </c>
      <c r="AB138">
        <v>1880.8340000000001</v>
      </c>
      <c r="AC138">
        <v>466.5</v>
      </c>
      <c r="AD138">
        <v>0</v>
      </c>
      <c r="AE138">
        <v>213.33</v>
      </c>
      <c r="AF138">
        <v>1880.8340000000001</v>
      </c>
      <c r="AG138">
        <v>3047.3339999999998</v>
      </c>
      <c r="AH138">
        <v>2834.0039999999999</v>
      </c>
      <c r="AI138">
        <v>193.33</v>
      </c>
      <c r="AJ138">
        <v>1175.8340000000001</v>
      </c>
      <c r="AK138">
        <v>1830.8340000000001</v>
      </c>
      <c r="AL138">
        <v>1637.5039999999999</v>
      </c>
      <c r="AM138">
        <v>0</v>
      </c>
      <c r="AN138">
        <v>2</v>
      </c>
      <c r="AO138">
        <v>0</v>
      </c>
      <c r="AP138">
        <v>1</v>
      </c>
      <c r="AQ138">
        <v>0</v>
      </c>
      <c r="AR138">
        <v>0</v>
      </c>
      <c r="AS138">
        <v>0</v>
      </c>
      <c r="AT138">
        <v>394</v>
      </c>
      <c r="AU138">
        <v>231</v>
      </c>
      <c r="AV138">
        <v>163</v>
      </c>
      <c r="AW138">
        <v>0</v>
      </c>
      <c r="AX138">
        <v>60.75</v>
      </c>
      <c r="AY138">
        <v>32.5</v>
      </c>
      <c r="AZ138">
        <v>28.25</v>
      </c>
      <c r="BA138">
        <v>0</v>
      </c>
      <c r="BB138">
        <v>98.666700000000006</v>
      </c>
      <c r="BC138">
        <v>65.916699999999992</v>
      </c>
      <c r="BD138">
        <v>32.75</v>
      </c>
      <c r="BE138">
        <v>0</v>
      </c>
    </row>
    <row r="139" spans="1:57">
      <c r="A139" t="s">
        <v>16932</v>
      </c>
      <c r="B139" t="s">
        <v>18815</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row>
    <row r="140" spans="1:57">
      <c r="A140" t="s">
        <v>16932</v>
      </c>
      <c r="B140" t="s">
        <v>17360</v>
      </c>
      <c r="C140">
        <v>0</v>
      </c>
      <c r="D140">
        <v>23</v>
      </c>
      <c r="E140">
        <v>1</v>
      </c>
      <c r="F140">
        <v>3</v>
      </c>
      <c r="G140">
        <v>1</v>
      </c>
      <c r="H140">
        <v>2</v>
      </c>
      <c r="I140">
        <v>0</v>
      </c>
      <c r="J140">
        <v>21</v>
      </c>
      <c r="K140">
        <v>202</v>
      </c>
      <c r="L140">
        <v>18</v>
      </c>
      <c r="M140">
        <v>0</v>
      </c>
      <c r="N140">
        <v>2</v>
      </c>
      <c r="O140">
        <v>1</v>
      </c>
      <c r="P140">
        <v>1</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202</v>
      </c>
      <c r="AU140">
        <v>22</v>
      </c>
      <c r="AV140">
        <v>180</v>
      </c>
      <c r="AW140">
        <v>0</v>
      </c>
      <c r="AX140">
        <v>0</v>
      </c>
      <c r="AY140">
        <v>0</v>
      </c>
      <c r="AZ140">
        <v>0</v>
      </c>
      <c r="BA140">
        <v>0</v>
      </c>
      <c r="BB140">
        <v>0</v>
      </c>
      <c r="BC140">
        <v>0</v>
      </c>
      <c r="BD140">
        <v>0</v>
      </c>
      <c r="BE140">
        <v>0</v>
      </c>
    </row>
    <row r="141" spans="1:57">
      <c r="A141" t="s">
        <v>16932</v>
      </c>
      <c r="B141" t="s">
        <v>18816</v>
      </c>
      <c r="C141">
        <v>0</v>
      </c>
      <c r="D141">
        <v>13</v>
      </c>
      <c r="E141">
        <v>0</v>
      </c>
      <c r="F141">
        <v>13</v>
      </c>
      <c r="G141">
        <v>0</v>
      </c>
      <c r="H141">
        <v>1</v>
      </c>
      <c r="I141">
        <v>0</v>
      </c>
      <c r="J141">
        <v>13</v>
      </c>
      <c r="K141">
        <v>96</v>
      </c>
      <c r="L141">
        <v>7</v>
      </c>
      <c r="M141">
        <v>1</v>
      </c>
      <c r="N141">
        <v>0</v>
      </c>
      <c r="O141">
        <v>5</v>
      </c>
      <c r="P141">
        <v>0</v>
      </c>
      <c r="Q141">
        <v>0</v>
      </c>
      <c r="R141">
        <v>0</v>
      </c>
      <c r="S141">
        <v>4.25</v>
      </c>
      <c r="T141">
        <v>2</v>
      </c>
      <c r="U141">
        <v>0</v>
      </c>
      <c r="V141">
        <v>6.25</v>
      </c>
      <c r="W141">
        <v>82.5</v>
      </c>
      <c r="X141">
        <v>0</v>
      </c>
      <c r="Y141">
        <v>0</v>
      </c>
      <c r="Z141">
        <v>7</v>
      </c>
      <c r="AA141">
        <v>0</v>
      </c>
      <c r="AB141">
        <v>0</v>
      </c>
      <c r="AC141">
        <v>0</v>
      </c>
      <c r="AD141">
        <v>0</v>
      </c>
      <c r="AE141">
        <v>0</v>
      </c>
      <c r="AF141">
        <v>0</v>
      </c>
      <c r="AG141">
        <v>82.5</v>
      </c>
      <c r="AH141">
        <v>82.5</v>
      </c>
      <c r="AI141">
        <v>0</v>
      </c>
      <c r="AJ141">
        <v>0</v>
      </c>
      <c r="AK141">
        <v>50</v>
      </c>
      <c r="AL141">
        <v>50</v>
      </c>
      <c r="AM141">
        <v>0</v>
      </c>
      <c r="AN141">
        <v>0</v>
      </c>
      <c r="AO141">
        <v>0</v>
      </c>
      <c r="AP141">
        <v>0</v>
      </c>
      <c r="AQ141">
        <v>0</v>
      </c>
      <c r="AR141">
        <v>0</v>
      </c>
      <c r="AS141">
        <v>0</v>
      </c>
      <c r="AT141">
        <v>96</v>
      </c>
      <c r="AU141">
        <v>20</v>
      </c>
      <c r="AV141">
        <v>76</v>
      </c>
      <c r="AW141">
        <v>0</v>
      </c>
      <c r="AX141">
        <v>4.25</v>
      </c>
      <c r="AY141">
        <v>1</v>
      </c>
      <c r="AZ141">
        <v>3.25</v>
      </c>
      <c r="BA141">
        <v>0</v>
      </c>
      <c r="BB141">
        <v>2</v>
      </c>
      <c r="BC141">
        <v>2</v>
      </c>
      <c r="BD141">
        <v>0</v>
      </c>
      <c r="BE141">
        <v>0</v>
      </c>
    </row>
    <row r="142" spans="1:57">
      <c r="A142" t="s">
        <v>16932</v>
      </c>
      <c r="B142" t="s">
        <v>18817</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row>
    <row r="143" spans="1:57">
      <c r="A143" t="s">
        <v>16932</v>
      </c>
      <c r="B143" t="s">
        <v>21064</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row>
    <row r="144" spans="1:57">
      <c r="A144" t="s">
        <v>16932</v>
      </c>
      <c r="B144" t="s">
        <v>17370</v>
      </c>
      <c r="C144">
        <v>0</v>
      </c>
      <c r="D144">
        <v>14</v>
      </c>
      <c r="E144">
        <v>1</v>
      </c>
      <c r="F144">
        <v>1</v>
      </c>
      <c r="G144">
        <v>0</v>
      </c>
      <c r="H144">
        <v>1</v>
      </c>
      <c r="I144">
        <v>0</v>
      </c>
      <c r="J144">
        <v>13</v>
      </c>
      <c r="K144">
        <v>62</v>
      </c>
      <c r="L144">
        <v>4</v>
      </c>
      <c r="M144">
        <v>8</v>
      </c>
      <c r="N144">
        <v>2</v>
      </c>
      <c r="O144">
        <v>0</v>
      </c>
      <c r="P144">
        <v>0</v>
      </c>
      <c r="Q144">
        <v>1</v>
      </c>
      <c r="R144">
        <v>0</v>
      </c>
      <c r="S144">
        <v>1</v>
      </c>
      <c r="T144">
        <v>27.25</v>
      </c>
      <c r="U144">
        <v>0</v>
      </c>
      <c r="V144">
        <v>28.25</v>
      </c>
      <c r="W144">
        <v>555</v>
      </c>
      <c r="X144">
        <v>0</v>
      </c>
      <c r="Y144">
        <v>3</v>
      </c>
      <c r="Z144">
        <v>0</v>
      </c>
      <c r="AA144">
        <v>0</v>
      </c>
      <c r="AB144">
        <v>475</v>
      </c>
      <c r="AC144">
        <v>108.44000000000005</v>
      </c>
      <c r="AD144">
        <v>110.31000000000006</v>
      </c>
      <c r="AE144">
        <v>0</v>
      </c>
      <c r="AF144">
        <v>585.31000000000006</v>
      </c>
      <c r="AG144">
        <v>663.44</v>
      </c>
      <c r="AH144">
        <v>663.44</v>
      </c>
      <c r="AI144">
        <v>0</v>
      </c>
      <c r="AJ144">
        <v>83.87</v>
      </c>
      <c r="AK144">
        <v>102</v>
      </c>
      <c r="AL144">
        <v>102</v>
      </c>
      <c r="AM144">
        <v>0</v>
      </c>
      <c r="AN144">
        <v>0</v>
      </c>
      <c r="AO144">
        <v>0</v>
      </c>
      <c r="AP144">
        <v>0</v>
      </c>
      <c r="AQ144">
        <v>0</v>
      </c>
      <c r="AR144">
        <v>0</v>
      </c>
      <c r="AS144">
        <v>0</v>
      </c>
      <c r="AT144">
        <v>62</v>
      </c>
      <c r="AU144">
        <v>0</v>
      </c>
      <c r="AV144">
        <v>62</v>
      </c>
      <c r="AW144">
        <v>0</v>
      </c>
      <c r="AX144">
        <v>1</v>
      </c>
      <c r="AY144">
        <v>0.5</v>
      </c>
      <c r="AZ144">
        <v>0.5</v>
      </c>
      <c r="BA144">
        <v>0</v>
      </c>
      <c r="BB144">
        <v>27.25</v>
      </c>
      <c r="BC144">
        <v>0.75</v>
      </c>
      <c r="BD144">
        <v>26.5</v>
      </c>
      <c r="BE144">
        <v>0</v>
      </c>
    </row>
    <row r="145" spans="1:57">
      <c r="A145" t="s">
        <v>17041</v>
      </c>
      <c r="B145" t="s">
        <v>17039</v>
      </c>
      <c r="C145">
        <v>4</v>
      </c>
      <c r="D145">
        <v>9</v>
      </c>
      <c r="E145">
        <v>9</v>
      </c>
      <c r="F145">
        <v>9</v>
      </c>
      <c r="G145">
        <v>2</v>
      </c>
      <c r="H145">
        <v>1</v>
      </c>
      <c r="I145">
        <v>1</v>
      </c>
      <c r="J145">
        <v>9</v>
      </c>
      <c r="K145">
        <v>51</v>
      </c>
      <c r="L145">
        <v>6</v>
      </c>
      <c r="M145">
        <v>0</v>
      </c>
      <c r="N145">
        <v>2</v>
      </c>
      <c r="O145">
        <v>1</v>
      </c>
      <c r="P145">
        <v>0</v>
      </c>
      <c r="Q145">
        <v>0</v>
      </c>
      <c r="R145">
        <v>0</v>
      </c>
      <c r="S145">
        <v>20</v>
      </c>
      <c r="T145">
        <v>0</v>
      </c>
      <c r="U145">
        <v>0</v>
      </c>
      <c r="V145">
        <v>20</v>
      </c>
      <c r="W145">
        <v>70</v>
      </c>
      <c r="X145">
        <v>0</v>
      </c>
      <c r="Y145">
        <v>5</v>
      </c>
      <c r="Z145">
        <v>0</v>
      </c>
      <c r="AA145">
        <v>-130</v>
      </c>
      <c r="AB145">
        <v>0</v>
      </c>
      <c r="AC145">
        <v>0</v>
      </c>
      <c r="AD145">
        <v>0</v>
      </c>
      <c r="AE145">
        <v>0</v>
      </c>
      <c r="AF145">
        <v>0</v>
      </c>
      <c r="AG145">
        <v>70</v>
      </c>
      <c r="AH145">
        <v>70</v>
      </c>
      <c r="AI145">
        <v>0</v>
      </c>
      <c r="AJ145">
        <v>0</v>
      </c>
      <c r="AK145">
        <v>0</v>
      </c>
      <c r="AL145">
        <v>0</v>
      </c>
      <c r="AM145">
        <v>0</v>
      </c>
      <c r="AN145">
        <v>0</v>
      </c>
      <c r="AO145">
        <v>0</v>
      </c>
      <c r="AP145">
        <v>0</v>
      </c>
      <c r="AQ145">
        <v>0</v>
      </c>
      <c r="AR145">
        <v>0</v>
      </c>
      <c r="AS145">
        <v>0</v>
      </c>
      <c r="AT145">
        <v>51</v>
      </c>
      <c r="AU145">
        <v>6</v>
      </c>
      <c r="AV145">
        <v>20</v>
      </c>
      <c r="AW145">
        <v>31</v>
      </c>
      <c r="AX145">
        <v>20</v>
      </c>
      <c r="AY145">
        <v>4</v>
      </c>
      <c r="AZ145">
        <v>7</v>
      </c>
      <c r="BA145">
        <v>13</v>
      </c>
      <c r="BB145">
        <v>0</v>
      </c>
      <c r="BC145">
        <v>0</v>
      </c>
      <c r="BD145">
        <v>0</v>
      </c>
      <c r="BE145">
        <v>0</v>
      </c>
    </row>
    <row r="146" spans="1:57">
      <c r="A146" t="s">
        <v>17041</v>
      </c>
      <c r="B146" t="s">
        <v>22085</v>
      </c>
      <c r="C146">
        <v>0</v>
      </c>
      <c r="D146">
        <v>8</v>
      </c>
      <c r="E146">
        <v>8</v>
      </c>
      <c r="F146">
        <v>8</v>
      </c>
      <c r="G146">
        <v>0</v>
      </c>
      <c r="H146">
        <v>3</v>
      </c>
      <c r="I146">
        <v>1</v>
      </c>
      <c r="J146">
        <v>8</v>
      </c>
      <c r="K146">
        <v>100</v>
      </c>
      <c r="L146">
        <v>1</v>
      </c>
      <c r="M146">
        <v>1</v>
      </c>
      <c r="N146">
        <v>6</v>
      </c>
      <c r="O146">
        <v>0</v>
      </c>
      <c r="P146">
        <v>0</v>
      </c>
      <c r="Q146">
        <v>0</v>
      </c>
      <c r="R146">
        <v>0</v>
      </c>
      <c r="S146">
        <v>4.75</v>
      </c>
      <c r="T146">
        <v>10.525</v>
      </c>
      <c r="U146">
        <v>10.25</v>
      </c>
      <c r="V146">
        <v>25.524999999999999</v>
      </c>
      <c r="W146">
        <v>258</v>
      </c>
      <c r="X146">
        <v>0</v>
      </c>
      <c r="Y146">
        <v>2</v>
      </c>
      <c r="Z146">
        <v>5</v>
      </c>
      <c r="AA146">
        <v>0</v>
      </c>
      <c r="AB146">
        <v>135</v>
      </c>
      <c r="AC146">
        <v>0</v>
      </c>
      <c r="AD146">
        <v>0</v>
      </c>
      <c r="AE146">
        <v>0</v>
      </c>
      <c r="AF146">
        <v>135</v>
      </c>
      <c r="AG146">
        <v>463</v>
      </c>
      <c r="AH146">
        <v>463</v>
      </c>
      <c r="AI146">
        <v>0</v>
      </c>
      <c r="AJ146">
        <v>135</v>
      </c>
      <c r="AK146">
        <v>392.5</v>
      </c>
      <c r="AL146">
        <v>392.5</v>
      </c>
      <c r="AM146">
        <v>0</v>
      </c>
      <c r="AN146">
        <v>0</v>
      </c>
      <c r="AO146">
        <v>0</v>
      </c>
      <c r="AP146">
        <v>0</v>
      </c>
      <c r="AQ146">
        <v>0</v>
      </c>
      <c r="AR146">
        <v>0</v>
      </c>
      <c r="AS146">
        <v>0</v>
      </c>
      <c r="AT146">
        <v>100</v>
      </c>
      <c r="AU146">
        <v>74</v>
      </c>
      <c r="AV146">
        <v>26</v>
      </c>
      <c r="AW146">
        <v>0</v>
      </c>
      <c r="AX146">
        <v>4.75</v>
      </c>
      <c r="AY146">
        <v>3.75</v>
      </c>
      <c r="AZ146">
        <v>1</v>
      </c>
      <c r="BA146">
        <v>0</v>
      </c>
      <c r="BB146">
        <v>10.525</v>
      </c>
      <c r="BC146">
        <v>9.75</v>
      </c>
      <c r="BD146">
        <v>0.77500000000000002</v>
      </c>
      <c r="BE146">
        <v>0</v>
      </c>
    </row>
    <row r="147" spans="1:57">
      <c r="A147" t="s">
        <v>17041</v>
      </c>
      <c r="B147" t="s">
        <v>21569</v>
      </c>
      <c r="C147">
        <v>0</v>
      </c>
      <c r="D147">
        <v>2</v>
      </c>
      <c r="E147">
        <v>2</v>
      </c>
      <c r="F147">
        <v>2</v>
      </c>
      <c r="G147">
        <v>0</v>
      </c>
      <c r="H147">
        <v>0</v>
      </c>
      <c r="I147">
        <v>0</v>
      </c>
      <c r="J147">
        <v>2</v>
      </c>
      <c r="K147">
        <v>10</v>
      </c>
      <c r="L147">
        <v>2</v>
      </c>
      <c r="M147">
        <v>0</v>
      </c>
      <c r="N147">
        <v>0</v>
      </c>
      <c r="O147">
        <v>0</v>
      </c>
      <c r="P147">
        <v>0</v>
      </c>
      <c r="Q147">
        <v>0</v>
      </c>
      <c r="R147">
        <v>0</v>
      </c>
      <c r="S147">
        <v>10</v>
      </c>
      <c r="T147">
        <v>0</v>
      </c>
      <c r="U147">
        <v>0.75</v>
      </c>
      <c r="V147">
        <v>10.75</v>
      </c>
      <c r="W147">
        <v>100</v>
      </c>
      <c r="X147">
        <v>0</v>
      </c>
      <c r="Y147">
        <v>2</v>
      </c>
      <c r="Z147">
        <v>0</v>
      </c>
      <c r="AA147">
        <v>0</v>
      </c>
      <c r="AB147">
        <v>50</v>
      </c>
      <c r="AC147">
        <v>0</v>
      </c>
      <c r="AD147">
        <v>0</v>
      </c>
      <c r="AE147">
        <v>0</v>
      </c>
      <c r="AF147">
        <v>50</v>
      </c>
      <c r="AG147">
        <v>115</v>
      </c>
      <c r="AH147">
        <v>115</v>
      </c>
      <c r="AI147">
        <v>0</v>
      </c>
      <c r="AJ147">
        <v>0</v>
      </c>
      <c r="AK147">
        <v>0</v>
      </c>
      <c r="AL147">
        <v>0</v>
      </c>
      <c r="AM147">
        <v>0</v>
      </c>
      <c r="AN147">
        <v>0</v>
      </c>
      <c r="AO147">
        <v>0</v>
      </c>
      <c r="AP147">
        <v>0</v>
      </c>
      <c r="AQ147">
        <v>0</v>
      </c>
      <c r="AR147">
        <v>0</v>
      </c>
      <c r="AS147">
        <v>0</v>
      </c>
      <c r="AT147">
        <v>10</v>
      </c>
      <c r="AU147">
        <v>0</v>
      </c>
      <c r="AV147">
        <v>10</v>
      </c>
      <c r="AW147">
        <v>0</v>
      </c>
      <c r="AX147">
        <v>10</v>
      </c>
      <c r="AY147">
        <v>0</v>
      </c>
      <c r="AZ147">
        <v>10</v>
      </c>
      <c r="BA147">
        <v>0</v>
      </c>
      <c r="BB147">
        <v>0</v>
      </c>
      <c r="BC147">
        <v>0</v>
      </c>
      <c r="BD147">
        <v>0</v>
      </c>
      <c r="BE147">
        <v>0</v>
      </c>
    </row>
    <row r="148" spans="1:57">
      <c r="A148" t="s">
        <v>17041</v>
      </c>
      <c r="B148" t="s">
        <v>17325</v>
      </c>
      <c r="C148">
        <v>0</v>
      </c>
      <c r="D148">
        <v>1</v>
      </c>
      <c r="E148">
        <v>1</v>
      </c>
      <c r="F148">
        <v>1</v>
      </c>
      <c r="G148">
        <v>0</v>
      </c>
      <c r="H148">
        <v>0</v>
      </c>
      <c r="I148">
        <v>0</v>
      </c>
      <c r="J148">
        <v>1</v>
      </c>
      <c r="K148">
        <v>6</v>
      </c>
      <c r="L148">
        <v>0</v>
      </c>
      <c r="M148">
        <v>0</v>
      </c>
      <c r="N148">
        <v>0</v>
      </c>
      <c r="O148">
        <v>1</v>
      </c>
      <c r="P148">
        <v>0</v>
      </c>
      <c r="Q148">
        <v>0</v>
      </c>
      <c r="R148">
        <v>0</v>
      </c>
      <c r="S148">
        <v>0.5</v>
      </c>
      <c r="T148">
        <v>0.5</v>
      </c>
      <c r="U148">
        <v>0.5</v>
      </c>
      <c r="V148">
        <v>1.5</v>
      </c>
      <c r="W148">
        <v>15</v>
      </c>
      <c r="X148">
        <v>0</v>
      </c>
      <c r="Y148">
        <v>1</v>
      </c>
      <c r="Z148">
        <v>0</v>
      </c>
      <c r="AA148">
        <v>0</v>
      </c>
      <c r="AB148">
        <v>0</v>
      </c>
      <c r="AC148">
        <v>0</v>
      </c>
      <c r="AD148">
        <v>0</v>
      </c>
      <c r="AE148">
        <v>0</v>
      </c>
      <c r="AF148">
        <v>0</v>
      </c>
      <c r="AG148">
        <v>25</v>
      </c>
      <c r="AH148">
        <v>25</v>
      </c>
      <c r="AI148">
        <v>0</v>
      </c>
      <c r="AJ148">
        <v>0</v>
      </c>
      <c r="AK148">
        <v>0</v>
      </c>
      <c r="AL148">
        <v>0</v>
      </c>
      <c r="AM148">
        <v>0</v>
      </c>
      <c r="AN148">
        <v>0</v>
      </c>
      <c r="AO148">
        <v>0</v>
      </c>
      <c r="AP148">
        <v>0</v>
      </c>
      <c r="AQ148">
        <v>0</v>
      </c>
      <c r="AR148">
        <v>0</v>
      </c>
      <c r="AS148">
        <v>0</v>
      </c>
      <c r="AT148">
        <v>6</v>
      </c>
      <c r="AU148">
        <v>0</v>
      </c>
      <c r="AV148">
        <v>6</v>
      </c>
      <c r="AW148">
        <v>0</v>
      </c>
      <c r="AX148">
        <v>0.5</v>
      </c>
      <c r="AY148">
        <v>0</v>
      </c>
      <c r="AZ148">
        <v>0.5</v>
      </c>
      <c r="BA148">
        <v>0</v>
      </c>
      <c r="BB148">
        <v>0.5</v>
      </c>
      <c r="BC148">
        <v>0</v>
      </c>
      <c r="BD148">
        <v>0.5</v>
      </c>
      <c r="BE148">
        <v>0</v>
      </c>
    </row>
    <row r="149" spans="1:57">
      <c r="A149" t="s">
        <v>17041</v>
      </c>
      <c r="B149" t="s">
        <v>22086</v>
      </c>
      <c r="C149">
        <v>0</v>
      </c>
      <c r="D149">
        <v>2</v>
      </c>
      <c r="E149">
        <v>2</v>
      </c>
      <c r="F149">
        <v>2</v>
      </c>
      <c r="G149">
        <v>0</v>
      </c>
      <c r="H149">
        <v>0</v>
      </c>
      <c r="I149">
        <v>0</v>
      </c>
      <c r="J149">
        <v>2</v>
      </c>
      <c r="K149">
        <v>2</v>
      </c>
      <c r="L149">
        <v>0</v>
      </c>
      <c r="M149">
        <v>0</v>
      </c>
      <c r="N149">
        <v>0</v>
      </c>
      <c r="O149">
        <v>0</v>
      </c>
      <c r="P149">
        <v>0</v>
      </c>
      <c r="Q149">
        <v>2</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2</v>
      </c>
      <c r="AU149">
        <v>0</v>
      </c>
      <c r="AV149">
        <v>2</v>
      </c>
      <c r="AW149">
        <v>0</v>
      </c>
      <c r="AX149">
        <v>0</v>
      </c>
      <c r="AY149">
        <v>0</v>
      </c>
      <c r="AZ149">
        <v>0</v>
      </c>
      <c r="BA149">
        <v>0</v>
      </c>
      <c r="BB149">
        <v>0</v>
      </c>
      <c r="BC149">
        <v>0</v>
      </c>
      <c r="BD149">
        <v>0</v>
      </c>
      <c r="BE149">
        <v>0</v>
      </c>
    </row>
    <row r="150" spans="1:57">
      <c r="A150" t="s">
        <v>17041</v>
      </c>
      <c r="B150" t="s">
        <v>21568</v>
      </c>
      <c r="C150">
        <v>0</v>
      </c>
      <c r="D150">
        <v>9</v>
      </c>
      <c r="E150">
        <v>9</v>
      </c>
      <c r="F150">
        <v>9</v>
      </c>
      <c r="G150">
        <v>0</v>
      </c>
      <c r="H150">
        <v>0</v>
      </c>
      <c r="I150">
        <v>0</v>
      </c>
      <c r="J150">
        <v>9</v>
      </c>
      <c r="K150">
        <v>40</v>
      </c>
      <c r="L150">
        <v>9</v>
      </c>
      <c r="M150">
        <v>0</v>
      </c>
      <c r="N150">
        <v>0</v>
      </c>
      <c r="O150">
        <v>0</v>
      </c>
      <c r="P150">
        <v>0</v>
      </c>
      <c r="Q150">
        <v>0</v>
      </c>
      <c r="R150">
        <v>0</v>
      </c>
      <c r="S150">
        <v>2.25</v>
      </c>
      <c r="T150">
        <v>0</v>
      </c>
      <c r="U150">
        <v>0</v>
      </c>
      <c r="V150">
        <v>2.25</v>
      </c>
      <c r="W150">
        <v>22.5</v>
      </c>
      <c r="X150">
        <v>0</v>
      </c>
      <c r="Y150">
        <v>9</v>
      </c>
      <c r="Z150">
        <v>0</v>
      </c>
      <c r="AA150">
        <v>0</v>
      </c>
      <c r="AB150">
        <v>0</v>
      </c>
      <c r="AC150">
        <v>0</v>
      </c>
      <c r="AD150">
        <v>0</v>
      </c>
      <c r="AE150">
        <v>0</v>
      </c>
      <c r="AF150">
        <v>0</v>
      </c>
      <c r="AG150">
        <v>22.5</v>
      </c>
      <c r="AH150">
        <v>22.5</v>
      </c>
      <c r="AI150">
        <v>0</v>
      </c>
      <c r="AJ150">
        <v>0</v>
      </c>
      <c r="AK150">
        <v>0</v>
      </c>
      <c r="AL150">
        <v>0</v>
      </c>
      <c r="AM150">
        <v>0</v>
      </c>
      <c r="AN150">
        <v>0</v>
      </c>
      <c r="AO150">
        <v>0</v>
      </c>
      <c r="AP150">
        <v>0</v>
      </c>
      <c r="AQ150">
        <v>0</v>
      </c>
      <c r="AR150">
        <v>0</v>
      </c>
      <c r="AS150">
        <v>0</v>
      </c>
      <c r="AT150">
        <v>40</v>
      </c>
      <c r="AU150">
        <v>0</v>
      </c>
      <c r="AV150">
        <v>40</v>
      </c>
      <c r="AW150">
        <v>0</v>
      </c>
      <c r="AX150">
        <v>2.25</v>
      </c>
      <c r="AY150">
        <v>0</v>
      </c>
      <c r="AZ150">
        <v>2.25</v>
      </c>
      <c r="BA150">
        <v>0</v>
      </c>
      <c r="BB150">
        <v>0</v>
      </c>
      <c r="BC150">
        <v>0</v>
      </c>
      <c r="BD150">
        <v>0</v>
      </c>
      <c r="BE150">
        <v>0</v>
      </c>
    </row>
    <row r="151" spans="1:57">
      <c r="A151" t="s">
        <v>17041</v>
      </c>
      <c r="B151" t="s">
        <v>21567</v>
      </c>
      <c r="C151">
        <v>0</v>
      </c>
      <c r="D151">
        <v>2</v>
      </c>
      <c r="E151">
        <v>2</v>
      </c>
      <c r="F151">
        <v>2</v>
      </c>
      <c r="G151">
        <v>0</v>
      </c>
      <c r="H151">
        <v>0</v>
      </c>
      <c r="I151">
        <v>0</v>
      </c>
      <c r="J151">
        <v>2</v>
      </c>
      <c r="K151">
        <v>2</v>
      </c>
      <c r="L151">
        <v>2</v>
      </c>
      <c r="M151">
        <v>0</v>
      </c>
      <c r="N151">
        <v>0</v>
      </c>
      <c r="O151">
        <v>0</v>
      </c>
      <c r="P151">
        <v>0</v>
      </c>
      <c r="Q151">
        <v>0</v>
      </c>
      <c r="R151">
        <v>0</v>
      </c>
      <c r="S151">
        <v>0.5</v>
      </c>
      <c r="T151">
        <v>0</v>
      </c>
      <c r="U151">
        <v>0</v>
      </c>
      <c r="V151">
        <v>0.5</v>
      </c>
      <c r="W151">
        <v>5</v>
      </c>
      <c r="X151">
        <v>0</v>
      </c>
      <c r="Y151">
        <v>2</v>
      </c>
      <c r="Z151">
        <v>0</v>
      </c>
      <c r="AA151">
        <v>0</v>
      </c>
      <c r="AB151">
        <v>0</v>
      </c>
      <c r="AC151">
        <v>0</v>
      </c>
      <c r="AD151">
        <v>0</v>
      </c>
      <c r="AE151">
        <v>0</v>
      </c>
      <c r="AF151">
        <v>0</v>
      </c>
      <c r="AG151">
        <v>5</v>
      </c>
      <c r="AH151">
        <v>5</v>
      </c>
      <c r="AI151">
        <v>0</v>
      </c>
      <c r="AJ151">
        <v>0</v>
      </c>
      <c r="AK151">
        <v>0</v>
      </c>
      <c r="AL151">
        <v>0</v>
      </c>
      <c r="AM151">
        <v>0</v>
      </c>
      <c r="AN151">
        <v>0</v>
      </c>
      <c r="AO151">
        <v>0</v>
      </c>
      <c r="AP151">
        <v>0</v>
      </c>
      <c r="AQ151">
        <v>0</v>
      </c>
      <c r="AR151">
        <v>0</v>
      </c>
      <c r="AS151">
        <v>0</v>
      </c>
      <c r="AT151">
        <v>2</v>
      </c>
      <c r="AU151">
        <v>0</v>
      </c>
      <c r="AV151">
        <v>2</v>
      </c>
      <c r="AW151">
        <v>0</v>
      </c>
      <c r="AX151">
        <v>0.5</v>
      </c>
      <c r="AY151">
        <v>0</v>
      </c>
      <c r="AZ151">
        <v>0.5</v>
      </c>
      <c r="BA151">
        <v>0</v>
      </c>
      <c r="BB151">
        <v>0</v>
      </c>
      <c r="BC151">
        <v>0</v>
      </c>
      <c r="BD151">
        <v>0</v>
      </c>
      <c r="BE151">
        <v>0</v>
      </c>
    </row>
    <row r="152" spans="1:57">
      <c r="A152" t="s">
        <v>17041</v>
      </c>
      <c r="B152" t="s">
        <v>17042</v>
      </c>
      <c r="C152">
        <v>0</v>
      </c>
      <c r="D152">
        <v>16</v>
      </c>
      <c r="E152">
        <v>0</v>
      </c>
      <c r="F152">
        <v>8</v>
      </c>
      <c r="G152">
        <v>6</v>
      </c>
      <c r="H152">
        <v>0</v>
      </c>
      <c r="I152">
        <v>0</v>
      </c>
      <c r="J152">
        <v>15</v>
      </c>
      <c r="K152">
        <v>194</v>
      </c>
      <c r="L152">
        <v>6</v>
      </c>
      <c r="M152">
        <v>0</v>
      </c>
      <c r="N152">
        <v>5</v>
      </c>
      <c r="O152">
        <v>2</v>
      </c>
      <c r="P152">
        <v>2</v>
      </c>
      <c r="Q152">
        <v>1</v>
      </c>
      <c r="R152">
        <v>0</v>
      </c>
      <c r="S152">
        <v>13.5</v>
      </c>
      <c r="T152">
        <v>9.25</v>
      </c>
      <c r="U152">
        <v>2</v>
      </c>
      <c r="V152">
        <v>24.75</v>
      </c>
      <c r="W152">
        <v>320</v>
      </c>
      <c r="X152">
        <v>0</v>
      </c>
      <c r="Y152">
        <v>12</v>
      </c>
      <c r="Z152">
        <v>0</v>
      </c>
      <c r="AA152">
        <v>0</v>
      </c>
      <c r="AB152">
        <v>80</v>
      </c>
      <c r="AC152">
        <v>0</v>
      </c>
      <c r="AD152">
        <v>0</v>
      </c>
      <c r="AE152">
        <v>80</v>
      </c>
      <c r="AF152">
        <v>80</v>
      </c>
      <c r="AG152">
        <v>360</v>
      </c>
      <c r="AH152">
        <v>280</v>
      </c>
      <c r="AI152">
        <v>0</v>
      </c>
      <c r="AJ152">
        <v>0</v>
      </c>
      <c r="AK152">
        <v>0</v>
      </c>
      <c r="AL152">
        <v>0</v>
      </c>
      <c r="AM152">
        <v>0</v>
      </c>
      <c r="AN152">
        <v>1</v>
      </c>
      <c r="AO152">
        <v>1</v>
      </c>
      <c r="AP152">
        <v>0</v>
      </c>
      <c r="AQ152">
        <v>0</v>
      </c>
      <c r="AR152">
        <v>0</v>
      </c>
      <c r="AS152">
        <v>0</v>
      </c>
      <c r="AT152">
        <v>194</v>
      </c>
      <c r="AU152">
        <v>0</v>
      </c>
      <c r="AV152">
        <v>194</v>
      </c>
      <c r="AW152">
        <v>0</v>
      </c>
      <c r="AX152">
        <v>13.5</v>
      </c>
      <c r="AY152">
        <v>0</v>
      </c>
      <c r="AZ152">
        <v>13.5</v>
      </c>
      <c r="BA152">
        <v>0</v>
      </c>
      <c r="BB152">
        <v>9.25</v>
      </c>
      <c r="BC152">
        <v>0</v>
      </c>
      <c r="BD152">
        <v>9.25</v>
      </c>
      <c r="BE152">
        <v>0</v>
      </c>
    </row>
    <row r="153" spans="1:57">
      <c r="A153" t="s">
        <v>17041</v>
      </c>
      <c r="B153" t="s">
        <v>22120</v>
      </c>
      <c r="C153">
        <v>1</v>
      </c>
      <c r="D153">
        <v>1</v>
      </c>
      <c r="E153">
        <v>1</v>
      </c>
      <c r="F153">
        <v>1</v>
      </c>
      <c r="G153">
        <v>0</v>
      </c>
      <c r="H153">
        <v>0</v>
      </c>
      <c r="I153">
        <v>0</v>
      </c>
      <c r="J153">
        <v>1</v>
      </c>
      <c r="K153">
        <v>1</v>
      </c>
      <c r="L153">
        <v>1</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1</v>
      </c>
      <c r="AU153">
        <v>0</v>
      </c>
      <c r="AV153">
        <v>0</v>
      </c>
      <c r="AW153">
        <v>1</v>
      </c>
      <c r="AX153">
        <v>0</v>
      </c>
      <c r="AY153">
        <v>0</v>
      </c>
      <c r="AZ153">
        <v>0</v>
      </c>
      <c r="BA153">
        <v>0</v>
      </c>
      <c r="BB153">
        <v>0</v>
      </c>
      <c r="BC153">
        <v>0</v>
      </c>
      <c r="BD153">
        <v>0</v>
      </c>
      <c r="BE153">
        <v>0</v>
      </c>
    </row>
    <row r="154" spans="1:57">
      <c r="A154" t="s">
        <v>17041</v>
      </c>
      <c r="B154" t="s">
        <v>21566</v>
      </c>
      <c r="C154">
        <v>4</v>
      </c>
      <c r="D154">
        <v>4</v>
      </c>
      <c r="E154">
        <v>0</v>
      </c>
      <c r="F154">
        <v>4</v>
      </c>
      <c r="G154">
        <v>0</v>
      </c>
      <c r="H154">
        <v>0</v>
      </c>
      <c r="I154">
        <v>0</v>
      </c>
      <c r="J154">
        <v>4</v>
      </c>
      <c r="K154">
        <v>20</v>
      </c>
      <c r="L154">
        <v>4</v>
      </c>
      <c r="M154">
        <v>0</v>
      </c>
      <c r="N154">
        <v>0</v>
      </c>
      <c r="O154">
        <v>0</v>
      </c>
      <c r="P154">
        <v>0</v>
      </c>
      <c r="Q154">
        <v>0</v>
      </c>
      <c r="R154">
        <v>0</v>
      </c>
      <c r="S154">
        <v>18</v>
      </c>
      <c r="T154">
        <v>0</v>
      </c>
      <c r="U154">
        <v>0</v>
      </c>
      <c r="V154">
        <v>18</v>
      </c>
      <c r="W154">
        <v>0</v>
      </c>
      <c r="X154">
        <v>0</v>
      </c>
      <c r="Y154">
        <v>0</v>
      </c>
      <c r="Z154">
        <v>0</v>
      </c>
      <c r="AA154">
        <v>-180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20</v>
      </c>
      <c r="AU154">
        <v>0</v>
      </c>
      <c r="AV154">
        <v>0</v>
      </c>
      <c r="AW154">
        <v>20</v>
      </c>
      <c r="AX154">
        <v>18</v>
      </c>
      <c r="AY154">
        <v>0</v>
      </c>
      <c r="AZ154">
        <v>0</v>
      </c>
      <c r="BA154">
        <v>18</v>
      </c>
      <c r="BB154">
        <v>0</v>
      </c>
      <c r="BC154">
        <v>0</v>
      </c>
      <c r="BD154">
        <v>0</v>
      </c>
      <c r="BE154">
        <v>0</v>
      </c>
    </row>
    <row r="155" spans="1:57">
      <c r="A155" t="s">
        <v>17041</v>
      </c>
      <c r="B155" t="s">
        <v>17495</v>
      </c>
      <c r="C155">
        <v>0</v>
      </c>
      <c r="D155">
        <v>7</v>
      </c>
      <c r="E155">
        <v>7</v>
      </c>
      <c r="F155">
        <v>5</v>
      </c>
      <c r="G155">
        <v>0</v>
      </c>
      <c r="H155">
        <v>0</v>
      </c>
      <c r="I155">
        <v>0</v>
      </c>
      <c r="J155">
        <v>2</v>
      </c>
      <c r="K155">
        <v>15</v>
      </c>
      <c r="L155">
        <v>0</v>
      </c>
      <c r="M155">
        <v>0</v>
      </c>
      <c r="N155">
        <v>0</v>
      </c>
      <c r="O155">
        <v>0</v>
      </c>
      <c r="P155">
        <v>0</v>
      </c>
      <c r="Q155">
        <v>5</v>
      </c>
      <c r="R155">
        <v>0</v>
      </c>
      <c r="S155">
        <v>16</v>
      </c>
      <c r="T155">
        <v>0</v>
      </c>
      <c r="U155">
        <v>0</v>
      </c>
      <c r="V155">
        <v>0</v>
      </c>
      <c r="W155">
        <v>160</v>
      </c>
      <c r="X155">
        <v>0</v>
      </c>
      <c r="Y155">
        <v>1</v>
      </c>
      <c r="Z155">
        <v>0</v>
      </c>
      <c r="AA155">
        <v>0</v>
      </c>
      <c r="AB155">
        <v>130</v>
      </c>
      <c r="AC155">
        <v>0</v>
      </c>
      <c r="AD155">
        <v>0</v>
      </c>
      <c r="AE155">
        <v>0</v>
      </c>
      <c r="AF155">
        <v>130</v>
      </c>
      <c r="AG155">
        <v>160</v>
      </c>
      <c r="AH155">
        <v>160</v>
      </c>
      <c r="AI155">
        <v>0</v>
      </c>
      <c r="AJ155">
        <v>0</v>
      </c>
      <c r="AK155">
        <v>0</v>
      </c>
      <c r="AL155">
        <v>0</v>
      </c>
      <c r="AM155">
        <v>0</v>
      </c>
      <c r="AN155">
        <v>0</v>
      </c>
      <c r="AO155">
        <v>0</v>
      </c>
      <c r="AP155">
        <v>0</v>
      </c>
      <c r="AQ155">
        <v>0</v>
      </c>
      <c r="AR155">
        <v>0</v>
      </c>
      <c r="AS155">
        <v>0</v>
      </c>
      <c r="AT155">
        <v>15</v>
      </c>
      <c r="AU155">
        <v>0</v>
      </c>
      <c r="AV155">
        <v>15</v>
      </c>
      <c r="AW155">
        <v>0</v>
      </c>
      <c r="AX155">
        <v>16</v>
      </c>
      <c r="AY155">
        <v>0</v>
      </c>
      <c r="AZ155">
        <v>16</v>
      </c>
      <c r="BA155">
        <v>0</v>
      </c>
      <c r="BB155">
        <v>0</v>
      </c>
      <c r="BC155">
        <v>0</v>
      </c>
      <c r="BD155">
        <v>0</v>
      </c>
      <c r="BE155">
        <v>0</v>
      </c>
    </row>
    <row r="156" spans="1:57">
      <c r="A156" t="s">
        <v>17041</v>
      </c>
      <c r="B156" t="s">
        <v>17043</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row>
    <row r="157" spans="1:57">
      <c r="A157" t="s">
        <v>17041</v>
      </c>
      <c r="B157" t="s">
        <v>19341</v>
      </c>
      <c r="C157">
        <v>0</v>
      </c>
      <c r="D157">
        <v>5</v>
      </c>
      <c r="E157">
        <v>5</v>
      </c>
      <c r="F157">
        <v>5</v>
      </c>
      <c r="G157">
        <v>2</v>
      </c>
      <c r="H157">
        <v>1</v>
      </c>
      <c r="I157">
        <v>1</v>
      </c>
      <c r="J157">
        <v>5</v>
      </c>
      <c r="K157">
        <v>160</v>
      </c>
      <c r="L157">
        <v>4</v>
      </c>
      <c r="M157">
        <v>0</v>
      </c>
      <c r="N157">
        <v>1</v>
      </c>
      <c r="O157">
        <v>0</v>
      </c>
      <c r="P157">
        <v>0</v>
      </c>
      <c r="Q157">
        <v>0</v>
      </c>
      <c r="R157">
        <v>0</v>
      </c>
      <c r="S157">
        <v>16</v>
      </c>
      <c r="T157">
        <v>18</v>
      </c>
      <c r="U157">
        <v>11</v>
      </c>
      <c r="V157">
        <v>45</v>
      </c>
      <c r="W157">
        <v>520</v>
      </c>
      <c r="X157">
        <v>0</v>
      </c>
      <c r="Y157">
        <v>5</v>
      </c>
      <c r="Z157">
        <v>0</v>
      </c>
      <c r="AA157">
        <v>0</v>
      </c>
      <c r="AB157">
        <v>370</v>
      </c>
      <c r="AC157">
        <v>0</v>
      </c>
      <c r="AD157">
        <v>0</v>
      </c>
      <c r="AE157">
        <v>0</v>
      </c>
      <c r="AF157">
        <v>370</v>
      </c>
      <c r="AG157">
        <v>740</v>
      </c>
      <c r="AH157">
        <v>740</v>
      </c>
      <c r="AI157">
        <v>0</v>
      </c>
      <c r="AJ157">
        <v>270</v>
      </c>
      <c r="AK157">
        <v>500</v>
      </c>
      <c r="AL157">
        <v>500</v>
      </c>
      <c r="AM157">
        <v>0</v>
      </c>
      <c r="AN157">
        <v>0</v>
      </c>
      <c r="AO157">
        <v>0</v>
      </c>
      <c r="AP157">
        <v>0</v>
      </c>
      <c r="AQ157">
        <v>0</v>
      </c>
      <c r="AR157">
        <v>0</v>
      </c>
      <c r="AS157">
        <v>0</v>
      </c>
      <c r="AT157">
        <v>160</v>
      </c>
      <c r="AU157">
        <v>12</v>
      </c>
      <c r="AV157">
        <v>148</v>
      </c>
      <c r="AW157">
        <v>0</v>
      </c>
      <c r="AX157">
        <v>16</v>
      </c>
      <c r="AY157">
        <v>10</v>
      </c>
      <c r="AZ157">
        <v>6</v>
      </c>
      <c r="BA157">
        <v>0</v>
      </c>
      <c r="BB157">
        <v>18</v>
      </c>
      <c r="BC157">
        <v>10</v>
      </c>
      <c r="BD157">
        <v>8</v>
      </c>
      <c r="BE157">
        <v>0</v>
      </c>
    </row>
    <row r="158" spans="1:57">
      <c r="A158" t="s">
        <v>17041</v>
      </c>
      <c r="B158" t="s">
        <v>19979</v>
      </c>
      <c r="C158">
        <v>4</v>
      </c>
      <c r="D158">
        <v>4</v>
      </c>
      <c r="E158">
        <v>4</v>
      </c>
      <c r="F158">
        <v>4</v>
      </c>
      <c r="G158">
        <v>0</v>
      </c>
      <c r="H158">
        <v>0</v>
      </c>
      <c r="I158">
        <v>0</v>
      </c>
      <c r="J158">
        <v>4</v>
      </c>
      <c r="K158">
        <v>4</v>
      </c>
      <c r="L158">
        <v>4</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4</v>
      </c>
      <c r="AU158">
        <v>0</v>
      </c>
      <c r="AV158">
        <v>0</v>
      </c>
      <c r="AW158">
        <v>4</v>
      </c>
      <c r="AX158">
        <v>0</v>
      </c>
      <c r="AY158">
        <v>0</v>
      </c>
      <c r="AZ158">
        <v>0</v>
      </c>
      <c r="BA158">
        <v>0</v>
      </c>
      <c r="BB158">
        <v>0</v>
      </c>
      <c r="BC158">
        <v>0</v>
      </c>
      <c r="BD158">
        <v>0</v>
      </c>
      <c r="BE158">
        <v>0</v>
      </c>
    </row>
    <row r="159" spans="1:57">
      <c r="A159" t="s">
        <v>17041</v>
      </c>
      <c r="B159" t="s">
        <v>22087</v>
      </c>
      <c r="C159">
        <v>0</v>
      </c>
      <c r="D159">
        <v>6</v>
      </c>
      <c r="E159">
        <v>6</v>
      </c>
      <c r="F159">
        <v>6</v>
      </c>
      <c r="G159">
        <v>0</v>
      </c>
      <c r="H159">
        <v>0</v>
      </c>
      <c r="I159">
        <v>0</v>
      </c>
      <c r="J159">
        <v>6</v>
      </c>
      <c r="K159">
        <v>37</v>
      </c>
      <c r="L159">
        <v>6</v>
      </c>
      <c r="M159">
        <v>0</v>
      </c>
      <c r="N159">
        <v>0</v>
      </c>
      <c r="O159">
        <v>0</v>
      </c>
      <c r="P159">
        <v>0</v>
      </c>
      <c r="Q159">
        <v>0</v>
      </c>
      <c r="R159">
        <v>0</v>
      </c>
      <c r="S159">
        <v>4.5</v>
      </c>
      <c r="T159">
        <v>3</v>
      </c>
      <c r="U159">
        <v>0</v>
      </c>
      <c r="V159">
        <v>7.5</v>
      </c>
      <c r="W159">
        <v>105</v>
      </c>
      <c r="X159">
        <v>0</v>
      </c>
      <c r="Y159">
        <v>6</v>
      </c>
      <c r="Z159">
        <v>0</v>
      </c>
      <c r="AA159">
        <v>0</v>
      </c>
      <c r="AB159">
        <v>0</v>
      </c>
      <c r="AC159">
        <v>0</v>
      </c>
      <c r="AD159">
        <v>0</v>
      </c>
      <c r="AE159">
        <v>0</v>
      </c>
      <c r="AF159">
        <v>0</v>
      </c>
      <c r="AG159">
        <v>105</v>
      </c>
      <c r="AH159">
        <v>105</v>
      </c>
      <c r="AI159">
        <v>0</v>
      </c>
      <c r="AJ159">
        <v>0</v>
      </c>
      <c r="AK159">
        <v>0</v>
      </c>
      <c r="AL159">
        <v>0</v>
      </c>
      <c r="AM159">
        <v>0</v>
      </c>
      <c r="AN159">
        <v>0</v>
      </c>
      <c r="AO159">
        <v>0</v>
      </c>
      <c r="AP159">
        <v>0</v>
      </c>
      <c r="AQ159">
        <v>0</v>
      </c>
      <c r="AR159">
        <v>0</v>
      </c>
      <c r="AS159">
        <v>0</v>
      </c>
      <c r="AT159">
        <v>37</v>
      </c>
      <c r="AU159">
        <v>0</v>
      </c>
      <c r="AV159">
        <v>37</v>
      </c>
      <c r="AW159">
        <v>0</v>
      </c>
      <c r="AX159">
        <v>4.5</v>
      </c>
      <c r="AY159">
        <v>0</v>
      </c>
      <c r="AZ159">
        <v>4.5</v>
      </c>
      <c r="BA159">
        <v>0</v>
      </c>
      <c r="BB159">
        <v>3</v>
      </c>
      <c r="BC159">
        <v>0</v>
      </c>
      <c r="BD159">
        <v>3</v>
      </c>
      <c r="BE159">
        <v>0</v>
      </c>
    </row>
    <row r="160" spans="1:57">
      <c r="A160" t="s">
        <v>17041</v>
      </c>
      <c r="B160" t="s">
        <v>17303</v>
      </c>
      <c r="C160">
        <v>0</v>
      </c>
      <c r="D160">
        <v>1</v>
      </c>
      <c r="E160">
        <v>1</v>
      </c>
      <c r="F160">
        <v>1</v>
      </c>
      <c r="G160">
        <v>0</v>
      </c>
      <c r="H160">
        <v>1</v>
      </c>
      <c r="I160">
        <v>0</v>
      </c>
      <c r="J160">
        <v>1</v>
      </c>
      <c r="K160">
        <v>8</v>
      </c>
      <c r="L160">
        <v>0</v>
      </c>
      <c r="M160">
        <v>0</v>
      </c>
      <c r="N160">
        <v>0</v>
      </c>
      <c r="O160">
        <v>0</v>
      </c>
      <c r="P160">
        <v>0</v>
      </c>
      <c r="Q160">
        <v>1</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8</v>
      </c>
      <c r="AU160">
        <v>8</v>
      </c>
      <c r="AV160">
        <v>0</v>
      </c>
      <c r="AW160">
        <v>0</v>
      </c>
      <c r="AX160">
        <v>0</v>
      </c>
      <c r="AY160">
        <v>0</v>
      </c>
      <c r="AZ160">
        <v>0</v>
      </c>
      <c r="BA160">
        <v>0</v>
      </c>
      <c r="BB160">
        <v>0</v>
      </c>
      <c r="BC160">
        <v>0</v>
      </c>
      <c r="BD160">
        <v>0</v>
      </c>
      <c r="BE160">
        <v>0</v>
      </c>
    </row>
    <row r="161" spans="1:57">
      <c r="A161" t="s">
        <v>17044</v>
      </c>
      <c r="B161" t="s">
        <v>17046</v>
      </c>
      <c r="C161">
        <v>2</v>
      </c>
      <c r="D161">
        <v>21</v>
      </c>
      <c r="E161">
        <v>21</v>
      </c>
      <c r="F161">
        <v>21</v>
      </c>
      <c r="G161">
        <v>0</v>
      </c>
      <c r="H161">
        <v>1</v>
      </c>
      <c r="I161">
        <v>0</v>
      </c>
      <c r="J161">
        <v>21</v>
      </c>
      <c r="K161">
        <v>128</v>
      </c>
      <c r="L161">
        <v>7</v>
      </c>
      <c r="M161">
        <v>0</v>
      </c>
      <c r="N161">
        <v>1</v>
      </c>
      <c r="O161">
        <v>11</v>
      </c>
      <c r="P161">
        <v>1</v>
      </c>
      <c r="Q161">
        <v>1</v>
      </c>
      <c r="R161">
        <v>0</v>
      </c>
      <c r="S161">
        <v>27.75</v>
      </c>
      <c r="T161">
        <v>8.75</v>
      </c>
      <c r="U161">
        <v>10.25</v>
      </c>
      <c r="V161">
        <v>46.75</v>
      </c>
      <c r="W161">
        <v>440</v>
      </c>
      <c r="X161">
        <v>800</v>
      </c>
      <c r="Y161">
        <v>17</v>
      </c>
      <c r="Z161">
        <v>1</v>
      </c>
      <c r="AA161">
        <v>-12.5</v>
      </c>
      <c r="AB161">
        <v>240</v>
      </c>
      <c r="AC161">
        <v>5</v>
      </c>
      <c r="AD161">
        <v>5</v>
      </c>
      <c r="AE161">
        <v>5</v>
      </c>
      <c r="AF161">
        <v>245</v>
      </c>
      <c r="AG161">
        <v>1450</v>
      </c>
      <c r="AH161">
        <v>1445</v>
      </c>
      <c r="AI161">
        <v>5</v>
      </c>
      <c r="AJ161">
        <v>245</v>
      </c>
      <c r="AK161">
        <v>1265</v>
      </c>
      <c r="AL161">
        <v>1260</v>
      </c>
      <c r="AM161">
        <v>0</v>
      </c>
      <c r="AN161">
        <v>1</v>
      </c>
      <c r="AO161">
        <v>0</v>
      </c>
      <c r="AP161">
        <v>0</v>
      </c>
      <c r="AQ161">
        <v>0</v>
      </c>
      <c r="AR161">
        <v>0</v>
      </c>
      <c r="AS161">
        <v>0</v>
      </c>
      <c r="AT161">
        <v>128</v>
      </c>
      <c r="AU161">
        <v>21</v>
      </c>
      <c r="AV161">
        <v>95</v>
      </c>
      <c r="AW161">
        <v>12</v>
      </c>
      <c r="AX161">
        <v>27.75</v>
      </c>
      <c r="AY161">
        <v>20</v>
      </c>
      <c r="AZ161">
        <v>7</v>
      </c>
      <c r="BA161">
        <v>0.75</v>
      </c>
      <c r="BB161">
        <v>8.75</v>
      </c>
      <c r="BC161">
        <v>5</v>
      </c>
      <c r="BD161">
        <v>3.5</v>
      </c>
      <c r="BE161">
        <v>0.25</v>
      </c>
    </row>
    <row r="162" spans="1:57">
      <c r="A162" t="s">
        <v>17044</v>
      </c>
      <c r="B162" t="s">
        <v>17047</v>
      </c>
      <c r="C162">
        <v>0</v>
      </c>
      <c r="D162">
        <v>3</v>
      </c>
      <c r="E162">
        <v>3</v>
      </c>
      <c r="F162">
        <v>0</v>
      </c>
      <c r="G162">
        <v>0</v>
      </c>
      <c r="H162">
        <v>3</v>
      </c>
      <c r="I162">
        <v>0</v>
      </c>
      <c r="J162">
        <v>3</v>
      </c>
      <c r="K162">
        <v>18</v>
      </c>
      <c r="L162">
        <v>0</v>
      </c>
      <c r="M162">
        <v>0</v>
      </c>
      <c r="N162">
        <v>0</v>
      </c>
      <c r="O162">
        <v>3</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18</v>
      </c>
      <c r="AU162">
        <v>18</v>
      </c>
      <c r="AV162">
        <v>0</v>
      </c>
      <c r="AW162">
        <v>0</v>
      </c>
      <c r="AX162">
        <v>0</v>
      </c>
      <c r="AY162">
        <v>0</v>
      </c>
      <c r="AZ162">
        <v>0</v>
      </c>
      <c r="BA162">
        <v>0</v>
      </c>
      <c r="BB162">
        <v>0</v>
      </c>
      <c r="BC162">
        <v>0</v>
      </c>
      <c r="BD162">
        <v>0</v>
      </c>
      <c r="BE162">
        <v>0</v>
      </c>
    </row>
    <row r="163" spans="1:57">
      <c r="A163" t="s">
        <v>17044</v>
      </c>
      <c r="B163" t="s">
        <v>17048</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row>
    <row r="164" spans="1:57">
      <c r="A164" t="s">
        <v>17044</v>
      </c>
      <c r="B164" t="s">
        <v>17049</v>
      </c>
      <c r="C164">
        <v>0</v>
      </c>
      <c r="D164">
        <v>16</v>
      </c>
      <c r="E164">
        <v>16</v>
      </c>
      <c r="F164">
        <v>16</v>
      </c>
      <c r="G164">
        <v>0</v>
      </c>
      <c r="H164">
        <v>0</v>
      </c>
      <c r="I164">
        <v>0</v>
      </c>
      <c r="J164">
        <v>16</v>
      </c>
      <c r="K164">
        <v>138</v>
      </c>
      <c r="L164">
        <v>0</v>
      </c>
      <c r="M164">
        <v>5</v>
      </c>
      <c r="N164">
        <v>8</v>
      </c>
      <c r="O164">
        <v>0</v>
      </c>
      <c r="P164">
        <v>0</v>
      </c>
      <c r="Q164">
        <v>3</v>
      </c>
      <c r="R164">
        <v>0</v>
      </c>
      <c r="S164">
        <v>16.25</v>
      </c>
      <c r="T164">
        <v>23.5</v>
      </c>
      <c r="U164">
        <v>0</v>
      </c>
      <c r="V164">
        <v>39.75</v>
      </c>
      <c r="W164">
        <v>632.5</v>
      </c>
      <c r="X164">
        <v>0</v>
      </c>
      <c r="Y164">
        <v>14</v>
      </c>
      <c r="Z164">
        <v>0</v>
      </c>
      <c r="AA164">
        <v>0</v>
      </c>
      <c r="AB164">
        <v>370</v>
      </c>
      <c r="AC164">
        <v>823.5</v>
      </c>
      <c r="AD164">
        <v>297</v>
      </c>
      <c r="AE164">
        <v>265</v>
      </c>
      <c r="AF164">
        <v>667</v>
      </c>
      <c r="AG164">
        <v>1456</v>
      </c>
      <c r="AH164">
        <v>1191</v>
      </c>
      <c r="AI164">
        <v>0</v>
      </c>
      <c r="AJ164">
        <v>0</v>
      </c>
      <c r="AK164">
        <v>0</v>
      </c>
      <c r="AL164">
        <v>0</v>
      </c>
      <c r="AM164">
        <v>0</v>
      </c>
      <c r="AN164">
        <v>1</v>
      </c>
      <c r="AO164">
        <v>0</v>
      </c>
      <c r="AP164">
        <v>2</v>
      </c>
      <c r="AQ164">
        <v>0</v>
      </c>
      <c r="AR164">
        <v>0</v>
      </c>
      <c r="AS164">
        <v>0</v>
      </c>
      <c r="AT164">
        <v>138</v>
      </c>
      <c r="AU164">
        <v>0</v>
      </c>
      <c r="AV164">
        <v>138</v>
      </c>
      <c r="AW164">
        <v>0</v>
      </c>
      <c r="AX164">
        <v>16.25</v>
      </c>
      <c r="AY164">
        <v>0</v>
      </c>
      <c r="AZ164">
        <v>16.25</v>
      </c>
      <c r="BA164">
        <v>0</v>
      </c>
      <c r="BB164">
        <v>23.5</v>
      </c>
      <c r="BC164">
        <v>0</v>
      </c>
      <c r="BD164">
        <v>23.5</v>
      </c>
      <c r="BE164">
        <v>0</v>
      </c>
    </row>
    <row r="165" spans="1:57">
      <c r="A165" t="s">
        <v>17044</v>
      </c>
      <c r="B165" t="s">
        <v>17050</v>
      </c>
      <c r="C165">
        <v>0</v>
      </c>
      <c r="D165">
        <v>17</v>
      </c>
      <c r="E165">
        <v>17</v>
      </c>
      <c r="F165">
        <v>17</v>
      </c>
      <c r="G165">
        <v>2</v>
      </c>
      <c r="H165">
        <v>0</v>
      </c>
      <c r="I165">
        <v>1</v>
      </c>
      <c r="J165">
        <v>17</v>
      </c>
      <c r="K165">
        <v>199</v>
      </c>
      <c r="L165">
        <v>2</v>
      </c>
      <c r="M165">
        <v>4</v>
      </c>
      <c r="N165">
        <v>4</v>
      </c>
      <c r="O165">
        <v>6</v>
      </c>
      <c r="P165">
        <v>0</v>
      </c>
      <c r="Q165">
        <v>1</v>
      </c>
      <c r="R165">
        <v>0</v>
      </c>
      <c r="S165">
        <v>7.5</v>
      </c>
      <c r="T165">
        <v>17.05</v>
      </c>
      <c r="U165">
        <v>0</v>
      </c>
      <c r="V165">
        <v>24.55</v>
      </c>
      <c r="W165">
        <v>416</v>
      </c>
      <c r="X165">
        <v>0</v>
      </c>
      <c r="Y165">
        <v>9</v>
      </c>
      <c r="Z165">
        <v>0</v>
      </c>
      <c r="AA165">
        <v>0</v>
      </c>
      <c r="AB165">
        <v>311</v>
      </c>
      <c r="AC165">
        <v>6.55</v>
      </c>
      <c r="AD165">
        <v>6.55</v>
      </c>
      <c r="AE165">
        <v>6.55</v>
      </c>
      <c r="AF165">
        <v>317.55</v>
      </c>
      <c r="AG165">
        <v>422.55</v>
      </c>
      <c r="AH165">
        <v>416</v>
      </c>
      <c r="AI165">
        <v>0</v>
      </c>
      <c r="AJ165">
        <v>0</v>
      </c>
      <c r="AK165">
        <v>0</v>
      </c>
      <c r="AL165">
        <v>0</v>
      </c>
      <c r="AM165">
        <v>0</v>
      </c>
      <c r="AN165">
        <v>1</v>
      </c>
      <c r="AO165">
        <v>0</v>
      </c>
      <c r="AP165">
        <v>0</v>
      </c>
      <c r="AQ165">
        <v>0</v>
      </c>
      <c r="AR165">
        <v>0</v>
      </c>
      <c r="AS165">
        <v>0</v>
      </c>
      <c r="AT165">
        <v>199</v>
      </c>
      <c r="AU165">
        <v>0</v>
      </c>
      <c r="AV165">
        <v>199</v>
      </c>
      <c r="AW165">
        <v>0</v>
      </c>
      <c r="AX165">
        <v>7.5</v>
      </c>
      <c r="AY165">
        <v>0</v>
      </c>
      <c r="AZ165">
        <v>7.5</v>
      </c>
      <c r="BA165">
        <v>0</v>
      </c>
      <c r="BB165">
        <v>17.05</v>
      </c>
      <c r="BC165">
        <v>0</v>
      </c>
      <c r="BD165">
        <v>17.05</v>
      </c>
      <c r="BE165">
        <v>0</v>
      </c>
    </row>
    <row r="166" spans="1:57">
      <c r="A166" t="s">
        <v>17044</v>
      </c>
      <c r="B166" t="s">
        <v>17341</v>
      </c>
      <c r="C166">
        <v>1</v>
      </c>
      <c r="D166">
        <v>6</v>
      </c>
      <c r="E166">
        <v>6</v>
      </c>
      <c r="F166">
        <v>5</v>
      </c>
      <c r="G166">
        <v>0</v>
      </c>
      <c r="H166">
        <v>0</v>
      </c>
      <c r="I166">
        <v>0</v>
      </c>
      <c r="J166">
        <v>6</v>
      </c>
      <c r="K166">
        <v>32</v>
      </c>
      <c r="L166">
        <v>2</v>
      </c>
      <c r="M166">
        <v>4</v>
      </c>
      <c r="N166">
        <v>0</v>
      </c>
      <c r="O166">
        <v>0</v>
      </c>
      <c r="P166">
        <v>0</v>
      </c>
      <c r="Q166">
        <v>0</v>
      </c>
      <c r="R166">
        <v>0</v>
      </c>
      <c r="S166">
        <v>0.5</v>
      </c>
      <c r="T166">
        <v>0</v>
      </c>
      <c r="U166">
        <v>0</v>
      </c>
      <c r="V166">
        <v>0.5</v>
      </c>
      <c r="W166">
        <v>2.5</v>
      </c>
      <c r="X166">
        <v>0</v>
      </c>
      <c r="Y166">
        <v>1</v>
      </c>
      <c r="Z166">
        <v>0</v>
      </c>
      <c r="AA166">
        <v>-2.5</v>
      </c>
      <c r="AB166">
        <v>0</v>
      </c>
      <c r="AC166">
        <v>0</v>
      </c>
      <c r="AD166">
        <v>0</v>
      </c>
      <c r="AE166">
        <v>0</v>
      </c>
      <c r="AF166">
        <v>0</v>
      </c>
      <c r="AG166">
        <v>2.5</v>
      </c>
      <c r="AH166">
        <v>2.5</v>
      </c>
      <c r="AI166">
        <v>0</v>
      </c>
      <c r="AJ166">
        <v>0</v>
      </c>
      <c r="AK166">
        <v>0</v>
      </c>
      <c r="AL166">
        <v>0</v>
      </c>
      <c r="AM166">
        <v>0</v>
      </c>
      <c r="AN166">
        <v>0</v>
      </c>
      <c r="AO166">
        <v>0</v>
      </c>
      <c r="AP166">
        <v>0</v>
      </c>
      <c r="AQ166">
        <v>0</v>
      </c>
      <c r="AR166">
        <v>0</v>
      </c>
      <c r="AS166">
        <v>0</v>
      </c>
      <c r="AT166">
        <v>32</v>
      </c>
      <c r="AU166">
        <v>0</v>
      </c>
      <c r="AV166">
        <v>31</v>
      </c>
      <c r="AW166">
        <v>1</v>
      </c>
      <c r="AX166">
        <v>0.5</v>
      </c>
      <c r="AY166">
        <v>0</v>
      </c>
      <c r="AZ166">
        <v>0.25</v>
      </c>
      <c r="BA166">
        <v>0.25</v>
      </c>
      <c r="BB166">
        <v>0</v>
      </c>
      <c r="BC166">
        <v>0</v>
      </c>
      <c r="BD166">
        <v>0</v>
      </c>
      <c r="BE166">
        <v>0</v>
      </c>
    </row>
    <row r="167" spans="1:57">
      <c r="A167" t="s">
        <v>17044</v>
      </c>
      <c r="B167" t="s">
        <v>17052</v>
      </c>
      <c r="C167">
        <v>0</v>
      </c>
      <c r="D167">
        <v>8</v>
      </c>
      <c r="E167">
        <v>8</v>
      </c>
      <c r="F167">
        <v>8</v>
      </c>
      <c r="G167">
        <v>0</v>
      </c>
      <c r="H167">
        <v>1</v>
      </c>
      <c r="I167">
        <v>0</v>
      </c>
      <c r="J167">
        <v>8</v>
      </c>
      <c r="K167">
        <v>50</v>
      </c>
      <c r="L167">
        <v>2</v>
      </c>
      <c r="M167">
        <v>1</v>
      </c>
      <c r="N167">
        <v>3</v>
      </c>
      <c r="O167">
        <v>2</v>
      </c>
      <c r="P167">
        <v>0</v>
      </c>
      <c r="Q167">
        <v>0</v>
      </c>
      <c r="R167">
        <v>0</v>
      </c>
      <c r="S167">
        <v>24</v>
      </c>
      <c r="T167">
        <v>6.95</v>
      </c>
      <c r="U167">
        <v>0</v>
      </c>
      <c r="V167">
        <v>30.95</v>
      </c>
      <c r="W167">
        <v>379</v>
      </c>
      <c r="X167">
        <v>0</v>
      </c>
      <c r="Y167">
        <v>8</v>
      </c>
      <c r="Z167">
        <v>0</v>
      </c>
      <c r="AA167">
        <v>0</v>
      </c>
      <c r="AB167">
        <v>199</v>
      </c>
      <c r="AC167">
        <v>0</v>
      </c>
      <c r="AD167">
        <v>175</v>
      </c>
      <c r="AE167">
        <v>175</v>
      </c>
      <c r="AF167">
        <v>374</v>
      </c>
      <c r="AG167">
        <v>379</v>
      </c>
      <c r="AH167">
        <v>204</v>
      </c>
      <c r="AI167">
        <v>0</v>
      </c>
      <c r="AJ167">
        <v>15</v>
      </c>
      <c r="AK167">
        <v>45</v>
      </c>
      <c r="AL167">
        <v>45</v>
      </c>
      <c r="AM167">
        <v>0</v>
      </c>
      <c r="AN167">
        <v>0</v>
      </c>
      <c r="AO167">
        <v>0</v>
      </c>
      <c r="AP167">
        <v>1</v>
      </c>
      <c r="AQ167">
        <v>0</v>
      </c>
      <c r="AR167">
        <v>0</v>
      </c>
      <c r="AS167">
        <v>0</v>
      </c>
      <c r="AT167">
        <v>50</v>
      </c>
      <c r="AU167">
        <v>19</v>
      </c>
      <c r="AV167">
        <v>31</v>
      </c>
      <c r="AW167">
        <v>0</v>
      </c>
      <c r="AX167">
        <v>24</v>
      </c>
      <c r="AY167">
        <v>1.5</v>
      </c>
      <c r="AZ167">
        <v>22.5</v>
      </c>
      <c r="BA167">
        <v>0</v>
      </c>
      <c r="BB167">
        <v>6.95</v>
      </c>
      <c r="BC167">
        <v>1.5</v>
      </c>
      <c r="BD167">
        <v>5.45</v>
      </c>
      <c r="BE167">
        <v>0</v>
      </c>
    </row>
    <row r="168" spans="1:57">
      <c r="A168" t="s">
        <v>17044</v>
      </c>
      <c r="B168" t="s">
        <v>17342</v>
      </c>
      <c r="C168">
        <v>1</v>
      </c>
      <c r="D168">
        <v>26</v>
      </c>
      <c r="E168">
        <v>26</v>
      </c>
      <c r="F168">
        <v>25</v>
      </c>
      <c r="G168">
        <v>1</v>
      </c>
      <c r="H168">
        <v>0</v>
      </c>
      <c r="I168">
        <v>1</v>
      </c>
      <c r="J168">
        <v>26</v>
      </c>
      <c r="K168">
        <v>233</v>
      </c>
      <c r="L168">
        <v>6</v>
      </c>
      <c r="M168">
        <v>0</v>
      </c>
      <c r="N168">
        <v>0</v>
      </c>
      <c r="O168">
        <v>19</v>
      </c>
      <c r="P168">
        <v>0</v>
      </c>
      <c r="Q168">
        <v>1</v>
      </c>
      <c r="R168">
        <v>0</v>
      </c>
      <c r="S168">
        <v>35.5</v>
      </c>
      <c r="T168">
        <v>56</v>
      </c>
      <c r="U168">
        <v>0</v>
      </c>
      <c r="V168">
        <v>91.5</v>
      </c>
      <c r="W168">
        <v>1472.5</v>
      </c>
      <c r="X168">
        <v>0</v>
      </c>
      <c r="Y168">
        <v>23</v>
      </c>
      <c r="Z168">
        <v>2</v>
      </c>
      <c r="AA168">
        <v>-2.5</v>
      </c>
      <c r="AB168">
        <v>1122.5</v>
      </c>
      <c r="AC168">
        <v>0</v>
      </c>
      <c r="AD168">
        <v>9.9499999999999993</v>
      </c>
      <c r="AE168">
        <v>0</v>
      </c>
      <c r="AF168">
        <v>1132.45</v>
      </c>
      <c r="AG168">
        <v>1472.5</v>
      </c>
      <c r="AH168">
        <v>1472.5</v>
      </c>
      <c r="AI168">
        <v>0</v>
      </c>
      <c r="AJ168">
        <v>0</v>
      </c>
      <c r="AK168">
        <v>0</v>
      </c>
      <c r="AL168">
        <v>0</v>
      </c>
      <c r="AM168">
        <v>0</v>
      </c>
      <c r="AN168">
        <v>0</v>
      </c>
      <c r="AO168">
        <v>0</v>
      </c>
      <c r="AP168">
        <v>0</v>
      </c>
      <c r="AQ168">
        <v>0</v>
      </c>
      <c r="AR168">
        <v>0</v>
      </c>
      <c r="AS168">
        <v>0</v>
      </c>
      <c r="AT168">
        <v>233</v>
      </c>
      <c r="AU168">
        <v>0</v>
      </c>
      <c r="AV168">
        <v>230</v>
      </c>
      <c r="AW168">
        <v>3</v>
      </c>
      <c r="AX168">
        <v>35.5</v>
      </c>
      <c r="AY168">
        <v>0</v>
      </c>
      <c r="AZ168">
        <v>35.25</v>
      </c>
      <c r="BA168">
        <v>0.25</v>
      </c>
      <c r="BB168">
        <v>56</v>
      </c>
      <c r="BC168">
        <v>0</v>
      </c>
      <c r="BD168">
        <v>56</v>
      </c>
      <c r="BE168">
        <v>0</v>
      </c>
    </row>
    <row r="169" spans="1:57">
      <c r="A169" t="s">
        <v>17044</v>
      </c>
      <c r="B169" t="s">
        <v>17057</v>
      </c>
      <c r="C169">
        <v>45</v>
      </c>
      <c r="D169">
        <v>58</v>
      </c>
      <c r="E169">
        <v>58</v>
      </c>
      <c r="F169">
        <v>50</v>
      </c>
      <c r="G169">
        <v>8</v>
      </c>
      <c r="H169">
        <v>0</v>
      </c>
      <c r="I169">
        <v>0</v>
      </c>
      <c r="J169">
        <v>58</v>
      </c>
      <c r="K169">
        <v>598</v>
      </c>
      <c r="L169">
        <v>31</v>
      </c>
      <c r="M169">
        <v>0</v>
      </c>
      <c r="N169">
        <v>21</v>
      </c>
      <c r="O169">
        <v>2</v>
      </c>
      <c r="P169">
        <v>2</v>
      </c>
      <c r="Q169">
        <v>2</v>
      </c>
      <c r="R169">
        <v>0</v>
      </c>
      <c r="S169">
        <v>20.75</v>
      </c>
      <c r="T169">
        <v>19.75</v>
      </c>
      <c r="U169">
        <v>0</v>
      </c>
      <c r="V169">
        <v>40.5</v>
      </c>
      <c r="W169">
        <v>230</v>
      </c>
      <c r="X169">
        <v>0</v>
      </c>
      <c r="Y169">
        <v>12</v>
      </c>
      <c r="Z169">
        <v>0</v>
      </c>
      <c r="AA169">
        <v>-372.5</v>
      </c>
      <c r="AB169">
        <v>5</v>
      </c>
      <c r="AC169">
        <v>511.23</v>
      </c>
      <c r="AD169">
        <v>471.23</v>
      </c>
      <c r="AE169">
        <v>418.48</v>
      </c>
      <c r="AF169">
        <v>458.73</v>
      </c>
      <c r="AG169">
        <v>723.7299999999999</v>
      </c>
      <c r="AH169">
        <v>314</v>
      </c>
      <c r="AI169">
        <v>0</v>
      </c>
      <c r="AJ169">
        <v>0</v>
      </c>
      <c r="AK169">
        <v>0</v>
      </c>
      <c r="AL169">
        <v>0</v>
      </c>
      <c r="AM169">
        <v>30</v>
      </c>
      <c r="AN169">
        <v>15</v>
      </c>
      <c r="AO169">
        <v>2</v>
      </c>
      <c r="AP169">
        <v>0</v>
      </c>
      <c r="AQ169">
        <v>0</v>
      </c>
      <c r="AR169">
        <v>0</v>
      </c>
      <c r="AS169">
        <v>0</v>
      </c>
      <c r="AT169">
        <v>598</v>
      </c>
      <c r="AU169">
        <v>0</v>
      </c>
      <c r="AV169">
        <v>224</v>
      </c>
      <c r="AW169">
        <v>374</v>
      </c>
      <c r="AX169">
        <v>20.75</v>
      </c>
      <c r="AY169">
        <v>0</v>
      </c>
      <c r="AZ169">
        <v>6</v>
      </c>
      <c r="BA169">
        <v>14.75</v>
      </c>
      <c r="BB169">
        <v>19.75</v>
      </c>
      <c r="BC169">
        <v>0</v>
      </c>
      <c r="BD169">
        <v>8.5</v>
      </c>
      <c r="BE169">
        <v>11.25</v>
      </c>
    </row>
    <row r="170" spans="1:57">
      <c r="A170" t="s">
        <v>17044</v>
      </c>
      <c r="B170" t="s">
        <v>17340</v>
      </c>
      <c r="C170">
        <v>0</v>
      </c>
      <c r="D170">
        <v>47</v>
      </c>
      <c r="E170">
        <v>20</v>
      </c>
      <c r="F170">
        <v>44</v>
      </c>
      <c r="G170">
        <v>6</v>
      </c>
      <c r="H170">
        <v>11</v>
      </c>
      <c r="I170">
        <v>1</v>
      </c>
      <c r="J170">
        <v>47</v>
      </c>
      <c r="K170">
        <v>527</v>
      </c>
      <c r="L170">
        <v>29</v>
      </c>
      <c r="M170">
        <v>1</v>
      </c>
      <c r="N170">
        <v>7</v>
      </c>
      <c r="O170">
        <v>3</v>
      </c>
      <c r="P170">
        <v>1</v>
      </c>
      <c r="Q170">
        <v>6</v>
      </c>
      <c r="R170">
        <v>0</v>
      </c>
      <c r="S170">
        <v>38.25</v>
      </c>
      <c r="T170">
        <v>43.25</v>
      </c>
      <c r="U170">
        <v>0</v>
      </c>
      <c r="V170">
        <v>81.5</v>
      </c>
      <c r="W170">
        <v>1247.5</v>
      </c>
      <c r="X170">
        <v>0</v>
      </c>
      <c r="Y170">
        <v>40</v>
      </c>
      <c r="Z170">
        <v>7</v>
      </c>
      <c r="AA170">
        <v>0</v>
      </c>
      <c r="AB170">
        <v>177.5</v>
      </c>
      <c r="AC170">
        <v>110.25</v>
      </c>
      <c r="AD170">
        <v>110.25</v>
      </c>
      <c r="AE170">
        <v>217.75</v>
      </c>
      <c r="AF170">
        <v>287.75</v>
      </c>
      <c r="AG170">
        <v>1357.75</v>
      </c>
      <c r="AH170">
        <v>1140</v>
      </c>
      <c r="AI170">
        <v>107.5</v>
      </c>
      <c r="AJ170">
        <v>177.5</v>
      </c>
      <c r="AK170">
        <v>675</v>
      </c>
      <c r="AL170">
        <v>567.5</v>
      </c>
      <c r="AM170">
        <v>0</v>
      </c>
      <c r="AN170">
        <v>3</v>
      </c>
      <c r="AO170">
        <v>1</v>
      </c>
      <c r="AP170">
        <v>1</v>
      </c>
      <c r="AQ170">
        <v>0</v>
      </c>
      <c r="AR170">
        <v>0</v>
      </c>
      <c r="AS170">
        <v>0</v>
      </c>
      <c r="AT170">
        <v>527</v>
      </c>
      <c r="AU170">
        <v>282</v>
      </c>
      <c r="AV170">
        <v>245</v>
      </c>
      <c r="AW170">
        <v>0</v>
      </c>
      <c r="AX170">
        <v>38.25</v>
      </c>
      <c r="AY170">
        <v>18.5</v>
      </c>
      <c r="AZ170">
        <v>19.75</v>
      </c>
      <c r="BA170">
        <v>0</v>
      </c>
      <c r="BB170">
        <v>43.25</v>
      </c>
      <c r="BC170">
        <v>24.5</v>
      </c>
      <c r="BD170">
        <v>18.75</v>
      </c>
      <c r="BE170">
        <v>0</v>
      </c>
    </row>
    <row r="171" spans="1:57">
      <c r="A171" t="s">
        <v>17044</v>
      </c>
      <c r="B171" t="s">
        <v>17058</v>
      </c>
      <c r="C171">
        <v>51</v>
      </c>
      <c r="D171">
        <v>131</v>
      </c>
      <c r="E171">
        <v>131</v>
      </c>
      <c r="F171">
        <v>127</v>
      </c>
      <c r="G171">
        <v>7</v>
      </c>
      <c r="H171">
        <v>11</v>
      </c>
      <c r="I171">
        <v>6</v>
      </c>
      <c r="J171">
        <v>130</v>
      </c>
      <c r="K171">
        <v>1071</v>
      </c>
      <c r="L171">
        <v>30</v>
      </c>
      <c r="M171">
        <v>25</v>
      </c>
      <c r="N171">
        <v>33</v>
      </c>
      <c r="O171">
        <v>27</v>
      </c>
      <c r="P171">
        <v>8</v>
      </c>
      <c r="Q171">
        <v>8</v>
      </c>
      <c r="R171">
        <v>0</v>
      </c>
      <c r="S171">
        <v>124.75</v>
      </c>
      <c r="T171">
        <v>123.5</v>
      </c>
      <c r="U171">
        <v>12.5</v>
      </c>
      <c r="V171">
        <v>260.75</v>
      </c>
      <c r="W171">
        <v>1837.5</v>
      </c>
      <c r="X171">
        <v>0</v>
      </c>
      <c r="Y171">
        <v>80</v>
      </c>
      <c r="Z171">
        <v>0</v>
      </c>
      <c r="AA171">
        <v>-1880</v>
      </c>
      <c r="AB171">
        <v>582.5</v>
      </c>
      <c r="AC171">
        <v>1730.86</v>
      </c>
      <c r="AD171">
        <v>1730.86</v>
      </c>
      <c r="AE171">
        <v>865.86</v>
      </c>
      <c r="AF171">
        <v>2313.3599999999997</v>
      </c>
      <c r="AG171">
        <v>3818.36</v>
      </c>
      <c r="AH171">
        <v>2859.25</v>
      </c>
      <c r="AI171">
        <v>436</v>
      </c>
      <c r="AJ171">
        <v>896.75</v>
      </c>
      <c r="AK171">
        <v>1146.75</v>
      </c>
      <c r="AL171">
        <v>710.75</v>
      </c>
      <c r="AM171">
        <v>14</v>
      </c>
      <c r="AN171">
        <v>17</v>
      </c>
      <c r="AO171">
        <v>5</v>
      </c>
      <c r="AP171">
        <v>1</v>
      </c>
      <c r="AQ171">
        <v>0</v>
      </c>
      <c r="AR171">
        <v>0</v>
      </c>
      <c r="AS171">
        <v>0</v>
      </c>
      <c r="AT171">
        <v>1071</v>
      </c>
      <c r="AU171">
        <v>277</v>
      </c>
      <c r="AV171">
        <v>401</v>
      </c>
      <c r="AW171">
        <v>582</v>
      </c>
      <c r="AX171">
        <v>124.75</v>
      </c>
      <c r="AY171">
        <v>32.5</v>
      </c>
      <c r="AZ171">
        <v>50.25</v>
      </c>
      <c r="BA171">
        <v>61</v>
      </c>
      <c r="BB171">
        <v>123.5</v>
      </c>
      <c r="BC171">
        <v>34</v>
      </c>
      <c r="BD171">
        <v>47</v>
      </c>
      <c r="BE171">
        <v>63.5</v>
      </c>
    </row>
    <row r="172" spans="1:57">
      <c r="A172" t="s">
        <v>23543</v>
      </c>
      <c r="B172" t="s">
        <v>22121</v>
      </c>
      <c r="C172">
        <v>5</v>
      </c>
      <c r="D172">
        <v>35</v>
      </c>
      <c r="E172">
        <v>0</v>
      </c>
      <c r="F172">
        <v>6</v>
      </c>
      <c r="G172">
        <v>4</v>
      </c>
      <c r="H172">
        <v>6</v>
      </c>
      <c r="I172">
        <v>0</v>
      </c>
      <c r="J172">
        <v>32</v>
      </c>
      <c r="K172">
        <v>305</v>
      </c>
      <c r="L172">
        <v>21</v>
      </c>
      <c r="M172">
        <v>1</v>
      </c>
      <c r="N172">
        <v>0</v>
      </c>
      <c r="O172">
        <v>7</v>
      </c>
      <c r="P172">
        <v>0</v>
      </c>
      <c r="Q172">
        <v>4</v>
      </c>
      <c r="R172">
        <v>0</v>
      </c>
      <c r="S172">
        <v>1000</v>
      </c>
      <c r="T172">
        <v>10</v>
      </c>
      <c r="U172">
        <v>0</v>
      </c>
      <c r="V172">
        <v>1010</v>
      </c>
      <c r="W172">
        <v>10200</v>
      </c>
      <c r="X172">
        <v>0</v>
      </c>
      <c r="Y172">
        <v>1</v>
      </c>
      <c r="Z172">
        <v>0</v>
      </c>
      <c r="AA172">
        <v>0</v>
      </c>
      <c r="AB172">
        <v>10170</v>
      </c>
      <c r="AC172">
        <v>5</v>
      </c>
      <c r="AD172">
        <v>0</v>
      </c>
      <c r="AE172">
        <v>0</v>
      </c>
      <c r="AF172">
        <v>10170</v>
      </c>
      <c r="AG172">
        <v>10205</v>
      </c>
      <c r="AH172">
        <v>10205</v>
      </c>
      <c r="AI172">
        <v>0</v>
      </c>
      <c r="AJ172">
        <v>0</v>
      </c>
      <c r="AK172">
        <v>5</v>
      </c>
      <c r="AL172">
        <v>5</v>
      </c>
      <c r="AM172">
        <v>0</v>
      </c>
      <c r="AN172">
        <v>0</v>
      </c>
      <c r="AO172">
        <v>0</v>
      </c>
      <c r="AP172">
        <v>0</v>
      </c>
      <c r="AQ172">
        <v>0</v>
      </c>
      <c r="AR172">
        <v>0</v>
      </c>
      <c r="AS172">
        <v>0</v>
      </c>
      <c r="AT172">
        <v>305</v>
      </c>
      <c r="AU172">
        <v>171</v>
      </c>
      <c r="AV172">
        <v>128</v>
      </c>
      <c r="AW172">
        <v>50</v>
      </c>
      <c r="AX172">
        <v>1000</v>
      </c>
      <c r="AY172">
        <v>0</v>
      </c>
      <c r="AZ172">
        <v>1000</v>
      </c>
      <c r="BA172">
        <v>0</v>
      </c>
      <c r="BB172">
        <v>10</v>
      </c>
      <c r="BC172">
        <v>0</v>
      </c>
      <c r="BD172">
        <v>10</v>
      </c>
      <c r="BE172">
        <v>0</v>
      </c>
    </row>
    <row r="173" spans="1:57">
      <c r="A173" t="s">
        <v>23543</v>
      </c>
      <c r="B173" t="s">
        <v>22121</v>
      </c>
      <c r="C173">
        <v>1</v>
      </c>
      <c r="D173">
        <v>27</v>
      </c>
      <c r="E173">
        <v>0</v>
      </c>
      <c r="F173">
        <v>6</v>
      </c>
      <c r="G173">
        <v>0</v>
      </c>
      <c r="H173">
        <v>5</v>
      </c>
      <c r="I173">
        <v>0</v>
      </c>
      <c r="J173">
        <v>25</v>
      </c>
      <c r="K173">
        <v>125</v>
      </c>
      <c r="L173">
        <v>17</v>
      </c>
      <c r="M173">
        <v>1</v>
      </c>
      <c r="N173">
        <v>1</v>
      </c>
      <c r="O173">
        <v>6</v>
      </c>
      <c r="P173">
        <v>2</v>
      </c>
      <c r="Q173">
        <v>2</v>
      </c>
      <c r="R173">
        <v>0</v>
      </c>
      <c r="S173">
        <v>494</v>
      </c>
      <c r="T173">
        <v>141</v>
      </c>
      <c r="U173">
        <v>0</v>
      </c>
      <c r="V173">
        <v>635</v>
      </c>
      <c r="W173">
        <v>7760</v>
      </c>
      <c r="X173">
        <v>0</v>
      </c>
      <c r="Y173">
        <v>2</v>
      </c>
      <c r="Z173">
        <v>0</v>
      </c>
      <c r="AA173">
        <v>0</v>
      </c>
      <c r="AB173">
        <v>7700</v>
      </c>
      <c r="AC173">
        <v>0</v>
      </c>
      <c r="AD173">
        <v>0</v>
      </c>
      <c r="AE173">
        <v>0</v>
      </c>
      <c r="AF173">
        <v>7700</v>
      </c>
      <c r="AG173">
        <v>7760</v>
      </c>
      <c r="AH173">
        <v>7760</v>
      </c>
      <c r="AI173">
        <v>0</v>
      </c>
      <c r="AJ173">
        <v>7700</v>
      </c>
      <c r="AK173">
        <v>7760</v>
      </c>
      <c r="AL173">
        <v>7760</v>
      </c>
      <c r="AM173">
        <v>0</v>
      </c>
      <c r="AN173">
        <v>0</v>
      </c>
      <c r="AO173">
        <v>0</v>
      </c>
      <c r="AP173">
        <v>0</v>
      </c>
      <c r="AQ173">
        <v>0</v>
      </c>
      <c r="AR173">
        <v>0</v>
      </c>
      <c r="AS173">
        <v>0</v>
      </c>
      <c r="AT173">
        <v>125</v>
      </c>
      <c r="AU173">
        <v>54</v>
      </c>
      <c r="AV173">
        <v>63</v>
      </c>
      <c r="AW173">
        <v>8</v>
      </c>
      <c r="AX173">
        <v>494</v>
      </c>
      <c r="AY173">
        <v>494</v>
      </c>
      <c r="AZ173">
        <v>0</v>
      </c>
      <c r="BA173">
        <v>0</v>
      </c>
      <c r="BB173">
        <v>141</v>
      </c>
      <c r="BC173">
        <v>141</v>
      </c>
      <c r="BD173">
        <v>0</v>
      </c>
      <c r="BE173">
        <v>0</v>
      </c>
    </row>
    <row r="174" spans="1:57">
      <c r="A174" t="s">
        <v>17059</v>
      </c>
      <c r="B174" t="s">
        <v>20669</v>
      </c>
      <c r="C174">
        <v>0</v>
      </c>
      <c r="D174">
        <v>8</v>
      </c>
      <c r="E174">
        <v>3</v>
      </c>
      <c r="F174">
        <v>0</v>
      </c>
      <c r="G174">
        <v>3</v>
      </c>
      <c r="H174">
        <v>3</v>
      </c>
      <c r="I174">
        <v>1</v>
      </c>
      <c r="J174">
        <v>2</v>
      </c>
      <c r="K174">
        <v>70</v>
      </c>
      <c r="L174">
        <v>0</v>
      </c>
      <c r="M174">
        <v>0</v>
      </c>
      <c r="N174">
        <v>0</v>
      </c>
      <c r="O174">
        <v>4</v>
      </c>
      <c r="P174">
        <v>1</v>
      </c>
      <c r="Q174">
        <v>1</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70</v>
      </c>
      <c r="AU174">
        <v>2</v>
      </c>
      <c r="AV174">
        <v>68</v>
      </c>
      <c r="AW174">
        <v>0</v>
      </c>
      <c r="AX174">
        <v>0</v>
      </c>
      <c r="AY174">
        <v>0</v>
      </c>
      <c r="AZ174">
        <v>0</v>
      </c>
      <c r="BA174">
        <v>0</v>
      </c>
      <c r="BB174">
        <v>0</v>
      </c>
      <c r="BC174">
        <v>0</v>
      </c>
      <c r="BD174">
        <v>0</v>
      </c>
      <c r="BE174">
        <v>0</v>
      </c>
    </row>
    <row r="175" spans="1:57">
      <c r="A175" t="s">
        <v>16978</v>
      </c>
      <c r="B175" t="s">
        <v>22128</v>
      </c>
      <c r="C175">
        <v>0</v>
      </c>
      <c r="D175">
        <v>3</v>
      </c>
      <c r="E175">
        <v>3</v>
      </c>
      <c r="F175">
        <v>3</v>
      </c>
      <c r="G175">
        <v>0</v>
      </c>
      <c r="H175">
        <v>0</v>
      </c>
      <c r="I175">
        <v>0</v>
      </c>
      <c r="J175">
        <v>3</v>
      </c>
      <c r="K175">
        <v>31</v>
      </c>
      <c r="L175">
        <v>1</v>
      </c>
      <c r="M175">
        <v>0</v>
      </c>
      <c r="N175">
        <v>1</v>
      </c>
      <c r="O175">
        <v>1</v>
      </c>
      <c r="P175">
        <v>0</v>
      </c>
      <c r="Q175">
        <v>0</v>
      </c>
      <c r="R175">
        <v>0</v>
      </c>
      <c r="S175">
        <v>10</v>
      </c>
      <c r="T175">
        <v>0</v>
      </c>
      <c r="U175">
        <v>0</v>
      </c>
      <c r="V175">
        <v>10</v>
      </c>
      <c r="W175">
        <v>100</v>
      </c>
      <c r="X175">
        <v>0</v>
      </c>
      <c r="Y175">
        <v>1</v>
      </c>
      <c r="Z175">
        <v>2</v>
      </c>
      <c r="AA175">
        <v>0</v>
      </c>
      <c r="AB175">
        <v>0</v>
      </c>
      <c r="AC175">
        <v>0</v>
      </c>
      <c r="AD175">
        <v>0</v>
      </c>
      <c r="AE175">
        <v>0</v>
      </c>
      <c r="AF175">
        <v>0</v>
      </c>
      <c r="AG175">
        <v>100</v>
      </c>
      <c r="AH175">
        <v>100</v>
      </c>
      <c r="AI175">
        <v>0</v>
      </c>
      <c r="AJ175">
        <v>0</v>
      </c>
      <c r="AK175">
        <v>0</v>
      </c>
      <c r="AL175">
        <v>0</v>
      </c>
      <c r="AM175">
        <v>0</v>
      </c>
      <c r="AN175">
        <v>0</v>
      </c>
      <c r="AO175">
        <v>0</v>
      </c>
      <c r="AP175">
        <v>0</v>
      </c>
      <c r="AQ175">
        <v>0</v>
      </c>
      <c r="AR175">
        <v>0</v>
      </c>
      <c r="AS175">
        <v>0</v>
      </c>
      <c r="AT175">
        <v>31</v>
      </c>
      <c r="AU175">
        <v>0</v>
      </c>
      <c r="AV175">
        <v>31</v>
      </c>
      <c r="AW175">
        <v>0</v>
      </c>
      <c r="AX175">
        <v>10</v>
      </c>
      <c r="AY175">
        <v>0</v>
      </c>
      <c r="AZ175">
        <v>10</v>
      </c>
      <c r="BA175">
        <v>0</v>
      </c>
      <c r="BB175">
        <v>0</v>
      </c>
      <c r="BC175">
        <v>0</v>
      </c>
      <c r="BD175">
        <v>0</v>
      </c>
      <c r="BE175">
        <v>0</v>
      </c>
    </row>
    <row r="176" spans="1:57">
      <c r="A176" t="s">
        <v>16978</v>
      </c>
      <c r="B176" t="s">
        <v>19348</v>
      </c>
      <c r="C176">
        <v>12</v>
      </c>
      <c r="D176">
        <v>64</v>
      </c>
      <c r="E176">
        <v>64</v>
      </c>
      <c r="F176">
        <v>64</v>
      </c>
      <c r="G176">
        <v>5</v>
      </c>
      <c r="H176">
        <v>8</v>
      </c>
      <c r="I176">
        <v>5</v>
      </c>
      <c r="J176">
        <v>63</v>
      </c>
      <c r="K176">
        <v>947</v>
      </c>
      <c r="L176">
        <v>19</v>
      </c>
      <c r="M176">
        <v>3</v>
      </c>
      <c r="N176">
        <v>26</v>
      </c>
      <c r="O176">
        <v>9</v>
      </c>
      <c r="P176">
        <v>1</v>
      </c>
      <c r="Q176">
        <v>6</v>
      </c>
      <c r="R176">
        <v>0</v>
      </c>
      <c r="S176">
        <v>77</v>
      </c>
      <c r="T176">
        <v>291.25</v>
      </c>
      <c r="U176">
        <v>0</v>
      </c>
      <c r="V176">
        <v>368.25</v>
      </c>
      <c r="W176">
        <v>5562.5</v>
      </c>
      <c r="X176">
        <v>0</v>
      </c>
      <c r="Y176">
        <v>38</v>
      </c>
      <c r="Z176">
        <v>7</v>
      </c>
      <c r="AA176">
        <v>-1032.5</v>
      </c>
      <c r="AB176">
        <v>4587.5</v>
      </c>
      <c r="AC176">
        <v>0</v>
      </c>
      <c r="AD176">
        <v>0</v>
      </c>
      <c r="AE176">
        <v>963.75</v>
      </c>
      <c r="AF176">
        <v>4587.5</v>
      </c>
      <c r="AG176">
        <v>5562.5</v>
      </c>
      <c r="AH176">
        <v>4670</v>
      </c>
      <c r="AI176">
        <v>386.25</v>
      </c>
      <c r="AJ176">
        <v>460</v>
      </c>
      <c r="AK176">
        <v>520</v>
      </c>
      <c r="AL176">
        <v>205</v>
      </c>
      <c r="AM176">
        <v>0</v>
      </c>
      <c r="AN176">
        <v>3</v>
      </c>
      <c r="AO176">
        <v>5</v>
      </c>
      <c r="AP176">
        <v>4</v>
      </c>
      <c r="AQ176">
        <v>0</v>
      </c>
      <c r="AR176">
        <v>0</v>
      </c>
      <c r="AS176">
        <v>0</v>
      </c>
      <c r="AT176">
        <v>947</v>
      </c>
      <c r="AU176">
        <v>186</v>
      </c>
      <c r="AV176">
        <v>649</v>
      </c>
      <c r="AW176">
        <v>157</v>
      </c>
      <c r="AX176">
        <v>77</v>
      </c>
      <c r="AY176">
        <v>37.25</v>
      </c>
      <c r="AZ176">
        <v>31.75</v>
      </c>
      <c r="BA176">
        <v>13.25</v>
      </c>
      <c r="BB176">
        <v>291.25</v>
      </c>
      <c r="BC176">
        <v>41.75</v>
      </c>
      <c r="BD176">
        <v>236.25</v>
      </c>
      <c r="BE176">
        <v>45</v>
      </c>
    </row>
    <row r="177" spans="1:57">
      <c r="A177" t="s">
        <v>16978</v>
      </c>
      <c r="B177" t="s">
        <v>17065</v>
      </c>
      <c r="C177">
        <v>0</v>
      </c>
      <c r="D177">
        <v>3</v>
      </c>
      <c r="E177">
        <v>3</v>
      </c>
      <c r="F177">
        <v>0</v>
      </c>
      <c r="G177">
        <v>0</v>
      </c>
      <c r="H177">
        <v>0</v>
      </c>
      <c r="I177">
        <v>0</v>
      </c>
      <c r="J177">
        <v>3</v>
      </c>
      <c r="K177">
        <v>21</v>
      </c>
      <c r="L177">
        <v>3</v>
      </c>
      <c r="M177">
        <v>0</v>
      </c>
      <c r="N177">
        <v>0</v>
      </c>
      <c r="O177">
        <v>0</v>
      </c>
      <c r="P177">
        <v>0</v>
      </c>
      <c r="Q177">
        <v>0</v>
      </c>
      <c r="R177">
        <v>0</v>
      </c>
      <c r="S177">
        <v>2</v>
      </c>
      <c r="T177">
        <v>0</v>
      </c>
      <c r="U177">
        <v>3</v>
      </c>
      <c r="V177">
        <v>6</v>
      </c>
      <c r="W177">
        <v>30</v>
      </c>
      <c r="X177">
        <v>0</v>
      </c>
      <c r="Y177">
        <v>3</v>
      </c>
      <c r="Z177">
        <v>0</v>
      </c>
      <c r="AA177">
        <v>0</v>
      </c>
      <c r="AB177">
        <v>0</v>
      </c>
      <c r="AC177">
        <v>0</v>
      </c>
      <c r="AD177">
        <v>0</v>
      </c>
      <c r="AE177">
        <v>0</v>
      </c>
      <c r="AF177">
        <v>0</v>
      </c>
      <c r="AG177">
        <v>90</v>
      </c>
      <c r="AH177">
        <v>90</v>
      </c>
      <c r="AI177">
        <v>0</v>
      </c>
      <c r="AJ177">
        <v>0</v>
      </c>
      <c r="AK177">
        <v>0</v>
      </c>
      <c r="AL177">
        <v>0</v>
      </c>
      <c r="AM177">
        <v>0</v>
      </c>
      <c r="AN177">
        <v>0</v>
      </c>
      <c r="AO177">
        <v>0</v>
      </c>
      <c r="AP177">
        <v>0</v>
      </c>
      <c r="AQ177">
        <v>0</v>
      </c>
      <c r="AR177">
        <v>0</v>
      </c>
      <c r="AS177">
        <v>0</v>
      </c>
      <c r="AT177">
        <v>21</v>
      </c>
      <c r="AU177">
        <v>0</v>
      </c>
      <c r="AV177">
        <v>21</v>
      </c>
      <c r="AW177">
        <v>0</v>
      </c>
      <c r="AX177">
        <v>2</v>
      </c>
      <c r="AY177">
        <v>0</v>
      </c>
      <c r="AZ177">
        <v>2</v>
      </c>
      <c r="BA177">
        <v>0</v>
      </c>
      <c r="BB177">
        <v>0</v>
      </c>
      <c r="BC177">
        <v>0</v>
      </c>
      <c r="BD177">
        <v>0</v>
      </c>
      <c r="BE177">
        <v>0</v>
      </c>
    </row>
    <row r="178" spans="1:57">
      <c r="A178" t="s">
        <v>16978</v>
      </c>
      <c r="B178" t="s">
        <v>22127</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row>
    <row r="179" spans="1:57">
      <c r="A179" t="s">
        <v>16978</v>
      </c>
      <c r="B179" t="s">
        <v>17086</v>
      </c>
      <c r="C179">
        <v>0</v>
      </c>
      <c r="D179">
        <v>5</v>
      </c>
      <c r="E179">
        <v>4</v>
      </c>
      <c r="F179">
        <v>2</v>
      </c>
      <c r="G179">
        <v>0</v>
      </c>
      <c r="H179">
        <v>0</v>
      </c>
      <c r="I179">
        <v>0</v>
      </c>
      <c r="J179">
        <v>3</v>
      </c>
      <c r="K179">
        <v>43</v>
      </c>
      <c r="L179">
        <v>0</v>
      </c>
      <c r="M179">
        <v>1</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43</v>
      </c>
      <c r="AU179">
        <v>0</v>
      </c>
      <c r="AV179">
        <v>43</v>
      </c>
      <c r="AW179">
        <v>0</v>
      </c>
      <c r="AX179">
        <v>0</v>
      </c>
      <c r="AY179">
        <v>0</v>
      </c>
      <c r="AZ179">
        <v>0</v>
      </c>
      <c r="BA179">
        <v>0</v>
      </c>
      <c r="BB179">
        <v>0</v>
      </c>
      <c r="BC179">
        <v>0</v>
      </c>
      <c r="BD179">
        <v>0</v>
      </c>
      <c r="BE179">
        <v>0</v>
      </c>
    </row>
    <row r="180" spans="1:57">
      <c r="A180" t="s">
        <v>16978</v>
      </c>
      <c r="B180" t="s">
        <v>20671</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row>
    <row r="181" spans="1:57">
      <c r="A181" t="s">
        <v>16978</v>
      </c>
      <c r="B181" t="s">
        <v>18823</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row>
    <row r="182" spans="1:57">
      <c r="A182" t="s">
        <v>16978</v>
      </c>
      <c r="B182" t="s">
        <v>20670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row>
    <row r="183" spans="1:57">
      <c r="A183" t="s">
        <v>16978</v>
      </c>
      <c r="B183" t="s">
        <v>17330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row>
    <row r="184" spans="1:57">
      <c r="A184" t="s">
        <v>16978</v>
      </c>
      <c r="B184" t="s">
        <v>18824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7">
      <c r="A185" t="s">
        <v>16978</v>
      </c>
      <c r="B185" t="s">
        <v>17064</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row>
    <row r="186" spans="1:57">
      <c r="A186" t="s">
        <v>16978</v>
      </c>
      <c r="B186" t="s">
        <v>17066</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row>
    <row r="187" spans="1:57">
      <c r="A187" t="s">
        <v>16978</v>
      </c>
      <c r="B187" t="s">
        <v>17067</v>
      </c>
      <c r="C187">
        <v>0</v>
      </c>
      <c r="D187">
        <v>1</v>
      </c>
      <c r="E187">
        <v>1</v>
      </c>
      <c r="F187">
        <v>1</v>
      </c>
      <c r="G187">
        <v>0</v>
      </c>
      <c r="H187">
        <v>0</v>
      </c>
      <c r="I187">
        <v>0</v>
      </c>
      <c r="J187">
        <v>1</v>
      </c>
      <c r="K187">
        <v>1</v>
      </c>
      <c r="L187">
        <v>1</v>
      </c>
      <c r="M187">
        <v>0</v>
      </c>
      <c r="N187">
        <v>0</v>
      </c>
      <c r="O187">
        <v>0</v>
      </c>
      <c r="P187">
        <v>0</v>
      </c>
      <c r="Q187">
        <v>0</v>
      </c>
      <c r="R187">
        <v>0</v>
      </c>
      <c r="S187">
        <v>0.15</v>
      </c>
      <c r="T187">
        <v>0</v>
      </c>
      <c r="U187">
        <v>0</v>
      </c>
      <c r="V187">
        <v>0.15</v>
      </c>
      <c r="W187">
        <v>1.5</v>
      </c>
      <c r="X187">
        <v>0</v>
      </c>
      <c r="Y187">
        <v>1</v>
      </c>
      <c r="Z187">
        <v>0</v>
      </c>
      <c r="AA187">
        <v>0</v>
      </c>
      <c r="AB187">
        <v>0</v>
      </c>
      <c r="AC187">
        <v>0</v>
      </c>
      <c r="AD187">
        <v>0</v>
      </c>
      <c r="AE187">
        <v>0</v>
      </c>
      <c r="AF187">
        <v>0</v>
      </c>
      <c r="AG187">
        <v>1.5</v>
      </c>
      <c r="AH187">
        <v>1.5</v>
      </c>
      <c r="AI187">
        <v>0</v>
      </c>
      <c r="AJ187">
        <v>0</v>
      </c>
      <c r="AK187">
        <v>0</v>
      </c>
      <c r="AL187">
        <v>0</v>
      </c>
      <c r="AM187">
        <v>0</v>
      </c>
      <c r="AN187">
        <v>0</v>
      </c>
      <c r="AO187">
        <v>0</v>
      </c>
      <c r="AP187">
        <v>0</v>
      </c>
      <c r="AQ187">
        <v>0</v>
      </c>
      <c r="AR187">
        <v>0</v>
      </c>
      <c r="AS187">
        <v>0</v>
      </c>
      <c r="AT187">
        <v>1</v>
      </c>
      <c r="AU187">
        <v>0</v>
      </c>
      <c r="AV187">
        <v>1</v>
      </c>
      <c r="AW187">
        <v>0</v>
      </c>
      <c r="AX187">
        <v>0.15</v>
      </c>
      <c r="AY187">
        <v>0</v>
      </c>
      <c r="AZ187">
        <v>0.15</v>
      </c>
      <c r="BA187">
        <v>0</v>
      </c>
      <c r="BB187">
        <v>0</v>
      </c>
      <c r="BC187">
        <v>0</v>
      </c>
      <c r="BD187">
        <v>0</v>
      </c>
      <c r="BE187">
        <v>0</v>
      </c>
    </row>
    <row r="188" spans="1:57">
      <c r="A188" t="s">
        <v>16978</v>
      </c>
      <c r="B188" t="s">
        <v>17331</v>
      </c>
      <c r="C188">
        <v>6</v>
      </c>
      <c r="D188">
        <v>6</v>
      </c>
      <c r="E188">
        <v>0</v>
      </c>
      <c r="F188">
        <v>2</v>
      </c>
      <c r="G188">
        <v>0</v>
      </c>
      <c r="H188">
        <v>4</v>
      </c>
      <c r="I188">
        <v>0</v>
      </c>
      <c r="J188">
        <v>6</v>
      </c>
      <c r="K188">
        <v>92</v>
      </c>
      <c r="L188">
        <v>6</v>
      </c>
      <c r="M188">
        <v>0</v>
      </c>
      <c r="N188">
        <v>0</v>
      </c>
      <c r="O188">
        <v>0</v>
      </c>
      <c r="P188">
        <v>0</v>
      </c>
      <c r="Q188">
        <v>0</v>
      </c>
      <c r="R188">
        <v>0</v>
      </c>
      <c r="S188">
        <v>8.75</v>
      </c>
      <c r="T188">
        <v>4.5</v>
      </c>
      <c r="U188">
        <v>0</v>
      </c>
      <c r="V188">
        <v>13.25</v>
      </c>
      <c r="W188">
        <v>0</v>
      </c>
      <c r="X188">
        <v>0</v>
      </c>
      <c r="Y188">
        <v>0</v>
      </c>
      <c r="Z188">
        <v>0</v>
      </c>
      <c r="AA188">
        <v>-177.5</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92</v>
      </c>
      <c r="AU188">
        <v>89</v>
      </c>
      <c r="AV188">
        <v>0</v>
      </c>
      <c r="AW188">
        <v>92</v>
      </c>
      <c r="AX188">
        <v>8.75</v>
      </c>
      <c r="AY188">
        <v>8</v>
      </c>
      <c r="AZ188">
        <v>0</v>
      </c>
      <c r="BA188">
        <v>8.75</v>
      </c>
      <c r="BB188">
        <v>4.5</v>
      </c>
      <c r="BC188">
        <v>4</v>
      </c>
      <c r="BD188">
        <v>0</v>
      </c>
      <c r="BE188">
        <v>4.5</v>
      </c>
    </row>
    <row r="189" spans="1:57">
      <c r="A189" t="s">
        <v>16978</v>
      </c>
      <c r="B189" t="s">
        <v>17332</v>
      </c>
      <c r="C189">
        <v>36</v>
      </c>
      <c r="D189">
        <v>36</v>
      </c>
      <c r="E189">
        <v>0</v>
      </c>
      <c r="F189">
        <v>36</v>
      </c>
      <c r="G189">
        <v>0</v>
      </c>
      <c r="H189">
        <v>0</v>
      </c>
      <c r="I189">
        <v>0</v>
      </c>
      <c r="J189">
        <v>36</v>
      </c>
      <c r="K189">
        <v>72</v>
      </c>
      <c r="L189">
        <v>36</v>
      </c>
      <c r="M189">
        <v>0</v>
      </c>
      <c r="N189">
        <v>0</v>
      </c>
      <c r="O189">
        <v>0</v>
      </c>
      <c r="P189">
        <v>0</v>
      </c>
      <c r="Q189">
        <v>0</v>
      </c>
      <c r="R189">
        <v>0</v>
      </c>
      <c r="S189">
        <v>18.5</v>
      </c>
      <c r="T189">
        <v>0</v>
      </c>
      <c r="U189">
        <v>0</v>
      </c>
      <c r="V189">
        <v>18.5</v>
      </c>
      <c r="W189">
        <v>0</v>
      </c>
      <c r="X189">
        <v>0</v>
      </c>
      <c r="Y189">
        <v>0</v>
      </c>
      <c r="Z189">
        <v>0</v>
      </c>
      <c r="AA189">
        <v>-185</v>
      </c>
      <c r="AB189">
        <v>0</v>
      </c>
      <c r="AC189">
        <v>0</v>
      </c>
      <c r="AD189">
        <v>225</v>
      </c>
      <c r="AE189">
        <v>225</v>
      </c>
      <c r="AF189">
        <v>225</v>
      </c>
      <c r="AG189">
        <v>0</v>
      </c>
      <c r="AH189">
        <v>0</v>
      </c>
      <c r="AI189">
        <v>0</v>
      </c>
      <c r="AJ189">
        <v>0</v>
      </c>
      <c r="AK189">
        <v>0</v>
      </c>
      <c r="AL189">
        <v>0</v>
      </c>
      <c r="AM189">
        <v>0</v>
      </c>
      <c r="AN189">
        <v>36</v>
      </c>
      <c r="AO189">
        <v>0</v>
      </c>
      <c r="AP189">
        <v>0</v>
      </c>
      <c r="AQ189">
        <v>0</v>
      </c>
      <c r="AR189">
        <v>0</v>
      </c>
      <c r="AS189">
        <v>0</v>
      </c>
      <c r="AT189">
        <v>72</v>
      </c>
      <c r="AU189">
        <v>0</v>
      </c>
      <c r="AV189">
        <v>0</v>
      </c>
      <c r="AW189">
        <v>72</v>
      </c>
      <c r="AX189">
        <v>18.5</v>
      </c>
      <c r="AY189">
        <v>0</v>
      </c>
      <c r="AZ189">
        <v>0</v>
      </c>
      <c r="BA189">
        <v>18.5</v>
      </c>
      <c r="BB189">
        <v>0</v>
      </c>
      <c r="BC189">
        <v>0</v>
      </c>
      <c r="BD189">
        <v>0</v>
      </c>
      <c r="BE189">
        <v>0</v>
      </c>
    </row>
    <row r="190" spans="1:57">
      <c r="A190" t="s">
        <v>16978</v>
      </c>
      <c r="B190" t="s">
        <v>17068</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row>
    <row r="191" spans="1:57">
      <c r="A191" t="s">
        <v>16978</v>
      </c>
      <c r="B191" t="s">
        <v>19982</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row>
    <row r="192" spans="1:57">
      <c r="A192" t="s">
        <v>16978</v>
      </c>
      <c r="B192" t="s">
        <v>17363</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row>
    <row r="193" spans="1:57">
      <c r="A193" t="s">
        <v>16978</v>
      </c>
      <c r="B193" t="s">
        <v>17069</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row>
    <row r="194" spans="1:57">
      <c r="A194" t="s">
        <v>16978</v>
      </c>
      <c r="B194" t="s">
        <v>22093</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row>
    <row r="195" spans="1:57">
      <c r="A195" t="s">
        <v>16978</v>
      </c>
      <c r="B195" t="s">
        <v>20672</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row>
    <row r="196" spans="1:57">
      <c r="A196" t="s">
        <v>16978</v>
      </c>
      <c r="B196" t="s">
        <v>17073</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row>
    <row r="197" spans="1:57">
      <c r="A197" t="s">
        <v>16978</v>
      </c>
      <c r="B197" t="s">
        <v>17365</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row>
    <row r="198" spans="1:57">
      <c r="A198" t="s">
        <v>16978</v>
      </c>
      <c r="B198" t="s">
        <v>17366</v>
      </c>
      <c r="C198">
        <v>0</v>
      </c>
      <c r="D198">
        <v>13</v>
      </c>
      <c r="E198">
        <v>13</v>
      </c>
      <c r="F198">
        <v>13</v>
      </c>
      <c r="G198">
        <v>0</v>
      </c>
      <c r="H198">
        <v>0</v>
      </c>
      <c r="I198">
        <v>0</v>
      </c>
      <c r="J198">
        <v>13</v>
      </c>
      <c r="K198">
        <v>29</v>
      </c>
      <c r="L198">
        <v>13</v>
      </c>
      <c r="M198">
        <v>0</v>
      </c>
      <c r="N198">
        <v>0</v>
      </c>
      <c r="O198">
        <v>0</v>
      </c>
      <c r="P198">
        <v>0</v>
      </c>
      <c r="Q198">
        <v>0</v>
      </c>
      <c r="R198">
        <v>0</v>
      </c>
      <c r="S198">
        <v>0.25</v>
      </c>
      <c r="T198">
        <v>3.75</v>
      </c>
      <c r="U198">
        <v>0</v>
      </c>
      <c r="V198">
        <v>4</v>
      </c>
      <c r="W198">
        <v>77.5</v>
      </c>
      <c r="X198">
        <v>0</v>
      </c>
      <c r="Y198">
        <v>13</v>
      </c>
      <c r="Z198">
        <v>0</v>
      </c>
      <c r="AA198">
        <v>0</v>
      </c>
      <c r="AB198">
        <v>0</v>
      </c>
      <c r="AC198">
        <v>0</v>
      </c>
      <c r="AD198">
        <v>0</v>
      </c>
      <c r="AE198">
        <v>0</v>
      </c>
      <c r="AF198">
        <v>0</v>
      </c>
      <c r="AG198">
        <v>77.5</v>
      </c>
      <c r="AH198">
        <v>77.5</v>
      </c>
      <c r="AI198">
        <v>0</v>
      </c>
      <c r="AJ198">
        <v>0</v>
      </c>
      <c r="AK198">
        <v>0</v>
      </c>
      <c r="AL198">
        <v>0</v>
      </c>
      <c r="AM198">
        <v>0</v>
      </c>
      <c r="AN198">
        <v>0</v>
      </c>
      <c r="AO198">
        <v>0</v>
      </c>
      <c r="AP198">
        <v>0</v>
      </c>
      <c r="AQ198">
        <v>0</v>
      </c>
      <c r="AR198">
        <v>0</v>
      </c>
      <c r="AS198">
        <v>0</v>
      </c>
      <c r="AT198">
        <v>29</v>
      </c>
      <c r="AU198">
        <v>0</v>
      </c>
      <c r="AV198">
        <v>29</v>
      </c>
      <c r="AW198">
        <v>0</v>
      </c>
      <c r="AX198">
        <v>0.25</v>
      </c>
      <c r="AY198">
        <v>0</v>
      </c>
      <c r="AZ198">
        <v>0.25</v>
      </c>
      <c r="BA198">
        <v>0</v>
      </c>
      <c r="BB198">
        <v>3.75</v>
      </c>
      <c r="BC198">
        <v>0</v>
      </c>
      <c r="BD198">
        <v>3.75</v>
      </c>
      <c r="BE198">
        <v>0</v>
      </c>
    </row>
    <row r="199" spans="1:57">
      <c r="A199" t="s">
        <v>16978</v>
      </c>
      <c r="B199" t="s">
        <v>18827</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row>
    <row r="200" spans="1:57">
      <c r="A200" t="s">
        <v>16978</v>
      </c>
      <c r="B200" t="s">
        <v>17075</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row>
    <row r="201" spans="1:57">
      <c r="A201" t="s">
        <v>16978</v>
      </c>
      <c r="B201" t="s">
        <v>17078</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row>
    <row r="202" spans="1:57">
      <c r="A202" t="s">
        <v>16978</v>
      </c>
      <c r="B202" t="s">
        <v>17079</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row>
    <row r="203" spans="1:57">
      <c r="A203" t="s">
        <v>16978</v>
      </c>
      <c r="B203" t="s">
        <v>18828</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row>
    <row r="204" spans="1:57">
      <c r="A204" t="s">
        <v>16978</v>
      </c>
      <c r="B204" t="s">
        <v>19347</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row>
    <row r="205" spans="1:57">
      <c r="A205" t="s">
        <v>16978</v>
      </c>
      <c r="B205" t="s">
        <v>17054</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row>
    <row r="206" spans="1:57">
      <c r="A206" t="s">
        <v>16978</v>
      </c>
      <c r="B206" t="s">
        <v>20674</v>
      </c>
      <c r="C206">
        <v>48</v>
      </c>
      <c r="D206">
        <v>48</v>
      </c>
      <c r="E206">
        <v>0</v>
      </c>
      <c r="F206">
        <v>0</v>
      </c>
      <c r="G206">
        <v>0</v>
      </c>
      <c r="H206">
        <v>0</v>
      </c>
      <c r="I206">
        <v>0</v>
      </c>
      <c r="J206">
        <v>48</v>
      </c>
      <c r="K206">
        <v>75</v>
      </c>
      <c r="L206">
        <v>48</v>
      </c>
      <c r="M206">
        <v>0</v>
      </c>
      <c r="N206">
        <v>0</v>
      </c>
      <c r="O206">
        <v>0</v>
      </c>
      <c r="P206">
        <v>0</v>
      </c>
      <c r="Q206">
        <v>0</v>
      </c>
      <c r="R206">
        <v>0</v>
      </c>
      <c r="S206">
        <v>89.75</v>
      </c>
      <c r="T206">
        <v>0</v>
      </c>
      <c r="U206">
        <v>0</v>
      </c>
      <c r="V206">
        <v>89.75</v>
      </c>
      <c r="W206">
        <v>0</v>
      </c>
      <c r="X206">
        <v>0</v>
      </c>
      <c r="Y206">
        <v>0</v>
      </c>
      <c r="Z206">
        <v>0</v>
      </c>
      <c r="AA206">
        <v>-897.5</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75</v>
      </c>
      <c r="AU206">
        <v>0</v>
      </c>
      <c r="AV206">
        <v>0</v>
      </c>
      <c r="AW206">
        <v>75</v>
      </c>
      <c r="AX206">
        <v>89.75</v>
      </c>
      <c r="AY206">
        <v>0</v>
      </c>
      <c r="AZ206">
        <v>0</v>
      </c>
      <c r="BA206">
        <v>89.75</v>
      </c>
      <c r="BB206">
        <v>0</v>
      </c>
      <c r="BC206">
        <v>0</v>
      </c>
      <c r="BD206">
        <v>0</v>
      </c>
      <c r="BE206">
        <v>0</v>
      </c>
    </row>
    <row r="207" spans="1:57">
      <c r="A207" t="s">
        <v>16978</v>
      </c>
      <c r="B207" t="s">
        <v>17081</v>
      </c>
      <c r="C207">
        <v>0</v>
      </c>
      <c r="D207">
        <v>4</v>
      </c>
      <c r="E207">
        <v>0</v>
      </c>
      <c r="F207">
        <v>0</v>
      </c>
      <c r="G207">
        <v>0</v>
      </c>
      <c r="H207">
        <v>0</v>
      </c>
      <c r="I207">
        <v>0</v>
      </c>
      <c r="J207">
        <v>4</v>
      </c>
      <c r="K207">
        <v>20</v>
      </c>
      <c r="L207">
        <v>4</v>
      </c>
      <c r="M207">
        <v>0</v>
      </c>
      <c r="N207">
        <v>0</v>
      </c>
      <c r="O207">
        <v>0</v>
      </c>
      <c r="P207">
        <v>0</v>
      </c>
      <c r="Q207">
        <v>0</v>
      </c>
      <c r="R207">
        <v>0</v>
      </c>
      <c r="S207">
        <v>4</v>
      </c>
      <c r="T207">
        <v>0</v>
      </c>
      <c r="U207">
        <v>0</v>
      </c>
      <c r="V207">
        <v>4</v>
      </c>
      <c r="W207">
        <v>40</v>
      </c>
      <c r="X207">
        <v>0</v>
      </c>
      <c r="Y207">
        <v>4</v>
      </c>
      <c r="Z207">
        <v>0</v>
      </c>
      <c r="AA207">
        <v>0</v>
      </c>
      <c r="AB207">
        <v>0</v>
      </c>
      <c r="AC207">
        <v>0</v>
      </c>
      <c r="AD207">
        <v>0</v>
      </c>
      <c r="AE207">
        <v>0</v>
      </c>
      <c r="AF207">
        <v>0</v>
      </c>
      <c r="AG207">
        <v>40</v>
      </c>
      <c r="AH207">
        <v>40</v>
      </c>
      <c r="AI207">
        <v>0</v>
      </c>
      <c r="AJ207">
        <v>0</v>
      </c>
      <c r="AK207">
        <v>0</v>
      </c>
      <c r="AL207">
        <v>0</v>
      </c>
      <c r="AM207">
        <v>0</v>
      </c>
      <c r="AN207">
        <v>0</v>
      </c>
      <c r="AO207">
        <v>0</v>
      </c>
      <c r="AP207">
        <v>0</v>
      </c>
      <c r="AQ207">
        <v>0</v>
      </c>
      <c r="AR207">
        <v>0</v>
      </c>
      <c r="AS207">
        <v>0</v>
      </c>
      <c r="AT207">
        <v>20</v>
      </c>
      <c r="AU207">
        <v>0</v>
      </c>
      <c r="AV207">
        <v>20</v>
      </c>
      <c r="AW207">
        <v>0</v>
      </c>
      <c r="AX207">
        <v>4</v>
      </c>
      <c r="AY207">
        <v>0</v>
      </c>
      <c r="AZ207">
        <v>4</v>
      </c>
      <c r="BA207">
        <v>0</v>
      </c>
      <c r="BB207">
        <v>0</v>
      </c>
      <c r="BC207">
        <v>0</v>
      </c>
      <c r="BD207">
        <v>0</v>
      </c>
      <c r="BE207">
        <v>0</v>
      </c>
    </row>
    <row r="208" spans="1:57">
      <c r="A208" t="s">
        <v>16978</v>
      </c>
      <c r="B208" t="s">
        <v>17082</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row>
    <row r="209" spans="1:57">
      <c r="A209" t="s">
        <v>16978</v>
      </c>
      <c r="B209" t="s">
        <v>17369</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row>
    <row r="210" spans="1:57">
      <c r="A210" t="s">
        <v>16978</v>
      </c>
      <c r="B210" t="s">
        <v>17087</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row>
    <row r="211" spans="1:57">
      <c r="A211" t="s">
        <v>16978</v>
      </c>
      <c r="B211" t="s">
        <v>17088</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row>
    <row r="212" spans="1:57">
      <c r="A212" t="s">
        <v>16978</v>
      </c>
      <c r="B212" t="s">
        <v>17089</v>
      </c>
      <c r="C212">
        <v>2</v>
      </c>
      <c r="D212">
        <v>2</v>
      </c>
      <c r="E212">
        <v>0</v>
      </c>
      <c r="F212">
        <v>2</v>
      </c>
      <c r="G212">
        <v>0</v>
      </c>
      <c r="H212">
        <v>0</v>
      </c>
      <c r="I212">
        <v>0</v>
      </c>
      <c r="J212">
        <v>2</v>
      </c>
      <c r="K212">
        <v>2</v>
      </c>
      <c r="L212">
        <v>2</v>
      </c>
      <c r="M212">
        <v>0</v>
      </c>
      <c r="N212">
        <v>0</v>
      </c>
      <c r="O212">
        <v>0</v>
      </c>
      <c r="P212">
        <v>0</v>
      </c>
      <c r="Q212">
        <v>0</v>
      </c>
      <c r="R212">
        <v>0</v>
      </c>
      <c r="S212">
        <v>0.5</v>
      </c>
      <c r="T212">
        <v>0</v>
      </c>
      <c r="U212">
        <v>0</v>
      </c>
      <c r="V212">
        <v>0.5</v>
      </c>
      <c r="W212">
        <v>0</v>
      </c>
      <c r="X212">
        <v>0</v>
      </c>
      <c r="Y212">
        <v>0</v>
      </c>
      <c r="Z212">
        <v>0</v>
      </c>
      <c r="AA212">
        <v>-5</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2</v>
      </c>
      <c r="AU212">
        <v>0</v>
      </c>
      <c r="AV212">
        <v>0</v>
      </c>
      <c r="AW212">
        <v>2</v>
      </c>
      <c r="AX212">
        <v>0.5</v>
      </c>
      <c r="AY212">
        <v>0</v>
      </c>
      <c r="AZ212">
        <v>0</v>
      </c>
      <c r="BA212">
        <v>0.5</v>
      </c>
      <c r="BB212">
        <v>0</v>
      </c>
      <c r="BC212">
        <v>0</v>
      </c>
      <c r="BD212">
        <v>0</v>
      </c>
      <c r="BE212">
        <v>0</v>
      </c>
    </row>
    <row r="213" spans="1:57">
      <c r="A213" t="s">
        <v>16978</v>
      </c>
      <c r="B213" t="s">
        <v>19984</v>
      </c>
      <c r="C213">
        <v>1</v>
      </c>
      <c r="D213">
        <v>1</v>
      </c>
      <c r="E213">
        <v>1</v>
      </c>
      <c r="F213">
        <v>1</v>
      </c>
      <c r="G213">
        <v>0</v>
      </c>
      <c r="H213">
        <v>0</v>
      </c>
      <c r="I213">
        <v>0</v>
      </c>
      <c r="J213">
        <v>1</v>
      </c>
      <c r="K213">
        <v>2</v>
      </c>
      <c r="L213">
        <v>1</v>
      </c>
      <c r="M213">
        <v>0</v>
      </c>
      <c r="N213">
        <v>0</v>
      </c>
      <c r="O213">
        <v>0</v>
      </c>
      <c r="P213">
        <v>0</v>
      </c>
      <c r="Q213">
        <v>0</v>
      </c>
      <c r="R213">
        <v>0</v>
      </c>
      <c r="S213">
        <v>0</v>
      </c>
      <c r="T213">
        <v>0</v>
      </c>
      <c r="U213">
        <v>0</v>
      </c>
      <c r="V213">
        <v>0</v>
      </c>
      <c r="W213">
        <v>0</v>
      </c>
      <c r="X213">
        <v>0</v>
      </c>
      <c r="Y213">
        <v>0</v>
      </c>
      <c r="Z213">
        <v>0</v>
      </c>
      <c r="AA213">
        <v>0</v>
      </c>
      <c r="AB213">
        <v>0</v>
      </c>
      <c r="AC213">
        <v>0</v>
      </c>
      <c r="AD213">
        <v>0</v>
      </c>
      <c r="AE213">
        <v>5.5</v>
      </c>
      <c r="AF213">
        <v>0</v>
      </c>
      <c r="AG213">
        <v>0</v>
      </c>
      <c r="AH213">
        <v>0</v>
      </c>
      <c r="AI213">
        <v>0</v>
      </c>
      <c r="AJ213">
        <v>0</v>
      </c>
      <c r="AK213">
        <v>0</v>
      </c>
      <c r="AL213">
        <v>0</v>
      </c>
      <c r="AM213">
        <v>0</v>
      </c>
      <c r="AN213">
        <v>1</v>
      </c>
      <c r="AO213">
        <v>0</v>
      </c>
      <c r="AP213">
        <v>0</v>
      </c>
      <c r="AQ213">
        <v>0</v>
      </c>
      <c r="AR213">
        <v>0</v>
      </c>
      <c r="AS213">
        <v>0</v>
      </c>
      <c r="AT213">
        <v>2</v>
      </c>
      <c r="AU213">
        <v>0</v>
      </c>
      <c r="AV213">
        <v>0</v>
      </c>
      <c r="AW213">
        <v>2</v>
      </c>
      <c r="AX213">
        <v>0</v>
      </c>
      <c r="AY213">
        <v>0</v>
      </c>
      <c r="AZ213">
        <v>0</v>
      </c>
      <c r="BA213">
        <v>0</v>
      </c>
      <c r="BB213">
        <v>0</v>
      </c>
      <c r="BC213">
        <v>0</v>
      </c>
      <c r="BD213">
        <v>0</v>
      </c>
      <c r="BE213">
        <v>0</v>
      </c>
    </row>
    <row r="214" spans="1:57">
      <c r="A214" t="s">
        <v>16978</v>
      </c>
      <c r="B214" t="s">
        <v>17091</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row>
    <row r="215" spans="1:57">
      <c r="A215" t="s">
        <v>16978</v>
      </c>
      <c r="B215" t="s">
        <v>17092</v>
      </c>
      <c r="C215">
        <v>2</v>
      </c>
      <c r="D215">
        <v>2</v>
      </c>
      <c r="E215">
        <v>2</v>
      </c>
      <c r="F215">
        <v>1</v>
      </c>
      <c r="G215">
        <v>0</v>
      </c>
      <c r="H215">
        <v>0</v>
      </c>
      <c r="I215">
        <v>0</v>
      </c>
      <c r="J215">
        <v>2</v>
      </c>
      <c r="K215">
        <v>17</v>
      </c>
      <c r="L215">
        <v>2</v>
      </c>
      <c r="M215">
        <v>0</v>
      </c>
      <c r="N215">
        <v>0</v>
      </c>
      <c r="O215">
        <v>0</v>
      </c>
      <c r="P215">
        <v>0</v>
      </c>
      <c r="Q215">
        <v>0</v>
      </c>
      <c r="R215">
        <v>0</v>
      </c>
      <c r="S215">
        <v>4</v>
      </c>
      <c r="T215">
        <v>0</v>
      </c>
      <c r="U215">
        <v>0</v>
      </c>
      <c r="V215">
        <v>4</v>
      </c>
      <c r="W215">
        <v>0</v>
      </c>
      <c r="X215">
        <v>0</v>
      </c>
      <c r="Y215">
        <v>0</v>
      </c>
      <c r="Z215">
        <v>0</v>
      </c>
      <c r="AA215">
        <v>-40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1</v>
      </c>
      <c r="AU215">
        <v>0</v>
      </c>
      <c r="AV215">
        <v>0</v>
      </c>
      <c r="AW215">
        <v>1</v>
      </c>
      <c r="AX215">
        <v>4</v>
      </c>
      <c r="AY215">
        <v>0</v>
      </c>
      <c r="AZ215">
        <v>0</v>
      </c>
      <c r="BA215">
        <v>4</v>
      </c>
      <c r="BB215">
        <v>0</v>
      </c>
      <c r="BC215">
        <v>0</v>
      </c>
      <c r="BD215">
        <v>0</v>
      </c>
      <c r="BE215">
        <v>0</v>
      </c>
    </row>
    <row r="216" spans="1:57">
      <c r="A216" t="s">
        <v>17097</v>
      </c>
      <c r="B216" t="s">
        <v>17098</v>
      </c>
      <c r="C216">
        <v>0</v>
      </c>
      <c r="D216">
        <v>25</v>
      </c>
      <c r="E216">
        <v>18</v>
      </c>
      <c r="F216">
        <v>15</v>
      </c>
      <c r="G216">
        <v>1</v>
      </c>
      <c r="H216">
        <v>4</v>
      </c>
      <c r="I216">
        <v>2</v>
      </c>
      <c r="J216">
        <v>18</v>
      </c>
      <c r="K216">
        <v>275</v>
      </c>
      <c r="L216">
        <v>1</v>
      </c>
      <c r="M216">
        <v>9</v>
      </c>
      <c r="N216">
        <v>4</v>
      </c>
      <c r="O216">
        <v>4</v>
      </c>
      <c r="P216">
        <v>1</v>
      </c>
      <c r="Q216">
        <v>6</v>
      </c>
      <c r="R216">
        <v>0</v>
      </c>
      <c r="S216">
        <v>8.75</v>
      </c>
      <c r="T216">
        <v>340.43</v>
      </c>
      <c r="U216">
        <v>0</v>
      </c>
      <c r="V216">
        <v>349.18</v>
      </c>
      <c r="W216">
        <v>6896.1</v>
      </c>
      <c r="X216">
        <v>0</v>
      </c>
      <c r="Y216">
        <v>3</v>
      </c>
      <c r="Z216">
        <v>1</v>
      </c>
      <c r="AA216">
        <v>0</v>
      </c>
      <c r="AB216">
        <v>6756.1</v>
      </c>
      <c r="AC216">
        <v>0</v>
      </c>
      <c r="AD216">
        <v>0</v>
      </c>
      <c r="AE216">
        <v>0</v>
      </c>
      <c r="AF216">
        <v>6756.1</v>
      </c>
      <c r="AG216">
        <v>6896.1</v>
      </c>
      <c r="AH216">
        <v>6896.1</v>
      </c>
      <c r="AI216">
        <v>0</v>
      </c>
      <c r="AJ216">
        <v>6756.1</v>
      </c>
      <c r="AK216">
        <v>6876.1</v>
      </c>
      <c r="AL216">
        <v>6876.1</v>
      </c>
      <c r="AM216">
        <v>0</v>
      </c>
      <c r="AN216">
        <v>0</v>
      </c>
      <c r="AO216">
        <v>0</v>
      </c>
      <c r="AP216">
        <v>0</v>
      </c>
      <c r="AQ216">
        <v>0</v>
      </c>
      <c r="AR216">
        <v>0</v>
      </c>
      <c r="AS216">
        <v>0</v>
      </c>
      <c r="AT216">
        <v>275</v>
      </c>
      <c r="AU216">
        <v>115</v>
      </c>
      <c r="AV216">
        <v>160</v>
      </c>
      <c r="AW216">
        <v>0</v>
      </c>
      <c r="AX216">
        <v>8.75</v>
      </c>
      <c r="AY216">
        <v>7.75</v>
      </c>
      <c r="AZ216">
        <v>1</v>
      </c>
      <c r="BA216">
        <v>0</v>
      </c>
      <c r="BB216">
        <v>340.43</v>
      </c>
      <c r="BC216">
        <v>339.93</v>
      </c>
      <c r="BD216">
        <v>0.5</v>
      </c>
      <c r="BE216">
        <v>0</v>
      </c>
    </row>
    <row r="217" spans="1:57">
      <c r="A217" t="s">
        <v>17097</v>
      </c>
      <c r="B217" t="s">
        <v>17098</v>
      </c>
      <c r="C217">
        <v>0</v>
      </c>
      <c r="D217">
        <v>52</v>
      </c>
      <c r="E217">
        <v>44</v>
      </c>
      <c r="F217">
        <v>34</v>
      </c>
      <c r="G217">
        <v>1</v>
      </c>
      <c r="H217">
        <v>5</v>
      </c>
      <c r="I217">
        <v>2</v>
      </c>
      <c r="J217">
        <v>46</v>
      </c>
      <c r="K217">
        <v>876</v>
      </c>
      <c r="L217">
        <v>9</v>
      </c>
      <c r="M217">
        <v>13</v>
      </c>
      <c r="N217">
        <v>4</v>
      </c>
      <c r="O217">
        <v>18</v>
      </c>
      <c r="P217">
        <v>1</v>
      </c>
      <c r="Q217">
        <v>7</v>
      </c>
      <c r="R217">
        <v>0</v>
      </c>
      <c r="S217">
        <v>8.75</v>
      </c>
      <c r="T217">
        <v>340.43</v>
      </c>
      <c r="U217">
        <v>0</v>
      </c>
      <c r="V217">
        <v>349.18</v>
      </c>
      <c r="W217">
        <v>6896.1</v>
      </c>
      <c r="X217">
        <v>0</v>
      </c>
      <c r="Y217">
        <v>3</v>
      </c>
      <c r="Z217">
        <v>1</v>
      </c>
      <c r="AA217">
        <v>0</v>
      </c>
      <c r="AB217">
        <v>6756.1</v>
      </c>
      <c r="AC217">
        <v>0</v>
      </c>
      <c r="AD217">
        <v>0</v>
      </c>
      <c r="AE217">
        <v>0</v>
      </c>
      <c r="AF217">
        <v>6756.1</v>
      </c>
      <c r="AG217">
        <v>6896.1</v>
      </c>
      <c r="AH217">
        <v>6896.1</v>
      </c>
      <c r="AI217">
        <v>0</v>
      </c>
      <c r="AJ217">
        <v>6756.1</v>
      </c>
      <c r="AK217">
        <v>6876.1</v>
      </c>
      <c r="AL217">
        <v>6876.1</v>
      </c>
      <c r="AM217">
        <v>0</v>
      </c>
      <c r="AN217">
        <v>0</v>
      </c>
      <c r="AO217">
        <v>0</v>
      </c>
      <c r="AP217">
        <v>0</v>
      </c>
      <c r="AQ217">
        <v>0</v>
      </c>
      <c r="AR217">
        <v>0</v>
      </c>
      <c r="AS217">
        <v>0</v>
      </c>
      <c r="AT217">
        <v>876</v>
      </c>
      <c r="AU217">
        <v>128</v>
      </c>
      <c r="AV217">
        <v>748</v>
      </c>
      <c r="AW217">
        <v>0</v>
      </c>
      <c r="AX217">
        <v>8.75</v>
      </c>
      <c r="AY217">
        <v>7.75</v>
      </c>
      <c r="AZ217">
        <v>1</v>
      </c>
      <c r="BA217">
        <v>0</v>
      </c>
      <c r="BB217">
        <v>340.43</v>
      </c>
      <c r="BC217">
        <v>339.93</v>
      </c>
      <c r="BD217">
        <v>0.5</v>
      </c>
      <c r="BE217">
        <v>0</v>
      </c>
    </row>
    <row r="218" spans="1:57">
      <c r="A218" t="s">
        <v>18833</v>
      </c>
      <c r="B218" t="s">
        <v>20677</v>
      </c>
      <c r="C218">
        <v>3</v>
      </c>
      <c r="D218">
        <v>9</v>
      </c>
      <c r="E218">
        <v>0</v>
      </c>
      <c r="F218">
        <v>9</v>
      </c>
      <c r="G218">
        <v>0</v>
      </c>
      <c r="H218">
        <v>0</v>
      </c>
      <c r="I218">
        <v>1</v>
      </c>
      <c r="J218">
        <v>8</v>
      </c>
      <c r="K218">
        <v>128</v>
      </c>
      <c r="L218">
        <v>5</v>
      </c>
      <c r="M218">
        <v>1</v>
      </c>
      <c r="N218">
        <v>2</v>
      </c>
      <c r="O218">
        <v>0</v>
      </c>
      <c r="P218">
        <v>0</v>
      </c>
      <c r="Q218">
        <v>1</v>
      </c>
      <c r="R218">
        <v>0</v>
      </c>
      <c r="S218">
        <v>28.5</v>
      </c>
      <c r="T218">
        <v>16</v>
      </c>
      <c r="U218">
        <v>0</v>
      </c>
      <c r="V218">
        <v>44.5</v>
      </c>
      <c r="W218">
        <v>422.5</v>
      </c>
      <c r="X218">
        <v>0</v>
      </c>
      <c r="Y218">
        <v>4</v>
      </c>
      <c r="Z218">
        <v>0</v>
      </c>
      <c r="AA218">
        <v>-182.5</v>
      </c>
      <c r="AB218">
        <v>350</v>
      </c>
      <c r="AC218">
        <v>0</v>
      </c>
      <c r="AD218">
        <v>0</v>
      </c>
      <c r="AE218">
        <v>0</v>
      </c>
      <c r="AF218">
        <v>350</v>
      </c>
      <c r="AG218">
        <v>422.5</v>
      </c>
      <c r="AH218">
        <v>422.5</v>
      </c>
      <c r="AI218">
        <v>0</v>
      </c>
      <c r="AJ218">
        <v>0</v>
      </c>
      <c r="AK218">
        <v>0</v>
      </c>
      <c r="AL218">
        <v>0</v>
      </c>
      <c r="AM218">
        <v>0</v>
      </c>
      <c r="AN218">
        <v>0</v>
      </c>
      <c r="AO218">
        <v>0</v>
      </c>
      <c r="AP218">
        <v>0</v>
      </c>
      <c r="AQ218">
        <v>0</v>
      </c>
      <c r="AR218">
        <v>0</v>
      </c>
      <c r="AS218">
        <v>0</v>
      </c>
      <c r="AT218">
        <v>128</v>
      </c>
      <c r="AU218">
        <v>0</v>
      </c>
      <c r="AV218">
        <v>71</v>
      </c>
      <c r="AW218">
        <v>57</v>
      </c>
      <c r="AX218">
        <v>28.5</v>
      </c>
      <c r="AY218">
        <v>0</v>
      </c>
      <c r="AZ218">
        <v>10.25</v>
      </c>
      <c r="BA218">
        <v>18.25</v>
      </c>
      <c r="BB218">
        <v>16</v>
      </c>
      <c r="BC218">
        <v>0</v>
      </c>
      <c r="BD218">
        <v>16</v>
      </c>
      <c r="BE218">
        <v>0</v>
      </c>
    </row>
    <row r="219" spans="1:57">
      <c r="A219" t="s">
        <v>18833</v>
      </c>
      <c r="B219" t="s">
        <v>21078</v>
      </c>
      <c r="C219">
        <v>6</v>
      </c>
      <c r="D219">
        <v>6</v>
      </c>
      <c r="E219">
        <v>6</v>
      </c>
      <c r="F219">
        <v>6</v>
      </c>
      <c r="G219">
        <v>0</v>
      </c>
      <c r="H219">
        <v>0</v>
      </c>
      <c r="I219">
        <v>0</v>
      </c>
      <c r="J219">
        <v>6</v>
      </c>
      <c r="K219">
        <v>1.5</v>
      </c>
      <c r="L219">
        <v>5</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1.5</v>
      </c>
      <c r="AU219">
        <v>0</v>
      </c>
      <c r="AV219">
        <v>0</v>
      </c>
      <c r="AW219">
        <v>1.5</v>
      </c>
      <c r="AX219">
        <v>0</v>
      </c>
      <c r="AY219">
        <v>0</v>
      </c>
      <c r="AZ219">
        <v>0</v>
      </c>
      <c r="BA219">
        <v>0</v>
      </c>
      <c r="BB219">
        <v>0</v>
      </c>
      <c r="BC219">
        <v>0</v>
      </c>
      <c r="BD219">
        <v>0</v>
      </c>
      <c r="BE219">
        <v>0</v>
      </c>
    </row>
    <row r="220" spans="1:57">
      <c r="A220" t="s">
        <v>18833</v>
      </c>
      <c r="B220" t="s">
        <v>21077</v>
      </c>
      <c r="C220">
        <v>2</v>
      </c>
      <c r="D220">
        <v>2</v>
      </c>
      <c r="E220">
        <v>2</v>
      </c>
      <c r="F220">
        <v>0</v>
      </c>
      <c r="G220">
        <v>0</v>
      </c>
      <c r="H220">
        <v>0</v>
      </c>
      <c r="I220">
        <v>0</v>
      </c>
      <c r="J220">
        <v>3</v>
      </c>
      <c r="K220">
        <v>4</v>
      </c>
      <c r="L220">
        <v>3</v>
      </c>
      <c r="M220">
        <v>0</v>
      </c>
      <c r="N220">
        <v>0</v>
      </c>
      <c r="O220">
        <v>0</v>
      </c>
      <c r="P220">
        <v>0</v>
      </c>
      <c r="Q220">
        <v>0</v>
      </c>
      <c r="R220">
        <v>0</v>
      </c>
      <c r="S220">
        <v>2</v>
      </c>
      <c r="T220">
        <v>2</v>
      </c>
      <c r="U220">
        <v>0</v>
      </c>
      <c r="V220">
        <v>4</v>
      </c>
      <c r="W220">
        <v>0</v>
      </c>
      <c r="X220">
        <v>0</v>
      </c>
      <c r="Y220">
        <v>0</v>
      </c>
      <c r="Z220">
        <v>0</v>
      </c>
      <c r="AA220">
        <v>-60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4</v>
      </c>
      <c r="AU220">
        <v>0</v>
      </c>
      <c r="AV220">
        <v>0</v>
      </c>
      <c r="AW220">
        <v>4</v>
      </c>
      <c r="AX220">
        <v>2</v>
      </c>
      <c r="AY220">
        <v>0</v>
      </c>
      <c r="AZ220">
        <v>0</v>
      </c>
      <c r="BA220">
        <v>2</v>
      </c>
      <c r="BB220">
        <v>2</v>
      </c>
      <c r="BC220">
        <v>0</v>
      </c>
      <c r="BD220">
        <v>0</v>
      </c>
      <c r="BE220">
        <v>2</v>
      </c>
    </row>
    <row r="221" spans="1:57">
      <c r="A221" t="s">
        <v>18833</v>
      </c>
      <c r="B221" t="s">
        <v>21076</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row>
    <row r="222" spans="1:57">
      <c r="A222" t="s">
        <v>18833</v>
      </c>
      <c r="B222" t="s">
        <v>21075</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row>
    <row r="223" spans="1:57">
      <c r="A223" t="s">
        <v>18833</v>
      </c>
      <c r="B223" t="s">
        <v>21074</v>
      </c>
      <c r="C223">
        <v>0</v>
      </c>
      <c r="D223">
        <v>1</v>
      </c>
      <c r="E223">
        <v>1</v>
      </c>
      <c r="F223">
        <v>1</v>
      </c>
      <c r="G223">
        <v>1</v>
      </c>
      <c r="H223">
        <v>0</v>
      </c>
      <c r="I223">
        <v>0</v>
      </c>
      <c r="J223">
        <v>1</v>
      </c>
      <c r="K223">
        <v>9</v>
      </c>
      <c r="L223">
        <v>1</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9</v>
      </c>
      <c r="AU223">
        <v>0</v>
      </c>
      <c r="AV223">
        <v>9</v>
      </c>
      <c r="AW223">
        <v>0</v>
      </c>
      <c r="AX223">
        <v>0</v>
      </c>
      <c r="AY223">
        <v>0</v>
      </c>
      <c r="AZ223">
        <v>0</v>
      </c>
      <c r="BA223">
        <v>0</v>
      </c>
      <c r="BB223">
        <v>0</v>
      </c>
      <c r="BC223">
        <v>0</v>
      </c>
      <c r="BD223">
        <v>0</v>
      </c>
      <c r="BE223">
        <v>0</v>
      </c>
    </row>
    <row r="224" spans="1:57">
      <c r="A224" t="s">
        <v>17099</v>
      </c>
      <c r="B224" t="s">
        <v>18832</v>
      </c>
      <c r="C224">
        <v>7</v>
      </c>
      <c r="D224">
        <v>36</v>
      </c>
      <c r="E224">
        <v>33</v>
      </c>
      <c r="F224">
        <v>25</v>
      </c>
      <c r="G224">
        <v>1</v>
      </c>
      <c r="H224">
        <v>0</v>
      </c>
      <c r="I224">
        <v>0</v>
      </c>
      <c r="J224">
        <v>32</v>
      </c>
      <c r="K224">
        <v>393</v>
      </c>
      <c r="L224">
        <v>29</v>
      </c>
      <c r="M224">
        <v>1</v>
      </c>
      <c r="N224">
        <v>2</v>
      </c>
      <c r="O224">
        <v>0</v>
      </c>
      <c r="P224">
        <v>1</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393</v>
      </c>
      <c r="AU224">
        <v>0</v>
      </c>
      <c r="AV224">
        <v>339</v>
      </c>
      <c r="AW224">
        <v>45</v>
      </c>
      <c r="AX224">
        <v>0</v>
      </c>
      <c r="AY224">
        <v>0</v>
      </c>
      <c r="AZ224">
        <v>0</v>
      </c>
      <c r="BA224">
        <v>0</v>
      </c>
      <c r="BB224">
        <v>0</v>
      </c>
      <c r="BC224">
        <v>0</v>
      </c>
      <c r="BD224">
        <v>0</v>
      </c>
      <c r="BE224">
        <v>0</v>
      </c>
    </row>
    <row r="225" spans="1:57">
      <c r="A225" t="s">
        <v>16974</v>
      </c>
      <c r="B225" t="s">
        <v>17102</v>
      </c>
      <c r="C225">
        <v>0</v>
      </c>
      <c r="D225">
        <v>3</v>
      </c>
      <c r="E225">
        <v>3</v>
      </c>
      <c r="F225">
        <v>3</v>
      </c>
      <c r="G225">
        <v>0</v>
      </c>
      <c r="H225">
        <v>0</v>
      </c>
      <c r="I225">
        <v>1</v>
      </c>
      <c r="J225">
        <v>3</v>
      </c>
      <c r="K225">
        <v>28</v>
      </c>
      <c r="L225">
        <v>0</v>
      </c>
      <c r="M225">
        <v>1</v>
      </c>
      <c r="N225">
        <v>0</v>
      </c>
      <c r="O225">
        <v>0</v>
      </c>
      <c r="P225">
        <v>0</v>
      </c>
      <c r="Q225">
        <v>2</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28</v>
      </c>
      <c r="AU225">
        <v>0</v>
      </c>
      <c r="AV225">
        <v>28</v>
      </c>
      <c r="AW225">
        <v>0</v>
      </c>
      <c r="AX225">
        <v>0</v>
      </c>
      <c r="AY225">
        <v>0</v>
      </c>
      <c r="AZ225">
        <v>0</v>
      </c>
      <c r="BA225">
        <v>0</v>
      </c>
      <c r="BB225">
        <v>0</v>
      </c>
      <c r="BC225">
        <v>0</v>
      </c>
      <c r="BD225">
        <v>0</v>
      </c>
      <c r="BE225">
        <v>0</v>
      </c>
    </row>
    <row r="226" spans="1:57">
      <c r="A226" t="s">
        <v>16974</v>
      </c>
      <c r="B226" t="s">
        <v>17103</v>
      </c>
      <c r="C226">
        <v>0</v>
      </c>
      <c r="D226">
        <v>3</v>
      </c>
      <c r="E226">
        <v>3</v>
      </c>
      <c r="F226">
        <v>3</v>
      </c>
      <c r="G226">
        <v>0</v>
      </c>
      <c r="H226">
        <v>0</v>
      </c>
      <c r="I226">
        <v>0</v>
      </c>
      <c r="J226">
        <v>3</v>
      </c>
      <c r="K226">
        <v>10</v>
      </c>
      <c r="L226">
        <v>1</v>
      </c>
      <c r="M226">
        <v>1</v>
      </c>
      <c r="N226">
        <v>0</v>
      </c>
      <c r="O226">
        <v>0</v>
      </c>
      <c r="P226">
        <v>0</v>
      </c>
      <c r="Q226">
        <v>1</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3</v>
      </c>
      <c r="AN226">
        <v>3</v>
      </c>
      <c r="AO226">
        <v>3</v>
      </c>
      <c r="AP226">
        <v>3</v>
      </c>
      <c r="AQ226">
        <v>3</v>
      </c>
      <c r="AR226">
        <v>3</v>
      </c>
      <c r="AS226">
        <v>3</v>
      </c>
      <c r="AT226">
        <v>10</v>
      </c>
      <c r="AU226">
        <v>0</v>
      </c>
      <c r="AV226">
        <v>10</v>
      </c>
      <c r="AW226">
        <v>0</v>
      </c>
      <c r="AX226">
        <v>0</v>
      </c>
      <c r="AY226">
        <v>0</v>
      </c>
      <c r="AZ226">
        <v>0</v>
      </c>
      <c r="BA226">
        <v>0</v>
      </c>
      <c r="BB226">
        <v>1</v>
      </c>
      <c r="BC226">
        <v>0</v>
      </c>
      <c r="BD226">
        <v>0</v>
      </c>
      <c r="BE226">
        <v>0</v>
      </c>
    </row>
    <row r="227" spans="1:57">
      <c r="A227" t="s">
        <v>16974</v>
      </c>
      <c r="B227" t="s">
        <v>18835</v>
      </c>
      <c r="C227">
        <v>1</v>
      </c>
      <c r="D227">
        <v>78</v>
      </c>
      <c r="E227">
        <v>10</v>
      </c>
      <c r="F227">
        <v>70</v>
      </c>
      <c r="G227">
        <v>7</v>
      </c>
      <c r="H227">
        <v>4</v>
      </c>
      <c r="I227">
        <v>0</v>
      </c>
      <c r="J227">
        <v>78</v>
      </c>
      <c r="K227">
        <v>317</v>
      </c>
      <c r="L227">
        <v>77</v>
      </c>
      <c r="M227">
        <v>0</v>
      </c>
      <c r="N227">
        <v>0</v>
      </c>
      <c r="O227">
        <v>1</v>
      </c>
      <c r="P227">
        <v>0</v>
      </c>
      <c r="Q227">
        <v>0</v>
      </c>
      <c r="R227">
        <v>0</v>
      </c>
      <c r="S227">
        <v>45</v>
      </c>
      <c r="T227">
        <v>25.75</v>
      </c>
      <c r="U227">
        <v>0</v>
      </c>
      <c r="V227">
        <v>70.75</v>
      </c>
      <c r="W227">
        <v>965</v>
      </c>
      <c r="X227">
        <v>0</v>
      </c>
      <c r="Y227">
        <v>69</v>
      </c>
      <c r="Z227">
        <v>0</v>
      </c>
      <c r="AA227">
        <v>0</v>
      </c>
      <c r="AB227">
        <v>70</v>
      </c>
      <c r="AC227">
        <v>0</v>
      </c>
      <c r="AD227">
        <v>0</v>
      </c>
      <c r="AE227">
        <v>0</v>
      </c>
      <c r="AF227">
        <v>70</v>
      </c>
      <c r="AG227">
        <v>965</v>
      </c>
      <c r="AH227">
        <v>965</v>
      </c>
      <c r="AI227">
        <v>0</v>
      </c>
      <c r="AJ227">
        <v>70</v>
      </c>
      <c r="AK227">
        <v>185</v>
      </c>
      <c r="AL227">
        <v>185</v>
      </c>
      <c r="AM227">
        <v>0</v>
      </c>
      <c r="AN227">
        <v>0</v>
      </c>
      <c r="AO227">
        <v>0</v>
      </c>
      <c r="AP227">
        <v>0</v>
      </c>
      <c r="AQ227">
        <v>0</v>
      </c>
      <c r="AR227">
        <v>0</v>
      </c>
      <c r="AS227">
        <v>0</v>
      </c>
      <c r="AT227">
        <v>317</v>
      </c>
      <c r="AU227">
        <v>33</v>
      </c>
      <c r="AV227">
        <v>280</v>
      </c>
      <c r="AW227">
        <v>4</v>
      </c>
      <c r="AX227">
        <v>45</v>
      </c>
      <c r="AY227">
        <v>6.5</v>
      </c>
      <c r="AZ227">
        <v>38.5</v>
      </c>
      <c r="BA227">
        <v>0</v>
      </c>
      <c r="BB227">
        <v>25.75</v>
      </c>
      <c r="BC227">
        <v>6</v>
      </c>
      <c r="BD227">
        <v>19.75</v>
      </c>
      <c r="BE227">
        <v>0</v>
      </c>
    </row>
    <row r="228" spans="1:57">
      <c r="A228" t="s">
        <v>16974</v>
      </c>
      <c r="B228" t="s">
        <v>17313</v>
      </c>
      <c r="C228">
        <v>0</v>
      </c>
      <c r="D228">
        <v>6</v>
      </c>
      <c r="E228">
        <v>5</v>
      </c>
      <c r="F228">
        <v>6</v>
      </c>
      <c r="G228">
        <v>0</v>
      </c>
      <c r="H228">
        <v>1</v>
      </c>
      <c r="I228">
        <v>0</v>
      </c>
      <c r="J228">
        <v>6</v>
      </c>
      <c r="K228">
        <v>31</v>
      </c>
      <c r="L228">
        <v>3</v>
      </c>
      <c r="M228">
        <v>0</v>
      </c>
      <c r="N228">
        <v>0</v>
      </c>
      <c r="O228">
        <v>2</v>
      </c>
      <c r="P228">
        <v>0</v>
      </c>
      <c r="Q228">
        <v>1</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31</v>
      </c>
      <c r="AU228">
        <v>18</v>
      </c>
      <c r="AV228">
        <v>13</v>
      </c>
      <c r="AW228">
        <v>0</v>
      </c>
      <c r="AX228">
        <v>0</v>
      </c>
      <c r="AY228">
        <v>0</v>
      </c>
      <c r="AZ228">
        <v>0</v>
      </c>
      <c r="BA228">
        <v>0</v>
      </c>
      <c r="BB228">
        <v>0</v>
      </c>
      <c r="BC228">
        <v>0</v>
      </c>
      <c r="BD228">
        <v>0</v>
      </c>
      <c r="BE228">
        <v>0</v>
      </c>
    </row>
    <row r="229" spans="1:57">
      <c r="A229" t="s">
        <v>16974</v>
      </c>
      <c r="B229" t="s">
        <v>17108</v>
      </c>
      <c r="C229">
        <v>6</v>
      </c>
      <c r="D229">
        <v>6</v>
      </c>
      <c r="E229">
        <v>6</v>
      </c>
      <c r="F229">
        <v>6</v>
      </c>
      <c r="G229">
        <v>0</v>
      </c>
      <c r="H229">
        <v>0</v>
      </c>
      <c r="I229">
        <v>0</v>
      </c>
      <c r="J229">
        <v>6</v>
      </c>
      <c r="K229">
        <v>21</v>
      </c>
      <c r="L229">
        <v>6</v>
      </c>
      <c r="M229">
        <v>0</v>
      </c>
      <c r="N229">
        <v>0</v>
      </c>
      <c r="O229">
        <v>0</v>
      </c>
      <c r="P229">
        <v>0</v>
      </c>
      <c r="Q229">
        <v>0</v>
      </c>
      <c r="R229">
        <v>0</v>
      </c>
      <c r="S229">
        <v>1.75</v>
      </c>
      <c r="T229">
        <v>0</v>
      </c>
      <c r="U229">
        <v>0</v>
      </c>
      <c r="V229">
        <v>1.5</v>
      </c>
      <c r="W229">
        <v>0</v>
      </c>
      <c r="X229">
        <v>0</v>
      </c>
      <c r="Y229">
        <v>0</v>
      </c>
      <c r="Z229">
        <v>0</v>
      </c>
      <c r="AA229">
        <v>-17.5</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21</v>
      </c>
      <c r="AU229">
        <v>0</v>
      </c>
      <c r="AV229">
        <v>0</v>
      </c>
      <c r="AW229">
        <v>21</v>
      </c>
      <c r="AX229">
        <v>1.75</v>
      </c>
      <c r="AY229">
        <v>0</v>
      </c>
      <c r="AZ229">
        <v>0</v>
      </c>
      <c r="BA229">
        <v>1.75</v>
      </c>
      <c r="BB229">
        <v>0</v>
      </c>
      <c r="BC229">
        <v>0</v>
      </c>
      <c r="BD229">
        <v>0</v>
      </c>
      <c r="BE229">
        <v>0</v>
      </c>
    </row>
    <row r="230" spans="1:57">
      <c r="A230" t="s">
        <v>16974</v>
      </c>
      <c r="B230" t="s">
        <v>17109</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row>
    <row r="231" spans="1:57">
      <c r="A231" t="s">
        <v>16974</v>
      </c>
      <c r="B231" t="s">
        <v>17312</v>
      </c>
      <c r="C231">
        <v>0</v>
      </c>
      <c r="D231">
        <v>1</v>
      </c>
      <c r="E231">
        <v>1</v>
      </c>
      <c r="F231">
        <v>0</v>
      </c>
      <c r="G231">
        <v>0</v>
      </c>
      <c r="H231">
        <v>1</v>
      </c>
      <c r="I231">
        <v>1</v>
      </c>
      <c r="J231">
        <v>0</v>
      </c>
      <c r="K231">
        <v>0</v>
      </c>
      <c r="L231">
        <v>0</v>
      </c>
      <c r="M231">
        <v>0</v>
      </c>
      <c r="N231">
        <v>1</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row>
    <row r="232" spans="1:57">
      <c r="A232" t="s">
        <v>16974</v>
      </c>
      <c r="B232" t="s">
        <v>17110</v>
      </c>
      <c r="C232">
        <v>0</v>
      </c>
      <c r="D232">
        <v>1</v>
      </c>
      <c r="E232">
        <v>0</v>
      </c>
      <c r="F232">
        <v>1</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row>
    <row r="233" spans="1:57">
      <c r="A233" t="s">
        <v>16974</v>
      </c>
      <c r="B233" t="s">
        <v>17111</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row>
    <row r="234" spans="1:57">
      <c r="A234" t="s">
        <v>16974</v>
      </c>
      <c r="B234" t="s">
        <v>17386</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row>
    <row r="235" spans="1:57">
      <c r="A235" t="s">
        <v>16974</v>
      </c>
      <c r="B235" t="s">
        <v>17117</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7">
      <c r="A236" t="s">
        <v>16974</v>
      </c>
      <c r="B236" t="s">
        <v>17119</v>
      </c>
      <c r="C236">
        <v>0</v>
      </c>
      <c r="D236">
        <v>3</v>
      </c>
      <c r="E236">
        <v>0</v>
      </c>
      <c r="F236">
        <v>3</v>
      </c>
      <c r="G236">
        <v>0</v>
      </c>
      <c r="H236">
        <v>0</v>
      </c>
      <c r="I236">
        <v>0</v>
      </c>
      <c r="J236">
        <v>3</v>
      </c>
      <c r="K236">
        <v>19</v>
      </c>
      <c r="L236">
        <v>0</v>
      </c>
      <c r="M236">
        <v>0</v>
      </c>
      <c r="N236">
        <v>0</v>
      </c>
      <c r="O236">
        <v>0</v>
      </c>
      <c r="P236">
        <v>0</v>
      </c>
      <c r="Q236">
        <v>0</v>
      </c>
      <c r="R236">
        <v>0</v>
      </c>
      <c r="S236">
        <v>41</v>
      </c>
      <c r="T236">
        <v>0</v>
      </c>
      <c r="U236">
        <v>0</v>
      </c>
      <c r="V236">
        <v>41</v>
      </c>
      <c r="W236">
        <v>410</v>
      </c>
      <c r="X236">
        <v>0</v>
      </c>
      <c r="Y236">
        <v>3</v>
      </c>
      <c r="Z236">
        <v>0</v>
      </c>
      <c r="AA236">
        <v>0</v>
      </c>
      <c r="AB236">
        <v>370</v>
      </c>
      <c r="AC236">
        <v>0</v>
      </c>
      <c r="AD236">
        <v>0</v>
      </c>
      <c r="AE236">
        <v>0</v>
      </c>
      <c r="AF236">
        <v>370</v>
      </c>
      <c r="AG236">
        <v>410</v>
      </c>
      <c r="AH236">
        <v>410</v>
      </c>
      <c r="AI236">
        <v>0</v>
      </c>
      <c r="AJ236">
        <v>0</v>
      </c>
      <c r="AK236">
        <v>0</v>
      </c>
      <c r="AL236">
        <v>0</v>
      </c>
      <c r="AM236">
        <v>0</v>
      </c>
      <c r="AN236">
        <v>0</v>
      </c>
      <c r="AO236">
        <v>0</v>
      </c>
      <c r="AP236">
        <v>0</v>
      </c>
      <c r="AQ236">
        <v>0</v>
      </c>
      <c r="AR236">
        <v>0</v>
      </c>
      <c r="AS236">
        <v>0</v>
      </c>
      <c r="AT236">
        <v>19</v>
      </c>
      <c r="AU236">
        <v>0</v>
      </c>
      <c r="AV236">
        <v>19</v>
      </c>
      <c r="AW236">
        <v>0</v>
      </c>
      <c r="AX236">
        <v>41</v>
      </c>
      <c r="AY236">
        <v>0</v>
      </c>
      <c r="AZ236">
        <v>41</v>
      </c>
      <c r="BA236">
        <v>0</v>
      </c>
      <c r="BB236">
        <v>0</v>
      </c>
      <c r="BC236">
        <v>0</v>
      </c>
      <c r="BD236">
        <v>0</v>
      </c>
      <c r="BE236">
        <v>0</v>
      </c>
    </row>
    <row r="237" spans="1:57">
      <c r="A237" t="s">
        <v>16974</v>
      </c>
      <c r="B237" t="s">
        <v>17096</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row>
    <row r="238" spans="1:57">
      <c r="A238" t="s">
        <v>16974</v>
      </c>
      <c r="B238" t="s">
        <v>17336</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row>
    <row r="239" spans="1:57">
      <c r="A239" t="s">
        <v>16974</v>
      </c>
      <c r="B239" t="s">
        <v>22095</v>
      </c>
      <c r="C239">
        <v>0</v>
      </c>
      <c r="D239">
        <v>29</v>
      </c>
      <c r="E239">
        <v>29</v>
      </c>
      <c r="F239">
        <v>29</v>
      </c>
      <c r="G239">
        <v>0</v>
      </c>
      <c r="H239">
        <v>6</v>
      </c>
      <c r="I239">
        <v>1</v>
      </c>
      <c r="J239">
        <v>29</v>
      </c>
      <c r="K239">
        <v>385</v>
      </c>
      <c r="L239">
        <v>26</v>
      </c>
      <c r="M239">
        <v>0</v>
      </c>
      <c r="N239">
        <v>0</v>
      </c>
      <c r="O239">
        <v>1</v>
      </c>
      <c r="P239">
        <v>0</v>
      </c>
      <c r="Q239">
        <v>2</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385</v>
      </c>
      <c r="AU239">
        <v>280</v>
      </c>
      <c r="AV239">
        <v>105</v>
      </c>
      <c r="AW239">
        <v>0</v>
      </c>
      <c r="AX239">
        <v>0</v>
      </c>
      <c r="AY239">
        <v>0</v>
      </c>
      <c r="AZ239">
        <v>0</v>
      </c>
      <c r="BA239">
        <v>0</v>
      </c>
      <c r="BB239">
        <v>0</v>
      </c>
      <c r="BC239">
        <v>0</v>
      </c>
      <c r="BD239">
        <v>0</v>
      </c>
      <c r="BE239">
        <v>0</v>
      </c>
    </row>
    <row r="240" spans="1:57">
      <c r="A240" t="s">
        <v>16974</v>
      </c>
      <c r="B240" t="s">
        <v>17308</v>
      </c>
      <c r="C240">
        <v>1</v>
      </c>
      <c r="D240">
        <v>1</v>
      </c>
      <c r="E240">
        <v>1</v>
      </c>
      <c r="F240">
        <v>1</v>
      </c>
      <c r="G240">
        <v>0</v>
      </c>
      <c r="H240">
        <v>0</v>
      </c>
      <c r="I240">
        <v>0</v>
      </c>
      <c r="J240">
        <v>1</v>
      </c>
      <c r="K240">
        <v>3</v>
      </c>
      <c r="L240">
        <v>0</v>
      </c>
      <c r="M240">
        <v>0</v>
      </c>
      <c r="N240">
        <v>0</v>
      </c>
      <c r="O240">
        <v>1</v>
      </c>
      <c r="P240">
        <v>0</v>
      </c>
      <c r="Q240">
        <v>0</v>
      </c>
      <c r="R240">
        <v>0</v>
      </c>
      <c r="S240">
        <v>4</v>
      </c>
      <c r="T240">
        <v>0</v>
      </c>
      <c r="U240">
        <v>0</v>
      </c>
      <c r="V240">
        <v>4</v>
      </c>
      <c r="W240">
        <v>0</v>
      </c>
      <c r="X240">
        <v>0</v>
      </c>
      <c r="Y240">
        <v>0</v>
      </c>
      <c r="Z240">
        <v>0</v>
      </c>
      <c r="AA240">
        <v>-40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3</v>
      </c>
      <c r="AU240">
        <v>0</v>
      </c>
      <c r="AV240">
        <v>0</v>
      </c>
      <c r="AW240">
        <v>3</v>
      </c>
      <c r="AX240">
        <v>4</v>
      </c>
      <c r="AY240">
        <v>0</v>
      </c>
      <c r="AZ240">
        <v>0</v>
      </c>
      <c r="BA240">
        <v>4</v>
      </c>
      <c r="BB240">
        <v>0</v>
      </c>
      <c r="BC240">
        <v>0</v>
      </c>
      <c r="BD240">
        <v>0</v>
      </c>
      <c r="BE240">
        <v>0</v>
      </c>
    </row>
    <row r="241" spans="1:57">
      <c r="A241" t="s">
        <v>16974</v>
      </c>
      <c r="B241" t="s">
        <v>17121</v>
      </c>
      <c r="C241">
        <v>1</v>
      </c>
      <c r="D241">
        <v>3</v>
      </c>
      <c r="E241">
        <v>0</v>
      </c>
      <c r="F241">
        <v>3</v>
      </c>
      <c r="G241">
        <v>0</v>
      </c>
      <c r="H241">
        <v>0</v>
      </c>
      <c r="I241">
        <v>0</v>
      </c>
      <c r="J241">
        <v>3</v>
      </c>
      <c r="K241">
        <v>19</v>
      </c>
      <c r="L241">
        <v>2</v>
      </c>
      <c r="M241">
        <v>0</v>
      </c>
      <c r="N241">
        <v>0</v>
      </c>
      <c r="O241">
        <v>1</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19</v>
      </c>
      <c r="AU241">
        <v>0</v>
      </c>
      <c r="AV241">
        <v>16</v>
      </c>
      <c r="AW241">
        <v>3</v>
      </c>
      <c r="AX241">
        <v>0</v>
      </c>
      <c r="AY241">
        <v>0</v>
      </c>
      <c r="AZ241">
        <v>0</v>
      </c>
      <c r="BA241">
        <v>0</v>
      </c>
      <c r="BB241">
        <v>0</v>
      </c>
      <c r="BC241">
        <v>0</v>
      </c>
      <c r="BD241">
        <v>0</v>
      </c>
      <c r="BE241">
        <v>0</v>
      </c>
    </row>
    <row r="242" spans="1:57">
      <c r="A242" t="s">
        <v>16974</v>
      </c>
      <c r="B242" t="s">
        <v>17122</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row>
    <row r="243" spans="1:57">
      <c r="A243" t="s">
        <v>16974</v>
      </c>
      <c r="B243" t="s">
        <v>19986</v>
      </c>
      <c r="C243">
        <v>0</v>
      </c>
      <c r="D243">
        <v>1</v>
      </c>
      <c r="E243">
        <v>0</v>
      </c>
      <c r="F243">
        <v>0</v>
      </c>
      <c r="G243">
        <v>0</v>
      </c>
      <c r="H243">
        <v>0</v>
      </c>
      <c r="I243">
        <v>0</v>
      </c>
      <c r="J243">
        <v>1</v>
      </c>
      <c r="K243">
        <v>4</v>
      </c>
      <c r="L243">
        <v>1</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4</v>
      </c>
      <c r="AU243">
        <v>0</v>
      </c>
      <c r="AV243">
        <v>4</v>
      </c>
      <c r="AW243">
        <v>0</v>
      </c>
      <c r="AX243">
        <v>0</v>
      </c>
      <c r="AY243">
        <v>0</v>
      </c>
      <c r="AZ243">
        <v>0</v>
      </c>
      <c r="BA243">
        <v>0</v>
      </c>
      <c r="BB243">
        <v>0</v>
      </c>
      <c r="BC243">
        <v>0</v>
      </c>
      <c r="BD243">
        <v>0</v>
      </c>
      <c r="BE243">
        <v>0</v>
      </c>
    </row>
    <row r="244" spans="1:57">
      <c r="A244" t="s">
        <v>16974</v>
      </c>
      <c r="B244" t="s">
        <v>17125</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row>
    <row r="245" spans="1:57">
      <c r="A245" t="s">
        <v>16974</v>
      </c>
      <c r="B245" t="s">
        <v>17126</v>
      </c>
      <c r="C245">
        <v>0</v>
      </c>
      <c r="D245">
        <v>2</v>
      </c>
      <c r="E245">
        <v>2</v>
      </c>
      <c r="F245">
        <v>2</v>
      </c>
      <c r="G245">
        <v>0</v>
      </c>
      <c r="H245">
        <v>0</v>
      </c>
      <c r="I245">
        <v>0</v>
      </c>
      <c r="J245">
        <v>2</v>
      </c>
      <c r="K245">
        <v>7</v>
      </c>
      <c r="L245">
        <v>2</v>
      </c>
      <c r="M245">
        <v>0</v>
      </c>
      <c r="N245">
        <v>0</v>
      </c>
      <c r="O245">
        <v>0</v>
      </c>
      <c r="P245">
        <v>0</v>
      </c>
      <c r="Q245">
        <v>0</v>
      </c>
      <c r="R245">
        <v>0</v>
      </c>
      <c r="S245">
        <v>1.25</v>
      </c>
      <c r="T245">
        <v>0</v>
      </c>
      <c r="U245">
        <v>0</v>
      </c>
      <c r="V245">
        <v>1.25</v>
      </c>
      <c r="W245">
        <v>12.5</v>
      </c>
      <c r="X245">
        <v>0</v>
      </c>
      <c r="Y245">
        <v>0</v>
      </c>
      <c r="Z245">
        <v>2</v>
      </c>
      <c r="AA245">
        <v>0</v>
      </c>
      <c r="AB245">
        <v>0</v>
      </c>
      <c r="AC245">
        <v>0</v>
      </c>
      <c r="AD245">
        <v>0</v>
      </c>
      <c r="AE245">
        <v>0</v>
      </c>
      <c r="AF245">
        <v>0</v>
      </c>
      <c r="AG245">
        <v>12.5</v>
      </c>
      <c r="AH245">
        <v>12.5</v>
      </c>
      <c r="AI245">
        <v>0</v>
      </c>
      <c r="AJ245">
        <v>0</v>
      </c>
      <c r="AK245">
        <v>0</v>
      </c>
      <c r="AL245">
        <v>0</v>
      </c>
      <c r="AM245">
        <v>0</v>
      </c>
      <c r="AN245">
        <v>0</v>
      </c>
      <c r="AO245">
        <v>0</v>
      </c>
      <c r="AP245">
        <v>0</v>
      </c>
      <c r="AQ245">
        <v>0</v>
      </c>
      <c r="AR245">
        <v>0</v>
      </c>
      <c r="AS245">
        <v>0</v>
      </c>
      <c r="AT245">
        <v>7</v>
      </c>
      <c r="AU245">
        <v>0</v>
      </c>
      <c r="AV245">
        <v>7</v>
      </c>
      <c r="AW245">
        <v>0</v>
      </c>
      <c r="AX245">
        <v>1.25</v>
      </c>
      <c r="AY245">
        <v>0</v>
      </c>
      <c r="AZ245">
        <v>1.25</v>
      </c>
      <c r="BA245">
        <v>0</v>
      </c>
      <c r="BB245">
        <v>0</v>
      </c>
      <c r="BC245">
        <v>0</v>
      </c>
      <c r="BD245">
        <v>0</v>
      </c>
      <c r="BE245">
        <v>0</v>
      </c>
    </row>
    <row r="246" spans="1:57">
      <c r="A246" t="s">
        <v>16974</v>
      </c>
      <c r="B246" t="s">
        <v>18837</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row>
    <row r="247" spans="1:57">
      <c r="A247" t="s">
        <v>16974</v>
      </c>
      <c r="B247" t="s">
        <v>17127</v>
      </c>
      <c r="C247">
        <v>0</v>
      </c>
      <c r="D247">
        <v>26</v>
      </c>
      <c r="E247">
        <v>0</v>
      </c>
      <c r="F247">
        <v>0</v>
      </c>
      <c r="G247">
        <v>0</v>
      </c>
      <c r="H247">
        <v>0</v>
      </c>
      <c r="I247">
        <v>0</v>
      </c>
      <c r="J247">
        <v>26</v>
      </c>
      <c r="K247">
        <v>407</v>
      </c>
      <c r="L247">
        <v>26</v>
      </c>
      <c r="M247">
        <v>0</v>
      </c>
      <c r="N247">
        <v>0</v>
      </c>
      <c r="O247">
        <v>0</v>
      </c>
      <c r="P247">
        <v>0</v>
      </c>
      <c r="Q247">
        <v>0</v>
      </c>
      <c r="R247">
        <v>0</v>
      </c>
      <c r="S247">
        <v>8.5</v>
      </c>
      <c r="T247">
        <v>3.25</v>
      </c>
      <c r="U247">
        <v>0</v>
      </c>
      <c r="V247">
        <v>11.75</v>
      </c>
      <c r="W247">
        <v>150</v>
      </c>
      <c r="X247">
        <v>0</v>
      </c>
      <c r="Y247">
        <v>23</v>
      </c>
      <c r="Z247">
        <v>0</v>
      </c>
      <c r="AA247">
        <v>0</v>
      </c>
      <c r="AB247">
        <v>0</v>
      </c>
      <c r="AC247">
        <v>0</v>
      </c>
      <c r="AD247">
        <v>0</v>
      </c>
      <c r="AE247">
        <v>0</v>
      </c>
      <c r="AF247">
        <v>0</v>
      </c>
      <c r="AG247">
        <v>142.5</v>
      </c>
      <c r="AH247">
        <v>142.5</v>
      </c>
      <c r="AI247">
        <v>0</v>
      </c>
      <c r="AJ247">
        <v>0</v>
      </c>
      <c r="AK247">
        <v>0</v>
      </c>
      <c r="AL247">
        <v>0</v>
      </c>
      <c r="AM247">
        <v>0</v>
      </c>
      <c r="AN247">
        <v>0</v>
      </c>
      <c r="AO247">
        <v>0</v>
      </c>
      <c r="AP247">
        <v>0</v>
      </c>
      <c r="AQ247">
        <v>0</v>
      </c>
      <c r="AR247">
        <v>0</v>
      </c>
      <c r="AS247">
        <v>0</v>
      </c>
      <c r="AT247">
        <v>407</v>
      </c>
      <c r="AU247">
        <v>0</v>
      </c>
      <c r="AV247">
        <v>407</v>
      </c>
      <c r="AW247">
        <v>0</v>
      </c>
      <c r="AX247">
        <v>8.5</v>
      </c>
      <c r="AY247">
        <v>0</v>
      </c>
      <c r="AZ247">
        <v>8.5</v>
      </c>
      <c r="BA247">
        <v>0</v>
      </c>
      <c r="BB247">
        <v>3.25</v>
      </c>
      <c r="BC247">
        <v>0</v>
      </c>
      <c r="BD247">
        <v>3.25</v>
      </c>
      <c r="BE247">
        <v>0</v>
      </c>
    </row>
    <row r="248" spans="1:57">
      <c r="A248" t="s">
        <v>16974</v>
      </c>
      <c r="B248" t="s">
        <v>17128</v>
      </c>
      <c r="C248">
        <v>0</v>
      </c>
      <c r="D248">
        <v>58</v>
      </c>
      <c r="E248">
        <v>58</v>
      </c>
      <c r="F248">
        <v>58</v>
      </c>
      <c r="G248">
        <v>0</v>
      </c>
      <c r="H248">
        <v>0</v>
      </c>
      <c r="I248">
        <v>0</v>
      </c>
      <c r="J248">
        <v>58</v>
      </c>
      <c r="K248">
        <v>460</v>
      </c>
      <c r="L248">
        <v>58</v>
      </c>
      <c r="M248">
        <v>0</v>
      </c>
      <c r="N248">
        <v>0</v>
      </c>
      <c r="O248">
        <v>0</v>
      </c>
      <c r="P248">
        <v>0</v>
      </c>
      <c r="Q248">
        <v>0</v>
      </c>
      <c r="R248">
        <v>0</v>
      </c>
      <c r="S248">
        <v>19.75</v>
      </c>
      <c r="T248">
        <v>0</v>
      </c>
      <c r="U248">
        <v>0</v>
      </c>
      <c r="V248">
        <v>19.75</v>
      </c>
      <c r="W248">
        <v>197.5</v>
      </c>
      <c r="X248">
        <v>0</v>
      </c>
      <c r="Y248">
        <v>58</v>
      </c>
      <c r="Z248">
        <v>0</v>
      </c>
      <c r="AA248">
        <v>0</v>
      </c>
      <c r="AB248">
        <v>0</v>
      </c>
      <c r="AC248">
        <v>0</v>
      </c>
      <c r="AD248">
        <v>0</v>
      </c>
      <c r="AE248">
        <v>0</v>
      </c>
      <c r="AF248">
        <v>0</v>
      </c>
      <c r="AG248">
        <v>197.5</v>
      </c>
      <c r="AH248">
        <v>197.5</v>
      </c>
      <c r="AI248">
        <v>0</v>
      </c>
      <c r="AJ248">
        <v>0</v>
      </c>
      <c r="AK248">
        <v>0</v>
      </c>
      <c r="AL248">
        <v>0</v>
      </c>
      <c r="AM248">
        <v>0</v>
      </c>
      <c r="AN248">
        <v>0</v>
      </c>
      <c r="AO248">
        <v>0</v>
      </c>
      <c r="AP248">
        <v>0</v>
      </c>
      <c r="AQ248">
        <v>0</v>
      </c>
      <c r="AR248">
        <v>0</v>
      </c>
      <c r="AS248">
        <v>0</v>
      </c>
      <c r="AT248">
        <v>460</v>
      </c>
      <c r="AU248">
        <v>0</v>
      </c>
      <c r="AV248">
        <v>460</v>
      </c>
      <c r="AW248">
        <v>0</v>
      </c>
      <c r="AX248">
        <v>19.75</v>
      </c>
      <c r="AY248">
        <v>0</v>
      </c>
      <c r="AZ248">
        <v>19.75</v>
      </c>
      <c r="BA248">
        <v>0</v>
      </c>
      <c r="BB248">
        <v>0</v>
      </c>
      <c r="BC248">
        <v>0</v>
      </c>
      <c r="BD248">
        <v>0</v>
      </c>
      <c r="BE248">
        <v>0</v>
      </c>
    </row>
    <row r="249" spans="1:57">
      <c r="A249" t="s">
        <v>16974</v>
      </c>
      <c r="B249" t="s">
        <v>21079</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row>
    <row r="250" spans="1:57">
      <c r="A250" t="s">
        <v>16974</v>
      </c>
      <c r="B250" t="s">
        <v>17201</v>
      </c>
      <c r="C250">
        <v>0</v>
      </c>
      <c r="D250">
        <v>933</v>
      </c>
      <c r="E250">
        <v>410</v>
      </c>
      <c r="F250">
        <v>214</v>
      </c>
      <c r="G250">
        <v>1</v>
      </c>
      <c r="H250">
        <v>0</v>
      </c>
      <c r="I250">
        <v>0</v>
      </c>
      <c r="J250">
        <v>454</v>
      </c>
      <c r="K250">
        <v>5109</v>
      </c>
      <c r="L250">
        <v>159</v>
      </c>
      <c r="M250">
        <v>0</v>
      </c>
      <c r="N250">
        <v>3</v>
      </c>
      <c r="O250">
        <v>292</v>
      </c>
      <c r="P250">
        <v>0</v>
      </c>
      <c r="Q250">
        <v>0</v>
      </c>
      <c r="R250">
        <v>0</v>
      </c>
      <c r="S250">
        <v>116.02649999999998</v>
      </c>
      <c r="T250">
        <v>42</v>
      </c>
      <c r="U250">
        <v>0</v>
      </c>
      <c r="V250">
        <v>158.0265</v>
      </c>
      <c r="W250">
        <v>2000.2650000000008</v>
      </c>
      <c r="X250">
        <v>0</v>
      </c>
      <c r="Y250">
        <v>454</v>
      </c>
      <c r="Z250">
        <v>0</v>
      </c>
      <c r="AA250">
        <v>0</v>
      </c>
      <c r="AB250">
        <v>0</v>
      </c>
      <c r="AC250">
        <v>0</v>
      </c>
      <c r="AD250">
        <v>0</v>
      </c>
      <c r="AE250">
        <v>0</v>
      </c>
      <c r="AF250">
        <v>0</v>
      </c>
      <c r="AG250">
        <v>2000.2650000000008</v>
      </c>
      <c r="AH250">
        <v>2000.2650000000008</v>
      </c>
      <c r="AI250">
        <v>0</v>
      </c>
      <c r="AJ250">
        <v>0</v>
      </c>
      <c r="AK250">
        <v>0</v>
      </c>
      <c r="AL250">
        <v>0</v>
      </c>
      <c r="AM250">
        <v>0</v>
      </c>
      <c r="AN250">
        <v>0</v>
      </c>
      <c r="AO250">
        <v>0</v>
      </c>
      <c r="AP250">
        <v>0</v>
      </c>
      <c r="AQ250">
        <v>0</v>
      </c>
      <c r="AR250">
        <v>0</v>
      </c>
      <c r="AS250">
        <v>0</v>
      </c>
      <c r="AT250">
        <v>5109</v>
      </c>
      <c r="AU250">
        <v>0</v>
      </c>
      <c r="AV250">
        <v>5109</v>
      </c>
      <c r="AW250">
        <v>0</v>
      </c>
      <c r="AX250">
        <v>116.02649999999998</v>
      </c>
      <c r="AY250">
        <v>0</v>
      </c>
      <c r="AZ250">
        <v>116.02649999999998</v>
      </c>
      <c r="BA250">
        <v>0</v>
      </c>
      <c r="BB250">
        <v>42</v>
      </c>
      <c r="BC250">
        <v>0</v>
      </c>
      <c r="BD250">
        <v>42</v>
      </c>
      <c r="BE250">
        <v>0</v>
      </c>
    </row>
    <row r="251" spans="1:57">
      <c r="A251" t="s">
        <v>16974</v>
      </c>
      <c r="B251" t="s">
        <v>17201</v>
      </c>
      <c r="C251">
        <v>0</v>
      </c>
      <c r="D251">
        <v>269</v>
      </c>
      <c r="E251">
        <v>241</v>
      </c>
      <c r="F251">
        <v>117</v>
      </c>
      <c r="G251">
        <v>0</v>
      </c>
      <c r="H251">
        <v>0</v>
      </c>
      <c r="I251">
        <v>0</v>
      </c>
      <c r="J251">
        <v>269</v>
      </c>
      <c r="K251">
        <v>3430</v>
      </c>
      <c r="L251">
        <v>47</v>
      </c>
      <c r="M251">
        <v>0</v>
      </c>
      <c r="N251">
        <v>4</v>
      </c>
      <c r="O251">
        <v>218</v>
      </c>
      <c r="P251">
        <v>0</v>
      </c>
      <c r="Q251">
        <v>0</v>
      </c>
      <c r="R251">
        <v>0</v>
      </c>
      <c r="S251">
        <v>68</v>
      </c>
      <c r="T251">
        <v>12.5</v>
      </c>
      <c r="U251">
        <v>0</v>
      </c>
      <c r="V251">
        <v>80.5</v>
      </c>
      <c r="W251">
        <v>930</v>
      </c>
      <c r="X251">
        <v>0</v>
      </c>
      <c r="Y251">
        <v>269</v>
      </c>
      <c r="Z251">
        <v>0</v>
      </c>
      <c r="AA251">
        <v>0</v>
      </c>
      <c r="AB251">
        <v>20</v>
      </c>
      <c r="AC251">
        <v>20</v>
      </c>
      <c r="AD251">
        <v>0</v>
      </c>
      <c r="AE251">
        <v>20</v>
      </c>
      <c r="AF251">
        <v>20</v>
      </c>
      <c r="AG251">
        <v>950</v>
      </c>
      <c r="AH251">
        <v>930</v>
      </c>
      <c r="AI251">
        <v>0</v>
      </c>
      <c r="AJ251">
        <v>0</v>
      </c>
      <c r="AK251">
        <v>0</v>
      </c>
      <c r="AL251">
        <v>0</v>
      </c>
      <c r="AM251">
        <v>0</v>
      </c>
      <c r="AN251">
        <v>1</v>
      </c>
      <c r="AO251">
        <v>0</v>
      </c>
      <c r="AP251">
        <v>0</v>
      </c>
      <c r="AQ251">
        <v>0</v>
      </c>
      <c r="AR251">
        <v>0</v>
      </c>
      <c r="AS251">
        <v>0</v>
      </c>
      <c r="AT251">
        <v>3430</v>
      </c>
      <c r="AU251">
        <v>0</v>
      </c>
      <c r="AV251">
        <v>3430</v>
      </c>
      <c r="AW251">
        <v>0</v>
      </c>
      <c r="AX251">
        <v>68</v>
      </c>
      <c r="AY251">
        <v>0</v>
      </c>
      <c r="AZ251">
        <v>68</v>
      </c>
      <c r="BA251">
        <v>0</v>
      </c>
      <c r="BB251">
        <v>12.5</v>
      </c>
      <c r="BC251">
        <v>0</v>
      </c>
      <c r="BD251">
        <v>12.5</v>
      </c>
      <c r="BE251">
        <v>0</v>
      </c>
    </row>
    <row r="252" spans="1:57">
      <c r="A252" t="s">
        <v>16974</v>
      </c>
      <c r="B252" t="s">
        <v>17201</v>
      </c>
      <c r="C252">
        <v>0</v>
      </c>
      <c r="D252">
        <v>993</v>
      </c>
      <c r="E252">
        <v>849</v>
      </c>
      <c r="F252">
        <v>353</v>
      </c>
      <c r="G252">
        <v>0</v>
      </c>
      <c r="H252">
        <v>0</v>
      </c>
      <c r="I252">
        <v>0</v>
      </c>
      <c r="J252">
        <v>991</v>
      </c>
      <c r="K252">
        <v>16562</v>
      </c>
      <c r="L252">
        <v>226</v>
      </c>
      <c r="M252">
        <v>0</v>
      </c>
      <c r="N252">
        <v>0</v>
      </c>
      <c r="O252">
        <v>764</v>
      </c>
      <c r="P252">
        <v>0</v>
      </c>
      <c r="Q252">
        <v>1</v>
      </c>
      <c r="R252">
        <v>0</v>
      </c>
      <c r="S252">
        <v>249.25200000000001</v>
      </c>
      <c r="T252">
        <v>57.754000000000005</v>
      </c>
      <c r="U252">
        <v>0</v>
      </c>
      <c r="V252">
        <v>307.00600000000003</v>
      </c>
      <c r="W252">
        <v>3647.6</v>
      </c>
      <c r="X252">
        <v>0</v>
      </c>
      <c r="Y252">
        <v>991</v>
      </c>
      <c r="Z252">
        <v>0</v>
      </c>
      <c r="AA252">
        <v>0</v>
      </c>
      <c r="AB252">
        <v>20</v>
      </c>
      <c r="AC252">
        <v>20</v>
      </c>
      <c r="AD252">
        <v>0</v>
      </c>
      <c r="AE252">
        <v>0</v>
      </c>
      <c r="AF252">
        <v>20</v>
      </c>
      <c r="AG252">
        <v>3667.6</v>
      </c>
      <c r="AH252">
        <v>3667.6</v>
      </c>
      <c r="AI252">
        <v>0</v>
      </c>
      <c r="AJ252">
        <v>0</v>
      </c>
      <c r="AK252">
        <v>0</v>
      </c>
      <c r="AL252">
        <v>0</v>
      </c>
      <c r="AM252">
        <v>0</v>
      </c>
      <c r="AN252">
        <v>0</v>
      </c>
      <c r="AO252">
        <v>0</v>
      </c>
      <c r="AP252">
        <v>0</v>
      </c>
      <c r="AQ252">
        <v>0</v>
      </c>
      <c r="AR252">
        <v>0</v>
      </c>
      <c r="AS252">
        <v>0</v>
      </c>
      <c r="AT252">
        <v>16562</v>
      </c>
      <c r="AU252">
        <v>0</v>
      </c>
      <c r="AV252">
        <v>16562</v>
      </c>
      <c r="AW252">
        <v>0</v>
      </c>
      <c r="AX252">
        <v>249.25200000000001</v>
      </c>
      <c r="AY252">
        <v>0</v>
      </c>
      <c r="AZ252">
        <v>249.25200000000001</v>
      </c>
      <c r="BA252">
        <v>0</v>
      </c>
      <c r="BB252">
        <v>57.754000000000005</v>
      </c>
      <c r="BC252">
        <v>0</v>
      </c>
      <c r="BD252">
        <v>57.754000000000005</v>
      </c>
      <c r="BE252">
        <v>0</v>
      </c>
    </row>
    <row r="253" spans="1:57">
      <c r="A253" t="s">
        <v>16974</v>
      </c>
      <c r="B253" t="s">
        <v>17201</v>
      </c>
      <c r="C253">
        <v>0</v>
      </c>
      <c r="D253">
        <v>135</v>
      </c>
      <c r="E253">
        <v>128</v>
      </c>
      <c r="F253">
        <v>31</v>
      </c>
      <c r="G253">
        <v>0</v>
      </c>
      <c r="H253">
        <v>0</v>
      </c>
      <c r="I253">
        <v>0</v>
      </c>
      <c r="J253">
        <v>135</v>
      </c>
      <c r="K253">
        <v>2105</v>
      </c>
      <c r="L253">
        <v>77</v>
      </c>
      <c r="M253">
        <v>0</v>
      </c>
      <c r="N253">
        <v>0</v>
      </c>
      <c r="O253">
        <v>58</v>
      </c>
      <c r="P253">
        <v>0</v>
      </c>
      <c r="Q253">
        <v>0</v>
      </c>
      <c r="R253">
        <v>0</v>
      </c>
      <c r="S253">
        <v>35.006</v>
      </c>
      <c r="T253">
        <v>20.75</v>
      </c>
      <c r="U253">
        <v>0</v>
      </c>
      <c r="V253">
        <v>55.756</v>
      </c>
      <c r="W253">
        <v>765.06</v>
      </c>
      <c r="X253">
        <v>0</v>
      </c>
      <c r="Y253">
        <v>135</v>
      </c>
      <c r="Z253">
        <v>0</v>
      </c>
      <c r="AA253">
        <v>0</v>
      </c>
      <c r="AB253">
        <v>0</v>
      </c>
      <c r="AC253">
        <v>0</v>
      </c>
      <c r="AD253">
        <v>0</v>
      </c>
      <c r="AE253">
        <v>0</v>
      </c>
      <c r="AF253">
        <v>0</v>
      </c>
      <c r="AG253">
        <v>765.06</v>
      </c>
      <c r="AH253">
        <v>765.06</v>
      </c>
      <c r="AI253">
        <v>0</v>
      </c>
      <c r="AJ253">
        <v>0</v>
      </c>
      <c r="AK253">
        <v>0</v>
      </c>
      <c r="AL253">
        <v>0</v>
      </c>
      <c r="AM253">
        <v>0</v>
      </c>
      <c r="AN253">
        <v>0</v>
      </c>
      <c r="AO253">
        <v>0</v>
      </c>
      <c r="AP253">
        <v>0</v>
      </c>
      <c r="AQ253">
        <v>0</v>
      </c>
      <c r="AR253">
        <v>0</v>
      </c>
      <c r="AS253">
        <v>0</v>
      </c>
      <c r="AT253">
        <v>2105</v>
      </c>
      <c r="AU253">
        <v>0</v>
      </c>
      <c r="AV253">
        <v>2105</v>
      </c>
      <c r="AW253">
        <v>0</v>
      </c>
      <c r="AX253">
        <v>35.006</v>
      </c>
      <c r="AY253">
        <v>0</v>
      </c>
      <c r="AZ253">
        <v>35.006</v>
      </c>
      <c r="BA253">
        <v>0</v>
      </c>
      <c r="BB253">
        <v>20.75</v>
      </c>
      <c r="BC253">
        <v>0</v>
      </c>
      <c r="BD253">
        <v>20.75</v>
      </c>
      <c r="BE253">
        <v>0</v>
      </c>
    </row>
    <row r="254" spans="1:57">
      <c r="A254" t="s">
        <v>16974</v>
      </c>
      <c r="B254" t="s">
        <v>17130</v>
      </c>
      <c r="C254">
        <v>0</v>
      </c>
      <c r="D254">
        <v>0</v>
      </c>
      <c r="E254">
        <v>0</v>
      </c>
      <c r="F254">
        <v>0</v>
      </c>
      <c r="G254">
        <v>0</v>
      </c>
      <c r="H254">
        <v>0</v>
      </c>
      <c r="I254">
        <v>0</v>
      </c>
      <c r="J254">
        <v>0</v>
      </c>
      <c r="K254">
        <v>0</v>
      </c>
      <c r="L254">
        <v>0</v>
      </c>
      <c r="M254">
        <v>0</v>
      </c>
      <c r="N254">
        <v>0</v>
      </c>
      <c r="O254">
        <v>0</v>
      </c>
      <c r="P254">
        <v>0</v>
      </c>
      <c r="Q254">
        <v>0</v>
      </c>
      <c r="R254">
        <v>0</v>
      </c>
      <c r="S254">
        <v>1</v>
      </c>
      <c r="T254">
        <v>6</v>
      </c>
      <c r="U254">
        <v>0</v>
      </c>
      <c r="V254">
        <v>7</v>
      </c>
      <c r="W254">
        <v>130</v>
      </c>
      <c r="X254">
        <v>0</v>
      </c>
      <c r="Y254">
        <v>1</v>
      </c>
      <c r="Z254">
        <v>0</v>
      </c>
      <c r="AA254">
        <v>0</v>
      </c>
      <c r="AB254">
        <v>100</v>
      </c>
      <c r="AC254">
        <v>0</v>
      </c>
      <c r="AD254">
        <v>0</v>
      </c>
      <c r="AE254">
        <v>0</v>
      </c>
      <c r="AF254">
        <v>100</v>
      </c>
      <c r="AG254">
        <v>130</v>
      </c>
      <c r="AH254">
        <v>130</v>
      </c>
      <c r="AI254">
        <v>0</v>
      </c>
      <c r="AJ254">
        <v>0</v>
      </c>
      <c r="AK254">
        <v>0</v>
      </c>
      <c r="AL254">
        <v>0</v>
      </c>
      <c r="AM254">
        <v>0</v>
      </c>
      <c r="AN254">
        <v>0</v>
      </c>
      <c r="AO254">
        <v>0</v>
      </c>
      <c r="AP254">
        <v>0</v>
      </c>
      <c r="AQ254">
        <v>0</v>
      </c>
      <c r="AR254">
        <v>0</v>
      </c>
      <c r="AS254">
        <v>0</v>
      </c>
      <c r="AT254">
        <v>0</v>
      </c>
      <c r="AU254">
        <v>0</v>
      </c>
      <c r="AV254">
        <v>0</v>
      </c>
      <c r="AW254">
        <v>0</v>
      </c>
      <c r="AX254">
        <v>1</v>
      </c>
      <c r="AY254">
        <v>0</v>
      </c>
      <c r="AZ254">
        <v>1</v>
      </c>
      <c r="BA254">
        <v>0</v>
      </c>
      <c r="BB254">
        <v>6</v>
      </c>
      <c r="BC254">
        <v>0</v>
      </c>
      <c r="BD254">
        <v>6</v>
      </c>
      <c r="BE254">
        <v>0</v>
      </c>
    </row>
    <row r="255" spans="1:57">
      <c r="A255" t="s">
        <v>16974</v>
      </c>
      <c r="B255" t="s">
        <v>17131</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row>
    <row r="256" spans="1:57">
      <c r="A256" t="s">
        <v>16974</v>
      </c>
      <c r="B256" t="s">
        <v>17040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row>
    <row r="257" spans="1:57">
      <c r="A257" t="s">
        <v>16974</v>
      </c>
      <c r="B257" t="s">
        <v>16975</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row>
    <row r="258" spans="1:57">
      <c r="A258" t="s">
        <v>16974</v>
      </c>
      <c r="B258" t="s">
        <v>17085</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row>
    <row r="259" spans="1:57">
      <c r="A259" t="s">
        <v>16974</v>
      </c>
      <c r="B259" t="s">
        <v>17132</v>
      </c>
      <c r="C259">
        <v>0</v>
      </c>
      <c r="D259">
        <v>110</v>
      </c>
      <c r="E259">
        <v>110</v>
      </c>
      <c r="F259">
        <v>110</v>
      </c>
      <c r="G259">
        <v>0</v>
      </c>
      <c r="H259">
        <v>0</v>
      </c>
      <c r="I259">
        <v>0</v>
      </c>
      <c r="J259">
        <v>110</v>
      </c>
      <c r="K259">
        <v>628</v>
      </c>
      <c r="L259">
        <v>56</v>
      </c>
      <c r="M259">
        <v>0</v>
      </c>
      <c r="N259">
        <v>0</v>
      </c>
      <c r="O259">
        <v>74</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628</v>
      </c>
      <c r="AU259">
        <v>0</v>
      </c>
      <c r="AV259">
        <v>628</v>
      </c>
      <c r="AW259">
        <v>0</v>
      </c>
      <c r="AX259">
        <v>0</v>
      </c>
      <c r="AY259">
        <v>0</v>
      </c>
      <c r="AZ259">
        <v>0</v>
      </c>
      <c r="BA259">
        <v>0</v>
      </c>
      <c r="BB259">
        <v>0</v>
      </c>
      <c r="BC259">
        <v>0</v>
      </c>
      <c r="BD259">
        <v>0</v>
      </c>
      <c r="BE259">
        <v>0</v>
      </c>
    </row>
    <row r="260" spans="1:57">
      <c r="A260" t="s">
        <v>16974</v>
      </c>
      <c r="B260" t="s">
        <v>17133</v>
      </c>
      <c r="C260">
        <v>0</v>
      </c>
      <c r="D260">
        <v>7</v>
      </c>
      <c r="E260">
        <v>7</v>
      </c>
      <c r="F260">
        <v>6</v>
      </c>
      <c r="G260">
        <v>1</v>
      </c>
      <c r="H260">
        <v>0</v>
      </c>
      <c r="I260">
        <v>0</v>
      </c>
      <c r="J260">
        <v>7</v>
      </c>
      <c r="K260">
        <v>45</v>
      </c>
      <c r="L260">
        <v>6</v>
      </c>
      <c r="M260">
        <v>0</v>
      </c>
      <c r="N260">
        <v>1</v>
      </c>
      <c r="O260">
        <v>0</v>
      </c>
      <c r="P260">
        <v>0</v>
      </c>
      <c r="Q260">
        <v>0</v>
      </c>
      <c r="R260">
        <v>0</v>
      </c>
      <c r="S260">
        <v>6.25</v>
      </c>
      <c r="T260">
        <v>9.25</v>
      </c>
      <c r="U260">
        <v>0</v>
      </c>
      <c r="V260">
        <v>15.5</v>
      </c>
      <c r="W260">
        <v>247.5</v>
      </c>
      <c r="X260">
        <v>0</v>
      </c>
      <c r="Y260">
        <v>7</v>
      </c>
      <c r="Z260">
        <v>0</v>
      </c>
      <c r="AA260">
        <v>0</v>
      </c>
      <c r="AB260">
        <v>120</v>
      </c>
      <c r="AC260">
        <v>129.75</v>
      </c>
      <c r="AD260">
        <v>129.75</v>
      </c>
      <c r="AE260">
        <v>219.75</v>
      </c>
      <c r="AF260">
        <v>249.75</v>
      </c>
      <c r="AG260">
        <v>377.25</v>
      </c>
      <c r="AH260">
        <v>157.5</v>
      </c>
      <c r="AI260">
        <v>0</v>
      </c>
      <c r="AJ260">
        <v>0</v>
      </c>
      <c r="AK260">
        <v>0</v>
      </c>
      <c r="AL260">
        <v>0</v>
      </c>
      <c r="AM260">
        <v>0</v>
      </c>
      <c r="AN260">
        <v>2</v>
      </c>
      <c r="AO260">
        <v>0</v>
      </c>
      <c r="AP260">
        <v>1</v>
      </c>
      <c r="AQ260">
        <v>0</v>
      </c>
      <c r="AR260">
        <v>0</v>
      </c>
      <c r="AS260">
        <v>0</v>
      </c>
      <c r="AT260">
        <v>45</v>
      </c>
      <c r="AU260">
        <v>0</v>
      </c>
      <c r="AV260">
        <v>45</v>
      </c>
      <c r="AW260">
        <v>0</v>
      </c>
      <c r="AX260">
        <v>6.25</v>
      </c>
      <c r="AY260">
        <v>0</v>
      </c>
      <c r="AZ260">
        <v>6.25</v>
      </c>
      <c r="BA260">
        <v>0</v>
      </c>
      <c r="BB260">
        <v>9.25</v>
      </c>
      <c r="BC260">
        <v>0</v>
      </c>
      <c r="BD260">
        <v>9.25</v>
      </c>
      <c r="BE260">
        <v>0</v>
      </c>
    </row>
    <row r="261" spans="1:57">
      <c r="A261" t="s">
        <v>16974</v>
      </c>
      <c r="B261" t="s">
        <v>17134</v>
      </c>
      <c r="C261">
        <v>0</v>
      </c>
      <c r="D261">
        <v>1</v>
      </c>
      <c r="E261">
        <v>1</v>
      </c>
      <c r="F261">
        <v>0</v>
      </c>
      <c r="G261">
        <v>0</v>
      </c>
      <c r="H261">
        <v>0</v>
      </c>
      <c r="I261">
        <v>0</v>
      </c>
      <c r="J261">
        <v>1</v>
      </c>
      <c r="K261">
        <v>3</v>
      </c>
      <c r="L261">
        <v>1</v>
      </c>
      <c r="M261">
        <v>0</v>
      </c>
      <c r="N261">
        <v>0</v>
      </c>
      <c r="O261">
        <v>0</v>
      </c>
      <c r="P261">
        <v>0</v>
      </c>
      <c r="Q261">
        <v>0</v>
      </c>
      <c r="R261">
        <v>0</v>
      </c>
      <c r="S261">
        <v>0.5</v>
      </c>
      <c r="T261">
        <v>0</v>
      </c>
      <c r="U261">
        <v>0</v>
      </c>
      <c r="V261">
        <v>0.5</v>
      </c>
      <c r="W261">
        <v>5</v>
      </c>
      <c r="X261">
        <v>0</v>
      </c>
      <c r="Y261">
        <v>1</v>
      </c>
      <c r="Z261">
        <v>0</v>
      </c>
      <c r="AA261">
        <v>0</v>
      </c>
      <c r="AB261">
        <v>0</v>
      </c>
      <c r="AC261">
        <v>0</v>
      </c>
      <c r="AD261">
        <v>0</v>
      </c>
      <c r="AE261">
        <v>0</v>
      </c>
      <c r="AF261">
        <v>0</v>
      </c>
      <c r="AG261">
        <v>5</v>
      </c>
      <c r="AH261">
        <v>5</v>
      </c>
      <c r="AI261">
        <v>0</v>
      </c>
      <c r="AJ261">
        <v>0</v>
      </c>
      <c r="AK261">
        <v>0</v>
      </c>
      <c r="AL261">
        <v>0</v>
      </c>
      <c r="AM261">
        <v>0</v>
      </c>
      <c r="AN261">
        <v>0</v>
      </c>
      <c r="AO261">
        <v>0</v>
      </c>
      <c r="AP261">
        <v>0</v>
      </c>
      <c r="AQ261">
        <v>0</v>
      </c>
      <c r="AR261">
        <v>0</v>
      </c>
      <c r="AS261">
        <v>0</v>
      </c>
      <c r="AT261">
        <v>3</v>
      </c>
      <c r="AU261">
        <v>0</v>
      </c>
      <c r="AV261">
        <v>3</v>
      </c>
      <c r="AW261">
        <v>0</v>
      </c>
      <c r="AX261">
        <v>0.5</v>
      </c>
      <c r="AY261">
        <v>0</v>
      </c>
      <c r="AZ261">
        <v>0.5</v>
      </c>
      <c r="BA261">
        <v>0</v>
      </c>
      <c r="BB261">
        <v>0</v>
      </c>
      <c r="BC261">
        <v>0</v>
      </c>
      <c r="BD261">
        <v>0</v>
      </c>
      <c r="BE261">
        <v>0</v>
      </c>
    </row>
    <row r="262" spans="1:57">
      <c r="A262" t="s">
        <v>16974</v>
      </c>
      <c r="B262" t="s">
        <v>22131</v>
      </c>
      <c r="C262">
        <v>0</v>
      </c>
      <c r="D262">
        <v>10</v>
      </c>
      <c r="E262">
        <v>10</v>
      </c>
      <c r="F262">
        <v>10</v>
      </c>
      <c r="G262">
        <v>0</v>
      </c>
      <c r="H262">
        <v>0</v>
      </c>
      <c r="I262">
        <v>0</v>
      </c>
      <c r="J262">
        <v>10</v>
      </c>
      <c r="K262">
        <v>55</v>
      </c>
      <c r="L262">
        <v>2</v>
      </c>
      <c r="M262">
        <v>7</v>
      </c>
      <c r="N262">
        <v>1</v>
      </c>
      <c r="O262">
        <v>0</v>
      </c>
      <c r="P262">
        <v>0</v>
      </c>
      <c r="Q262">
        <v>0</v>
      </c>
      <c r="R262">
        <v>0</v>
      </c>
      <c r="S262">
        <v>2.5</v>
      </c>
      <c r="T262">
        <v>3</v>
      </c>
      <c r="U262">
        <v>0</v>
      </c>
      <c r="V262">
        <v>5.5</v>
      </c>
      <c r="W262">
        <v>85</v>
      </c>
      <c r="X262">
        <v>0</v>
      </c>
      <c r="Y262">
        <v>10</v>
      </c>
      <c r="Z262">
        <v>0</v>
      </c>
      <c r="AA262">
        <v>0</v>
      </c>
      <c r="AB262">
        <v>0</v>
      </c>
      <c r="AC262">
        <v>0</v>
      </c>
      <c r="AD262">
        <v>0</v>
      </c>
      <c r="AE262">
        <v>0</v>
      </c>
      <c r="AF262">
        <v>0</v>
      </c>
      <c r="AG262">
        <v>85</v>
      </c>
      <c r="AH262">
        <v>85</v>
      </c>
      <c r="AI262">
        <v>0</v>
      </c>
      <c r="AJ262">
        <v>0</v>
      </c>
      <c r="AK262">
        <v>0</v>
      </c>
      <c r="AL262">
        <v>0</v>
      </c>
      <c r="AM262">
        <v>0</v>
      </c>
      <c r="AN262">
        <v>0</v>
      </c>
      <c r="AO262">
        <v>0</v>
      </c>
      <c r="AP262">
        <v>0</v>
      </c>
      <c r="AQ262">
        <v>0</v>
      </c>
      <c r="AR262">
        <v>0</v>
      </c>
      <c r="AS262">
        <v>0</v>
      </c>
      <c r="AT262">
        <v>55</v>
      </c>
      <c r="AU262">
        <v>0</v>
      </c>
      <c r="AV262">
        <v>55</v>
      </c>
      <c r="AW262">
        <v>0</v>
      </c>
      <c r="AX262">
        <v>2.5</v>
      </c>
      <c r="AY262">
        <v>0</v>
      </c>
      <c r="AZ262">
        <v>2.5</v>
      </c>
      <c r="BA262">
        <v>0</v>
      </c>
      <c r="BB262">
        <v>3</v>
      </c>
      <c r="BC262">
        <v>0</v>
      </c>
      <c r="BD262">
        <v>3</v>
      </c>
      <c r="BE262">
        <v>0</v>
      </c>
    </row>
    <row r="263" spans="1:57">
      <c r="A263" t="s">
        <v>16974</v>
      </c>
      <c r="B263" t="s">
        <v>17137</v>
      </c>
      <c r="C263">
        <v>71</v>
      </c>
      <c r="D263">
        <v>71</v>
      </c>
      <c r="E263">
        <v>0</v>
      </c>
      <c r="F263">
        <v>0</v>
      </c>
      <c r="G263">
        <v>0</v>
      </c>
      <c r="H263">
        <v>0</v>
      </c>
      <c r="I263">
        <v>0</v>
      </c>
      <c r="J263">
        <v>71</v>
      </c>
      <c r="K263">
        <v>135</v>
      </c>
      <c r="L263">
        <v>71</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135</v>
      </c>
      <c r="AU263">
        <v>0</v>
      </c>
      <c r="AV263">
        <v>0</v>
      </c>
      <c r="AW263">
        <v>135</v>
      </c>
      <c r="AX263">
        <v>0</v>
      </c>
      <c r="AY263">
        <v>0</v>
      </c>
      <c r="AZ263">
        <v>0</v>
      </c>
      <c r="BA263">
        <v>0</v>
      </c>
      <c r="BB263">
        <v>0</v>
      </c>
      <c r="BC263">
        <v>0</v>
      </c>
      <c r="BD263">
        <v>0</v>
      </c>
      <c r="BE263">
        <v>0</v>
      </c>
    </row>
    <row r="264" spans="1:57">
      <c r="A264" t="s">
        <v>16974</v>
      </c>
      <c r="B264" t="s">
        <v>17139</v>
      </c>
      <c r="C264">
        <v>0</v>
      </c>
      <c r="D264">
        <v>1</v>
      </c>
      <c r="E264">
        <v>1</v>
      </c>
      <c r="F264">
        <v>1</v>
      </c>
      <c r="G264">
        <v>1</v>
      </c>
      <c r="H264">
        <v>1</v>
      </c>
      <c r="I264">
        <v>1</v>
      </c>
      <c r="J264">
        <v>1</v>
      </c>
      <c r="K264">
        <v>11</v>
      </c>
      <c r="L264">
        <v>0</v>
      </c>
      <c r="M264">
        <v>0</v>
      </c>
      <c r="N264">
        <v>0</v>
      </c>
      <c r="O264">
        <v>1</v>
      </c>
      <c r="P264">
        <v>0</v>
      </c>
      <c r="Q264">
        <v>0</v>
      </c>
      <c r="R264">
        <v>0</v>
      </c>
      <c r="S264">
        <v>4</v>
      </c>
      <c r="T264">
        <v>4</v>
      </c>
      <c r="U264">
        <v>0</v>
      </c>
      <c r="V264">
        <v>8</v>
      </c>
      <c r="W264">
        <v>120</v>
      </c>
      <c r="X264">
        <v>0</v>
      </c>
      <c r="Y264">
        <v>0</v>
      </c>
      <c r="Z264">
        <v>1</v>
      </c>
      <c r="AA264">
        <v>0</v>
      </c>
      <c r="AB264">
        <v>60</v>
      </c>
      <c r="AC264">
        <v>0</v>
      </c>
      <c r="AD264">
        <v>0</v>
      </c>
      <c r="AE264">
        <v>0</v>
      </c>
      <c r="AF264">
        <v>60</v>
      </c>
      <c r="AG264">
        <v>120</v>
      </c>
      <c r="AH264">
        <v>120</v>
      </c>
      <c r="AI264">
        <v>0</v>
      </c>
      <c r="AJ264">
        <v>60</v>
      </c>
      <c r="AK264">
        <v>120</v>
      </c>
      <c r="AL264">
        <v>120</v>
      </c>
      <c r="AM264">
        <v>0</v>
      </c>
      <c r="AN264">
        <v>0</v>
      </c>
      <c r="AO264">
        <v>0</v>
      </c>
      <c r="AP264">
        <v>0</v>
      </c>
      <c r="AQ264">
        <v>0</v>
      </c>
      <c r="AR264">
        <v>0</v>
      </c>
      <c r="AS264">
        <v>0</v>
      </c>
      <c r="AT264">
        <v>11</v>
      </c>
      <c r="AU264">
        <v>11</v>
      </c>
      <c r="AV264">
        <v>0</v>
      </c>
      <c r="AW264">
        <v>0</v>
      </c>
      <c r="AX264">
        <v>4</v>
      </c>
      <c r="AY264">
        <v>4</v>
      </c>
      <c r="AZ264">
        <v>0</v>
      </c>
      <c r="BA264">
        <v>0</v>
      </c>
      <c r="BB264">
        <v>4</v>
      </c>
      <c r="BC264">
        <v>4</v>
      </c>
      <c r="BD264">
        <v>0</v>
      </c>
      <c r="BE264">
        <v>0</v>
      </c>
    </row>
    <row r="265" spans="1:57">
      <c r="A265" t="s">
        <v>16974</v>
      </c>
      <c r="B265" t="s">
        <v>17138</v>
      </c>
      <c r="C265">
        <v>0</v>
      </c>
      <c r="D265">
        <v>1</v>
      </c>
      <c r="E265">
        <v>1</v>
      </c>
      <c r="F265">
        <v>0</v>
      </c>
      <c r="G265">
        <v>0</v>
      </c>
      <c r="H265">
        <v>0</v>
      </c>
      <c r="I265">
        <v>0</v>
      </c>
      <c r="J265">
        <v>1</v>
      </c>
      <c r="K265">
        <v>13</v>
      </c>
      <c r="L265">
        <v>1</v>
      </c>
      <c r="M265">
        <v>0</v>
      </c>
      <c r="N265">
        <v>0</v>
      </c>
      <c r="O265">
        <v>0</v>
      </c>
      <c r="P265">
        <v>0</v>
      </c>
      <c r="Q265">
        <v>0</v>
      </c>
      <c r="R265">
        <v>0</v>
      </c>
      <c r="S265">
        <v>0.25</v>
      </c>
      <c r="T265">
        <v>0.75</v>
      </c>
      <c r="U265">
        <v>0</v>
      </c>
      <c r="V265">
        <v>1</v>
      </c>
      <c r="W265">
        <v>17.5</v>
      </c>
      <c r="X265">
        <v>0</v>
      </c>
      <c r="Y265">
        <v>0</v>
      </c>
      <c r="Z265">
        <v>1</v>
      </c>
      <c r="AA265">
        <v>0</v>
      </c>
      <c r="AB265">
        <v>0</v>
      </c>
      <c r="AC265">
        <v>0</v>
      </c>
      <c r="AD265">
        <v>0</v>
      </c>
      <c r="AE265">
        <v>0</v>
      </c>
      <c r="AF265">
        <v>0</v>
      </c>
      <c r="AG265">
        <v>17.5</v>
      </c>
      <c r="AH265">
        <v>17.5</v>
      </c>
      <c r="AI265">
        <v>0</v>
      </c>
      <c r="AJ265">
        <v>0</v>
      </c>
      <c r="AK265">
        <v>0</v>
      </c>
      <c r="AL265">
        <v>0</v>
      </c>
      <c r="AM265">
        <v>0</v>
      </c>
      <c r="AN265">
        <v>0</v>
      </c>
      <c r="AO265">
        <v>0</v>
      </c>
      <c r="AP265">
        <v>0</v>
      </c>
      <c r="AQ265">
        <v>0</v>
      </c>
      <c r="AR265">
        <v>0</v>
      </c>
      <c r="AS265">
        <v>0</v>
      </c>
      <c r="AT265">
        <v>13</v>
      </c>
      <c r="AU265">
        <v>0</v>
      </c>
      <c r="AV265">
        <v>13</v>
      </c>
      <c r="AW265">
        <v>0</v>
      </c>
      <c r="AX265">
        <v>0.25</v>
      </c>
      <c r="AY265">
        <v>0</v>
      </c>
      <c r="AZ265">
        <v>0.25</v>
      </c>
      <c r="BA265">
        <v>0</v>
      </c>
      <c r="BB265">
        <v>0.75</v>
      </c>
      <c r="BC265">
        <v>0</v>
      </c>
      <c r="BD265">
        <v>0.75</v>
      </c>
      <c r="BE265">
        <v>0</v>
      </c>
    </row>
    <row r="266" spans="1:57">
      <c r="A266" t="s">
        <v>16974</v>
      </c>
      <c r="B266" t="s">
        <v>17314</v>
      </c>
      <c r="C266">
        <v>0</v>
      </c>
      <c r="D266">
        <v>1</v>
      </c>
      <c r="E266">
        <v>1</v>
      </c>
      <c r="F266">
        <v>1</v>
      </c>
      <c r="G266">
        <v>0</v>
      </c>
      <c r="H266">
        <v>0</v>
      </c>
      <c r="I266">
        <v>0</v>
      </c>
      <c r="J266">
        <v>1</v>
      </c>
      <c r="K266">
        <v>9</v>
      </c>
      <c r="L266">
        <v>1</v>
      </c>
      <c r="M266">
        <v>0</v>
      </c>
      <c r="N266">
        <v>0</v>
      </c>
      <c r="O266">
        <v>0</v>
      </c>
      <c r="P266">
        <v>0</v>
      </c>
      <c r="Q266">
        <v>0</v>
      </c>
      <c r="R266">
        <v>0</v>
      </c>
      <c r="S266">
        <v>0.15</v>
      </c>
      <c r="T266">
        <v>0</v>
      </c>
      <c r="U266">
        <v>0</v>
      </c>
      <c r="V266">
        <v>0.15</v>
      </c>
      <c r="W266">
        <v>1.5</v>
      </c>
      <c r="X266">
        <v>0</v>
      </c>
      <c r="Y266">
        <v>0</v>
      </c>
      <c r="Z266">
        <v>1</v>
      </c>
      <c r="AA266">
        <v>0</v>
      </c>
      <c r="AB266">
        <v>0</v>
      </c>
      <c r="AC266">
        <v>0</v>
      </c>
      <c r="AD266">
        <v>0</v>
      </c>
      <c r="AE266">
        <v>0</v>
      </c>
      <c r="AF266">
        <v>0</v>
      </c>
      <c r="AG266">
        <v>1.5</v>
      </c>
      <c r="AH266">
        <v>1.5</v>
      </c>
      <c r="AI266">
        <v>0</v>
      </c>
      <c r="AJ266">
        <v>0</v>
      </c>
      <c r="AK266">
        <v>0</v>
      </c>
      <c r="AL266">
        <v>0</v>
      </c>
      <c r="AM266">
        <v>0</v>
      </c>
      <c r="AN266">
        <v>0</v>
      </c>
      <c r="AO266">
        <v>0</v>
      </c>
      <c r="AP266">
        <v>0</v>
      </c>
      <c r="AQ266">
        <v>0</v>
      </c>
      <c r="AR266">
        <v>0</v>
      </c>
      <c r="AS266">
        <v>0</v>
      </c>
      <c r="AT266">
        <v>9</v>
      </c>
      <c r="AU266">
        <v>0</v>
      </c>
      <c r="AV266">
        <v>9</v>
      </c>
      <c r="AW266">
        <v>0</v>
      </c>
      <c r="AX266">
        <v>0.15</v>
      </c>
      <c r="AY266">
        <v>0</v>
      </c>
      <c r="AZ266">
        <v>0.15</v>
      </c>
      <c r="BA266">
        <v>0</v>
      </c>
      <c r="BB266">
        <v>0</v>
      </c>
      <c r="BC266">
        <v>0</v>
      </c>
      <c r="BD266">
        <v>0</v>
      </c>
      <c r="BE266">
        <v>0</v>
      </c>
    </row>
    <row r="267" spans="1:57">
      <c r="A267" t="s">
        <v>16974</v>
      </c>
      <c r="B267" t="s">
        <v>19349</v>
      </c>
      <c r="C267">
        <v>0</v>
      </c>
      <c r="D267">
        <v>12</v>
      </c>
      <c r="E267">
        <v>10</v>
      </c>
      <c r="F267">
        <v>4</v>
      </c>
      <c r="G267">
        <v>11</v>
      </c>
      <c r="H267">
        <v>0</v>
      </c>
      <c r="I267">
        <v>0</v>
      </c>
      <c r="J267">
        <v>5</v>
      </c>
      <c r="K267">
        <v>16</v>
      </c>
      <c r="L267">
        <v>5</v>
      </c>
      <c r="M267">
        <v>0</v>
      </c>
      <c r="N267">
        <v>0</v>
      </c>
      <c r="O267">
        <v>0</v>
      </c>
      <c r="P267">
        <v>0</v>
      </c>
      <c r="Q267">
        <v>0</v>
      </c>
      <c r="R267">
        <v>0</v>
      </c>
      <c r="S267">
        <v>4.25</v>
      </c>
      <c r="T267">
        <v>4.25</v>
      </c>
      <c r="U267">
        <v>0</v>
      </c>
      <c r="V267">
        <v>8.5</v>
      </c>
      <c r="W267">
        <v>127.5</v>
      </c>
      <c r="X267">
        <v>0</v>
      </c>
      <c r="Y267">
        <v>5</v>
      </c>
      <c r="Z267">
        <v>0</v>
      </c>
      <c r="AA267">
        <v>0</v>
      </c>
      <c r="AB267">
        <v>0</v>
      </c>
      <c r="AC267">
        <v>33</v>
      </c>
      <c r="AD267">
        <v>0</v>
      </c>
      <c r="AE267">
        <v>32.97</v>
      </c>
      <c r="AF267">
        <v>0</v>
      </c>
      <c r="AG267">
        <v>130.25</v>
      </c>
      <c r="AH267">
        <v>127.53</v>
      </c>
      <c r="AI267">
        <v>33</v>
      </c>
      <c r="AJ267">
        <v>32.97</v>
      </c>
      <c r="AK267">
        <v>0</v>
      </c>
      <c r="AL267">
        <v>0</v>
      </c>
      <c r="AM267">
        <v>0</v>
      </c>
      <c r="AN267">
        <v>0</v>
      </c>
      <c r="AO267">
        <v>0</v>
      </c>
      <c r="AP267">
        <v>0</v>
      </c>
      <c r="AQ267">
        <v>0</v>
      </c>
      <c r="AR267">
        <v>0</v>
      </c>
      <c r="AS267">
        <v>0</v>
      </c>
      <c r="AT267">
        <v>16</v>
      </c>
      <c r="AU267">
        <v>0</v>
      </c>
      <c r="AV267">
        <v>16</v>
      </c>
      <c r="AW267">
        <v>0</v>
      </c>
      <c r="AX267">
        <v>4.25</v>
      </c>
      <c r="AY267">
        <v>0</v>
      </c>
      <c r="AZ267">
        <v>4.25</v>
      </c>
      <c r="BA267">
        <v>0</v>
      </c>
      <c r="BB267">
        <v>4.25</v>
      </c>
      <c r="BC267">
        <v>0</v>
      </c>
      <c r="BD267">
        <v>4.25</v>
      </c>
      <c r="BE267">
        <v>0</v>
      </c>
    </row>
    <row r="268" spans="1:57">
      <c r="A268" t="s">
        <v>16974</v>
      </c>
      <c r="B268" t="s">
        <v>19349</v>
      </c>
      <c r="C268">
        <v>2</v>
      </c>
      <c r="D268">
        <v>11</v>
      </c>
      <c r="E268">
        <v>2</v>
      </c>
      <c r="F268">
        <v>2</v>
      </c>
      <c r="G268">
        <v>0</v>
      </c>
      <c r="H268">
        <v>0</v>
      </c>
      <c r="I268">
        <v>0</v>
      </c>
      <c r="J268">
        <v>5</v>
      </c>
      <c r="K268">
        <v>26</v>
      </c>
      <c r="L268">
        <v>3</v>
      </c>
      <c r="M268">
        <v>0</v>
      </c>
      <c r="N268">
        <v>0</v>
      </c>
      <c r="O268">
        <v>0</v>
      </c>
      <c r="P268">
        <v>0</v>
      </c>
      <c r="Q268">
        <v>0</v>
      </c>
      <c r="R268">
        <v>0</v>
      </c>
      <c r="S268">
        <v>3</v>
      </c>
      <c r="T268">
        <v>3</v>
      </c>
      <c r="U268">
        <v>0</v>
      </c>
      <c r="V268">
        <v>6</v>
      </c>
      <c r="W268">
        <v>90</v>
      </c>
      <c r="X268">
        <v>0</v>
      </c>
      <c r="Y268">
        <v>3</v>
      </c>
      <c r="Z268">
        <v>0</v>
      </c>
      <c r="AA268">
        <v>0</v>
      </c>
      <c r="AB268">
        <v>0</v>
      </c>
      <c r="AC268">
        <v>0</v>
      </c>
      <c r="AD268">
        <v>0</v>
      </c>
      <c r="AE268">
        <v>0</v>
      </c>
      <c r="AF268">
        <v>0</v>
      </c>
      <c r="AG268">
        <v>90</v>
      </c>
      <c r="AH268">
        <v>90</v>
      </c>
      <c r="AI268">
        <v>0</v>
      </c>
      <c r="AJ268">
        <v>0</v>
      </c>
      <c r="AK268">
        <v>0</v>
      </c>
      <c r="AL268">
        <v>0</v>
      </c>
      <c r="AM268">
        <v>0</v>
      </c>
      <c r="AN268">
        <v>0</v>
      </c>
      <c r="AO268">
        <v>0</v>
      </c>
      <c r="AP268">
        <v>0</v>
      </c>
      <c r="AQ268">
        <v>0</v>
      </c>
      <c r="AR268">
        <v>0</v>
      </c>
      <c r="AS268">
        <v>0</v>
      </c>
      <c r="AT268">
        <v>26</v>
      </c>
      <c r="AU268">
        <v>0</v>
      </c>
      <c r="AV268">
        <v>16</v>
      </c>
      <c r="AW268">
        <v>10</v>
      </c>
      <c r="AX268">
        <v>3</v>
      </c>
      <c r="AY268">
        <v>0</v>
      </c>
      <c r="AZ268">
        <v>3</v>
      </c>
      <c r="BA268">
        <v>0</v>
      </c>
      <c r="BB268">
        <v>3</v>
      </c>
      <c r="BC268">
        <v>0</v>
      </c>
      <c r="BD268">
        <v>3</v>
      </c>
      <c r="BE268">
        <v>0</v>
      </c>
    </row>
    <row r="269" spans="1:57">
      <c r="A269" t="s">
        <v>16974</v>
      </c>
      <c r="B269" t="s">
        <v>17143</v>
      </c>
      <c r="C269">
        <v>1</v>
      </c>
      <c r="D269">
        <v>7</v>
      </c>
      <c r="E269">
        <v>6</v>
      </c>
      <c r="F269">
        <v>7</v>
      </c>
      <c r="G269">
        <v>1</v>
      </c>
      <c r="H269">
        <v>1</v>
      </c>
      <c r="I269">
        <v>0</v>
      </c>
      <c r="J269">
        <v>5</v>
      </c>
      <c r="K269">
        <v>32</v>
      </c>
      <c r="L269">
        <v>5</v>
      </c>
      <c r="M269">
        <v>0</v>
      </c>
      <c r="N269">
        <v>1</v>
      </c>
      <c r="O269">
        <v>0</v>
      </c>
      <c r="P269">
        <v>0</v>
      </c>
      <c r="Q269">
        <v>0</v>
      </c>
      <c r="R269">
        <v>0</v>
      </c>
      <c r="S269">
        <v>12</v>
      </c>
      <c r="T269">
        <v>0</v>
      </c>
      <c r="U269">
        <v>0</v>
      </c>
      <c r="V269">
        <v>12</v>
      </c>
      <c r="W269">
        <v>120</v>
      </c>
      <c r="X269">
        <v>0</v>
      </c>
      <c r="Y269">
        <v>4</v>
      </c>
      <c r="Z269">
        <v>0</v>
      </c>
      <c r="AA269">
        <v>0</v>
      </c>
      <c r="AB269">
        <v>35</v>
      </c>
      <c r="AC269">
        <v>0</v>
      </c>
      <c r="AD269">
        <v>0</v>
      </c>
      <c r="AE269">
        <v>0</v>
      </c>
      <c r="AF269">
        <v>35</v>
      </c>
      <c r="AG269">
        <v>120</v>
      </c>
      <c r="AH269">
        <v>120</v>
      </c>
      <c r="AI269">
        <v>0</v>
      </c>
      <c r="AJ269">
        <v>35</v>
      </c>
      <c r="AK269">
        <v>65</v>
      </c>
      <c r="AL269">
        <v>65</v>
      </c>
      <c r="AM269">
        <v>0</v>
      </c>
      <c r="AN269">
        <v>0</v>
      </c>
      <c r="AO269">
        <v>0</v>
      </c>
      <c r="AP269">
        <v>0</v>
      </c>
      <c r="AQ269">
        <v>0</v>
      </c>
      <c r="AR269">
        <v>0</v>
      </c>
      <c r="AS269">
        <v>0</v>
      </c>
      <c r="AT269">
        <v>32</v>
      </c>
      <c r="AU269">
        <v>0</v>
      </c>
      <c r="AV269">
        <v>28</v>
      </c>
      <c r="AW269">
        <v>4</v>
      </c>
      <c r="AX269">
        <v>12</v>
      </c>
      <c r="AY269">
        <v>6.5</v>
      </c>
      <c r="AZ269">
        <v>5.5</v>
      </c>
      <c r="BA269">
        <v>0</v>
      </c>
      <c r="BB269">
        <v>0</v>
      </c>
      <c r="BC269">
        <v>0</v>
      </c>
      <c r="BD269">
        <v>0</v>
      </c>
      <c r="BE269">
        <v>0</v>
      </c>
    </row>
    <row r="270" spans="1:57">
      <c r="A270" t="s">
        <v>16974</v>
      </c>
      <c r="B270" t="s">
        <v>19351</v>
      </c>
      <c r="C270">
        <v>1</v>
      </c>
      <c r="D270">
        <v>14</v>
      </c>
      <c r="E270">
        <v>10</v>
      </c>
      <c r="F270">
        <v>9</v>
      </c>
      <c r="G270">
        <v>3</v>
      </c>
      <c r="H270">
        <v>4</v>
      </c>
      <c r="I270">
        <v>0</v>
      </c>
      <c r="J270">
        <v>12</v>
      </c>
      <c r="K270">
        <v>143</v>
      </c>
      <c r="L270">
        <v>12</v>
      </c>
      <c r="M270">
        <v>0</v>
      </c>
      <c r="N270">
        <v>1</v>
      </c>
      <c r="O270">
        <v>0</v>
      </c>
      <c r="P270">
        <v>0</v>
      </c>
      <c r="Q270">
        <v>0</v>
      </c>
      <c r="R270">
        <v>0</v>
      </c>
      <c r="S270">
        <v>54</v>
      </c>
      <c r="T270">
        <v>0</v>
      </c>
      <c r="U270">
        <v>0</v>
      </c>
      <c r="V270">
        <v>54</v>
      </c>
      <c r="W270">
        <v>540</v>
      </c>
      <c r="X270">
        <v>0</v>
      </c>
      <c r="Y270">
        <v>4</v>
      </c>
      <c r="Z270">
        <v>7</v>
      </c>
      <c r="AA270">
        <v>0</v>
      </c>
      <c r="AB270">
        <v>35</v>
      </c>
      <c r="AC270">
        <v>0</v>
      </c>
      <c r="AD270">
        <v>0</v>
      </c>
      <c r="AE270">
        <v>0</v>
      </c>
      <c r="AF270">
        <v>35</v>
      </c>
      <c r="AG270">
        <v>540</v>
      </c>
      <c r="AH270">
        <v>540</v>
      </c>
      <c r="AI270">
        <v>0</v>
      </c>
      <c r="AJ270">
        <v>35</v>
      </c>
      <c r="AK270">
        <v>245</v>
      </c>
      <c r="AL270">
        <v>245</v>
      </c>
      <c r="AM270">
        <v>0</v>
      </c>
      <c r="AN270">
        <v>0</v>
      </c>
      <c r="AO270">
        <v>0</v>
      </c>
      <c r="AP270">
        <v>0</v>
      </c>
      <c r="AQ270">
        <v>0</v>
      </c>
      <c r="AR270">
        <v>0</v>
      </c>
      <c r="AS270">
        <v>0</v>
      </c>
      <c r="AT270">
        <v>143</v>
      </c>
      <c r="AU270">
        <v>66</v>
      </c>
      <c r="AV270">
        <v>73</v>
      </c>
      <c r="AW270">
        <v>4</v>
      </c>
      <c r="AX270">
        <v>54</v>
      </c>
      <c r="AY270">
        <v>24.5</v>
      </c>
      <c r="AZ270">
        <v>29.5</v>
      </c>
      <c r="BA270">
        <v>0</v>
      </c>
      <c r="BB270">
        <v>0</v>
      </c>
      <c r="BC270">
        <v>0</v>
      </c>
      <c r="BD270">
        <v>0</v>
      </c>
      <c r="BE270">
        <v>0</v>
      </c>
    </row>
    <row r="271" spans="1:57">
      <c r="A271" t="s">
        <v>16974</v>
      </c>
      <c r="B271" t="s">
        <v>17144</v>
      </c>
      <c r="C271">
        <v>0</v>
      </c>
      <c r="D271">
        <v>14</v>
      </c>
      <c r="E271">
        <v>14</v>
      </c>
      <c r="F271">
        <v>14</v>
      </c>
      <c r="G271">
        <v>0</v>
      </c>
      <c r="H271">
        <v>0</v>
      </c>
      <c r="I271">
        <v>0</v>
      </c>
      <c r="J271">
        <v>14</v>
      </c>
      <c r="K271">
        <v>203</v>
      </c>
      <c r="L271">
        <v>0</v>
      </c>
      <c r="M271">
        <v>10</v>
      </c>
      <c r="N271">
        <v>1</v>
      </c>
      <c r="O271">
        <v>3</v>
      </c>
      <c r="P271">
        <v>0</v>
      </c>
      <c r="Q271">
        <v>0</v>
      </c>
      <c r="R271">
        <v>0</v>
      </c>
      <c r="S271">
        <v>1</v>
      </c>
      <c r="T271">
        <v>0</v>
      </c>
      <c r="U271">
        <v>0</v>
      </c>
      <c r="V271">
        <v>1</v>
      </c>
      <c r="W271">
        <v>10</v>
      </c>
      <c r="X271">
        <v>0</v>
      </c>
      <c r="Y271">
        <v>1</v>
      </c>
      <c r="Z271">
        <v>0</v>
      </c>
      <c r="AA271">
        <v>0</v>
      </c>
      <c r="AB271">
        <v>0</v>
      </c>
      <c r="AC271">
        <v>0</v>
      </c>
      <c r="AD271">
        <v>0</v>
      </c>
      <c r="AE271">
        <v>0</v>
      </c>
      <c r="AF271">
        <v>0</v>
      </c>
      <c r="AG271">
        <v>10</v>
      </c>
      <c r="AH271">
        <v>10</v>
      </c>
      <c r="AI271">
        <v>0</v>
      </c>
      <c r="AJ271">
        <v>0</v>
      </c>
      <c r="AK271">
        <v>0</v>
      </c>
      <c r="AL271">
        <v>0</v>
      </c>
      <c r="AM271">
        <v>0</v>
      </c>
      <c r="AN271">
        <v>0</v>
      </c>
      <c r="AO271">
        <v>0</v>
      </c>
      <c r="AP271">
        <v>0</v>
      </c>
      <c r="AQ271">
        <v>0</v>
      </c>
      <c r="AR271">
        <v>0</v>
      </c>
      <c r="AS271">
        <v>0</v>
      </c>
      <c r="AT271">
        <v>203</v>
      </c>
      <c r="AU271">
        <v>0</v>
      </c>
      <c r="AV271">
        <v>203</v>
      </c>
      <c r="AW271">
        <v>0</v>
      </c>
      <c r="AX271">
        <v>1</v>
      </c>
      <c r="AY271">
        <v>0</v>
      </c>
      <c r="AZ271">
        <v>1</v>
      </c>
      <c r="BA271">
        <v>0</v>
      </c>
      <c r="BB271">
        <v>0</v>
      </c>
      <c r="BC271">
        <v>0</v>
      </c>
      <c r="BD271">
        <v>0</v>
      </c>
      <c r="BE271">
        <v>0</v>
      </c>
    </row>
    <row r="272" spans="1:57">
      <c r="A272" t="s">
        <v>16974</v>
      </c>
      <c r="B272" t="s">
        <v>17324</v>
      </c>
      <c r="C272">
        <v>4</v>
      </c>
      <c r="D272">
        <v>4</v>
      </c>
      <c r="E272">
        <v>4</v>
      </c>
      <c r="F272">
        <v>4</v>
      </c>
      <c r="G272">
        <v>1</v>
      </c>
      <c r="H272">
        <v>0</v>
      </c>
      <c r="I272">
        <v>0</v>
      </c>
      <c r="J272">
        <v>4</v>
      </c>
      <c r="K272">
        <v>51</v>
      </c>
      <c r="L272">
        <v>3</v>
      </c>
      <c r="M272">
        <v>0</v>
      </c>
      <c r="N272">
        <v>0</v>
      </c>
      <c r="O272">
        <v>0</v>
      </c>
      <c r="P272">
        <v>1</v>
      </c>
      <c r="Q272">
        <v>0</v>
      </c>
      <c r="R272">
        <v>0</v>
      </c>
      <c r="S272">
        <v>1.5</v>
      </c>
      <c r="T272">
        <v>1.25</v>
      </c>
      <c r="U272">
        <v>2.5</v>
      </c>
      <c r="V272">
        <v>5.25</v>
      </c>
      <c r="W272">
        <v>0</v>
      </c>
      <c r="X272">
        <v>0</v>
      </c>
      <c r="Y272">
        <v>0</v>
      </c>
      <c r="Z272">
        <v>0</v>
      </c>
      <c r="AA272">
        <v>-10</v>
      </c>
      <c r="AB272">
        <v>0</v>
      </c>
      <c r="AC272">
        <v>0</v>
      </c>
      <c r="AD272">
        <v>0</v>
      </c>
      <c r="AE272">
        <v>0</v>
      </c>
      <c r="AF272">
        <v>0</v>
      </c>
      <c r="AG272">
        <v>50</v>
      </c>
      <c r="AH272">
        <v>50</v>
      </c>
      <c r="AI272">
        <v>0</v>
      </c>
      <c r="AJ272">
        <v>0</v>
      </c>
      <c r="AK272">
        <v>0</v>
      </c>
      <c r="AL272">
        <v>0</v>
      </c>
      <c r="AM272">
        <v>0</v>
      </c>
      <c r="AN272">
        <v>0</v>
      </c>
      <c r="AO272">
        <v>0</v>
      </c>
      <c r="AP272">
        <v>0</v>
      </c>
      <c r="AQ272">
        <v>0</v>
      </c>
      <c r="AR272">
        <v>0</v>
      </c>
      <c r="AS272">
        <v>0</v>
      </c>
      <c r="AT272">
        <v>51</v>
      </c>
      <c r="AU272">
        <v>0</v>
      </c>
      <c r="AV272">
        <v>0</v>
      </c>
      <c r="AW272">
        <v>51</v>
      </c>
      <c r="AX272">
        <v>1.5</v>
      </c>
      <c r="AY272">
        <v>0</v>
      </c>
      <c r="AZ272">
        <v>0</v>
      </c>
      <c r="BA272">
        <v>1.5</v>
      </c>
      <c r="BB272">
        <v>1.25</v>
      </c>
      <c r="BC272">
        <v>0</v>
      </c>
      <c r="BD272">
        <v>0</v>
      </c>
      <c r="BE272">
        <v>1.25</v>
      </c>
    </row>
    <row r="273" spans="1:57">
      <c r="A273" t="s">
        <v>16974</v>
      </c>
      <c r="B273" t="s">
        <v>17322</v>
      </c>
      <c r="C273">
        <v>0</v>
      </c>
      <c r="D273">
        <v>2</v>
      </c>
      <c r="E273">
        <v>2</v>
      </c>
      <c r="F273">
        <v>2</v>
      </c>
      <c r="G273">
        <v>0</v>
      </c>
      <c r="H273">
        <v>0</v>
      </c>
      <c r="I273">
        <v>0</v>
      </c>
      <c r="J273">
        <v>1</v>
      </c>
      <c r="K273">
        <v>1</v>
      </c>
      <c r="L273">
        <v>1</v>
      </c>
      <c r="M273">
        <v>0</v>
      </c>
      <c r="N273">
        <v>0</v>
      </c>
      <c r="O273">
        <v>0</v>
      </c>
      <c r="P273">
        <v>0</v>
      </c>
      <c r="Q273">
        <v>0</v>
      </c>
      <c r="R273">
        <v>0</v>
      </c>
      <c r="S273">
        <v>0.5</v>
      </c>
      <c r="T273">
        <v>1.5</v>
      </c>
      <c r="U273">
        <v>0</v>
      </c>
      <c r="V273">
        <v>2</v>
      </c>
      <c r="W273">
        <v>35</v>
      </c>
      <c r="X273">
        <v>0</v>
      </c>
      <c r="Y273">
        <v>1</v>
      </c>
      <c r="Z273">
        <v>0</v>
      </c>
      <c r="AA273">
        <v>0</v>
      </c>
      <c r="AB273">
        <v>5</v>
      </c>
      <c r="AC273">
        <v>20</v>
      </c>
      <c r="AD273">
        <v>0</v>
      </c>
      <c r="AE273">
        <v>27.5</v>
      </c>
      <c r="AF273">
        <v>5</v>
      </c>
      <c r="AG273">
        <v>55</v>
      </c>
      <c r="AH273">
        <v>27.5</v>
      </c>
      <c r="AI273">
        <v>0</v>
      </c>
      <c r="AJ273">
        <v>0</v>
      </c>
      <c r="AK273">
        <v>0</v>
      </c>
      <c r="AL273">
        <v>0</v>
      </c>
      <c r="AM273">
        <v>0</v>
      </c>
      <c r="AN273">
        <v>1</v>
      </c>
      <c r="AO273">
        <v>0</v>
      </c>
      <c r="AP273">
        <v>0</v>
      </c>
      <c r="AQ273">
        <v>0</v>
      </c>
      <c r="AR273">
        <v>0</v>
      </c>
      <c r="AS273">
        <v>0</v>
      </c>
      <c r="AT273">
        <v>1</v>
      </c>
      <c r="AU273">
        <v>0</v>
      </c>
      <c r="AV273">
        <v>1</v>
      </c>
      <c r="AW273">
        <v>0</v>
      </c>
      <c r="AX273">
        <v>0.5</v>
      </c>
      <c r="AY273">
        <v>0</v>
      </c>
      <c r="AZ273">
        <v>0.5</v>
      </c>
      <c r="BA273">
        <v>0</v>
      </c>
      <c r="BB273">
        <v>1.5</v>
      </c>
      <c r="BC273">
        <v>0</v>
      </c>
      <c r="BD273">
        <v>1.5</v>
      </c>
      <c r="BE273">
        <v>0</v>
      </c>
    </row>
    <row r="274" spans="1:57">
      <c r="A274" t="s">
        <v>16974</v>
      </c>
      <c r="B274" t="s">
        <v>17323</v>
      </c>
      <c r="C274">
        <v>0</v>
      </c>
      <c r="D274">
        <v>2</v>
      </c>
      <c r="E274">
        <v>0</v>
      </c>
      <c r="F274">
        <v>2</v>
      </c>
      <c r="G274">
        <v>0</v>
      </c>
      <c r="H274">
        <v>0</v>
      </c>
      <c r="I274">
        <v>0</v>
      </c>
      <c r="J274">
        <v>2</v>
      </c>
      <c r="K274">
        <v>4</v>
      </c>
      <c r="L274">
        <v>2</v>
      </c>
      <c r="M274">
        <v>0</v>
      </c>
      <c r="N274">
        <v>0</v>
      </c>
      <c r="O274">
        <v>0</v>
      </c>
      <c r="P274">
        <v>0</v>
      </c>
      <c r="Q274">
        <v>0</v>
      </c>
      <c r="R274">
        <v>0</v>
      </c>
      <c r="S274">
        <v>1.25</v>
      </c>
      <c r="T274">
        <v>0</v>
      </c>
      <c r="U274">
        <v>0</v>
      </c>
      <c r="V274">
        <v>1.25</v>
      </c>
      <c r="W274">
        <v>12.5</v>
      </c>
      <c r="X274">
        <v>0</v>
      </c>
      <c r="Y274">
        <v>2</v>
      </c>
      <c r="Z274">
        <v>0</v>
      </c>
      <c r="AA274">
        <v>0</v>
      </c>
      <c r="AB274">
        <v>0</v>
      </c>
      <c r="AC274">
        <v>0</v>
      </c>
      <c r="AD274">
        <v>0</v>
      </c>
      <c r="AE274">
        <v>0</v>
      </c>
      <c r="AF274">
        <v>0</v>
      </c>
      <c r="AG274">
        <v>12.5</v>
      </c>
      <c r="AH274">
        <v>12.5</v>
      </c>
      <c r="AI274">
        <v>0</v>
      </c>
      <c r="AJ274">
        <v>0</v>
      </c>
      <c r="AK274">
        <v>0</v>
      </c>
      <c r="AL274">
        <v>0</v>
      </c>
      <c r="AM274">
        <v>0</v>
      </c>
      <c r="AN274">
        <v>0</v>
      </c>
      <c r="AO274">
        <v>0</v>
      </c>
      <c r="AP274">
        <v>0</v>
      </c>
      <c r="AQ274">
        <v>0</v>
      </c>
      <c r="AR274">
        <v>0</v>
      </c>
      <c r="AS274">
        <v>0</v>
      </c>
      <c r="AT274">
        <v>4</v>
      </c>
      <c r="AU274">
        <v>0</v>
      </c>
      <c r="AV274">
        <v>4</v>
      </c>
      <c r="AW274">
        <v>0</v>
      </c>
      <c r="AX274">
        <v>1.25</v>
      </c>
      <c r="AY274">
        <v>0</v>
      </c>
      <c r="AZ274">
        <v>1.25</v>
      </c>
      <c r="BA274">
        <v>0</v>
      </c>
      <c r="BB274">
        <v>0</v>
      </c>
      <c r="BC274">
        <v>0</v>
      </c>
      <c r="BD274">
        <v>0</v>
      </c>
      <c r="BE274">
        <v>0</v>
      </c>
    </row>
    <row r="275" spans="1:57">
      <c r="A275" t="s">
        <v>16974</v>
      </c>
      <c r="B275" t="s">
        <v>17323</v>
      </c>
      <c r="C275">
        <v>2</v>
      </c>
      <c r="D275">
        <v>2</v>
      </c>
      <c r="E275">
        <v>0</v>
      </c>
      <c r="F275">
        <v>1</v>
      </c>
      <c r="G275">
        <v>0</v>
      </c>
      <c r="H275">
        <v>0</v>
      </c>
      <c r="I275">
        <v>0</v>
      </c>
      <c r="J275">
        <v>0</v>
      </c>
      <c r="K275">
        <v>14</v>
      </c>
      <c r="L275">
        <v>0</v>
      </c>
      <c r="M275">
        <v>0</v>
      </c>
      <c r="N275">
        <v>0</v>
      </c>
      <c r="O275">
        <v>0</v>
      </c>
      <c r="P275">
        <v>0</v>
      </c>
      <c r="Q275">
        <v>0</v>
      </c>
      <c r="R275">
        <v>0</v>
      </c>
      <c r="S275">
        <v>1</v>
      </c>
      <c r="T275">
        <v>0</v>
      </c>
      <c r="U275">
        <v>0</v>
      </c>
      <c r="V275">
        <v>1</v>
      </c>
      <c r="W275">
        <v>0</v>
      </c>
      <c r="X275">
        <v>0</v>
      </c>
      <c r="Y275">
        <v>0</v>
      </c>
      <c r="Z275">
        <v>0</v>
      </c>
      <c r="AA275">
        <v>-10</v>
      </c>
      <c r="AB275">
        <v>0</v>
      </c>
      <c r="AC275">
        <v>0</v>
      </c>
      <c r="AD275">
        <v>0</v>
      </c>
      <c r="AE275">
        <v>0</v>
      </c>
      <c r="AF275">
        <v>0</v>
      </c>
      <c r="AG275">
        <v>0</v>
      </c>
      <c r="AH275">
        <v>0</v>
      </c>
      <c r="AI275">
        <v>0</v>
      </c>
      <c r="AJ275">
        <v>0</v>
      </c>
      <c r="AK275">
        <v>0</v>
      </c>
      <c r="AL275">
        <v>0</v>
      </c>
      <c r="AM275">
        <v>1</v>
      </c>
      <c r="AN275">
        <v>1</v>
      </c>
      <c r="AO275">
        <v>1</v>
      </c>
      <c r="AP275">
        <v>1</v>
      </c>
      <c r="AQ275">
        <v>1</v>
      </c>
      <c r="AR275">
        <v>1</v>
      </c>
      <c r="AS275">
        <v>1</v>
      </c>
      <c r="AT275">
        <v>14</v>
      </c>
      <c r="AU275">
        <v>0</v>
      </c>
      <c r="AV275">
        <v>0</v>
      </c>
      <c r="AW275">
        <v>14</v>
      </c>
      <c r="AX275">
        <v>1</v>
      </c>
      <c r="AY275">
        <v>0</v>
      </c>
      <c r="AZ275">
        <v>0</v>
      </c>
      <c r="BA275">
        <v>1</v>
      </c>
      <c r="BB275">
        <v>0</v>
      </c>
      <c r="BC275">
        <v>0</v>
      </c>
      <c r="BD275">
        <v>0</v>
      </c>
      <c r="BE275">
        <v>0</v>
      </c>
    </row>
    <row r="276" spans="1:57">
      <c r="A276" t="s">
        <v>17148</v>
      </c>
      <c r="B276" t="s">
        <v>17304</v>
      </c>
      <c r="C276">
        <v>0</v>
      </c>
      <c r="D276">
        <v>12</v>
      </c>
      <c r="E276">
        <v>12</v>
      </c>
      <c r="F276">
        <v>8</v>
      </c>
      <c r="G276">
        <v>0</v>
      </c>
      <c r="H276">
        <v>1</v>
      </c>
      <c r="I276">
        <v>1</v>
      </c>
      <c r="J276">
        <v>12</v>
      </c>
      <c r="K276">
        <v>206</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206</v>
      </c>
      <c r="AU276">
        <v>82</v>
      </c>
      <c r="AV276">
        <v>124</v>
      </c>
      <c r="AW276">
        <v>0</v>
      </c>
      <c r="AX276">
        <v>0</v>
      </c>
      <c r="AY276">
        <v>0</v>
      </c>
      <c r="AZ276">
        <v>0</v>
      </c>
      <c r="BA276">
        <v>0</v>
      </c>
      <c r="BB276">
        <v>0</v>
      </c>
      <c r="BC276">
        <v>0</v>
      </c>
      <c r="BD276">
        <v>0</v>
      </c>
      <c r="BE276">
        <v>0</v>
      </c>
    </row>
    <row r="277" spans="1:57">
      <c r="A277" t="s">
        <v>17148</v>
      </c>
      <c r="B277" t="s">
        <v>17304</v>
      </c>
      <c r="C277">
        <v>0</v>
      </c>
      <c r="D277">
        <v>12</v>
      </c>
      <c r="E277">
        <v>0</v>
      </c>
      <c r="F277">
        <v>0</v>
      </c>
      <c r="G277">
        <v>0</v>
      </c>
      <c r="H277">
        <v>0</v>
      </c>
      <c r="I277">
        <v>0</v>
      </c>
      <c r="J277">
        <v>9</v>
      </c>
      <c r="K277">
        <v>92</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92</v>
      </c>
      <c r="AU277">
        <v>0</v>
      </c>
      <c r="AV277">
        <v>92</v>
      </c>
      <c r="AW277">
        <v>0</v>
      </c>
      <c r="AX277">
        <v>0</v>
      </c>
      <c r="AY277">
        <v>0</v>
      </c>
      <c r="AZ277">
        <v>0</v>
      </c>
      <c r="BA277">
        <v>0</v>
      </c>
      <c r="BB277">
        <v>0</v>
      </c>
      <c r="BC277">
        <v>0</v>
      </c>
      <c r="BD277">
        <v>0</v>
      </c>
      <c r="BE277">
        <v>0</v>
      </c>
    </row>
    <row r="278" spans="1:57">
      <c r="A278" t="s">
        <v>17150</v>
      </c>
      <c r="B278" t="s">
        <v>17392</v>
      </c>
      <c r="C278">
        <v>0</v>
      </c>
      <c r="D278">
        <v>27</v>
      </c>
      <c r="E278">
        <v>0</v>
      </c>
      <c r="F278">
        <v>24</v>
      </c>
      <c r="G278">
        <v>8</v>
      </c>
      <c r="H278">
        <v>14</v>
      </c>
      <c r="I278">
        <v>0</v>
      </c>
      <c r="J278">
        <v>20</v>
      </c>
      <c r="K278">
        <v>268</v>
      </c>
      <c r="L278">
        <v>16</v>
      </c>
      <c r="M278">
        <v>0</v>
      </c>
      <c r="N278">
        <v>2</v>
      </c>
      <c r="O278">
        <v>0</v>
      </c>
      <c r="P278">
        <v>0</v>
      </c>
      <c r="Q278">
        <v>8</v>
      </c>
      <c r="R278">
        <v>0</v>
      </c>
      <c r="S278">
        <v>19.5</v>
      </c>
      <c r="T278">
        <v>23</v>
      </c>
      <c r="U278">
        <v>0</v>
      </c>
      <c r="V278">
        <v>42</v>
      </c>
      <c r="W278">
        <v>655</v>
      </c>
      <c r="X278">
        <v>0</v>
      </c>
      <c r="Y278">
        <v>25</v>
      </c>
      <c r="Z278">
        <v>0</v>
      </c>
      <c r="AA278">
        <v>0</v>
      </c>
      <c r="AB278">
        <v>392.5</v>
      </c>
      <c r="AC278">
        <v>1.28</v>
      </c>
      <c r="AD278">
        <v>0</v>
      </c>
      <c r="AE278">
        <v>0</v>
      </c>
      <c r="AF278">
        <v>392.5</v>
      </c>
      <c r="AG278">
        <v>656.28</v>
      </c>
      <c r="AH278">
        <v>656.28</v>
      </c>
      <c r="AI278">
        <v>0</v>
      </c>
      <c r="AJ278">
        <v>332.5</v>
      </c>
      <c r="AK278">
        <v>501.28</v>
      </c>
      <c r="AL278">
        <v>501.28</v>
      </c>
      <c r="AM278">
        <v>0</v>
      </c>
      <c r="AN278">
        <v>0</v>
      </c>
      <c r="AO278">
        <v>0</v>
      </c>
      <c r="AP278">
        <v>0</v>
      </c>
      <c r="AQ278">
        <v>0</v>
      </c>
      <c r="AR278">
        <v>0</v>
      </c>
      <c r="AS278">
        <v>0</v>
      </c>
      <c r="AT278">
        <v>268</v>
      </c>
      <c r="AU278">
        <v>183</v>
      </c>
      <c r="AV278">
        <v>85</v>
      </c>
      <c r="AW278">
        <v>0</v>
      </c>
      <c r="AX278">
        <v>19.5</v>
      </c>
      <c r="AY278">
        <v>12</v>
      </c>
      <c r="AZ278">
        <v>7.5</v>
      </c>
      <c r="BA278">
        <v>0</v>
      </c>
      <c r="BB278">
        <v>23</v>
      </c>
      <c r="BC278">
        <v>19</v>
      </c>
      <c r="BD278">
        <v>4</v>
      </c>
      <c r="BE278">
        <v>0</v>
      </c>
    </row>
    <row r="279" spans="1:57">
      <c r="A279" t="s">
        <v>17150</v>
      </c>
      <c r="B279" t="s">
        <v>22125</v>
      </c>
      <c r="C279">
        <v>0</v>
      </c>
      <c r="D279">
        <v>6</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row>
    <row r="280" spans="1:57">
      <c r="A280" t="s">
        <v>17150</v>
      </c>
      <c r="B280" t="s">
        <v>22088</v>
      </c>
      <c r="C280">
        <v>0</v>
      </c>
      <c r="D280">
        <v>5</v>
      </c>
      <c r="E280">
        <v>0</v>
      </c>
      <c r="F280">
        <v>3</v>
      </c>
      <c r="G280">
        <v>2</v>
      </c>
      <c r="H280">
        <v>0</v>
      </c>
      <c r="I280">
        <v>0</v>
      </c>
      <c r="J280">
        <v>5</v>
      </c>
      <c r="K280">
        <v>87</v>
      </c>
      <c r="L280">
        <v>5</v>
      </c>
      <c r="M280">
        <v>0</v>
      </c>
      <c r="N280">
        <v>0</v>
      </c>
      <c r="O280">
        <v>0</v>
      </c>
      <c r="P280">
        <v>0</v>
      </c>
      <c r="Q280">
        <v>0</v>
      </c>
      <c r="R280">
        <v>0</v>
      </c>
      <c r="S280">
        <v>0</v>
      </c>
      <c r="T280">
        <v>0</v>
      </c>
      <c r="U280">
        <v>0</v>
      </c>
      <c r="V280">
        <v>0</v>
      </c>
      <c r="W280">
        <v>0</v>
      </c>
      <c r="X280">
        <v>0</v>
      </c>
      <c r="Y280">
        <v>0</v>
      </c>
      <c r="Z280">
        <v>0</v>
      </c>
      <c r="AA280">
        <v>0</v>
      </c>
      <c r="AB280">
        <v>0</v>
      </c>
      <c r="AC280">
        <v>2.5</v>
      </c>
      <c r="AD280">
        <v>960</v>
      </c>
      <c r="AE280">
        <v>515.5</v>
      </c>
      <c r="AF280">
        <v>960</v>
      </c>
      <c r="AG280">
        <v>2.5</v>
      </c>
      <c r="AH280">
        <v>0</v>
      </c>
      <c r="AI280">
        <v>0</v>
      </c>
      <c r="AJ280">
        <v>0</v>
      </c>
      <c r="AK280">
        <v>0</v>
      </c>
      <c r="AL280">
        <v>0</v>
      </c>
      <c r="AM280">
        <v>0</v>
      </c>
      <c r="AN280">
        <v>2</v>
      </c>
      <c r="AO280">
        <v>1</v>
      </c>
      <c r="AP280">
        <v>2</v>
      </c>
      <c r="AQ280">
        <v>0</v>
      </c>
      <c r="AR280">
        <v>0</v>
      </c>
      <c r="AS280">
        <v>0</v>
      </c>
      <c r="AT280">
        <v>87</v>
      </c>
      <c r="AU280">
        <v>0</v>
      </c>
      <c r="AV280">
        <v>87</v>
      </c>
      <c r="AW280">
        <v>0</v>
      </c>
      <c r="AX280">
        <v>0</v>
      </c>
      <c r="AY280">
        <v>0</v>
      </c>
      <c r="AZ280">
        <v>0</v>
      </c>
      <c r="BA280">
        <v>0</v>
      </c>
      <c r="BB280">
        <v>0</v>
      </c>
      <c r="BC280">
        <v>0</v>
      </c>
      <c r="BD280">
        <v>0</v>
      </c>
      <c r="BE280">
        <v>0</v>
      </c>
    </row>
    <row r="281" spans="1:57">
      <c r="A281" t="s">
        <v>17150</v>
      </c>
      <c r="B281" t="s">
        <v>22124</v>
      </c>
      <c r="C281">
        <v>0</v>
      </c>
      <c r="D281">
        <v>10</v>
      </c>
      <c r="E281">
        <v>1</v>
      </c>
      <c r="F281">
        <v>10</v>
      </c>
      <c r="G281">
        <v>2</v>
      </c>
      <c r="H281">
        <v>0</v>
      </c>
      <c r="I281">
        <v>0</v>
      </c>
      <c r="J281">
        <v>10</v>
      </c>
      <c r="K281">
        <v>120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120</v>
      </c>
      <c r="AU281">
        <v>0</v>
      </c>
      <c r="AV281">
        <v>120</v>
      </c>
      <c r="AW281">
        <v>0</v>
      </c>
      <c r="AX281">
        <v>0</v>
      </c>
      <c r="AY281">
        <v>0</v>
      </c>
      <c r="AZ281">
        <v>0</v>
      </c>
      <c r="BA281">
        <v>0</v>
      </c>
      <c r="BB281">
        <v>0</v>
      </c>
      <c r="BC281">
        <v>0</v>
      </c>
      <c r="BD281">
        <v>0</v>
      </c>
      <c r="BE281">
        <v>0</v>
      </c>
    </row>
    <row r="282" spans="1:57">
      <c r="A282" t="s">
        <v>17150</v>
      </c>
      <c r="B282" t="s">
        <v>17152</v>
      </c>
      <c r="C282">
        <v>0</v>
      </c>
      <c r="D282">
        <v>38</v>
      </c>
      <c r="E282">
        <v>38</v>
      </c>
      <c r="F282">
        <v>28</v>
      </c>
      <c r="G282">
        <v>1</v>
      </c>
      <c r="H282">
        <v>0</v>
      </c>
      <c r="I282">
        <v>0</v>
      </c>
      <c r="J282">
        <v>38</v>
      </c>
      <c r="K282">
        <v>385</v>
      </c>
      <c r="L282">
        <v>19</v>
      </c>
      <c r="M282">
        <v>2</v>
      </c>
      <c r="N282">
        <v>12</v>
      </c>
      <c r="O282">
        <v>5</v>
      </c>
      <c r="P282">
        <v>0</v>
      </c>
      <c r="Q282">
        <v>0</v>
      </c>
      <c r="R282">
        <v>0</v>
      </c>
      <c r="S282">
        <v>13.75</v>
      </c>
      <c r="T282">
        <v>6</v>
      </c>
      <c r="U282">
        <v>0</v>
      </c>
      <c r="V282">
        <v>19.75</v>
      </c>
      <c r="W282">
        <v>257.5</v>
      </c>
      <c r="X282">
        <v>0</v>
      </c>
      <c r="Y282">
        <v>37</v>
      </c>
      <c r="Z282">
        <v>0</v>
      </c>
      <c r="AA282">
        <v>0</v>
      </c>
      <c r="AB282">
        <v>0</v>
      </c>
      <c r="AC282">
        <v>0</v>
      </c>
      <c r="AD282">
        <v>0</v>
      </c>
      <c r="AE282">
        <v>0</v>
      </c>
      <c r="AF282">
        <v>0</v>
      </c>
      <c r="AG282">
        <v>257.5</v>
      </c>
      <c r="AH282">
        <v>257.5</v>
      </c>
      <c r="AI282">
        <v>0</v>
      </c>
      <c r="AJ282">
        <v>0</v>
      </c>
      <c r="AK282">
        <v>0</v>
      </c>
      <c r="AL282">
        <v>0</v>
      </c>
      <c r="AM282">
        <v>0</v>
      </c>
      <c r="AN282">
        <v>0</v>
      </c>
      <c r="AO282">
        <v>0</v>
      </c>
      <c r="AP282">
        <v>0</v>
      </c>
      <c r="AQ282">
        <v>0</v>
      </c>
      <c r="AR282">
        <v>0</v>
      </c>
      <c r="AS282">
        <v>0</v>
      </c>
      <c r="AT282">
        <v>385</v>
      </c>
      <c r="AU282">
        <v>0</v>
      </c>
      <c r="AV282">
        <v>385</v>
      </c>
      <c r="AW282">
        <v>0</v>
      </c>
      <c r="AX282">
        <v>13.75</v>
      </c>
      <c r="AY282">
        <v>0</v>
      </c>
      <c r="AZ282">
        <v>13.75</v>
      </c>
      <c r="BA282">
        <v>0</v>
      </c>
      <c r="BB282">
        <v>6</v>
      </c>
      <c r="BC282">
        <v>0</v>
      </c>
      <c r="BD282">
        <v>6</v>
      </c>
      <c r="BE282">
        <v>0</v>
      </c>
    </row>
    <row r="283" spans="1:57">
      <c r="A283" t="s">
        <v>17150</v>
      </c>
      <c r="B283" t="s">
        <v>17410</v>
      </c>
      <c r="C283">
        <v>0</v>
      </c>
      <c r="D283">
        <v>38</v>
      </c>
      <c r="E283">
        <v>38</v>
      </c>
      <c r="F283">
        <v>27</v>
      </c>
      <c r="G283">
        <v>0</v>
      </c>
      <c r="H283">
        <v>0</v>
      </c>
      <c r="I283">
        <v>0</v>
      </c>
      <c r="J283">
        <v>38</v>
      </c>
      <c r="K283">
        <v>388</v>
      </c>
      <c r="L283">
        <v>35</v>
      </c>
      <c r="M283">
        <v>3</v>
      </c>
      <c r="N283">
        <v>0</v>
      </c>
      <c r="O283">
        <v>0</v>
      </c>
      <c r="P283">
        <v>0</v>
      </c>
      <c r="Q283">
        <v>1</v>
      </c>
      <c r="R283">
        <v>0</v>
      </c>
      <c r="S283">
        <v>15.083</v>
      </c>
      <c r="T283">
        <v>0</v>
      </c>
      <c r="U283">
        <v>0</v>
      </c>
      <c r="V283">
        <v>15.083</v>
      </c>
      <c r="W283">
        <v>150.82999999999998</v>
      </c>
      <c r="X283">
        <v>0</v>
      </c>
      <c r="Y283">
        <v>36</v>
      </c>
      <c r="Z283">
        <v>0</v>
      </c>
      <c r="AA283">
        <v>0</v>
      </c>
      <c r="AB283">
        <v>0</v>
      </c>
      <c r="AC283">
        <v>0</v>
      </c>
      <c r="AD283">
        <v>0</v>
      </c>
      <c r="AE283">
        <v>0</v>
      </c>
      <c r="AF283">
        <v>0</v>
      </c>
      <c r="AG283">
        <v>150.82999999999998</v>
      </c>
      <c r="AH283">
        <v>150.82999999999998</v>
      </c>
      <c r="AI283">
        <v>0</v>
      </c>
      <c r="AJ283">
        <v>0</v>
      </c>
      <c r="AK283">
        <v>0</v>
      </c>
      <c r="AL283">
        <v>0</v>
      </c>
      <c r="AM283">
        <v>0</v>
      </c>
      <c r="AN283">
        <v>0</v>
      </c>
      <c r="AO283">
        <v>0</v>
      </c>
      <c r="AP283">
        <v>0</v>
      </c>
      <c r="AQ283">
        <v>0</v>
      </c>
      <c r="AR283">
        <v>0</v>
      </c>
      <c r="AS283">
        <v>0</v>
      </c>
      <c r="AT283">
        <v>388</v>
      </c>
      <c r="AU283">
        <v>0</v>
      </c>
      <c r="AV283">
        <v>388</v>
      </c>
      <c r="AW283">
        <v>0</v>
      </c>
      <c r="AX283">
        <v>15.083</v>
      </c>
      <c r="AY283">
        <v>0</v>
      </c>
      <c r="AZ283">
        <v>15.083</v>
      </c>
      <c r="BA283">
        <v>0</v>
      </c>
      <c r="BB283">
        <v>0</v>
      </c>
      <c r="BC283">
        <v>0</v>
      </c>
      <c r="BD283">
        <v>0</v>
      </c>
      <c r="BE283">
        <v>0</v>
      </c>
    </row>
    <row r="284" spans="1:57">
      <c r="A284" t="s">
        <v>17150</v>
      </c>
      <c r="B284" t="s">
        <v>22089</v>
      </c>
      <c r="C284">
        <v>0</v>
      </c>
      <c r="D284">
        <v>7</v>
      </c>
      <c r="E284">
        <v>0</v>
      </c>
      <c r="F284">
        <v>7</v>
      </c>
      <c r="G284">
        <v>0</v>
      </c>
      <c r="H284">
        <v>0</v>
      </c>
      <c r="I284">
        <v>1</v>
      </c>
      <c r="J284">
        <v>7</v>
      </c>
      <c r="K284">
        <v>15</v>
      </c>
      <c r="L284">
        <v>7</v>
      </c>
      <c r="M284">
        <v>0</v>
      </c>
      <c r="N284">
        <v>0</v>
      </c>
      <c r="O284">
        <v>0</v>
      </c>
      <c r="P284">
        <v>0</v>
      </c>
      <c r="Q284">
        <v>0</v>
      </c>
      <c r="R284">
        <v>0</v>
      </c>
      <c r="S284">
        <v>2.25</v>
      </c>
      <c r="T284">
        <v>0</v>
      </c>
      <c r="U284">
        <v>0</v>
      </c>
      <c r="V284">
        <v>2.25</v>
      </c>
      <c r="W284">
        <v>22.5</v>
      </c>
      <c r="X284">
        <v>0</v>
      </c>
      <c r="Y284">
        <v>7</v>
      </c>
      <c r="Z284">
        <v>0</v>
      </c>
      <c r="AA284">
        <v>0</v>
      </c>
      <c r="AB284">
        <v>0</v>
      </c>
      <c r="AC284">
        <v>0</v>
      </c>
      <c r="AD284">
        <v>0</v>
      </c>
      <c r="AE284">
        <v>0</v>
      </c>
      <c r="AF284">
        <v>0</v>
      </c>
      <c r="AG284">
        <v>22.5</v>
      </c>
      <c r="AH284">
        <v>22.5</v>
      </c>
      <c r="AI284">
        <v>0</v>
      </c>
      <c r="AJ284">
        <v>0</v>
      </c>
      <c r="AK284">
        <v>0</v>
      </c>
      <c r="AL284">
        <v>0</v>
      </c>
      <c r="AM284">
        <v>0</v>
      </c>
      <c r="AN284">
        <v>0</v>
      </c>
      <c r="AO284">
        <v>0</v>
      </c>
      <c r="AP284">
        <v>0</v>
      </c>
      <c r="AQ284">
        <v>0</v>
      </c>
      <c r="AR284">
        <v>0</v>
      </c>
      <c r="AS284">
        <v>0</v>
      </c>
      <c r="AT284">
        <v>15</v>
      </c>
      <c r="AU284">
        <v>0</v>
      </c>
      <c r="AV284">
        <v>15</v>
      </c>
      <c r="AW284">
        <v>0</v>
      </c>
      <c r="AX284">
        <v>0</v>
      </c>
      <c r="AY284">
        <v>0</v>
      </c>
      <c r="AZ284">
        <v>0</v>
      </c>
      <c r="BA284">
        <v>0</v>
      </c>
      <c r="BB284">
        <v>0</v>
      </c>
      <c r="BC284">
        <v>0</v>
      </c>
      <c r="BD284">
        <v>0</v>
      </c>
      <c r="BE284">
        <v>0</v>
      </c>
    </row>
    <row r="285" spans="1:57">
      <c r="A285" t="s">
        <v>17150</v>
      </c>
      <c r="B285" t="s">
        <v>22122</v>
      </c>
      <c r="C285">
        <v>0</v>
      </c>
      <c r="D285">
        <v>26</v>
      </c>
      <c r="E285">
        <v>0</v>
      </c>
      <c r="F285">
        <v>0</v>
      </c>
      <c r="G285">
        <v>10</v>
      </c>
      <c r="H285">
        <v>0</v>
      </c>
      <c r="I285">
        <v>0</v>
      </c>
      <c r="J285">
        <v>27</v>
      </c>
      <c r="K285">
        <v>122</v>
      </c>
      <c r="L285">
        <v>12</v>
      </c>
      <c r="M285">
        <v>14</v>
      </c>
      <c r="N285">
        <v>1</v>
      </c>
      <c r="O285">
        <v>0</v>
      </c>
      <c r="P285">
        <v>0</v>
      </c>
      <c r="Q285">
        <v>0</v>
      </c>
      <c r="R285">
        <v>0</v>
      </c>
      <c r="S285">
        <v>1.9</v>
      </c>
      <c r="T285">
        <v>0</v>
      </c>
      <c r="U285">
        <v>0</v>
      </c>
      <c r="V285">
        <v>1.9</v>
      </c>
      <c r="W285">
        <v>19</v>
      </c>
      <c r="X285">
        <v>0</v>
      </c>
      <c r="Y285">
        <v>8</v>
      </c>
      <c r="Z285">
        <v>0</v>
      </c>
      <c r="AA285">
        <v>0</v>
      </c>
      <c r="AB285">
        <v>0</v>
      </c>
      <c r="AC285">
        <v>0</v>
      </c>
      <c r="AD285">
        <v>0</v>
      </c>
      <c r="AE285">
        <v>0</v>
      </c>
      <c r="AF285">
        <v>0</v>
      </c>
      <c r="AG285">
        <v>19</v>
      </c>
      <c r="AH285">
        <v>19</v>
      </c>
      <c r="AI285">
        <v>0</v>
      </c>
      <c r="AJ285">
        <v>0</v>
      </c>
      <c r="AK285">
        <v>0</v>
      </c>
      <c r="AL285">
        <v>0</v>
      </c>
      <c r="AM285">
        <v>0</v>
      </c>
      <c r="AN285">
        <v>0</v>
      </c>
      <c r="AO285">
        <v>0</v>
      </c>
      <c r="AP285">
        <v>0</v>
      </c>
      <c r="AQ285">
        <v>0</v>
      </c>
      <c r="AR285">
        <v>0</v>
      </c>
      <c r="AS285">
        <v>0</v>
      </c>
      <c r="AT285">
        <v>122</v>
      </c>
      <c r="AU285">
        <v>0</v>
      </c>
      <c r="AV285">
        <v>122</v>
      </c>
      <c r="AW285">
        <v>0</v>
      </c>
      <c r="AX285">
        <v>1.9</v>
      </c>
      <c r="AY285">
        <v>0</v>
      </c>
      <c r="AZ285">
        <v>1.9</v>
      </c>
      <c r="BA285">
        <v>0</v>
      </c>
      <c r="BB285">
        <v>0</v>
      </c>
      <c r="BC285">
        <v>0</v>
      </c>
      <c r="BD285">
        <v>0</v>
      </c>
      <c r="BE285">
        <v>0</v>
      </c>
    </row>
    <row r="286" spans="1:57">
      <c r="A286" t="s">
        <v>17150</v>
      </c>
      <c r="B286" t="s">
        <v>22123</v>
      </c>
      <c r="C286">
        <v>0</v>
      </c>
      <c r="D286">
        <v>10</v>
      </c>
      <c r="E286">
        <v>10</v>
      </c>
      <c r="F286">
        <v>10</v>
      </c>
      <c r="G286">
        <v>0</v>
      </c>
      <c r="H286">
        <v>0</v>
      </c>
      <c r="I286">
        <v>0</v>
      </c>
      <c r="J286">
        <v>10</v>
      </c>
      <c r="K286">
        <v>28</v>
      </c>
      <c r="L286">
        <v>10</v>
      </c>
      <c r="M286">
        <v>0</v>
      </c>
      <c r="N286">
        <v>0</v>
      </c>
      <c r="O286">
        <v>0</v>
      </c>
      <c r="P286">
        <v>0</v>
      </c>
      <c r="Q286">
        <v>0</v>
      </c>
      <c r="R286">
        <v>0</v>
      </c>
      <c r="S286">
        <v>16</v>
      </c>
      <c r="T286">
        <v>0</v>
      </c>
      <c r="U286">
        <v>0</v>
      </c>
      <c r="V286">
        <v>16</v>
      </c>
      <c r="W286">
        <v>160</v>
      </c>
      <c r="X286">
        <v>0</v>
      </c>
      <c r="Y286">
        <v>11</v>
      </c>
      <c r="Z286">
        <v>0</v>
      </c>
      <c r="AA286">
        <v>0</v>
      </c>
      <c r="AB286">
        <v>0</v>
      </c>
      <c r="AC286">
        <v>0</v>
      </c>
      <c r="AD286">
        <v>0</v>
      </c>
      <c r="AE286">
        <v>0</v>
      </c>
      <c r="AF286">
        <v>0</v>
      </c>
      <c r="AG286">
        <v>160</v>
      </c>
      <c r="AH286">
        <v>160</v>
      </c>
      <c r="AI286">
        <v>0</v>
      </c>
      <c r="AJ286">
        <v>0</v>
      </c>
      <c r="AK286">
        <v>0</v>
      </c>
      <c r="AL286">
        <v>0</v>
      </c>
      <c r="AM286">
        <v>0</v>
      </c>
      <c r="AN286">
        <v>0</v>
      </c>
      <c r="AO286">
        <v>0</v>
      </c>
      <c r="AP286">
        <v>0</v>
      </c>
      <c r="AQ286">
        <v>0</v>
      </c>
      <c r="AR286">
        <v>0</v>
      </c>
      <c r="AS286">
        <v>0</v>
      </c>
      <c r="AT286">
        <v>28</v>
      </c>
      <c r="AU286">
        <v>0</v>
      </c>
      <c r="AV286">
        <v>28</v>
      </c>
      <c r="AW286">
        <v>0</v>
      </c>
      <c r="AX286">
        <v>16</v>
      </c>
      <c r="AY286">
        <v>0</v>
      </c>
      <c r="AZ286">
        <v>15</v>
      </c>
      <c r="BA286">
        <v>0</v>
      </c>
      <c r="BB286">
        <v>0</v>
      </c>
      <c r="BC286">
        <v>0</v>
      </c>
      <c r="BD286">
        <v>0</v>
      </c>
      <c r="BE286">
        <v>0</v>
      </c>
    </row>
    <row r="287" spans="1:57">
      <c r="A287" t="s">
        <v>17202</v>
      </c>
      <c r="B287" t="s">
        <v>22118</v>
      </c>
      <c r="C287">
        <v>0</v>
      </c>
      <c r="D287">
        <v>1</v>
      </c>
      <c r="E287">
        <v>0</v>
      </c>
      <c r="F287">
        <v>0</v>
      </c>
      <c r="G287">
        <v>0</v>
      </c>
      <c r="H287">
        <v>0</v>
      </c>
      <c r="I287">
        <v>0</v>
      </c>
      <c r="J287">
        <v>1</v>
      </c>
      <c r="K287">
        <v>7</v>
      </c>
      <c r="L287">
        <v>0</v>
      </c>
      <c r="M287">
        <v>1</v>
      </c>
      <c r="N287">
        <v>0</v>
      </c>
      <c r="O287">
        <v>0</v>
      </c>
      <c r="P287">
        <v>0</v>
      </c>
      <c r="Q287">
        <v>0</v>
      </c>
      <c r="R287">
        <v>0</v>
      </c>
      <c r="S287">
        <v>0</v>
      </c>
      <c r="T287">
        <v>1</v>
      </c>
      <c r="U287">
        <v>0</v>
      </c>
      <c r="V287">
        <v>1</v>
      </c>
      <c r="W287">
        <v>20</v>
      </c>
      <c r="X287">
        <v>0</v>
      </c>
      <c r="Y287">
        <v>1</v>
      </c>
      <c r="Z287">
        <v>0</v>
      </c>
      <c r="AA287">
        <v>0</v>
      </c>
      <c r="AB287">
        <v>0</v>
      </c>
      <c r="AC287">
        <v>0</v>
      </c>
      <c r="AD287">
        <v>0</v>
      </c>
      <c r="AE287">
        <v>0</v>
      </c>
      <c r="AF287">
        <v>0</v>
      </c>
      <c r="AG287">
        <v>20</v>
      </c>
      <c r="AH287">
        <v>20</v>
      </c>
      <c r="AI287">
        <v>0</v>
      </c>
      <c r="AJ287">
        <v>0</v>
      </c>
      <c r="AK287">
        <v>0</v>
      </c>
      <c r="AL287">
        <v>0</v>
      </c>
      <c r="AM287">
        <v>0</v>
      </c>
      <c r="AN287">
        <v>0</v>
      </c>
      <c r="AO287">
        <v>0</v>
      </c>
      <c r="AP287">
        <v>0</v>
      </c>
      <c r="AQ287">
        <v>0</v>
      </c>
      <c r="AR287">
        <v>0</v>
      </c>
      <c r="AS287">
        <v>0</v>
      </c>
      <c r="AT287">
        <v>7</v>
      </c>
      <c r="AU287">
        <v>0</v>
      </c>
      <c r="AV287">
        <v>7</v>
      </c>
      <c r="AW287">
        <v>0</v>
      </c>
      <c r="AX287">
        <v>0</v>
      </c>
      <c r="AY287">
        <v>0</v>
      </c>
      <c r="AZ287">
        <v>0</v>
      </c>
      <c r="BA287">
        <v>0</v>
      </c>
      <c r="BB287">
        <v>1</v>
      </c>
      <c r="BC287">
        <v>0</v>
      </c>
      <c r="BD287">
        <v>1</v>
      </c>
      <c r="BE287">
        <v>0</v>
      </c>
    </row>
    <row r="288" spans="1:57">
      <c r="A288" t="s">
        <v>17202</v>
      </c>
      <c r="B288" t="s">
        <v>20678</v>
      </c>
      <c r="C288">
        <v>0</v>
      </c>
      <c r="D288">
        <v>6</v>
      </c>
      <c r="E288">
        <v>0</v>
      </c>
      <c r="F288">
        <v>0</v>
      </c>
      <c r="G288">
        <v>0</v>
      </c>
      <c r="H288">
        <v>0</v>
      </c>
      <c r="I288">
        <v>0</v>
      </c>
      <c r="J288">
        <v>6</v>
      </c>
      <c r="K288">
        <v>9</v>
      </c>
      <c r="L288">
        <v>6</v>
      </c>
      <c r="M288">
        <v>0</v>
      </c>
      <c r="N288">
        <v>0</v>
      </c>
      <c r="O288">
        <v>0</v>
      </c>
      <c r="P288">
        <v>0</v>
      </c>
      <c r="Q288">
        <v>0</v>
      </c>
      <c r="R288">
        <v>0</v>
      </c>
      <c r="S288">
        <v>1.5</v>
      </c>
      <c r="T288">
        <v>0</v>
      </c>
      <c r="U288">
        <v>0</v>
      </c>
      <c r="V288">
        <v>1.5</v>
      </c>
      <c r="W288">
        <v>15</v>
      </c>
      <c r="X288">
        <v>0</v>
      </c>
      <c r="Y288">
        <v>6</v>
      </c>
      <c r="Z288">
        <v>0</v>
      </c>
      <c r="AA288">
        <v>0</v>
      </c>
      <c r="AB288">
        <v>0</v>
      </c>
      <c r="AC288">
        <v>73.5</v>
      </c>
      <c r="AD288">
        <v>73.5</v>
      </c>
      <c r="AE288">
        <v>73.5</v>
      </c>
      <c r="AF288">
        <v>73.5</v>
      </c>
      <c r="AG288">
        <v>88.5</v>
      </c>
      <c r="AH288">
        <v>15</v>
      </c>
      <c r="AI288">
        <v>0</v>
      </c>
      <c r="AJ288">
        <v>0</v>
      </c>
      <c r="AK288">
        <v>0</v>
      </c>
      <c r="AL288">
        <v>0</v>
      </c>
      <c r="AM288">
        <v>0</v>
      </c>
      <c r="AN288">
        <v>6</v>
      </c>
      <c r="AO288">
        <v>0</v>
      </c>
      <c r="AP288">
        <v>0</v>
      </c>
      <c r="AQ288">
        <v>0</v>
      </c>
      <c r="AR288">
        <v>0</v>
      </c>
      <c r="AS288">
        <v>0</v>
      </c>
      <c r="AT288">
        <v>9</v>
      </c>
      <c r="AU288">
        <v>0</v>
      </c>
      <c r="AV288">
        <v>9</v>
      </c>
      <c r="AW288">
        <v>0</v>
      </c>
      <c r="AX288">
        <v>1.5</v>
      </c>
      <c r="AY288">
        <v>0</v>
      </c>
      <c r="AZ288">
        <v>1.5</v>
      </c>
      <c r="BA288">
        <v>0</v>
      </c>
      <c r="BB288">
        <v>0</v>
      </c>
      <c r="BC288">
        <v>0</v>
      </c>
      <c r="BD288">
        <v>0</v>
      </c>
      <c r="BE288">
        <v>0</v>
      </c>
    </row>
    <row r="289" spans="1:57">
      <c r="A289" t="s">
        <v>17202</v>
      </c>
      <c r="B289" t="s">
        <v>19353</v>
      </c>
      <c r="C289">
        <v>0</v>
      </c>
      <c r="D289">
        <v>1</v>
      </c>
      <c r="E289">
        <v>1</v>
      </c>
      <c r="F289">
        <v>1</v>
      </c>
      <c r="G289">
        <v>0</v>
      </c>
      <c r="H289">
        <v>0</v>
      </c>
      <c r="I289">
        <v>0</v>
      </c>
      <c r="J289">
        <v>1</v>
      </c>
      <c r="K289">
        <v>13</v>
      </c>
      <c r="L289">
        <v>1</v>
      </c>
      <c r="M289">
        <v>0</v>
      </c>
      <c r="N289">
        <v>0</v>
      </c>
      <c r="O289">
        <v>0</v>
      </c>
      <c r="P289">
        <v>0</v>
      </c>
      <c r="Q289">
        <v>0</v>
      </c>
      <c r="R289">
        <v>0</v>
      </c>
      <c r="S289">
        <v>3</v>
      </c>
      <c r="T289">
        <v>8.5</v>
      </c>
      <c r="U289">
        <v>0</v>
      </c>
      <c r="V289">
        <v>11.5</v>
      </c>
      <c r="W289">
        <v>200</v>
      </c>
      <c r="X289">
        <v>0</v>
      </c>
      <c r="Y289">
        <v>0</v>
      </c>
      <c r="Z289">
        <v>1</v>
      </c>
      <c r="AA289">
        <v>0</v>
      </c>
      <c r="AB289">
        <v>140</v>
      </c>
      <c r="AC289">
        <v>0</v>
      </c>
      <c r="AD289">
        <v>0</v>
      </c>
      <c r="AE289">
        <v>140</v>
      </c>
      <c r="AF289">
        <v>140</v>
      </c>
      <c r="AG289">
        <v>200</v>
      </c>
      <c r="AH289">
        <v>60</v>
      </c>
      <c r="AI289">
        <v>0</v>
      </c>
      <c r="AJ289">
        <v>0</v>
      </c>
      <c r="AK289">
        <v>0</v>
      </c>
      <c r="AL289">
        <v>0</v>
      </c>
      <c r="AM289">
        <v>0</v>
      </c>
      <c r="AN289">
        <v>0</v>
      </c>
      <c r="AO289">
        <v>0</v>
      </c>
      <c r="AP289">
        <v>1</v>
      </c>
      <c r="AQ289">
        <v>0</v>
      </c>
      <c r="AR289">
        <v>0</v>
      </c>
      <c r="AS289">
        <v>0</v>
      </c>
      <c r="AT289">
        <v>13</v>
      </c>
      <c r="AU289">
        <v>0</v>
      </c>
      <c r="AV289">
        <v>13</v>
      </c>
      <c r="AW289">
        <v>0</v>
      </c>
      <c r="AX289">
        <v>3</v>
      </c>
      <c r="AY289">
        <v>0</v>
      </c>
      <c r="AZ289">
        <v>3</v>
      </c>
      <c r="BA289">
        <v>0</v>
      </c>
      <c r="BB289">
        <v>8.5</v>
      </c>
      <c r="BC289">
        <v>0</v>
      </c>
      <c r="BD289">
        <v>8.5</v>
      </c>
      <c r="BE289">
        <v>0</v>
      </c>
    </row>
    <row r="290" spans="1:57">
      <c r="A290" t="s">
        <v>17202</v>
      </c>
      <c r="B290" t="s">
        <v>18841</v>
      </c>
      <c r="C290">
        <v>0</v>
      </c>
      <c r="D290">
        <v>2</v>
      </c>
      <c r="E290">
        <v>2</v>
      </c>
      <c r="F290">
        <v>2</v>
      </c>
      <c r="G290">
        <v>0</v>
      </c>
      <c r="H290">
        <v>0</v>
      </c>
      <c r="I290">
        <v>0</v>
      </c>
      <c r="J290">
        <v>2</v>
      </c>
      <c r="K290">
        <v>4</v>
      </c>
      <c r="L290">
        <v>2</v>
      </c>
      <c r="M290">
        <v>0</v>
      </c>
      <c r="N290">
        <v>0</v>
      </c>
      <c r="O290">
        <v>0</v>
      </c>
      <c r="P290">
        <v>0</v>
      </c>
      <c r="Q290">
        <v>0</v>
      </c>
      <c r="R290">
        <v>0</v>
      </c>
      <c r="S290">
        <v>0.5</v>
      </c>
      <c r="T290">
        <v>0</v>
      </c>
      <c r="U290">
        <v>0</v>
      </c>
      <c r="V290">
        <v>0.5</v>
      </c>
      <c r="W290">
        <v>5</v>
      </c>
      <c r="X290">
        <v>0</v>
      </c>
      <c r="Y290">
        <v>2</v>
      </c>
      <c r="Z290">
        <v>0</v>
      </c>
      <c r="AA290">
        <v>0</v>
      </c>
      <c r="AB290">
        <v>0</v>
      </c>
      <c r="AC290">
        <v>0</v>
      </c>
      <c r="AD290">
        <v>0</v>
      </c>
      <c r="AE290">
        <v>0</v>
      </c>
      <c r="AF290">
        <v>0</v>
      </c>
      <c r="AG290">
        <v>5</v>
      </c>
      <c r="AH290">
        <v>5</v>
      </c>
      <c r="AI290">
        <v>0</v>
      </c>
      <c r="AJ290">
        <v>0</v>
      </c>
      <c r="AK290">
        <v>0</v>
      </c>
      <c r="AL290">
        <v>0</v>
      </c>
      <c r="AM290">
        <v>0</v>
      </c>
      <c r="AN290">
        <v>0</v>
      </c>
      <c r="AO290">
        <v>0</v>
      </c>
      <c r="AP290">
        <v>0</v>
      </c>
      <c r="AQ290">
        <v>0</v>
      </c>
      <c r="AR290">
        <v>0</v>
      </c>
      <c r="AS290">
        <v>0</v>
      </c>
      <c r="AT290">
        <v>4</v>
      </c>
      <c r="AU290">
        <v>0</v>
      </c>
      <c r="AV290">
        <v>4</v>
      </c>
      <c r="AW290">
        <v>0</v>
      </c>
      <c r="AX290">
        <v>0.5</v>
      </c>
      <c r="AY290">
        <v>0</v>
      </c>
      <c r="AZ290">
        <v>0.5</v>
      </c>
      <c r="BA290">
        <v>0</v>
      </c>
      <c r="BB290">
        <v>0</v>
      </c>
      <c r="BC290">
        <v>0</v>
      </c>
      <c r="BD290">
        <v>0</v>
      </c>
      <c r="BE290">
        <v>0</v>
      </c>
    </row>
    <row r="291" spans="1:57">
      <c r="A291" t="s">
        <v>17202</v>
      </c>
      <c r="B291" t="s">
        <v>18843</v>
      </c>
      <c r="C291">
        <v>0</v>
      </c>
      <c r="D291">
        <v>6</v>
      </c>
      <c r="E291">
        <v>3</v>
      </c>
      <c r="F291">
        <v>3</v>
      </c>
      <c r="G291">
        <v>0</v>
      </c>
      <c r="H291">
        <v>1</v>
      </c>
      <c r="I291">
        <v>1</v>
      </c>
      <c r="J291">
        <v>5</v>
      </c>
      <c r="K291">
        <v>127</v>
      </c>
      <c r="L291">
        <v>2</v>
      </c>
      <c r="M291">
        <v>0</v>
      </c>
      <c r="N291">
        <v>3</v>
      </c>
      <c r="O291">
        <v>0</v>
      </c>
      <c r="P291">
        <v>0</v>
      </c>
      <c r="Q291">
        <v>0</v>
      </c>
      <c r="R291">
        <v>0</v>
      </c>
      <c r="S291">
        <v>11.75</v>
      </c>
      <c r="T291">
        <v>9.25</v>
      </c>
      <c r="U291">
        <v>0.75</v>
      </c>
      <c r="V291">
        <v>21.75</v>
      </c>
      <c r="W291">
        <v>302.5</v>
      </c>
      <c r="X291">
        <v>0</v>
      </c>
      <c r="Y291">
        <v>4</v>
      </c>
      <c r="Z291">
        <v>1</v>
      </c>
      <c r="AA291">
        <v>0</v>
      </c>
      <c r="AB291">
        <v>170</v>
      </c>
      <c r="AC291">
        <v>0</v>
      </c>
      <c r="AD291">
        <v>0</v>
      </c>
      <c r="AE291">
        <v>140</v>
      </c>
      <c r="AF291">
        <v>170</v>
      </c>
      <c r="AG291">
        <v>317.5</v>
      </c>
      <c r="AH291">
        <v>177.5</v>
      </c>
      <c r="AI291">
        <v>0</v>
      </c>
      <c r="AJ291">
        <v>0</v>
      </c>
      <c r="AK291">
        <v>0</v>
      </c>
      <c r="AL291">
        <v>0</v>
      </c>
      <c r="AM291">
        <v>0</v>
      </c>
      <c r="AN291">
        <v>0</v>
      </c>
      <c r="AO291">
        <v>0</v>
      </c>
      <c r="AP291">
        <v>1</v>
      </c>
      <c r="AQ291">
        <v>0</v>
      </c>
      <c r="AR291">
        <v>0</v>
      </c>
      <c r="AS291">
        <v>0</v>
      </c>
      <c r="AT291">
        <v>127</v>
      </c>
      <c r="AU291">
        <v>0</v>
      </c>
      <c r="AV291">
        <v>127</v>
      </c>
      <c r="AW291">
        <v>0</v>
      </c>
      <c r="AX291">
        <v>11.75</v>
      </c>
      <c r="AY291">
        <v>0</v>
      </c>
      <c r="AZ291">
        <v>11.75</v>
      </c>
      <c r="BA291">
        <v>0</v>
      </c>
      <c r="BB291">
        <v>9.25</v>
      </c>
      <c r="BC291">
        <v>0</v>
      </c>
      <c r="BD291">
        <v>9.25</v>
      </c>
      <c r="BE291">
        <v>0</v>
      </c>
    </row>
    <row r="292" spans="1:57">
      <c r="A292" t="s">
        <v>17202</v>
      </c>
      <c r="B292" t="s">
        <v>22117</v>
      </c>
      <c r="C292">
        <v>0</v>
      </c>
      <c r="D292">
        <v>1</v>
      </c>
      <c r="E292">
        <v>1</v>
      </c>
      <c r="F292">
        <v>1</v>
      </c>
      <c r="G292">
        <v>1</v>
      </c>
      <c r="H292">
        <v>0</v>
      </c>
      <c r="I292">
        <v>0</v>
      </c>
      <c r="J292">
        <v>1</v>
      </c>
      <c r="K292">
        <v>9</v>
      </c>
      <c r="L292">
        <v>1</v>
      </c>
      <c r="M292">
        <v>0</v>
      </c>
      <c r="N292">
        <v>0</v>
      </c>
      <c r="O292">
        <v>0</v>
      </c>
      <c r="P292">
        <v>0</v>
      </c>
      <c r="Q292">
        <v>0</v>
      </c>
      <c r="R292">
        <v>0</v>
      </c>
      <c r="S292">
        <v>0.25</v>
      </c>
      <c r="T292">
        <v>0.25</v>
      </c>
      <c r="U292">
        <v>0</v>
      </c>
      <c r="V292">
        <v>0.5</v>
      </c>
      <c r="W292">
        <v>7.5</v>
      </c>
      <c r="X292">
        <v>0</v>
      </c>
      <c r="Y292">
        <v>1</v>
      </c>
      <c r="Z292">
        <v>0</v>
      </c>
      <c r="AA292">
        <v>0</v>
      </c>
      <c r="AB292">
        <v>0</v>
      </c>
      <c r="AC292">
        <v>0</v>
      </c>
      <c r="AD292">
        <v>0</v>
      </c>
      <c r="AE292">
        <v>0</v>
      </c>
      <c r="AF292">
        <v>0</v>
      </c>
      <c r="AG292">
        <v>7.5</v>
      </c>
      <c r="AH292">
        <v>7.5</v>
      </c>
      <c r="AI292">
        <v>0</v>
      </c>
      <c r="AJ292">
        <v>0</v>
      </c>
      <c r="AK292">
        <v>0</v>
      </c>
      <c r="AL292">
        <v>0</v>
      </c>
      <c r="AM292">
        <v>0</v>
      </c>
      <c r="AN292">
        <v>0</v>
      </c>
      <c r="AO292">
        <v>0</v>
      </c>
      <c r="AP292">
        <v>0</v>
      </c>
      <c r="AQ292">
        <v>0</v>
      </c>
      <c r="AR292">
        <v>0</v>
      </c>
      <c r="AS292">
        <v>0</v>
      </c>
      <c r="AT292">
        <v>9</v>
      </c>
      <c r="AU292">
        <v>0</v>
      </c>
      <c r="AV292">
        <v>9</v>
      </c>
      <c r="AW292">
        <v>0</v>
      </c>
      <c r="AX292">
        <v>0.25</v>
      </c>
      <c r="AY292">
        <v>0</v>
      </c>
      <c r="AZ292">
        <v>0.25</v>
      </c>
      <c r="BA292">
        <v>0</v>
      </c>
      <c r="BB292">
        <v>0.25</v>
      </c>
      <c r="BC292">
        <v>0</v>
      </c>
      <c r="BD292">
        <v>0.25</v>
      </c>
      <c r="BE292">
        <v>0</v>
      </c>
    </row>
    <row r="293" spans="1:57">
      <c r="A293" t="s">
        <v>17140</v>
      </c>
      <c r="B293" t="s">
        <v>17155</v>
      </c>
      <c r="C293">
        <v>0</v>
      </c>
      <c r="D293">
        <v>4</v>
      </c>
      <c r="E293">
        <v>3</v>
      </c>
      <c r="F293">
        <v>4</v>
      </c>
      <c r="G293">
        <v>0</v>
      </c>
      <c r="H293">
        <v>0</v>
      </c>
      <c r="I293">
        <v>0</v>
      </c>
      <c r="J293">
        <v>4</v>
      </c>
      <c r="K293">
        <v>5</v>
      </c>
      <c r="L293">
        <v>2</v>
      </c>
      <c r="M293">
        <v>0</v>
      </c>
      <c r="N293">
        <v>0</v>
      </c>
      <c r="O293">
        <v>2</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5</v>
      </c>
      <c r="AU293">
        <v>0</v>
      </c>
      <c r="AV293">
        <v>5</v>
      </c>
      <c r="AW293">
        <v>0</v>
      </c>
      <c r="AX293">
        <v>0</v>
      </c>
      <c r="AY293">
        <v>0</v>
      </c>
      <c r="AZ293">
        <v>0</v>
      </c>
      <c r="BA293">
        <v>0</v>
      </c>
      <c r="BB293">
        <v>0</v>
      </c>
      <c r="BC293">
        <v>0</v>
      </c>
      <c r="BD293">
        <v>0</v>
      </c>
      <c r="BE293">
        <v>0</v>
      </c>
    </row>
    <row r="294" spans="1:57">
      <c r="A294" t="s">
        <v>17140</v>
      </c>
      <c r="B294" t="s">
        <v>17156</v>
      </c>
      <c r="C294">
        <v>0</v>
      </c>
      <c r="D294">
        <v>3</v>
      </c>
      <c r="E294">
        <v>3</v>
      </c>
      <c r="F294">
        <v>3</v>
      </c>
      <c r="G294">
        <v>3</v>
      </c>
      <c r="H294">
        <v>1</v>
      </c>
      <c r="I294">
        <v>0</v>
      </c>
      <c r="J294">
        <v>3</v>
      </c>
      <c r="K294">
        <v>20</v>
      </c>
      <c r="L294">
        <v>1</v>
      </c>
      <c r="M294">
        <v>1</v>
      </c>
      <c r="N294">
        <v>1</v>
      </c>
      <c r="O294">
        <v>0</v>
      </c>
      <c r="P294">
        <v>0</v>
      </c>
      <c r="Q294">
        <v>0</v>
      </c>
      <c r="R294">
        <v>0</v>
      </c>
      <c r="S294">
        <v>6</v>
      </c>
      <c r="T294">
        <v>0.5</v>
      </c>
      <c r="U294">
        <v>0</v>
      </c>
      <c r="V294">
        <v>6.5</v>
      </c>
      <c r="W294">
        <v>70</v>
      </c>
      <c r="X294">
        <v>0</v>
      </c>
      <c r="Y294">
        <v>2</v>
      </c>
      <c r="Z294">
        <v>1</v>
      </c>
      <c r="AA294">
        <v>0</v>
      </c>
      <c r="AB294">
        <v>0</v>
      </c>
      <c r="AC294">
        <v>0</v>
      </c>
      <c r="AD294">
        <v>0</v>
      </c>
      <c r="AE294">
        <v>0</v>
      </c>
      <c r="AF294">
        <v>0</v>
      </c>
      <c r="AG294">
        <v>70</v>
      </c>
      <c r="AH294">
        <v>70</v>
      </c>
      <c r="AI294">
        <v>0</v>
      </c>
      <c r="AJ294">
        <v>0</v>
      </c>
      <c r="AK294">
        <v>60</v>
      </c>
      <c r="AL294">
        <v>60</v>
      </c>
      <c r="AM294">
        <v>0</v>
      </c>
      <c r="AN294">
        <v>0</v>
      </c>
      <c r="AO294">
        <v>0</v>
      </c>
      <c r="AP294">
        <v>0</v>
      </c>
      <c r="AQ294">
        <v>0</v>
      </c>
      <c r="AR294">
        <v>0</v>
      </c>
      <c r="AS294">
        <v>0</v>
      </c>
      <c r="AT294">
        <v>20</v>
      </c>
      <c r="AU294">
        <v>10</v>
      </c>
      <c r="AV294">
        <v>10</v>
      </c>
      <c r="AW294">
        <v>0</v>
      </c>
      <c r="AX294">
        <v>6</v>
      </c>
      <c r="AY294">
        <v>5</v>
      </c>
      <c r="AZ294">
        <v>1</v>
      </c>
      <c r="BA294">
        <v>0</v>
      </c>
      <c r="BB294">
        <v>0.5</v>
      </c>
      <c r="BC294">
        <v>0.5</v>
      </c>
      <c r="BD294">
        <v>0</v>
      </c>
      <c r="BE294">
        <v>0</v>
      </c>
    </row>
    <row r="295" spans="1:57">
      <c r="A295" t="s">
        <v>17140</v>
      </c>
      <c r="B295" t="s">
        <v>17157</v>
      </c>
      <c r="C295">
        <v>1</v>
      </c>
      <c r="D295">
        <v>1</v>
      </c>
      <c r="E295">
        <v>0</v>
      </c>
      <c r="F295">
        <v>0</v>
      </c>
      <c r="G295">
        <v>0</v>
      </c>
      <c r="H295">
        <v>0</v>
      </c>
      <c r="I295">
        <v>0</v>
      </c>
      <c r="J295">
        <v>1</v>
      </c>
      <c r="K295">
        <v>2</v>
      </c>
      <c r="L295">
        <v>1</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2</v>
      </c>
      <c r="AU295">
        <v>0</v>
      </c>
      <c r="AV295">
        <v>0</v>
      </c>
      <c r="AW295">
        <v>2</v>
      </c>
      <c r="AX295">
        <v>0</v>
      </c>
      <c r="AY295">
        <v>0</v>
      </c>
      <c r="AZ295">
        <v>0</v>
      </c>
      <c r="BA295">
        <v>0</v>
      </c>
      <c r="BB295">
        <v>0</v>
      </c>
      <c r="BC295">
        <v>0</v>
      </c>
      <c r="BD295">
        <v>0</v>
      </c>
      <c r="BE295">
        <v>0</v>
      </c>
    </row>
    <row r="296" spans="1:57">
      <c r="A296" t="s">
        <v>17140</v>
      </c>
      <c r="B296" t="s">
        <v>17159</v>
      </c>
      <c r="C296">
        <v>3</v>
      </c>
      <c r="D296">
        <v>5</v>
      </c>
      <c r="E296">
        <v>5</v>
      </c>
      <c r="F296">
        <v>5</v>
      </c>
      <c r="G296">
        <v>0</v>
      </c>
      <c r="H296">
        <v>0</v>
      </c>
      <c r="I296">
        <v>0</v>
      </c>
      <c r="J296">
        <v>5</v>
      </c>
      <c r="K296">
        <v>14</v>
      </c>
      <c r="L296">
        <v>5</v>
      </c>
      <c r="M296">
        <v>0</v>
      </c>
      <c r="N296">
        <v>0</v>
      </c>
      <c r="O296">
        <v>0</v>
      </c>
      <c r="P296">
        <v>0</v>
      </c>
      <c r="Q296">
        <v>0</v>
      </c>
      <c r="R296">
        <v>0</v>
      </c>
      <c r="S296">
        <v>1.25</v>
      </c>
      <c r="T296">
        <v>2.5</v>
      </c>
      <c r="U296">
        <v>0</v>
      </c>
      <c r="V296">
        <v>3.75</v>
      </c>
      <c r="W296">
        <v>25</v>
      </c>
      <c r="X296">
        <v>0</v>
      </c>
      <c r="Y296">
        <v>2</v>
      </c>
      <c r="Z296">
        <v>0</v>
      </c>
      <c r="AA296">
        <v>-37.5</v>
      </c>
      <c r="AB296">
        <v>0</v>
      </c>
      <c r="AC296">
        <v>0</v>
      </c>
      <c r="AD296">
        <v>0</v>
      </c>
      <c r="AE296">
        <v>0</v>
      </c>
      <c r="AF296">
        <v>0</v>
      </c>
      <c r="AG296">
        <v>25</v>
      </c>
      <c r="AH296">
        <v>25</v>
      </c>
      <c r="AI296">
        <v>0</v>
      </c>
      <c r="AJ296">
        <v>0</v>
      </c>
      <c r="AK296">
        <v>0</v>
      </c>
      <c r="AL296">
        <v>0</v>
      </c>
      <c r="AM296">
        <v>0</v>
      </c>
      <c r="AN296">
        <v>0</v>
      </c>
      <c r="AO296">
        <v>0</v>
      </c>
      <c r="AP296">
        <v>0</v>
      </c>
      <c r="AQ296">
        <v>0</v>
      </c>
      <c r="AR296">
        <v>0</v>
      </c>
      <c r="AS296">
        <v>0</v>
      </c>
      <c r="AT296">
        <v>14</v>
      </c>
      <c r="AU296">
        <v>0</v>
      </c>
      <c r="AV296">
        <v>3</v>
      </c>
      <c r="AW296">
        <v>11</v>
      </c>
      <c r="AX296">
        <v>1.25</v>
      </c>
      <c r="AY296">
        <v>0</v>
      </c>
      <c r="AZ296">
        <v>0.75</v>
      </c>
      <c r="BA296">
        <v>0.75</v>
      </c>
      <c r="BB296">
        <v>2.5</v>
      </c>
      <c r="BC296">
        <v>0</v>
      </c>
      <c r="BD296">
        <v>1</v>
      </c>
      <c r="BE296">
        <v>1.5</v>
      </c>
    </row>
    <row r="297" spans="1:57">
      <c r="A297" t="s">
        <v>17140</v>
      </c>
      <c r="B297" t="s">
        <v>17160</v>
      </c>
      <c r="C297">
        <v>3</v>
      </c>
      <c r="D297">
        <v>3</v>
      </c>
      <c r="E297">
        <v>3</v>
      </c>
      <c r="F297">
        <v>3</v>
      </c>
      <c r="G297">
        <v>0</v>
      </c>
      <c r="H297">
        <v>0</v>
      </c>
      <c r="I297">
        <v>0</v>
      </c>
      <c r="J297">
        <v>3</v>
      </c>
      <c r="K297">
        <v>7</v>
      </c>
      <c r="L297">
        <v>1</v>
      </c>
      <c r="M297">
        <v>1</v>
      </c>
      <c r="N297">
        <v>0</v>
      </c>
      <c r="O297">
        <v>0</v>
      </c>
      <c r="P297">
        <v>0</v>
      </c>
      <c r="Q297">
        <v>1</v>
      </c>
      <c r="R297">
        <v>0</v>
      </c>
      <c r="S297">
        <v>0</v>
      </c>
      <c r="T297">
        <v>0</v>
      </c>
      <c r="U297">
        <v>0</v>
      </c>
      <c r="V297">
        <v>0</v>
      </c>
      <c r="W297">
        <v>0</v>
      </c>
      <c r="X297">
        <v>0</v>
      </c>
      <c r="Y297">
        <v>0</v>
      </c>
      <c r="Z297">
        <v>0</v>
      </c>
      <c r="AA297">
        <v>0</v>
      </c>
      <c r="AB297">
        <v>0</v>
      </c>
      <c r="AC297">
        <v>21.75</v>
      </c>
      <c r="AD297">
        <v>21.75</v>
      </c>
      <c r="AE297">
        <v>21.75</v>
      </c>
      <c r="AF297">
        <v>21.75</v>
      </c>
      <c r="AG297">
        <v>21.75</v>
      </c>
      <c r="AH297">
        <v>0</v>
      </c>
      <c r="AI297">
        <v>0</v>
      </c>
      <c r="AJ297">
        <v>0</v>
      </c>
      <c r="AK297">
        <v>0</v>
      </c>
      <c r="AL297">
        <v>0</v>
      </c>
      <c r="AM297">
        <v>0</v>
      </c>
      <c r="AN297">
        <v>1</v>
      </c>
      <c r="AO297">
        <v>0</v>
      </c>
      <c r="AP297">
        <v>0</v>
      </c>
      <c r="AQ297">
        <v>0</v>
      </c>
      <c r="AR297">
        <v>0</v>
      </c>
      <c r="AS297">
        <v>0</v>
      </c>
      <c r="AT297">
        <v>7</v>
      </c>
      <c r="AU297">
        <v>0</v>
      </c>
      <c r="AV297">
        <v>0</v>
      </c>
      <c r="AW297">
        <v>7</v>
      </c>
      <c r="AX297">
        <v>0</v>
      </c>
      <c r="AY297">
        <v>0</v>
      </c>
      <c r="AZ297">
        <v>0</v>
      </c>
      <c r="BA297">
        <v>0</v>
      </c>
      <c r="BB297">
        <v>0</v>
      </c>
      <c r="BC297">
        <v>0</v>
      </c>
      <c r="BD297">
        <v>0</v>
      </c>
      <c r="BE297">
        <v>0</v>
      </c>
    </row>
    <row r="298" spans="1:57">
      <c r="A298" t="s">
        <v>17140</v>
      </c>
      <c r="B298" t="s">
        <v>17161</v>
      </c>
      <c r="C298">
        <v>0</v>
      </c>
      <c r="D298">
        <v>14</v>
      </c>
      <c r="E298">
        <v>14</v>
      </c>
      <c r="F298">
        <v>7</v>
      </c>
      <c r="G298">
        <v>1</v>
      </c>
      <c r="H298">
        <v>3</v>
      </c>
      <c r="I298">
        <v>9</v>
      </c>
      <c r="J298">
        <v>11</v>
      </c>
      <c r="K298">
        <v>177</v>
      </c>
      <c r="L298">
        <v>3</v>
      </c>
      <c r="M298">
        <v>4</v>
      </c>
      <c r="N298">
        <v>2</v>
      </c>
      <c r="O298">
        <v>2</v>
      </c>
      <c r="P298">
        <v>0</v>
      </c>
      <c r="Q298">
        <v>0</v>
      </c>
      <c r="R298">
        <v>0</v>
      </c>
      <c r="S298">
        <v>2.25</v>
      </c>
      <c r="T298">
        <v>2.35</v>
      </c>
      <c r="U298">
        <v>0.5</v>
      </c>
      <c r="V298">
        <v>5.0999999999999996</v>
      </c>
      <c r="W298">
        <v>69.5</v>
      </c>
      <c r="X298">
        <v>0</v>
      </c>
      <c r="Y298">
        <v>5</v>
      </c>
      <c r="Z298">
        <v>0</v>
      </c>
      <c r="AA298">
        <v>0</v>
      </c>
      <c r="AB298">
        <v>0</v>
      </c>
      <c r="AC298">
        <v>0</v>
      </c>
      <c r="AD298">
        <v>0</v>
      </c>
      <c r="AE298">
        <v>0</v>
      </c>
      <c r="AF298">
        <v>0</v>
      </c>
      <c r="AG298">
        <v>79.5</v>
      </c>
      <c r="AH298">
        <v>79.5</v>
      </c>
      <c r="AI298">
        <v>0</v>
      </c>
      <c r="AJ298">
        <v>0</v>
      </c>
      <c r="AK298">
        <v>30</v>
      </c>
      <c r="AL298">
        <v>30</v>
      </c>
      <c r="AM298">
        <v>0</v>
      </c>
      <c r="AN298">
        <v>0</v>
      </c>
      <c r="AO298">
        <v>0</v>
      </c>
      <c r="AP298">
        <v>0</v>
      </c>
      <c r="AQ298">
        <v>0</v>
      </c>
      <c r="AR298">
        <v>0</v>
      </c>
      <c r="AS298">
        <v>0</v>
      </c>
      <c r="AT298">
        <v>177</v>
      </c>
      <c r="AU298">
        <v>63</v>
      </c>
      <c r="AV298">
        <v>114</v>
      </c>
      <c r="AW298">
        <v>0</v>
      </c>
      <c r="AX298">
        <v>2.25</v>
      </c>
      <c r="AY298">
        <v>1</v>
      </c>
      <c r="AZ298">
        <v>1.25</v>
      </c>
      <c r="BA298">
        <v>0</v>
      </c>
      <c r="BB298">
        <v>2.35</v>
      </c>
      <c r="BC298">
        <v>1</v>
      </c>
      <c r="BD298">
        <v>1.35</v>
      </c>
      <c r="BE298">
        <v>0</v>
      </c>
    </row>
    <row r="299" spans="1:57">
      <c r="A299" t="s">
        <v>17140</v>
      </c>
      <c r="B299" t="s">
        <v>17162</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row>
    <row r="300" spans="1:57">
      <c r="A300" t="s">
        <v>17140</v>
      </c>
      <c r="B300" t="s">
        <v>22126</v>
      </c>
      <c r="C300">
        <v>0</v>
      </c>
      <c r="D300">
        <v>5</v>
      </c>
      <c r="E300">
        <v>5</v>
      </c>
      <c r="F300">
        <v>5</v>
      </c>
      <c r="G300">
        <v>0</v>
      </c>
      <c r="H300">
        <v>3</v>
      </c>
      <c r="I300">
        <v>0</v>
      </c>
      <c r="J300">
        <v>5</v>
      </c>
      <c r="K300">
        <v>39</v>
      </c>
      <c r="L300">
        <v>3</v>
      </c>
      <c r="M300">
        <v>0</v>
      </c>
      <c r="N300">
        <v>0</v>
      </c>
      <c r="O300">
        <v>2</v>
      </c>
      <c r="P300">
        <v>0</v>
      </c>
      <c r="Q300">
        <v>0</v>
      </c>
      <c r="R300">
        <v>0</v>
      </c>
      <c r="S300">
        <v>8</v>
      </c>
      <c r="T300">
        <v>0</v>
      </c>
      <c r="U300">
        <v>0</v>
      </c>
      <c r="V300">
        <v>8</v>
      </c>
      <c r="W300">
        <v>80</v>
      </c>
      <c r="X300">
        <v>0</v>
      </c>
      <c r="Y300">
        <v>5</v>
      </c>
      <c r="Z300">
        <v>0</v>
      </c>
      <c r="AA300">
        <v>0</v>
      </c>
      <c r="AB300">
        <v>0</v>
      </c>
      <c r="AC300">
        <v>130</v>
      </c>
      <c r="AD300">
        <v>0</v>
      </c>
      <c r="AE300">
        <v>0</v>
      </c>
      <c r="AF300">
        <v>0</v>
      </c>
      <c r="AG300">
        <v>210</v>
      </c>
      <c r="AH300">
        <v>210</v>
      </c>
      <c r="AI300">
        <v>0</v>
      </c>
      <c r="AJ300">
        <v>0</v>
      </c>
      <c r="AK300">
        <v>140</v>
      </c>
      <c r="AL300">
        <v>140</v>
      </c>
      <c r="AM300">
        <v>0</v>
      </c>
      <c r="AN300">
        <v>0</v>
      </c>
      <c r="AO300">
        <v>0</v>
      </c>
      <c r="AP300">
        <v>0</v>
      </c>
      <c r="AQ300">
        <v>0</v>
      </c>
      <c r="AR300">
        <v>0</v>
      </c>
      <c r="AS300">
        <v>0</v>
      </c>
      <c r="AT300">
        <v>39</v>
      </c>
      <c r="AU300">
        <v>36</v>
      </c>
      <c r="AV300">
        <v>3</v>
      </c>
      <c r="AW300">
        <v>0</v>
      </c>
      <c r="AX300">
        <v>8</v>
      </c>
      <c r="AY300">
        <v>5</v>
      </c>
      <c r="AZ300">
        <v>3</v>
      </c>
      <c r="BA300">
        <v>0</v>
      </c>
      <c r="BB300">
        <v>0</v>
      </c>
      <c r="BC300">
        <v>0</v>
      </c>
      <c r="BD300">
        <v>0</v>
      </c>
      <c r="BE300">
        <v>0</v>
      </c>
    </row>
    <row r="301" spans="1:57">
      <c r="A301" t="s">
        <v>17140</v>
      </c>
      <c r="B301" t="s">
        <v>17165</v>
      </c>
      <c r="C301">
        <v>0</v>
      </c>
      <c r="D301">
        <v>12</v>
      </c>
      <c r="E301">
        <v>12</v>
      </c>
      <c r="F301">
        <v>12</v>
      </c>
      <c r="G301">
        <v>0</v>
      </c>
      <c r="H301">
        <v>11</v>
      </c>
      <c r="I301">
        <v>0</v>
      </c>
      <c r="J301">
        <v>12</v>
      </c>
      <c r="K301">
        <v>231</v>
      </c>
      <c r="L301">
        <v>0</v>
      </c>
      <c r="M301">
        <v>10</v>
      </c>
      <c r="N301">
        <v>0</v>
      </c>
      <c r="O301">
        <v>1</v>
      </c>
      <c r="P301">
        <v>0</v>
      </c>
      <c r="Q301">
        <v>1</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231</v>
      </c>
      <c r="AU301">
        <v>224</v>
      </c>
      <c r="AV301">
        <v>7</v>
      </c>
      <c r="AW301">
        <v>0</v>
      </c>
      <c r="AX301">
        <v>0</v>
      </c>
      <c r="AY301">
        <v>0</v>
      </c>
      <c r="AZ301">
        <v>0</v>
      </c>
      <c r="BA301">
        <v>0</v>
      </c>
      <c r="BB301">
        <v>0</v>
      </c>
      <c r="BC301">
        <v>0</v>
      </c>
      <c r="BD301">
        <v>0</v>
      </c>
      <c r="BE301">
        <v>0</v>
      </c>
    </row>
    <row r="302" spans="1:57">
      <c r="A302" t="s">
        <v>17140</v>
      </c>
      <c r="B302" t="s">
        <v>17166</v>
      </c>
      <c r="C302">
        <v>0</v>
      </c>
      <c r="D302">
        <v>2</v>
      </c>
      <c r="E302">
        <v>2</v>
      </c>
      <c r="F302">
        <v>2</v>
      </c>
      <c r="G302">
        <v>0</v>
      </c>
      <c r="H302">
        <v>0</v>
      </c>
      <c r="I302">
        <v>0</v>
      </c>
      <c r="J302">
        <v>2</v>
      </c>
      <c r="K302">
        <v>12</v>
      </c>
      <c r="L302">
        <v>0</v>
      </c>
      <c r="M302">
        <v>0</v>
      </c>
      <c r="N302">
        <v>2</v>
      </c>
      <c r="O302">
        <v>0</v>
      </c>
      <c r="P302">
        <v>0</v>
      </c>
      <c r="Q302">
        <v>0</v>
      </c>
      <c r="R302">
        <v>0</v>
      </c>
      <c r="S302">
        <v>0.5</v>
      </c>
      <c r="T302">
        <v>1.25</v>
      </c>
      <c r="U302">
        <v>0</v>
      </c>
      <c r="V302">
        <v>1.75</v>
      </c>
      <c r="W302">
        <v>30</v>
      </c>
      <c r="X302">
        <v>0</v>
      </c>
      <c r="Y302">
        <v>2</v>
      </c>
      <c r="Z302">
        <v>0</v>
      </c>
      <c r="AA302">
        <v>0</v>
      </c>
      <c r="AB302">
        <v>0</v>
      </c>
      <c r="AC302">
        <v>6.6</v>
      </c>
      <c r="AD302">
        <v>6.6</v>
      </c>
      <c r="AE302">
        <v>6.6</v>
      </c>
      <c r="AF302">
        <v>6.6</v>
      </c>
      <c r="AG302">
        <v>36.6</v>
      </c>
      <c r="AH302">
        <v>30</v>
      </c>
      <c r="AI302">
        <v>0</v>
      </c>
      <c r="AJ302">
        <v>0</v>
      </c>
      <c r="AK302">
        <v>0</v>
      </c>
      <c r="AL302">
        <v>0</v>
      </c>
      <c r="AM302">
        <v>0</v>
      </c>
      <c r="AN302">
        <v>1</v>
      </c>
      <c r="AO302">
        <v>0</v>
      </c>
      <c r="AP302">
        <v>0</v>
      </c>
      <c r="AQ302">
        <v>0</v>
      </c>
      <c r="AR302">
        <v>0</v>
      </c>
      <c r="AS302">
        <v>0</v>
      </c>
      <c r="AT302">
        <v>12</v>
      </c>
      <c r="AU302">
        <v>0</v>
      </c>
      <c r="AV302">
        <v>12</v>
      </c>
      <c r="AW302">
        <v>0</v>
      </c>
      <c r="AX302">
        <v>0.5</v>
      </c>
      <c r="AY302">
        <v>0</v>
      </c>
      <c r="AZ302">
        <v>0.5</v>
      </c>
      <c r="BA302">
        <v>0</v>
      </c>
      <c r="BB302">
        <v>1.25</v>
      </c>
      <c r="BC302">
        <v>0</v>
      </c>
      <c r="BD302">
        <v>1.25</v>
      </c>
      <c r="BE302">
        <v>0</v>
      </c>
    </row>
    <row r="303" spans="1:57">
      <c r="A303" t="s">
        <v>17140</v>
      </c>
      <c r="B303" t="s">
        <v>17168</v>
      </c>
      <c r="C303">
        <v>0</v>
      </c>
      <c r="D303">
        <v>5</v>
      </c>
      <c r="E303">
        <v>5</v>
      </c>
      <c r="F303">
        <v>4</v>
      </c>
      <c r="G303">
        <v>0</v>
      </c>
      <c r="H303">
        <v>1</v>
      </c>
      <c r="I303">
        <v>0</v>
      </c>
      <c r="J303">
        <v>5</v>
      </c>
      <c r="K303">
        <v>37</v>
      </c>
      <c r="L303">
        <v>4</v>
      </c>
      <c r="M303">
        <v>1</v>
      </c>
      <c r="N303">
        <v>0</v>
      </c>
      <c r="O303">
        <v>0</v>
      </c>
      <c r="P303">
        <v>0</v>
      </c>
      <c r="Q303">
        <v>0</v>
      </c>
      <c r="R303">
        <v>0</v>
      </c>
      <c r="S303">
        <v>14.75</v>
      </c>
      <c r="T303">
        <v>12</v>
      </c>
      <c r="U303">
        <v>0</v>
      </c>
      <c r="V303">
        <v>26.75</v>
      </c>
      <c r="W303">
        <v>387.5</v>
      </c>
      <c r="X303">
        <v>0</v>
      </c>
      <c r="Y303">
        <v>1</v>
      </c>
      <c r="Z303">
        <v>4</v>
      </c>
      <c r="AA303">
        <v>0</v>
      </c>
      <c r="AB303">
        <v>270</v>
      </c>
      <c r="AC303">
        <v>0</v>
      </c>
      <c r="AD303">
        <v>0</v>
      </c>
      <c r="AE303">
        <v>0</v>
      </c>
      <c r="AF303">
        <v>270</v>
      </c>
      <c r="AG303">
        <v>387.5</v>
      </c>
      <c r="AH303">
        <v>387.5</v>
      </c>
      <c r="AI303">
        <v>0</v>
      </c>
      <c r="AJ303">
        <v>270</v>
      </c>
      <c r="AK303">
        <v>300</v>
      </c>
      <c r="AL303">
        <v>300</v>
      </c>
      <c r="AM303">
        <v>0</v>
      </c>
      <c r="AN303">
        <v>0</v>
      </c>
      <c r="AO303">
        <v>0</v>
      </c>
      <c r="AP303">
        <v>0</v>
      </c>
      <c r="AQ303">
        <v>0</v>
      </c>
      <c r="AR303">
        <v>0</v>
      </c>
      <c r="AS303">
        <v>0</v>
      </c>
      <c r="AT303">
        <v>37</v>
      </c>
      <c r="AU303">
        <v>21</v>
      </c>
      <c r="AV303">
        <v>16</v>
      </c>
      <c r="AW303">
        <v>0</v>
      </c>
      <c r="AX303">
        <v>14.75</v>
      </c>
      <c r="AY303">
        <v>10</v>
      </c>
      <c r="AZ303">
        <v>4.75</v>
      </c>
      <c r="BA303">
        <v>0</v>
      </c>
      <c r="BB303">
        <v>12</v>
      </c>
      <c r="BC303">
        <v>10</v>
      </c>
      <c r="BD303">
        <v>2</v>
      </c>
      <c r="BE303">
        <v>0</v>
      </c>
    </row>
    <row r="304" spans="1:57">
      <c r="A304" t="s">
        <v>17140</v>
      </c>
      <c r="B304" t="s">
        <v>17167</v>
      </c>
      <c r="C304">
        <v>0</v>
      </c>
      <c r="D304">
        <v>2</v>
      </c>
      <c r="E304">
        <v>2</v>
      </c>
      <c r="F304">
        <v>2</v>
      </c>
      <c r="G304">
        <v>0</v>
      </c>
      <c r="H304">
        <v>0</v>
      </c>
      <c r="I304">
        <v>0</v>
      </c>
      <c r="J304">
        <v>2</v>
      </c>
      <c r="K304">
        <v>6</v>
      </c>
      <c r="L304">
        <v>1</v>
      </c>
      <c r="M304">
        <v>0</v>
      </c>
      <c r="N304">
        <v>0</v>
      </c>
      <c r="O304">
        <v>1</v>
      </c>
      <c r="P304">
        <v>0</v>
      </c>
      <c r="Q304">
        <v>0</v>
      </c>
      <c r="R304">
        <v>0</v>
      </c>
      <c r="S304">
        <v>6</v>
      </c>
      <c r="T304">
        <v>1</v>
      </c>
      <c r="U304">
        <v>0</v>
      </c>
      <c r="V304">
        <v>7</v>
      </c>
      <c r="W304">
        <v>80</v>
      </c>
      <c r="X304">
        <v>0</v>
      </c>
      <c r="Y304">
        <v>2</v>
      </c>
      <c r="Z304">
        <v>0</v>
      </c>
      <c r="AA304">
        <v>0</v>
      </c>
      <c r="AB304">
        <v>20</v>
      </c>
      <c r="AC304">
        <v>0</v>
      </c>
      <c r="AD304">
        <v>0</v>
      </c>
      <c r="AE304">
        <v>0</v>
      </c>
      <c r="AF304">
        <v>20</v>
      </c>
      <c r="AG304">
        <v>80</v>
      </c>
      <c r="AH304">
        <v>80</v>
      </c>
      <c r="AI304">
        <v>0</v>
      </c>
      <c r="AJ304">
        <v>0</v>
      </c>
      <c r="AK304">
        <v>0</v>
      </c>
      <c r="AL304">
        <v>0</v>
      </c>
      <c r="AM304">
        <v>2</v>
      </c>
      <c r="AN304">
        <v>2</v>
      </c>
      <c r="AO304">
        <v>2</v>
      </c>
      <c r="AP304">
        <v>2</v>
      </c>
      <c r="AQ304">
        <v>2</v>
      </c>
      <c r="AR304">
        <v>2</v>
      </c>
      <c r="AS304">
        <v>2</v>
      </c>
      <c r="AT304">
        <v>6</v>
      </c>
      <c r="AU304">
        <v>0</v>
      </c>
      <c r="AV304">
        <v>6</v>
      </c>
      <c r="AW304">
        <v>0</v>
      </c>
      <c r="AX304">
        <v>6</v>
      </c>
      <c r="AY304">
        <v>0</v>
      </c>
      <c r="AZ304">
        <v>6</v>
      </c>
      <c r="BA304">
        <v>0</v>
      </c>
      <c r="BB304">
        <v>1</v>
      </c>
      <c r="BC304">
        <v>0</v>
      </c>
      <c r="BD304">
        <v>1</v>
      </c>
      <c r="BE304">
        <v>0</v>
      </c>
    </row>
    <row r="305" spans="1:57">
      <c r="A305" t="s">
        <v>17169</v>
      </c>
      <c r="B305" t="s">
        <v>17319</v>
      </c>
      <c r="C305">
        <v>1</v>
      </c>
      <c r="D305">
        <v>33</v>
      </c>
      <c r="E305">
        <v>33</v>
      </c>
      <c r="F305">
        <v>30</v>
      </c>
      <c r="G305">
        <v>0</v>
      </c>
      <c r="H305">
        <v>1</v>
      </c>
      <c r="I305">
        <v>1</v>
      </c>
      <c r="J305">
        <v>32</v>
      </c>
      <c r="K305">
        <v>263</v>
      </c>
      <c r="L305">
        <v>32</v>
      </c>
      <c r="M305">
        <v>0</v>
      </c>
      <c r="N305">
        <v>1</v>
      </c>
      <c r="O305">
        <v>0</v>
      </c>
      <c r="P305">
        <v>0</v>
      </c>
      <c r="Q305">
        <v>0</v>
      </c>
      <c r="R305">
        <v>0</v>
      </c>
      <c r="S305">
        <v>37.75</v>
      </c>
      <c r="T305">
        <v>3</v>
      </c>
      <c r="U305">
        <v>0</v>
      </c>
      <c r="V305">
        <v>40.75</v>
      </c>
      <c r="W305">
        <v>417.5</v>
      </c>
      <c r="X305">
        <v>0</v>
      </c>
      <c r="Y305">
        <v>31</v>
      </c>
      <c r="Z305">
        <v>0</v>
      </c>
      <c r="AA305">
        <v>-20</v>
      </c>
      <c r="AB305">
        <v>70</v>
      </c>
      <c r="AC305">
        <v>0</v>
      </c>
      <c r="AD305">
        <v>0</v>
      </c>
      <c r="AE305">
        <v>0</v>
      </c>
      <c r="AF305">
        <v>70</v>
      </c>
      <c r="AG305">
        <v>417.5</v>
      </c>
      <c r="AH305">
        <v>417.5</v>
      </c>
      <c r="AI305">
        <v>0</v>
      </c>
      <c r="AJ305">
        <v>30</v>
      </c>
      <c r="AK305">
        <v>60</v>
      </c>
      <c r="AL305">
        <v>60</v>
      </c>
      <c r="AM305">
        <v>0</v>
      </c>
      <c r="AN305">
        <v>0</v>
      </c>
      <c r="AO305">
        <v>0</v>
      </c>
      <c r="AP305">
        <v>0</v>
      </c>
      <c r="AQ305">
        <v>0</v>
      </c>
      <c r="AR305">
        <v>0</v>
      </c>
      <c r="AS305">
        <v>0</v>
      </c>
      <c r="AT305">
        <v>263</v>
      </c>
      <c r="AU305">
        <v>12</v>
      </c>
      <c r="AV305">
        <v>242</v>
      </c>
      <c r="AW305">
        <v>9</v>
      </c>
      <c r="AX305">
        <v>37.75</v>
      </c>
      <c r="AY305">
        <v>2</v>
      </c>
      <c r="AZ305">
        <v>33.75</v>
      </c>
      <c r="BA305">
        <v>2</v>
      </c>
      <c r="BB305">
        <v>3</v>
      </c>
      <c r="BC305">
        <v>2</v>
      </c>
      <c r="BD305">
        <v>1</v>
      </c>
      <c r="BE305">
        <v>0</v>
      </c>
    </row>
    <row r="306" spans="1:57">
      <c r="A306" t="s">
        <v>17169</v>
      </c>
      <c r="B306" t="s">
        <v>17172</v>
      </c>
      <c r="C306">
        <v>0</v>
      </c>
      <c r="D306">
        <v>18</v>
      </c>
      <c r="E306">
        <v>17</v>
      </c>
      <c r="F306">
        <v>15</v>
      </c>
      <c r="G306">
        <v>0</v>
      </c>
      <c r="H306">
        <v>0</v>
      </c>
      <c r="I306">
        <v>0</v>
      </c>
      <c r="J306">
        <v>18</v>
      </c>
      <c r="K306">
        <v>142</v>
      </c>
      <c r="L306">
        <v>13</v>
      </c>
      <c r="M306">
        <v>4</v>
      </c>
      <c r="N306">
        <v>0</v>
      </c>
      <c r="O306">
        <v>0</v>
      </c>
      <c r="P306">
        <v>0</v>
      </c>
      <c r="Q306">
        <v>0</v>
      </c>
      <c r="R306">
        <v>0</v>
      </c>
      <c r="S306">
        <v>28.5</v>
      </c>
      <c r="T306">
        <v>17.5</v>
      </c>
      <c r="U306">
        <v>0</v>
      </c>
      <c r="V306">
        <v>46</v>
      </c>
      <c r="W306">
        <v>635</v>
      </c>
      <c r="X306">
        <v>0</v>
      </c>
      <c r="Y306">
        <v>10</v>
      </c>
      <c r="Z306">
        <v>1</v>
      </c>
      <c r="AA306">
        <v>0</v>
      </c>
      <c r="AB306">
        <v>310</v>
      </c>
      <c r="AC306">
        <v>641</v>
      </c>
      <c r="AD306">
        <v>340</v>
      </c>
      <c r="AE306">
        <v>26</v>
      </c>
      <c r="AF306">
        <v>650</v>
      </c>
      <c r="AG306">
        <v>1276</v>
      </c>
      <c r="AH306">
        <v>1250</v>
      </c>
      <c r="AI306">
        <v>0</v>
      </c>
      <c r="AJ306">
        <v>0</v>
      </c>
      <c r="AK306">
        <v>0</v>
      </c>
      <c r="AL306">
        <v>0</v>
      </c>
      <c r="AM306">
        <v>142</v>
      </c>
      <c r="AN306">
        <v>0</v>
      </c>
      <c r="AO306">
        <v>142</v>
      </c>
      <c r="AP306">
        <v>0</v>
      </c>
      <c r="AQ306">
        <v>28.5</v>
      </c>
      <c r="AR306">
        <v>0</v>
      </c>
      <c r="AS306">
        <v>28.5</v>
      </c>
      <c r="AT306">
        <v>0</v>
      </c>
      <c r="AU306">
        <v>17.5</v>
      </c>
      <c r="AV306">
        <v>0</v>
      </c>
      <c r="AW306">
        <v>17.5</v>
      </c>
      <c r="AX306">
        <v>0</v>
      </c>
    </row>
    <row r="307" spans="1:57">
      <c r="A307" t="s">
        <v>17169</v>
      </c>
      <c r="B307" t="s">
        <v>17173</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row>
    <row r="308" spans="1:57">
      <c r="A308" t="s">
        <v>17169</v>
      </c>
      <c r="B308" t="s">
        <v>17174</v>
      </c>
      <c r="C308">
        <v>0</v>
      </c>
      <c r="D308">
        <v>5</v>
      </c>
      <c r="E308">
        <v>4</v>
      </c>
      <c r="F308">
        <v>3</v>
      </c>
      <c r="G308">
        <v>0</v>
      </c>
      <c r="H308">
        <v>0</v>
      </c>
      <c r="I308">
        <v>0</v>
      </c>
      <c r="J308">
        <v>4</v>
      </c>
      <c r="K308">
        <v>63</v>
      </c>
      <c r="L308">
        <v>4</v>
      </c>
      <c r="M308">
        <v>0</v>
      </c>
      <c r="N308">
        <v>0</v>
      </c>
      <c r="O308">
        <v>0</v>
      </c>
      <c r="P308">
        <v>0</v>
      </c>
      <c r="Q308">
        <v>0</v>
      </c>
      <c r="R308">
        <v>0</v>
      </c>
      <c r="S308">
        <v>6.75</v>
      </c>
      <c r="T308">
        <v>9</v>
      </c>
      <c r="U308">
        <v>0</v>
      </c>
      <c r="V308">
        <v>15.75</v>
      </c>
      <c r="W308">
        <v>247.5</v>
      </c>
      <c r="X308">
        <v>0</v>
      </c>
      <c r="Y308">
        <v>4</v>
      </c>
      <c r="Z308">
        <v>0</v>
      </c>
      <c r="AA308">
        <v>0</v>
      </c>
      <c r="AB308">
        <v>130</v>
      </c>
      <c r="AC308">
        <v>0</v>
      </c>
      <c r="AD308">
        <v>0</v>
      </c>
      <c r="AE308">
        <v>0</v>
      </c>
      <c r="AF308">
        <v>130</v>
      </c>
      <c r="AG308">
        <v>247.5</v>
      </c>
      <c r="AH308">
        <v>247.5</v>
      </c>
      <c r="AI308">
        <v>0</v>
      </c>
      <c r="AJ308">
        <v>0</v>
      </c>
      <c r="AK308">
        <v>0</v>
      </c>
      <c r="AL308">
        <v>0</v>
      </c>
      <c r="AM308">
        <v>0</v>
      </c>
      <c r="AN308">
        <v>0</v>
      </c>
      <c r="AO308">
        <v>0</v>
      </c>
      <c r="AP308">
        <v>0</v>
      </c>
      <c r="AQ308">
        <v>0</v>
      </c>
      <c r="AR308">
        <v>0</v>
      </c>
      <c r="AS308">
        <v>0</v>
      </c>
      <c r="AT308">
        <v>63</v>
      </c>
      <c r="AU308">
        <v>0</v>
      </c>
      <c r="AV308">
        <v>63</v>
      </c>
      <c r="AW308">
        <v>0</v>
      </c>
      <c r="AX308">
        <v>6.75</v>
      </c>
      <c r="AY308">
        <v>0</v>
      </c>
      <c r="AZ308">
        <v>6.75</v>
      </c>
      <c r="BA308">
        <v>0</v>
      </c>
      <c r="BB308">
        <v>9</v>
      </c>
      <c r="BC308">
        <v>0</v>
      </c>
      <c r="BD308">
        <v>9</v>
      </c>
      <c r="BE308">
        <v>0</v>
      </c>
    </row>
    <row r="309" spans="1:57">
      <c r="A309" t="s">
        <v>17169</v>
      </c>
      <c r="B309" t="s">
        <v>17175</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row>
    <row r="310" spans="1:57">
      <c r="A310" t="s">
        <v>17169</v>
      </c>
      <c r="B310" t="s">
        <v>17176</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row>
    <row r="311" spans="1:57">
      <c r="A311" t="s">
        <v>17169</v>
      </c>
      <c r="B311" t="s">
        <v>17177</v>
      </c>
      <c r="C311">
        <v>0</v>
      </c>
      <c r="D311">
        <v>45</v>
      </c>
      <c r="E311">
        <v>45</v>
      </c>
      <c r="F311">
        <v>40</v>
      </c>
      <c r="G311">
        <v>3</v>
      </c>
      <c r="H311">
        <v>7</v>
      </c>
      <c r="I311">
        <v>5</v>
      </c>
      <c r="J311">
        <v>43</v>
      </c>
      <c r="K311">
        <v>467</v>
      </c>
      <c r="L311">
        <v>37</v>
      </c>
      <c r="M311">
        <v>1</v>
      </c>
      <c r="N311">
        <v>1</v>
      </c>
      <c r="O311">
        <v>3</v>
      </c>
      <c r="P311">
        <v>0</v>
      </c>
      <c r="Q311">
        <v>2</v>
      </c>
      <c r="R311">
        <v>0</v>
      </c>
      <c r="S311">
        <v>80.75</v>
      </c>
      <c r="T311">
        <v>85.5</v>
      </c>
      <c r="U311">
        <v>0</v>
      </c>
      <c r="V311">
        <v>166.25</v>
      </c>
      <c r="W311">
        <v>2517.5</v>
      </c>
      <c r="X311">
        <v>0</v>
      </c>
      <c r="Y311">
        <v>38</v>
      </c>
      <c r="Z311">
        <v>2</v>
      </c>
      <c r="AA311">
        <v>0</v>
      </c>
      <c r="AB311">
        <v>1935</v>
      </c>
      <c r="AC311">
        <v>7972</v>
      </c>
      <c r="AD311">
        <v>105.5</v>
      </c>
      <c r="AE311">
        <v>2545</v>
      </c>
      <c r="AF311">
        <v>2040.5</v>
      </c>
      <c r="AG311">
        <v>10489.5</v>
      </c>
      <c r="AH311">
        <v>7944.5</v>
      </c>
      <c r="AI311">
        <v>2107.5</v>
      </c>
      <c r="AJ311">
        <v>1250</v>
      </c>
      <c r="AK311">
        <v>9127.5</v>
      </c>
      <c r="AL311">
        <v>7020</v>
      </c>
      <c r="AM311">
        <v>0</v>
      </c>
      <c r="AN311">
        <v>1</v>
      </c>
      <c r="AO311">
        <v>3</v>
      </c>
      <c r="AP311">
        <v>1</v>
      </c>
      <c r="AQ311">
        <v>0</v>
      </c>
      <c r="AR311">
        <v>1</v>
      </c>
      <c r="AS311">
        <v>0</v>
      </c>
      <c r="AT311">
        <v>467</v>
      </c>
      <c r="AU311">
        <v>97</v>
      </c>
      <c r="AV311">
        <v>370</v>
      </c>
      <c r="AW311">
        <v>0</v>
      </c>
      <c r="AX311">
        <v>80.75</v>
      </c>
      <c r="AY311">
        <v>5</v>
      </c>
      <c r="AZ311">
        <v>75.75</v>
      </c>
      <c r="BA311">
        <v>0</v>
      </c>
      <c r="BB311">
        <v>85.5</v>
      </c>
      <c r="BC311">
        <v>69</v>
      </c>
      <c r="BD311">
        <v>16.5</v>
      </c>
      <c r="BE311">
        <v>0</v>
      </c>
    </row>
    <row r="312" spans="1:57">
      <c r="A312" t="s">
        <v>17169</v>
      </c>
      <c r="B312" t="s">
        <v>17307</v>
      </c>
      <c r="C312">
        <v>0</v>
      </c>
      <c r="D312">
        <v>15</v>
      </c>
      <c r="E312">
        <v>14</v>
      </c>
      <c r="F312">
        <v>14</v>
      </c>
      <c r="G312">
        <v>0</v>
      </c>
      <c r="H312">
        <v>0</v>
      </c>
      <c r="I312">
        <v>0</v>
      </c>
      <c r="J312">
        <v>14</v>
      </c>
      <c r="K312">
        <v>73</v>
      </c>
      <c r="L312">
        <v>13</v>
      </c>
      <c r="M312">
        <v>0</v>
      </c>
      <c r="N312">
        <v>0</v>
      </c>
      <c r="O312">
        <v>0</v>
      </c>
      <c r="P312">
        <v>0</v>
      </c>
      <c r="Q312">
        <v>1</v>
      </c>
      <c r="R312">
        <v>0</v>
      </c>
      <c r="S312">
        <v>9.25</v>
      </c>
      <c r="T312">
        <v>7.5</v>
      </c>
      <c r="U312">
        <v>0</v>
      </c>
      <c r="V312">
        <v>16.75</v>
      </c>
      <c r="W312">
        <v>242.5</v>
      </c>
      <c r="X312">
        <v>0</v>
      </c>
      <c r="Y312">
        <v>12</v>
      </c>
      <c r="Z312">
        <v>0</v>
      </c>
      <c r="AA312">
        <v>0</v>
      </c>
      <c r="AB312">
        <v>30</v>
      </c>
      <c r="AC312">
        <v>0</v>
      </c>
      <c r="AD312">
        <v>0</v>
      </c>
      <c r="AE312">
        <v>30</v>
      </c>
      <c r="AF312">
        <v>30</v>
      </c>
      <c r="AG312">
        <v>242.5</v>
      </c>
      <c r="AH312">
        <v>212.5</v>
      </c>
      <c r="AI312">
        <v>0</v>
      </c>
      <c r="AJ312">
        <v>0</v>
      </c>
      <c r="AK312">
        <v>0</v>
      </c>
      <c r="AL312">
        <v>0</v>
      </c>
      <c r="AM312">
        <v>0</v>
      </c>
      <c r="AN312">
        <v>1</v>
      </c>
      <c r="AO312">
        <v>0</v>
      </c>
      <c r="AP312">
        <v>0</v>
      </c>
      <c r="AQ312">
        <v>0</v>
      </c>
      <c r="AR312">
        <v>0</v>
      </c>
      <c r="AS312">
        <v>0</v>
      </c>
      <c r="AT312">
        <v>73</v>
      </c>
      <c r="AU312">
        <v>0</v>
      </c>
      <c r="AV312">
        <v>73</v>
      </c>
      <c r="AW312">
        <v>0</v>
      </c>
      <c r="AX312">
        <v>9.25</v>
      </c>
      <c r="AY312">
        <v>0</v>
      </c>
      <c r="AZ312">
        <v>9.25</v>
      </c>
      <c r="BA312">
        <v>0</v>
      </c>
      <c r="BB312">
        <v>7.5</v>
      </c>
      <c r="BC312">
        <v>0</v>
      </c>
      <c r="BD312">
        <v>7.5</v>
      </c>
      <c r="BE312">
        <v>0</v>
      </c>
    </row>
    <row r="313" spans="1:57">
      <c r="A313" t="s">
        <v>17169</v>
      </c>
      <c r="B313" t="s">
        <v>18850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row>
    <row r="314" spans="1:57">
      <c r="A314" t="s">
        <v>17169</v>
      </c>
      <c r="B314" t="s">
        <v>17181</v>
      </c>
      <c r="C314">
        <v>0</v>
      </c>
      <c r="D314">
        <v>40</v>
      </c>
      <c r="E314">
        <v>34</v>
      </c>
      <c r="F314">
        <v>9</v>
      </c>
      <c r="G314">
        <v>9</v>
      </c>
      <c r="H314">
        <v>0</v>
      </c>
      <c r="I314">
        <v>0</v>
      </c>
      <c r="J314">
        <v>30</v>
      </c>
      <c r="K314">
        <v>794</v>
      </c>
      <c r="L314">
        <v>13</v>
      </c>
      <c r="M314">
        <v>3</v>
      </c>
      <c r="N314">
        <v>1</v>
      </c>
      <c r="O314">
        <v>1</v>
      </c>
      <c r="P314">
        <v>0</v>
      </c>
      <c r="Q314">
        <v>11</v>
      </c>
      <c r="R314">
        <v>0</v>
      </c>
      <c r="S314">
        <v>15.5</v>
      </c>
      <c r="T314">
        <v>1</v>
      </c>
      <c r="U314">
        <v>1</v>
      </c>
      <c r="V314">
        <v>17.5</v>
      </c>
      <c r="W314">
        <v>175</v>
      </c>
      <c r="X314">
        <v>0</v>
      </c>
      <c r="Y314">
        <v>27</v>
      </c>
      <c r="Z314">
        <v>0</v>
      </c>
      <c r="AA314">
        <v>0</v>
      </c>
      <c r="AB314">
        <v>0</v>
      </c>
      <c r="AC314">
        <v>0</v>
      </c>
      <c r="AD314">
        <v>0</v>
      </c>
      <c r="AE314">
        <v>0</v>
      </c>
      <c r="AF314">
        <v>0</v>
      </c>
      <c r="AG314">
        <v>195</v>
      </c>
      <c r="AH314">
        <v>195</v>
      </c>
      <c r="AI314">
        <v>0</v>
      </c>
      <c r="AJ314">
        <v>0</v>
      </c>
      <c r="AK314">
        <v>0</v>
      </c>
      <c r="AL314">
        <v>0</v>
      </c>
      <c r="AM314">
        <v>0</v>
      </c>
      <c r="AN314">
        <v>0</v>
      </c>
      <c r="AO314">
        <v>0</v>
      </c>
      <c r="AP314">
        <v>0</v>
      </c>
      <c r="AQ314">
        <v>0</v>
      </c>
      <c r="AR314">
        <v>0</v>
      </c>
      <c r="AS314">
        <v>0</v>
      </c>
      <c r="AT314">
        <v>794</v>
      </c>
      <c r="AU314">
        <v>0</v>
      </c>
      <c r="AV314">
        <v>794</v>
      </c>
      <c r="AW314">
        <v>0</v>
      </c>
      <c r="AX314">
        <v>15.5</v>
      </c>
      <c r="AY314">
        <v>0</v>
      </c>
      <c r="AZ314">
        <v>15.5</v>
      </c>
      <c r="BA314">
        <v>0</v>
      </c>
      <c r="BB314">
        <v>1</v>
      </c>
      <c r="BC314">
        <v>0</v>
      </c>
      <c r="BD314">
        <v>1</v>
      </c>
      <c r="BE314">
        <v>0</v>
      </c>
    </row>
    <row r="315" spans="1:57">
      <c r="A315" t="s">
        <v>17169</v>
      </c>
      <c r="B315" t="s">
        <v>18851</v>
      </c>
      <c r="C315">
        <v>0</v>
      </c>
      <c r="D315">
        <v>15</v>
      </c>
      <c r="E315">
        <v>15</v>
      </c>
      <c r="F315">
        <v>13</v>
      </c>
      <c r="G315">
        <v>0</v>
      </c>
      <c r="H315">
        <v>0</v>
      </c>
      <c r="I315">
        <v>0</v>
      </c>
      <c r="J315">
        <v>15</v>
      </c>
      <c r="K315">
        <v>56</v>
      </c>
      <c r="L315">
        <v>14</v>
      </c>
      <c r="M315">
        <v>0</v>
      </c>
      <c r="N315">
        <v>0</v>
      </c>
      <c r="O315">
        <v>1</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56</v>
      </c>
      <c r="AU315">
        <v>0</v>
      </c>
      <c r="AV315">
        <v>56</v>
      </c>
      <c r="AW315">
        <v>0</v>
      </c>
      <c r="AX315">
        <v>0</v>
      </c>
      <c r="AY315">
        <v>0</v>
      </c>
      <c r="AZ315">
        <v>0</v>
      </c>
      <c r="BA315">
        <v>0</v>
      </c>
      <c r="BB315">
        <v>0</v>
      </c>
      <c r="BC315">
        <v>0</v>
      </c>
      <c r="BD315">
        <v>0</v>
      </c>
      <c r="BE315">
        <v>0</v>
      </c>
    </row>
    <row r="316" spans="1:57">
      <c r="A316" t="s">
        <v>17169</v>
      </c>
      <c r="B316" t="s">
        <v>17183</v>
      </c>
      <c r="C316">
        <v>0</v>
      </c>
      <c r="D316">
        <v>153</v>
      </c>
      <c r="E316">
        <v>153</v>
      </c>
      <c r="F316">
        <v>130</v>
      </c>
      <c r="G316">
        <v>8</v>
      </c>
      <c r="H316">
        <v>2</v>
      </c>
      <c r="I316">
        <v>3</v>
      </c>
      <c r="J316">
        <v>153</v>
      </c>
      <c r="K316">
        <v>1736</v>
      </c>
      <c r="L316">
        <v>92</v>
      </c>
      <c r="M316">
        <v>17</v>
      </c>
      <c r="N316">
        <v>11</v>
      </c>
      <c r="O316">
        <v>29</v>
      </c>
      <c r="P316">
        <v>1</v>
      </c>
      <c r="Q316">
        <v>3</v>
      </c>
      <c r="R316">
        <v>0</v>
      </c>
      <c r="S316">
        <v>24</v>
      </c>
      <c r="T316">
        <v>35</v>
      </c>
      <c r="U316">
        <v>0</v>
      </c>
      <c r="V316">
        <v>59</v>
      </c>
      <c r="W316">
        <v>940</v>
      </c>
      <c r="X316">
        <v>0</v>
      </c>
      <c r="Y316">
        <v>5</v>
      </c>
      <c r="Z316">
        <v>1</v>
      </c>
      <c r="AA316">
        <v>0</v>
      </c>
      <c r="AB316">
        <v>730</v>
      </c>
      <c r="AC316">
        <v>1769.5</v>
      </c>
      <c r="AD316">
        <v>1769.5</v>
      </c>
      <c r="AE316">
        <v>2279.5</v>
      </c>
      <c r="AF316">
        <v>2499.5</v>
      </c>
      <c r="AG316">
        <v>2709.5</v>
      </c>
      <c r="AH316">
        <v>430</v>
      </c>
      <c r="AI316">
        <v>0</v>
      </c>
      <c r="AJ316">
        <v>0</v>
      </c>
      <c r="AK316">
        <v>0</v>
      </c>
      <c r="AL316">
        <v>0</v>
      </c>
      <c r="AM316">
        <v>0</v>
      </c>
      <c r="AN316">
        <v>0</v>
      </c>
      <c r="AO316">
        <v>1</v>
      </c>
      <c r="AP316">
        <v>3</v>
      </c>
      <c r="AQ316">
        <v>0</v>
      </c>
      <c r="AR316">
        <v>1</v>
      </c>
      <c r="AS316">
        <v>0</v>
      </c>
      <c r="AT316">
        <v>1736</v>
      </c>
      <c r="AU316">
        <v>91</v>
      </c>
      <c r="AV316">
        <v>1639</v>
      </c>
      <c r="AW316">
        <v>0</v>
      </c>
      <c r="AX316">
        <v>24</v>
      </c>
      <c r="AY316">
        <v>0</v>
      </c>
      <c r="AZ316">
        <v>24</v>
      </c>
      <c r="BA316">
        <v>0</v>
      </c>
      <c r="BB316">
        <v>35</v>
      </c>
      <c r="BC316">
        <v>0</v>
      </c>
      <c r="BD316">
        <v>35</v>
      </c>
      <c r="BE316">
        <v>0</v>
      </c>
    </row>
    <row r="317" spans="1:57">
      <c r="A317" t="s">
        <v>17169</v>
      </c>
      <c r="B317" t="s">
        <v>19990</v>
      </c>
      <c r="C317">
        <v>0</v>
      </c>
      <c r="D317">
        <v>10</v>
      </c>
      <c r="E317">
        <v>4</v>
      </c>
      <c r="F317">
        <v>7</v>
      </c>
      <c r="G317">
        <v>1</v>
      </c>
      <c r="H317">
        <v>2</v>
      </c>
      <c r="I317">
        <v>0</v>
      </c>
      <c r="J317">
        <v>10</v>
      </c>
      <c r="K317">
        <v>78</v>
      </c>
      <c r="L317">
        <v>3</v>
      </c>
      <c r="M317">
        <v>3</v>
      </c>
      <c r="N317">
        <v>2</v>
      </c>
      <c r="O317">
        <v>2</v>
      </c>
      <c r="P317">
        <v>0</v>
      </c>
      <c r="Q317">
        <v>0</v>
      </c>
      <c r="R317">
        <v>0</v>
      </c>
      <c r="S317">
        <v>11</v>
      </c>
      <c r="T317">
        <v>1.5</v>
      </c>
      <c r="U317">
        <v>0</v>
      </c>
      <c r="V317">
        <v>12.5</v>
      </c>
      <c r="W317">
        <v>140</v>
      </c>
      <c r="X317">
        <v>0</v>
      </c>
      <c r="Y317">
        <v>9</v>
      </c>
      <c r="Z317">
        <v>0</v>
      </c>
      <c r="AA317">
        <v>0</v>
      </c>
      <c r="AB317">
        <v>20</v>
      </c>
      <c r="AC317">
        <v>0</v>
      </c>
      <c r="AD317">
        <v>0</v>
      </c>
      <c r="AE317">
        <v>0</v>
      </c>
      <c r="AF317">
        <v>20</v>
      </c>
      <c r="AG317">
        <v>140</v>
      </c>
      <c r="AH317">
        <v>140</v>
      </c>
      <c r="AI317">
        <v>0</v>
      </c>
      <c r="AJ317">
        <v>20</v>
      </c>
      <c r="AK317">
        <v>60</v>
      </c>
      <c r="AL317">
        <v>60</v>
      </c>
      <c r="AM317">
        <v>0</v>
      </c>
      <c r="AN317">
        <v>0</v>
      </c>
      <c r="AO317">
        <v>0</v>
      </c>
      <c r="AP317">
        <v>0</v>
      </c>
      <c r="AQ317">
        <v>0</v>
      </c>
      <c r="AR317">
        <v>0</v>
      </c>
      <c r="AS317">
        <v>0</v>
      </c>
      <c r="AT317">
        <v>78</v>
      </c>
      <c r="AU317">
        <v>37</v>
      </c>
      <c r="AV317">
        <v>41</v>
      </c>
      <c r="AW317">
        <v>0</v>
      </c>
      <c r="AX317">
        <v>11</v>
      </c>
      <c r="AY317">
        <v>6</v>
      </c>
      <c r="AZ317">
        <v>5</v>
      </c>
      <c r="BA317">
        <v>0</v>
      </c>
      <c r="BB317">
        <v>1.5</v>
      </c>
      <c r="BC317">
        <v>0</v>
      </c>
      <c r="BD317">
        <v>1.5</v>
      </c>
      <c r="BE317">
        <v>0</v>
      </c>
    </row>
    <row r="318" spans="1:57">
      <c r="A318" t="s">
        <v>17169</v>
      </c>
      <c r="B318" t="s">
        <v>17358</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row>
    <row r="319" spans="1:57">
      <c r="A319" t="s">
        <v>22132</v>
      </c>
      <c r="B319" t="s">
        <v>22133</v>
      </c>
      <c r="C319">
        <v>4</v>
      </c>
      <c r="D319">
        <v>25</v>
      </c>
      <c r="E319">
        <v>25</v>
      </c>
      <c r="F319">
        <v>24</v>
      </c>
      <c r="G319">
        <v>3</v>
      </c>
      <c r="H319">
        <v>2</v>
      </c>
      <c r="I319">
        <v>0</v>
      </c>
      <c r="J319">
        <v>25</v>
      </c>
      <c r="K319">
        <v>136</v>
      </c>
      <c r="L319">
        <v>5</v>
      </c>
      <c r="M319">
        <v>2</v>
      </c>
      <c r="N319">
        <v>8</v>
      </c>
      <c r="O319">
        <v>10</v>
      </c>
      <c r="P319">
        <v>0</v>
      </c>
      <c r="Q319">
        <v>1</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136</v>
      </c>
      <c r="AU319">
        <v>26</v>
      </c>
      <c r="AV319">
        <v>99</v>
      </c>
      <c r="AW319">
        <v>11</v>
      </c>
      <c r="AX319">
        <v>0</v>
      </c>
      <c r="AY319">
        <v>0</v>
      </c>
      <c r="AZ319">
        <v>0</v>
      </c>
      <c r="BA319">
        <v>0</v>
      </c>
      <c r="BB319">
        <v>0</v>
      </c>
      <c r="BC319">
        <v>0</v>
      </c>
      <c r="BD319">
        <v>0</v>
      </c>
      <c r="BE319">
        <v>0</v>
      </c>
    </row>
    <row r="320" spans="1:57">
      <c r="A320" t="s">
        <v>17300</v>
      </c>
      <c r="B320" t="s">
        <v>17301</v>
      </c>
      <c r="C320">
        <v>1</v>
      </c>
      <c r="D320">
        <v>10</v>
      </c>
      <c r="E320">
        <v>10</v>
      </c>
      <c r="F320">
        <v>9</v>
      </c>
      <c r="G320">
        <v>1</v>
      </c>
      <c r="H320">
        <v>0</v>
      </c>
      <c r="I320">
        <v>0</v>
      </c>
      <c r="J320">
        <v>10</v>
      </c>
      <c r="K320">
        <v>33</v>
      </c>
      <c r="L320">
        <v>7</v>
      </c>
      <c r="M320">
        <v>0</v>
      </c>
      <c r="N320">
        <v>3</v>
      </c>
      <c r="O320">
        <v>0</v>
      </c>
      <c r="P320">
        <v>0</v>
      </c>
      <c r="Q320">
        <v>0</v>
      </c>
      <c r="R320">
        <v>0</v>
      </c>
      <c r="S320">
        <v>3.75</v>
      </c>
      <c r="T320">
        <v>2.75</v>
      </c>
      <c r="U320">
        <v>3</v>
      </c>
      <c r="V320">
        <v>9.5</v>
      </c>
      <c r="W320">
        <v>85</v>
      </c>
      <c r="X320">
        <v>0</v>
      </c>
      <c r="Y320">
        <v>9</v>
      </c>
      <c r="Z320">
        <v>0</v>
      </c>
      <c r="AA320">
        <v>-7.5</v>
      </c>
      <c r="AB320">
        <v>0</v>
      </c>
      <c r="AC320">
        <v>0</v>
      </c>
      <c r="AD320">
        <v>0</v>
      </c>
      <c r="AE320">
        <v>0</v>
      </c>
      <c r="AF320">
        <v>0</v>
      </c>
      <c r="AG320">
        <v>145</v>
      </c>
      <c r="AH320">
        <v>145</v>
      </c>
      <c r="AI320">
        <v>0</v>
      </c>
      <c r="AJ320">
        <v>0</v>
      </c>
      <c r="AK320">
        <v>0</v>
      </c>
      <c r="AL320">
        <v>0</v>
      </c>
      <c r="AM320">
        <v>0</v>
      </c>
      <c r="AN320">
        <v>0</v>
      </c>
      <c r="AO320">
        <v>0</v>
      </c>
      <c r="AP320">
        <v>0</v>
      </c>
      <c r="AQ320">
        <v>0</v>
      </c>
      <c r="AR320">
        <v>0</v>
      </c>
      <c r="AS320">
        <v>0</v>
      </c>
      <c r="AT320">
        <v>33</v>
      </c>
      <c r="AU320">
        <v>0</v>
      </c>
      <c r="AV320">
        <v>32</v>
      </c>
      <c r="AW320">
        <v>1</v>
      </c>
      <c r="AX320">
        <v>3.75</v>
      </c>
      <c r="AY320">
        <v>0</v>
      </c>
      <c r="AZ320">
        <v>3.5</v>
      </c>
      <c r="BA320">
        <v>0.25</v>
      </c>
      <c r="BB320">
        <v>2.75</v>
      </c>
      <c r="BC320">
        <v>0</v>
      </c>
      <c r="BD320">
        <v>2.5</v>
      </c>
      <c r="BE320">
        <v>0.25</v>
      </c>
    </row>
    <row r="321" spans="1:57">
      <c r="A321" t="s">
        <v>17300</v>
      </c>
      <c r="B321" t="s">
        <v>17378</v>
      </c>
      <c r="C321">
        <v>0</v>
      </c>
      <c r="D321">
        <v>11</v>
      </c>
      <c r="E321">
        <v>11</v>
      </c>
      <c r="F321">
        <v>11</v>
      </c>
      <c r="G321">
        <v>4</v>
      </c>
      <c r="H321">
        <v>0</v>
      </c>
      <c r="I321">
        <v>0</v>
      </c>
      <c r="J321">
        <v>10</v>
      </c>
      <c r="K321">
        <v>111</v>
      </c>
      <c r="L321">
        <v>8</v>
      </c>
      <c r="M321">
        <v>0</v>
      </c>
      <c r="N321">
        <v>1</v>
      </c>
      <c r="O321">
        <v>1</v>
      </c>
      <c r="P321">
        <v>0</v>
      </c>
      <c r="Q321">
        <v>1</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111</v>
      </c>
      <c r="AU321">
        <v>0</v>
      </c>
      <c r="AV321">
        <v>111</v>
      </c>
      <c r="AW321">
        <v>0</v>
      </c>
      <c r="AX321">
        <v>0</v>
      </c>
      <c r="AY321">
        <v>0</v>
      </c>
      <c r="AZ321">
        <v>0</v>
      </c>
      <c r="BA321">
        <v>0</v>
      </c>
      <c r="BB321">
        <v>0</v>
      </c>
      <c r="BC321">
        <v>0</v>
      </c>
      <c r="BD321">
        <v>0</v>
      </c>
      <c r="BE321">
        <v>0</v>
      </c>
    </row>
    <row r="322" spans="1:57">
      <c r="A322" t="s">
        <v>17300</v>
      </c>
      <c r="B322" t="s">
        <v>17329</v>
      </c>
      <c r="C322">
        <v>0</v>
      </c>
      <c r="D322">
        <v>2</v>
      </c>
      <c r="E322">
        <v>2</v>
      </c>
      <c r="F322">
        <v>2</v>
      </c>
      <c r="G322">
        <v>0</v>
      </c>
      <c r="H322">
        <v>0</v>
      </c>
      <c r="I322">
        <v>0</v>
      </c>
      <c r="J322">
        <v>2</v>
      </c>
      <c r="K322">
        <v>12</v>
      </c>
      <c r="L322">
        <v>2</v>
      </c>
      <c r="M322">
        <v>0</v>
      </c>
      <c r="N322">
        <v>0</v>
      </c>
      <c r="O322">
        <v>0</v>
      </c>
      <c r="P322">
        <v>0</v>
      </c>
      <c r="Q322">
        <v>0</v>
      </c>
      <c r="R322">
        <v>0</v>
      </c>
      <c r="S322">
        <v>2.5</v>
      </c>
      <c r="T322">
        <v>1.25</v>
      </c>
      <c r="U322">
        <v>0</v>
      </c>
      <c r="V322">
        <v>3.75</v>
      </c>
      <c r="W322">
        <v>50</v>
      </c>
      <c r="X322">
        <v>0</v>
      </c>
      <c r="Y322">
        <v>0</v>
      </c>
      <c r="Z322">
        <v>2</v>
      </c>
      <c r="AA322">
        <v>0</v>
      </c>
      <c r="AB322">
        <v>0</v>
      </c>
      <c r="AC322">
        <v>0</v>
      </c>
      <c r="AD322">
        <v>0</v>
      </c>
      <c r="AE322">
        <v>0</v>
      </c>
      <c r="AF322">
        <v>0</v>
      </c>
      <c r="AG322">
        <v>50</v>
      </c>
      <c r="AH322">
        <v>50</v>
      </c>
      <c r="AI322">
        <v>0</v>
      </c>
      <c r="AJ322">
        <v>0</v>
      </c>
      <c r="AK322">
        <v>0</v>
      </c>
      <c r="AL322">
        <v>0</v>
      </c>
      <c r="AM322">
        <v>0</v>
      </c>
      <c r="AN322">
        <v>0</v>
      </c>
      <c r="AO322">
        <v>0</v>
      </c>
      <c r="AP322">
        <v>0</v>
      </c>
      <c r="AQ322">
        <v>0</v>
      </c>
      <c r="AR322">
        <v>0</v>
      </c>
      <c r="AS322">
        <v>0</v>
      </c>
      <c r="AT322">
        <v>12</v>
      </c>
      <c r="AU322">
        <v>0</v>
      </c>
      <c r="AV322">
        <v>12</v>
      </c>
      <c r="AW322">
        <v>0</v>
      </c>
      <c r="AX322">
        <v>2.5</v>
      </c>
      <c r="AY322">
        <v>0</v>
      </c>
      <c r="AZ322">
        <v>2.5</v>
      </c>
      <c r="BA322">
        <v>0</v>
      </c>
      <c r="BB322">
        <v>1.25</v>
      </c>
      <c r="BC322">
        <v>0</v>
      </c>
      <c r="BD322">
        <v>1.25</v>
      </c>
      <c r="BE322">
        <v>0</v>
      </c>
    </row>
    <row r="323" spans="1:57">
      <c r="A323" t="s">
        <v>17300</v>
      </c>
      <c r="B323" t="s">
        <v>17316</v>
      </c>
      <c r="C323">
        <v>4</v>
      </c>
      <c r="D323">
        <v>5</v>
      </c>
      <c r="E323">
        <v>5</v>
      </c>
      <c r="F323">
        <v>5</v>
      </c>
      <c r="G323">
        <v>1</v>
      </c>
      <c r="H323">
        <v>0</v>
      </c>
      <c r="I323">
        <v>0</v>
      </c>
      <c r="J323">
        <v>5</v>
      </c>
      <c r="K323">
        <v>27</v>
      </c>
      <c r="L323">
        <v>1</v>
      </c>
      <c r="M323">
        <v>2</v>
      </c>
      <c r="N323">
        <v>0</v>
      </c>
      <c r="O323">
        <v>2</v>
      </c>
      <c r="P323">
        <v>0</v>
      </c>
      <c r="Q323">
        <v>1</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27</v>
      </c>
      <c r="AU323">
        <v>0</v>
      </c>
      <c r="AV323">
        <v>5</v>
      </c>
      <c r="AW323">
        <v>22</v>
      </c>
      <c r="AX323">
        <v>0</v>
      </c>
      <c r="AY323">
        <v>0</v>
      </c>
      <c r="AZ323">
        <v>0</v>
      </c>
      <c r="BA323">
        <v>0</v>
      </c>
      <c r="BB323">
        <v>0</v>
      </c>
      <c r="BC323">
        <v>0</v>
      </c>
      <c r="BD323">
        <v>0</v>
      </c>
      <c r="BE323">
        <v>0</v>
      </c>
    </row>
    <row r="324" spans="1:57">
      <c r="A324" t="s">
        <v>17300</v>
      </c>
      <c r="B324" t="s">
        <v>17381</v>
      </c>
      <c r="C324">
        <v>3</v>
      </c>
      <c r="D324">
        <v>6</v>
      </c>
      <c r="E324">
        <v>0</v>
      </c>
      <c r="F324">
        <v>0</v>
      </c>
      <c r="G324">
        <v>1</v>
      </c>
      <c r="H324">
        <v>1</v>
      </c>
      <c r="I324">
        <v>1</v>
      </c>
      <c r="J324">
        <v>6</v>
      </c>
      <c r="K324">
        <v>134</v>
      </c>
      <c r="L324">
        <v>4</v>
      </c>
      <c r="M324">
        <v>0</v>
      </c>
      <c r="N324">
        <v>0</v>
      </c>
      <c r="O324">
        <v>2</v>
      </c>
      <c r="P324">
        <v>0</v>
      </c>
      <c r="Q324">
        <v>0</v>
      </c>
      <c r="R324">
        <v>0</v>
      </c>
      <c r="S324">
        <v>38</v>
      </c>
      <c r="T324">
        <v>25</v>
      </c>
      <c r="U324">
        <v>3</v>
      </c>
      <c r="V324">
        <v>66</v>
      </c>
      <c r="W324">
        <v>490</v>
      </c>
      <c r="X324">
        <v>0</v>
      </c>
      <c r="Y324">
        <v>0</v>
      </c>
      <c r="Z324">
        <v>3</v>
      </c>
      <c r="AA324">
        <v>-390</v>
      </c>
      <c r="AB324">
        <v>310</v>
      </c>
      <c r="AC324">
        <v>0</v>
      </c>
      <c r="AD324">
        <v>0</v>
      </c>
      <c r="AE324">
        <v>0</v>
      </c>
      <c r="AF324">
        <v>310</v>
      </c>
      <c r="AG324">
        <v>550</v>
      </c>
      <c r="AH324">
        <v>550</v>
      </c>
      <c r="AI324">
        <v>0</v>
      </c>
      <c r="AJ324">
        <v>0</v>
      </c>
      <c r="AK324">
        <v>0</v>
      </c>
      <c r="AL324">
        <v>0</v>
      </c>
      <c r="AM324">
        <v>0</v>
      </c>
      <c r="AN324">
        <v>0</v>
      </c>
      <c r="AO324">
        <v>0</v>
      </c>
      <c r="AP324">
        <v>0</v>
      </c>
      <c r="AQ324">
        <v>0</v>
      </c>
      <c r="AR324">
        <v>0</v>
      </c>
      <c r="AS324">
        <v>0</v>
      </c>
      <c r="AT324">
        <v>134</v>
      </c>
      <c r="AU324">
        <v>67</v>
      </c>
      <c r="AV324">
        <v>51</v>
      </c>
      <c r="AW324">
        <v>83</v>
      </c>
      <c r="AX324">
        <v>38</v>
      </c>
      <c r="AY324">
        <v>10</v>
      </c>
      <c r="AZ324">
        <v>25</v>
      </c>
      <c r="BA324">
        <v>13</v>
      </c>
      <c r="BB324">
        <v>25</v>
      </c>
      <c r="BC324">
        <v>8</v>
      </c>
      <c r="BD324">
        <v>12</v>
      </c>
      <c r="BE324">
        <v>13</v>
      </c>
    </row>
    <row r="325" spans="1:57">
      <c r="A325" t="s">
        <v>17300</v>
      </c>
      <c r="B325" t="s">
        <v>17339</v>
      </c>
      <c r="C325">
        <v>1</v>
      </c>
      <c r="D325">
        <v>7</v>
      </c>
      <c r="E325">
        <v>0</v>
      </c>
      <c r="F325">
        <v>0</v>
      </c>
      <c r="G325">
        <v>0</v>
      </c>
      <c r="H325">
        <v>0</v>
      </c>
      <c r="I325">
        <v>0</v>
      </c>
      <c r="J325">
        <v>6</v>
      </c>
      <c r="K325">
        <v>16</v>
      </c>
      <c r="L325">
        <v>5</v>
      </c>
      <c r="M325">
        <v>1</v>
      </c>
      <c r="N325">
        <v>0</v>
      </c>
      <c r="O325">
        <v>1</v>
      </c>
      <c r="P325">
        <v>0</v>
      </c>
      <c r="Q325">
        <v>0</v>
      </c>
      <c r="R325">
        <v>0</v>
      </c>
      <c r="S325">
        <v>2.75</v>
      </c>
      <c r="T325">
        <v>1.5</v>
      </c>
      <c r="U325">
        <v>0</v>
      </c>
      <c r="V325">
        <v>4.25</v>
      </c>
      <c r="W325">
        <v>57.5</v>
      </c>
      <c r="X325">
        <v>0</v>
      </c>
      <c r="Y325">
        <v>6</v>
      </c>
      <c r="Z325">
        <v>0</v>
      </c>
      <c r="AA325">
        <v>0</v>
      </c>
      <c r="AB325">
        <v>0</v>
      </c>
      <c r="AC325">
        <v>0</v>
      </c>
      <c r="AD325">
        <v>0</v>
      </c>
      <c r="AE325">
        <v>0</v>
      </c>
      <c r="AF325">
        <v>0</v>
      </c>
      <c r="AG325">
        <v>57.5</v>
      </c>
      <c r="AH325">
        <v>57.5</v>
      </c>
      <c r="AI325">
        <v>0</v>
      </c>
      <c r="AJ325">
        <v>0</v>
      </c>
      <c r="AK325">
        <v>0</v>
      </c>
      <c r="AL325">
        <v>0</v>
      </c>
      <c r="AM325">
        <v>0</v>
      </c>
      <c r="AN325">
        <v>0</v>
      </c>
      <c r="AO325">
        <v>0</v>
      </c>
      <c r="AP325">
        <v>0</v>
      </c>
      <c r="AQ325">
        <v>0</v>
      </c>
      <c r="AR325">
        <v>0</v>
      </c>
      <c r="AS325">
        <v>0</v>
      </c>
      <c r="AT325">
        <v>16</v>
      </c>
      <c r="AU325">
        <v>0</v>
      </c>
      <c r="AV325">
        <v>16</v>
      </c>
      <c r="AW325">
        <v>0</v>
      </c>
      <c r="AX325">
        <v>2.75</v>
      </c>
      <c r="AY325">
        <v>0</v>
      </c>
      <c r="AZ325">
        <v>2.75</v>
      </c>
      <c r="BA325">
        <v>0</v>
      </c>
      <c r="BB325">
        <v>1.5</v>
      </c>
      <c r="BC325">
        <v>0</v>
      </c>
      <c r="BD325">
        <v>1.5</v>
      </c>
      <c r="BE325">
        <v>0</v>
      </c>
    </row>
    <row r="326" spans="1:57">
      <c r="A326" t="s">
        <v>17185</v>
      </c>
      <c r="B326" t="s">
        <v>17187</v>
      </c>
      <c r="C326">
        <v>0</v>
      </c>
      <c r="D326">
        <v>2</v>
      </c>
      <c r="E326">
        <v>2</v>
      </c>
      <c r="F326">
        <v>1</v>
      </c>
      <c r="G326">
        <v>0</v>
      </c>
      <c r="H326">
        <v>0</v>
      </c>
      <c r="I326">
        <v>0</v>
      </c>
      <c r="J326">
        <v>2</v>
      </c>
      <c r="K326">
        <v>25</v>
      </c>
      <c r="L326">
        <v>0</v>
      </c>
      <c r="M326">
        <v>1</v>
      </c>
      <c r="N326">
        <v>0</v>
      </c>
      <c r="O326">
        <v>1</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25</v>
      </c>
      <c r="AU326">
        <v>0</v>
      </c>
      <c r="AV326">
        <v>25</v>
      </c>
      <c r="AW326">
        <v>0</v>
      </c>
      <c r="AX326">
        <v>0</v>
      </c>
      <c r="AY326">
        <v>0</v>
      </c>
      <c r="AZ326">
        <v>0</v>
      </c>
      <c r="BA326">
        <v>0</v>
      </c>
      <c r="BB326">
        <v>0</v>
      </c>
      <c r="BC326">
        <v>0</v>
      </c>
      <c r="BD326">
        <v>0</v>
      </c>
      <c r="BE326">
        <v>0</v>
      </c>
    </row>
    <row r="327" spans="1:57">
      <c r="A327" t="s">
        <v>17191</v>
      </c>
      <c r="B327" t="s">
        <v>17192</v>
      </c>
      <c r="C327">
        <v>3</v>
      </c>
      <c r="D327">
        <v>27</v>
      </c>
      <c r="E327">
        <v>27</v>
      </c>
      <c r="F327">
        <v>23</v>
      </c>
      <c r="G327">
        <v>1</v>
      </c>
      <c r="H327">
        <v>5</v>
      </c>
      <c r="I327">
        <v>0</v>
      </c>
      <c r="J327">
        <v>27</v>
      </c>
      <c r="K327">
        <v>227</v>
      </c>
      <c r="L327">
        <v>15</v>
      </c>
      <c r="M327">
        <v>1</v>
      </c>
      <c r="N327">
        <v>4</v>
      </c>
      <c r="O327">
        <v>6</v>
      </c>
      <c r="P327">
        <v>0</v>
      </c>
      <c r="Q327">
        <v>1</v>
      </c>
      <c r="R327">
        <v>0</v>
      </c>
      <c r="S327">
        <v>46</v>
      </c>
      <c r="T327">
        <v>7</v>
      </c>
      <c r="U327">
        <v>10</v>
      </c>
      <c r="V327">
        <v>63</v>
      </c>
      <c r="W327">
        <v>510</v>
      </c>
      <c r="X327">
        <v>0</v>
      </c>
      <c r="Y327">
        <v>13</v>
      </c>
      <c r="Z327">
        <v>5</v>
      </c>
      <c r="AA327">
        <v>-90</v>
      </c>
      <c r="AB327">
        <v>60</v>
      </c>
      <c r="AC327">
        <v>0</v>
      </c>
      <c r="AD327">
        <v>0</v>
      </c>
      <c r="AE327">
        <v>0</v>
      </c>
      <c r="AF327">
        <v>60</v>
      </c>
      <c r="AG327">
        <v>710</v>
      </c>
      <c r="AH327">
        <v>710</v>
      </c>
      <c r="AI327">
        <v>0</v>
      </c>
      <c r="AJ327">
        <v>20</v>
      </c>
      <c r="AK327">
        <v>300</v>
      </c>
      <c r="AL327">
        <v>300</v>
      </c>
      <c r="AM327">
        <v>0</v>
      </c>
      <c r="AN327">
        <v>0</v>
      </c>
      <c r="AO327">
        <v>0</v>
      </c>
      <c r="AP327">
        <v>0</v>
      </c>
      <c r="AQ327">
        <v>0</v>
      </c>
      <c r="AR327">
        <v>0</v>
      </c>
      <c r="AS327">
        <v>0</v>
      </c>
      <c r="AT327">
        <v>227</v>
      </c>
      <c r="AU327">
        <v>99</v>
      </c>
      <c r="AV327">
        <v>117</v>
      </c>
      <c r="AW327">
        <v>11</v>
      </c>
      <c r="AX327">
        <v>46</v>
      </c>
      <c r="AY327">
        <v>12</v>
      </c>
      <c r="AZ327">
        <v>25</v>
      </c>
      <c r="BA327">
        <v>9</v>
      </c>
      <c r="BB327">
        <v>7</v>
      </c>
      <c r="BC327">
        <v>1</v>
      </c>
      <c r="BD327">
        <v>6</v>
      </c>
      <c r="BE327">
        <v>0</v>
      </c>
    </row>
    <row r="328" spans="1:57">
      <c r="A328" t="s">
        <v>17193</v>
      </c>
      <c r="B328" t="s">
        <v>17194</v>
      </c>
      <c r="C328">
        <v>0</v>
      </c>
      <c r="D328">
        <v>16</v>
      </c>
      <c r="E328">
        <v>16</v>
      </c>
      <c r="F328">
        <v>12</v>
      </c>
      <c r="G328">
        <v>1</v>
      </c>
      <c r="H328">
        <v>0</v>
      </c>
      <c r="I328">
        <v>1</v>
      </c>
      <c r="J328">
        <v>16</v>
      </c>
      <c r="K328">
        <v>210</v>
      </c>
      <c r="L328">
        <v>6</v>
      </c>
      <c r="M328">
        <v>2</v>
      </c>
      <c r="N328">
        <v>6</v>
      </c>
      <c r="O328">
        <v>2</v>
      </c>
      <c r="P328">
        <v>0</v>
      </c>
      <c r="Q328">
        <v>0</v>
      </c>
      <c r="R328">
        <v>0</v>
      </c>
      <c r="S328">
        <v>6.75</v>
      </c>
      <c r="T328">
        <v>8</v>
      </c>
      <c r="U328">
        <v>0</v>
      </c>
      <c r="V328">
        <v>14.75</v>
      </c>
      <c r="W328">
        <v>227.5</v>
      </c>
      <c r="X328">
        <v>0</v>
      </c>
      <c r="Y328">
        <v>16</v>
      </c>
      <c r="Z328">
        <v>0</v>
      </c>
      <c r="AA328">
        <v>0</v>
      </c>
      <c r="AB328">
        <v>150</v>
      </c>
      <c r="AC328">
        <v>0</v>
      </c>
      <c r="AD328">
        <v>0</v>
      </c>
      <c r="AE328">
        <v>0</v>
      </c>
      <c r="AF328">
        <v>150</v>
      </c>
      <c r="AG328">
        <v>227.5</v>
      </c>
      <c r="AH328">
        <v>227.5</v>
      </c>
      <c r="AI328">
        <v>0</v>
      </c>
      <c r="AJ328">
        <v>0</v>
      </c>
      <c r="AK328">
        <v>0</v>
      </c>
      <c r="AL328">
        <v>0</v>
      </c>
      <c r="AM328">
        <v>0</v>
      </c>
      <c r="AN328">
        <v>0</v>
      </c>
      <c r="AO328">
        <v>0</v>
      </c>
      <c r="AP328">
        <v>0</v>
      </c>
      <c r="AQ328">
        <v>0</v>
      </c>
      <c r="AR328">
        <v>0</v>
      </c>
      <c r="AS328">
        <v>0</v>
      </c>
      <c r="AT328">
        <v>210</v>
      </c>
      <c r="AU328">
        <v>0</v>
      </c>
      <c r="AV328">
        <v>210</v>
      </c>
      <c r="AW328">
        <v>0</v>
      </c>
      <c r="AX328">
        <v>6.75</v>
      </c>
      <c r="AY328">
        <v>0</v>
      </c>
      <c r="AZ328">
        <v>6.75</v>
      </c>
      <c r="BA328">
        <v>0</v>
      </c>
      <c r="BB328">
        <v>8</v>
      </c>
      <c r="BC328">
        <v>0</v>
      </c>
      <c r="BD328">
        <v>8</v>
      </c>
      <c r="BE328">
        <v>0</v>
      </c>
    </row>
    <row r="329" spans="1:57">
      <c r="A329" t="s">
        <v>17193</v>
      </c>
      <c r="B329" t="s">
        <v>17195</v>
      </c>
      <c r="C329">
        <v>2</v>
      </c>
      <c r="D329">
        <v>24</v>
      </c>
      <c r="E329">
        <v>24</v>
      </c>
      <c r="F329">
        <v>23</v>
      </c>
      <c r="G329">
        <v>3</v>
      </c>
      <c r="H329">
        <v>1</v>
      </c>
      <c r="I329">
        <v>0</v>
      </c>
      <c r="J329">
        <v>24</v>
      </c>
      <c r="K329">
        <v>251</v>
      </c>
      <c r="L329">
        <v>20</v>
      </c>
      <c r="M329">
        <v>1</v>
      </c>
      <c r="N329">
        <v>0</v>
      </c>
      <c r="O329">
        <v>1</v>
      </c>
      <c r="P329">
        <v>0</v>
      </c>
      <c r="Q329">
        <v>2</v>
      </c>
      <c r="R329">
        <v>0</v>
      </c>
      <c r="S329">
        <v>0</v>
      </c>
      <c r="T329">
        <v>134.25</v>
      </c>
      <c r="U329">
        <v>0</v>
      </c>
      <c r="V329">
        <v>238</v>
      </c>
      <c r="W329">
        <v>3712.5</v>
      </c>
      <c r="X329">
        <v>0</v>
      </c>
      <c r="Y329">
        <v>21</v>
      </c>
      <c r="Z329">
        <v>0</v>
      </c>
      <c r="AA329">
        <v>-10</v>
      </c>
      <c r="AB329">
        <v>3475</v>
      </c>
      <c r="AC329">
        <v>13.45</v>
      </c>
      <c r="AD329">
        <v>13.45</v>
      </c>
      <c r="AE329">
        <v>168.45</v>
      </c>
      <c r="AF329">
        <v>3488.45</v>
      </c>
      <c r="AG329">
        <v>3725.95</v>
      </c>
      <c r="AH329">
        <v>3557.5</v>
      </c>
      <c r="AI329">
        <v>0</v>
      </c>
      <c r="AJ329">
        <v>0</v>
      </c>
      <c r="AK329">
        <v>2.5</v>
      </c>
      <c r="AL329">
        <v>2.5</v>
      </c>
      <c r="AM329">
        <v>0</v>
      </c>
      <c r="AN329">
        <v>0</v>
      </c>
      <c r="AO329">
        <v>0</v>
      </c>
      <c r="AP329">
        <v>1</v>
      </c>
      <c r="AQ329">
        <v>0</v>
      </c>
      <c r="AR329">
        <v>0</v>
      </c>
      <c r="AS329">
        <v>0</v>
      </c>
      <c r="AT329">
        <v>251</v>
      </c>
      <c r="AU329">
        <v>27</v>
      </c>
      <c r="AV329">
        <v>218</v>
      </c>
      <c r="AW329">
        <v>6</v>
      </c>
      <c r="AX329">
        <v>103.75</v>
      </c>
      <c r="AY329">
        <v>0.25</v>
      </c>
      <c r="AZ329">
        <v>102.5</v>
      </c>
      <c r="BA329">
        <v>1</v>
      </c>
      <c r="BB329">
        <v>134.25</v>
      </c>
      <c r="BC329">
        <v>0</v>
      </c>
      <c r="BD329">
        <v>134.25</v>
      </c>
      <c r="BE329">
        <v>0</v>
      </c>
    </row>
    <row r="330" spans="1:57">
      <c r="A330" t="s">
        <v>17193</v>
      </c>
      <c r="B330" t="s">
        <v>17196</v>
      </c>
      <c r="C330">
        <v>0</v>
      </c>
      <c r="D330">
        <v>15</v>
      </c>
      <c r="E330">
        <v>4</v>
      </c>
      <c r="F330">
        <v>5</v>
      </c>
      <c r="G330">
        <v>2</v>
      </c>
      <c r="H330">
        <v>2</v>
      </c>
      <c r="I330">
        <v>1</v>
      </c>
      <c r="J330">
        <v>14</v>
      </c>
      <c r="K330">
        <v>205</v>
      </c>
      <c r="L330">
        <v>9</v>
      </c>
      <c r="M330">
        <v>1</v>
      </c>
      <c r="N330">
        <v>1</v>
      </c>
      <c r="O330">
        <v>4</v>
      </c>
      <c r="P330">
        <v>0</v>
      </c>
      <c r="Q330">
        <v>0</v>
      </c>
      <c r="R330">
        <v>0</v>
      </c>
      <c r="S330">
        <v>15.75</v>
      </c>
      <c r="T330">
        <v>19.5</v>
      </c>
      <c r="U330">
        <v>0</v>
      </c>
      <c r="V330">
        <v>35.25</v>
      </c>
      <c r="W330">
        <v>547.5</v>
      </c>
      <c r="X330">
        <v>46.06</v>
      </c>
      <c r="Y330">
        <v>11</v>
      </c>
      <c r="Z330">
        <v>0</v>
      </c>
      <c r="AA330">
        <v>0</v>
      </c>
      <c r="AB330">
        <v>340</v>
      </c>
      <c r="AC330">
        <v>29.6</v>
      </c>
      <c r="AD330">
        <v>29.6</v>
      </c>
      <c r="AE330">
        <v>336.05999999999995</v>
      </c>
      <c r="AF330">
        <v>369.6</v>
      </c>
      <c r="AG330">
        <v>623.16</v>
      </c>
      <c r="AH330">
        <v>287.10000000000002</v>
      </c>
      <c r="AI330">
        <v>0</v>
      </c>
      <c r="AJ330">
        <v>30</v>
      </c>
      <c r="AK330">
        <v>90</v>
      </c>
      <c r="AL330">
        <v>90</v>
      </c>
      <c r="AM330">
        <v>0</v>
      </c>
      <c r="AN330">
        <v>1</v>
      </c>
      <c r="AO330">
        <v>0</v>
      </c>
      <c r="AP330">
        <v>1</v>
      </c>
      <c r="AQ330">
        <v>0</v>
      </c>
      <c r="AR330">
        <v>0</v>
      </c>
      <c r="AS330">
        <v>0</v>
      </c>
      <c r="AT330">
        <v>205</v>
      </c>
      <c r="AU330">
        <v>21</v>
      </c>
      <c r="AV330">
        <v>184</v>
      </c>
      <c r="AW330">
        <v>0</v>
      </c>
      <c r="AX330">
        <v>15.75</v>
      </c>
      <c r="AY330">
        <v>9</v>
      </c>
      <c r="AZ330">
        <v>6.75</v>
      </c>
      <c r="BA330">
        <v>0</v>
      </c>
      <c r="BB330">
        <v>19.5</v>
      </c>
      <c r="BC330">
        <v>0</v>
      </c>
      <c r="BD330">
        <v>19.5</v>
      </c>
      <c r="BE330">
        <v>0</v>
      </c>
    </row>
    <row r="331" spans="1:57">
      <c r="A331" t="s">
        <v>17193</v>
      </c>
      <c r="B331" t="s">
        <v>17206</v>
      </c>
      <c r="C331">
        <v>3</v>
      </c>
      <c r="D331">
        <v>12</v>
      </c>
      <c r="E331">
        <v>12</v>
      </c>
      <c r="F331">
        <v>9</v>
      </c>
      <c r="G331">
        <v>2</v>
      </c>
      <c r="H331">
        <v>2</v>
      </c>
      <c r="I331">
        <v>0</v>
      </c>
      <c r="J331">
        <v>12</v>
      </c>
      <c r="K331">
        <v>201</v>
      </c>
      <c r="L331">
        <v>6</v>
      </c>
      <c r="M331">
        <v>1</v>
      </c>
      <c r="N331">
        <v>3</v>
      </c>
      <c r="O331">
        <v>1</v>
      </c>
      <c r="P331">
        <v>0</v>
      </c>
      <c r="Q331">
        <v>1</v>
      </c>
      <c r="R331">
        <v>0</v>
      </c>
      <c r="S331">
        <v>15.5</v>
      </c>
      <c r="T331">
        <v>229</v>
      </c>
      <c r="U331">
        <v>0</v>
      </c>
      <c r="V331">
        <v>244.5</v>
      </c>
      <c r="W331">
        <v>4590</v>
      </c>
      <c r="X331">
        <v>0</v>
      </c>
      <c r="Y331">
        <v>9</v>
      </c>
      <c r="Z331">
        <v>0</v>
      </c>
      <c r="AA331">
        <v>-145</v>
      </c>
      <c r="AB331">
        <v>4440</v>
      </c>
      <c r="AC331">
        <v>0</v>
      </c>
      <c r="AD331">
        <v>0</v>
      </c>
      <c r="AE331">
        <v>0</v>
      </c>
      <c r="AF331">
        <v>4440</v>
      </c>
      <c r="AG331">
        <v>4590</v>
      </c>
      <c r="AH331">
        <v>4590</v>
      </c>
      <c r="AI331">
        <v>0</v>
      </c>
      <c r="AJ331">
        <v>0</v>
      </c>
      <c r="AK331">
        <v>50</v>
      </c>
      <c r="AL331">
        <v>50</v>
      </c>
      <c r="AM331">
        <v>0</v>
      </c>
      <c r="AN331">
        <v>0</v>
      </c>
      <c r="AO331">
        <v>0</v>
      </c>
      <c r="AP331">
        <v>0</v>
      </c>
      <c r="AQ331">
        <v>0</v>
      </c>
      <c r="AR331">
        <v>0</v>
      </c>
      <c r="AS331">
        <v>0</v>
      </c>
      <c r="AT331">
        <v>201</v>
      </c>
      <c r="AU331">
        <v>27</v>
      </c>
      <c r="AV331">
        <v>138</v>
      </c>
      <c r="AW331">
        <v>36</v>
      </c>
      <c r="AX331">
        <v>15.5</v>
      </c>
      <c r="AY331">
        <v>3</v>
      </c>
      <c r="AZ331">
        <v>7</v>
      </c>
      <c r="BA331">
        <v>5.5</v>
      </c>
      <c r="BB331">
        <v>229</v>
      </c>
      <c r="BC331">
        <v>1</v>
      </c>
      <c r="BD331">
        <v>223.5</v>
      </c>
      <c r="BE331">
        <v>4.5</v>
      </c>
    </row>
    <row r="332" spans="1:57">
      <c r="A332" t="s">
        <v>17193</v>
      </c>
      <c r="B332" t="s">
        <v>17302</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row>
    <row r="333" spans="1:57">
      <c r="A333" t="s">
        <v>17197</v>
      </c>
      <c r="B333" t="s">
        <v>22129</v>
      </c>
      <c r="C333">
        <v>7</v>
      </c>
      <c r="D333">
        <v>140</v>
      </c>
      <c r="E333">
        <v>134</v>
      </c>
      <c r="F333">
        <v>91</v>
      </c>
      <c r="G333">
        <v>10</v>
      </c>
      <c r="H333">
        <v>13</v>
      </c>
      <c r="I333">
        <v>1</v>
      </c>
      <c r="J333">
        <v>132</v>
      </c>
      <c r="K333">
        <v>2095</v>
      </c>
      <c r="L333">
        <v>40</v>
      </c>
      <c r="M333">
        <v>41</v>
      </c>
      <c r="N333">
        <v>38</v>
      </c>
      <c r="O333">
        <v>7</v>
      </c>
      <c r="P333">
        <v>2</v>
      </c>
      <c r="Q333">
        <v>4</v>
      </c>
      <c r="R333">
        <v>0</v>
      </c>
      <c r="S333">
        <v>162.75</v>
      </c>
      <c r="T333">
        <v>92.25</v>
      </c>
      <c r="U333">
        <v>2.5</v>
      </c>
      <c r="V333">
        <v>257.5</v>
      </c>
      <c r="W333">
        <v>3402.5</v>
      </c>
      <c r="X333">
        <v>145</v>
      </c>
      <c r="Y333">
        <v>125</v>
      </c>
      <c r="Z333">
        <v>0</v>
      </c>
      <c r="AA333">
        <v>-70</v>
      </c>
      <c r="AB333">
        <v>1855</v>
      </c>
      <c r="AC333">
        <v>0</v>
      </c>
      <c r="AD333">
        <v>0</v>
      </c>
      <c r="AE333">
        <v>770</v>
      </c>
      <c r="AF333">
        <v>1855</v>
      </c>
      <c r="AG333">
        <v>3597.5</v>
      </c>
      <c r="AH333">
        <v>2827.5</v>
      </c>
      <c r="AI333">
        <v>0</v>
      </c>
      <c r="AJ333">
        <v>790</v>
      </c>
      <c r="AK333">
        <v>905</v>
      </c>
      <c r="AL333">
        <v>905</v>
      </c>
      <c r="AM333">
        <v>0</v>
      </c>
      <c r="AN333">
        <v>0</v>
      </c>
      <c r="AO333">
        <v>0</v>
      </c>
      <c r="AP333">
        <v>0</v>
      </c>
      <c r="AQ333">
        <v>1</v>
      </c>
      <c r="AR333">
        <v>0</v>
      </c>
      <c r="AS333">
        <v>0</v>
      </c>
      <c r="AT333">
        <v>2095</v>
      </c>
      <c r="AU333">
        <v>304</v>
      </c>
      <c r="AV333">
        <v>1730</v>
      </c>
      <c r="AW333">
        <v>61</v>
      </c>
      <c r="AX333">
        <v>162.75</v>
      </c>
      <c r="AY333">
        <v>6</v>
      </c>
      <c r="AZ333">
        <v>154.25</v>
      </c>
      <c r="BA333">
        <v>2.5</v>
      </c>
      <c r="BB333">
        <v>92.25</v>
      </c>
      <c r="BC333">
        <v>42.25</v>
      </c>
      <c r="BD333">
        <v>47.75</v>
      </c>
      <c r="BE333">
        <v>2.25</v>
      </c>
    </row>
    <row r="334" spans="1:57">
      <c r="A334" t="s">
        <v>17197</v>
      </c>
      <c r="B334" t="s">
        <v>22130</v>
      </c>
      <c r="C334">
        <v>0</v>
      </c>
      <c r="D334">
        <v>4</v>
      </c>
      <c r="E334">
        <v>4</v>
      </c>
      <c r="F334">
        <v>4</v>
      </c>
      <c r="G334">
        <v>0</v>
      </c>
      <c r="H334">
        <v>0</v>
      </c>
      <c r="I334">
        <v>0</v>
      </c>
      <c r="J334">
        <v>4</v>
      </c>
      <c r="K334">
        <v>25</v>
      </c>
      <c r="L334">
        <v>4</v>
      </c>
      <c r="M334">
        <v>0</v>
      </c>
      <c r="N334">
        <v>0</v>
      </c>
      <c r="O334">
        <v>0</v>
      </c>
      <c r="P334">
        <v>0</v>
      </c>
      <c r="Q334">
        <v>0</v>
      </c>
      <c r="R334">
        <v>0</v>
      </c>
      <c r="S334">
        <v>5.75</v>
      </c>
      <c r="T334">
        <v>4</v>
      </c>
      <c r="U334">
        <v>2.5</v>
      </c>
      <c r="V334">
        <v>12.25</v>
      </c>
      <c r="W334">
        <v>137.5</v>
      </c>
      <c r="X334">
        <v>0</v>
      </c>
      <c r="Y334">
        <v>0</v>
      </c>
      <c r="Z334">
        <v>4</v>
      </c>
      <c r="AA334">
        <v>0</v>
      </c>
      <c r="AB334">
        <v>20</v>
      </c>
      <c r="AC334">
        <v>0</v>
      </c>
      <c r="AD334">
        <v>0</v>
      </c>
      <c r="AE334">
        <v>0</v>
      </c>
      <c r="AF334">
        <v>20</v>
      </c>
      <c r="AG334">
        <v>187.5</v>
      </c>
      <c r="AH334">
        <v>187.5</v>
      </c>
      <c r="AI334">
        <v>0</v>
      </c>
      <c r="AJ334">
        <v>0</v>
      </c>
      <c r="AK334">
        <v>0</v>
      </c>
      <c r="AL334">
        <v>0</v>
      </c>
      <c r="AM334">
        <v>0</v>
      </c>
      <c r="AN334">
        <v>0</v>
      </c>
      <c r="AO334">
        <v>0</v>
      </c>
      <c r="AP334">
        <v>0</v>
      </c>
      <c r="AQ334">
        <v>0</v>
      </c>
      <c r="AR334">
        <v>0</v>
      </c>
      <c r="AS334">
        <v>0</v>
      </c>
      <c r="AT334">
        <v>25</v>
      </c>
      <c r="AU334">
        <v>0</v>
      </c>
      <c r="AV334">
        <v>25</v>
      </c>
      <c r="AW334">
        <v>0</v>
      </c>
      <c r="AX334">
        <v>5.75</v>
      </c>
      <c r="AY334">
        <v>0</v>
      </c>
      <c r="AZ334">
        <v>5.75</v>
      </c>
      <c r="BA334">
        <v>0</v>
      </c>
      <c r="BB334">
        <v>4</v>
      </c>
      <c r="BC334">
        <v>0</v>
      </c>
      <c r="BD334">
        <v>4</v>
      </c>
      <c r="BE334">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U116"/>
  <sheetViews>
    <sheetView workbookViewId="0"/>
  </sheetViews>
  <sheetFormatPr baseColWidth="10" defaultColWidth="11.5" defaultRowHeight="15"/>
  <cols>
    <col min="1" max="1" width="11.5" style="10"/>
    <col min="2" max="2" width="25.5" customWidth="1"/>
    <col min="3" max="6" width="11.5" hidden="1" customWidth="1"/>
    <col min="7" max="7" width="10.5" hidden="1" customWidth="1"/>
    <col min="8" max="15" width="11.5" hidden="1" customWidth="1"/>
    <col min="16" max="17" width="10.5" hidden="1" customWidth="1"/>
    <col min="18" max="25" width="11.5" hidden="1" customWidth="1"/>
    <col min="26" max="27" width="10.5" hidden="1" customWidth="1"/>
    <col min="28" max="35" width="11.5" hidden="1" customWidth="1"/>
    <col min="36" max="37" width="10.5" hidden="1" customWidth="1"/>
    <col min="38" max="45" width="11.5" hidden="1" customWidth="1"/>
    <col min="46" max="47" width="10.5" hidden="1" customWidth="1"/>
    <col min="48" max="55" width="11.5" hidden="1" customWidth="1"/>
    <col min="56" max="57" width="10.5" hidden="1" customWidth="1"/>
    <col min="58" max="65" width="11.5" hidden="1" customWidth="1"/>
    <col min="66" max="67" width="10.5" hidden="1" customWidth="1"/>
    <col min="68" max="75" width="11.5" hidden="1" customWidth="1"/>
    <col min="76" max="77" width="10.5" hidden="1" customWidth="1"/>
    <col min="78" max="85" width="11.5" hidden="1" customWidth="1"/>
    <col min="86" max="87" width="10.5" hidden="1" customWidth="1"/>
    <col min="88" max="89" width="11.5" hidden="1" customWidth="1"/>
  </cols>
  <sheetData>
    <row r="1" spans="1:99" s="3" customFormat="1" ht="96">
      <c r="A1" s="3" t="s">
        <v>17442</v>
      </c>
      <c r="B1" s="2" t="s">
        <v>16796</v>
      </c>
      <c r="C1" s="2" t="s">
        <v>17231</v>
      </c>
      <c r="D1" s="2" t="s">
        <v>17291</v>
      </c>
      <c r="E1" s="2" t="s">
        <v>17290</v>
      </c>
      <c r="F1" s="2" t="s">
        <v>17259</v>
      </c>
      <c r="G1" s="2" t="s">
        <v>17258</v>
      </c>
      <c r="H1" s="2" t="s">
        <v>17230</v>
      </c>
      <c r="I1" s="2" t="s">
        <v>17505</v>
      </c>
      <c r="J1" s="2" t="s">
        <v>17404</v>
      </c>
      <c r="K1" s="2" t="s">
        <v>17399</v>
      </c>
      <c r="L1" s="2" t="s">
        <v>17400</v>
      </c>
      <c r="M1" s="2" t="s">
        <v>18854</v>
      </c>
      <c r="N1" s="2" t="s">
        <v>17401</v>
      </c>
      <c r="O1" s="2" t="s">
        <v>18855</v>
      </c>
      <c r="P1" s="2" t="s">
        <v>17402</v>
      </c>
      <c r="Q1" s="2" t="s">
        <v>17499</v>
      </c>
      <c r="R1" s="2" t="s">
        <v>17403</v>
      </c>
      <c r="S1" s="2" t="s">
        <v>17506</v>
      </c>
      <c r="T1" s="2" t="s">
        <v>18857</v>
      </c>
      <c r="U1" s="2" t="s">
        <v>18858</v>
      </c>
      <c r="V1" s="2" t="s">
        <v>18859</v>
      </c>
      <c r="W1" s="2" t="s">
        <v>18854</v>
      </c>
      <c r="X1" s="2" t="s">
        <v>18860</v>
      </c>
      <c r="Y1" s="2" t="s">
        <v>18856</v>
      </c>
      <c r="Z1" s="2" t="s">
        <v>18861</v>
      </c>
      <c r="AA1" s="2" t="s">
        <v>17499</v>
      </c>
      <c r="AB1" s="2" t="s">
        <v>18862</v>
      </c>
      <c r="AC1" s="2" t="s">
        <v>18863</v>
      </c>
      <c r="AD1" s="2" t="s">
        <v>19356</v>
      </c>
      <c r="AE1" s="2" t="s">
        <v>19357</v>
      </c>
      <c r="AF1" s="2" t="s">
        <v>19358</v>
      </c>
      <c r="AG1" s="2" t="s">
        <v>18854</v>
      </c>
      <c r="AH1" s="2" t="s">
        <v>19359</v>
      </c>
      <c r="AI1" s="2" t="s">
        <v>18856</v>
      </c>
      <c r="AJ1" s="2" t="s">
        <v>19360</v>
      </c>
      <c r="AK1" s="2" t="s">
        <v>17499</v>
      </c>
      <c r="AL1" s="2" t="s">
        <v>19361</v>
      </c>
      <c r="AM1" s="2" t="s">
        <v>19362</v>
      </c>
      <c r="AN1" s="2" t="s">
        <v>19993</v>
      </c>
      <c r="AO1" s="2" t="s">
        <v>19994</v>
      </c>
      <c r="AP1" s="2" t="s">
        <v>19995</v>
      </c>
      <c r="AQ1" s="2" t="s">
        <v>18854</v>
      </c>
      <c r="AR1" s="2" t="s">
        <v>19996</v>
      </c>
      <c r="AS1" s="2" t="s">
        <v>18856</v>
      </c>
      <c r="AT1" s="2" t="s">
        <v>19997</v>
      </c>
      <c r="AU1" s="2" t="s">
        <v>17499</v>
      </c>
      <c r="AV1" s="2" t="s">
        <v>19998</v>
      </c>
      <c r="AW1" s="2" t="s">
        <v>19999</v>
      </c>
      <c r="AX1" s="2" t="s">
        <v>20659</v>
      </c>
      <c r="AY1" s="2" t="s">
        <v>20660</v>
      </c>
      <c r="AZ1" s="2" t="s">
        <v>20661</v>
      </c>
      <c r="BA1" s="2" t="s">
        <v>18854</v>
      </c>
      <c r="BB1" s="2" t="s">
        <v>20662</v>
      </c>
      <c r="BC1" s="2" t="s">
        <v>18856</v>
      </c>
      <c r="BD1" s="2" t="s">
        <v>20663</v>
      </c>
      <c r="BE1" s="2" t="s">
        <v>17499</v>
      </c>
      <c r="BF1" s="2" t="s">
        <v>20664</v>
      </c>
      <c r="BG1" s="2" t="s">
        <v>20665</v>
      </c>
      <c r="BH1" s="2" t="s">
        <v>21559</v>
      </c>
      <c r="BI1" s="2" t="s">
        <v>21560</v>
      </c>
      <c r="BJ1" s="2" t="s">
        <v>21561</v>
      </c>
      <c r="BK1" s="2" t="s">
        <v>18854</v>
      </c>
      <c r="BL1" s="2" t="s">
        <v>21562</v>
      </c>
      <c r="BM1" s="2" t="s">
        <v>18856</v>
      </c>
      <c r="BN1" s="2" t="s">
        <v>21563</v>
      </c>
      <c r="BO1" s="2" t="s">
        <v>17499</v>
      </c>
      <c r="BP1" s="2" t="s">
        <v>21564</v>
      </c>
      <c r="BQ1" s="2" t="s">
        <v>21565</v>
      </c>
      <c r="BR1" s="2" t="s">
        <v>22076</v>
      </c>
      <c r="BS1" s="2" t="s">
        <v>22077</v>
      </c>
      <c r="BT1" s="2" t="s">
        <v>22078</v>
      </c>
      <c r="BU1" s="2" t="s">
        <v>18854</v>
      </c>
      <c r="BV1" s="2" t="s">
        <v>22079</v>
      </c>
      <c r="BW1" s="2" t="s">
        <v>18856</v>
      </c>
      <c r="BX1" s="2" t="s">
        <v>22080</v>
      </c>
      <c r="BY1" s="2" t="s">
        <v>17499</v>
      </c>
      <c r="BZ1" s="2" t="s">
        <v>22081</v>
      </c>
      <c r="CA1" s="2" t="s">
        <v>22082</v>
      </c>
      <c r="CB1" s="2" t="s">
        <v>22096</v>
      </c>
      <c r="CC1" s="2" t="s">
        <v>22097</v>
      </c>
      <c r="CD1" s="2" t="s">
        <v>22098</v>
      </c>
      <c r="CE1" s="2" t="s">
        <v>18854</v>
      </c>
      <c r="CF1" s="2" t="s">
        <v>22099</v>
      </c>
      <c r="CG1" s="2" t="s">
        <v>18856</v>
      </c>
      <c r="CH1" s="2" t="s">
        <v>22100</v>
      </c>
      <c r="CI1" s="2" t="s">
        <v>17499</v>
      </c>
      <c r="CJ1" s="2" t="s">
        <v>22101</v>
      </c>
      <c r="CK1" s="2" t="s">
        <v>22102</v>
      </c>
      <c r="CL1" s="2" t="s">
        <v>22107</v>
      </c>
      <c r="CM1" s="2" t="s">
        <v>22108</v>
      </c>
      <c r="CN1" s="2" t="s">
        <v>22109</v>
      </c>
      <c r="CO1" s="2" t="s">
        <v>18854</v>
      </c>
      <c r="CP1" s="2" t="s">
        <v>22110</v>
      </c>
      <c r="CQ1" s="2" t="s">
        <v>18856</v>
      </c>
      <c r="CR1" s="2" t="s">
        <v>22111</v>
      </c>
      <c r="CS1" s="2" t="s">
        <v>17499</v>
      </c>
      <c r="CT1" s="2" t="s">
        <v>22112</v>
      </c>
      <c r="CU1" s="2" t="s">
        <v>22113</v>
      </c>
    </row>
    <row r="2" spans="1:99" ht="16">
      <c r="A2" s="10">
        <v>1</v>
      </c>
      <c r="B2" s="1" t="s">
        <v>16794</v>
      </c>
      <c r="C2">
        <f>SUM(SUMIFS(LogFY15!D:D,LogFY15!A:A,"=*corp*",LogFY15!A:A,"&lt;&gt;*hhsc*"),SUMIFS(LogFY15!D:D,LogFY15!A:A,"=*county_attorney*"))</f>
        <v>27</v>
      </c>
      <c r="D2">
        <f>SUM(SUMIFS(LogFY15!D:D,LogFY15!A:A,"=*corp*",LogFY15!A:A,"&lt;&gt;*hhsc*"),SUMIFS(LogFY15!D:D,LogFY15!A:A,"=*county_attorney*"),-1*SUMIFS(LogFY15!L:L,LogFY15!A:A,"=*corp*",LogFY15!A:A,"&lt;&gt;*hhsc*"),-1*SUMIFS(LogFY15!L:L,LogFY15!A:A,"=*county_attorney*"),-1*SUMIFS(LogFY15!N:N,LogFY15!A:A,"=*corp*",LogFY15!A:A,"&lt;&gt;*hhsc*"),-1*SUMIFS(LogFY15!N:N,LogFY15!A:A,"=*county_attorney*"))</f>
        <v>10</v>
      </c>
      <c r="E2" s="7">
        <f>D2/C2</f>
        <v>0.37037037037037035</v>
      </c>
      <c r="F2">
        <f>ROUND(SUM(SUMIFS(LogFY15!K:K,LogFY15!A:A,"=*corp*",LogFY15!A:A,"&lt;&gt;*hhsc*"),SUMIFS(LogFY15!K:K,LogFY15!A:A,"=*county_attorney*"))/SUM(SUMIFS(LogFY15!J:J,LogFY15!A:A,"=*corp*",LogFY15!A:A,"&lt;&gt;*hhsc*"),SUMIFS(LogFY15!J:J,LogFY15!A:A,"=*county_attorney*")),0)</f>
        <v>16</v>
      </c>
      <c r="G2" s="1">
        <v>81</v>
      </c>
      <c r="H2">
        <f>COUNTIFS(All!F:F,"=corp*", All!B:B, "&gt;=7/1/2014", All!B:B,"&lt;=6/30/2015", All!E:E,"=U*",All!E:E,"&lt;&gt;UIPA*",All!E:E,"&lt;&gt;*RFO*",All!E:E,"&lt;&gt;*TRNG*")</f>
        <v>1</v>
      </c>
      <c r="I2" s="7">
        <f>ROUND(H2/C2,3)</f>
        <v>3.6999999999999998E-2</v>
      </c>
      <c r="J2">
        <f>SUM(SUMIFS(LogFY16!D:D,LogFY16!A:A,"=*corp*",LogFY16!A:A,"&lt;&gt;*hhsc*"),SUMIFS(LogFY16!D:D,LogFY16!A:A,"=*county_attorney*"))</f>
        <v>14</v>
      </c>
      <c r="K2">
        <f>SUM(SUMIFS(LogFY16!D:D,LogFY16!A:A,"=*corp*",LogFY16!A:A,"&lt;&gt;*hhsc*"),SUMIFS(LogFY16!D:D,LogFY16!A:A,"=*county_attorney*"),-1*SUMIFS(LogFY16!L:L,LogFY16!A:A,"=*corp*",LogFY16!A:A,"&lt;&gt;*hhsc*"),-1*SUMIFS(LogFY16!L:L,LogFY16!A:A,"=*county_attorney*"),-1*SUMIFS(LogFY16!N:N,LogFY16!A:A,"=*corp*",LogFY16!A:A,"&lt;&gt;*hhsc*"),-1*SUMIFS(LogFY16!N:N,LogFY16!A:A,"=*county_attorney*"))</f>
        <v>3</v>
      </c>
      <c r="L2" s="7">
        <f>K2/J2</f>
        <v>0.21428571428571427</v>
      </c>
      <c r="M2" s="7">
        <f>L2-E2</f>
        <v>-0.15608465608465608</v>
      </c>
      <c r="N2">
        <f>ROUND(SUM(SUMIFS(LogFY16!K:K,LogFY16!A:A,"=*corp*",LogFY16!A:A,"&lt;&gt;*hhsc*"),SUMIFS(LogFY16!K:K,LogFY16!A:A,"=*county_attorney*"))/SUM(SUMIFS(LogFY16!J:J,LogFY16!A:A,"=*corp*",LogFY16!A:A,"&lt;&gt;*hhsc*"),SUMIFS(LogFY16!J:J,LogFY16!A:A,"=*county_attorney*")),0)</f>
        <v>12</v>
      </c>
      <c r="O2">
        <f>N2-F2</f>
        <v>-4</v>
      </c>
      <c r="P2" s="1">
        <v>46</v>
      </c>
      <c r="Q2" s="1">
        <f>P2-G2</f>
        <v>-35</v>
      </c>
      <c r="R2">
        <f>COUNTIFS(All!F:F,"=corp*", All!B:B, "&gt;=7/1/2015", All!B:B,"&lt;=6/30/2016", All!E:E,"=U*",All!E:E,"&lt;&gt;UIPA*",All!E:E,"&lt;&gt;*RFO*",All!E:E,"&lt;&gt;*TRNG*")</f>
        <v>1</v>
      </c>
      <c r="S2" s="7">
        <f>ROUND(R2/(J2+C2),3)</f>
        <v>2.4E-2</v>
      </c>
      <c r="T2">
        <f>SUM(SUMIFS(LogFY17!D:D,LogFY17!A:A,"=*corp*",LogFY17!A:A,"&lt;&gt;*hhsc*"),SUMIFS(LogFY17!D:D,LogFY17!A:A,"=*county_attorney*"))</f>
        <v>23</v>
      </c>
      <c r="U2">
        <f>SUM(SUMIFS(LogFY17!D:D,LogFY17!A:A,"=*corp*",LogFY17!A:A,"&lt;&gt;*hhsc*"),SUMIFS(LogFY17!D:D,LogFY17!A:A,"=*county_attorney*"),-1*SUMIFS(LogFY17!L:L,LogFY17!A:A,"=*corp*",LogFY17!A:A,"&lt;&gt;*hhsc*"),-1*SUMIFS(LogFY17!L:L,LogFY17!A:A,"=*county_attorney*"),-1*SUMIFS(LogFY17!N:N,LogFY17!A:A,"=*corp*",LogFY17!A:A,"&lt;&gt;*hhsc*"),-1*SUMIFS(LogFY17!N:N,LogFY17!A:A,"=*county_attorney*"))</f>
        <v>15</v>
      </c>
      <c r="V2" s="7">
        <f>U2/T2</f>
        <v>0.65217391304347827</v>
      </c>
      <c r="W2" s="7">
        <f>V2-L2</f>
        <v>0.43788819875776397</v>
      </c>
      <c r="X2">
        <f>ROUND(SUM(SUMIFS(LogFY17!K:K,LogFY17!A:A,"=*corp*",LogFY17!A:A,"&lt;&gt;*hhsc*"),SUMIFS(LogFY17!K:K,LogFY17!A:A,"=*county_attorney*"))/SUM(SUMIFS(LogFY17!J:J,LogFY17!A:A,"=*corp*",LogFY17!A:A,"&lt;&gt;*hhsc*"),SUMIFS(LogFY17!J:J,LogFY17!A:A,"=*county_attorney*")),0)</f>
        <v>7</v>
      </c>
      <c r="Y2">
        <f>X2-N2</f>
        <v>-5</v>
      </c>
      <c r="Z2" s="1">
        <v>18</v>
      </c>
      <c r="AA2" s="1">
        <f>Z2-P2</f>
        <v>-28</v>
      </c>
      <c r="AB2">
        <f>SUM(COUNTIFS(All!F:F,"=corp*", All!B:B, "&gt;=7/1/2016", All!B:B,"&lt;=6/30/2017", All!E:E,"=U*",All!E:E,"&lt;&gt;UIPA*",All!E:E,"&lt;&gt;*RFO*",All!E:E,"&lt;&gt;*TRNG*"),COUNTIFS(All!F:F,"=cnty atty*", All!B:B, "&gt;=7/1/2016", All!B:B,"&lt;=6/30/2017", All!E:E,"=U*",All!E:E,"&lt;&gt;UIPA*",All!E:E,"&lt;&gt;*RFO*",All!E:E,"&lt;&gt;*TRNG*"))</f>
        <v>0</v>
      </c>
      <c r="AC2" s="7">
        <f>ROUND(AB2/(T2+J2),3)</f>
        <v>0</v>
      </c>
      <c r="AD2">
        <f>SUM(SUMIFS(LogFY18!D:D,LogFY18!A:A,"=*corp*",LogFY18!A:A,"&lt;&gt;*hhsc*"),SUMIFS(LogFY18!D:D,LogFY18!A:A,"=*county_attorney*"))</f>
        <v>36</v>
      </c>
      <c r="AE2">
        <f>SUM(SUMIFS(LogFY18!D:D,LogFY18!A:A,"=*corp*",LogFY18!A:A,"&lt;&gt;*hhsc*"),SUMIFS(LogFY18!D:D,LogFY18!A:A,"=*county_attorney*"),-1*SUMIFS(LogFY18!L:L,LogFY18!A:A,"=*corp*",LogFY18!A:A,"&lt;&gt;*hhsc*"),-1*SUMIFS(LogFY18!L:L,LogFY18!A:A,"=*county_attorney*"),-1*SUMIFS(LogFY18!N:N,LogFY18!A:A,"=*corp*",LogFY18!A:A,"&lt;&gt;*hhsc*"),-1*SUMIFS(LogFY18!N:N,LogFY18!A:A,"=*county_attorney*"))</f>
        <v>27</v>
      </c>
      <c r="AF2" s="7">
        <f t="shared" ref="AF2:AF10" si="0">AE2/AD2</f>
        <v>0.75</v>
      </c>
      <c r="AG2" s="7">
        <f t="shared" ref="AG2:AG10" si="1">AF2-V2</f>
        <v>9.7826086956521729E-2</v>
      </c>
      <c r="AH2">
        <f>ROUND(SUM(SUMIFS(LogFY18!K:K,LogFY18!A:A,"=*corp*",LogFY18!A:A,"&lt;&gt;*hhsc*"),SUMIFS(LogFY18!K:K,LogFY18!A:A,"=*county_attorney*"))/SUM(SUMIFS(LogFY18!J:J,LogFY18!A:A,"=*corp*",LogFY18!A:A,"&lt;&gt;*hhsc*"),SUMIFS(LogFY18!J:J,LogFY18!A:A,"=*county_attorney*")),0)</f>
        <v>13</v>
      </c>
      <c r="AI2">
        <f t="shared" ref="AI2:AI10" si="2">AH2-X2</f>
        <v>6</v>
      </c>
      <c r="AJ2" s="1">
        <v>61</v>
      </c>
      <c r="AK2" s="1">
        <f t="shared" ref="AK2:AK10" si="3">AJ2-Z2</f>
        <v>43</v>
      </c>
      <c r="AL2">
        <f>SUM(COUNTIFS(All!F:F,"=corp*", All!B:B, "&gt;=7/1/2017", All!B:B,"&lt;=6/30/2018", All!E:E,"=U*",All!E:E,"&lt;&gt;UIPA*",All!E:E,"&lt;&gt;*RFO*",All!E:E,"&lt;&gt;*TRNG*"),COUNTIFS(All!F:F,"=cnty atty*", All!B:B, "&gt;=7/1/2017", All!B:B,"&lt;=6/30/2018", All!E:E,"=U*",All!E:E,"&lt;&gt;UIPA*",All!E:E,"&lt;&gt;*RFO*",All!E:E,"&lt;&gt;*TRNG*"))</f>
        <v>5</v>
      </c>
      <c r="AM2" s="7">
        <f>ROUND(AL2/(AD2+T2),3)</f>
        <v>8.5000000000000006E-2</v>
      </c>
      <c r="AN2">
        <f>SUM(SUMIFS(LogFY19!D:D,LogFY19!A:A,"=*corp*",LogFY19!A:A,"&lt;&gt;*hhsc*"),SUMIFS(LogFY19!D:D,LogFY19!A:A,"=*county_attorney*"))</f>
        <v>17</v>
      </c>
      <c r="AO2">
        <f>SUM(SUMIFS(LogFY19!D:D,LogFY19!A:A,"=*corp*",LogFY19!A:A,"&lt;&gt;*hhsc*"),SUMIFS(LogFY19!D:D,LogFY19!A:A,"=*county_attorney*"),-1*SUMIFS(LogFY19!L:L,LogFY19!A:A,"=*corp*",LogFY19!A:A,"&lt;&gt;*hhsc*"),-1*SUMIFS(LogFY19!L:L,LogFY19!A:A,"=*county_attorney*"),-1*SUMIFS(LogFY19!N:N,LogFY19!A:A,"=*corp*",LogFY19!A:A,"&lt;&gt;*hhsc*"),-1*SUMIFS(LogFY19!N:N,LogFY19!A:A,"=*county_attorney*"))</f>
        <v>9</v>
      </c>
      <c r="AP2" s="7">
        <f t="shared" ref="AP2:AP10" si="4">AO2/AN2</f>
        <v>0.52941176470588236</v>
      </c>
      <c r="AQ2" s="7">
        <f t="shared" ref="AQ2:AQ10" si="5">AP2-AF2</f>
        <v>-0.22058823529411764</v>
      </c>
      <c r="AR2">
        <f>ROUND(SUM(SUMIFS(LogFY19!K:K,LogFY19!A:A,"=*corp*",LogFY19!A:A,"&lt;&gt;*hhsc*"),SUMIFS(LogFY19!K:K,LogFY19!A:A,"=*county_attorney*"))/SUM(SUMIFS(LogFY19!J:J,LogFY19!A:A,"=*corp*",LogFY19!A:A,"&lt;&gt;*hhsc*"),SUMIFS(LogFY19!J:J,LogFY19!A:A,"=*county_attorney*")),0)</f>
        <v>6</v>
      </c>
      <c r="AS2">
        <f t="shared" ref="AS2:AS10" si="6">AR2-AH2</f>
        <v>-7</v>
      </c>
      <c r="AT2" s="1">
        <v>21</v>
      </c>
      <c r="AU2" s="1">
        <f t="shared" ref="AU2:AU10" si="7">AT2-AJ2</f>
        <v>-40</v>
      </c>
      <c r="AV2">
        <f>SUM(COUNTIFS(All!F:F,"=corp*", All!B:B, "&gt;=7/1/2018", All!B:B,"&lt;=6/30/2019", All!E:E,"=U*",All!E:E,"&lt;&gt;UIPA*",All!E:E,"&lt;&gt;*RFO*",All!E:E,"&lt;&gt;*TRNG*"),COUNTIFS(All!F:F,"=cnty atty*", All!B:B, "&gt;=7/1/2018", All!B:B,"&lt;=6/30/2019", All!E:E,"=U*",All!E:E,"&lt;&gt;UIPA*",All!E:E,"&lt;&gt;*RFO*",All!E:E,"&lt;&gt;*TRNG*"))</f>
        <v>1</v>
      </c>
      <c r="AW2" s="7">
        <f>ROUND(AV2/(AN2+AD2),3)</f>
        <v>1.9E-2</v>
      </c>
      <c r="AX2">
        <f>SUM(SUMIFS(LogFY20!D:D,LogFY20!A:A,"=*corp*",LogFY20!A:A,"&lt;&gt;*hhsc*"),SUMIFS(LogFY20!D:D,LogFY20!A:A,"=*county_attorney*"))</f>
        <v>40</v>
      </c>
      <c r="AY2">
        <f>SUM(SUMIFS(LogFY20!D:D,LogFY20!A:A,"=*corp*",LogFY20!A:A,"&lt;&gt;*hhsc*"),SUMIFS(LogFY20!D:D,LogFY20!A:A,"=*county_attorney*"),-1*SUMIFS(LogFY20!L:L,LogFY20!A:A,"=*corp*",LogFY20!A:A,"&lt;&gt;*hhsc*"),-1*SUMIFS(LogFY20!L:L,LogFY20!A:A,"=*county_attorney*"),-1*SUMIFS(LogFY20!N:N,LogFY20!A:A,"=*corp*",LogFY20!A:A,"&lt;&gt;*hhsc*"),-1*SUMIFS(LogFY20!N:N,LogFY20!A:A,"=*county_attorney*"))</f>
        <v>27</v>
      </c>
      <c r="AZ2" s="7">
        <f t="shared" ref="AZ2:AZ21" si="8">AY2/AX2</f>
        <v>0.67500000000000004</v>
      </c>
      <c r="BA2" s="7">
        <f t="shared" ref="BA2:BA25" si="9">AZ2-AP2</f>
        <v>0.14558823529411768</v>
      </c>
      <c r="BB2">
        <f>ROUND(SUM(SUMIFS(LogFY20!K:K,LogFY20!A:A,"=*corp*",LogFY20!A:A,"&lt;&gt;*hhsc*"),SUMIFS(LogFY20!K:K,LogFY20!A:A,"=*county_attorney*"))/SUM(SUMIFS(LogFY20!J:J,LogFY20!A:A,"=*corp*",LogFY20!A:A,"&lt;&gt;*hhsc*"),SUMIFS(LogFY20!J:J,LogFY20!A:A,"=*county_attorney*")),0)</f>
        <v>16</v>
      </c>
      <c r="BC2">
        <f t="shared" ref="BC2:BC21" si="10">BB2-AR2</f>
        <v>10</v>
      </c>
      <c r="BD2" s="1">
        <v>131</v>
      </c>
      <c r="BE2" s="1">
        <f t="shared" ref="BE2:BE25" si="11">BD2-AT2</f>
        <v>110</v>
      </c>
      <c r="BF2">
        <f>SUM(COUNTIFS(All!F:F,"=corp*", All!B:B, "&gt;=7/1/2019", All!B:B,"&lt;=6/30/2020", All!E:E,"=U*",All!E:E,"&lt;&gt;UIPA*",All!E:E,"&lt;&gt;*RFO*",All!E:E,"&lt;&gt;*TRNG*"),COUNTIFS(All!F:F,"=cnty atty*", All!B:B, "&gt;=7/1/2019", All!B:B,"&lt;=6/30/2020", All!E:E,"=U*",All!E:E,"&lt;&gt;UIPA*",All!E:E,"&lt;&gt;*RFO*",All!E:E,"&lt;&gt;*TRNG*"))</f>
        <v>4</v>
      </c>
      <c r="BG2" s="7">
        <f>ROUND(BF2/(AX2+AN2),3)</f>
        <v>7.0000000000000007E-2</v>
      </c>
      <c r="BH2">
        <f>SUM(SUMIFS(LogFY21!D:D,LogFY21!A:A,"=*corp*",LogFY21!A:A,"&lt;&gt;*hhsc*"),SUMIFS(LogFY21!D:D,LogFY21!A:A,"=*county_attorney*"))</f>
        <v>33</v>
      </c>
      <c r="BI2">
        <f>SUM(SUMIFS(LogFY21!D:D,LogFY21!A:A,"=*corp*",LogFY21!A:A,"&lt;&gt;*hhsc*"),SUMIFS(LogFY21!D:D,LogFY21!A:A,"=*county_attorney*"),-1*SUMIFS(LogFY21!L:L,LogFY21!A:A,"=*corp*",LogFY21!A:A,"&lt;&gt;*hhsc*"),-1*SUMIFS(LogFY21!L:L,LogFY21!A:A,"=*county_attorney*"),-1*SUMIFS(LogFY21!N:N,LogFY21!A:A,"=*corp*",LogFY21!A:A,"&lt;&gt;*hhsc*"),-1*SUMIFS(LogFY21!N:N,LogFY21!A:A,"=*county_attorney*"))</f>
        <v>16</v>
      </c>
      <c r="BJ2" s="7">
        <f t="shared" ref="BJ2:BJ13" si="12">BI2/BH2</f>
        <v>0.48484848484848486</v>
      </c>
      <c r="BK2" s="7">
        <f t="shared" ref="BK2:BK13" si="13">BJ2-AZ2</f>
        <v>-0.19015151515151518</v>
      </c>
      <c r="BL2">
        <f>ROUND(SUM(SUMIFS(LogFY21!K:K,LogFY21!A:A,"=*corp*",LogFY21!A:A,"&lt;&gt;*hhsc*"),SUMIFS(LogFY21!K:K,LogFY21!A:A,"=*county_attorney*"))/SUM(SUMIFS(LogFY21!J:J,LogFY21!A:A,"=*corp*",LogFY21!A:A,"&lt;&gt;*hhsc*"),SUMIFS(LogFY21!J:J,LogFY21!A:A,"=*county_attorney*")),0)</f>
        <v>26</v>
      </c>
      <c r="BM2">
        <f t="shared" ref="BM2:BM13" si="14">BL2-BB2</f>
        <v>10</v>
      </c>
      <c r="BN2" s="1">
        <v>227</v>
      </c>
      <c r="BO2" s="1">
        <f t="shared" ref="BO2:BO13" si="15">BN2-BD2</f>
        <v>96</v>
      </c>
      <c r="BP2">
        <f>SUM(COUNTIFS(All!F:F,"=corp*", All!B:B, "&gt;=7/1/2020", All!B:B,"&lt;=6/30/2021", All!E:E,"=U*",All!E:E,"&lt;&gt;UIPA*",All!E:E,"&lt;&gt;*RFO*",All!E:E,"&lt;&gt;*TRNG*"),COUNTIFS(All!F:F,"=cnty atty*", All!B:B, "&gt;=7/1/2020", All!B:B,"&lt;=6/30/2021", All!E:E,"=U*",All!E:E,"&lt;&gt;UIPA*",All!E:E,"&lt;&gt;*RFO*",All!E:E,"&lt;&gt;*TRNG*"))</f>
        <v>1</v>
      </c>
      <c r="BQ2" s="7">
        <f>ROUND(BP2/(BH2+AX2),3)</f>
        <v>1.4E-2</v>
      </c>
      <c r="BR2">
        <f>SUM(SUMIFS(LogFY22!D:D,LogFY22!A:A,"=*corp*",LogFY22!A:A,"&lt;&gt;*hhsc*"),SUMIFS(LogFY22!D:D,LogFY22!A:A,"=*county_attorney*"))</f>
        <v>37</v>
      </c>
      <c r="BS2">
        <f>SUM(SUMIFS(LogFY22!D:D,LogFY22!A:A,"=*corp*",LogFY22!A:A,"&lt;&gt;*hhsc*"),SUMIFS(LogFY22!D:D,LogFY22!A:A,"=*county_attorney*"),-1*SUMIFS(LogFY22!L:L,LogFY22!A:A,"=*corp*",LogFY22!A:A,"&lt;&gt;*hhsc*"),-1*SUMIFS(LogFY22!L:L,LogFY22!A:A,"=*county_attorney*"),-1*SUMIFS(LogFY22!N:N,LogFY22!A:A,"=*corp*",LogFY22!A:A,"&lt;&gt;*hhsc*"),-1*SUMIFS(LogFY22!N:N,LogFY22!A:A,"=*county_attorney*"))</f>
        <v>13</v>
      </c>
      <c r="BT2" s="7">
        <f t="shared" ref="BT2:BT21" si="16">BS2/BR2</f>
        <v>0.35135135135135137</v>
      </c>
      <c r="BU2" s="7">
        <f t="shared" ref="BU2:BU47" si="17">BT2-BJ2</f>
        <v>-0.13349713349713349</v>
      </c>
      <c r="BV2">
        <f>ROUND(SUM(SUMIFS(LogFY22!K:K,LogFY22!A:A,"=*corp*",LogFY22!A:A,"&lt;&gt;*hhsc*"),SUMIFS(LogFY22!K:K,LogFY22!A:A,"=*county_attorney*"))/SUM(SUMIFS(LogFY22!J:J,LogFY22!A:A,"=*corp*",LogFY22!A:A,"&lt;&gt;*hhsc*"),SUMIFS(LogFY22!J:J,LogFY22!A:A,"=*county_attorney*")),0)</f>
        <v>6</v>
      </c>
      <c r="BW2">
        <f t="shared" ref="BW2:BW21" si="18">BV2-BL2</f>
        <v>-20</v>
      </c>
      <c r="BX2" s="1">
        <v>22</v>
      </c>
      <c r="BY2" s="1">
        <f t="shared" ref="BY2:BY15" si="19">BX2-BN2</f>
        <v>-205</v>
      </c>
      <c r="BZ2">
        <f>SUM(COUNTIFS(All!F:F,"=corp*", All!B:B, "&gt;=7/1/2021", All!B:B,"&lt;=6/30/2022", All!E:E,"=U*",All!E:E,"&lt;&gt;UIPA*",All!E:E,"&lt;&gt;*RFO*",All!E:E,"&lt;&gt;*TRNG*"),COUNTIFS(All!F:F,"=cnty atty*", All!B:B, "&gt;=7/1/2021", All!B:B,"&lt;=6/30/2022", All!E:E,"=U*",All!E:E,"&lt;&gt;UIPA*",All!E:E,"&lt;&gt;*RFO*",All!E:E,"&lt;&gt;*TRNG*"))</f>
        <v>0</v>
      </c>
      <c r="CA2" s="7">
        <f>ROUND(BZ2/(BR2+BH2),3)</f>
        <v>0</v>
      </c>
      <c r="CB2">
        <f>SUM(SUMIFS(LogFY23!D:D,LogFY23!A:A,"=*corp*",LogFY23!A:A,"&lt;&gt;*hhsc*"),SUMIFS(LogFY23!D:D,LogFY23!A:A,"=*county_attorney*"))</f>
        <v>39</v>
      </c>
      <c r="CC2">
        <f>SUM(SUMIFS(LogFY23!D:D,LogFY23!A:A,"=*corp*",LogFY23!A:A,"&lt;&gt;*hhsc*"),SUMIFS(LogFY23!D:D,LogFY23!A:A,"=*county_attorney*"),-1*SUMIFS(LogFY23!L:L,LogFY23!A:A,"=*corp*",LogFY23!A:A,"&lt;&gt;*hhsc*"),-1*SUMIFS(LogFY23!L:L,LogFY23!A:A,"=*county_attorney*"),-1*SUMIFS(LogFY23!N:N,LogFY23!A:A,"=*corp*",LogFY23!A:A,"&lt;&gt;*hhsc*"),-1*SUMIFS(LogFY23!N:N,LogFY23!A:A,"=*county_attorney*"))</f>
        <v>16</v>
      </c>
      <c r="CD2" s="7">
        <f t="shared" ref="CD2:CD13" si="20">CC2/CB2</f>
        <v>0.41025641025641024</v>
      </c>
      <c r="CE2" s="7">
        <f t="shared" ref="CE2:CE13" si="21">CD2-BT2</f>
        <v>5.8905058905058871E-2</v>
      </c>
      <c r="CF2">
        <f>ROUND(SUM(SUMIFS(LogFY23!K:K,LogFY23!A:A,"=*corp*",LogFY23!A:A,"&lt;&gt;*hhsc*"),SUMIFS(LogFY23!K:K,LogFY23!A:A,"=*county_attorney*"))/SUM(SUMIFS(LogFY23!J:J,LogFY23!A:A,"=*corp*",LogFY23!A:A,"&lt;&gt;*hhsc*"),SUMIFS(LogFY23!J:J,LogFY23!A:A,"=*county_attorney*")),0)</f>
        <v>8</v>
      </c>
      <c r="CG2">
        <f t="shared" ref="CG2:CG13" si="22">CF2-BV2</f>
        <v>2</v>
      </c>
      <c r="CH2" s="1">
        <v>42</v>
      </c>
      <c r="CI2" s="1">
        <f t="shared" ref="CI2:CI33" si="23">CH2-BX2</f>
        <v>20</v>
      </c>
      <c r="CJ2">
        <f>SUM(COUNTIFS(All!F:F,"=corp*", All!B:B, "&gt;=7/1/2022", All!B:B,"&lt;=6/30/2023", All!E:E,"=U*",All!E:E,"&lt;&gt;UIPA*",All!E:E,"&lt;&gt;*RFO*",All!E:E,"&lt;&gt;*TRNG*"),COUNTIFS(All!F:F,"=cnty atty*", All!B:B, "&gt;=7/1/2022", All!B:B,"&lt;=6/30/2023", All!E:E,"=U*",All!E:E,"&lt;&gt;UIPA*",All!E:E,"&lt;&gt;*RFO*",All!E:E,"&lt;&gt;*TRNG*"))</f>
        <v>0</v>
      </c>
      <c r="CK2" s="7">
        <f>ROUND(CJ2/(CB2+BR2),3)</f>
        <v>0</v>
      </c>
      <c r="CL2">
        <f>SUM(SUMIFS(LogFY24!D:D,LogFY24!A:A,"=*corp*",LogFY24!A:A,"&lt;&gt;*hhsc*"),SUMIFS(LogFY24!D:D,LogFY24!A:A,"=*county_attorney*"))</f>
        <v>83</v>
      </c>
      <c r="CM2">
        <f>SUM(SUMIFS(LogFY24!D:D,LogFY24!A:A,"=*corp*",LogFY24!A:A,"&lt;&gt;*hhsc*"),SUMIFS(LogFY24!D:D,LogFY24!A:A,"=*county_attorney*"),-1*SUMIFS(LogFY24!L:L,LogFY24!A:A,"=*corp*",LogFY24!A:A,"&lt;&gt;*hhsc*"),-1*SUMIFS(LogFY24!L:L,LogFY24!A:A,"=*county_attorney*"),-1*SUMIFS(LogFY24!N:N,LogFY24!A:A,"=*corp*",LogFY24!A:A,"&lt;&gt;*hhsc*"),-1*SUMIFS(LogFY24!N:N,LogFY24!A:A,"=*county_attorney*"))</f>
        <v>44</v>
      </c>
      <c r="CN2" s="7">
        <f t="shared" ref="CN2:CN31" si="24">CM2/CL2</f>
        <v>0.53012048192771088</v>
      </c>
      <c r="CO2" s="7">
        <f t="shared" ref="CO2:CO33" si="25">CN2-CD2</f>
        <v>0.11986407167130064</v>
      </c>
      <c r="CP2">
        <f>ROUND(SUM(SUMIFS(LogFY24!K:K,LogFY24!A:A,"=*corp*",LogFY24!A:A,"&lt;&gt;*hhsc*"),SUMIFS(LogFY24!K:K,LogFY24!A:A,"=*county_attorney*"))/SUM(SUMIFS(LogFY24!J:J,LogFY24!A:A,"=*corp*",LogFY24!A:A,"&lt;&gt;*hhsc*"),SUMIFS(LogFY24!J:J,LogFY24!A:A,"=*county_attorney*")),0)</f>
        <v>11</v>
      </c>
      <c r="CQ2">
        <f t="shared" ref="CQ2:CQ33" si="26">CP2-CF2</f>
        <v>3</v>
      </c>
      <c r="CR2" s="1">
        <v>85</v>
      </c>
      <c r="CS2" s="1">
        <f t="shared" ref="CS2:CS47" si="27">CR2-CH2</f>
        <v>43</v>
      </c>
      <c r="CT2">
        <f>SUM(COUNTIFS(All!F:F,"=corp*", All!B:B, "&gt;=7/1/2023", All!B:B,"&lt;=6/30/2024", All!E:E,"=U*",All!E:E,"&lt;&gt;UIPA*",All!E:E,"&lt;&gt;*RFO*",All!E:E,"&lt;&gt;*TRNG*"),COUNTIFS(All!F:F,"=cnty atty*", All!B:B, "&gt;=7/1/2023", All!B:B,"&lt;=6/30/2024", All!E:E,"=U*",All!E:E,"&lt;&gt;UIPA*",All!E:E,"&lt;&gt;*RFO*",All!E:E,"&lt;&gt;*TRNG*"))</f>
        <v>10</v>
      </c>
      <c r="CU2" s="7">
        <f>ROUND(CT2/(CL2+CB2),3)</f>
        <v>8.2000000000000003E-2</v>
      </c>
    </row>
    <row r="3" spans="1:99" ht="16">
      <c r="A3" s="10">
        <f t="shared" ref="A3:A34" si="28">A2+1</f>
        <v>2</v>
      </c>
      <c r="B3" s="9" t="s">
        <v>17420</v>
      </c>
      <c r="C3">
        <f>SUMIFS(LogFY15!D:D,LogFY15!A:A,"=*honolulu_corporation*")</f>
        <v>5</v>
      </c>
      <c r="D3">
        <f>SUM(SUMIFS(LogFY15!D:D,LogFY15!A:A,"=*honolulu_corporation*"),-1*SUMIFS(LogFY15!L:L,LogFY15!A:A,"=*honolulu_corporation*"),-1*SUMIFS(LogFY15!N:N,LogFY15!A:A,"=*honolulu_corporation*"))</f>
        <v>2</v>
      </c>
      <c r="E3" s="7">
        <f>D3/C3</f>
        <v>0.4</v>
      </c>
      <c r="F3">
        <f>ROUND(SUMIFS(LogFY15!K:K,LogFY15!A:A,"=*honolulu_corporation*")/SUMIFS(LogFY15!J:J,LogFY15!A:A,"=*honolulu_corporation*"),0)</f>
        <v>8</v>
      </c>
      <c r="G3" s="1">
        <v>12</v>
      </c>
      <c r="J3">
        <f>SUMIFS(LogFY16!D:D,LogFY16!A:A,"=*honolulu_corporation*")</f>
        <v>8</v>
      </c>
      <c r="K3">
        <f>SUM(SUMIFS(LogFY16!D:D,LogFY16!A:A,"=*honolulu_corporation*"),-1*SUMIFS(LogFY16!L:L,LogFY16!A:A,"=*honolulu_corporation*"),-1*SUMIFS(LogFY16!N:N,LogFY16!A:A,"=*honolulu_corporation*"))</f>
        <v>3</v>
      </c>
      <c r="L3" s="7">
        <f>K3/J3</f>
        <v>0.375</v>
      </c>
      <c r="M3" s="7">
        <f>L3-E3</f>
        <v>-2.5000000000000022E-2</v>
      </c>
      <c r="N3">
        <f>ROUND(SUMIFS(LogFY16!K:K,LogFY16!A:A,"=*honolulu_corporation*")/SUMIFS(LogFY16!J:J,LogFY16!A:A,"=*honolulu_corporation*"),0)</f>
        <v>19</v>
      </c>
      <c r="O3">
        <f>N3-F3</f>
        <v>11</v>
      </c>
      <c r="P3" s="1">
        <v>46</v>
      </c>
      <c r="Q3" s="1">
        <f>P3-G3</f>
        <v>34</v>
      </c>
      <c r="T3">
        <f>SUMIFS(LogFY17!D:D,LogFY17!A:A,"=*honolulu_corporation*")</f>
        <v>12</v>
      </c>
      <c r="U3">
        <f>SUM(SUMIFS(LogFY17!D:D,LogFY17!A:A,"=*honolulu_corporation*"),-1*SUMIFS(LogFY17!L:L,LogFY17!A:A,"=*honolulu_corporation*"),-1*SUMIFS(LogFY17!N:N,LogFY17!A:A,"=*honolulu_corporation*"))</f>
        <v>8</v>
      </c>
      <c r="V3" s="7">
        <f>U3/T3</f>
        <v>0.66666666666666663</v>
      </c>
      <c r="W3" s="7">
        <f>V3-L3</f>
        <v>0.29166666666666663</v>
      </c>
      <c r="X3">
        <f>ROUND(SUMIFS(LogFY17!K:K,LogFY17!A:A,"=*honolulu_corporation*")/SUMIFS(LogFY17!J:J,LogFY17!A:A,"=*honolulu_corporation*"),0)</f>
        <v>8</v>
      </c>
      <c r="Y3">
        <f>X3-N3</f>
        <v>-11</v>
      </c>
      <c r="Z3" s="1">
        <v>18</v>
      </c>
      <c r="AA3" s="1">
        <f>Z3-P3</f>
        <v>-28</v>
      </c>
      <c r="AD3">
        <f>SUMIFS(LogFY18!D:D,LogFY18!A:A,"=*honolulu_corporation*")</f>
        <v>12</v>
      </c>
      <c r="AE3">
        <f>SUM(SUMIFS(LogFY18!D:D,LogFY18!A:A,"=*honolulu_corporation*"),-1*SUMIFS(LogFY18!L:L,LogFY18!A:A,"=*honolulu_corporation*"),-1*SUMIFS(LogFY18!N:N,LogFY18!A:A,"=*honolulu_corporation*"))</f>
        <v>6</v>
      </c>
      <c r="AF3" s="7">
        <f t="shared" si="0"/>
        <v>0.5</v>
      </c>
      <c r="AG3" s="7">
        <f t="shared" si="1"/>
        <v>-0.16666666666666663</v>
      </c>
      <c r="AH3">
        <f>ROUND(SUMIFS(LogFY18!K:K,LogFY18!A:A,"=*honolulu_corporation*")/SUMIFS(LogFY18!J:J,LogFY18!A:A,"=*honolulu_corporation*"),0)</f>
        <v>11</v>
      </c>
      <c r="AI3">
        <f t="shared" si="2"/>
        <v>3</v>
      </c>
      <c r="AJ3" s="1">
        <v>38</v>
      </c>
      <c r="AK3" s="1">
        <f t="shared" si="3"/>
        <v>20</v>
      </c>
      <c r="AN3">
        <f>SUMIFS(LogFY19!D:D,LogFY19!A:A,"=*honolulu_corporation*")</f>
        <v>7</v>
      </c>
      <c r="AO3">
        <f>SUM(SUMIFS(LogFY19!D:D,LogFY19!A:A,"=*honolulu_corporation*"),-1*SUMIFS(LogFY19!L:L,LogFY19!A:A,"=*honolulu_corporation*"),-1*SUMIFS(LogFY19!N:N,LogFY19!A:A,"=*honolulu_corporation*"))</f>
        <v>4</v>
      </c>
      <c r="AP3" s="7">
        <f t="shared" si="4"/>
        <v>0.5714285714285714</v>
      </c>
      <c r="AQ3" s="7">
        <f t="shared" si="5"/>
        <v>7.1428571428571397E-2</v>
      </c>
      <c r="AR3">
        <f>ROUND(SUMIFS(LogFY19!K:K,LogFY19!A:A,"=*honolulu_corporation*")/SUMIFS(LogFY19!J:J,LogFY19!A:A,"=*honolulu_corporation*"),0)</f>
        <v>10</v>
      </c>
      <c r="AS3">
        <f t="shared" si="6"/>
        <v>-1</v>
      </c>
      <c r="AT3" s="1">
        <v>21</v>
      </c>
      <c r="AU3" s="1">
        <f t="shared" si="7"/>
        <v>-17</v>
      </c>
      <c r="AX3">
        <f>SUMIFS(LogFY20!D:D,LogFY20!A:A,"=*honolulu_corporation*")</f>
        <v>27</v>
      </c>
      <c r="AY3">
        <f>SUM(SUMIFS(LogFY20!D:D,LogFY20!A:A,"=*honolulu_corporation*"),-1*SUMIFS(LogFY20!L:L,LogFY20!A:A,"=*honolulu_corporation*"),-1*SUMIFS(LogFY20!N:N,LogFY20!A:A,"=*honolulu_corporation*"))</f>
        <v>18</v>
      </c>
      <c r="AZ3" s="7">
        <f t="shared" si="8"/>
        <v>0.66666666666666663</v>
      </c>
      <c r="BA3" s="7">
        <f t="shared" si="9"/>
        <v>9.5238095238095233E-2</v>
      </c>
      <c r="BB3">
        <f>ROUND(SUMIFS(LogFY20!K:K,LogFY20!A:A,"=*honolulu_corporation*")/SUMIFS(LogFY20!J:J,LogFY20!A:A,"=*honolulu_corporation*"),0)</f>
        <v>17</v>
      </c>
      <c r="BC3">
        <f t="shared" si="10"/>
        <v>7</v>
      </c>
      <c r="BD3" s="1">
        <v>131</v>
      </c>
      <c r="BE3" s="1">
        <f t="shared" si="11"/>
        <v>110</v>
      </c>
      <c r="BH3">
        <f>SUMIFS(LogFY21!D:D,LogFY21!A:A,"=*honolulu_corporation*")</f>
        <v>16</v>
      </c>
      <c r="BI3">
        <f>SUM(SUMIFS(LogFY21!D:D,LogFY21!A:A,"=*honolulu_corporation*"),-1*SUMIFS(LogFY21!L:L,LogFY21!A:A,"=*honolulu_corporation*"),-1*SUMIFS(LogFY21!N:N,LogFY21!A:A,"=*honolulu_corporation*"))</f>
        <v>9</v>
      </c>
      <c r="BJ3" s="7">
        <f t="shared" si="12"/>
        <v>0.5625</v>
      </c>
      <c r="BK3" s="7">
        <f t="shared" si="13"/>
        <v>-0.10416666666666663</v>
      </c>
      <c r="BL3">
        <f>ROUND(SUMIFS(LogFY21!K:K,LogFY21!A:A,"=*honolulu_corporation*")/SUMIFS(LogFY21!J:J,LogFY21!A:A,"=*honolulu_corporation*"),0)</f>
        <v>27</v>
      </c>
      <c r="BM3">
        <f t="shared" si="14"/>
        <v>10</v>
      </c>
      <c r="BN3" s="1">
        <v>142</v>
      </c>
      <c r="BO3" s="1">
        <f t="shared" si="15"/>
        <v>11</v>
      </c>
      <c r="BR3">
        <f>SUMIFS(LogFY22!D:D,LogFY22!A:A,"=*honolulu_corporation*")</f>
        <v>14</v>
      </c>
      <c r="BS3">
        <f>SUM(SUMIFS(LogFY22!D:D,LogFY22!A:A,"=*honolulu_corporation*"),-1*SUMIFS(LogFY22!L:L,LogFY22!A:A,"=*honolulu_corporation*"),-1*SUMIFS(LogFY22!N:N,LogFY22!A:A,"=*honolulu_corporation*"))</f>
        <v>7</v>
      </c>
      <c r="BT3" s="7">
        <f t="shared" si="16"/>
        <v>0.5</v>
      </c>
      <c r="BU3" s="7">
        <f t="shared" si="17"/>
        <v>-6.25E-2</v>
      </c>
      <c r="BV3">
        <f>ROUND(SUMIFS(LogFY22!K:K,LogFY22!A:A,"=*honolulu_corporation*")/SUMIFS(LogFY22!J:J,LogFY22!A:A,"=*honolulu_corporation*"),0)</f>
        <v>7</v>
      </c>
      <c r="BW3">
        <f t="shared" si="18"/>
        <v>-20</v>
      </c>
      <c r="BX3" s="1">
        <v>18</v>
      </c>
      <c r="BY3" s="1">
        <f t="shared" si="19"/>
        <v>-124</v>
      </c>
      <c r="CB3">
        <f>SUMIFS(LogFY23!D:D,LogFY23!A:A,"=*honolulu_corporation*")</f>
        <v>23</v>
      </c>
      <c r="CC3">
        <f>SUM(SUMIFS(LogFY23!D:D,LogFY23!A:A,"=*honolulu_corporation*"),-1*SUMIFS(LogFY23!L:L,LogFY23!A:A,"=*honolulu_corporation*"),-1*SUMIFS(LogFY23!N:N,LogFY23!A:A,"=*honolulu_corporation*"))</f>
        <v>12</v>
      </c>
      <c r="CD3" s="7">
        <f t="shared" si="20"/>
        <v>0.52173913043478259</v>
      </c>
      <c r="CE3" s="7">
        <f t="shared" si="21"/>
        <v>2.1739130434782594E-2</v>
      </c>
      <c r="CF3">
        <f>ROUND(SUMIFS(LogFY23!K:K,LogFY23!A:A,"=*honolulu_corporation*")/SUMIFS(LogFY23!J:J,LogFY23!A:A,"=*honolulu_corporation*"),0)</f>
        <v>7</v>
      </c>
      <c r="CG3">
        <f t="shared" si="22"/>
        <v>0</v>
      </c>
      <c r="CH3" s="1">
        <v>42</v>
      </c>
      <c r="CI3" s="1">
        <f t="shared" si="23"/>
        <v>24</v>
      </c>
      <c r="CK3" s="7"/>
      <c r="CL3">
        <f>SUMIFS(LogFY24!D:D,LogFY24!A:A,"=*honolulu_corporation*")</f>
        <v>36</v>
      </c>
      <c r="CM3">
        <f>SUM(SUMIFS(LogFY24!D:D,LogFY24!A:A,"=*honolulu_corporation*"),-1*SUMIFS(LogFY24!L:L,LogFY24!A:A,"=*honolulu_corporation*"),-1*SUMIFS(LogFY24!N:N,LogFY24!A:A,"=*honolulu_corporation*"))</f>
        <v>19</v>
      </c>
      <c r="CN3" s="7">
        <f t="shared" si="24"/>
        <v>0.52777777777777779</v>
      </c>
      <c r="CO3" s="7">
        <f t="shared" si="25"/>
        <v>6.0386473429951959E-3</v>
      </c>
      <c r="CP3">
        <f>ROUND(SUMIFS(LogFY24!K:K,LogFY24!A:A,"=*honolulu_corporation*")/SUMIFS(LogFY24!J:J,LogFY24!A:A,"=*honolulu_corporation*"),0)</f>
        <v>13</v>
      </c>
      <c r="CQ3">
        <f t="shared" si="26"/>
        <v>6</v>
      </c>
      <c r="CR3" s="1">
        <v>40</v>
      </c>
      <c r="CS3" s="1">
        <f t="shared" si="27"/>
        <v>-2</v>
      </c>
    </row>
    <row r="4" spans="1:99" ht="16">
      <c r="A4" s="10">
        <f t="shared" si="28"/>
        <v>3</v>
      </c>
      <c r="B4" s="9" t="s">
        <v>17421</v>
      </c>
      <c r="C4">
        <f>SUMIFS(LogFY15!D:D,LogFY15!A:A,"=*maui_county_corporation*")</f>
        <v>18</v>
      </c>
      <c r="D4">
        <f>SUM(SUMIFS(LogFY15!D:D,LogFY15!A:A,"=*maui_county_corporation*"),-1*SUMIFS(LogFY15!L:L,LogFY15!A:A,"=*maui_county_corporation*"),-1*SUMIFS(LogFY15!N:N,LogFY15!A:A,"=*maui_county_corporation*"))</f>
        <v>8</v>
      </c>
      <c r="E4" s="7">
        <f>D4/C4</f>
        <v>0.44444444444444442</v>
      </c>
      <c r="F4">
        <f>ROUND(SUMIFS(LogFY15!K:K,LogFY15!A:A,"=*maui_county_corporation*")/SUMIFS(LogFY15!J:J,LogFY15!A:A,"=*maui_county_corporation*"),0)</f>
        <v>20</v>
      </c>
      <c r="G4" s="1">
        <v>81</v>
      </c>
      <c r="J4">
        <f>SUMIFS(LogFY16!D:D,LogFY16!A:A,"=*maui_county_corporation*")</f>
        <v>1</v>
      </c>
      <c r="K4">
        <f>SUM(SUMIFS(LogFY16!D:D,LogFY16!A:A,"=*maui_county_corporation*"),-1*SUMIFS(LogFY16!L:L,LogFY16!A:A,"=*maui_county_corporation*"),-1*SUMIFS(LogFY16!N:N,LogFY16!A:A,"=*maui_county_corporation*"))</f>
        <v>0</v>
      </c>
      <c r="L4" s="7">
        <f>K4/J4</f>
        <v>0</v>
      </c>
      <c r="M4" s="7">
        <f>L4-E4</f>
        <v>-0.44444444444444442</v>
      </c>
      <c r="N4">
        <f>ROUND(SUMIFS(LogFY16!K:K,LogFY16!A:A,"=*maui_county_corporation*")/SUMIFS(LogFY16!J:J,LogFY16!A:A,"=*maui_county_corporation*"),0)</f>
        <v>3</v>
      </c>
      <c r="O4">
        <f>N4-F4</f>
        <v>-17</v>
      </c>
      <c r="P4" s="1">
        <v>3</v>
      </c>
      <c r="Q4" s="1">
        <f>P4-G4</f>
        <v>-78</v>
      </c>
      <c r="T4">
        <f>SUMIFS(LogFY17!D:D,LogFY17!A:A,"=*maui_county_corporation*")</f>
        <v>7</v>
      </c>
      <c r="U4">
        <f>SUM(SUMIFS(LogFY17!D:D,LogFY17!A:A,"=*maui_county_corporation*"),-1*SUMIFS(LogFY17!L:L,LogFY17!A:A,"=*maui_county_corporation*"),-1*SUMIFS(LogFY17!N:N,LogFY17!A:A,"=*maui_county_corporation*"))</f>
        <v>6</v>
      </c>
      <c r="V4" s="7">
        <f>U4/T4</f>
        <v>0.8571428571428571</v>
      </c>
      <c r="W4" s="7">
        <f>V4-L4</f>
        <v>0.8571428571428571</v>
      </c>
      <c r="X4">
        <f>ROUND(SUMIFS(LogFY17!K:K,LogFY17!A:A,"=*maui_county_corporation*")/SUMIFS(LogFY17!J:J,LogFY17!A:A,"=*maui_county_corporation*"),0)</f>
        <v>8</v>
      </c>
      <c r="Y4">
        <f>X4-N4</f>
        <v>5</v>
      </c>
      <c r="Z4" s="1">
        <v>10</v>
      </c>
      <c r="AA4" s="1">
        <f>Z4-P4</f>
        <v>7</v>
      </c>
      <c r="AD4">
        <f>SUMIFS(LogFY18!D:D,LogFY18!A:A,"=*maui_county_corporation*")</f>
        <v>17</v>
      </c>
      <c r="AE4">
        <f>SUM(SUMIFS(LogFY18!D:D,LogFY18!A:A,"=*maui_county_corporation*"),-1*SUMIFS(LogFY18!L:L,LogFY18!A:A,"=*maui_county_corporation*"),-1*SUMIFS(LogFY18!N:N,LogFY18!A:A,"=*maui_county_corporation*"))</f>
        <v>16</v>
      </c>
      <c r="AF4" s="7">
        <f t="shared" si="0"/>
        <v>0.94117647058823528</v>
      </c>
      <c r="AG4" s="7">
        <f t="shared" si="1"/>
        <v>8.4033613445378186E-2</v>
      </c>
      <c r="AH4">
        <f>ROUND(SUMIFS(LogFY18!K:K,LogFY18!A:A,"=*maui_county_corporation*")/SUMIFS(LogFY18!J:J,LogFY18!A:A,"=*maui_county_corporation*"),0)</f>
        <v>14</v>
      </c>
      <c r="AI4">
        <f t="shared" si="2"/>
        <v>6</v>
      </c>
      <c r="AJ4" s="1">
        <v>61</v>
      </c>
      <c r="AK4" s="1">
        <f t="shared" si="3"/>
        <v>51</v>
      </c>
      <c r="AN4">
        <f>SUMIFS(LogFY19!D:D,LogFY19!A:A,"=*maui_county_corporation*")</f>
        <v>4</v>
      </c>
      <c r="AO4">
        <f>SUM(SUMIFS(LogFY19!D:D,LogFY19!A:A,"=*maui_county_corporation*"),-1*SUMIFS(LogFY19!L:L,LogFY19!A:A,"=*maui_county_corporation*"),-1*SUMIFS(LogFY19!N:N,LogFY19!A:A,"=*maui_county_corporation*"))</f>
        <v>4</v>
      </c>
      <c r="AP4" s="7">
        <f t="shared" si="4"/>
        <v>1</v>
      </c>
      <c r="AQ4" s="7">
        <f t="shared" si="5"/>
        <v>5.8823529411764719E-2</v>
      </c>
      <c r="AR4">
        <f>ROUND(SUMIFS(LogFY19!K:K,LogFY19!A:A,"=*maui_county_corporation*")/SUMIFS(LogFY19!J:J,LogFY19!A:A,"=*maui_county_corporation*"),0)</f>
        <v>4</v>
      </c>
      <c r="AS4">
        <f t="shared" si="6"/>
        <v>-10</v>
      </c>
      <c r="AT4" s="1">
        <v>12</v>
      </c>
      <c r="AU4" s="1">
        <f t="shared" si="7"/>
        <v>-49</v>
      </c>
      <c r="AX4">
        <f>SUMIFS(LogFY20!D:D,LogFY20!A:A,"=*maui_county_corporation*")</f>
        <v>11</v>
      </c>
      <c r="AY4">
        <f>SUM(SUMIFS(LogFY20!D:D,LogFY20!A:A,"=*maui_county_corporation*"),-1*SUMIFS(LogFY20!L:L,LogFY20!A:A,"=*maui_county_corporation*"),-1*SUMIFS(LogFY20!N:N,LogFY20!A:A,"=*maui_county_corporation*"))</f>
        <v>8</v>
      </c>
      <c r="AZ4" s="7">
        <f t="shared" si="8"/>
        <v>0.72727272727272729</v>
      </c>
      <c r="BA4" s="7">
        <f t="shared" si="9"/>
        <v>-0.27272727272727271</v>
      </c>
      <c r="BB4">
        <f>ROUND(SUMIFS(LogFY20!K:K,LogFY20!A:A,"=*maui_county_corporation*")/SUMIFS(LogFY20!J:J,LogFY20!A:A,"=*maui_county_corporation*"),0)</f>
        <v>15</v>
      </c>
      <c r="BC4">
        <f t="shared" si="10"/>
        <v>11</v>
      </c>
      <c r="BD4" s="1">
        <v>22</v>
      </c>
      <c r="BE4" s="1">
        <f t="shared" si="11"/>
        <v>10</v>
      </c>
      <c r="BH4">
        <f>SUMIFS(LogFY21!D:D,LogFY21!A:A,"=*maui_county_corporation*")</f>
        <v>8</v>
      </c>
      <c r="BI4">
        <f>SUM(SUMIFS(LogFY21!D:D,LogFY21!A:A,"=*maui_county_corporation*"),-1*SUMIFS(LogFY21!L:L,LogFY21!A:A,"=*maui_county_corporation*"),-1*SUMIFS(LogFY21!N:N,LogFY21!A:A,"=*maui_county_corporation*"))</f>
        <v>4</v>
      </c>
      <c r="BJ4" s="7">
        <f t="shared" si="12"/>
        <v>0.5</v>
      </c>
      <c r="BK4" s="7">
        <f t="shared" si="13"/>
        <v>-0.22727272727272729</v>
      </c>
      <c r="BL4">
        <f>ROUND(SUMIFS(LogFY21!K:K,LogFY21!A:A,"=*maui_county_corporation*")/SUMIFS(LogFY21!J:J,LogFY21!A:A,"=*maui_county_corporation*"),0)</f>
        <v>43</v>
      </c>
      <c r="BM4">
        <f t="shared" si="14"/>
        <v>28</v>
      </c>
      <c r="BN4" s="1">
        <v>227</v>
      </c>
      <c r="BO4" s="1">
        <f t="shared" si="15"/>
        <v>205</v>
      </c>
      <c r="BR4">
        <f>SUMIFS(LogFY22!D:D,LogFY22!A:A,"=*maui_county_corporation*")</f>
        <v>15</v>
      </c>
      <c r="BS4">
        <f>SUM(SUMIFS(LogFY22!D:D,LogFY22!A:A,"=*maui_county_corporation*"),-1*SUMIFS(LogFY22!L:L,LogFY22!A:A,"=*maui_county_corporation*"),-1*SUMIFS(LogFY22!N:N,LogFY22!A:A,"=*maui_county_corporation*"))</f>
        <v>4</v>
      </c>
      <c r="BT4" s="7">
        <f t="shared" si="16"/>
        <v>0.26666666666666666</v>
      </c>
      <c r="BU4" s="7">
        <f t="shared" si="17"/>
        <v>-0.23333333333333334</v>
      </c>
      <c r="BV4">
        <f>ROUND(SUMIFS(LogFY22!K:K,LogFY22!A:A,"=*maui_county_corporation*")/SUMIFS(LogFY22!J:J,LogFY22!A:A,"=*maui_county_corporation*"),0)</f>
        <v>7</v>
      </c>
      <c r="BW4">
        <f t="shared" si="18"/>
        <v>-36</v>
      </c>
      <c r="BX4" s="1">
        <v>22</v>
      </c>
      <c r="BY4" s="1">
        <f t="shared" si="19"/>
        <v>-205</v>
      </c>
      <c r="CB4">
        <f>SUMIFS(LogFY23!D:D,LogFY23!A:A,"=*maui_county_corporation*")</f>
        <v>12</v>
      </c>
      <c r="CC4">
        <f>SUM(SUMIFS(LogFY23!D:D,LogFY23!A:A,"=*maui_county_corporation*"),-1*SUMIFS(LogFY23!L:L,LogFY23!A:A,"=*maui_county_corporation*"),-1*SUMIFS(LogFY23!N:N,LogFY23!A:A,"=*maui_county_corporation*"))</f>
        <v>2</v>
      </c>
      <c r="CD4" s="7">
        <f t="shared" si="20"/>
        <v>0.16666666666666666</v>
      </c>
      <c r="CE4" s="7">
        <f t="shared" si="21"/>
        <v>-0.1</v>
      </c>
      <c r="CF4">
        <f>ROUND(SUMIFS(LogFY23!K:K,LogFY23!A:A,"=*maui_county_corporation*")/SUMIFS(LogFY23!J:J,LogFY23!A:A,"=*maui_county_corporation*"),0)</f>
        <v>10</v>
      </c>
      <c r="CG4">
        <f t="shared" si="22"/>
        <v>3</v>
      </c>
      <c r="CH4" s="1">
        <v>33</v>
      </c>
      <c r="CI4" s="1">
        <f t="shared" si="23"/>
        <v>11</v>
      </c>
      <c r="CK4" s="7"/>
      <c r="CL4">
        <f>SUMIFS(LogFY24!D:D,LogFY24!A:A,"=*maui_county_corporation*")</f>
        <v>30</v>
      </c>
      <c r="CM4">
        <f>SUM(SUMIFS(LogFY24!D:D,LogFY24!A:A,"=*maui_county_corporation*"),-1*SUMIFS(LogFY24!L:L,LogFY24!A:A,"=*maui_county_corporation*"),-1*SUMIFS(LogFY24!N:N,LogFY24!A:A,"=*maui_county_corporation*"))</f>
        <v>21</v>
      </c>
      <c r="CN4" s="7">
        <f t="shared" si="24"/>
        <v>0.7</v>
      </c>
      <c r="CO4" s="7">
        <f t="shared" si="25"/>
        <v>0.53333333333333333</v>
      </c>
      <c r="CP4">
        <f>ROUND(SUMIFS(LogFY24!K:K,LogFY24!A:A,"=*maui_county_corporation*")/SUMIFS(LogFY24!J:J,LogFY24!A:A,"=*maui_county_corporation*"),0)</f>
        <v>11</v>
      </c>
      <c r="CQ4">
        <f t="shared" si="26"/>
        <v>1</v>
      </c>
      <c r="CR4" s="1">
        <v>85</v>
      </c>
      <c r="CS4" s="1">
        <f t="shared" si="27"/>
        <v>52</v>
      </c>
    </row>
    <row r="5" spans="1:99" ht="16">
      <c r="A5" s="10">
        <f t="shared" si="28"/>
        <v>4</v>
      </c>
      <c r="B5" s="9" t="s">
        <v>23552</v>
      </c>
      <c r="C5">
        <f>SUMIFS(LogFY15!D:D,LogFY15!A:A,"=*county_attorney*")</f>
        <v>4</v>
      </c>
      <c r="D5">
        <f>SUM(SUMIFS(LogFY15!D:D,LogFY15!A:A,"=*county_attorney*"),-1*SUMIFS(LogFY15!L:L,LogFY15!A:A,"=*county_attorney*"),-1*SUMIFS(LogFY15!N:N,LogFY15!A:A,"=*county_attorney*"))</f>
        <v>0</v>
      </c>
      <c r="E5" s="7">
        <f>D5/C5</f>
        <v>0</v>
      </c>
      <c r="F5">
        <f>ROUND(SUMIFS(LogFY15!K:K,LogFY15!A:A,"=*county_attorney*")/SUMIFS(LogFY15!J:J,LogFY15!A:A,"=*county_attorney*"),0)</f>
        <v>8</v>
      </c>
      <c r="G5" s="1">
        <v>17</v>
      </c>
      <c r="J5">
        <f>SUMIFS(LogFY16!D:D,LogFY16!A:A,"=*county_attorney*")</f>
        <v>0</v>
      </c>
      <c r="K5">
        <f>SUM(SUMIFS(LogFY16!D:D,LogFY16!A:A,"=*county_attorney*"),-1*SUMIFS(LogFY16!L:L,LogFY16!A:A,"=*county_attorney*"),-1*SUMIFS(LogFY16!N:N,LogFY16!A:A,"=*county_attorney*"))</f>
        <v>0</v>
      </c>
      <c r="L5" s="7"/>
      <c r="M5" s="7"/>
      <c r="P5" s="1"/>
      <c r="Q5" s="1"/>
      <c r="T5">
        <f>SUMIFS(LogFY17!D:D,LogFY17!A:A,"=*county_attorney*")</f>
        <v>0</v>
      </c>
      <c r="U5">
        <f>SUM(SUMIFS(LogFY17!D:D,LogFY17!A:A,"=*county_attorney*"),-1*SUMIFS(LogFY17!L:L,LogFY17!A:A,"=*county_attorney*"),-1*SUMIFS(LogFY17!N:N,LogFY17!A:A,"=*county_attorney*"))</f>
        <v>0</v>
      </c>
      <c r="V5" s="7"/>
      <c r="W5" s="7"/>
      <c r="Z5" s="1"/>
      <c r="AA5" s="1"/>
      <c r="AD5">
        <f>SUMIFS(LogFY18!D:D,LogFY18!A:A,"=*county_attorney*")</f>
        <v>5</v>
      </c>
      <c r="AE5">
        <f>SUM(SUMIFS(LogFY18!D:D,LogFY18!A:A,"=*county_attorney*"),-1*SUMIFS(LogFY18!L:L,LogFY18!A:A,"=*county_attorney*"),-1*SUMIFS(LogFY18!N:N,LogFY18!A:A,"=*county_attorney*"))</f>
        <v>5</v>
      </c>
      <c r="AF5" s="7">
        <f t="shared" si="0"/>
        <v>1</v>
      </c>
      <c r="AG5" s="7">
        <f t="shared" si="1"/>
        <v>1</v>
      </c>
      <c r="AH5">
        <f>ROUND(SUMIFS(LogFY18!K:K,LogFY18!A:A,"=*county_attorney*")/SUMIFS(LogFY18!J:J,LogFY18!A:A,"=*county_attorney*"),0)</f>
        <v>14</v>
      </c>
      <c r="AI5">
        <f t="shared" si="2"/>
        <v>14</v>
      </c>
      <c r="AJ5" s="1">
        <v>23</v>
      </c>
      <c r="AK5" s="1">
        <f t="shared" si="3"/>
        <v>23</v>
      </c>
      <c r="AN5">
        <f>SUMIFS(LogFY19!D:D,LogFY19!A:A,"=*county_attorney*")</f>
        <v>1</v>
      </c>
      <c r="AO5">
        <f>SUM(SUMIFS(LogFY19!D:D,LogFY19!A:A,"=*county_attorney*"),-1*SUMIFS(LogFY19!L:L,LogFY19!A:A,"=*county_attorney*"),-1*SUMIFS(LogFY19!N:N,LogFY19!A:A,"=*county_attorney*"))</f>
        <v>0</v>
      </c>
      <c r="AP5" s="7">
        <f t="shared" si="4"/>
        <v>0</v>
      </c>
      <c r="AQ5" s="7">
        <f t="shared" si="5"/>
        <v>-1</v>
      </c>
      <c r="AR5">
        <f>ROUND(SUMIFS(LogFY19!K:K,LogFY19!A:A,"=*county_attorney*")/SUMIFS(LogFY19!J:J,LogFY19!A:A,"=*county_attorney*"),0)</f>
        <v>7</v>
      </c>
      <c r="AS5">
        <f t="shared" si="6"/>
        <v>-7</v>
      </c>
      <c r="AT5" s="1">
        <v>7</v>
      </c>
      <c r="AU5" s="1">
        <f t="shared" si="7"/>
        <v>-16</v>
      </c>
      <c r="AX5">
        <f>SUMIFS(LogFY20!D:D,LogFY20!A:A,"=*county_attorney*")</f>
        <v>1</v>
      </c>
      <c r="AY5">
        <f>SUM(SUMIFS(LogFY20!D:D,LogFY20!A:A,"=*county_attorney*"),-1*SUMIFS(LogFY20!L:L,LogFY20!A:A,"=*county_attorney*"),-1*SUMIFS(LogFY20!N:N,LogFY20!A:A,"=*county_attorney*"))</f>
        <v>0</v>
      </c>
      <c r="AZ5" s="7">
        <f t="shared" si="8"/>
        <v>0</v>
      </c>
      <c r="BA5" s="7">
        <f t="shared" si="9"/>
        <v>0</v>
      </c>
      <c r="BB5">
        <f>ROUND(SUMIFS(LogFY20!K:K,LogFY20!A:A,"=*county_attorney*")/SUMIFS(LogFY20!J:J,LogFY20!A:A,"=*county_attorney*"),0)</f>
        <v>6</v>
      </c>
      <c r="BC5">
        <f t="shared" si="10"/>
        <v>-1</v>
      </c>
      <c r="BD5" s="1">
        <v>6</v>
      </c>
      <c r="BE5" s="1">
        <f t="shared" si="11"/>
        <v>-1</v>
      </c>
      <c r="BH5">
        <f>SUMIFS(LogFY21!D:D,LogFY21!A:A,"=*county_attorney*")</f>
        <v>3</v>
      </c>
      <c r="BI5">
        <f>SUM(SUMIFS(LogFY21!D:D,LogFY21!A:A,"=*county_attorney*"),-1*SUMIFS(LogFY21!L:L,LogFY21!A:A,"=*county_attorney*"),-1*SUMIFS(LogFY21!N:N,LogFY21!A:A,"=*county_attorney*"))</f>
        <v>1</v>
      </c>
      <c r="BJ5" s="7">
        <f t="shared" si="12"/>
        <v>0.33333333333333331</v>
      </c>
      <c r="BK5" s="7">
        <f t="shared" si="13"/>
        <v>0.33333333333333331</v>
      </c>
      <c r="BL5">
        <f>ROUND(SUMIFS(LogFY21!K:K,LogFY21!A:A,"=*county_attorney*")/SUMIFS(LogFY21!J:J,LogFY21!A:A,"=*county_attorney*"),0)</f>
        <v>19</v>
      </c>
      <c r="BM5">
        <f t="shared" si="14"/>
        <v>13</v>
      </c>
      <c r="BN5" s="1">
        <v>47</v>
      </c>
      <c r="BO5" s="1">
        <f t="shared" si="15"/>
        <v>41</v>
      </c>
      <c r="BR5">
        <f>SUMIFS(LogFY22!D:D,LogFY22!A:A,"=*county_attorney*")</f>
        <v>4</v>
      </c>
      <c r="BS5">
        <f>SUM(SUMIFS(LogFY22!D:D,LogFY22!A:A,"=*county_attorney*"),-1*SUMIFS(LogFY22!L:L,LogFY22!A:A,"=*county_attorney*"),-1*SUMIFS(LogFY22!N:N,LogFY22!A:A,"=*county_attorney*"))</f>
        <v>1</v>
      </c>
      <c r="BT5" s="7">
        <f t="shared" si="16"/>
        <v>0.25</v>
      </c>
      <c r="BU5" s="7">
        <f t="shared" si="17"/>
        <v>-8.3333333333333315E-2</v>
      </c>
      <c r="BV5">
        <f>ROUND(SUMIFS(LogFY22!K:K,LogFY22!A:A,"=*county_attorney*")/SUMIFS(LogFY22!J:J,LogFY22!A:A,"=*county_attorney*"),0)</f>
        <v>2</v>
      </c>
      <c r="BW5">
        <f t="shared" si="18"/>
        <v>-17</v>
      </c>
      <c r="BX5" s="1">
        <v>4</v>
      </c>
      <c r="BY5" s="1">
        <f t="shared" si="19"/>
        <v>-43</v>
      </c>
      <c r="CB5">
        <f>SUMIFS(LogFY23!D:D,LogFY23!A:A,"=*county_attorney*")</f>
        <v>2</v>
      </c>
      <c r="CC5">
        <f>SUM(SUMIFS(LogFY23!D:D,LogFY23!A:A,"=*county_attorney*"),-1*SUMIFS(LogFY23!L:L,LogFY23!A:A,"=*county_attorney*"),-1*SUMIFS(LogFY23!N:N,LogFY23!A:A,"=*county_attorney*"))</f>
        <v>1</v>
      </c>
      <c r="CD5" s="7">
        <f t="shared" si="20"/>
        <v>0.5</v>
      </c>
      <c r="CE5" s="7">
        <f t="shared" si="21"/>
        <v>0.25</v>
      </c>
      <c r="CF5">
        <f>ROUND(SUMIFS(LogFY23!K:K,LogFY23!A:A,"=*county_attorney*")/SUMIFS(LogFY23!J:J,LogFY23!A:A,"=*county_attorney*"),0)</f>
        <v>7</v>
      </c>
      <c r="CG5">
        <f t="shared" si="22"/>
        <v>5</v>
      </c>
      <c r="CH5" s="1">
        <v>8</v>
      </c>
      <c r="CI5" s="1">
        <f t="shared" si="23"/>
        <v>4</v>
      </c>
      <c r="CK5" s="7"/>
      <c r="CL5">
        <f>SUMIFS(LogFY24!D:D,LogFY24!A:A,"=*county_attorney*")</f>
        <v>3</v>
      </c>
      <c r="CM5">
        <f>SUM(SUMIFS(LogFY24!D:D,LogFY24!A:A,"=*county_attorney*"),-1*SUMIFS(LogFY24!L:L,LogFY24!A:A,"=*county_attorney*"),-1*SUMIFS(LogFY24!N:N,LogFY24!A:A,"=*county_attorney*"))</f>
        <v>1</v>
      </c>
      <c r="CN5" s="7">
        <f t="shared" si="24"/>
        <v>0.33333333333333331</v>
      </c>
      <c r="CO5" s="7">
        <f t="shared" si="25"/>
        <v>-0.16666666666666669</v>
      </c>
      <c r="CP5">
        <f>ROUND(SUMIFS(LogFY24!K:K,LogFY24!A:A,"=*county_attorney*")/SUMIFS(LogFY24!J:J,LogFY24!A:A,"=*county_attorney*"),0)</f>
        <v>3</v>
      </c>
      <c r="CQ5">
        <f t="shared" si="26"/>
        <v>-4</v>
      </c>
      <c r="CR5" s="1">
        <v>4</v>
      </c>
      <c r="CS5" s="1">
        <f t="shared" si="27"/>
        <v>-4</v>
      </c>
    </row>
    <row r="6" spans="1:99" ht="16">
      <c r="A6" s="10">
        <f t="shared" si="28"/>
        <v>5</v>
      </c>
      <c r="B6" s="9" t="s">
        <v>17422</v>
      </c>
      <c r="C6">
        <f>SUMIFS(LogFY15!D:D,LogFY15!A:A,"=*hawaii_county_corporation*")</f>
        <v>0</v>
      </c>
      <c r="D6">
        <f>SUM(SUMIFS(LogFY15!D:D,LogFY15!A:A,"=*hawaii_county_corporation*"),-1*SUMIFS(LogFY15!L:L,LogFY15!A:A,"=*hawaii_county_corporation*"),-1*SUMIFS(LogFY15!N:N,LogFY15!A:A,"=*hawaii_county_corporation*"))</f>
        <v>0</v>
      </c>
      <c r="E6" s="7"/>
      <c r="G6" s="1"/>
      <c r="J6">
        <f>SUMIFS(LogFY16!D:D,LogFY16!A:A,"=*hawaii_county_corporation*")</f>
        <v>5</v>
      </c>
      <c r="K6">
        <f>SUM(SUMIFS(LogFY16!D:D,LogFY16!A:A,"=*hawaii_county_corporation*"),-1*SUMIFS(LogFY16!L:L,LogFY16!A:A,"=*hawaii_county_corporation*"),-1*SUMIFS(LogFY16!N:N,LogFY16!A:A,"=*hawaii_county_corporation*"))</f>
        <v>0</v>
      </c>
      <c r="L6" s="7">
        <f t="shared" ref="L6:L15" si="29">K6/J6</f>
        <v>0</v>
      </c>
      <c r="M6" s="7">
        <f t="shared" ref="M6:M15" si="30">L6-E6</f>
        <v>0</v>
      </c>
      <c r="N6">
        <f>ROUND(SUMIFS(LogFY16!K:K,LogFY16!A:A,"=*hawaii_county_corporation*")/SUMIFS(LogFY16!J:J,LogFY16!A:A,"=*hawaii_county_corporation*"),0)</f>
        <v>4</v>
      </c>
      <c r="O6">
        <f t="shared" ref="O6:O15" si="31">N6-F6</f>
        <v>4</v>
      </c>
      <c r="P6" s="1">
        <v>7</v>
      </c>
      <c r="Q6" s="1">
        <f t="shared" ref="Q6:Q15" si="32">P6-G6</f>
        <v>7</v>
      </c>
      <c r="T6">
        <f>SUMIFS(LogFY17!D:D,LogFY17!A:A,"=*hawaii_county_corporation*")</f>
        <v>4</v>
      </c>
      <c r="U6">
        <f>SUM(SUMIFS(LogFY17!D:D,LogFY17!A:A,"=*hawaii_county_corporation*"),-1*SUMIFS(LogFY17!L:L,LogFY17!A:A,"=*hawaii_county_corporation*"),-1*SUMIFS(LogFY17!N:N,LogFY17!A:A,"=*hawaii_county_corporation*"))</f>
        <v>1</v>
      </c>
      <c r="V6" s="7">
        <f>U6/T6</f>
        <v>0.25</v>
      </c>
      <c r="W6" s="7">
        <f>V6-L6</f>
        <v>0.25</v>
      </c>
      <c r="X6">
        <f>ROUND(SUMIFS(LogFY17!K:K,LogFY17!A:A,"=*hawaii_county_corporation*")/SUMIFS(LogFY17!J:J,LogFY17!A:A,"=*hawaii_county_corporation*"),0)</f>
        <v>2</v>
      </c>
      <c r="Y6">
        <f>X6-N6</f>
        <v>-2</v>
      </c>
      <c r="Z6" s="1">
        <v>2</v>
      </c>
      <c r="AA6" s="1">
        <f t="shared" ref="AA6:AA15" si="33">Z6-P6</f>
        <v>-5</v>
      </c>
      <c r="AD6">
        <f>SUMIFS(LogFY18!D:D,LogFY18!A:A,"=*hawaii_county_corporation*")</f>
        <v>2</v>
      </c>
      <c r="AE6">
        <f>SUM(SUMIFS(LogFY18!D:D,LogFY18!A:A,"=*hawaii_county_corporation*"),-1*SUMIFS(LogFY18!L:L,LogFY18!A:A,"=*hawaii_county_corporation*"),-1*SUMIFS(LogFY18!N:N,LogFY18!A:A,"=*hawaii_county_corporation*"))</f>
        <v>0</v>
      </c>
      <c r="AF6" s="7">
        <f t="shared" si="0"/>
        <v>0</v>
      </c>
      <c r="AG6" s="7">
        <f t="shared" si="1"/>
        <v>-0.25</v>
      </c>
      <c r="AH6">
        <f>ROUND(SUMIFS(LogFY18!K:K,LogFY18!A:A,"=*hawaii_county_corporation*")/SUMIFS(LogFY18!J:J,LogFY18!A:A,"=*hawaii_county_corporation*"),0)</f>
        <v>3</v>
      </c>
      <c r="AI6">
        <f t="shared" si="2"/>
        <v>1</v>
      </c>
      <c r="AJ6" s="1">
        <v>5</v>
      </c>
      <c r="AK6" s="1">
        <f t="shared" si="3"/>
        <v>3</v>
      </c>
      <c r="AN6">
        <f>SUMIFS(LogFY19!D:D,LogFY19!A:A,"=*hawaii_county_corporation*")</f>
        <v>5</v>
      </c>
      <c r="AO6">
        <f>SUM(SUMIFS(LogFY19!D:D,LogFY19!A:A,"=*hawaii_county_corporation*"),-1*SUMIFS(LogFY19!L:L,LogFY19!A:A,"=*hawaii_county_corporation*"),-1*SUMIFS(LogFY19!N:N,LogFY19!A:A,"=*hawaii_county_corporation*"))</f>
        <v>1</v>
      </c>
      <c r="AP6" s="7">
        <f t="shared" si="4"/>
        <v>0.2</v>
      </c>
      <c r="AQ6" s="7">
        <f t="shared" si="5"/>
        <v>0.2</v>
      </c>
      <c r="AR6">
        <f>ROUND(SUMIFS(LogFY19!K:K,LogFY19!A:A,"=*hawaii_county_corporation*")/SUMIFS(LogFY19!J:J,LogFY19!A:A,"=*hawaii_county_corporation*"),0)</f>
        <v>3</v>
      </c>
      <c r="AS6">
        <f t="shared" si="6"/>
        <v>0</v>
      </c>
      <c r="AT6" s="1">
        <v>7</v>
      </c>
      <c r="AU6" s="1">
        <f t="shared" si="7"/>
        <v>2</v>
      </c>
      <c r="AX6">
        <f>SUMIFS(LogFY20!D:D,LogFY20!A:A,"=*hawaii_county_corporation*")</f>
        <v>1</v>
      </c>
      <c r="AY6">
        <f>SUM(SUMIFS(LogFY20!D:D,LogFY20!A:A,"=*hawaii_county_corporation*"),-1*SUMIFS(LogFY20!L:L,LogFY20!A:A,"=*hawaii_county_corporation*"),-1*SUMIFS(LogFY20!N:N,LogFY20!A:A,"=*hawaii_county_corporation*"))</f>
        <v>1</v>
      </c>
      <c r="AZ6" s="7">
        <f t="shared" si="8"/>
        <v>1</v>
      </c>
      <c r="BA6" s="7">
        <f t="shared" si="9"/>
        <v>0.8</v>
      </c>
      <c r="BB6">
        <f>ROUND(SUMIFS(LogFY20!K:K,LogFY20!A:A,"=*hawaii_county_corporation*")/SUMIFS(LogFY20!J:J,LogFY20!A:A,"=*hawaii_county_corporation*"),0)</f>
        <v>9</v>
      </c>
      <c r="BC6">
        <f t="shared" si="10"/>
        <v>6</v>
      </c>
      <c r="BD6" s="1">
        <v>9</v>
      </c>
      <c r="BE6" s="1">
        <f t="shared" si="11"/>
        <v>2</v>
      </c>
      <c r="BH6">
        <f>SUMIFS(LogFY21!D:D,LogFY21!A:A,"=*hawaii_county_corporation*")</f>
        <v>6</v>
      </c>
      <c r="BI6">
        <f>SUM(SUMIFS(LogFY21!D:D,LogFY21!A:A,"=*hawaii_county_corporation*"),-1*SUMIFS(LogFY21!L:L,LogFY21!A:A,"=*hawaii_county_corporation*"),-1*SUMIFS(LogFY21!N:N,LogFY21!A:A,"=*hawaii_county_corporation*"))</f>
        <v>2</v>
      </c>
      <c r="BJ6" s="7">
        <f t="shared" si="12"/>
        <v>0.33333333333333331</v>
      </c>
      <c r="BK6" s="7">
        <f t="shared" si="13"/>
        <v>-0.66666666666666674</v>
      </c>
      <c r="BL6">
        <f>ROUND(SUMIFS(LogFY21!K:K,LogFY21!A:A,"=*hawaii_county_corporation*")/SUMIFS(LogFY21!J:J,LogFY21!A:A,"=*hawaii_county_corporation*"),0)</f>
        <v>4</v>
      </c>
      <c r="BM6">
        <f t="shared" si="14"/>
        <v>-5</v>
      </c>
      <c r="BN6" s="1">
        <v>6</v>
      </c>
      <c r="BO6" s="1">
        <f t="shared" si="15"/>
        <v>-3</v>
      </c>
      <c r="BR6">
        <f>SUMIFS(LogFY22!D:D,LogFY22!A:A,"=*hawaii_county_corporation*")</f>
        <v>4</v>
      </c>
      <c r="BS6">
        <f>SUM(SUMIFS(LogFY22!D:D,LogFY22!A:A,"=*hawaii_county_corporation*"),-1*SUMIFS(LogFY22!L:L,LogFY22!A:A,"=*hawaii_county_corporation*"),-1*SUMIFS(LogFY22!N:N,LogFY22!A:A,"=*hawaii_county_corporation*"))</f>
        <v>1</v>
      </c>
      <c r="BT6" s="7">
        <f t="shared" si="16"/>
        <v>0.25</v>
      </c>
      <c r="BU6" s="7">
        <f t="shared" si="17"/>
        <v>-8.3333333333333315E-2</v>
      </c>
      <c r="BV6">
        <f>ROUND(SUMIFS(LogFY22!K:K,LogFY22!A:A,"=*hawaii_county_corporation*")/SUMIFS(LogFY22!J:J,LogFY22!A:A,"=*hawaii_county_corporation*"),0)</f>
        <v>7</v>
      </c>
      <c r="BW6">
        <f t="shared" si="18"/>
        <v>3</v>
      </c>
      <c r="BX6" s="1">
        <v>13</v>
      </c>
      <c r="BY6" s="1">
        <f t="shared" si="19"/>
        <v>7</v>
      </c>
      <c r="CB6">
        <f>SUMIFS(LogFY23!D:D,LogFY23!A:A,"=*hawaii_county_corporation*")</f>
        <v>2</v>
      </c>
      <c r="CC6">
        <f>SUM(SUMIFS(LogFY23!D:D,LogFY23!A:A,"=*hawaii_county_corporation*"),-1*SUMIFS(LogFY23!L:L,LogFY23!A:A,"=*hawaii_county_corporation*"),-1*SUMIFS(LogFY23!N:N,LogFY23!A:A,"=*hawaii_county_corporation*"))</f>
        <v>1</v>
      </c>
      <c r="CD6" s="7">
        <f t="shared" si="20"/>
        <v>0.5</v>
      </c>
      <c r="CE6" s="7">
        <f t="shared" si="21"/>
        <v>0.25</v>
      </c>
      <c r="CF6">
        <f>ROUND(SUMIFS(LogFY23!K:K,LogFY23!A:A,"=*hawaii_county_corporation*")/SUMIFS(LogFY23!J:J,LogFY23!A:A,"=*hawaii_county_corporation*"),0)</f>
        <v>7</v>
      </c>
      <c r="CG6">
        <f t="shared" si="22"/>
        <v>0</v>
      </c>
      <c r="CH6" s="1">
        <v>10</v>
      </c>
      <c r="CI6" s="1">
        <f t="shared" si="23"/>
        <v>-3</v>
      </c>
      <c r="CK6" s="7"/>
      <c r="CL6">
        <f>SUMIFS(LogFY24!D:D,LogFY24!A:A,"=*hawaii_county_corporation*")</f>
        <v>14</v>
      </c>
      <c r="CM6">
        <f>SUM(SUMIFS(LogFY24!D:D,LogFY24!A:A,"=*hawaii_county_corporation*"),-1*SUMIFS(LogFY24!L:L,LogFY24!A:A,"=*hawaii_county_corporation*"),-1*SUMIFS(LogFY24!N:N,LogFY24!A:A,"=*hawaii_county_corporation*"))</f>
        <v>3</v>
      </c>
      <c r="CN6" s="7">
        <f t="shared" si="24"/>
        <v>0.21428571428571427</v>
      </c>
      <c r="CO6" s="7">
        <f t="shared" si="25"/>
        <v>-0.2857142857142857</v>
      </c>
      <c r="CP6">
        <f>ROUND(SUMIFS(LogFY24!K:K,LogFY24!A:A,"=*hawaii_county_corporation*")/SUMIFS(LogFY24!J:J,LogFY24!A:A,"=*hawaii_county_corporation*"),0)</f>
        <v>6</v>
      </c>
      <c r="CQ6">
        <f t="shared" si="26"/>
        <v>-1</v>
      </c>
      <c r="CR6" s="1">
        <v>20</v>
      </c>
      <c r="CS6" s="1">
        <f t="shared" si="27"/>
        <v>10</v>
      </c>
    </row>
    <row r="7" spans="1:99" ht="16">
      <c r="A7" s="10">
        <f t="shared" si="28"/>
        <v>6</v>
      </c>
      <c r="B7" s="111" t="s">
        <v>23545</v>
      </c>
      <c r="C7">
        <f>SUMIFS(LogFY15!D:D,LogFY15!A:A,"=*clerk*")</f>
        <v>185</v>
      </c>
      <c r="D7">
        <f>SUM(SUMIFS(LogFY15!D:D,LogFY15!A:A,"=*clerk*"),-1*SUMIFS(LogFY15!L:L,LogFY15!A:A,"=*clerk*"),-1*SUMIFS(LogFY15!N:N,LogFY15!A:A,"=*clerk*"))</f>
        <v>72</v>
      </c>
      <c r="E7" s="7">
        <f t="shared" ref="E7:E38" si="34">D7/C7</f>
        <v>0.38918918918918921</v>
      </c>
      <c r="F7">
        <f>ROUND(SUMIFS(LogFY15!K:K,LogFY15!A:A,"=*clerk*")/SUMIFS(LogFY15!J:J,LogFY15!A:A,"=*clerk*"),0)</f>
        <v>4</v>
      </c>
      <c r="G7" s="1"/>
      <c r="H7">
        <f>SUM(COUNTIFS(All!F:F,"=clerk*", All!B:B, "&gt;=7/1/2014", All!B:B,"&lt;=6/30/2015", All!E:E,"=U*",All!E:E,"&lt;&gt;UIPA*",All!E:E,"&lt;&gt;*RFO*",All!E:E,"&lt;&gt;*TRNG*"))</f>
        <v>0</v>
      </c>
      <c r="I7" s="7">
        <f>ROUND(H7/C7,3)</f>
        <v>0</v>
      </c>
      <c r="J7">
        <f>SUMIFS(LogFY16!D:D,LogFY16!A:A,"=*clerk*")</f>
        <v>19</v>
      </c>
      <c r="K7">
        <f>SUM(SUMIFS(LogFY16!D:D,LogFY16!A:A,"=*clerk*"),-1*SUMIFS(LogFY16!L:L,LogFY16!A:A,"=*clerk*"),-1*SUMIFS(LogFY16!N:N,LogFY16!A:A,"=*clerk*"))</f>
        <v>3</v>
      </c>
      <c r="L7" s="7">
        <f t="shared" si="29"/>
        <v>0.15789473684210525</v>
      </c>
      <c r="M7" s="7">
        <f t="shared" si="30"/>
        <v>-0.23129445234708396</v>
      </c>
      <c r="N7">
        <f>ROUND(SUMIFS(LogFY16!K:K,LogFY16!A:A,"=*clerk*")/SUMIFS(LogFY16!J:J,LogFY16!A:A,"=*clerk*"),0)</f>
        <v>3</v>
      </c>
      <c r="O7">
        <f t="shared" si="31"/>
        <v>-1</v>
      </c>
      <c r="P7" s="1"/>
      <c r="Q7" s="1">
        <f t="shared" si="32"/>
        <v>0</v>
      </c>
      <c r="R7">
        <f>SUM(COUNTIFS(All!F:F,"=clerk*", All!B:B, "&gt;=7/1/2015", All!B:B,"&lt;=6/30/2016", All!E:E,"=U*",All!E:E,"&lt;&gt;UIPA*",All!E:E,"&lt;&gt;*RFO*",All!E:E,"&lt;&gt;*TRNG*"))</f>
        <v>0</v>
      </c>
      <c r="S7" s="7">
        <f>ROUND(R7/(J7+C7),3)</f>
        <v>0</v>
      </c>
      <c r="T7">
        <f>SUMIFS(LogFY17!D:D,LogFY17!A:A,"=*clerk*")</f>
        <v>44</v>
      </c>
      <c r="U7">
        <f>SUM(SUMIFS(LogFY17!D:D,LogFY17!A:A,"=*clerk*"),-1*SUMIFS(LogFY17!L:L,LogFY17!A:A,"=*clerk*"),-1*SUMIFS(LogFY17!N:N,LogFY17!A:A,"=*clerk*"))</f>
        <v>20</v>
      </c>
      <c r="V7" s="7">
        <f>U7/T7</f>
        <v>0.45454545454545453</v>
      </c>
      <c r="W7" s="7">
        <f>V7-L7</f>
        <v>0.29665071770334928</v>
      </c>
      <c r="X7">
        <f>ROUND(SUMIFS(LogFY17!K:K,LogFY17!A:A,"=*clerk*")/SUMIFS(LogFY17!J:J,LogFY17!A:A,"=*clerk*"),0)</f>
        <v>8</v>
      </c>
      <c r="Y7">
        <f>X7-N7</f>
        <v>5</v>
      </c>
      <c r="Z7" s="1"/>
      <c r="AA7" s="1">
        <f t="shared" si="33"/>
        <v>0</v>
      </c>
      <c r="AB7">
        <f>SUM(COUNTIFS(All!F:F,"=clerk*", All!B:B, "&gt;=7/1/2016", All!B:B,"&lt;=6/30/2017", All!E:E,"=U*",All!E:E,"&lt;&gt;UIPA*",All!E:E,"&lt;&gt;*RFO*",All!E:E,"&lt;&gt;*TRNG*"))</f>
        <v>0</v>
      </c>
      <c r="AC7" s="7">
        <f>ROUND(AB7/(T7+J7),3)</f>
        <v>0</v>
      </c>
      <c r="AD7">
        <f>SUMIFS(LogFY18!D:D,LogFY18!A:A,"=*clerk*")</f>
        <v>66</v>
      </c>
      <c r="AE7">
        <f>SUM(SUMIFS(LogFY18!D:D,LogFY18!A:A,"=*clerk*"),-1*SUMIFS(LogFY18!L:L,LogFY18!A:A,"=*clerk*"),-1*SUMIFS(LogFY18!N:N,LogFY18!A:A,"=*clerk*"))</f>
        <v>31</v>
      </c>
      <c r="AF7" s="7">
        <f t="shared" si="0"/>
        <v>0.46969696969696972</v>
      </c>
      <c r="AG7" s="7">
        <f t="shared" si="1"/>
        <v>1.5151515151515194E-2</v>
      </c>
      <c r="AH7">
        <f>ROUND(SUMIFS(LogFY18!K:K,LogFY18!A:A,"=*clerk*")/SUMIFS(LogFY18!J:J,LogFY18!A:A,"=*clerk*"),0)</f>
        <v>4</v>
      </c>
      <c r="AI7">
        <f t="shared" si="2"/>
        <v>-4</v>
      </c>
      <c r="AJ7" s="1"/>
      <c r="AK7" s="1">
        <f t="shared" si="3"/>
        <v>0</v>
      </c>
      <c r="AL7">
        <f>SUM(COUNTIFS(All!F:F,"=clerk*", All!B:B, "&gt;=7/1/2017", All!B:B,"&lt;=6/30/2018", All!E:E,"=U*",All!E:E,"&lt;&gt;UIPA*",All!E:E,"&lt;&gt;*RFO*",All!E:E,"&lt;&gt;*TRNG*"))</f>
        <v>0</v>
      </c>
      <c r="AM7" s="7">
        <f>ROUND(AL7/(AD7+T7),3)</f>
        <v>0</v>
      </c>
      <c r="AN7">
        <f>SUMIFS(LogFY19!D:D,LogFY19!A:A,"=*clerk*")</f>
        <v>34</v>
      </c>
      <c r="AO7">
        <f>SUM(SUMIFS(LogFY19!D:D,LogFY19!A:A,"=*clerk*"),-1*SUMIFS(LogFY19!L:L,LogFY19!A:A,"=*clerk*"),-1*SUMIFS(LogFY19!N:N,LogFY19!A:A,"=*clerk*"))</f>
        <v>12</v>
      </c>
      <c r="AP7" s="7">
        <f t="shared" si="4"/>
        <v>0.35294117647058826</v>
      </c>
      <c r="AQ7" s="7">
        <f t="shared" si="5"/>
        <v>-0.11675579322638147</v>
      </c>
      <c r="AR7">
        <f>ROUND(SUMIFS(LogFY19!K:K,LogFY19!A:A,"=*clerk*")/SUMIFS(LogFY19!J:J,LogFY19!A:A,"=*clerk*"),0)</f>
        <v>6</v>
      </c>
      <c r="AS7">
        <f t="shared" si="6"/>
        <v>2</v>
      </c>
      <c r="AT7" s="1"/>
      <c r="AU7" s="1">
        <f t="shared" si="7"/>
        <v>0</v>
      </c>
      <c r="AV7">
        <f>SUM(COUNTIFS(All!F:F,"=clerk*", All!B:B, "&gt;=7/1/2018", All!B:B,"&lt;=6/30/2019", All!E:E,"=U*",All!E:E,"&lt;&gt;UIPA*",All!E:E,"&lt;&gt;*RFO*",All!E:E,"&lt;&gt;*TRNG*"))</f>
        <v>0</v>
      </c>
      <c r="AW7" s="7">
        <f>ROUND(AV7/(AN7+AD7),3)</f>
        <v>0</v>
      </c>
      <c r="AX7">
        <f>SUMIFS(LogFY20!D:D,LogFY20!A:A,"=*clerk*")</f>
        <v>45</v>
      </c>
      <c r="AY7">
        <f>SUM(SUMIFS(LogFY20!D:D,LogFY20!A:A,"=*clerk*"),-1*SUMIFS(LogFY20!L:L,LogFY20!A:A,"=*clerk*"),-1*SUMIFS(LogFY20!N:N,LogFY20!A:A,"=*clerk*"))</f>
        <v>16</v>
      </c>
      <c r="AZ7" s="7">
        <f t="shared" si="8"/>
        <v>0.35555555555555557</v>
      </c>
      <c r="BA7" s="7">
        <f t="shared" si="9"/>
        <v>2.614379084967311E-3</v>
      </c>
      <c r="BB7">
        <f>ROUND(SUMIFS(LogFY20!K:K,LogFY20!A:A,"=*clerk*")/SUMIFS(LogFY20!J:J,LogFY20!A:A,"=*clerk*"),0)</f>
        <v>5</v>
      </c>
      <c r="BC7">
        <f t="shared" si="10"/>
        <v>-1</v>
      </c>
      <c r="BD7" s="1"/>
      <c r="BE7" s="1">
        <f t="shared" si="11"/>
        <v>0</v>
      </c>
      <c r="BF7">
        <f>SUM(COUNTIFS(All!F:F,"=clerk*", All!B:B, "&gt;=7/1/2019", All!B:B,"&lt;=6/30/2020", All!E:E,"=U*",All!E:E,"&lt;&gt;UIPA*",All!E:E,"&lt;&gt;*RFO*",All!E:E,"&lt;&gt;*TRNG*"))</f>
        <v>0</v>
      </c>
      <c r="BG7" s="7">
        <f>ROUND(BF7/(AX7+AN7),3)</f>
        <v>0</v>
      </c>
      <c r="BH7">
        <f>SUMIFS(LogFY21!D:D,LogFY21!A:A,"=*clerk*")</f>
        <v>49</v>
      </c>
      <c r="BI7">
        <f>SUM(SUMIFS(LogFY21!D:D,LogFY21!A:A,"=*clerk*"),-1*SUMIFS(LogFY21!L:L,LogFY21!A:A,"=*clerk*"),-1*SUMIFS(LogFY21!N:N,LogFY21!A:A,"=*clerk*"))</f>
        <v>6</v>
      </c>
      <c r="BJ7" s="7">
        <f t="shared" si="12"/>
        <v>0.12244897959183673</v>
      </c>
      <c r="BK7" s="7">
        <f t="shared" si="13"/>
        <v>-0.23310657596371884</v>
      </c>
      <c r="BL7">
        <f>ROUND(SUMIFS(LogFY21!K:K,LogFY21!A:A,"=*clerk*")/SUMIFS(LogFY21!J:J,LogFY21!A:A,"=*clerk*"),0)</f>
        <v>4</v>
      </c>
      <c r="BM7">
        <f t="shared" si="14"/>
        <v>-1</v>
      </c>
      <c r="BN7" s="1"/>
      <c r="BO7" s="1">
        <f t="shared" si="15"/>
        <v>0</v>
      </c>
      <c r="BP7">
        <f>SUM(COUNTIFS(All!F:F,"=clerk*", All!B:B, "&gt;=7/1/2020", All!B:B,"&lt;=6/30/2021", All!E:E,"=U*",All!E:E,"&lt;&gt;UIPA*",All!E:E,"&lt;&gt;*RFO*",All!E:E,"&lt;&gt;*TRNG*"))</f>
        <v>1</v>
      </c>
      <c r="BQ7" s="7">
        <f>ROUND(BP7/(BH7+AX7),3)</f>
        <v>1.0999999999999999E-2</v>
      </c>
      <c r="BR7">
        <f>SUMIFS(LogFY22!D:D,LogFY22!A:A,"=*clerk*")</f>
        <v>136</v>
      </c>
      <c r="BS7">
        <f>SUM(SUMIFS(LogFY22!D:D,LogFY22!A:A,"=*clerk*"),-1*SUMIFS(LogFY22!L:L,LogFY22!A:A,"=*clerk*"),-1*SUMIFS(LogFY22!N:N,LogFY22!A:A,"=*clerk*"))</f>
        <v>48</v>
      </c>
      <c r="BT7" s="7">
        <f t="shared" si="16"/>
        <v>0.35294117647058826</v>
      </c>
      <c r="BU7" s="7">
        <f t="shared" si="17"/>
        <v>0.23049219687875153</v>
      </c>
      <c r="BV7">
        <f>ROUND(SUMIFS(LogFY22!K:K,LogFY22!A:A,"=*clerk*")/SUMIFS(LogFY22!J:J,LogFY22!A:A,"=*clerk*"),0)</f>
        <v>8</v>
      </c>
      <c r="BW7">
        <f t="shared" si="18"/>
        <v>4</v>
      </c>
      <c r="BX7" s="1"/>
      <c r="BY7" s="1">
        <f t="shared" si="19"/>
        <v>0</v>
      </c>
      <c r="BZ7">
        <f>SUM(COUNTIFS(All!F:F,"=clerk*", All!B:B, "&gt;=7/1/2021", All!B:B,"&lt;=6/30/2022", All!E:E,"=U*",All!E:E,"&lt;&gt;UIPA*",All!E:E,"&lt;&gt;*RFO*",All!E:E,"&lt;&gt;*TRNG*"))</f>
        <v>0</v>
      </c>
      <c r="CA7" s="7">
        <f>ROUND(BZ7/(BR7+BH7),3)</f>
        <v>0</v>
      </c>
      <c r="CB7">
        <f>SUMIFS(LogFY23!D:D,LogFY23!A:A,"=*clerk*")</f>
        <v>158</v>
      </c>
      <c r="CC7">
        <f>SUM(SUMIFS(LogFY23!D:D,LogFY23!A:A,"=*clerk*"),-1*SUMIFS(LogFY23!L:L,LogFY23!A:A,"=*clerk*"),-1*SUMIFS(LogFY23!N:N,LogFY23!A:A,"=*clerk*"))</f>
        <v>90</v>
      </c>
      <c r="CD7" s="7">
        <f t="shared" si="20"/>
        <v>0.569620253164557</v>
      </c>
      <c r="CE7" s="7">
        <f t="shared" si="21"/>
        <v>0.21667907669396874</v>
      </c>
      <c r="CF7">
        <f>ROUND(SUMIFS(LogFY23!K:K,LogFY23!A:A,"=*clerk*")/SUMIFS(LogFY23!J:J,LogFY23!A:A,"=*clerk*"),0)</f>
        <v>9</v>
      </c>
      <c r="CG7">
        <f t="shared" si="22"/>
        <v>1</v>
      </c>
      <c r="CH7" s="1"/>
      <c r="CI7" s="1">
        <f t="shared" si="23"/>
        <v>0</v>
      </c>
      <c r="CJ7">
        <f>SUM(COUNTIFS(All!F:F,"=clerk*", All!B:B, "&gt;=7/1/2022", All!B:B,"&lt;=6/30/2023", All!E:E,"=U*",All!E:E,"&lt;&gt;UIPA*",All!E:E,"&lt;&gt;*RFO*",All!E:E,"&lt;&gt;*TRNG*"))</f>
        <v>0</v>
      </c>
      <c r="CK7" s="7">
        <f>ROUND(CJ7/(CB7+BR7),3)</f>
        <v>0</v>
      </c>
      <c r="CL7">
        <f>SUMIFS(LogFY24!D:D,LogFY24!A:A,"=*clerk*")</f>
        <v>94</v>
      </c>
      <c r="CM7">
        <f>SUM(SUMIFS(LogFY24!D:D,LogFY24!A:A,"=*clerk*"),-1*SUMIFS(LogFY24!L:L,LogFY24!A:A,"=*clerk*"),-1*SUMIFS(LogFY24!N:N,LogFY24!A:A,"=*clerk*"))</f>
        <v>28</v>
      </c>
      <c r="CN7" s="7">
        <f t="shared" si="24"/>
        <v>0.2978723404255319</v>
      </c>
      <c r="CO7" s="7">
        <f t="shared" si="25"/>
        <v>-0.2717479127390251</v>
      </c>
      <c r="CP7">
        <f>ROUND(SUMIFS(LogFY24!K:K,LogFY24!A:A,"=*clerk*")/SUMIFS(LogFY24!J:J,LogFY24!A:A,"=*clerk*"),0)</f>
        <v>5</v>
      </c>
      <c r="CQ7">
        <f t="shared" si="26"/>
        <v>-4</v>
      </c>
      <c r="CR7" s="1">
        <v>19</v>
      </c>
      <c r="CS7" s="1">
        <f t="shared" si="27"/>
        <v>19</v>
      </c>
      <c r="CT7">
        <f>SUM(COUNTIFS(All!F:F,"=clerk*", All!B:B, "&gt;=7/1/2023", All!B:B,"&lt;=6/30/2024", All!E:E,"=U*",All!E:E,"&lt;&gt;UIPA*",All!E:E,"&lt;&gt;*RFO*",All!E:E,"&lt;&gt;*TRNG*"))</f>
        <v>0</v>
      </c>
      <c r="CU7" s="7">
        <f>ROUND(CT7/(CL7+CB7),3)</f>
        <v>0</v>
      </c>
    </row>
    <row r="8" spans="1:99" ht="16">
      <c r="A8" s="10">
        <f t="shared" si="28"/>
        <v>7</v>
      </c>
      <c r="B8" s="1" t="s">
        <v>16793</v>
      </c>
      <c r="C8">
        <f>SUMIFS(LogFY15!D:D,LogFY15!A:A,"=*council*")</f>
        <v>1</v>
      </c>
      <c r="D8">
        <f>SUM(SUMIFS(LogFY15!D:D,LogFY15!A:A,"=*council*"),-1*SUMIFS(LogFY15!L:L,LogFY15!A:A,"=*council*"),-1*SUMIFS(LogFY15!N:N,LogFY15!A:A,"=*council*"))</f>
        <v>1</v>
      </c>
      <c r="E8" s="7">
        <f t="shared" si="34"/>
        <v>1</v>
      </c>
      <c r="F8">
        <f>ROUND(SUMIFS(LogFY15!K:K,LogFY15!A:A,"=*council*")/SUMIFS(LogFY15!J:J,LogFY15!A:A,"=*council*"),0)</f>
        <v>6</v>
      </c>
      <c r="G8" s="1">
        <v>6</v>
      </c>
      <c r="H8">
        <f>SUM(COUNTIFS(All!F:F,"=council*", All!B:B, "&gt;=7/1/2014", All!B:B,"&lt;=6/30/2015", All!E:E,"=U*",All!E:E,"&lt;&gt;UIPA*",All!E:E,"&lt;&gt;*RFO*",All!E:E,"&lt;&gt;*TRNG*"),COUNTIFS(All!F:F,"=cncl*", All!B:B, "&gt;=7/1/2014", All!B:B,"&lt;=6/30/2015", All!E:E,"=U*",All!E:E,"&lt;&gt;UIPA*",All!E:E,"&lt;&gt;*RFO*",All!E:E,"&lt;&gt;*TRNG*"))</f>
        <v>0</v>
      </c>
      <c r="I8" s="7">
        <f>ROUND(H8/C8,3)</f>
        <v>0</v>
      </c>
      <c r="J8">
        <f>SUMIFS(LogFY16!D:D,LogFY16!A:A,"=*council*")</f>
        <v>11</v>
      </c>
      <c r="K8">
        <f>SUM(SUMIFS(LogFY16!D:D,LogFY16!A:A,"=*council*"),-1*SUMIFS(LogFY16!L:L,LogFY16!A:A,"=*council*"),-1*SUMIFS(LogFY16!N:N,LogFY16!A:A,"=*council*"))</f>
        <v>4</v>
      </c>
      <c r="L8" s="7">
        <f t="shared" si="29"/>
        <v>0.36363636363636365</v>
      </c>
      <c r="M8" s="7">
        <f t="shared" si="30"/>
        <v>-0.63636363636363635</v>
      </c>
      <c r="N8">
        <f>ROUND(SUMIFS(LogFY16!K:K,LogFY16!A:A,"=*council*")/SUMIFS(LogFY16!J:J,LogFY16!A:A,"=*council*"),0)</f>
        <v>16</v>
      </c>
      <c r="O8">
        <f t="shared" si="31"/>
        <v>10</v>
      </c>
      <c r="P8" s="1">
        <v>42</v>
      </c>
      <c r="Q8" s="1">
        <f t="shared" si="32"/>
        <v>36</v>
      </c>
      <c r="R8">
        <f>SUM(COUNTIFS(All!F:F,"=council*", All!B:B, "&gt;=7/1/2015", All!B:B,"&lt;=6/30/2016", All!E:E,"=U*",All!E:E,"&lt;&gt;UIPA*",All!E:E,"&lt;&gt;*RFO*",All!E:E,"&lt;&gt;*TRNG*"),COUNTIFS(All!F:F,"=cncl*", All!B:B, "&gt;=7/1/2015", All!B:B,"&lt;=6/30/2016", All!E:E,"=U*",All!E:E,"&lt;&gt;UIPA*",All!E:E,"&lt;&gt;*RFO*",All!E:E,"&lt;&gt;*TRNG*"))</f>
        <v>1</v>
      </c>
      <c r="S8" s="7">
        <f>ROUND(R8/(J8+C8),3)</f>
        <v>8.3000000000000004E-2</v>
      </c>
      <c r="T8">
        <f>SUMIFS(LogFY17!D:D,LogFY17!A:A,"=*council*")</f>
        <v>11</v>
      </c>
      <c r="U8">
        <f>SUM(SUMIFS(LogFY17!D:D,LogFY17!A:A,"=*council*"),-1*SUMIFS(LogFY17!L:L,LogFY17!A:A,"=*council*"),-1*SUMIFS(LogFY17!N:N,LogFY17!A:A,"=*council*"))</f>
        <v>3</v>
      </c>
      <c r="V8" s="7">
        <f>U8/T8</f>
        <v>0.27272727272727271</v>
      </c>
      <c r="W8" s="7">
        <f>V8-L8</f>
        <v>-9.0909090909090939E-2</v>
      </c>
      <c r="X8">
        <f>ROUND(SUMIFS(LogFY17!K:K,LogFY17!A:A,"=*council*")/SUMIFS(LogFY17!J:J,LogFY17!A:A,"=*council*"),0)</f>
        <v>15</v>
      </c>
      <c r="Y8">
        <f>X8-N8</f>
        <v>-1</v>
      </c>
      <c r="Z8" s="1">
        <v>64</v>
      </c>
      <c r="AA8" s="1">
        <f t="shared" si="33"/>
        <v>22</v>
      </c>
      <c r="AB8">
        <f>SUM(COUNTIFS(All!F:F,"=council*", All!B:B, "&gt;=7/1/2016", All!B:B,"&lt;=6/30/2017", All!E:E,"=U*",All!E:E,"&lt;&gt;UIPA*",All!E:E,"&lt;&gt;*RFO*",All!E:E,"&lt;&gt;*TRNG*"),COUNTIFS(All!F:F,"=cncl*", All!B:B, "&gt;=7/1/2016", All!B:B,"&lt;=6/30/2017", All!E:E,"=U*",All!E:E,"&lt;&gt;UIPA*",All!E:E,"&lt;&gt;*RFO*",All!E:E,"&lt;&gt;*TRNG*"))</f>
        <v>2</v>
      </c>
      <c r="AC8" s="7">
        <f>ROUND(AB8/(T8+J8),3)</f>
        <v>9.0999999999999998E-2</v>
      </c>
      <c r="AD8">
        <f>SUMIFS(LogFY18!D:D,LogFY18!A:A,"=*council*")</f>
        <v>24</v>
      </c>
      <c r="AE8">
        <f>SUM(SUMIFS(LogFY18!D:D,LogFY18!A:A,"=*council*"),-1*SUMIFS(LogFY18!L:L,LogFY18!A:A,"=*council*"),-1*SUMIFS(LogFY18!N:N,LogFY18!A:A,"=*council*"))</f>
        <v>5</v>
      </c>
      <c r="AF8" s="7">
        <f t="shared" si="0"/>
        <v>0.20833333333333334</v>
      </c>
      <c r="AG8" s="7">
        <f t="shared" si="1"/>
        <v>-6.4393939393939365E-2</v>
      </c>
      <c r="AH8">
        <f>ROUND(SUMIFS(LogFY18!K:K,LogFY18!A:A,"=*council*")/SUMIFS(LogFY18!J:J,LogFY18!A:A,"=*council*"),0)</f>
        <v>12</v>
      </c>
      <c r="AI8">
        <f t="shared" si="2"/>
        <v>-3</v>
      </c>
      <c r="AJ8" s="1">
        <v>22</v>
      </c>
      <c r="AK8" s="1">
        <f t="shared" si="3"/>
        <v>-42</v>
      </c>
      <c r="AL8">
        <f>SUM(COUNTIFS(All!F:F,"=council*", All!B:B, "&gt;=7/1/2017", All!B:B,"&lt;=6/30/2018", All!E:E,"=U*",All!E:E,"&lt;&gt;UIPA*",All!E:E,"&lt;&gt;*RFO*",All!E:E,"&lt;&gt;*TRNG*"),COUNTIFS(All!F:F,"=cncl*", All!B:B, "&gt;=7/1/2017", All!B:B,"&lt;=6/30/2018", All!E:E,"=U*",All!E:E,"&lt;&gt;UIPA*",All!E:E,"&lt;&gt;*RFO*",All!E:E,"&lt;&gt;*TRNG*"))</f>
        <v>7</v>
      </c>
      <c r="AM8" s="7">
        <f>ROUND(AL8/(AD8+T8),3)</f>
        <v>0.2</v>
      </c>
      <c r="AN8">
        <f>SUMIFS(LogFY19!D:D,LogFY19!A:A,"=*council*")</f>
        <v>17</v>
      </c>
      <c r="AO8">
        <f>SUM(SUMIFS(LogFY19!D:D,LogFY19!A:A,"=*council*"),-1*SUMIFS(LogFY19!L:L,LogFY19!A:A,"=*council*"),-1*SUMIFS(LogFY19!N:N,LogFY19!A:A,"=*council*"))</f>
        <v>3</v>
      </c>
      <c r="AP8" s="7">
        <f t="shared" si="4"/>
        <v>0.17647058823529413</v>
      </c>
      <c r="AQ8" s="7">
        <f t="shared" si="5"/>
        <v>-3.1862745098039214E-2</v>
      </c>
      <c r="AR8">
        <f>ROUND(SUMIFS(LogFY19!K:K,LogFY19!A:A,"=*council*")/SUMIFS(LogFY19!J:J,LogFY19!A:A,"=*council*"),0)</f>
        <v>8</v>
      </c>
      <c r="AS8">
        <f t="shared" si="6"/>
        <v>-4</v>
      </c>
      <c r="AT8" s="1">
        <v>22</v>
      </c>
      <c r="AU8" s="1">
        <f t="shared" si="7"/>
        <v>0</v>
      </c>
      <c r="AV8">
        <f>SUM(COUNTIFS(All!F:F,"=council*", All!B:B, "&gt;=7/1/2018", All!B:B,"&lt;=6/30/2019", All!E:E,"=U*",All!E:E,"&lt;&gt;UIPA*",All!E:E,"&lt;&gt;*RFO*",All!E:E,"&lt;&gt;*TRNG*"),COUNTIFS(All!F:F,"=cncl*", All!B:B, "&gt;=7/1/2018", All!B:B,"&lt;=6/30/2019", All!E:E,"=U*",All!E:E,"&lt;&gt;UIPA*",All!E:E,"&lt;&gt;*RFO*",All!E:E,"&lt;&gt;*TRNG*"))</f>
        <v>2</v>
      </c>
      <c r="AW8" s="7">
        <f>ROUND(AV8/(AN8+AD8),3)</f>
        <v>4.9000000000000002E-2</v>
      </c>
      <c r="AX8">
        <f>SUMIFS(LogFY20!D:D,LogFY20!A:A,"=*council*")</f>
        <v>12</v>
      </c>
      <c r="AY8">
        <f>SUM(SUMIFS(LogFY20!D:D,LogFY20!A:A,"=*council*"),-1*SUMIFS(LogFY20!L:L,LogFY20!A:A,"=*council*"),-1*SUMIFS(LogFY20!N:N,LogFY20!A:A,"=*council*"))</f>
        <v>2</v>
      </c>
      <c r="AZ8" s="7">
        <f t="shared" si="8"/>
        <v>0.16666666666666666</v>
      </c>
      <c r="BA8" s="7">
        <f t="shared" si="9"/>
        <v>-9.8039215686274717E-3</v>
      </c>
      <c r="BB8">
        <f>ROUND(SUMIFS(LogFY20!K:K,LogFY20!A:A,"=*council*")/SUMIFS(LogFY20!J:J,LogFY20!A:A,"=*council*"),0)</f>
        <v>12</v>
      </c>
      <c r="BC8">
        <f t="shared" si="10"/>
        <v>4</v>
      </c>
      <c r="BD8" s="1">
        <v>35</v>
      </c>
      <c r="BE8" s="1">
        <f t="shared" si="11"/>
        <v>13</v>
      </c>
      <c r="BF8">
        <f>SUM(COUNTIFS(All!F:F,"=council*", All!B:B, "&gt;=7/1/2019", All!B:B,"&lt;=6/30/2020", All!E:E,"=U*",All!E:E,"&lt;&gt;UIPA*",All!E:E,"&lt;&gt;*RFO*",All!E:E,"&lt;&gt;*TRNG*"),COUNTIFS(All!F:F,"=cncl*", All!B:B, "&gt;=7/1/2019", All!B:B,"&lt;=6/30/2020", All!E:E,"=U*",All!E:E,"&lt;&gt;UIPA*",All!E:E,"&lt;&gt;*RFO*",All!E:E,"&lt;&gt;*TRNG*"))</f>
        <v>2</v>
      </c>
      <c r="BG8" s="7">
        <f>ROUND(BF8/(AX8+AN8),3)</f>
        <v>6.9000000000000006E-2</v>
      </c>
      <c r="BH8">
        <f>SUMIFS(LogFY21!D:D,LogFY21!A:A,"=*council*")</f>
        <v>17</v>
      </c>
      <c r="BI8">
        <f>SUM(SUMIFS(LogFY21!D:D,LogFY21!A:A,"=*council*"),-1*SUMIFS(LogFY21!L:L,LogFY21!A:A,"=*council*"),-1*SUMIFS(LogFY21!N:N,LogFY21!A:A,"=*council*"))</f>
        <v>1</v>
      </c>
      <c r="BJ8" s="7">
        <f t="shared" si="12"/>
        <v>5.8823529411764705E-2</v>
      </c>
      <c r="BK8" s="7">
        <f t="shared" si="13"/>
        <v>-0.10784313725490195</v>
      </c>
      <c r="BL8">
        <f>ROUND(SUMIFS(LogFY21!K:K,LogFY21!A:A,"=*council*")/SUMIFS(LogFY21!J:J,LogFY21!A:A,"=*council*"),0)</f>
        <v>28</v>
      </c>
      <c r="BM8">
        <f t="shared" si="14"/>
        <v>16</v>
      </c>
      <c r="BN8" s="1">
        <v>213</v>
      </c>
      <c r="BO8" s="1">
        <f t="shared" si="15"/>
        <v>178</v>
      </c>
      <c r="BP8">
        <f>SUM(COUNTIFS(All!F:F,"=council*", All!B:B, "&gt;=7/1/2020", All!B:B,"&lt;=6/30/2021", All!E:E,"=U*",All!E:E,"&lt;&gt;UIPA*",All!E:E,"&lt;&gt;*RFO*",All!E:E,"&lt;&gt;*TRNG*"),COUNTIFS(All!F:F,"=cncl*", All!B:B, "&gt;=7/1/2020", All!B:B,"&lt;=6/30/2021", All!E:E,"=U*",All!E:E,"&lt;&gt;UIPA*",All!E:E,"&lt;&gt;*RFO*",All!E:E,"&lt;&gt;*TRNG*"))</f>
        <v>0</v>
      </c>
      <c r="BQ8" s="7">
        <f>ROUND(BP8/(BH8+AX8),3)</f>
        <v>0</v>
      </c>
      <c r="BR8">
        <f>SUMIFS(LogFY22!D:D,LogFY22!A:A,"=*council*")</f>
        <v>71</v>
      </c>
      <c r="BS8">
        <f>SUM(SUMIFS(LogFY22!D:D,LogFY22!A:A,"=*council*"),-1*SUMIFS(LogFY22!L:L,LogFY22!A:A,"=*council*"),-1*SUMIFS(LogFY22!N:N,LogFY22!A:A,"=*council*"))</f>
        <v>26</v>
      </c>
      <c r="BT8" s="7">
        <f t="shared" si="16"/>
        <v>0.36619718309859156</v>
      </c>
      <c r="BU8" s="7">
        <f t="shared" si="17"/>
        <v>0.30737365368682684</v>
      </c>
      <c r="BV8">
        <f>ROUND(SUMIFS(LogFY22!K:K,LogFY22!A:A,"=*council*")/SUMIFS(LogFY22!J:J,LogFY22!A:A,"=*council*"),0)</f>
        <v>11</v>
      </c>
      <c r="BW8">
        <f t="shared" si="18"/>
        <v>-17</v>
      </c>
      <c r="BX8" s="1">
        <v>76</v>
      </c>
      <c r="BY8" s="1">
        <f t="shared" si="19"/>
        <v>-137</v>
      </c>
      <c r="BZ8">
        <f>SUM(COUNTIFS(All!F:F,"=council*", All!B:B, "&gt;=7/1/2021", All!B:B,"&lt;=6/30/2022", All!E:E,"=U*",All!E:E,"&lt;&gt;UIPA*",All!E:E,"&lt;&gt;*RFO*",All!E:E,"&lt;&gt;*TRNG*"),COUNTIFS(All!F:F,"=cncl*", All!B:B, "&gt;=7/1/2021", All!B:B,"&lt;=6/30/2022", All!E:E,"=U*",All!E:E,"&lt;&gt;UIPA*",All!E:E,"&lt;&gt;*RFO*",All!E:E,"&lt;&gt;*TRNG*"))</f>
        <v>2</v>
      </c>
      <c r="CA8" s="7">
        <f>ROUND(BZ8/(BR8+BH8),3)</f>
        <v>2.3E-2</v>
      </c>
      <c r="CB8">
        <f>SUMIFS(LogFY23!D:D,LogFY23!A:A,"=*council*")</f>
        <v>59</v>
      </c>
      <c r="CC8">
        <f>SUM(SUMIFS(LogFY23!D:D,LogFY23!A:A,"=*council*"),-1*SUMIFS(LogFY23!L:L,LogFY23!A:A,"=*council*"),-1*SUMIFS(LogFY23!N:N,LogFY23!A:A,"=*council*"))</f>
        <v>23</v>
      </c>
      <c r="CD8" s="7">
        <f t="shared" si="20"/>
        <v>0.38983050847457629</v>
      </c>
      <c r="CE8" s="7">
        <f t="shared" si="21"/>
        <v>2.3633325375984726E-2</v>
      </c>
      <c r="CF8">
        <f>ROUND(SUMIFS(LogFY23!K:K,LogFY23!A:A,"=*council*")/SUMIFS(LogFY23!J:J,LogFY23!A:A,"=*council*"),0)</f>
        <v>8</v>
      </c>
      <c r="CG8">
        <f t="shared" si="22"/>
        <v>-3</v>
      </c>
      <c r="CH8" s="1">
        <v>51</v>
      </c>
      <c r="CI8" s="1">
        <f t="shared" si="23"/>
        <v>-25</v>
      </c>
      <c r="CJ8">
        <f>SUM(COUNTIFS(All!F:F,"=council*", All!B:B, "&gt;=7/1/2022", All!B:B,"&lt;=6/30/2023", All!E:E,"=U*",All!E:E,"&lt;&gt;UIPA*",All!E:E,"&lt;&gt;*RFO*",All!E:E,"&lt;&gt;*TRNG*"),COUNTIFS(All!F:F,"=cncl*", All!B:B, "&gt;=7/1/2022", All!B:B,"&lt;=6/30/2023", All!E:E,"=U*",All!E:E,"&lt;&gt;UIPA*",All!E:E,"&lt;&gt;*RFO*",All!E:E,"&lt;&gt;*TRNG*"))</f>
        <v>0</v>
      </c>
      <c r="CK8" s="7">
        <f>ROUND(CJ8/(CB8+BR8),3)</f>
        <v>0</v>
      </c>
      <c r="CL8">
        <f>SUMIFS(LogFY24!D:D,LogFY24!A:A,"=*council*")</f>
        <v>76</v>
      </c>
      <c r="CM8">
        <f>SUM(SUMIFS(LogFY24!D:D,LogFY24!A:A,"=*council*"),-1*SUMIFS(LogFY24!L:L,LogFY24!A:A,"=*council*"),-1*SUMIFS(LogFY24!N:N,LogFY24!A:A,"=*council*"))</f>
        <v>45</v>
      </c>
      <c r="CN8" s="7">
        <f t="shared" si="24"/>
        <v>0.59210526315789469</v>
      </c>
      <c r="CO8" s="7">
        <f t="shared" si="25"/>
        <v>0.2022747546833184</v>
      </c>
      <c r="CP8">
        <f>ROUND(SUMIFS(LogFY24!K:K,LogFY24!A:A,"=*council*")/SUMIFS(LogFY24!J:J,LogFY24!A:A,"=*council*"),0)</f>
        <v>6</v>
      </c>
      <c r="CQ8">
        <f t="shared" si="26"/>
        <v>-2</v>
      </c>
      <c r="CR8" s="1">
        <v>51</v>
      </c>
      <c r="CS8" s="1">
        <f t="shared" si="27"/>
        <v>0</v>
      </c>
      <c r="CT8">
        <f>SUM(COUNTIFS(All!F:F,"=council*", All!B:B, "&gt;=7/1/2023", All!B:B,"&lt;=6/30/2024", All!E:E,"=U*",All!E:E,"&lt;&gt;UIPA*",All!E:E,"&lt;&gt;*RFO*",All!E:E,"&lt;&gt;*TRNG*"),COUNTIFS(All!F:F,"=cncl*", All!B:B, "&gt;=7/1/2023", All!B:B,"&lt;=6/30/2024", All!E:E,"=U*",All!E:E,"&lt;&gt;UIPA*",All!E:E,"&lt;&gt;*RFO*",All!E:E,"&lt;&gt;*TRNG*"))</f>
        <v>1</v>
      </c>
      <c r="CU8" s="7">
        <f>ROUND(CT8/(CL8+CB8),3)</f>
        <v>7.0000000000000001E-3</v>
      </c>
    </row>
    <row r="9" spans="1:99" ht="16">
      <c r="A9" s="10">
        <f t="shared" si="28"/>
        <v>8</v>
      </c>
      <c r="B9" s="1" t="s">
        <v>17491</v>
      </c>
      <c r="C9">
        <f>SUMIFS(LogFY15!D:D,LogFY15!A:A,"=*env*")</f>
        <v>46</v>
      </c>
      <c r="D9">
        <f>SUM(SUMIFS(LogFY15!D:D,LogFY15!A:A,"=*env*"),-1*SUMIFS(LogFY15!L:L,LogFY15!A:A,"=*env*"),-1*SUMIFS(LogFY15!N:N,LogFY15!A:A,"=*env*"))</f>
        <v>8</v>
      </c>
      <c r="E9" s="7">
        <f t="shared" si="34"/>
        <v>0.17391304347826086</v>
      </c>
      <c r="F9">
        <f>ROUND(SUMIFS(LogFY15!K:K,LogFY15!A:A,"=*env*")/SUMIFS(LogFY15!J:J,LogFY15!A:A,"=*env*"),0)</f>
        <v>6</v>
      </c>
      <c r="G9" s="1">
        <v>27</v>
      </c>
      <c r="H9">
        <f>SUM(COUNTIFS(All!F:F,"=env*", All!B:B, "&gt;=7/1/2014", All!B:B,"&lt;=6/30/2015", All!E:E,"=U*",All!E:E,"&lt;&gt;UIPA*",All!E:E,"&lt;&gt;*RFO*",All!E:E,"&lt;&gt;*TRNG*"),COUNTIFS(All!F:F,"=ent svc*", All!B:B, "&gt;=7/1/2014", All!B:B,"&lt;=6/30/2015", All!E:E,"=U*",All!E:E,"&lt;&gt;UIPA*",All!E:E,"&lt;&gt;*RFO*",All!E:E,"&lt;&gt;*TRNG*"))</f>
        <v>1</v>
      </c>
      <c r="I9" s="7">
        <f>ROUND(H9/C9,3)</f>
        <v>2.1999999999999999E-2</v>
      </c>
      <c r="J9">
        <f>SUMIFS(LogFY16!D:D,LogFY16!A:A,"=*env*")</f>
        <v>45</v>
      </c>
      <c r="K9">
        <f>SUM(SUMIFS(LogFY16!D:D,LogFY16!A:A,"=*env*"),-1*SUMIFS(LogFY16!L:L,LogFY16!A:A,"=*env*"),-1*SUMIFS(LogFY16!N:N,LogFY16!A:A,"=*env*"))</f>
        <v>3</v>
      </c>
      <c r="L9" s="7">
        <f t="shared" si="29"/>
        <v>6.6666666666666666E-2</v>
      </c>
      <c r="M9" s="7">
        <f t="shared" si="30"/>
        <v>-0.1072463768115942</v>
      </c>
      <c r="N9">
        <f>ROUND(SUMIFS(LogFY16!K:K,LogFY16!A:A,"=*env*")/SUMIFS(LogFY16!J:J,LogFY16!A:A,"=*env*"),0)</f>
        <v>6</v>
      </c>
      <c r="O9">
        <f t="shared" si="31"/>
        <v>0</v>
      </c>
      <c r="P9" s="1">
        <v>24</v>
      </c>
      <c r="Q9" s="1">
        <f t="shared" si="32"/>
        <v>-3</v>
      </c>
      <c r="R9">
        <f>SUM(COUNTIFS(All!F:F,"=env*", All!B:B, "&gt;=7/1/2015", All!B:B,"&lt;=6/30/2016", All!E:E,"=U*",All!E:E,"&lt;&gt;UIPA*",All!E:E,"&lt;&gt;*RFO*",All!E:E,"&lt;&gt;*TRNG*"),COUNTIFS(All!F:F,"=ent svc*", All!B:B, "&gt;=7/1/2015", All!B:B,"&lt;=6/30/2016", All!E:E,"=U*",All!E:E,"&lt;&gt;UIPA*",All!E:E,"&lt;&gt;*RFO*",All!E:E,"&lt;&gt;*TRNG*"))</f>
        <v>0</v>
      </c>
      <c r="S9" s="7">
        <f>ROUND(R9/(J9+C9),3)</f>
        <v>0</v>
      </c>
      <c r="T9">
        <f>SUMIFS(LogFY17!D:D,LogFY17!A:A,"=*env*")</f>
        <v>46</v>
      </c>
      <c r="U9">
        <f>SUM(SUMIFS(LogFY17!D:D,LogFY17!A:A,"=*env*"),-1*SUMIFS(LogFY17!L:L,LogFY17!A:A,"=*env*"),-1*SUMIFS(LogFY17!N:N,LogFY17!A:A,"=*env*"))</f>
        <v>15</v>
      </c>
      <c r="V9" s="7">
        <f>U9/T9</f>
        <v>0.32608695652173914</v>
      </c>
      <c r="W9" s="7">
        <f>V9-L9</f>
        <v>0.25942028985507248</v>
      </c>
      <c r="X9">
        <f>ROUND(SUMIFS(LogFY17!K:K,LogFY17!A:A,"=*env*")/SUMIFS(LogFY17!J:J,LogFY17!A:A,"=*env*"),0)</f>
        <v>8</v>
      </c>
      <c r="Y9">
        <f>X9-N9</f>
        <v>2</v>
      </c>
      <c r="Z9" s="1">
        <v>35</v>
      </c>
      <c r="AA9" s="1">
        <f t="shared" si="33"/>
        <v>11</v>
      </c>
      <c r="AB9">
        <f>SUM(COUNTIFS(All!F:F,"=env*", All!B:B, "&gt;=7/1/2016", All!B:B,"&lt;=6/30/2017", All!E:E,"=U*",All!E:E,"&lt;&gt;UIPA*",All!E:E,"&lt;&gt;*RFO*",All!E:E,"&lt;&gt;*TRNG*"),COUNTIFS(All!F:F,"=ent svc*", All!B:B, "&gt;=7/1/2016", All!B:B,"&lt;=6/30/2017", All!E:E,"=U*",All!E:E,"&lt;&gt;UIPA*",All!E:E,"&lt;&gt;*RFO*",All!E:E,"&lt;&gt;*TRNG*"))</f>
        <v>1</v>
      </c>
      <c r="AC9" s="7">
        <f>ROUND(AB9/(T9+J9),3)</f>
        <v>1.0999999999999999E-2</v>
      </c>
      <c r="AD9">
        <f>SUMIFS(LogFY18!D:D,LogFY18!A:A,"=*env*")</f>
        <v>51</v>
      </c>
      <c r="AE9">
        <f>SUM(SUMIFS(LogFY18!D:D,LogFY18!A:A,"=*env*"),-1*SUMIFS(LogFY18!L:L,LogFY18!A:A,"=*env*"),-1*SUMIFS(LogFY18!N:N,LogFY18!A:A,"=*env*"))</f>
        <v>27</v>
      </c>
      <c r="AF9" s="7">
        <f t="shared" si="0"/>
        <v>0.52941176470588236</v>
      </c>
      <c r="AG9" s="7">
        <f t="shared" si="1"/>
        <v>0.20332480818414322</v>
      </c>
      <c r="AH9">
        <f>ROUND(SUMIFS(LogFY18!K:K,LogFY18!A:A,"=*env*")/SUMIFS(LogFY18!J:J,LogFY18!A:A,"=*env*"),0)</f>
        <v>5</v>
      </c>
      <c r="AI9">
        <f t="shared" si="2"/>
        <v>-3</v>
      </c>
      <c r="AJ9" s="1">
        <v>25</v>
      </c>
      <c r="AK9" s="1">
        <f t="shared" si="3"/>
        <v>-10</v>
      </c>
      <c r="AL9">
        <f>SUM(COUNTIFS(All!F:F,"=env*", All!B:B, "&gt;=7/1/2017", All!B:B,"&lt;=6/30/2018", All!E:E,"=U*",All!E:E,"&lt;&gt;UIPA*",All!E:E,"&lt;&gt;*RFO*",All!E:E,"&lt;&gt;*TRNG*"),COUNTIFS(All!F:F,"=ent svc*", All!B:B, "&gt;=7/1/2017", All!B:B,"&lt;=6/30/2018", All!E:E,"=U*",All!E:E,"&lt;&gt;UIPA*",All!E:E,"&lt;&gt;*RFO*",All!E:E,"&lt;&gt;*TRNG*"))</f>
        <v>1</v>
      </c>
      <c r="AM9" s="7">
        <f>ROUND(AL9/(AD9+T9),3)</f>
        <v>0.01</v>
      </c>
      <c r="AN9">
        <f>SUMIFS(LogFY19!D:D,LogFY19!A:A,"=*env*")</f>
        <v>44</v>
      </c>
      <c r="AO9">
        <f>SUM(SUMIFS(LogFY19!D:D,LogFY19!A:A,"=*env*"),-1*SUMIFS(LogFY19!L:L,LogFY19!A:A,"=*env*"),-1*SUMIFS(LogFY19!N:N,LogFY19!A:A,"=*env*"))</f>
        <v>21</v>
      </c>
      <c r="AP9" s="7">
        <f t="shared" si="4"/>
        <v>0.47727272727272729</v>
      </c>
      <c r="AQ9" s="7">
        <f t="shared" si="5"/>
        <v>-5.2139037433155067E-2</v>
      </c>
      <c r="AR9">
        <f>ROUND(SUMIFS(LogFY19!K:K,LogFY19!A:A,"=*env*")/SUMIFS(LogFY19!J:J,LogFY19!A:A,"=*env*"),0)</f>
        <v>6</v>
      </c>
      <c r="AS9">
        <f t="shared" si="6"/>
        <v>1</v>
      </c>
      <c r="AT9" s="1">
        <v>33</v>
      </c>
      <c r="AU9" s="1">
        <f t="shared" si="7"/>
        <v>8</v>
      </c>
      <c r="AV9">
        <f>SUM(COUNTIFS(All!F:F,"=env*", All!B:B, "&gt;=7/1/2018", All!B:B,"&lt;=6/30/2019", All!E:E,"=U*",All!E:E,"&lt;&gt;UIPA*",All!E:E,"&lt;&gt;*RFO*",All!E:E,"&lt;&gt;*TRNG*"),COUNTIFS(All!F:F,"=ent svc*", All!B:B, "&gt;=7/1/2018", All!B:B,"&lt;=6/30/2019", All!E:E,"=U*",All!E:E,"&lt;&gt;UIPA*",All!E:E,"&lt;&gt;*RFO*",All!E:E,"&lt;&gt;*TRNG*"))</f>
        <v>0</v>
      </c>
      <c r="AW9" s="7">
        <f>ROUND(AV9/(AN9+AD9),3)</f>
        <v>0</v>
      </c>
      <c r="AX9">
        <f>SUMIFS(LogFY20!D:D,LogFY20!A:A,"=*env*")</f>
        <v>48</v>
      </c>
      <c r="AY9">
        <f>SUM(SUMIFS(LogFY20!D:D,LogFY20!A:A,"=*env*"),-1*SUMIFS(LogFY20!L:L,LogFY20!A:A,"=*env*"),-1*SUMIFS(LogFY20!N:N,LogFY20!A:A,"=*env*"))</f>
        <v>10</v>
      </c>
      <c r="AZ9" s="7">
        <f t="shared" si="8"/>
        <v>0.20833333333333334</v>
      </c>
      <c r="BA9" s="7">
        <f t="shared" si="9"/>
        <v>-0.26893939393939392</v>
      </c>
      <c r="BB9">
        <f>ROUND(SUMIFS(LogFY20!K:K,LogFY20!A:A,"=*env*")/SUMIFS(LogFY20!J:J,LogFY20!A:A,"=*env*"),0)</f>
        <v>9</v>
      </c>
      <c r="BC9">
        <f t="shared" si="10"/>
        <v>3</v>
      </c>
      <c r="BD9" s="1">
        <v>89</v>
      </c>
      <c r="BE9" s="1">
        <f t="shared" si="11"/>
        <v>56</v>
      </c>
      <c r="BF9">
        <f>SUM(COUNTIFS(All!F:F,"=env*", All!B:B, "&gt;=7/1/2019", All!B:B,"&lt;=6/30/2020", All!E:E,"=U*",All!E:E,"&lt;&gt;UIPA*",All!E:E,"&lt;&gt;*RFO*",All!E:E,"&lt;&gt;*TRNG*"),COUNTIFS(All!F:F,"=ent svc*", All!B:B, "&gt;=7/1/2019", All!B:B,"&lt;=6/30/2020", All!E:E,"=U*",All!E:E,"&lt;&gt;UIPA*",All!E:E,"&lt;&gt;*RFO*",All!E:E,"&lt;&gt;*TRNG*"))</f>
        <v>0</v>
      </c>
      <c r="BG9" s="7">
        <f>ROUND(BF9/(AX9+AN9),3)</f>
        <v>0</v>
      </c>
      <c r="BH9">
        <f>SUMIFS(LogFY21!D:D,LogFY21!A:A,"=*env*")</f>
        <v>67</v>
      </c>
      <c r="BI9">
        <f>SUM(SUMIFS(LogFY21!D:D,LogFY21!A:A,"=*env*"),-1*SUMIFS(LogFY21!L:L,LogFY21!A:A,"=*env*"),-1*SUMIFS(LogFY21!N:N,LogFY21!A:A,"=*env*"))</f>
        <v>22</v>
      </c>
      <c r="BJ9" s="7">
        <f t="shared" si="12"/>
        <v>0.32835820895522388</v>
      </c>
      <c r="BK9" s="7">
        <f t="shared" si="13"/>
        <v>0.12002487562189054</v>
      </c>
      <c r="BL9">
        <f>ROUND(SUMIFS(LogFY21!K:K,LogFY21!A:A,"=*env*")/SUMIFS(LogFY21!J:J,LogFY21!A:A,"=*env*"),0)</f>
        <v>9</v>
      </c>
      <c r="BM9">
        <f t="shared" si="14"/>
        <v>0</v>
      </c>
      <c r="BN9" s="1">
        <v>73</v>
      </c>
      <c r="BO9" s="1">
        <f t="shared" si="15"/>
        <v>-16</v>
      </c>
      <c r="BP9">
        <f>SUM(COUNTIFS(All!F:F,"=env*", All!B:B, "&gt;=7/1/2020", All!B:B,"&lt;=6/30/2021", All!E:E,"=U*",All!E:E,"&lt;&gt;UIPA*",All!E:E,"&lt;&gt;*RFO*",All!E:E,"&lt;&gt;*TRNG*"),COUNTIFS(All!F:F,"=ent svc*", All!B:B, "&gt;=7/1/2020", All!B:B,"&lt;=6/30/2021", All!E:E,"=U*",All!E:E,"&lt;&gt;UIPA*",All!E:E,"&lt;&gt;*RFO*",All!E:E,"&lt;&gt;*TRNG*"))</f>
        <v>0</v>
      </c>
      <c r="BQ9" s="7">
        <f>ROUND(BP9/(BH9+AX9),3)</f>
        <v>0</v>
      </c>
      <c r="BR9">
        <f>SUMIFS(LogFY22!D:D,LogFY22!A:A,"=*env*")</f>
        <v>66</v>
      </c>
      <c r="BS9">
        <f>SUM(SUMIFS(LogFY22!D:D,LogFY22!A:A,"=*env*"),-1*SUMIFS(LogFY22!L:L,LogFY22!A:A,"=*env*"),-1*SUMIFS(LogFY22!N:N,LogFY22!A:A,"=*env*"))</f>
        <v>18</v>
      </c>
      <c r="BT9" s="7">
        <f t="shared" si="16"/>
        <v>0.27272727272727271</v>
      </c>
      <c r="BU9" s="7">
        <f t="shared" si="17"/>
        <v>-5.5630936227951178E-2</v>
      </c>
      <c r="BV9">
        <f>ROUND(SUMIFS(LogFY22!K:K,LogFY22!A:A,"=*env*")/SUMIFS(LogFY22!J:J,LogFY22!A:A,"=*env*"),0)</f>
        <v>7</v>
      </c>
      <c r="BW9">
        <f t="shared" si="18"/>
        <v>-2</v>
      </c>
      <c r="BX9" s="1">
        <v>86</v>
      </c>
      <c r="BY9" s="1">
        <f t="shared" si="19"/>
        <v>13</v>
      </c>
      <c r="BZ9">
        <f>SUM(COUNTIFS(All!F:F,"=env*", All!B:B, "&gt;=7/1/2021", All!B:B,"&lt;=6/30/2022", All!E:E,"=U*",All!E:E,"&lt;&gt;UIPA*",All!E:E,"&lt;&gt;*RFO*",All!E:E,"&lt;&gt;*TRNG*"),COUNTIFS(All!F:F,"=ent svc*", All!B:B, "&gt;=7/1/2021", All!B:B,"&lt;=6/30/2022", All!E:E,"=U*",All!E:E,"&lt;&gt;UIPA*",All!E:E,"&lt;&gt;*RFO*",All!E:E,"&lt;&gt;*TRNG*"))</f>
        <v>1</v>
      </c>
      <c r="CA9" s="7">
        <f>ROUND(BZ9/(BR9+BH9),3)</f>
        <v>8.0000000000000002E-3</v>
      </c>
      <c r="CB9">
        <f>SUMIFS(LogFY23!D:D,LogFY23!A:A,"=*env*")</f>
        <v>54</v>
      </c>
      <c r="CC9">
        <f>SUM(SUMIFS(LogFY23!D:D,LogFY23!A:A,"=*env*"),-1*SUMIFS(LogFY23!L:L,LogFY23!A:A,"=*env*"),-1*SUMIFS(LogFY23!N:N,LogFY23!A:A,"=*env*"))</f>
        <v>11</v>
      </c>
      <c r="CD9" s="7">
        <f t="shared" si="20"/>
        <v>0.20370370370370369</v>
      </c>
      <c r="CE9" s="7">
        <f t="shared" si="21"/>
        <v>-6.9023569023569015E-2</v>
      </c>
      <c r="CF9">
        <f>ROUND(SUMIFS(LogFY23!K:K,LogFY23!A:A,"=*env*")/SUMIFS(LogFY23!J:J,LogFY23!A:A,"=*env*"),0)</f>
        <v>7</v>
      </c>
      <c r="CG9">
        <f t="shared" si="22"/>
        <v>0</v>
      </c>
      <c r="CH9" s="1">
        <v>66</v>
      </c>
      <c r="CI9" s="1">
        <f t="shared" si="23"/>
        <v>-20</v>
      </c>
      <c r="CJ9">
        <f>SUM(COUNTIFS(All!F:F,"=env*", All!B:B, "&gt;=7/1/2022", All!B:B,"&lt;=6/30/2023", All!E:E,"=U*",All!E:E,"&lt;&gt;UIPA*",All!E:E,"&lt;&gt;*RFO*",All!E:E,"&lt;&gt;*TRNG*"),COUNTIFS(All!F:F,"=ent svc*", All!B:B, "&gt;=7/1/2022", All!B:B,"&lt;=6/30/2023", All!E:E,"=U*",All!E:E,"&lt;&gt;UIPA*",All!E:E,"&lt;&gt;*RFO*",All!E:E,"&lt;&gt;*TRNG*"))</f>
        <v>0</v>
      </c>
      <c r="CK9" s="7">
        <f>ROUND(CJ9/(CB9+BR9),3)</f>
        <v>0</v>
      </c>
      <c r="CL9">
        <f>SUMIFS(LogFY24!D:D,LogFY24!A:A,"=*env*")</f>
        <v>49</v>
      </c>
      <c r="CM9">
        <f>SUM(SUMIFS(LogFY24!D:D,LogFY24!A:A,"=*env*"),-1*SUMIFS(LogFY24!L:L,LogFY24!A:A,"=*env*"),-1*SUMIFS(LogFY24!N:N,LogFY24!A:A,"=*env*"))</f>
        <v>11</v>
      </c>
      <c r="CN9" s="7">
        <f t="shared" si="24"/>
        <v>0.22448979591836735</v>
      </c>
      <c r="CO9" s="7">
        <f t="shared" si="25"/>
        <v>2.0786092214663654E-2</v>
      </c>
      <c r="CP9">
        <f>ROUND(SUMIFS(LogFY24!K:K,LogFY24!A:A,"=*env*")/SUMIFS(LogFY24!J:J,LogFY24!A:A,"=*env*"),0)</f>
        <v>7</v>
      </c>
      <c r="CQ9">
        <f t="shared" si="26"/>
        <v>0</v>
      </c>
      <c r="CR9" s="1">
        <v>82</v>
      </c>
      <c r="CS9" s="1">
        <f t="shared" si="27"/>
        <v>16</v>
      </c>
      <c r="CT9">
        <f>SUM(COUNTIFS(All!F:F,"=env*", All!B:B, "&gt;=7/1/2023", All!B:B,"&lt;=6/30/2024", All!E:E,"=U*",All!E:E,"&lt;&gt;UIPA*",All!E:E,"&lt;&gt;*RFO*",All!E:E,"&lt;&gt;*TRNG*"),COUNTIFS(All!F:F,"=ent svc*", All!B:B, "&gt;=7/1/2023", All!B:B,"&lt;=6/30/2024", All!E:E,"=U*",All!E:E,"&lt;&gt;UIPA*",All!E:E,"&lt;&gt;*RFO*",All!E:E,"&lt;&gt;*TRNG*"))</f>
        <v>0</v>
      </c>
      <c r="CU9" s="7">
        <f>ROUND(CT9/(CL9+CB9),3)</f>
        <v>0</v>
      </c>
    </row>
    <row r="10" spans="1:99" ht="16">
      <c r="A10" s="10">
        <f t="shared" si="28"/>
        <v>9</v>
      </c>
      <c r="B10" s="9" t="s">
        <v>17492</v>
      </c>
      <c r="C10">
        <f>SUMIFS(LogFY15!D:D,LogFY15!A:A,"=*honolulu_environmental*")</f>
        <v>20</v>
      </c>
      <c r="D10">
        <f>SUM(SUMIFS(LogFY15!D:D,LogFY15!A:A,"=*honolulu_environmental*"),-1*SUMIFS(LogFY15!L:L,LogFY15!A:A,"=*honolulu_environmental*"),-1*SUMIFS(LogFY15!N:N,LogFY15!A:A,"=*honolulu_environmental*"))</f>
        <v>4</v>
      </c>
      <c r="E10" s="7">
        <f t="shared" si="34"/>
        <v>0.2</v>
      </c>
      <c r="F10">
        <f>ROUND(SUMIFS(LogFY15!K:K,LogFY15!A:A,"=*honolulu_environmental*")/SUMIFS(LogFY15!J:J,LogFY15!A:A,"=*honolulu_environmental*"),0)</f>
        <v>5</v>
      </c>
      <c r="G10" s="1">
        <v>27</v>
      </c>
      <c r="I10" s="7"/>
      <c r="J10">
        <f>SUMIFS(LogFY16!D:D,LogFY16!A:A,"=*honolulu_environmental*")</f>
        <v>21</v>
      </c>
      <c r="K10">
        <f>SUM(SUMIFS(LogFY16!D:D,LogFY16!A:A,"=*honolulu_environmental*"),-1*SUMIFS(LogFY16!L:L,LogFY16!A:A,"=*honolulu_environmental*"),-1*SUMIFS(LogFY16!N:N,LogFY16!A:A,"=*honolulu_environmental*"))</f>
        <v>2</v>
      </c>
      <c r="L10" s="7">
        <f t="shared" si="29"/>
        <v>9.5238095238095233E-2</v>
      </c>
      <c r="M10" s="7">
        <f t="shared" si="30"/>
        <v>-0.10476190476190478</v>
      </c>
      <c r="N10">
        <f>ROUND(SUMIFS(LogFY16!K:K,LogFY16!A:A,"=*honolulu_environmental*")/SUMIFS(LogFY16!J:J,LogFY16!A:A,"=*honolulu_environmental*"),0)</f>
        <v>7</v>
      </c>
      <c r="O10">
        <f t="shared" si="31"/>
        <v>2</v>
      </c>
      <c r="P10" s="1">
        <v>18</v>
      </c>
      <c r="Q10" s="1">
        <f t="shared" si="32"/>
        <v>-9</v>
      </c>
      <c r="T10">
        <f>SUMIFS(LogFY17!D:D,LogFY17!A:A,"=*honolulu_environmental*")</f>
        <v>22</v>
      </c>
      <c r="U10">
        <f>SUM(SUMIFS(LogFY17!D:D,LogFY17!A:A,"=*honolulu_environmental*"),-1*SUMIFS(LogFY17!L:L,LogFY17!A:A,"=*honolulu_environmental*"),-1*SUMIFS(LogFY17!N:N,LogFY17!A:A,"=*honolulu_environmental*"))</f>
        <v>12</v>
      </c>
      <c r="V10" s="7">
        <f>U10/T10</f>
        <v>0.54545454545454541</v>
      </c>
      <c r="W10" s="7">
        <f>V10-L10</f>
        <v>0.45021645021645018</v>
      </c>
      <c r="X10">
        <f>ROUND(SUMIFS(LogFY17!K:K,LogFY17!A:A,"=*honolulu_environmental*")/SUMIFS(LogFY17!J:J,LogFY17!A:A,"=*honolulu_environmental*"),0)</f>
        <v>12</v>
      </c>
      <c r="Y10">
        <f>X10-N10</f>
        <v>5</v>
      </c>
      <c r="Z10" s="1">
        <v>35</v>
      </c>
      <c r="AA10" s="1">
        <f t="shared" si="33"/>
        <v>17</v>
      </c>
      <c r="AD10">
        <f>SUMIFS(LogFY18!D:D,LogFY18!A:A,"=*honolulu_environmental*")</f>
        <v>20</v>
      </c>
      <c r="AE10">
        <f>SUM(SUMIFS(LogFY18!D:D,LogFY18!A:A,"=*honolulu_environmental*"),-1*SUMIFS(LogFY18!L:L,LogFY18!A:A,"=*honolulu_environmental*"),-1*SUMIFS(LogFY18!N:N,LogFY18!A:A,"=*honolulu_environmental*"))</f>
        <v>13</v>
      </c>
      <c r="AF10" s="7">
        <f t="shared" si="0"/>
        <v>0.65</v>
      </c>
      <c r="AG10" s="7">
        <f t="shared" si="1"/>
        <v>0.10454545454545461</v>
      </c>
      <c r="AH10">
        <f>ROUND(SUMIFS(LogFY18!K:K,LogFY18!A:A,"=*honolulu_environmental*")/SUMIFS(LogFY18!J:J,LogFY18!A:A,"=*honolulu_environmental*"),0)</f>
        <v>7</v>
      </c>
      <c r="AI10">
        <f t="shared" si="2"/>
        <v>-5</v>
      </c>
      <c r="AJ10" s="1">
        <v>25</v>
      </c>
      <c r="AK10" s="1">
        <f t="shared" si="3"/>
        <v>-10</v>
      </c>
      <c r="AN10">
        <f>SUMIFS(LogFY19!D:D,LogFY19!A:A,"=*honolulu_environmental*")</f>
        <v>18</v>
      </c>
      <c r="AO10">
        <f>SUM(SUMIFS(LogFY19!D:D,LogFY19!A:A,"=*honolulu_environmental*"),-1*SUMIFS(LogFY19!L:L,LogFY19!A:A,"=*honolulu_environmental*"),-1*SUMIFS(LogFY19!N:N,LogFY19!A:A,"=*honolulu_environmental*"))</f>
        <v>6</v>
      </c>
      <c r="AP10" s="7">
        <f t="shared" si="4"/>
        <v>0.33333333333333331</v>
      </c>
      <c r="AQ10" s="7">
        <f t="shared" si="5"/>
        <v>-0.31666666666666671</v>
      </c>
      <c r="AR10">
        <f>ROUND(SUMIFS(LogFY19!K:K,LogFY19!A:A,"=*honolulu_environmental*")/SUMIFS(LogFY19!J:J,LogFY19!A:A,"=*honolulu_environmental*"),0)</f>
        <v>6</v>
      </c>
      <c r="AS10">
        <f t="shared" si="6"/>
        <v>-1</v>
      </c>
      <c r="AT10" s="1">
        <v>19</v>
      </c>
      <c r="AU10" s="1">
        <f t="shared" si="7"/>
        <v>-6</v>
      </c>
      <c r="AX10">
        <f>SUMIFS(LogFY20!D:D,LogFY20!A:A,"=*honolulu_environmental*")</f>
        <v>7</v>
      </c>
      <c r="AY10">
        <f>SUM(SUMIFS(LogFY20!D:D,LogFY20!A:A,"=*honolulu_environmental*"),-1*SUMIFS(LogFY20!L:L,LogFY20!A:A,"=*honolulu_environmental*"),-1*SUMIFS(LogFY20!N:N,LogFY20!A:A,"=*honolulu_environmental*"))</f>
        <v>2</v>
      </c>
      <c r="AZ10" s="7">
        <f t="shared" si="8"/>
        <v>0.2857142857142857</v>
      </c>
      <c r="BA10" s="7">
        <f t="shared" si="9"/>
        <v>-4.7619047619047616E-2</v>
      </c>
      <c r="BB10">
        <f>ROUND(SUMIFS(LogFY20!K:K,LogFY20!A:A,"=*honolulu_environmental*")/SUMIFS(LogFY20!J:J,LogFY20!A:A,"=*honolulu_environmental*"),0)</f>
        <v>14</v>
      </c>
      <c r="BC10">
        <f t="shared" si="10"/>
        <v>8</v>
      </c>
      <c r="BD10" s="1">
        <v>57</v>
      </c>
      <c r="BE10" s="1">
        <f t="shared" si="11"/>
        <v>38</v>
      </c>
      <c r="BH10">
        <f>SUMIFS(LogFY21!D:D,LogFY21!A:A,"=*honolulu_environmental*")</f>
        <v>21</v>
      </c>
      <c r="BI10">
        <f>SUM(SUMIFS(LogFY21!D:D,LogFY21!A:A,"=*honolulu_environmental*"),-1*SUMIFS(LogFY21!L:L,LogFY21!A:A,"=*honolulu_environmental*"),-1*SUMIFS(LogFY21!N:N,LogFY21!A:A,"=*honolulu_environmental*"))</f>
        <v>10</v>
      </c>
      <c r="BJ10" s="7">
        <f t="shared" si="12"/>
        <v>0.47619047619047616</v>
      </c>
      <c r="BK10" s="7">
        <f t="shared" si="13"/>
        <v>0.19047619047619047</v>
      </c>
      <c r="BL10">
        <f>ROUND(SUMIFS(LogFY21!K:K,LogFY21!A:A,"=*honolulu_environmental*")/SUMIFS(LogFY21!J:J,LogFY21!A:A,"=*honolulu_environmental*"),0)</f>
        <v>11</v>
      </c>
      <c r="BM10">
        <f t="shared" si="14"/>
        <v>-3</v>
      </c>
      <c r="BN10" s="1">
        <v>59</v>
      </c>
      <c r="BO10" s="1">
        <f t="shared" si="15"/>
        <v>2</v>
      </c>
      <c r="BR10">
        <f>SUMIFS(LogFY22!D:D,LogFY22!A:A,"=*honolulu_environmental*")</f>
        <v>25</v>
      </c>
      <c r="BS10">
        <f>SUM(SUMIFS(LogFY22!D:D,LogFY22!A:A,"=*honolulu_environmental*"),-1*SUMIFS(LogFY22!L:L,LogFY22!A:A,"=*honolulu_environmental*"),-1*SUMIFS(LogFY22!N:N,LogFY22!A:A,"=*honolulu_environmental*"))</f>
        <v>11</v>
      </c>
      <c r="BT10" s="7">
        <f t="shared" si="16"/>
        <v>0.44</v>
      </c>
      <c r="BU10" s="7">
        <f t="shared" si="17"/>
        <v>-3.6190476190476162E-2</v>
      </c>
      <c r="BV10">
        <f>ROUND(SUMIFS(LogFY22!K:K,LogFY22!A:A,"=*honolulu_environmental*")/SUMIFS(LogFY22!J:J,LogFY22!A:A,"=*honolulu_environmental*"),0)</f>
        <v>6</v>
      </c>
      <c r="BW10">
        <f t="shared" si="18"/>
        <v>-5</v>
      </c>
      <c r="BX10" s="1">
        <v>25</v>
      </c>
      <c r="BY10" s="1">
        <f t="shared" si="19"/>
        <v>-34</v>
      </c>
      <c r="CB10">
        <f>SUMIFS(LogFY23!D:D,LogFY23!A:A,"=*honolulu_environmental*")</f>
        <v>15</v>
      </c>
      <c r="CC10">
        <f>SUM(SUMIFS(LogFY23!D:D,LogFY23!A:A,"=*honolulu_environmental*"),-1*SUMIFS(LogFY23!L:L,LogFY23!A:A,"=*honolulu_environmental*"),-1*SUMIFS(LogFY23!N:N,LogFY23!A:A,"=*honolulu_environmental*"))</f>
        <v>0</v>
      </c>
      <c r="CD10" s="7">
        <f t="shared" si="20"/>
        <v>0</v>
      </c>
      <c r="CE10" s="7">
        <f t="shared" si="21"/>
        <v>-0.44</v>
      </c>
      <c r="CF10">
        <f>ROUND(SUMIFS(LogFY23!K:K,LogFY23!A:A,"=*honolulu_environmental*")/SUMIFS(LogFY23!J:J,LogFY23!A:A,"=*honolulu_environmental*"),0)</f>
        <v>14</v>
      </c>
      <c r="CG10">
        <f t="shared" si="22"/>
        <v>8</v>
      </c>
      <c r="CH10" s="1">
        <v>66</v>
      </c>
      <c r="CI10" s="1">
        <f t="shared" si="23"/>
        <v>41</v>
      </c>
      <c r="CK10" s="7"/>
      <c r="CL10">
        <f>SUMIFS(LogFY24!D:D,LogFY24!A:A,"=*honolulu_environmental*")</f>
        <v>18</v>
      </c>
      <c r="CM10">
        <f>SUM(SUMIFS(LogFY24!D:D,LogFY24!A:A,"=*honolulu_environmental*"),-1*SUMIFS(LogFY24!L:L,LogFY24!A:A,"=*honolulu_environmental*"),-1*SUMIFS(LogFY24!N:N,LogFY24!A:A,"=*honolulu_environmental*"))</f>
        <v>4</v>
      </c>
      <c r="CN10" s="7">
        <f t="shared" si="24"/>
        <v>0.22222222222222221</v>
      </c>
      <c r="CO10" s="7">
        <f t="shared" si="25"/>
        <v>0.22222222222222221</v>
      </c>
      <c r="CP10">
        <f>ROUND(SUMIFS(LogFY24!K:K,LogFY24!A:A,"=*honolulu_environmental*")/SUMIFS(LogFY24!J:J,LogFY24!A:A,"=*honolulu_environmental*"),0)</f>
        <v>4</v>
      </c>
      <c r="CQ10">
        <f t="shared" si="26"/>
        <v>-10</v>
      </c>
      <c r="CR10" s="1">
        <v>19</v>
      </c>
      <c r="CS10" s="1">
        <f t="shared" si="27"/>
        <v>-47</v>
      </c>
    </row>
    <row r="11" spans="1:99" ht="16">
      <c r="A11" s="10">
        <f t="shared" si="28"/>
        <v>10</v>
      </c>
      <c r="B11" s="9" t="s">
        <v>23553</v>
      </c>
      <c r="C11">
        <f>SUMIFS(LogFY15!D:D,LogFY15!A:A,"=*maui_county_environmental*")</f>
        <v>3</v>
      </c>
      <c r="D11">
        <f>SUM(SUMIFS(LogFY15!D:D,LogFY15!A:A,"=*maui_county_environmental*"),-1*SUMIFS(LogFY15!L:L,LogFY15!A:A,"=*maui_county_environmental*"),-1*SUMIFS(LogFY15!N:N,LogFY15!A:A,"=*maui_county_environmental*"))</f>
        <v>1</v>
      </c>
      <c r="E11" s="7">
        <f t="shared" si="34"/>
        <v>0.33333333333333331</v>
      </c>
      <c r="F11">
        <f>ROUND(SUMIFS(LogFY15!K:K,LogFY15!A:A,"=*maui_county_environmental*")/SUMIFS(LogFY15!J:J,LogFY15!A:A,"=*maui_county_environmental*"),0)</f>
        <v>12</v>
      </c>
      <c r="G11" s="1">
        <v>21</v>
      </c>
      <c r="I11" s="7"/>
      <c r="J11">
        <f>SUMIFS(LogFY16!D:D,LogFY16!A:A,"=*maui_county_environmental*")</f>
        <v>1</v>
      </c>
      <c r="K11">
        <f>SUM(SUMIFS(LogFY16!D:D,LogFY16!A:A,"=*maui_county_environmental*"),-1*SUMIFS(LogFY16!L:L,LogFY16!A:A,"=*maui_county_environmental*"),-1*SUMIFS(LogFY16!N:N,LogFY16!A:A,"=*maui_county_environmental*"))</f>
        <v>0</v>
      </c>
      <c r="L11" s="7">
        <f t="shared" si="29"/>
        <v>0</v>
      </c>
      <c r="M11" s="7">
        <f t="shared" si="30"/>
        <v>-0.33333333333333331</v>
      </c>
      <c r="N11">
        <f>ROUND(SUMIFS(LogFY16!K:K,LogFY16!A:A,"=*maui_county_environmental*")/SUMIFS(LogFY16!J:J,LogFY16!A:A,"=*maui_county_environmental*"),0)</f>
        <v>23</v>
      </c>
      <c r="O11">
        <f t="shared" si="31"/>
        <v>11</v>
      </c>
      <c r="P11" s="1">
        <v>23</v>
      </c>
      <c r="Q11" s="1">
        <f t="shared" si="32"/>
        <v>2</v>
      </c>
      <c r="T11">
        <f>SUMIFS(LogFY17!D:D,LogFY17!A:A,"=*maui_county_environmental*")</f>
        <v>0</v>
      </c>
      <c r="U11">
        <f>SUM(SUMIFS(LogFY17!D:D,LogFY17!A:A,"=*maui_county_environmental*"),-1*SUMIFS(LogFY17!L:L,LogFY17!A:A,"=*maui_county_environmental*"),-1*SUMIFS(LogFY17!N:N,LogFY17!A:A,"=*maui_county_environmental*"))</f>
        <v>0</v>
      </c>
      <c r="V11" s="7"/>
      <c r="W11" s="7"/>
      <c r="Z11" s="1"/>
      <c r="AA11" s="1">
        <f t="shared" si="33"/>
        <v>-23</v>
      </c>
      <c r="AD11">
        <f>SUMIFS(LogFY18!D:D,LogFY18!A:A,"=*maui_county_environmental*")</f>
        <v>0</v>
      </c>
      <c r="AE11">
        <f>SUM(SUMIFS(LogFY18!D:D,LogFY18!A:A,"=*maui_county_environmental*"),-1*SUMIFS(LogFY18!L:L,LogFY18!A:A,"=*maui_county_environmental*"),-1*SUMIFS(LogFY18!N:N,LogFY18!A:A,"=*maui_county_environmental*"))</f>
        <v>0</v>
      </c>
      <c r="AF11" s="7"/>
      <c r="AG11" s="7"/>
      <c r="AJ11" s="1"/>
      <c r="AK11" s="1"/>
      <c r="AN11">
        <f>SUMIFS(LogFY19!D:D,LogFY19!A:A,"=*maui_county_environmental*")</f>
        <v>0</v>
      </c>
      <c r="AO11">
        <f>SUM(SUMIFS(LogFY19!D:D,LogFY19!A:A,"=*maui_county_environmental*"),-1*SUMIFS(LogFY19!L:L,LogFY19!A:A,"=*maui_county_environmental*"),-1*SUMIFS(LogFY19!N:N,LogFY19!A:A,"=*maui_county_environmental*"))</f>
        <v>0</v>
      </c>
      <c r="AP11" s="7"/>
      <c r="AQ11" s="7"/>
      <c r="AT11" s="1"/>
      <c r="AU11" s="1"/>
      <c r="AX11">
        <f>SUMIFS(LogFY20!D:D,LogFY20!A:A,"=*maui_county_environmental*")</f>
        <v>12</v>
      </c>
      <c r="AY11">
        <f>SUM(SUMIFS(LogFY20!D:D,LogFY20!A:A,"=*maui_county_environmental*"),-1*SUMIFS(LogFY20!L:L,LogFY20!A:A,"=*maui_county_environmental*"),-1*SUMIFS(LogFY20!N:N,LogFY20!A:A,"=*maui_county_environmental*"))</f>
        <v>0</v>
      </c>
      <c r="AZ11" s="7">
        <f t="shared" si="8"/>
        <v>0</v>
      </c>
      <c r="BA11" s="7">
        <f t="shared" si="9"/>
        <v>0</v>
      </c>
      <c r="BB11">
        <f>ROUND(SUMIFS(LogFY20!K:K,LogFY20!A:A,"=*maui_county_environmental*")/SUMIFS(LogFY20!J:J,LogFY20!A:A,"=*maui_county_environmental*"),0)</f>
        <v>5</v>
      </c>
      <c r="BC11">
        <f t="shared" si="10"/>
        <v>5</v>
      </c>
      <c r="BD11" s="1">
        <v>10</v>
      </c>
      <c r="BE11" s="1">
        <f t="shared" si="11"/>
        <v>10</v>
      </c>
      <c r="BH11">
        <f>SUMIFS(LogFY21!D:D,LogFY21!A:A,"=*maui_county_environmental*")</f>
        <v>9</v>
      </c>
      <c r="BI11">
        <f>SUM(SUMIFS(LogFY21!D:D,LogFY21!A:A,"=*maui_county_environmental*"),-1*SUMIFS(LogFY21!L:L,LogFY21!A:A,"=*maui_county_environmental*"),-1*SUMIFS(LogFY21!N:N,LogFY21!A:A,"=*maui_county_environmental*"))</f>
        <v>1</v>
      </c>
      <c r="BJ11" s="7">
        <f t="shared" si="12"/>
        <v>0.1111111111111111</v>
      </c>
      <c r="BK11" s="7">
        <f t="shared" si="13"/>
        <v>0.1111111111111111</v>
      </c>
      <c r="BL11">
        <f>ROUND(SUMIFS(LogFY21!K:K,LogFY21!A:A,"=*maui_county_environmental*")/SUMIFS(LogFY21!J:J,LogFY21!A:A,"=*maui_county_environmental*"),0)</f>
        <v>8</v>
      </c>
      <c r="BM11">
        <f t="shared" si="14"/>
        <v>3</v>
      </c>
      <c r="BN11" s="1">
        <v>22</v>
      </c>
      <c r="BO11" s="1">
        <f t="shared" si="15"/>
        <v>12</v>
      </c>
      <c r="BR11">
        <f>SUMIFS(LogFY22!D:D,LogFY22!A:A,"=*maui_county_environmental*")</f>
        <v>27</v>
      </c>
      <c r="BS11">
        <f>SUM(SUMIFS(LogFY22!D:D,LogFY22!A:A,"=*maui_county_environmental*"),-1*SUMIFS(LogFY22!L:L,LogFY22!A:A,"=*maui_county_environmental*"),-1*SUMIFS(LogFY22!N:N,LogFY22!A:A,"=*maui_county_environmental*"))</f>
        <v>4</v>
      </c>
      <c r="BT11" s="7">
        <f t="shared" si="16"/>
        <v>0.14814814814814814</v>
      </c>
      <c r="BU11" s="7">
        <f t="shared" si="17"/>
        <v>3.7037037037037035E-2</v>
      </c>
      <c r="BV11">
        <f>ROUND(SUMIFS(LogFY22!K:K,LogFY22!A:A,"=*maui_county_environmental*")/SUMIFS(LogFY22!J:J,LogFY22!A:A,"=*maui_county_environmental*"),0)</f>
        <v>6</v>
      </c>
      <c r="BW11">
        <f t="shared" si="18"/>
        <v>-2</v>
      </c>
      <c r="BX11" s="1">
        <v>12</v>
      </c>
      <c r="BY11" s="1">
        <f t="shared" si="19"/>
        <v>-10</v>
      </c>
      <c r="CB11">
        <f>SUMIFS(LogFY23!D:D,LogFY23!A:A,"=*maui_county_environmental*")</f>
        <v>15</v>
      </c>
      <c r="CC11">
        <f>SUM(SUMIFS(LogFY23!D:D,LogFY23!A:A,"=*maui_county_environmental*"),-1*SUMIFS(LogFY23!L:L,LogFY23!A:A,"=*maui_county_environmental*"),-1*SUMIFS(LogFY23!N:N,LogFY23!A:A,"=*maui_county_environmental*"))</f>
        <v>4</v>
      </c>
      <c r="CD11" s="7">
        <f t="shared" si="20"/>
        <v>0.26666666666666666</v>
      </c>
      <c r="CE11" s="7">
        <f t="shared" si="21"/>
        <v>0.11851851851851852</v>
      </c>
      <c r="CF11">
        <f>ROUND(SUMIFS(LogFY23!K:K,LogFY23!A:A,"=*maui_county_environmental*")/SUMIFS(LogFY23!J:J,LogFY23!A:A,"=*maui_county_environmental*"),0)</f>
        <v>5</v>
      </c>
      <c r="CG11">
        <f t="shared" si="22"/>
        <v>-1</v>
      </c>
      <c r="CH11" s="1">
        <v>21</v>
      </c>
      <c r="CI11" s="1">
        <f t="shared" si="23"/>
        <v>9</v>
      </c>
      <c r="CK11" s="7"/>
      <c r="CL11">
        <f>SUMIFS(LogFY24!D:D,LogFY24!A:A,"=*maui_county_environmental*")</f>
        <v>13</v>
      </c>
      <c r="CM11">
        <f>SUM(SUMIFS(LogFY24!D:D,LogFY24!A:A,"=*maui_county_environmental*"),-1*SUMIFS(LogFY24!L:L,LogFY24!A:A,"=*maui_county_environmental*"),-1*SUMIFS(LogFY24!N:N,LogFY24!A:A,"=*maui_county_environmental*"))</f>
        <v>4</v>
      </c>
      <c r="CN11" s="7">
        <f t="shared" si="24"/>
        <v>0.30769230769230771</v>
      </c>
      <c r="CO11" s="7">
        <f t="shared" si="25"/>
        <v>4.1025641025641046E-2</v>
      </c>
      <c r="CP11">
        <f>ROUND(SUMIFS(LogFY24!K:K,LogFY24!A:A,"=*maui_county_environmental*")/SUMIFS(LogFY24!J:J,LogFY24!A:A,"=*maui_county_environmental*"),0)</f>
        <v>6</v>
      </c>
      <c r="CQ11">
        <f t="shared" si="26"/>
        <v>1</v>
      </c>
      <c r="CR11" s="1">
        <v>41</v>
      </c>
      <c r="CS11" s="1">
        <f t="shared" si="27"/>
        <v>20</v>
      </c>
    </row>
    <row r="12" spans="1:99" ht="16">
      <c r="A12" s="10">
        <f t="shared" si="28"/>
        <v>11</v>
      </c>
      <c r="B12" s="9" t="s">
        <v>23551</v>
      </c>
      <c r="C12">
        <f>SUMIFS(LogFY15!D:D,LogFY15!A:A,"=*hawaii_county_environmental*")</f>
        <v>23</v>
      </c>
      <c r="D12">
        <f>SUM(SUMIFS(LogFY15!D:D,LogFY15!A:A,"=*hawaii_county_environmental*"),-1*SUMIFS(LogFY15!L:L,LogFY15!A:A,"=*hawaii_county_environmental*"),-1*SUMIFS(LogFY15!N:N,LogFY15!A:A,"=*hawaii_county_environmental*"))</f>
        <v>3</v>
      </c>
      <c r="E12" s="7">
        <f t="shared" si="34"/>
        <v>0.13043478260869565</v>
      </c>
      <c r="F12">
        <f>ROUND(SUMIFS(LogFY15!K:K,LogFY15!A:A,"=*hawaii_county_environmental*")/SUMIFS(LogFY15!J:J,LogFY15!A:A,"=*hawaii_county_environmental*"),0)</f>
        <v>7</v>
      </c>
      <c r="G12" s="1">
        <v>27</v>
      </c>
      <c r="I12" s="7"/>
      <c r="J12">
        <f>SUMIFS(LogFY16!D:D,LogFY16!A:A,"=*hawaii_county_environmental*")</f>
        <v>23</v>
      </c>
      <c r="K12">
        <f>SUM(SUMIFS(LogFY16!D:D,LogFY16!A:A,"=*hawaii_county_environmental*"),-1*SUMIFS(LogFY16!L:L,LogFY16!A:A,"=*hawaii_county_environmental*"),-1*SUMIFS(LogFY16!N:N,LogFY16!A:A,"=*hawaii_county_environmental*"))</f>
        <v>1</v>
      </c>
      <c r="L12" s="7">
        <f t="shared" si="29"/>
        <v>4.3478260869565216E-2</v>
      </c>
      <c r="M12" s="7">
        <f t="shared" si="30"/>
        <v>-8.6956521739130432E-2</v>
      </c>
      <c r="N12">
        <f>ROUND(SUMIFS(LogFY16!K:K,LogFY16!A:A,"=*hawaii_county_environmental*")/SUMIFS(LogFY16!J:J,LogFY16!A:A,"=*hawaii_county_environmental*"),0)</f>
        <v>5</v>
      </c>
      <c r="O12">
        <f t="shared" si="31"/>
        <v>-2</v>
      </c>
      <c r="P12" s="1">
        <v>24</v>
      </c>
      <c r="Q12" s="1">
        <f t="shared" si="32"/>
        <v>-3</v>
      </c>
      <c r="T12">
        <f>SUMIFS(LogFY17!D:D,LogFY17!A:A,"=*hawaii_county_environmental*")</f>
        <v>24</v>
      </c>
      <c r="U12">
        <f>SUM(SUMIFS(LogFY17!D:D,LogFY17!A:A,"=*hawaii_county_environmental*"),-1*SUMIFS(LogFY17!L:L,LogFY17!A:A,"=*hawaii_county_environmental*"),-1*SUMIFS(LogFY17!N:N,LogFY17!A:A,"=*hawaii_county_environmental*"))</f>
        <v>3</v>
      </c>
      <c r="V12" s="7">
        <f>U12/T12</f>
        <v>0.125</v>
      </c>
      <c r="W12" s="7">
        <f>V12-L12</f>
        <v>8.1521739130434784E-2</v>
      </c>
      <c r="X12">
        <f>ROUND(SUMIFS(LogFY17!K:K,LogFY17!A:A,"=*hawaii_county_environmental*")/SUMIFS(LogFY17!J:J,LogFY17!A:A,"=*hawaii_county_environmental*"),0)</f>
        <v>5</v>
      </c>
      <c r="Y12">
        <f>X12-N12</f>
        <v>0</v>
      </c>
      <c r="Z12" s="1">
        <v>16</v>
      </c>
      <c r="AA12" s="1">
        <f t="shared" si="33"/>
        <v>-8</v>
      </c>
      <c r="AD12">
        <f>SUMIFS(LogFY18!D:D,LogFY18!A:A,"=*hawaii_county_environmental*")</f>
        <v>31</v>
      </c>
      <c r="AE12">
        <f>SUM(SUMIFS(LogFY18!D:D,LogFY18!A:A,"=*hawaii_county_environmental*"),-1*SUMIFS(LogFY18!L:L,LogFY18!A:A,"=*hawaii_county_environmental*"),-1*SUMIFS(LogFY18!N:N,LogFY18!A:A,"=*hawaii_county_environmental*"))</f>
        <v>14</v>
      </c>
      <c r="AF12" s="7">
        <f>AE12/AD12</f>
        <v>0.45161290322580644</v>
      </c>
      <c r="AG12" s="7">
        <f>AF12-V12</f>
        <v>0.32661290322580644</v>
      </c>
      <c r="AH12">
        <f>ROUND(SUMIFS(LogFY18!K:K,LogFY18!A:A,"=*hawaii_county_environmental*")/SUMIFS(LogFY18!J:J,LogFY18!A:A,"=*hawaii_county_environmental*"),0)</f>
        <v>3</v>
      </c>
      <c r="AI12">
        <f>AH12-X12</f>
        <v>-2</v>
      </c>
      <c r="AJ12" s="1">
        <v>12</v>
      </c>
      <c r="AK12" s="1">
        <f>AJ12-Z12</f>
        <v>-4</v>
      </c>
      <c r="AN12">
        <f>SUMIFS(LogFY19!D:D,LogFY19!A:A,"=*hawaii_county_environmental*")</f>
        <v>26</v>
      </c>
      <c r="AO12">
        <f>SUM(SUMIFS(LogFY19!D:D,LogFY19!A:A,"=*hawaii_county_environmental*"),-1*SUMIFS(LogFY19!L:L,LogFY19!A:A,"=*hawaii_county_environmental*"),-1*SUMIFS(LogFY19!N:N,LogFY19!A:A,"=*hawaii_county_environmental*"))</f>
        <v>15</v>
      </c>
      <c r="AP12" s="7">
        <f>AO12/AN12</f>
        <v>0.57692307692307687</v>
      </c>
      <c r="AQ12" s="7">
        <f>AP12-AF12</f>
        <v>0.12531017369727043</v>
      </c>
      <c r="AR12">
        <f>ROUND(SUMIFS(LogFY19!K:K,LogFY19!A:A,"=*hawaii_county_environmental*")/SUMIFS(LogFY19!J:J,LogFY19!A:A,"=*hawaii_county_environmental*"),0)</f>
        <v>6</v>
      </c>
      <c r="AS12">
        <f>AR12-AH12</f>
        <v>3</v>
      </c>
      <c r="AT12" s="1">
        <v>33</v>
      </c>
      <c r="AU12" s="1">
        <f>AT12-AJ12</f>
        <v>21</v>
      </c>
      <c r="AX12">
        <f>SUMIFS(LogFY20!D:D,LogFY20!A:A,"=*hawaii_county_environmental*")</f>
        <v>29</v>
      </c>
      <c r="AY12">
        <f>SUM(SUMIFS(LogFY20!D:D,LogFY20!A:A,"=*hawaii_county_environmental*"),-1*SUMIFS(LogFY20!L:L,LogFY20!A:A,"=*hawaii_county_environmental*"),-1*SUMIFS(LogFY20!N:N,LogFY20!A:A,"=*hawaii_county_environmental*"))</f>
        <v>8</v>
      </c>
      <c r="AZ12" s="7">
        <f t="shared" si="8"/>
        <v>0.27586206896551724</v>
      </c>
      <c r="BA12" s="7">
        <f t="shared" si="9"/>
        <v>-0.30106100795755963</v>
      </c>
      <c r="BB12">
        <f>ROUND(SUMIFS(LogFY20!K:K,LogFY20!A:A,"=*hawaii_county_environmental*")/SUMIFS(LogFY20!J:J,LogFY20!A:A,"=*hawaii_county_environmental*"),0)</f>
        <v>9</v>
      </c>
      <c r="BC12">
        <f t="shared" si="10"/>
        <v>3</v>
      </c>
      <c r="BD12" s="1">
        <v>89</v>
      </c>
      <c r="BE12" s="1">
        <f t="shared" si="11"/>
        <v>56</v>
      </c>
      <c r="BH12">
        <f>SUMIFS(LogFY21!D:D,LogFY21!A:A,"=*hawaii_county_environmental*")</f>
        <v>37</v>
      </c>
      <c r="BI12">
        <f>SUM(SUMIFS(LogFY21!D:D,LogFY21!A:A,"=*hawaii_county_environmental*"),-1*SUMIFS(LogFY21!L:L,LogFY21!A:A,"=*hawaii_county_environmental*"),-1*SUMIFS(LogFY21!N:N,LogFY21!A:A,"=*hawaii_county_environmental*"))</f>
        <v>11</v>
      </c>
      <c r="BJ12" s="7">
        <f t="shared" si="12"/>
        <v>0.29729729729729731</v>
      </c>
      <c r="BK12" s="7">
        <f t="shared" si="13"/>
        <v>2.1435228331780076E-2</v>
      </c>
      <c r="BL12">
        <f>ROUND(SUMIFS(LogFY21!K:K,LogFY21!A:A,"=*hawaii_county_environmental*")/SUMIFS(LogFY21!J:J,LogFY21!A:A,"=*hawaii_county_environmental*"),0)</f>
        <v>8</v>
      </c>
      <c r="BM12">
        <f t="shared" si="14"/>
        <v>-1</v>
      </c>
      <c r="BN12" s="1">
        <v>73</v>
      </c>
      <c r="BO12" s="1">
        <f t="shared" si="15"/>
        <v>-16</v>
      </c>
      <c r="BR12">
        <f>SUMIFS(LogFY22!D:D,LogFY22!A:A,"=*hawaii_county_environmental*")</f>
        <v>14</v>
      </c>
      <c r="BS12">
        <f>SUM(SUMIFS(LogFY22!D:D,LogFY22!A:A,"=*hawaii_county_environmental*"),-1*SUMIFS(LogFY22!L:L,LogFY22!A:A,"=*hawaii_county_environmental*"),-1*SUMIFS(LogFY22!N:N,LogFY22!A:A,"=*hawaii_county_environmental*"))</f>
        <v>3</v>
      </c>
      <c r="BT12" s="7">
        <f t="shared" si="16"/>
        <v>0.21428571428571427</v>
      </c>
      <c r="BU12" s="7">
        <f t="shared" si="17"/>
        <v>-8.301158301158304E-2</v>
      </c>
      <c r="BV12">
        <f>ROUND(SUMIFS(LogFY22!K:K,LogFY22!A:A,"=*hawaii_county_environmental*")/SUMIFS(LogFY22!J:J,LogFY22!A:A,"=*hawaii_county_environmental*"),0)</f>
        <v>11</v>
      </c>
      <c r="BW12">
        <f t="shared" si="18"/>
        <v>3</v>
      </c>
      <c r="BX12" s="1">
        <v>86</v>
      </c>
      <c r="BY12" s="1">
        <f t="shared" si="19"/>
        <v>13</v>
      </c>
      <c r="CB12">
        <f>SUMIFS(LogFY23!D:D,LogFY23!A:A,"=*hawaii_county_environmental*")</f>
        <v>24</v>
      </c>
      <c r="CC12">
        <f>SUM(SUMIFS(LogFY23!D:D,LogFY23!A:A,"=*hawaii_county_environmental*"),-1*SUMIFS(LogFY23!L:L,LogFY23!A:A,"=*hawaii_county_environmental*"),-1*SUMIFS(LogFY23!N:N,LogFY23!A:A,"=*hawaii_county_environmental*"))</f>
        <v>7</v>
      </c>
      <c r="CD12" s="7">
        <f t="shared" si="20"/>
        <v>0.29166666666666669</v>
      </c>
      <c r="CE12" s="7">
        <f t="shared" si="21"/>
        <v>7.7380952380952411E-2</v>
      </c>
      <c r="CF12">
        <f>ROUND(SUMIFS(LogFY23!K:K,LogFY23!A:A,"=*hawaii_county_environmental*")/SUMIFS(LogFY23!J:J,LogFY23!A:A,"=*hawaii_county_environmental*"),0)</f>
        <v>3</v>
      </c>
      <c r="CG12">
        <f t="shared" si="22"/>
        <v>-8</v>
      </c>
      <c r="CH12" s="1">
        <v>17</v>
      </c>
      <c r="CI12" s="1">
        <f t="shared" si="23"/>
        <v>-69</v>
      </c>
      <c r="CK12" s="7"/>
      <c r="CL12">
        <f>SUMIFS(LogFY24!D:D,LogFY24!A:A,"=*hawaii_county_environmental*")</f>
        <v>18</v>
      </c>
      <c r="CM12">
        <f>SUM(SUMIFS(LogFY24!D:D,LogFY24!A:A,"=*hawaii_county_environmental*"),-1*SUMIFS(LogFY24!L:L,LogFY24!A:A,"=*hawaii_county_environmental*"),-1*SUMIFS(LogFY24!N:N,LogFY24!A:A,"=*hawaii_county_environmental*"))</f>
        <v>3</v>
      </c>
      <c r="CN12" s="7">
        <f t="shared" si="24"/>
        <v>0.16666666666666666</v>
      </c>
      <c r="CO12" s="7">
        <f t="shared" si="25"/>
        <v>-0.12500000000000003</v>
      </c>
      <c r="CP12">
        <f>ROUND(SUMIFS(LogFY24!K:K,LogFY24!A:A,"=*hawaii_county_environmental*")/SUMIFS(LogFY24!J:J,LogFY24!A:A,"=*hawaii_county_environmental*"),0)</f>
        <v>12</v>
      </c>
      <c r="CQ12">
        <f t="shared" si="26"/>
        <v>9</v>
      </c>
      <c r="CR12" s="1">
        <v>82</v>
      </c>
      <c r="CS12" s="1">
        <f t="shared" si="27"/>
        <v>65</v>
      </c>
    </row>
    <row r="13" spans="1:99" ht="16">
      <c r="A13" s="10">
        <f t="shared" si="28"/>
        <v>12</v>
      </c>
      <c r="B13" s="1" t="s">
        <v>16800</v>
      </c>
      <c r="C13">
        <f>SUM(SUMIFS(LogFY15!D:D,LogFY15!A:A,"=*finance*",LogFY15!A:A,"&lt;&gt;SOH*"),SUMIFS(LogFY15!D:D,LogFY15!A:A,"=*fiscal*",LogFY15!B:B,"&lt;&gt;*liquor*"))</f>
        <v>298</v>
      </c>
      <c r="D13">
        <f>SUM(SUMIFS(LogFY15!D:D,LogFY15!A:A,"=*finance*",LogFY15!A:A,"&lt;&gt;SOH*"),SUMIFS(LogFY15!D:D,LogFY15!A:A,"=*fiscal*",LogFY15!B:B,"&lt;&gt;*liquor*"),-1*SUM(SUMIFS(LogFY15!L:L,LogFY15!A:A,"=*finance*",LogFY15!A:A,"&lt;&gt;SOH*"),SUMIFS(LogFY15!L:L,LogFY15!A:A,"=*fiscal*",LogFY15!B:B,"&lt;&gt;*liquor*")),-1*SUM(SUMIFS(LogFY15!N:N,LogFY15!A:A,"=*finance*",LogFY15!A:A,"&lt;&gt;SOH*"),SUMIFS(LogFY15!N:N,LogFY15!A:A,"=*fiscal*",LogFY15!B:B,"&lt;&gt;*liquor*")))</f>
        <v>58</v>
      </c>
      <c r="E13" s="7">
        <f t="shared" si="34"/>
        <v>0.19463087248322147</v>
      </c>
      <c r="F13">
        <f>ROUND(SUM(SUMIFS(LogFY15!K:K,LogFY15!A:A,"=*finance*",LogFY15!A:A,"&lt;&gt;SOH*"),SUMIFS(LogFY15!K:K,LogFY15!A:A,"=*fiscal*",LogFY15!B:B,"&lt;&gt;*liquor*"))/SUM(SUMIFS(LogFY15!J:J,LogFY15!A:A,"=*finance*",LogFY15!A:A,"&lt;&gt;SOH*"),SUMIFS(LogFY15!J:J,LogFY15!A:A,"=*fiscal*",LogFY15!B:B,"&lt;&gt;*liquor*")),0)</f>
        <v>9</v>
      </c>
      <c r="G13" s="1">
        <v>306</v>
      </c>
      <c r="H13">
        <f>SUM(COUNTIFS(All!F:F,"=fin*", All!B:B, "&gt;=7/1/2014", All!B:B,"&lt;=6/30/2015", All!E:E,"=U*",All!E:E,"&lt;&gt;UIPA*",All!E:E,"&lt;&gt;*RFO*",All!E:E,"&lt;&gt;*TRNG*"),COUNTIFS(All!F:F,"=*bfs", All!B:B, "&gt;=7/1/2014", All!B:B,"&lt;=6/30/2015", All!E:E,"=U*",All!E:E,"&lt;&gt;UIPA*",All!E:E,"&lt;&gt;*RFO*",All!E:E,"&lt;&gt;*TRNG*"))</f>
        <v>4</v>
      </c>
      <c r="I13" s="7">
        <f>ROUND(H13/C13,3)</f>
        <v>1.2999999999999999E-2</v>
      </c>
      <c r="J13">
        <f>SUM(SUMIFS(LogFY16!D:D,LogFY16!A:A,"=*finance*",LogFY16!A:A,"&lt;&gt;SOH*"),SUMIFS(LogFY16!D:D,LogFY16!A:A,"=*fiscal*",LogFY16!B:B,"&lt;&gt;*liquor*"))</f>
        <v>258</v>
      </c>
      <c r="K13">
        <f>SUM(SUMIFS(LogFY16!D:D,LogFY16!A:A,"=*finance*",LogFY16!A:A,"&lt;&gt;SOH*"),SUMIFS(LogFY16!D:D,LogFY16!A:A,"=*fiscal*",LogFY16!B:B,"&lt;&gt;*liquor*"),-1*SUM(SUMIFS(LogFY16!L:L,LogFY16!A:A,"=*finance*",LogFY16!A:A,"&lt;&gt;SOH*"),SUMIFS(LogFY16!L:L,LogFY16!A:A,"=*fiscal*",LogFY16!B:B,"&lt;&gt;*liquor*")),-1*SUM(SUMIFS(LogFY16!N:N,LogFY16!A:A,"=*finance*",LogFY16!A:A,"&lt;&gt;SOH*"),SUMIFS(LogFY16!N:N,LogFY16!A:A,"=*fiscal*",LogFY16!B:B,"&lt;&gt;*liquor*")))</f>
        <v>90</v>
      </c>
      <c r="L13" s="7">
        <f t="shared" si="29"/>
        <v>0.34883720930232559</v>
      </c>
      <c r="M13" s="7">
        <f t="shared" si="30"/>
        <v>0.15420633681910412</v>
      </c>
      <c r="N13">
        <f>ROUND(SUM(SUMIFS(LogFY16!K:K,LogFY16!A:A,"=*finance*",LogFY16!A:A,"&lt;&gt;SOH*"),SUMIFS(LogFY16!K:K,LogFY16!A:A,"=*fiscal*",LogFY16!B:B,"&lt;&gt;*liquor*"))/SUM(SUMIFS(LogFY16!J:J,LogFY16!A:A,"=*finance*",LogFY16!A:A,"&lt;&gt;SOH*"),SUMIFS(LogFY16!J:J,LogFY16!A:A,"=*fiscal*",LogFY16!B:B,"&lt;&gt;*liquor*")),0)</f>
        <v>8</v>
      </c>
      <c r="O13">
        <f t="shared" si="31"/>
        <v>-1</v>
      </c>
      <c r="P13" s="1">
        <v>57</v>
      </c>
      <c r="Q13" s="1">
        <f t="shared" si="32"/>
        <v>-249</v>
      </c>
      <c r="R13">
        <f>SUM(COUNTIFS(All!F:F,"=fin*", All!B:B, "&gt;=7/1/2015", All!B:B,"&lt;=6/30/2016", All!E:E,"=U*",All!E:E,"&lt;&gt;UIPA*",All!E:E,"&lt;&gt;*RFO*",All!E:E,"&lt;&gt;*TRNG*"),COUNTIFS(All!F:F,"=*bfs", All!B:B, "&gt;=7/1/2015", All!B:B,"&lt;=6/30/2016", All!E:E,"=U*",All!E:E,"&lt;&gt;UIPA*",All!E:E,"&lt;&gt;*RFO*",All!E:E,"&lt;&gt;*TRNG*"))</f>
        <v>1</v>
      </c>
      <c r="S13" s="7">
        <f>ROUND(R13/(J13+C13),3)</f>
        <v>2E-3</v>
      </c>
      <c r="T13">
        <f>SUM(SUMIFS(LogFY17!D:D,LogFY17!A:A,"=*finance*",LogFY17!A:A,"&lt;&gt;SOH*"),SUMIFS(LogFY17!D:D,LogFY17!A:A,"=*fiscal*",LogFY17!B:B,"&lt;&gt;*liquor*"))</f>
        <v>204</v>
      </c>
      <c r="U13">
        <f>SUM(SUMIFS(LogFY17!D:D,LogFY17!A:A,"=*finance*",LogFY17!A:A,"&lt;&gt;SOH*"),SUMIFS(LogFY17!D:D,LogFY17!A:A,"=*fiscal*",LogFY17!B:B,"&lt;&gt;*liquor*"),-1*SUM(SUMIFS(LogFY17!L:L,LogFY17!A:A,"=*finance*",LogFY17!A:A,"&lt;&gt;SOH*"),SUMIFS(LogFY17!L:L,LogFY17!A:A,"=*fiscal*",LogFY17!B:B,"&lt;&gt;*liquor*")),-1*SUM(SUMIFS(LogFY17!N:N,LogFY17!A:A,"=*finance*",LogFY17!A:A,"&lt;&gt;SOH*"),SUMIFS(LogFY17!N:N,LogFY17!A:A,"=*fiscal*",LogFY17!B:B,"&lt;&gt;*liquor*")))</f>
        <v>74</v>
      </c>
      <c r="V13" s="7">
        <f>U13/T13</f>
        <v>0.36274509803921567</v>
      </c>
      <c r="W13" s="7">
        <f>V13-L13</f>
        <v>1.3907888736890084E-2</v>
      </c>
      <c r="X13">
        <f>ROUND(SUM(SUMIFS(LogFY17!K:K,LogFY17!A:A,"=*finance*",LogFY17!A:A,"&lt;&gt;SOH*"),SUMIFS(LogFY17!K:K,LogFY17!A:A,"=*fiscal*",LogFY17!B:B,"&lt;&gt;*liquor*"))/SUM(SUMIFS(LogFY17!J:J,LogFY17!A:A,"=*finance*",LogFY17!A:A,"&lt;&gt;SOH*"),SUMIFS(LogFY17!J:J,LogFY17!A:A,"=*fiscal*",LogFY17!B:B,"&lt;&gt;*liquor*")),0)</f>
        <v>9</v>
      </c>
      <c r="Y13">
        <f>X13-N13</f>
        <v>1</v>
      </c>
      <c r="Z13" s="1">
        <v>53</v>
      </c>
      <c r="AA13" s="1">
        <f t="shared" si="33"/>
        <v>-4</v>
      </c>
      <c r="AB13">
        <f>SUM(COUNTIFS(All!F:F,"=fin*", All!B:B, "&gt;=7/1/2016", All!B:B,"&lt;=6/30/2017", All!E:E,"=U*",All!E:E,"&lt;&gt;UIPA*",All!E:E,"&lt;&gt;*RFO*",All!E:E,"&lt;&gt;*TRNG*"),COUNTIFS(All!F:F,"=*bfs", All!B:B, "&gt;=7/1/2016", All!B:B,"&lt;=6/30/2017", All!E:E,"=U*",All!E:E,"&lt;&gt;UIPA*",All!E:E,"&lt;&gt;*RFO*",All!E:E,"&lt;&gt;*TRNG*"))</f>
        <v>0</v>
      </c>
      <c r="AC13" s="7">
        <f>ROUND(AB13/(T13+J13),3)</f>
        <v>0</v>
      </c>
      <c r="AD13">
        <f>SUM(SUMIFS(LogFY18!D:D,LogFY18!A:A,"=*finance*",LogFY18!A:A,"&lt;&gt;SOH*"),SUMIFS(LogFY18!D:D,LogFY18!A:A,"=*fiscal*",LogFY18!B:B,"&lt;&gt;*liquor*"))</f>
        <v>297</v>
      </c>
      <c r="AE13">
        <f>SUM(SUMIFS(LogFY18!D:D,LogFY18!A:A,"=*finance*",LogFY18!A:A,"&lt;&gt;SOH*"),SUMIFS(LogFY18!D:D,LogFY18!A:A,"=*fiscal*",LogFY18!B:B,"&lt;&gt;*liquor*"),-1*SUM(SUMIFS(LogFY18!L:L,LogFY18!A:A,"=*finance*",LogFY18!A:A,"&lt;&gt;SOH*"),SUMIFS(LogFY18!L:L,LogFY18!A:A,"=*fiscal*",LogFY18!B:B,"&lt;&gt;*liquor*")),-1*SUM(SUMIFS(LogFY18!N:N,LogFY18!A:A,"=*finance*",LogFY18!A:A,"&lt;&gt;SOH*"),SUMIFS(LogFY18!N:N,LogFY18!A:A,"=*fiscal*",LogFY18!B:B,"&lt;&gt;*liquor*")))</f>
        <v>152</v>
      </c>
      <c r="AF13" s="7">
        <f>AE13/AD13</f>
        <v>0.51178451178451179</v>
      </c>
      <c r="AG13" s="7">
        <f>AF13-V13</f>
        <v>0.14903941374529611</v>
      </c>
      <c r="AH13">
        <f>ROUND(SUM(SUMIFS(LogFY18!K:K,LogFY18!A:A,"=*finance*",LogFY18!A:A,"&lt;&gt;SOH*"),SUMIFS(LogFY18!K:K,LogFY18!A:A,"=*fiscal*",LogFY18!B:B,"&lt;&gt;*liquor*"))/SUM(SUMIFS(LogFY18!J:J,LogFY18!A:A,"=*finance*",LogFY18!A:A,"&lt;&gt;SOH*"),SUMIFS(LogFY18!J:J,LogFY18!A:A,"=*fiscal*",LogFY18!B:B,"&lt;&gt;*liquor*")),0)</f>
        <v>11</v>
      </c>
      <c r="AI13">
        <f>AH13-X13</f>
        <v>2</v>
      </c>
      <c r="AJ13" s="1">
        <v>144</v>
      </c>
      <c r="AK13" s="1">
        <f>AJ13-Z13</f>
        <v>91</v>
      </c>
      <c r="AL13">
        <f>SUM(COUNTIFS(All!F:F,"=fin*", All!B:B, "&gt;=7/1/2017", All!B:B,"&lt;=6/30/2018", All!E:E,"=U*",All!E:E,"&lt;&gt;UIPA*",All!E:E,"&lt;&gt;*RFO*",All!E:E,"&lt;&gt;*TRNG*"),COUNTIFS(All!F:F,"=*bfs", All!B:B, "&gt;=7/1/2017", All!B:B,"&lt;=6/30/2018", All!E:E,"=U*",All!E:E,"&lt;&gt;UIPA*",All!E:E,"&lt;&gt;*RFO*",All!E:E,"&lt;&gt;*TRNG*"))</f>
        <v>0</v>
      </c>
      <c r="AM13" s="7">
        <f>ROUND(AL13/(AD13+T13),3)</f>
        <v>0</v>
      </c>
      <c r="AN13">
        <f>SUM(SUMIFS(LogFY19!D:D,LogFY19!A:A,"=*finance*",LogFY19!A:A,"&lt;&gt;SOH*"),SUMIFS(LogFY19!D:D,LogFY19!A:A,"=*fiscal*",LogFY19!B:B,"&lt;&gt;*liquor*"))</f>
        <v>197</v>
      </c>
      <c r="AO13">
        <f>SUM(SUMIFS(LogFY19!D:D,LogFY19!A:A,"=*finance*",LogFY19!A:A,"&lt;&gt;SOH*"),SUMIFS(LogFY19!D:D,LogFY19!A:A,"=*fiscal*",LogFY19!B:B,"&lt;&gt;*liquor*"),-1*SUM(SUMIFS(LogFY19!L:L,LogFY19!A:A,"=*finance*",LogFY19!A:A,"&lt;&gt;SOH*"),SUMIFS(LogFY19!L:L,LogFY19!A:A,"=*fiscal*",LogFY19!B:B,"&lt;&gt;*liquor*")),-1*SUM(SUMIFS(LogFY19!N:N,LogFY19!A:A,"=*finance*",LogFY19!A:A,"&lt;&gt;SOH*"),SUMIFS(LogFY19!N:N,LogFY19!A:A,"=*fiscal*",LogFY19!B:B,"&lt;&gt;*liquor*")))</f>
        <v>77</v>
      </c>
      <c r="AP13" s="7">
        <f>AO13/AN13</f>
        <v>0.39086294416243655</v>
      </c>
      <c r="AQ13" s="7">
        <f>AP13-AF13</f>
        <v>-0.12092156762207523</v>
      </c>
      <c r="AR13">
        <f>ROUND(SUM(SUMIFS(LogFY19!K:K,LogFY19!A:A,"=*finance*",LogFY19!A:A,"&lt;&gt;SOH*"),SUMIFS(LogFY19!K:K,LogFY19!A:A,"=*fiscal*",LogFY19!B:B,"&lt;&gt;*liquor*"))/SUM(SUMIFS(LogFY19!J:J,LogFY19!A:A,"=*finance*",LogFY19!A:A,"&lt;&gt;SOH*"),SUMIFS(LogFY19!J:J,LogFY19!A:A,"=*fiscal*",LogFY19!B:B,"&lt;&gt;*liquor*")),0)</f>
        <v>9</v>
      </c>
      <c r="AS13">
        <f>AR13-AH13</f>
        <v>-2</v>
      </c>
      <c r="AT13" s="1">
        <v>109</v>
      </c>
      <c r="AU13" s="1">
        <f>AT13-AJ13</f>
        <v>-35</v>
      </c>
      <c r="AV13">
        <f>SUM(COUNTIFS(All!F:F,"=fin*", All!B:B, "&gt;=7/1/2018", All!B:B,"&lt;=6/30/2019", All!E:E,"=U*",All!E:E,"&lt;&gt;UIPA*",All!E:E,"&lt;&gt;*RFO*",All!E:E,"&lt;&gt;*TRNG*"),COUNTIFS(All!F:F,"=*bfs", All!B:B, "&gt;=7/1/2018", All!B:B,"&lt;=6/30/2019", All!E:E,"=U*",All!E:E,"&lt;&gt;UIPA*",All!E:E,"&lt;&gt;*RFO*",All!E:E,"&lt;&gt;*TRNG*"))</f>
        <v>0</v>
      </c>
      <c r="AW13" s="7">
        <f>ROUND(AV13/(AN13+AD13),3)</f>
        <v>0</v>
      </c>
      <c r="AX13">
        <f>SUM(SUMIFS(LogFY20!D:D,LogFY20!A:A,"=*finance*",LogFY20!A:A,"&lt;&gt;SOH*"),SUMIFS(LogFY20!D:D,LogFY20!A:A,"=*fiscal*",LogFY20!B:B,"&lt;&gt;*liquor*"))</f>
        <v>311</v>
      </c>
      <c r="AY13">
        <f>SUM(SUMIFS(LogFY20!D:D,LogFY20!A:A,"=*finance*",LogFY20!A:A,"&lt;&gt;SOH*"),SUMIFS(LogFY20!D:D,LogFY20!A:A,"=*fiscal*",LogFY20!B:B,"&lt;&gt;*liquor*"),-1*SUM(SUMIFS(LogFY20!L:L,LogFY20!A:A,"=*finance*",LogFY20!A:A,"&lt;&gt;SOH*"),SUMIFS(LogFY20!L:L,LogFY20!A:A,"=*fiscal*",LogFY20!B:B,"&lt;&gt;*liquor*")),-1*SUM(SUMIFS(LogFY20!N:N,LogFY20!A:A,"=*finance*",LogFY20!A:A,"&lt;&gt;SOH*"),SUMIFS(LogFY20!N:N,LogFY20!A:A,"=*fiscal*",LogFY20!B:B,"&lt;&gt;*liquor*")))</f>
        <v>106</v>
      </c>
      <c r="AZ13" s="7">
        <f t="shared" si="8"/>
        <v>0.34083601286173631</v>
      </c>
      <c r="BA13" s="7">
        <f t="shared" si="9"/>
        <v>-5.0026931300700239E-2</v>
      </c>
      <c r="BB13">
        <f>ROUND(SUM(SUMIFS(LogFY20!K:K,LogFY20!A:A,"=*finance*",LogFY20!A:A,"&lt;&gt;SOH*"),SUMIFS(LogFY20!K:K,LogFY20!A:A,"=*fiscal*",LogFY20!B:B,"&lt;&gt;*liquor*"))/SUM(SUMIFS(LogFY20!J:J,LogFY20!A:A,"=*finance*",LogFY20!A:A,"&lt;&gt;SOH*"),SUMIFS(LogFY20!J:J,LogFY20!A:A,"=*fiscal*",LogFY20!B:B,"&lt;&gt;*liquor*")),0)</f>
        <v>16</v>
      </c>
      <c r="BC13">
        <f t="shared" si="10"/>
        <v>7</v>
      </c>
      <c r="BD13" s="1">
        <v>274</v>
      </c>
      <c r="BE13" s="1">
        <f t="shared" si="11"/>
        <v>165</v>
      </c>
      <c r="BF13">
        <f>SUM(COUNTIFS(All!F:F,"=fin*", All!B:B, "&gt;=7/1/2019", All!B:B,"&lt;=6/30/2020", All!E:E,"=U*",All!E:E,"&lt;&gt;UIPA*",All!E:E,"&lt;&gt;*RFO*",All!E:E,"&lt;&gt;*TRNG*"),COUNTIFS(All!F:F,"=*bfs", All!B:B, "&gt;=7/1/2019", All!B:B,"&lt;=6/30/2020", All!E:E,"=U*",All!E:E,"&lt;&gt;UIPA*",All!E:E,"&lt;&gt;*RFO*",All!E:E,"&lt;&gt;*TRNG*"))</f>
        <v>1</v>
      </c>
      <c r="BG13" s="7">
        <f>ROUND(BF13/(AX13+AN13),3)</f>
        <v>2E-3</v>
      </c>
      <c r="BH13">
        <f>SUM(SUMIFS(LogFY21!D:D,LogFY21!A:A,"=*finance*",LogFY21!A:A,"&lt;&gt;SOH*"),SUMIFS(LogFY21!D:D,LogFY21!A:A,"=*fiscal*",LogFY21!B:B,"&lt;&gt;*liquor*"))</f>
        <v>145</v>
      </c>
      <c r="BI13">
        <f>SUM(SUMIFS(LogFY21!D:D,LogFY21!A:A,"=*finance*",LogFY21!A:A,"&lt;&gt;SOH*"),SUMIFS(LogFY21!D:D,LogFY21!A:A,"=*fiscal*",LogFY21!B:B,"&lt;&gt;*liquor*"),-1*SUM(SUMIFS(LogFY21!L:L,LogFY21!A:A,"=*finance*",LogFY21!A:A,"&lt;&gt;SOH*"),SUMIFS(LogFY21!L:L,LogFY21!A:A,"=*fiscal*",LogFY21!B:B,"&lt;&gt;*liquor*")),-1*SUM(SUMIFS(LogFY21!N:N,LogFY21!A:A,"=*finance*",LogFY21!A:A,"&lt;&gt;SOH*"),SUMIFS(LogFY21!N:N,LogFY21!A:A,"=*fiscal*",LogFY21!B:B,"&lt;&gt;*liquor*")))</f>
        <v>23</v>
      </c>
      <c r="BJ13" s="7">
        <f t="shared" si="12"/>
        <v>0.15862068965517243</v>
      </c>
      <c r="BK13" s="7">
        <f t="shared" si="13"/>
        <v>-0.18221532320656389</v>
      </c>
      <c r="BL13">
        <f>ROUND(SUM(SUMIFS(LogFY21!K:K,LogFY21!A:A,"=*finance*",LogFY21!A:A,"&lt;&gt;SOH*"),SUMIFS(LogFY21!K:K,LogFY21!A:A,"=*fiscal*",LogFY21!B:B,"&lt;&gt;*liquor*"))/SUM(SUMIFS(LogFY21!J:J,LogFY21!A:A,"=*finance*",LogFY21!A:A,"&lt;&gt;SOH*"),SUMIFS(LogFY21!J:J,LogFY21!A:A,"=*fiscal*",LogFY21!B:B,"&lt;&gt;*liquor*")),0)</f>
        <v>10</v>
      </c>
      <c r="BM13">
        <f t="shared" si="14"/>
        <v>-6</v>
      </c>
      <c r="BN13" s="1">
        <v>133</v>
      </c>
      <c r="BO13" s="1">
        <f t="shared" si="15"/>
        <v>-141</v>
      </c>
      <c r="BP13">
        <f>SUM(COUNTIFS(All!F:F,"=fin*", All!B:B, "&gt;=7/1/2020", All!B:B,"&lt;=6/30/2021", All!E:E,"=U*",All!E:E,"&lt;&gt;UIPA*",All!E:E,"&lt;&gt;*RFO*",All!E:E,"&lt;&gt;*TRNG*"),COUNTIFS(All!F:F,"=*bfs", All!B:B, "&gt;=7/1/2020", All!B:B,"&lt;=6/30/2021", All!E:E,"=U*",All!E:E,"&lt;&gt;UIPA*",All!E:E,"&lt;&gt;*RFO*",All!E:E,"&lt;&gt;*TRNG*"))</f>
        <v>1</v>
      </c>
      <c r="BQ13" s="7">
        <f>ROUND(BP13/(BH13+AX13),3)</f>
        <v>2E-3</v>
      </c>
      <c r="BR13">
        <f>SUM(SUMIFS(LogFY22!D:D,LogFY22!A:A,"=*finance*",LogFY22!A:A,"&lt;&gt;SOH*"),SUMIFS(LogFY22!D:D,LogFY22!A:A,"=*fiscal*",LogFY22!B:B,"&lt;&gt;*liquor*"))</f>
        <v>321</v>
      </c>
      <c r="BS13">
        <f>SUM(SUMIFS(LogFY22!D:D,LogFY22!A:A,"=*finance*",LogFY22!A:A,"&lt;&gt;SOH*"),SUMIFS(LogFY22!D:D,LogFY22!A:A,"=*fiscal*",LogFY22!B:B,"&lt;&gt;*liquor*"),-1*SUM(SUMIFS(LogFY22!L:L,LogFY22!A:A,"=*finance*",LogFY22!A:A,"&lt;&gt;SOH*"),SUMIFS(LogFY22!L:L,LogFY22!A:A,"=*fiscal*",LogFY22!B:B,"&lt;&gt;*liquor*")),-1*SUM(SUMIFS(LogFY22!N:N,LogFY22!A:A,"=*finance*",LogFY22!A:A,"&lt;&gt;SOH*"),SUMIFS(LogFY22!N:N,LogFY22!A:A,"=*fiscal*",LogFY22!B:B,"&lt;&gt;*liquor*")))</f>
        <v>95</v>
      </c>
      <c r="BT13" s="7">
        <f t="shared" si="16"/>
        <v>0.29595015576323985</v>
      </c>
      <c r="BU13" s="7">
        <f t="shared" si="17"/>
        <v>0.13732946610806743</v>
      </c>
      <c r="BV13">
        <f>ROUND(SUM(SUMIFS(LogFY22!K:K,LogFY22!A:A,"=*finance*",LogFY22!A:A,"&lt;&gt;SOH*"),SUMIFS(LogFY22!K:K,LogFY22!A:A,"=*fiscal*",LogFY22!B:B,"&lt;&gt;*liquor*"))/SUM(SUMIFS(LogFY22!J:J,LogFY22!A:A,"=*finance*",LogFY22!A:A,"&lt;&gt;SOH*"),SUMIFS(LogFY22!J:J,LogFY22!A:A,"=*fiscal*",LogFY22!B:B,"&lt;&gt;*liquor*")),0)</f>
        <v>9</v>
      </c>
      <c r="BW13">
        <f t="shared" si="18"/>
        <v>-1</v>
      </c>
      <c r="BX13" s="1">
        <v>168</v>
      </c>
      <c r="BY13" s="1">
        <f t="shared" si="19"/>
        <v>35</v>
      </c>
      <c r="BZ13">
        <f>SUM(COUNTIFS(All!F:F,"=fin*", All!B:B, "&gt;=7/1/2021", All!B:B,"&lt;=6/30/2022", All!E:E,"=U*",All!E:E,"&lt;&gt;UIPA*",All!E:E,"&lt;&gt;*RFO*",All!E:E,"&lt;&gt;*TRNG*"),COUNTIFS(All!F:F,"=*bfs", All!B:B, "&gt;=7/1/2021", All!B:B,"&lt;=6/30/2022", All!E:E,"=U*",All!E:E,"&lt;&gt;UIPA*",All!E:E,"&lt;&gt;*RFO*",All!E:E,"&lt;&gt;*TRNG*"))</f>
        <v>0</v>
      </c>
      <c r="CA13" s="7">
        <f>ROUND(BZ13/(BR13+BH13),3)</f>
        <v>0</v>
      </c>
      <c r="CB13">
        <f>SUM(SUMIFS(LogFY23!D:D,LogFY23!A:A,"=*finance*",LogFY23!A:A,"&lt;&gt;SOH*"),SUMIFS(LogFY23!D:D,LogFY23!A:A,"=*fiscal*",LogFY23!B:B,"&lt;&gt;*liquor*"))</f>
        <v>436</v>
      </c>
      <c r="CC13">
        <f>SUM(SUMIFS(LogFY23!D:D,LogFY23!A:A,"=*finance*",LogFY23!A:A,"&lt;&gt;SOH*"),SUMIFS(LogFY23!D:D,LogFY23!A:A,"=*fiscal*",LogFY23!B:B,"&lt;&gt;*liquor*"),-1*SUM(SUMIFS(LogFY23!L:L,LogFY23!A:A,"=*finance*",LogFY23!A:A,"&lt;&gt;SOH*"),SUMIFS(LogFY23!L:L,LogFY23!A:A,"=*fiscal*",LogFY23!B:B,"&lt;&gt;*liquor*")),-1*SUM(SUMIFS(LogFY23!N:N,LogFY23!A:A,"=*finance*",LogFY23!A:A,"&lt;&gt;SOH*"),SUMIFS(LogFY23!N:N,LogFY23!A:A,"=*fiscal*",LogFY23!B:B,"&lt;&gt;*liquor*")))</f>
        <v>64</v>
      </c>
      <c r="CD13" s="7">
        <f t="shared" si="20"/>
        <v>0.14678899082568808</v>
      </c>
      <c r="CE13" s="7">
        <f t="shared" si="21"/>
        <v>-0.14916116493755177</v>
      </c>
      <c r="CF13">
        <f>ROUND(SUM(SUMIFS(LogFY23!K:K,LogFY23!A:A,"=*finance*",LogFY23!A:A,"&lt;&gt;SOH*"),SUMIFS(LogFY23!K:K,LogFY23!A:A,"=*fiscal*",LogFY23!B:B,"&lt;&gt;*liquor*"))/SUM(SUMIFS(LogFY23!J:J,LogFY23!A:A,"=*finance*",LogFY23!A:A,"&lt;&gt;SOH*"),SUMIFS(LogFY23!J:J,LogFY23!A:A,"=*fiscal*",LogFY23!B:B,"&lt;&gt;*liquor*")),0)</f>
        <v>7</v>
      </c>
      <c r="CG13">
        <f t="shared" si="22"/>
        <v>-2</v>
      </c>
      <c r="CH13" s="1">
        <v>61</v>
      </c>
      <c r="CI13" s="1">
        <f t="shared" si="23"/>
        <v>-107</v>
      </c>
      <c r="CJ13">
        <f>SUM(COUNTIFS(All!F:F,"=fin*", All!B:B, "&gt;=7/1/2022", All!B:B,"&lt;=6/30/2023", All!E:E,"=U*",All!E:E,"&lt;&gt;UIPA*",All!E:E,"&lt;&gt;*RFO*",All!E:E,"&lt;&gt;*TRNG*"),COUNTIFS(All!F:F,"=*bfs", All!B:B, "&gt;=7/1/2022", All!B:B,"&lt;=6/30/2023", All!E:E,"=U*",All!E:E,"&lt;&gt;UIPA*",All!E:E,"&lt;&gt;*RFO*",All!E:E,"&lt;&gt;*TRNG*"))</f>
        <v>1</v>
      </c>
      <c r="CK13" s="7">
        <f>ROUND(CJ13/(CB13+BR13),3)</f>
        <v>1E-3</v>
      </c>
      <c r="CL13">
        <f>SUM(SUMIFS(LogFY24!D:D,LogFY24!A:A,"=*finance*",LogFY24!A:A,"&lt;&gt;SOH*"),SUMIFS(LogFY24!D:D,LogFY24!A:A,"=*fiscal*",LogFY24!B:B,"&lt;&gt;*liquor*"))</f>
        <v>527</v>
      </c>
      <c r="CM13">
        <f>SUM(SUMIFS(LogFY24!D:D,LogFY24!A:A,"=*finance*",LogFY24!A:A,"&lt;&gt;SOH*"),SUMIFS(LogFY24!D:D,LogFY24!A:A,"=*fiscal*",LogFY24!B:B,"&lt;&gt;*liquor*"),-1*SUM(SUMIFS(LogFY24!L:L,LogFY24!A:A,"=*finance*",LogFY24!A:A,"&lt;&gt;SOH*"),SUMIFS(LogFY24!L:L,LogFY24!A:A,"=*fiscal*",LogFY24!B:B,"&lt;&gt;*liquor*")),-1*SUM(SUMIFS(LogFY24!N:N,LogFY24!A:A,"=*finance*",LogFY24!A:A,"&lt;&gt;SOH*"),SUMIFS(LogFY24!N:N,LogFY24!A:A,"=*fiscal*",LogFY24!B:B,"&lt;&gt;*liquor*")))</f>
        <v>136</v>
      </c>
      <c r="CN13" s="7">
        <f t="shared" si="24"/>
        <v>0.25806451612903225</v>
      </c>
      <c r="CO13" s="7">
        <f t="shared" si="25"/>
        <v>0.11127552530334417</v>
      </c>
      <c r="CP13">
        <f>ROUND(SUM(SUMIFS(LogFY24!K:K,LogFY24!A:A,"=*finance*",LogFY24!A:A,"&lt;&gt;SOH*"),SUMIFS(LogFY24!K:K,LogFY24!A:A,"=*fiscal*",LogFY24!B:B,"&lt;&gt;*liquor*"))/SUM(SUMIFS(LogFY24!J:J,LogFY24!A:A,"=*finance*",LogFY24!A:A,"&lt;&gt;SOH*"),SUMIFS(LogFY24!J:J,LogFY24!A:A,"=*fiscal*",LogFY24!B:B,"&lt;&gt;*liquor*")),0)</f>
        <v>9</v>
      </c>
      <c r="CQ13">
        <f t="shared" si="26"/>
        <v>2</v>
      </c>
      <c r="CR13" s="1">
        <v>227</v>
      </c>
      <c r="CS13" s="1">
        <f t="shared" si="27"/>
        <v>166</v>
      </c>
      <c r="CT13">
        <f>SUM(COUNTIFS(All!F:F,"=fin*", All!B:B, "&gt;=7/1/2023", All!B:B,"&lt;=6/30/2024", All!E:E,"=U*",All!E:E,"&lt;&gt;UIPA*",All!E:E,"&lt;&gt;*RFO*",All!E:E,"&lt;&gt;*TRNG*"),COUNTIFS(All!F:F,"=*bfs", All!B:B, "&gt;=7/1/2023", All!B:B,"&lt;=6/30/2024", All!E:E,"=U*",All!E:E,"&lt;&gt;UIPA*",All!E:E,"&lt;&gt;*RFO*",All!E:E,"&lt;&gt;*TRNG*"),COUNTIFS(All!F:F,"=b&amp;f-hon", All!B:B, "&gt;=7/1/2023", All!B:B,"&lt;=6/30/2024", All!E:E,"=U*",All!E:E,"&lt;&gt;UIPA*",All!E:E,"&lt;&gt;*RFO*",All!E:E,"&lt;&gt;*TRNG*"))</f>
        <v>5</v>
      </c>
      <c r="CU13" s="7">
        <f>ROUND(CT13/(CL13+CB13),3)</f>
        <v>5.0000000000000001E-3</v>
      </c>
    </row>
    <row r="14" spans="1:99" ht="16">
      <c r="A14" s="10">
        <f t="shared" si="28"/>
        <v>13</v>
      </c>
      <c r="B14" s="9" t="s">
        <v>23550</v>
      </c>
      <c r="C14">
        <f>SUMIFS(LogFY15!D:D,LogFY15!A:A,"=*fiscal*",LogFY15!B:B,"&lt;&gt;*liquor*")</f>
        <v>178</v>
      </c>
      <c r="D14">
        <f>SUM(SUMIFS(LogFY15!D:D,LogFY15!A:A,"=*fiscal*",LogFY15!B:B,"&lt;&gt;*liquor*"),-1*SUMIFS(LogFY15!L:L,LogFY15!A:A,"=*fiscal*",LogFY15!B:B,"&lt;&gt;*liquor*"),-1*SUMIFS(LogFY15!N:N,LogFY15!A:A,"=*fiscal*",LogFY15!B:B,"&lt;&gt;*liquor*"))</f>
        <v>51</v>
      </c>
      <c r="E14" s="7">
        <f t="shared" si="34"/>
        <v>0.28651685393258425</v>
      </c>
      <c r="F14">
        <f>ROUND(SUMIFS(LogFY15!K:K,LogFY15!A:A,"=*fiscal*",LogFY15!B:B,"&lt;&gt;*liquor*")/SUMIFS(LogFY15!J:J,LogFY15!A:A,"=*fiscal*",LogFY15!B:B,"&lt;&gt;*liquor*"),0)</f>
        <v>8</v>
      </c>
      <c r="G14" s="1">
        <v>69</v>
      </c>
      <c r="J14">
        <f>SUMIFS(LogFY16!D:D,LogFY16!A:A,"=*fiscal*",LogFY16!B:B,"&lt;&gt;*liquor*")</f>
        <v>181</v>
      </c>
      <c r="K14">
        <f>SUM(SUMIFS(LogFY16!D:D,LogFY16!A:A,"=*fiscal*",LogFY16!B:B,"&lt;&gt;*liquor*"),-1*SUMIFS(LogFY16!L:L,LogFY16!A:A,"=*fiscal*",LogFY16!B:B,"&lt;&gt;*liquor*"),-1*SUMIFS(LogFY16!N:N,LogFY16!A:A,"=*fiscal*",LogFY16!B:B,"&lt;&gt;*liquor*"))</f>
        <v>85</v>
      </c>
      <c r="L14" s="7">
        <f t="shared" si="29"/>
        <v>0.46961325966850831</v>
      </c>
      <c r="M14" s="7">
        <f t="shared" si="30"/>
        <v>0.18309640573592406</v>
      </c>
      <c r="N14">
        <f>ROUND(SUMIFS(LogFY16!K:K,LogFY16!A:A,"=*fiscal*",LogFY16!B:B,"&lt;&gt;*liquor*")/SUMIFS(LogFY16!J:J,LogFY16!A:A,"=*fiscal*",LogFY16!B:B,"&lt;&gt;*liquor*"),0)</f>
        <v>9</v>
      </c>
      <c r="O14">
        <f t="shared" si="31"/>
        <v>1</v>
      </c>
      <c r="P14" s="1">
        <v>57</v>
      </c>
      <c r="Q14" s="1">
        <f t="shared" si="32"/>
        <v>-12</v>
      </c>
      <c r="T14">
        <f>SUMIFS(LogFY17!D:D,LogFY17!A:A,"=*fiscal*",LogFY17!B:B,"&lt;&gt;*liquor*")</f>
        <v>156</v>
      </c>
      <c r="U14">
        <f>SUM(SUMIFS(LogFY17!D:D,LogFY17!A:A,"=*fiscal*",LogFY17!B:B,"&lt;&gt;*liquor*"),-1*SUMIFS(LogFY17!L:L,LogFY17!A:A,"=*fiscal*",LogFY17!B:B,"&lt;&gt;*liquor*"),-1*SUMIFS(LogFY17!N:N,LogFY17!A:A,"=*fiscal*",LogFY17!B:B,"&lt;&gt;*liquor*"))</f>
        <v>71</v>
      </c>
      <c r="V14" s="7">
        <f>U14/T14</f>
        <v>0.45512820512820512</v>
      </c>
      <c r="W14" s="7">
        <f>V14-L14</f>
        <v>-1.4485054540303188E-2</v>
      </c>
      <c r="X14">
        <f>ROUND(SUMIFS(LogFY17!K:K,LogFY17!A:A,"=*fiscal*",LogFY17!B:B,"&lt;&gt;*liquor*")/SUMIFS(LogFY17!J:J,LogFY17!A:A,"=*fiscal*",LogFY17!B:B,"&lt;&gt;*liquor*"),0)</f>
        <v>9</v>
      </c>
      <c r="Y14">
        <f>X14-N14</f>
        <v>0</v>
      </c>
      <c r="Z14" s="1">
        <v>43</v>
      </c>
      <c r="AA14" s="1">
        <f t="shared" si="33"/>
        <v>-14</v>
      </c>
      <c r="AD14">
        <f>SUMIFS(LogFY18!D:D,LogFY18!A:A,"=*fiscal*",LogFY18!B:B,"&lt;&gt;*liquor*")</f>
        <v>206</v>
      </c>
      <c r="AE14">
        <f>SUM(SUMIFS(LogFY18!D:D,LogFY18!A:A,"=*fiscal*",LogFY18!B:B,"&lt;&gt;*liquor*"),-1*SUMIFS(LogFY18!L:L,LogFY18!A:A,"=*fiscal*",LogFY18!B:B,"&lt;&gt;*liquor*"),-1*SUMIFS(LogFY18!N:N,LogFY18!A:A,"=*fiscal*",LogFY18!B:B,"&lt;&gt;*liquor*"))</f>
        <v>111</v>
      </c>
      <c r="AF14" s="7">
        <f>AE14/AD14</f>
        <v>0.53883495145631066</v>
      </c>
      <c r="AG14" s="7">
        <f>AF14-V14</f>
        <v>8.3706746328105541E-2</v>
      </c>
      <c r="AH14">
        <f>ROUND(SUMIFS(LogFY18!K:K,LogFY18!A:A,"=*fiscal*",LogFY18!B:B,"&lt;&gt;*liquor*")/SUMIFS(LogFY18!J:J,LogFY18!A:A,"=*fiscal*",LogFY18!B:B,"&lt;&gt;*liquor*"),0)</f>
        <v>12</v>
      </c>
      <c r="AI14">
        <f>AH14-X14</f>
        <v>3</v>
      </c>
      <c r="AJ14" s="1">
        <v>144</v>
      </c>
      <c r="AK14" s="1">
        <f>AJ14-Z14</f>
        <v>101</v>
      </c>
      <c r="AN14">
        <f>SUMIFS(LogFY19!D:D,LogFY19!A:A,"=*fiscal*",LogFY19!B:B,"&lt;&gt;*liquor*")</f>
        <v>102</v>
      </c>
      <c r="AO14">
        <f>SUM(SUMIFS(LogFY19!D:D,LogFY19!A:A,"=*fiscal*",LogFY19!B:B,"&lt;&gt;*liquor*"),-1*SUMIFS(LogFY19!L:L,LogFY19!A:A,"=*fiscal*",LogFY19!B:B,"&lt;&gt;*liquor*"),-1*SUMIFS(LogFY19!N:N,LogFY19!A:A,"=*fiscal*",LogFY19!B:B,"&lt;&gt;*liquor*"))</f>
        <v>53</v>
      </c>
      <c r="AP14" s="7">
        <f>AO14/AN14</f>
        <v>0.51960784313725494</v>
      </c>
      <c r="AQ14" s="7">
        <f>AP14-AF14</f>
        <v>-1.9227108319055719E-2</v>
      </c>
      <c r="AR14">
        <f>ROUND(SUMIFS(LogFY19!K:K,LogFY19!A:A,"=*fiscal*",LogFY19!B:B,"&lt;&gt;*liquor*")/SUMIFS(LogFY19!J:J,LogFY19!A:A,"=*fiscal*",LogFY19!B:B,"&lt;&gt;*liquor*"),0)</f>
        <v>11</v>
      </c>
      <c r="AS14">
        <f>AR14-AH14</f>
        <v>-1</v>
      </c>
      <c r="AT14" s="1">
        <v>109</v>
      </c>
      <c r="AU14" s="1">
        <f>AT14-AJ14</f>
        <v>-35</v>
      </c>
      <c r="AX14">
        <f>SUMIFS(LogFY20!D:D,LogFY20!A:A,"=*fiscal*",LogFY20!B:B,"&lt;&gt;*liquor*")</f>
        <v>211</v>
      </c>
      <c r="AY14">
        <f>SUM(SUMIFS(LogFY20!D:D,LogFY20!A:A,"=*fiscal*",LogFY20!B:B,"&lt;&gt;*liquor*"),-1*SUMIFS(LogFY20!L:L,LogFY20!A:A,"=*fiscal*",LogFY20!B:B,"&lt;&gt;*liquor*"),-1*SUMIFS(LogFY20!N:N,LogFY20!A:A,"=*fiscal*",LogFY20!B:B,"&lt;&gt;*liquor*"))</f>
        <v>88</v>
      </c>
      <c r="AZ14" s="7">
        <f t="shared" si="8"/>
        <v>0.41706161137440756</v>
      </c>
      <c r="BA14" s="7">
        <f t="shared" si="9"/>
        <v>-0.10254623176284738</v>
      </c>
      <c r="BB14">
        <f>ROUND(SUMIFS(LogFY20!K:K,LogFY20!A:A,"=*fiscal*",LogFY20!B:B,"&lt;&gt;*liquor*")/SUMIFS(LogFY20!J:J,LogFY20!A:A,"=*fiscal*",LogFY20!B:B,"&lt;&gt;*liquor*"),0)</f>
        <v>17</v>
      </c>
      <c r="BC14">
        <f t="shared" si="10"/>
        <v>6</v>
      </c>
      <c r="BD14" s="1">
        <v>274</v>
      </c>
      <c r="BE14" s="1">
        <f t="shared" si="11"/>
        <v>165</v>
      </c>
      <c r="BH14">
        <f>SUMIFS(LogFY21!D:D,LogFY21!A:A,"=*fiscal*",LogFY21!B:B,"&lt;&gt;*liquor*")</f>
        <v>0</v>
      </c>
      <c r="BI14">
        <f>SUM(SUMIFS(LogFY21!D:D,LogFY21!A:A,"=*fiscal*",LogFY21!B:B,"&lt;&gt;*liquor*"),-1*SUMIFS(LogFY21!L:L,LogFY21!A:A,"=*fiscal*",LogFY21!B:B,"&lt;&gt;*liquor*"),-1*SUMIFS(LogFY21!N:N,LogFY21!A:A,"=*fiscal*",LogFY21!B:B,"&lt;&gt;*liquor*"))</f>
        <v>0</v>
      </c>
      <c r="BJ14" s="7"/>
      <c r="BK14" s="7"/>
      <c r="BN14" s="1"/>
      <c r="BO14" s="1"/>
      <c r="BR14">
        <f>SUMIFS(LogFY22!D:D,LogFY22!A:A,"=*fiscal*",LogFY22!B:B,"&lt;&gt;*liquor*")</f>
        <v>126</v>
      </c>
      <c r="BS14">
        <f>SUM(SUMIFS(LogFY22!D:D,LogFY22!A:A,"=*fiscal*",LogFY22!B:B,"&lt;&gt;*liquor*"),-1*SUMIFS(LogFY22!L:L,LogFY22!A:A,"=*fiscal*",LogFY22!B:B,"&lt;&gt;*liquor*"),-1*SUMIFS(LogFY22!N:N,LogFY22!A:A,"=*fiscal*",LogFY22!B:B,"&lt;&gt;*liquor*"))</f>
        <v>28</v>
      </c>
      <c r="BT14" s="7">
        <f t="shared" si="16"/>
        <v>0.22222222222222221</v>
      </c>
      <c r="BU14" s="7">
        <f t="shared" si="17"/>
        <v>0.22222222222222221</v>
      </c>
      <c r="BV14">
        <f>ROUND(SUMIFS(LogFY22!K:K,LogFY22!A:A,"=*fiscal*",LogFY22!B:B,"&lt;&gt;*liquor*")/SUMIFS(LogFY22!J:J,LogFY22!A:A,"=*fiscal*",LogFY22!B:B,"&lt;&gt;*liquor*"),0)</f>
        <v>11</v>
      </c>
      <c r="BW14">
        <f t="shared" si="18"/>
        <v>11</v>
      </c>
      <c r="BX14" s="1">
        <v>168</v>
      </c>
      <c r="BY14" s="1">
        <f t="shared" si="19"/>
        <v>168</v>
      </c>
      <c r="CB14">
        <f>SUMIFS(LogFY23!D:D,LogFY23!A:A,"=*fiscal*",LogFY23!B:B,"&lt;&gt;*liquor*")</f>
        <v>153</v>
      </c>
      <c r="CC14">
        <f>SUM(SUMIFS(LogFY23!D:D,LogFY23!A:A,"=*fiscal*",LogFY23!B:B,"&lt;&gt;*liquor*"),-1*SUMIFS(LogFY23!L:L,LogFY23!A:A,"=*fiscal*",LogFY23!B:B,"&lt;&gt;*liquor*"),-1*SUMIFS(LogFY23!N:N,LogFY23!A:A,"=*fiscal*",LogFY23!B:B,"&lt;&gt;*liquor*"))</f>
        <v>34</v>
      </c>
      <c r="CD14" s="7"/>
      <c r="CE14" s="7"/>
      <c r="CH14" s="1">
        <v>44</v>
      </c>
      <c r="CI14" s="1">
        <f t="shared" si="23"/>
        <v>-124</v>
      </c>
      <c r="CK14" s="7"/>
      <c r="CL14">
        <f>SUMIFS(LogFY24!D:D,LogFY24!A:A,"=*fiscal*",LogFY24!B:B,"&lt;&gt;*liquor*")</f>
        <v>215</v>
      </c>
      <c r="CM14">
        <f>SUM(SUMIFS(LogFY24!D:D,LogFY24!A:A,"=*fiscal*",LogFY24!B:B,"&lt;&gt;*liquor*"),-1*SUMIFS(LogFY24!L:L,LogFY24!A:A,"=*fiscal*",LogFY24!B:B,"&lt;&gt;*liquor*"),-1*SUMIFS(LogFY24!N:N,LogFY24!A:A,"=*fiscal*",LogFY24!B:B,"&lt;&gt;*liquor*"))</f>
        <v>106</v>
      </c>
      <c r="CN14" s="7">
        <f t="shared" si="24"/>
        <v>0.49302325581395351</v>
      </c>
      <c r="CO14" s="7">
        <f t="shared" si="25"/>
        <v>0.49302325581395351</v>
      </c>
      <c r="CP14">
        <f>ROUND(SUMIFS(LogFY24!K:K,LogFY24!A:A,"=*fiscal*",LogFY24!B:B,"&lt;&gt;*liquor*")/SUMIFS(LogFY24!J:J,LogFY24!A:A,"=*fiscal*",LogFY24!B:B,"&lt;&gt;*liquor*"),0)</f>
        <v>10</v>
      </c>
      <c r="CQ14">
        <f t="shared" si="26"/>
        <v>10</v>
      </c>
      <c r="CR14" s="1">
        <v>56</v>
      </c>
      <c r="CS14" s="1">
        <f t="shared" si="27"/>
        <v>12</v>
      </c>
    </row>
    <row r="15" spans="1:99" ht="16">
      <c r="A15" s="10">
        <f t="shared" si="28"/>
        <v>14</v>
      </c>
      <c r="B15" s="9" t="s">
        <v>17424</v>
      </c>
      <c r="C15">
        <f>SUMIFS(LogFY15!D:D,LogFY15!A:A,"=maui_county_finance")</f>
        <v>6</v>
      </c>
      <c r="D15">
        <f>SUM(SUMIFS(LogFY15!D:D,LogFY15!A:A,"=maui_county_finance"),-1*SUMIFS(LogFY15!L:L,LogFY15!A:A,"=maui_county_finance"),-1*SUMIFS(LogFY15!N:N,LogFY15!A:A,"=maui_county_finance"))</f>
        <v>1</v>
      </c>
      <c r="E15" s="7">
        <f t="shared" si="34"/>
        <v>0.16666666666666666</v>
      </c>
      <c r="F15">
        <f>ROUND(SUMIFS(LogFY15!K:K,LogFY15!A:A,"=maui_county_finance")/SUMIFS(LogFY15!J:J,LogFY15!A:A,"=maui_county_finance"),0)</f>
        <v>15</v>
      </c>
      <c r="G15" s="1">
        <v>37</v>
      </c>
      <c r="J15">
        <f>SUMIFS(LogFY16!D:D,LogFY16!A:A,"=maui_county_finance")</f>
        <v>2</v>
      </c>
      <c r="K15">
        <f>SUM(SUMIFS(LogFY16!D:D,LogFY16!A:A,"=maui_county_finance"),-1*SUMIFS(LogFY16!L:L,LogFY16!A:A,"=maui_county_finance"),-1*SUMIFS(LogFY16!N:N,LogFY16!A:A,"=maui_county_finance"))</f>
        <v>1</v>
      </c>
      <c r="L15" s="7">
        <f t="shared" si="29"/>
        <v>0.5</v>
      </c>
      <c r="M15" s="7">
        <f t="shared" si="30"/>
        <v>0.33333333333333337</v>
      </c>
      <c r="N15">
        <f>ROUND(SUMIFS(LogFY16!K:K,LogFY16!A:A,"=maui_county_finance")/SUMIFS(LogFY16!J:J,LogFY16!A:A,"=maui_county_finance"),0)</f>
        <v>15</v>
      </c>
      <c r="O15">
        <f t="shared" si="31"/>
        <v>0</v>
      </c>
      <c r="P15" s="1">
        <v>26</v>
      </c>
      <c r="Q15" s="1">
        <f t="shared" si="32"/>
        <v>-11</v>
      </c>
      <c r="T15">
        <f>SUMIFS(LogFY17!D:D,LogFY17!A:A,"=maui_county_finance")</f>
        <v>8</v>
      </c>
      <c r="U15">
        <f>SUM(SUMIFS(LogFY17!D:D,LogFY17!A:A,"=maui_county_finance"),-1*SUMIFS(LogFY17!L:L,LogFY17!A:A,"=maui_county_finance"),-1*SUMIFS(LogFY17!N:N,LogFY17!A:A,"=maui_county_finance"))</f>
        <v>2</v>
      </c>
      <c r="V15" s="7">
        <f>U15/T15</f>
        <v>0.25</v>
      </c>
      <c r="W15" s="7">
        <f>V15-L15</f>
        <v>-0.25</v>
      </c>
      <c r="X15">
        <f>ROUND(SUMIFS(LogFY17!K:K,LogFY17!A:A,"=maui_county_finance")/SUMIFS(LogFY17!J:J,LogFY17!A:A,"=maui_county_finance"),0)</f>
        <v>13</v>
      </c>
      <c r="Y15">
        <f>X15-N15</f>
        <v>-2</v>
      </c>
      <c r="Z15" s="1">
        <v>39</v>
      </c>
      <c r="AA15" s="1">
        <f t="shared" si="33"/>
        <v>13</v>
      </c>
      <c r="AD15">
        <f>SUMIFS(LogFY18!D:D,LogFY18!A:A,"=maui_county_finance")</f>
        <v>15</v>
      </c>
      <c r="AE15">
        <f>SUM(SUMIFS(LogFY18!D:D,LogFY18!A:A,"=maui_county_finance"),-1*SUMIFS(LogFY18!L:L,LogFY18!A:A,"=maui_county_finance"),-1*SUMIFS(LogFY18!N:N,LogFY18!A:A,"=maui_county_finance"))</f>
        <v>9</v>
      </c>
      <c r="AF15" s="7">
        <f>AE15/AD15</f>
        <v>0.6</v>
      </c>
      <c r="AG15" s="7">
        <f>AF15-V15</f>
        <v>0.35</v>
      </c>
      <c r="AH15">
        <f>ROUND(SUMIFS(LogFY18!K:K,LogFY18!A:A,"=maui_county_finance")/SUMIFS(LogFY18!J:J,LogFY18!A:A,"=maui_county_finance"),0)</f>
        <v>17</v>
      </c>
      <c r="AI15">
        <f>AH15-X15</f>
        <v>4</v>
      </c>
      <c r="AJ15" s="1">
        <v>134</v>
      </c>
      <c r="AK15" s="1">
        <f>AJ15-Z15</f>
        <v>95</v>
      </c>
      <c r="AN15">
        <f>SUMIFS(LogFY19!D:D,LogFY19!A:A,"=maui_county_finance")</f>
        <v>16</v>
      </c>
      <c r="AO15">
        <f>SUM(SUMIFS(LogFY19!D:D,LogFY19!A:A,"=maui_county_finance"),-1*SUMIFS(LogFY19!L:L,LogFY19!A:A,"=maui_county_finance"),-1*SUMIFS(LogFY19!N:N,LogFY19!A:A,"=maui_county_finance"))</f>
        <v>3</v>
      </c>
      <c r="AP15" s="7">
        <f>AO15/AN15</f>
        <v>0.1875</v>
      </c>
      <c r="AQ15" s="7">
        <f>AP15-AF15</f>
        <v>-0.41249999999999998</v>
      </c>
      <c r="AR15">
        <f>ROUND(SUMIFS(LogFY19!K:K,LogFY19!A:A,"=maui_county_finance")/SUMIFS(LogFY19!J:J,LogFY19!A:A,"=maui_county_finance"),0)</f>
        <v>9</v>
      </c>
      <c r="AS15">
        <f>AR15-AH15</f>
        <v>-8</v>
      </c>
      <c r="AT15" s="1">
        <v>25</v>
      </c>
      <c r="AU15" s="1">
        <f>AT15-AJ15</f>
        <v>-109</v>
      </c>
      <c r="AX15">
        <f>SUMIFS(LogFY20!D:D,LogFY20!A:A,"=maui_county_finance")</f>
        <v>15</v>
      </c>
      <c r="AY15">
        <f>SUM(SUMIFS(LogFY20!D:D,LogFY20!A:A,"=maui_county_finance"),-1*SUMIFS(LogFY20!L:L,LogFY20!A:A,"=maui_county_finance"),-1*SUMIFS(LogFY20!N:N,LogFY20!A:A,"=maui_county_finance"))</f>
        <v>11</v>
      </c>
      <c r="AZ15" s="7">
        <f t="shared" si="8"/>
        <v>0.73333333333333328</v>
      </c>
      <c r="BA15" s="7">
        <f t="shared" si="9"/>
        <v>0.54583333333333328</v>
      </c>
      <c r="BB15">
        <f>ROUND(SUMIFS(LogFY20!K:K,LogFY20!A:A,"=maui_county_finance")/SUMIFS(LogFY20!J:J,LogFY20!A:A,"=maui_county_finance"),0)</f>
        <v>14</v>
      </c>
      <c r="BC15">
        <f t="shared" si="10"/>
        <v>5</v>
      </c>
      <c r="BD15" s="1">
        <v>28</v>
      </c>
      <c r="BE15" s="1">
        <f t="shared" si="11"/>
        <v>3</v>
      </c>
      <c r="BH15">
        <f>SUMIFS(LogFY21!D:D,LogFY21!A:A,"=maui_county_finance")</f>
        <v>9</v>
      </c>
      <c r="BI15">
        <f>SUM(SUMIFS(LogFY21!D:D,LogFY21!A:A,"=maui_county_finance"),-1*SUMIFS(LogFY21!L:L,LogFY21!A:A,"=maui_county_finance"),-1*SUMIFS(LogFY21!N:N,LogFY21!A:A,"=maui_county_finance"))</f>
        <v>9</v>
      </c>
      <c r="BJ15" s="7">
        <f t="shared" ref="BJ15:BJ21" si="35">BI15/BH15</f>
        <v>1</v>
      </c>
      <c r="BK15" s="7">
        <f t="shared" ref="BK15:BK25" si="36">BJ15-AZ15</f>
        <v>0.26666666666666672</v>
      </c>
      <c r="BL15">
        <f>ROUND(SUMIFS(LogFY21!K:K,LogFY21!A:A,"=maui_county_finance")/SUMIFS(LogFY21!J:J,LogFY21!A:A,"=maui_county_finance"),0)</f>
        <v>7</v>
      </c>
      <c r="BM15">
        <f t="shared" ref="BM15:BM21" si="37">BL15-BB15</f>
        <v>-7</v>
      </c>
      <c r="BN15" s="1">
        <v>19</v>
      </c>
      <c r="BO15" s="1">
        <f>BN15-BD15</f>
        <v>-9</v>
      </c>
      <c r="BR15">
        <f>SUMIFS(LogFY22!D:D,LogFY22!A:A,"=maui_county_finance")</f>
        <v>21</v>
      </c>
      <c r="BS15">
        <f>SUM(SUMIFS(LogFY22!D:D,LogFY22!A:A,"=maui_county_finance"),-1*SUMIFS(LogFY22!L:L,LogFY22!A:A,"=maui_county_finance"),-1*SUMIFS(LogFY22!N:N,LogFY22!A:A,"=maui_county_finance"))</f>
        <v>21</v>
      </c>
      <c r="BT15" s="7">
        <f t="shared" si="16"/>
        <v>1</v>
      </c>
      <c r="BU15" s="7">
        <f t="shared" si="17"/>
        <v>0</v>
      </c>
      <c r="BV15">
        <f>ROUND(SUMIFS(LogFY22!K:K,LogFY22!A:A,"=maui_county_finance")/SUMIFS(LogFY22!J:J,LogFY22!A:A,"=maui_county_finance"),0)</f>
        <v>5</v>
      </c>
      <c r="BW15">
        <f t="shared" si="18"/>
        <v>-2</v>
      </c>
      <c r="BX15" s="1">
        <v>9</v>
      </c>
      <c r="BY15" s="1">
        <f t="shared" si="19"/>
        <v>-10</v>
      </c>
      <c r="CB15">
        <f>SUMIFS(LogFY23!D:D,LogFY23!A:A,"=maui_county_finance")</f>
        <v>10</v>
      </c>
      <c r="CC15">
        <f>SUM(SUMIFS(LogFY23!D:D,LogFY23!A:A,"=maui_county_finance"),-1*SUMIFS(LogFY23!L:L,LogFY23!A:A,"=maui_county_finance"),-1*SUMIFS(LogFY23!N:N,LogFY23!A:A,"=maui_county_finance"))</f>
        <v>10</v>
      </c>
      <c r="CD15" s="7">
        <f t="shared" ref="CD15:CD21" si="38">CC15/CB15</f>
        <v>1</v>
      </c>
      <c r="CE15" s="7">
        <f t="shared" ref="CE15:CE25" si="39">CD15-BT15</f>
        <v>0</v>
      </c>
      <c r="CF15">
        <f>ROUND(SUMIFS(LogFY23!K:K,LogFY23!A:A,"=maui_county_finance")/SUMIFS(LogFY23!J:J,LogFY23!A:A,"=maui_county_finance"),0)</f>
        <v>10</v>
      </c>
      <c r="CG15">
        <f t="shared" ref="CG15:CG21" si="40">CF15-BV15</f>
        <v>5</v>
      </c>
      <c r="CH15" s="1">
        <v>35</v>
      </c>
      <c r="CI15" s="1">
        <f t="shared" si="23"/>
        <v>26</v>
      </c>
      <c r="CK15" s="7"/>
      <c r="CL15">
        <f>SUMIFS(LogFY24!D:D,LogFY24!A:A,"=maui_county_finance")</f>
        <v>20</v>
      </c>
      <c r="CM15">
        <f>SUM(SUMIFS(LogFY24!D:D,LogFY24!A:A,"=maui_county_finance"),-1*SUMIFS(LogFY24!L:L,LogFY24!A:A,"=maui_county_finance"),-1*SUMIFS(LogFY24!N:N,LogFY24!A:A,"=maui_county_finance"))</f>
        <v>13</v>
      </c>
      <c r="CN15" s="7">
        <f t="shared" si="24"/>
        <v>0.65</v>
      </c>
      <c r="CO15" s="7">
        <f t="shared" si="25"/>
        <v>-0.35</v>
      </c>
      <c r="CP15">
        <f>ROUND(SUMIFS(LogFY24!K:K,LogFY24!A:A,"=maui_county_finance")/SUMIFS(LogFY24!J:J,LogFY24!A:A,"=maui_county_finance"),0)</f>
        <v>10</v>
      </c>
      <c r="CQ15">
        <f t="shared" si="26"/>
        <v>0</v>
      </c>
      <c r="CR15" s="1">
        <v>23</v>
      </c>
      <c r="CS15" s="1">
        <f t="shared" si="27"/>
        <v>-12</v>
      </c>
    </row>
    <row r="16" spans="1:99" ht="16">
      <c r="A16" s="10">
        <f t="shared" si="28"/>
        <v>15</v>
      </c>
      <c r="B16" s="9" t="s">
        <v>17444</v>
      </c>
      <c r="C16">
        <f>SUMIFS(LogFY15!D:D,LogFY15!A:A,"=kauai_county_finance")</f>
        <v>3</v>
      </c>
      <c r="D16">
        <f>SUM(SUMIFS(LogFY15!D:D,LogFY15!A:A,"=kauai_county_finance"),-1*SUMIFS(LogFY15!L:L,LogFY15!A:A,"=kauai_county_finance"),-1*SUMIFS(LogFY15!N:N,LogFY15!A:A,"=kauai_county_finance"))</f>
        <v>3</v>
      </c>
      <c r="E16" s="7">
        <f t="shared" si="34"/>
        <v>1</v>
      </c>
      <c r="G16" s="1"/>
      <c r="J16">
        <f>SUMIFS(LogFY16!D:D,LogFY16!A:A,"=kauai_county_finance")</f>
        <v>0</v>
      </c>
      <c r="K16">
        <f>SUM(SUMIFS(LogFY16!D:D,LogFY16!A:A,"=kauai_county_finance"),-1*SUMIFS(LogFY16!L:L,LogFY16!A:A,"=kauai_county_finance"),-1*SUMIFS(LogFY16!N:N,LogFY16!A:A,"=kauai_county_finance"))</f>
        <v>0</v>
      </c>
      <c r="L16" s="7"/>
      <c r="M16" s="7"/>
      <c r="P16" s="1"/>
      <c r="Q16" s="1"/>
      <c r="T16">
        <f>SUMIFS(LogFY17!D:D,LogFY17!A:A,"=kauai_county_finance")</f>
        <v>0</v>
      </c>
      <c r="U16">
        <f>SUM(SUMIFS(LogFY17!D:D,LogFY17!A:A,"=kauai_county_finance"),-1*SUMIFS(LogFY17!L:L,LogFY17!A:A,"=kauai_county_finance"),-1*SUMIFS(LogFY17!N:N,LogFY17!A:A,"=kauai_county_finance"))</f>
        <v>0</v>
      </c>
      <c r="V16" s="7"/>
      <c r="W16" s="7"/>
      <c r="Z16" s="1"/>
      <c r="AA16" s="1"/>
      <c r="AD16">
        <f>SUMIFS(LogFY18!D:D,LogFY18!A:A,"=kauai_county_finance")</f>
        <v>0</v>
      </c>
      <c r="AE16">
        <f>SUM(SUMIFS(LogFY18!D:D,LogFY18!A:A,"=kauai_county_finance"),-1*SUMIFS(LogFY18!L:L,LogFY18!A:A,"=kauai_county_finance"),-1*SUMIFS(LogFY18!N:N,LogFY18!A:A,"=kauai_county_finance"))</f>
        <v>0</v>
      </c>
      <c r="AF16" s="7"/>
      <c r="AG16" s="7"/>
      <c r="AJ16" s="1"/>
      <c r="AK16" s="1"/>
      <c r="AN16">
        <f>SUMIFS(LogFY19!D:D,LogFY19!A:A,"=kauai_county_finance")</f>
        <v>0</v>
      </c>
      <c r="AO16">
        <f>SUM(SUMIFS(LogFY19!D:D,LogFY19!A:A,"=kauai_county_finance"),-1*SUMIFS(LogFY19!L:L,LogFY19!A:A,"=kauai_county_finance"),-1*SUMIFS(LogFY19!N:N,LogFY19!A:A,"=kauai_county_finance"))</f>
        <v>0</v>
      </c>
      <c r="AP16" s="7"/>
      <c r="AQ16" s="7"/>
      <c r="AT16" s="1"/>
      <c r="AU16" s="1"/>
      <c r="AX16">
        <f>SUMIFS(LogFY20!D:D,LogFY20!A:A,"=kauai_county_finance")</f>
        <v>6</v>
      </c>
      <c r="AY16">
        <f>SUM(SUMIFS(LogFY20!D:D,LogFY20!A:A,"=kauai_county_finance"),-1*SUMIFS(LogFY20!L:L,LogFY20!A:A,"=kauai_county_finance"),-1*SUMIFS(LogFY20!N:N,LogFY20!A:A,"=kauai_county_finance"))</f>
        <v>0</v>
      </c>
      <c r="AZ16" s="7">
        <f t="shared" si="8"/>
        <v>0</v>
      </c>
      <c r="BA16" s="7">
        <f t="shared" si="9"/>
        <v>0</v>
      </c>
      <c r="BB16">
        <f>ROUND(SUMIFS(LogFY20!K:K,LogFY20!A:A,"=kauai_county_finance")/SUMIFS(LogFY20!J:J,LogFY20!A:A,"=kauai_county_finance"),0)</f>
        <v>7</v>
      </c>
      <c r="BC16">
        <f t="shared" si="10"/>
        <v>7</v>
      </c>
      <c r="BD16" s="1">
        <v>17</v>
      </c>
      <c r="BE16" s="1">
        <f t="shared" si="11"/>
        <v>17</v>
      </c>
      <c r="BH16">
        <f>SUMIFS(LogFY21!D:D,LogFY21!A:A,"=kauai_county_finance")</f>
        <v>2</v>
      </c>
      <c r="BI16">
        <f>SUM(SUMIFS(LogFY21!D:D,LogFY21!A:A,"=kauai_county_finance"),-1*SUMIFS(LogFY21!L:L,LogFY21!A:A,"=kauai_county_finance"),-1*SUMIFS(LogFY21!N:N,LogFY21!A:A,"=kauai_county_finance"))</f>
        <v>1</v>
      </c>
      <c r="BJ16" s="7">
        <f t="shared" si="35"/>
        <v>0.5</v>
      </c>
      <c r="BK16" s="7">
        <f t="shared" si="36"/>
        <v>0.5</v>
      </c>
      <c r="BL16">
        <f>ROUND(SUMIFS(LogFY21!K:K,LogFY21!A:A,"=kauai_county_finance")/SUMIFS(LogFY21!J:J,LogFY21!A:A,"=kauai_county_finance"),0)</f>
        <v>0</v>
      </c>
      <c r="BM16">
        <f t="shared" si="37"/>
        <v>-7</v>
      </c>
      <c r="BN16" s="1"/>
      <c r="BO16" s="1"/>
      <c r="BR16">
        <f>SUMIFS(LogFY22!D:D,LogFY22!A:A,"=kauai_county_finance")</f>
        <v>18</v>
      </c>
      <c r="BS16">
        <f>SUM(SUMIFS(LogFY22!D:D,LogFY22!A:A,"=kauai_county_finance"),-1*SUMIFS(LogFY22!L:L,LogFY22!A:A,"=kauai_county_finance"),-1*SUMIFS(LogFY22!N:N,LogFY22!A:A,"=kauai_county_finance"))</f>
        <v>18</v>
      </c>
      <c r="BT16" s="7">
        <f t="shared" si="16"/>
        <v>1</v>
      </c>
      <c r="BU16" s="7">
        <f t="shared" si="17"/>
        <v>0.5</v>
      </c>
      <c r="BV16">
        <f>ROUND(SUMIFS(LogFY22!K:K,LogFY22!A:A,"=kauai_county_finance")/SUMIFS(LogFY22!J:J,LogFY22!A:A,"=kauai_county_finance"),0)</f>
        <v>0</v>
      </c>
      <c r="BW16">
        <f t="shared" si="18"/>
        <v>0</v>
      </c>
      <c r="BX16" s="1"/>
      <c r="BY16" s="1"/>
      <c r="CB16">
        <f>SUMIFS(LogFY23!D:D,LogFY23!A:A,"=kauai_county_finance")</f>
        <v>28</v>
      </c>
      <c r="CC16">
        <f>SUM(SUMIFS(LogFY23!D:D,LogFY23!A:A,"=kauai_county_finance"),-1*SUMIFS(LogFY23!L:L,LogFY23!A:A,"=kauai_county_finance"),-1*SUMIFS(LogFY23!N:N,LogFY23!A:A,"=kauai_county_finance"))</f>
        <v>5</v>
      </c>
      <c r="CD16" s="7">
        <f t="shared" si="38"/>
        <v>0.17857142857142858</v>
      </c>
      <c r="CE16" s="7">
        <f t="shared" si="39"/>
        <v>-0.8214285714285714</v>
      </c>
      <c r="CF16">
        <f>ROUND(SUMIFS(LogFY23!K:K,LogFY23!A:A,"=kauai_county_finance")/SUMIFS(LogFY23!J:J,LogFY23!A:A,"=kauai_county_finance"),0)</f>
        <v>4</v>
      </c>
      <c r="CG16">
        <f t="shared" si="40"/>
        <v>4</v>
      </c>
      <c r="CH16" s="1">
        <v>19</v>
      </c>
      <c r="CI16" s="1">
        <f t="shared" si="23"/>
        <v>19</v>
      </c>
      <c r="CK16" s="7"/>
      <c r="CL16">
        <f>SUMIFS(LogFY24!D:D,LogFY24!A:A,"=kauai_county_finance")</f>
        <v>22</v>
      </c>
      <c r="CM16">
        <f>SUM(SUMIFS(LogFY24!D:D,LogFY24!A:A,"=kauai_county_finance"),-1*SUMIFS(LogFY24!L:L,LogFY24!A:A,"=kauai_county_finance"),-1*SUMIFS(LogFY24!N:N,LogFY24!A:A,"=kauai_county_finance"))</f>
        <v>0</v>
      </c>
      <c r="CN16" s="7">
        <f t="shared" si="24"/>
        <v>0</v>
      </c>
      <c r="CO16" s="7">
        <f t="shared" si="25"/>
        <v>-0.17857142857142858</v>
      </c>
      <c r="CP16">
        <f>ROUND(SUMIFS(LogFY24!K:K,LogFY24!A:A,"=kauai_county_finance")/SUMIFS(LogFY24!J:J,LogFY24!A:A,"=kauai_county_finance"),0)</f>
        <v>29</v>
      </c>
      <c r="CQ16">
        <f t="shared" si="26"/>
        <v>25</v>
      </c>
      <c r="CR16" s="1">
        <v>227</v>
      </c>
      <c r="CS16" s="1">
        <f t="shared" si="27"/>
        <v>208</v>
      </c>
    </row>
    <row r="17" spans="1:99" ht="16">
      <c r="A17" s="10">
        <f t="shared" si="28"/>
        <v>16</v>
      </c>
      <c r="B17" s="9" t="s">
        <v>17425</v>
      </c>
      <c r="C17">
        <f>SUMIFS(LogFY15!D:D,LogFY15!A:A,"=hawaii_county_finance")</f>
        <v>111</v>
      </c>
      <c r="D17">
        <f>SUM(SUMIFS(LogFY15!D:D,LogFY15!A:A,"=hawaii_county_finance"),-1*SUMIFS(LogFY15!L:L,LogFY15!A:A,"=hawaii_county_finance"),-1*SUMIFS(LogFY15!N:N,LogFY15!A:A,"=hawaii_county_finance"))</f>
        <v>3</v>
      </c>
      <c r="E17" s="7">
        <f t="shared" si="34"/>
        <v>2.7027027027027029E-2</v>
      </c>
      <c r="F17">
        <f>ROUND(SUMIFS(LogFY15!K:K,LogFY15!A:A,"=hawaii_county_finance")/SUMIFS(LogFY15!J:J,LogFY15!A:A,"=hawaii_county_finance"),0)</f>
        <v>11</v>
      </c>
      <c r="G17" s="1">
        <v>306</v>
      </c>
      <c r="J17">
        <f>SUMIFS(LogFY16!D:D,LogFY16!A:A,"=hawaii_county_finance")</f>
        <v>75</v>
      </c>
      <c r="K17">
        <f>SUM(SUMIFS(LogFY16!D:D,LogFY16!A:A,"=hawaii_county_finance"),-1*SUMIFS(LogFY16!L:L,LogFY16!A:A,"=hawaii_county_finance"),-1*SUMIFS(LogFY16!N:N,LogFY16!A:A,"=hawaii_county_finance"))</f>
        <v>4</v>
      </c>
      <c r="L17" s="7">
        <f>K17/J17</f>
        <v>5.3333333333333337E-2</v>
      </c>
      <c r="M17" s="7">
        <f>L17-E17</f>
        <v>2.6306306306306308E-2</v>
      </c>
      <c r="N17">
        <f>ROUND(SUMIFS(LogFY16!K:K,LogFY16!A:A,"=hawaii_county_finance")/SUMIFS(LogFY16!J:J,LogFY16!A:A,"=hawaii_county_finance"),0)</f>
        <v>7</v>
      </c>
      <c r="O17">
        <f>N17-F17</f>
        <v>-4</v>
      </c>
      <c r="P17" s="1">
        <v>33</v>
      </c>
      <c r="Q17" s="1">
        <f>P17-G17</f>
        <v>-273</v>
      </c>
      <c r="T17">
        <f>SUMIFS(LogFY17!D:D,LogFY17!A:A,"=hawaii_county_finance")</f>
        <v>40</v>
      </c>
      <c r="U17">
        <f>SUM(SUMIFS(LogFY17!D:D,LogFY17!A:A,"=hawaii_county_finance"),-1*SUMIFS(LogFY17!L:L,LogFY17!A:A,"=hawaii_county_finance"),-1*SUMIFS(LogFY17!N:N,LogFY17!A:A,"=hawaii_county_finance"))</f>
        <v>1</v>
      </c>
      <c r="V17" s="7">
        <f>U17/T17</f>
        <v>2.5000000000000001E-2</v>
      </c>
      <c r="W17" s="7">
        <f>V17-L17</f>
        <v>-2.8333333333333335E-2</v>
      </c>
      <c r="X17">
        <f>ROUND(SUMIFS(LogFY17!K:K,LogFY17!A:A,"=hawaii_county_finance")/SUMIFS(LogFY17!J:J,LogFY17!A:A,"=hawaii_county_finance"),0)</f>
        <v>8</v>
      </c>
      <c r="Y17">
        <f>X17-N17</f>
        <v>1</v>
      </c>
      <c r="Z17" s="1">
        <v>53</v>
      </c>
      <c r="AA17" s="1">
        <f>Z17-P17</f>
        <v>20</v>
      </c>
      <c r="AD17">
        <f>SUMIFS(LogFY18!D:D,LogFY18!A:A,"=hawaii_county_finance")</f>
        <v>76</v>
      </c>
      <c r="AE17">
        <f>SUM(SUMIFS(LogFY18!D:D,LogFY18!A:A,"=hawaii_county_finance"),-1*SUMIFS(LogFY18!L:L,LogFY18!A:A,"=hawaii_county_finance"),-1*SUMIFS(LogFY18!N:N,LogFY18!A:A,"=hawaii_county_finance"))</f>
        <v>32</v>
      </c>
      <c r="AF17" s="7">
        <f t="shared" ref="AF17:AF25" si="41">AE17/AD17</f>
        <v>0.42105263157894735</v>
      </c>
      <c r="AG17" s="7">
        <f t="shared" ref="AG17:AG25" si="42">AF17-V17</f>
        <v>0.39605263157894732</v>
      </c>
      <c r="AH17">
        <f>ROUND(SUMIFS(LogFY18!K:K,LogFY18!A:A,"=hawaii_county_finance")/SUMIFS(LogFY18!J:J,LogFY18!A:A,"=hawaii_county_finance"),0)</f>
        <v>6</v>
      </c>
      <c r="AI17">
        <f>AH17-X17</f>
        <v>-2</v>
      </c>
      <c r="AJ17" s="1">
        <v>65</v>
      </c>
      <c r="AK17" s="1">
        <f t="shared" ref="AK17:AK25" si="43">AJ17-Z17</f>
        <v>12</v>
      </c>
      <c r="AN17">
        <f>SUMIFS(LogFY19!D:D,LogFY19!A:A,"=hawaii_county_finance")</f>
        <v>79</v>
      </c>
      <c r="AO17">
        <f>SUM(SUMIFS(LogFY19!D:D,LogFY19!A:A,"=hawaii_county_finance"),-1*SUMIFS(LogFY19!L:L,LogFY19!A:A,"=hawaii_county_finance"),-1*SUMIFS(LogFY19!N:N,LogFY19!A:A,"=hawaii_county_finance"))</f>
        <v>21</v>
      </c>
      <c r="AP17" s="7">
        <f>AO17/AN17</f>
        <v>0.26582278481012656</v>
      </c>
      <c r="AQ17" s="7">
        <f t="shared" ref="AQ17:AQ25" si="44">AP17-AF17</f>
        <v>-0.15522984676882079</v>
      </c>
      <c r="AR17">
        <f>ROUND(SUMIFS(LogFY19!K:K,LogFY19!A:A,"=hawaii_county_finance")/SUMIFS(LogFY19!J:J,LogFY19!A:A,"=hawaii_county_finance"),0)</f>
        <v>7</v>
      </c>
      <c r="AS17">
        <f>AR17-AH17</f>
        <v>1</v>
      </c>
      <c r="AT17" s="1">
        <v>88</v>
      </c>
      <c r="AU17" s="1">
        <f t="shared" ref="AU17:AU25" si="45">AT17-AJ17</f>
        <v>23</v>
      </c>
      <c r="AX17">
        <f>SUMIFS(LogFY20!D:D,LogFY20!A:A,"=hawaii_county_finance")</f>
        <v>79</v>
      </c>
      <c r="AY17">
        <f>SUM(SUMIFS(LogFY20!D:D,LogFY20!A:A,"=hawaii_county_finance"),-1*SUMIFS(LogFY20!L:L,LogFY20!A:A,"=hawaii_county_finance"),-1*SUMIFS(LogFY20!N:N,LogFY20!A:A,"=hawaii_county_finance"))</f>
        <v>7</v>
      </c>
      <c r="AZ17" s="7">
        <f t="shared" si="8"/>
        <v>8.8607594936708861E-2</v>
      </c>
      <c r="BA17" s="7">
        <f t="shared" si="9"/>
        <v>-0.17721518987341769</v>
      </c>
      <c r="BB17">
        <f>ROUND(SUMIFS(LogFY20!K:K,LogFY20!A:A,"=hawaii_county_finance")/SUMIFS(LogFY20!J:J,LogFY20!A:A,"=hawaii_county_finance"),0)</f>
        <v>14</v>
      </c>
      <c r="BC17">
        <f t="shared" si="10"/>
        <v>7</v>
      </c>
      <c r="BD17" s="1">
        <v>86</v>
      </c>
      <c r="BE17" s="1">
        <f t="shared" si="11"/>
        <v>-2</v>
      </c>
      <c r="BH17">
        <f>SUMIFS(LogFY21!D:D,LogFY21!A:A,"=hawaii_county_finance")</f>
        <v>134</v>
      </c>
      <c r="BI17">
        <f>SUM(SUMIFS(LogFY21!D:D,LogFY21!A:A,"=hawaii_county_finance"),-1*SUMIFS(LogFY21!L:L,LogFY21!A:A,"=hawaii_county_finance"),-1*SUMIFS(LogFY21!N:N,LogFY21!A:A,"=hawaii_county_finance"))</f>
        <v>13</v>
      </c>
      <c r="BJ17" s="7">
        <f t="shared" si="35"/>
        <v>9.7014925373134331E-2</v>
      </c>
      <c r="BK17" s="7">
        <f t="shared" si="36"/>
        <v>8.4073304364254697E-3</v>
      </c>
      <c r="BL17">
        <f>ROUND(SUMIFS(LogFY21!K:K,LogFY21!A:A,"=hawaii_county_finance")/SUMIFS(LogFY21!J:J,LogFY21!A:A,"=hawaii_county_finance"),0)</f>
        <v>11</v>
      </c>
      <c r="BM17">
        <f t="shared" si="37"/>
        <v>-3</v>
      </c>
      <c r="BN17" s="1">
        <v>133</v>
      </c>
      <c r="BO17" s="1">
        <f t="shared" ref="BO17:BO25" si="46">BN17-BD17</f>
        <v>47</v>
      </c>
      <c r="BR17">
        <f>SUMIFS(LogFY22!D:D,LogFY22!A:A,"=hawaii_county_finance")</f>
        <v>156</v>
      </c>
      <c r="BS17">
        <f>SUM(SUMIFS(LogFY22!D:D,LogFY22!A:A,"=hawaii_county_finance"),-1*SUMIFS(LogFY22!L:L,LogFY22!A:A,"=hawaii_county_finance"),-1*SUMIFS(LogFY22!N:N,LogFY22!A:A,"=hawaii_county_finance"))</f>
        <v>28</v>
      </c>
      <c r="BT17" s="7">
        <f t="shared" si="16"/>
        <v>0.17948717948717949</v>
      </c>
      <c r="BU17" s="7">
        <f t="shared" si="17"/>
        <v>8.2472254114045157E-2</v>
      </c>
      <c r="BV17">
        <f>ROUND(SUMIFS(LogFY22!K:K,LogFY22!A:A,"=hawaii_county_finance")/SUMIFS(LogFY22!J:J,LogFY22!A:A,"=hawaii_county_finance"),0)</f>
        <v>8</v>
      </c>
      <c r="BW17">
        <f t="shared" si="18"/>
        <v>-3</v>
      </c>
      <c r="BX17" s="1">
        <v>36</v>
      </c>
      <c r="BY17" s="1">
        <f t="shared" ref="BY17:BY47" si="47">BX17-BN17</f>
        <v>-97</v>
      </c>
      <c r="CB17">
        <f>SUMIFS(LogFY23!D:D,LogFY23!A:A,"=hawaii_county_finance")</f>
        <v>245</v>
      </c>
      <c r="CC17">
        <f>SUM(SUMIFS(LogFY23!D:D,LogFY23!A:A,"=hawaii_county_finance"),-1*SUMIFS(LogFY23!L:L,LogFY23!A:A,"=hawaii_county_finance"),-1*SUMIFS(LogFY23!N:N,LogFY23!A:A,"=hawaii_county_finance"))</f>
        <v>15</v>
      </c>
      <c r="CD17" s="7">
        <f t="shared" si="38"/>
        <v>6.1224489795918366E-2</v>
      </c>
      <c r="CE17" s="7">
        <f t="shared" si="39"/>
        <v>-0.11826268969126112</v>
      </c>
      <c r="CF17">
        <f>ROUND(SUMIFS(LogFY23!K:K,LogFY23!A:A,"=hawaii_county_finance")/SUMIFS(LogFY23!J:J,LogFY23!A:A,"=hawaii_county_finance"),0)</f>
        <v>6</v>
      </c>
      <c r="CG17">
        <f t="shared" si="40"/>
        <v>-2</v>
      </c>
      <c r="CH17" s="1">
        <v>61</v>
      </c>
      <c r="CI17" s="1">
        <f t="shared" si="23"/>
        <v>25</v>
      </c>
      <c r="CK17" s="7"/>
      <c r="CL17">
        <f>SUMIFS(LogFY24!D:D,LogFY24!A:A,"=hawaii_county_finance")</f>
        <v>266</v>
      </c>
      <c r="CM17">
        <f>SUM(SUMIFS(LogFY24!D:D,LogFY24!A:A,"=hawaii_county_finance"),-1*SUMIFS(LogFY24!L:L,LogFY24!A:A,"=hawaii_county_finance"),-1*SUMIFS(LogFY24!N:N,LogFY24!A:A,"=hawaii_county_finance"))</f>
        <v>17</v>
      </c>
      <c r="CN17" s="7">
        <f t="shared" si="24"/>
        <v>6.3909774436090222E-2</v>
      </c>
      <c r="CO17" s="7">
        <f t="shared" si="25"/>
        <v>2.6852846401718561E-3</v>
      </c>
      <c r="CP17">
        <f>ROUND(SUMIFS(LogFY24!K:K,LogFY24!A:A,"=hawaii_county_finance")/SUMIFS(LogFY24!J:J,LogFY24!A:A,"=hawaii_county_finance"),0)</f>
        <v>6</v>
      </c>
      <c r="CQ17">
        <f t="shared" si="26"/>
        <v>0</v>
      </c>
      <c r="CR17" s="1">
        <v>46</v>
      </c>
      <c r="CS17" s="1">
        <f t="shared" si="27"/>
        <v>-15</v>
      </c>
    </row>
    <row r="18" spans="1:99" ht="16">
      <c r="A18" s="10">
        <f t="shared" si="28"/>
        <v>17</v>
      </c>
      <c r="B18" s="1" t="s">
        <v>16801</v>
      </c>
      <c r="C18">
        <f>SUMIFS(LogFY15!D:D,LogFY15!A:A,"=*fire*")</f>
        <v>388</v>
      </c>
      <c r="D18">
        <f>SUM(SUMIFS(LogFY15!D:D,LogFY15!A:A,"=*fire*"),-1*SUMIFS(LogFY15!L:L,LogFY15!A:A,"=*fire*"),-1*SUMIFS(LogFY15!N:N,LogFY15!A:A,"=*fire*"))</f>
        <v>54</v>
      </c>
      <c r="E18" s="7">
        <f t="shared" si="34"/>
        <v>0.13917525773195877</v>
      </c>
      <c r="F18">
        <f>ROUND(SUMIFS(LogFY15!K:K,LogFY15!A:A,"=*fire*")/SUMIFS(LogFY15!J:J,LogFY15!A:A,"=*fire*"),0)</f>
        <v>11</v>
      </c>
      <c r="G18" s="1">
        <v>90</v>
      </c>
      <c r="H18">
        <f>COUNTIFS(All!F:F,"=fire*", All!B:B, "&gt;=7/1/2014", All!B:B,"&lt;=6/30/2015", All!E:E,"=U*",All!E:E,"&lt;&gt;UIPA*",All!E:E,"&lt;&gt;*RFO*",All!E:E,"&lt;&gt;*TRNG*")</f>
        <v>0</v>
      </c>
      <c r="I18" s="7">
        <f>ROUND(H18/C18,3)</f>
        <v>0</v>
      </c>
      <c r="J18">
        <f>SUMIFS(LogFY16!D:D,LogFY16!A:A,"=*fire*")</f>
        <v>573</v>
      </c>
      <c r="K18">
        <f>SUM(SUMIFS(LogFY16!D:D,LogFY16!A:A,"=*fire*"),-1*SUMIFS(LogFY16!L:L,LogFY16!A:A,"=*fire*"),-1*SUMIFS(LogFY16!N:N,LogFY16!A:A,"=*fire*"))</f>
        <v>66</v>
      </c>
      <c r="L18" s="7">
        <f>K18/J18</f>
        <v>0.11518324607329843</v>
      </c>
      <c r="M18" s="7">
        <f>L18-E18</f>
        <v>-2.3992011658660342E-2</v>
      </c>
      <c r="N18">
        <f>ROUND(SUMIFS(LogFY16!K:K,LogFY16!A:A,"=*fire*")/SUMIFS(LogFY16!J:J,LogFY16!A:A,"=*fire*"),0)</f>
        <v>11</v>
      </c>
      <c r="O18">
        <f>N18-F18</f>
        <v>0</v>
      </c>
      <c r="P18" s="1">
        <v>179</v>
      </c>
      <c r="Q18" s="1">
        <f>P18-G18</f>
        <v>89</v>
      </c>
      <c r="R18">
        <f>COUNTIFS(All!F:F,"=fire*", All!B:B, "&gt;=7/1/2015", All!B:B,"&lt;=6/30/2016", All!E:E,"=U*",All!E:E,"&lt;&gt;UIPA*",All!E:E,"&lt;&gt;*RFO*",All!E:E,"&lt;&gt;*TRNG*")</f>
        <v>1</v>
      </c>
      <c r="S18" s="7">
        <f>ROUND(R18/(J18+C18),3)</f>
        <v>1E-3</v>
      </c>
      <c r="T18">
        <f>SUMIFS(LogFY17!D:D,LogFY17!A:A,"=*fire*")</f>
        <v>507</v>
      </c>
      <c r="U18">
        <f>SUM(SUMIFS(LogFY17!D:D,LogFY17!A:A,"=*fire*"),-1*SUMIFS(LogFY17!L:L,LogFY17!A:A,"=*fire*"),-1*SUMIFS(LogFY17!N:N,LogFY17!A:A,"=*fire*"))</f>
        <v>64</v>
      </c>
      <c r="V18" s="7">
        <f>U18/T18</f>
        <v>0.12623274161735701</v>
      </c>
      <c r="W18" s="7">
        <f>V18-L18</f>
        <v>1.1049495544058582E-2</v>
      </c>
      <c r="X18">
        <f>ROUND(SUMIFS(LogFY17!K:K,LogFY17!A:A,"=*fire*")/SUMIFS(LogFY17!J:J,LogFY17!A:A,"=*fire*"),0)</f>
        <v>14</v>
      </c>
      <c r="Y18">
        <f>X18-N18</f>
        <v>3</v>
      </c>
      <c r="Z18" s="1">
        <v>80</v>
      </c>
      <c r="AA18" s="1">
        <f>Z18-P18</f>
        <v>-99</v>
      </c>
      <c r="AB18">
        <f>COUNTIFS(All!F:F,"=fire*", All!B:B, "&gt;=7/1/2016", All!B:B,"&lt;=6/30/2017", All!E:E,"=U*",All!E:E,"&lt;&gt;UIPA*",All!E:E,"&lt;&gt;*RFO*",All!E:E,"&lt;&gt;*TRNG*")</f>
        <v>0</v>
      </c>
      <c r="AC18" s="7">
        <f>ROUND(AB18/(T18+J18),3)</f>
        <v>0</v>
      </c>
      <c r="AD18">
        <f>SUMIFS(LogFY18!D:D,LogFY18!A:A,"=*fire*")</f>
        <v>820</v>
      </c>
      <c r="AE18">
        <f>SUM(SUMIFS(LogFY18!D:D,LogFY18!A:A,"=*fire*"),-1*SUMIFS(LogFY18!L:L,LogFY18!A:A,"=*fire*"),-1*SUMIFS(LogFY18!N:N,LogFY18!A:A,"=*fire*"))</f>
        <v>72</v>
      </c>
      <c r="AF18" s="7">
        <f t="shared" si="41"/>
        <v>8.7804878048780483E-2</v>
      </c>
      <c r="AG18" s="7">
        <f t="shared" si="42"/>
        <v>-3.8427863568576526E-2</v>
      </c>
      <c r="AH18">
        <f>ROUND(SUMIFS(LogFY18!K:K,LogFY18!A:A,"=*fire*")/SUMIFS(LogFY18!J:J,LogFY18!A:A,"=*fire*"),0)</f>
        <v>13</v>
      </c>
      <c r="AI18">
        <f>AH18-X18</f>
        <v>-1</v>
      </c>
      <c r="AJ18" s="1">
        <v>149</v>
      </c>
      <c r="AK18" s="1">
        <f t="shared" si="43"/>
        <v>69</v>
      </c>
      <c r="AL18">
        <f>COUNTIFS(All!F:F,"=fire*", All!B:B, "&gt;=7/1/2017", All!B:B,"&lt;=6/30/2018", All!E:E,"=U*",All!E:E,"&lt;&gt;UIPA*",All!E:E,"&lt;&gt;*RFO*",All!E:E,"&lt;&gt;*TRNG*")</f>
        <v>3</v>
      </c>
      <c r="AM18" s="7">
        <f>ROUND(AL18/(AD18+T18),3)</f>
        <v>2E-3</v>
      </c>
      <c r="AN18">
        <f>SUMIFS(LogFY19!D:D,LogFY19!A:A,"=*fire*")</f>
        <v>957</v>
      </c>
      <c r="AO18">
        <f>SUM(SUMIFS(LogFY19!D:D,LogFY19!A:A,"=*fire*"),-1*SUMIFS(LogFY19!L:L,LogFY19!A:A,"=*fire*"),-1*SUMIFS(LogFY19!N:N,LogFY19!A:A,"=*fire*"))</f>
        <v>90</v>
      </c>
      <c r="AP18" s="7">
        <f>AO18/AN18</f>
        <v>9.4043887147335428E-2</v>
      </c>
      <c r="AQ18" s="7">
        <f t="shared" si="44"/>
        <v>6.2390090985549457E-3</v>
      </c>
      <c r="AR18">
        <f>ROUND(SUMIFS(LogFY19!K:K,LogFY19!A:A,"=*fire*")/SUMIFS(LogFY19!J:J,LogFY19!A:A,"=*fire*"),0)</f>
        <v>11</v>
      </c>
      <c r="AS18">
        <f>AR18-AH18</f>
        <v>-2</v>
      </c>
      <c r="AT18" s="1">
        <v>102</v>
      </c>
      <c r="AU18" s="1">
        <f t="shared" si="45"/>
        <v>-47</v>
      </c>
      <c r="AV18">
        <f>COUNTIFS(All!F:F,"=fire*", All!B:B, "&gt;=7/1/2018", All!B:B,"&lt;=6/30/2019", All!E:E,"=U*",All!E:E,"&lt;&gt;UIPA*",All!E:E,"&lt;&gt;*RFO*",All!E:E,"&lt;&gt;*TRNG*")</f>
        <v>0</v>
      </c>
      <c r="AW18" s="7">
        <f>ROUND(AV18/(AN18+AD18),3)</f>
        <v>0</v>
      </c>
      <c r="AX18">
        <f>SUMIFS(LogFY20!D:D,LogFY20!A:A,"=*fire*")</f>
        <v>929</v>
      </c>
      <c r="AY18">
        <f>SUM(SUMIFS(LogFY20!D:D,LogFY20!A:A,"=*fire*"),-1*SUMIFS(LogFY20!L:L,LogFY20!A:A,"=*fire*"),-1*SUMIFS(LogFY20!N:N,LogFY20!A:A,"=*fire*"))</f>
        <v>68</v>
      </c>
      <c r="AZ18" s="7">
        <f t="shared" si="8"/>
        <v>7.3196986006458561E-2</v>
      </c>
      <c r="BA18" s="7">
        <f t="shared" si="9"/>
        <v>-2.0846901140876867E-2</v>
      </c>
      <c r="BB18">
        <f>ROUND(SUMIFS(LogFY20!K:K,LogFY20!A:A,"=*fire*")/SUMIFS(LogFY20!J:J,LogFY20!A:A,"=*fire*"),0)</f>
        <v>13</v>
      </c>
      <c r="BC18">
        <f t="shared" si="10"/>
        <v>2</v>
      </c>
      <c r="BD18" s="1">
        <v>125</v>
      </c>
      <c r="BE18" s="1">
        <f t="shared" si="11"/>
        <v>23</v>
      </c>
      <c r="BF18">
        <f>COUNTIFS(All!F:F,"=fire*", All!B:B, "&gt;=7/1/2019", All!B:B,"&lt;=6/30/2020", All!E:E,"=U*",All!E:E,"&lt;&gt;UIPA*",All!E:E,"&lt;&gt;*RFO*",All!E:E,"&lt;&gt;*TRNG*")</f>
        <v>1</v>
      </c>
      <c r="BG18" s="7">
        <f>ROUND(BF18/(AX18+AN18),3)</f>
        <v>1E-3</v>
      </c>
      <c r="BH18">
        <f>SUMIFS(LogFY21!D:D,LogFY21!A:A,"=*fire*")</f>
        <v>659</v>
      </c>
      <c r="BI18">
        <f>SUM(SUMIFS(LogFY21!D:D,LogFY21!A:A,"=*fire*"),-1*SUMIFS(LogFY21!L:L,LogFY21!A:A,"=*fire*"),-1*SUMIFS(LogFY21!N:N,LogFY21!A:A,"=*fire*"))</f>
        <v>127</v>
      </c>
      <c r="BJ18" s="7">
        <f t="shared" si="35"/>
        <v>0.19271623672230653</v>
      </c>
      <c r="BK18" s="7">
        <f t="shared" si="36"/>
        <v>0.11951925071584797</v>
      </c>
      <c r="BL18">
        <f>ROUND(SUMIFS(LogFY21!K:K,LogFY21!A:A,"=*fire*")/SUMIFS(LogFY21!J:J,LogFY21!A:A,"=*fire*"),0)</f>
        <v>8</v>
      </c>
      <c r="BM18">
        <f t="shared" si="37"/>
        <v>-5</v>
      </c>
      <c r="BN18" s="1">
        <v>113</v>
      </c>
      <c r="BO18" s="1">
        <f t="shared" si="46"/>
        <v>-12</v>
      </c>
      <c r="BP18">
        <f>COUNTIFS(All!F:F,"=fire*", All!B:B, "&gt;=7/1/2020", All!B:B,"&lt;=6/30/2021", All!E:E,"=U*",All!E:E,"&lt;&gt;UIPA*",All!E:E,"&lt;&gt;*RFO*",All!E:E,"&lt;&gt;*TRNG*")</f>
        <v>3</v>
      </c>
      <c r="BQ18" s="7">
        <f>ROUND(BP18/(BH18+AX18),3)</f>
        <v>2E-3</v>
      </c>
      <c r="BR18">
        <f>SUMIFS(LogFY22!D:D,LogFY22!A:A,"=*fire*")</f>
        <v>892</v>
      </c>
      <c r="BS18">
        <f>SUM(SUMIFS(LogFY22!D:D,LogFY22!A:A,"=*fire*"),-1*SUMIFS(LogFY22!L:L,LogFY22!A:A,"=*fire*"),-1*SUMIFS(LogFY22!N:N,LogFY22!A:A,"=*fire*"))</f>
        <v>306</v>
      </c>
      <c r="BT18" s="7">
        <f t="shared" si="16"/>
        <v>0.34304932735426008</v>
      </c>
      <c r="BU18" s="7">
        <f t="shared" si="17"/>
        <v>0.15033309063195355</v>
      </c>
      <c r="BV18">
        <f>ROUND(SUMIFS(LogFY22!K:K,LogFY22!A:A,"=*fire*")/SUMIFS(LogFY22!J:J,LogFY22!A:A,"=*fire*"),0)</f>
        <v>7</v>
      </c>
      <c r="BW18">
        <f t="shared" si="18"/>
        <v>-1</v>
      </c>
      <c r="BX18" s="1">
        <v>84</v>
      </c>
      <c r="BY18" s="1">
        <f t="shared" si="47"/>
        <v>-29</v>
      </c>
      <c r="BZ18">
        <f>COUNTIFS(All!F:F,"=fire*", All!B:B, "&gt;=7/1/2021", All!B:B,"&lt;=6/30/2022", All!E:E,"=U*",All!E:E,"&lt;&gt;UIPA*",All!E:E,"&lt;&gt;*RFO*",All!E:E,"&lt;&gt;*TRNG*")</f>
        <v>0</v>
      </c>
      <c r="CA18" s="7">
        <f>ROUND(BZ18/(BR18+BH18),3)</f>
        <v>0</v>
      </c>
      <c r="CB18">
        <f>SUMIFS(LogFY23!D:D,LogFY23!A:A,"=*fire*")</f>
        <v>992</v>
      </c>
      <c r="CC18">
        <f>SUM(SUMIFS(LogFY23!D:D,LogFY23!A:A,"=*fire*"),-1*SUMIFS(LogFY23!L:L,LogFY23!A:A,"=*fire*"),-1*SUMIFS(LogFY23!N:N,LogFY23!A:A,"=*fire*"))</f>
        <v>382</v>
      </c>
      <c r="CD18" s="7">
        <f t="shared" si="38"/>
        <v>0.38508064516129031</v>
      </c>
      <c r="CE18" s="7">
        <f t="shared" si="39"/>
        <v>4.2031317807030233E-2</v>
      </c>
      <c r="CF18">
        <f>ROUND(SUMIFS(LogFY23!K:K,LogFY23!A:A,"=*fire*")/SUMIFS(LogFY23!J:J,LogFY23!A:A,"=*fire*"),0)</f>
        <v>10</v>
      </c>
      <c r="CG18">
        <f t="shared" si="40"/>
        <v>3</v>
      </c>
      <c r="CH18" s="1">
        <v>223</v>
      </c>
      <c r="CI18" s="1">
        <f t="shared" si="23"/>
        <v>139</v>
      </c>
      <c r="CJ18">
        <f>COUNTIFS(All!F:F,"=fire*", All!B:B, "&gt;=7/1/2022", All!B:B,"&lt;=6/30/2023", All!E:E,"=U*",All!E:E,"&lt;&gt;UIPA*",All!E:E,"&lt;&gt;*RFO*",All!E:E,"&lt;&gt;*TRNG*")</f>
        <v>0</v>
      </c>
      <c r="CK18" s="7">
        <f>ROUND(CJ18/(CB18+BR18),3)</f>
        <v>0</v>
      </c>
      <c r="CL18">
        <f>SUMIFS(LogFY24!D:D,LogFY24!A:A,"=*fire*")</f>
        <v>918</v>
      </c>
      <c r="CM18">
        <f>SUM(SUMIFS(LogFY24!D:D,LogFY24!A:A,"=*fire*"),-1*SUMIFS(LogFY24!L:L,LogFY24!A:A,"=*fire*"),-1*SUMIFS(LogFY24!N:N,LogFY24!A:A,"=*fire*"))</f>
        <v>462</v>
      </c>
      <c r="CN18" s="7">
        <f t="shared" si="24"/>
        <v>0.50326797385620914</v>
      </c>
      <c r="CO18" s="7">
        <f t="shared" si="25"/>
        <v>0.11818732869491883</v>
      </c>
      <c r="CP18">
        <f>ROUND(SUMIFS(LogFY24!K:K,LogFY24!A:A,"=*fire*")/SUMIFS(LogFY24!J:J,LogFY24!A:A,"=*fire*"),0)</f>
        <v>11</v>
      </c>
      <c r="CQ18">
        <f t="shared" si="26"/>
        <v>1</v>
      </c>
      <c r="CR18" s="1">
        <v>238</v>
      </c>
      <c r="CS18" s="1">
        <f t="shared" si="27"/>
        <v>15</v>
      </c>
      <c r="CT18">
        <f>COUNTIFS(All!F:F,"=fire*", All!B:B, "&gt;=7/1/2023", All!B:B,"&lt;=6/30/2024", All!E:E,"=U*",All!E:E,"&lt;&gt;UIPA*",All!E:E,"&lt;&gt;*RFO*",All!E:E,"&lt;&gt;*TRNG*")</f>
        <v>4</v>
      </c>
      <c r="CU18" s="7">
        <f>ROUND(CT18/(CL18+CB18),3)</f>
        <v>2E-3</v>
      </c>
    </row>
    <row r="19" spans="1:99" ht="16">
      <c r="A19" s="10">
        <f t="shared" si="28"/>
        <v>18</v>
      </c>
      <c r="B19" s="9" t="s">
        <v>17426</v>
      </c>
      <c r="C19">
        <f>SUMIFS(LogFY15!D:D,LogFY15!A:A,"=*honolulu_fire*")</f>
        <v>368</v>
      </c>
      <c r="D19">
        <f>SUM(SUMIFS(LogFY15!D:D,LogFY15!A:A,"=*honolulu_fire*"),-1*SUMIFS(LogFY15!L:L,LogFY15!A:A,"=*honolulu_fire*"),-1*SUMIFS(LogFY15!N:N,LogFY15!A:A,"=*honolulu_fire*"))</f>
        <v>53</v>
      </c>
      <c r="E19" s="7">
        <f t="shared" si="34"/>
        <v>0.14402173913043478</v>
      </c>
      <c r="F19">
        <f>ROUND(SUMIFS(LogFY15!K:K,LogFY15!A:A,"=*honolulu_fire*")/SUMIFS(LogFY15!J:J,LogFY15!A:A,"=*honolulu_fire*"),0)</f>
        <v>11</v>
      </c>
      <c r="G19" s="1">
        <v>90</v>
      </c>
      <c r="J19">
        <f>SUMIFS(LogFY16!D:D,LogFY16!A:A,"=*honolulu_fire*")</f>
        <v>567</v>
      </c>
      <c r="K19">
        <f>SUM(SUMIFS(LogFY16!D:D,LogFY16!A:A,"=*honolulu_fire*"),-1*SUMIFS(LogFY16!L:L,LogFY16!A:A,"=*honolulu_fire*"),-1*SUMIFS(LogFY16!N:N,LogFY16!A:A,"=*honolulu_fire*"))</f>
        <v>65</v>
      </c>
      <c r="L19" s="7">
        <f>K19/J19</f>
        <v>0.1146384479717813</v>
      </c>
      <c r="M19" s="7">
        <f>L19-E19</f>
        <v>-2.9383291158653485E-2</v>
      </c>
      <c r="N19">
        <f>ROUND(SUMIFS(LogFY16!K:K,LogFY16!A:A,"=*honolulu_fire*")/SUMIFS(LogFY16!J:J,LogFY16!A:A,"=*honolulu_fire*"),0)</f>
        <v>11</v>
      </c>
      <c r="O19">
        <f>N19-F19</f>
        <v>0</v>
      </c>
      <c r="P19" s="1">
        <v>179</v>
      </c>
      <c r="Q19" s="1">
        <f>P19-G19</f>
        <v>89</v>
      </c>
      <c r="T19">
        <f>SUMIFS(LogFY17!D:D,LogFY17!A:A,"=*honolulu_fire*")</f>
        <v>409</v>
      </c>
      <c r="U19">
        <f>SUM(SUMIFS(LogFY17!D:D,LogFY17!A:A,"=*honolulu_fire*"),-1*SUMIFS(LogFY17!L:L,LogFY17!A:A,"=*honolulu_fire*"),-1*SUMIFS(LogFY17!N:N,LogFY17!A:A,"=*honolulu_fire*"))</f>
        <v>51</v>
      </c>
      <c r="V19" s="7">
        <f>U19/T19</f>
        <v>0.12469437652811736</v>
      </c>
      <c r="W19" s="7">
        <f>V19-L19</f>
        <v>1.0055928556336066E-2</v>
      </c>
      <c r="X19">
        <f>ROUND(SUMIFS(LogFY17!K:K,LogFY17!A:A,"=*honolulu_fire*")/SUMIFS(LogFY17!J:J,LogFY17!A:A,"=*honolulu_fire*"),0)</f>
        <v>16</v>
      </c>
      <c r="Y19">
        <f>X19-N19</f>
        <v>5</v>
      </c>
      <c r="Z19" s="1">
        <v>80</v>
      </c>
      <c r="AA19" s="1">
        <f>Z19-P19</f>
        <v>-99</v>
      </c>
      <c r="AD19">
        <f>SUMIFS(LogFY18!D:D,LogFY18!A:A,"=*honolulu_fire*")</f>
        <v>705</v>
      </c>
      <c r="AE19">
        <f>SUM(SUMIFS(LogFY18!D:D,LogFY18!A:A,"=*honolulu_fire*"),-1*SUMIFS(LogFY18!L:L,LogFY18!A:A,"=*honolulu_fire*"),-1*SUMIFS(LogFY18!N:N,LogFY18!A:A,"=*honolulu_fire*"))</f>
        <v>67</v>
      </c>
      <c r="AF19" s="7">
        <f t="shared" si="41"/>
        <v>9.50354609929078E-2</v>
      </c>
      <c r="AG19" s="7">
        <f t="shared" si="42"/>
        <v>-2.9658915535209565E-2</v>
      </c>
      <c r="AH19">
        <f>ROUND(SUMIFS(LogFY18!K:K,LogFY18!A:A,"=*honolulu_fire*")/SUMIFS(LogFY18!J:J,LogFY18!A:A,"=*honolulu_fire*"),0)</f>
        <v>14</v>
      </c>
      <c r="AI19">
        <f>AH19-X19</f>
        <v>-2</v>
      </c>
      <c r="AJ19" s="1">
        <v>126</v>
      </c>
      <c r="AK19" s="1">
        <f t="shared" si="43"/>
        <v>46</v>
      </c>
      <c r="AN19">
        <f>SUMIFS(LogFY19!D:D,LogFY19!A:A,"=*honolulu_fire*")</f>
        <v>755</v>
      </c>
      <c r="AO19">
        <f>SUM(SUMIFS(LogFY19!D:D,LogFY19!A:A,"=*honolulu_fire*"),-1*SUMIFS(LogFY19!L:L,LogFY19!A:A,"=*honolulu_fire*"),-1*SUMIFS(LogFY19!N:N,LogFY19!A:A,"=*honolulu_fire*"))</f>
        <v>81</v>
      </c>
      <c r="AP19" s="7">
        <f>AO19/AN19</f>
        <v>0.10728476821192053</v>
      </c>
      <c r="AQ19" s="7">
        <f t="shared" si="44"/>
        <v>1.2249307219012726E-2</v>
      </c>
      <c r="AR19">
        <f>ROUND(SUMIFS(LogFY19!K:K,LogFY19!A:A,"=*honolulu_fire*")/SUMIFS(LogFY19!J:J,LogFY19!A:A,"=*honolulu_fire*"),0)</f>
        <v>12</v>
      </c>
      <c r="AS19">
        <f>AR19-AH19</f>
        <v>-2</v>
      </c>
      <c r="AT19" s="1">
        <v>102</v>
      </c>
      <c r="AU19" s="1">
        <f t="shared" si="45"/>
        <v>-24</v>
      </c>
      <c r="AX19">
        <f>SUMIFS(LogFY20!D:D,LogFY20!A:A,"=*honolulu_fire*")</f>
        <v>754</v>
      </c>
      <c r="AY19">
        <f>SUM(SUMIFS(LogFY20!D:D,LogFY20!A:A,"=*honolulu_fire*"),-1*SUMIFS(LogFY20!L:L,LogFY20!A:A,"=*honolulu_fire*"),-1*SUMIFS(LogFY20!N:N,LogFY20!A:A,"=*honolulu_fire*"))</f>
        <v>46</v>
      </c>
      <c r="AZ19" s="7">
        <f t="shared" si="8"/>
        <v>6.1007957559681698E-2</v>
      </c>
      <c r="BA19" s="7">
        <f t="shared" si="9"/>
        <v>-4.6276810652238827E-2</v>
      </c>
      <c r="BB19">
        <f>ROUND(SUMIFS(LogFY20!K:K,LogFY20!A:A,"=*honolulu_fire*")/SUMIFS(LogFY20!J:J,LogFY20!A:A,"=*honolulu_fire*"),0)</f>
        <v>14</v>
      </c>
      <c r="BC19">
        <f t="shared" si="10"/>
        <v>2</v>
      </c>
      <c r="BD19" s="1">
        <v>125</v>
      </c>
      <c r="BE19" s="1">
        <f t="shared" si="11"/>
        <v>23</v>
      </c>
      <c r="BH19">
        <f>SUMIFS(LogFY21!D:D,LogFY21!A:A,"=*honolulu_fire*")</f>
        <v>486</v>
      </c>
      <c r="BI19">
        <f>SUM(SUMIFS(LogFY21!D:D,LogFY21!A:A,"=*honolulu_fire*"),-1*SUMIFS(LogFY21!L:L,LogFY21!A:A,"=*honolulu_fire*"),-1*SUMIFS(LogFY21!N:N,LogFY21!A:A,"=*honolulu_fire*"))</f>
        <v>113</v>
      </c>
      <c r="BJ19" s="7">
        <f t="shared" si="35"/>
        <v>0.23251028806584362</v>
      </c>
      <c r="BK19" s="7">
        <f t="shared" si="36"/>
        <v>0.17150233050616193</v>
      </c>
      <c r="BL19">
        <f>ROUND(SUMIFS(LogFY21!K:K,LogFY21!A:A,"=*honolulu_fire*")/SUMIFS(LogFY21!J:J,LogFY21!A:A,"=*honolulu_fire*"),0)</f>
        <v>9</v>
      </c>
      <c r="BM19">
        <f t="shared" si="37"/>
        <v>-5</v>
      </c>
      <c r="BN19" s="1">
        <v>113</v>
      </c>
      <c r="BO19" s="1">
        <f t="shared" si="46"/>
        <v>-12</v>
      </c>
      <c r="BR19">
        <f>SUMIFS(LogFY22!D:D,LogFY22!A:A,"=*honolulu_fire*")</f>
        <v>560</v>
      </c>
      <c r="BS19">
        <f>SUM(SUMIFS(LogFY22!D:D,LogFY22!A:A,"=*honolulu_fire*"),-1*SUMIFS(LogFY22!L:L,LogFY22!A:A,"=*honolulu_fire*"),-1*SUMIFS(LogFY22!N:N,LogFY22!A:A,"=*honolulu_fire*"))</f>
        <v>290</v>
      </c>
      <c r="BT19" s="7">
        <f t="shared" si="16"/>
        <v>0.5178571428571429</v>
      </c>
      <c r="BU19" s="7">
        <f t="shared" si="17"/>
        <v>0.28534685479129929</v>
      </c>
      <c r="BV19">
        <f>ROUND(SUMIFS(LogFY22!K:K,LogFY22!A:A,"=*honolulu_fire*")/SUMIFS(LogFY22!J:J,LogFY22!A:A,"=*honolulu_fire*"),0)</f>
        <v>8</v>
      </c>
      <c r="BW19">
        <f t="shared" si="18"/>
        <v>-1</v>
      </c>
      <c r="BX19" s="1">
        <v>84</v>
      </c>
      <c r="BY19" s="1">
        <f t="shared" si="47"/>
        <v>-29</v>
      </c>
      <c r="CB19">
        <f>SUMIFS(LogFY23!D:D,LogFY23!A:A,"=*honolulu_fire*")</f>
        <v>560</v>
      </c>
      <c r="CC19">
        <f>SUM(SUMIFS(LogFY23!D:D,LogFY23!A:A,"=*honolulu_fire*"),-1*SUMIFS(LogFY23!L:L,LogFY23!A:A,"=*honolulu_fire*"),-1*SUMIFS(LogFY23!N:N,LogFY23!A:A,"=*honolulu_fire*"))</f>
        <v>306</v>
      </c>
      <c r="CD19" s="7">
        <f t="shared" si="38"/>
        <v>0.54642857142857137</v>
      </c>
      <c r="CE19" s="7">
        <f t="shared" si="39"/>
        <v>2.857142857142847E-2</v>
      </c>
      <c r="CF19">
        <f>ROUND(SUMIFS(LogFY23!K:K,LogFY23!A:A,"=*honolulu_fire*")/SUMIFS(LogFY23!J:J,LogFY23!A:A,"=*honolulu_fire*"),0)</f>
        <v>7</v>
      </c>
      <c r="CG19">
        <f t="shared" si="40"/>
        <v>-1</v>
      </c>
      <c r="CH19" s="1">
        <v>58</v>
      </c>
      <c r="CI19" s="1">
        <f t="shared" si="23"/>
        <v>-26</v>
      </c>
      <c r="CK19" s="7"/>
      <c r="CL19">
        <f>SUMIFS(LogFY24!D:D,LogFY24!A:A,"=*honolulu_fire*")</f>
        <v>392</v>
      </c>
      <c r="CM19">
        <f>SUM(SUMIFS(LogFY24!D:D,LogFY24!A:A,"=*honolulu_fire*"),-1*SUMIFS(LogFY24!L:L,LogFY24!A:A,"=*honolulu_fire*"),-1*SUMIFS(LogFY24!N:N,LogFY24!A:A,"=*honolulu_fire*"))</f>
        <v>197</v>
      </c>
      <c r="CN19" s="7">
        <f t="shared" si="24"/>
        <v>0.50255102040816324</v>
      </c>
      <c r="CO19" s="7">
        <f t="shared" si="25"/>
        <v>-4.3877551020408134E-2</v>
      </c>
      <c r="CP19">
        <f>ROUND(SUMIFS(LogFY24!K:K,LogFY24!A:A,"=*honolulu_fire*")/SUMIFS(LogFY24!J:J,LogFY24!A:A,"=*honolulu_fire*"),0)</f>
        <v>13</v>
      </c>
      <c r="CQ19">
        <f t="shared" si="26"/>
        <v>6</v>
      </c>
      <c r="CR19" s="1">
        <v>46</v>
      </c>
      <c r="CS19" s="1">
        <f t="shared" si="27"/>
        <v>-12</v>
      </c>
    </row>
    <row r="20" spans="1:99" ht="16">
      <c r="A20" s="10">
        <f t="shared" si="28"/>
        <v>19</v>
      </c>
      <c r="B20" s="9" t="s">
        <v>17427</v>
      </c>
      <c r="C20">
        <f>SUMIFS(LogFY15!D:D,LogFY15!A:A,"=*maui_county_fire*")</f>
        <v>1</v>
      </c>
      <c r="D20">
        <f>SUM(SUMIFS(LogFY15!D:D,LogFY15!A:A,"=*maui_county_fire*"),-1*SUMIFS(LogFY15!L:L,LogFY15!A:A,"=*maui_county_fire*"),-1*SUMIFS(LogFY15!N:N,LogFY15!A:A,"=*maui_county_fire*"))</f>
        <v>1</v>
      </c>
      <c r="E20" s="7">
        <f t="shared" si="34"/>
        <v>1</v>
      </c>
      <c r="F20">
        <f>ROUND(SUMIFS(LogFY15!K:K,LogFY15!A:A,"=*maui_county_fire*")/SUMIFS(LogFY15!J:J,LogFY15!A:A,"=*maui_county_fire*"),0)</f>
        <v>4</v>
      </c>
      <c r="G20" s="1">
        <v>4</v>
      </c>
      <c r="J20">
        <f>SUMIFS(LogFY16!D:D,LogFY16!A:A,"=*maui_county_fire*")</f>
        <v>1</v>
      </c>
      <c r="K20">
        <f>SUM(SUMIFS(LogFY16!D:D,LogFY16!A:A,"=*maui_county_fire*"),-1*SUMIFS(LogFY16!L:L,LogFY16!A:A,"=*maui_county_fire*"),-1*SUMIFS(LogFY16!N:N,LogFY16!A:A,"=*maui_county_fire*"))</f>
        <v>0</v>
      </c>
      <c r="L20" s="7">
        <f>K20/J20</f>
        <v>0</v>
      </c>
      <c r="M20" s="7">
        <f>L20-E20</f>
        <v>-1</v>
      </c>
      <c r="N20">
        <f>ROUND(SUMIFS(LogFY16!K:K,LogFY16!A:A,"=*maui_county_fire*")/SUMIFS(LogFY16!J:J,LogFY16!A:A,"=*maui_county_fire*"),0)</f>
        <v>41</v>
      </c>
      <c r="O20">
        <f>N20-F20</f>
        <v>37</v>
      </c>
      <c r="P20" s="1">
        <v>41</v>
      </c>
      <c r="Q20" s="1">
        <f>P20-G20</f>
        <v>37</v>
      </c>
      <c r="T20">
        <f>SUMIFS(LogFY17!D:D,LogFY17!A:A,"=*maui_county_fire*")</f>
        <v>67</v>
      </c>
      <c r="U20">
        <f>SUM(SUMIFS(LogFY17!D:D,LogFY17!A:A,"=*maui_county_fire*"),-1*SUMIFS(LogFY17!L:L,LogFY17!A:A,"=*maui_county_fire*"),-1*SUMIFS(LogFY17!N:N,LogFY17!A:A,"=*maui_county_fire*"))</f>
        <v>11</v>
      </c>
      <c r="V20" s="7">
        <f>U20/T20</f>
        <v>0.16417910447761194</v>
      </c>
      <c r="W20" s="7">
        <f>V20-L20</f>
        <v>0.16417910447761194</v>
      </c>
      <c r="X20">
        <f>ROUND(SUMIFS(LogFY17!K:K,LogFY17!A:A,"=*maui_county_fire*")/SUMIFS(LogFY17!J:J,LogFY17!A:A,"=*maui_county_fire*"),0)</f>
        <v>9</v>
      </c>
      <c r="Y20">
        <f>X20-N20</f>
        <v>-32</v>
      </c>
      <c r="Z20" s="1">
        <v>72</v>
      </c>
      <c r="AA20" s="1">
        <f>Z20-P20</f>
        <v>31</v>
      </c>
      <c r="AD20">
        <f>SUMIFS(LogFY18!D:D,LogFY18!A:A,"=*maui_county_fire*")</f>
        <v>79</v>
      </c>
      <c r="AE20">
        <f>SUM(SUMIFS(LogFY18!D:D,LogFY18!A:A,"=*maui_county_fire*"),-1*SUMIFS(LogFY18!L:L,LogFY18!A:A,"=*maui_county_fire*"),-1*SUMIFS(LogFY18!N:N,LogFY18!A:A,"=*maui_county_fire*"))</f>
        <v>5</v>
      </c>
      <c r="AF20" s="7">
        <f t="shared" si="41"/>
        <v>6.3291139240506333E-2</v>
      </c>
      <c r="AG20" s="7">
        <f t="shared" si="42"/>
        <v>-0.10088796523710561</v>
      </c>
      <c r="AH20">
        <f>ROUND(SUMIFS(LogFY18!K:K,LogFY18!A:A,"=*maui_county_fire*")/SUMIFS(LogFY18!J:J,LogFY18!A:A,"=*maui_county_fire*"),0)</f>
        <v>4</v>
      </c>
      <c r="AI20">
        <f>AH20-X20</f>
        <v>-5</v>
      </c>
      <c r="AJ20" s="1">
        <v>14</v>
      </c>
      <c r="AK20" s="1">
        <f t="shared" si="43"/>
        <v>-58</v>
      </c>
      <c r="AN20">
        <f>SUMIFS(LogFY19!D:D,LogFY19!A:A,"=*maui_county_fire*")</f>
        <v>160</v>
      </c>
      <c r="AO20">
        <f>SUM(SUMIFS(LogFY19!D:D,LogFY19!A:A,"=*maui_county_fire*"),-1*SUMIFS(LogFY19!L:L,LogFY19!A:A,"=*maui_county_fire*"),-1*SUMIFS(LogFY19!N:N,LogFY19!A:A,"=*maui_county_fire*"))</f>
        <v>8</v>
      </c>
      <c r="AP20" s="7">
        <f>AO20/AN20</f>
        <v>0.05</v>
      </c>
      <c r="AQ20" s="7">
        <f t="shared" si="44"/>
        <v>-1.3291139240506331E-2</v>
      </c>
      <c r="AR20">
        <f>ROUND(SUMIFS(LogFY19!K:K,LogFY19!A:A,"=*maui_county_fire*")/SUMIFS(LogFY19!J:J,LogFY19!A:A,"=*maui_county_fire*"),0)</f>
        <v>7</v>
      </c>
      <c r="AS20">
        <f>AR20-AH20</f>
        <v>3</v>
      </c>
      <c r="AT20" s="1">
        <v>84</v>
      </c>
      <c r="AU20" s="1">
        <f t="shared" si="45"/>
        <v>70</v>
      </c>
      <c r="AX20">
        <f>SUMIFS(LogFY20!D:D,LogFY20!A:A,"=*maui_county_fire*")</f>
        <v>126</v>
      </c>
      <c r="AY20">
        <f>SUM(SUMIFS(LogFY20!D:D,LogFY20!A:A,"=*maui_county_fire*"),-1*SUMIFS(LogFY20!L:L,LogFY20!A:A,"=*maui_county_fire*"),-1*SUMIFS(LogFY20!N:N,LogFY20!A:A,"=*maui_county_fire*"))</f>
        <v>11</v>
      </c>
      <c r="AZ20" s="7">
        <f t="shared" si="8"/>
        <v>8.7301587301587297E-2</v>
      </c>
      <c r="BA20" s="7">
        <f t="shared" si="9"/>
        <v>3.7301587301587294E-2</v>
      </c>
      <c r="BB20">
        <f>ROUND(SUMIFS(LogFY20!K:K,LogFY20!A:A,"=*maui_county_fire*")/SUMIFS(LogFY20!J:J,LogFY20!A:A,"=*maui_county_fire*"),0)</f>
        <v>6</v>
      </c>
      <c r="BC20">
        <f t="shared" si="10"/>
        <v>-1</v>
      </c>
      <c r="BD20" s="1">
        <v>82</v>
      </c>
      <c r="BE20" s="1">
        <f t="shared" si="11"/>
        <v>-2</v>
      </c>
      <c r="BH20">
        <f>SUMIFS(LogFY21!D:D,LogFY21!A:A,"=*maui_county_fire*")</f>
        <v>140</v>
      </c>
      <c r="BI20">
        <f>SUM(SUMIFS(LogFY21!D:D,LogFY21!A:A,"=*maui_county_fire*"),-1*SUMIFS(LogFY21!L:L,LogFY21!A:A,"=*maui_county_fire*"),-1*SUMIFS(LogFY21!N:N,LogFY21!A:A,"=*maui_county_fire*"))</f>
        <v>10</v>
      </c>
      <c r="BJ20" s="7">
        <f t="shared" si="35"/>
        <v>7.1428571428571425E-2</v>
      </c>
      <c r="BK20" s="7">
        <f t="shared" si="36"/>
        <v>-1.5873015873015872E-2</v>
      </c>
      <c r="BL20">
        <f>ROUND(SUMIFS(LogFY21!K:K,LogFY21!A:A,"=*maui_county_fire*")/SUMIFS(LogFY21!J:J,LogFY21!A:A,"=*maui_county_fire*"),0)</f>
        <v>7</v>
      </c>
      <c r="BM20">
        <f t="shared" si="37"/>
        <v>1</v>
      </c>
      <c r="BN20" s="1">
        <v>56</v>
      </c>
      <c r="BO20" s="1">
        <f t="shared" si="46"/>
        <v>-26</v>
      </c>
      <c r="BR20">
        <f>SUMIFS(LogFY22!D:D,LogFY22!A:A,"=*maui_county_fire*")</f>
        <v>299</v>
      </c>
      <c r="BS20">
        <f>SUM(SUMIFS(LogFY22!D:D,LogFY22!A:A,"=*maui_county_fire*"),-1*SUMIFS(LogFY22!L:L,LogFY22!A:A,"=*maui_county_fire*"),-1*SUMIFS(LogFY22!N:N,LogFY22!A:A,"=*maui_county_fire*"))</f>
        <v>10</v>
      </c>
      <c r="BT20" s="7">
        <f t="shared" si="16"/>
        <v>3.3444816053511704E-2</v>
      </c>
      <c r="BU20" s="7">
        <f t="shared" si="17"/>
        <v>-3.798375537505972E-2</v>
      </c>
      <c r="BV20">
        <f>ROUND(SUMIFS(LogFY22!K:K,LogFY22!A:A,"=*maui_county_fire*")/SUMIFS(LogFY22!J:J,LogFY22!A:A,"=*maui_county_fire*"),0)</f>
        <v>7</v>
      </c>
      <c r="BW20">
        <f t="shared" si="18"/>
        <v>0</v>
      </c>
      <c r="BX20" s="1">
        <v>39</v>
      </c>
      <c r="BY20" s="1">
        <f t="shared" si="47"/>
        <v>-17</v>
      </c>
      <c r="CB20">
        <f>SUMIFS(LogFY23!D:D,LogFY23!A:A,"=*maui_county_fire*")</f>
        <v>142</v>
      </c>
      <c r="CC20">
        <f>SUM(SUMIFS(LogFY23!D:D,LogFY23!A:A,"=*maui_county_fire*"),-1*SUMIFS(LogFY23!L:L,LogFY23!A:A,"=*maui_county_fire*"),-1*SUMIFS(LogFY23!N:N,LogFY23!A:A,"=*maui_county_fire*"))</f>
        <v>11</v>
      </c>
      <c r="CD20" s="7">
        <f t="shared" si="38"/>
        <v>7.746478873239436E-2</v>
      </c>
      <c r="CE20" s="7">
        <f t="shared" si="39"/>
        <v>4.4019972678882656E-2</v>
      </c>
      <c r="CF20">
        <f>ROUND(SUMIFS(LogFY23!K:K,LogFY23!A:A,"=*maui_county_fire*")/SUMIFS(LogFY23!J:J,LogFY23!A:A,"=*maui_county_fire*"),0)</f>
        <v>3</v>
      </c>
      <c r="CG20">
        <f t="shared" si="40"/>
        <v>-4</v>
      </c>
      <c r="CH20" s="1">
        <v>24</v>
      </c>
      <c r="CI20" s="1">
        <f t="shared" si="23"/>
        <v>-15</v>
      </c>
      <c r="CK20" s="7"/>
      <c r="CL20">
        <f>SUMIFS(LogFY24!D:D,LogFY24!A:A,"=*maui_county_fire*")</f>
        <v>263</v>
      </c>
      <c r="CM20">
        <f>SUM(SUMIFS(LogFY24!D:D,LogFY24!A:A,"=*maui_county_fire*"),-1*SUMIFS(LogFY24!L:L,LogFY24!A:A,"=*maui_county_fire*"),-1*SUMIFS(LogFY24!N:N,LogFY24!A:A,"=*maui_county_fire*"))</f>
        <v>173</v>
      </c>
      <c r="CN20" s="7">
        <f t="shared" si="24"/>
        <v>0.65779467680608361</v>
      </c>
      <c r="CO20" s="7">
        <f t="shared" si="25"/>
        <v>0.58032988807368924</v>
      </c>
      <c r="CP20">
        <f>ROUND(SUMIFS(LogFY24!K:K,LogFY24!A:A,"=*maui_county_fire*")/SUMIFS(LogFY24!J:J,LogFY24!A:A,"=*maui_county_fire*"),0)</f>
        <v>13</v>
      </c>
      <c r="CQ20">
        <f t="shared" si="26"/>
        <v>10</v>
      </c>
      <c r="CR20" s="1">
        <v>238</v>
      </c>
      <c r="CS20" s="1">
        <f t="shared" si="27"/>
        <v>214</v>
      </c>
    </row>
    <row r="21" spans="1:99" ht="16">
      <c r="A21" s="10">
        <f t="shared" si="28"/>
        <v>20</v>
      </c>
      <c r="B21" s="9" t="s">
        <v>17445</v>
      </c>
      <c r="C21">
        <f>SUMIFS(LogFY15!D:D,LogFY15!A:A,"=*kauai_county_fire*")</f>
        <v>18</v>
      </c>
      <c r="D21">
        <f>SUM(SUMIFS(LogFY15!D:D,LogFY15!A:A,"=*kauai_county_fire*"),-1*SUMIFS(LogFY15!L:L,LogFY15!A:A,"=*kauai_county_fire*"),-1*SUMIFS(LogFY15!N:N,LogFY15!A:A,"=*kauai_county_fire*"))</f>
        <v>0</v>
      </c>
      <c r="E21" s="7">
        <f t="shared" si="34"/>
        <v>0</v>
      </c>
      <c r="F21">
        <f>ROUND(SUMIFS(LogFY15!K:K,LogFY15!A:A,"=*kauai_county_fire*")/SUMIFS(LogFY15!J:J,LogFY15!A:A,"=*kauai_county_fire*"),0)</f>
        <v>4</v>
      </c>
      <c r="G21" s="1">
        <v>21</v>
      </c>
      <c r="J21">
        <f>SUMIFS(LogFY16!D:D,LogFY16!A:A,"=*kauai_county_fire*")</f>
        <v>5</v>
      </c>
      <c r="K21">
        <f>SUM(SUMIFS(LogFY16!D:D,LogFY16!A:A,"=*kauai_county_fire*"),-1*SUMIFS(LogFY16!L:L,LogFY16!A:A,"=*kauai_county_fire*"),-1*SUMIFS(LogFY16!N:N,LogFY16!A:A,"=*kauai_county_fire*"))</f>
        <v>1</v>
      </c>
      <c r="L21" s="7">
        <f>K21/J21</f>
        <v>0.2</v>
      </c>
      <c r="M21" s="7">
        <f>L21-E21</f>
        <v>0.2</v>
      </c>
      <c r="N21">
        <f>ROUND(SUMIFS(LogFY16!K:K,LogFY16!A:A,"=*kauai_county_fire*")/SUMIFS(LogFY16!J:J,LogFY16!A:A,"=*kauai_county_fire*"),0)</f>
        <v>5</v>
      </c>
      <c r="O21">
        <f>N21-F21</f>
        <v>1</v>
      </c>
      <c r="P21" s="1">
        <v>9</v>
      </c>
      <c r="Q21" s="1">
        <f>P21-G21</f>
        <v>-12</v>
      </c>
      <c r="T21">
        <f>SUMIFS(LogFY17!D:D,LogFY17!A:A,"=*kauai_county_fire*")</f>
        <v>31</v>
      </c>
      <c r="U21">
        <f>SUM(SUMIFS(LogFY17!D:D,LogFY17!A:A,"=*kauai_county_fire*"),-1*SUMIFS(LogFY17!L:L,LogFY17!A:A,"=*kauai_county_fire*"),-1*SUMIFS(LogFY17!N:N,LogFY17!A:A,"=*kauai_county_fire*"))</f>
        <v>2</v>
      </c>
      <c r="V21" s="7">
        <f>U21/T21</f>
        <v>6.4516129032258063E-2</v>
      </c>
      <c r="W21" s="7">
        <f>V21-L21</f>
        <v>-0.13548387096774195</v>
      </c>
      <c r="X21">
        <f>ROUND(SUMIFS(LogFY17!K:K,LogFY17!A:A,"=*kauai_county_fire*")/SUMIFS(LogFY17!J:J,LogFY17!A:A,"=*kauai_county_fire*"),0)</f>
        <v>6</v>
      </c>
      <c r="Y21">
        <f>X21-N21</f>
        <v>1</v>
      </c>
      <c r="Z21" s="1">
        <v>32</v>
      </c>
      <c r="AA21" s="1">
        <f>Z21-P21</f>
        <v>23</v>
      </c>
      <c r="AD21">
        <f>SUMIFS(LogFY18!D:D,LogFY18!A:A,"=*kauai_county_fire*")</f>
        <v>35</v>
      </c>
      <c r="AE21">
        <f>SUM(SUMIFS(LogFY18!D:D,LogFY18!A:A,"=*kauai_county_fire*"),-1*SUMIFS(LogFY18!L:L,LogFY18!A:A,"=*kauai_county_fire*"),-1*SUMIFS(LogFY18!N:N,LogFY18!A:A,"=*kauai_county_fire*"))</f>
        <v>0</v>
      </c>
      <c r="AF21" s="7">
        <f t="shared" si="41"/>
        <v>0</v>
      </c>
      <c r="AG21" s="7">
        <f t="shared" si="42"/>
        <v>-6.4516129032258063E-2</v>
      </c>
      <c r="AH21">
        <f>ROUND(SUMIFS(LogFY18!K:K,LogFY18!A:A,"=*kauai_county_fire*")/SUMIFS(LogFY18!J:J,LogFY18!A:A,"=*kauai_county_fire*"),0)</f>
        <v>6</v>
      </c>
      <c r="AI21">
        <f>AH21-X21</f>
        <v>0</v>
      </c>
      <c r="AJ21" s="1">
        <v>19</v>
      </c>
      <c r="AK21" s="1">
        <f t="shared" si="43"/>
        <v>-13</v>
      </c>
      <c r="AN21">
        <f>SUMIFS(LogFY19!D:D,LogFY19!A:A,"=*kauai_county_fire*")</f>
        <v>42</v>
      </c>
      <c r="AO21">
        <f>SUM(SUMIFS(LogFY19!D:D,LogFY19!A:A,"=*kauai_county_fire*"),-1*SUMIFS(LogFY19!L:L,LogFY19!A:A,"=*kauai_county_fire*"),-1*SUMIFS(LogFY19!N:N,LogFY19!A:A,"=*kauai_county_fire*"))</f>
        <v>1</v>
      </c>
      <c r="AP21" s="7">
        <f>AO21/AN21</f>
        <v>2.3809523809523808E-2</v>
      </c>
      <c r="AQ21" s="7">
        <f t="shared" si="44"/>
        <v>2.3809523809523808E-2</v>
      </c>
      <c r="AR21">
        <f>ROUND(SUMIFS(LogFY19!K:K,LogFY19!A:A,"=*kauai_county_fire*")/SUMIFS(LogFY19!J:J,LogFY19!A:A,"=*kauai_county_fire*"),0)</f>
        <v>8</v>
      </c>
      <c r="AS21">
        <f>AR21-AH21</f>
        <v>2</v>
      </c>
      <c r="AT21" s="1">
        <v>28</v>
      </c>
      <c r="AU21" s="1">
        <f t="shared" si="45"/>
        <v>9</v>
      </c>
      <c r="AX21">
        <f>SUMIFS(LogFY20!D:D,LogFY20!A:A,"=*kauai_county_fire*")</f>
        <v>49</v>
      </c>
      <c r="AY21">
        <f>SUM(SUMIFS(LogFY20!D:D,LogFY20!A:A,"=*kauai_county_fire*"),-1*SUMIFS(LogFY20!L:L,LogFY20!A:A,"=*kauai_county_fire*"),-1*SUMIFS(LogFY20!N:N,LogFY20!A:A,"=*kauai_county_fire*"))</f>
        <v>11</v>
      </c>
      <c r="AZ21" s="7">
        <f t="shared" si="8"/>
        <v>0.22448979591836735</v>
      </c>
      <c r="BA21" s="7">
        <f t="shared" si="9"/>
        <v>0.20068027210884354</v>
      </c>
      <c r="BB21">
        <f>ROUND(SUMIFS(LogFY20!K:K,LogFY20!A:A,"=*kauai_county_fire*")/SUMIFS(LogFY20!J:J,LogFY20!A:A,"=*kauai_county_fire*"),0)</f>
        <v>5</v>
      </c>
      <c r="BC21">
        <f t="shared" si="10"/>
        <v>-3</v>
      </c>
      <c r="BD21" s="1">
        <v>12</v>
      </c>
      <c r="BE21" s="1">
        <f t="shared" si="11"/>
        <v>-16</v>
      </c>
      <c r="BH21">
        <f>SUMIFS(LogFY21!D:D,LogFY21!A:A,"=*kauai_county_fire*")</f>
        <v>33</v>
      </c>
      <c r="BI21">
        <f>SUM(SUMIFS(LogFY21!D:D,LogFY21!A:A,"=*kauai_county_fire*"),-1*SUMIFS(LogFY21!L:L,LogFY21!A:A,"=*kauai_county_fire*"),-1*SUMIFS(LogFY21!N:N,LogFY21!A:A,"=*kauai_county_fire*"))</f>
        <v>4</v>
      </c>
      <c r="BJ21" s="7">
        <f t="shared" si="35"/>
        <v>0.12121212121212122</v>
      </c>
      <c r="BK21" s="7">
        <f t="shared" si="36"/>
        <v>-0.10327767470624613</v>
      </c>
      <c r="BL21">
        <f>ROUND(SUMIFS(LogFY21!K:K,LogFY21!A:A,"=*kauai_county_fire*")/SUMIFS(LogFY21!J:J,LogFY21!A:A,"=*kauai_county_fire*"),0)</f>
        <v>10</v>
      </c>
      <c r="BM21">
        <f t="shared" si="37"/>
        <v>5</v>
      </c>
      <c r="BN21" s="1">
        <v>28</v>
      </c>
      <c r="BO21" s="1">
        <f t="shared" si="46"/>
        <v>16</v>
      </c>
      <c r="BR21">
        <f>SUMIFS(LogFY22!D:D,LogFY22!A:A,"=*kauai_county_fire*")</f>
        <v>33</v>
      </c>
      <c r="BS21">
        <f>SUM(SUMIFS(LogFY22!D:D,LogFY22!A:A,"=*kauai_county_fire*"),-1*SUMIFS(LogFY22!L:L,LogFY22!A:A,"=*kauai_county_fire*"),-1*SUMIFS(LogFY22!N:N,LogFY22!A:A,"=*kauai_county_fire*"))</f>
        <v>6</v>
      </c>
      <c r="BT21" s="7">
        <f t="shared" si="16"/>
        <v>0.18181818181818182</v>
      </c>
      <c r="BU21" s="7">
        <f t="shared" si="17"/>
        <v>6.0606060606060608E-2</v>
      </c>
      <c r="BV21">
        <f>ROUND(SUMIFS(LogFY22!K:K,LogFY22!A:A,"=*kauai_county_fire*")/SUMIFS(LogFY22!J:J,LogFY22!A:A,"=*kauai_county_fire*"),0)</f>
        <v>4</v>
      </c>
      <c r="BW21">
        <f t="shared" si="18"/>
        <v>-6</v>
      </c>
      <c r="BX21" s="1">
        <v>22</v>
      </c>
      <c r="BY21" s="1">
        <f t="shared" si="47"/>
        <v>-6</v>
      </c>
      <c r="CB21">
        <f>SUMIFS(LogFY23!D:D,LogFY23!A:A,"=*kauai_county_fire*")</f>
        <v>64</v>
      </c>
      <c r="CC21">
        <f>SUM(SUMIFS(LogFY23!D:D,LogFY23!A:A,"=*kauai_county_fire*"),-1*SUMIFS(LogFY23!L:L,LogFY23!A:A,"=*kauai_county_fire*"),-1*SUMIFS(LogFY23!N:N,LogFY23!A:A,"=*kauai_county_fire*"))</f>
        <v>8</v>
      </c>
      <c r="CD21" s="7">
        <f t="shared" si="38"/>
        <v>0.125</v>
      </c>
      <c r="CE21" s="7">
        <f t="shared" si="39"/>
        <v>-5.6818181818181823E-2</v>
      </c>
      <c r="CF21">
        <f>ROUND(SUMIFS(LogFY23!K:K,LogFY23!A:A,"=*kauai_county_fire*")/SUMIFS(LogFY23!J:J,LogFY23!A:A,"=*kauai_county_fire*"),0)</f>
        <v>5</v>
      </c>
      <c r="CG21">
        <f t="shared" si="40"/>
        <v>1</v>
      </c>
      <c r="CH21" s="1">
        <v>37</v>
      </c>
      <c r="CI21" s="1">
        <f t="shared" si="23"/>
        <v>15</v>
      </c>
      <c r="CK21" s="7"/>
      <c r="CL21">
        <f>SUMIFS(LogFY24!D:D,LogFY24!A:A,"=*kauai_county_fire*")</f>
        <v>70</v>
      </c>
      <c r="CM21">
        <f>SUM(SUMIFS(LogFY24!D:D,LogFY24!A:A,"=*kauai_county_fire*"),-1*SUMIFS(LogFY24!L:L,LogFY24!A:A,"=*kauai_county_fire*"),-1*SUMIFS(LogFY24!N:N,LogFY24!A:A,"=*kauai_county_fire*"))</f>
        <v>21</v>
      </c>
      <c r="CN21" s="7">
        <f t="shared" si="24"/>
        <v>0.3</v>
      </c>
      <c r="CO21" s="7">
        <f t="shared" si="25"/>
        <v>0.17499999999999999</v>
      </c>
      <c r="CP21">
        <f>ROUND(SUMIFS(LogFY24!K:K,LogFY24!A:A,"=*kauai_county_fire*")/SUMIFS(LogFY24!J:J,LogFY24!A:A,"=*kauai_county_fire*"),0)</f>
        <v>4</v>
      </c>
      <c r="CQ21">
        <f t="shared" si="26"/>
        <v>-1</v>
      </c>
      <c r="CR21" s="1">
        <v>28</v>
      </c>
      <c r="CS21" s="1">
        <f t="shared" si="27"/>
        <v>-9</v>
      </c>
    </row>
    <row r="22" spans="1:99" ht="16">
      <c r="A22" s="10">
        <f t="shared" si="28"/>
        <v>21</v>
      </c>
      <c r="B22" s="9" t="s">
        <v>17428</v>
      </c>
      <c r="C22">
        <f>SUMIFS(LogFY15!D:D,LogFY15!A:A,"=*hawaii_county_fire*")</f>
        <v>1</v>
      </c>
      <c r="D22">
        <f>SUM(SUMIFS(LogFY15!D:D,LogFY15!A:A,"=*hawaii_county_fire*"),-1*SUMIFS(LogFY15!L:L,LogFY15!A:A,"=*hawaii_county_fire*"),-1*SUMIFS(LogFY15!N:N,LogFY15!A:A,"=*hawaii_county_fire*"))</f>
        <v>0</v>
      </c>
      <c r="E22" s="7">
        <f t="shared" si="34"/>
        <v>0</v>
      </c>
      <c r="F22">
        <f>ROUND(SUMIFS(LogFY15!K:K,LogFY15!A:A,"=*hawaii_county_fire*")/SUMIFS(LogFY15!J:J,LogFY15!A:A,"=*hawaii_county_fire*"),0)</f>
        <v>10</v>
      </c>
      <c r="G22" s="1">
        <v>10</v>
      </c>
      <c r="J22">
        <f>SUMIFS(LogFY16!D:D,LogFY16!A:A,"=*hawaii_county_fire*")</f>
        <v>0</v>
      </c>
      <c r="K22">
        <f>SUM(SUMIFS(LogFY16!D:D,LogFY16!A:A,"=*hawaii_county_fire*"),-1*SUMIFS(LogFY16!L:L,LogFY16!A:A,"=*hawaii_county_fire*"),-1*SUMIFS(LogFY16!N:N,LogFY16!A:A,"=*hawaii_county_fire*"))</f>
        <v>0</v>
      </c>
      <c r="L22" s="7"/>
      <c r="M22" s="7"/>
      <c r="P22" s="1"/>
      <c r="Q22" s="1"/>
      <c r="T22">
        <f>SUMIFS(LogFY17!D:D,LogFY17!A:A,"=*hawaii_county_fire*")</f>
        <v>0</v>
      </c>
      <c r="U22">
        <f>SUM(SUMIFS(LogFY17!D:D,LogFY17!A:A,"=*hawaii_county_fire*"),-1*SUMIFS(LogFY17!L:L,LogFY17!A:A,"=*hawaii_county_fire*"),-1*SUMIFS(LogFY17!N:N,LogFY17!A:A,"=*hawaii_county_fire*"))</f>
        <v>0</v>
      </c>
      <c r="V22" s="7"/>
      <c r="W22" s="7"/>
      <c r="Z22" s="1"/>
      <c r="AA22" s="1"/>
      <c r="AD22">
        <f>SUMIFS(LogFY18!D:D,LogFY18!A:A,"=*hawaii_county_fire*")</f>
        <v>1</v>
      </c>
      <c r="AE22">
        <f>SUM(SUMIFS(LogFY18!D:D,LogFY18!A:A,"=*hawaii_county_fire*"),-1*SUMIFS(LogFY18!L:L,LogFY18!A:A,"=*hawaii_county_fire*"),-1*SUMIFS(LogFY18!N:N,LogFY18!A:A,"=*hawaii_county_fire*"))</f>
        <v>0</v>
      </c>
      <c r="AF22" s="7">
        <f t="shared" si="41"/>
        <v>0</v>
      </c>
      <c r="AG22" s="7">
        <f t="shared" si="42"/>
        <v>0</v>
      </c>
      <c r="AJ22" s="1">
        <v>149</v>
      </c>
      <c r="AK22" s="1">
        <f t="shared" si="43"/>
        <v>149</v>
      </c>
      <c r="AN22">
        <f>SUMIFS(LogFY19!D:D,LogFY19!A:A,"=*hawaii_county_fire*")</f>
        <v>0</v>
      </c>
      <c r="AO22">
        <f>SUM(SUMIFS(LogFY19!D:D,LogFY19!A:A,"=*hawaii_county_fire*"),-1*SUMIFS(LogFY19!L:L,LogFY19!A:A,"=*hawaii_county_fire*"),-1*SUMIFS(LogFY19!N:N,LogFY19!A:A,"=*hawaii_county_fire*"))</f>
        <v>0</v>
      </c>
      <c r="AP22" s="7"/>
      <c r="AQ22" s="7">
        <f t="shared" si="44"/>
        <v>0</v>
      </c>
      <c r="AT22" s="1"/>
      <c r="AU22" s="1">
        <f t="shared" si="45"/>
        <v>-149</v>
      </c>
      <c r="AX22">
        <f>SUMIFS(LogFY20!D:D,LogFY20!A:A,"=*hawaii_county_fire*")</f>
        <v>0</v>
      </c>
      <c r="AY22">
        <f>SUM(SUMIFS(LogFY20!D:D,LogFY20!A:A,"=*hawaii_county_fire*"),-1*SUMIFS(LogFY20!L:L,LogFY20!A:A,"=*hawaii_county_fire*"),-1*SUMIFS(LogFY20!N:N,LogFY20!A:A,"=*hawaii_county_fire*"))</f>
        <v>0</v>
      </c>
      <c r="AZ22" s="7"/>
      <c r="BA22" s="7">
        <f t="shared" si="9"/>
        <v>0</v>
      </c>
      <c r="BD22" s="1"/>
      <c r="BE22" s="1">
        <f t="shared" si="11"/>
        <v>0</v>
      </c>
      <c r="BH22">
        <f>SUMIFS(LogFY21!D:D,LogFY21!A:A,"=*hawaii_county_fire*")</f>
        <v>0</v>
      </c>
      <c r="BI22">
        <f>SUM(SUMIFS(LogFY21!D:D,LogFY21!A:A,"=*hawaii_county_fire*"),-1*SUMIFS(LogFY21!L:L,LogFY21!A:A,"=*hawaii_county_fire*"),-1*SUMIFS(LogFY21!N:N,LogFY21!A:A,"=*hawaii_county_fire*"))</f>
        <v>0</v>
      </c>
      <c r="BJ22" s="7"/>
      <c r="BK22" s="7">
        <f t="shared" si="36"/>
        <v>0</v>
      </c>
      <c r="BN22" s="1"/>
      <c r="BO22" s="1">
        <f t="shared" si="46"/>
        <v>0</v>
      </c>
      <c r="BR22">
        <f>SUMIFS(LogFY22!D:D,LogFY22!A:A,"=*hawaii_county_fire*")</f>
        <v>0</v>
      </c>
      <c r="BS22">
        <f>SUM(SUMIFS(LogFY22!D:D,LogFY22!A:A,"=*hawaii_county_fire*"),-1*SUMIFS(LogFY22!L:L,LogFY22!A:A,"=*hawaii_county_fire*"),-1*SUMIFS(LogFY22!N:N,LogFY22!A:A,"=*hawaii_county_fire*"))</f>
        <v>0</v>
      </c>
      <c r="BT22" s="7"/>
      <c r="BU22" s="7">
        <f t="shared" si="17"/>
        <v>0</v>
      </c>
      <c r="BX22" s="1">
        <v>0</v>
      </c>
      <c r="BY22" s="1">
        <f t="shared" si="47"/>
        <v>0</v>
      </c>
      <c r="CB22">
        <f>SUMIFS(LogFY23!D:D,LogFY23!A:A,"=*hawaii_county_fire*")</f>
        <v>226</v>
      </c>
      <c r="CC22">
        <f>SUM(SUMIFS(LogFY23!D:D,LogFY23!A:A,"=*hawaii_county_fire*"),-1*SUMIFS(LogFY23!L:L,LogFY23!A:A,"=*hawaii_county_fire*"),-1*SUMIFS(LogFY23!N:N,LogFY23!A:A,"=*hawaii_county_fire*"))</f>
        <v>57</v>
      </c>
      <c r="CD22" s="7"/>
      <c r="CE22" s="7">
        <f t="shared" si="39"/>
        <v>0</v>
      </c>
      <c r="CH22" s="1">
        <v>223</v>
      </c>
      <c r="CI22" s="1">
        <f t="shared" si="23"/>
        <v>223</v>
      </c>
      <c r="CK22" s="7"/>
      <c r="CL22">
        <f>SUMIFS(LogFY24!D:D,LogFY24!A:A,"=*hawaii_county_fire*")</f>
        <v>193</v>
      </c>
      <c r="CM22">
        <f>SUM(SUMIFS(LogFY24!D:D,LogFY24!A:A,"=*hawaii_county_fire*"),-1*SUMIFS(LogFY24!L:L,LogFY24!A:A,"=*hawaii_county_fire*"),-1*SUMIFS(LogFY24!N:N,LogFY24!A:A,"=*hawaii_county_fire*"))</f>
        <v>71</v>
      </c>
      <c r="CN22" s="7">
        <f t="shared" si="24"/>
        <v>0.36787564766839376</v>
      </c>
      <c r="CO22" s="7">
        <f t="shared" si="25"/>
        <v>0.36787564766839376</v>
      </c>
      <c r="CP22">
        <f>ROUND(SUMIFS(LogFY24!K:K,LogFY24!A:A,"=*hawaii_county_fire*")/SUMIFS(LogFY24!J:J,LogFY24!A:A,"=*hawaii_county_fire*"),0)</f>
        <v>8</v>
      </c>
      <c r="CQ22">
        <f t="shared" si="26"/>
        <v>8</v>
      </c>
      <c r="CR22" s="1">
        <v>114</v>
      </c>
      <c r="CS22" s="1">
        <f t="shared" si="27"/>
        <v>-109</v>
      </c>
    </row>
    <row r="23" spans="1:99" ht="16">
      <c r="A23" s="10">
        <f t="shared" si="28"/>
        <v>22</v>
      </c>
      <c r="B23" s="1" t="s">
        <v>16810</v>
      </c>
      <c r="C23">
        <f>SUMIFS(LogFY15!D:D,LogFY15!B:B,"=*liquor*")</f>
        <v>304</v>
      </c>
      <c r="D23">
        <f>SUM(SUMIFS(LogFY15!D:D,LogFY15!B:B,"=*liquor*"),-1*SUMIFS(LogFY15!L:L,LogFY15!B:B,"=*liquor*"),-1*SUMIFS(LogFY15!N:N,LogFY15!B:B,"=*liquor*"))</f>
        <v>43</v>
      </c>
      <c r="E23" s="7">
        <f t="shared" si="34"/>
        <v>0.14144736842105263</v>
      </c>
      <c r="F23">
        <f>ROUND(SUMIFS(LogFY15!K:K,LogFY15!B:B,"=*liquor*")/SUMIFS(LogFY15!J:J,LogFY15!B:B,"=*liquor*"),0)</f>
        <v>3</v>
      </c>
      <c r="G23" s="1">
        <v>71</v>
      </c>
      <c r="H23">
        <f>COUNTIFS(All!F:F,"=liq*", All!B:B, "&gt;=7/1/2014", All!B:B,"&lt;=6/30/2015", All!E:E,"=U*",All!E:E,"&lt;&gt;UIPA*",All!E:E,"&lt;&gt;*RFO*",All!E:E,"&lt;&gt;*TRNG*")</f>
        <v>0</v>
      </c>
      <c r="I23" s="7">
        <f>ROUND(H23/C23,3)</f>
        <v>0</v>
      </c>
      <c r="J23">
        <f>SUMIFS(LogFY16!D:D,LogFY16!B:B,"=*liquor*")</f>
        <v>355</v>
      </c>
      <c r="K23">
        <f>SUM(SUMIFS(LogFY16!D:D,LogFY16!B:B,"=*liquor*"),-1*SUMIFS(LogFY16!L:L,LogFY16!B:B,"=*liquor*"),-1*SUMIFS(LogFY16!N:N,LogFY16!B:B,"=*liquor*"))</f>
        <v>18</v>
      </c>
      <c r="L23" s="7">
        <f>K23/J23</f>
        <v>5.0704225352112678E-2</v>
      </c>
      <c r="M23" s="7">
        <f>L23-E23</f>
        <v>-9.0743143068939949E-2</v>
      </c>
      <c r="N23">
        <f>ROUND(SUMIFS(LogFY16!K:K,LogFY16!B:B,"=*liquor*")/SUMIFS(LogFY16!J:J,LogFY16!B:B,"=*liquor*"),0)</f>
        <v>3</v>
      </c>
      <c r="O23">
        <f>N23-F23</f>
        <v>0</v>
      </c>
      <c r="P23" s="1">
        <v>25</v>
      </c>
      <c r="Q23" s="1">
        <f>P23-G23</f>
        <v>-46</v>
      </c>
      <c r="R23">
        <f>COUNTIFS(All!F:F,"=liq*", All!B:B, "&gt;=7/1/2015", All!B:B,"&lt;=6/30/2016", All!E:E,"=U*",All!E:E,"&lt;&gt;UIPA*",All!E:E,"&lt;&gt;*RFO*",All!E:E,"&lt;&gt;*TRNG*")</f>
        <v>0</v>
      </c>
      <c r="S23" s="7">
        <f>ROUND(R23/(J23+C23),3)</f>
        <v>0</v>
      </c>
      <c r="T23">
        <f>SUMIFS(LogFY17!D:D,LogFY17!B:B,"=*liquor*")</f>
        <v>440</v>
      </c>
      <c r="U23">
        <f>SUM(SUMIFS(LogFY17!D:D,LogFY17!B:B,"=*liquor*"),-1*SUMIFS(LogFY17!L:L,LogFY17!B:B,"=*liquor*"),-1*SUMIFS(LogFY17!N:N,LogFY17!B:B,"=*liquor*"))</f>
        <v>38</v>
      </c>
      <c r="V23" s="7">
        <f>U23/T23</f>
        <v>8.6363636363636365E-2</v>
      </c>
      <c r="W23" s="7">
        <f>V23-L23</f>
        <v>3.5659411011523687E-2</v>
      </c>
      <c r="X23">
        <f>ROUND(SUMIFS(LogFY17!K:K,LogFY17!B:B,"=*liquor*")/SUMIFS(LogFY17!J:J,LogFY17!B:B,"=*liquor*"),0)</f>
        <v>4</v>
      </c>
      <c r="Y23">
        <f>X23-N23</f>
        <v>1</v>
      </c>
      <c r="Z23" s="1">
        <v>40</v>
      </c>
      <c r="AA23" s="1">
        <f>Z23-P23</f>
        <v>15</v>
      </c>
      <c r="AB23">
        <f>COUNTIFS(All!F:F,"=liq*", All!B:B, "&gt;=7/1/2016", All!B:B,"&lt;=6/30/2017", All!E:E,"=U*",All!E:E,"&lt;&gt;UIPA*",All!E:E,"&lt;&gt;*RFO*",All!E:E,"&lt;&gt;*TRNG*")</f>
        <v>0</v>
      </c>
      <c r="AC23" s="7">
        <f>ROUND(AB23/(T23+J23),3)</f>
        <v>0</v>
      </c>
      <c r="AD23">
        <f>SUMIFS(LogFY18!D:D,LogFY18!B:B,"=*liquor*")</f>
        <v>434</v>
      </c>
      <c r="AE23">
        <f>SUM(SUMIFS(LogFY18!D:D,LogFY18!B:B,"=*liquor*"),-1*SUMIFS(LogFY18!L:L,LogFY18!B:B,"=*liquor*"),-1*SUMIFS(LogFY18!N:N,LogFY18!B:B,"=*liquor*"))</f>
        <v>33</v>
      </c>
      <c r="AF23" s="7">
        <f t="shared" si="41"/>
        <v>7.6036866359447008E-2</v>
      </c>
      <c r="AG23" s="7">
        <f t="shared" si="42"/>
        <v>-1.0326770004189356E-2</v>
      </c>
      <c r="AH23">
        <f>ROUND(SUMIFS(LogFY18!K:K,LogFY18!B:B,"=*liquor*")/SUMIFS(LogFY18!J:J,LogFY18!B:B,"=*liquor*"),0)</f>
        <v>0</v>
      </c>
      <c r="AI23">
        <f>AH23-X23</f>
        <v>-4</v>
      </c>
      <c r="AJ23" s="1">
        <v>41</v>
      </c>
      <c r="AK23" s="1">
        <f t="shared" si="43"/>
        <v>1</v>
      </c>
      <c r="AL23">
        <f>COUNTIFS(All!F:F,"=liq*", All!B:B, "&gt;=7/1/2017", All!B:B,"&lt;=6/30/2018", All!E:E,"=U*",All!E:E,"&lt;&gt;UIPA*",All!E:E,"&lt;&gt;*RFO*",All!E:E,"&lt;&gt;*TRNG*")</f>
        <v>0</v>
      </c>
      <c r="AM23" s="7">
        <f>ROUND(AL23/(AD23+T23),3)</f>
        <v>0</v>
      </c>
      <c r="AN23">
        <f>SUMIFS(LogFY19!D:D,LogFY19!B:B,"=*liquor*")</f>
        <v>398</v>
      </c>
      <c r="AO23">
        <f>SUM(SUMIFS(LogFY19!D:D,LogFY19!B:B,"=*liquor*"),-1*SUMIFS(LogFY19!L:L,LogFY19!B:B,"=*liquor*"),-1*SUMIFS(LogFY19!N:N,LogFY19!B:B,"=*liquor*"))</f>
        <v>31</v>
      </c>
      <c r="AP23" s="7">
        <f>AO23/AN23</f>
        <v>7.7889447236180909E-2</v>
      </c>
      <c r="AQ23" s="7">
        <f t="shared" si="44"/>
        <v>1.8525808767339003E-3</v>
      </c>
      <c r="AR23">
        <f>ROUND(SUMIFS(LogFY19!K:K,LogFY19!B:B,"=*liquor*")/SUMIFS(LogFY19!J:J,LogFY19!B:B,"=*liquor*"),0)</f>
        <v>5</v>
      </c>
      <c r="AS23">
        <f>AR23-AH23</f>
        <v>5</v>
      </c>
      <c r="AT23" s="1">
        <v>69</v>
      </c>
      <c r="AU23" s="1">
        <f t="shared" si="45"/>
        <v>28</v>
      </c>
      <c r="AV23">
        <f>COUNTIFS(All!F:F,"=liq*", All!B:B, "&gt;=7/1/2018", All!B:B,"&lt;=6/30/2019", All!E:E,"=U*",All!E:E,"&lt;&gt;UIPA*",All!E:E,"&lt;&gt;*RFO*",All!E:E,"&lt;&gt;*TRNG*")</f>
        <v>0</v>
      </c>
      <c r="AW23" s="7">
        <f>ROUND(AV23/(AN23+AD23),3)</f>
        <v>0</v>
      </c>
      <c r="AX23">
        <f>SUMIFS(LogFY20!D:D,LogFY20!B:B,"=*liquor*")</f>
        <v>215</v>
      </c>
      <c r="AY23">
        <f>SUM(SUMIFS(LogFY20!D:D,LogFY20!B:B,"=*liquor*"),-1*SUMIFS(LogFY20!L:L,LogFY20!B:B,"=*liquor*"),-1*SUMIFS(LogFY20!N:N,LogFY20!B:B,"=*liquor*"))</f>
        <v>-89</v>
      </c>
      <c r="AZ23" s="7">
        <f>AY23/AX23</f>
        <v>-0.413953488372093</v>
      </c>
      <c r="BA23" s="7">
        <f t="shared" si="9"/>
        <v>-0.49184293560827391</v>
      </c>
      <c r="BB23">
        <f>ROUND(SUMIFS(LogFY20!K:K,LogFY20!B:B,"=*liquor*")/SUMIFS(LogFY20!J:J,LogFY20!B:B,"=*liquor*"),0)</f>
        <v>6</v>
      </c>
      <c r="BC23">
        <f>BB23-AR23</f>
        <v>1</v>
      </c>
      <c r="BD23" s="1">
        <v>40</v>
      </c>
      <c r="BE23" s="1">
        <f t="shared" si="11"/>
        <v>-29</v>
      </c>
      <c r="BF23">
        <f>COUNTIFS(All!F:F,"=liq*", All!B:B, "&gt;=7/1/2019", All!B:B,"&lt;=6/30/2020", All!E:E,"=U*",All!E:E,"&lt;&gt;UIPA*",All!E:E,"&lt;&gt;*RFO*",All!E:E,"&lt;&gt;*TRNG*")</f>
        <v>0</v>
      </c>
      <c r="BG23" s="7">
        <f>ROUND(BF23/(AX23+AN23),3)</f>
        <v>0</v>
      </c>
      <c r="BH23">
        <f>SUMIFS(LogFY21!D:D,LogFY21!B:B,"=*liquor*")</f>
        <v>293</v>
      </c>
      <c r="BI23">
        <f>SUM(SUMIFS(LogFY21!D:D,LogFY21!B:B,"=*liquor*"),-1*SUMIFS(LogFY21!L:L,LogFY21!B:B,"=*liquor*"),-1*SUMIFS(LogFY21!N:N,LogFY21!B:B,"=*liquor*"))</f>
        <v>22</v>
      </c>
      <c r="BJ23" s="7">
        <f>BI23/BH23</f>
        <v>7.5085324232081918E-2</v>
      </c>
      <c r="BK23" s="7">
        <f t="shared" si="36"/>
        <v>0.48903881260417492</v>
      </c>
      <c r="BL23">
        <f>ROUND(SUMIFS(LogFY21!K:K,LogFY21!B:B,"=*liquor*")/SUMIFS(LogFY21!J:J,LogFY21!B:B,"=*liquor*"),0)</f>
        <v>4</v>
      </c>
      <c r="BM23">
        <f>BL23-BB23</f>
        <v>-2</v>
      </c>
      <c r="BN23" s="1">
        <v>29</v>
      </c>
      <c r="BO23" s="1">
        <f t="shared" si="46"/>
        <v>-11</v>
      </c>
      <c r="BP23">
        <f>COUNTIFS(All!F:F,"=liq*", All!B:B, "&gt;=7/1/2020", All!B:B,"&lt;=6/30/2021", All!E:E,"=U*",All!E:E,"&lt;&gt;UIPA*",All!E:E,"&lt;&gt;*RFO*",All!E:E,"&lt;&gt;*TRNG*")</f>
        <v>0</v>
      </c>
      <c r="BQ23" s="7">
        <f>ROUND(BP23/(BH23+AX23),3)</f>
        <v>0</v>
      </c>
      <c r="BR23">
        <f>SUMIFS(LogFY22!D:D,LogFY22!B:B,"=*liquor*")</f>
        <v>280</v>
      </c>
      <c r="BS23">
        <f>SUM(SUMIFS(LogFY22!D:D,LogFY22!B:B,"=*liquor*"),-1*SUMIFS(LogFY22!L:L,LogFY22!B:B,"=*liquor*"),-1*SUMIFS(LogFY22!N:N,LogFY22!B:B,"=*liquor*"))</f>
        <v>18</v>
      </c>
      <c r="BT23" s="7">
        <f t="shared" ref="BT23:BT31" si="48">BS23/BR23</f>
        <v>6.4285714285714279E-2</v>
      </c>
      <c r="BU23" s="7">
        <f t="shared" si="17"/>
        <v>-1.0799609946367639E-2</v>
      </c>
      <c r="BV23">
        <f>ROUND(SUMIFS(LogFY22!K:K,LogFY22!B:B,"=*liquor*")/SUMIFS(LogFY22!J:J,LogFY22!B:B,"=*liquor*"),0)</f>
        <v>4</v>
      </c>
      <c r="BW23">
        <f t="shared" ref="BW23:BW47" si="49">BV23-BL23</f>
        <v>0</v>
      </c>
      <c r="BX23" s="1">
        <v>28</v>
      </c>
      <c r="BY23" s="1">
        <f t="shared" si="47"/>
        <v>-1</v>
      </c>
      <c r="BZ23">
        <f>COUNTIFS(All!F:F,"=liq*", All!B:B, "&gt;=7/1/2021", All!B:B,"&lt;=6/30/2022", All!E:E,"=U*",All!E:E,"&lt;&gt;UIPA*",All!E:E,"&lt;&gt;*RFO*",All!E:E,"&lt;&gt;*TRNG*")</f>
        <v>0</v>
      </c>
      <c r="CA23" s="7">
        <f>ROUND(BZ23/(BR23+BH23),3)</f>
        <v>0</v>
      </c>
      <c r="CB23">
        <f>SUMIFS(LogFY23!D:D,LogFY23!B:B,"=*liquor*")</f>
        <v>293</v>
      </c>
      <c r="CC23">
        <f>SUM(SUMIFS(LogFY23!D:D,LogFY23!B:B,"=*liquor*"),-1*SUMIFS(LogFY23!L:L,LogFY23!B:B,"=*liquor*"),-1*SUMIFS(LogFY23!N:N,LogFY23!B:B,"=*liquor*"))</f>
        <v>13</v>
      </c>
      <c r="CD23" s="7">
        <f>CC23/CB23</f>
        <v>4.4368600682593858E-2</v>
      </c>
      <c r="CE23" s="7">
        <f t="shared" si="39"/>
        <v>-1.9917113603120422E-2</v>
      </c>
      <c r="CF23">
        <f>ROUND(SUMIFS(LogFY23!K:K,LogFY23!B:B,"=*liquor*")/SUMIFS(LogFY23!J:J,LogFY23!B:B,"=*liquor*"),0)</f>
        <v>5</v>
      </c>
      <c r="CG23">
        <f>CF23-BV23</f>
        <v>1</v>
      </c>
      <c r="CH23" s="1">
        <v>139</v>
      </c>
      <c r="CI23" s="1">
        <f t="shared" si="23"/>
        <v>111</v>
      </c>
      <c r="CJ23">
        <f>COUNTIFS(All!F:F,"=liq*", All!B:B, "&gt;=7/1/2022", All!B:B,"&lt;=6/30/2023", All!E:E,"=U*",All!E:E,"&lt;&gt;UIPA*",All!E:E,"&lt;&gt;*RFO*",All!E:E,"&lt;&gt;*TRNG*")</f>
        <v>0</v>
      </c>
      <c r="CK23" s="7">
        <f>ROUND(CJ23/(CB23+BR23),3)</f>
        <v>0</v>
      </c>
      <c r="CL23">
        <f>SUMIFS(LogFY24!D:D,LogFY24!B:B,"=*liquor*")</f>
        <v>282</v>
      </c>
      <c r="CM23">
        <f>SUM(SUMIFS(LogFY24!D:D,LogFY24!B:B,"=*liquor*"),-1*SUMIFS(LogFY24!L:L,LogFY24!B:B,"=*liquor*"),-1*SUMIFS(LogFY24!N:N,LogFY24!B:B,"=*liquor*"))</f>
        <v>44</v>
      </c>
      <c r="CN23" s="7">
        <f t="shared" si="24"/>
        <v>0.15602836879432624</v>
      </c>
      <c r="CO23" s="7">
        <f t="shared" si="25"/>
        <v>0.11165976811173239</v>
      </c>
      <c r="CP23">
        <f>ROUND(SUMIFS(LogFY24!K:K,LogFY24!B:B,"=*liquor*")/SUMIFS(LogFY24!J:J,LogFY24!B:B,"=*liquor*"),0)</f>
        <v>5</v>
      </c>
      <c r="CQ23">
        <f t="shared" si="26"/>
        <v>0</v>
      </c>
      <c r="CR23" s="1">
        <v>30</v>
      </c>
      <c r="CS23" s="1">
        <f t="shared" si="27"/>
        <v>-109</v>
      </c>
      <c r="CT23">
        <f>COUNTIFS(All!F:F,"=liq*", All!B:B, "&gt;=7/1/2023", All!B:B,"&lt;=6/30/2024", All!E:E,"=U*",All!E:E,"&lt;&gt;UIPA*",All!E:E,"&lt;&gt;*RFO*",All!E:E,"&lt;&gt;*TRNG*")</f>
        <v>3</v>
      </c>
      <c r="CU23" s="7">
        <f>ROUND(CT23/(CL23+CB23),3)</f>
        <v>5.0000000000000001E-3</v>
      </c>
    </row>
    <row r="24" spans="1:99" ht="16">
      <c r="A24" s="10">
        <f t="shared" si="28"/>
        <v>23</v>
      </c>
      <c r="B24" s="9" t="s">
        <v>17429</v>
      </c>
      <c r="C24">
        <f>SUMIFS(LogFY15!D:D,LogFY15!B:B,"=*liquor commission*")</f>
        <v>287</v>
      </c>
      <c r="D24">
        <f>SUM(SUMIFS(LogFY15!D:D,LogFY15!B:B,"=*liquor commission*"),-1*SUMIFS(LogFY15!L:L,LogFY15!B:B,"=*liquor commission*"),-1*SUMIFS(LogFY15!N:N,LogFY15!B:B,"=*liquor commission*"))</f>
        <v>28</v>
      </c>
      <c r="E24" s="7">
        <f t="shared" si="34"/>
        <v>9.7560975609756101E-2</v>
      </c>
      <c r="F24">
        <f>ROUND(SUMIFS(LogFY15!K:K,LogFY15!B:B,"=*liquor commission*")/SUMIFS(LogFY15!J:J,LogFY15!B:B,"=*liquor commission*"),0)</f>
        <v>3</v>
      </c>
      <c r="G24" s="1">
        <v>71</v>
      </c>
      <c r="J24">
        <f>SUMIFS(LogFY16!D:D,LogFY16!B:B,"=*liquor commission*")</f>
        <v>347</v>
      </c>
      <c r="K24">
        <f>SUM(SUMIFS(LogFY16!D:D,LogFY16!B:B,"=*liquor commission*"),-1*SUMIFS(LogFY16!L:L,LogFY16!B:B,"=*liquor commission*"),-1*SUMIFS(LogFY16!N:N,LogFY16!B:B,"=*liquor commission*"))</f>
        <v>18</v>
      </c>
      <c r="L24" s="7">
        <f>K24/J24</f>
        <v>5.1873198847262249E-2</v>
      </c>
      <c r="M24" s="7">
        <f>L24-E24</f>
        <v>-4.5687776762493852E-2</v>
      </c>
      <c r="N24">
        <f>ROUND(SUMIFS(LogFY16!K:K,LogFY16!B:B,"=*liquor commission*")/SUMIFS(LogFY16!J:J,LogFY16!B:B,"=*liquor commission*"),0)</f>
        <v>3</v>
      </c>
      <c r="O24">
        <f>N24-F24</f>
        <v>0</v>
      </c>
      <c r="P24" s="1">
        <v>25</v>
      </c>
      <c r="Q24" s="1">
        <f>P24-G24</f>
        <v>-46</v>
      </c>
      <c r="T24">
        <f>SUMIFS(LogFY17!D:D,LogFY17!B:B,"=*liquor commission*")</f>
        <v>397</v>
      </c>
      <c r="U24">
        <f>SUM(SUMIFS(LogFY17!D:D,LogFY17!B:B,"=*liquor commission*"),-1*SUMIFS(LogFY17!L:L,LogFY17!B:B,"=*liquor commission*"),-1*SUMIFS(LogFY17!N:N,LogFY17!B:B,"=*liquor commission*"))</f>
        <v>29</v>
      </c>
      <c r="V24" s="7">
        <f>U24/T24</f>
        <v>7.3047858942065488E-2</v>
      </c>
      <c r="W24" s="7">
        <f>V24-L24</f>
        <v>2.117466009480324E-2</v>
      </c>
      <c r="X24">
        <f>ROUND(SUMIFS(LogFY17!K:K,LogFY17!B:B,"=*liquor commission*")/SUMIFS(LogFY17!J:J,LogFY17!B:B,"=*liquor commission*"),0)</f>
        <v>3</v>
      </c>
      <c r="Y24">
        <f>X24-N24</f>
        <v>0</v>
      </c>
      <c r="Z24" s="1">
        <v>40</v>
      </c>
      <c r="AA24" s="1">
        <f>Z24-P24</f>
        <v>15</v>
      </c>
      <c r="AD24">
        <f>SUMIFS(LogFY18!D:D,LogFY18!B:B,"=*liquor commission*")</f>
        <v>405</v>
      </c>
      <c r="AE24">
        <f>SUM(SUMIFS(LogFY18!D:D,LogFY18!B:B,"=*liquor commission*"),-1*SUMIFS(LogFY18!L:L,LogFY18!B:B,"=*liquor commission*"),-1*SUMIFS(LogFY18!N:N,LogFY18!B:B,"=*liquor commission*"))</f>
        <v>30</v>
      </c>
      <c r="AF24" s="7">
        <f t="shared" si="41"/>
        <v>7.407407407407407E-2</v>
      </c>
      <c r="AG24" s="7">
        <f t="shared" si="42"/>
        <v>1.0262151320085816E-3</v>
      </c>
      <c r="AH24">
        <f>ROUND(SUMIFS(LogFY18!K:K,LogFY18!B:B,"=*liquor commission*")/SUMIFS(LogFY18!J:J,LogFY18!B:B,"=*liquor commission*"),0)</f>
        <v>0</v>
      </c>
      <c r="AI24">
        <f>AH24-X24</f>
        <v>-3</v>
      </c>
      <c r="AJ24" s="1">
        <v>41</v>
      </c>
      <c r="AK24" s="1">
        <f t="shared" si="43"/>
        <v>1</v>
      </c>
      <c r="AN24">
        <f>SUMIFS(LogFY19!D:D,LogFY19!B:B,"=*liquor commission*")</f>
        <v>375</v>
      </c>
      <c r="AO24">
        <f>SUM(SUMIFS(LogFY19!D:D,LogFY19!B:B,"=*liquor commission*"),-1*SUMIFS(LogFY19!L:L,LogFY19!B:B,"=*liquor commission*"),-1*SUMIFS(LogFY19!N:N,LogFY19!B:B,"=*liquor commission*"))</f>
        <v>31</v>
      </c>
      <c r="AP24" s="7">
        <f>AO24/AN24</f>
        <v>8.2666666666666666E-2</v>
      </c>
      <c r="AQ24" s="7">
        <f t="shared" si="44"/>
        <v>8.5925925925925961E-3</v>
      </c>
      <c r="AR24">
        <f>ROUND(SUMIFS(LogFY19!K:K,LogFY19!B:B,"=*liquor commission*")/SUMIFS(LogFY19!J:J,LogFY19!B:B,"=*liquor commission*"),0)</f>
        <v>5</v>
      </c>
      <c r="AS24">
        <f>AR24-AH24</f>
        <v>5</v>
      </c>
      <c r="AT24" s="1">
        <v>69</v>
      </c>
      <c r="AU24" s="1">
        <f t="shared" si="45"/>
        <v>28</v>
      </c>
      <c r="AX24">
        <f>SUMIFS(LogFY20!D:D,LogFY20!B:B,"=*liquor commission*")</f>
        <v>164</v>
      </c>
      <c r="AY24">
        <f>SUM(SUMIFS(LogFY20!D:D,LogFY20!B:B,"=*liquor commission*"),-1*SUMIFS(LogFY20!L:L,LogFY20!B:B,"=*liquor commission*"),-1*SUMIFS(LogFY20!N:N,LogFY20!B:B,"=*liquor commission*"))</f>
        <v>-92</v>
      </c>
      <c r="AZ24" s="7">
        <f>AY24/AX24</f>
        <v>-0.56097560975609762</v>
      </c>
      <c r="BA24" s="7">
        <f t="shared" si="9"/>
        <v>-0.64364227642276428</v>
      </c>
      <c r="BB24">
        <f>ROUND(SUMIFS(LogFY20!K:K,LogFY20!B:B,"=*liquor commission*")/SUMIFS(LogFY20!J:J,LogFY20!B:B,"=*liquor commission*"),0)</f>
        <v>5</v>
      </c>
      <c r="BC24">
        <f>BB24-AR24</f>
        <v>0</v>
      </c>
      <c r="BD24" s="1">
        <v>40</v>
      </c>
      <c r="BE24" s="1">
        <f t="shared" si="11"/>
        <v>-29</v>
      </c>
      <c r="BH24">
        <f>SUMIFS(LogFY21!D:D,LogFY21!B:B,"=*liquor commission*")</f>
        <v>258</v>
      </c>
      <c r="BI24">
        <f>SUM(SUMIFS(LogFY21!D:D,LogFY21!B:B,"=*liquor commission*"),-1*SUMIFS(LogFY21!L:L,LogFY21!B:B,"=*liquor commission*"),-1*SUMIFS(LogFY21!N:N,LogFY21!B:B,"=*liquor commission*"))</f>
        <v>16</v>
      </c>
      <c r="BJ24" s="7">
        <f>BI24/BH24</f>
        <v>6.2015503875968991E-2</v>
      </c>
      <c r="BK24" s="7">
        <f t="shared" si="36"/>
        <v>0.62299111363206661</v>
      </c>
      <c r="BL24">
        <f>ROUND(SUMIFS(LogFY21!K:K,LogFY21!B:B,"=*liquor commission*")/SUMIFS(LogFY21!J:J,LogFY21!B:B,"=*liquor commission*"),0)</f>
        <v>4</v>
      </c>
      <c r="BM24">
        <f>BL24-BB24</f>
        <v>-1</v>
      </c>
      <c r="BN24" s="1">
        <v>27</v>
      </c>
      <c r="BO24" s="1">
        <f t="shared" si="46"/>
        <v>-13</v>
      </c>
      <c r="BR24">
        <f>SUMIFS(LogFY22!D:D,LogFY22!B:B,"=*liquor commission*")</f>
        <v>256</v>
      </c>
      <c r="BS24">
        <f>SUM(SUMIFS(LogFY22!D:D,LogFY22!B:B,"=*liquor commission*"),-1*SUMIFS(LogFY22!L:L,LogFY22!B:B,"=*liquor commission*"),-1*SUMIFS(LogFY22!N:N,LogFY22!B:B,"=*liquor commission*"))</f>
        <v>12</v>
      </c>
      <c r="BT24" s="7">
        <f t="shared" si="48"/>
        <v>4.6875E-2</v>
      </c>
      <c r="BU24" s="7">
        <f t="shared" si="17"/>
        <v>-1.5140503875968991E-2</v>
      </c>
      <c r="BV24">
        <f>ROUND(SUMIFS(LogFY22!K:K,LogFY22!B:B,"=*liquor commission*")/SUMIFS(LogFY22!J:J,LogFY22!B:B,"=*liquor commission*"),0)</f>
        <v>4</v>
      </c>
      <c r="BW24">
        <f t="shared" si="49"/>
        <v>0</v>
      </c>
      <c r="BX24" s="1">
        <v>28</v>
      </c>
      <c r="BY24" s="1">
        <f t="shared" si="47"/>
        <v>1</v>
      </c>
      <c r="CB24">
        <f>SUMIFS(LogFY23!D:D,LogFY23!B:B,"=*liquor commission*")</f>
        <v>270</v>
      </c>
      <c r="CC24">
        <f>SUM(SUMIFS(LogFY23!D:D,LogFY23!B:B,"=*liquor commission*"),-1*SUMIFS(LogFY23!L:L,LogFY23!B:B,"=*liquor commission*"),-1*SUMIFS(LogFY23!N:N,LogFY23!B:B,"=*liquor commission*"))</f>
        <v>11</v>
      </c>
      <c r="CD24" s="7">
        <f>CC24/CB24</f>
        <v>4.0740740740740744E-2</v>
      </c>
      <c r="CE24" s="7">
        <f t="shared" si="39"/>
        <v>-6.134259259259256E-3</v>
      </c>
      <c r="CF24">
        <f>ROUND(SUMIFS(LogFY23!K:K,LogFY23!B:B,"=*liquor commission*")/SUMIFS(LogFY23!J:J,LogFY23!B:B,"=*liquor commission*"),0)</f>
        <v>5</v>
      </c>
      <c r="CG24">
        <f>CF24-BV24</f>
        <v>1</v>
      </c>
      <c r="CH24" s="1">
        <v>139</v>
      </c>
      <c r="CI24" s="1">
        <f t="shared" si="23"/>
        <v>111</v>
      </c>
      <c r="CK24" s="7"/>
      <c r="CL24">
        <f>SUMIFS(LogFY24!D:D,LogFY24!B:B,"=*liquor commission*")</f>
        <v>253</v>
      </c>
      <c r="CM24">
        <f>SUM(SUMIFS(LogFY24!D:D,LogFY24!B:B,"=*liquor commission*"),-1*SUMIFS(LogFY24!L:L,LogFY24!B:B,"=*liquor commission*"),-1*SUMIFS(LogFY24!N:N,LogFY24!B:B,"=*liquor commission*"))</f>
        <v>43</v>
      </c>
      <c r="CN24" s="7">
        <f t="shared" si="24"/>
        <v>0.16996047430830039</v>
      </c>
      <c r="CO24" s="7">
        <f t="shared" si="25"/>
        <v>0.12921973356755964</v>
      </c>
      <c r="CP24">
        <f>ROUND(SUMIFS(LogFY24!K:K,LogFY24!B:B,"=*liquor commission*")/SUMIFS(LogFY24!J:J,LogFY24!B:B,"=*liquor commission*"),0)</f>
        <v>5</v>
      </c>
      <c r="CQ24">
        <f t="shared" si="26"/>
        <v>0</v>
      </c>
      <c r="CR24" s="1">
        <v>30</v>
      </c>
      <c r="CS24" s="1">
        <f t="shared" si="27"/>
        <v>-109</v>
      </c>
    </row>
    <row r="25" spans="1:99" ht="16">
      <c r="A25" s="10">
        <f t="shared" si="28"/>
        <v>24</v>
      </c>
      <c r="B25" s="9" t="s">
        <v>17430</v>
      </c>
      <c r="C25">
        <f>SUMIFS(LogFY15!D:D,LogFY15!A:A,"=*maui_county_liquor*")</f>
        <v>2</v>
      </c>
      <c r="D25">
        <f>SUM(SUMIFS(LogFY15!D:D,LogFY15!A:A,"=*maui_county_liquor*"),-1*SUMIFS(LogFY15!L:L,LogFY15!A:A,"=*maui_county_liquor*"),-1*SUMIFS(LogFY15!N:N,LogFY15!A:A,"=*maui_county_liquor*"))</f>
        <v>1</v>
      </c>
      <c r="E25" s="7">
        <f t="shared" si="34"/>
        <v>0.5</v>
      </c>
      <c r="F25">
        <f>ROUND(SUMIFS(LogFY15!K:K,LogFY15!A:A,"=*maui_county_liquor*")/SUMIFS(LogFY15!J:J,LogFY15!A:A,"=*maui_county_liquor*"),0)</f>
        <v>11</v>
      </c>
      <c r="G25" s="1">
        <v>12</v>
      </c>
      <c r="J25">
        <f>SUMIFS(LogFY16!D:D,LogFY16!A:A,"=*maui_county_liquor*")</f>
        <v>0</v>
      </c>
      <c r="K25">
        <f>SUM(SUMIFS(LogFY16!D:D,LogFY16!A:A,"=*maui_county_liquor*"),-1*SUMIFS(LogFY16!L:L,LogFY16!A:A,"=*maui_county_liquor*"),-1*SUMIFS(LogFY16!N:N,LogFY16!A:A,"=*maui_county_liquor*"))</f>
        <v>0</v>
      </c>
      <c r="L25" s="7"/>
      <c r="M25" s="7"/>
      <c r="P25" s="1"/>
      <c r="Q25" s="1"/>
      <c r="T25">
        <f>SUMIFS(LogFY17!D:D,LogFY17!A:A,"=*maui_county_liquor*")</f>
        <v>36</v>
      </c>
      <c r="U25">
        <f>SUM(SUMIFS(LogFY17!D:D,LogFY17!A:A,"=*maui_county_liquor*"),-1*SUMIFS(LogFY17!L:L,LogFY17!A:A,"=*maui_county_liquor*"),-1*SUMIFS(LogFY17!N:N,LogFY17!A:A,"=*maui_county_liquor*"))</f>
        <v>2</v>
      </c>
      <c r="V25" s="7">
        <f>U25/T25</f>
        <v>5.5555555555555552E-2</v>
      </c>
      <c r="W25" s="7">
        <f>V25-L25</f>
        <v>5.5555555555555552E-2</v>
      </c>
      <c r="X25">
        <f>ROUND(SUMIFS(LogFY17!K:K,LogFY17!A:A,"=*maui_county_liquor*")/SUMIFS(LogFY17!J:J,LogFY17!A:A,"=*maui_county_liquor*"),0)</f>
        <v>8</v>
      </c>
      <c r="Y25">
        <f>X25-N25</f>
        <v>8</v>
      </c>
      <c r="Z25" s="1">
        <v>22</v>
      </c>
      <c r="AA25" s="1"/>
      <c r="AD25">
        <f>SUMIFS(LogFY18!D:D,LogFY18!A:A,"=*maui_county_liquor*")</f>
        <v>21</v>
      </c>
      <c r="AE25">
        <f>SUM(SUMIFS(LogFY18!D:D,LogFY18!A:A,"=*maui_county_liquor*"),-1*SUMIFS(LogFY18!L:L,LogFY18!A:A,"=*maui_county_liquor*"),-1*SUMIFS(LogFY18!N:N,LogFY18!A:A,"=*maui_county_liquor*"))</f>
        <v>3</v>
      </c>
      <c r="AF25" s="7">
        <f t="shared" si="41"/>
        <v>0.14285714285714285</v>
      </c>
      <c r="AG25" s="7">
        <f t="shared" si="42"/>
        <v>8.7301587301587297E-2</v>
      </c>
      <c r="AH25">
        <f>ROUND(SUMIFS(LogFY18!K:K,LogFY18!A:A,"=*maui_county_liquor*")/SUMIFS(LogFY18!J:J,LogFY18!A:A,"=*maui_county_liquor*"),0)</f>
        <v>5</v>
      </c>
      <c r="AI25">
        <f>AH25-X25</f>
        <v>-3</v>
      </c>
      <c r="AJ25" s="1">
        <v>10</v>
      </c>
      <c r="AK25" s="1">
        <f t="shared" si="43"/>
        <v>-12</v>
      </c>
      <c r="AN25">
        <f>SUMIFS(LogFY19!D:D,LogFY19!A:A,"=*maui_county_liquor*")</f>
        <v>19</v>
      </c>
      <c r="AO25">
        <f>SUM(SUMIFS(LogFY19!D:D,LogFY19!A:A,"=*maui_county_liquor*"),-1*SUMIFS(LogFY19!L:L,LogFY19!A:A,"=*maui_county_liquor*"),-1*SUMIFS(LogFY19!N:N,LogFY19!A:A,"=*maui_county_liquor*"))</f>
        <v>0</v>
      </c>
      <c r="AP25" s="7">
        <f>AO25/AN25</f>
        <v>0</v>
      </c>
      <c r="AQ25" s="7">
        <f t="shared" si="44"/>
        <v>-0.14285714285714285</v>
      </c>
      <c r="AR25">
        <f>ROUND(SUMIFS(LogFY19!K:K,LogFY19!A:A,"=*maui_county_liquor*")/SUMIFS(LogFY19!J:J,LogFY19!A:A,"=*maui_county_liquor*"),0)</f>
        <v>6</v>
      </c>
      <c r="AS25">
        <f>AR25-AH25</f>
        <v>1</v>
      </c>
      <c r="AT25" s="1">
        <v>14</v>
      </c>
      <c r="AU25" s="1">
        <f t="shared" si="45"/>
        <v>4</v>
      </c>
      <c r="AX25">
        <f>SUMIFS(LogFY20!D:D,LogFY20!A:A,"=*maui_county_liquor*")</f>
        <v>41</v>
      </c>
      <c r="AY25">
        <f>SUM(SUMIFS(LogFY20!D:D,LogFY20!A:A,"=*maui_county_liquor*"),-1*SUMIFS(LogFY20!L:L,LogFY20!A:A,"=*maui_county_liquor*"),-1*SUMIFS(LogFY20!N:N,LogFY20!A:A,"=*maui_county_liquor*"))</f>
        <v>1</v>
      </c>
      <c r="AZ25" s="7">
        <f>AY25/AX25</f>
        <v>2.4390243902439025E-2</v>
      </c>
      <c r="BA25" s="7">
        <f t="shared" si="9"/>
        <v>2.4390243902439025E-2</v>
      </c>
      <c r="BB25">
        <f>ROUND(SUMIFS(LogFY20!K:K,LogFY20!A:A,"=*maui_county_liquor*")/SUMIFS(LogFY20!J:J,LogFY20!A:A,"=*maui_county_liquor*"),0)</f>
        <v>7</v>
      </c>
      <c r="BC25">
        <f>BB25-AR25</f>
        <v>1</v>
      </c>
      <c r="BD25" s="1">
        <v>35</v>
      </c>
      <c r="BE25" s="1">
        <f t="shared" si="11"/>
        <v>21</v>
      </c>
      <c r="BH25">
        <f>SUMIFS(LogFY21!D:D,LogFY21!A:A,"=*maui_county_liquor*")</f>
        <v>27</v>
      </c>
      <c r="BI25">
        <f>SUM(SUMIFS(LogFY21!D:D,LogFY21!A:A,"=*maui_county_liquor*"),-1*SUMIFS(LogFY21!L:L,LogFY21!A:A,"=*maui_county_liquor*"),-1*SUMIFS(LogFY21!N:N,LogFY21!A:A,"=*maui_county_liquor*"))</f>
        <v>4</v>
      </c>
      <c r="BJ25" s="7">
        <f>BI25/BH25</f>
        <v>0.14814814814814814</v>
      </c>
      <c r="BK25" s="7">
        <f t="shared" si="36"/>
        <v>0.12375790424570912</v>
      </c>
      <c r="BL25">
        <f>ROUND(SUMIFS(LogFY21!K:K,LogFY21!A:A,"=*maui_county_liquor*")/SUMIFS(LogFY21!J:J,LogFY21!A:A,"=*maui_county_liquor*"),0)</f>
        <v>5</v>
      </c>
      <c r="BM25">
        <f>BL25-BB25</f>
        <v>-2</v>
      </c>
      <c r="BN25" s="1">
        <v>29</v>
      </c>
      <c r="BO25" s="1">
        <f t="shared" si="46"/>
        <v>-6</v>
      </c>
      <c r="BR25">
        <f>SUMIFS(LogFY22!D:D,LogFY22!A:A,"=*maui_county_liquor*")</f>
        <v>11</v>
      </c>
      <c r="BS25">
        <f>SUM(SUMIFS(LogFY22!D:D,LogFY22!A:A,"=*maui_county_liquor*"),-1*SUMIFS(LogFY22!L:L,LogFY22!A:A,"=*maui_county_liquor*"),-1*SUMIFS(LogFY22!N:N,LogFY22!A:A,"=*maui_county_liquor*"))</f>
        <v>3</v>
      </c>
      <c r="BT25" s="7">
        <f t="shared" si="48"/>
        <v>0.27272727272727271</v>
      </c>
      <c r="BU25" s="7">
        <f t="shared" si="17"/>
        <v>0.12457912457912457</v>
      </c>
      <c r="BV25">
        <f>ROUND(SUMIFS(LogFY22!K:K,LogFY22!A:A,"=*maui_county_liquor*")/SUMIFS(LogFY22!J:J,LogFY22!A:A,"=*maui_county_liquor*"),0)</f>
        <v>6</v>
      </c>
      <c r="BW25">
        <f t="shared" si="49"/>
        <v>1</v>
      </c>
      <c r="BX25" s="1">
        <v>14</v>
      </c>
      <c r="BY25" s="1">
        <f t="shared" si="47"/>
        <v>-15</v>
      </c>
      <c r="CB25">
        <f>SUMIFS(LogFY23!D:D,LogFY23!A:A,"=*maui_county_liquor*")</f>
        <v>11</v>
      </c>
      <c r="CC25">
        <f>SUM(SUMIFS(LogFY23!D:D,LogFY23!A:A,"=*maui_county_liquor*"),-1*SUMIFS(LogFY23!L:L,LogFY23!A:A,"=*maui_county_liquor*"),-1*SUMIFS(LogFY23!N:N,LogFY23!A:A,"=*maui_county_liquor*"))</f>
        <v>0</v>
      </c>
      <c r="CD25" s="7">
        <f>CC25/CB25</f>
        <v>0</v>
      </c>
      <c r="CE25" s="7">
        <f t="shared" si="39"/>
        <v>-0.27272727272727271</v>
      </c>
      <c r="CF25">
        <f>ROUND(SUMIFS(LogFY23!K:K,LogFY23!A:A,"=*maui_county_liquor*")/SUMIFS(LogFY23!J:J,LogFY23!A:A,"=*maui_county_liquor*"),0)</f>
        <v>2</v>
      </c>
      <c r="CG25">
        <f>CF25-BV25</f>
        <v>-4</v>
      </c>
      <c r="CH25" s="1">
        <v>4</v>
      </c>
      <c r="CI25" s="1">
        <f t="shared" si="23"/>
        <v>-10</v>
      </c>
      <c r="CK25" s="7"/>
      <c r="CL25">
        <f>SUMIFS(LogFY24!D:D,LogFY24!A:A,"=*maui_county_liquor*")</f>
        <v>18</v>
      </c>
      <c r="CM25">
        <f>SUM(SUMIFS(LogFY24!D:D,LogFY24!A:A,"=*maui_county_liquor*"),-1*SUMIFS(LogFY24!L:L,LogFY24!A:A,"=*maui_county_liquor*"),-1*SUMIFS(LogFY24!N:N,LogFY24!A:A,"=*maui_county_liquor*"))</f>
        <v>0</v>
      </c>
      <c r="CN25" s="7">
        <f t="shared" si="24"/>
        <v>0</v>
      </c>
      <c r="CO25" s="7">
        <f t="shared" si="25"/>
        <v>0</v>
      </c>
      <c r="CP25">
        <f>ROUND(SUMIFS(LogFY24!K:K,LogFY24!A:A,"=*maui_county_liquor*")/SUMIFS(LogFY24!J:J,LogFY24!A:A,"=*maui_county_liquor*"),0)</f>
        <v>3</v>
      </c>
      <c r="CQ25">
        <f t="shared" si="26"/>
        <v>1</v>
      </c>
      <c r="CR25" s="1">
        <v>9</v>
      </c>
      <c r="CS25" s="1">
        <f t="shared" si="27"/>
        <v>5</v>
      </c>
    </row>
    <row r="26" spans="1:99" ht="16">
      <c r="A26" s="10">
        <f t="shared" si="28"/>
        <v>25</v>
      </c>
      <c r="B26" s="9" t="s">
        <v>17446</v>
      </c>
      <c r="C26">
        <f>SUMIFS(LogFY15!D:D,LogFY15!A:A,"=*kauai_county_liquor*")</f>
        <v>1</v>
      </c>
      <c r="D26">
        <f>SUM(SUMIFS(LogFY15!D:D,LogFY15!A:A,"=*kauai_county_liquor*"),-1*SUMIFS(LogFY15!L:L,LogFY15!A:A,"=*kauai_county_liquor*"),-1*SUMIFS(LogFY15!N:N,LogFY15!A:A,"=*kauai_county_liquor*"))</f>
        <v>0</v>
      </c>
      <c r="E26" s="7">
        <f t="shared" si="34"/>
        <v>0</v>
      </c>
      <c r="G26" s="1"/>
      <c r="J26">
        <f>SUMIFS(LogFY16!D:D,LogFY16!A:A,"=*kauai_county_liquor*")</f>
        <v>2</v>
      </c>
      <c r="K26">
        <f>SUM(SUMIFS(LogFY16!D:D,LogFY16!A:A,"=*kauai_county_liquor*"),-1*SUMIFS(LogFY16!L:L,LogFY16!A:A,"=*kauai_county_liquor*"),-1*SUMIFS(LogFY16!N:N,LogFY16!A:A,"=*kauai_county_liquor*"))</f>
        <v>0</v>
      </c>
      <c r="L26" s="7">
        <f t="shared" ref="L26:L55" si="50">K26/J26</f>
        <v>0</v>
      </c>
      <c r="M26" s="7">
        <f t="shared" ref="M26:M55" si="51">L26-E26</f>
        <v>0</v>
      </c>
      <c r="N26">
        <f>ROUND(SUMIFS(LogFY16!K:K,LogFY16!A:A,"=*kauai_county_liquor*")/SUMIFS(LogFY16!J:J,LogFY16!A:A,"=*kauai_county_liquor*"),0)</f>
        <v>1</v>
      </c>
      <c r="O26">
        <f t="shared" ref="O26:O55" si="52">N26-F26</f>
        <v>1</v>
      </c>
      <c r="P26" s="1">
        <v>1</v>
      </c>
      <c r="Q26" s="1">
        <f t="shared" ref="Q26:Q55" si="53">P26-G26</f>
        <v>1</v>
      </c>
      <c r="T26">
        <f>SUMIFS(LogFY17!D:D,LogFY17!A:A,"=*kauai_county_liquor*")</f>
        <v>0</v>
      </c>
      <c r="U26">
        <f>SUM(SUMIFS(LogFY17!D:D,LogFY17!A:A,"=*kauai_county_liquor*"),-1*SUMIFS(LogFY17!L:L,LogFY17!A:A,"=*kauai_county_liquor*"),-1*SUMIFS(LogFY17!N:N,LogFY17!A:A,"=*kauai_county_liquor*"))</f>
        <v>0</v>
      </c>
      <c r="V26" s="7"/>
      <c r="W26" s="7"/>
      <c r="Z26" s="1"/>
      <c r="AA26" s="1"/>
      <c r="AD26">
        <f>SUMIFS(LogFY18!D:D,LogFY18!A:A,"=*kauai_county_liquor*")</f>
        <v>0</v>
      </c>
      <c r="AE26">
        <f>SUM(SUMIFS(LogFY18!D:D,LogFY18!A:A,"=*kauai_county_liquor*"),-1*SUMIFS(LogFY18!L:L,LogFY18!A:A,"=*kauai_county_liquor*"),-1*SUMIFS(LogFY18!N:N,LogFY18!A:A,"=*kauai_county_liquor*"))</f>
        <v>0</v>
      </c>
      <c r="AF26" s="7"/>
      <c r="AG26" s="7"/>
      <c r="AJ26" s="1"/>
      <c r="AK26" s="1"/>
      <c r="AN26">
        <f>SUMIFS(LogFY19!D:D,LogFY19!A:A,"=*kauai_county_liquor*")</f>
        <v>0</v>
      </c>
      <c r="AO26">
        <f>SUM(SUMIFS(LogFY19!D:D,LogFY19!A:A,"=*kauai_county_liquor*"),-1*SUMIFS(LogFY19!L:L,LogFY19!A:A,"=*kauai_county_liquor*"),-1*SUMIFS(LogFY19!N:N,LogFY19!A:A,"=*kauai_county_liquor*"))</f>
        <v>0</v>
      </c>
      <c r="AP26" s="7"/>
      <c r="AQ26" s="7"/>
      <c r="AT26" s="1"/>
      <c r="AU26" s="1"/>
      <c r="AX26">
        <f>SUMIFS(LogFY20!D:D,LogFY20!A:A,"=*kauai_county_liquor*")</f>
        <v>0</v>
      </c>
      <c r="AY26">
        <f>SUM(SUMIFS(LogFY20!D:D,LogFY20!A:A,"=*kauai_county_liquor*"),-1*SUMIFS(LogFY20!L:L,LogFY20!A:A,"=*kauai_county_liquor*"),-1*SUMIFS(LogFY20!N:N,LogFY20!A:A,"=*kauai_county_liquor*"))</f>
        <v>0</v>
      </c>
      <c r="AZ26" s="7"/>
      <c r="BA26" s="7"/>
      <c r="BD26" s="1"/>
      <c r="BE26" s="1"/>
      <c r="BH26">
        <f>SUMIFS(LogFY21!D:D,LogFY21!A:A,"=*kauai_county_liquor*")</f>
        <v>0</v>
      </c>
      <c r="BI26">
        <f>SUM(SUMIFS(LogFY21!D:D,LogFY21!A:A,"=*kauai_county_liquor*"),-1*SUMIFS(LogFY21!L:L,LogFY21!A:A,"=*kauai_county_liquor*"),-1*SUMIFS(LogFY21!N:N,LogFY21!A:A,"=*kauai_county_liquor*"))</f>
        <v>0</v>
      </c>
      <c r="BJ26" s="7"/>
      <c r="BK26" s="7"/>
      <c r="BN26" s="1"/>
      <c r="BO26" s="1"/>
      <c r="BR26">
        <f>SUMIFS(LogFY22!D:D,LogFY22!A:A,"=*kauai_county_liquor*")</f>
        <v>9</v>
      </c>
      <c r="BS26">
        <f>SUM(SUMIFS(LogFY22!D:D,LogFY22!A:A,"=*kauai_county_liquor*"),-1*SUMIFS(LogFY22!L:L,LogFY22!A:A,"=*kauai_county_liquor*"),-1*SUMIFS(LogFY22!N:N,LogFY22!A:A,"=*kauai_county_liquor*"))</f>
        <v>1</v>
      </c>
      <c r="BT26" s="7">
        <f t="shared" si="48"/>
        <v>0.1111111111111111</v>
      </c>
      <c r="BU26" s="7">
        <f t="shared" si="17"/>
        <v>0.1111111111111111</v>
      </c>
      <c r="BV26">
        <f>ROUND(SUMIFS(LogFY22!K:K,LogFY22!A:A,"=*kauai_county_liquor*")/SUMIFS(LogFY22!J:J,LogFY22!A:A,"=*kauai_county_liquor*"),0)</f>
        <v>8</v>
      </c>
      <c r="BW26">
        <f t="shared" si="49"/>
        <v>8</v>
      </c>
      <c r="BX26" s="1">
        <v>19</v>
      </c>
      <c r="BY26" s="1">
        <f t="shared" si="47"/>
        <v>19</v>
      </c>
      <c r="CB26">
        <f>SUMIFS(LogFY23!D:D,LogFY23!A:A,"=*kauai_county_liquor*")</f>
        <v>9</v>
      </c>
      <c r="CC26">
        <f>SUM(SUMIFS(LogFY23!D:D,LogFY23!A:A,"=*kauai_county_liquor*"),-1*SUMIFS(LogFY23!L:L,LogFY23!A:A,"=*kauai_county_liquor*"),-1*SUMIFS(LogFY23!N:N,LogFY23!A:A,"=*kauai_county_liquor*"))</f>
        <v>0</v>
      </c>
      <c r="CD26" s="7"/>
      <c r="CE26" s="7"/>
      <c r="CH26" s="1">
        <v>6</v>
      </c>
      <c r="CI26" s="1">
        <f t="shared" si="23"/>
        <v>-13</v>
      </c>
      <c r="CK26" s="7"/>
      <c r="CL26">
        <f>SUMIFS(LogFY24!D:D,LogFY24!A:A,"=*kauai_county_liquor*")</f>
        <v>7</v>
      </c>
      <c r="CM26">
        <f>SUM(SUMIFS(LogFY24!D:D,LogFY24!A:A,"=*kauai_county_liquor*"),-1*SUMIFS(LogFY24!L:L,LogFY24!A:A,"=*kauai_county_liquor*"),-1*SUMIFS(LogFY24!N:N,LogFY24!A:A,"=*kauai_county_liquor*"))</f>
        <v>0</v>
      </c>
      <c r="CN26" s="7">
        <f t="shared" si="24"/>
        <v>0</v>
      </c>
      <c r="CO26" s="7">
        <f t="shared" si="25"/>
        <v>0</v>
      </c>
      <c r="CP26">
        <f>ROUND(SUMIFS(LogFY24!K:K,LogFY24!A:A,"=*kauai_county_liquor*")/SUMIFS(LogFY24!J:J,LogFY24!A:A,"=*kauai_county_liquor*"),0)</f>
        <v>1</v>
      </c>
      <c r="CQ26">
        <f t="shared" si="26"/>
        <v>1</v>
      </c>
      <c r="CR26" s="1">
        <v>1</v>
      </c>
      <c r="CS26" s="1">
        <f t="shared" si="27"/>
        <v>-5</v>
      </c>
    </row>
    <row r="27" spans="1:99" ht="16">
      <c r="A27" s="10">
        <f t="shared" si="28"/>
        <v>26</v>
      </c>
      <c r="B27" s="9" t="s">
        <v>17431</v>
      </c>
      <c r="C27">
        <f>SUMIFS(LogFY15!D:D,LogFY15!A:A,"=*hawaii_county_liquor*")</f>
        <v>14</v>
      </c>
      <c r="D27">
        <f>SUM(SUMIFS(LogFY15!D:D,LogFY15!A:A,"=*hawaii_county_liquor*"),-1*SUMIFS(LogFY15!L:L,LogFY15!A:A,"=*hawaii_county_liquor*"),-1*SUMIFS(LogFY15!N:N,LogFY15!A:A,"=*hawaii_county_liquor*"))</f>
        <v>14</v>
      </c>
      <c r="E27" s="7">
        <f t="shared" si="34"/>
        <v>1</v>
      </c>
      <c r="F27">
        <f>ROUND(SUMIFS(LogFY15!K:K,LogFY15!A:A,"=*hawaii_county_liquor*")/SUMIFS(LogFY15!J:J,LogFY15!A:A,"=*hawaii_county_liquor*"),0)</f>
        <v>7</v>
      </c>
      <c r="G27" s="1">
        <v>25</v>
      </c>
      <c r="J27">
        <f>SUMIFS(LogFY16!D:D,LogFY16!A:A,"=*hawaii_county_liquor*")</f>
        <v>6</v>
      </c>
      <c r="K27">
        <f>SUM(SUMIFS(LogFY16!D:D,LogFY16!A:A,"=*hawaii_county_liquor*"),-1*SUMIFS(LogFY16!L:L,LogFY16!A:A,"=*hawaii_county_liquor*"),-1*SUMIFS(LogFY16!N:N,LogFY16!A:A,"=*hawaii_county_liquor*"))</f>
        <v>0</v>
      </c>
      <c r="L27" s="7">
        <f t="shared" si="50"/>
        <v>0</v>
      </c>
      <c r="M27" s="7">
        <f t="shared" si="51"/>
        <v>-1</v>
      </c>
      <c r="N27">
        <f>ROUND(SUMIFS(LogFY16!K:K,LogFY16!A:A,"=*hawaii_county_liquor*")/SUMIFS(LogFY16!J:J,LogFY16!A:A,"=*hawaii_county_liquor*"),0)</f>
        <v>3</v>
      </c>
      <c r="O27">
        <f t="shared" si="52"/>
        <v>-4</v>
      </c>
      <c r="P27" s="1">
        <v>11</v>
      </c>
      <c r="Q27" s="1">
        <f t="shared" si="53"/>
        <v>-14</v>
      </c>
      <c r="T27">
        <f>SUMIFS(LogFY17!D:D,LogFY17!A:A,"=*hawaii_county_liquor*")</f>
        <v>7</v>
      </c>
      <c r="V27" s="7"/>
      <c r="W27" s="7"/>
      <c r="Z27" s="1"/>
      <c r="AA27" s="1">
        <f t="shared" ref="AA27:AA55" si="54">Z27-P27</f>
        <v>-11</v>
      </c>
      <c r="AD27">
        <f>SUMIFS(LogFY18!D:D,LogFY18!A:A,"=*hawaii_county_liquor*")</f>
        <v>8</v>
      </c>
      <c r="AE27">
        <f>SUM(SUMIFS(LogFY18!D:D,LogFY18!A:A,"=*hawaii_county_liquor*"),-1*SUMIFS(LogFY18!L:L,LogFY18!A:A,"=*hawaii_county_liquor*"),-1*SUMIFS(LogFY18!N:N,LogFY18!A:A,"=*hawaii_county_liquor*"))</f>
        <v>0</v>
      </c>
      <c r="AF27" s="7">
        <f>AE27/AD27</f>
        <v>0</v>
      </c>
      <c r="AG27" s="7">
        <f>AF27-V27</f>
        <v>0</v>
      </c>
      <c r="AJ27" s="1">
        <v>14</v>
      </c>
      <c r="AK27" s="1">
        <f>AJ27-Z27</f>
        <v>14</v>
      </c>
      <c r="AN27">
        <f>SUMIFS(LogFY19!D:D,LogFY19!A:A,"=*hawaii_county_liquor*")</f>
        <v>4</v>
      </c>
      <c r="AO27">
        <f>SUM(SUMIFS(LogFY19!D:D,LogFY19!A:A,"=*hawaii_county_liquor*"),-1*SUMIFS(LogFY19!L:L,LogFY19!A:A,"=*hawaii_county_liquor*"),-1*SUMIFS(LogFY19!N:N,LogFY19!A:A,"=*hawaii_county_liquor*"))</f>
        <v>0</v>
      </c>
      <c r="AP27" s="7">
        <f>AO27/AN27</f>
        <v>0</v>
      </c>
      <c r="AQ27" s="7">
        <f>AP27-AF27</f>
        <v>0</v>
      </c>
      <c r="AR27">
        <f>ROUND(SUMIFS(LogFY19!K:K,LogFY19!A:A,"=*hawaii_county_liquor*")/SUMIFS(LogFY19!J:J,LogFY19!A:A,"=*hawaii_county_liquor*"),0)</f>
        <v>3</v>
      </c>
      <c r="AS27">
        <f>AR27-AH27</f>
        <v>3</v>
      </c>
      <c r="AT27" s="1">
        <v>6</v>
      </c>
      <c r="AU27" s="1">
        <f>AT27-AJ27</f>
        <v>-8</v>
      </c>
      <c r="AX27">
        <f>SUMIFS(LogFY20!D:D,LogFY20!A:A,"=*hawaii_county_liquor*")</f>
        <v>10</v>
      </c>
      <c r="AY27">
        <f>SUM(SUMIFS(LogFY20!D:D,LogFY20!A:A,"=*hawaii_county_liquor*"),-1*SUMIFS(LogFY20!L:L,LogFY20!A:A,"=*hawaii_county_liquor*"),-1*SUMIFS(LogFY20!N:N,LogFY20!A:A,"=*hawaii_county_liquor*"))</f>
        <v>2</v>
      </c>
      <c r="AZ27" s="7">
        <f>AY27/AX27</f>
        <v>0.2</v>
      </c>
      <c r="BA27" s="7">
        <f>AZ27-AP27</f>
        <v>0.2</v>
      </c>
      <c r="BB27">
        <f>ROUND(SUMIFS(LogFY20!K:K,LogFY20!A:A,"=*hawaii_county_liquor*")/SUMIFS(LogFY20!J:J,LogFY20!A:A,"=*hawaii_county_liquor*"),0)</f>
        <v>4</v>
      </c>
      <c r="BC27">
        <f>BB27-AR27</f>
        <v>1</v>
      </c>
      <c r="BD27" s="1">
        <v>8</v>
      </c>
      <c r="BE27" s="1">
        <f>BD27-AT27</f>
        <v>2</v>
      </c>
      <c r="BH27">
        <f>SUMIFS(LogFY21!D:D,LogFY21!A:A,"=*hawaii_county_liquor*")</f>
        <v>8</v>
      </c>
      <c r="BI27">
        <f>SUM(SUMIFS(LogFY21!D:D,LogFY21!A:A,"=*hawaii_county_liquor*"),-1*SUMIFS(LogFY21!L:L,LogFY21!A:A,"=*hawaii_county_liquor*"),-1*SUMIFS(LogFY21!N:N,LogFY21!A:A,"=*hawaii_county_liquor*"))</f>
        <v>2</v>
      </c>
      <c r="BJ27" s="7">
        <f t="shared" ref="BJ27:BJ43" si="55">BI27/BH27</f>
        <v>0.25</v>
      </c>
      <c r="BK27" s="7">
        <f t="shared" ref="BK27:BK43" si="56">BJ27-AZ27</f>
        <v>4.9999999999999989E-2</v>
      </c>
      <c r="BL27">
        <f>ROUND(SUMIFS(LogFY21!K:K,LogFY21!A:A,"=*hawaii_county_liquor*")/SUMIFS(LogFY21!J:J,LogFY21!A:A,"=*hawaii_county_liquor*"),0)</f>
        <v>4</v>
      </c>
      <c r="BM27">
        <f t="shared" ref="BM27:BM43" si="57">BL27-BB27</f>
        <v>0</v>
      </c>
      <c r="BN27" s="1">
        <v>8</v>
      </c>
      <c r="BO27" s="1">
        <f t="shared" ref="BO27:BO43" si="58">BN27-BD27</f>
        <v>0</v>
      </c>
      <c r="BR27">
        <f>SUMIFS(LogFY22!D:D,LogFY22!A:A,"=*hawaii_county_liquor*")</f>
        <v>4</v>
      </c>
      <c r="BS27">
        <f>SUM(SUMIFS(LogFY22!D:D,LogFY22!A:A,"=*hawaii_county_liquor*"),-1*SUMIFS(LogFY22!L:L,LogFY22!A:A,"=*hawaii_county_liquor*"),-1*SUMIFS(LogFY22!N:N,LogFY22!A:A,"=*hawaii_county_liquor*"))</f>
        <v>2</v>
      </c>
      <c r="BT27" s="7">
        <f t="shared" si="48"/>
        <v>0.5</v>
      </c>
      <c r="BU27" s="7">
        <f t="shared" si="17"/>
        <v>0.25</v>
      </c>
      <c r="BV27">
        <f>ROUND(SUMIFS(LogFY22!K:K,LogFY22!A:A,"=*hawaii_county_liquor*")/SUMIFS(LogFY22!J:J,LogFY22!A:A,"=*hawaii_county_liquor*"),0)</f>
        <v>8</v>
      </c>
      <c r="BW27">
        <f t="shared" si="49"/>
        <v>4</v>
      </c>
      <c r="BX27" s="1">
        <v>14</v>
      </c>
      <c r="BY27" s="1">
        <f t="shared" si="47"/>
        <v>6</v>
      </c>
      <c r="CB27">
        <f>SUMIFS(LogFY23!D:D,LogFY23!A:A,"=*hawaii_county_liquor*")</f>
        <v>3</v>
      </c>
      <c r="CC27">
        <f>SUM(SUMIFS(LogFY23!D:D,LogFY23!A:A,"=*hawaii_county_liquor*"),-1*SUMIFS(LogFY23!L:L,LogFY23!A:A,"=*hawaii_county_liquor*"),-1*SUMIFS(LogFY23!N:N,LogFY23!A:A,"=*hawaii_county_liquor*"))</f>
        <v>2</v>
      </c>
      <c r="CD27" s="7">
        <f t="shared" ref="CD27:CD43" si="59">CC27/CB27</f>
        <v>0.66666666666666663</v>
      </c>
      <c r="CE27" s="7">
        <f t="shared" ref="CE27:CE43" si="60">CD27-BT27</f>
        <v>0.16666666666666663</v>
      </c>
      <c r="CF27">
        <f>ROUND(SUMIFS(LogFY23!K:K,LogFY23!A:A,"=*hawaii_county_liquor*")/SUMIFS(LogFY23!J:J,LogFY23!A:A,"=*hawaii_county_liquor*"),0)</f>
        <v>4</v>
      </c>
      <c r="CG27">
        <f t="shared" ref="CG27:CG43" si="61">CF27-BV27</f>
        <v>-4</v>
      </c>
      <c r="CH27" s="1">
        <v>6</v>
      </c>
      <c r="CI27" s="1">
        <f t="shared" si="23"/>
        <v>-8</v>
      </c>
      <c r="CK27" s="7"/>
      <c r="CL27">
        <f>SUMIFS(LogFY24!D:D,LogFY24!A:A,"=*hawaii_county_liquor*")</f>
        <v>4</v>
      </c>
      <c r="CM27">
        <f>SUM(SUMIFS(LogFY24!D:D,LogFY24!A:A,"=*hawaii_county_liquor*"),-1*SUMIFS(LogFY24!L:L,LogFY24!A:A,"=*hawaii_county_liquor*"),-1*SUMIFS(LogFY24!N:N,LogFY24!A:A,"=*hawaii_county_liquor*"))</f>
        <v>1</v>
      </c>
      <c r="CN27" s="7">
        <f t="shared" si="24"/>
        <v>0.25</v>
      </c>
      <c r="CO27" s="7">
        <f t="shared" si="25"/>
        <v>-0.41666666666666663</v>
      </c>
      <c r="CP27">
        <f>ROUND(SUMIFS(LogFY24!K:K,LogFY24!A:A,"=*hawaii_county_liquor*")/SUMIFS(LogFY24!J:J,LogFY24!A:A,"=*hawaii_county_liquor*"),0)</f>
        <v>11</v>
      </c>
      <c r="CQ27">
        <f t="shared" si="26"/>
        <v>7</v>
      </c>
      <c r="CR27" s="1">
        <v>24</v>
      </c>
      <c r="CS27" s="1">
        <f t="shared" si="27"/>
        <v>18</v>
      </c>
    </row>
    <row r="28" spans="1:99" ht="16">
      <c r="A28" s="10">
        <f t="shared" si="28"/>
        <v>27</v>
      </c>
      <c r="B28" s="1" t="s">
        <v>16811</v>
      </c>
      <c r="C28">
        <f>SUM(SUMIFS(LogFY15!D:D,LogFY15!A:A,"=*mayor*"),SUMIFS(LogFY15!D:D,LogFY15!A:A,"=maui_county_management"))</f>
        <v>56</v>
      </c>
      <c r="D28">
        <f>SUM(SUMIFS(LogFY15!D:D,LogFY15!A:A,"=*mayor*"),SUMIFS(LogFY15!D:D,LogFY15!A:A,"=maui_county_management"),-1*SUMIFS(LogFY15!L:L,LogFY15!A:A,"=*mayor*"),-1*SUMIFS(LogFY15!L:L,LogFY15!A:A,"=maui_county_management"),-1*SUMIFS(LogFY15!N:N,LogFY15!A:A,"=*mayor*"),-1*SUMIFS(LogFY15!N:N,LogFY15!A:A,"=maui_county_management"))</f>
        <v>6</v>
      </c>
      <c r="E28" s="7">
        <f t="shared" si="34"/>
        <v>0.10714285714285714</v>
      </c>
      <c r="F28">
        <f>ROUND(SUM(SUMIFS(LogFY15!K:K,LogFY15!A:A,"=*mayor*"),SUMIFS(LogFY15!K:K,LogFY15!A:A,"=maui_county_management"))/SUM(SUMIFS(LogFY15!J:J,LogFY15!A:A,"=*mayor*"),SUMIFS(LogFY15!J:J,LogFY15!A:A,"=maui_county_management")),0)</f>
        <v>3</v>
      </c>
      <c r="G28" s="1">
        <v>23</v>
      </c>
      <c r="H28">
        <f>COUNTIFS(All!F:F,"=*mayor*", All!B:B, "&gt;=7/1/2014", All!B:B,"&lt;=6/30/2015", All!E:E,"=U*",All!E:E,"&lt;&gt;UIPA*",All!E:E,"&lt;&gt;*RFO*",All!E:E,"&lt;&gt;*TRNG*")</f>
        <v>1</v>
      </c>
      <c r="I28" s="7">
        <f>ROUND(H28/C28,3)</f>
        <v>1.7999999999999999E-2</v>
      </c>
      <c r="J28">
        <f>SUM(SUMIFS(LogFY16!D:D,LogFY16!A:A,"=*mayor*"),SUMIFS(LogFY16!D:D,LogFY16!A:A,"=maui_county_management"))</f>
        <v>85</v>
      </c>
      <c r="K28">
        <f>SUM(SUMIFS(LogFY16!D:D,LogFY16!A:A,"=*mayor*"),SUMIFS(LogFY16!D:D,LogFY16!A:A,"=maui_county_management"),-1*SUMIFS(LogFY16!L:L,LogFY16!A:A,"=*mayor*"),-1*SUMIFS(LogFY16!L:L,LogFY16!A:A,"=*maui_county_management*"),-1*SUMIFS(LogFY16!N:N,LogFY16!A:A,"=*mayor*"),-1*SUMIFS(LogFY16!N:N,LogFY16!A:A,"=maui_county_management"))</f>
        <v>10</v>
      </c>
      <c r="L28" s="7">
        <f t="shared" si="50"/>
        <v>0.11764705882352941</v>
      </c>
      <c r="M28" s="7">
        <f t="shared" si="51"/>
        <v>1.0504201680672273E-2</v>
      </c>
      <c r="N28">
        <f>ROUND(SUM(SUMIFS(LogFY16!K:K,LogFY16!A:A,"=*mayor*"),SUMIFS(LogFY16!K:K,LogFY16!A:A,"=maui_county_management"))/SUM(SUMIFS(LogFY16!J:J,LogFY16!A:A,"=*mayor*"),SUMIFS(LogFY16!J:J,LogFY16!A:A,"=maui_county_management")),0)</f>
        <v>8</v>
      </c>
      <c r="O28">
        <f t="shared" si="52"/>
        <v>5</v>
      </c>
      <c r="P28" s="1">
        <v>31</v>
      </c>
      <c r="Q28" s="1">
        <f t="shared" si="53"/>
        <v>8</v>
      </c>
      <c r="R28">
        <f>COUNTIFS(All!F:F,"=*mayor*", All!B:B, "&gt;=7/1/2015", All!B:B,"&lt;=6/30/2016", All!E:E,"=U*",All!E:E,"&lt;&gt;UIPA*",All!E:E,"&lt;&gt;*RFO*",All!E:E,"&lt;&gt;*TRNG*")</f>
        <v>3</v>
      </c>
      <c r="S28" s="7">
        <f>ROUND(R28/(J28+C28),3)</f>
        <v>2.1000000000000001E-2</v>
      </c>
      <c r="T28">
        <f>SUM(SUMIFS(LogFY17!D:D,LogFY17!A:A,"=*mayor*"),SUMIFS(LogFY17!D:D,LogFY17!A:A,"=maui_county_management"))</f>
        <v>23</v>
      </c>
      <c r="U28">
        <f>SUM(SUMIFS(LogFY17!D:D,LogFY17!A:A,"=*mayor*"),SUMIFS(LogFY17!D:D,LogFY17!A:A,"=maui_county_management"),-1*SUMIFS(LogFY17!L:L,LogFY17!A:A,"=*mayor*"),-1*SUMIFS(LogFY17!L:L,LogFY17!A:A,"=*maui_county_management*"),-1*SUMIFS(LogFY17!N:N,LogFY17!A:A,"=*mayor*"),-1*SUMIFS(LogFY17!N:N,LogFY17!A:A,"=maui_county_management"))</f>
        <v>4</v>
      </c>
      <c r="V28" s="7">
        <f t="shared" ref="V28:V38" si="62">U28/T28</f>
        <v>0.17391304347826086</v>
      </c>
      <c r="W28" s="7">
        <f t="shared" ref="W28:W38" si="63">V28-L28</f>
        <v>5.6265984654731455E-2</v>
      </c>
      <c r="X28">
        <f>ROUND(SUM(SUMIFS(LogFY17!K:K,LogFY17!A:A,"=*mayor*"),SUMIFS(LogFY17!K:K,LogFY17!A:A,"=maui_county_management"))/SUM(SUMIFS(LogFY17!J:J,LogFY17!A:A,"=*mayor*"),SUMIFS(LogFY17!J:J,LogFY17!A:A,"=maui_county_management")),0)</f>
        <v>3</v>
      </c>
      <c r="Y28">
        <f t="shared" ref="Y28:Y43" si="64">X28-N28</f>
        <v>-5</v>
      </c>
      <c r="Z28" s="1">
        <v>62</v>
      </c>
      <c r="AA28" s="1">
        <f t="shared" si="54"/>
        <v>31</v>
      </c>
      <c r="AB28">
        <f>COUNTIFS(All!F:F,"=*mayor*", All!B:B, "&gt;=7/1/2016", All!B:B,"&lt;=6/30/2017", All!E:E,"=U*",All!E:E,"&lt;&gt;UIPA*",All!E:E,"&lt;&gt;*RFO*",All!E:E,"&lt;&gt;*TRNG*")</f>
        <v>0</v>
      </c>
      <c r="AC28" s="7">
        <f>ROUND(AB28/(T28+J28),3)</f>
        <v>0</v>
      </c>
      <c r="AD28">
        <f>SUM(SUMIFS(LogFY18!D:D,LogFY18!A:A,"=*mayor*"),SUMIFS(LogFY18!D:D,LogFY18!A:A,"=maui_county_management"))</f>
        <v>20</v>
      </c>
      <c r="AE28">
        <f>SUM(SUMIFS(LogFY18!D:D,LogFY18!A:A,"=*mayor*"),SUMIFS(LogFY18!D:D,LogFY18!A:A,"=maui_county_management"),-1*SUMIFS(LogFY18!L:L,LogFY18!A:A,"=*mayor*"),-1*SUMIFS(LogFY18!L:L,LogFY18!A:A,"=*maui_county_management*"),-1*SUMIFS(LogFY18!N:N,LogFY18!A:A,"=*mayor*"),-1*SUMIFS(LogFY18!N:N,LogFY18!A:A,"=maui_county_management"))</f>
        <v>6</v>
      </c>
      <c r="AF28" s="7">
        <f>AE28/AD28</f>
        <v>0.3</v>
      </c>
      <c r="AG28" s="7">
        <f>AF28-V28</f>
        <v>0.12608695652173912</v>
      </c>
      <c r="AH28">
        <f>ROUND(SUM(SUMIFS(LogFY18!K:K,LogFY18!A:A,"=*mayor*"),SUMIFS(LogFY18!K:K,LogFY18!A:A,"=maui_county_management"))/SUM(SUMIFS(LogFY18!J:J,LogFY18!A:A,"=*mayor*"),SUMIFS(LogFY18!J:J,LogFY18!A:A,"=maui_county_management")),0)</f>
        <v>11</v>
      </c>
      <c r="AI28">
        <f>AH28-X28</f>
        <v>8</v>
      </c>
      <c r="AJ28" s="1">
        <v>86</v>
      </c>
      <c r="AK28" s="1">
        <f>AJ28-Z28</f>
        <v>24</v>
      </c>
      <c r="AL28">
        <f>COUNTIFS(All!F:F,"=*mayor*", All!B:B, "&gt;=7/1/2017", All!B:B,"&lt;=6/30/2018", All!E:E,"=U*",All!E:E,"&lt;&gt;UIPA*",All!E:E,"&lt;&gt;*RFO*",All!E:E,"&lt;&gt;*TRNG*")</f>
        <v>0</v>
      </c>
      <c r="AM28" s="7">
        <f>ROUND(AL28/(AD28+T28),3)</f>
        <v>0</v>
      </c>
      <c r="AN28">
        <f>SUM(SUMIFS(LogFY19!D:D,LogFY19!A:A,"=*mayor*"),SUMIFS(LogFY19!D:D,LogFY19!A:A,"=maui_county_management"))</f>
        <v>17</v>
      </c>
      <c r="AO28">
        <f>SUM(SUMIFS(LogFY19!D:D,LogFY19!A:A,"=*mayor*"),SUMIFS(LogFY19!D:D,LogFY19!A:A,"=maui_county_management"),-1*SUMIFS(LogFY19!L:L,LogFY19!A:A,"=*mayor*"),-1*SUMIFS(LogFY19!L:L,LogFY19!A:A,"=*maui_county_management*"),-1*SUMIFS(LogFY19!N:N,LogFY19!A:A,"=*mayor*"),-1*SUMIFS(LogFY19!N:N,LogFY19!A:A,"=maui_county_management"))</f>
        <v>7</v>
      </c>
      <c r="AP28" s="7">
        <f>AO28/AN28</f>
        <v>0.41176470588235292</v>
      </c>
      <c r="AQ28" s="7">
        <f>AP28-AF28</f>
        <v>0.11176470588235293</v>
      </c>
      <c r="AR28">
        <f>ROUND(SUM(SUMIFS(LogFY19!K:K,LogFY19!A:A,"=*mayor*"),SUMIFS(LogFY19!K:K,LogFY19!A:A,"=maui_county_management"))/SUM(SUMIFS(LogFY19!J:J,LogFY19!A:A,"=*mayor*"),SUMIFS(LogFY19!J:J,LogFY19!A:A,"=maui_county_management")),0)</f>
        <v>5</v>
      </c>
      <c r="AS28">
        <f>AR28-AH28</f>
        <v>-6</v>
      </c>
      <c r="AT28" s="1">
        <v>11</v>
      </c>
      <c r="AU28" s="1">
        <f>AT28-AJ28</f>
        <v>-75</v>
      </c>
      <c r="AV28">
        <f>COUNTIFS(All!F:F,"=*mayor*", All!B:B, "&gt;=7/1/2018", All!B:B,"&lt;=6/30/2019", All!E:E,"=U*",All!E:E,"&lt;&gt;UIPA*",All!E:E,"&lt;&gt;*RFO*",All!E:E,"&lt;&gt;*TRNG*")</f>
        <v>2</v>
      </c>
      <c r="AW28" s="7">
        <f>ROUND(AV28/(AN28+AD28),3)</f>
        <v>5.3999999999999999E-2</v>
      </c>
      <c r="AX28">
        <f>SUM(SUMIFS(LogFY20!D:D,LogFY20!A:A,"=*mayor*"),SUMIFS(LogFY20!D:D,LogFY20!A:A,"=maui_county_management"))</f>
        <v>7</v>
      </c>
      <c r="AY28">
        <f>SUM(SUMIFS(LogFY20!D:D,LogFY20!A:A,"=*mayor*"),SUMIFS(LogFY20!D:D,LogFY20!A:A,"=maui_county_management"),-1*SUMIFS(LogFY20!L:L,LogFY20!A:A,"=*mayor*"),-1*SUMIFS(LogFY20!L:L,LogFY20!A:A,"=*maui_county_management*"),-1*SUMIFS(LogFY20!N:N,LogFY20!A:A,"=*mayor*"),-1*SUMIFS(LogFY20!N:N,LogFY20!A:A,"=maui_county_management"))</f>
        <v>4</v>
      </c>
      <c r="AZ28" s="7">
        <f>AY28/AX28</f>
        <v>0.5714285714285714</v>
      </c>
      <c r="BA28" s="7">
        <f>AZ28-AP28</f>
        <v>0.15966386554621848</v>
      </c>
      <c r="BB28">
        <f>ROUND(SUM(SUMIFS(LogFY20!K:K,LogFY20!A:A,"=*mayor*"),SUMIFS(LogFY20!K:K,LogFY20!A:A,"=maui_county_management"))/SUM(SUMIFS(LogFY20!J:J,LogFY20!A:A,"=*mayor*"),SUMIFS(LogFY20!J:J,LogFY20!A:A,"=maui_county_management")),0)</f>
        <v>8</v>
      </c>
      <c r="BC28">
        <f>BB28-AR28</f>
        <v>3</v>
      </c>
      <c r="BD28" s="1">
        <v>38</v>
      </c>
      <c r="BE28" s="1">
        <f>BD28-AT28</f>
        <v>27</v>
      </c>
      <c r="BF28">
        <f>COUNTIFS(All!F:F,"=*mayor*", All!B:B, "&gt;=7/1/2019", All!B:B,"&lt;=6/30/2020", All!E:E,"=U*",All!E:E,"&lt;&gt;UIPA*",All!E:E,"&lt;&gt;*RFO*",All!E:E,"&lt;&gt;*TRNG*")</f>
        <v>0</v>
      </c>
      <c r="BG28" s="7">
        <f>ROUND(BF28/(AX28+AN28),3)</f>
        <v>0</v>
      </c>
      <c r="BH28">
        <f>SUM(SUMIFS(LogFY21!D:D,LogFY21!A:A,"=*mayor*"),SUMIFS(LogFY21!D:D,LogFY21!A:A,"=maui_county_management"))</f>
        <v>16</v>
      </c>
      <c r="BI28">
        <f>SUM(SUMIFS(LogFY21!D:D,LogFY21!A:A,"=*mayor*"),SUMIFS(LogFY21!D:D,LogFY21!A:A,"=maui_county_management"),-1*SUMIFS(LogFY21!L:L,LogFY21!A:A,"=*mayor*"),-1*SUMIFS(LogFY21!L:L,LogFY21!A:A,"=*maui_county_management*"),-1*SUMIFS(LogFY21!N:N,LogFY21!A:A,"=*mayor*"),-1*SUMIFS(LogFY21!N:N,LogFY21!A:A,"=maui_county_management"))</f>
        <v>10</v>
      </c>
      <c r="BJ28" s="7">
        <f t="shared" si="55"/>
        <v>0.625</v>
      </c>
      <c r="BK28" s="7">
        <f t="shared" si="56"/>
        <v>5.3571428571428603E-2</v>
      </c>
      <c r="BL28">
        <f>ROUND(SUM(SUMIFS(LogFY21!K:K,LogFY21!A:A,"=*mayor*"),SUMIFS(LogFY21!K:K,LogFY21!A:A,"=maui_county_management"))/SUM(SUMIFS(LogFY21!J:J,LogFY21!A:A,"=*mayor*"),SUMIFS(LogFY21!J:J,LogFY21!A:A,"=maui_county_management")),0)</f>
        <v>23</v>
      </c>
      <c r="BM28">
        <f t="shared" si="57"/>
        <v>15</v>
      </c>
      <c r="BN28" s="1">
        <v>189</v>
      </c>
      <c r="BO28" s="1">
        <f t="shared" si="58"/>
        <v>151</v>
      </c>
      <c r="BP28">
        <f>COUNTIFS(All!F:F,"=*mayor*", All!B:B, "&gt;=7/1/2020", All!B:B,"&lt;=6/30/2021", All!E:E,"=U*",All!E:E,"&lt;&gt;UIPA*",All!E:E,"&lt;&gt;*RFO*",All!E:E,"&lt;&gt;*TRNG*")</f>
        <v>0</v>
      </c>
      <c r="BQ28" s="7">
        <f>ROUND(BP28/(BH28+AX28),3)</f>
        <v>0</v>
      </c>
      <c r="BR28">
        <f>SUM(SUMIFS(LogFY22!D:D,LogFY22!A:A,"=*mayor*"),SUMIFS(LogFY22!D:D,LogFY22!A:A,"=maui_county_management"))</f>
        <v>20</v>
      </c>
      <c r="BS28">
        <f>SUM(SUMIFS(LogFY22!D:D,LogFY22!A:A,"=*mayor*"),SUMIFS(LogFY22!D:D,LogFY22!A:A,"=maui_county_management"),-1*SUMIFS(LogFY22!L:L,LogFY22!A:A,"=*mayor*"),-1*SUMIFS(LogFY22!L:L,LogFY22!A:A,"=*maui_county_management*"),-1*SUMIFS(LogFY22!N:N,LogFY22!A:A,"=*mayor*"),-1*SUMIFS(LogFY22!N:N,LogFY22!A:A,"=maui_county_management"))</f>
        <v>10</v>
      </c>
      <c r="BT28" s="7">
        <f t="shared" si="48"/>
        <v>0.5</v>
      </c>
      <c r="BU28" s="7">
        <f t="shared" si="17"/>
        <v>-0.125</v>
      </c>
      <c r="BV28">
        <f>ROUND(SUM(SUMIFS(LogFY22!K:K,LogFY22!A:A,"=*mayor*"),SUMIFS(LogFY22!K:K,LogFY22!A:A,"=maui_county_management"))/SUM(SUMIFS(LogFY22!J:J,LogFY22!A:A,"=*mayor*"),SUMIFS(LogFY22!J:J,LogFY22!A:A,"=maui_county_management")),0)</f>
        <v>5</v>
      </c>
      <c r="BW28">
        <f t="shared" si="49"/>
        <v>-18</v>
      </c>
      <c r="BX28" s="1">
        <v>22</v>
      </c>
      <c r="BY28" s="1">
        <f t="shared" si="47"/>
        <v>-167</v>
      </c>
      <c r="BZ28">
        <f>COUNTIFS(All!F:F,"=*mayor*", All!B:B, "&gt;=7/1/2021", All!B:B,"&lt;=6/30/2022", All!E:E,"=U*",All!E:E,"&lt;&gt;UIPA*",All!E:E,"&lt;&gt;*RFO*",All!E:E,"&lt;&gt;*TRNG*")</f>
        <v>1</v>
      </c>
      <c r="CA28" s="7">
        <f>ROUND(BZ28/(BR28+BH28),3)</f>
        <v>2.8000000000000001E-2</v>
      </c>
      <c r="CB28">
        <f>SUM(SUMIFS(LogFY23!D:D,LogFY23!A:A,"=*mayor*"),SUMIFS(LogFY23!D:D,LogFY23!A:A,"=maui_county_management"))</f>
        <v>30</v>
      </c>
      <c r="CC28">
        <f>SUM(SUMIFS(LogFY23!D:D,LogFY23!A:A,"=*mayor*"),SUMIFS(LogFY23!D:D,LogFY23!A:A,"=maui_county_management"),-1*SUMIFS(LogFY23!L:L,LogFY23!A:A,"=*mayor*"),-1*SUMIFS(LogFY23!L:L,LogFY23!A:A,"=*maui_county_management*"),-1*SUMIFS(LogFY23!N:N,LogFY23!A:A,"=*mayor*"),-1*SUMIFS(LogFY23!N:N,LogFY23!A:A,"=maui_county_management"))</f>
        <v>11</v>
      </c>
      <c r="CD28" s="7">
        <f t="shared" si="59"/>
        <v>0.36666666666666664</v>
      </c>
      <c r="CE28" s="7">
        <f t="shared" si="60"/>
        <v>-0.13333333333333336</v>
      </c>
      <c r="CF28">
        <f>ROUND(SUM(SUMIFS(LogFY23!K:K,LogFY23!A:A,"=*mayor*"),SUMIFS(LogFY23!K:K,LogFY23!A:A,"=maui_county_management"))/SUM(SUMIFS(LogFY23!J:J,LogFY23!A:A,"=*mayor*"),SUMIFS(LogFY23!J:J,LogFY23!A:A,"=maui_county_management")),0)</f>
        <v>11</v>
      </c>
      <c r="CG28">
        <f t="shared" si="61"/>
        <v>6</v>
      </c>
      <c r="CH28" s="1">
        <v>35</v>
      </c>
      <c r="CI28" s="1">
        <f t="shared" si="23"/>
        <v>13</v>
      </c>
      <c r="CJ28">
        <f>COUNTIFS(All!F:F,"=*mayor*", All!B:B, "&gt;=7/1/2022", All!B:B,"&lt;=6/30/2023", All!E:E,"=U*",All!E:E,"&lt;&gt;UIPA*",All!E:E,"&lt;&gt;*RFO*",All!E:E,"&lt;&gt;*TRNG*")</f>
        <v>0</v>
      </c>
      <c r="CK28" s="7">
        <f>ROUND(CJ28/(CB28+BR28),3)</f>
        <v>0</v>
      </c>
      <c r="CL28">
        <f>SUM(SUMIFS(LogFY24!D:D,LogFY24!A:A,"=*mayor*"),SUMIFS(LogFY24!D:D,LogFY24!A:A,"=maui_county_management"))</f>
        <v>37</v>
      </c>
      <c r="CM28">
        <f>SUM(SUMIFS(LogFY24!D:D,LogFY24!A:A,"=*mayor*"),SUMIFS(LogFY24!D:D,LogFY24!A:A,"=maui_county_management"),-1*SUMIFS(LogFY24!L:L,LogFY24!A:A,"=*mayor*"),-1*SUMIFS(LogFY24!L:L,LogFY24!A:A,"=*maui_county_management*"),-1*SUMIFS(LogFY24!N:N,LogFY24!A:A,"=*mayor*"),-1*SUMIFS(LogFY24!N:N,LogFY24!A:A,"=maui_county_management"))</f>
        <v>21</v>
      </c>
      <c r="CN28" s="7">
        <f t="shared" si="24"/>
        <v>0.56756756756756754</v>
      </c>
      <c r="CO28" s="7">
        <f t="shared" si="25"/>
        <v>0.2009009009009009</v>
      </c>
      <c r="CP28">
        <f>ROUND(SUM(SUMIFS(LogFY24!K:K,LogFY24!A:A,"=*mayor*"),SUMIFS(LogFY24!K:K,LogFY24!A:A,"=maui_county_management"))/SUM(SUMIFS(LogFY24!J:J,LogFY24!A:A,"=*mayor*"),SUMIFS(LogFY24!J:J,LogFY24!A:A,"=maui_county_management")),0)</f>
        <v>12</v>
      </c>
      <c r="CQ28">
        <f t="shared" si="26"/>
        <v>1</v>
      </c>
      <c r="CR28" s="1">
        <v>48</v>
      </c>
      <c r="CS28" s="1">
        <f t="shared" si="27"/>
        <v>13</v>
      </c>
      <c r="CT28">
        <f>COUNTIFS(All!F:F,"=*mayor*", All!B:B, "&gt;=7/1/2023", All!B:B,"&lt;=6/30/2024", All!E:E,"=U*",All!E:E,"&lt;&gt;UIPA*",All!E:E,"&lt;&gt;*RFO*",All!E:E,"&lt;&gt;*TRNG*")</f>
        <v>7</v>
      </c>
      <c r="CU28" s="7">
        <f>ROUND(CT28/(CL28+CB28),3)</f>
        <v>0.104</v>
      </c>
    </row>
    <row r="29" spans="1:99" ht="16">
      <c r="A29" s="10">
        <f t="shared" si="28"/>
        <v>28</v>
      </c>
      <c r="B29" s="9" t="s">
        <v>17489</v>
      </c>
      <c r="C29">
        <f>SUMIFS(LogFY15!D:D,LogFY15!B:B,"=*managing director")</f>
        <v>7</v>
      </c>
      <c r="D29">
        <f>SUM(SUMIFS(LogFY15!D:D,LogFY15!B:B,"=*managing director"),-1*SUMIFS(LogFY15!L:L,LogFY15!B:B,"=*managing director"),-1*SUMIFS(LogFY15!N:N,LogFY15!B:B,"=*managing director"))</f>
        <v>3</v>
      </c>
      <c r="E29" s="7">
        <f t="shared" si="34"/>
        <v>0.42857142857142855</v>
      </c>
      <c r="F29">
        <f>ROUND(SUMIFS(LogFY15!K:K,LogFY15!B:B,"=*managing director")/SUMIFS(LogFY15!J:J,LogFY15!B:B,"=*managing director"),0)</f>
        <v>14</v>
      </c>
      <c r="G29" s="1">
        <v>23</v>
      </c>
      <c r="J29">
        <f>SUMIFS(LogFY16!D:D,LogFY16!B:B,"=*managing director")</f>
        <v>18</v>
      </c>
      <c r="K29">
        <f>SUM(SUMIFS(LogFY16!D:D,LogFY16!B:B,"=*managing director"),-1*SUMIFS(LogFY16!L:L,LogFY16!B:B,"=*managing director"),-1*SUMIFS(LogFY16!N:N,LogFY16!B:B,"=*managing director"))</f>
        <v>9</v>
      </c>
      <c r="L29" s="7">
        <f t="shared" si="50"/>
        <v>0.5</v>
      </c>
      <c r="M29" s="7">
        <f t="shared" si="51"/>
        <v>7.1428571428571452E-2</v>
      </c>
      <c r="N29">
        <f>ROUND(SUMIFS(LogFY16!K:K,LogFY16!B:B,"=*managing director")/SUMIFS(LogFY16!J:J,LogFY16!B:B,"=*managing director"),0)</f>
        <v>10</v>
      </c>
      <c r="O29">
        <f t="shared" si="52"/>
        <v>-4</v>
      </c>
      <c r="P29" s="1">
        <v>31</v>
      </c>
      <c r="Q29" s="1">
        <f t="shared" si="53"/>
        <v>8</v>
      </c>
      <c r="T29">
        <f>SUMIFS(LogFY17!D:D,LogFY17!B:B,"=*managing director")</f>
        <v>21</v>
      </c>
      <c r="U29">
        <f>SUM(SUMIFS(LogFY17!D:D,LogFY17!B:B,"=*managing director"),-1*SUMIFS(LogFY17!L:L,LogFY17!B:B,"=*managing director"),-1*SUMIFS(LogFY17!N:N,LogFY17!B:B,"=*managing director"))</f>
        <v>15</v>
      </c>
      <c r="V29" s="7">
        <f t="shared" si="62"/>
        <v>0.7142857142857143</v>
      </c>
      <c r="W29" s="7">
        <f t="shared" si="63"/>
        <v>0.2142857142857143</v>
      </c>
      <c r="X29">
        <f>ROUND(SUMIFS(LogFY17!K:K,LogFY17!B:B,"=*managing director")/SUMIFS(LogFY17!J:J,LogFY17!B:B,"=*managing director"),0)</f>
        <v>14</v>
      </c>
      <c r="Y29">
        <f t="shared" si="64"/>
        <v>4</v>
      </c>
      <c r="Z29" s="1">
        <v>62</v>
      </c>
      <c r="AA29" s="1">
        <f t="shared" si="54"/>
        <v>31</v>
      </c>
      <c r="AD29">
        <f>SUMIFS(LogFY18!D:D,LogFY18!B:B,"=*managing director")</f>
        <v>11</v>
      </c>
      <c r="AE29">
        <f>SUM(SUMIFS(LogFY18!D:D,LogFY18!B:B,"=*managing director"),-1*SUMIFS(LogFY18!L:L,LogFY18!B:B,"=*managing director"),-1*SUMIFS(LogFY18!N:N,LogFY18!B:B,"=*managing director"))</f>
        <v>5</v>
      </c>
      <c r="AF29" s="7">
        <f>AE29/AD29</f>
        <v>0.45454545454545453</v>
      </c>
      <c r="AG29" s="7">
        <f>AF29-V29</f>
        <v>-0.25974025974025977</v>
      </c>
      <c r="AH29">
        <f>ROUND(SUMIFS(LogFY18!K:K,LogFY18!B:B,"=*managing director")/SUMIFS(LogFY18!J:J,LogFY18!B:B,"=*managing director"),0)</f>
        <v>17</v>
      </c>
      <c r="AI29">
        <f>AH29-X29</f>
        <v>3</v>
      </c>
      <c r="AJ29" s="1">
        <v>86</v>
      </c>
      <c r="AK29" s="1">
        <f>AJ29-Z29</f>
        <v>24</v>
      </c>
      <c r="AN29">
        <f>SUMIFS(LogFY19!D:D,LogFY19!B:B,"=*managing director")</f>
        <v>12</v>
      </c>
      <c r="AO29">
        <f>SUM(SUMIFS(LogFY19!D:D,LogFY19!B:B,"=*managing director"),-1*SUMIFS(LogFY19!L:L,LogFY19!B:B,"=*managing director"),-1*SUMIFS(LogFY19!N:N,LogFY19!B:B,"=*managing director"))</f>
        <v>7</v>
      </c>
      <c r="AP29" s="7">
        <f>AO29/AN29</f>
        <v>0.58333333333333337</v>
      </c>
      <c r="AQ29" s="7">
        <f>AP29-AF29</f>
        <v>0.12878787878787884</v>
      </c>
      <c r="AR29">
        <f>ROUND(SUMIFS(LogFY19!K:K,LogFY19!B:B,"=*managing director")/SUMIFS(LogFY19!J:J,LogFY19!B:B,"=*managing director"),0)</f>
        <v>5</v>
      </c>
      <c r="AS29">
        <f>AR29-AH29</f>
        <v>-12</v>
      </c>
      <c r="AT29" s="1">
        <v>11</v>
      </c>
      <c r="AU29" s="1">
        <f>AT29-AJ29</f>
        <v>-75</v>
      </c>
      <c r="AX29">
        <f>SUMIFS(LogFY20!D:D,LogFY20!B:B,"=*managing director")</f>
        <v>8</v>
      </c>
      <c r="AY29">
        <f>SUM(SUMIFS(LogFY20!D:D,LogFY20!B:B,"=*managing director"),-1*SUMIFS(LogFY20!L:L,LogFY20!B:B,"=*managing director"),-1*SUMIFS(LogFY20!N:N,LogFY20!B:B,"=*managing director"))</f>
        <v>3</v>
      </c>
      <c r="AZ29" s="7">
        <f>AY29/AX29</f>
        <v>0.375</v>
      </c>
      <c r="BA29" s="7">
        <f>AZ29-AP29</f>
        <v>-0.20833333333333337</v>
      </c>
      <c r="BB29">
        <f>ROUND(SUMIFS(LogFY20!K:K,LogFY20!B:B,"=*managing director")/SUMIFS(LogFY20!J:J,LogFY20!B:B,"=*managing director"),0)</f>
        <v>15</v>
      </c>
      <c r="BC29">
        <f>BB29-AR29</f>
        <v>10</v>
      </c>
      <c r="BD29" s="1">
        <v>38</v>
      </c>
      <c r="BE29" s="1">
        <f>BD29-AT29</f>
        <v>27</v>
      </c>
      <c r="BH29">
        <f>SUMIFS(LogFY21!D:D,LogFY21!B:B,"=*managing director")</f>
        <v>9</v>
      </c>
      <c r="BI29">
        <f>SUM(SUMIFS(LogFY21!D:D,LogFY21!B:B,"=*managing director"),-1*SUMIFS(LogFY21!L:L,LogFY21!B:B,"=*managing director"),-1*SUMIFS(LogFY21!N:N,LogFY21!B:B,"=*managing director"))</f>
        <v>0</v>
      </c>
      <c r="BJ29" s="7">
        <f t="shared" si="55"/>
        <v>0</v>
      </c>
      <c r="BK29" s="7">
        <f t="shared" si="56"/>
        <v>-0.375</v>
      </c>
      <c r="BL29">
        <f>ROUND(SUMIFS(LogFY21!K:K,LogFY21!B:B,"=*managing director")/SUMIFS(LogFY21!J:J,LogFY21!B:B,"=*managing director"),0)</f>
        <v>14</v>
      </c>
      <c r="BM29">
        <f t="shared" si="57"/>
        <v>-1</v>
      </c>
      <c r="BN29" s="1">
        <v>37</v>
      </c>
      <c r="BO29" s="1">
        <f t="shared" si="58"/>
        <v>-1</v>
      </c>
      <c r="BR29">
        <f>SUMIFS(LogFY22!D:D,LogFY22!B:B,"=*managing director")</f>
        <v>2</v>
      </c>
      <c r="BS29">
        <f>SUM(SUMIFS(LogFY22!D:D,LogFY22!B:B,"=*managing director"),-1*SUMIFS(LogFY22!L:L,LogFY22!B:B,"=*managing director"),-1*SUMIFS(LogFY22!N:N,LogFY22!B:B,"=*managing director"))</f>
        <v>0</v>
      </c>
      <c r="BT29" s="7">
        <f t="shared" si="48"/>
        <v>0</v>
      </c>
      <c r="BU29" s="7">
        <f t="shared" si="17"/>
        <v>0</v>
      </c>
      <c r="BV29">
        <f>ROUND(SUMIFS(LogFY22!K:K,LogFY22!B:B,"=*managing director")/SUMIFS(LogFY22!J:J,LogFY22!B:B,"=*managing director"),0)</f>
        <v>18</v>
      </c>
      <c r="BW29">
        <f t="shared" si="49"/>
        <v>4</v>
      </c>
      <c r="BX29" s="1">
        <v>22</v>
      </c>
      <c r="BY29" s="1">
        <f t="shared" si="47"/>
        <v>-15</v>
      </c>
      <c r="CB29">
        <f>SUMIFS(LogFY23!D:D,LogFY23!B:B,"=*managing director")</f>
        <v>1</v>
      </c>
      <c r="CC29">
        <f>SUM(SUMIFS(LogFY23!D:D,LogFY23!B:B,"=*managing director"),-1*SUMIFS(LogFY23!L:L,LogFY23!B:B,"=*managing director"),-1*SUMIFS(LogFY23!N:N,LogFY23!B:B,"=*managing director"))</f>
        <v>0</v>
      </c>
      <c r="CD29" s="7">
        <f t="shared" si="59"/>
        <v>0</v>
      </c>
      <c r="CE29" s="7">
        <f t="shared" si="60"/>
        <v>0</v>
      </c>
      <c r="CF29">
        <f>ROUND(SUMIFS(LogFY23!K:K,LogFY23!B:B,"=*managing director")/SUMIFS(LogFY23!J:J,LogFY23!B:B,"=*managing director"),0)</f>
        <v>34</v>
      </c>
      <c r="CG29">
        <f t="shared" si="61"/>
        <v>16</v>
      </c>
      <c r="CH29" s="1">
        <v>34</v>
      </c>
      <c r="CI29" s="1">
        <f t="shared" si="23"/>
        <v>12</v>
      </c>
      <c r="CK29" s="7"/>
      <c r="CL29">
        <f>SUMIFS(LogFY24!D:D,LogFY24!B:B,"=*managing director")</f>
        <v>6</v>
      </c>
      <c r="CM29">
        <f>SUM(SUMIFS(LogFY24!D:D,LogFY24!B:B,"=*managing director"),-1*SUMIFS(LogFY24!L:L,LogFY24!B:B,"=*managing director"),-1*SUMIFS(LogFY24!N:N,LogFY24!B:B,"=*managing director"))</f>
        <v>3</v>
      </c>
      <c r="CN29" s="7">
        <f t="shared" si="24"/>
        <v>0.5</v>
      </c>
      <c r="CO29" s="7">
        <f t="shared" si="25"/>
        <v>0.5</v>
      </c>
      <c r="CP29">
        <f>ROUND(SUMIFS(LogFY24!K:K,LogFY24!B:B,"=*managing director")/SUMIFS(LogFY24!J:J,LogFY24!B:B,"=*managing director"),0)</f>
        <v>4</v>
      </c>
      <c r="CQ29">
        <f t="shared" si="26"/>
        <v>-30</v>
      </c>
      <c r="CR29" s="1">
        <v>10</v>
      </c>
      <c r="CS29" s="1">
        <f t="shared" si="27"/>
        <v>-24</v>
      </c>
    </row>
    <row r="30" spans="1:99" ht="16">
      <c r="A30" s="10">
        <f t="shared" si="28"/>
        <v>29</v>
      </c>
      <c r="B30" s="9" t="s">
        <v>17488</v>
      </c>
      <c r="C30">
        <f>SUM(SUMIFS(LogFY15!D:D,LogFY15!A:A,"=maui_county_mayor"),SUMIFS(LogFY15!D:D,LogFY15!A:A,"=maui_county_management"))</f>
        <v>8</v>
      </c>
      <c r="D30">
        <f>SUM(SUMIFS(LogFY15!D:D,LogFY15!A:A,"=maui_county_mayor"),SUMIFS(LogFY15!D:D,LogFY15!A:A,"=maui_county_management"),-1*SUMIFS(LogFY15!L:L,LogFY15!A:A,"=maui_county_mayor"),-1*SUMIFS(LogFY15!L:L,LogFY15!A:A,"=maui_county_management"),-1*SUMIFS(LogFY15!N:N,LogFY15!A:A,"=maui_county_mayor"),-1*SUMIFS(LogFY15!N:N,LogFY15!A:A,"=maui_county_management"))</f>
        <v>1</v>
      </c>
      <c r="E30" s="7">
        <f t="shared" si="34"/>
        <v>0.125</v>
      </c>
      <c r="F30">
        <f>ROUND(SUM(SUMIFS(LogFY15!K:K,LogFY15!A:A,"=maui_county_mayor"),SUMIFS(LogFY15!K:K,LogFY15!A:A,"=maui_county_management"))/SUM(SUMIFS(LogFY15!J:J,LogFY15!A:A,"=maui_county_mayor"),SUMIFS(LogFY15!J:J,LogFY15!A:A,"=maui_county_management")),0)</f>
        <v>8</v>
      </c>
      <c r="G30" s="1">
        <v>15</v>
      </c>
      <c r="J30">
        <f>SUM(SUMIFS(LogFY16!D:D,LogFY16!A:A,"=maui_county_mayor"),SUMIFS(LogFY16!D:D,LogFY16!A:A,"=maui_county_management"))</f>
        <v>8</v>
      </c>
      <c r="K30">
        <f>SUM(SUMIFS(LogFY16!D:D,LogFY16!A:A,"=maui_county_mayor"),SUMIFS(LogFY16!D:D,LogFY16!A:A,"=maui_county_management"),-1*SUMIFS(LogFY16!L:L,LogFY16!A:A,"=maui_county_mayor"),-1*SUMIFS(LogFY16!L:L,LogFY16!A:A,"=*maui_county_management*"),-1*SUMIFS(LogFY16!N:N,LogFY16!A:A,"=maui_county_mayor"),-1*SUMIFS(LogFY16!N:N,LogFY16!A:A,"=maui_county_management"))</f>
        <v>1</v>
      </c>
      <c r="L30" s="7">
        <f t="shared" si="50"/>
        <v>0.125</v>
      </c>
      <c r="M30" s="7">
        <f t="shared" si="51"/>
        <v>0</v>
      </c>
      <c r="N30">
        <f>ROUND(SUM(SUMIFS(LogFY16!K:K,LogFY16!A:A,"=maui_county_mayor"),SUMIFS(LogFY16!K:K,LogFY16!A:A,"=maui_county_management"))/SUM(SUMIFS(LogFY16!J:J,LogFY16!A:A,"=maui_county_mayor"),SUMIFS(LogFY16!J:J,LogFY16!A:A,"=maui_county_management")),0)</f>
        <v>8</v>
      </c>
      <c r="O30">
        <f t="shared" si="52"/>
        <v>0</v>
      </c>
      <c r="P30" s="1">
        <v>15</v>
      </c>
      <c r="Q30" s="1">
        <f t="shared" si="53"/>
        <v>0</v>
      </c>
      <c r="T30">
        <f>SUM(SUMIFS(LogFY17!D:D,LogFY17!A:A,"=maui_county_mayor"),SUMIFS(LogFY17!D:D,LogFY17!A:A,"=maui_county_management"))</f>
        <v>5</v>
      </c>
      <c r="U30">
        <f>SUM(SUMIFS(LogFY17!D:D,LogFY17!A:A,"=maui_county_mayor"),SUMIFS(LogFY17!D:D,LogFY17!A:A,"=maui_county_management"),-1*SUMIFS(LogFY17!L:L,LogFY17!A:A,"=maui_county_mayor"),-1*SUMIFS(LogFY17!L:L,LogFY17!A:A,"=*maui_county_management*"),-1*SUMIFS(LogFY17!N:N,LogFY17!A:A,"=maui_county_mayor"),-1*SUMIFS(LogFY17!N:N,LogFY17!A:A,"=maui_county_management"))</f>
        <v>2</v>
      </c>
      <c r="V30" s="7">
        <f t="shared" si="62"/>
        <v>0.4</v>
      </c>
      <c r="W30" s="7">
        <f t="shared" si="63"/>
        <v>0.27500000000000002</v>
      </c>
      <c r="X30">
        <f>ROUND(SUM(SUMIFS(LogFY17!K:K,LogFY17!A:A,"=maui_county_mayor"),SUMIFS(LogFY17!K:K,LogFY17!A:A,"=maui_county_management"))/SUM(SUMIFS(LogFY17!J:J,LogFY17!A:A,"=maui_county_mayor"),SUMIFS(LogFY17!J:J,LogFY17!A:A,"=maui_county_management")),0)</f>
        <v>3</v>
      </c>
      <c r="Y30">
        <f t="shared" si="64"/>
        <v>-5</v>
      </c>
      <c r="Z30" s="1">
        <v>5</v>
      </c>
      <c r="AA30" s="1">
        <f t="shared" si="54"/>
        <v>-10</v>
      </c>
      <c r="AD30">
        <f>SUM(SUMIFS(LogFY18!D:D,LogFY18!A:A,"=maui_county_mayor"),SUMIFS(LogFY18!D:D,LogFY18!A:A,"=maui_county_management"))</f>
        <v>2</v>
      </c>
      <c r="AE30">
        <f>SUM(SUMIFS(LogFY18!D:D,LogFY18!A:A,"=maui_county_mayor"),SUMIFS(LogFY18!D:D,LogFY18!A:A,"=maui_county_management"),-1*SUMIFS(LogFY18!L:L,LogFY18!A:A,"=maui_county_mayor"),-1*SUMIFS(LogFY18!L:L,LogFY18!A:A,"=*maui_county_management*"),-1*SUMIFS(LogFY18!N:N,LogFY18!A:A,"=maui_county_mayor"),-1*SUMIFS(LogFY18!N:N,LogFY18!A:A,"=maui_county_management"))</f>
        <v>1</v>
      </c>
      <c r="AF30" s="7">
        <f>AE30/AD30</f>
        <v>0.5</v>
      </c>
      <c r="AG30" s="7">
        <f>AF30-V30</f>
        <v>9.9999999999999978E-2</v>
      </c>
      <c r="AH30">
        <f>ROUND(SUM(SUMIFS(LogFY18!K:K,LogFY18!A:A,"=maui_county_mayor"),SUMIFS(LogFY18!K:K,LogFY18!A:A,"=maui_county_management"))/SUM(SUMIFS(LogFY18!J:J,LogFY18!A:A,"=maui_county_mayor"),SUMIFS(LogFY18!J:J,LogFY18!A:A,"=maui_county_management")),0)</f>
        <v>6</v>
      </c>
      <c r="AI30">
        <f>AH30-X30</f>
        <v>3</v>
      </c>
      <c r="AJ30" s="1">
        <v>8</v>
      </c>
      <c r="AK30" s="1">
        <f>AJ30-Z30</f>
        <v>3</v>
      </c>
      <c r="AN30">
        <f>SUM(SUMIFS(LogFY19!D:D,LogFY19!A:A,"=maui_county_mayor"),SUMIFS(LogFY19!D:D,LogFY19!A:A,"=maui_county_management"))</f>
        <v>0</v>
      </c>
      <c r="AO30">
        <f>SUM(SUMIFS(LogFY19!D:D,LogFY19!A:A,"=maui_county_mayor"),SUMIFS(LogFY19!D:D,LogFY19!A:A,"=maui_county_management"),-1*SUMIFS(LogFY19!L:L,LogFY19!A:A,"=maui_county_mayor"),-1*SUMIFS(LogFY19!L:L,LogFY19!A:A,"=*maui_county_management*"),-1*SUMIFS(LogFY19!N:N,LogFY19!A:A,"=maui_county_mayor"),-1*SUMIFS(LogFY19!N:N,LogFY19!A:A,"=maui_county_management"))</f>
        <v>0</v>
      </c>
      <c r="AP30" s="7"/>
      <c r="AQ30" s="7"/>
      <c r="AT30" s="1"/>
      <c r="AU30" s="1">
        <f>AT30-AJ30</f>
        <v>-8</v>
      </c>
      <c r="AX30" s="12">
        <f>SUM(SUMIFS(LogFY20!D:D,LogFY20!A:A,"=maui_county_mayor"),SUMIFS(LogFY20!D:D,LogFY20!A:A,"=maui_county_management"))</f>
        <v>2</v>
      </c>
      <c r="AY30" s="12">
        <f>SUM(SUMIFS(LogFY20!D:D,LogFY20!A:A,"=maui_county_mayor"),SUMIFS(LogFY20!D:D,LogFY20!A:A,"=maui_county_management"),-1*SUMIFS(LogFY20!L:L,LogFY20!A:A,"=maui_county_mayor"),-1*SUMIFS(LogFY20!L:L,LogFY20!A:A,"=*maui_county_management*"),-1*SUMIFS(LogFY20!N:N,LogFY20!A:A,"=maui_county_mayor"),-1*SUMIFS(LogFY20!N:N,LogFY20!A:A,"=maui_county_management"))</f>
        <v>2</v>
      </c>
      <c r="AZ30" s="7">
        <f>AY30/AX30</f>
        <v>1</v>
      </c>
      <c r="BA30" s="7">
        <f>AZ30-AP30</f>
        <v>1</v>
      </c>
      <c r="BB30" s="12">
        <f>ROUND(SUM(SUMIFS(LogFY20!K:K,LogFY20!A:A,"=maui_county_mayor"),SUMIFS(LogFY20!K:K,LogFY20!A:A,"=maui_county_management"))/SUM(SUMIFS(LogFY20!J:J,LogFY20!A:A,"=maui_county_mayor"),SUMIFS(LogFY20!J:J,LogFY20!A:A,"=maui_county_management")),0)</f>
        <v>15</v>
      </c>
      <c r="BC30">
        <f>BB30-AR30</f>
        <v>15</v>
      </c>
      <c r="BD30" s="88">
        <v>16</v>
      </c>
      <c r="BE30" s="1">
        <f>BD30-AT30</f>
        <v>16</v>
      </c>
      <c r="BH30" s="12">
        <f>SUM(SUMIFS(LogFY21!D:D,LogFY21!A:A,"=maui_county_mayor"),SUMIFS(LogFY21!D:D,LogFY21!A:A,"=maui_county_management"))</f>
        <v>2</v>
      </c>
      <c r="BI30" s="12">
        <f>SUM(SUMIFS(LogFY21!D:D,LogFY21!A:A,"=maui_county_mayor"),SUMIFS(LogFY21!D:D,LogFY21!A:A,"=maui_county_management"),-1*SUMIFS(LogFY21!L:L,LogFY21!A:A,"=maui_county_mayor"),-1*SUMIFS(LogFY21!L:L,LogFY21!A:A,"=*maui_county_management*"),-1*SUMIFS(LogFY21!N:N,LogFY21!A:A,"=maui_county_mayor"),-1*SUMIFS(LogFY21!N:N,LogFY21!A:A,"=maui_county_management"))</f>
        <v>1</v>
      </c>
      <c r="BJ30" s="7">
        <f t="shared" si="55"/>
        <v>0.5</v>
      </c>
      <c r="BK30" s="7">
        <f t="shared" si="56"/>
        <v>-0.5</v>
      </c>
      <c r="BL30" s="12">
        <f>ROUND(SUM(SUMIFS(LogFY21!K:K,LogFY21!A:A,"=maui_county_mayor"),SUMIFS(LogFY21!K:K,LogFY21!A:A,"=maui_county_management"))/SUM(SUMIFS(LogFY21!J:J,LogFY21!A:A,"=maui_county_mayor"),SUMIFS(LogFY21!J:J,LogFY21!A:A,"=maui_county_management")),0)</f>
        <v>95</v>
      </c>
      <c r="BM30">
        <f t="shared" si="57"/>
        <v>80</v>
      </c>
      <c r="BN30" s="88">
        <v>189</v>
      </c>
      <c r="BO30" s="1">
        <f t="shared" si="58"/>
        <v>173</v>
      </c>
      <c r="BR30" s="12">
        <f>SUM(SUMIFS(LogFY22!D:D,LogFY22!A:A,"=maui_county_mayor"),SUMIFS(LogFY22!D:D,LogFY22!A:A,"=maui_county_management"))</f>
        <v>5</v>
      </c>
      <c r="BS30" s="12">
        <f>SUM(SUMIFS(LogFY22!D:D,LogFY22!A:A,"=maui_county_mayor"),SUMIFS(LogFY22!D:D,LogFY22!A:A,"=maui_county_management"),-1*SUMIFS(LogFY22!L:L,LogFY22!A:A,"=maui_county_mayor"),-1*SUMIFS(LogFY22!L:L,LogFY22!A:A,"=*maui_county_management*"),-1*SUMIFS(LogFY22!N:N,LogFY22!A:A,"=maui_county_mayor"),-1*SUMIFS(LogFY22!N:N,LogFY22!A:A,"=maui_county_management"))</f>
        <v>5</v>
      </c>
      <c r="BT30" s="7">
        <f t="shared" si="48"/>
        <v>1</v>
      </c>
      <c r="BU30" s="7">
        <f t="shared" si="17"/>
        <v>0.5</v>
      </c>
      <c r="BV30" s="12">
        <f>ROUND(SUM(SUMIFS(LogFY22!K:K,LogFY22!A:A,"=maui_county_mayor"),SUMIFS(LogFY22!K:K,LogFY22!A:A,"=maui_county_management"))/SUM(SUMIFS(LogFY22!J:J,LogFY22!A:A,"=maui_county_mayor"),SUMIFS(LogFY22!J:J,LogFY22!A:A,"=maui_county_management")),0)</f>
        <v>1</v>
      </c>
      <c r="BW30">
        <f t="shared" si="49"/>
        <v>-94</v>
      </c>
      <c r="BX30" s="88">
        <v>1</v>
      </c>
      <c r="BY30" s="1">
        <f t="shared" si="47"/>
        <v>-188</v>
      </c>
      <c r="CB30" s="12">
        <f>SUM(SUMIFS(LogFY23!D:D,LogFY23!A:A,"=maui_county_mayor"),SUMIFS(LogFY23!D:D,LogFY23!A:A,"=maui_county_management"))</f>
        <v>14</v>
      </c>
      <c r="CC30" s="12">
        <f>SUM(SUMIFS(LogFY23!D:D,LogFY23!A:A,"=maui_county_mayor"),SUMIFS(LogFY23!D:D,LogFY23!A:A,"=maui_county_management"),-1*SUMIFS(LogFY23!L:L,LogFY23!A:A,"=maui_county_mayor"),-1*SUMIFS(LogFY23!L:L,LogFY23!A:A,"=*maui_county_management*"),-1*SUMIFS(LogFY23!N:N,LogFY23!A:A,"=maui_county_mayor"),-1*SUMIFS(LogFY23!N:N,LogFY23!A:A,"=maui_county_management"))</f>
        <v>7</v>
      </c>
      <c r="CD30" s="7">
        <f t="shared" si="59"/>
        <v>0.5</v>
      </c>
      <c r="CE30" s="7">
        <f t="shared" si="60"/>
        <v>-0.5</v>
      </c>
      <c r="CF30" s="12">
        <f>ROUND(SUM(SUMIFS(LogFY23!K:K,LogFY23!A:A,"=maui_county_mayor"),SUMIFS(LogFY23!K:K,LogFY23!A:A,"=maui_county_management"))/SUM(SUMIFS(LogFY23!J:J,LogFY23!A:A,"=maui_county_mayor"),SUMIFS(LogFY23!J:J,LogFY23!A:A,"=maui_county_management")),0)</f>
        <v>19</v>
      </c>
      <c r="CG30">
        <f t="shared" si="61"/>
        <v>18</v>
      </c>
      <c r="CH30" s="88">
        <v>35</v>
      </c>
      <c r="CI30" s="1">
        <f t="shared" si="23"/>
        <v>34</v>
      </c>
      <c r="CK30" s="7"/>
      <c r="CL30" s="12">
        <f>SUM(SUMIFS(LogFY24!D:D,LogFY24!A:A,"=maui_county_mayor"),SUMIFS(LogFY24!D:D,LogFY24!A:A,"=maui_county_management"))</f>
        <v>28</v>
      </c>
      <c r="CM30" s="12">
        <f>SUM(SUMIFS(LogFY24!D:D,LogFY24!A:A,"=maui_county_mayor"),SUMIFS(LogFY24!D:D,LogFY24!A:A,"=maui_county_management"),-1*SUMIFS(LogFY24!L:L,LogFY24!A:A,"=maui_county_mayor"),-1*SUMIFS(LogFY24!L:L,LogFY24!A:A,"=*maui_county_management*"),-1*SUMIFS(LogFY24!N:N,LogFY24!A:A,"=maui_county_mayor"),-1*SUMIFS(LogFY24!N:N,LogFY24!A:A,"=maui_county_management"))</f>
        <v>20</v>
      </c>
      <c r="CN30" s="7">
        <f t="shared" si="24"/>
        <v>0.7142857142857143</v>
      </c>
      <c r="CO30" s="7">
        <f t="shared" si="25"/>
        <v>0.2142857142857143</v>
      </c>
      <c r="CP30" s="12">
        <f>ROUND(SUM(SUMIFS(LogFY24!K:K,LogFY24!A:A,"=maui_county_mayor"),SUMIFS(LogFY24!K:K,LogFY24!A:A,"=maui_county_management"))/SUM(SUMIFS(LogFY24!J:J,LogFY24!A:A,"=maui_county_mayor"),SUMIFS(LogFY24!J:J,LogFY24!A:A,"=maui_county_management")),0)</f>
        <v>13</v>
      </c>
      <c r="CQ30">
        <f t="shared" si="26"/>
        <v>-6</v>
      </c>
      <c r="CR30" s="88">
        <v>69</v>
      </c>
      <c r="CS30" s="1">
        <f t="shared" si="27"/>
        <v>34</v>
      </c>
    </row>
    <row r="31" spans="1:99" ht="16">
      <c r="A31" s="10">
        <f t="shared" si="28"/>
        <v>30</v>
      </c>
      <c r="B31" s="9" t="s">
        <v>17486</v>
      </c>
      <c r="C31">
        <f>SUMIFS(LogFY15!D:D,LogFY15!A:A,"=kauai_county_mayor")</f>
        <v>1</v>
      </c>
      <c r="D31">
        <f>SUM(SUMIFS(LogFY15!D:D,LogFY15!A:A,"=kauai_county_mayor"),-1*SUMIFS(LogFY15!L:L,LogFY15!A:A,"=kauai_county_mayor"),-1*SUMIFS(LogFY15!N:N,LogFY15!A:A,"=kauai_county_mayor"))</f>
        <v>0</v>
      </c>
      <c r="E31" s="7">
        <f t="shared" si="34"/>
        <v>0</v>
      </c>
      <c r="F31">
        <f>ROUND(SUMIFS(LogFY15!K:K,LogFY15!A:A,"=kauai_county_mayor")/SUMIFS(LogFY15!J:J,LogFY15!A:A,"=kauai_county_mayor"),0)</f>
        <v>22</v>
      </c>
      <c r="G31" s="1">
        <v>22</v>
      </c>
      <c r="J31">
        <f>SUMIFS(LogFY16!D:D,LogFY16!A:A,"=kauai_county_mayor")</f>
        <v>2</v>
      </c>
      <c r="K31">
        <f>SUM(SUMIFS(LogFY16!D:D,LogFY16!A:A,"=kauai_county_mayor"),-1*SUMIFS(LogFY16!L:L,LogFY16!A:A,"=kauai_county_mayor"),-1*SUMIFS(LogFY16!N:N,LogFY16!A:A,"=kauai_county_mayor"))</f>
        <v>0</v>
      </c>
      <c r="L31" s="7">
        <f t="shared" si="50"/>
        <v>0</v>
      </c>
      <c r="M31" s="7">
        <f t="shared" si="51"/>
        <v>0</v>
      </c>
      <c r="N31">
        <f>ROUND(SUMIFS(LogFY16!K:K,LogFY16!A:A,"=kauai_county_mayor")/SUMIFS(LogFY16!J:J,LogFY16!A:A,"=kauai_county_mayor"),0)</f>
        <v>1</v>
      </c>
      <c r="O31">
        <f t="shared" si="52"/>
        <v>-21</v>
      </c>
      <c r="P31" s="1">
        <v>1</v>
      </c>
      <c r="Q31" s="1">
        <f t="shared" si="53"/>
        <v>-21</v>
      </c>
      <c r="T31">
        <f>SUMIFS(LogFY17!D:D,LogFY17!A:A,"=kauai_county_mayor")</f>
        <v>6</v>
      </c>
      <c r="U31">
        <f>SUM(SUMIFS(LogFY17!D:D,LogFY17!A:A,"=kauai_county_mayor"),-1*SUMIFS(LogFY17!L:L,LogFY17!A:A,"=kauai_county_mayor"),-1*SUMIFS(LogFY17!N:N,LogFY17!A:A,"=kauai_county_mayor"))</f>
        <v>0</v>
      </c>
      <c r="V31" s="7">
        <f t="shared" si="62"/>
        <v>0</v>
      </c>
      <c r="W31" s="7">
        <f t="shared" si="63"/>
        <v>0</v>
      </c>
      <c r="X31">
        <f>ROUND(SUMIFS(LogFY17!K:K,LogFY17!A:A,"=kauai_county_mayor")/SUMIFS(LogFY17!J:J,LogFY17!A:A,"=kauai_county_mayor"),0)</f>
        <v>1</v>
      </c>
      <c r="Y31">
        <f t="shared" si="64"/>
        <v>0</v>
      </c>
      <c r="Z31" s="1">
        <v>1</v>
      </c>
      <c r="AA31" s="1">
        <f t="shared" si="54"/>
        <v>0</v>
      </c>
      <c r="AD31">
        <f>SUMIFS(LogFY18!D:D,LogFY18!A:A,"=kauai_county_mayor")</f>
        <v>7</v>
      </c>
      <c r="AE31">
        <f>SUM(SUMIFS(LogFY18!D:D,LogFY18!A:A,"=kauai_county_mayor"),-1*SUMIFS(LogFY18!L:L,LogFY18!A:A,"=kauai_county_mayor"),-1*SUMIFS(LogFY18!N:N,LogFY18!A:A,"=kauai_county_mayor"))</f>
        <v>0</v>
      </c>
      <c r="AF31" s="7">
        <f>AE31/AD31</f>
        <v>0</v>
      </c>
      <c r="AG31" s="7">
        <f>AF31-V31</f>
        <v>0</v>
      </c>
      <c r="AH31">
        <f>ROUND(SUMIFS(LogFY18!K:K,LogFY18!A:A,"=kauai_county_mayor")/SUMIFS(LogFY18!J:J,LogFY18!A:A,"=kauai_county_mayor"),0)</f>
        <v>3</v>
      </c>
      <c r="AI31">
        <f>AH31-X31</f>
        <v>2</v>
      </c>
      <c r="AJ31" s="1">
        <v>8</v>
      </c>
      <c r="AK31" s="1">
        <f>AJ31-Z31</f>
        <v>7</v>
      </c>
      <c r="AN31">
        <f>SUMIFS(LogFY19!D:D,LogFY19!A:A,"=kauai_county_mayor")</f>
        <v>5</v>
      </c>
      <c r="AO31">
        <f>SUM(SUMIFS(LogFY19!D:D,LogFY19!A:A,"=kauai_county_mayor"),-1*SUMIFS(LogFY19!L:L,LogFY19!A:A,"=kauai_county_mayor"),-1*SUMIFS(LogFY19!N:N,LogFY19!A:A,"=kauai_county_mayor"))</f>
        <v>0</v>
      </c>
      <c r="AP31" s="7">
        <f>AO31/AN31</f>
        <v>0</v>
      </c>
      <c r="AQ31" s="7">
        <f>AP31-AF31</f>
        <v>0</v>
      </c>
      <c r="AR31">
        <f>ROUND(SUMIFS(LogFY19!K:K,LogFY19!A:A,"=kauai_county_mayor")/SUMIFS(LogFY19!J:J,LogFY19!A:A,"=kauai_county_mayor"),0)</f>
        <v>5</v>
      </c>
      <c r="AS31">
        <f>AR31-AH31</f>
        <v>2</v>
      </c>
      <c r="AT31" s="1">
        <v>8</v>
      </c>
      <c r="AU31" s="1">
        <f>AT31-AJ31</f>
        <v>0</v>
      </c>
      <c r="AX31">
        <f>SUMIFS(LogFY20!D:D,LogFY20!A:A,"=kauai_county_mayor")</f>
        <v>5</v>
      </c>
      <c r="AY31">
        <f>SUM(SUMIFS(LogFY20!D:D,LogFY20!A:A,"=kauai_county_mayor"),-1*SUMIFS(LogFY20!L:L,LogFY20!A:A,"=kauai_county_mayor"),-1*SUMIFS(LogFY20!N:N,LogFY20!A:A,"=kauai_county_mayor"))</f>
        <v>2</v>
      </c>
      <c r="AZ31" s="7">
        <f>AY31/AX31</f>
        <v>0.4</v>
      </c>
      <c r="BA31" s="7">
        <f>AZ31-AP31</f>
        <v>0.4</v>
      </c>
      <c r="BB31">
        <f>ROUND(SUMIFS(LogFY20!K:K,LogFY20!A:A,"=kauai_county_mayor")/SUMIFS(LogFY20!J:J,LogFY20!A:A,"=kauai_county_mayor"),0)</f>
        <v>5</v>
      </c>
      <c r="BC31">
        <f>BB31-AR31</f>
        <v>0</v>
      </c>
      <c r="BD31" s="1">
        <v>7</v>
      </c>
      <c r="BE31" s="1">
        <f>BD31-AT31</f>
        <v>-1</v>
      </c>
      <c r="BH31">
        <f>SUMIFS(LogFY21!D:D,LogFY21!A:A,"=kauai_county_mayor")</f>
        <v>12</v>
      </c>
      <c r="BI31">
        <f>SUM(SUMIFS(LogFY21!D:D,LogFY21!A:A,"=kauai_county_mayor"),-1*SUMIFS(LogFY21!L:L,LogFY21!A:A,"=kauai_county_mayor"),-1*SUMIFS(LogFY21!N:N,LogFY21!A:A,"=kauai_county_mayor"))</f>
        <v>9</v>
      </c>
      <c r="BJ31" s="7">
        <f t="shared" si="55"/>
        <v>0.75</v>
      </c>
      <c r="BK31" s="7">
        <f t="shared" si="56"/>
        <v>0.35</v>
      </c>
      <c r="BL31">
        <f>ROUND(SUMIFS(LogFY21!K:K,LogFY21!A:A,"=kauai_county_mayor")/SUMIFS(LogFY21!J:J,LogFY21!A:A,"=kauai_county_mayor"),0)</f>
        <v>12</v>
      </c>
      <c r="BM31">
        <f t="shared" si="57"/>
        <v>7</v>
      </c>
      <c r="BN31" s="1">
        <v>22</v>
      </c>
      <c r="BO31" s="1">
        <f t="shared" si="58"/>
        <v>15</v>
      </c>
      <c r="BR31">
        <f>SUMIFS(LogFY22!D:D,LogFY22!A:A,"=kauai_county_mayor")</f>
        <v>15</v>
      </c>
      <c r="BS31">
        <f>SUM(SUMIFS(LogFY22!D:D,LogFY22!A:A,"=kauai_county_mayor"),-1*SUMIFS(LogFY22!L:L,LogFY22!A:A,"=kauai_county_mayor"),-1*SUMIFS(LogFY22!N:N,LogFY22!A:A,"=kauai_county_mayor"))</f>
        <v>5</v>
      </c>
      <c r="BT31" s="7">
        <f t="shared" si="48"/>
        <v>0.33333333333333331</v>
      </c>
      <c r="BU31" s="7">
        <f t="shared" si="17"/>
        <v>-0.41666666666666669</v>
      </c>
      <c r="BV31">
        <f>ROUND(SUMIFS(LogFY22!K:K,LogFY22!A:A,"=kauai_county_mayor")/SUMIFS(LogFY22!J:J,LogFY22!A:A,"=kauai_county_mayor"),0)</f>
        <v>5</v>
      </c>
      <c r="BW31">
        <f t="shared" si="49"/>
        <v>-7</v>
      </c>
      <c r="BX31" s="1">
        <v>16</v>
      </c>
      <c r="BY31" s="1">
        <f t="shared" si="47"/>
        <v>-6</v>
      </c>
      <c r="CB31">
        <f>SUMIFS(LogFY23!D:D,LogFY23!A:A,"=kauai_county_mayor")</f>
        <v>14</v>
      </c>
      <c r="CC31">
        <f>SUM(SUMIFS(LogFY23!D:D,LogFY23!A:A,"=kauai_county_mayor"),-1*SUMIFS(LogFY23!L:L,LogFY23!A:A,"=kauai_county_mayor"),-1*SUMIFS(LogFY23!N:N,LogFY23!A:A,"=kauai_county_mayor"))</f>
        <v>2</v>
      </c>
      <c r="CD31" s="7">
        <f t="shared" si="59"/>
        <v>0.14285714285714285</v>
      </c>
      <c r="CE31" s="7">
        <f t="shared" si="60"/>
        <v>-0.19047619047619047</v>
      </c>
      <c r="CF31">
        <f>ROUND(SUMIFS(LogFY23!K:K,LogFY23!A:A,"=kauai_county_mayor")/SUMIFS(LogFY23!J:J,LogFY23!A:A,"=kauai_county_mayor"),0)</f>
        <v>3</v>
      </c>
      <c r="CG31">
        <f t="shared" si="61"/>
        <v>-2</v>
      </c>
      <c r="CH31" s="1">
        <v>10</v>
      </c>
      <c r="CI31" s="1">
        <f t="shared" si="23"/>
        <v>-6</v>
      </c>
      <c r="CK31" s="7"/>
      <c r="CL31">
        <f>SUMIFS(LogFY24!D:D,LogFY24!A:A,"=kauai_county_mayor")</f>
        <v>6</v>
      </c>
      <c r="CM31">
        <f>SUM(SUMIFS(LogFY24!D:D,LogFY24!A:A,"=kauai_county_mayor"),-1*SUMIFS(LogFY24!L:L,LogFY24!A:A,"=kauai_county_mayor"),-1*SUMIFS(LogFY24!N:N,LogFY24!A:A,"=kauai_county_mayor"))</f>
        <v>1</v>
      </c>
      <c r="CN31" s="7">
        <f t="shared" si="24"/>
        <v>0.16666666666666666</v>
      </c>
      <c r="CO31" s="7">
        <f t="shared" si="25"/>
        <v>2.3809523809523808E-2</v>
      </c>
      <c r="CP31">
        <f>ROUND(SUMIFS(LogFY24!K:K,LogFY24!A:A,"=kauai_county_mayor")/SUMIFS(LogFY24!J:J,LogFY24!A:A,"=kauai_county_mayor"),0)</f>
        <v>9</v>
      </c>
      <c r="CQ31">
        <f t="shared" si="26"/>
        <v>6</v>
      </c>
      <c r="CR31" s="1">
        <v>8</v>
      </c>
      <c r="CS31" s="1">
        <f t="shared" si="27"/>
        <v>-2</v>
      </c>
    </row>
    <row r="32" spans="1:99" ht="16">
      <c r="A32" s="10">
        <f t="shared" si="28"/>
        <v>31</v>
      </c>
      <c r="B32" s="9" t="s">
        <v>17487</v>
      </c>
      <c r="C32">
        <f>SUMIFS(LogFY15!D:D,LogFY15!A:A,"=hawaii_county_mayor")</f>
        <v>40</v>
      </c>
      <c r="D32">
        <f>SUM(SUMIFS(LogFY15!D:D,LogFY15!A:A,"=hawaii_county_mayor"),-1*SUMIFS(LogFY15!L:L,LogFY15!A:A,"=hawaii_county_mayor"),-1*SUMIFS(LogFY15!N:N,LogFY15!A:A,"=hawaii_county_mayor"))</f>
        <v>2</v>
      </c>
      <c r="E32" s="7">
        <f t="shared" si="34"/>
        <v>0.05</v>
      </c>
      <c r="F32">
        <f>ROUND(SUMIFS(LogFY15!K:K,LogFY15!A:A,"=hawaii_county_mayor")/SUMIFS(LogFY15!J:J,LogFY15!A:A,"=hawaii_county_mayor"),0)</f>
        <v>1</v>
      </c>
      <c r="G32" s="1">
        <v>12</v>
      </c>
      <c r="J32">
        <f>SUMIFS(LogFY16!D:D,LogFY16!A:A,"=hawaii_county_mayor")</f>
        <v>57</v>
      </c>
      <c r="K32">
        <f>SUM(SUMIFS(LogFY16!D:D,LogFY16!A:A,"=hawaii_county_mayor"),-1*SUMIFS(LogFY16!L:L,LogFY16!A:A,"=hawaii_county_mayor"),-1*SUMIFS(LogFY16!N:N,LogFY16!A:A,"=hawaii_county_mayor"))</f>
        <v>0</v>
      </c>
      <c r="L32" s="7">
        <f t="shared" si="50"/>
        <v>0</v>
      </c>
      <c r="M32" s="7">
        <f t="shared" si="51"/>
        <v>-0.05</v>
      </c>
      <c r="N32">
        <f>ROUND(SUMIFS(LogFY16!K:K,LogFY16!A:A,"=hawaii_county_mayor")/SUMIFS(LogFY16!J:J,LogFY16!A:A,"=hawaii_county_mayor"),0)</f>
        <v>7</v>
      </c>
      <c r="O32">
        <f t="shared" si="52"/>
        <v>6</v>
      </c>
      <c r="P32" s="1">
        <v>10</v>
      </c>
      <c r="Q32" s="1">
        <f t="shared" si="53"/>
        <v>-2</v>
      </c>
      <c r="T32">
        <f>SUMIFS(LogFY17!D:D,LogFY17!A:A,"=hawaii_county_mayor")</f>
        <v>12</v>
      </c>
      <c r="U32">
        <f>SUM(SUMIFS(LogFY17!D:D,LogFY17!A:A,"=hawaii_county_mayor"),-1*SUMIFS(LogFY17!L:L,LogFY17!A:A,"=hawaii_county_mayor"),-1*SUMIFS(LogFY17!N:N,LogFY17!A:A,"=hawaii_county_mayor"))</f>
        <v>2</v>
      </c>
      <c r="V32" s="7">
        <f t="shared" si="62"/>
        <v>0.16666666666666666</v>
      </c>
      <c r="W32" s="7">
        <f t="shared" si="63"/>
        <v>0.16666666666666666</v>
      </c>
      <c r="X32">
        <f>ROUND(SUMIFS(LogFY17!K:K,LogFY17!A:A,"=hawaii_county_mayor")/SUMIFS(LogFY17!J:J,LogFY17!A:A,"=hawaii_county_mayor"),0)</f>
        <v>4</v>
      </c>
      <c r="Y32">
        <f t="shared" si="64"/>
        <v>-3</v>
      </c>
      <c r="Z32" s="1">
        <v>14</v>
      </c>
      <c r="AA32" s="1">
        <f t="shared" si="54"/>
        <v>4</v>
      </c>
      <c r="AD32">
        <f>SUMIFS(LogFY18!D:D,LogFY18!A:A,"=hawaii_county_mayor")</f>
        <v>0</v>
      </c>
      <c r="AE32">
        <f>SUM(SUMIFS(LogFY18!D:D,LogFY18!A:A,"=hawaii_county_mayor"),-1*SUMIFS(LogFY18!L:L,LogFY18!A:A,"=hawaii_county_mayor"),-1*SUMIFS(LogFY18!N:N,LogFY18!A:A,"=hawaii_county_mayor"))</f>
        <v>0</v>
      </c>
      <c r="AF32" s="7"/>
      <c r="AG32" s="7"/>
      <c r="AJ32" s="1"/>
      <c r="AK32" s="1"/>
      <c r="AN32">
        <f>SUMIFS(LogFY19!D:D,LogFY19!A:A,"=hawaii_county_mayor")</f>
        <v>0</v>
      </c>
      <c r="AO32">
        <f>SUM(SUMIFS(LogFY19!D:D,LogFY19!A:A,"=hawaii_county_mayor"),-1*SUMIFS(LogFY19!L:L,LogFY19!A:A,"=hawaii_county_mayor"),-1*SUMIFS(LogFY19!N:N,LogFY19!A:A,"=hawaii_county_mayor"))</f>
        <v>0</v>
      </c>
      <c r="AP32" s="7"/>
      <c r="AQ32" s="7"/>
      <c r="AT32" s="1"/>
      <c r="AU32" s="1"/>
      <c r="AX32">
        <f>SUMIFS(LogFY20!D:D,LogFY20!A:A,"=hawaii_county_mayor")</f>
        <v>0</v>
      </c>
      <c r="AY32">
        <f>SUM(SUMIFS(LogFY20!D:D,LogFY20!A:A,"=hawaii_county_mayor"),-1*SUMIFS(LogFY20!L:L,LogFY20!A:A,"=hawaii_county_mayor"),-1*SUMIFS(LogFY20!N:N,LogFY20!A:A,"=hawaii_county_mayor"))</f>
        <v>0</v>
      </c>
      <c r="AZ32" s="7"/>
      <c r="BA32" s="7"/>
      <c r="BD32" s="1"/>
      <c r="BE32" s="1"/>
      <c r="BH32">
        <f>SUMIFS(LogFY21!D:D,LogFY21!A:A,"=hawaii_county_mayor")</f>
        <v>2</v>
      </c>
      <c r="BI32">
        <f>SUM(SUMIFS(LogFY21!D:D,LogFY21!A:A,"=hawaii_county_mayor"),-1*SUMIFS(LogFY21!L:L,LogFY21!A:A,"=hawaii_county_mayor"),-1*SUMIFS(LogFY21!N:N,LogFY21!A:A,"=hawaii_county_mayor"))</f>
        <v>0</v>
      </c>
      <c r="BJ32" s="7">
        <f t="shared" si="55"/>
        <v>0</v>
      </c>
      <c r="BK32" s="7">
        <f t="shared" si="56"/>
        <v>0</v>
      </c>
      <c r="BL32">
        <f>ROUND(SUMIFS(LogFY21!K:K,LogFY21!A:A,"=hawaii_county_mayor")/SUMIFS(LogFY21!J:J,LogFY21!A:A,"=hawaii_county_mayor"),0)</f>
        <v>11</v>
      </c>
      <c r="BM32">
        <f t="shared" si="57"/>
        <v>11</v>
      </c>
      <c r="BN32" s="1">
        <v>11</v>
      </c>
      <c r="BO32" s="1">
        <f t="shared" si="58"/>
        <v>11</v>
      </c>
      <c r="BR32">
        <f>SUMIFS(LogFY22!D:D,LogFY22!A:A,"=hawaii_county_mayor")</f>
        <v>0</v>
      </c>
      <c r="BS32">
        <f>SUM(SUMIFS(LogFY22!D:D,LogFY22!A:A,"=hawaii_county_mayor"),-1*SUMIFS(LogFY22!L:L,LogFY22!A:A,"=hawaii_county_mayor"),-1*SUMIFS(LogFY22!N:N,LogFY22!A:A,"=hawaii_county_mayor"))</f>
        <v>0</v>
      </c>
      <c r="BT32" s="7">
        <v>0</v>
      </c>
      <c r="BU32" s="7">
        <f t="shared" si="17"/>
        <v>0</v>
      </c>
      <c r="BV32">
        <v>0</v>
      </c>
      <c r="BW32">
        <f t="shared" si="49"/>
        <v>-11</v>
      </c>
      <c r="BX32" s="1">
        <v>0</v>
      </c>
      <c r="BY32" s="1">
        <f t="shared" si="47"/>
        <v>-11</v>
      </c>
      <c r="CB32">
        <f>SUMIFS(LogFY23!D:D,LogFY23!A:A,"=hawaii_county_mayor")</f>
        <v>2</v>
      </c>
      <c r="CC32">
        <f>SUM(SUMIFS(LogFY23!D:D,LogFY23!A:A,"=hawaii_county_mayor"),-1*SUMIFS(LogFY23!L:L,LogFY23!A:A,"=hawaii_county_mayor"),-1*SUMIFS(LogFY23!N:N,LogFY23!A:A,"=hawaii_county_mayor"))</f>
        <v>2</v>
      </c>
      <c r="CD32" s="7">
        <f t="shared" si="59"/>
        <v>1</v>
      </c>
      <c r="CE32" s="7">
        <f t="shared" si="60"/>
        <v>1</v>
      </c>
      <c r="CF32">
        <f>ROUND(SUMIFS(LogFY23!K:K,LogFY23!A:A,"=hawaii_county_mayor")/SUMIFS(LogFY23!J:J,LogFY23!A:A,"=hawaii_county_mayor"),0)</f>
        <v>12</v>
      </c>
      <c r="CG32">
        <f t="shared" si="61"/>
        <v>12</v>
      </c>
      <c r="CH32" s="1">
        <v>12</v>
      </c>
      <c r="CI32" s="1">
        <f t="shared" si="23"/>
        <v>12</v>
      </c>
      <c r="CK32" s="7"/>
      <c r="CL32">
        <f>SUMIFS(LogFY24!D:D,LogFY24!A:A,"=hawaii_county_mayor")</f>
        <v>3</v>
      </c>
      <c r="CM32">
        <f>SUM(SUMIFS(LogFY24!D:D,LogFY24!A:A,"=hawaii_county_mayor"),-1*SUMIFS(LogFY24!L:L,LogFY24!A:A,"=hawaii_county_mayor"),-1*SUMIFS(LogFY24!N:N,LogFY24!A:A,"=hawaii_county_mayor"))</f>
        <v>0</v>
      </c>
      <c r="CN32" s="7">
        <v>0</v>
      </c>
      <c r="CO32" s="7">
        <f t="shared" si="25"/>
        <v>-1</v>
      </c>
      <c r="CP32">
        <f>ROUND(SUMIFS(LogFY24!K:K,LogFY24!A:A,"=hawaii_county_mayor")/SUMIFS(LogFY24!J:J,LogFY24!A:A,"=hawaii_county_mayor"),0)</f>
        <v>11</v>
      </c>
      <c r="CQ32">
        <f t="shared" si="26"/>
        <v>-1</v>
      </c>
      <c r="CR32" s="1">
        <v>13</v>
      </c>
      <c r="CS32" s="1">
        <f t="shared" si="27"/>
        <v>1</v>
      </c>
    </row>
    <row r="33" spans="1:99" ht="16">
      <c r="A33" s="10">
        <f t="shared" si="28"/>
        <v>32</v>
      </c>
      <c r="B33" s="1" t="s">
        <v>16815</v>
      </c>
      <c r="C33">
        <f>SUMIFS(LogFY15!D:D,LogFY15!B:B,"=*parks*")</f>
        <v>24</v>
      </c>
      <c r="D33">
        <f>SUM(SUMIFS(LogFY15!D:D,LogFY15!B:B,"=*parks*"),-1*SUMIFS(LogFY15!L:L,LogFY15!B:B,"=*parks*"),-1*SUMIFS(LogFY15!N:N,LogFY15!B:B,"=*parks*"))</f>
        <v>4</v>
      </c>
      <c r="E33" s="7">
        <f t="shared" si="34"/>
        <v>0.16666666666666666</v>
      </c>
      <c r="F33">
        <f>ROUND(SUMIFS(LogFY15!K:K,LogFY15!B:B,"=*parks*")/SUMIFS(LogFY15!J:J,LogFY15!B:B,"=*parks*"),0)</f>
        <v>12</v>
      </c>
      <c r="G33" s="1">
        <v>26</v>
      </c>
      <c r="H33">
        <f>COUNTIFS(All!F:F,"=*park*", All!B:B, "&gt;=7/1/2014", All!B:B,"&lt;=6/30/2015", All!E:E,"=U*",All!E:E,"&lt;&gt;UIPA*",All!E:E,"&lt;&gt;*RFO*",All!E:E,"&lt;&gt;*TRNG*")</f>
        <v>0</v>
      </c>
      <c r="I33" s="7">
        <f>ROUND(H33/C33,3)</f>
        <v>0</v>
      </c>
      <c r="J33">
        <f>SUMIFS(LogFY16!D:D,LogFY16!B:B,"=*parks*")</f>
        <v>15</v>
      </c>
      <c r="K33">
        <f>SUM(SUMIFS(LogFY16!D:D,LogFY16!B:B,"=*parks*"),-1*SUMIFS(LogFY16!L:L,LogFY16!B:B,"=*parks*"),-1*SUMIFS(LogFY16!N:N,LogFY16!B:B,"=*parks*"))</f>
        <v>1</v>
      </c>
      <c r="L33" s="7">
        <f t="shared" si="50"/>
        <v>6.6666666666666666E-2</v>
      </c>
      <c r="M33" s="7">
        <f t="shared" si="51"/>
        <v>-9.9999999999999992E-2</v>
      </c>
      <c r="N33">
        <f>ROUND(SUMIFS(LogFY16!K:K,LogFY16!B:B,"=*parks*")/SUMIFS(LogFY16!J:J,LogFY16!B:B,"=*parks*"),0)</f>
        <v>9</v>
      </c>
      <c r="O33">
        <f t="shared" si="52"/>
        <v>-3</v>
      </c>
      <c r="P33" s="1">
        <v>12</v>
      </c>
      <c r="Q33" s="1">
        <f t="shared" si="53"/>
        <v>-14</v>
      </c>
      <c r="R33">
        <f>COUNTIFS(All!F:F,"=*park*", All!B:B, "&gt;=7/1/2015", All!B:B,"&lt;=6/30/2016", All!E:E,"=U*",All!E:E,"&lt;&gt;UIPA*",All!E:E,"&lt;&gt;*RFO*",All!E:E,"&lt;&gt;*TRNG*")</f>
        <v>0</v>
      </c>
      <c r="S33" s="7">
        <f>ROUND(R33/(J33+C33),3)</f>
        <v>0</v>
      </c>
      <c r="T33">
        <f>SUMIFS(LogFY17!D:D,LogFY17!B:B,"=*parks*")</f>
        <v>10</v>
      </c>
      <c r="U33">
        <f>SUM(SUMIFS(LogFY17!D:D,LogFY17!B:B,"=*parks*"),-1*SUMIFS(LogFY17!L:L,LogFY17!B:B,"=*parks*"),-1*SUMIFS(LogFY17!N:N,LogFY17!B:B,"=*parks*"))</f>
        <v>2</v>
      </c>
      <c r="V33" s="7">
        <f t="shared" si="62"/>
        <v>0.2</v>
      </c>
      <c r="W33" s="7">
        <f t="shared" si="63"/>
        <v>0.13333333333333336</v>
      </c>
      <c r="X33">
        <f>ROUND(SUMIFS(LogFY17!K:K,LogFY17!B:B,"=*parks*")/SUMIFS(LogFY17!J:J,LogFY17!B:B,"=*parks*"),0)</f>
        <v>14</v>
      </c>
      <c r="Y33">
        <f t="shared" si="64"/>
        <v>5</v>
      </c>
      <c r="Z33" s="1">
        <v>35</v>
      </c>
      <c r="AA33" s="1">
        <f t="shared" si="54"/>
        <v>23</v>
      </c>
      <c r="AB33">
        <f>COUNTIFS(All!F:F,"=*park*", All!B:B, "&gt;=7/1/2016", All!B:B,"&lt;=6/30/2017", All!E:E,"=U*",All!E:E,"&lt;&gt;UIPA*",All!E:E,"&lt;&gt;*RFO*",All!E:E,"&lt;&gt;*TRNG*")</f>
        <v>0</v>
      </c>
      <c r="AC33" s="7">
        <f>ROUND(AB33/(T33+J33),3)</f>
        <v>0</v>
      </c>
      <c r="AD33">
        <f>SUMIFS(LogFY18!D:D,LogFY18!B:B,"=*parks*")</f>
        <v>24</v>
      </c>
      <c r="AE33">
        <f>SUM(SUMIFS(LogFY18!D:D,LogFY18!B:B,"=*parks*"),-1*SUMIFS(LogFY18!L:L,LogFY18!B:B,"=*parks*"),-1*SUMIFS(LogFY18!N:N,LogFY18!B:B,"=*parks*"))</f>
        <v>4</v>
      </c>
      <c r="AF33" s="7">
        <f>AE33/AD33</f>
        <v>0.16666666666666666</v>
      </c>
      <c r="AG33" s="7">
        <f>AF33-V33</f>
        <v>-3.3333333333333354E-2</v>
      </c>
      <c r="AH33">
        <f>ROUND(SUMIFS(LogFY18!K:K,LogFY18!B:B,"=*parks*")/SUMIFS(LogFY18!J:J,LogFY18!B:B,"=*parks*"),0)</f>
        <v>22</v>
      </c>
      <c r="AI33">
        <f>AH33-X33</f>
        <v>8</v>
      </c>
      <c r="AJ33" s="1">
        <v>162</v>
      </c>
      <c r="AK33" s="1">
        <f>AJ33-Z33</f>
        <v>127</v>
      </c>
      <c r="AL33">
        <f>COUNTIFS(All!F:F,"=*park*", All!B:B, "&gt;=7/1/2017", All!B:B,"&lt;=6/30/2018", All!E:E,"=U*",All!E:E,"&lt;&gt;UIPA*",All!E:E,"&lt;&gt;*RFO*",All!E:E,"&lt;&gt;*TRNG*")</f>
        <v>0</v>
      </c>
      <c r="AM33" s="7">
        <f>ROUND(AL33/(AD33+T33),3)</f>
        <v>0</v>
      </c>
      <c r="AN33">
        <f>SUMIFS(LogFY19!D:D,LogFY19!B:B,"=*parks*")</f>
        <v>16</v>
      </c>
      <c r="AO33">
        <f>SUM(SUMIFS(LogFY19!D:D,LogFY19!B:B,"=*parks*"),-1*SUMIFS(LogFY19!L:L,LogFY19!B:B,"=*parks*"),-1*SUMIFS(LogFY19!N:N,LogFY19!B:B,"=*parks*"))</f>
        <v>5</v>
      </c>
      <c r="AP33" s="7">
        <f t="shared" ref="AP33:AP43" si="65">AO33/AN33</f>
        <v>0.3125</v>
      </c>
      <c r="AQ33" s="7">
        <f t="shared" ref="AQ33:AQ43" si="66">AP33-AF33</f>
        <v>0.14583333333333334</v>
      </c>
      <c r="AR33">
        <f>ROUND(SUMIFS(LogFY19!K:K,LogFY19!B:B,"=*parks*")/SUMIFS(LogFY19!J:J,LogFY19!B:B,"=*parks*"),0)</f>
        <v>10</v>
      </c>
      <c r="AS33">
        <f t="shared" ref="AS33:AS43" si="67">AR33-AH33</f>
        <v>-12</v>
      </c>
      <c r="AT33" s="1">
        <v>20</v>
      </c>
      <c r="AU33" s="1">
        <f>AT33-AJ33</f>
        <v>-142</v>
      </c>
      <c r="AV33">
        <f>COUNTIFS(All!F:F,"=*park*", All!B:B, "&gt;=7/1/2018", All!B:B,"&lt;=6/30/2019", All!E:E,"=U*",All!E:E,"&lt;&gt;UIPA*",All!E:E,"&lt;&gt;*RFO*",All!E:E,"&lt;&gt;*TRNG*")</f>
        <v>0</v>
      </c>
      <c r="AW33" s="7">
        <f>ROUND(AV33/(AN33+AD33),3)</f>
        <v>0</v>
      </c>
      <c r="AX33">
        <f>SUMIFS(LogFY20!D:D,LogFY20!B:B,"=*parks*")</f>
        <v>24</v>
      </c>
      <c r="AY33">
        <f>SUM(SUMIFS(LogFY20!D:D,LogFY20!B:B,"=*parks*"),-1*SUMIFS(LogFY20!L:L,LogFY20!B:B,"=*parks*"),-1*SUMIFS(LogFY20!N:N,LogFY20!B:B,"=*parks*"))</f>
        <v>9</v>
      </c>
      <c r="AZ33" s="7">
        <f t="shared" ref="AZ33:AZ43" si="68">AY33/AX33</f>
        <v>0.375</v>
      </c>
      <c r="BA33" s="7">
        <f t="shared" ref="BA33:BA43" si="69">AZ33-AP33</f>
        <v>6.25E-2</v>
      </c>
      <c r="BB33">
        <f>ROUND(SUMIFS(LogFY20!K:K,LogFY20!B:B,"=*parks*")/SUMIFS(LogFY20!J:J,LogFY20!B:B,"=*parks*"),0)</f>
        <v>15</v>
      </c>
      <c r="BC33">
        <f t="shared" ref="BC33:BC43" si="70">BB33-AR33</f>
        <v>5</v>
      </c>
      <c r="BD33" s="1">
        <v>58</v>
      </c>
      <c r="BE33" s="1">
        <f t="shared" ref="BE33:BE43" si="71">BD33-AT33</f>
        <v>38</v>
      </c>
      <c r="BF33">
        <f>COUNTIFS(All!F:F,"=*park*", All!B:B, "&gt;=7/1/2019", All!B:B,"&lt;=6/30/2020", All!E:E,"=U*",All!E:E,"&lt;&gt;UIPA*",All!E:E,"&lt;&gt;*RFO*",All!E:E,"&lt;&gt;*TRNG*")</f>
        <v>2</v>
      </c>
      <c r="BG33" s="7">
        <f>ROUND(BF33/(AX33+AN33),3)</f>
        <v>0.05</v>
      </c>
      <c r="BH33">
        <f>SUMIFS(LogFY21!D:D,LogFY21!B:B,"=*parks*")</f>
        <v>32</v>
      </c>
      <c r="BI33">
        <f>SUM(SUMIFS(LogFY21!D:D,LogFY21!B:B,"=*parks*"),-1*SUMIFS(LogFY21!L:L,LogFY21!B:B,"=*parks*"),-1*SUMIFS(LogFY21!N:N,LogFY21!B:B,"=*parks*"))</f>
        <v>10</v>
      </c>
      <c r="BJ33" s="7">
        <f t="shared" si="55"/>
        <v>0.3125</v>
      </c>
      <c r="BK33" s="7">
        <f t="shared" si="56"/>
        <v>-6.25E-2</v>
      </c>
      <c r="BL33">
        <f>ROUND(SUMIFS(LogFY21!K:K,LogFY21!B:B,"=*parks*")/SUMIFS(LogFY21!J:J,LogFY21!B:B,"=*parks*"),0)</f>
        <v>13</v>
      </c>
      <c r="BM33">
        <f t="shared" si="57"/>
        <v>-2</v>
      </c>
      <c r="BN33" s="1">
        <v>45</v>
      </c>
      <c r="BO33" s="1">
        <f t="shared" si="58"/>
        <v>-13</v>
      </c>
      <c r="BP33">
        <f>COUNTIFS(All!F:F,"=*park*", All!B:B, "&gt;=7/1/2020", All!B:B,"&lt;=6/30/2021", All!E:E,"=U*",All!E:E,"&lt;&gt;UIPA*",All!E:E,"&lt;&gt;*RFO*",All!E:E,"&lt;&gt;*TRNG*")</f>
        <v>1</v>
      </c>
      <c r="BQ33" s="7">
        <f>ROUND(BP33/(BH33+AX33),3)</f>
        <v>1.7999999999999999E-2</v>
      </c>
      <c r="BR33">
        <f>SUMIFS(LogFY22!D:D,LogFY22!B:B,"=*parks*")</f>
        <v>31</v>
      </c>
      <c r="BS33">
        <f>SUM(SUMIFS(LogFY22!D:D,LogFY22!B:B,"=*parks*"),-1*SUMIFS(LogFY22!L:L,LogFY22!B:B,"=*parks*"),-1*SUMIFS(LogFY22!N:N,LogFY22!B:B,"=*parks*"))</f>
        <v>14</v>
      </c>
      <c r="BT33" s="7">
        <f t="shared" ref="BT33:BT47" si="72">BS33/BR33</f>
        <v>0.45161290322580644</v>
      </c>
      <c r="BU33" s="7">
        <f t="shared" si="17"/>
        <v>0.13911290322580644</v>
      </c>
      <c r="BV33">
        <f>ROUND(SUMIFS(LogFY22!K:K,LogFY22!B:B,"=*parks*")/SUMIFS(LogFY22!J:J,LogFY22!B:B,"=*parks*"),0)</f>
        <v>14</v>
      </c>
      <c r="BW33">
        <f t="shared" si="49"/>
        <v>1</v>
      </c>
      <c r="BX33" s="1">
        <v>41</v>
      </c>
      <c r="BY33" s="1">
        <f t="shared" si="47"/>
        <v>-4</v>
      </c>
      <c r="BZ33">
        <f>COUNTIFS(All!F:F,"=*park*", All!B:B, "&gt;=7/1/2021", All!B:B,"&lt;=6/30/2022", All!E:E,"=U*",All!E:E,"&lt;&gt;UIPA*",All!E:E,"&lt;&gt;*RFO*",All!E:E,"&lt;&gt;*TRNG*")</f>
        <v>2</v>
      </c>
      <c r="CA33" s="7">
        <f>ROUND(BZ33/(BR33+BH33),3)</f>
        <v>3.2000000000000001E-2</v>
      </c>
      <c r="CB33">
        <f>SUMIFS(LogFY23!D:D,LogFY23!B:B,"=*parks*")</f>
        <v>36</v>
      </c>
      <c r="CC33">
        <f>SUM(SUMIFS(LogFY23!D:D,LogFY23!B:B,"=*parks*"),-1*SUMIFS(LogFY23!L:L,LogFY23!B:B,"=*parks*"),-1*SUMIFS(LogFY23!N:N,LogFY23!B:B,"=*parks*"))</f>
        <v>13</v>
      </c>
      <c r="CD33" s="7">
        <f t="shared" si="59"/>
        <v>0.3611111111111111</v>
      </c>
      <c r="CE33" s="7">
        <f t="shared" si="60"/>
        <v>-9.0501792114695334E-2</v>
      </c>
      <c r="CF33">
        <f>ROUND(SUMIFS(LogFY23!K:K,LogFY23!B:B,"=*parks*")/SUMIFS(LogFY23!J:J,LogFY23!B:B,"=*parks*"),0)</f>
        <v>14</v>
      </c>
      <c r="CG33">
        <f t="shared" si="61"/>
        <v>0</v>
      </c>
      <c r="CH33" s="1">
        <v>47</v>
      </c>
      <c r="CI33" s="1">
        <f t="shared" si="23"/>
        <v>6</v>
      </c>
      <c r="CJ33">
        <f>COUNTIFS(All!F:F,"=*park*", All!B:B, "&gt;=7/1/2022", All!B:B,"&lt;=6/30/2023", All!E:E,"=U*",All!E:E,"&lt;&gt;UIPA*",All!E:E,"&lt;&gt;*RFO*",All!E:E,"&lt;&gt;*TRNG*")</f>
        <v>10</v>
      </c>
      <c r="CK33" s="7">
        <f>ROUND(CJ33/(CB33+BR33),3)</f>
        <v>0.14899999999999999</v>
      </c>
      <c r="CL33">
        <f>SUMIFS(LogFY24!D:D,LogFY24!B:B,"=*parks*")</f>
        <v>27</v>
      </c>
      <c r="CM33">
        <f>SUM(SUMIFS(LogFY24!D:D,LogFY24!B:B,"=*parks*"),-1*SUMIFS(LogFY24!L:L,LogFY24!B:B,"=*parks*"),-1*SUMIFS(LogFY24!N:N,LogFY24!B:B,"=*parks*"))</f>
        <v>7</v>
      </c>
      <c r="CN33" s="7">
        <f t="shared" ref="CN33:CN64" si="73">CM33/CL33</f>
        <v>0.25925925925925924</v>
      </c>
      <c r="CO33" s="7">
        <f t="shared" si="25"/>
        <v>-0.10185185185185186</v>
      </c>
      <c r="CP33">
        <f>ROUND(SUMIFS(LogFY24!K:K,LogFY24!B:B,"=*parks*")/SUMIFS(LogFY24!J:J,LogFY24!B:B,"=*parks*"),0)</f>
        <v>23</v>
      </c>
      <c r="CQ33">
        <f t="shared" si="26"/>
        <v>9</v>
      </c>
      <c r="CR33" s="1">
        <v>86</v>
      </c>
      <c r="CS33" s="1">
        <f t="shared" si="27"/>
        <v>39</v>
      </c>
      <c r="CT33">
        <f>COUNTIFS(All!F:F,"=*park*", All!B:B, "&gt;=7/1/2023", All!B:B,"&lt;=6/30/2024", All!E:E,"=U*",All!E:E,"&lt;&gt;UIPA*",All!E:E,"&lt;&gt;*RFO*",All!E:E,"&lt;&gt;*TRNG*")</f>
        <v>4</v>
      </c>
      <c r="CU33" s="7">
        <f>ROUND(CT33/(CL33+CB33),3)</f>
        <v>6.3E-2</v>
      </c>
    </row>
    <row r="34" spans="1:99" ht="16">
      <c r="A34" s="10">
        <f t="shared" si="28"/>
        <v>33</v>
      </c>
      <c r="B34" s="1" t="s">
        <v>16816</v>
      </c>
      <c r="C34">
        <f>SUM(SUMIFS(LogFY15!D:D,LogFY15!A:A,"=*human_resources*",LogFY15!A:A,"&lt;&gt;SOH*"),SUMIFS(LogFY15!D:D,LogFY15!A:A,"=*personnel*"))</f>
        <v>13</v>
      </c>
      <c r="D34">
        <f>SUM(SUMIFS(LogFY15!D:D,LogFY15!A:A,"=*human_resources*",LogFY15!A:A,"&lt;&gt;SOH*"),SUMIFS(LogFY15!D:D,LogFY15!A:A,"=*personnel*"),-1*SUM(SUMIFS(LogFY15!L:L,LogFY15!A:A,"=*human_resources*",LogFY15!A:A,"&lt;&gt;SOH*"),SUMIFS(LogFY15!L:L,LogFY15!A:A,"=*personnel*")),-1*SUM(SUMIFS(LogFY15!N:N,LogFY15!A:A,"=*human_resources*",LogFY15!A:A,"&lt;&gt;SOH*"),SUMIFS(LogFY15!N:N,LogFY15!A:A,"=*personnel*")))</f>
        <v>8</v>
      </c>
      <c r="E34" s="7">
        <f t="shared" si="34"/>
        <v>0.61538461538461542</v>
      </c>
      <c r="F34">
        <f>ROUND(SUM(SUMIFS(LogFY15!K:K,LogFY15!A:A,"=*human_resources*",LogFY15!A:A,"&lt;&gt;SOH*"),SUMIFS(LogFY15!K:K,LogFY15!A:A,"=*personnel*"))/SUM(SUMIFS(LogFY15!J:J,LogFY15!A:A,"=*human_resources*",LogFY15!A:A,"&lt;&gt;SOH*"),SUMIFS(LogFY15!J:J,LogFY15!A:A,"=*personnel*")),0)</f>
        <v>13</v>
      </c>
      <c r="G34" s="1">
        <v>43</v>
      </c>
      <c r="H34">
        <f>SUM(COUNTIFS(All!F:F,"=*dhr", All!B:B, "&gt;=7/1/2014", All!B:B,"&lt;=6/30/2015", All!E:E,"=U*",All!E:E,"&lt;&gt;UIPA*",All!E:E,"&lt;&gt;*RFO*",All!E:E,"&lt;&gt;*TRNG*"),COUNTIFS(All!F:F,"=hr*", All!B:B, "&gt;=7/1/2014", All!B:B,"&lt;=6/30/2015", All!E:E,"=U*",All!E:E,"&lt;&gt;UIPA*",All!E:E,"&lt;&gt;*RFO*",All!E:E,"&lt;&gt;*TRNG*"),COUNTIFS(All!F:F,"=pers*", All!B:B, "&gt;=7/1/2014", All!B:B,"&lt;=6/30/2015", All!E:E,"=U*",All!E:E,"&lt;&gt;UIPA*",All!E:E,"&lt;&gt;*RFO*",All!E:E,"&lt;&gt;*TRNG*"),COUNTIFS(All!F:F,"=civ*", All!B:B, "&gt;=7/1/2014", All!B:B,"&lt;=6/30/2015", All!E:E,"=U*",All!E:E,"&lt;&gt;UIPA*",All!E:E,"&lt;&gt;*RFO*",All!E:E,"&lt;&gt;*TRNG*"))</f>
        <v>0</v>
      </c>
      <c r="I34" s="7">
        <f>ROUND(H34/C34,3)</f>
        <v>0</v>
      </c>
      <c r="J34">
        <f>SUM(SUMIFS(LogFY16!D:D,LogFY16!A:A,"=*human_resources*",LogFY16!A:A,"&lt;&gt;SOH*"),SUMIFS(LogFY16!D:D,LogFY16!A:A,"=*personnel*"))</f>
        <v>11</v>
      </c>
      <c r="K34">
        <f>SUM(SUMIFS(LogFY16!D:D,LogFY16!A:A,"=*human_resources*",LogFY16!A:A,"&lt;&gt;SOH*"),SUMIFS(LogFY16!D:D,LogFY16!A:A,"=*personnel*"),-1*SUM(SUMIFS(LogFY16!L:L,LogFY16!A:A,"=*human_resources*",LogFY16!A:A,"&lt;&gt;SOH*"),SUMIFS(LogFY16!L:L,LogFY16!A:A,"=*personnel*")),-1*SUM(SUMIFS(LogFY16!N:N,LogFY16!A:A,"=*human_resources*",LogFY16!A:A,"&lt;&gt;SOH*"),SUMIFS(LogFY16!N:N,LogFY16!A:A,"=*personnel*")))</f>
        <v>2</v>
      </c>
      <c r="L34" s="7">
        <f t="shared" si="50"/>
        <v>0.18181818181818182</v>
      </c>
      <c r="M34" s="7">
        <f t="shared" si="51"/>
        <v>-0.4335664335664336</v>
      </c>
      <c r="N34">
        <f>ROUND(SUM(SUMIFS(LogFY16!K:K,LogFY16!A:A,"=*human_resources*",LogFY16!A:A,"&lt;&gt;SOH*"),SUMIFS(LogFY16!K:K,LogFY16!A:A,"=*personnel*"))/SUM(SUMIFS(LogFY16!J:J,LogFY16!A:A,"=*human_resources*",LogFY16!A:A,"&lt;&gt;SOH*"),SUMIFS(LogFY16!J:J,LogFY16!A:A,"=*personnel*")),0)</f>
        <v>16</v>
      </c>
      <c r="O34">
        <f t="shared" si="52"/>
        <v>3</v>
      </c>
      <c r="P34" s="1">
        <v>29</v>
      </c>
      <c r="Q34" s="1">
        <f t="shared" si="53"/>
        <v>-14</v>
      </c>
      <c r="R34">
        <f>SUM(COUNTIFS(All!F:F,"=*dhr", All!B:B, "&gt;=7/1/2015", All!B:B,"&lt;=6/30/2016", All!E:E,"=U*",All!E:E,"&lt;&gt;UIPA*",All!E:E,"&lt;&gt;*RFO*",All!E:E,"&lt;&gt;*TRNG*"),COUNTIFS(All!F:F,"=hr*", All!B:B, "&gt;=7/1/2015", All!B:B,"&lt;=6/30/2016", All!E:E,"=U*",All!E:E,"&lt;&gt;UIPA*",All!E:E,"&lt;&gt;*RFO*",All!E:E,"&lt;&gt;*TRNG*"),COUNTIFS(All!F:F,"=pers*", All!B:B, "&gt;=7/1/2015", All!B:B,"&lt;=6/30/2016", All!E:E,"=U*",All!E:E,"&lt;&gt;UIPA*",All!E:E,"&lt;&gt;*RFO*",All!E:E,"&lt;&gt;*TRNG*"),COUNTIFS(All!F:F,"=civ*", All!B:B, "&gt;=7/1/2015", All!B:B,"&lt;=6/30/2016", All!E:E,"=U*",All!E:E,"&lt;&gt;UIPA*",All!E:E,"&lt;&gt;*RFO*",All!E:E,"&lt;&gt;*TRNG*"))</f>
        <v>0</v>
      </c>
      <c r="S34" s="7">
        <f>ROUND(R34/(J34+C34),3)</f>
        <v>0</v>
      </c>
      <c r="T34">
        <f>SUM(SUMIFS(LogFY17!D:D,LogFY17!A:A,"=*human_resources*",LogFY17!A:A,"&lt;&gt;SOH*"),SUMIFS(LogFY17!D:D,LogFY17!A:A,"=*personnel*"))</f>
        <v>27</v>
      </c>
      <c r="U34">
        <f>SUM(SUMIFS(LogFY17!D:D,LogFY17!A:A,"=*human_resources*",LogFY17!A:A,"&lt;&gt;SOH*"),SUMIFS(LogFY17!D:D,LogFY17!A:A,"=*personnel*"),-1*SUM(SUMIFS(LogFY17!L:L,LogFY17!A:A,"=*human_resources*",LogFY17!A:A,"&lt;&gt;SOH*"),SUMIFS(LogFY17!L:L,LogFY17!A:A,"=*personnel*")),-1*SUM(SUMIFS(LogFY17!N:N,LogFY17!A:A,"=*human_resources*",LogFY17!A:A,"&lt;&gt;SOH*"),SUMIFS(LogFY17!N:N,LogFY17!A:A,"=*personnel*")))</f>
        <v>13</v>
      </c>
      <c r="V34" s="7">
        <f t="shared" si="62"/>
        <v>0.48148148148148145</v>
      </c>
      <c r="W34" s="7">
        <f t="shared" si="63"/>
        <v>0.29966329966329963</v>
      </c>
      <c r="X34">
        <f>ROUND(SUM(SUMIFS(LogFY17!K:K,LogFY17!A:A,"=*human_resources*",LogFY17!A:A,"&lt;&gt;SOH*"),SUMIFS(LogFY17!K:K,LogFY17!A:A,"=*personnel*"))/SUM(SUMIFS(LogFY17!J:J,LogFY17!A:A,"=*human_resources*",LogFY17!A:A,"&lt;&gt;SOH*"),SUMIFS(LogFY17!J:J,LogFY17!A:A,"=*personnel*")),0)</f>
        <v>4</v>
      </c>
      <c r="Y34">
        <f t="shared" si="64"/>
        <v>-12</v>
      </c>
      <c r="Z34" s="1">
        <v>12</v>
      </c>
      <c r="AA34" s="1">
        <f t="shared" si="54"/>
        <v>-17</v>
      </c>
      <c r="AB34">
        <f>SUM(COUNTIFS(All!F:F,"=*dhr", All!B:B, "&gt;=7/1/2016", All!B:B,"&lt;=6/30/2017", All!E:E,"=U*",All!E:E,"&lt;&gt;UIPA*",All!E:E,"&lt;&gt;*RFO*",All!E:E,"&lt;&gt;*TRNG*"),COUNTIFS(All!F:F,"=hr*", All!B:B, "&gt;=7/1/2016", All!B:B,"&lt;=6/30/2017", All!E:E,"=U*",All!E:E,"&lt;&gt;UIPA*",All!E:E,"&lt;&gt;*RFO*",All!E:E,"&lt;&gt;*TRNG*"),COUNTIFS(All!F:F,"=pers*", All!B:B, "&gt;=7/1/2016", All!B:B,"&lt;=6/30/2017", All!E:E,"=U*",All!E:E,"&lt;&gt;UIPA*",All!E:E,"&lt;&gt;*RFO*",All!E:E,"&lt;&gt;*TRNG*"),COUNTIFS(All!F:F,"=civ*", All!B:B, "&gt;=7/1/2016", All!B:B,"&lt;=6/30/2017", All!E:E,"=U*",All!E:E,"&lt;&gt;UIPA*",All!E:E,"&lt;&gt;*RFO*",All!E:E,"&lt;&gt;*TRNG*"))</f>
        <v>2</v>
      </c>
      <c r="AC34" s="7">
        <f>ROUND(AB34/(T34+J34),3)</f>
        <v>5.2999999999999999E-2</v>
      </c>
      <c r="AD34">
        <f>SUM(SUMIFS(LogFY18!D:D,LogFY18!A:A,"=*human_resources*",LogFY18!A:A,"&lt;&gt;SOH*"),SUMIFS(LogFY18!D:D,LogFY18!A:A,"=*personnel*"))</f>
        <v>28</v>
      </c>
      <c r="AE34">
        <f>SUM(SUMIFS(LogFY18!D:D,LogFY18!A:A,"=*human_resources*",LogFY18!A:A,"&lt;&gt;SOH*"),SUMIFS(LogFY18!D:D,LogFY18!A:A,"=*personnel*"),-1*SUM(SUMIFS(LogFY18!L:L,LogFY18!A:A,"=*human_resources*",LogFY18!A:A,"&lt;&gt;SOH*"),SUMIFS(LogFY18!L:L,LogFY18!A:A,"=*personnel*")),-1*SUM(SUMIFS(LogFY18!N:N,LogFY18!A:A,"=*human_resources*",LogFY18!A:A,"&lt;&gt;SOH*"),SUMIFS(LogFY18!N:N,LogFY18!A:A,"=*personnel*")))</f>
        <v>12</v>
      </c>
      <c r="AF34" s="7">
        <f>AE34/AD34</f>
        <v>0.42857142857142855</v>
      </c>
      <c r="AG34" s="7">
        <f>AF34-V34</f>
        <v>-5.2910052910052907E-2</v>
      </c>
      <c r="AH34">
        <f>ROUND(SUM(SUMIFS(LogFY18!K:K,LogFY18!A:A,"=*human_resources*",LogFY18!A:A,"&lt;&gt;SOH*"),SUMIFS(LogFY18!K:K,LogFY18!A:A,"=*personnel*"))/SUM(SUMIFS(LogFY18!J:J,LogFY18!A:A,"=*human_resources*",LogFY18!A:A,"&lt;&gt;SOH*"),SUMIFS(LogFY18!J:J,LogFY18!A:A,"=*personnel*")),0)</f>
        <v>13</v>
      </c>
      <c r="AI34">
        <f>AH34-X34</f>
        <v>9</v>
      </c>
      <c r="AJ34" s="1">
        <v>148</v>
      </c>
      <c r="AK34" s="1">
        <f>AJ34-Z34</f>
        <v>136</v>
      </c>
      <c r="AL34">
        <f>SUM(COUNTIFS(All!F:F,"=*dhr", All!B:B, "&gt;=7/1/2017", All!B:B,"&lt;=6/30/2018", All!E:E,"=U*",All!E:E,"&lt;&gt;UIPA*",All!E:E,"&lt;&gt;*RFO*",All!E:E,"&lt;&gt;*TRNG*"),COUNTIFS(All!F:F,"=hr*", All!B:B, "&gt;=7/1/2017", All!B:B,"&lt;=6/30/2018", All!E:E,"=U*",All!E:E,"&lt;&gt;UIPA*",All!E:E,"&lt;&gt;*RFO*",All!E:E,"&lt;&gt;*TRNG*"),COUNTIFS(All!F:F,"=pers*", All!B:B, "&gt;=7/1/2017", All!B:B,"&lt;=6/30/2018", All!E:E,"=U*",All!E:E,"&lt;&gt;UIPA*",All!E:E,"&lt;&gt;*RFO*",All!E:E,"&lt;&gt;*TRNG*"),COUNTIFS(All!F:F,"=civ*", All!B:B, "&gt;=7/1/2017", All!B:B,"&lt;=6/30/2018", All!E:E,"=U*",All!E:E,"&lt;&gt;UIPA*",All!E:E,"&lt;&gt;*RFO*",All!E:E,"&lt;&gt;*TRNG*"))</f>
        <v>1</v>
      </c>
      <c r="AM34" s="7">
        <f>ROUND(AL34/(AD34+T34),3)</f>
        <v>1.7999999999999999E-2</v>
      </c>
      <c r="AN34">
        <f>SUM(SUMIFS(LogFY19!D:D,LogFY19!A:A,"=*human_resources*",LogFY19!A:A,"&lt;&gt;SOH*"),SUMIFS(LogFY19!D:D,LogFY19!A:A,"=*personnel*"))</f>
        <v>17</v>
      </c>
      <c r="AO34">
        <f>SUM(SUMIFS(LogFY19!D:D,LogFY19!A:A,"=*human_resources*",LogFY19!A:A,"&lt;&gt;SOH*"),SUMIFS(LogFY19!D:D,LogFY19!A:A,"=*personnel*"),-1*SUM(SUMIFS(LogFY19!L:L,LogFY19!A:A,"=*human_resources*",LogFY19!A:A,"&lt;&gt;SOH*"),SUMIFS(LogFY19!L:L,LogFY19!A:A,"=*personnel*")),-1*SUM(SUMIFS(LogFY19!N:N,LogFY19!A:A,"=*human_resources*",LogFY19!A:A,"&lt;&gt;SOH*"),SUMIFS(LogFY19!N:N,LogFY19!A:A,"=*personnel*")))</f>
        <v>5</v>
      </c>
      <c r="AP34" s="7">
        <f t="shared" si="65"/>
        <v>0.29411764705882354</v>
      </c>
      <c r="AQ34" s="7">
        <f t="shared" si="66"/>
        <v>-0.13445378151260501</v>
      </c>
      <c r="AR34">
        <f>ROUND(SUM(SUMIFS(LogFY19!K:K,LogFY19!A:A,"=*human_resources*",LogFY19!A:A,"&lt;&gt;SOH*"),SUMIFS(LogFY19!K:K,LogFY19!A:A,"=*personnel*"))/SUM(SUMIFS(LogFY19!J:J,LogFY19!A:A,"=*human_resources*",LogFY19!A:A,"&lt;&gt;SOH*"),SUMIFS(LogFY19!J:J,LogFY19!A:A,"=*personnel*")),0)</f>
        <v>12</v>
      </c>
      <c r="AS34">
        <f t="shared" si="67"/>
        <v>-1</v>
      </c>
      <c r="AT34" s="1">
        <v>107</v>
      </c>
      <c r="AU34" s="1">
        <f>AT34-AJ34</f>
        <v>-41</v>
      </c>
      <c r="AV34">
        <f>SUM(COUNTIFS(All!F:F,"=*dhr", All!B:B, "&gt;=7/1/2018", All!B:B,"&lt;=6/30/2019", All!E:E,"=U*",All!E:E,"&lt;&gt;UIPA*",All!E:E,"&lt;&gt;*RFO*",All!E:E,"&lt;&gt;*TRNG*"),COUNTIFS(All!F:F,"=hr*", All!B:B, "&gt;=7/1/2018", All!B:B,"&lt;=6/30/2019", All!E:E,"=U*",All!E:E,"&lt;&gt;UIPA*",All!E:E,"&lt;&gt;*RFO*",All!E:E,"&lt;&gt;*TRNG*"),COUNTIFS(All!F:F,"=pers*", All!B:B, "&gt;=7/1/2018", All!B:B,"&lt;=6/30/2019", All!E:E,"=U*",All!E:E,"&lt;&gt;UIPA*",All!E:E,"&lt;&gt;*RFO*",All!E:E,"&lt;&gt;*TRNG*"),COUNTIFS(All!F:F,"=civ*", All!B:B, "&gt;=7/1/2018", All!B:B,"&lt;=6/30/2019", All!E:E,"=U*",All!E:E,"&lt;&gt;UIPA*",All!E:E,"&lt;&gt;*RFO*",All!E:E,"&lt;&gt;*TRNG*"))</f>
        <v>3</v>
      </c>
      <c r="AW34" s="7">
        <f>ROUND(AV34/(AN34+AD34),3)</f>
        <v>6.7000000000000004E-2</v>
      </c>
      <c r="AX34">
        <f>SUM(SUMIFS(LogFY20!D:D,LogFY20!A:A,"=*human_resources*",LogFY20!A:A,"&lt;&gt;SOH*"),SUMIFS(LogFY20!D:D,LogFY20!A:A,"=*personnel*"))</f>
        <v>23</v>
      </c>
      <c r="AY34">
        <f>SUM(SUMIFS(LogFY20!D:D,LogFY20!A:A,"=*human_resources*",LogFY20!A:A,"&lt;&gt;SOH*"),SUMIFS(LogFY20!D:D,LogFY20!A:A,"=*personnel*"),-1*SUM(SUMIFS(LogFY20!L:L,LogFY20!A:A,"=*human_resources*",LogFY20!A:A,"&lt;&gt;SOH*"),SUMIFS(LogFY20!L:L,LogFY20!A:A,"=*personnel*")),-1*SUM(SUMIFS(LogFY20!N:N,LogFY20!A:A,"=*human_resources*",LogFY20!A:A,"&lt;&gt;SOH*"),SUMIFS(LogFY20!N:N,LogFY20!A:A,"=*personnel*")))</f>
        <v>7</v>
      </c>
      <c r="AZ34" s="7">
        <f t="shared" si="68"/>
        <v>0.30434782608695654</v>
      </c>
      <c r="BA34" s="7">
        <f t="shared" si="69"/>
        <v>1.0230179028133002E-2</v>
      </c>
      <c r="BB34">
        <f>ROUND(SUM(SUMIFS(LogFY20!K:K,LogFY20!A:A,"=*human_resources*",LogFY20!A:A,"&lt;&gt;SOH*"),SUMIFS(LogFY20!K:K,LogFY20!A:A,"=*personnel*"))/SUM(SUMIFS(LogFY20!J:J,LogFY20!A:A,"=*human_resources*",LogFY20!A:A,"&lt;&gt;SOH*"),SUMIFS(LogFY20!J:J,LogFY20!A:A,"=*personnel*")),0)</f>
        <v>11</v>
      </c>
      <c r="BC34">
        <f t="shared" si="70"/>
        <v>-1</v>
      </c>
      <c r="BD34" s="1">
        <v>60</v>
      </c>
      <c r="BE34" s="1">
        <f t="shared" si="71"/>
        <v>-47</v>
      </c>
      <c r="BF34">
        <f>SUM(COUNTIFS(All!F:F,"=*dhr", All!B:B, "&gt;=7/1/2019", All!B:B,"&lt;=6/30/2020", All!E:E,"=U*",All!E:E,"&lt;&gt;UIPA*",All!E:E,"&lt;&gt;*RFO*",All!E:E,"&lt;&gt;*TRNG*"),COUNTIFS(All!F:F,"=hr*", All!B:B, "&gt;=7/1/2019", All!B:B,"&lt;=6/30/2020", All!E:E,"=U*",All!E:E,"&lt;&gt;UIPA*",All!E:E,"&lt;&gt;*RFO*",All!E:E,"&lt;&gt;*TRNG*"),COUNTIFS(All!F:F,"=pers*", All!B:B, "&gt;=7/1/2019", All!B:B,"&lt;=6/30/2020", All!E:E,"=U*",All!E:E,"&lt;&gt;UIPA*",All!E:E,"&lt;&gt;*RFO*",All!E:E,"&lt;&gt;*TRNG*"),COUNTIFS(All!F:F,"=civ*", All!B:B, "&gt;=7/1/2019", All!B:B,"&lt;=6/30/2020", All!E:E,"=U*",All!E:E,"&lt;&gt;UIPA*",All!E:E,"&lt;&gt;*RFO*",All!E:E,"&lt;&gt;*TRNG*"))</f>
        <v>1</v>
      </c>
      <c r="BG34" s="7">
        <f>ROUND(BF34/(AX34+AN34),3)</f>
        <v>2.5000000000000001E-2</v>
      </c>
      <c r="BH34">
        <f>SUM(SUMIFS(LogFY21!D:D,LogFY21!A:A,"=*human_resources*",LogFY21!A:A,"&lt;&gt;SOH*"),SUMIFS(LogFY21!D:D,LogFY21!A:A,"=*personnel*"))</f>
        <v>20</v>
      </c>
      <c r="BI34">
        <f>SUM(SUMIFS(LogFY21!D:D,LogFY21!A:A,"=*human_resources*",LogFY21!A:A,"&lt;&gt;SOH*"),SUMIFS(LogFY21!D:D,LogFY21!A:A,"=*personnel*"),-1*SUM(SUMIFS(LogFY21!L:L,LogFY21!A:A,"=*human_resources*",LogFY21!A:A,"&lt;&gt;SOH*"),SUMIFS(LogFY21!L:L,LogFY21!A:A,"=*personnel*")),-1*SUM(SUMIFS(LogFY21!N:N,LogFY21!A:A,"=*human_resources*",LogFY21!A:A,"&lt;&gt;SOH*"),SUMIFS(LogFY21!N:N,LogFY21!A:A,"=*personnel*")))</f>
        <v>9</v>
      </c>
      <c r="BJ34" s="7">
        <f t="shared" si="55"/>
        <v>0.45</v>
      </c>
      <c r="BK34" s="7">
        <f t="shared" si="56"/>
        <v>0.14565217391304347</v>
      </c>
      <c r="BL34">
        <f>ROUND(SUM(SUMIFS(LogFY21!K:K,LogFY21!A:A,"=*human_resources*",LogFY21!A:A,"&lt;&gt;SOH*"),SUMIFS(LogFY21!K:K,LogFY21!A:A,"=*personnel*"))/SUM(SUMIFS(LogFY21!J:J,LogFY21!A:A,"=*human_resources*",LogFY21!A:A,"&lt;&gt;SOH*"),SUMIFS(LogFY21!J:J,LogFY21!A:A,"=*personnel*")),0)</f>
        <v>7</v>
      </c>
      <c r="BM34">
        <f t="shared" si="57"/>
        <v>-4</v>
      </c>
      <c r="BN34" s="1">
        <v>18</v>
      </c>
      <c r="BO34" s="1">
        <f t="shared" si="58"/>
        <v>-42</v>
      </c>
      <c r="BP34">
        <f>SUM(COUNTIFS(All!F:F,"=*dhr", All!B:B, "&gt;=7/1/2020", All!B:B,"&lt;=6/30/2021", All!E:E,"=U*",All!E:E,"&lt;&gt;UIPA*",All!E:E,"&lt;&gt;*RFO*",All!E:E,"&lt;&gt;*TRNG*"),COUNTIFS(All!F:F,"=hr*", All!B:B, "&gt;=7/1/2020", All!B:B,"&lt;=6/30/2021", All!E:E,"=U*",All!E:E,"&lt;&gt;UIPA*",All!E:E,"&lt;&gt;*RFO*",All!E:E,"&lt;&gt;*TRNG*"),COUNTIFS(All!F:F,"=pers*", All!B:B, "&gt;=7/1/2020", All!B:B,"&lt;=6/30/2021", All!E:E,"=U*",All!E:E,"&lt;&gt;UIPA*",All!E:E,"&lt;&gt;*RFO*",All!E:E,"&lt;&gt;*TRNG*"),COUNTIFS(All!F:F,"=civ*", All!B:B, "&gt;=7/1/2020", All!B:B,"&lt;=6/30/2021", All!E:E,"=U*",All!E:E,"&lt;&gt;UIPA*",All!E:E,"&lt;&gt;*RFO*",All!E:E,"&lt;&gt;*TRNG*"))</f>
        <v>0</v>
      </c>
      <c r="BQ34" s="7">
        <f>ROUND(BP34/(BH34+AX34),3)</f>
        <v>0</v>
      </c>
      <c r="BR34">
        <f>SUM(SUMIFS(LogFY22!D:D,LogFY22!A:A,"=*human_resources*",LogFY22!A:A,"&lt;&gt;SOH*"),SUMIFS(LogFY22!D:D,LogFY22!A:A,"=*personnel*"))</f>
        <v>18</v>
      </c>
      <c r="BS34">
        <f>SUM(SUMIFS(LogFY22!D:D,LogFY22!A:A,"=*human_resources*",LogFY22!A:A,"&lt;&gt;SOH*"),SUMIFS(LogFY22!D:D,LogFY22!A:A,"=*personnel*"),-1*SUM(SUMIFS(LogFY22!L:L,LogFY22!A:A,"=*human_resources*",LogFY22!A:A,"&lt;&gt;SOH*"),SUMIFS(LogFY22!L:L,LogFY22!A:A,"=*personnel*")),-1*SUM(SUMIFS(LogFY22!N:N,LogFY22!A:A,"=*human_resources*",LogFY22!A:A,"&lt;&gt;SOH*"),SUMIFS(LogFY22!N:N,LogFY22!A:A,"=*personnel*")))</f>
        <v>7</v>
      </c>
      <c r="BT34" s="7">
        <f t="shared" si="72"/>
        <v>0.3888888888888889</v>
      </c>
      <c r="BU34" s="7">
        <f t="shared" si="17"/>
        <v>-6.1111111111111116E-2</v>
      </c>
      <c r="BV34">
        <f>ROUND(SUM(SUMIFS(LogFY22!K:K,LogFY22!A:A,"=*human_resources*",LogFY22!A:A,"&lt;&gt;SOH*"),SUMIFS(LogFY22!K:K,LogFY22!A:A,"=*personnel*"))/SUM(SUMIFS(LogFY22!J:J,LogFY22!A:A,"=*human_resources*",LogFY22!A:A,"&lt;&gt;SOH*"),SUMIFS(LogFY22!J:J,LogFY22!A:A,"=*personnel*")),0)</f>
        <v>12</v>
      </c>
      <c r="BW34">
        <f t="shared" si="49"/>
        <v>5</v>
      </c>
      <c r="BX34" s="1">
        <v>57</v>
      </c>
      <c r="BY34" s="1">
        <f t="shared" si="47"/>
        <v>39</v>
      </c>
      <c r="BZ34">
        <f>SUM(COUNTIFS(All!F:F,"=*dhr", All!B:B, "&gt;=7/1/2021", All!B:B,"&lt;=6/30/2022", All!E:E,"=U*",All!E:E,"&lt;&gt;UIPA*",All!E:E,"&lt;&gt;*RFO*",All!E:E,"&lt;&gt;*TRNG*"),COUNTIFS(All!F:F,"=hr*", All!B:B, "&gt;=7/1/2021", All!B:B,"&lt;=6/30/2022", All!E:E,"=U*",All!E:E,"&lt;&gt;UIPA*",All!E:E,"&lt;&gt;*RFO*",All!E:E,"&lt;&gt;*TRNG*"),COUNTIFS(All!F:F,"=pers*", All!B:B, "&gt;=7/1/2021", All!B:B,"&lt;=6/30/2022", All!E:E,"=U*",All!E:E,"&lt;&gt;UIPA*",All!E:E,"&lt;&gt;*RFO*",All!E:E,"&lt;&gt;*TRNG*"),COUNTIFS(All!F:F,"=civ*", All!B:B, "&gt;=7/1/2021", All!B:B,"&lt;=6/30/2022", All!E:E,"=U*",All!E:E,"&lt;&gt;UIPA*",All!E:E,"&lt;&gt;*RFO*",All!E:E,"&lt;&gt;*TRNG*"))</f>
        <v>1</v>
      </c>
      <c r="CA34" s="7">
        <f>ROUND(BZ34/(BR34+BH34),3)</f>
        <v>2.5999999999999999E-2</v>
      </c>
      <c r="CB34">
        <f>SUM(SUMIFS(LogFY23!D:D,LogFY23!A:A,"=*human_resources*",LogFY23!A:A,"&lt;&gt;SOH*"),SUMIFS(LogFY23!D:D,LogFY23!A:A,"=*personnel*"))</f>
        <v>22</v>
      </c>
      <c r="CC34">
        <f>SUM(SUMIFS(LogFY23!D:D,LogFY23!A:A,"=*human_resources*",LogFY23!A:A,"&lt;&gt;SOH*"),SUMIFS(LogFY23!D:D,LogFY23!A:A,"=*personnel*"),-1*SUM(SUMIFS(LogFY23!L:L,LogFY23!A:A,"=*human_resources*",LogFY23!A:A,"&lt;&gt;SOH*"),SUMIFS(LogFY23!L:L,LogFY23!A:A,"=*personnel*")),-1*SUM(SUMIFS(LogFY23!N:N,LogFY23!A:A,"=*human_resources*",LogFY23!A:A,"&lt;&gt;SOH*"),SUMIFS(LogFY23!N:N,LogFY23!A:A,"=*personnel*")))</f>
        <v>7</v>
      </c>
      <c r="CD34" s="7">
        <f t="shared" si="59"/>
        <v>0.31818181818181818</v>
      </c>
      <c r="CE34" s="7">
        <f t="shared" si="60"/>
        <v>-7.0707070707070718E-2</v>
      </c>
      <c r="CF34">
        <f>ROUND(SUM(SUMIFS(LogFY23!K:K,LogFY23!A:A,"=*human_resources*",LogFY23!A:A,"&lt;&gt;SOH*"),SUMIFS(LogFY23!K:K,LogFY23!A:A,"=*personnel*"))/SUM(SUMIFS(LogFY23!J:J,LogFY23!A:A,"=*human_resources*",LogFY23!A:A,"&lt;&gt;SOH*"),SUMIFS(LogFY23!J:J,LogFY23!A:A,"=*personnel*")),0)</f>
        <v>12</v>
      </c>
      <c r="CG34">
        <f t="shared" si="61"/>
        <v>0</v>
      </c>
      <c r="CH34" s="1">
        <v>53</v>
      </c>
      <c r="CI34" s="1">
        <f t="shared" ref="CI34:CI65" si="74">CH34-BX34</f>
        <v>-4</v>
      </c>
      <c r="CJ34">
        <f>SUM(COUNTIFS(All!F:F,"=*dhr", All!B:B, "&gt;=7/1/2022", All!B:B,"&lt;=6/30/2023", All!E:E,"=U*",All!E:E,"&lt;&gt;UIPA*",All!E:E,"&lt;&gt;*RFO*",All!E:E,"&lt;&gt;*TRNG*"),COUNTIFS(All!F:F,"=hr*", All!B:B, "&gt;=7/1/2022", All!B:B,"&lt;=6/30/2023", All!E:E,"=U*",All!E:E,"&lt;&gt;UIPA*",All!E:E,"&lt;&gt;*RFO*",All!E:E,"&lt;&gt;*TRNG*"),COUNTIFS(All!F:F,"=pers*", All!B:B, "&gt;=7/1/2022", All!B:B,"&lt;=6/30/2023", All!E:E,"=U*",All!E:E,"&lt;&gt;UIPA*",All!E:E,"&lt;&gt;*RFO*",All!E:E,"&lt;&gt;*TRNG*"),COUNTIFS(All!F:F,"=civ*", All!B:B, "&gt;=7/1/2022", All!B:B,"&lt;=6/30/2023", All!E:E,"=U*",All!E:E,"&lt;&gt;UIPA*",All!E:E,"&lt;&gt;*RFO*",All!E:E,"&lt;&gt;*TRNG*"))</f>
        <v>2</v>
      </c>
      <c r="CK34" s="7">
        <f>ROUND(CJ34/(CB34+BR34),3)</f>
        <v>0.05</v>
      </c>
      <c r="CL34">
        <f>SUM(SUMIFS(LogFY24!D:D,LogFY24!A:A,"=*human_resources*",LogFY24!A:A,"&lt;&gt;SOH*"),SUMIFS(LogFY24!D:D,LogFY24!A:A,"=*personnel*"))</f>
        <v>19</v>
      </c>
      <c r="CM34">
        <f>SUM(SUMIFS(LogFY24!D:D,LogFY24!A:A,"=*human_resources*",LogFY24!A:A,"&lt;&gt;SOH*"),SUMIFS(LogFY24!D:D,LogFY24!A:A,"=*personnel*"),-1*SUM(SUMIFS(LogFY24!L:L,LogFY24!A:A,"=*human_resources*",LogFY24!A:A,"&lt;&gt;SOH*"),SUMIFS(LogFY24!L:L,LogFY24!A:A,"=*personnel*")),-1*SUM(SUMIFS(LogFY24!N:N,LogFY24!A:A,"=*human_resources*",LogFY24!A:A,"&lt;&gt;SOH*"),SUMIFS(LogFY24!N:N,LogFY24!A:A,"=*personnel*")))</f>
        <v>9</v>
      </c>
      <c r="CN34" s="7">
        <f t="shared" si="73"/>
        <v>0.47368421052631576</v>
      </c>
      <c r="CO34" s="7">
        <f t="shared" ref="CO34:CO65" si="75">CN34-CD34</f>
        <v>0.15550239234449759</v>
      </c>
      <c r="CP34">
        <f>ROUND(SUM(SUMIFS(LogFY24!K:K,LogFY24!A:A,"=*human_resources*",LogFY24!A:A,"&lt;&gt;SOH*"),SUMIFS(LogFY24!K:K,LogFY24!A:A,"=*personnel*"))/SUM(SUMIFS(LogFY24!J:J,LogFY24!A:A,"=*human_resources*",LogFY24!A:A,"&lt;&gt;SOH*"),SUMIFS(LogFY24!J:J,LogFY24!A:A,"=*personnel*")),0)</f>
        <v>22</v>
      </c>
      <c r="CQ34">
        <f t="shared" ref="CQ34:CQ65" si="76">CP34-CF34</f>
        <v>10</v>
      </c>
      <c r="CR34" s="1">
        <v>122</v>
      </c>
      <c r="CS34" s="1">
        <f t="shared" si="27"/>
        <v>69</v>
      </c>
      <c r="CT34">
        <f>SUM(COUNTIFS(All!F:F,"=*dhr", All!B:B, "&gt;=7/1/2023", All!B:B,"&lt;=6/30/2024", All!E:E,"=U*",All!E:E,"&lt;&gt;UIPA*",All!E:E,"&lt;&gt;*RFO*",All!E:E,"&lt;&gt;*TRNG*"),COUNTIFS(All!F:F,"=hr*", All!B:B, "&gt;=7/1/2023", All!B:B,"&lt;=6/30/2024", All!E:E,"=U*",All!E:E,"&lt;&gt;UIPA*",All!E:E,"&lt;&gt;*RFO*",All!E:E,"&lt;&gt;*TRNG*"),COUNTIFS(All!F:F,"=pers*", All!B:B, "&gt;=7/1/2023", All!B:B,"&lt;=6/30/2024", All!E:E,"=U*",All!E:E,"&lt;&gt;UIPA*",All!E:E,"&lt;&gt;*RFO*",All!E:E,"&lt;&gt;*TRNG*"),COUNTIFS(All!F:F,"=civ*", All!B:B, "&gt;=7/1/2023", All!B:B,"&lt;=6/30/2024", All!E:E,"=U*",All!E:E,"&lt;&gt;UIPA*",All!E:E,"&lt;&gt;*RFO*",All!E:E,"&lt;&gt;*TRNG*"))</f>
        <v>1</v>
      </c>
      <c r="CU34" s="7">
        <f>ROUND(CT34/(CL34+CB34),3)</f>
        <v>2.4E-2</v>
      </c>
    </row>
    <row r="35" spans="1:99" ht="16">
      <c r="A35" s="10">
        <f t="shared" ref="A35:A66" si="77">A34+1</f>
        <v>34</v>
      </c>
      <c r="B35" s="1" t="s">
        <v>16795</v>
      </c>
      <c r="C35">
        <f>SUMIFS(LogFY15!D:D,LogFY15!A:A,"=*planning*",LogFY15!A:A,"&lt;&gt;oahu*")</f>
        <v>49</v>
      </c>
      <c r="D35">
        <f>SUM(SUMIFS(LogFY15!D:D,LogFY15!A:A,"=*planning*",LogFY15!A:A,"&lt;&gt;oahu*"),-1*SUMIFS(LogFY15!L:L,LogFY15!A:A,"=*planning*",LogFY15!A:A,"&lt;&gt;oahu*"),-1*SUMIFS(LogFY15!N:N,LogFY15!A:A,"=*planning*",LogFY15!A:A,"&lt;&gt;oahu*"))</f>
        <v>17</v>
      </c>
      <c r="E35" s="7">
        <f t="shared" si="34"/>
        <v>0.34693877551020408</v>
      </c>
      <c r="F35">
        <f>ROUND(SUM(SUMIFS(LogFY15!K:K,LogFY15!A:A,"=*planning*",LogFY15!A:A,"&lt;&gt;oahu*"))/SUM(SUMIFS(LogFY15!J:J,LogFY15!A:A,"=*planning*",LogFY15!A:A,"&lt;&gt;oahu*")),0)</f>
        <v>22</v>
      </c>
      <c r="G35" s="1">
        <v>89</v>
      </c>
      <c r="H35">
        <f>SUM(COUNTIFS(All!F:F,"=plan*", All!B:B, "&gt;=7/1/2014", All!B:B,"&lt;=6/30/2015", All!E:E,"=U*",All!E:E,"&lt;&gt;UIPA*",All!E:E,"&lt;&gt;*RFO*",All!E:E,"&lt;&gt;*TRNG*"),COUNTIFS(All!F:F,"=bldg*", All!B:B, "&gt;=7/1/2014", All!B:B,"&lt;=6/30/2015", All!E:E,"=U*",All!E:E,"&lt;&gt;UIPA*",All!E:E,"&lt;&gt;*RFO*",All!E:E,"&lt;&gt;*TRNG*"),COUNTIFS(All!F:F,"=*DPP*", All!B:B, "&gt;=7/1/2014", All!B:B,"&lt;=6/30/2015", All!E:E,"=U*",All!E:E,"&lt;&gt;UIPA*",All!E:E,"&lt;&gt;*RFO*",All!E:E,"&lt;&gt;*TRNG*"))</f>
        <v>6</v>
      </c>
      <c r="I35" s="7">
        <f>ROUND(H35/C35,3)</f>
        <v>0.122</v>
      </c>
      <c r="J35">
        <f>SUMIFS(LogFY16!D:D,LogFY16!A:A,"=*planning*",LogFY16!A:A,"&lt;&gt;oahu*")</f>
        <v>149</v>
      </c>
      <c r="K35">
        <f>SUM(SUMIFS(LogFY16!D:D,LogFY16!A:A,"=*planning*",LogFY16!A:A,"&lt;&gt;oahu*"),-1*SUMIFS(LogFY16!L:L,LogFY16!A:A,"=*planning*",LogFY16!A:A,"&lt;&gt;oahu*"),-1*SUMIFS(LogFY16!N:N,LogFY16!A:A,"=*planning*",LogFY16!A:A,"&lt;&gt;oahu*"))</f>
        <v>31</v>
      </c>
      <c r="L35" s="7">
        <f t="shared" si="50"/>
        <v>0.20805369127516779</v>
      </c>
      <c r="M35" s="7">
        <f t="shared" si="51"/>
        <v>-0.13888508423503629</v>
      </c>
      <c r="N35">
        <f>ROUND(SUM(SUMIFS(LogFY16!K:K,LogFY16!A:A,"=*planning*",LogFY16!A:A,"&lt;&gt;oahu*"))/SUM(SUMIFS(LogFY16!J:J,LogFY16!A:A,"=*planning*",LogFY16!A:A,"&lt;&gt;oahu*")),0)</f>
        <v>11</v>
      </c>
      <c r="O35">
        <f t="shared" si="52"/>
        <v>-11</v>
      </c>
      <c r="P35" s="1">
        <v>119</v>
      </c>
      <c r="Q35" s="1">
        <f t="shared" si="53"/>
        <v>30</v>
      </c>
      <c r="R35">
        <f>SUM(COUNTIFS(All!F:F,"=plan*", All!B:B, "&gt;=7/1/2015", All!B:B,"&lt;=6/30/2016", All!E:E,"=U*",All!E:E,"&lt;&gt;UIPA*",All!E:E,"&lt;&gt;*RFO*",All!E:E,"&lt;&gt;*TRNG*"),COUNTIFS(All!F:F,"=bldg*", All!B:B, "&gt;=7/1/2015", All!B:B,"&lt;=6/30/2016", All!E:E,"=U*",All!E:E,"&lt;&gt;UIPA*",All!E:E,"&lt;&gt;*RFO*",All!E:E,"&lt;&gt;*TRNG*"),COUNTIFS(All!F:F,"=*DPP*", All!B:B, "&gt;=7/1/2015", All!B:B,"&lt;=6/30/2016", All!E:E,"=U*",All!E:E,"&lt;&gt;UIPA*",All!E:E,"&lt;&gt;*RFO*",All!E:E,"&lt;&gt;*TRNG*"))</f>
        <v>2</v>
      </c>
      <c r="S35" s="7">
        <f>ROUND(R35/(J35+C35),3)</f>
        <v>0.01</v>
      </c>
      <c r="T35">
        <f>SUMIFS(LogFY17!D:D,LogFY17!A:A,"=*planning*",LogFY17!A:A,"&lt;&gt;oahu*")</f>
        <v>86</v>
      </c>
      <c r="U35">
        <f>SUM(SUMIFS(LogFY17!D:D,LogFY17!A:A,"=*planning*",LogFY17!A:A,"&lt;&gt;oahu*"),-1*SUMIFS(LogFY17!L:L,LogFY17!A:A,"=*planning*",LogFY17!A:A,"&lt;&gt;oahu*"),-1*SUMIFS(LogFY17!N:N,LogFY17!A:A,"=*planning*",LogFY17!A:A,"&lt;&gt;oahu*"))</f>
        <v>19</v>
      </c>
      <c r="V35" s="7">
        <f t="shared" si="62"/>
        <v>0.22093023255813954</v>
      </c>
      <c r="W35" s="7">
        <f t="shared" si="63"/>
        <v>1.2876541282971748E-2</v>
      </c>
      <c r="X35">
        <f>ROUND(SUM(SUMIFS(LogFY17!K:K,LogFY17!A:A,"=*planning*",LogFY17!A:A,"&lt;&gt;oahu*"))/SUM(SUMIFS(LogFY17!J:J,LogFY17!A:A,"=*planning*",LogFY17!A:A,"&lt;&gt;oahu*")),0)</f>
        <v>12</v>
      </c>
      <c r="Y35">
        <f t="shared" si="64"/>
        <v>1</v>
      </c>
      <c r="Z35" s="1">
        <v>121</v>
      </c>
      <c r="AA35" s="1">
        <f t="shared" si="54"/>
        <v>2</v>
      </c>
      <c r="AB35">
        <f>SUM(COUNTIFS(All!F:F,"=plan*", All!B:B, "&gt;=7/1/2016", All!B:B,"&lt;=6/30/2017", All!E:E,"=U*",All!E:E,"&lt;&gt;UIPA*",All!E:E,"&lt;&gt;*RFO*",All!E:E,"&lt;&gt;*TRNG*"),COUNTIFS(All!F:F,"=bldg*", All!B:B, "&gt;=7/1/2016", All!B:B,"&lt;=6/30/2017", All!E:E,"=U*",All!E:E,"&lt;&gt;UIPA*",All!E:E,"&lt;&gt;*RFO*",All!E:E,"&lt;&gt;*TRNG*"),COUNTIFS(All!F:F,"=*DPP*", All!B:B, "&gt;=7/1/2016", All!B:B,"&lt;=6/30/2017", All!E:E,"=U*",All!E:E,"&lt;&gt;UIPA*",All!E:E,"&lt;&gt;*RFO*",All!E:E,"&lt;&gt;*TRNG*"))</f>
        <v>10</v>
      </c>
      <c r="AC35" s="7">
        <f>ROUND(AB35/(T35+J35),3)</f>
        <v>4.2999999999999997E-2</v>
      </c>
      <c r="AD35">
        <f>SUMIFS(LogFY18!D:D,LogFY18!A:A,"=*planning*",LogFY18!A:A,"&lt;&gt;oahu*")</f>
        <v>61</v>
      </c>
      <c r="AE35">
        <f>SUM(SUMIFS(LogFY18!D:D,LogFY18!A:A,"=*planning*",LogFY18!A:A,"&lt;&gt;oahu*"),-1*SUMIFS(LogFY18!L:L,LogFY18!A:A,"=*planning*",LogFY18!A:A,"&lt;&gt;oahu*"),-1*SUMIFS(LogFY18!N:N,LogFY18!A:A,"=*planning*",LogFY18!A:A,"&lt;&gt;oahu*"))</f>
        <v>21</v>
      </c>
      <c r="AF35" s="7">
        <f>AE35/AD35</f>
        <v>0.34426229508196721</v>
      </c>
      <c r="AG35" s="7">
        <f>AF35-V35</f>
        <v>0.12333206252382767</v>
      </c>
      <c r="AH35">
        <f>ROUND(SUM(SUMIFS(LogFY18!K:K,LogFY18!A:A,"=*planning*",LogFY18!A:A,"&lt;&gt;oahu*"))/SUM(SUMIFS(LogFY18!J:J,LogFY18!A:A,"=*planning*",LogFY18!A:A,"&lt;&gt;oahu*")),0)</f>
        <v>11</v>
      </c>
      <c r="AI35">
        <f>AH35-X35</f>
        <v>-1</v>
      </c>
      <c r="AJ35" s="1">
        <v>58</v>
      </c>
      <c r="AK35" s="1">
        <f>AJ35-Z35</f>
        <v>-63</v>
      </c>
      <c r="AL35">
        <f>SUM(COUNTIFS(All!F:F,"=plan*", All!B:B, "&gt;=7/1/2017", All!B:B,"&lt;=6/30/2018", All!E:E,"=U*",All!E:E,"&lt;&gt;UIPA*",All!E:E,"&lt;&gt;*RFO*",All!E:E,"&lt;&gt;*TRNG*"),COUNTIFS(All!F:F,"=bldg*", All!B:B, "&gt;=7/1/2017", All!B:B,"&lt;=6/30/2018", All!E:E,"=U*",All!E:E,"&lt;&gt;UIPA*",All!E:E,"&lt;&gt;*RFO*",All!E:E,"&lt;&gt;*TRNG*"),COUNTIFS(All!F:F,"=*DPP*", All!B:B, "&gt;=7/1/2017", All!B:B,"&lt;=6/30/2018", All!E:E,"=U*",All!E:E,"&lt;&gt;UIPA*",All!E:E,"&lt;&gt;*RFO*",All!E:E,"&lt;&gt;*TRNG*"))</f>
        <v>5</v>
      </c>
      <c r="AM35" s="7">
        <f>ROUND(AL35/(AD35+T35),3)</f>
        <v>3.4000000000000002E-2</v>
      </c>
      <c r="AN35">
        <f>SUMIFS(LogFY19!D:D,LogFY19!A:A,"=*planning*",LogFY19!A:A,"&lt;&gt;oahu*")</f>
        <v>111</v>
      </c>
      <c r="AO35">
        <f>SUM(SUMIFS(LogFY19!D:D,LogFY19!A:A,"=*planning*",LogFY19!A:A,"&lt;&gt;oahu*"),-1*SUMIFS(LogFY19!L:L,LogFY19!A:A,"=*planning*",LogFY19!A:A,"&lt;&gt;oahu*"),-1*SUMIFS(LogFY19!N:N,LogFY19!A:A,"=*planning*",LogFY19!A:A,"&lt;&gt;oahu*"))</f>
        <v>18</v>
      </c>
      <c r="AP35" s="7">
        <f t="shared" si="65"/>
        <v>0.16216216216216217</v>
      </c>
      <c r="AQ35" s="7">
        <f t="shared" si="66"/>
        <v>-0.18210013291980504</v>
      </c>
      <c r="AR35">
        <f>ROUND(SUM(SUMIFS(LogFY19!K:K,LogFY19!A:A,"=*planning*",LogFY19!A:A,"&lt;&gt;oahu*"))/SUM(SUMIFS(LogFY19!J:J,LogFY19!A:A,"=*planning*",LogFY19!A:A,"&lt;&gt;oahu*")),0)</f>
        <v>7</v>
      </c>
      <c r="AS35">
        <f t="shared" si="67"/>
        <v>-4</v>
      </c>
      <c r="AT35" s="1">
        <v>64</v>
      </c>
      <c r="AU35" s="1">
        <f>AT35-AJ35</f>
        <v>6</v>
      </c>
      <c r="AV35">
        <f>SUM(COUNTIFS(All!F:F,"=plan*", All!B:B, "&gt;=7/1/2018", All!B:B,"&lt;=6/30/2019", All!E:E,"=U*",All!E:E,"&lt;&gt;UIPA*",All!E:E,"&lt;&gt;*RFO*",All!E:E,"&lt;&gt;*TRNG*"),COUNTIFS(All!F:F,"=bldg*", All!B:B, "&gt;=7/1/2018", All!B:B,"&lt;=6/30/2019", All!E:E,"=U*",All!E:E,"&lt;&gt;UIPA*",All!E:E,"&lt;&gt;*RFO*",All!E:E,"&lt;&gt;*TRNG*"),COUNTIFS(All!F:F,"=*DPP*", All!B:B, "&gt;=7/1/2018", All!B:B,"&lt;=6/30/2019", All!E:E,"=U*",All!E:E,"&lt;&gt;UIPA*",All!E:E,"&lt;&gt;*RFO*",All!E:E,"&lt;&gt;*TRNG*"))</f>
        <v>6</v>
      </c>
      <c r="AW35" s="7">
        <f>ROUND(AV35/(AN35+AD35),3)</f>
        <v>3.5000000000000003E-2</v>
      </c>
      <c r="AX35">
        <f>SUMIFS(LogFY20!D:D,LogFY20!A:A,"=*planning*",LogFY20!A:A,"&lt;&gt;oahu*")</f>
        <v>106</v>
      </c>
      <c r="AY35">
        <f>SUM(SUMIFS(LogFY20!D:D,LogFY20!A:A,"=*planning*",LogFY20!A:A,"&lt;&gt;oahu*"),-1*SUMIFS(LogFY20!L:L,LogFY20!A:A,"=*planning*",LogFY20!A:A,"&lt;&gt;oahu*"),-1*SUMIFS(LogFY20!N:N,LogFY20!A:A,"=*planning*",LogFY20!A:A,"&lt;&gt;oahu*"))</f>
        <v>23</v>
      </c>
      <c r="AZ35" s="7">
        <f t="shared" si="68"/>
        <v>0.21698113207547171</v>
      </c>
      <c r="BA35" s="7">
        <f t="shared" si="69"/>
        <v>5.4818969913309534E-2</v>
      </c>
      <c r="BB35">
        <f>ROUND(SUM(SUMIFS(LogFY20!K:K,LogFY20!A:A,"=*planning*",LogFY20!A:A,"&lt;&gt;oahu*"))/SUM(SUMIFS(LogFY20!J:J,LogFY20!A:A,"=*planning*",LogFY20!A:A,"&lt;&gt;oahu*")),0)</f>
        <v>11</v>
      </c>
      <c r="BC35">
        <f t="shared" si="70"/>
        <v>4</v>
      </c>
      <c r="BD35" s="1">
        <v>96</v>
      </c>
      <c r="BE35" s="1">
        <f t="shared" si="71"/>
        <v>32</v>
      </c>
      <c r="BF35">
        <f>SUM(COUNTIFS(All!F:F,"=plan*", All!B:B, "&gt;=7/1/2019", All!B:B,"&lt;=6/30/2020", All!E:E,"=U*",All!E:E,"&lt;&gt;UIPA*",All!E:E,"&lt;&gt;*RFO*",All!E:E,"&lt;&gt;*TRNG*"),COUNTIFS(All!F:F,"=bldg*", All!B:B, "&gt;=7/1/2019", All!B:B,"&lt;=6/30/2020", All!E:E,"=U*",All!E:E,"&lt;&gt;UIPA*",All!E:E,"&lt;&gt;*RFO*",All!E:E,"&lt;&gt;*TRNG*"),COUNTIFS(All!F:F,"=*DPP*", All!B:B, "&gt;=7/1/2019", All!B:B,"&lt;=6/30/2020", All!E:E,"=U*",All!E:E,"&lt;&gt;UIPA*",All!E:E,"&lt;&gt;*RFO*",All!E:E,"&lt;&gt;*TRNG*"))</f>
        <v>1</v>
      </c>
      <c r="BG35" s="7">
        <f>ROUND(BF35/(AX35+AN35),3)</f>
        <v>5.0000000000000001E-3</v>
      </c>
      <c r="BH35">
        <f>SUMIFS(LogFY21!D:D,LogFY21!A:A,"=*planning*",LogFY21!A:A,"&lt;&gt;oahu*")</f>
        <v>125</v>
      </c>
      <c r="BI35">
        <f>SUM(SUMIFS(LogFY21!D:D,LogFY21!A:A,"=*planning*",LogFY21!A:A,"&lt;&gt;oahu*"),-1*SUMIFS(LogFY21!L:L,LogFY21!A:A,"=*planning*",LogFY21!A:A,"&lt;&gt;oahu*"),-1*SUMIFS(LogFY21!N:N,LogFY21!A:A,"=*planning*",LogFY21!A:A,"&lt;&gt;oahu*"))</f>
        <v>23</v>
      </c>
      <c r="BJ35" s="7">
        <f t="shared" si="55"/>
        <v>0.184</v>
      </c>
      <c r="BK35" s="7">
        <f t="shared" si="56"/>
        <v>-3.2981132075471709E-2</v>
      </c>
      <c r="BL35">
        <f>ROUND(SUM(SUMIFS(LogFY21!K:K,LogFY21!A:A,"=*planning*",LogFY21!A:A,"&lt;&gt;oahu*"))/SUM(SUMIFS(LogFY21!J:J,LogFY21!A:A,"=*planning*",LogFY21!A:A,"&lt;&gt;oahu*")),0)</f>
        <v>11</v>
      </c>
      <c r="BM35">
        <f t="shared" si="57"/>
        <v>0</v>
      </c>
      <c r="BN35" s="1">
        <v>56</v>
      </c>
      <c r="BO35" s="1">
        <f t="shared" si="58"/>
        <v>-40</v>
      </c>
      <c r="BP35">
        <f>SUM(COUNTIFS(All!F:F,"=plan*", All!B:B, "&gt;=7/1/2020", All!B:B,"&lt;=6/30/2021", All!E:E,"=U*",All!E:E,"&lt;&gt;UIPA*",All!E:E,"&lt;&gt;*RFO*",All!E:E,"&lt;&gt;*TRNG*"),COUNTIFS(All!F:F,"=bldg*", All!B:B, "&gt;=7/1/2020", All!B:B,"&lt;=6/30/2021", All!E:E,"=U*",All!E:E,"&lt;&gt;UIPA*",All!E:E,"&lt;&gt;*RFO*",All!E:E,"&lt;&gt;*TRNG*"),COUNTIFS(All!F:F,"=*DPP*", All!B:B, "&gt;=7/1/2020", All!B:B,"&lt;=6/30/2021", All!E:E,"=U*",All!E:E,"&lt;&gt;UIPA*",All!E:E,"&lt;&gt;*RFO*",All!E:E,"&lt;&gt;*TRNG*"))</f>
        <v>3</v>
      </c>
      <c r="BQ35" s="7">
        <f>ROUND(BP35/(BH35+AX35),3)</f>
        <v>1.2999999999999999E-2</v>
      </c>
      <c r="BR35">
        <f>SUMIFS(LogFY22!D:D,LogFY22!A:A,"=*planning*",LogFY22!A:A,"&lt;&gt;oahu*")</f>
        <v>106</v>
      </c>
      <c r="BS35">
        <f>SUM(SUMIFS(LogFY22!D:D,LogFY22!A:A,"=*planning*",LogFY22!A:A,"&lt;&gt;oahu*"),-1*SUMIFS(LogFY22!L:L,LogFY22!A:A,"=*planning*",LogFY22!A:A,"&lt;&gt;oahu*"),-1*SUMIFS(LogFY22!N:N,LogFY22!A:A,"=*planning*",LogFY22!A:A,"&lt;&gt;oahu*"))</f>
        <v>24</v>
      </c>
      <c r="BT35" s="7">
        <f t="shared" si="72"/>
        <v>0.22641509433962265</v>
      </c>
      <c r="BU35" s="7">
        <f t="shared" si="17"/>
        <v>4.241509433962265E-2</v>
      </c>
      <c r="BV35">
        <f>ROUND(SUM(SUMIFS(LogFY22!K:K,LogFY22!A:A,"=*planning*",LogFY22!A:A,"&lt;&gt;oahu*"))/SUM(SUMIFS(LogFY22!J:J,LogFY22!A:A,"=*planning*",LogFY22!A:A,"&lt;&gt;oahu*")),0)</f>
        <v>14</v>
      </c>
      <c r="BW35">
        <f t="shared" si="49"/>
        <v>3</v>
      </c>
      <c r="BX35" s="1">
        <v>92</v>
      </c>
      <c r="BY35" s="1">
        <f t="shared" si="47"/>
        <v>36</v>
      </c>
      <c r="BZ35">
        <f>SUM(COUNTIFS(All!F:F,"=plan*", All!B:B, "&gt;=7/1/2021", All!B:B,"&lt;=6/30/2022", All!E:E,"=U*",All!E:E,"&lt;&gt;UIPA*",All!E:E,"&lt;&gt;*RFO*",All!E:E,"&lt;&gt;*TRNG*"),COUNTIFS(All!F:F,"=bldg*", All!B:B, "&gt;=7/1/2021", All!B:B,"&lt;=6/30/2022", All!E:E,"=U*",All!E:E,"&lt;&gt;UIPA*",All!E:E,"&lt;&gt;*RFO*",All!E:E,"&lt;&gt;*TRNG*"),COUNTIFS(All!F:F,"=*DPP*", All!B:B, "&gt;=7/1/2021", All!B:B,"&lt;=6/30/2022", All!E:E,"=U*",All!E:E,"&lt;&gt;UIPA*",All!E:E,"&lt;&gt;*RFO*",All!E:E,"&lt;&gt;*TRNG*"))</f>
        <v>8</v>
      </c>
      <c r="CA35" s="7">
        <f>ROUND(BZ35/(BR35+BH35),3)</f>
        <v>3.5000000000000003E-2</v>
      </c>
      <c r="CB35">
        <f>SUMIFS(LogFY23!D:D,LogFY23!A:A,"=*planning*",LogFY23!A:A,"&lt;&gt;oahu*")</f>
        <v>160</v>
      </c>
      <c r="CC35">
        <f>SUM(SUMIFS(LogFY23!D:D,LogFY23!A:A,"=*planning*",LogFY23!A:A,"&lt;&gt;oahu*"),-1*SUMIFS(LogFY23!L:L,LogFY23!A:A,"=*planning*",LogFY23!A:A,"&lt;&gt;oahu*"),-1*SUMIFS(LogFY23!N:N,LogFY23!A:A,"=*planning*",LogFY23!A:A,"&lt;&gt;oahu*"))</f>
        <v>26</v>
      </c>
      <c r="CD35" s="7">
        <f t="shared" si="59"/>
        <v>0.16250000000000001</v>
      </c>
      <c r="CE35" s="7">
        <f t="shared" si="60"/>
        <v>-6.3915094339622641E-2</v>
      </c>
      <c r="CF35">
        <f>ROUND(SUM(SUMIFS(LogFY23!K:K,LogFY23!A:A,"=*planning*",LogFY23!A:A,"&lt;&gt;oahu*"))/SUM(SUMIFS(LogFY23!J:J,LogFY23!A:A,"=*planning*",LogFY23!A:A,"&lt;&gt;oahu*")),0)</f>
        <v>13</v>
      </c>
      <c r="CG35">
        <f t="shared" si="61"/>
        <v>-1</v>
      </c>
      <c r="CH35" s="1">
        <v>123</v>
      </c>
      <c r="CI35" s="1">
        <f t="shared" si="74"/>
        <v>31</v>
      </c>
      <c r="CJ35">
        <f>SUM(COUNTIFS(All!F:F,"=plan*", All!B:B, "&gt;=7/1/2022", All!B:B,"&lt;=6/30/2023", All!E:E,"=U*",All!E:E,"&lt;&gt;UIPA*",All!E:E,"&lt;&gt;*RFO*",All!E:E,"&lt;&gt;*TRNG*"),COUNTIFS(All!F:F,"=bldg*", All!B:B, "&gt;=7/1/2022", All!B:B,"&lt;=6/30/2023", All!E:E,"=U*",All!E:E,"&lt;&gt;UIPA*",All!E:E,"&lt;&gt;*RFO*",All!E:E,"&lt;&gt;*TRNG*"),COUNTIFS(All!F:F,"=*DPP*", All!B:B, "&gt;=7/1/2022", All!B:B,"&lt;=6/30/2023", All!E:E,"=U*",All!E:E,"&lt;&gt;UIPA*",All!E:E,"&lt;&gt;*RFO*",All!E:E,"&lt;&gt;*TRNG*"))</f>
        <v>4</v>
      </c>
      <c r="CK35" s="7">
        <f>ROUND(CJ35/(CB35+BR35),3)</f>
        <v>1.4999999999999999E-2</v>
      </c>
      <c r="CL35">
        <f>SUMIFS(LogFY24!D:D,LogFY24!A:A,"=*planning*",LogFY24!A:A,"&lt;&gt;oahu*")</f>
        <v>156</v>
      </c>
      <c r="CM35">
        <f>SUM(SUMIFS(LogFY24!D:D,LogFY24!A:A,"=*planning*",LogFY24!A:A,"&lt;&gt;oahu*"),-1*SUMIFS(LogFY24!L:L,LogFY24!A:A,"=*planning*",LogFY24!A:A,"&lt;&gt;oahu*"),-1*SUMIFS(LogFY24!N:N,LogFY24!A:A,"=*planning*",LogFY24!A:A,"&lt;&gt;oahu*"))</f>
        <v>40</v>
      </c>
      <c r="CN35" s="7">
        <f t="shared" si="73"/>
        <v>0.25641025641025639</v>
      </c>
      <c r="CO35" s="7">
        <f t="shared" si="75"/>
        <v>9.3910256410256382E-2</v>
      </c>
      <c r="CP35">
        <f>ROUND(SUM(SUMIFS(LogFY24!K:K,LogFY24!A:A,"=*planning*",LogFY24!A:A,"&lt;&gt;oahu*"))/SUM(SUMIFS(LogFY24!J:J,LogFY24!A:A,"=*planning*",LogFY24!A:A,"&lt;&gt;oahu*")),0)</f>
        <v>12</v>
      </c>
      <c r="CQ35">
        <f t="shared" si="76"/>
        <v>-1</v>
      </c>
      <c r="CR35" s="1">
        <v>79</v>
      </c>
      <c r="CS35" s="1">
        <f t="shared" si="27"/>
        <v>-44</v>
      </c>
      <c r="CT35">
        <f>SUM(COUNTIFS(All!F:F,"=plan*", All!B:B, "&gt;=7/1/2023", All!B:B,"&lt;=6/30/2024", All!E:E,"=U*",All!E:E,"&lt;&gt;UIPA*",All!E:E,"&lt;&gt;*RFO*",All!E:E,"&lt;&gt;*TRNG*"),COUNTIFS(All!F:F,"=bldg*", All!B:B, "&gt;=7/1/2023", All!B:B,"&lt;=6/30/2024", All!E:E,"=U*",All!E:E,"&lt;&gt;UIPA*",All!E:E,"&lt;&gt;*RFO*",All!E:E,"&lt;&gt;*TRNG*"),COUNTIFS(All!F:F,"=*DPP*", All!B:B, "&gt;=7/1/2023", All!B:B,"&lt;=6/30/2024", All!E:E,"=U*",All!E:E,"&lt;&gt;UIPA*",All!E:E,"&lt;&gt;*RFO*",All!E:E,"&lt;&gt;*TRNG*"))</f>
        <v>6</v>
      </c>
      <c r="CU35" s="7">
        <f>ROUND(CT35/(CL35+CB35),3)</f>
        <v>1.9E-2</v>
      </c>
    </row>
    <row r="36" spans="1:99" ht="16">
      <c r="A36" s="10">
        <f t="shared" si="77"/>
        <v>35</v>
      </c>
      <c r="B36" s="9" t="s">
        <v>17432</v>
      </c>
      <c r="C36">
        <f>SUMIFS(LogFY15!D:D,LogFY15!A:A,"=*honolulu_planning*")</f>
        <v>29</v>
      </c>
      <c r="D36">
        <f>SUM(SUMIFS(LogFY15!D:D,LogFY15!A:A,"=*honolulu_planning*"),-1*SUMIFS(LogFY15!L:L,LogFY15!A:A,"=*honolulu_planning*"),-1*SUMIFS(LogFY15!N:N,LogFY15!A:A,"=*honolulu_planning*"))</f>
        <v>11</v>
      </c>
      <c r="E36" s="7">
        <f t="shared" si="34"/>
        <v>0.37931034482758619</v>
      </c>
      <c r="F36">
        <f>ROUND(SUMIFS(LogFY15!K:K,LogFY15!A:A,"=*honolulu_planning*")/SUMIFS(LogFY15!J:J,LogFY15!A:A,"=*honolulu_planning*"),0)</f>
        <v>25</v>
      </c>
      <c r="G36" s="1">
        <v>89</v>
      </c>
      <c r="J36">
        <f>SUMIFS(LogFY16!D:D,LogFY16!A:A,"=*honolulu_planning*")</f>
        <v>28</v>
      </c>
      <c r="K36">
        <f>SUM(SUMIFS(LogFY16!D:D,LogFY16!A:A,"=*honolulu_planning*"),-1*SUMIFS(LogFY16!L:L,LogFY16!A:A,"=*honolulu_planning*"),-1*SUMIFS(LogFY16!N:N,LogFY16!A:A,"=*honolulu_planning*"))</f>
        <v>2</v>
      </c>
      <c r="L36" s="7">
        <f t="shared" si="50"/>
        <v>7.1428571428571425E-2</v>
      </c>
      <c r="M36" s="7">
        <f t="shared" si="51"/>
        <v>-0.30788177339901479</v>
      </c>
      <c r="N36">
        <f>ROUND(SUMIFS(LogFY16!K:K,LogFY16!A:A,"=*honolulu_planning*")/SUMIFS(LogFY16!J:J,LogFY16!A:A,"=*honolulu_planning*"),0)</f>
        <v>13</v>
      </c>
      <c r="O36">
        <f t="shared" si="52"/>
        <v>-12</v>
      </c>
      <c r="P36" s="1">
        <v>63</v>
      </c>
      <c r="Q36" s="1">
        <f t="shared" si="53"/>
        <v>-26</v>
      </c>
      <c r="T36">
        <f>SUMIFS(LogFY17!D:D,LogFY17!A:A,"=*honolulu_planning*")</f>
        <v>25</v>
      </c>
      <c r="U36">
        <f>SUM(SUMIFS(LogFY17!D:D,LogFY17!A:A,"=*honolulu_planning*"),-1*SUMIFS(LogFY17!L:L,LogFY17!A:A,"=*honolulu_planning*"),-1*SUMIFS(LogFY17!N:N,LogFY17!A:A,"=*honolulu_planning*"))</f>
        <v>9</v>
      </c>
      <c r="V36" s="7">
        <f t="shared" si="62"/>
        <v>0.36</v>
      </c>
      <c r="W36" s="7">
        <f t="shared" si="63"/>
        <v>0.28857142857142859</v>
      </c>
      <c r="X36">
        <f>ROUND(SUMIFS(LogFY17!K:K,LogFY17!A:A,"=*honolulu_planning*")/SUMIFS(LogFY17!J:J,LogFY17!A:A,"=*honolulu_planning*"),0)</f>
        <v>17</v>
      </c>
      <c r="Y36">
        <f t="shared" si="64"/>
        <v>4</v>
      </c>
      <c r="Z36" s="1">
        <v>121</v>
      </c>
      <c r="AA36" s="1">
        <f t="shared" si="54"/>
        <v>58</v>
      </c>
      <c r="AD36">
        <f>SUMIFS(LogFY18!D:D,LogFY18!A:A,"=*honolulu_planning*")</f>
        <v>45</v>
      </c>
      <c r="AE36">
        <f>SUM(SUMIFS(LogFY18!D:D,LogFY18!A:A,"=*honolulu_planning*"),-1*SUMIFS(LogFY18!L:L,LogFY18!A:A,"=*honolulu_planning*"),-1*SUMIFS(LogFY18!N:N,LogFY18!A:A,"=*honolulu_planning*"))</f>
        <v>17</v>
      </c>
      <c r="AF36" s="7">
        <f>AE36/AD36</f>
        <v>0.37777777777777777</v>
      </c>
      <c r="AG36" s="7">
        <f>AF36-V36</f>
        <v>1.7777777777777781E-2</v>
      </c>
      <c r="AH36">
        <f>ROUND(SUMIFS(LogFY18!K:K,LogFY18!A:A,"=*honolulu_planning*")/SUMIFS(LogFY18!J:J,LogFY18!A:A,"=*honolulu_planning*"),0)</f>
        <v>11</v>
      </c>
      <c r="AI36">
        <f>AH36-X36</f>
        <v>-6</v>
      </c>
      <c r="AJ36" s="1">
        <v>27</v>
      </c>
      <c r="AK36" s="1">
        <f>AJ36-Z36</f>
        <v>-94</v>
      </c>
      <c r="AN36">
        <f>SUMIFS(LogFY19!D:D,LogFY19!A:A,"=*honolulu_planning*")</f>
        <v>44</v>
      </c>
      <c r="AO36">
        <f>SUM(SUMIFS(LogFY19!D:D,LogFY19!A:A,"=*honolulu_planning*"),-1*SUMIFS(LogFY19!L:L,LogFY19!A:A,"=*honolulu_planning*"),-1*SUMIFS(LogFY19!N:N,LogFY19!A:A,"=*honolulu_planning*"))</f>
        <v>12</v>
      </c>
      <c r="AP36" s="7">
        <f t="shared" si="65"/>
        <v>0.27272727272727271</v>
      </c>
      <c r="AQ36" s="7">
        <f t="shared" si="66"/>
        <v>-0.10505050505050506</v>
      </c>
      <c r="AR36">
        <f>ROUND(SUMIFS(LogFY19!K:K,LogFY19!A:A,"=*honolulu_planning*")/SUMIFS(LogFY19!J:J,LogFY19!A:A,"=*honolulu_planning*"),0)</f>
        <v>13</v>
      </c>
      <c r="AS36">
        <f t="shared" si="67"/>
        <v>2</v>
      </c>
      <c r="AT36" s="1">
        <v>64</v>
      </c>
      <c r="AU36" s="1">
        <f>AT36-AJ36</f>
        <v>37</v>
      </c>
      <c r="AX36">
        <f>SUMIFS(LogFY20!D:D,LogFY20!A:A,"=*honolulu_planning*")</f>
        <v>34</v>
      </c>
      <c r="AY36">
        <f>SUM(SUMIFS(LogFY20!D:D,LogFY20!A:A,"=*honolulu_planning*"),-1*SUMIFS(LogFY20!L:L,LogFY20!A:A,"=*honolulu_planning*"),-1*SUMIFS(LogFY20!N:N,LogFY20!A:A,"=*honolulu_planning*"))</f>
        <v>6</v>
      </c>
      <c r="AZ36" s="7">
        <f t="shared" si="68"/>
        <v>0.17647058823529413</v>
      </c>
      <c r="BA36" s="7">
        <f t="shared" si="69"/>
        <v>-9.6256684491978578E-2</v>
      </c>
      <c r="BB36">
        <f>ROUND(SUMIFS(LogFY20!K:K,LogFY20!A:A,"=*honolulu_planning*")/SUMIFS(LogFY20!J:J,LogFY20!A:A,"=*honolulu_planning*"),0)</f>
        <v>12</v>
      </c>
      <c r="BC36">
        <f t="shared" si="70"/>
        <v>-1</v>
      </c>
      <c r="BD36" s="1">
        <v>28</v>
      </c>
      <c r="BE36" s="1">
        <f t="shared" si="71"/>
        <v>-36</v>
      </c>
      <c r="BH36">
        <f>SUMIFS(LogFY21!D:D,LogFY21!A:A,"=*honolulu_planning*")</f>
        <v>38</v>
      </c>
      <c r="BI36">
        <f>SUM(SUMIFS(LogFY21!D:D,LogFY21!A:A,"=*honolulu_planning*"),-1*SUMIFS(LogFY21!L:L,LogFY21!A:A,"=*honolulu_planning*"),-1*SUMIFS(LogFY21!N:N,LogFY21!A:A,"=*honolulu_planning*"))</f>
        <v>11</v>
      </c>
      <c r="BJ36" s="7">
        <f t="shared" si="55"/>
        <v>0.28947368421052633</v>
      </c>
      <c r="BK36" s="7">
        <f t="shared" si="56"/>
        <v>0.1130030959752322</v>
      </c>
      <c r="BL36">
        <f>ROUND(SUMIFS(LogFY21!K:K,LogFY21!A:A,"=*honolulu_planning*")/SUMIFS(LogFY21!J:J,LogFY21!A:A,"=*honolulu_planning*"),0)</f>
        <v>14</v>
      </c>
      <c r="BM36">
        <f t="shared" si="57"/>
        <v>2</v>
      </c>
      <c r="BN36" s="1">
        <v>46</v>
      </c>
      <c r="BO36" s="1">
        <f t="shared" si="58"/>
        <v>18</v>
      </c>
      <c r="BR36">
        <f>SUMIFS(LogFY22!D:D,LogFY22!A:A,"=*honolulu_planning*")</f>
        <v>47</v>
      </c>
      <c r="BS36">
        <f>SUM(SUMIFS(LogFY22!D:D,LogFY22!A:A,"=*honolulu_planning*"),-1*SUMIFS(LogFY22!L:L,LogFY22!A:A,"=*honolulu_planning*"),-1*SUMIFS(LogFY22!N:N,LogFY22!A:A,"=*honolulu_planning*"))</f>
        <v>13</v>
      </c>
      <c r="BT36" s="7">
        <f t="shared" si="72"/>
        <v>0.27659574468085107</v>
      </c>
      <c r="BU36" s="7">
        <f t="shared" si="17"/>
        <v>-1.2877939529675253E-2</v>
      </c>
      <c r="BV36">
        <f>ROUND(SUMIFS(LogFY22!K:K,LogFY22!A:A,"=*honolulu_planning*")/SUMIFS(LogFY22!J:J,LogFY22!A:A,"=*honolulu_planning*"),0)</f>
        <v>15</v>
      </c>
      <c r="BW36">
        <f t="shared" si="49"/>
        <v>1</v>
      </c>
      <c r="BX36" s="1">
        <v>92</v>
      </c>
      <c r="BY36" s="1">
        <f t="shared" si="47"/>
        <v>46</v>
      </c>
      <c r="CB36">
        <f>SUMIFS(LogFY23!D:D,LogFY23!A:A,"=*honolulu_planning*")</f>
        <v>44</v>
      </c>
      <c r="CC36">
        <f>SUM(SUMIFS(LogFY23!D:D,LogFY23!A:A,"=*honolulu_planning*"),-1*SUMIFS(LogFY23!L:L,LogFY23!A:A,"=*honolulu_planning*"),-1*SUMIFS(LogFY23!N:N,LogFY23!A:A,"=*honolulu_planning*"))</f>
        <v>17</v>
      </c>
      <c r="CD36" s="7">
        <f t="shared" si="59"/>
        <v>0.38636363636363635</v>
      </c>
      <c r="CE36" s="7">
        <f t="shared" si="60"/>
        <v>0.10976789168278528</v>
      </c>
      <c r="CF36">
        <f>ROUND(SUMIFS(LogFY23!K:K,LogFY23!A:A,"=*honolulu_planning*")/SUMIFS(LogFY23!J:J,LogFY23!A:A,"=*honolulu_planning*"),0)</f>
        <v>11</v>
      </c>
      <c r="CG36">
        <f t="shared" si="61"/>
        <v>-4</v>
      </c>
      <c r="CH36" s="1">
        <v>54</v>
      </c>
      <c r="CI36" s="1">
        <f t="shared" si="74"/>
        <v>-38</v>
      </c>
      <c r="CK36" s="7"/>
      <c r="CL36">
        <f>SUMIFS(LogFY24!D:D,LogFY24!A:A,"=*honolulu_planning*")</f>
        <v>45</v>
      </c>
      <c r="CM36">
        <f>SUM(SUMIFS(LogFY24!D:D,LogFY24!A:A,"=*honolulu_planning*"),-1*SUMIFS(LogFY24!L:L,LogFY24!A:A,"=*honolulu_planning*"),-1*SUMIFS(LogFY24!N:N,LogFY24!A:A,"=*honolulu_planning*"))</f>
        <v>6</v>
      </c>
      <c r="CN36" s="7">
        <f t="shared" si="73"/>
        <v>0.13333333333333333</v>
      </c>
      <c r="CO36" s="7">
        <f t="shared" si="75"/>
        <v>-0.25303030303030305</v>
      </c>
      <c r="CP36">
        <f>ROUND(SUMIFS(LogFY24!K:K,LogFY24!A:A,"=*honolulu_planning*")/SUMIFS(LogFY24!J:J,LogFY24!A:A,"=*honolulu_planning*"),0)</f>
        <v>16</v>
      </c>
      <c r="CQ36">
        <f t="shared" si="76"/>
        <v>5</v>
      </c>
      <c r="CR36" s="1">
        <v>79</v>
      </c>
      <c r="CS36" s="1">
        <f t="shared" si="27"/>
        <v>25</v>
      </c>
    </row>
    <row r="37" spans="1:99" ht="16">
      <c r="A37" s="10">
        <f t="shared" si="77"/>
        <v>36</v>
      </c>
      <c r="B37" s="9" t="s">
        <v>17433</v>
      </c>
      <c r="C37">
        <f>SUMIFS(LogFY15!D:D,LogFY15!A:A,"=*maui_county_planning*")</f>
        <v>5</v>
      </c>
      <c r="D37">
        <f>SUM(SUMIFS(LogFY15!D:D,LogFY15!A:A,"=*maui_county_planning*"),-1*SUMIFS(LogFY15!L:L,LogFY15!A:A,"=*maui_county_planning*"),-1*SUMIFS(LogFY15!N:N,LogFY15!A:A,"=*maui_county_planning*"))</f>
        <v>2</v>
      </c>
      <c r="E37" s="7">
        <f t="shared" si="34"/>
        <v>0.4</v>
      </c>
      <c r="F37">
        <f>ROUND(SUMIFS(LogFY15!K:K,LogFY15!A:A,"=*maui_county_planning*")/SUMIFS(LogFY15!J:J,LogFY15!A:A,"=*maui_county_planning*"),0)</f>
        <v>13</v>
      </c>
      <c r="G37" s="1">
        <v>23</v>
      </c>
      <c r="J37">
        <f>SUMIFS(LogFY16!D:D,LogFY16!A:A,"=*maui_county_planning*")</f>
        <v>94</v>
      </c>
      <c r="K37">
        <f>SUM(SUMIFS(LogFY16!D:D,LogFY16!A:A,"=*maui_county_planning*"),-1*SUMIFS(LogFY16!L:L,LogFY16!A:A,"=*maui_county_planning*"),-1*SUMIFS(LogFY16!N:N,LogFY16!A:A,"=*maui_county_planning*"))</f>
        <v>15</v>
      </c>
      <c r="L37" s="7">
        <f t="shared" si="50"/>
        <v>0.15957446808510639</v>
      </c>
      <c r="M37" s="7">
        <f t="shared" si="51"/>
        <v>-0.24042553191489363</v>
      </c>
      <c r="N37">
        <f>ROUND(SUMIFS(LogFY16!K:K,LogFY16!A:A,"=*maui_county_planning*")/SUMIFS(LogFY16!J:J,LogFY16!A:A,"=*maui_county_planning*"),0)</f>
        <v>10</v>
      </c>
      <c r="O37">
        <f t="shared" si="52"/>
        <v>-3</v>
      </c>
      <c r="P37" s="1">
        <v>119</v>
      </c>
      <c r="Q37" s="1">
        <f t="shared" si="53"/>
        <v>96</v>
      </c>
      <c r="T37">
        <f>SUMIFS(LogFY17!D:D,LogFY17!A:A,"=*maui_county_planning*")</f>
        <v>39</v>
      </c>
      <c r="U37">
        <f>SUM(SUMIFS(LogFY17!D:D,LogFY17!A:A,"=*maui_county_planning*"),-1*SUMIFS(LogFY17!L:L,LogFY17!A:A,"=*maui_county_planning*"),-1*SUMIFS(LogFY17!N:N,LogFY17!A:A,"=*maui_county_planning*"))</f>
        <v>4</v>
      </c>
      <c r="V37" s="7">
        <f t="shared" si="62"/>
        <v>0.10256410256410256</v>
      </c>
      <c r="W37" s="7">
        <f t="shared" si="63"/>
        <v>-5.7010365521003831E-2</v>
      </c>
      <c r="X37">
        <f>ROUND(SUMIFS(LogFY17!K:K,LogFY17!A:A,"=*maui_county_planning*")/SUMIFS(LogFY17!J:J,LogFY17!A:A,"=*maui_county_planning*"),0)</f>
        <v>10</v>
      </c>
      <c r="Y37">
        <f t="shared" si="64"/>
        <v>0</v>
      </c>
      <c r="Z37" s="1">
        <v>67</v>
      </c>
      <c r="AA37" s="1">
        <f t="shared" si="54"/>
        <v>-52</v>
      </c>
      <c r="AD37">
        <f>SUMIFS(LogFY18!D:D,LogFY18!A:A,"=*maui_county_planning*")</f>
        <v>0</v>
      </c>
      <c r="AE37">
        <f>SUM(SUMIFS(LogFY18!D:D,LogFY18!A:A,"=*maui_county_planning*"),-1*SUMIFS(LogFY18!L:L,LogFY18!A:A,"=*maui_county_planning*"),-1*SUMIFS(LogFY18!N:N,LogFY18!A:A,"=*maui_county_planning*"))</f>
        <v>0</v>
      </c>
      <c r="AF37" s="7"/>
      <c r="AG37" s="7"/>
      <c r="AJ37" s="1"/>
      <c r="AK37" s="1"/>
      <c r="AN37">
        <f>SUMIFS(LogFY19!D:D,LogFY19!A:A,"=*maui_county_planning*")</f>
        <v>35</v>
      </c>
      <c r="AO37">
        <f>SUM(SUMIFS(LogFY19!D:D,LogFY19!A:A,"=*maui_county_planning*"),-1*SUMIFS(LogFY19!L:L,LogFY19!A:A,"=*maui_county_planning*"),-1*SUMIFS(LogFY19!N:N,LogFY19!A:A,"=*maui_county_planning*"))</f>
        <v>0</v>
      </c>
      <c r="AP37" s="7">
        <f t="shared" si="65"/>
        <v>0</v>
      </c>
      <c r="AQ37" s="7">
        <f t="shared" si="66"/>
        <v>0</v>
      </c>
      <c r="AR37">
        <f>ROUND(SUMIFS(LogFY19!K:K,LogFY19!A:A,"=*maui_county_planning*")/SUMIFS(LogFY19!J:J,LogFY19!A:A,"=*maui_county_planning*"),0)</f>
        <v>1</v>
      </c>
      <c r="AS37">
        <f t="shared" si="67"/>
        <v>1</v>
      </c>
      <c r="AT37" s="1">
        <v>3</v>
      </c>
      <c r="AU37" s="1"/>
      <c r="AX37">
        <f>SUMIFS(LogFY20!D:D,LogFY20!A:A,"=*maui_county_planning*")</f>
        <v>30</v>
      </c>
      <c r="AY37">
        <f>SUM(SUMIFS(LogFY20!D:D,LogFY20!A:A,"=*maui_county_planning*"),-1*SUMIFS(LogFY20!L:L,LogFY20!A:A,"=*maui_county_planning*"),-1*SUMIFS(LogFY20!N:N,LogFY20!A:A,"=*maui_county_planning*"))</f>
        <v>2</v>
      </c>
      <c r="AZ37" s="7">
        <f t="shared" si="68"/>
        <v>6.6666666666666666E-2</v>
      </c>
      <c r="BA37" s="7">
        <f t="shared" si="69"/>
        <v>6.6666666666666666E-2</v>
      </c>
      <c r="BB37">
        <f>ROUND(SUMIFS(LogFY20!K:K,LogFY20!A:A,"=*maui_county_planning*")/SUMIFS(LogFY20!J:J,LogFY20!A:A,"=*maui_county_planning*"),0)</f>
        <v>4</v>
      </c>
      <c r="BC37">
        <f t="shared" si="70"/>
        <v>3</v>
      </c>
      <c r="BD37" s="1">
        <v>34</v>
      </c>
      <c r="BE37" s="1">
        <f t="shared" si="71"/>
        <v>31</v>
      </c>
      <c r="BH37">
        <f>SUMIFS(LogFY21!D:D,LogFY21!A:A,"=*maui_county_planning*")</f>
        <v>52</v>
      </c>
      <c r="BI37">
        <f>SUM(SUMIFS(LogFY21!D:D,LogFY21!A:A,"=*maui_county_planning*"),-1*SUMIFS(LogFY21!L:L,LogFY21!A:A,"=*maui_county_planning*"),-1*SUMIFS(LogFY21!N:N,LogFY21!A:A,"=*maui_county_planning*"))</f>
        <v>6</v>
      </c>
      <c r="BJ37" s="7">
        <f t="shared" si="55"/>
        <v>0.11538461538461539</v>
      </c>
      <c r="BK37" s="7">
        <f t="shared" si="56"/>
        <v>4.8717948717948725E-2</v>
      </c>
      <c r="BL37">
        <f>ROUND(SUMIFS(LogFY21!K:K,LogFY21!A:A,"=*maui_county_planning*")/SUMIFS(LogFY21!J:J,LogFY21!A:A,"=*maui_county_planning*"),0)</f>
        <v>9</v>
      </c>
      <c r="BM37">
        <f t="shared" si="57"/>
        <v>5</v>
      </c>
      <c r="BN37" s="1">
        <v>38</v>
      </c>
      <c r="BO37" s="1">
        <f t="shared" si="58"/>
        <v>4</v>
      </c>
      <c r="BR37">
        <f>SUMIFS(LogFY22!D:D,LogFY22!A:A,"=*maui_county_planning*")</f>
        <v>22</v>
      </c>
      <c r="BS37">
        <f>SUM(SUMIFS(LogFY22!D:D,LogFY22!A:A,"=*maui_county_planning*"),-1*SUMIFS(LogFY22!L:L,LogFY22!A:A,"=*maui_county_planning*"),-1*SUMIFS(LogFY22!N:N,LogFY22!A:A,"=*maui_county_planning*"))</f>
        <v>0</v>
      </c>
      <c r="BT37" s="7">
        <f t="shared" si="72"/>
        <v>0</v>
      </c>
      <c r="BU37" s="7">
        <f t="shared" si="17"/>
        <v>-0.11538461538461539</v>
      </c>
      <c r="BV37">
        <f>ROUND(SUMIFS(LogFY22!K:K,LogFY22!A:A,"=*maui_county_planning*")/SUMIFS(LogFY22!J:J,LogFY22!A:A,"=*maui_county_planning*"),0)</f>
        <v>6</v>
      </c>
      <c r="BW37">
        <f t="shared" si="49"/>
        <v>-3</v>
      </c>
      <c r="BX37" s="1">
        <v>23</v>
      </c>
      <c r="BY37" s="1">
        <f t="shared" si="47"/>
        <v>-15</v>
      </c>
      <c r="CB37">
        <f>SUMIFS(LogFY23!D:D,LogFY23!A:A,"=*maui_county_planning*")</f>
        <v>70</v>
      </c>
      <c r="CC37">
        <f>SUM(SUMIFS(LogFY23!D:D,LogFY23!A:A,"=*maui_county_planning*"),-1*SUMIFS(LogFY23!L:L,LogFY23!A:A,"=*maui_county_planning*"),-1*SUMIFS(LogFY23!N:N,LogFY23!A:A,"=*maui_county_planning*"))</f>
        <v>0</v>
      </c>
      <c r="CD37" s="7">
        <f t="shared" si="59"/>
        <v>0</v>
      </c>
      <c r="CE37" s="7">
        <f t="shared" si="60"/>
        <v>0</v>
      </c>
      <c r="CF37">
        <f>ROUND(SUMIFS(LogFY23!K:K,LogFY23!A:A,"=*maui_county_planning*")/SUMIFS(LogFY23!J:J,LogFY23!A:A,"=*maui_county_planning*"),0)</f>
        <v>15</v>
      </c>
      <c r="CG37">
        <f t="shared" si="61"/>
        <v>9</v>
      </c>
      <c r="CH37" s="1">
        <v>123</v>
      </c>
      <c r="CI37" s="1">
        <f t="shared" si="74"/>
        <v>100</v>
      </c>
      <c r="CK37" s="7"/>
      <c r="CL37">
        <f>SUMIFS(LogFY24!D:D,LogFY24!A:A,"=*maui_county_planning*")</f>
        <v>37</v>
      </c>
      <c r="CM37">
        <f>SUM(SUMIFS(LogFY24!D:D,LogFY24!A:A,"=*maui_county_planning*"),-1*SUMIFS(LogFY24!L:L,LogFY24!A:A,"=*maui_county_planning*"),-1*SUMIFS(LogFY24!N:N,LogFY24!A:A,"=*maui_county_planning*"))</f>
        <v>21</v>
      </c>
      <c r="CN37" s="7">
        <f t="shared" si="73"/>
        <v>0.56756756756756754</v>
      </c>
      <c r="CO37" s="7">
        <f t="shared" si="75"/>
        <v>0.56756756756756754</v>
      </c>
      <c r="CP37">
        <f>ROUND(SUMIFS(LogFY24!K:K,LogFY24!A:A,"=*maui_county_planning*")/SUMIFS(LogFY24!J:J,LogFY24!A:A,"=*maui_county_planning*"),0)</f>
        <v>15</v>
      </c>
      <c r="CQ37">
        <f t="shared" si="76"/>
        <v>0</v>
      </c>
      <c r="CR37" s="1">
        <v>55</v>
      </c>
      <c r="CS37" s="1">
        <f t="shared" si="27"/>
        <v>-68</v>
      </c>
    </row>
    <row r="38" spans="1:99" ht="16">
      <c r="A38" s="10">
        <f t="shared" si="77"/>
        <v>37</v>
      </c>
      <c r="B38" s="9" t="s">
        <v>17447</v>
      </c>
      <c r="C38">
        <f>SUMIFS(LogFY15!D:D,LogFY15!A:A,"=*kauai_county_planning*")</f>
        <v>15</v>
      </c>
      <c r="D38">
        <f>SUM(SUMIFS(LogFY15!D:D,LogFY15!A:A,"=*kauai_county_planning*"),-1*SUMIFS(LogFY15!L:L,LogFY15!A:A,"=*kauai_county_planning*"),-1*SUMIFS(LogFY15!N:N,LogFY15!A:A,"=*kauai_county_planning*"))</f>
        <v>4</v>
      </c>
      <c r="E38" s="7">
        <f t="shared" si="34"/>
        <v>0.26666666666666666</v>
      </c>
      <c r="F38">
        <f>ROUND(SUMIFS(LogFY15!K:K,LogFY15!A:A,"=*kauai_county_planning*")/SUMIFS(LogFY15!J:J,LogFY15!A:A,"=*kauai_county_planning*"),0)</f>
        <v>21</v>
      </c>
      <c r="G38" s="1">
        <v>87</v>
      </c>
      <c r="J38">
        <f>SUMIFS(LogFY16!D:D,LogFY16!A:A,"=*kauai_county_planning*")</f>
        <v>25</v>
      </c>
      <c r="K38">
        <f>SUM(SUMIFS(LogFY16!D:D,LogFY16!A:A,"=*kauai_county_planning*"),-1*SUMIFS(LogFY16!L:L,LogFY16!A:A,"=*kauai_county_planning*"),-1*SUMIFS(LogFY16!N:N,LogFY16!A:A,"=*kauai_county_planning*"))</f>
        <v>14</v>
      </c>
      <c r="L38" s="7">
        <f t="shared" si="50"/>
        <v>0.56000000000000005</v>
      </c>
      <c r="M38" s="7">
        <f t="shared" si="51"/>
        <v>0.29333333333333339</v>
      </c>
      <c r="N38">
        <f>ROUND(SUMIFS(LogFY16!K:K,LogFY16!A:A,"=*kauai_county_planning*")/SUMIFS(LogFY16!J:J,LogFY16!A:A,"=*kauai_county_planning*"),0)</f>
        <v>11</v>
      </c>
      <c r="O38">
        <f t="shared" si="52"/>
        <v>-10</v>
      </c>
      <c r="P38" s="1">
        <v>35</v>
      </c>
      <c r="Q38" s="1">
        <f t="shared" si="53"/>
        <v>-52</v>
      </c>
      <c r="T38">
        <f>SUMIFS(LogFY17!D:D,LogFY17!A:A,"=*kauai_county_planning*")</f>
        <v>17</v>
      </c>
      <c r="U38">
        <f>SUM(SUMIFS(LogFY17!D:D,LogFY17!A:A,"=*kauai_county_planning*"),-1*SUMIFS(LogFY17!L:L,LogFY17!A:A,"=*kauai_county_planning*"),-1*SUMIFS(LogFY17!N:N,LogFY17!A:A,"=*kauai_county_planning*"))</f>
        <v>11</v>
      </c>
      <c r="V38" s="7">
        <f t="shared" si="62"/>
        <v>0.6470588235294118</v>
      </c>
      <c r="W38" s="7">
        <f t="shared" si="63"/>
        <v>8.7058823529411744E-2</v>
      </c>
      <c r="X38">
        <f>ROUND(SUMIFS(LogFY17!K:K,LogFY17!A:A,"=*kauai_county_planning*")/SUMIFS(LogFY17!J:J,LogFY17!A:A,"=*kauai_county_planning*"),0)</f>
        <v>13</v>
      </c>
      <c r="Y38">
        <f t="shared" si="64"/>
        <v>2</v>
      </c>
      <c r="Z38" s="1">
        <v>56</v>
      </c>
      <c r="AA38" s="1">
        <f t="shared" si="54"/>
        <v>21</v>
      </c>
      <c r="AD38">
        <f>SUMIFS(LogFY18!D:D,LogFY18!A:A,"=*kauai_county_planning*")</f>
        <v>11</v>
      </c>
      <c r="AE38">
        <f>SUM(SUMIFS(LogFY18!D:D,LogFY18!A:A,"=*kauai_county_planning*"),-1*SUMIFS(LogFY18!L:L,LogFY18!A:A,"=*kauai_county_planning*"),-1*SUMIFS(LogFY18!N:N,LogFY18!A:A,"=*kauai_county_planning*"))</f>
        <v>4</v>
      </c>
      <c r="AF38" s="7">
        <f t="shared" ref="AF38:AF43" si="78">AE38/AD38</f>
        <v>0.36363636363636365</v>
      </c>
      <c r="AG38" s="7">
        <f t="shared" ref="AG38:AG43" si="79">AF38-V38</f>
        <v>-0.28342245989304815</v>
      </c>
      <c r="AH38">
        <f>ROUND(SUMIFS(LogFY18!K:K,LogFY18!A:A,"=*kauai_county_planning*")/SUMIFS(LogFY18!J:J,LogFY18!A:A,"=*kauai_county_planning*"),0)</f>
        <v>12</v>
      </c>
      <c r="AI38">
        <f t="shared" ref="AI38:AI43" si="80">AH38-X38</f>
        <v>-1</v>
      </c>
      <c r="AJ38" s="1">
        <v>58</v>
      </c>
      <c r="AK38" s="1">
        <f t="shared" ref="AK38:AK43" si="81">AJ38-Z38</f>
        <v>2</v>
      </c>
      <c r="AN38">
        <f>SUMIFS(LogFY19!D:D,LogFY19!A:A,"=*kauai_county_planning*")</f>
        <v>24</v>
      </c>
      <c r="AO38">
        <f>SUM(SUMIFS(LogFY19!D:D,LogFY19!A:A,"=*kauai_county_planning*"),-1*SUMIFS(LogFY19!L:L,LogFY19!A:A,"=*kauai_county_planning*"),-1*SUMIFS(LogFY19!N:N,LogFY19!A:A,"=*kauai_county_planning*"))</f>
        <v>3</v>
      </c>
      <c r="AP38" s="7">
        <f t="shared" si="65"/>
        <v>0.125</v>
      </c>
      <c r="AQ38" s="7">
        <f t="shared" si="66"/>
        <v>-0.23863636363636365</v>
      </c>
      <c r="AR38">
        <f>ROUND(SUMIFS(LogFY19!K:K,LogFY19!A:A,"=*kauai_county_planning*")/SUMIFS(LogFY19!J:J,LogFY19!A:A,"=*kauai_county_planning*"),0)</f>
        <v>6</v>
      </c>
      <c r="AS38">
        <f t="shared" si="67"/>
        <v>-6</v>
      </c>
      <c r="AT38" s="1">
        <v>17</v>
      </c>
      <c r="AU38" s="1">
        <f t="shared" ref="AU38:AU43" si="82">AT38-AJ38</f>
        <v>-41</v>
      </c>
      <c r="AX38">
        <f>SUMIFS(LogFY20!D:D,LogFY20!A:A,"=*kauai_county_planning*")</f>
        <v>17</v>
      </c>
      <c r="AY38">
        <f>SUM(SUMIFS(LogFY20!D:D,LogFY20!A:A,"=*kauai_county_planning*"),-1*SUMIFS(LogFY20!L:L,LogFY20!A:A,"=*kauai_county_planning*"),-1*SUMIFS(LogFY20!N:N,LogFY20!A:A,"=*kauai_county_planning*"))</f>
        <v>7</v>
      </c>
      <c r="AZ38" s="7">
        <f t="shared" si="68"/>
        <v>0.41176470588235292</v>
      </c>
      <c r="BA38" s="7">
        <f t="shared" si="69"/>
        <v>0.28676470588235292</v>
      </c>
      <c r="BB38">
        <f>ROUND(SUMIFS(LogFY20!K:K,LogFY20!A:A,"=*kauai_county_planning*")/SUMIFS(LogFY20!J:J,LogFY20!A:A,"=*kauai_county_planning*"),0)</f>
        <v>29</v>
      </c>
      <c r="BC38">
        <f t="shared" si="70"/>
        <v>23</v>
      </c>
      <c r="BD38" s="1">
        <v>96</v>
      </c>
      <c r="BE38" s="1">
        <f t="shared" si="71"/>
        <v>79</v>
      </c>
      <c r="BH38">
        <f>SUMIFS(LogFY21!D:D,LogFY21!A:A,"=*kauai_county_planning*")</f>
        <v>11</v>
      </c>
      <c r="BI38">
        <f>SUM(SUMIFS(LogFY21!D:D,LogFY21!A:A,"=*kauai_county_planning*"),-1*SUMIFS(LogFY21!L:L,LogFY21!A:A,"=*kauai_county_planning*"),-1*SUMIFS(LogFY21!N:N,LogFY21!A:A,"=*kauai_county_planning*"))</f>
        <v>3</v>
      </c>
      <c r="BJ38" s="7">
        <f t="shared" si="55"/>
        <v>0.27272727272727271</v>
      </c>
      <c r="BK38" s="7">
        <f t="shared" si="56"/>
        <v>-0.13903743315508021</v>
      </c>
      <c r="BL38">
        <f>ROUND(SUMIFS(LogFY21!K:K,LogFY21!A:A,"=*kauai_county_planning*")/SUMIFS(LogFY21!J:J,LogFY21!A:A,"=*kauai_county_planning*"),0)</f>
        <v>20</v>
      </c>
      <c r="BM38">
        <f t="shared" si="57"/>
        <v>-9</v>
      </c>
      <c r="BN38" s="1">
        <v>56</v>
      </c>
      <c r="BO38" s="1">
        <f t="shared" si="58"/>
        <v>-40</v>
      </c>
      <c r="BR38">
        <f>SUMIFS(LogFY22!D:D,LogFY22!A:A,"=*kauai_county_planning*")</f>
        <v>15</v>
      </c>
      <c r="BS38">
        <f>SUM(SUMIFS(LogFY22!D:D,LogFY22!A:A,"=*kauai_county_planning*"),-1*SUMIFS(LogFY22!L:L,LogFY22!A:A,"=*kauai_county_planning*"),-1*SUMIFS(LogFY22!N:N,LogFY22!A:A,"=*kauai_county_planning*"))</f>
        <v>6</v>
      </c>
      <c r="BT38" s="7">
        <f t="shared" si="72"/>
        <v>0.4</v>
      </c>
      <c r="BU38" s="7">
        <f t="shared" si="17"/>
        <v>0.12727272727272732</v>
      </c>
      <c r="BV38">
        <f>ROUND(SUMIFS(LogFY22!K:K,LogFY22!A:A,"=*kauai_county_planning*")/SUMIFS(LogFY22!J:J,LogFY22!A:A,"=*kauai_county_planning*"),0)</f>
        <v>31</v>
      </c>
      <c r="BW38">
        <f t="shared" si="49"/>
        <v>11</v>
      </c>
      <c r="BX38" s="1">
        <v>86</v>
      </c>
      <c r="BY38" s="1">
        <f t="shared" si="47"/>
        <v>30</v>
      </c>
      <c r="CB38">
        <f>SUMIFS(LogFY23!D:D,LogFY23!A:A,"=*kauai_county_planning*")</f>
        <v>5</v>
      </c>
      <c r="CC38">
        <f>SUM(SUMIFS(LogFY23!D:D,LogFY23!A:A,"=*kauai_county_planning*"),-1*SUMIFS(LogFY23!L:L,LogFY23!A:A,"=*kauai_county_planning*"),-1*SUMIFS(LogFY23!N:N,LogFY23!A:A,"=*kauai_county_planning*"))</f>
        <v>0</v>
      </c>
      <c r="CD38" s="7">
        <f t="shared" si="59"/>
        <v>0</v>
      </c>
      <c r="CE38" s="7">
        <f t="shared" si="60"/>
        <v>-0.4</v>
      </c>
      <c r="CF38">
        <f>ROUND(SUMIFS(LogFY23!K:K,LogFY23!A:A,"=*kauai_county_planning*")/SUMIFS(LogFY23!J:J,LogFY23!A:A,"=*kauai_county_planning*"),0)</f>
        <v>35</v>
      </c>
      <c r="CG38">
        <f t="shared" si="61"/>
        <v>4</v>
      </c>
      <c r="CH38" s="1">
        <v>17</v>
      </c>
      <c r="CI38" s="1">
        <f t="shared" si="74"/>
        <v>-69</v>
      </c>
      <c r="CK38" s="7"/>
      <c r="CL38">
        <f>SUMIFS(LogFY24!D:D,LogFY24!A:A,"=*kauai_county_planning*")</f>
        <v>4</v>
      </c>
      <c r="CM38">
        <f>SUM(SUMIFS(LogFY24!D:D,LogFY24!A:A,"=*kauai_county_planning*"),-1*SUMIFS(LogFY24!L:L,LogFY24!A:A,"=*kauai_county_planning*"),-1*SUMIFS(LogFY24!N:N,LogFY24!A:A,"=*kauai_county_planning*"))</f>
        <v>0</v>
      </c>
      <c r="CN38" s="7">
        <f t="shared" si="73"/>
        <v>0</v>
      </c>
      <c r="CO38" s="7">
        <f t="shared" si="75"/>
        <v>0</v>
      </c>
      <c r="CP38">
        <f>ROUND(SUMIFS(LogFY24!K:K,LogFY24!A:A,"=*kauai_county_planning*")/SUMIFS(LogFY24!J:J,LogFY24!A:A,"=*kauai_county_planning*"),0)</f>
        <v>21</v>
      </c>
      <c r="CQ38">
        <f t="shared" si="76"/>
        <v>-14</v>
      </c>
      <c r="CR38" s="1">
        <v>17</v>
      </c>
      <c r="CS38" s="1">
        <f t="shared" si="27"/>
        <v>0</v>
      </c>
    </row>
    <row r="39" spans="1:99" ht="16">
      <c r="A39" s="10">
        <f t="shared" si="77"/>
        <v>38</v>
      </c>
      <c r="B39" s="9" t="s">
        <v>17434</v>
      </c>
      <c r="C39">
        <f>SUMIFS(LogFY15!D:D,LogFY15!A:A,"=*hawaii_county_planning*")</f>
        <v>0</v>
      </c>
      <c r="D39">
        <f>SUM(SUMIFS(LogFY15!D:D,LogFY15!A:A,"=*hawaii_county_planning*"),-1*SUMIFS(LogFY15!L:L,LogFY15!A:A,"=*hawaii_county_planning*"),-1*SUMIFS(LogFY15!N:N,LogFY15!A:A,"=*hawaii_county_planning*"))</f>
        <v>0</v>
      </c>
      <c r="E39" s="7"/>
      <c r="G39" s="1"/>
      <c r="J39">
        <f>SUMIFS(LogFY16!D:D,LogFY16!A:A,"=*hawaii_county_planning*")</f>
        <v>2</v>
      </c>
      <c r="K39">
        <f>SUM(SUMIFS(LogFY16!D:D,LogFY16!A:A,"=*hawaii_county_planning*"),-1*SUMIFS(LogFY16!L:L,LogFY16!A:A,"=*hawaii_county_planning*"),-1*SUMIFS(LogFY16!N:N,LogFY16!A:A,"=*hawaii_county_planning*"))</f>
        <v>0</v>
      </c>
      <c r="L39" s="7">
        <f t="shared" si="50"/>
        <v>0</v>
      </c>
      <c r="M39" s="7">
        <f t="shared" si="51"/>
        <v>0</v>
      </c>
      <c r="N39">
        <f>ROUND(SUMIFS(LogFY16!K:K,LogFY16!A:A,"=*hawaii_county_planning*")/SUMIFS(LogFY16!J:J,LogFY16!A:A,"=*hawaii_county_planning*"),0)</f>
        <v>19</v>
      </c>
      <c r="O39">
        <f t="shared" si="52"/>
        <v>19</v>
      </c>
      <c r="P39" s="1">
        <v>34</v>
      </c>
      <c r="Q39" s="1">
        <f t="shared" si="53"/>
        <v>34</v>
      </c>
      <c r="T39">
        <f>SUMIFS(LogFY17!D:D,LogFY17!A:A,"=*hawaii_county_planning*")</f>
        <v>5</v>
      </c>
      <c r="V39" s="7"/>
      <c r="W39" s="7"/>
      <c r="X39">
        <f>ROUND(SUMIFS(LogFY17!K:K,LogFY16!A:A,"=*hawaii_county_planning*")/SUMIFS(LogFY17!J:J,LogFY16!A:A,"=*hawaii_county_planning*"),0)</f>
        <v>10</v>
      </c>
      <c r="Y39">
        <f t="shared" si="64"/>
        <v>-9</v>
      </c>
      <c r="Z39" s="1">
        <v>30</v>
      </c>
      <c r="AA39" s="1">
        <f t="shared" si="54"/>
        <v>-4</v>
      </c>
      <c r="AD39">
        <f>SUMIFS(LogFY18!D:D,LogFY18!A:A,"=*hawaii_county_planning*")</f>
        <v>5</v>
      </c>
      <c r="AE39">
        <f>SUM(SUMIFS(LogFY18!D:D,LogFY18!A:A,"=*hawaii_county_planning*"),-1*SUMIFS(LogFY18!L:L,LogFY18!A:A,"=*hawaii_county_planning*"),-1*SUMIFS(LogFY18!N:N,LogFY18!A:A,"=*hawaii_county_planning*"))</f>
        <v>0</v>
      </c>
      <c r="AF39" s="7">
        <f t="shared" si="78"/>
        <v>0</v>
      </c>
      <c r="AG39" s="7">
        <f t="shared" si="79"/>
        <v>0</v>
      </c>
      <c r="AH39">
        <f>ROUND(SUMIFS(LogFY18!K:K,LogFY16!A:A,"=*hawaii_county_planning*")/SUMIFS(LogFY18!J:J,LogFY16!A:A,"=*hawaii_county_planning*"),0)</f>
        <v>11</v>
      </c>
      <c r="AI39">
        <f t="shared" si="80"/>
        <v>1</v>
      </c>
      <c r="AJ39" s="1">
        <v>20</v>
      </c>
      <c r="AK39" s="1">
        <f t="shared" si="81"/>
        <v>-10</v>
      </c>
      <c r="AN39">
        <f>SUMIFS(LogFY19!D:D,LogFY19!A:A,"=*hawaii_county_planning*")</f>
        <v>8</v>
      </c>
      <c r="AO39">
        <f>SUM(SUMIFS(LogFY19!D:D,LogFY19!A:A,"=*hawaii_county_planning*"),-1*SUMIFS(LogFY19!L:L,LogFY19!A:A,"=*hawaii_county_planning*"),-1*SUMIFS(LogFY19!N:N,LogFY19!A:A,"=*hawaii_county_planning*"))</f>
        <v>3</v>
      </c>
      <c r="AP39" s="7">
        <f t="shared" si="65"/>
        <v>0.375</v>
      </c>
      <c r="AQ39" s="7">
        <f t="shared" si="66"/>
        <v>0.375</v>
      </c>
      <c r="AR39">
        <f>ROUND(SUMIFS(LogFY19!K:K,LogFY16!A:A,"=*hawaii_county_planning*")/SUMIFS(LogFY19!J:J,LogFY16!A:A,"=*hawaii_county_planning*"),0)</f>
        <v>3</v>
      </c>
      <c r="AS39">
        <f t="shared" si="67"/>
        <v>-8</v>
      </c>
      <c r="AT39" s="1">
        <v>13</v>
      </c>
      <c r="AU39" s="1">
        <f t="shared" si="82"/>
        <v>-7</v>
      </c>
      <c r="AX39">
        <f>SUMIFS(LogFY20!D:D,LogFY20!A:A,"=*hawaii_county_planning*")</f>
        <v>25</v>
      </c>
      <c r="AY39">
        <f>SUM(SUMIFS(LogFY20!D:D,LogFY20!A:A,"=*hawaii_county_planning*"),-1*SUMIFS(LogFY20!L:L,LogFY20!A:A,"=*hawaii_county_planning*"),-1*SUMIFS(LogFY20!N:N,LogFY20!A:A,"=*hawaii_county_planning*"))</f>
        <v>8</v>
      </c>
      <c r="AZ39" s="7">
        <f t="shared" si="68"/>
        <v>0.32</v>
      </c>
      <c r="BA39" s="7">
        <f t="shared" si="69"/>
        <v>-5.4999999999999993E-2</v>
      </c>
      <c r="BB39">
        <f>ROUND(SUMIFS(LogFY20!K:K,LogFY16!A:A,"=*hawaii_county_planning*")/SUMIFS(LogFY20!J:J,LogFY16!A:A,"=*hawaii_county_planning*"),0)</f>
        <v>7</v>
      </c>
      <c r="BC39">
        <f t="shared" si="70"/>
        <v>4</v>
      </c>
      <c r="BD39" s="1">
        <v>20</v>
      </c>
      <c r="BE39" s="1">
        <f t="shared" si="71"/>
        <v>7</v>
      </c>
      <c r="BH39">
        <f>SUMIFS(LogFY21!D:D,LogFY21!A:A,"=*hawaii_county_planning*")</f>
        <v>24</v>
      </c>
      <c r="BI39">
        <f>SUM(SUMIFS(LogFY21!D:D,LogFY21!A:A,"=*hawaii_county_planning*"),-1*SUMIFS(LogFY21!L:L,LogFY21!A:A,"=*hawaii_county_planning*"),-1*SUMIFS(LogFY21!N:N,LogFY21!A:A,"=*hawaii_county_planning*"))</f>
        <v>3</v>
      </c>
      <c r="BJ39" s="7">
        <f t="shared" si="55"/>
        <v>0.125</v>
      </c>
      <c r="BK39" s="7">
        <f t="shared" si="56"/>
        <v>-0.19500000000000001</v>
      </c>
      <c r="BL39">
        <f>ROUND(SUMIFS(LogFY21!K:K,LogFY16!A:A,"=*hawaii_county_planning*")/SUMIFS(LogFY21!J:J,LogFY16!A:A,"=*hawaii_county_planning*"),0)</f>
        <v>5</v>
      </c>
      <c r="BM39">
        <f t="shared" si="57"/>
        <v>-2</v>
      </c>
      <c r="BN39" s="1">
        <v>25</v>
      </c>
      <c r="BO39" s="1">
        <f t="shared" si="58"/>
        <v>5</v>
      </c>
      <c r="BR39">
        <f>SUMIFS(LogFY22!D:D,LogFY22!A:A,"=*hawaii_county_planning*")</f>
        <v>22</v>
      </c>
      <c r="BS39">
        <f>SUM(SUMIFS(LogFY22!D:D,LogFY22!A:A,"=*hawaii_county_planning*"),-1*SUMIFS(LogFY22!L:L,LogFY22!A:A,"=*hawaii_county_planning*"),-1*SUMIFS(LogFY22!N:N,LogFY22!A:A,"=*hawaii_county_planning*"))</f>
        <v>5</v>
      </c>
      <c r="BT39" s="7">
        <f t="shared" si="72"/>
        <v>0.22727272727272727</v>
      </c>
      <c r="BU39" s="7">
        <f t="shared" si="17"/>
        <v>0.10227272727272727</v>
      </c>
      <c r="BV39">
        <f>ROUND(SUMIFS(LogFY22!K:K,LogFY16!A:A,"=*hawaii_county_planning*")/SUMIFS(LogFY22!J:J,LogFY16!A:A,"=*hawaii_county_planning*"),0)</f>
        <v>17</v>
      </c>
      <c r="BW39">
        <f t="shared" si="49"/>
        <v>12</v>
      </c>
      <c r="BX39" s="1">
        <v>31</v>
      </c>
      <c r="BY39" s="1">
        <f t="shared" si="47"/>
        <v>6</v>
      </c>
      <c r="CB39">
        <f>SUMIFS(LogFY23!D:D,LogFY23!A:A,"=*hawaii_county_planning*")</f>
        <v>41</v>
      </c>
      <c r="CC39">
        <f>SUM(SUMIFS(LogFY23!D:D,LogFY23!A:A,"=*hawaii_county_planning*"),-1*SUMIFS(LogFY23!L:L,LogFY23!A:A,"=*hawaii_county_planning*"),-1*SUMIFS(LogFY23!N:N,LogFY23!A:A,"=*hawaii_county_planning*"))</f>
        <v>9</v>
      </c>
      <c r="CD39" s="7">
        <f t="shared" si="59"/>
        <v>0.21951219512195122</v>
      </c>
      <c r="CE39" s="7">
        <f t="shared" si="60"/>
        <v>-7.760532150776045E-3</v>
      </c>
      <c r="CF39">
        <f>ROUND(SUMIFS(LogFY23!K:K,LogFY16!A:A,"=*hawaii_county_planning*")/SUMIFS(LogFY23!J:J,LogFY16!A:A,"=*hawaii_county_planning*"),0)</f>
        <v>22</v>
      </c>
      <c r="CG39">
        <f t="shared" si="61"/>
        <v>5</v>
      </c>
      <c r="CH39" s="1">
        <v>28</v>
      </c>
      <c r="CI39" s="1">
        <f t="shared" si="74"/>
        <v>-3</v>
      </c>
      <c r="CK39" s="7"/>
      <c r="CL39">
        <f>SUMIFS(LogFY24!D:D,LogFY24!A:A,"=*hawaii_county_planning*")</f>
        <v>70</v>
      </c>
      <c r="CM39">
        <f>SUM(SUMIFS(LogFY24!D:D,LogFY24!A:A,"=*hawaii_county_planning*"),-1*SUMIFS(LogFY24!L:L,LogFY24!A:A,"=*hawaii_county_planning*"),-1*SUMIFS(LogFY24!N:N,LogFY24!A:A,"=*hawaii_county_planning*"))</f>
        <v>13</v>
      </c>
      <c r="CN39" s="7">
        <f t="shared" si="73"/>
        <v>0.18571428571428572</v>
      </c>
      <c r="CO39" s="7">
        <f t="shared" si="75"/>
        <v>-3.37979094076655E-2</v>
      </c>
      <c r="CP39">
        <f>ROUND(SUMIFS(LogFY24!K:K,LogFY16!A:A,"=*hawaii_county_planning*")/SUMIFS(LogFY24!J:J,LogFY16!A:A,"=*hawaii_county_planning*"),0)</f>
        <v>11</v>
      </c>
      <c r="CQ39">
        <f t="shared" si="76"/>
        <v>-11</v>
      </c>
      <c r="CR39" s="1">
        <v>30</v>
      </c>
      <c r="CS39" s="1">
        <f t="shared" si="27"/>
        <v>2</v>
      </c>
    </row>
    <row r="40" spans="1:99" ht="16">
      <c r="A40" s="10">
        <f t="shared" si="77"/>
        <v>39</v>
      </c>
      <c r="B40" s="1" t="s">
        <v>16802</v>
      </c>
      <c r="C40">
        <f>SUMIFS(LogFY15!D:D,LogFY15!A:A,"=*police*")</f>
        <v>179</v>
      </c>
      <c r="D40">
        <f>SUM(SUMIFS(LogFY15!D:D,LogFY15!A:A,"=*police*"),-1*SUMIFS(LogFY15!L:L,LogFY15!A:A,"=*police*"),-1*SUMIFS(LogFY15!N:N,LogFY15!A:A,"=*police*"))</f>
        <v>37</v>
      </c>
      <c r="E40" s="7">
        <f>D40/C40</f>
        <v>0.20670391061452514</v>
      </c>
      <c r="F40">
        <f>ROUND(SUMIFS(LogFY15!K:K,LogFY15!A:A,"=*police*")/SUMIFS(LogFY15!J:J,LogFY15!A:A,"=*police*"),0)</f>
        <v>11</v>
      </c>
      <c r="G40" s="1">
        <v>264</v>
      </c>
      <c r="H40">
        <f>SUM(COUNTIFS(All!F:F,"=police*", All!B:B, "&gt;=7/1/2014", All!B:B,"&lt;=6/30/2015", All!E:E,"=U*",All!E:E,"&lt;&gt;UIPA*",All!E:E,"&lt;&gt;*RFO*",All!E:E,"&lt;&gt;*TRNG*"),COUNTIFS(All!F:F,"=hpd*", All!B:B, "&gt;=7/1/2014", All!B:B,"&lt;=6/30/2015", All!E:E,"=U*",All!E:E,"&lt;&gt;UIPA*",All!E:E,"&lt;&gt;*RFO*",All!E:E,"&lt;&gt;*TRNG*"),COUNTIFS(All!F:F,"=kpd*", All!B:B, "&gt;=7/1/2014", All!B:B,"&lt;=6/30/2015", All!E:E,"=U*",All!E:E,"&lt;&gt;UIPA*",All!E:E,"&lt;&gt;*RFO*",All!E:E,"&lt;&gt;*TRNG*"),COUNTIFS(All!F:F,"=mpd*", All!B:B, "&gt;=7/1/2014", All!B:B,"&lt;=6/30/2015", All!E:E,"=U*",All!E:E,"&lt;&gt;UIPA*",All!E:E,"&lt;&gt;*RFO*",All!E:E,"&lt;&gt;*TRNG*"))</f>
        <v>4</v>
      </c>
      <c r="I40" s="7">
        <f>ROUND(H40/C40,3)</f>
        <v>2.1999999999999999E-2</v>
      </c>
      <c r="J40">
        <f>SUMIFS(LogFY16!D:D,LogFY16!A:A,"=*police*")</f>
        <v>180</v>
      </c>
      <c r="K40">
        <f>SUM(SUMIFS(LogFY16!D:D,LogFY16!A:A,"=*police*"),-1*SUMIFS(LogFY16!L:L,LogFY16!A:A,"=*police*"),-1*SUMIFS(LogFY16!N:N,LogFY16!A:A,"=*police*"))</f>
        <v>59</v>
      </c>
      <c r="L40" s="7">
        <f t="shared" si="50"/>
        <v>0.32777777777777778</v>
      </c>
      <c r="M40" s="7">
        <f t="shared" si="51"/>
        <v>0.12107386716325264</v>
      </c>
      <c r="N40">
        <f>ROUND(SUMIFS(LogFY16!K:K,LogFY16!A:A,"=*police*")/SUMIFS(LogFY16!J:J,LogFY16!A:A,"=*police*"),0)</f>
        <v>7</v>
      </c>
      <c r="O40">
        <f t="shared" si="52"/>
        <v>-4</v>
      </c>
      <c r="P40" s="1">
        <v>87</v>
      </c>
      <c r="Q40" s="1">
        <f t="shared" si="53"/>
        <v>-177</v>
      </c>
      <c r="R40">
        <f>SUM(COUNTIFS(All!F:F,"=police*", All!B:B, "&gt;=7/1/2015", All!B:B,"&lt;=6/30/2016", All!E:E,"=U*",All!E:E,"&lt;&gt;UIPA*",All!E:E,"&lt;&gt;*RFO*",All!E:E,"&lt;&gt;*TRNG*"),COUNTIFS(All!F:F,"=hpd*", All!B:B, "&gt;=7/1/2015", All!B:B,"&lt;=6/30/2016", All!E:E,"=U*",All!E:E,"&lt;&gt;UIPA*",All!E:E,"&lt;&gt;*RFO*",All!E:E,"&lt;&gt;*TRNG*"),COUNTIFS(All!F:F,"=kpd*", All!B:B, "&gt;=7/1/2015", All!B:B,"&lt;=6/30/2016", All!E:E,"=U*",All!E:E,"&lt;&gt;UIPA*",All!E:E,"&lt;&gt;*RFO*",All!E:E,"&lt;&gt;*TRNG*"),COUNTIFS(All!F:F,"=mpd*", All!B:B, "&gt;=7/1/2015", All!B:B,"&lt;=6/30/2016", All!E:E,"=U*",All!E:E,"&lt;&gt;UIPA*",All!E:E,"&lt;&gt;*RFO*",All!E:E,"&lt;&gt;*TRNG*"))</f>
        <v>11</v>
      </c>
      <c r="S40" s="7">
        <f>ROUND(R40/(J40+C40),3)</f>
        <v>3.1E-2</v>
      </c>
      <c r="T40">
        <f>SUMIFS(LogFY17!D:D,LogFY17!A:A,"=*police*")</f>
        <v>106</v>
      </c>
      <c r="U40">
        <f>SUM(SUMIFS(LogFY17!D:D,LogFY17!A:A,"=*police*"),-1*SUMIFS(LogFY17!L:L,LogFY17!A:A,"=*police*"),-1*SUMIFS(LogFY17!N:N,LogFY17!A:A,"=*police*"))</f>
        <v>59</v>
      </c>
      <c r="V40" s="7">
        <f>U40/T40</f>
        <v>0.55660377358490565</v>
      </c>
      <c r="W40" s="7">
        <f>V40-L40</f>
        <v>0.22882599580712787</v>
      </c>
      <c r="X40">
        <f>ROUND(SUMIFS(LogFY17!K:K,LogFY17!A:A,"=*police*")/SUMIFS(LogFY17!J:J,LogFY17!A:A,"=*police*"),0)</f>
        <v>11</v>
      </c>
      <c r="Y40">
        <f t="shared" si="64"/>
        <v>4</v>
      </c>
      <c r="Z40" s="1">
        <v>103</v>
      </c>
      <c r="AA40" s="1">
        <f t="shared" si="54"/>
        <v>16</v>
      </c>
      <c r="AB40">
        <f>SUM(COUNTIFS(All!F:F,"=police*", All!B:B, "&gt;=7/1/2016", All!B:B,"&lt;=6/30/2017", All!E:E,"=U*",All!E:E,"&lt;&gt;UIPA*",All!E:E,"&lt;&gt;*RFO*",All!E:E,"&lt;&gt;*TRNG*"),COUNTIFS(All!F:F,"=hpd*", All!B:B, "&gt;=7/1/2016", All!B:B,"&lt;=6/30/2017", All!E:E,"=U*",All!E:E,"&lt;&gt;UIPA*",All!E:E,"&lt;&gt;*RFO*",All!E:E,"&lt;&gt;*TRNG*"),COUNTIFS(All!F:F,"=kpd*", All!B:B, "&gt;=7/1/2016", All!B:B,"&lt;=6/30/2017", All!E:E,"=U*",All!E:E,"&lt;&gt;UIPA*",All!E:E,"&lt;&gt;*RFO*",All!E:E,"&lt;&gt;*TRNG*"),COUNTIFS(All!F:F,"=mpd*", All!B:B, "&gt;=7/1/2016", All!B:B,"&lt;=6/30/2017", All!E:E,"=U*",All!E:E,"&lt;&gt;UIPA*",All!E:E,"&lt;&gt;*RFO*",All!E:E,"&lt;&gt;*TRNG*"))</f>
        <v>9</v>
      </c>
      <c r="AC40" s="7">
        <f>ROUND(AB40/(T40+J40),3)</f>
        <v>3.1E-2</v>
      </c>
      <c r="AD40">
        <f>SUMIFS(LogFY18!D:D,LogFY18!A:A,"=*police*")</f>
        <v>106</v>
      </c>
      <c r="AE40">
        <f>SUM(SUMIFS(LogFY18!D:D,LogFY18!A:A,"=*police*"),-1*SUMIFS(LogFY18!L:L,LogFY18!A:A,"=*police*"),-1*SUMIFS(LogFY18!N:N,LogFY18!A:A,"=*police*"))</f>
        <v>62</v>
      </c>
      <c r="AF40" s="7">
        <f t="shared" si="78"/>
        <v>0.58490566037735847</v>
      </c>
      <c r="AG40" s="7">
        <f t="shared" si="79"/>
        <v>2.8301886792452824E-2</v>
      </c>
      <c r="AH40">
        <f>ROUND(SUMIFS(LogFY18!K:K,LogFY18!A:A,"=*police*")/SUMIFS(LogFY18!J:J,LogFY18!A:A,"=*police*"),0)</f>
        <v>9</v>
      </c>
      <c r="AI40">
        <f t="shared" si="80"/>
        <v>-2</v>
      </c>
      <c r="AJ40" s="1">
        <v>84</v>
      </c>
      <c r="AK40" s="1">
        <f t="shared" si="81"/>
        <v>-19</v>
      </c>
      <c r="AL40">
        <f>SUM(COUNTIFS(All!F:F,"=police*", All!B:B, "&gt;=7/1/2017", All!B:B,"&lt;=6/30/2018", All!E:E,"=U*",All!E:E,"&lt;&gt;UIPA*",All!E:E,"&lt;&gt;*RFO*",All!E:E,"&lt;&gt;*TRNG*"),COUNTIFS(All!F:F,"=hpd*", All!B:B, "&gt;=7/1/2017", All!B:B,"&lt;=6/30/2018", All!E:E,"=U*",All!E:E,"&lt;&gt;UIPA*",All!E:E,"&lt;&gt;*RFO*",All!E:E,"&lt;&gt;*TRNG*"),COUNTIFS(All!F:F,"=kpd*", All!B:B, "&gt;=7/1/2017", All!B:B,"&lt;=6/30/2018", All!E:E,"=U*",All!E:E,"&lt;&gt;UIPA*",All!E:E,"&lt;&gt;*RFO*",All!E:E,"&lt;&gt;*TRNG*"),COUNTIFS(All!F:F,"=mpd*", All!B:B, "&gt;=7/1/2017", All!B:B,"&lt;=6/30/2018", All!E:E,"=U*",All!E:E,"&lt;&gt;UIPA*",All!E:E,"&lt;&gt;*RFO*",All!E:E,"&lt;&gt;*TRNG*"))</f>
        <v>4</v>
      </c>
      <c r="AM40" s="7">
        <f>ROUND(AL40/(AD40+T40),3)</f>
        <v>1.9E-2</v>
      </c>
      <c r="AN40">
        <f>SUMIFS(LogFY19!D:D,LogFY19!A:A,"=*police*")</f>
        <v>207</v>
      </c>
      <c r="AO40">
        <f>SUM(SUMIFS(LogFY19!D:D,LogFY19!A:A,"=*police*"),-1*SUMIFS(LogFY19!L:L,LogFY19!A:A,"=*police*"),-1*SUMIFS(LogFY19!N:N,LogFY19!A:A,"=*police*"))</f>
        <v>91</v>
      </c>
      <c r="AP40" s="7">
        <f t="shared" si="65"/>
        <v>0.43961352657004832</v>
      </c>
      <c r="AQ40" s="7">
        <f t="shared" si="66"/>
        <v>-0.14529213380731015</v>
      </c>
      <c r="AR40">
        <f>ROUND(SUMIFS(LogFY19!K:K,LogFY19!A:A,"=*police*")/SUMIFS(LogFY19!J:J,LogFY19!A:A,"=*police*"),0)</f>
        <v>8</v>
      </c>
      <c r="AS40">
        <f t="shared" si="67"/>
        <v>-1</v>
      </c>
      <c r="AT40" s="1">
        <v>47</v>
      </c>
      <c r="AU40" s="1">
        <f t="shared" si="82"/>
        <v>-37</v>
      </c>
      <c r="AV40">
        <f>SUM(COUNTIFS(All!F:F,"=police*", All!B:B, "&gt;=7/1/2018", All!B:B,"&lt;=6/30/2019", All!E:E,"=U*",All!E:E,"&lt;&gt;UIPA*",All!E:E,"&lt;&gt;*RFO*",All!E:E,"&lt;&gt;*TRNG*"),COUNTIFS(All!F:F,"=hpd*", All!B:B, "&gt;=7/1/2018", All!B:B,"&lt;=6/30/2019", All!E:E,"=U*",All!E:E,"&lt;&gt;UIPA*",All!E:E,"&lt;&gt;*RFO*",All!E:E,"&lt;&gt;*TRNG*"),COUNTIFS(All!F:F,"=kpd*", All!B:B, "&gt;=7/1/2018", All!B:B,"&lt;=6/30/2019", All!E:E,"=U*",All!E:E,"&lt;&gt;UIPA*",All!E:E,"&lt;&gt;*RFO*",All!E:E,"&lt;&gt;*TRNG*"),COUNTIFS(All!F:F,"=mpd*", All!B:B, "&gt;=7/1/2018", All!B:B,"&lt;=6/30/2019", All!E:E,"=U*",All!E:E,"&lt;&gt;UIPA*",All!E:E,"&lt;&gt;*RFO*",All!E:E,"&lt;&gt;*TRNG*"))</f>
        <v>4</v>
      </c>
      <c r="AW40" s="7">
        <f>ROUND(AV40/(AN40+AD40),3)</f>
        <v>1.2999999999999999E-2</v>
      </c>
      <c r="AX40">
        <f>SUMIFS(LogFY20!D:D,LogFY20!A:A,"=*police*")</f>
        <v>280</v>
      </c>
      <c r="AY40">
        <f>SUM(SUMIFS(LogFY20!D:D,LogFY20!A:A,"=*police*"),-1*SUMIFS(LogFY20!L:L,LogFY20!A:A,"=*police*"),-1*SUMIFS(LogFY20!N:N,LogFY20!A:A,"=*police*"))</f>
        <v>99</v>
      </c>
      <c r="AZ40" s="7">
        <f t="shared" si="68"/>
        <v>0.35357142857142859</v>
      </c>
      <c r="BA40" s="7">
        <f t="shared" si="69"/>
        <v>-8.6042097998619727E-2</v>
      </c>
      <c r="BB40">
        <f>ROUND(SUMIFS(LogFY20!K:K,LogFY20!A:A,"=*police*")/SUMIFS(LogFY20!J:J,LogFY20!A:A,"=*police*"),0)</f>
        <v>14</v>
      </c>
      <c r="BC40">
        <f t="shared" si="70"/>
        <v>6</v>
      </c>
      <c r="BD40" s="1">
        <v>182</v>
      </c>
      <c r="BE40" s="1">
        <f t="shared" si="71"/>
        <v>135</v>
      </c>
      <c r="BF40">
        <f>SUM(COUNTIFS(All!F:F,"=police*", All!B:B, "&gt;=7/1/2019", All!B:B,"&lt;=6/30/2020", All!E:E,"=U*",All!E:E,"&lt;&gt;UIPA*",All!E:E,"&lt;&gt;*RFO*",All!E:E,"&lt;&gt;*TRNG*"),COUNTIFS(All!F:F,"=hpd*", All!B:B, "&gt;=7/1/2019", All!B:B,"&lt;=6/30/2020", All!E:E,"=U*",All!E:E,"&lt;&gt;UIPA*",All!E:E,"&lt;&gt;*RFO*",All!E:E,"&lt;&gt;*TRNG*"),COUNTIFS(All!F:F,"=kpd*", All!B:B, "&gt;=7/1/2019", All!B:B,"&lt;=6/30/2020", All!E:E,"=U*",All!E:E,"&lt;&gt;UIPA*",All!E:E,"&lt;&gt;*RFO*",All!E:E,"&lt;&gt;*TRNG*"),COUNTIFS(All!F:F,"=mpd*", All!B:B, "&gt;=7/1/2019", All!B:B,"&lt;=6/30/2020", All!E:E,"=U*",All!E:E,"&lt;&gt;UIPA*",All!E:E,"&lt;&gt;*RFO*",All!E:E,"&lt;&gt;*TRNG*"))</f>
        <v>2</v>
      </c>
      <c r="BG40" s="7">
        <f>ROUND(BF40/(AX40+AN40),3)</f>
        <v>4.0000000000000001E-3</v>
      </c>
      <c r="BH40">
        <f>SUMIFS(LogFY21!D:D,LogFY21!A:A,"=*police*")</f>
        <v>534</v>
      </c>
      <c r="BI40">
        <f>SUM(SUMIFS(LogFY21!D:D,LogFY21!A:A,"=*police*"),-1*SUMIFS(LogFY21!L:L,LogFY21!A:A,"=*police*"),-1*SUMIFS(LogFY21!N:N,LogFY21!A:A,"=*police*"))</f>
        <v>194</v>
      </c>
      <c r="BJ40" s="7">
        <f t="shared" si="55"/>
        <v>0.36329588014981273</v>
      </c>
      <c r="BK40" s="7">
        <f t="shared" si="56"/>
        <v>9.7244515783841412E-3</v>
      </c>
      <c r="BL40">
        <f>ROUND(SUMIFS(LogFY21!K:K,LogFY21!A:A,"=*police*")/SUMIFS(LogFY21!J:J,LogFY21!A:A,"=*police*"),0)</f>
        <v>11</v>
      </c>
      <c r="BM40">
        <f t="shared" si="57"/>
        <v>-3</v>
      </c>
      <c r="BN40" s="1">
        <v>146</v>
      </c>
      <c r="BO40" s="1">
        <f t="shared" si="58"/>
        <v>-36</v>
      </c>
      <c r="BP40">
        <f>SUM(COUNTIFS(All!F:F,"=police*", All!B:B, "&gt;=7/1/2020", All!B:B,"&lt;=6/30/2021", All!E:E,"=U*",All!E:E,"&lt;&gt;UIPA*",All!E:E,"&lt;&gt;*RFO*",All!E:E,"&lt;&gt;*TRNG*"),COUNTIFS(All!F:F,"=hpd*", All!B:B, "&gt;=7/1/2020", All!B:B,"&lt;=6/30/2021", All!E:E,"=U*",All!E:E,"&lt;&gt;UIPA*",All!E:E,"&lt;&gt;*RFO*",All!E:E,"&lt;&gt;*TRNG*"),COUNTIFS(All!F:F,"=kpd*", All!B:B, "&gt;=7/1/2020", All!B:B,"&lt;=6/30/2021", All!E:E,"=U*",All!E:E,"&lt;&gt;UIPA*",All!E:E,"&lt;&gt;*RFO*",All!E:E,"&lt;&gt;*TRNG*"),COUNTIFS(All!F:F,"=mpd*", All!B:B, "&gt;=7/1/2020", All!B:B,"&lt;=6/30/2021", All!E:E,"=U*",All!E:E,"&lt;&gt;UIPA*",All!E:E,"&lt;&gt;*RFO*",All!E:E,"&lt;&gt;*TRNG*"))</f>
        <v>5</v>
      </c>
      <c r="BQ40" s="7">
        <f>ROUND(BP40/(BH40+AX40),3)</f>
        <v>6.0000000000000001E-3</v>
      </c>
      <c r="BR40">
        <f>SUMIFS(LogFY22!D:D,LogFY22!A:A,"=*police*")</f>
        <v>491</v>
      </c>
      <c r="BS40">
        <f>SUM(SUMIFS(LogFY22!D:D,LogFY22!A:A,"=*police*"),-1*SUMIFS(LogFY22!L:L,LogFY22!A:A,"=*police*"),-1*SUMIFS(LogFY22!N:N,LogFY22!A:A,"=*police*"))</f>
        <v>148</v>
      </c>
      <c r="BT40" s="7">
        <f t="shared" si="72"/>
        <v>0.3014256619144603</v>
      </c>
      <c r="BU40" s="7">
        <f t="shared" si="17"/>
        <v>-6.1870218235352437E-2</v>
      </c>
      <c r="BV40">
        <f>ROUND(SUMIFS(LogFY22!K:K,LogFY22!A:A,"=*police*")/SUMIFS(LogFY22!J:J,LogFY22!A:A,"=*police*"),0)</f>
        <v>11</v>
      </c>
      <c r="BW40">
        <f t="shared" si="49"/>
        <v>0</v>
      </c>
      <c r="BX40" s="1">
        <v>126</v>
      </c>
      <c r="BY40" s="1">
        <f t="shared" si="47"/>
        <v>-20</v>
      </c>
      <c r="BZ40">
        <f>SUM(COUNTIFS(All!F:F,"=police*", All!B:B, "&gt;=7/1/2021", All!B:B,"&lt;=6/30/2022", All!E:E,"=U*",All!E:E,"&lt;&gt;UIPA*",All!E:E,"&lt;&gt;*RFO*",All!E:E,"&lt;&gt;*TRNG*"),COUNTIFS(All!F:F,"=hpd*", All!B:B, "&gt;=7/1/2021", All!B:B,"&lt;=6/30/2022", All!E:E,"=U*",All!E:E,"&lt;&gt;UIPA*",All!E:E,"&lt;&gt;*RFO*",All!E:E,"&lt;&gt;*TRNG*"),COUNTIFS(All!F:F,"=kpd*", All!B:B, "&gt;=7/1/2021", All!B:B,"&lt;=6/30/2022", All!E:E,"=U*",All!E:E,"&lt;&gt;UIPA*",All!E:E,"&lt;&gt;*RFO*",All!E:E,"&lt;&gt;*TRNG*"),COUNTIFS(All!F:F,"=mpd*", All!B:B, "&gt;=7/1/2021", All!B:B,"&lt;=6/30/2022", All!E:E,"=U*",All!E:E,"&lt;&gt;UIPA*",All!E:E,"&lt;&gt;*RFO*",All!E:E,"&lt;&gt;*TRNG*"))</f>
        <v>19</v>
      </c>
      <c r="CA40" s="7">
        <f>ROUND(BZ40/(BR40+BH40),3)</f>
        <v>1.9E-2</v>
      </c>
      <c r="CB40">
        <f>SUMIFS(LogFY23!D:D,LogFY23!A:A,"=*police*")</f>
        <v>500</v>
      </c>
      <c r="CC40">
        <f>SUM(SUMIFS(LogFY23!D:D,LogFY23!A:A,"=*police*"),-1*SUMIFS(LogFY23!L:L,LogFY23!A:A,"=*police*"),-1*SUMIFS(LogFY23!N:N,LogFY23!A:A,"=*police*"))</f>
        <v>133</v>
      </c>
      <c r="CD40" s="7">
        <f t="shared" si="59"/>
        <v>0.26600000000000001</v>
      </c>
      <c r="CE40" s="7">
        <f t="shared" si="60"/>
        <v>-3.5425661914460282E-2</v>
      </c>
      <c r="CF40">
        <f>ROUND(SUMIFS(LogFY23!K:K,LogFY23!A:A,"=*police*")/SUMIFS(LogFY23!J:J,LogFY23!A:A,"=*police*"),0)</f>
        <v>14</v>
      </c>
      <c r="CG40">
        <f t="shared" si="61"/>
        <v>3</v>
      </c>
      <c r="CH40" s="1">
        <v>184</v>
      </c>
      <c r="CI40" s="1">
        <f t="shared" si="74"/>
        <v>58</v>
      </c>
      <c r="CJ40">
        <f>SUM(COUNTIFS(All!F:F,"=police*", All!B:B, "&gt;=7/1/2022", All!B:B,"&lt;=6/30/2023", All!E:E,"=U*",All!E:E,"&lt;&gt;UIPA*",All!E:E,"&lt;&gt;*RFO*",All!E:E,"&lt;&gt;*TRNG*"),COUNTIFS(All!F:F,"=hpd*", All!B:B, "&gt;=7/1/2022", All!B:B,"&lt;=6/30/2023", All!E:E,"=U*",All!E:E,"&lt;&gt;UIPA*",All!E:E,"&lt;&gt;*RFO*",All!E:E,"&lt;&gt;*TRNG*"),COUNTIFS(All!F:F,"=kpd*", All!B:B, "&gt;=7/1/2022", All!B:B,"&lt;=6/30/2023", All!E:E,"=U*",All!E:E,"&lt;&gt;UIPA*",All!E:E,"&lt;&gt;*RFO*",All!E:E,"&lt;&gt;*TRNG*"),COUNTIFS(All!F:F,"=mpd*", All!B:B, "&gt;=7/1/2022", All!B:B,"&lt;=6/30/2023", All!E:E,"=U*",All!E:E,"&lt;&gt;UIPA*",All!E:E,"&lt;&gt;*RFO*",All!E:E,"&lt;&gt;*TRNG*"))</f>
        <v>6</v>
      </c>
      <c r="CK40" s="7">
        <f>ROUND(CJ40/(CB40+BR40),3)</f>
        <v>6.0000000000000001E-3</v>
      </c>
      <c r="CL40">
        <f>SUMIFS(LogFY24!D:D,LogFY24!A:A,"=*police*")</f>
        <v>783</v>
      </c>
      <c r="CM40">
        <f>SUM(SUMIFS(LogFY24!D:D,LogFY24!A:A,"=*police*"),-1*SUMIFS(LogFY24!L:L,LogFY24!A:A,"=*police*"),-1*SUMIFS(LogFY24!N:N,LogFY24!A:A,"=*police*"))</f>
        <v>203</v>
      </c>
      <c r="CN40" s="7">
        <f t="shared" si="73"/>
        <v>0.25925925925925924</v>
      </c>
      <c r="CO40" s="7">
        <f t="shared" si="75"/>
        <v>-6.7407407407407693E-3</v>
      </c>
      <c r="CP40">
        <f>ROUND(SUMIFS(LogFY24!K:K,LogFY24!A:A,"=*police*")/SUMIFS(LogFY24!J:J,LogFY24!A:A,"=*police*"),0)</f>
        <v>21</v>
      </c>
      <c r="CQ40">
        <f t="shared" si="76"/>
        <v>7</v>
      </c>
      <c r="CR40" s="1">
        <v>215</v>
      </c>
      <c r="CS40" s="1">
        <f t="shared" si="27"/>
        <v>31</v>
      </c>
      <c r="CT40">
        <f>SUM(COUNTIFS(All!F:F,"=police*", All!B:B, "&gt;=7/1/2023", All!B:B,"&lt;=6/30/2024", All!E:E,"=U*",All!E:E,"&lt;&gt;UIPA*",All!E:E,"&lt;&gt;*RFO*",All!E:E,"&lt;&gt;*TRNG*"),COUNTIFS(All!F:F,"=hpd*", All!B:B, "&gt;=7/1/2023", All!B:B,"&lt;=6/30/2024", All!E:E,"=U*",All!E:E,"&lt;&gt;UIPA*",All!E:E,"&lt;&gt;*RFO*",All!E:E,"&lt;&gt;*TRNG*"),COUNTIFS(All!F:F,"=kpd*", All!B:B, "&gt;=7/1/2023", All!B:B,"&lt;=6/30/2024", All!E:E,"=U*",All!E:E,"&lt;&gt;UIPA*",All!E:E,"&lt;&gt;*RFO*",All!E:E,"&lt;&gt;*TRNG*"),COUNTIFS(All!F:F,"=mpd*", All!B:B, "&gt;=7/1/2023", All!B:B,"&lt;=6/30/2024", All!E:E,"=U*",All!E:E,"&lt;&gt;UIPA*",All!E:E,"&lt;&gt;*RFO*",All!E:E,"&lt;&gt;*TRNG*"))</f>
        <v>18</v>
      </c>
      <c r="CU40" s="7">
        <f>ROUND(CT40/(CL40+CB40),3)</f>
        <v>1.4E-2</v>
      </c>
    </row>
    <row r="41" spans="1:99" ht="16">
      <c r="A41" s="10">
        <f t="shared" si="77"/>
        <v>40</v>
      </c>
      <c r="B41" s="9" t="s">
        <v>17435</v>
      </c>
      <c r="C41">
        <f>SUMIFS(LogFY15!D:D,LogFY15!A:A,"=*honolulu_police*")</f>
        <v>42</v>
      </c>
      <c r="D41">
        <f>SUM(SUMIFS(LogFY15!D:D,LogFY15!A:A,"=*honolulu_police*"),-1*SUMIFS(LogFY15!L:L,LogFY15!A:A,"=*honolulu_police*"),-1*SUMIFS(LogFY15!N:N,LogFY15!A:A,"=*honolulu_police*"))</f>
        <v>10</v>
      </c>
      <c r="E41" s="7">
        <f>D41/C41</f>
        <v>0.23809523809523808</v>
      </c>
      <c r="F41">
        <f>ROUND(SUMIFS(LogFY15!K:K,LogFY15!A:A,"=*honolulu_police*")/SUMIFS(LogFY15!J:J,LogFY15!A:A,"=*honolulu_police*"),0)</f>
        <v>27</v>
      </c>
      <c r="G41" s="1">
        <v>264</v>
      </c>
      <c r="J41">
        <f>SUMIFS(LogFY16!D:D,LogFY16!A:A,"=*honolulu_police*")</f>
        <v>28</v>
      </c>
      <c r="K41">
        <f>SUM(SUMIFS(LogFY16!D:D,LogFY16!A:A,"=*honolulu_police*"),-1*SUMIFS(LogFY16!L:L,LogFY16!A:A,"=*honolulu_police*"),-1*SUMIFS(LogFY16!N:N,LogFY16!A:A,"=*honolulu_police*"))</f>
        <v>12</v>
      </c>
      <c r="L41" s="7">
        <f t="shared" si="50"/>
        <v>0.42857142857142855</v>
      </c>
      <c r="M41" s="7">
        <f t="shared" si="51"/>
        <v>0.19047619047619047</v>
      </c>
      <c r="N41">
        <f>ROUND(SUMIFS(LogFY16!K:K,LogFY16!A:A,"=*honolulu_police*")/SUMIFS(LogFY16!J:J,LogFY16!A:A,"=*honolulu_police*"),0)</f>
        <v>17</v>
      </c>
      <c r="O41">
        <f t="shared" si="52"/>
        <v>-10</v>
      </c>
      <c r="P41" s="1">
        <v>87</v>
      </c>
      <c r="Q41" s="1">
        <f t="shared" si="53"/>
        <v>-177</v>
      </c>
      <c r="T41">
        <f>SUMIFS(LogFY17!D:D,LogFY17!A:A,"=*honolulu_police*")</f>
        <v>72</v>
      </c>
      <c r="U41">
        <f>SUM(SUMIFS(LogFY17!D:D,LogFY17!A:A,"=*honolulu_police*"),-1*SUMIFS(LogFY17!L:L,LogFY17!A:A,"=*honolulu_police*"),-1*SUMIFS(LogFY17!N:N,LogFY17!A:A,"=*honolulu_police*"))</f>
        <v>38</v>
      </c>
      <c r="V41" s="7">
        <f>U41/T41</f>
        <v>0.52777777777777779</v>
      </c>
      <c r="W41" s="7">
        <f>V41-L41</f>
        <v>9.9206349206349242E-2</v>
      </c>
      <c r="X41">
        <f>ROUND(SUMIFS(LogFY17!K:K,LogFY17!A:A,"=*honolulu_police*")/SUMIFS(LogFY17!J:J,LogFY17!A:A,"=*honolulu_police*"),0)</f>
        <v>11</v>
      </c>
      <c r="Y41">
        <f t="shared" si="64"/>
        <v>-6</v>
      </c>
      <c r="Z41" s="1">
        <v>103</v>
      </c>
      <c r="AA41" s="1">
        <f t="shared" si="54"/>
        <v>16</v>
      </c>
      <c r="AD41">
        <f>SUMIFS(LogFY18!D:D,LogFY18!A:A,"=*honolulu_police*")</f>
        <v>60</v>
      </c>
      <c r="AE41">
        <f>SUM(SUMIFS(LogFY18!D:D,LogFY18!A:A,"=*honolulu_police*"),-1*SUMIFS(LogFY18!L:L,LogFY18!A:A,"=*honolulu_police*"),-1*SUMIFS(LogFY18!N:N,LogFY18!A:A,"=*honolulu_police*"))</f>
        <v>25</v>
      </c>
      <c r="AF41" s="7">
        <f t="shared" si="78"/>
        <v>0.41666666666666669</v>
      </c>
      <c r="AG41" s="7">
        <f t="shared" si="79"/>
        <v>-0.1111111111111111</v>
      </c>
      <c r="AH41">
        <f>ROUND(SUMIFS(LogFY18!K:K,LogFY18!A:A,"=*honolulu_police*")/SUMIFS(LogFY18!J:J,LogFY18!A:A,"=*honolulu_police*"),0)</f>
        <v>13</v>
      </c>
      <c r="AI41">
        <f t="shared" si="80"/>
        <v>2</v>
      </c>
      <c r="AJ41" s="1">
        <v>84</v>
      </c>
      <c r="AK41" s="1">
        <f t="shared" si="81"/>
        <v>-19</v>
      </c>
      <c r="AN41">
        <f>SUMIFS(LogFY19!D:D,LogFY19!A:A,"=*honolulu_police*")</f>
        <v>145</v>
      </c>
      <c r="AO41">
        <f>SUM(SUMIFS(LogFY19!D:D,LogFY19!A:A,"=*honolulu_police*"),-1*SUMIFS(LogFY19!L:L,LogFY19!A:A,"=*honolulu_police*"),-1*SUMIFS(LogFY19!N:N,LogFY19!A:A,"=*honolulu_police*"))</f>
        <v>46</v>
      </c>
      <c r="AP41" s="7">
        <f t="shared" si="65"/>
        <v>0.31724137931034485</v>
      </c>
      <c r="AQ41" s="7">
        <f t="shared" si="66"/>
        <v>-9.9425287356321834E-2</v>
      </c>
      <c r="AR41">
        <f>ROUND(SUMIFS(LogFY19!K:K,LogFY19!A:A,"=*honolulu_police*")/SUMIFS(LogFY19!J:J,LogFY19!A:A,"=*honolulu_police*"),0)</f>
        <v>9</v>
      </c>
      <c r="AS41">
        <f t="shared" si="67"/>
        <v>-4</v>
      </c>
      <c r="AT41" s="1">
        <v>47</v>
      </c>
      <c r="AU41" s="1">
        <f t="shared" si="82"/>
        <v>-37</v>
      </c>
      <c r="AX41">
        <f>SUMIFS(LogFY20!D:D,LogFY20!A:A,"=*honolulu_police*")</f>
        <v>225</v>
      </c>
      <c r="AY41">
        <f>SUM(SUMIFS(LogFY20!D:D,LogFY20!A:A,"=*honolulu_police*"),-1*SUMIFS(LogFY20!L:L,LogFY20!A:A,"=*honolulu_police*"),-1*SUMIFS(LogFY20!N:N,LogFY20!A:A,"=*honolulu_police*"))</f>
        <v>66</v>
      </c>
      <c r="AZ41" s="7">
        <f t="shared" si="68"/>
        <v>0.29333333333333333</v>
      </c>
      <c r="BA41" s="7">
        <f t="shared" si="69"/>
        <v>-2.3908045977011516E-2</v>
      </c>
      <c r="BB41">
        <f>ROUND(SUMIFS(LogFY20!K:K,LogFY20!A:A,"=*honolulu_police*")/SUMIFS(LogFY20!J:J,LogFY20!A:A,"=*honolulu_police*"),0)</f>
        <v>16</v>
      </c>
      <c r="BC41">
        <f t="shared" si="70"/>
        <v>7</v>
      </c>
      <c r="BD41" s="1">
        <v>182</v>
      </c>
      <c r="BE41" s="1">
        <f t="shared" si="71"/>
        <v>135</v>
      </c>
      <c r="BH41">
        <f>SUMIFS(LogFY21!D:D,LogFY21!A:A,"=*honolulu_police*")</f>
        <v>480</v>
      </c>
      <c r="BI41">
        <f>SUM(SUMIFS(LogFY21!D:D,LogFY21!A:A,"=*honolulu_police*"),-1*SUMIFS(LogFY21!L:L,LogFY21!A:A,"=*honolulu_police*"),-1*SUMIFS(LogFY21!N:N,LogFY21!A:A,"=*honolulu_police*"))</f>
        <v>182</v>
      </c>
      <c r="BJ41" s="7">
        <f t="shared" si="55"/>
        <v>0.37916666666666665</v>
      </c>
      <c r="BK41" s="7">
        <f t="shared" si="56"/>
        <v>8.5833333333333317E-2</v>
      </c>
      <c r="BL41">
        <f>ROUND(SUMIFS(LogFY21!K:K,LogFY21!A:A,"=*honolulu_police*")/SUMIFS(LogFY21!J:J,LogFY21!A:A,"=*honolulu_police*"),0)</f>
        <v>11</v>
      </c>
      <c r="BM41">
        <f t="shared" si="57"/>
        <v>-5</v>
      </c>
      <c r="BN41" s="1">
        <v>146</v>
      </c>
      <c r="BO41" s="1">
        <f t="shared" si="58"/>
        <v>-36</v>
      </c>
      <c r="BR41">
        <f>SUMIFS(LogFY22!D:D,LogFY22!A:A,"=*honolulu_police*")</f>
        <v>449</v>
      </c>
      <c r="BS41">
        <f>SUM(SUMIFS(LogFY22!D:D,LogFY22!A:A,"=*honolulu_police*"),-1*SUMIFS(LogFY22!L:L,LogFY22!A:A,"=*honolulu_police*"),-1*SUMIFS(LogFY22!N:N,LogFY22!A:A,"=*honolulu_police*"))</f>
        <v>139</v>
      </c>
      <c r="BT41" s="7">
        <f t="shared" si="72"/>
        <v>0.30957683741648107</v>
      </c>
      <c r="BU41" s="7">
        <f t="shared" si="17"/>
        <v>-6.9589829250185586E-2</v>
      </c>
      <c r="BV41">
        <f>ROUND(SUMIFS(LogFY22!K:K,LogFY22!A:A,"=*honolulu_police*")/SUMIFS(LogFY22!J:J,LogFY22!A:A,"=*honolulu_police*"),0)</f>
        <v>11</v>
      </c>
      <c r="BW41">
        <f t="shared" si="49"/>
        <v>0</v>
      </c>
      <c r="BX41" s="1">
        <v>126</v>
      </c>
      <c r="BY41" s="1">
        <f t="shared" si="47"/>
        <v>-20</v>
      </c>
      <c r="CB41">
        <f>SUMIFS(LogFY23!D:D,LogFY23!A:A,"=*honolulu_police*")</f>
        <v>411</v>
      </c>
      <c r="CC41">
        <f>SUM(SUMIFS(LogFY23!D:D,LogFY23!A:A,"=*honolulu_police*"),-1*SUMIFS(LogFY23!L:L,LogFY23!A:A,"=*honolulu_police*"),-1*SUMIFS(LogFY23!N:N,LogFY23!A:A,"=*honolulu_police*"))</f>
        <v>107</v>
      </c>
      <c r="CD41" s="7">
        <f t="shared" si="59"/>
        <v>0.26034063260340634</v>
      </c>
      <c r="CE41" s="7">
        <f t="shared" si="60"/>
        <v>-4.9236204813074724E-2</v>
      </c>
      <c r="CF41">
        <f>ROUND(SUMIFS(LogFY23!K:K,LogFY23!A:A,"=*honolulu_police*")/SUMIFS(LogFY23!J:J,LogFY23!A:A,"=*honolulu_police*"),0)</f>
        <v>11</v>
      </c>
      <c r="CG41">
        <f t="shared" si="61"/>
        <v>0</v>
      </c>
      <c r="CH41" s="1">
        <v>132</v>
      </c>
      <c r="CI41" s="1">
        <f t="shared" si="74"/>
        <v>6</v>
      </c>
      <c r="CK41" s="7"/>
      <c r="CL41">
        <f>SUMIFS(LogFY24!D:D,LogFY24!A:A,"=*honolulu_police*")</f>
        <v>649</v>
      </c>
      <c r="CM41">
        <f>SUM(SUMIFS(LogFY24!D:D,LogFY24!A:A,"=*honolulu_police*"),-1*SUMIFS(LogFY24!L:L,LogFY24!A:A,"=*honolulu_police*"),-1*SUMIFS(LogFY24!N:N,LogFY24!A:A,"=*honolulu_police*"))</f>
        <v>152</v>
      </c>
      <c r="CN41" s="7">
        <f t="shared" si="73"/>
        <v>0.23420647149460708</v>
      </c>
      <c r="CO41" s="7">
        <f t="shared" si="75"/>
        <v>-2.6134161108799264E-2</v>
      </c>
      <c r="CP41">
        <f>ROUND(SUMIFS(LogFY24!K:K,LogFY24!A:A,"=*honolulu_police*")/SUMIFS(LogFY24!J:J,LogFY24!A:A,"=*honolulu_police*"),0)</f>
        <v>18</v>
      </c>
      <c r="CQ41">
        <f t="shared" si="76"/>
        <v>7</v>
      </c>
      <c r="CR41" s="1">
        <v>215</v>
      </c>
      <c r="CS41" s="1">
        <f t="shared" si="27"/>
        <v>83</v>
      </c>
    </row>
    <row r="42" spans="1:99" ht="16">
      <c r="A42" s="10">
        <f t="shared" si="77"/>
        <v>41</v>
      </c>
      <c r="B42" s="9" t="s">
        <v>17436</v>
      </c>
      <c r="C42">
        <f>SUMIFS(LogFY15!D:D,LogFY15!A:A,"=*maui_county_police*")</f>
        <v>17</v>
      </c>
      <c r="D42">
        <f>SUM(SUMIFS(LogFY15!D:D,LogFY15!A:A,"=*maui_county_police*"),-1*SUMIFS(LogFY15!L:L,LogFY15!A:A,"=*maui_county_police*"),-1*SUMIFS(LogFY15!N:N,LogFY15!A:A,"=*maui_county_police*"))</f>
        <v>7</v>
      </c>
      <c r="E42" s="7">
        <f>D42/C42</f>
        <v>0.41176470588235292</v>
      </c>
      <c r="F42">
        <f>ROUND(SUMIFS(LogFY15!K:K,LogFY15!A:A,"=*maui_county_police*")/SUMIFS(LogFY15!J:J,LogFY15!A:A,"=*maui_county_police*"),0)</f>
        <v>9</v>
      </c>
      <c r="G42" s="1">
        <v>30</v>
      </c>
      <c r="J42">
        <f>SUMIFS(LogFY16!D:D,LogFY16!A:A,"=*maui_county_police*")</f>
        <v>37</v>
      </c>
      <c r="K42">
        <f>SUM(SUMIFS(LogFY16!D:D,LogFY16!A:A,"=*maui_county_police*"),-1*SUMIFS(LogFY16!L:L,LogFY16!A:A,"=*maui_county_police*"),-1*SUMIFS(LogFY16!N:N,LogFY16!A:A,"=*maui_county_police*"))</f>
        <v>20</v>
      </c>
      <c r="L42" s="7">
        <f t="shared" si="50"/>
        <v>0.54054054054054057</v>
      </c>
      <c r="M42" s="7">
        <f t="shared" si="51"/>
        <v>0.12877583465818765</v>
      </c>
      <c r="N42">
        <f>ROUND(SUMIFS(LogFY16!K:K,LogFY16!A:A,"=*maui_county_police*")/SUMIFS(LogFY16!J:J,LogFY16!A:A,"=*maui_county_police*"),0)</f>
        <v>8</v>
      </c>
      <c r="O42">
        <f t="shared" si="52"/>
        <v>-1</v>
      </c>
      <c r="P42" s="1">
        <v>53</v>
      </c>
      <c r="Q42" s="1">
        <f t="shared" si="53"/>
        <v>23</v>
      </c>
      <c r="T42">
        <f>SUMIFS(LogFY17!D:D,LogFY17!A:A,"=*maui_county_police*")</f>
        <v>18</v>
      </c>
      <c r="U42">
        <f>SUM(SUMIFS(LogFY17!D:D,LogFY17!A:A,"=*maui_county_police*"),-1*SUMIFS(LogFY17!L:L,LogFY17!A:A,"=*maui_county_police*"),-1*SUMIFS(LogFY17!N:N,LogFY17!A:A,"=*maui_county_police*"))</f>
        <v>9</v>
      </c>
      <c r="V42" s="7">
        <f>U42/T42</f>
        <v>0.5</v>
      </c>
      <c r="W42" s="7">
        <f>V42-L42</f>
        <v>-4.0540540540540571E-2</v>
      </c>
      <c r="X42">
        <f>ROUND(SUMIFS(LogFY17!K:K,LogFY17!A:A,"=*maui_county_police*")/SUMIFS(LogFY17!J:J,LogFY17!A:A,"=*maui_county_police*"),0)</f>
        <v>12</v>
      </c>
      <c r="Y42">
        <f t="shared" si="64"/>
        <v>4</v>
      </c>
      <c r="Z42" s="1">
        <v>97</v>
      </c>
      <c r="AA42" s="1">
        <f t="shared" si="54"/>
        <v>44</v>
      </c>
      <c r="AD42">
        <f>SUMIFS(LogFY18!D:D,LogFY18!A:A,"=*maui_county_police*")</f>
        <v>7</v>
      </c>
      <c r="AE42">
        <f>SUM(SUMIFS(LogFY18!D:D,LogFY18!A:A,"=*maui_county_police*"),-1*SUMIFS(LogFY18!L:L,LogFY18!A:A,"=*maui_county_police*"),-1*SUMIFS(LogFY18!N:N,LogFY18!A:A,"=*maui_county_police*"))</f>
        <v>3</v>
      </c>
      <c r="AF42" s="7">
        <f t="shared" si="78"/>
        <v>0.42857142857142855</v>
      </c>
      <c r="AG42" s="7">
        <f t="shared" si="79"/>
        <v>-7.1428571428571452E-2</v>
      </c>
      <c r="AH42">
        <f>ROUND(SUMIFS(LogFY18!K:K,LogFY18!A:A,"=*maui_county_police*")/SUMIFS(LogFY18!J:J,LogFY18!A:A,"=*maui_county_police*"),0)</f>
        <v>13</v>
      </c>
      <c r="AI42">
        <f t="shared" si="80"/>
        <v>1</v>
      </c>
      <c r="AJ42" s="1">
        <v>26</v>
      </c>
      <c r="AK42" s="1">
        <f t="shared" si="81"/>
        <v>-71</v>
      </c>
      <c r="AN42">
        <f>SUMIFS(LogFY19!D:D,LogFY19!A:A,"=*maui_county_police*")</f>
        <v>21</v>
      </c>
      <c r="AO42">
        <f>SUM(SUMIFS(LogFY19!D:D,LogFY19!A:A,"=*maui_county_police*"),-1*SUMIFS(LogFY19!L:L,LogFY19!A:A,"=*maui_county_police*"),-1*SUMIFS(LogFY19!N:N,LogFY19!A:A,"=*maui_county_police*"))</f>
        <v>8</v>
      </c>
      <c r="AP42" s="7">
        <f t="shared" si="65"/>
        <v>0.38095238095238093</v>
      </c>
      <c r="AQ42" s="7">
        <f t="shared" si="66"/>
        <v>-4.7619047619047616E-2</v>
      </c>
      <c r="AR42">
        <f>ROUND(SUMIFS(LogFY19!K:K,LogFY19!A:A,"=*maui_county_police*")/SUMIFS(LogFY19!J:J,LogFY19!A:A,"=*maui_county_police*"),0)</f>
        <v>7</v>
      </c>
      <c r="AS42">
        <f t="shared" si="67"/>
        <v>-6</v>
      </c>
      <c r="AT42" s="1">
        <v>32</v>
      </c>
      <c r="AU42" s="1">
        <f t="shared" si="82"/>
        <v>6</v>
      </c>
      <c r="AX42">
        <f>SUMIFS(LogFY20!D:D,LogFY20!A:A,"=*maui_county_police*")</f>
        <v>22</v>
      </c>
      <c r="AY42">
        <f>SUM(SUMIFS(LogFY20!D:D,LogFY20!A:A,"=*maui_county_police*"),-1*SUMIFS(LogFY20!L:L,LogFY20!A:A,"=*maui_county_police*"),-1*SUMIFS(LogFY20!N:N,LogFY20!A:A,"=*maui_county_police*"))</f>
        <v>5</v>
      </c>
      <c r="AZ42" s="7">
        <f t="shared" si="68"/>
        <v>0.22727272727272727</v>
      </c>
      <c r="BA42" s="7">
        <f t="shared" si="69"/>
        <v>-0.15367965367965367</v>
      </c>
      <c r="BB42">
        <f>ROUND(SUMIFS(LogFY20!K:K,LogFY20!A:A,"=*maui_county_police*")/SUMIFS(LogFY20!J:J,LogFY20!A:A,"=*maui_county_police*"),0)</f>
        <v>9</v>
      </c>
      <c r="BC42">
        <f t="shared" si="70"/>
        <v>2</v>
      </c>
      <c r="BD42" s="1">
        <v>42</v>
      </c>
      <c r="BE42" s="1">
        <f t="shared" si="71"/>
        <v>10</v>
      </c>
      <c r="BH42">
        <f>SUMIFS(LogFY21!D:D,LogFY21!A:A,"=*maui_county_police*")</f>
        <v>17</v>
      </c>
      <c r="BI42">
        <f>SUM(SUMIFS(LogFY21!D:D,LogFY21!A:A,"=*maui_county_police*"),-1*SUMIFS(LogFY21!L:L,LogFY21!A:A,"=*maui_county_police*"),-1*SUMIFS(LogFY21!N:N,LogFY21!A:A,"=*maui_county_police*"))</f>
        <v>5</v>
      </c>
      <c r="BJ42" s="7">
        <f t="shared" si="55"/>
        <v>0.29411764705882354</v>
      </c>
      <c r="BK42" s="7">
        <f t="shared" si="56"/>
        <v>6.6844919786096274E-2</v>
      </c>
      <c r="BL42">
        <f>ROUND(SUMIFS(LogFY21!K:K,LogFY21!A:A,"=*maui_county_police*")/SUMIFS(LogFY21!J:J,LogFY21!A:A,"=*maui_county_police*"),0)</f>
        <v>24</v>
      </c>
      <c r="BM42">
        <f t="shared" si="57"/>
        <v>15</v>
      </c>
      <c r="BN42" s="1">
        <v>68</v>
      </c>
      <c r="BO42" s="1">
        <f t="shared" si="58"/>
        <v>26</v>
      </c>
      <c r="BR42">
        <f>SUMIFS(LogFY22!D:D,LogFY22!A:A,"=*maui_county_police*")</f>
        <v>22</v>
      </c>
      <c r="BS42">
        <f>SUM(SUMIFS(LogFY22!D:D,LogFY22!A:A,"=*maui_county_police*"),-1*SUMIFS(LogFY22!L:L,LogFY22!A:A,"=*maui_county_police*"),-1*SUMIFS(LogFY22!N:N,LogFY22!A:A,"=*maui_county_police*"))</f>
        <v>7</v>
      </c>
      <c r="BT42" s="7">
        <f t="shared" si="72"/>
        <v>0.31818181818181818</v>
      </c>
      <c r="BU42" s="7">
        <f t="shared" si="17"/>
        <v>2.4064171122994638E-2</v>
      </c>
      <c r="BV42">
        <f>ROUND(SUMIFS(LogFY22!K:K,LogFY22!A:A,"=*maui_county_police*")/SUMIFS(LogFY22!J:J,LogFY22!A:A,"=*maui_county_police*"),0)</f>
        <v>16</v>
      </c>
      <c r="BW42">
        <f t="shared" si="49"/>
        <v>-8</v>
      </c>
      <c r="BX42" s="1">
        <v>76</v>
      </c>
      <c r="BY42" s="1">
        <f t="shared" si="47"/>
        <v>8</v>
      </c>
      <c r="CB42">
        <f>SUMIFS(LogFY23!D:D,LogFY23!A:A,"=*maui_county_police*")</f>
        <v>58</v>
      </c>
      <c r="CC42">
        <f>SUM(SUMIFS(LogFY23!D:D,LogFY23!A:A,"=*maui_county_police*"),-1*SUMIFS(LogFY23!L:L,LogFY23!A:A,"=*maui_county_police*"),-1*SUMIFS(LogFY23!N:N,LogFY23!A:A,"=*maui_county_police*"))</f>
        <v>21</v>
      </c>
      <c r="CD42" s="7">
        <f t="shared" si="59"/>
        <v>0.36206896551724138</v>
      </c>
      <c r="CE42" s="7">
        <f t="shared" si="60"/>
        <v>4.3887147335423204E-2</v>
      </c>
      <c r="CF42">
        <f>ROUND(SUMIFS(LogFY23!K:K,LogFY23!A:A,"=*maui_county_police*")/SUMIFS(LogFY23!J:J,LogFY23!A:A,"=*maui_county_police*"),0)</f>
        <v>34</v>
      </c>
      <c r="CG42">
        <f t="shared" si="61"/>
        <v>18</v>
      </c>
      <c r="CH42" s="1">
        <v>184</v>
      </c>
      <c r="CI42" s="1">
        <f t="shared" si="74"/>
        <v>108</v>
      </c>
      <c r="CK42" s="7"/>
      <c r="CL42">
        <f>SUMIFS(LogFY24!D:D,LogFY24!A:A,"=*maui_county_police*")</f>
        <v>106</v>
      </c>
      <c r="CM42">
        <f>SUM(SUMIFS(LogFY24!D:D,LogFY24!A:A,"=*maui_county_police*"),-1*SUMIFS(LogFY24!L:L,LogFY24!A:A,"=*maui_county_police*"),-1*SUMIFS(LogFY24!N:N,LogFY24!A:A,"=*maui_county_police*"))</f>
        <v>42</v>
      </c>
      <c r="CN42" s="7">
        <f t="shared" si="73"/>
        <v>0.39622641509433965</v>
      </c>
      <c r="CO42" s="7">
        <f t="shared" si="75"/>
        <v>3.4157449577098264E-2</v>
      </c>
      <c r="CP42">
        <f>ROUND(SUMIFS(LogFY24!K:K,LogFY24!A:A,"=*maui_county_police*")/SUMIFS(LogFY24!J:J,LogFY24!A:A,"=*maui_county_police*"),0)</f>
        <v>47</v>
      </c>
      <c r="CQ42">
        <f t="shared" si="76"/>
        <v>13</v>
      </c>
      <c r="CR42" s="1">
        <v>151</v>
      </c>
      <c r="CS42" s="1">
        <f t="shared" si="27"/>
        <v>-33</v>
      </c>
    </row>
    <row r="43" spans="1:99" ht="16">
      <c r="A43" s="10">
        <f t="shared" si="77"/>
        <v>42</v>
      </c>
      <c r="B43" s="9" t="s">
        <v>17448</v>
      </c>
      <c r="C43">
        <f>SUMIFS(LogFY15!D:D,LogFY15!A:A,"=*kauai_county_police*")</f>
        <v>120</v>
      </c>
      <c r="D43">
        <f>SUM(SUMIFS(LogFY15!D:D,LogFY15!A:A,"=*kauai_county_police*"),-1*SUMIFS(LogFY15!L:L,LogFY15!A:A,"=*kauai_county_police*"),-1*SUMIFS(LogFY15!N:N,LogFY15!A:A,"=*kauai_county_police*"))</f>
        <v>20</v>
      </c>
      <c r="E43" s="7">
        <f>D43/C43</f>
        <v>0.16666666666666666</v>
      </c>
      <c r="F43">
        <f>ROUND(SUMIFS(LogFY15!K:K,LogFY15!A:A,"=*kauai_county_police*")/SUMIFS(LogFY15!J:J,LogFY15!A:A,"=*kauai_county_police*"),0)</f>
        <v>6</v>
      </c>
      <c r="G43" s="1">
        <v>84</v>
      </c>
      <c r="J43">
        <f>SUMIFS(LogFY16!D:D,LogFY16!A:A,"=*kauai_county_police*")</f>
        <v>114</v>
      </c>
      <c r="K43">
        <f>SUM(SUMIFS(LogFY16!D:D,LogFY16!A:A,"=*kauai_county_police*"),-1*SUMIFS(LogFY16!L:L,LogFY16!A:A,"=*kauai_county_police*"),-1*SUMIFS(LogFY16!N:N,LogFY16!A:A,"=*kauai_county_police*"))</f>
        <v>26</v>
      </c>
      <c r="L43" s="7">
        <f t="shared" si="50"/>
        <v>0.22807017543859648</v>
      </c>
      <c r="M43" s="7">
        <f t="shared" si="51"/>
        <v>6.1403508771929821E-2</v>
      </c>
      <c r="N43">
        <f>ROUND(SUMIFS(LogFY16!K:K,LogFY16!A:A,"=*kauai_county_police*")/SUMIFS(LogFY16!J:J,LogFY16!A:A,"=*kauai_county_police*"),0)</f>
        <v>5</v>
      </c>
      <c r="O43">
        <f t="shared" si="52"/>
        <v>-1</v>
      </c>
      <c r="P43" s="1">
        <v>59</v>
      </c>
      <c r="Q43" s="1">
        <f t="shared" si="53"/>
        <v>-25</v>
      </c>
      <c r="T43">
        <f>SUMIFS(LogFY17!D:D,LogFY17!A:A,"=*kauai_county_police*")</f>
        <v>16</v>
      </c>
      <c r="U43">
        <f>SUM(SUMIFS(LogFY17!D:D,LogFY17!A:A,"=*kauai_county_police*"),-1*SUMIFS(LogFY17!L:L,LogFY17!A:A,"=*kauai_county_police*"),-1*SUMIFS(LogFY17!N:N,LogFY17!A:A,"=*kauai_county_police*"))</f>
        <v>12</v>
      </c>
      <c r="V43" s="7">
        <f>U43/T43</f>
        <v>0.75</v>
      </c>
      <c r="W43" s="7">
        <f>V43-L43</f>
        <v>0.52192982456140347</v>
      </c>
      <c r="X43">
        <f>ROUND(SUMIFS(LogFY17!K:K,LogFY17!A:A,"=*kauai_county_police*")/SUMIFS(LogFY17!J:J,LogFY17!A:A,"=*kauai_county_police*"),0)</f>
        <v>8</v>
      </c>
      <c r="Y43">
        <f t="shared" si="64"/>
        <v>3</v>
      </c>
      <c r="Z43" s="1">
        <v>54</v>
      </c>
      <c r="AA43" s="1">
        <f t="shared" si="54"/>
        <v>-5</v>
      </c>
      <c r="AD43">
        <f>SUMIFS(LogFY18!D:D,LogFY18!A:A,"=*kauai_county_police*")</f>
        <v>39</v>
      </c>
      <c r="AE43">
        <f>SUM(SUMIFS(LogFY18!D:D,LogFY18!A:A,"=*kauai_county_police*"),-1*SUMIFS(LogFY18!L:L,LogFY18!A:A,"=*kauai_county_police*"),-1*SUMIFS(LogFY18!N:N,LogFY18!A:A,"=*kauai_county_police*"))</f>
        <v>34</v>
      </c>
      <c r="AF43" s="7">
        <f t="shared" si="78"/>
        <v>0.87179487179487181</v>
      </c>
      <c r="AG43" s="7">
        <f t="shared" si="79"/>
        <v>0.12179487179487181</v>
      </c>
      <c r="AH43">
        <f>ROUND(SUMIFS(LogFY18!K:K,LogFY18!A:A,"=*kauai_county_police*")/SUMIFS(LogFY18!J:J,LogFY18!A:A,"=*kauai_county_police*"),0)</f>
        <v>3</v>
      </c>
      <c r="AI43">
        <f t="shared" si="80"/>
        <v>-5</v>
      </c>
      <c r="AJ43" s="1">
        <v>14</v>
      </c>
      <c r="AK43" s="1">
        <f t="shared" si="81"/>
        <v>-40</v>
      </c>
      <c r="AN43">
        <f>SUMIFS(LogFY19!D:D,LogFY19!A:A,"=*kauai_county_police*")</f>
        <v>41</v>
      </c>
      <c r="AO43">
        <f>SUM(SUMIFS(LogFY19!D:D,LogFY19!A:A,"=*kauai_county_police*"),-1*SUMIFS(LogFY19!L:L,LogFY19!A:A,"=*kauai_county_police*"),-1*SUMIFS(LogFY19!N:N,LogFY19!A:A,"=*kauai_county_police*"))</f>
        <v>37</v>
      </c>
      <c r="AP43" s="7">
        <f t="shared" si="65"/>
        <v>0.90243902439024393</v>
      </c>
      <c r="AQ43" s="7">
        <f t="shared" si="66"/>
        <v>3.0644152595372121E-2</v>
      </c>
      <c r="AR43">
        <f>ROUND(SUMIFS(LogFY19!K:K,LogFY19!A:A,"=*kauai_county_police*")/SUMIFS(LogFY19!J:J,LogFY19!A:A,"=*kauai_county_police*"),0)</f>
        <v>5</v>
      </c>
      <c r="AS43">
        <f t="shared" si="67"/>
        <v>2</v>
      </c>
      <c r="AT43" s="1">
        <v>40</v>
      </c>
      <c r="AU43" s="1">
        <f t="shared" si="82"/>
        <v>26</v>
      </c>
      <c r="AX43">
        <f>SUMIFS(LogFY20!D:D,LogFY20!A:A,"=*kauai_county_police*")</f>
        <v>33</v>
      </c>
      <c r="AY43">
        <f>SUM(SUMIFS(LogFY20!D:D,LogFY20!A:A,"=*kauai_county_police*"),-1*SUMIFS(LogFY20!L:L,LogFY20!A:A,"=*kauai_county_police*"),-1*SUMIFS(LogFY20!N:N,LogFY20!A:A,"=*kauai_county_police*"))</f>
        <v>28</v>
      </c>
      <c r="AZ43" s="7">
        <f t="shared" si="68"/>
        <v>0.84848484848484851</v>
      </c>
      <c r="BA43" s="7">
        <f t="shared" si="69"/>
        <v>-5.3954175905395418E-2</v>
      </c>
      <c r="BB43">
        <f>ROUND(SUMIFS(LogFY20!K:K,LogFY20!A:A,"=*kauai_county_police*")/SUMIFS(LogFY20!J:J,LogFY20!A:A,"=*kauai_county_police*"),0)</f>
        <v>6</v>
      </c>
      <c r="BC43">
        <f t="shared" si="70"/>
        <v>1</v>
      </c>
      <c r="BD43" s="1">
        <v>31</v>
      </c>
      <c r="BE43" s="1">
        <f t="shared" si="71"/>
        <v>-9</v>
      </c>
      <c r="BH43">
        <f>SUMIFS(LogFY21!D:D,LogFY21!A:A,"=*kauai_county_police*")</f>
        <v>37</v>
      </c>
      <c r="BI43">
        <f>SUM(SUMIFS(LogFY21!D:D,LogFY21!A:A,"=*kauai_county_police*"),-1*SUMIFS(LogFY21!L:L,LogFY21!A:A,"=*kauai_county_police*"),-1*SUMIFS(LogFY21!N:N,LogFY21!A:A,"=*kauai_county_police*"))</f>
        <v>7</v>
      </c>
      <c r="BJ43" s="7">
        <f t="shared" si="55"/>
        <v>0.1891891891891892</v>
      </c>
      <c r="BK43" s="7">
        <f t="shared" si="56"/>
        <v>-0.65929565929565936</v>
      </c>
      <c r="BL43">
        <f>ROUND(SUMIFS(LogFY21!K:K,LogFY21!A:A,"=*kauai_county_police*")/SUMIFS(LogFY21!J:J,LogFY21!A:A,"=*kauai_county_police*"),0)</f>
        <v>4</v>
      </c>
      <c r="BM43">
        <f t="shared" si="57"/>
        <v>-2</v>
      </c>
      <c r="BN43" s="1">
        <v>17</v>
      </c>
      <c r="BO43" s="1">
        <f t="shared" si="58"/>
        <v>-14</v>
      </c>
      <c r="BR43">
        <f>SUMIFS(LogFY22!D:D,LogFY22!A:A,"=*kauai_county_police*")</f>
        <v>19</v>
      </c>
      <c r="BS43">
        <f>SUM(SUMIFS(LogFY22!D:D,LogFY22!A:A,"=*kauai_county_police*"),-1*SUMIFS(LogFY22!L:L,LogFY22!A:A,"=*kauai_county_police*"),-1*SUMIFS(LogFY22!N:N,LogFY22!A:A,"=*kauai_county_police*"))</f>
        <v>1</v>
      </c>
      <c r="BT43" s="7">
        <f t="shared" si="72"/>
        <v>5.2631578947368418E-2</v>
      </c>
      <c r="BU43" s="7">
        <f t="shared" si="17"/>
        <v>-0.13655761024182078</v>
      </c>
      <c r="BV43">
        <f>ROUND(SUMIFS(LogFY22!K:K,LogFY22!A:A,"=*kauai_county_police*")/SUMIFS(LogFY22!J:J,LogFY22!A:A,"=*kauai_county_police*"),0)</f>
        <v>5</v>
      </c>
      <c r="BW43">
        <f t="shared" si="49"/>
        <v>1</v>
      </c>
      <c r="BX43" s="1">
        <v>15</v>
      </c>
      <c r="BY43" s="1">
        <f t="shared" si="47"/>
        <v>-2</v>
      </c>
      <c r="CB43">
        <f>SUMIFS(LogFY23!D:D,LogFY23!A:A,"=*kauai_county_police*")</f>
        <v>27</v>
      </c>
      <c r="CC43">
        <f>SUM(SUMIFS(LogFY23!D:D,LogFY23!A:A,"=*kauai_county_police*"),-1*SUMIFS(LogFY23!L:L,LogFY23!A:A,"=*kauai_county_police*"),-1*SUMIFS(LogFY23!N:N,LogFY23!A:A,"=*kauai_county_police*"))</f>
        <v>3</v>
      </c>
      <c r="CD43" s="7">
        <f t="shared" si="59"/>
        <v>0.1111111111111111</v>
      </c>
      <c r="CE43" s="7">
        <f t="shared" si="60"/>
        <v>5.8479532163742687E-2</v>
      </c>
      <c r="CF43">
        <f>ROUND(SUMIFS(LogFY23!K:K,LogFY23!A:A,"=*kauai_county_police*")/SUMIFS(LogFY23!J:J,LogFY23!A:A,"=*kauai_county_police*"),0)</f>
        <v>10</v>
      </c>
      <c r="CG43">
        <f t="shared" si="61"/>
        <v>5</v>
      </c>
      <c r="CH43" s="1">
        <v>37</v>
      </c>
      <c r="CI43" s="1">
        <f t="shared" si="74"/>
        <v>22</v>
      </c>
      <c r="CK43" s="7"/>
      <c r="CL43">
        <f>SUMIFS(LogFY24!D:D,LogFY24!A:A,"=*kauai_county_police*")</f>
        <v>18</v>
      </c>
      <c r="CM43">
        <f>SUM(SUMIFS(LogFY24!D:D,LogFY24!A:A,"=*kauai_county_police*"),-1*SUMIFS(LogFY24!L:L,LogFY24!A:A,"=*kauai_county_police*"),-1*SUMIFS(LogFY24!N:N,LogFY24!A:A,"=*kauai_county_police*"))</f>
        <v>1</v>
      </c>
      <c r="CN43" s="7">
        <f t="shared" si="73"/>
        <v>5.5555555555555552E-2</v>
      </c>
      <c r="CO43" s="7">
        <f t="shared" si="75"/>
        <v>-5.5555555555555552E-2</v>
      </c>
      <c r="CP43">
        <f>ROUND(SUMIFS(LogFY24!K:K,LogFY24!A:A,"=*kauai_county_police*")/SUMIFS(LogFY24!J:J,LogFY24!A:A,"=*kauai_county_police*"),0)</f>
        <v>6</v>
      </c>
      <c r="CQ43">
        <f t="shared" si="76"/>
        <v>-4</v>
      </c>
      <c r="CR43" s="1">
        <v>33</v>
      </c>
      <c r="CS43" s="1">
        <f t="shared" si="27"/>
        <v>-4</v>
      </c>
    </row>
    <row r="44" spans="1:99" ht="16">
      <c r="A44" s="10">
        <f t="shared" si="77"/>
        <v>43</v>
      </c>
      <c r="B44" s="9" t="s">
        <v>17437</v>
      </c>
      <c r="C44">
        <f>SUMIFS(LogFY15!D:D,LogFY15!A:A,"=*hawaii_county_police*")</f>
        <v>0</v>
      </c>
      <c r="D44">
        <f>SUM(SUMIFS(LogFY15!D:D,LogFY15!A:A,"=*hawaii_county_police*"),-1*SUMIFS(LogFY15!L:L,LogFY15!A:A,"=*hawaii_county_police*"),-1*SUMIFS(LogFY15!N:N,LogFY15!A:A,"=*hawaii_county_police*"))</f>
        <v>0</v>
      </c>
      <c r="E44" s="7"/>
      <c r="G44" s="1"/>
      <c r="J44">
        <f>SUMIFS(LogFY16!D:D,LogFY16!A:A,"=*hawaii_county_police*")</f>
        <v>1</v>
      </c>
      <c r="K44">
        <f>SUM(SUMIFS(LogFY16!D:D,LogFY16!A:A,"=*hawaii_county_police*"),-1*SUMIFS(LogFY16!L:L,LogFY16!A:A,"=*hawaii_county_police*"),-1*SUMIFS(LogFY16!N:N,LogFY16!A:A,"=*hawaii_county_police*"))</f>
        <v>1</v>
      </c>
      <c r="L44" s="7">
        <f t="shared" si="50"/>
        <v>1</v>
      </c>
      <c r="M44" s="7">
        <f t="shared" si="51"/>
        <v>1</v>
      </c>
      <c r="N44">
        <f>ROUND(SUMIFS(LogFY16!K:K,LogFY16!A:A,"=*hawaii_county_police*")/SUMIFS(LogFY16!J:J,LogFY16!A:A,"=*hawaii_county_police*"),0)</f>
        <v>42</v>
      </c>
      <c r="O44">
        <f t="shared" si="52"/>
        <v>42</v>
      </c>
      <c r="P44" s="1">
        <v>42</v>
      </c>
      <c r="Q44" s="1">
        <f t="shared" si="53"/>
        <v>42</v>
      </c>
      <c r="T44">
        <f>SUMIFS(LogFY17!D:D,LogFY17!A:A,"=*hawaii_county_police*")</f>
        <v>0</v>
      </c>
      <c r="U44">
        <f>SUM(SUMIFS(LogFY17!D:D,LogFY17!A:A,"=*hawaii_county_police*"),-1*SUMIFS(LogFY17!L:L,LogFY17!A:A,"=*hawaii_county_police*"),-1*SUMIFS(LogFY17!N:N,LogFY17!A:A,"=*hawaii_county_police*"))</f>
        <v>0</v>
      </c>
      <c r="V44" s="7"/>
      <c r="W44" s="7"/>
      <c r="Z44" s="1"/>
      <c r="AA44" s="1">
        <f t="shared" si="54"/>
        <v>-42</v>
      </c>
      <c r="AD44">
        <f>SUMIFS(LogFY18!D:D,LogFY18!A:A,"=*hawaii_county_police*")</f>
        <v>0</v>
      </c>
      <c r="AE44">
        <f>SUM(SUMIFS(LogFY18!D:D,LogFY18!A:A,"=*hawaii_county_police*"),-1*SUMIFS(LogFY18!L:L,LogFY18!A:A,"=*hawaii_county_police*"),-1*SUMIFS(LogFY18!N:N,LogFY18!A:A,"=*hawaii_county_police*"))</f>
        <v>0</v>
      </c>
      <c r="AF44" s="7"/>
      <c r="AG44" s="7"/>
      <c r="AJ44" s="1"/>
      <c r="AK44" s="1"/>
      <c r="AN44">
        <f>SUMIFS(LogFY19!D:D,LogFY19!A:A,"=*hawaii_county_police*")</f>
        <v>0</v>
      </c>
      <c r="AO44">
        <f>SUM(SUMIFS(LogFY19!D:D,LogFY19!A:A,"=*hawaii_county_police*"),-1*SUMIFS(LogFY19!L:L,LogFY19!A:A,"=*hawaii_county_police*"),-1*SUMIFS(LogFY19!N:N,LogFY19!A:A,"=*hawaii_county_police*"))</f>
        <v>0</v>
      </c>
      <c r="AP44" s="7"/>
      <c r="AQ44" s="7"/>
      <c r="AT44" s="1"/>
      <c r="AU44" s="1"/>
      <c r="AX44">
        <f>SUMIFS(LogFY20!D:D,LogFY20!A:A,"=*hawaii_county_police*")</f>
        <v>0</v>
      </c>
      <c r="AY44">
        <f>SUM(SUMIFS(LogFY20!D:D,LogFY20!A:A,"=*hawaii_county_police*"),-1*SUMIFS(LogFY20!L:L,LogFY20!A:A,"=*hawaii_county_police*"),-1*SUMIFS(LogFY20!N:N,LogFY20!A:A,"=*hawaii_county_police*"))</f>
        <v>0</v>
      </c>
      <c r="AZ44" s="7"/>
      <c r="BA44" s="7"/>
      <c r="BD44" s="1"/>
      <c r="BE44" s="1"/>
      <c r="BH44">
        <f>SUMIFS(LogFY21!D:D,LogFY21!A:A,"=*hawaii_county_police*")</f>
        <v>0</v>
      </c>
      <c r="BI44">
        <f>SUM(SUMIFS(LogFY21!D:D,LogFY21!A:A,"=*hawaii_county_police*"),-1*SUMIFS(LogFY21!L:L,LogFY21!A:A,"=*hawaii_county_police*"),-1*SUMIFS(LogFY21!N:N,LogFY21!A:A,"=*hawaii_county_police*"))</f>
        <v>0</v>
      </c>
      <c r="BJ44" s="7"/>
      <c r="BK44" s="7"/>
      <c r="BN44" s="1"/>
      <c r="BO44" s="1"/>
      <c r="BR44">
        <f>SUMIFS(LogFY22!D:D,LogFY22!A:A,"=*hawaii_county_police*")</f>
        <v>1</v>
      </c>
      <c r="BS44">
        <f>SUM(SUMIFS(LogFY22!D:D,LogFY22!A:A,"=*hawaii_county_police*"),-1*SUMIFS(LogFY22!L:L,LogFY22!A:A,"=*hawaii_county_police*"),-1*SUMIFS(LogFY22!N:N,LogFY22!A:A,"=*hawaii_county_police*"))</f>
        <v>1</v>
      </c>
      <c r="BT44" s="7">
        <f t="shared" si="72"/>
        <v>1</v>
      </c>
      <c r="BU44" s="7">
        <f t="shared" si="17"/>
        <v>1</v>
      </c>
      <c r="BV44">
        <f>ROUND(SUMIFS(LogFY22!K:K,LogFY22!A:A,"=*hawaii_county_police*")/SUMIFS(LogFY22!J:J,LogFY22!A:A,"=*hawaii_county_police*"),0)</f>
        <v>2</v>
      </c>
      <c r="BW44">
        <f t="shared" si="49"/>
        <v>2</v>
      </c>
      <c r="BX44" s="1">
        <v>2</v>
      </c>
      <c r="BY44" s="1">
        <f t="shared" si="47"/>
        <v>2</v>
      </c>
      <c r="CB44">
        <f>SUMIFS(LogFY23!D:D,LogFY23!A:A,"=*hawaii_county_police*")</f>
        <v>4</v>
      </c>
      <c r="CC44">
        <f>SUM(SUMIFS(LogFY23!D:D,LogFY23!A:A,"=*hawaii_county_police*"),-1*SUMIFS(LogFY23!L:L,LogFY23!A:A,"=*hawaii_county_police*"),-1*SUMIFS(LogFY23!N:N,LogFY23!A:A,"=*hawaii_county_police*"))</f>
        <v>2</v>
      </c>
      <c r="CD44" s="7"/>
      <c r="CE44" s="7"/>
      <c r="CH44" s="1">
        <v>51</v>
      </c>
      <c r="CI44" s="1">
        <f t="shared" si="74"/>
        <v>49</v>
      </c>
      <c r="CK44" s="7"/>
      <c r="CL44">
        <f>SUMIFS(LogFY24!D:D,LogFY24!A:A,"=*hawaii_county_police*")</f>
        <v>10</v>
      </c>
      <c r="CM44">
        <f>SUM(SUMIFS(LogFY24!D:D,LogFY24!A:A,"=*hawaii_county_police*"),-1*SUMIFS(LogFY24!L:L,LogFY24!A:A,"=*hawaii_county_police*"),-1*SUMIFS(LogFY24!N:N,LogFY24!A:A,"=*hawaii_county_police*"))</f>
        <v>8</v>
      </c>
      <c r="CN44" s="7">
        <f t="shared" si="73"/>
        <v>0.8</v>
      </c>
      <c r="CO44" s="7">
        <f t="shared" si="75"/>
        <v>0.8</v>
      </c>
      <c r="CP44">
        <f>ROUND(SUMIFS(LogFY24!K:K,LogFY24!A:A,"=*hawaii_county_police*")/SUMIFS(LogFY24!J:J,LogFY24!A:A,"=*hawaii_county_police*"),0)</f>
        <v>8</v>
      </c>
      <c r="CQ44">
        <f t="shared" si="76"/>
        <v>8</v>
      </c>
      <c r="CR44" s="1">
        <v>40</v>
      </c>
      <c r="CS44" s="1">
        <f t="shared" si="27"/>
        <v>-11</v>
      </c>
    </row>
    <row r="45" spans="1:99" ht="16">
      <c r="A45" s="10">
        <f t="shared" si="77"/>
        <v>44</v>
      </c>
      <c r="B45" s="1" t="s">
        <v>16817</v>
      </c>
      <c r="C45">
        <f>SUMIFS(LogFY15!D:D,LogFY15!B:B,"=*prosecuting*")</f>
        <v>1</v>
      </c>
      <c r="D45">
        <f>SUM(SUMIFS(LogFY15!D:D,LogFY15!B:B,"=*prosecuting*"),-1*SUMIFS(LogFY15!L:L,LogFY15!B:B,"=*prosecuting*"),-1*SUMIFS(LogFY15!N:N,LogFY15!B:B,"=*prosecuting*"))</f>
        <v>0</v>
      </c>
      <c r="E45" s="7">
        <f t="shared" ref="E45:E54" si="83">D45/C45</f>
        <v>0</v>
      </c>
      <c r="F45">
        <f>ROUND(SUMIFS(LogFY15!K:K,LogFY15!B:B,"=*prosecuting*")/SUMIFS(LogFY15!J:J,LogFY15!B:B,"=*prosecuting*"),0)</f>
        <v>3</v>
      </c>
      <c r="G45" s="1">
        <v>3</v>
      </c>
      <c r="H45">
        <f>COUNTIFS(All!F:F,"=*pros*", All!B:B, "&gt;=7/1/2014", All!B:B,"&lt;=6/30/2015", All!E:E,"=U*",All!E:E,"&lt;&gt;UIPA*",All!E:E,"&lt;&gt;*RFO*",All!E:E,"&lt;&gt;*TRNG*")</f>
        <v>0</v>
      </c>
      <c r="I45" s="7">
        <f>ROUND(H45/C45,3)</f>
        <v>0</v>
      </c>
      <c r="J45">
        <f>SUMIFS(LogFY16!D:D,LogFY16!B:B,"=*prosecuting*")</f>
        <v>1</v>
      </c>
      <c r="K45">
        <f>SUM(SUMIFS(LogFY16!D:D,LogFY16!B:B,"=*prosecuting*"),-1*SUMIFS(LogFY16!L:L,LogFY16!B:B,"=*prosecuting*"),-1*SUMIFS(LogFY16!N:N,LogFY16!B:B,"=*prosecuting*"))</f>
        <v>0</v>
      </c>
      <c r="L45" s="7">
        <f t="shared" si="50"/>
        <v>0</v>
      </c>
      <c r="M45" s="7">
        <f t="shared" si="51"/>
        <v>0</v>
      </c>
      <c r="N45">
        <f>ROUND(SUMIFS(LogFY16!K:K,LogFY16!B:B,"=*prosecuting*")/SUMIFS(LogFY16!J:J,LogFY16!B:B,"=*prosecuting*"),0)</f>
        <v>11</v>
      </c>
      <c r="O45">
        <f t="shared" si="52"/>
        <v>8</v>
      </c>
      <c r="P45" s="1">
        <v>11</v>
      </c>
      <c r="Q45" s="1">
        <f t="shared" si="53"/>
        <v>8</v>
      </c>
      <c r="R45">
        <f>COUNTIFS(All!F:F,"=*pros*", All!B:B, "&gt;=7/1/2015", All!B:B,"&lt;=6/30/2016", All!E:E,"=U*",All!E:E,"&lt;&gt;UIPA*",All!E:E,"&lt;&gt;*RFO*",All!E:E,"&lt;&gt;*TRNG*")</f>
        <v>1</v>
      </c>
      <c r="S45" s="7">
        <f>ROUND(R45/(J45+C45),3)</f>
        <v>0.5</v>
      </c>
      <c r="T45">
        <f>SUMIFS(LogFY17!D:D,LogFY17!B:B,"=*prosecuting*")</f>
        <v>14</v>
      </c>
      <c r="U45">
        <f>SUM(SUMIFS(LogFY17!D:D,LogFY17!B:B,"=*prosecuting*"),-1*SUMIFS(LogFY17!L:L,LogFY17!B:B,"=*prosecuting*"),-1*SUMIFS(LogFY17!N:N,LogFY17!B:B,"=*prosecuting*"))</f>
        <v>9</v>
      </c>
      <c r="V45" s="7">
        <f t="shared" ref="V45:V76" si="84">U45/T45</f>
        <v>0.6428571428571429</v>
      </c>
      <c r="W45" s="7">
        <f t="shared" ref="W45:W76" si="85">V45-L45</f>
        <v>0.6428571428571429</v>
      </c>
      <c r="X45">
        <f>ROUND(SUMIFS(LogFY17!K:K,LogFY17!B:B,"=*prosecuting*")/SUMIFS(LogFY17!J:J,LogFY17!B:B,"=*prosecuting*"),0)</f>
        <v>17</v>
      </c>
      <c r="Y45">
        <f t="shared" ref="Y45:Y82" si="86">X45-N45</f>
        <v>6</v>
      </c>
      <c r="Z45" s="1">
        <v>56</v>
      </c>
      <c r="AA45" s="1">
        <f t="shared" si="54"/>
        <v>45</v>
      </c>
      <c r="AB45">
        <f>COUNTIFS(All!F:F,"=*pros*", All!B:B, "&gt;=7/1/2016", All!B:B,"&lt;=6/30/2017", All!E:E,"=U*",All!E:E,"&lt;&gt;UIPA*",All!E:E,"&lt;&gt;*RFO*",All!E:E,"&lt;&gt;*TRNG*")</f>
        <v>1</v>
      </c>
      <c r="AC45" s="7">
        <f>ROUND(AB45/(T45+J45),3)</f>
        <v>6.7000000000000004E-2</v>
      </c>
      <c r="AD45">
        <f>SUMIFS(LogFY18!D:D,LogFY18!B:B,"=*prosecuting*")</f>
        <v>4</v>
      </c>
      <c r="AE45">
        <f>SUM(SUMIFS(LogFY18!D:D,LogFY18!B:B,"=*prosecuting*"),-1*SUMIFS(LogFY18!L:L,LogFY18!B:B,"=*prosecuting*"),-1*SUMIFS(LogFY18!N:N,LogFY18!B:B,"=*prosecuting*"))</f>
        <v>1</v>
      </c>
      <c r="AF45" s="7">
        <f>AE45/AD45</f>
        <v>0.25</v>
      </c>
      <c r="AG45" s="7">
        <f>AF45-V45</f>
        <v>-0.3928571428571429</v>
      </c>
      <c r="AH45">
        <f>ROUND(SUMIFS(LogFY18!K:K,LogFY18!B:B,"=*prosecuting*")/SUMIFS(LogFY18!J:J,LogFY18!B:B,"=*prosecuting*"),0)</f>
        <v>10</v>
      </c>
      <c r="AI45">
        <f>AH45-X45</f>
        <v>-7</v>
      </c>
      <c r="AJ45" s="1">
        <v>19</v>
      </c>
      <c r="AK45" s="1">
        <f>AJ45-Z45</f>
        <v>-37</v>
      </c>
      <c r="AL45">
        <f>COUNTIFS(All!F:F,"=*pros*", All!B:B, "&gt;=7/1/2017", All!B:B,"&lt;=6/30/2018", All!E:E,"=U*",All!E:E,"&lt;&gt;UIPA*",All!E:E,"&lt;&gt;*RFO*",All!E:E,"&lt;&gt;*TRNG*")</f>
        <v>2</v>
      </c>
      <c r="AM45" s="7">
        <f>ROUND(AL45/(AD45+T45),3)</f>
        <v>0.111</v>
      </c>
      <c r="AN45">
        <f>SUMIFS(LogFY19!D:D,LogFY19!B:B,"=*prosecuting*")</f>
        <v>7</v>
      </c>
      <c r="AO45">
        <f>SUM(SUMIFS(LogFY19!D:D,LogFY19!B:B,"=*prosecuting*"),-1*SUMIFS(LogFY19!L:L,LogFY19!B:B,"=*prosecuting*"),-1*SUMIFS(LogFY19!N:N,LogFY19!B:B,"=*prosecuting*"))</f>
        <v>1</v>
      </c>
      <c r="AP45" s="7">
        <f>AO45/AN45</f>
        <v>0.14285714285714285</v>
      </c>
      <c r="AQ45" s="7">
        <f>AP45-AF45</f>
        <v>-0.10714285714285715</v>
      </c>
      <c r="AR45">
        <f>ROUND(SUMIFS(LogFY19!K:K,LogFY19!B:B,"=*prosecuting*")/SUMIFS(LogFY19!J:J,LogFY19!B:B,"=*prosecuting*"),0)</f>
        <v>9</v>
      </c>
      <c r="AS45">
        <f>AR45-AH45</f>
        <v>-1</v>
      </c>
      <c r="AT45" s="1">
        <v>22</v>
      </c>
      <c r="AU45" s="1">
        <f>AT45-AJ45</f>
        <v>3</v>
      </c>
      <c r="AV45">
        <f>COUNTIFS(All!F:F,"=*pros*", All!B:B, "&gt;=7/1/2018", All!B:B,"&lt;=6/30/2019", All!E:E,"=U*",All!E:E,"&lt;&gt;UIPA*",All!E:E,"&lt;&gt;*RFO*",All!E:E,"&lt;&gt;*TRNG*")</f>
        <v>2</v>
      </c>
      <c r="AW45" s="7">
        <f>ROUND(AV45/(AN45+AD45),3)</f>
        <v>0.182</v>
      </c>
      <c r="AX45">
        <f>SUMIFS(LogFY20!D:D,LogFY20!B:B,"=*prosecuting*")</f>
        <v>18</v>
      </c>
      <c r="AY45">
        <f>SUM(SUMIFS(LogFY20!D:D,LogFY20!B:B,"=*prosecuting*"),-1*SUMIFS(LogFY20!L:L,LogFY20!B:B,"=*prosecuting*"),-1*SUMIFS(LogFY20!N:N,LogFY20!B:B,"=*prosecuting*"))</f>
        <v>6</v>
      </c>
      <c r="AZ45" s="7">
        <f>AY45/AX45</f>
        <v>0.33333333333333331</v>
      </c>
      <c r="BA45" s="7">
        <f>AZ45-AP45</f>
        <v>0.19047619047619047</v>
      </c>
      <c r="BB45">
        <f>ROUND(SUMIFS(LogFY20!K:K,LogFY20!B:B,"=*prosecuting*")/SUMIFS(LogFY20!J:J,LogFY20!B:B,"=*prosecuting*"),0)</f>
        <v>13</v>
      </c>
      <c r="BC45">
        <f>BB45-AR45</f>
        <v>4</v>
      </c>
      <c r="BD45" s="1">
        <v>44</v>
      </c>
      <c r="BE45" s="1">
        <f>BD45-AT45</f>
        <v>22</v>
      </c>
      <c r="BF45">
        <f>COUNTIFS(All!F:F,"=*pros*", All!B:B, "&gt;=7/1/2019", All!B:B,"&lt;=6/30/2020", All!E:E,"=U*",All!E:E,"&lt;&gt;UIPA*",All!E:E,"&lt;&gt;*RFO*",All!E:E,"&lt;&gt;*TRNG*")</f>
        <v>0</v>
      </c>
      <c r="BG45" s="7">
        <f>ROUND(BF45/(AX45+AN45),3)</f>
        <v>0</v>
      </c>
      <c r="BH45">
        <f>SUMIFS(LogFY21!D:D,LogFY21!B:B,"=*prosecuting*")</f>
        <v>12</v>
      </c>
      <c r="BI45">
        <f>SUM(SUMIFS(LogFY21!D:D,LogFY21!B:B,"=*prosecuting*"),-1*SUMIFS(LogFY21!L:L,LogFY21!B:B,"=*prosecuting*"),-1*SUMIFS(LogFY21!N:N,LogFY21!B:B,"=*prosecuting*"))</f>
        <v>4</v>
      </c>
      <c r="BJ45" s="7">
        <f>BI45/BH45</f>
        <v>0.33333333333333331</v>
      </c>
      <c r="BK45" s="7">
        <f>BJ45-AZ45</f>
        <v>0</v>
      </c>
      <c r="BL45">
        <f>ROUND(SUMIFS(LogFY21!K:K,LogFY21!B:B,"=*prosecuting*")/SUMIFS(LogFY21!J:J,LogFY21!B:B,"=*prosecuting*"),0)</f>
        <v>20</v>
      </c>
      <c r="BM45">
        <f>BL45-BB45</f>
        <v>7</v>
      </c>
      <c r="BN45" s="1">
        <v>66</v>
      </c>
      <c r="BO45" s="1">
        <f>BN45-BD45</f>
        <v>22</v>
      </c>
      <c r="BP45">
        <f>COUNTIFS(All!F:F,"=*pros*", All!B:B, "&gt;=7/1/2020", All!B:B,"&lt;=6/30/2021", All!E:E,"=U*",All!E:E,"&lt;&gt;UIPA*",All!E:E,"&lt;&gt;*RFO*",All!E:E,"&lt;&gt;*TRNG*")</f>
        <v>0</v>
      </c>
      <c r="BQ45" s="7">
        <f>ROUND(BP45/(BH45+AX45),3)</f>
        <v>0</v>
      </c>
      <c r="BR45">
        <f>SUMIFS(LogFY22!D:D,LogFY22!B:B,"=*prosecuting*")</f>
        <v>12</v>
      </c>
      <c r="BS45">
        <f>SUM(SUMIFS(LogFY22!D:D,LogFY22!B:B,"=*prosecuting*"),-1*SUMIFS(LogFY22!L:L,LogFY22!B:B,"=*prosecuting*"),-1*SUMIFS(LogFY22!N:N,LogFY22!B:B,"=*prosecuting*"))</f>
        <v>4</v>
      </c>
      <c r="BT45" s="7">
        <f t="shared" si="72"/>
        <v>0.33333333333333331</v>
      </c>
      <c r="BU45" s="7">
        <f t="shared" si="17"/>
        <v>0</v>
      </c>
      <c r="BV45">
        <f>ROUND(SUMIFS(LogFY22!K:K,LogFY22!B:B,"=*prosecuting*")/SUMIFS(LogFY22!J:J,LogFY22!B:B,"=*prosecuting*"),0)</f>
        <v>22</v>
      </c>
      <c r="BW45">
        <f t="shared" si="49"/>
        <v>2</v>
      </c>
      <c r="BX45" s="1">
        <v>92</v>
      </c>
      <c r="BY45" s="1">
        <f t="shared" si="47"/>
        <v>26</v>
      </c>
      <c r="BZ45">
        <f>COUNTIFS(All!F:F,"=*pros*", All!B:B, "&gt;=7/1/2021", All!B:B,"&lt;=6/30/2022", All!E:E,"=U*",All!E:E,"&lt;&gt;UIPA*",All!E:E,"&lt;&gt;*RFO*",All!E:E,"&lt;&gt;*TRNG*")</f>
        <v>0</v>
      </c>
      <c r="CA45" s="7">
        <f>ROUND(BZ45/(BR45+BH45),3)</f>
        <v>0</v>
      </c>
      <c r="CB45">
        <f>SUMIFS(LogFY23!D:D,LogFY23!B:B,"=*prosecuting*")</f>
        <v>15</v>
      </c>
      <c r="CC45">
        <f>SUM(SUMIFS(LogFY23!D:D,LogFY23!B:B,"=*prosecuting*"),-1*SUMIFS(LogFY23!L:L,LogFY23!B:B,"=*prosecuting*"),-1*SUMIFS(LogFY23!N:N,LogFY23!B:B,"=*prosecuting*"))</f>
        <v>6</v>
      </c>
      <c r="CD45" s="7">
        <f>CC45/CB45</f>
        <v>0.4</v>
      </c>
      <c r="CE45" s="7">
        <f>CD45-BT45</f>
        <v>6.6666666666666707E-2</v>
      </c>
      <c r="CF45">
        <f>ROUND(SUMIFS(LogFY23!K:K,LogFY23!B:B,"=*prosecuting*")/SUMIFS(LogFY23!J:J,LogFY23!B:B,"=*prosecuting*"),0)</f>
        <v>14</v>
      </c>
      <c r="CG45">
        <f>CF45-BV45</f>
        <v>-8</v>
      </c>
      <c r="CH45" s="1">
        <v>42</v>
      </c>
      <c r="CI45" s="1">
        <f t="shared" si="74"/>
        <v>-50</v>
      </c>
      <c r="CJ45">
        <f>COUNTIFS(All!F:F,"=*pros*", All!B:B, "&gt;=7/1/2022", All!B:B,"&lt;=6/30/2023", All!E:E,"=U*",All!E:E,"&lt;&gt;UIPA*",All!E:E,"&lt;&gt;*RFO*",All!E:E,"&lt;&gt;*TRNG*")</f>
        <v>2</v>
      </c>
      <c r="CK45" s="7">
        <f>ROUND(CJ45/(CB45+BR45),3)</f>
        <v>7.3999999999999996E-2</v>
      </c>
      <c r="CL45">
        <f>SUMIFS(LogFY24!D:D,LogFY24!B:B,"=*prosecuting*")</f>
        <v>29</v>
      </c>
      <c r="CM45">
        <f>SUM(SUMIFS(LogFY24!D:D,LogFY24!B:B,"=*prosecuting*"),-1*SUMIFS(LogFY24!L:L,LogFY24!B:B,"=*prosecuting*"),-1*SUMIFS(LogFY24!N:N,LogFY24!B:B,"=*prosecuting*"))</f>
        <v>10</v>
      </c>
      <c r="CN45" s="7">
        <f t="shared" si="73"/>
        <v>0.34482758620689657</v>
      </c>
      <c r="CO45" s="7">
        <f t="shared" si="75"/>
        <v>-5.5172413793103448E-2</v>
      </c>
      <c r="CP45">
        <f>ROUND(SUMIFS(LogFY24!K:K,LogFY24!B:B,"=*prosecuting*")/SUMIFS(LogFY24!J:J,LogFY24!B:B,"=*prosecuting*"),0)</f>
        <v>5</v>
      </c>
      <c r="CQ45">
        <f t="shared" si="76"/>
        <v>-9</v>
      </c>
      <c r="CR45" s="1">
        <v>26</v>
      </c>
      <c r="CS45" s="1">
        <f t="shared" si="27"/>
        <v>-16</v>
      </c>
      <c r="CT45">
        <f>COUNTIFS(All!F:F,"=*pros*", All!B:B, "&gt;=7/1/2023", All!B:B,"&lt;=6/30/2024", All!E:E,"=U*",All!E:E,"&lt;&gt;UIPA*",All!E:E,"&lt;&gt;*RFO*",All!E:E,"&lt;&gt;*TRNG*")</f>
        <v>1</v>
      </c>
      <c r="CU45" s="7">
        <f>ROUND(CT45/(CL45+CB45),3)</f>
        <v>2.3E-2</v>
      </c>
    </row>
    <row r="46" spans="1:99" ht="16">
      <c r="A46" s="10">
        <f t="shared" si="77"/>
        <v>45</v>
      </c>
      <c r="B46" s="1" t="s">
        <v>16797</v>
      </c>
      <c r="C46">
        <f>SUM(SUMIFS(LogFY15!D:D,LogFY15!A:A,"=*works*"),SUMIFS(LogFY15!D:D,LogFY15!A:A,"=*construction*"))</f>
        <v>83</v>
      </c>
      <c r="D46">
        <f>SUM(SUMIFS(LogFY15!D:D,LogFY15!A:A,"=*works*"),SUMIFS(LogFY15!D:D,LogFY15!A:A,"=*construction*"),-1*SUMIFS(LogFY15!L:L,LogFY15!A:A,"=*works*"),-1*SUMIFS(LogFY15!L:L,LogFY15!A:A,"=*construction*"),-1*SUMIFS(LogFY15!N:N,LogFY15!A:A,"=*works*"),-1*SUMIFS(LogFY15!N:N,LogFY15!A:A,"=*construction*"))</f>
        <v>41</v>
      </c>
      <c r="E46" s="7">
        <f t="shared" si="83"/>
        <v>0.49397590361445781</v>
      </c>
      <c r="F46">
        <f>ROUND(SUM(SUMIFS(LogFY15!K:K,LogFY15!A:A,"=*works*"),SUMIFS(LogFY15!K:K,LogFY15!A:A,"=*construction*"))/SUM(SUMIFS(LogFY15!J:J,LogFY15!A:A,"=*works*"),SUMIFS(LogFY15!J:J,LogFY15!A:A,"=*construction*")),0)</f>
        <v>12</v>
      </c>
      <c r="G46" s="1">
        <v>71</v>
      </c>
      <c r="H46">
        <f>SUM(COUNTIFS(All!F:F,"=*DPW*", All!B:B, "&gt;=7/1/2014", All!B:B,"&lt;=6/30/2015", All!E:E,"=U*",All!E:E,"&lt;&gt;UIPA*",All!E:E,"&lt;&gt;*RFO*",All!E:E,"&lt;&gt;*TRNG*"),COUNTIFS(All!F:F,"=*DDC*", All!B:B, "&gt;=7/1/2014", All!B:B,"&lt;=6/30/2015", All!E:E,"=U*",All!E:E,"&lt;&gt;UIPA*",All!E:E,"&lt;&gt;*RFO*",All!E:E,"&lt;&gt;*TRNG*"),COUNTIFS(All!F:F,"=works*", All!B:B, "&gt;=7/1/2014", All!B:B,"&lt;=6/30/2015", All!E:E,"=U*",All!E:E,"&lt;&gt;UIPA*",All!E:E,"&lt;&gt;*RFO*",All!E:E,"&lt;&gt;*TRNG*"))</f>
        <v>1</v>
      </c>
      <c r="I46" s="7">
        <f>ROUND(H46/C46,3)</f>
        <v>1.2E-2</v>
      </c>
      <c r="J46">
        <f>SUM(SUMIFS(LogFY16!D:D,LogFY16!A:A,"=*works*"),SUMIFS(LogFY16!D:D,LogFY16!A:A,"=*construction*"))</f>
        <v>76</v>
      </c>
      <c r="K46">
        <f>SUM(SUMIFS(LogFY16!D:D,LogFY16!A:A,"=*works*"),SUMIFS(LogFY16!D:D,LogFY16!A:A,"=*construction*"),-1*SUMIFS(LogFY16!L:L,LogFY16!A:A,"=*works*"),-1*SUMIFS(LogFY16!L:L,LogFY16!A:A,"=*construction*"),-1*SUMIFS(LogFY16!N:N,LogFY16!A:A,"=*works*"),-1*SUMIFS(LogFY16!N:N,LogFY16!A:A,"=*construction*"))</f>
        <v>25</v>
      </c>
      <c r="L46" s="7">
        <f t="shared" si="50"/>
        <v>0.32894736842105265</v>
      </c>
      <c r="M46" s="7">
        <f t="shared" si="51"/>
        <v>-0.16502853519340516</v>
      </c>
      <c r="N46">
        <f>ROUND(SUM(SUMIFS(LogFY16!K:K,LogFY16!A:A,"=*works*"),SUMIFS(LogFY16!K:K,LogFY16!A:A,"=*construction*"))/SUM(SUMIFS(LogFY16!J:J,LogFY16!A:A,"=*works*"),SUMIFS(LogFY16!J:J,LogFY16!A:A,"=*construction*")),0)</f>
        <v>12</v>
      </c>
      <c r="O46">
        <f t="shared" si="52"/>
        <v>0</v>
      </c>
      <c r="P46" s="1">
        <v>86</v>
      </c>
      <c r="Q46" s="1">
        <f t="shared" si="53"/>
        <v>15</v>
      </c>
      <c r="R46">
        <f>SUM(COUNTIFS(All!F:F,"=*DPW*", All!B:B, "&gt;=7/1/2015", All!B:B,"&lt;=6/30/2016", All!E:E,"=U*",All!E:E,"&lt;&gt;UIPA*",All!E:E,"&lt;&gt;*RFO*",All!E:E,"&lt;&gt;*TRNG*"),COUNTIFS(All!F:F,"=*DDC*", All!B:B, "&gt;=7/1/2015", All!B:B,"&lt;=6/30/2016", All!E:E,"=U*",All!E:E,"&lt;&gt;UIPA*",All!E:E,"&lt;&gt;*RFO*",All!E:E,"&lt;&gt;*TRNG*"),COUNTIFS(All!F:F,"=works*", All!B:B, "&gt;=7/1/2015", All!B:B,"&lt;=6/30/2016", All!E:E,"=U*",All!E:E,"&lt;&gt;UIPA*",All!E:E,"&lt;&gt;*RFO*",All!E:E,"&lt;&gt;*TRNG*"))</f>
        <v>0</v>
      </c>
      <c r="S46" s="7">
        <f>ROUND(R46/(J46+C46),3)</f>
        <v>0</v>
      </c>
      <c r="T46">
        <f>SUM(SUMIFS(LogFY17!D:D,LogFY17!A:A,"=*works*"),SUMIFS(LogFY17!D:D,LogFY17!A:A,"=*construction*"))</f>
        <v>67</v>
      </c>
      <c r="U46">
        <f>SUM(SUMIFS(LogFY17!D:D,LogFY17!A:A,"=*works*"),SUMIFS(LogFY17!D:D,LogFY17!A:A,"=*construction*"),-1*SUMIFS(LogFY17!L:L,LogFY17!A:A,"=*works*"),-1*SUMIFS(LogFY17!L:L,LogFY17!A:A,"=*construction*"),-1*SUMIFS(LogFY17!N:N,LogFY17!A:A,"=*works*"),-1*SUMIFS(LogFY17!N:N,LogFY17!A:A,"=*construction*"))</f>
        <v>11</v>
      </c>
      <c r="V46" s="7">
        <f t="shared" si="84"/>
        <v>0.16417910447761194</v>
      </c>
      <c r="W46" s="7">
        <f t="shared" si="85"/>
        <v>-0.16476826394344071</v>
      </c>
      <c r="X46">
        <f>ROUND(SUM(SUMIFS(LogFY17!K:K,LogFY17!A:A,"=*works*"),SUMIFS(LogFY17!K:K,LogFY17!A:A,"=*construction*"))/SUM(SUMIFS(LogFY17!J:J,LogFY17!A:A,"=*works*"),SUMIFS(LogFY17!J:J,LogFY17!A:A,"=*construction*")),0)</f>
        <v>13</v>
      </c>
      <c r="Y46">
        <f t="shared" si="86"/>
        <v>1</v>
      </c>
      <c r="Z46" s="1">
        <v>77</v>
      </c>
      <c r="AA46" s="1">
        <f t="shared" si="54"/>
        <v>-9</v>
      </c>
      <c r="AB46">
        <f>SUM(COUNTIFS(All!F:F,"=*DPW*", All!B:B, "&gt;=7/1/2016", All!B:B,"&lt;=6/30/2017", All!E:E,"=U*",All!E:E,"&lt;&gt;UIPA*",All!E:E,"&lt;&gt;*RFO*",All!E:E,"&lt;&gt;*TRNG*"),COUNTIFS(All!F:F,"=*DDC*", All!B:B, "&gt;=7/1/2016", All!B:B,"&lt;=6/30/2017", All!E:E,"=U*",All!E:E,"&lt;&gt;UIPA*",All!E:E,"&lt;&gt;*RFO*",All!E:E,"&lt;&gt;*TRNG*"),COUNTIFS(All!F:F,"=works*", All!B:B, "&gt;=7/1/2016", All!B:B,"&lt;=6/30/2017", All!E:E,"=U*",All!E:E,"&lt;&gt;UIPA*",All!E:E,"&lt;&gt;*RFO*",All!E:E,"&lt;&gt;*TRNG*"))</f>
        <v>4</v>
      </c>
      <c r="AC46" s="7">
        <f>ROUND(AB46/(T46+J46),3)</f>
        <v>2.8000000000000001E-2</v>
      </c>
      <c r="AD46">
        <f>SUM(SUMIFS(LogFY18!D:D,LogFY18!A:A,"=*works*"),SUMIFS(LogFY18!D:D,LogFY18!A:A,"=*construction*"))</f>
        <v>102</v>
      </c>
      <c r="AE46">
        <f>SUM(SUMIFS(LogFY18!D:D,LogFY18!A:A,"=*works*"),SUMIFS(LogFY18!D:D,LogFY18!A:A,"=*construction*"),-1*SUMIFS(LogFY18!L:L,LogFY18!A:A,"=*works*"),-1*SUMIFS(LogFY18!L:L,LogFY18!A:A,"=*construction*"),-1*SUMIFS(LogFY18!N:N,LogFY18!A:A,"=*works*"),-1*SUMIFS(LogFY18!N:N,LogFY18!A:A,"=*construction*"))</f>
        <v>18</v>
      </c>
      <c r="AF46" s="7">
        <f>AE46/AD46</f>
        <v>0.17647058823529413</v>
      </c>
      <c r="AG46" s="7">
        <f>AF46-V46</f>
        <v>1.2291483757682187E-2</v>
      </c>
      <c r="AH46">
        <f>ROUND(SUM(SUMIFS(LogFY18!K:K,LogFY18!A:A,"=*works*"),SUMIFS(LogFY18!K:K,LogFY18!A:A,"=*construction*"))/SUM(SUMIFS(LogFY18!J:J,LogFY18!A:A,"=*works*"),SUMIFS(LogFY18!J:J,LogFY18!A:A,"=*construction*")),0)</f>
        <v>8</v>
      </c>
      <c r="AI46">
        <f>AH46-X46</f>
        <v>-5</v>
      </c>
      <c r="AJ46" s="1">
        <v>57</v>
      </c>
      <c r="AK46" s="1">
        <f>AJ46-Z46</f>
        <v>-20</v>
      </c>
      <c r="AL46">
        <f>SUM(COUNTIFS(All!F:F,"=*DPW*", All!B:B, "&gt;=7/1/2017", All!B:B,"&lt;=6/30/2018", All!E:E,"=U*",All!E:E,"&lt;&gt;UIPA*",All!E:E,"&lt;&gt;*RFO*",All!E:E,"&lt;&gt;*TRNG*"),COUNTIFS(All!F:F,"=*DDC*", All!B:B, "&gt;=7/1/2017", All!B:B,"&lt;=6/30/2018", All!E:E,"=U*",All!E:E,"&lt;&gt;UIPA*",All!E:E,"&lt;&gt;*RFO*",All!E:E,"&lt;&gt;*TRNG*"),COUNTIFS(All!F:F,"=works*", All!B:B, "&gt;=7/1/2017", All!B:B,"&lt;=6/30/2018", All!E:E,"=U*",All!E:E,"&lt;&gt;UIPA*",All!E:E,"&lt;&gt;*RFO*",All!E:E,"&lt;&gt;*TRNG*"))</f>
        <v>1</v>
      </c>
      <c r="AM46" s="7">
        <f>ROUND(AL46/(AD46+T46),3)</f>
        <v>6.0000000000000001E-3</v>
      </c>
      <c r="AN46">
        <f>SUM(SUMIFS(LogFY19!D:D,LogFY19!A:A,"=*works*"),SUMIFS(LogFY19!D:D,LogFY19!A:A,"=*construction*"))</f>
        <v>100</v>
      </c>
      <c r="AO46">
        <f>SUM(SUMIFS(LogFY19!D:D,LogFY19!A:A,"=*works*"),SUMIFS(LogFY19!D:D,LogFY19!A:A,"=*construction*"),-1*SUMIFS(LogFY19!L:L,LogFY19!A:A,"=*works*"),-1*SUMIFS(LogFY19!L:L,LogFY19!A:A,"=*construction*"),-1*SUMIFS(LogFY19!N:N,LogFY19!A:A,"=*works*"),-1*SUMIFS(LogFY19!N:N,LogFY19!A:A,"=*construction*"))</f>
        <v>20</v>
      </c>
      <c r="AP46" s="7">
        <f>AO46/AN46</f>
        <v>0.2</v>
      </c>
      <c r="AQ46" s="7">
        <f>AP46-AF46</f>
        <v>2.3529411764705882E-2</v>
      </c>
      <c r="AR46">
        <f>ROUND(SUM(SUMIFS(LogFY19!K:K,LogFY19!A:A,"=*works*"),SUMIFS(LogFY19!K:K,LogFY19!A:A,"=*construction*"))/SUM(SUMIFS(LogFY19!J:J,LogFY19!A:A,"=*works*"),SUMIFS(LogFY19!J:J,LogFY19!A:A,"=*construction*")),0)</f>
        <v>10</v>
      </c>
      <c r="AS46">
        <f>AR46-AH46</f>
        <v>2</v>
      </c>
      <c r="AT46" s="1">
        <v>55</v>
      </c>
      <c r="AU46" s="1">
        <f>AT46-AJ46</f>
        <v>-2</v>
      </c>
      <c r="AV46">
        <f>SUM(COUNTIFS(All!F:F,"=*DPW*", All!B:B, "&gt;=7/1/2018", All!B:B,"&lt;=6/30/2019", All!E:E,"=U*",All!E:E,"&lt;&gt;UIPA*",All!E:E,"&lt;&gt;*RFO*",All!E:E,"&lt;&gt;*TRNG*"),COUNTIFS(All!F:F,"=*DDC*", All!B:B, "&gt;=7/1/2018", All!B:B,"&lt;=6/30/2019", All!E:E,"=U*",All!E:E,"&lt;&gt;UIPA*",All!E:E,"&lt;&gt;*RFO*",All!E:E,"&lt;&gt;*TRNG*"),COUNTIFS(All!F:F,"=works*", All!B:B, "&gt;=7/1/2018", All!B:B,"&lt;=6/30/2019", All!E:E,"=U*",All!E:E,"&lt;&gt;UIPA*",All!E:E,"&lt;&gt;*RFO*",All!E:E,"&lt;&gt;*TRNG*"))</f>
        <v>2</v>
      </c>
      <c r="AW46" s="7">
        <f>ROUND(AV46/(AN46+AD46),3)</f>
        <v>0.01</v>
      </c>
      <c r="AX46">
        <f>SUM(SUMIFS(LogFY20!D:D,LogFY20!A:A,"=*works*"),SUMIFS(LogFY20!D:D,LogFY20!A:A,"=*construction*"))</f>
        <v>121</v>
      </c>
      <c r="AY46">
        <f>SUM(SUMIFS(LogFY20!D:D,LogFY20!A:A,"=*works*"),SUMIFS(LogFY20!D:D,LogFY20!A:A,"=*construction*"),-1*SUMIFS(LogFY20!L:L,LogFY20!A:A,"=*works*"),-1*SUMIFS(LogFY20!L:L,LogFY20!A:A,"=*construction*"),-1*SUMIFS(LogFY20!N:N,LogFY20!A:A,"=*works*"),-1*SUMIFS(LogFY20!N:N,LogFY20!A:A,"=*construction*"))</f>
        <v>34</v>
      </c>
      <c r="AZ46" s="7">
        <f>AY46/AX46</f>
        <v>0.28099173553719009</v>
      </c>
      <c r="BA46" s="7">
        <f>AZ46-AP46</f>
        <v>8.0991735537190079E-2</v>
      </c>
      <c r="BB46">
        <f>ROUND(SUM(SUMIFS(LogFY20!K:K,LogFY20!A:A,"=*works*"),SUMIFS(LogFY20!K:K,LogFY20!A:A,"=*construction*"))/SUM(SUMIFS(LogFY20!J:J,LogFY20!A:A,"=*works*"),SUMIFS(LogFY20!J:J,LogFY20!A:A,"=*construction*")),0)</f>
        <v>11</v>
      </c>
      <c r="BC46">
        <f>BB46-AR46</f>
        <v>1</v>
      </c>
      <c r="BD46" s="1">
        <v>80</v>
      </c>
      <c r="BE46" s="1">
        <f>BD46-AT46</f>
        <v>25</v>
      </c>
      <c r="BF46">
        <f>SUM(COUNTIFS(All!F:F,"=*DPW*", All!B:B, "&gt;=7/1/2019", All!B:B,"&lt;=6/30/2020", All!E:E,"=U*",All!E:E,"&lt;&gt;UIPA*",All!E:E,"&lt;&gt;*RFO*",All!E:E,"&lt;&gt;*TRNG*"),COUNTIFS(All!F:F,"=*DDC*", All!B:B, "&gt;=7/1/2019", All!B:B,"&lt;=6/30/2020", All!E:E,"=U*",All!E:E,"&lt;&gt;UIPA*",All!E:E,"&lt;&gt;*RFO*",All!E:E,"&lt;&gt;*TRNG*"),COUNTIFS(All!F:F,"=works*", All!B:B, "&gt;=7/1/2019", All!B:B,"&lt;=6/30/2020", All!E:E,"=U*",All!E:E,"&lt;&gt;UIPA*",All!E:E,"&lt;&gt;*RFO*",All!E:E,"&lt;&gt;*TRNG*"))</f>
        <v>7</v>
      </c>
      <c r="BG46" s="7">
        <f>ROUND(BF46/(AX46+AN46),3)</f>
        <v>3.2000000000000001E-2</v>
      </c>
      <c r="BH46">
        <f>SUM(SUMIFS(LogFY21!D:D,LogFY21!A:A,"=*works*"),SUMIFS(LogFY21!D:D,LogFY21!A:A,"=*construction*"))</f>
        <v>167</v>
      </c>
      <c r="BI46">
        <f>SUM(SUMIFS(LogFY21!D:D,LogFY21!A:A,"=*works*"),SUMIFS(LogFY21!D:D,LogFY21!A:A,"=*construction*"),-1*SUMIFS(LogFY21!L:L,LogFY21!A:A,"=*works*"),-1*SUMIFS(LogFY21!L:L,LogFY21!A:A,"=*construction*"),-1*SUMIFS(LogFY21!N:N,LogFY21!A:A,"=*works*"),-1*SUMIFS(LogFY21!N:N,LogFY21!A:A,"=*construction*"))</f>
        <v>24</v>
      </c>
      <c r="BJ46" s="7">
        <f>BI46/BH46</f>
        <v>0.1437125748502994</v>
      </c>
      <c r="BK46" s="7">
        <f>BJ46-AZ46</f>
        <v>-0.13727916068689069</v>
      </c>
      <c r="BL46">
        <f>ROUND(SUM(SUMIFS(LogFY21!K:K,LogFY21!A:A,"=*works*"),SUMIFS(LogFY21!K:K,LogFY21!A:A,"=*construction*"))/SUM(SUMIFS(LogFY21!J:J,LogFY21!A:A,"=*works*"),SUMIFS(LogFY21!J:J,LogFY21!A:A,"=*construction*")),0)</f>
        <v>9</v>
      </c>
      <c r="BM46">
        <f>BL46-BB46</f>
        <v>-2</v>
      </c>
      <c r="BN46" s="1">
        <v>64</v>
      </c>
      <c r="BO46" s="1">
        <f>BN46-BD46</f>
        <v>-16</v>
      </c>
      <c r="BP46">
        <f>SUM(COUNTIFS(All!F:F,"=*DPW*", All!B:B, "&gt;=7/1/2020", All!B:B,"&lt;=6/30/2021", All!E:E,"=U*",All!E:E,"&lt;&gt;UIPA*",All!E:E,"&lt;&gt;*RFO*",All!E:E,"&lt;&gt;*TRNG*"),COUNTIFS(All!F:F,"=*DDC*", All!B:B, "&gt;=7/1/2020", All!B:B,"&lt;=6/30/2021", All!E:E,"=U*",All!E:E,"&lt;&gt;UIPA*",All!E:E,"&lt;&gt;*RFO*",All!E:E,"&lt;&gt;*TRNG*"),COUNTIFS(All!F:F,"=works*", All!B:B, "&gt;=7/1/2020", All!B:B,"&lt;=6/30/2021", All!E:E,"=U*",All!E:E,"&lt;&gt;UIPA*",All!E:E,"&lt;&gt;*RFO*",All!E:E,"&lt;&gt;*TRNG*"))</f>
        <v>1</v>
      </c>
      <c r="BQ46" s="7">
        <f>ROUND(BP46/(BH46+AX46),3)</f>
        <v>3.0000000000000001E-3</v>
      </c>
      <c r="BR46">
        <f>SUM(SUMIFS(LogFY22!D:D,LogFY22!A:A,"=*works*"),SUMIFS(LogFY22!D:D,LogFY22!A:A,"=*construction*"))</f>
        <v>197</v>
      </c>
      <c r="BS46">
        <f>SUM(SUMIFS(LogFY22!D:D,LogFY22!A:A,"=*works*"),SUMIFS(LogFY22!D:D,LogFY22!A:A,"=*construction*"),-1*SUMIFS(LogFY22!L:L,LogFY22!A:A,"=*works*"),-1*SUMIFS(LogFY22!L:L,LogFY22!A:A,"=*construction*"),-1*SUMIFS(LogFY22!N:N,LogFY22!A:A,"=*works*"),-1*SUMIFS(LogFY22!N:N,LogFY22!A:A,"=*construction*"))</f>
        <v>52</v>
      </c>
      <c r="BT46" s="7">
        <f t="shared" si="72"/>
        <v>0.26395939086294418</v>
      </c>
      <c r="BU46" s="7">
        <f t="shared" si="17"/>
        <v>0.12024681601264478</v>
      </c>
      <c r="BV46">
        <f>ROUND(SUM(SUMIFS(LogFY22!K:K,LogFY22!A:A,"=*works*"),SUMIFS(LogFY22!K:K,LogFY22!A:A,"=*construction*"))/SUM(SUMIFS(LogFY22!J:J,LogFY22!A:A,"=*works*"),SUMIFS(LogFY22!J:J,LogFY22!A:A,"=*construction*")),0)</f>
        <v>3</v>
      </c>
      <c r="BW46">
        <f t="shared" si="49"/>
        <v>-6</v>
      </c>
      <c r="BX46" s="1">
        <v>73</v>
      </c>
      <c r="BY46" s="1">
        <f t="shared" si="47"/>
        <v>9</v>
      </c>
      <c r="BZ46">
        <f>SUM(COUNTIFS(All!F:F,"=*DPW*", All!B:B, "&gt;=7/1/2021", All!B:B,"&lt;=6/30/2022", All!E:E,"=U*",All!E:E,"&lt;&gt;UIPA*",All!E:E,"&lt;&gt;*RFO*",All!E:E,"&lt;&gt;*TRNG*"),COUNTIFS(All!F:F,"=*DDC*", All!B:B, "&gt;=7/1/2021", All!B:B,"&lt;=6/30/2022", All!E:E,"=U*",All!E:E,"&lt;&gt;UIPA*",All!E:E,"&lt;&gt;*RFO*",All!E:E,"&lt;&gt;*TRNG*"),COUNTIFS(All!F:F,"=works*", All!B:B, "&gt;=7/1/2021", All!B:B,"&lt;=6/30/2022", All!E:E,"=U*",All!E:E,"&lt;&gt;UIPA*",All!E:E,"&lt;&gt;*RFO*",All!E:E,"&lt;&gt;*TRNG*"))</f>
        <v>3</v>
      </c>
      <c r="CA46" s="7">
        <f>ROUND(BZ46/(BR46+BH46),3)</f>
        <v>8.0000000000000002E-3</v>
      </c>
      <c r="CB46">
        <f>SUM(SUMIFS(LogFY23!D:D,LogFY23!A:A,"=*works*"),SUMIFS(LogFY23!D:D,LogFY23!A:A,"=*construction*"))</f>
        <v>214</v>
      </c>
      <c r="CC46">
        <f>SUM(SUMIFS(LogFY23!D:D,LogFY23!A:A,"=*works*"),SUMIFS(LogFY23!D:D,LogFY23!A:A,"=*construction*"),-1*SUMIFS(LogFY23!L:L,LogFY23!A:A,"=*works*"),-1*SUMIFS(LogFY23!L:L,LogFY23!A:A,"=*construction*"),-1*SUMIFS(LogFY23!N:N,LogFY23!A:A,"=*works*"),-1*SUMIFS(LogFY23!N:N,LogFY23!A:A,"=*construction*"))</f>
        <v>72</v>
      </c>
      <c r="CD46" s="7">
        <f>CC46/CB46</f>
        <v>0.3364485981308411</v>
      </c>
      <c r="CE46" s="7">
        <f>CD46-BT46</f>
        <v>7.2489207267896927E-2</v>
      </c>
      <c r="CF46">
        <f>ROUND(SUM(SUMIFS(LogFY23!K:K,LogFY23!A:A,"=*works*"),SUMIFS(LogFY23!K:K,LogFY23!A:A,"=*construction*"))/SUM(SUMIFS(LogFY23!J:J,LogFY23!A:A,"=*works*"),SUMIFS(LogFY23!J:J,LogFY23!A:A,"=*construction*")),0)</f>
        <v>11</v>
      </c>
      <c r="CG46">
        <f>CF46-BV46</f>
        <v>8</v>
      </c>
      <c r="CH46" s="1">
        <v>132</v>
      </c>
      <c r="CI46" s="1">
        <f t="shared" si="74"/>
        <v>59</v>
      </c>
      <c r="CJ46">
        <f>SUM(COUNTIFS(All!F:F,"=*DPW*", All!B:B, "&gt;=7/1/2022", All!B:B,"&lt;=6/30/2023", All!E:E,"=U*",All!E:E,"&lt;&gt;UIPA*",All!E:E,"&lt;&gt;*RFO*",All!E:E,"&lt;&gt;*TRNG*"),COUNTIFS(All!F:F,"=*DDC*", All!B:B, "&gt;=7/1/2022", All!B:B,"&lt;=6/30/2023", All!E:E,"=U*",All!E:E,"&lt;&gt;UIPA*",All!E:E,"&lt;&gt;*RFO*",All!E:E,"&lt;&gt;*TRNG*"),COUNTIFS(All!F:F,"=works*", All!B:B, "&gt;=7/1/2022", All!B:B,"&lt;=6/30/2023", All!E:E,"=U*",All!E:E,"&lt;&gt;UIPA*",All!E:E,"&lt;&gt;*RFO*",All!E:E,"&lt;&gt;*TRNG*"))</f>
        <v>2</v>
      </c>
      <c r="CK46" s="7">
        <f>ROUND(CJ46/(CB46+BR46),3)</f>
        <v>5.0000000000000001E-3</v>
      </c>
      <c r="CL46">
        <f>SUM(SUMIFS(LogFY24!D:D,LogFY24!A:A,"=*works*"),SUMIFS(LogFY24!D:D,LogFY24!A:A,"=*construction*"))</f>
        <v>303</v>
      </c>
      <c r="CM46">
        <f>SUM(SUMIFS(LogFY24!D:D,LogFY24!A:A,"=*works*"),SUMIFS(LogFY24!D:D,LogFY24!A:A,"=*construction*"),-1*SUMIFS(LogFY24!L:L,LogFY24!A:A,"=*works*"),-1*SUMIFS(LogFY24!L:L,LogFY24!A:A,"=*construction*"),-1*SUMIFS(LogFY24!N:N,LogFY24!A:A,"=*works*"),-1*SUMIFS(LogFY24!N:N,LogFY24!A:A,"=*construction*"))</f>
        <v>198</v>
      </c>
      <c r="CN46" s="7">
        <f t="shared" si="73"/>
        <v>0.65346534653465349</v>
      </c>
      <c r="CO46" s="7">
        <f t="shared" si="75"/>
        <v>0.31701674840381239</v>
      </c>
      <c r="CP46">
        <f>ROUND(SUM(SUMIFS(LogFY24!K:K,LogFY24!A:A,"=*works*"),SUMIFS(LogFY24!K:K,LogFY24!A:A,"=*construction*"))/SUM(SUMIFS(LogFY24!J:J,LogFY24!A:A,"=*works*"),SUMIFS(LogFY24!J:J,LogFY24!A:A,"=*construction*")),0)</f>
        <v>10</v>
      </c>
      <c r="CQ46">
        <f t="shared" si="76"/>
        <v>-1</v>
      </c>
      <c r="CR46" s="1">
        <v>116</v>
      </c>
      <c r="CS46" s="1">
        <f t="shared" si="27"/>
        <v>-16</v>
      </c>
      <c r="CT46">
        <f>SUM(COUNTIFS(All!F:F,"=*DPW*", All!B:B, "&gt;=7/1/2023", All!B:B,"&lt;=6/30/2024", All!E:E,"=U*",All!E:E,"&lt;&gt;UIPA*",All!E:E,"&lt;&gt;*RFO*",All!E:E,"&lt;&gt;*TRNG*"),COUNTIFS(All!F:F,"=*DDC*", All!B:B, "&gt;=7/1/2023", All!B:B,"&lt;=6/30/2024", All!E:E,"=U*",All!E:E,"&lt;&gt;UIPA*",All!E:E,"&lt;&gt;*RFO*",All!E:E,"&lt;&gt;*TRNG*"),COUNTIFS(All!F:F,"=works*", All!B:B, "&gt;=7/1/2023", All!B:B,"&lt;=6/30/2024", All!E:E,"=U*",All!E:E,"&lt;&gt;UIPA*",All!E:E,"&lt;&gt;*RFO*",All!E:E,"&lt;&gt;*TRNG*"))</f>
        <v>0</v>
      </c>
      <c r="CU46" s="7">
        <f>ROUND(CT46/(CL46+CB46),3)</f>
        <v>0</v>
      </c>
    </row>
    <row r="47" spans="1:99" ht="16">
      <c r="A47" s="10">
        <f t="shared" si="77"/>
        <v>46</v>
      </c>
      <c r="B47" s="9" t="s">
        <v>17490</v>
      </c>
      <c r="C47">
        <f>SUMIFS(LogFY15!D:D,LogFY15!A:A,"=*honolulu_design*")</f>
        <v>16</v>
      </c>
      <c r="D47">
        <f>SUM(SUMIFS(LogFY15!D:D,LogFY15!A:A,"=*honolulu_design*"),-1*SUMIFS(LogFY15!L:L,LogFY15!A:A,"=*honolulu_design*"),-1*SUMIFS(LogFY15!N:N,LogFY15!A:A,"=*honolulu_design*"))</f>
        <v>7</v>
      </c>
      <c r="E47" s="7">
        <f t="shared" si="83"/>
        <v>0.4375</v>
      </c>
      <c r="F47">
        <f>ROUND(SUMIFS(LogFY15!K:K,LogFY15!A:A,"=*honolulu_design*")/SUMIFS(LogFY15!J:J,LogFY15!A:A,"=*honolulu_design*"),0)</f>
        <v>8</v>
      </c>
      <c r="G47" s="1">
        <v>44</v>
      </c>
      <c r="J47">
        <f>SUMIFS(LogFY16!D:D,LogFY16!A:A,"=*honolulu_design*")</f>
        <v>18</v>
      </c>
      <c r="K47">
        <f>SUM(SUMIFS(LogFY16!D:D,LogFY16!A:A,"=*honolulu_design*"),-1*SUMIFS(LogFY16!L:L,LogFY16!A:A,"=*honolulu_design*"),-1*SUMIFS(LogFY16!N:N,LogFY16!A:A,"=*honolulu_design*"))</f>
        <v>9</v>
      </c>
      <c r="L47" s="7">
        <f t="shared" si="50"/>
        <v>0.5</v>
      </c>
      <c r="M47" s="7">
        <f t="shared" si="51"/>
        <v>6.25E-2</v>
      </c>
      <c r="N47">
        <f>ROUND(SUMIFS(LogFY16!K:K,LogFY16!A:A,"=*honolulu_design*")/SUMIFS(LogFY16!J:J,LogFY16!A:A,"=*honolulu_design*"),0)</f>
        <v>7</v>
      </c>
      <c r="O47">
        <f t="shared" si="52"/>
        <v>-1</v>
      </c>
      <c r="P47" s="1">
        <v>30</v>
      </c>
      <c r="Q47" s="1">
        <f t="shared" si="53"/>
        <v>-14</v>
      </c>
      <c r="T47">
        <f>SUMIFS(LogFY17!D:D,LogFY17!A:A,"=*honolulu_design*")</f>
        <v>23</v>
      </c>
      <c r="U47">
        <f>SUM(SUMIFS(LogFY17!D:D,LogFY17!A:A,"=*honolulu_design*"),-1*SUMIFS(LogFY17!L:L,LogFY17!A:A,"=*honolulu_design*"),-1*SUMIFS(LogFY17!N:N,LogFY17!A:A,"=*honolulu_design*"))</f>
        <v>6</v>
      </c>
      <c r="V47" s="7">
        <f t="shared" si="84"/>
        <v>0.2608695652173913</v>
      </c>
      <c r="W47" s="7">
        <f t="shared" si="85"/>
        <v>-0.2391304347826087</v>
      </c>
      <c r="X47">
        <f>ROUND(SUMIFS(LogFY17!K:K,LogFY17!A:A,"=*honolulu_design*")/SUMIFS(LogFY17!J:J,LogFY17!A:A,"=*honolulu_design*"),0)</f>
        <v>19</v>
      </c>
      <c r="Y47">
        <f t="shared" si="86"/>
        <v>12</v>
      </c>
      <c r="Z47" s="1">
        <v>77</v>
      </c>
      <c r="AA47" s="1">
        <f t="shared" si="54"/>
        <v>47</v>
      </c>
      <c r="AD47">
        <f>SUMIFS(LogFY18!D:D,LogFY18!A:A,"=*honolulu_design*")</f>
        <v>16</v>
      </c>
      <c r="AE47">
        <f>SUM(SUMIFS(LogFY18!D:D,LogFY18!A:A,"=*honolulu_design*"),-1*SUMIFS(LogFY18!L:L,LogFY18!A:A,"=*honolulu_design*"),-1*SUMIFS(LogFY18!N:N,LogFY18!A:A,"=*honolulu_design*"))</f>
        <v>7</v>
      </c>
      <c r="AF47" s="7">
        <f>AE47/AD47</f>
        <v>0.4375</v>
      </c>
      <c r="AG47" s="7">
        <f>AF47-V47</f>
        <v>0.1766304347826087</v>
      </c>
      <c r="AH47">
        <f>ROUND(SUMIFS(LogFY18!K:K,LogFY18!A:A,"=*honolulu_design*")/SUMIFS(LogFY18!J:J,LogFY18!A:A,"=*honolulu_design*"),0)</f>
        <v>14</v>
      </c>
      <c r="AI47">
        <f>AH47-X47</f>
        <v>-5</v>
      </c>
      <c r="AJ47" s="1">
        <v>39</v>
      </c>
      <c r="AK47" s="1">
        <f>AJ47-Z47</f>
        <v>-38</v>
      </c>
      <c r="AN47">
        <f>SUMIFS(LogFY19!D:D,LogFY19!A:A,"=*honolulu_design*")</f>
        <v>15</v>
      </c>
      <c r="AO47">
        <f>SUM(SUMIFS(LogFY19!D:D,LogFY19!A:A,"=*honolulu_design*"),-1*SUMIFS(LogFY19!L:L,LogFY19!A:A,"=*honolulu_design*"),-1*SUMIFS(LogFY19!N:N,LogFY19!A:A,"=*honolulu_design*"))</f>
        <v>4</v>
      </c>
      <c r="AP47" s="7">
        <f>AO47/AN47</f>
        <v>0.26666666666666666</v>
      </c>
      <c r="AQ47" s="7">
        <f>AP47-AF47</f>
        <v>-0.17083333333333334</v>
      </c>
      <c r="AR47">
        <f>ROUND(SUMIFS(LogFY19!K:K,LogFY19!A:A,"=*honolulu_design*")/SUMIFS(LogFY19!J:J,LogFY19!A:A,"=*honolulu_design*"),0)</f>
        <v>7</v>
      </c>
      <c r="AS47">
        <f>AR47-AH47</f>
        <v>-7</v>
      </c>
      <c r="AT47" s="1">
        <v>20</v>
      </c>
      <c r="AU47" s="1">
        <f>AT47-AJ47</f>
        <v>-19</v>
      </c>
      <c r="AX47">
        <f>SUMIFS(LogFY20!D:D,LogFY20!A:A,"=*honolulu_design*")</f>
        <v>18</v>
      </c>
      <c r="AY47">
        <f>SUM(SUMIFS(LogFY20!D:D,LogFY20!A:A,"=*honolulu_design*"),-1*SUMIFS(LogFY20!L:L,LogFY20!A:A,"=*honolulu_design*"),-1*SUMIFS(LogFY20!N:N,LogFY20!A:A,"=*honolulu_design*"))</f>
        <v>5</v>
      </c>
      <c r="AZ47" s="7">
        <f>AY47/AX47</f>
        <v>0.27777777777777779</v>
      </c>
      <c r="BA47" s="7">
        <f>AZ47-AP47</f>
        <v>1.1111111111111127E-2</v>
      </c>
      <c r="BB47">
        <f>ROUND(SUMIFS(LogFY20!K:K,LogFY20!A:A,"=*honolulu_design*")/SUMIFS(LogFY20!J:J,LogFY20!A:A,"=*honolulu_design*"),0)</f>
        <v>16</v>
      </c>
      <c r="BC47">
        <f>BB47-AR47</f>
        <v>9</v>
      </c>
      <c r="BD47" s="1">
        <v>80</v>
      </c>
      <c r="BE47" s="1">
        <f>BD47-AT47</f>
        <v>60</v>
      </c>
      <c r="BH47">
        <f>SUMIFS(LogFY21!D:D,LogFY21!A:A,"=*honolulu_design*")</f>
        <v>18</v>
      </c>
      <c r="BI47">
        <f>SUM(SUMIFS(LogFY21!D:D,LogFY21!A:A,"=*honolulu_design*"),-1*SUMIFS(LogFY21!L:L,LogFY21!A:A,"=*honolulu_design*"),-1*SUMIFS(LogFY21!N:N,LogFY21!A:A,"=*honolulu_design*"))</f>
        <v>5</v>
      </c>
      <c r="BJ47" s="7">
        <f>BI47/BH47</f>
        <v>0.27777777777777779</v>
      </c>
      <c r="BK47" s="7">
        <f>BJ47-AZ47</f>
        <v>0</v>
      </c>
      <c r="BL47">
        <f>ROUND(SUMIFS(LogFY21!K:K,LogFY21!A:A,"=*honolulu_design*")/SUMIFS(LogFY21!J:J,LogFY21!A:A,"=*honolulu_design*"),0)</f>
        <v>14</v>
      </c>
      <c r="BM47">
        <f>BL47-BB47</f>
        <v>-2</v>
      </c>
      <c r="BN47" s="1">
        <v>64</v>
      </c>
      <c r="BO47" s="1">
        <f>BN47-BD47</f>
        <v>-16</v>
      </c>
      <c r="BR47">
        <f>SUMIFS(LogFY22!D:D,LogFY22!A:A,"=*honolulu_design*")</f>
        <v>13</v>
      </c>
      <c r="BS47">
        <f>SUM(SUMIFS(LogFY22!D:D,LogFY22!A:A,"=*honolulu_design*"),-1*SUMIFS(LogFY22!L:L,LogFY22!A:A,"=*honolulu_design*"),-1*SUMIFS(LogFY22!N:N,LogFY22!A:A,"=*honolulu_design*"))</f>
        <v>3</v>
      </c>
      <c r="BT47" s="7">
        <f t="shared" si="72"/>
        <v>0.23076923076923078</v>
      </c>
      <c r="BU47" s="7">
        <f t="shared" si="17"/>
        <v>-4.7008547008547008E-2</v>
      </c>
      <c r="BV47">
        <f>ROUND(SUMIFS(LogFY22!K:K,LogFY22!A:A,"=*honolulu_design*")/SUMIFS(LogFY22!J:J,LogFY22!A:A,"=*honolulu_design*"),0)</f>
        <v>20</v>
      </c>
      <c r="BW47">
        <f t="shared" si="49"/>
        <v>6</v>
      </c>
      <c r="BX47" s="1">
        <v>73</v>
      </c>
      <c r="BY47" s="1">
        <f t="shared" si="47"/>
        <v>9</v>
      </c>
      <c r="CB47">
        <f>SUMIFS(LogFY23!D:D,LogFY23!A:A,"=*honolulu_design*")</f>
        <v>14</v>
      </c>
      <c r="CC47">
        <f>SUM(SUMIFS(LogFY23!D:D,LogFY23!A:A,"=*honolulu_design*"),-1*SUMIFS(LogFY23!L:L,LogFY23!A:A,"=*honolulu_design*"),-1*SUMIFS(LogFY23!N:N,LogFY23!A:A,"=*honolulu_design*"))</f>
        <v>9</v>
      </c>
      <c r="CD47" s="7">
        <f>CC47/CB47</f>
        <v>0.6428571428571429</v>
      </c>
      <c r="CE47" s="7">
        <f>CD47-BT47</f>
        <v>0.41208791208791212</v>
      </c>
      <c r="CF47">
        <f>ROUND(SUMIFS(LogFY23!K:K,LogFY23!A:A,"=*honolulu_design*")/SUMIFS(LogFY23!J:J,LogFY23!A:A,"=*honolulu_design*"),0)</f>
        <v>21</v>
      </c>
      <c r="CG47">
        <f>CF47-BV47</f>
        <v>1</v>
      </c>
      <c r="CH47" s="1">
        <v>130</v>
      </c>
      <c r="CI47" s="1">
        <f t="shared" si="74"/>
        <v>57</v>
      </c>
      <c r="CK47" s="7"/>
      <c r="CL47">
        <f>SUMIFS(LogFY24!D:D,LogFY24!A:A,"=*honolulu_design*")</f>
        <v>15</v>
      </c>
      <c r="CM47">
        <f>SUM(SUMIFS(LogFY24!D:D,LogFY24!A:A,"=*honolulu_design*"),-1*SUMIFS(LogFY24!L:L,LogFY24!A:A,"=*honolulu_design*"),-1*SUMIFS(LogFY24!N:N,LogFY24!A:A,"=*honolulu_design*"))</f>
        <v>3</v>
      </c>
      <c r="CN47" s="7">
        <f t="shared" si="73"/>
        <v>0.2</v>
      </c>
      <c r="CO47" s="7">
        <f t="shared" si="75"/>
        <v>-0.44285714285714289</v>
      </c>
      <c r="CP47">
        <f>ROUND(SUMIFS(LogFY24!K:K,LogFY24!A:A,"=*honolulu_design*")/SUMIFS(LogFY24!J:J,LogFY24!A:A,"=*honolulu_design*"),0)</f>
        <v>33</v>
      </c>
      <c r="CQ47">
        <f t="shared" si="76"/>
        <v>12</v>
      </c>
      <c r="CR47" s="1">
        <v>116</v>
      </c>
      <c r="CS47" s="1">
        <f t="shared" si="27"/>
        <v>-14</v>
      </c>
    </row>
    <row r="48" spans="1:99" ht="16">
      <c r="A48" s="10">
        <f t="shared" si="77"/>
        <v>47</v>
      </c>
      <c r="B48" s="9" t="s">
        <v>17438</v>
      </c>
      <c r="C48">
        <f>SUMIFS(LogFY15!D:D,LogFY15!A:A,"=*maui_county_public*")</f>
        <v>5</v>
      </c>
      <c r="D48">
        <f>SUM(SUMIFS(LogFY15!D:D,LogFY15!A:A,"=*maui_county_public*"),-1*SUMIFS(LogFY15!L:L,LogFY15!A:A,"=*maui_county_public*"),-1*SUMIFS(LogFY15!N:N,LogFY15!A:A,"=*maui_county_public*"))</f>
        <v>3</v>
      </c>
      <c r="E48" s="7">
        <f t="shared" si="83"/>
        <v>0.6</v>
      </c>
      <c r="F48">
        <f>ROUND(SUMIFS(LogFY15!K:K,LogFY15!A:A,"=*maui_county_public*")/SUMIFS(LogFY15!J:J,LogFY15!A:A,"=*maui_county_public*"),0)</f>
        <v>10</v>
      </c>
      <c r="G48" s="1">
        <v>15</v>
      </c>
      <c r="J48">
        <f>SUMIFS(LogFY16!D:D,LogFY16!A:A,"=*maui_county_public*")</f>
        <v>3</v>
      </c>
      <c r="K48">
        <f>SUM(SUMIFS(LogFY16!D:D,LogFY16!A:A,"=*maui_county_public*"),-1*SUMIFS(LogFY16!L:L,LogFY16!A:A,"=*maui_county_public*"),-1*SUMIFS(LogFY16!N:N,LogFY16!A:A,"=*maui_county_public*"))</f>
        <v>0</v>
      </c>
      <c r="L48" s="7">
        <f t="shared" si="50"/>
        <v>0</v>
      </c>
      <c r="M48" s="7">
        <f t="shared" si="51"/>
        <v>-0.6</v>
      </c>
      <c r="N48">
        <f>ROUND(SUMIFS(LogFY16!K:K,LogFY16!A:A,"=*maui_county_public*")/SUMIFS(LogFY16!J:J,LogFY16!A:A,"=*maui_county_public*"),0)</f>
        <v>55</v>
      </c>
      <c r="O48">
        <f t="shared" si="52"/>
        <v>45</v>
      </c>
      <c r="P48" s="1">
        <v>86</v>
      </c>
      <c r="Q48" s="1">
        <f t="shared" si="53"/>
        <v>71</v>
      </c>
      <c r="T48">
        <f>SUMIFS(LogFY17!D:D,LogFY17!A:A,"=*maui_county_public*")</f>
        <v>1</v>
      </c>
      <c r="U48">
        <f>SUM(SUMIFS(LogFY17!D:D,LogFY17!A:A,"=*maui_county_public*"),-1*SUMIFS(LogFY17!L:L,LogFY17!A:A,"=*maui_county_public*"),-1*SUMIFS(LogFY17!N:N,LogFY17!A:A,"=*maui_county_public*"))</f>
        <v>0</v>
      </c>
      <c r="V48" s="7">
        <f t="shared" si="84"/>
        <v>0</v>
      </c>
      <c r="W48" s="7">
        <f t="shared" si="85"/>
        <v>0</v>
      </c>
      <c r="X48">
        <f>ROUND(SUMIFS(LogFY17!K:K,LogFY17!A:A,"=*maui_county_public*")/SUMIFS(LogFY17!J:J,LogFY17!A:A,"=*maui_county_public*"),0)</f>
        <v>10</v>
      </c>
      <c r="Y48">
        <f t="shared" si="86"/>
        <v>-45</v>
      </c>
      <c r="Z48" s="1">
        <v>10</v>
      </c>
      <c r="AA48" s="1">
        <f t="shared" si="54"/>
        <v>-76</v>
      </c>
      <c r="AD48">
        <f>SUMIFS(LogFY18!D:D,LogFY18!A:A,"=*maui_county_public*")</f>
        <v>0</v>
      </c>
      <c r="AE48">
        <f>SUM(SUMIFS(LogFY18!D:D,LogFY18!A:A,"=*maui_county_public*"),-1*SUMIFS(LogFY18!L:L,LogFY18!A:A,"=*maui_county_public*"),-1*SUMIFS(LogFY18!N:N,LogFY18!A:A,"=*maui_county_public*"))</f>
        <v>0</v>
      </c>
      <c r="AF48" s="7"/>
      <c r="AG48" s="7"/>
      <c r="AJ48" s="1"/>
      <c r="AK48" s="1"/>
      <c r="AN48">
        <f>SUMIFS(LogFY19!D:D,LogFY19!A:A,"=*maui_county_public*")</f>
        <v>0</v>
      </c>
      <c r="AO48">
        <f>SUM(SUMIFS(LogFY19!D:D,LogFY19!A:A,"=*maui_county_public*"),-1*SUMIFS(LogFY19!L:L,LogFY19!A:A,"=*maui_county_public*"),-1*SUMIFS(LogFY19!N:N,LogFY19!A:A,"=*maui_county_public*"))</f>
        <v>0</v>
      </c>
      <c r="AP48" s="7"/>
      <c r="AQ48" s="7"/>
      <c r="AT48" s="1"/>
      <c r="AU48" s="1"/>
      <c r="AX48">
        <f>SUMIFS(LogFY20!D:D,LogFY20!A:A,"=*maui_county_public*")</f>
        <v>0</v>
      </c>
      <c r="AY48">
        <f>SUM(SUMIFS(LogFY20!D:D,LogFY20!A:A,"=*maui_county_public*"),-1*SUMIFS(LogFY20!L:L,LogFY20!A:A,"=*maui_county_public*"),-1*SUMIFS(LogFY20!N:N,LogFY20!A:A,"=*maui_county_public*"))</f>
        <v>0</v>
      </c>
      <c r="AZ48" s="7"/>
      <c r="BA48" s="7"/>
      <c r="BD48" s="1"/>
      <c r="BE48" s="1"/>
      <c r="BH48">
        <f>SUMIFS(LogFY21!D:D,LogFY21!A:A,"=*maui_county_public*")</f>
        <v>0</v>
      </c>
      <c r="BI48">
        <f>SUM(SUMIFS(LogFY21!D:D,LogFY21!A:A,"=*maui_county_public*"),-1*SUMIFS(LogFY21!L:L,LogFY21!A:A,"=*maui_county_public*"),-1*SUMIFS(LogFY21!N:N,LogFY21!A:A,"=*maui_county_public*"))</f>
        <v>0</v>
      </c>
      <c r="BJ48" s="7"/>
      <c r="BK48" s="7"/>
      <c r="BN48" s="1"/>
      <c r="BO48" s="1"/>
      <c r="BR48">
        <f>SUMIFS(LogFY22!D:D,LogFY22!A:A,"=*maui_county_public*")</f>
        <v>0</v>
      </c>
      <c r="BS48">
        <f>SUM(SUMIFS(LogFY22!D:D,LogFY22!A:A,"=*maui_county_public*"),-1*SUMIFS(LogFY22!L:L,LogFY22!A:A,"=*maui_county_public*"),-1*SUMIFS(LogFY22!N:N,LogFY22!A:A,"=*maui_county_public*"))</f>
        <v>0</v>
      </c>
      <c r="BT48" s="7"/>
      <c r="BU48" s="7"/>
      <c r="BX48" s="1">
        <v>0</v>
      </c>
      <c r="BY48" s="1">
        <v>0</v>
      </c>
      <c r="CB48">
        <f>SUMIFS(LogFY23!D:D,LogFY23!A:A,"=*maui_county_public*")</f>
        <v>6</v>
      </c>
      <c r="CC48">
        <f>SUM(SUMIFS(LogFY23!D:D,LogFY23!A:A,"=*maui_county_public*"),-1*SUMIFS(LogFY23!L:L,LogFY23!A:A,"=*maui_county_public*"),-1*SUMIFS(LogFY23!N:N,LogFY23!A:A,"=*maui_county_public*"))</f>
        <v>5</v>
      </c>
      <c r="CD48" s="7"/>
      <c r="CE48" s="7"/>
      <c r="CH48" s="1">
        <v>37</v>
      </c>
      <c r="CI48" s="1">
        <f t="shared" si="74"/>
        <v>37</v>
      </c>
      <c r="CK48" s="7"/>
      <c r="CL48">
        <f>SUMIFS(LogFY24!D:D,LogFY24!A:A,"=*maui_county_public*")</f>
        <v>23</v>
      </c>
      <c r="CM48">
        <f>SUM(SUMIFS(LogFY24!D:D,LogFY24!A:A,"=*maui_county_public*"),-1*SUMIFS(LogFY24!L:L,LogFY24!A:A,"=*maui_county_public*"),-1*SUMIFS(LogFY24!N:N,LogFY24!A:A,"=*maui_county_public*"))</f>
        <v>23</v>
      </c>
      <c r="CN48" s="7">
        <f t="shared" si="73"/>
        <v>1</v>
      </c>
      <c r="CO48" s="7">
        <f t="shared" si="75"/>
        <v>1</v>
      </c>
      <c r="CP48">
        <f>ROUND(SUMIFS(LogFY24!K:K,LogFY24!A:A,"=*maui_county_public*")/SUMIFS(LogFY24!J:J,LogFY24!A:A,"=*maui_county_public*"),0)</f>
        <v>0</v>
      </c>
      <c r="CQ48">
        <f t="shared" si="76"/>
        <v>0</v>
      </c>
      <c r="CR48" s="1"/>
      <c r="CS48" s="1">
        <v>0</v>
      </c>
    </row>
    <row r="49" spans="1:99" ht="16">
      <c r="A49" s="10">
        <f t="shared" si="77"/>
        <v>48</v>
      </c>
      <c r="B49" s="9" t="s">
        <v>17449</v>
      </c>
      <c r="C49">
        <f>SUMIFS(LogFY15!D:D,LogFY15!A:A,"=*kauai_county_public*")</f>
        <v>11</v>
      </c>
      <c r="D49">
        <f>SUM(SUMIFS(LogFY15!D:D,LogFY15!A:A,"=*kauai_county_public*"),-1*SUMIFS(LogFY15!L:L,LogFY15!A:A,"=*kauai_county_public*"),-1*SUMIFS(LogFY15!N:N,LogFY15!A:A,"=*kauai_county_public*"))</f>
        <v>0</v>
      </c>
      <c r="E49" s="7">
        <f t="shared" si="83"/>
        <v>0</v>
      </c>
      <c r="F49">
        <f>ROUND(SUMIFS(LogFY15!K:K,LogFY15!A:A,"=*kauai_county_public*")/SUMIFS(LogFY15!J:J,LogFY15!A:A,"=*kauai_county_public*"),0)</f>
        <v>7</v>
      </c>
      <c r="G49" s="1">
        <v>18</v>
      </c>
      <c r="J49">
        <f>SUMIFS(LogFY16!D:D,LogFY16!A:A,"=*kauai_county_public*")</f>
        <v>2</v>
      </c>
      <c r="K49">
        <f>SUM(SUMIFS(LogFY16!D:D,LogFY16!A:A,"=*kauai_county_public*"),-1*SUMIFS(LogFY16!L:L,LogFY16!A:A,"=*kauai_county_public*"),-1*SUMIFS(LogFY16!N:N,LogFY16!A:A,"=*kauai_county_public*"))</f>
        <v>1</v>
      </c>
      <c r="L49" s="7">
        <f t="shared" si="50"/>
        <v>0.5</v>
      </c>
      <c r="M49" s="7">
        <f t="shared" si="51"/>
        <v>0.5</v>
      </c>
      <c r="N49">
        <f>ROUND(SUMIFS(LogFY16!K:K,LogFY16!A:A,"=*kauai_county_public*")/SUMIFS(LogFY16!J:J,LogFY16!A:A,"=*kauai_county_public*"),0)</f>
        <v>2</v>
      </c>
      <c r="O49">
        <f t="shared" si="52"/>
        <v>-5</v>
      </c>
      <c r="P49" s="1">
        <v>3</v>
      </c>
      <c r="Q49" s="1">
        <f t="shared" si="53"/>
        <v>-15</v>
      </c>
      <c r="T49">
        <f>SUMIFS(LogFY17!D:D,LogFY17!A:A,"=*kauai_county_public*")</f>
        <v>25</v>
      </c>
      <c r="U49">
        <f>SUM(SUMIFS(LogFY17!D:D,LogFY17!A:A,"=*kauai_county_public*"),-1*SUMIFS(LogFY17!L:L,LogFY17!A:A,"=*kauai_county_public*"),-1*SUMIFS(LogFY17!N:N,LogFY17!A:A,"=*kauai_county_public*"))</f>
        <v>2</v>
      </c>
      <c r="V49" s="7">
        <f t="shared" si="84"/>
        <v>0.08</v>
      </c>
      <c r="W49" s="7">
        <f t="shared" si="85"/>
        <v>-0.42</v>
      </c>
      <c r="X49">
        <f>ROUND(SUMIFS(LogFY17!K:K,LogFY17!A:A,"=*kauai_county_public*")/SUMIFS(LogFY17!J:J,LogFY17!A:A,"=*kauai_county_public*"),0)</f>
        <v>9</v>
      </c>
      <c r="Y49">
        <f t="shared" si="86"/>
        <v>7</v>
      </c>
      <c r="Z49" s="1">
        <v>41</v>
      </c>
      <c r="AA49" s="1">
        <f t="shared" si="54"/>
        <v>38</v>
      </c>
      <c r="AD49">
        <f>SUMIFS(LogFY18!D:D,LogFY18!A:A,"=*kauai_county_public*")</f>
        <v>28</v>
      </c>
      <c r="AE49">
        <f>SUM(SUMIFS(LogFY18!D:D,LogFY18!A:A,"=*kauai_county_public*"),-1*SUMIFS(LogFY18!L:L,LogFY18!A:A,"=*kauai_county_public*"),-1*SUMIFS(LogFY18!N:N,LogFY18!A:A,"=*kauai_county_public*"))</f>
        <v>5</v>
      </c>
      <c r="AF49" s="7">
        <f t="shared" ref="AF49:AF95" si="87">AE49/AD49</f>
        <v>0.17857142857142858</v>
      </c>
      <c r="AG49" s="7">
        <f t="shared" ref="AG49:AG95" si="88">AF49-V49</f>
        <v>9.8571428571428574E-2</v>
      </c>
      <c r="AH49">
        <f>ROUND(SUMIFS(LogFY18!K:K,LogFY18!A:A,"=*kauai_county_public*")/SUMIFS(LogFY18!J:J,LogFY18!A:A,"=*kauai_county_public*"),0)</f>
        <v>5</v>
      </c>
      <c r="AI49">
        <f t="shared" ref="AI49:AI95" si="89">AH49-X49</f>
        <v>-4</v>
      </c>
      <c r="AJ49" s="1">
        <v>28</v>
      </c>
      <c r="AK49" s="1">
        <f t="shared" ref="AK49:AK55" si="90">AJ49-Z49</f>
        <v>-13</v>
      </c>
      <c r="AN49">
        <f>SUMIFS(LogFY19!D:D,LogFY19!A:A,"=*kauai_county_public*")</f>
        <v>23</v>
      </c>
      <c r="AO49">
        <f>SUM(SUMIFS(LogFY19!D:D,LogFY19!A:A,"=*kauai_county_public*"),-1*SUMIFS(LogFY19!L:L,LogFY19!A:A,"=*kauai_county_public*"),-1*SUMIFS(LogFY19!N:N,LogFY19!A:A,"=*kauai_county_public*"))</f>
        <v>2</v>
      </c>
      <c r="AP49" s="7">
        <f t="shared" ref="AP49:AP82" si="91">AO49/AN49</f>
        <v>8.6956521739130432E-2</v>
      </c>
      <c r="AQ49" s="7">
        <f t="shared" ref="AQ49:AQ80" si="92">AP49-AF49</f>
        <v>-9.1614906832298143E-2</v>
      </c>
      <c r="AR49">
        <f>ROUND(SUMIFS(LogFY19!K:K,LogFY19!A:A,"=*kauai_county_public*")/SUMIFS(LogFY19!J:J,LogFY19!A:A,"=*kauai_county_public*"),0)</f>
        <v>13</v>
      </c>
      <c r="AS49">
        <f t="shared" ref="AS49:AS82" si="93">AR49-AH49</f>
        <v>8</v>
      </c>
      <c r="AT49" s="1">
        <v>55</v>
      </c>
      <c r="AU49" s="1">
        <f t="shared" ref="AU49:AU55" si="94">AT49-AJ49</f>
        <v>27</v>
      </c>
      <c r="AX49">
        <f>SUMIFS(LogFY20!D:D,LogFY20!A:A,"=*kauai_county_public*")</f>
        <v>5</v>
      </c>
      <c r="AY49">
        <f>SUM(SUMIFS(LogFY20!D:D,LogFY20!A:A,"=*kauai_county_public*"),-1*SUMIFS(LogFY20!L:L,LogFY20!A:A,"=*kauai_county_public*"),-1*SUMIFS(LogFY20!N:N,LogFY20!A:A,"=*kauai_county_public*"))</f>
        <v>0</v>
      </c>
      <c r="AZ49" s="7">
        <f t="shared" ref="AZ49:AZ76" si="95">AY49/AX49</f>
        <v>0</v>
      </c>
      <c r="BA49" s="7">
        <f t="shared" ref="BA49:BA76" si="96">AZ49-AP49</f>
        <v>-8.6956521739130432E-2</v>
      </c>
      <c r="BB49">
        <f>ROUND(SUMIFS(LogFY20!K:K,LogFY20!A:A,"=*kauai_county_public*")/SUMIFS(LogFY20!J:J,LogFY20!A:A,"=*kauai_county_public*"),0)</f>
        <v>4</v>
      </c>
      <c r="BC49">
        <f t="shared" ref="BC49:BC76" si="97">BB49-AR49</f>
        <v>-9</v>
      </c>
      <c r="BD49" s="1">
        <v>11</v>
      </c>
      <c r="BE49" s="1">
        <f t="shared" ref="BE49:BE76" si="98">BD49-AT49</f>
        <v>-44</v>
      </c>
      <c r="BH49">
        <f>SUMIFS(LogFY21!D:D,LogFY21!A:A,"=*kauai_county_public*")</f>
        <v>44</v>
      </c>
      <c r="BI49">
        <f>SUM(SUMIFS(LogFY21!D:D,LogFY21!A:A,"=*kauai_county_public*"),-1*SUMIFS(LogFY21!L:L,LogFY21!A:A,"=*kauai_county_public*"),-1*SUMIFS(LogFY21!N:N,LogFY21!A:A,"=*kauai_county_public*"))</f>
        <v>4</v>
      </c>
      <c r="BJ49" s="7">
        <f t="shared" ref="BJ49:BJ57" si="99">BI49/BH49</f>
        <v>9.0909090909090912E-2</v>
      </c>
      <c r="BK49" s="7">
        <f t="shared" ref="BK49:BK57" si="100">BJ49-AZ49</f>
        <v>9.0909090909090912E-2</v>
      </c>
      <c r="BL49">
        <f>ROUND(SUMIFS(LogFY21!K:K,LogFY21!A:A,"=*kauai_county_public*")/SUMIFS(LogFY21!J:J,LogFY21!A:A,"=*kauai_county_public*"),0)</f>
        <v>6</v>
      </c>
      <c r="BM49">
        <f t="shared" ref="BM49:BM57" si="101">BL49-BB49</f>
        <v>2</v>
      </c>
      <c r="BN49" s="1">
        <v>29</v>
      </c>
      <c r="BO49" s="1">
        <f t="shared" ref="BO49:BO57" si="102">BN49-BD49</f>
        <v>18</v>
      </c>
      <c r="BR49">
        <f>SUMIFS(LogFY22!D:D,LogFY22!A:A,"=*kauai_county_public*")</f>
        <v>51</v>
      </c>
      <c r="BS49">
        <f>SUM(SUMIFS(LogFY22!D:D,LogFY22!A:A,"=*kauai_county_public*"),-1*SUMIFS(LogFY22!L:L,LogFY22!A:A,"=*kauai_county_public*"),-1*SUMIFS(LogFY22!N:N,LogFY22!A:A,"=*kauai_county_public*"))</f>
        <v>9</v>
      </c>
      <c r="BT49" s="7">
        <f t="shared" ref="BT49:BT80" si="103">BS49/BR49</f>
        <v>0.17647058823529413</v>
      </c>
      <c r="BU49" s="7">
        <f t="shared" ref="BU49:BU80" si="104">BT49-BJ49</f>
        <v>8.5561497326203217E-2</v>
      </c>
      <c r="BV49">
        <f>ROUND(SUMIFS(LogFY22!K:K,LogFY22!A:A,"=*kauai_county_public*")/SUMIFS(LogFY22!J:J,LogFY22!A:A,"=*kauai_county_public*"),0)</f>
        <v>5</v>
      </c>
      <c r="BW49">
        <f t="shared" ref="BW49:BW80" si="105">BV49-BL49</f>
        <v>-1</v>
      </c>
      <c r="BX49" s="1">
        <v>22</v>
      </c>
      <c r="BY49" s="1">
        <f t="shared" ref="BY49:BY80" si="106">BX49-BN49</f>
        <v>-7</v>
      </c>
      <c r="CB49">
        <f>SUMIFS(LogFY23!D:D,LogFY23!A:A,"=*kauai_county_public*")</f>
        <v>67</v>
      </c>
      <c r="CC49">
        <f>SUM(SUMIFS(LogFY23!D:D,LogFY23!A:A,"=*kauai_county_public*"),-1*SUMIFS(LogFY23!L:L,LogFY23!A:A,"=*kauai_county_public*"),-1*SUMIFS(LogFY23!N:N,LogFY23!A:A,"=*kauai_county_public*"))</f>
        <v>13</v>
      </c>
      <c r="CD49" s="7">
        <f t="shared" ref="CD49:CD57" si="107">CC49/CB49</f>
        <v>0.19402985074626866</v>
      </c>
      <c r="CE49" s="7">
        <f t="shared" ref="CE49:CE57" si="108">CD49-BT49</f>
        <v>1.7559262510974533E-2</v>
      </c>
      <c r="CF49">
        <f>ROUND(SUMIFS(LogFY23!K:K,LogFY23!A:A,"=*kauai_county_public*")/SUMIFS(LogFY23!J:J,LogFY23!A:A,"=*kauai_county_public*"),0)</f>
        <v>5</v>
      </c>
      <c r="CG49">
        <f t="shared" ref="CG49:CG57" si="109">CF49-BV49</f>
        <v>0</v>
      </c>
      <c r="CH49" s="1">
        <v>24</v>
      </c>
      <c r="CI49" s="1">
        <f t="shared" si="74"/>
        <v>2</v>
      </c>
      <c r="CK49" s="7"/>
      <c r="CL49">
        <f>SUMIFS(LogFY24!D:D,LogFY24!A:A,"=*kauai_county_public*")</f>
        <v>121</v>
      </c>
      <c r="CM49">
        <f>SUM(SUMIFS(LogFY24!D:D,LogFY24!A:A,"=*kauai_county_public*"),-1*SUMIFS(LogFY24!L:L,LogFY24!A:A,"=*kauai_county_public*"),-1*SUMIFS(LogFY24!N:N,LogFY24!A:A,"=*kauai_county_public*"))</f>
        <v>110</v>
      </c>
      <c r="CN49" s="7">
        <f t="shared" si="73"/>
        <v>0.90909090909090906</v>
      </c>
      <c r="CO49" s="7">
        <f t="shared" si="75"/>
        <v>0.7150610583446404</v>
      </c>
      <c r="CP49">
        <f>ROUND(SUMIFS(LogFY24!K:K,LogFY24!A:A,"=*kauai_county_public*")/SUMIFS(LogFY24!J:J,LogFY24!A:A,"=*kauai_county_public*"),0)</f>
        <v>5</v>
      </c>
      <c r="CQ49">
        <f t="shared" si="76"/>
        <v>0</v>
      </c>
      <c r="CR49" s="1">
        <v>25</v>
      </c>
      <c r="CS49" s="1">
        <f t="shared" ref="CS49:CS80" si="110">CR49-CH49</f>
        <v>1</v>
      </c>
    </row>
    <row r="50" spans="1:99" ht="16">
      <c r="A50" s="10">
        <f t="shared" si="77"/>
        <v>49</v>
      </c>
      <c r="B50" s="9" t="s">
        <v>17439</v>
      </c>
      <c r="C50">
        <f>SUMIFS(LogFY15!D:D,LogFY15!A:A,"=*hawaii_county_public*")</f>
        <v>51</v>
      </c>
      <c r="D50">
        <f>SUM(SUMIFS(LogFY15!D:D,LogFY15!A:A,"=*hawaii_county_public*"),-1*SUMIFS(LogFY15!L:L,LogFY15!A:A,"=*hawaii_county_public*"),-1*SUMIFS(LogFY15!N:N,LogFY15!A:A,"=*hawaii_county_public*"))</f>
        <v>31</v>
      </c>
      <c r="E50" s="7">
        <f t="shared" si="83"/>
        <v>0.60784313725490191</v>
      </c>
      <c r="F50">
        <f>ROUND(SUMIFS(LogFY15!K:K,LogFY15!A:A,"=*hawaii_county_public*")/SUMIFS(LogFY15!J:J,LogFY15!A:A,"=*hawaii_county_public*"),0)</f>
        <v>14</v>
      </c>
      <c r="G50" s="1">
        <v>71</v>
      </c>
      <c r="J50">
        <f>SUMIFS(LogFY16!D:D,LogFY16!A:A,"=*hawaii_county_public*")</f>
        <v>53</v>
      </c>
      <c r="K50">
        <f>SUM(SUMIFS(LogFY16!D:D,LogFY16!A:A,"=*hawaii_county_public*"),-1*SUMIFS(LogFY16!L:L,LogFY16!A:A,"=*hawaii_county_public*"),-1*SUMIFS(LogFY16!N:N,LogFY16!A:A,"=*hawaii_county_public*"))</f>
        <v>15</v>
      </c>
      <c r="L50" s="7">
        <f t="shared" si="50"/>
        <v>0.28301886792452829</v>
      </c>
      <c r="M50" s="7">
        <f t="shared" si="51"/>
        <v>-0.32482426933037362</v>
      </c>
      <c r="N50">
        <f>ROUND(SUMIFS(LogFY16!K:K,LogFY16!A:A,"=*hawaii_county_public*")/SUMIFS(LogFY16!J:J,LogFY16!A:A,"=*hawaii_county_public*"),0)</f>
        <v>13</v>
      </c>
      <c r="O50">
        <f t="shared" si="52"/>
        <v>-1</v>
      </c>
      <c r="P50" s="1">
        <v>32</v>
      </c>
      <c r="Q50" s="1">
        <f t="shared" si="53"/>
        <v>-39</v>
      </c>
      <c r="T50">
        <f>SUMIFS(LogFY17!D:D,LogFY17!A:A,"=*hawaii_county_public*")</f>
        <v>18</v>
      </c>
      <c r="U50">
        <f>SUM(SUMIFS(LogFY17!D:D,LogFY17!A:A,"=*hawaii_county_public*"),-1*SUMIFS(LogFY17!L:L,LogFY17!A:A,"=*hawaii_county_public*"),-1*SUMIFS(LogFY17!N:N,LogFY17!A:A,"=*hawaii_county_public*"))</f>
        <v>3</v>
      </c>
      <c r="V50" s="7">
        <f t="shared" si="84"/>
        <v>0.16666666666666666</v>
      </c>
      <c r="W50" s="7">
        <f t="shared" si="85"/>
        <v>-0.11635220125786164</v>
      </c>
      <c r="X50">
        <f>ROUND(SUMIFS(LogFY17!K:K,LogFY17!A:A,"=*hawaii_county_public*")/SUMIFS(LogFY17!J:J,LogFY17!A:A,"=*hawaii_county_public*"),0)</f>
        <v>12</v>
      </c>
      <c r="Y50">
        <f t="shared" si="86"/>
        <v>-1</v>
      </c>
      <c r="Z50" s="1">
        <v>47</v>
      </c>
      <c r="AA50" s="1">
        <f t="shared" si="54"/>
        <v>15</v>
      </c>
      <c r="AD50">
        <f>SUMIFS(LogFY18!D:D,LogFY18!A:A,"=*hawaii_county_public*")</f>
        <v>58</v>
      </c>
      <c r="AE50">
        <f>SUM(SUMIFS(LogFY18!D:D,LogFY18!A:A,"=*hawaii_county_public*"),-1*SUMIFS(LogFY18!L:L,LogFY18!A:A,"=*hawaii_county_public*"),-1*SUMIFS(LogFY18!N:N,LogFY18!A:A,"=*hawaii_county_public*"))</f>
        <v>6</v>
      </c>
      <c r="AF50" s="7">
        <f t="shared" si="87"/>
        <v>0.10344827586206896</v>
      </c>
      <c r="AG50" s="7">
        <f t="shared" si="88"/>
        <v>-6.3218390804597693E-2</v>
      </c>
      <c r="AH50">
        <f>ROUND(SUMIFS(LogFY18!K:K,LogFY18!A:A,"=*hawaii_county_public*")/SUMIFS(LogFY18!J:J,LogFY18!A:A,"=*hawaii_county_public*"),0)</f>
        <v>8</v>
      </c>
      <c r="AI50">
        <f t="shared" si="89"/>
        <v>-4</v>
      </c>
      <c r="AJ50" s="1">
        <v>57</v>
      </c>
      <c r="AK50" s="1">
        <f t="shared" si="90"/>
        <v>10</v>
      </c>
      <c r="AN50">
        <f>SUMIFS(LogFY19!D:D,LogFY19!A:A,"=*hawaii_county_public*")</f>
        <v>62</v>
      </c>
      <c r="AO50">
        <f>SUM(SUMIFS(LogFY19!D:D,LogFY19!A:A,"=*hawaii_county_public*"),-1*SUMIFS(LogFY19!L:L,LogFY19!A:A,"=*hawaii_county_public*"),-1*SUMIFS(LogFY19!N:N,LogFY19!A:A,"=*hawaii_county_public*"))</f>
        <v>14</v>
      </c>
      <c r="AP50" s="7">
        <f t="shared" si="91"/>
        <v>0.22580645161290322</v>
      </c>
      <c r="AQ50" s="7">
        <f t="shared" si="92"/>
        <v>0.12235817575083426</v>
      </c>
      <c r="AR50">
        <f>ROUND(SUMIFS(LogFY19!K:K,LogFY19!A:A,"=*hawaii_county_public*")/SUMIFS(LogFY19!J:J,LogFY19!A:A,"=*hawaii_county_public*"),0)</f>
        <v>9</v>
      </c>
      <c r="AS50">
        <f t="shared" si="93"/>
        <v>1</v>
      </c>
      <c r="AT50" s="1">
        <v>37</v>
      </c>
      <c r="AU50" s="1">
        <f t="shared" si="94"/>
        <v>-20</v>
      </c>
      <c r="AX50">
        <f>SUMIFS(LogFY20!D:D,LogFY20!A:A,"=*hawaii_county_public*")</f>
        <v>98</v>
      </c>
      <c r="AY50">
        <f>SUM(SUMIFS(LogFY20!D:D,LogFY20!A:A,"=*hawaii_county_public*"),-1*SUMIFS(LogFY20!L:L,LogFY20!A:A,"=*hawaii_county_public*"),-1*SUMIFS(LogFY20!N:N,LogFY20!A:A,"=*hawaii_county_public*"))</f>
        <v>29</v>
      </c>
      <c r="AZ50" s="7">
        <f t="shared" si="95"/>
        <v>0.29591836734693877</v>
      </c>
      <c r="BA50" s="7">
        <f t="shared" si="96"/>
        <v>7.0111915734035551E-2</v>
      </c>
      <c r="BB50">
        <f>ROUND(SUMIFS(LogFY20!K:K,LogFY20!A:A,"=*hawaii_county_public*")/SUMIFS(LogFY20!J:J,LogFY20!A:A,"=*hawaii_county_public*"),0)</f>
        <v>11</v>
      </c>
      <c r="BC50">
        <f t="shared" si="97"/>
        <v>2</v>
      </c>
      <c r="BD50" s="1">
        <v>41</v>
      </c>
      <c r="BE50" s="1">
        <f t="shared" si="98"/>
        <v>4</v>
      </c>
      <c r="BH50">
        <f>SUMIFS(LogFY21!D:D,LogFY21!A:A,"=*hawaii_county_public*")</f>
        <v>105</v>
      </c>
      <c r="BI50">
        <f>SUM(SUMIFS(LogFY21!D:D,LogFY21!A:A,"=*hawaii_county_public*"),-1*SUMIFS(LogFY21!L:L,LogFY21!A:A,"=*hawaii_county_public*"),-1*SUMIFS(LogFY21!N:N,LogFY21!A:A,"=*hawaii_county_public*"))</f>
        <v>15</v>
      </c>
      <c r="BJ50" s="7">
        <f t="shared" si="99"/>
        <v>0.14285714285714285</v>
      </c>
      <c r="BK50" s="7">
        <f t="shared" si="100"/>
        <v>-0.15306122448979592</v>
      </c>
      <c r="BL50">
        <f>ROUND(SUMIFS(LogFY21!K:K,LogFY21!A:A,"=*hawaii_county_public*")/SUMIFS(LogFY21!J:J,LogFY21!A:A,"=*hawaii_county_public*"),0)</f>
        <v>9</v>
      </c>
      <c r="BM50">
        <f t="shared" si="101"/>
        <v>-2</v>
      </c>
      <c r="BN50" s="1">
        <v>43</v>
      </c>
      <c r="BO50" s="1">
        <f t="shared" si="102"/>
        <v>2</v>
      </c>
      <c r="BR50">
        <f>SUMIFS(LogFY22!D:D,LogFY22!A:A,"=*hawaii_county_public*")</f>
        <v>133</v>
      </c>
      <c r="BS50">
        <f>SUM(SUMIFS(LogFY22!D:D,LogFY22!A:A,"=*hawaii_county_public*"),-1*SUMIFS(LogFY22!L:L,LogFY22!A:A,"=*hawaii_county_public*"),-1*SUMIFS(LogFY22!N:N,LogFY22!A:A,"=*hawaii_county_public*"))</f>
        <v>40</v>
      </c>
      <c r="BT50" s="7">
        <f t="shared" si="103"/>
        <v>0.3007518796992481</v>
      </c>
      <c r="BU50" s="7">
        <f t="shared" si="104"/>
        <v>0.15789473684210525</v>
      </c>
      <c r="BV50">
        <f>ROUND(SUMIFS(LogFY22!K:K,LogFY22!A:A,"=*hawaii_county_public*")/SUMIFS(LogFY22!J:J,LogFY22!A:A,"=*hawaii_county_public*"),0)</f>
        <v>0</v>
      </c>
      <c r="BW50">
        <f t="shared" si="105"/>
        <v>-9</v>
      </c>
      <c r="BX50" s="1">
        <v>50</v>
      </c>
      <c r="BY50" s="1">
        <f t="shared" si="106"/>
        <v>7</v>
      </c>
      <c r="CB50">
        <f>SUMIFS(LogFY23!D:D,LogFY23!A:A,"=*hawaii_county_public*")</f>
        <v>127</v>
      </c>
      <c r="CC50">
        <f>SUM(SUMIFS(LogFY23!D:D,LogFY23!A:A,"=*hawaii_county_public*"),-1*SUMIFS(LogFY23!L:L,LogFY23!A:A,"=*hawaii_county_public*"),-1*SUMIFS(LogFY23!N:N,LogFY23!A:A,"=*hawaii_county_public*"))</f>
        <v>45</v>
      </c>
      <c r="CD50" s="7">
        <f t="shared" si="107"/>
        <v>0.3543307086614173</v>
      </c>
      <c r="CE50" s="7">
        <f t="shared" si="108"/>
        <v>5.35788289621692E-2</v>
      </c>
      <c r="CF50">
        <f>ROUND(SUMIFS(LogFY23!K:K,LogFY23!A:A,"=*hawaii_county_public*")/SUMIFS(LogFY23!J:J,LogFY23!A:A,"=*hawaii_county_public*"),0)</f>
        <v>13</v>
      </c>
      <c r="CG50">
        <f t="shared" si="109"/>
        <v>13</v>
      </c>
      <c r="CH50" s="1">
        <v>132</v>
      </c>
      <c r="CI50" s="1">
        <f t="shared" si="74"/>
        <v>82</v>
      </c>
      <c r="CK50" s="7"/>
      <c r="CL50">
        <f>SUMIFS(LogFY24!D:D,LogFY24!A:A,"=*hawaii_county_public*")</f>
        <v>144</v>
      </c>
      <c r="CM50">
        <f>SUM(SUMIFS(LogFY24!D:D,LogFY24!A:A,"=*hawaii_county_public*"),-1*SUMIFS(LogFY24!L:L,LogFY24!A:A,"=*hawaii_county_public*"),-1*SUMIFS(LogFY24!N:N,LogFY24!A:A,"=*hawaii_county_public*"))</f>
        <v>62</v>
      </c>
      <c r="CN50" s="7">
        <f t="shared" si="73"/>
        <v>0.43055555555555558</v>
      </c>
      <c r="CO50" s="7">
        <f t="shared" si="75"/>
        <v>7.6224846894138276E-2</v>
      </c>
      <c r="CP50">
        <f>ROUND(SUMIFS(LogFY24!K:K,LogFY24!A:A,"=*hawaii_county_public*")/SUMIFS(LogFY24!J:J,LogFY24!A:A,"=*hawaii_county_public*"),0)</f>
        <v>13</v>
      </c>
      <c r="CQ50">
        <f t="shared" si="76"/>
        <v>0</v>
      </c>
      <c r="CR50" s="1">
        <v>62</v>
      </c>
      <c r="CS50" s="1">
        <f t="shared" si="110"/>
        <v>-70</v>
      </c>
    </row>
    <row r="51" spans="1:99" ht="16">
      <c r="A51" s="10">
        <f t="shared" si="77"/>
        <v>50</v>
      </c>
      <c r="B51" s="1" t="s">
        <v>16798</v>
      </c>
      <c r="C51">
        <f>SUM(SUMIFS(LogFY15!D:D,LogFY15!A:A,"=*transportation*",LogFY15!A:A,"&lt;&gt;*honolulu_authority*", LogFY15!A:A,"&lt;&gt;SOH*"),SUMIFS(LogFY15!D:D,LogFY15!A:A,"=*mass_transit*"))</f>
        <v>7</v>
      </c>
      <c r="D51">
        <f>SUM(SUMIFS(LogFY15!D:D,LogFY15!A:A,"=*transportation*",LogFY15!A:A,"&lt;&gt;*honolulu_authority*", LogFY15!A:A,"&lt;&gt;SOH*"),SUMIFS(LogFY15!D:D,LogFY15!A:A,"=*mass_transit*"),-1*SUM(SUMIFS(LogFY15!L:L,LogFY15!A:A,"=*transportation*",LogFY15!A:A,"&lt;&gt;*honolulu_authority*", LogFY15!A:A,"&lt;&gt;SOH*"),SUMIFS(LogFY15!L:L,LogFY15!A:A,"=*mass_transit*")),-1*SUM(SUMIFS(LogFY15!N:N,LogFY15!A:A,"=*transportation*",LogFY15!A:A,"&lt;&gt;*honolulu_authority*", LogFY15!A:A,"&lt;&gt;SOH*"),SUMIFS(LogFY15!N:N,LogFY15!A:A,"=*mass_transit*")))</f>
        <v>2</v>
      </c>
      <c r="E51" s="7">
        <f t="shared" si="83"/>
        <v>0.2857142857142857</v>
      </c>
      <c r="F51">
        <f>ROUND(SUM(SUMIFS(LogFY15!K:K,LogFY15!A:A,"=*transportation*",LogFY15!A:A,"&lt;&gt;*honolulu_authority*", LogFY15!A:A,"&lt;&gt;SOH*"),SUMIFS(LogFY15!K:K,LogFY15!A:A,"=*mass_transit*"))/SUM(SUMIFS(LogFY15!J:J,LogFY15!A:A,"=*transportation*",LogFY15!A:A,"&lt;&gt;*honolulu_authority*", LogFY15!A:A,"&lt;&gt;SOH*"),SUMIFS(LogFY15!J:J,LogFY15!A:A,"=*mass_transit*")),0)</f>
        <v>7</v>
      </c>
      <c r="G51" s="1">
        <v>9</v>
      </c>
      <c r="H51">
        <f>SUM(COUNTIFS(All!F:F,"=*dts*",All!F:F,"&lt;&gt;*HART*", All!B:B, "&gt;=7/1/2014", All!B:B,"&lt;=6/30/2015", All!E:E,"=U*",All!E:E,"&lt;&gt;UIPA*",All!E:E,"&lt;&gt;*RFO*",All!E:E,"&lt;&gt;*TRNG*"),COUNTIFS(All!F:F,"=trans-*", All!B:B, "&gt;=7/1/2014", All!B:B,"&lt;=6/30/2015", All!E:E,"=U*",All!E:E,"&lt;&gt;UIPA*",All!E:E,"&lt;&gt;*RFO*",All!E:E,"&lt;&gt;*TRNG*"))</f>
        <v>0</v>
      </c>
      <c r="I51" s="7">
        <f>ROUND(H51/C51,3)</f>
        <v>0</v>
      </c>
      <c r="J51">
        <f>SUM(SUMIFS(LogFY16!D:D,LogFY16!A:A,"=*transportation*",LogFY16!A:A,"&lt;&gt;SOH*"),SUMIFS(LogFY16!D:D,LogFY16!A:A,"=*mass_transit*"))</f>
        <v>37</v>
      </c>
      <c r="K51">
        <f>SUM(SUMIFS(LogFY16!D:D,LogFY16!A:A,"=*transportation*",LogFY16!A:A,"&lt;&gt;SOH*"),SUMIFS(LogFY16!D:D,LogFY16!A:A,"=*mass_transit*"),-1*SUM(SUMIFS(LogFY16!L:L,LogFY16!A:A,"=*transportation*",LogFY16!A:A,"&lt;&gt;SOH*"),SUMIFS(LogFY16!L:L,LogFY16!A:A,"=*mass_transit*")),-1*SUM(SUMIFS(LogFY16!N:N,LogFY16!A:A,"=*transportation*",LogFY16!A:A,"&lt;&gt;SOH*"),SUMIFS(LogFY16!N:N,LogFY16!A:A,"=*mass_transit*")))</f>
        <v>11</v>
      </c>
      <c r="L51" s="7">
        <f t="shared" si="50"/>
        <v>0.29729729729729731</v>
      </c>
      <c r="M51" s="7">
        <f t="shared" si="51"/>
        <v>1.1583011583011615E-2</v>
      </c>
      <c r="N51">
        <f>ROUND(SUM(SUMIFS(LogFY16!K:K,LogFY16!A:A,"=*transportation*",LogFY16!A:A,"&lt;&gt;SOH*"),SUMIFS(LogFY16!K:K,LogFY16!A:A,"=*mass_transit*"))/SUM(SUMIFS(LogFY16!J:J,LogFY16!A:A,"=*transportation*",LogFY16!A:A,"&lt;&gt;SOH*"),SUMIFS(LogFY16!J:J,LogFY16!A:A,"=*mass_transit*")),0)</f>
        <v>13</v>
      </c>
      <c r="O51">
        <f t="shared" si="52"/>
        <v>6</v>
      </c>
      <c r="P51" s="1">
        <v>20</v>
      </c>
      <c r="Q51" s="1">
        <f t="shared" si="53"/>
        <v>11</v>
      </c>
      <c r="R51">
        <f>SUM(COUNTIFS(All!F:F,"=*dts*", All!F:F,"&lt;&gt;*HART*", All!B:B, "&gt;=7/1/2015", All!B:B,"&lt;=6/30/2016", All!E:E,"=U*",All!E:E,"&lt;&gt;UIPA*",All!E:E,"&lt;&gt;*RFO*",All!E:E,"&lt;&gt;*TRNG*"),COUNTIFS(All!F:F,"=trans-*", All!B:B, "&gt;=7/1/2015", All!B:B,"&lt;=6/30/2016", All!E:E,"=U*",All!E:E,"&lt;&gt;UIPA*",All!E:E,"&lt;&gt;*RFO*",All!E:E,"&lt;&gt;*TRNG*"))</f>
        <v>1</v>
      </c>
      <c r="S51" s="7">
        <f>ROUND(R51/(J51+C51),3)</f>
        <v>2.3E-2</v>
      </c>
      <c r="T51">
        <f>SUM(SUMIFS(LogFY17!D:D,LogFY17!A:A,"=*transportation*",LogFY17!A:A,"&lt;&gt;SOH*"),SUMIFS(LogFY17!D:D,LogFY17!A:A,"=*mass_transit*"))</f>
        <v>36</v>
      </c>
      <c r="U51">
        <f>SUM(SUMIFS(LogFY17!D:D,LogFY17!A:A,"=*transportation*",LogFY17!A:A,"&lt;&gt;SOH*"),SUMIFS(LogFY17!D:D,LogFY17!A:A,"=*mass_transit*"),-1*SUM(SUMIFS(LogFY17!L:L,LogFY17!A:A,"=*transportation*",LogFY17!A:A,"&lt;&gt;SOH*"),SUMIFS(LogFY17!L:L,LogFY17!A:A,"=*mass_transit*")),-1*SUM(SUMIFS(LogFY17!N:N,LogFY17!A:A,"=*transportation*",LogFY17!A:A,"&lt;&gt;SOH*"),SUMIFS(LogFY17!N:N,LogFY17!A:A,"=*mass_transit*")))</f>
        <v>8</v>
      </c>
      <c r="V51" s="7">
        <f t="shared" si="84"/>
        <v>0.22222222222222221</v>
      </c>
      <c r="W51" s="7">
        <f t="shared" si="85"/>
        <v>-7.5075075075075104E-2</v>
      </c>
      <c r="X51">
        <f>ROUND(SUM(SUMIFS(LogFY17!K:K,LogFY17!A:A,"=*transportation*",LogFY17!A:A,"&lt;&gt;SOH*"),SUMIFS(LogFY17!K:K,LogFY17!A:A,"=*mass_transit*"))/SUM(SUMIFS(LogFY17!J:J,LogFY17!A:A,"=*transportation*",LogFY17!A:A,"&lt;&gt;SOH*"),SUMIFS(LogFY17!J:J,LogFY17!A:A,"=*mass_transit*")),0)</f>
        <v>10</v>
      </c>
      <c r="Y51">
        <f t="shared" si="86"/>
        <v>-3</v>
      </c>
      <c r="Z51" s="1">
        <v>32</v>
      </c>
      <c r="AA51" s="1">
        <f t="shared" si="54"/>
        <v>12</v>
      </c>
      <c r="AB51">
        <f>SUM(COUNTIFS(All!F:F,"=*dts*", All!F:F,"&lt;&gt;*HART*", All!B:B, "&gt;=7/1/2016", All!B:B,"&lt;=6/30/2017", All!E:E,"=U*",All!E:E,"&lt;&gt;UIPA*",All!E:E,"&lt;&gt;*RFO*",All!E:E,"&lt;&gt;*TRNG*"),COUNTIFS(All!F:F,"=trans-*", All!B:B, "&gt;=7/1/2016", All!B:B,"&lt;=6/30/2017", All!E:E,"=U*",All!E:E,"&lt;&gt;UIPA*",All!E:E,"&lt;&gt;*RFO*",All!E:E,"&lt;&gt;*TRNG*"))</f>
        <v>0</v>
      </c>
      <c r="AC51" s="7">
        <f>ROUND(AB51/(T51+J51),3)</f>
        <v>0</v>
      </c>
      <c r="AD51">
        <f>SUM(SUMIFS(LogFY18!D:D,LogFY18!A:A,"=*transportation*",LogFY18!A:A,"&lt;&gt;SOH*"),SUMIFS(LogFY18!D:D,LogFY18!A:A,"=*mass_transit*"))</f>
        <v>28</v>
      </c>
      <c r="AE51">
        <f>SUM(SUMIFS(LogFY18!D:D,LogFY18!A:A,"=*transportation*",LogFY18!A:A,"&lt;&gt;SOH*"),SUMIFS(LogFY18!D:D,LogFY18!A:A,"=*mass_transit*"),-1*SUM(SUMIFS(LogFY18!L:L,LogFY18!A:A,"=*transportation*",LogFY18!A:A,"&lt;&gt;SOH*"),SUMIFS(LogFY18!L:L,LogFY18!A:A,"=*mass_transit*")),-1*SUM(SUMIFS(LogFY18!N:N,LogFY18!A:A,"=*transportation*",LogFY18!A:A,"&lt;&gt;SOH*"),SUMIFS(LogFY18!N:N,LogFY18!A:A,"=*mass_transit*")))</f>
        <v>11</v>
      </c>
      <c r="AF51" s="7">
        <f t="shared" si="87"/>
        <v>0.39285714285714285</v>
      </c>
      <c r="AG51" s="7">
        <f t="shared" si="88"/>
        <v>0.17063492063492064</v>
      </c>
      <c r="AH51">
        <f>ROUND(SUM(SUMIFS(LogFY18!K:K,LogFY18!A:A,"=*transportation*",LogFY18!A:A,"&lt;&gt;SOH*"),SUMIFS(LogFY18!K:K,LogFY18!A:A,"=*mass_transit*"))/SUM(SUMIFS(LogFY18!J:J,LogFY18!A:A,"=*transportation*",LogFY18!A:A,"&lt;&gt;SOH*"),SUMIFS(LogFY18!J:J,LogFY18!A:A,"=*mass_transit*")),0)</f>
        <v>6</v>
      </c>
      <c r="AI51">
        <f t="shared" si="89"/>
        <v>-4</v>
      </c>
      <c r="AJ51" s="1">
        <v>12</v>
      </c>
      <c r="AK51" s="1">
        <f t="shared" si="90"/>
        <v>-20</v>
      </c>
      <c r="AL51">
        <f>SUM(COUNTIFS(All!F:F,"=*dts*", All!F:F,"&lt;&gt;*HART*", All!B:B, "&gt;=7/1/2017", All!B:B,"&lt;=6/30/2018", All!E:E,"=U*",All!E:E,"&lt;&gt;UIPA*",All!E:E,"&lt;&gt;*RFO*",All!E:E,"&lt;&gt;*TRNG*"),COUNTIFS(All!F:F,"=trans-*", All!B:B, "&gt;=7/1/2017", All!B:B,"&lt;=6/30/2018", All!E:E,"=U*",All!E:E,"&lt;&gt;UIPA*",All!E:E,"&lt;&gt;*RFO*",All!E:E,"&lt;&gt;*TRNG*"))</f>
        <v>1</v>
      </c>
      <c r="AM51" s="7">
        <f>ROUND(AL51/(AD51+T51),3)</f>
        <v>1.6E-2</v>
      </c>
      <c r="AN51">
        <f>SUM(SUMIFS(LogFY19!D:D,LogFY19!A:A,"=*transportation*",LogFY19!A:A,"&lt;&gt;SOH*"),SUMIFS(LogFY19!D:D,LogFY19!A:A,"=*mass_transit*"))</f>
        <v>18</v>
      </c>
      <c r="AO51">
        <f>SUM(SUMIFS(LogFY19!D:D,LogFY19!A:A,"=*transportation*",LogFY19!A:A,"&lt;&gt;SOH*"),SUMIFS(LogFY19!D:D,LogFY19!A:A,"=*mass_transit*"),-1*SUM(SUMIFS(LogFY19!L:L,LogFY19!A:A,"=*transportation*",LogFY19!A:A,"&lt;&gt;SOH*"),SUMIFS(LogFY19!L:L,LogFY19!A:A,"=*mass_transit*")),-1*SUM(SUMIFS(LogFY19!N:N,LogFY19!A:A,"=*transportation*",LogFY19!A:A,"&lt;&gt;SOH*"),SUMIFS(LogFY19!N:N,LogFY19!A:A,"=*mass_transit*")))</f>
        <v>6</v>
      </c>
      <c r="AP51" s="7">
        <f t="shared" si="91"/>
        <v>0.33333333333333331</v>
      </c>
      <c r="AQ51" s="7">
        <f t="shared" si="92"/>
        <v>-5.9523809523809534E-2</v>
      </c>
      <c r="AR51">
        <f>ROUND(SUM(SUMIFS(LogFY19!K:K,LogFY19!A:A,"=*transportation*",LogFY19!A:A,"&lt;&gt;SOH*"),SUMIFS(LogFY19!K:K,LogFY19!A:A,"=*mass_transit*"))/SUM(SUMIFS(LogFY19!J:J,LogFY19!A:A,"=*transportation*",LogFY19!A:A,"&lt;&gt;SOH*"),SUMIFS(LogFY19!J:J,LogFY19!A:A,"=*mass_transit*")),0)</f>
        <v>12</v>
      </c>
      <c r="AS51">
        <f t="shared" si="93"/>
        <v>6</v>
      </c>
      <c r="AT51" s="1">
        <v>38</v>
      </c>
      <c r="AU51" s="1">
        <f t="shared" si="94"/>
        <v>26</v>
      </c>
      <c r="AV51">
        <f>SUM(COUNTIFS(All!F:F,"=*dts*", All!F:F,"&lt;&gt;*HART*", All!B:B, "&gt;=7/1/2018", All!B:B,"&lt;=6/30/2019", All!E:E,"=U*",All!E:E,"&lt;&gt;UIPA*",All!E:E,"&lt;&gt;*RFO*",All!E:E,"&lt;&gt;*TRNG*"),COUNTIFS(All!F:F,"=trans-*", All!B:B, "&gt;=7/1/2018", All!B:B,"&lt;=6/30/2019", All!E:E,"=U*",All!E:E,"&lt;&gt;UIPA*",All!E:E,"&lt;&gt;*RFO*",All!E:E,"&lt;&gt;*TRNG*"))</f>
        <v>1</v>
      </c>
      <c r="AW51" s="7">
        <f>ROUND(AV51/(AN51+AD51),3)</f>
        <v>2.1999999999999999E-2</v>
      </c>
      <c r="AX51">
        <f>SUM(SUMIFS(LogFY20!D:D,LogFY20!A:A,"=*transportation*",LogFY20!A:A,"&lt;&gt;SOH*"),SUMIFS(LogFY20!D:D,LogFY20!A:A,"=*mass_transit*"))</f>
        <v>32</v>
      </c>
      <c r="AY51">
        <f>SUM(SUMIFS(LogFY20!D:D,LogFY20!A:A,"=*transportation*",LogFY20!A:A,"&lt;&gt;SOH*"),SUMIFS(LogFY20!D:D,LogFY20!A:A,"=*mass_transit*"),-1*SUM(SUMIFS(LogFY20!L:L,LogFY20!A:A,"=*transportation*",LogFY20!A:A,"&lt;&gt;SOH*"),SUMIFS(LogFY20!L:L,LogFY20!A:A,"=*mass_transit*")),-1*SUM(SUMIFS(LogFY20!N:N,LogFY20!A:A,"=*transportation*",LogFY20!A:A,"&lt;&gt;SOH*"),SUMIFS(LogFY20!N:N,LogFY20!A:A,"=*mass_transit*")))</f>
        <v>10</v>
      </c>
      <c r="AZ51" s="7">
        <f t="shared" si="95"/>
        <v>0.3125</v>
      </c>
      <c r="BA51" s="7">
        <f t="shared" si="96"/>
        <v>-2.0833333333333315E-2</v>
      </c>
      <c r="BB51">
        <f>ROUND(SUM(SUMIFS(LogFY20!K:K,LogFY20!A:A,"=*transportation*",LogFY20!A:A,"&lt;&gt;SOH*"),SUMIFS(LogFY20!K:K,LogFY20!A:A,"=*mass_transit*"))/SUM(SUMIFS(LogFY20!J:J,LogFY20!A:A,"=*transportation*",LogFY20!A:A,"&lt;&gt;SOH*"),SUMIFS(LogFY20!J:J,LogFY20!A:A,"=*mass_transit*")),0)</f>
        <v>10</v>
      </c>
      <c r="BC51">
        <f t="shared" si="97"/>
        <v>-2</v>
      </c>
      <c r="BD51" s="1">
        <v>11</v>
      </c>
      <c r="BE51" s="1">
        <f t="shared" si="98"/>
        <v>-27</v>
      </c>
      <c r="BF51">
        <f>SUM(COUNTIFS(All!F:F,"=*dts*", All!F:F,"&lt;&gt;*HART*", All!B:B, "&gt;=7/1/2019", All!B:B,"&lt;=6/30/2020", All!E:E,"=U*",All!E:E,"&lt;&gt;UIPA*",All!E:E,"&lt;&gt;*RFO*",All!E:E,"&lt;&gt;*TRNG*"),COUNTIFS(All!F:F,"=trans-*", All!B:B, "&gt;=7/1/2019", All!B:B,"&lt;=6/30/2020", All!E:E,"=U*",All!E:E,"&lt;&gt;UIPA*",All!E:E,"&lt;&gt;*RFO*",All!E:E,"&lt;&gt;*TRNG*"))</f>
        <v>1</v>
      </c>
      <c r="BG51" s="7">
        <f>ROUND(BF51/(AX51+AN51),3)</f>
        <v>0.02</v>
      </c>
      <c r="BH51">
        <f>SUM(SUMIFS(LogFY21!D:D,LogFY21!A:A,"=*transportation*",LogFY21!A:A,"&lt;&gt;SOH*"),SUMIFS(LogFY21!D:D,LogFY21!A:A,"=*mass_transit*"))</f>
        <v>26</v>
      </c>
      <c r="BI51">
        <f>SUM(SUMIFS(LogFY21!D:D,LogFY21!A:A,"=*transportation*",LogFY21!A:A,"&lt;&gt;SOH*"),SUMIFS(LogFY21!D:D,LogFY21!A:A,"=*mass_transit*"),-1*SUM(SUMIFS(LogFY21!L:L,LogFY21!A:A,"=*transportation*",LogFY21!A:A,"&lt;&gt;SOH*"),SUMIFS(LogFY21!L:L,LogFY21!A:A,"=*mass_transit*")),-1*SUM(SUMIFS(LogFY21!N:N,LogFY21!A:A,"=*transportation*",LogFY21!A:A,"&lt;&gt;SOH*"),SUMIFS(LogFY21!N:N,LogFY21!A:A,"=*mass_transit*")))</f>
        <v>1</v>
      </c>
      <c r="BJ51" s="7">
        <f t="shared" si="99"/>
        <v>3.8461538461538464E-2</v>
      </c>
      <c r="BK51" s="7">
        <f t="shared" si="100"/>
        <v>-0.27403846153846156</v>
      </c>
      <c r="BL51">
        <f>ROUND(SUM(SUMIFS(LogFY21!K:K,LogFY21!A:A,"=*transportation*",LogFY21!A:A,"&lt;&gt;SOH*"),SUMIFS(LogFY21!K:K,LogFY21!A:A,"=*mass_transit*"))/SUM(SUMIFS(LogFY21!J:J,LogFY21!A:A,"=*transportation*",LogFY21!A:A,"&lt;&gt;SOH*"),SUMIFS(LogFY21!J:J,LogFY21!A:A,"=*mass_transit*")),0)</f>
        <v>11</v>
      </c>
      <c r="BM51">
        <f t="shared" si="101"/>
        <v>1</v>
      </c>
      <c r="BN51" s="1">
        <v>19</v>
      </c>
      <c r="BO51" s="1">
        <f t="shared" si="102"/>
        <v>8</v>
      </c>
      <c r="BP51">
        <f>SUM(COUNTIFS(All!F:F,"=*dts*", All!F:F,"&lt;&gt;*HART*", All!B:B, "&gt;=7/1/2020", All!B:B,"&lt;=6/30/2021", All!E:E,"=U*",All!E:E,"&lt;&gt;UIPA*",All!E:E,"&lt;&gt;*RFO*",All!E:E,"&lt;&gt;*TRNG*"),COUNTIFS(All!F:F,"=trans-*", All!B:B, "&gt;=7/1/2020", All!B:B,"&lt;=6/30/2021", All!E:E,"=U*",All!E:E,"&lt;&gt;UIPA*",All!E:E,"&lt;&gt;*RFO*",All!E:E,"&lt;&gt;*TRNG*"))</f>
        <v>0</v>
      </c>
      <c r="BQ51" s="7">
        <f>ROUND(BP51/(BH51+AX51),3)</f>
        <v>0</v>
      </c>
      <c r="BR51">
        <f>SUM(SUMIFS(LogFY22!D:D,LogFY22!A:A,"=*transportation*",LogFY22!A:A,"&lt;&gt;SOH*"),SUMIFS(LogFY22!D:D,LogFY22!A:A,"=*mass_transit*"))</f>
        <v>30</v>
      </c>
      <c r="BS51">
        <f>SUM(SUMIFS(LogFY22!D:D,LogFY22!A:A,"=*transportation*",LogFY22!A:A,"&lt;&gt;SOH*"),SUMIFS(LogFY22!D:D,LogFY22!A:A,"=*mass_transit*"),-1*SUM(SUMIFS(LogFY22!L:L,LogFY22!A:A,"=*transportation*",LogFY22!A:A,"&lt;&gt;SOH*"),SUMIFS(LogFY22!L:L,LogFY22!A:A,"=*mass_transit*")),-1*SUM(SUMIFS(LogFY22!N:N,LogFY22!A:A,"=*transportation*",LogFY22!A:A,"&lt;&gt;SOH*"),SUMIFS(LogFY22!N:N,LogFY22!A:A,"=*mass_transit*")))</f>
        <v>7</v>
      </c>
      <c r="BT51" s="7">
        <f t="shared" si="103"/>
        <v>0.23333333333333334</v>
      </c>
      <c r="BU51" s="7">
        <f t="shared" si="104"/>
        <v>0.19487179487179487</v>
      </c>
      <c r="BV51">
        <f>ROUND(SUM(SUMIFS(LogFY22!K:K,LogFY22!A:A,"=*transportation*",LogFY22!A:A,"&lt;&gt;SOH*"),SUMIFS(LogFY22!K:K,LogFY22!A:A,"=*mass_transit*"))/SUM(SUMIFS(LogFY22!J:J,LogFY22!A:A,"=*transportation*",LogFY22!A:A,"&lt;&gt;SOH*"),SUMIFS(LogFY22!J:J,LogFY22!A:A,"=*mass_transit*")),0)</f>
        <v>12</v>
      </c>
      <c r="BW51">
        <f t="shared" si="105"/>
        <v>1</v>
      </c>
      <c r="BX51" s="1">
        <v>54</v>
      </c>
      <c r="BY51" s="1">
        <f t="shared" si="106"/>
        <v>35</v>
      </c>
      <c r="BZ51">
        <f>SUM(COUNTIFS(All!F:F,"=*dts*", All!F:F,"&lt;&gt;*HART*", All!B:B, "&gt;=7/1/2021", All!B:B,"&lt;=6/30/2022", All!E:E,"=U*",All!E:E,"&lt;&gt;UIPA*",All!E:E,"&lt;&gt;*RFO*",All!E:E,"&lt;&gt;*TRNG*"),COUNTIFS(All!F:F,"=trans-*", All!B:B, "&gt;=7/1/2021", All!B:B,"&lt;=6/30/2022", All!E:E,"=U*",All!E:E,"&lt;&gt;UIPA*",All!E:E,"&lt;&gt;*RFO*",All!E:E,"&lt;&gt;*TRNG*"))</f>
        <v>0</v>
      </c>
      <c r="CA51" s="7">
        <f>ROUND(BZ51/(BR51+BH51),3)</f>
        <v>0</v>
      </c>
      <c r="CB51">
        <f>SUM(SUMIFS(LogFY23!D:D,LogFY23!A:A,"=*transportation*",LogFY23!A:A,"&lt;&gt;SOH*"),SUMIFS(LogFY23!D:D,LogFY23!A:A,"=*mass_transit*"))</f>
        <v>26</v>
      </c>
      <c r="CC51">
        <f>SUM(SUMIFS(LogFY23!D:D,LogFY23!A:A,"=*transportation*",LogFY23!A:A,"&lt;&gt;SOH*"),SUMIFS(LogFY23!D:D,LogFY23!A:A,"=*mass_transit*"),-1*SUM(SUMIFS(LogFY23!L:L,LogFY23!A:A,"=*transportation*",LogFY23!A:A,"&lt;&gt;SOH*"),SUMIFS(LogFY23!L:L,LogFY23!A:A,"=*mass_transit*")),-1*SUM(SUMIFS(LogFY23!N:N,LogFY23!A:A,"=*transportation*",LogFY23!A:A,"&lt;&gt;SOH*"),SUMIFS(LogFY23!N:N,LogFY23!A:A,"=*mass_transit*")))</f>
        <v>7</v>
      </c>
      <c r="CD51" s="7">
        <f t="shared" si="107"/>
        <v>0.26923076923076922</v>
      </c>
      <c r="CE51" s="7">
        <f t="shared" si="108"/>
        <v>3.5897435897435881E-2</v>
      </c>
      <c r="CF51">
        <f>ROUND(SUM(SUMIFS(LogFY23!K:K,LogFY23!A:A,"=*transportation*",LogFY23!A:A,"&lt;&gt;SOH*"),SUMIFS(LogFY23!K:K,LogFY23!A:A,"=*mass_transit*"))/SUM(SUMIFS(LogFY23!J:J,LogFY23!A:A,"=*transportation*",LogFY23!A:A,"&lt;&gt;SOH*"),SUMIFS(LogFY23!J:J,LogFY23!A:A,"=*mass_transit*")),0)</f>
        <v>18</v>
      </c>
      <c r="CG51">
        <f t="shared" si="109"/>
        <v>6</v>
      </c>
      <c r="CH51" s="1">
        <v>104</v>
      </c>
      <c r="CI51" s="1">
        <f t="shared" si="74"/>
        <v>50</v>
      </c>
      <c r="CJ51">
        <f>SUM(COUNTIFS(All!F:F,"=*dts*", All!F:F,"&lt;&gt;*HART*", All!B:B, "&gt;=7/1/2022", All!B:B,"&lt;=6/30/2023", All!E:E,"=U*",All!E:E,"&lt;&gt;UIPA*",All!E:E,"&lt;&gt;*RFO*",All!E:E,"&lt;&gt;*TRNG*"),COUNTIFS(All!F:F,"=trans-*", All!B:B, "&gt;=7/1/2022", All!B:B,"&lt;=6/30/2023", All!E:E,"=U*",All!E:E,"&lt;&gt;UIPA*",All!E:E,"&lt;&gt;*RFO*",All!E:E,"&lt;&gt;*TRNG*"))</f>
        <v>0</v>
      </c>
      <c r="CK51" s="7">
        <f>ROUND(CJ51/(CB51+BR51),3)</f>
        <v>0</v>
      </c>
      <c r="CL51">
        <f>SUM(SUMIFS(LogFY24!D:D,LogFY24!A:A,"=*transportation*",LogFY24!A:A,"&lt;&gt;SOH*"),SUMIFS(LogFY24!D:D,LogFY24!A:A,"=*mass_transit*"))</f>
        <v>28</v>
      </c>
      <c r="CM51">
        <f>SUM(SUMIFS(LogFY24!D:D,LogFY24!A:A,"=*transportation*",LogFY24!A:A,"&lt;&gt;SOH*"),SUMIFS(LogFY24!D:D,LogFY24!A:A,"=*mass_transit*"),-1*SUM(SUMIFS(LogFY24!L:L,LogFY24!A:A,"=*transportation*",LogFY24!A:A,"&lt;&gt;SOH*"),SUMIFS(LogFY24!L:L,LogFY24!A:A,"=*mass_transit*")),-1*SUM(SUMIFS(LogFY24!N:N,LogFY24!A:A,"=*transportation*",LogFY24!A:A,"&lt;&gt;SOH*"),SUMIFS(LogFY24!N:N,LogFY24!A:A,"=*mass_transit*")))</f>
        <v>6</v>
      </c>
      <c r="CN51" s="7">
        <f t="shared" si="73"/>
        <v>0.21428571428571427</v>
      </c>
      <c r="CO51" s="7">
        <f t="shared" si="75"/>
        <v>-5.4945054945054944E-2</v>
      </c>
      <c r="CP51">
        <f>ROUND(SUM(SUMIFS(LogFY24!K:K,LogFY24!A:A,"=*transportation*",LogFY24!A:A,"&lt;&gt;SOH*"),SUMIFS(LogFY24!K:K,LogFY24!A:A,"=*mass_transit*"))/SUM(SUMIFS(LogFY24!J:J,LogFY24!A:A,"=*transportation*",LogFY24!A:A,"&lt;&gt;SOH*"),SUMIFS(LogFY24!J:J,LogFY24!A:A,"=*mass_transit*")),0)</f>
        <v>13</v>
      </c>
      <c r="CQ51">
        <f t="shared" si="76"/>
        <v>-5</v>
      </c>
      <c r="CR51" s="1">
        <v>42</v>
      </c>
      <c r="CS51" s="1">
        <f t="shared" si="110"/>
        <v>-62</v>
      </c>
      <c r="CT51">
        <f>SUM(COUNTIFS(All!F:F,"=*dts*", All!F:F,"&lt;&gt;*HART*", All!B:B, "&gt;=7/1/2023", All!B:B,"&lt;=6/30/2024", All!E:E,"=U*",All!E:E,"&lt;&gt;UIPA*",All!E:E,"&lt;&gt;*RFO*",All!E:E,"&lt;&gt;*TRNG*"),COUNTIFS(All!F:F,"=trans-*", All!B:B, "&gt;=7/1/2023", All!B:B,"&lt;=6/30/2024", All!E:E,"=U*",All!E:E,"&lt;&gt;UIPA*",All!E:E,"&lt;&gt;*RFO*",All!E:E,"&lt;&gt;*TRNG*"))</f>
        <v>0</v>
      </c>
      <c r="CU51" s="7">
        <f>ROUND(CT51/(CL51+CB51),3)</f>
        <v>0</v>
      </c>
    </row>
    <row r="52" spans="1:99" ht="16">
      <c r="A52" s="10">
        <f t="shared" si="77"/>
        <v>51</v>
      </c>
      <c r="B52" s="1" t="s">
        <v>16198</v>
      </c>
      <c r="C52">
        <f>SUMIFS(LogFY15!D:D,LogFY15!A:A,"=*honolulu_authority*")</f>
        <v>48</v>
      </c>
      <c r="D52">
        <f>SUM(SUMIFS(LogFY15!D:D,LogFY15!A:A,"=*honolulu_authority*"),-1*SUMIFS(LogFY15!L:L,LogFY15!A:A,"=*honolulu_authority*"),-1*SUMIFS(LogFY15!N:N,LogFY15!A:A,"=*honolulu_authority*"))</f>
        <v>0</v>
      </c>
      <c r="E52" s="7">
        <f t="shared" si="83"/>
        <v>0</v>
      </c>
      <c r="F52">
        <f>ROUND(SUMIFS(LogFY15!K:K,LogFY15!A:A,"=*honolulu_authority*")/SUMIFS(LogFY15!J:J,LogFY15!A:A,"=*honolulu_authority*"),0)</f>
        <v>17</v>
      </c>
      <c r="G52" s="1">
        <v>78</v>
      </c>
      <c r="H52">
        <f>COUNTIFS(All!F:F,"=*hart*", All!F:F,"&lt;&gt;*charter*", All!B:B, "&gt;=7/1/2014", All!B:B,"&lt;=6/30/2015", All!E:E,"=U*",All!E:E,"&lt;&gt;UIPA*",All!E:E,"&lt;&gt;*RFO*",All!E:E,"&lt;&gt;*TRNG*")</f>
        <v>1</v>
      </c>
      <c r="I52" s="7">
        <f>ROUND(H52/C52,3)</f>
        <v>2.1000000000000001E-2</v>
      </c>
      <c r="J52">
        <f>SUMIFS(LogFY16!D:D,LogFY16!A:A,"=*honolulu_authority*")</f>
        <v>26</v>
      </c>
      <c r="K52">
        <f>SUM(SUMIFS(LogFY16!D:D,LogFY16!A:A,"=*honolulu_authority*"),-1*SUMIFS(LogFY16!L:L,LogFY16!A:A,"=*honolulu_authority*"),-1*SUMIFS(LogFY16!N:N,LogFY16!A:A,"=*honolulu_authority*"))</f>
        <v>8</v>
      </c>
      <c r="L52" s="7">
        <f t="shared" si="50"/>
        <v>0.30769230769230771</v>
      </c>
      <c r="M52" s="7">
        <f t="shared" si="51"/>
        <v>0.30769230769230771</v>
      </c>
      <c r="N52">
        <f>ROUND(SUMIFS(LogFY16!K:K,LogFY16!A:A,"=*honolulu_authority*")/SUMIFS(LogFY16!J:J,LogFY16!A:A,"=*honolulu_authority*"),0)</f>
        <v>17</v>
      </c>
      <c r="O52">
        <f t="shared" si="52"/>
        <v>0</v>
      </c>
      <c r="P52" s="1">
        <v>55</v>
      </c>
      <c r="Q52" s="1">
        <f t="shared" si="53"/>
        <v>-23</v>
      </c>
      <c r="R52">
        <f>COUNTIFS(All!F:F,"=*hart*", All!F:F,"&lt;&gt;*charter*", All!B:B, "&gt;=7/1/2015", All!B:B,"&lt;=6/30/2016", All!E:E,"=U*",All!E:E,"&lt;&gt;UIPA*",All!E:E,"&lt;&gt;*RFO*",All!E:E,"&lt;&gt;*TRNG*")</f>
        <v>1</v>
      </c>
      <c r="S52" s="7">
        <f>ROUND(R52/(J52+C52),3)</f>
        <v>1.4E-2</v>
      </c>
      <c r="T52">
        <f>SUMIFS(LogFY17!D:D,LogFY17!A:A,"=*honolulu_authority*")</f>
        <v>20</v>
      </c>
      <c r="U52">
        <f>SUM(SUMIFS(LogFY17!D:D,LogFY17!A:A,"=*honolulu_authority*"),-1*SUMIFS(LogFY17!L:L,LogFY17!A:A,"=*honolulu_authority*"),-1*SUMIFS(LogFY17!N:N,LogFY17!A:A,"=*honolulu_authority*"))</f>
        <v>6</v>
      </c>
      <c r="V52" s="7">
        <f t="shared" si="84"/>
        <v>0.3</v>
      </c>
      <c r="W52" s="7">
        <f t="shared" si="85"/>
        <v>-7.6923076923077205E-3</v>
      </c>
      <c r="X52">
        <f>ROUND(SUMIFS(LogFY17!K:K,LogFY17!A:A,"=*honolulu_authority*")/SUMIFS(LogFY17!J:J,LogFY17!A:A,"=*honolulu_authority*"),0)</f>
        <v>15</v>
      </c>
      <c r="Y52">
        <f t="shared" si="86"/>
        <v>-2</v>
      </c>
      <c r="Z52" s="1">
        <v>53</v>
      </c>
      <c r="AA52" s="1">
        <f t="shared" si="54"/>
        <v>-2</v>
      </c>
      <c r="AB52">
        <f>COUNTIFS(All!F:F,"=*hart*", All!F:F,"&lt;&gt;*charter*", All!B:B, "&gt;=7/1/2016", All!B:B,"&lt;=6/30/2017", All!E:E,"=U*",All!E:E,"&lt;&gt;UIPA*",All!E:E,"&lt;&gt;*RFO*",All!E:E,"&lt;&gt;*TRNG*")</f>
        <v>0</v>
      </c>
      <c r="AC52" s="7">
        <f>ROUND(AB52/(T52+J52),3)</f>
        <v>0</v>
      </c>
      <c r="AD52">
        <f>SUMIFS(LogFY18!D:D,LogFY18!A:A,"=*honolulu_authority*")</f>
        <v>15</v>
      </c>
      <c r="AE52">
        <f>SUM(SUMIFS(LogFY18!D:D,LogFY18!A:A,"=*honolulu_authority*"),-1*SUMIFS(LogFY18!L:L,LogFY18!A:A,"=*honolulu_authority*"),-1*SUMIFS(LogFY18!N:N,LogFY18!A:A,"=*honolulu_authority*"))</f>
        <v>6</v>
      </c>
      <c r="AF52" s="7">
        <f t="shared" si="87"/>
        <v>0.4</v>
      </c>
      <c r="AG52" s="7">
        <f t="shared" si="88"/>
        <v>0.10000000000000003</v>
      </c>
      <c r="AH52">
        <f>ROUND(SUMIFS(LogFY18!K:K,LogFY18!A:A,"=*honolulu_authority*")/SUMIFS(LogFY18!J:J,LogFY18!A:A,"=*honolulu_authority*"),0)</f>
        <v>7</v>
      </c>
      <c r="AI52">
        <f t="shared" si="89"/>
        <v>-8</v>
      </c>
      <c r="AJ52" s="1">
        <v>23</v>
      </c>
      <c r="AK52" s="1">
        <f t="shared" si="90"/>
        <v>-30</v>
      </c>
      <c r="AL52">
        <f>COUNTIFS(All!F:F,"=*hart*", All!F:F,"&lt;&gt;*charter*", All!B:B, "&gt;=7/1/2017", All!B:B,"&lt;=6/30/2018", All!E:E,"=U*",All!E:E,"&lt;&gt;UIPA*",All!E:E,"&lt;&gt;*RFO*",All!E:E,"&lt;&gt;*TRNG*")</f>
        <v>0</v>
      </c>
      <c r="AM52" s="7">
        <f>ROUND(AL52/(AD52+T52),3)</f>
        <v>0</v>
      </c>
      <c r="AN52">
        <f>SUMIFS(LogFY19!D:D,LogFY19!A:A,"=*honolulu_authority*")</f>
        <v>9</v>
      </c>
      <c r="AO52">
        <f>SUM(SUMIFS(LogFY19!D:D,LogFY19!A:A,"=*honolulu_authority*"),-1*SUMIFS(LogFY19!L:L,LogFY19!A:A,"=*honolulu_authority*"),-1*SUMIFS(LogFY19!N:N,LogFY19!A:A,"=*honolulu_authority*"))</f>
        <v>2</v>
      </c>
      <c r="AP52" s="7">
        <f t="shared" si="91"/>
        <v>0.22222222222222221</v>
      </c>
      <c r="AQ52" s="7">
        <f t="shared" si="92"/>
        <v>-0.17777777777777781</v>
      </c>
      <c r="AR52">
        <f>ROUND(SUMIFS(LogFY19!K:K,LogFY19!A:A,"=*honolulu_authority*")/SUMIFS(LogFY19!J:J,LogFY19!A:A,"=*honolulu_authority*"),0)</f>
        <v>7</v>
      </c>
      <c r="AS52">
        <f t="shared" si="93"/>
        <v>0</v>
      </c>
      <c r="AT52" s="1">
        <v>12</v>
      </c>
      <c r="AU52" s="1">
        <f t="shared" si="94"/>
        <v>-11</v>
      </c>
      <c r="AV52">
        <f>COUNTIFS(All!F:F,"=*hart*", All!F:F,"&lt;&gt;*charter*", All!B:B, "&gt;=7/1/2018", All!B:B,"&lt;=6/30/2019", All!E:E,"=U*",All!E:E,"&lt;&gt;UIPA*",All!E:E,"&lt;&gt;*RFO*",All!E:E,"&lt;&gt;*TRNG*")</f>
        <v>1</v>
      </c>
      <c r="AW52" s="7">
        <f>ROUND(AV52/(AN52+AD52),3)</f>
        <v>4.2000000000000003E-2</v>
      </c>
      <c r="AX52">
        <f>SUMIFS(LogFY20!D:D,LogFY20!A:A,"=*honolulu_authority*")</f>
        <v>19</v>
      </c>
      <c r="AY52">
        <f>SUM(SUMIFS(LogFY20!D:D,LogFY20!A:A,"=*honolulu_authority*"),-1*SUMIFS(LogFY20!L:L,LogFY20!A:A,"=*honolulu_authority*"),-1*SUMIFS(LogFY20!N:N,LogFY20!A:A,"=*honolulu_authority*"))</f>
        <v>8</v>
      </c>
      <c r="AZ52" s="7">
        <f t="shared" si="95"/>
        <v>0.42105263157894735</v>
      </c>
      <c r="BA52" s="7">
        <f t="shared" si="96"/>
        <v>0.19883040935672514</v>
      </c>
      <c r="BB52">
        <f>ROUND(SUMIFS(LogFY20!K:K,LogFY20!A:A,"=*honolulu_authority*")/SUMIFS(LogFY20!J:J,LogFY20!A:A,"=*honolulu_authority*"),0)</f>
        <v>13</v>
      </c>
      <c r="BC52">
        <f t="shared" si="97"/>
        <v>6</v>
      </c>
      <c r="BD52" s="1">
        <v>46</v>
      </c>
      <c r="BE52" s="1">
        <f t="shared" si="98"/>
        <v>34</v>
      </c>
      <c r="BF52">
        <f>COUNTIFS(All!F:F,"=*hart*", All!F:F,"&lt;&gt;*charter*", All!B:B, "&gt;=7/1/2019", All!B:B,"&lt;=6/30/2020", All!E:E,"=U*",All!E:E,"&lt;&gt;UIPA*",All!E:E,"&lt;&gt;*RFO*",All!E:E,"&lt;&gt;*TRNG*")</f>
        <v>0</v>
      </c>
      <c r="BG52" s="7">
        <f>ROUND(BF52/(AX52+AN52),3)</f>
        <v>0</v>
      </c>
      <c r="BH52">
        <f>SUMIFS(LogFY21!D:D,LogFY21!A:A,"=*honolulu_authority*")</f>
        <v>18</v>
      </c>
      <c r="BI52">
        <f>SUM(SUMIFS(LogFY21!D:D,LogFY21!A:A,"=*honolulu_authority*"),-1*SUMIFS(LogFY21!L:L,LogFY21!A:A,"=*honolulu_authority*"),-1*SUMIFS(LogFY21!N:N,LogFY21!A:A,"=*honolulu_authority*"))</f>
        <v>0</v>
      </c>
      <c r="BJ52" s="7">
        <f t="shared" si="99"/>
        <v>0</v>
      </c>
      <c r="BK52" s="7">
        <f t="shared" si="100"/>
        <v>-0.42105263157894735</v>
      </c>
      <c r="BL52">
        <f>ROUND(SUMIFS(LogFY21!K:K,LogFY21!A:A,"=*honolulu_authority*")/SUMIFS(LogFY21!J:J,LogFY21!A:A,"=*honolulu_authority*"),0)</f>
        <v>13</v>
      </c>
      <c r="BM52">
        <f t="shared" si="101"/>
        <v>0</v>
      </c>
      <c r="BN52" s="1">
        <v>24</v>
      </c>
      <c r="BO52" s="1">
        <f t="shared" si="102"/>
        <v>-22</v>
      </c>
      <c r="BP52">
        <f>COUNTIFS(All!F:F,"=*hart*", All!F:F,"&lt;&gt;*charter*", All!B:B, "&gt;=7/1/2020", All!B:B,"&lt;=6/30/2021", All!E:E,"=U*",All!E:E,"&lt;&gt;UIPA*",All!E:E,"&lt;&gt;*RFO*",All!E:E,"&lt;&gt;*TRNG*")</f>
        <v>1</v>
      </c>
      <c r="BQ52" s="7">
        <f>ROUND(BP52/(BH52+AX52),3)</f>
        <v>2.7E-2</v>
      </c>
      <c r="BR52">
        <f>SUMIFS(LogFY22!D:D,LogFY22!A:A,"=*honolulu_authority*")</f>
        <v>16</v>
      </c>
      <c r="BS52">
        <f>SUM(SUMIFS(LogFY22!D:D,LogFY22!A:A,"=*honolulu_authority*"),-1*SUMIFS(LogFY22!L:L,LogFY22!A:A,"=*honolulu_authority*"),-1*SUMIFS(LogFY22!N:N,LogFY22!A:A,"=*honolulu_authority*"))</f>
        <v>6</v>
      </c>
      <c r="BT52" s="7">
        <f t="shared" si="103"/>
        <v>0.375</v>
      </c>
      <c r="BU52" s="7">
        <f t="shared" si="104"/>
        <v>0.375</v>
      </c>
      <c r="BV52">
        <f>ROUND(SUMIFS(LogFY22!K:K,LogFY22!A:A,"=*honolulu_authority*")/SUMIFS(LogFY22!J:J,LogFY22!A:A,"=*honolulu_authority*"),0)</f>
        <v>12</v>
      </c>
      <c r="BW52">
        <f t="shared" si="105"/>
        <v>-1</v>
      </c>
      <c r="BX52" s="1">
        <v>32</v>
      </c>
      <c r="BY52" s="1">
        <f t="shared" si="106"/>
        <v>8</v>
      </c>
      <c r="BZ52">
        <f>COUNTIFS(All!F:F,"=*hart*", All!F:F,"&lt;&gt;*charter*", All!B:B, "&gt;=7/1/2021", All!B:B,"&lt;=6/30/2022", All!E:E,"=U*",All!E:E,"&lt;&gt;UIPA*",All!E:E,"&lt;&gt;*RFO*",All!E:E,"&lt;&gt;*TRNG*")</f>
        <v>0</v>
      </c>
      <c r="CA52" s="7">
        <f>ROUND(BZ52/(BR52+BH52),3)</f>
        <v>0</v>
      </c>
      <c r="CB52">
        <f>SUMIFS(LogFY23!D:D,LogFY23!A:A,"=*honolulu_authority*")</f>
        <v>14</v>
      </c>
      <c r="CC52">
        <f>SUM(SUMIFS(LogFY23!D:D,LogFY23!A:A,"=*honolulu_authority*"),-1*SUMIFS(LogFY23!L:L,LogFY23!A:A,"=*honolulu_authority*"),-1*SUMIFS(LogFY23!N:N,LogFY23!A:A,"=*honolulu_authority*"))</f>
        <v>3</v>
      </c>
      <c r="CD52" s="7">
        <f t="shared" si="107"/>
        <v>0.21428571428571427</v>
      </c>
      <c r="CE52" s="7">
        <f t="shared" si="108"/>
        <v>-0.16071428571428573</v>
      </c>
      <c r="CF52">
        <f>ROUND(SUMIFS(LogFY23!K:K,LogFY23!A:A,"=*honolulu_authority*")/SUMIFS(LogFY23!J:J,LogFY23!A:A,"=*honolulu_authority*"),0)</f>
        <v>13</v>
      </c>
      <c r="CG52">
        <f t="shared" si="109"/>
        <v>1</v>
      </c>
      <c r="CH52" s="1">
        <v>50</v>
      </c>
      <c r="CI52" s="1">
        <f t="shared" si="74"/>
        <v>18</v>
      </c>
      <c r="CJ52">
        <f>COUNTIFS(All!F:F,"=*hart*", All!F:F,"&lt;&gt;*charter*", All!B:B, "&gt;=7/1/2022", All!B:B,"&lt;=6/30/2023", All!E:E,"=U*",All!E:E,"&lt;&gt;UIPA*",All!E:E,"&lt;&gt;*RFO*",All!E:E,"&lt;&gt;*TRNG*")</f>
        <v>0</v>
      </c>
      <c r="CK52" s="7">
        <f>ROUND(CJ52/(CB52+BR52),3)</f>
        <v>0</v>
      </c>
      <c r="CL52">
        <f>SUMIFS(LogFY24!D:D,LogFY24!A:A,"=*honolulu_authority*")</f>
        <v>3</v>
      </c>
      <c r="CM52">
        <f>SUM(SUMIFS(LogFY24!D:D,LogFY24!A:A,"=*honolulu_authority*"),-1*SUMIFS(LogFY24!L:L,LogFY24!A:A,"=*honolulu_authority*"),-1*SUMIFS(LogFY24!N:N,LogFY24!A:A,"=*honolulu_authority*"))</f>
        <v>0</v>
      </c>
      <c r="CN52" s="7">
        <f t="shared" si="73"/>
        <v>0</v>
      </c>
      <c r="CO52" s="7">
        <f t="shared" si="75"/>
        <v>-0.21428571428571427</v>
      </c>
      <c r="CP52">
        <f>ROUND(SUMIFS(LogFY24!K:K,LogFY24!A:A,"=*honolulu_authority*")/SUMIFS(LogFY24!J:J,LogFY24!A:A,"=*honolulu_authority*"),0)</f>
        <v>5</v>
      </c>
      <c r="CQ52">
        <f t="shared" si="76"/>
        <v>-8</v>
      </c>
      <c r="CR52" s="1">
        <v>10</v>
      </c>
      <c r="CS52" s="1">
        <f t="shared" si="110"/>
        <v>-40</v>
      </c>
      <c r="CT52">
        <f>COUNTIFS(All!F:F,"=*hart*", All!F:F,"&lt;&gt;*charter*", All!B:B, "&gt;=7/1/2023", All!B:B,"&lt;=6/30/2024", All!E:E,"=U*",All!E:E,"&lt;&gt;UIPA*",All!E:E,"&lt;&gt;*RFO*",All!E:E,"&lt;&gt;*TRNG*")</f>
        <v>0</v>
      </c>
      <c r="CU52" s="7">
        <f>ROUND(CT52/(CL52+CB52),3)</f>
        <v>0</v>
      </c>
    </row>
    <row r="53" spans="1:99" ht="16">
      <c r="A53" s="10">
        <f t="shared" si="77"/>
        <v>52</v>
      </c>
      <c r="B53" s="1" t="s">
        <v>16809</v>
      </c>
      <c r="C53">
        <f>SUMIFS(LogFY15!D:D,LogFY15!A:A,"=*water*")</f>
        <v>29</v>
      </c>
      <c r="D53">
        <f>SUM(SUMIFS(LogFY15!D:D,LogFY15!A:A,"=*water*"),-1*SUMIFS(LogFY15!L:L,LogFY15!A:A,"=*water*"),-1*SUMIFS(LogFY15!N:N,LogFY15!A:A,"=*water*"))</f>
        <v>3</v>
      </c>
      <c r="E53" s="7">
        <f t="shared" si="83"/>
        <v>0.10344827586206896</v>
      </c>
      <c r="F53">
        <f>ROUND(SUMIFS(LogFY15!K:K,LogFY15!A:A,"=*water*")/SUMIFS(LogFY15!J:J,LogFY15!A:A,"=*water*"),0)</f>
        <v>10</v>
      </c>
      <c r="G53" s="1">
        <v>35</v>
      </c>
      <c r="H53">
        <f>SUM(COUNTIFS(All!F:F,"=*bws*", All!B:B, "&gt;=7/1/2014", All!B:B,"&lt;=6/30/2015", All!E:E,"=U*",All!E:E,"&lt;&gt;UIPA*",All!E:E,"&lt;&gt;*RFO*",All!E:E,"&lt;&gt;*TRNG*"),COUNTIFS(All!F:F,"=*dws*", All!B:B, "&gt;=7/1/2014", All!B:B,"&lt;=6/30/2015", All!E:E,"=U*",All!E:E,"&lt;&gt;UIPA*",All!E:E,"&lt;&gt;*RFO*",All!E:E,"&lt;&gt;*TRNG*"),COUNTIFS(All!F:F,"=water*", All!B:B, "&gt;=7/1/2014", All!B:B,"&lt;=6/30/2015", All!E:E,"=U*",All!E:E,"&lt;&gt;UIPA*",All!E:E,"&lt;&gt;*RFO*",All!E:E,"&lt;&gt;*TRNG*"))</f>
        <v>0</v>
      </c>
      <c r="I53" s="7">
        <f>ROUND(H53/C53,3)</f>
        <v>0</v>
      </c>
      <c r="J53">
        <f>SUMIFS(LogFY16!D:D,LogFY16!A:A,"=*water*")</f>
        <v>41</v>
      </c>
      <c r="K53">
        <f>SUM(SUMIFS(LogFY16!D:D,LogFY16!A:A,"=*water*"),-1*SUMIFS(LogFY16!L:L,LogFY16!A:A,"=*water*"),-1*SUMIFS(LogFY16!N:N,LogFY16!A:A,"=*water*"))</f>
        <v>10</v>
      </c>
      <c r="L53" s="7">
        <f t="shared" si="50"/>
        <v>0.24390243902439024</v>
      </c>
      <c r="M53" s="7">
        <f t="shared" si="51"/>
        <v>0.14045416316232129</v>
      </c>
      <c r="N53">
        <f>ROUND(SUMIFS(LogFY16!K:K,LogFY16!A:A,"=*water*")/SUMIFS(LogFY16!J:J,LogFY16!A:A,"=*water*"),0)</f>
        <v>14</v>
      </c>
      <c r="O53">
        <f t="shared" si="52"/>
        <v>4</v>
      </c>
      <c r="P53" s="1">
        <v>56</v>
      </c>
      <c r="Q53" s="1">
        <f t="shared" si="53"/>
        <v>21</v>
      </c>
      <c r="R53">
        <f>SUM(COUNTIFS(All!F:F,"=*bws*", All!B:B, "&gt;=7/1/2015", All!B:B,"&lt;=6/30/2016", All!E:E,"=U*",All!E:E,"&lt;&gt;UIPA*",All!E:E,"&lt;&gt;*RFO*",All!E:E,"&lt;&gt;*TRNG*"),COUNTIFS(All!F:F,"=*dws*", All!B:B, "&gt;=7/1/2015", All!B:B,"&lt;=6/30/2016", All!E:E,"=U*",All!E:E,"&lt;&gt;UIPA*",All!E:E,"&lt;&gt;*RFO*",All!E:E,"&lt;&gt;*TRNG*"),COUNTIFS(All!F:F,"=water*", All!B:B, "&gt;=7/1/2015", All!B:B,"&lt;=6/30/2016", All!E:E,"=U*",All!E:E,"&lt;&gt;UIPA*",All!E:E,"&lt;&gt;*RFO*",All!E:E,"&lt;&gt;*TRNG*"))</f>
        <v>0</v>
      </c>
      <c r="S53" s="7">
        <f>ROUND(R53/(J53+C53),3)</f>
        <v>0</v>
      </c>
      <c r="T53">
        <f>SUMIFS(LogFY17!D:D,LogFY17!A:A,"=*water*")</f>
        <v>33</v>
      </c>
      <c r="U53">
        <f>SUM(SUMIFS(LogFY17!D:D,LogFY17!A:A,"=*water*"),-1*SUMIFS(LogFY17!L:L,LogFY17!A:A,"=*water*"),-1*SUMIFS(LogFY17!N:N,LogFY17!A:A,"=*water*"))</f>
        <v>9</v>
      </c>
      <c r="V53" s="7">
        <f t="shared" si="84"/>
        <v>0.27272727272727271</v>
      </c>
      <c r="W53" s="7">
        <f t="shared" si="85"/>
        <v>2.8824833702882469E-2</v>
      </c>
      <c r="X53">
        <f>ROUND(SUMIFS(LogFY17!K:K,LogFY17!A:A,"=*water*")/SUMIFS(LogFY17!J:J,LogFY17!A:A,"=*water*"),0)</f>
        <v>14</v>
      </c>
      <c r="Y53">
        <f t="shared" si="86"/>
        <v>0</v>
      </c>
      <c r="Z53" s="1">
        <v>49</v>
      </c>
      <c r="AA53" s="1">
        <f t="shared" si="54"/>
        <v>-7</v>
      </c>
      <c r="AB53">
        <f>SUM(COUNTIFS(All!F:F,"=*bws*", All!B:B, "&gt;=7/1/2016", All!B:B,"&lt;=6/30/2017", All!E:E,"=U*",All!E:E,"&lt;&gt;UIPA*",All!E:E,"&lt;&gt;*RFO*",All!E:E,"&lt;&gt;*TRNG*"),COUNTIFS(All!F:F,"=*dws*", All!B:B, "&gt;=7/1/2016", All!B:B,"&lt;=6/30/2017", All!E:E,"=U*",All!E:E,"&lt;&gt;UIPA*",All!E:E,"&lt;&gt;*RFO*",All!E:E,"&lt;&gt;*TRNG*"),COUNTIFS(All!F:F,"=water*", All!B:B, "&gt;=7/1/2016", All!B:B,"&lt;=6/30/2017", All!E:E,"=U*",All!E:E,"&lt;&gt;UIPA*",All!E:E,"&lt;&gt;*RFO*",All!E:E,"&lt;&gt;*TRNG*"))</f>
        <v>0</v>
      </c>
      <c r="AC53" s="7">
        <f>ROUND(AB53/(T53+J53),3)</f>
        <v>0</v>
      </c>
      <c r="AD53">
        <f>SUMIFS(LogFY18!D:D,LogFY18!A:A,"=*water*")</f>
        <v>65</v>
      </c>
      <c r="AE53">
        <f>SUM(SUMIFS(LogFY18!D:D,LogFY18!A:A,"=*water*"),-1*SUMIFS(LogFY18!L:L,LogFY18!A:A,"=*water*"),-1*SUMIFS(LogFY18!N:N,LogFY18!A:A,"=*water*"))</f>
        <v>12</v>
      </c>
      <c r="AF53" s="7">
        <f t="shared" si="87"/>
        <v>0.18461538461538463</v>
      </c>
      <c r="AG53" s="7">
        <f t="shared" si="88"/>
        <v>-8.8111888111888081E-2</v>
      </c>
      <c r="AH53">
        <f>ROUND(SUMIFS(LogFY18!K:K,LogFY18!A:A,"=*water*")/SUMIFS(LogFY18!J:J,LogFY18!A:A,"=*water*"),0)</f>
        <v>11</v>
      </c>
      <c r="AI53">
        <f t="shared" si="89"/>
        <v>-3</v>
      </c>
      <c r="AJ53" s="1">
        <v>60</v>
      </c>
      <c r="AK53" s="1">
        <f t="shared" si="90"/>
        <v>11</v>
      </c>
      <c r="AL53">
        <f>SUM(COUNTIFS(All!F:F,"=*bws*", All!B:B, "&gt;=7/1/2017", All!B:B,"&lt;=6/30/2018", All!E:E,"=U*",All!E:E,"&lt;&gt;UIPA*",All!E:E,"&lt;&gt;*RFO*",All!E:E,"&lt;&gt;*TRNG*"),COUNTIFS(All!F:F,"=*dws*", All!B:B, "&gt;=7/1/2017", All!B:B,"&lt;=6/30/2018", All!E:E,"=U*",All!E:E,"&lt;&gt;UIPA*",All!E:E,"&lt;&gt;*RFO*",All!E:E,"&lt;&gt;*TRNG*"),COUNTIFS(All!F:F,"=water*", All!B:B, "&gt;=7/1/2017", All!B:B,"&lt;=6/30/2018", All!E:E,"=U*",All!E:E,"&lt;&gt;UIPA*",All!E:E,"&lt;&gt;*RFO*",All!E:E,"&lt;&gt;*TRNG*"))</f>
        <v>0</v>
      </c>
      <c r="AM53" s="7">
        <f>ROUND(AL53/(AD53+T53),3)</f>
        <v>0</v>
      </c>
      <c r="AN53">
        <f>SUMIFS(LogFY19!D:D,LogFY19!A:A,"=*water*")</f>
        <v>117</v>
      </c>
      <c r="AO53">
        <f>SUM(SUMIFS(LogFY19!D:D,LogFY19!A:A,"=*water*"),-1*SUMIFS(LogFY19!L:L,LogFY19!A:A,"=*water*"),-1*SUMIFS(LogFY19!N:N,LogFY19!A:A,"=*water*"))</f>
        <v>12</v>
      </c>
      <c r="AP53" s="7">
        <f t="shared" si="91"/>
        <v>0.10256410256410256</v>
      </c>
      <c r="AQ53" s="7">
        <f t="shared" si="92"/>
        <v>-8.2051282051282065E-2</v>
      </c>
      <c r="AR53">
        <f>ROUND(SUMIFS(LogFY19!K:K,LogFY19!A:A,"=*water*")/SUMIFS(LogFY19!J:J,LogFY19!A:A,"=*water*"),0)</f>
        <v>7</v>
      </c>
      <c r="AS53">
        <f t="shared" si="93"/>
        <v>-4</v>
      </c>
      <c r="AT53" s="1">
        <v>104</v>
      </c>
      <c r="AU53" s="1">
        <f t="shared" si="94"/>
        <v>44</v>
      </c>
      <c r="AV53">
        <f>SUM(COUNTIFS(All!F:F,"=*bws*", All!B:B, "&gt;=7/1/2018", All!B:B,"&lt;=6/30/2019", All!E:E,"=U*",All!E:E,"&lt;&gt;UIPA*",All!E:E,"&lt;&gt;*RFO*",All!E:E,"&lt;&gt;*TRNG*"),COUNTIFS(All!F:F,"=*dws*", All!B:B, "&gt;=7/1/2018", All!B:B,"&lt;=6/30/2019", All!E:E,"=U*",All!E:E,"&lt;&gt;UIPA*",All!E:E,"&lt;&gt;*RFO*",All!E:E,"&lt;&gt;*TRNG*"),COUNTIFS(All!F:F,"=water*", All!B:B, "&gt;=7/1/2018", All!B:B,"&lt;=6/30/2019", All!E:E,"=U*",All!E:E,"&lt;&gt;UIPA*",All!E:E,"&lt;&gt;*RFO*",All!E:E,"&lt;&gt;*TRNG*"))</f>
        <v>0</v>
      </c>
      <c r="AW53" s="7">
        <f>ROUND(AV53/(AN53+AD53),3)</f>
        <v>0</v>
      </c>
      <c r="AX53">
        <f>SUMIFS(LogFY20!D:D,LogFY20!A:A,"=*water*")</f>
        <v>101</v>
      </c>
      <c r="AY53">
        <f>SUM(SUMIFS(LogFY20!D:D,LogFY20!A:A,"=*water*"),-1*SUMIFS(LogFY20!L:L,LogFY20!A:A,"=*water*"),-1*SUMIFS(LogFY20!N:N,LogFY20!A:A,"=*water*"))</f>
        <v>13</v>
      </c>
      <c r="AZ53" s="7">
        <f t="shared" si="95"/>
        <v>0.12871287128712872</v>
      </c>
      <c r="BA53" s="7">
        <f t="shared" si="96"/>
        <v>2.6148768723026156E-2</v>
      </c>
      <c r="BB53">
        <f>ROUND(SUMIFS(LogFY20!K:K,LogFY20!A:A,"=*water*")/SUMIFS(LogFY20!J:J,LogFY20!A:A,"=*water*"),0)</f>
        <v>11</v>
      </c>
      <c r="BC53">
        <f t="shared" si="97"/>
        <v>4</v>
      </c>
      <c r="BD53" s="1">
        <v>37</v>
      </c>
      <c r="BE53" s="1">
        <f t="shared" si="98"/>
        <v>-67</v>
      </c>
      <c r="BF53">
        <f>SUM(COUNTIFS(All!F:F,"=*bws*", All!B:B, "&gt;=7/1/2019", All!B:B,"&lt;=6/30/2020", All!E:E,"=U*",All!E:E,"&lt;&gt;UIPA*",All!E:E,"&lt;&gt;*RFO*",All!E:E,"&lt;&gt;*TRNG*"),COUNTIFS(All!F:F,"=*dws*", All!B:B, "&gt;=7/1/2019", All!B:B,"&lt;=6/30/2020", All!E:E,"=U*",All!E:E,"&lt;&gt;UIPA*",All!E:E,"&lt;&gt;*RFO*",All!E:E,"&lt;&gt;*TRNG*"),COUNTIFS(All!F:F,"=water*", All!B:B, "&gt;=7/1/2019", All!B:B,"&lt;=6/30/2020", All!E:E,"=U*",All!E:E,"&lt;&gt;UIPA*",All!E:E,"&lt;&gt;*RFO*",All!E:E,"&lt;&gt;*TRNG*"))</f>
        <v>1</v>
      </c>
      <c r="BG53" s="7">
        <f>ROUND(BF53/(AX53+AN53),3)</f>
        <v>5.0000000000000001E-3</v>
      </c>
      <c r="BH53">
        <f>SUMIFS(LogFY21!D:D,LogFY21!A:A,"=*water*")</f>
        <v>119</v>
      </c>
      <c r="BI53">
        <f>SUM(SUMIFS(LogFY21!D:D,LogFY21!A:A,"=*water*"),-1*SUMIFS(LogFY21!L:L,LogFY21!A:A,"=*water*"),-1*SUMIFS(LogFY21!N:N,LogFY21!A:A,"=*water*"))</f>
        <v>28</v>
      </c>
      <c r="BJ53" s="7">
        <f t="shared" si="99"/>
        <v>0.23529411764705882</v>
      </c>
      <c r="BK53" s="7">
        <f t="shared" si="100"/>
        <v>0.1065812463599301</v>
      </c>
      <c r="BL53">
        <f>ROUND(SUMIFS(LogFY21!K:K,LogFY21!A:A,"=*water*")/SUMIFS(LogFY21!J:J,LogFY21!A:A,"=*water*"),0)</f>
        <v>11</v>
      </c>
      <c r="BM53">
        <f t="shared" si="101"/>
        <v>0</v>
      </c>
      <c r="BN53" s="1">
        <v>52</v>
      </c>
      <c r="BO53" s="1">
        <f t="shared" si="102"/>
        <v>15</v>
      </c>
      <c r="BP53">
        <f>SUM(COUNTIFS(All!F:F,"=*bws*", All!B:B, "&gt;=7/1/2020", All!B:B,"&lt;=6/30/2021", All!E:E,"=U*",All!E:E,"&lt;&gt;UIPA*",All!E:E,"&lt;&gt;*RFO*",All!E:E,"&lt;&gt;*TRNG*"),COUNTIFS(All!F:F,"=*dws*", All!B:B, "&gt;=7/1/2020", All!B:B,"&lt;=6/30/2021", All!E:E,"=U*",All!E:E,"&lt;&gt;UIPA*",All!E:E,"&lt;&gt;*RFO*",All!E:E,"&lt;&gt;*TRNG*"),COUNTIFS(All!F:F,"=water*", All!B:B, "&gt;=7/1/2020", All!B:B,"&lt;=6/30/2021", All!E:E,"=U*",All!E:E,"&lt;&gt;UIPA*",All!E:E,"&lt;&gt;*RFO*",All!E:E,"&lt;&gt;*TRNG*"))</f>
        <v>0</v>
      </c>
      <c r="BQ53" s="7">
        <f>ROUND(BP53/(BH53+AX53),3)</f>
        <v>0</v>
      </c>
      <c r="BR53">
        <f>SUMIFS(LogFY22!D:D,LogFY22!A:A,"=*water*")</f>
        <v>71</v>
      </c>
      <c r="BS53">
        <f>SUM(SUMIFS(LogFY22!D:D,LogFY22!A:A,"=*water*"),-1*SUMIFS(LogFY22!L:L,LogFY22!A:A,"=*water*"),-1*SUMIFS(LogFY22!N:N,LogFY22!A:A,"=*water*"))</f>
        <v>15</v>
      </c>
      <c r="BT53" s="7">
        <f t="shared" si="103"/>
        <v>0.21126760563380281</v>
      </c>
      <c r="BU53" s="7">
        <f t="shared" si="104"/>
        <v>-2.4026512013256007E-2</v>
      </c>
      <c r="BV53">
        <f>ROUND(SUMIFS(LogFY22!K:K,LogFY22!A:A,"=*water*")/SUMIFS(LogFY22!J:J,LogFY22!A:A,"=*water*"),0)</f>
        <v>12</v>
      </c>
      <c r="BW53">
        <f t="shared" si="105"/>
        <v>1</v>
      </c>
      <c r="BX53" s="1">
        <v>87</v>
      </c>
      <c r="BY53" s="1">
        <f t="shared" si="106"/>
        <v>35</v>
      </c>
      <c r="BZ53">
        <f>SUM(COUNTIFS(All!F:F,"=*bws*", All!B:B, "&gt;=7/1/2021", All!B:B,"&lt;=6/30/2022", All!E:E,"=U*",All!E:E,"&lt;&gt;UIPA*",All!E:E,"&lt;&gt;*RFO*",All!E:E,"&lt;&gt;*TRNG*"),COUNTIFS(All!F:F,"=*dws*", All!B:B, "&gt;=7/1/2021", All!B:B,"&lt;=6/30/2022", All!E:E,"=U*",All!E:E,"&lt;&gt;UIPA*",All!E:E,"&lt;&gt;*RFO*",All!E:E,"&lt;&gt;*TRNG*"),COUNTIFS(All!F:F,"=water*", All!B:B, "&gt;=7/1/2021", All!B:B,"&lt;=6/30/2022", All!E:E,"=U*",All!E:E,"&lt;&gt;UIPA*",All!E:E,"&lt;&gt;*RFO*",All!E:E,"&lt;&gt;*TRNG*"))</f>
        <v>0</v>
      </c>
      <c r="CA53" s="7">
        <f>ROUND(BZ53/(BR53+BH53),3)</f>
        <v>0</v>
      </c>
      <c r="CB53">
        <f>SUMIFS(LogFY23!D:D,LogFY23!A:A,"=*water*")</f>
        <v>91</v>
      </c>
      <c r="CC53">
        <f>SUM(SUMIFS(LogFY23!D:D,LogFY23!A:A,"=*water*"),-1*SUMIFS(LogFY23!L:L,LogFY23!A:A,"=*water*"),-1*SUMIFS(LogFY23!N:N,LogFY23!A:A,"=*water*"))</f>
        <v>24</v>
      </c>
      <c r="CD53" s="7">
        <f t="shared" si="107"/>
        <v>0.26373626373626374</v>
      </c>
      <c r="CE53" s="7">
        <f t="shared" si="108"/>
        <v>5.246865810246093E-2</v>
      </c>
      <c r="CF53">
        <f>ROUND(SUMIFS(LogFY23!K:K,LogFY23!A:A,"=*water*")/SUMIFS(LogFY23!J:J,LogFY23!A:A,"=*water*"),0)</f>
        <v>13</v>
      </c>
      <c r="CG53">
        <f t="shared" si="109"/>
        <v>1</v>
      </c>
      <c r="CH53" s="1">
        <v>53</v>
      </c>
      <c r="CI53" s="1">
        <f t="shared" si="74"/>
        <v>-34</v>
      </c>
      <c r="CJ53">
        <f>SUM(COUNTIFS(All!F:F,"=*bws*", All!B:B, "&gt;=7/1/2022", All!B:B,"&lt;=6/30/2023", All!E:E,"=U*",All!E:E,"&lt;&gt;UIPA*",All!E:E,"&lt;&gt;*RFO*",All!E:E,"&lt;&gt;*TRNG*"),COUNTIFS(All!F:F,"=*dws*", All!B:B, "&gt;=7/1/2022", All!B:B,"&lt;=6/30/2023", All!E:E,"=U*",All!E:E,"&lt;&gt;UIPA*",All!E:E,"&lt;&gt;*RFO*",All!E:E,"&lt;&gt;*TRNG*"),COUNTIFS(All!F:F,"=water*", All!B:B, "&gt;=7/1/2022", All!B:B,"&lt;=6/30/2023", All!E:E,"=U*",All!E:E,"&lt;&gt;UIPA*",All!E:E,"&lt;&gt;*RFO*",All!E:E,"&lt;&gt;*TRNG*"))</f>
        <v>0</v>
      </c>
      <c r="CK53" s="7">
        <f>ROUND(CJ53/(CB53+BR53),3)</f>
        <v>0</v>
      </c>
      <c r="CL53">
        <f>SUMIFS(LogFY24!D:D,LogFY24!A:A,"=*water*")</f>
        <v>99</v>
      </c>
      <c r="CM53">
        <f>SUM(SUMIFS(LogFY24!D:D,LogFY24!A:A,"=*water*"),-1*SUMIFS(LogFY24!L:L,LogFY24!A:A,"=*water*"),-1*SUMIFS(LogFY24!N:N,LogFY24!A:A,"=*water*"))</f>
        <v>26</v>
      </c>
      <c r="CN53" s="7">
        <f t="shared" si="73"/>
        <v>0.26262626262626265</v>
      </c>
      <c r="CO53" s="7">
        <f t="shared" si="75"/>
        <v>-1.1100011100010909E-3</v>
      </c>
      <c r="CP53">
        <f>ROUND(SUMIFS(LogFY24!K:K,LogFY24!A:A,"=*water*")/SUMIFS(LogFY24!J:J,LogFY24!A:A,"=*water*"),0)</f>
        <v>18</v>
      </c>
      <c r="CQ53">
        <f t="shared" si="76"/>
        <v>5</v>
      </c>
      <c r="CR53" s="1">
        <v>153</v>
      </c>
      <c r="CS53" s="1">
        <f t="shared" si="110"/>
        <v>100</v>
      </c>
      <c r="CT53">
        <f>SUM(COUNTIFS(All!F:F,"=*bws*", All!B:B, "&gt;=7/1/2023", All!B:B,"&lt;=6/30/2024", All!E:E,"=U*",All!E:E,"&lt;&gt;UIPA*",All!E:E,"&lt;&gt;*RFO*",All!E:E,"&lt;&gt;*TRNG*"),COUNTIFS(All!F:F,"=*dws*", All!B:B, "&gt;=7/1/2023", All!B:B,"&lt;=6/30/2024", All!E:E,"=U*",All!E:E,"&lt;&gt;UIPA*",All!E:E,"&lt;&gt;*RFO*",All!E:E,"&lt;&gt;*TRNG*"),COUNTIFS(All!F:F,"=water*", All!B:B, "&gt;=7/1/2023", All!B:B,"&lt;=6/30/2024", All!E:E,"=U*",All!E:E,"&lt;&gt;UIPA*",All!E:E,"&lt;&gt;*RFO*",All!E:E,"&lt;&gt;*TRNG*"))</f>
        <v>3</v>
      </c>
      <c r="CU53" s="7">
        <f>ROUND(CT53/(CL53+CB53),3)</f>
        <v>1.6E-2</v>
      </c>
    </row>
    <row r="54" spans="1:99" ht="16">
      <c r="A54" s="10">
        <f t="shared" si="77"/>
        <v>53</v>
      </c>
      <c r="B54" s="9" t="s">
        <v>17451</v>
      </c>
      <c r="C54">
        <f>SUMIFS(LogFY15!D:D,LogFY15!A:A,"=*honolulu_board*")</f>
        <v>20</v>
      </c>
      <c r="D54">
        <f>SUM(SUMIFS(LogFY15!D:D,LogFY15!A:A,"=*honolulu_board*"),-1*SUMIFS(LogFY15!L:L,LogFY15!A:A,"=*honolulu_board*"),-1*SUMIFS(LogFY15!N:N,LogFY15!A:A,"=*honolulu_board*"))</f>
        <v>2</v>
      </c>
      <c r="E54" s="7">
        <f t="shared" si="83"/>
        <v>0.1</v>
      </c>
      <c r="F54">
        <f>ROUND(SUMIFS(LogFY15!K:K,LogFY15!A:A,"=*honolulu_board*")/SUMIFS(LogFY15!J:J,LogFY15!A:A,"=*honolulu_board*"),0)</f>
        <v>10</v>
      </c>
      <c r="G54" s="1">
        <v>35</v>
      </c>
      <c r="J54">
        <f>SUMIFS(LogFY16!D:D,LogFY16!A:A,"=*honolulu_board*")</f>
        <v>32</v>
      </c>
      <c r="K54">
        <f>SUM(SUMIFS(LogFY16!D:D,LogFY16!A:A,"=*honolulu_board*"),-1*SUMIFS(LogFY16!L:L,LogFY16!A:A,"=*honolulu_board*"),-1*SUMIFS(LogFY16!N:N,LogFY16!A:A,"=*honolulu_board*"))</f>
        <v>9</v>
      </c>
      <c r="L54" s="7">
        <f t="shared" si="50"/>
        <v>0.28125</v>
      </c>
      <c r="M54" s="7">
        <f t="shared" si="51"/>
        <v>0.18124999999999999</v>
      </c>
      <c r="N54">
        <f>ROUND(SUMIFS(LogFY16!K:K,LogFY16!A:A,"=*honolulu_board*")/SUMIFS(LogFY16!J:J,LogFY16!A:A,"=*honolulu_board*"),0)</f>
        <v>17</v>
      </c>
      <c r="O54">
        <f t="shared" si="52"/>
        <v>7</v>
      </c>
      <c r="P54" s="1">
        <v>56</v>
      </c>
      <c r="Q54" s="1">
        <f t="shared" si="53"/>
        <v>21</v>
      </c>
      <c r="T54">
        <f>SUMIFS(LogFY17!D:D,LogFY17!A:A,"=*honolulu_board*")</f>
        <v>24</v>
      </c>
      <c r="U54">
        <f>SUM(SUMIFS(LogFY17!D:D,LogFY17!A:A,"=*honolulu_board*"),-1*SUMIFS(LogFY17!L:L,LogFY17!A:A,"=*honolulu_board*"),-1*SUMIFS(LogFY17!N:N,LogFY17!A:A,"=*honolulu_board*"))</f>
        <v>8</v>
      </c>
      <c r="V54" s="7">
        <f t="shared" si="84"/>
        <v>0.33333333333333331</v>
      </c>
      <c r="W54" s="7">
        <f t="shared" si="85"/>
        <v>5.2083333333333315E-2</v>
      </c>
      <c r="X54">
        <f>ROUND(SUMIFS(LogFY17!K:K,LogFY17!A:A,"=*honolulu_board*")/SUMIFS(LogFY17!J:J,LogFY17!A:A,"=*honolulu_board*"),0)</f>
        <v>18</v>
      </c>
      <c r="Y54">
        <f t="shared" si="86"/>
        <v>1</v>
      </c>
      <c r="Z54" s="1">
        <v>49</v>
      </c>
      <c r="AA54" s="1">
        <f t="shared" si="54"/>
        <v>-7</v>
      </c>
      <c r="AD54">
        <f>SUMIFS(LogFY18!D:D,LogFY18!A:A,"=*honolulu_board*")</f>
        <v>27</v>
      </c>
      <c r="AE54">
        <f>SUM(SUMIFS(LogFY18!D:D,LogFY18!A:A,"=*honolulu_board*"),-1*SUMIFS(LogFY18!L:L,LogFY18!A:A,"=*honolulu_board*"),-1*SUMIFS(LogFY18!N:N,LogFY18!A:A,"=*honolulu_board*"))</f>
        <v>5</v>
      </c>
      <c r="AF54" s="7">
        <f t="shared" si="87"/>
        <v>0.18518518518518517</v>
      </c>
      <c r="AG54" s="7">
        <f t="shared" si="88"/>
        <v>-0.14814814814814814</v>
      </c>
      <c r="AH54">
        <f>ROUND(SUMIFS(LogFY18!K:K,LogFY18!A:A,"=*honolulu_board*")/SUMIFS(LogFY18!J:J,LogFY18!A:A,"=*honolulu_board*"),0)</f>
        <v>21</v>
      </c>
      <c r="AI54">
        <f t="shared" si="89"/>
        <v>3</v>
      </c>
      <c r="AJ54" s="1">
        <v>60</v>
      </c>
      <c r="AK54" s="1">
        <f t="shared" si="90"/>
        <v>11</v>
      </c>
      <c r="AN54">
        <f>SUMIFS(LogFY19!D:D,LogFY19!A:A,"=*honolulu_board*")</f>
        <v>17</v>
      </c>
      <c r="AO54">
        <f>SUM(SUMIFS(LogFY19!D:D,LogFY19!A:A,"=*honolulu_board*"),-1*SUMIFS(LogFY19!L:L,LogFY19!A:A,"=*honolulu_board*"),-1*SUMIFS(LogFY19!N:N,LogFY19!A:A,"=*honolulu_board*"))</f>
        <v>8</v>
      </c>
      <c r="AP54" s="7">
        <f t="shared" si="91"/>
        <v>0.47058823529411764</v>
      </c>
      <c r="AQ54" s="7">
        <f t="shared" si="92"/>
        <v>0.28540305010893247</v>
      </c>
      <c r="AR54">
        <f>ROUND(SUMIFS(LogFY19!K:K,LogFY19!A:A,"=*honolulu_board*")/SUMIFS(LogFY19!J:J,LogFY19!A:A,"=*honolulu_board*"),0)</f>
        <v>17</v>
      </c>
      <c r="AS54">
        <f t="shared" si="93"/>
        <v>-4</v>
      </c>
      <c r="AT54" s="1">
        <v>35</v>
      </c>
      <c r="AU54" s="1">
        <f t="shared" si="94"/>
        <v>-25</v>
      </c>
      <c r="AX54">
        <f>SUMIFS(LogFY20!D:D,LogFY20!A:A,"=*honolulu_board*")</f>
        <v>42</v>
      </c>
      <c r="AY54">
        <f>SUM(SUMIFS(LogFY20!D:D,LogFY20!A:A,"=*honolulu_board*"),-1*SUMIFS(LogFY20!L:L,LogFY20!A:A,"=*honolulu_board*"),-1*SUMIFS(LogFY20!N:N,LogFY20!A:A,"=*honolulu_board*"))</f>
        <v>8</v>
      </c>
      <c r="AZ54" s="7">
        <f t="shared" si="95"/>
        <v>0.19047619047619047</v>
      </c>
      <c r="BA54" s="7">
        <f t="shared" si="96"/>
        <v>-0.28011204481792717</v>
      </c>
      <c r="BB54">
        <f>ROUND(SUMIFS(LogFY20!K:K,LogFY20!A:A,"=*honolulu_board*")/SUMIFS(LogFY20!J:J,LogFY20!A:A,"=*honolulu_board*"),0)</f>
        <v>16</v>
      </c>
      <c r="BC54">
        <f t="shared" si="97"/>
        <v>-1</v>
      </c>
      <c r="BD54" s="1">
        <v>37</v>
      </c>
      <c r="BE54" s="1">
        <f t="shared" si="98"/>
        <v>2</v>
      </c>
      <c r="BH54">
        <f>SUMIFS(LogFY21!D:D,LogFY21!A:A,"=*honolulu_board*")</f>
        <v>29</v>
      </c>
      <c r="BI54">
        <f>SUM(SUMIFS(LogFY21!D:D,LogFY21!A:A,"=*honolulu_board*"),-1*SUMIFS(LogFY21!L:L,LogFY21!A:A,"=*honolulu_board*"),-1*SUMIFS(LogFY21!N:N,LogFY21!A:A,"=*honolulu_board*"))</f>
        <v>5</v>
      </c>
      <c r="BJ54" s="7">
        <f t="shared" si="99"/>
        <v>0.17241379310344829</v>
      </c>
      <c r="BK54" s="7">
        <f t="shared" si="100"/>
        <v>-1.8062397372742178E-2</v>
      </c>
      <c r="BL54">
        <f>ROUND(SUMIFS(LogFY21!K:K,LogFY21!A:A,"=*honolulu_board*")/SUMIFS(LogFY21!J:J,LogFY21!A:A,"=*honolulu_board*"),0)</f>
        <v>15</v>
      </c>
      <c r="BM54">
        <f t="shared" si="101"/>
        <v>-1</v>
      </c>
      <c r="BN54" s="1">
        <v>31</v>
      </c>
      <c r="BO54" s="1">
        <f t="shared" si="102"/>
        <v>-6</v>
      </c>
      <c r="BR54">
        <f>SUMIFS(LogFY22!D:D,LogFY22!A:A,"=*honolulu_board*")</f>
        <v>43</v>
      </c>
      <c r="BS54">
        <f>SUM(SUMIFS(LogFY22!D:D,LogFY22!A:A,"=*honolulu_board*"),-1*SUMIFS(LogFY22!L:L,LogFY22!A:A,"=*honolulu_board*"),-1*SUMIFS(LogFY22!N:N,LogFY22!A:A,"=*honolulu_board*"))</f>
        <v>9</v>
      </c>
      <c r="BT54" s="7">
        <f t="shared" si="103"/>
        <v>0.20930232558139536</v>
      </c>
      <c r="BU54" s="7">
        <f t="shared" si="104"/>
        <v>3.6888532477947072E-2</v>
      </c>
      <c r="BV54">
        <f>ROUND(SUMIFS(LogFY22!K:K,LogFY22!A:A,"=*honolulu_board*")/SUMIFS(LogFY22!J:J,LogFY22!A:A,"=*honolulu_board*"),0)</f>
        <v>10</v>
      </c>
      <c r="BW54">
        <f t="shared" si="105"/>
        <v>-5</v>
      </c>
      <c r="BX54" s="1">
        <v>26</v>
      </c>
      <c r="BY54" s="1">
        <f t="shared" si="106"/>
        <v>-5</v>
      </c>
      <c r="CB54">
        <f>SUMIFS(LogFY23!D:D,LogFY23!A:A,"=*honolulu_board*")</f>
        <v>51</v>
      </c>
      <c r="CC54">
        <f>SUM(SUMIFS(LogFY23!D:D,LogFY23!A:A,"=*honolulu_board*"),-1*SUMIFS(LogFY23!L:L,LogFY23!A:A,"=*honolulu_board*"),-1*SUMIFS(LogFY23!N:N,LogFY23!A:A,"=*honolulu_board*"))</f>
        <v>4</v>
      </c>
      <c r="CD54" s="7">
        <f t="shared" si="107"/>
        <v>7.8431372549019607E-2</v>
      </c>
      <c r="CE54" s="7">
        <f t="shared" si="108"/>
        <v>-0.13087095303237575</v>
      </c>
      <c r="CF54">
        <f>ROUND(SUMIFS(LogFY23!K:K,LogFY23!A:A,"=*honolulu_board*")/SUMIFS(LogFY23!J:J,LogFY23!A:A,"=*honolulu_board*"),0)</f>
        <v>12</v>
      </c>
      <c r="CG54">
        <f t="shared" si="109"/>
        <v>2</v>
      </c>
      <c r="CH54" s="1">
        <v>43</v>
      </c>
      <c r="CI54" s="1">
        <f t="shared" si="74"/>
        <v>17</v>
      </c>
      <c r="CK54" s="7"/>
      <c r="CL54">
        <f>SUMIFS(LogFY24!D:D,LogFY24!A:A,"=*honolulu_board*")</f>
        <v>35</v>
      </c>
      <c r="CM54">
        <f>SUM(SUMIFS(LogFY24!D:D,LogFY24!A:A,"=*honolulu_board*"),-1*SUMIFS(LogFY24!L:L,LogFY24!A:A,"=*honolulu_board*"),-1*SUMIFS(LogFY24!N:N,LogFY24!A:A,"=*honolulu_board*"))</f>
        <v>3</v>
      </c>
      <c r="CN54" s="7">
        <f t="shared" si="73"/>
        <v>8.5714285714285715E-2</v>
      </c>
      <c r="CO54" s="7">
        <f t="shared" si="75"/>
        <v>7.2829131652661083E-3</v>
      </c>
      <c r="CP54">
        <f>ROUND(SUMIFS(LogFY24!K:K,LogFY24!A:A,"=*honolulu_board*")/SUMIFS(LogFY24!J:J,LogFY24!A:A,"=*honolulu_board*"),0)</f>
        <v>10</v>
      </c>
      <c r="CQ54">
        <f t="shared" si="76"/>
        <v>-2</v>
      </c>
      <c r="CR54" s="1">
        <v>48</v>
      </c>
      <c r="CS54" s="1">
        <f t="shared" si="110"/>
        <v>5</v>
      </c>
    </row>
    <row r="55" spans="1:99" ht="16">
      <c r="A55" s="10">
        <f t="shared" si="77"/>
        <v>54</v>
      </c>
      <c r="B55" s="9" t="s">
        <v>17452</v>
      </c>
      <c r="C55">
        <f>SUMIFS(LogFY15!D:D,LogFY15!A:A,"=*maui_county_water*")</f>
        <v>0</v>
      </c>
      <c r="D55">
        <f>SUM(SUMIFS(LogFY15!D:D,LogFY15!A:A,"=*maui_county_water*"),-1*SUMIFS(LogFY15!L:L,LogFY15!A:A,"=*maui_county_water*"),-1*SUMIFS(LogFY15!N:N,LogFY15!A:A,"=*maui_county_water*"))</f>
        <v>0</v>
      </c>
      <c r="E55" s="7"/>
      <c r="G55" s="1"/>
      <c r="J55">
        <f>SUMIFS(LogFY16!D:D,LogFY16!A:A,"=*maui_county_water*")</f>
        <v>3</v>
      </c>
      <c r="K55">
        <f>SUM(SUMIFS(LogFY16!D:D,LogFY16!A:A,"=*maui_county_water*"),-1*SUMIFS(LogFY16!L:L,LogFY16!A:A,"=*maui_county_water*"),-1*SUMIFS(LogFY16!N:N,LogFY16!A:A,"=*maui_county_water*"))</f>
        <v>0</v>
      </c>
      <c r="L55" s="7">
        <f t="shared" si="50"/>
        <v>0</v>
      </c>
      <c r="M55" s="7">
        <f t="shared" si="51"/>
        <v>0</v>
      </c>
      <c r="N55">
        <f>ROUND(SUMIFS(LogFY16!K:K,LogFY16!A:A,"=*maui_county_water*")/SUMIFS(LogFY16!J:J,LogFY16!A:A,"=*maui_county_water*"),0)</f>
        <v>3</v>
      </c>
      <c r="O55">
        <f t="shared" si="52"/>
        <v>3</v>
      </c>
      <c r="P55" s="1">
        <v>8</v>
      </c>
      <c r="Q55" s="1">
        <f t="shared" si="53"/>
        <v>8</v>
      </c>
      <c r="T55">
        <f>SUMIFS(LogFY17!D:D,LogFY17!A:A,"=*maui_county_water*")</f>
        <v>5</v>
      </c>
      <c r="U55">
        <f>SUM(SUMIFS(LogFY17!D:D,LogFY17!A:A,"=*maui_county_water*"),-1*SUMIFS(LogFY17!L:L,LogFY17!A:A,"=*maui_county_water*"),-1*SUMIFS(LogFY17!N:N,LogFY17!A:A,"=*maui_county_water*"))</f>
        <v>1</v>
      </c>
      <c r="V55" s="7">
        <f t="shared" si="84"/>
        <v>0.2</v>
      </c>
      <c r="W55" s="7">
        <f t="shared" si="85"/>
        <v>0.2</v>
      </c>
      <c r="X55">
        <f>ROUND(SUMIFS(LogFY17!K:K,LogFY17!A:A,"=*maui_county_water*")/SUMIFS(LogFY17!J:J,LogFY17!A:A,"=*maui_county_water*"),0)</f>
        <v>4</v>
      </c>
      <c r="Y55">
        <f t="shared" si="86"/>
        <v>1</v>
      </c>
      <c r="Z55" s="1">
        <v>12</v>
      </c>
      <c r="AA55" s="1">
        <f t="shared" si="54"/>
        <v>4</v>
      </c>
      <c r="AD55">
        <f>SUMIFS(LogFY18!D:D,LogFY18!A:A,"=*maui_county_water*")</f>
        <v>12</v>
      </c>
      <c r="AE55">
        <f>SUM(SUMIFS(LogFY18!D:D,LogFY18!A:A,"=*maui_county_water*"),-1*SUMIFS(LogFY18!L:L,LogFY18!A:A,"=*maui_county_water*"),-1*SUMIFS(LogFY18!N:N,LogFY18!A:A,"=*maui_county_water*"))</f>
        <v>5</v>
      </c>
      <c r="AF55" s="7">
        <f t="shared" si="87"/>
        <v>0.41666666666666669</v>
      </c>
      <c r="AG55" s="7">
        <f t="shared" si="88"/>
        <v>0.21666666666666667</v>
      </c>
      <c r="AH55">
        <f>ROUND(SUMIFS(LogFY18!K:K,LogFY18!A:A,"=*maui_county_water*")/SUMIFS(LogFY18!J:J,LogFY18!A:A,"=*maui_county_water*"),0)</f>
        <v>2</v>
      </c>
      <c r="AI55">
        <f t="shared" si="89"/>
        <v>-2</v>
      </c>
      <c r="AJ55" s="1">
        <v>59</v>
      </c>
      <c r="AK55" s="1">
        <f t="shared" si="90"/>
        <v>47</v>
      </c>
      <c r="AN55">
        <f>SUMIFS(LogFY19!D:D,LogFY19!A:A,"=*maui_county_water*")</f>
        <v>22</v>
      </c>
      <c r="AO55">
        <f>SUM(SUMIFS(LogFY19!D:D,LogFY19!A:A,"=*maui_county_water*"),-1*SUMIFS(LogFY19!L:L,LogFY19!A:A,"=*maui_county_water*"),-1*SUMIFS(LogFY19!N:N,LogFY19!A:A,"=*maui_county_water*"))</f>
        <v>1</v>
      </c>
      <c r="AP55" s="7">
        <f t="shared" si="91"/>
        <v>4.5454545454545456E-2</v>
      </c>
      <c r="AQ55" s="7">
        <f t="shared" si="92"/>
        <v>-0.37121212121212122</v>
      </c>
      <c r="AR55">
        <f>ROUND(SUMIFS(LogFY19!K:K,LogFY19!A:A,"=*maui_county_water*")/SUMIFS(LogFY19!J:J,LogFY19!A:A,"=*maui_county_water*"),0)</f>
        <v>9</v>
      </c>
      <c r="AS55">
        <f t="shared" si="93"/>
        <v>7</v>
      </c>
      <c r="AT55" s="1">
        <v>68</v>
      </c>
      <c r="AU55" s="1">
        <f t="shared" si="94"/>
        <v>9</v>
      </c>
      <c r="AX55">
        <f>SUMIFS(LogFY20!D:D,LogFY20!A:A,"=*maui_county_water*")</f>
        <v>21</v>
      </c>
      <c r="AY55">
        <f>SUM(SUMIFS(LogFY20!D:D,LogFY20!A:A,"=*maui_county_water*"),-1*SUMIFS(LogFY20!L:L,LogFY20!A:A,"=*maui_county_water*"),-1*SUMIFS(LogFY20!N:N,LogFY20!A:A,"=*maui_county_water*"))</f>
        <v>3</v>
      </c>
      <c r="AZ55" s="7">
        <f t="shared" si="95"/>
        <v>0.14285714285714285</v>
      </c>
      <c r="BA55" s="7">
        <f t="shared" si="96"/>
        <v>9.7402597402597393E-2</v>
      </c>
      <c r="BB55">
        <f>ROUND(SUMIFS(LogFY20!K:K,LogFY20!A:A,"=*maui_county_water*")/SUMIFS(LogFY20!J:J,LogFY20!A:A,"=*maui_county_water*"),0)</f>
        <v>8</v>
      </c>
      <c r="BC55">
        <f t="shared" si="97"/>
        <v>-1</v>
      </c>
      <c r="BD55" s="1">
        <v>33</v>
      </c>
      <c r="BE55" s="1">
        <f t="shared" si="98"/>
        <v>-35</v>
      </c>
      <c r="BH55">
        <f>SUMIFS(LogFY21!D:D,LogFY21!A:A,"=*maui_county_water*")</f>
        <v>64</v>
      </c>
      <c r="BI55">
        <f>SUM(SUMIFS(LogFY21!D:D,LogFY21!A:A,"=*maui_county_water*"),-1*SUMIFS(LogFY21!L:L,LogFY21!A:A,"=*maui_county_water*"),-1*SUMIFS(LogFY21!N:N,LogFY21!A:A,"=*maui_county_water*"))</f>
        <v>19</v>
      </c>
      <c r="BJ55" s="7">
        <f t="shared" si="99"/>
        <v>0.296875</v>
      </c>
      <c r="BK55" s="7">
        <f t="shared" si="100"/>
        <v>0.15401785714285715</v>
      </c>
      <c r="BL55">
        <f>ROUND(SUMIFS(LogFY21!K:K,LogFY21!A:A,"=*maui_county_water*")/SUMIFS(LogFY21!J:J,LogFY21!A:A,"=*maui_county_water*"),0)</f>
        <v>10</v>
      </c>
      <c r="BM55">
        <f t="shared" si="101"/>
        <v>2</v>
      </c>
      <c r="BN55" s="1">
        <v>52</v>
      </c>
      <c r="BO55" s="1">
        <f t="shared" si="102"/>
        <v>19</v>
      </c>
      <c r="BR55">
        <f>SUMIFS(LogFY22!D:D,LogFY22!A:A,"=*maui_county_water*")</f>
        <v>14</v>
      </c>
      <c r="BS55">
        <f>SUM(SUMIFS(LogFY22!D:D,LogFY22!A:A,"=*maui_county_water*"),-1*SUMIFS(LogFY22!L:L,LogFY22!A:A,"=*maui_county_water*"),-1*SUMIFS(LogFY22!N:N,LogFY22!A:A,"=*maui_county_water*"))</f>
        <v>2</v>
      </c>
      <c r="BT55" s="7">
        <f t="shared" si="103"/>
        <v>0.14285714285714285</v>
      </c>
      <c r="BU55" s="7">
        <f t="shared" si="104"/>
        <v>-0.15401785714285715</v>
      </c>
      <c r="BV55">
        <f>ROUND(SUMIFS(LogFY22!K:K,LogFY22!A:A,"=*maui_county_water*")/SUMIFS(LogFY22!J:J,LogFY22!A:A,"=*maui_county_water*"),0)</f>
        <v>10</v>
      </c>
      <c r="BW55">
        <f t="shared" si="105"/>
        <v>0</v>
      </c>
      <c r="BX55" s="1">
        <v>32</v>
      </c>
      <c r="BY55" s="1">
        <f t="shared" si="106"/>
        <v>-20</v>
      </c>
      <c r="CB55">
        <f>SUMIFS(LogFY23!D:D,LogFY23!A:A,"=*maui_county_water*")</f>
        <v>20</v>
      </c>
      <c r="CC55">
        <f>SUM(SUMIFS(LogFY23!D:D,LogFY23!A:A,"=*maui_county_water*"),-1*SUMIFS(LogFY23!L:L,LogFY23!A:A,"=*maui_county_water*"),-1*SUMIFS(LogFY23!N:N,LogFY23!A:A,"=*maui_county_water*"))</f>
        <v>12</v>
      </c>
      <c r="CD55" s="7">
        <f t="shared" si="107"/>
        <v>0.6</v>
      </c>
      <c r="CE55" s="7">
        <f t="shared" si="108"/>
        <v>0.45714285714285713</v>
      </c>
      <c r="CF55">
        <f>ROUND(SUMIFS(LogFY23!K:K,LogFY23!A:A,"=*maui_county_water*")/SUMIFS(LogFY23!J:J,LogFY23!A:A,"=*maui_county_water*"),0)</f>
        <v>17</v>
      </c>
      <c r="CG55">
        <f t="shared" si="109"/>
        <v>7</v>
      </c>
      <c r="CH55" s="1">
        <v>53</v>
      </c>
      <c r="CI55" s="1">
        <f t="shared" si="74"/>
        <v>21</v>
      </c>
      <c r="CK55" s="7"/>
      <c r="CL55">
        <f>SUMIFS(LogFY24!D:D,LogFY24!A:A,"=*maui_county_water*")</f>
        <v>52</v>
      </c>
      <c r="CM55">
        <f>SUM(SUMIFS(LogFY24!D:D,LogFY24!A:A,"=*maui_county_water*"),-1*SUMIFS(LogFY24!L:L,LogFY24!A:A,"=*maui_county_water*"),-1*SUMIFS(LogFY24!N:N,LogFY24!A:A,"=*maui_county_water*"))</f>
        <v>18</v>
      </c>
      <c r="CN55" s="7">
        <f t="shared" si="73"/>
        <v>0.34615384615384615</v>
      </c>
      <c r="CO55" s="7">
        <f t="shared" si="75"/>
        <v>-0.25384615384615383</v>
      </c>
      <c r="CP55">
        <f>ROUND(SUMIFS(LogFY24!K:K,LogFY24!A:A,"=*maui_county_water*")/SUMIFS(LogFY24!J:J,LogFY24!A:A,"=*maui_county_water*"),0)</f>
        <v>22</v>
      </c>
      <c r="CQ55">
        <f t="shared" si="76"/>
        <v>5</v>
      </c>
      <c r="CR55" s="1">
        <v>153</v>
      </c>
      <c r="CS55" s="1">
        <f t="shared" si="110"/>
        <v>100</v>
      </c>
    </row>
    <row r="56" spans="1:99" ht="16">
      <c r="A56" s="10">
        <f t="shared" si="77"/>
        <v>55</v>
      </c>
      <c r="B56" s="9" t="s">
        <v>17453</v>
      </c>
      <c r="C56">
        <f>SUMIFS(LogFY15!D:D,LogFY15!A:A,"=*kauai_county_water*")</f>
        <v>2</v>
      </c>
      <c r="D56">
        <f>SUM(SUMIFS(LogFY15!D:D,LogFY15!A:A,"=*kauai_county_water*"),-1*SUMIFS(LogFY15!L:L,LogFY15!A:A,"=*kauai_county_water*"),-1*SUMIFS(LogFY15!N:N,LogFY15!A:A,"=*kauai_county_water*"))</f>
        <v>1</v>
      </c>
      <c r="E56" s="7">
        <f>D56/C56</f>
        <v>0.5</v>
      </c>
      <c r="F56">
        <f>ROUND(SUMIFS(LogFY15!K:K,LogFY15!A:A,"=*kauai_county_water*")/SUMIFS(LogFY15!J:J,LogFY15!A:A,"=*kauai_county_water*"),0)</f>
        <v>14</v>
      </c>
      <c r="G56" s="1">
        <v>14</v>
      </c>
      <c r="J56">
        <f>SUMIFS(LogFY16!D:D,LogFY16!A:A,"=*kauai_county_water*")</f>
        <v>0</v>
      </c>
      <c r="K56">
        <f>SUM(SUMIFS(LogFY16!D:D,LogFY16!A:A,"=*kauai_county_water*"),-1*SUMIFS(LogFY16!L:L,LogFY16!A:A,"=*kauai_county_water*"),-1*SUMIFS(LogFY16!N:N,LogFY16!A:A,"=*kauai_county_water*"))</f>
        <v>0</v>
      </c>
      <c r="L56" s="7"/>
      <c r="M56" s="7"/>
      <c r="P56" s="1"/>
      <c r="Q56" s="1"/>
      <c r="T56">
        <f>SUMIFS(LogFY17!D:D,LogFY17!A:A,"=*kauai_county_water*")</f>
        <v>1</v>
      </c>
      <c r="U56">
        <f>SUM(SUMIFS(LogFY17!D:D,LogFY17!A:A,"=*kauai_county_water*"),-1*SUMIFS(LogFY17!L:L,LogFY17!A:A,"=*kauai_county_water*"),-1*SUMIFS(LogFY17!N:N,LogFY17!A:A,"=*kauai_county_water*"))</f>
        <v>0</v>
      </c>
      <c r="V56" s="7">
        <f t="shared" si="84"/>
        <v>0</v>
      </c>
      <c r="W56" s="7">
        <f t="shared" si="85"/>
        <v>0</v>
      </c>
      <c r="X56">
        <f>ROUND(SUMIFS(LogFY17!K:K,LogFY17!A:A,"=*kauai_county_water*")/SUMIFS(LogFY17!J:J,LogFY17!A:A,"=*kauai_county_water*"),0)</f>
        <v>0</v>
      </c>
      <c r="Y56">
        <f t="shared" si="86"/>
        <v>0</v>
      </c>
      <c r="Z56" s="1">
        <v>2</v>
      </c>
      <c r="AA56" s="1"/>
      <c r="AD56">
        <f>SUMIFS(LogFY18!D:D,LogFY18!A:A,"=*kauai_county_water*")</f>
        <v>21</v>
      </c>
      <c r="AE56">
        <f>SUM(SUMIFS(LogFY18!D:D,LogFY18!A:A,"=*kauai_county_water*"),-1*SUMIFS(LogFY18!L:L,LogFY18!A:A,"=*kauai_county_water*"),-1*SUMIFS(LogFY18!N:N,LogFY18!A:A,"=*kauai_county_water*"))</f>
        <v>1</v>
      </c>
      <c r="AF56" s="7">
        <f t="shared" si="87"/>
        <v>4.7619047619047616E-2</v>
      </c>
      <c r="AG56" s="7">
        <f t="shared" si="88"/>
        <v>4.7619047619047616E-2</v>
      </c>
      <c r="AH56">
        <f>ROUND(SUMIFS(LogFY18!K:K,LogFY18!A:A,"=*kauai_county_water*")/SUMIFS(LogFY18!J:J,LogFY18!A:A,"=*kauai_county_water*"),0)</f>
        <v>4</v>
      </c>
      <c r="AI56">
        <f t="shared" si="89"/>
        <v>4</v>
      </c>
      <c r="AJ56" s="1">
        <v>24</v>
      </c>
      <c r="AK56" s="1"/>
      <c r="AN56">
        <f>SUMIFS(LogFY19!D:D,LogFY19!A:A,"=*kauai_county_water*")</f>
        <v>76</v>
      </c>
      <c r="AO56">
        <f>SUM(SUMIFS(LogFY19!D:D,LogFY19!A:A,"=*kauai_county_water*"),-1*SUMIFS(LogFY19!L:L,LogFY19!A:A,"=*kauai_county_water*"),-1*SUMIFS(LogFY19!N:N,LogFY19!A:A,"=*kauai_county_water*"))</f>
        <v>3</v>
      </c>
      <c r="AP56" s="7">
        <f t="shared" si="91"/>
        <v>3.9473684210526314E-2</v>
      </c>
      <c r="AQ56" s="7">
        <f t="shared" si="92"/>
        <v>-8.1453634085213028E-3</v>
      </c>
      <c r="AR56">
        <f>ROUND(SUMIFS(LogFY19!K:K,LogFY19!A:A,"=*kauai_county_water*")/SUMIFS(LogFY19!J:J,LogFY19!A:A,"=*kauai_county_water*"),0)</f>
        <v>4</v>
      </c>
      <c r="AS56">
        <f t="shared" si="93"/>
        <v>0</v>
      </c>
      <c r="AT56" s="1">
        <v>104</v>
      </c>
      <c r="AU56" s="1"/>
      <c r="AX56">
        <f>SUMIFS(LogFY20!D:D,LogFY20!A:A,"=*kauai_county_water*")</f>
        <v>31</v>
      </c>
      <c r="AY56">
        <f>SUM(SUMIFS(LogFY20!D:D,LogFY20!A:A,"=*kauai_county_water*"),-1*SUMIFS(LogFY20!L:L,LogFY20!A:A,"=*kauai_county_water*"),-1*SUMIFS(LogFY20!N:N,LogFY20!A:A,"=*kauai_county_water*"))</f>
        <v>2</v>
      </c>
      <c r="AZ56" s="7">
        <f t="shared" si="95"/>
        <v>6.4516129032258063E-2</v>
      </c>
      <c r="BA56" s="7">
        <f t="shared" si="96"/>
        <v>2.5042444821731749E-2</v>
      </c>
      <c r="BB56">
        <f>ROUND(SUMIFS(LogFY20!K:K,LogFY20!A:A,"=*kauai_county_water*")/SUMIFS(LogFY20!J:J,LogFY20!A:A,"=*kauai_county_water*"),0)</f>
        <v>4</v>
      </c>
      <c r="BC56">
        <f t="shared" si="97"/>
        <v>0</v>
      </c>
      <c r="BD56" s="1">
        <v>13</v>
      </c>
      <c r="BE56" s="1">
        <f t="shared" si="98"/>
        <v>-91</v>
      </c>
      <c r="BH56">
        <f>SUMIFS(LogFY21!D:D,LogFY21!A:A,"=*kauai_county_water*")</f>
        <v>18</v>
      </c>
      <c r="BI56">
        <f>SUM(SUMIFS(LogFY21!D:D,LogFY21!A:A,"=*kauai_county_water*"),-1*SUMIFS(LogFY21!L:L,LogFY21!A:A,"=*kauai_county_water*"),-1*SUMIFS(LogFY21!N:N,LogFY21!A:A,"=*kauai_county_water*"))</f>
        <v>0</v>
      </c>
      <c r="BJ56" s="7">
        <f t="shared" si="99"/>
        <v>0</v>
      </c>
      <c r="BK56" s="7">
        <f t="shared" si="100"/>
        <v>-6.4516129032258063E-2</v>
      </c>
      <c r="BL56">
        <f>ROUND(SUMIFS(LogFY21!K:K,LogFY21!A:A,"=*kauai_county_water*")/SUMIFS(LogFY21!J:J,LogFY21!A:A,"=*kauai_county_water*"),0)</f>
        <v>10</v>
      </c>
      <c r="BM56">
        <f t="shared" si="101"/>
        <v>6</v>
      </c>
      <c r="BN56" s="1">
        <v>34</v>
      </c>
      <c r="BO56" s="1">
        <f t="shared" si="102"/>
        <v>21</v>
      </c>
      <c r="BR56">
        <f>SUMIFS(LogFY22!D:D,LogFY22!A:A,"=*kauai_county_water*")</f>
        <v>13</v>
      </c>
      <c r="BS56">
        <f>SUM(SUMIFS(LogFY22!D:D,LogFY22!A:A,"=*kauai_county_water*"),-1*SUMIFS(LogFY22!L:L,LogFY22!A:A,"=*kauai_county_water*"),-1*SUMIFS(LogFY22!N:N,LogFY22!A:A,"=*kauai_county_water*"))</f>
        <v>4</v>
      </c>
      <c r="BT56" s="7">
        <f t="shared" si="103"/>
        <v>0.30769230769230771</v>
      </c>
      <c r="BU56" s="7">
        <f t="shared" si="104"/>
        <v>0.30769230769230771</v>
      </c>
      <c r="BV56">
        <f>ROUND(SUMIFS(LogFY22!K:K,LogFY22!A:A,"=*kauai_county_water*")/SUMIFS(LogFY22!J:J,LogFY22!A:A,"=*kauai_county_water*"),0)</f>
        <v>18</v>
      </c>
      <c r="BW56">
        <f t="shared" si="105"/>
        <v>8</v>
      </c>
      <c r="BX56" s="1">
        <v>87</v>
      </c>
      <c r="BY56" s="1">
        <f t="shared" si="106"/>
        <v>53</v>
      </c>
      <c r="CB56">
        <f>SUMIFS(LogFY23!D:D,LogFY23!A:A,"=*kauai_county_water*")</f>
        <v>19</v>
      </c>
      <c r="CC56">
        <f>SUM(SUMIFS(LogFY23!D:D,LogFY23!A:A,"=*kauai_county_water*"),-1*SUMIFS(LogFY23!L:L,LogFY23!A:A,"=*kauai_county_water*"),-1*SUMIFS(LogFY23!N:N,LogFY23!A:A,"=*kauai_county_water*"))</f>
        <v>8</v>
      </c>
      <c r="CD56" s="7">
        <f t="shared" si="107"/>
        <v>0.42105263157894735</v>
      </c>
      <c r="CE56" s="7">
        <f t="shared" si="108"/>
        <v>0.11336032388663964</v>
      </c>
      <c r="CF56">
        <f>ROUND(SUMIFS(LogFY23!K:K,LogFY23!A:A,"=*kauai_county_water*")/SUMIFS(LogFY23!J:J,LogFY23!A:A,"=*kauai_county_water*"),0)</f>
        <v>13</v>
      </c>
      <c r="CG56">
        <f t="shared" si="109"/>
        <v>-5</v>
      </c>
      <c r="CH56" s="1">
        <v>37</v>
      </c>
      <c r="CI56" s="1">
        <f t="shared" si="74"/>
        <v>-50</v>
      </c>
      <c r="CK56" s="7"/>
      <c r="CL56">
        <f>SUMIFS(LogFY24!D:D,LogFY24!A:A,"=*kauai_county_water*")</f>
        <v>10</v>
      </c>
      <c r="CM56">
        <f>SUM(SUMIFS(LogFY24!D:D,LogFY24!A:A,"=*kauai_county_water*"),-1*SUMIFS(LogFY24!L:L,LogFY24!A:A,"=*kauai_county_water*"),-1*SUMIFS(LogFY24!N:N,LogFY24!A:A,"=*kauai_county_water*"))</f>
        <v>4</v>
      </c>
      <c r="CN56" s="7">
        <f t="shared" si="73"/>
        <v>0.4</v>
      </c>
      <c r="CO56" s="7">
        <f t="shared" si="75"/>
        <v>-2.1052631578947323E-2</v>
      </c>
      <c r="CP56">
        <f>ROUND(SUMIFS(LogFY24!K:K,LogFY24!A:A,"=*kauai_county_water*")/SUMIFS(LogFY24!J:J,LogFY24!A:A,"=*kauai_county_water*"),0)</f>
        <v>27</v>
      </c>
      <c r="CQ56">
        <f t="shared" si="76"/>
        <v>14</v>
      </c>
      <c r="CR56" s="1">
        <v>151</v>
      </c>
      <c r="CS56" s="1">
        <f t="shared" si="110"/>
        <v>114</v>
      </c>
    </row>
    <row r="57" spans="1:99" ht="16">
      <c r="A57" s="10">
        <f t="shared" si="77"/>
        <v>56</v>
      </c>
      <c r="B57" s="9" t="s">
        <v>17454</v>
      </c>
      <c r="C57">
        <f>SUMIFS(LogFY15!D:D,LogFY15!A:A,"=*hawaii_county_water*")</f>
        <v>7</v>
      </c>
      <c r="D57">
        <f>SUM(SUMIFS(LogFY15!D:D,LogFY15!A:A,"=*hawaii_county_water*"),-1*SUMIFS(LogFY15!L:L,LogFY15!A:A,"=*hawaii_county_water*"),-1*SUMIFS(LogFY15!N:N,LogFY15!A:A,"=*hawaii_county_water*"))</f>
        <v>0</v>
      </c>
      <c r="E57" s="7">
        <f>D57/C57</f>
        <v>0</v>
      </c>
      <c r="F57">
        <f>ROUND(SUMIFS(LogFY15!K:K,LogFY15!A:A,"=*hawaii_county_water*")/SUMIFS(LogFY15!J:J,LogFY15!A:A,"=*hawaii_county_water*"),0)</f>
        <v>9</v>
      </c>
      <c r="G57" s="1">
        <v>20</v>
      </c>
      <c r="J57">
        <f>SUMIFS(LogFY16!D:D,LogFY16!A:A,"=*hawaii_county_water*")</f>
        <v>6</v>
      </c>
      <c r="K57">
        <f>SUM(SUMIFS(LogFY16!D:D,LogFY16!A:A,"=*hawaii_county_water*"),-1*SUMIFS(LogFY16!L:L,LogFY16!A:A,"=*hawaii_county_water*"),-1*SUMIFS(LogFY16!N:N,LogFY16!A:A,"=*hawaii_county_water*"))</f>
        <v>1</v>
      </c>
      <c r="L57" s="7">
        <f t="shared" ref="L57:L82" si="111">K57/J57</f>
        <v>0.16666666666666666</v>
      </c>
      <c r="M57" s="7">
        <f t="shared" ref="M57:M82" si="112">L57-E57</f>
        <v>0.16666666666666666</v>
      </c>
      <c r="N57">
        <f>ROUND(SUMIFS(LogFY16!K:K,LogFY16!A:A,"=*hawaii_county_water*")/SUMIFS(LogFY16!J:J,LogFY16!A:A,"=*hawaii_county_water*"),0)</f>
        <v>4</v>
      </c>
      <c r="O57">
        <f t="shared" ref="O57:O82" si="113">N57-F57</f>
        <v>-5</v>
      </c>
      <c r="P57" s="1">
        <v>8</v>
      </c>
      <c r="Q57" s="1">
        <f t="shared" ref="Q57:Q82" si="114">P57-G57</f>
        <v>-12</v>
      </c>
      <c r="T57">
        <f>SUMIFS(LogFY17!D:D,LogFY17!A:A,"=*hawaii_county_water*")</f>
        <v>3</v>
      </c>
      <c r="U57">
        <f>SUM(SUMIFS(LogFY17!D:D,LogFY17!A:A,"=*hawaii_county_water*"),-1*SUMIFS(LogFY17!L:L,LogFY17!A:A,"=*hawaii_county_water*"),-1*SUMIFS(LogFY17!N:N,LogFY17!A:A,"=*hawaii_county_water*"))</f>
        <v>0</v>
      </c>
      <c r="V57" s="7">
        <f t="shared" si="84"/>
        <v>0</v>
      </c>
      <c r="W57" s="7">
        <f t="shared" si="85"/>
        <v>-0.16666666666666666</v>
      </c>
      <c r="X57">
        <f>ROUND(SUMIFS(LogFY17!K:K,LogFY17!A:A,"=*hawaii_county_water*")/SUMIFS(LogFY17!J:J,LogFY17!A:A,"=*hawaii_county_water*"),0)</f>
        <v>11</v>
      </c>
      <c r="Y57">
        <f t="shared" si="86"/>
        <v>7</v>
      </c>
      <c r="Z57" s="1">
        <v>18</v>
      </c>
      <c r="AA57" s="1">
        <f t="shared" ref="AA57:AA82" si="115">Z57-P57</f>
        <v>10</v>
      </c>
      <c r="AD57">
        <f>SUMIFS(LogFY18!D:D,LogFY18!A:A,"=*hawaii_county_water*")</f>
        <v>5</v>
      </c>
      <c r="AE57">
        <f>SUM(SUMIFS(LogFY18!D:D,LogFY18!A:A,"=*hawaii_county_water*"),-1*SUMIFS(LogFY18!L:L,LogFY18!A:A,"=*hawaii_county_water*"),-1*SUMIFS(LogFY18!N:N,LogFY18!A:A,"=*hawaii_county_water*"))</f>
        <v>1</v>
      </c>
      <c r="AF57" s="7">
        <f t="shared" si="87"/>
        <v>0.2</v>
      </c>
      <c r="AG57" s="7">
        <f t="shared" si="88"/>
        <v>0.2</v>
      </c>
      <c r="AH57">
        <f>ROUND(SUMIFS(LogFY18!K:K,LogFY18!A:A,"=*hawaii_county_water*")/SUMIFS(LogFY18!J:J,LogFY18!A:A,"=*hawaii_county_water*"),0)</f>
        <v>4</v>
      </c>
      <c r="AI57">
        <f t="shared" si="89"/>
        <v>-7</v>
      </c>
      <c r="AJ57" s="1">
        <v>7</v>
      </c>
      <c r="AK57" s="1">
        <f t="shared" ref="AK57:AK95" si="116">AJ57-Z57</f>
        <v>-11</v>
      </c>
      <c r="AN57">
        <f>SUMIFS(LogFY19!D:D,LogFY19!A:A,"=*hawaii_county_water*")</f>
        <v>2</v>
      </c>
      <c r="AO57">
        <f>SUM(SUMIFS(LogFY19!D:D,LogFY19!A:A,"=*hawaii_county_water*"),-1*SUMIFS(LogFY19!L:L,LogFY19!A:A,"=*hawaii_county_water*"),-1*SUMIFS(LogFY19!N:N,LogFY19!A:A,"=*hawaii_county_water*"))</f>
        <v>0</v>
      </c>
      <c r="AP57" s="7">
        <f t="shared" si="91"/>
        <v>0</v>
      </c>
      <c r="AQ57" s="7">
        <f t="shared" si="92"/>
        <v>-0.2</v>
      </c>
      <c r="AR57">
        <f>ROUND(SUMIFS(LogFY19!K:K,LogFY19!A:A,"=*hawaii_county_water*")/SUMIFS(LogFY19!J:J,LogFY19!A:A,"=*hawaii_county_water*"),0)</f>
        <v>8</v>
      </c>
      <c r="AS57">
        <f t="shared" si="93"/>
        <v>4</v>
      </c>
      <c r="AT57" s="1">
        <v>10</v>
      </c>
      <c r="AU57" s="1">
        <f t="shared" ref="AU57:AU101" si="117">AT57-AJ57</f>
        <v>3</v>
      </c>
      <c r="AX57">
        <f>SUMIFS(LogFY20!D:D,LogFY20!A:A,"=*hawaii_county_water*")</f>
        <v>7</v>
      </c>
      <c r="AY57">
        <f>SUM(SUMIFS(LogFY20!D:D,LogFY20!A:A,"=*hawaii_county_water*"),-1*SUMIFS(LogFY20!L:L,LogFY20!A:A,"=*hawaii_county_water*"),-1*SUMIFS(LogFY20!N:N,LogFY20!A:A,"=*hawaii_county_water*"))</f>
        <v>0</v>
      </c>
      <c r="AZ57" s="7">
        <f t="shared" si="95"/>
        <v>0</v>
      </c>
      <c r="BA57" s="7">
        <f t="shared" si="96"/>
        <v>0</v>
      </c>
      <c r="BB57">
        <f>ROUND(SUMIFS(LogFY20!K:K,LogFY20!A:A,"=*hawaii_county_water*")/SUMIFS(LogFY20!J:J,LogFY20!A:A,"=*hawaii_county_water*"),0)</f>
        <v>9</v>
      </c>
      <c r="BC57">
        <f t="shared" si="97"/>
        <v>1</v>
      </c>
      <c r="BD57" s="1">
        <v>15</v>
      </c>
      <c r="BE57" s="1">
        <f t="shared" si="98"/>
        <v>5</v>
      </c>
      <c r="BH57">
        <f>SUMIFS(LogFY21!D:D,LogFY21!A:A,"=*hawaii_county_water*")</f>
        <v>8</v>
      </c>
      <c r="BI57">
        <f>SUM(SUMIFS(LogFY21!D:D,LogFY21!A:A,"=*hawaii_county_water*"),-1*SUMIFS(LogFY21!L:L,LogFY21!A:A,"=*hawaii_county_water*"),-1*SUMIFS(LogFY21!N:N,LogFY21!A:A,"=*hawaii_county_water*"))</f>
        <v>4</v>
      </c>
      <c r="BJ57" s="7">
        <f t="shared" si="99"/>
        <v>0.5</v>
      </c>
      <c r="BK57" s="7">
        <f t="shared" si="100"/>
        <v>0.5</v>
      </c>
      <c r="BL57">
        <f>ROUND(SUMIFS(LogFY21!K:K,LogFY21!A:A,"=*hawaii_county_water*")/SUMIFS(LogFY21!J:J,LogFY21!A:A,"=*hawaii_county_water*"),0)</f>
        <v>11</v>
      </c>
      <c r="BM57">
        <f t="shared" si="101"/>
        <v>2</v>
      </c>
      <c r="BN57" s="1">
        <v>25</v>
      </c>
      <c r="BO57" s="1">
        <f t="shared" si="102"/>
        <v>10</v>
      </c>
      <c r="BR57">
        <f>SUMIFS(LogFY22!D:D,LogFY22!A:A,"=*hawaii_county_water*")</f>
        <v>1</v>
      </c>
      <c r="BS57">
        <f>SUM(SUMIFS(LogFY22!D:D,LogFY22!A:A,"=*hawaii_county_water*"),-1*SUMIFS(LogFY22!L:L,LogFY22!A:A,"=*hawaii_county_water*"),-1*SUMIFS(LogFY22!N:N,LogFY22!A:A,"=*hawaii_county_water*"))</f>
        <v>0</v>
      </c>
      <c r="BT57" s="7">
        <f t="shared" si="103"/>
        <v>0</v>
      </c>
      <c r="BU57" s="7">
        <f t="shared" si="104"/>
        <v>-0.5</v>
      </c>
      <c r="BV57">
        <f>ROUND(SUMIFS(LogFY22!K:K,LogFY22!A:A,"=*hawaii_county_water*")/SUMIFS(LogFY22!J:J,LogFY22!A:A,"=*hawaii_county_water*"),0)</f>
        <v>4</v>
      </c>
      <c r="BW57">
        <f t="shared" si="105"/>
        <v>-7</v>
      </c>
      <c r="BX57" s="1">
        <v>4</v>
      </c>
      <c r="BY57" s="1">
        <f t="shared" si="106"/>
        <v>-21</v>
      </c>
      <c r="CB57">
        <f>SUMIFS(LogFY23!D:D,LogFY23!A:A,"=*hawaii_county_water*")</f>
        <v>1</v>
      </c>
      <c r="CC57">
        <f>SUM(SUMIFS(LogFY23!D:D,LogFY23!A:A,"=*hawaii_county_water*"),-1*SUMIFS(LogFY23!L:L,LogFY23!A:A,"=*hawaii_county_water*"),-1*SUMIFS(LogFY23!N:N,LogFY23!A:A,"=*hawaii_county_water*"))</f>
        <v>0</v>
      </c>
      <c r="CD57" s="7">
        <f t="shared" si="107"/>
        <v>0</v>
      </c>
      <c r="CE57" s="7">
        <f t="shared" si="108"/>
        <v>0</v>
      </c>
      <c r="CF57">
        <f>ROUND(SUMIFS(LogFY23!K:K,LogFY23!A:A,"=*hawaii_county_water*")/SUMIFS(LogFY23!J:J,LogFY23!A:A,"=*hawaii_county_water*"),0)</f>
        <v>13</v>
      </c>
      <c r="CG57">
        <f t="shared" si="109"/>
        <v>9</v>
      </c>
      <c r="CH57" s="1">
        <v>13</v>
      </c>
      <c r="CI57" s="1">
        <f t="shared" si="74"/>
        <v>9</v>
      </c>
      <c r="CK57" s="7"/>
      <c r="CL57">
        <f>SUMIFS(LogFY24!D:D,LogFY24!A:A,"=*hawaii_county_water*")</f>
        <v>2</v>
      </c>
      <c r="CM57">
        <f>SUM(SUMIFS(LogFY24!D:D,LogFY24!A:A,"=*hawaii_county_water*"),-1*SUMIFS(LogFY24!L:L,LogFY24!A:A,"=*hawaii_county_water*"),-1*SUMIFS(LogFY24!N:N,LogFY24!A:A,"=*hawaii_county_water*"))</f>
        <v>1</v>
      </c>
      <c r="CN57" s="7">
        <f t="shared" si="73"/>
        <v>0.5</v>
      </c>
      <c r="CO57" s="7">
        <f t="shared" si="75"/>
        <v>0.5</v>
      </c>
      <c r="CP57">
        <f>ROUND(SUMIFS(LogFY24!K:K,LogFY24!A:A,"=*hawaii_county_water*")/SUMIFS(LogFY24!J:J,LogFY24!A:A,"=*hawaii_county_water*"),0)</f>
        <v>5</v>
      </c>
      <c r="CQ57">
        <f t="shared" si="76"/>
        <v>-8</v>
      </c>
      <c r="CR57" s="1">
        <v>9</v>
      </c>
      <c r="CS57" s="1">
        <f t="shared" si="110"/>
        <v>-4</v>
      </c>
    </row>
    <row r="58" spans="1:99" ht="16">
      <c r="A58" s="10">
        <f t="shared" si="77"/>
        <v>57</v>
      </c>
      <c r="B58" s="1" t="s">
        <v>17241</v>
      </c>
      <c r="C58">
        <f>SUMIFS(LogFY15!D:D,LogFY15!A:A,"=*medical_examiner*")</f>
        <v>975</v>
      </c>
      <c r="D58">
        <f>SUM(SUMIFS(LogFY15!D:D,LogFY15!A:A,"=*medical_examiner*"),-1*SUMIFS(LogFY15!L:L,LogFY15!A:A,"=*medical_examiner*"),-1*SUMIFS(LogFY15!N:N,LogFY15!A:A,"=*medical_examiner*"))</f>
        <v>118</v>
      </c>
      <c r="E58" s="7">
        <f>D58/C58</f>
        <v>0.12102564102564102</v>
      </c>
      <c r="F58">
        <f>ROUND(SUMIFS(LogFY15!K:K,LogFY15!A:A,"=*medical_examiner*")/SUMIFS(LogFY15!J:J,LogFY15!A:A,"=*medical_examiner*"),0)</f>
        <v>32</v>
      </c>
      <c r="G58" s="1">
        <v>306</v>
      </c>
      <c r="H58">
        <f>COUNTIFS(All!F:F,"=medex*", All!B:B, "&gt;=7/1/2014", All!B:B,"&lt;=6/30/2015", All!E:E,"=U*",All!E:E,"&lt;&gt;UIPA*",All!E:E,"&lt;&gt;*RFO*",All!E:E,"&lt;&gt;*TRNG*")</f>
        <v>0</v>
      </c>
      <c r="I58" s="7">
        <f>ROUND(H58/C58,3)</f>
        <v>0</v>
      </c>
      <c r="J58">
        <f>SUMIFS(LogFY16!D:D,LogFY16!A:A,"=*medical_examiner*")</f>
        <v>893</v>
      </c>
      <c r="K58">
        <f>SUM(SUMIFS(LogFY16!D:D,LogFY16!A:A,"=*medical_examiner*"),-1*SUMIFS(LogFY16!L:L,LogFY16!A:A,"=*medical_examiner*"),-1*SUMIFS(LogFY16!N:N,LogFY16!A:A,"=*medical_examiner*"))</f>
        <v>266</v>
      </c>
      <c r="L58" s="7">
        <f t="shared" si="111"/>
        <v>0.2978723404255319</v>
      </c>
      <c r="M58" s="7">
        <f t="shared" si="112"/>
        <v>0.17684669939989089</v>
      </c>
      <c r="N58">
        <f>ROUND(SUMIFS(LogFY16!K:K,LogFY16!A:A,"=*medical_examiner*")/SUMIFS(LogFY16!J:J,LogFY16!A:A,"=*medical_examiner*"),0)</f>
        <v>28</v>
      </c>
      <c r="O58">
        <f t="shared" si="113"/>
        <v>-4</v>
      </c>
      <c r="P58" s="1">
        <v>157</v>
      </c>
      <c r="Q58" s="1">
        <f t="shared" si="114"/>
        <v>-149</v>
      </c>
      <c r="R58">
        <f>COUNTIFS(All!F:F,"=medex*", All!B:B, "&gt;=7/1/2015", All!B:B,"&lt;=6/30/2016", All!E:E,"=U*",All!E:E,"&lt;&gt;UIPA*",All!E:E,"&lt;&gt;*RFO*",All!E:E,"&lt;&gt;*TRNG*")</f>
        <v>0</v>
      </c>
      <c r="S58" s="7">
        <f>ROUND(R58/(J58+C58),3)</f>
        <v>0</v>
      </c>
      <c r="T58">
        <f>SUMIFS(LogFY17!D:D,LogFY17!A:A,"=*medical_examiner*")</f>
        <v>949</v>
      </c>
      <c r="U58">
        <f>SUM(SUMIFS(LogFY17!D:D,LogFY17!A:A,"=*medical_examiner*"),-1*SUMIFS(LogFY17!L:L,LogFY17!A:A,"=*medical_examiner*"),-1*SUMIFS(LogFY17!N:N,LogFY17!A:A,"=*medical_examiner*"))</f>
        <v>148</v>
      </c>
      <c r="V58" s="7">
        <f t="shared" si="84"/>
        <v>0.15595363540569021</v>
      </c>
      <c r="W58" s="7">
        <f t="shared" si="85"/>
        <v>-0.14191870501984169</v>
      </c>
      <c r="X58">
        <f>ROUND(SUMIFS(LogFY17!K:K,LogFY17!A:A,"=*medical_examiner*")/SUMIFS(LogFY17!J:J,LogFY17!A:A,"=*medical_examiner*"),0)</f>
        <v>36</v>
      </c>
      <c r="Y58">
        <f t="shared" si="86"/>
        <v>8</v>
      </c>
      <c r="Z58" s="1">
        <v>305</v>
      </c>
      <c r="AA58" s="1">
        <f t="shared" si="115"/>
        <v>148</v>
      </c>
      <c r="AB58">
        <f>COUNTIFS(All!F:F,"=medex*", All!B:B, "&gt;=7/1/2016", All!B:B,"&lt;=6/30/2017", All!E:E,"=U*",All!E:E,"&lt;&gt;UIPA*",All!E:E,"&lt;&gt;*RFO*",All!E:E,"&lt;&gt;*TRNG*")</f>
        <v>0</v>
      </c>
      <c r="AC58" s="7">
        <f>ROUND(AB58/(T58+J58),3)</f>
        <v>0</v>
      </c>
      <c r="AD58">
        <f>SUMIFS(LogFY18!D:D,LogFY18!A:A,"=*medical_examiner*")</f>
        <v>22</v>
      </c>
      <c r="AE58">
        <f>SUM(SUMIFS(LogFY18!D:D,LogFY18!A:A,"=*medical_examiner*"),-1*SUMIFS(LogFY18!L:L,LogFY18!A:A,"=*medical_examiner*"),-1*SUMIFS(LogFY18!N:N,LogFY18!A:A,"=*medical_examiner*"))</f>
        <v>9</v>
      </c>
      <c r="AF58" s="7">
        <f t="shared" si="87"/>
        <v>0.40909090909090912</v>
      </c>
      <c r="AG58" s="7">
        <f t="shared" si="88"/>
        <v>0.25313727368521888</v>
      </c>
      <c r="AH58">
        <f>ROUND(SUMIFS(LogFY18!K:K,LogFY18!A:A,"=*medical_examiner*")/SUMIFS(LogFY18!J:J,LogFY18!A:A,"=*medical_examiner*"),0)</f>
        <v>39</v>
      </c>
      <c r="AI58">
        <f t="shared" si="89"/>
        <v>3</v>
      </c>
      <c r="AJ58" s="1">
        <v>116</v>
      </c>
      <c r="AK58" s="1">
        <f t="shared" si="116"/>
        <v>-189</v>
      </c>
      <c r="AL58">
        <f>COUNTIFS(All!F:F,"=medex*", All!B:B, "&gt;=7/1/2017", All!B:B,"&lt;=6/30/2018", All!E:E,"=U*",All!E:E,"&lt;&gt;UIPA*",All!E:E,"&lt;&gt;*RFO*",All!E:E,"&lt;&gt;*TRNG*")</f>
        <v>0</v>
      </c>
      <c r="AM58" s="7">
        <f>ROUND(AL58/(AD58+T58),3)</f>
        <v>0</v>
      </c>
      <c r="AN58">
        <f>SUMIFS(LogFY19!D:D,LogFY19!A:A,"=*medical_examiner*")</f>
        <v>43</v>
      </c>
      <c r="AO58">
        <f>SUM(SUMIFS(LogFY19!D:D,LogFY19!A:A,"=*medical_examiner*"),-1*SUMIFS(LogFY19!L:L,LogFY19!A:A,"=*medical_examiner*"),-1*SUMIFS(LogFY19!N:N,LogFY19!A:A,"=*medical_examiner*"))</f>
        <v>21</v>
      </c>
      <c r="AP58" s="7">
        <f t="shared" si="91"/>
        <v>0.48837209302325579</v>
      </c>
      <c r="AQ58" s="7">
        <f t="shared" si="92"/>
        <v>7.9281183932346677E-2</v>
      </c>
      <c r="AR58">
        <f>ROUND(SUMIFS(LogFY19!K:K,LogFY19!A:A,"=*medical_examiner*")/SUMIFS(LogFY19!J:J,LogFY19!A:A,"=*medical_examiner*"),0)</f>
        <v>37</v>
      </c>
      <c r="AS58">
        <f t="shared" si="93"/>
        <v>-2</v>
      </c>
      <c r="AT58" s="1">
        <v>183</v>
      </c>
      <c r="AU58" s="1">
        <f t="shared" si="117"/>
        <v>67</v>
      </c>
      <c r="AV58">
        <f>COUNTIFS(All!F:F,"=medex*", All!B:B, "&gt;=7/1/2018", All!B:B,"&lt;=6/30/2019", All!E:E,"=U*",All!E:E,"&lt;&gt;UIPA*",All!E:E,"&lt;&gt;*RFO*",All!E:E,"&lt;&gt;*TRNG*")</f>
        <v>0</v>
      </c>
      <c r="AW58" s="7">
        <f>ROUND(AV58/(AN58+AD58),3)</f>
        <v>0</v>
      </c>
      <c r="AX58">
        <f>SUMIFS(LogFY20!D:D,LogFY20!A:A,"=*medical_examiner*")</f>
        <v>916</v>
      </c>
      <c r="AY58">
        <f>SUM(SUMIFS(LogFY20!D:D,LogFY20!A:A,"=*medical_examiner*"),-1*SUMIFS(LogFY20!L:L,LogFY20!A:A,"=*medical_examiner*"),-1*SUMIFS(LogFY20!N:N,LogFY20!A:A,"=*medical_examiner*"))</f>
        <v>176</v>
      </c>
      <c r="AZ58" s="7">
        <f t="shared" si="95"/>
        <v>0.19213973799126638</v>
      </c>
      <c r="BA58" s="7">
        <f t="shared" si="96"/>
        <v>-0.29623235503198941</v>
      </c>
      <c r="BB58">
        <f>ROUND(SUMIFS(LogFY20!K:K,LogFY20!A:A,"=*medical_examiner*")/SUMIFS(LogFY20!J:J,LogFY20!A:A,"=*medical_examiner*"),0)</f>
        <v>39</v>
      </c>
      <c r="BC58">
        <f t="shared" si="97"/>
        <v>2</v>
      </c>
      <c r="BD58" s="1">
        <v>210</v>
      </c>
      <c r="BE58" s="1">
        <f t="shared" si="98"/>
        <v>27</v>
      </c>
      <c r="BF58">
        <f>COUNTIFS(All!F:F,"=medex*", All!B:B, "&gt;=7/1/2019", All!B:B,"&lt;=6/30/2020", All!E:E,"=U*",All!E:E,"&lt;&gt;UIPA*",All!E:E,"&lt;&gt;*RFO*",All!E:E,"&lt;&gt;*TRNG*")</f>
        <v>0</v>
      </c>
      <c r="BG58" s="7">
        <f>ROUND(BF58/(AX58+AN58),3)</f>
        <v>0</v>
      </c>
      <c r="BH58">
        <f>SUMIFS(LogFY21!D:D,LogFY21!A:A,"=*medical_examiner*")</f>
        <v>0</v>
      </c>
      <c r="BI58">
        <f>SUM(SUMIFS(LogFY21!D:D,LogFY21!A:A,"=*medical_examiner*"),-1*SUMIFS(LogFY21!L:L,LogFY21!A:A,"=*medical_examiner*"),-1*SUMIFS(LogFY21!N:N,LogFY21!A:A,"=*medical_examiner*"))</f>
        <v>0</v>
      </c>
      <c r="BJ58" s="7"/>
      <c r="BK58" s="7"/>
      <c r="BN58" s="1"/>
      <c r="BO58" s="1"/>
      <c r="BP58">
        <f>COUNTIFS(All!F:F,"=medex*", All!B:B, "&gt;=7/1/2020", All!B:B,"&lt;=6/30/2021", All!E:E,"=U*",All!E:E,"&lt;&gt;UIPA*",All!E:E,"&lt;&gt;*RFO*",All!E:E,"&lt;&gt;*TRNG*")</f>
        <v>0</v>
      </c>
      <c r="BQ58" s="7">
        <f>ROUND(BP58/(BH58+AX58),3)</f>
        <v>0</v>
      </c>
      <c r="BR58">
        <f>SUMIFS(LogFY22!D:D,LogFY22!A:A,"=*medical_examiner*")</f>
        <v>4</v>
      </c>
      <c r="BS58">
        <f>SUM(SUMIFS(LogFY22!D:D,LogFY22!A:A,"=*medical_examiner*"),-1*SUMIFS(LogFY22!L:L,LogFY22!A:A,"=*medical_examiner*"),-1*SUMIFS(LogFY22!N:N,LogFY22!A:A,"=*medical_examiner*"))</f>
        <v>2</v>
      </c>
      <c r="BT58" s="7">
        <f t="shared" si="103"/>
        <v>0.5</v>
      </c>
      <c r="BU58" s="7">
        <f t="shared" si="104"/>
        <v>0.5</v>
      </c>
      <c r="BV58">
        <f>ROUND(SUMIFS(LogFY22!K:K,LogFY22!A:A,"=*medical_examiner*")/SUMIFS(LogFY22!J:J,LogFY22!A:A,"=*medical_examiner*"),0)</f>
        <v>14</v>
      </c>
      <c r="BW58">
        <f t="shared" si="105"/>
        <v>14</v>
      </c>
      <c r="BX58" s="1">
        <v>33</v>
      </c>
      <c r="BY58" s="1">
        <f t="shared" si="106"/>
        <v>33</v>
      </c>
      <c r="BZ58">
        <f>COUNTIFS(All!F:F,"=medex*", All!B:B, "&gt;=7/1/2021", All!B:B,"&lt;=6/30/2022", All!E:E,"=U*",All!E:E,"&lt;&gt;UIPA*",All!E:E,"&lt;&gt;*RFO*",All!E:E,"&lt;&gt;*TRNG*")</f>
        <v>0</v>
      </c>
      <c r="CA58" s="7">
        <f>ROUND(BZ58/(BR58+BH58),3)</f>
        <v>0</v>
      </c>
      <c r="CB58">
        <f>SUMIFS(LogFY23!D:D,LogFY23!A:A,"=*medical_examiner*")</f>
        <v>4</v>
      </c>
      <c r="CC58">
        <f>SUM(SUMIFS(LogFY23!D:D,LogFY23!A:A,"=*medical_examiner*"),-1*SUMIFS(LogFY23!L:L,LogFY23!A:A,"=*medical_examiner*"),-1*SUMIFS(LogFY23!N:N,LogFY23!A:A,"=*medical_examiner*"))</f>
        <v>3</v>
      </c>
      <c r="CD58" s="7"/>
      <c r="CE58" s="7"/>
      <c r="CH58" s="1">
        <v>3</v>
      </c>
      <c r="CI58" s="1">
        <f t="shared" si="74"/>
        <v>-30</v>
      </c>
      <c r="CJ58">
        <f>COUNTIFS(All!F:F,"=medex*", All!B:B, "&gt;=7/1/2022", All!B:B,"&lt;=6/30/2023", All!E:E,"=U*",All!E:E,"&lt;&gt;UIPA*",All!E:E,"&lt;&gt;*RFO*",All!E:E,"&lt;&gt;*TRNG*")</f>
        <v>0</v>
      </c>
      <c r="CK58" s="7">
        <f>ROUND(CJ58/(CB58+BR58),3)</f>
        <v>0</v>
      </c>
      <c r="CL58">
        <f>SUMIFS(LogFY24!D:D,LogFY24!A:A,"=*medical_examiner*")</f>
        <v>3</v>
      </c>
      <c r="CM58">
        <f>SUM(SUMIFS(LogFY24!D:D,LogFY24!A:A,"=*medical_examiner*"),-1*SUMIFS(LogFY24!L:L,LogFY24!A:A,"=*medical_examiner*"),-1*SUMIFS(LogFY24!N:N,LogFY24!A:A,"=*medical_examiner*"))</f>
        <v>3</v>
      </c>
      <c r="CN58" s="7">
        <f t="shared" si="73"/>
        <v>1</v>
      </c>
      <c r="CO58" s="7">
        <f t="shared" si="75"/>
        <v>1</v>
      </c>
      <c r="CP58">
        <f>ROUND(SUMIFS(LogFY24!K:K,LogFY24!A:A,"=*medical_examiner*")/SUMIFS(LogFY24!J:J,LogFY24!A:A,"=*medical_examiner*"),0)</f>
        <v>5</v>
      </c>
      <c r="CQ58">
        <f t="shared" si="76"/>
        <v>5</v>
      </c>
      <c r="CR58" s="1">
        <v>7</v>
      </c>
      <c r="CS58" s="1">
        <f t="shared" si="110"/>
        <v>4</v>
      </c>
      <c r="CT58">
        <f>COUNTIFS(All!F:F,"=medex*", All!B:B, "&gt;=7/1/2023", All!B:B,"&lt;=6/30/2024", All!E:E,"=U*",All!E:E,"&lt;&gt;UIPA*",All!E:E,"&lt;&gt;*RFO*",All!E:E,"&lt;&gt;*TRNG*")</f>
        <v>0</v>
      </c>
      <c r="CU58" s="7">
        <f>ROUND(CT58/(CL58+CB58),3)</f>
        <v>0</v>
      </c>
    </row>
    <row r="59" spans="1:99" ht="32">
      <c r="A59" s="10">
        <f t="shared" si="77"/>
        <v>58</v>
      </c>
      <c r="B59" s="1" t="s">
        <v>16799</v>
      </c>
      <c r="E59" s="7"/>
      <c r="H59">
        <f>COUNTIFS(All!F:F,"=*ethics*", All!B:B, "&gt;=7/1/2014", All!B:B,"&lt;=6/30/2015", All!E:E,"=U*",All!E:E,"&lt;&gt;UIPA*",All!E:E,"&lt;&gt;*RFO*",All!E:E,"&lt;&gt;*TRNG*")</f>
        <v>1</v>
      </c>
      <c r="I59" s="7"/>
      <c r="J59">
        <f>SUMIFS(LogFY16!D:D,LogFY16!B:B,"=*ethics*")</f>
        <v>37</v>
      </c>
      <c r="K59">
        <f>SUM(SUMIFS(LogFY16!D:D,LogFY16!B:B,"=*ethics*"),-1*SUMIFS(LogFY16!L:L,LogFY16!B:B,"=*ethics*"),-1*SUMIFS(LogFY16!N:N,LogFY16!B:B,"=*ethics*"))</f>
        <v>7</v>
      </c>
      <c r="L59" s="7">
        <f t="shared" si="111"/>
        <v>0.1891891891891892</v>
      </c>
      <c r="M59" s="7">
        <f t="shared" si="112"/>
        <v>0.1891891891891892</v>
      </c>
      <c r="N59">
        <f>ROUND(SUMIFS(LogFY16!K:K,LogFY16!B:B,"=*ethics*")/SUMIFS(LogFY16!J:J,LogFY16!B:B,"=*ethics*"),0)</f>
        <v>7</v>
      </c>
      <c r="O59">
        <f t="shared" si="113"/>
        <v>7</v>
      </c>
      <c r="P59">
        <v>29</v>
      </c>
      <c r="Q59" s="1">
        <f t="shared" si="114"/>
        <v>29</v>
      </c>
      <c r="R59">
        <f>COUNTIFS(All!F:F,"=*ethics*", All!B:B, "&gt;=7/1/2015", All!B:B,"&lt;=6/30/2016", All!E:E,"=U*",All!E:E,"&lt;&gt;UIPA*",All!E:E,"&lt;&gt;*RFO*",All!E:E,"&lt;&gt;*TRNG*")</f>
        <v>1</v>
      </c>
      <c r="S59" s="7">
        <f>ROUND(R59/(J59+C59),3)</f>
        <v>2.7E-2</v>
      </c>
      <c r="T59">
        <f>SUMIFS(LogFY17!D:D,LogFY17!B:B,"=*ethics*")</f>
        <v>33</v>
      </c>
      <c r="U59">
        <f>SUM(SUMIFS(LogFY17!D:D,LogFY17!B:B,"=*ethics*"),-1*SUMIFS(LogFY17!L:L,LogFY17!B:B,"=*ethics*"),-1*SUMIFS(LogFY17!N:N,LogFY17!B:B,"=*ethics*"))</f>
        <v>4</v>
      </c>
      <c r="V59" s="7">
        <f t="shared" si="84"/>
        <v>0.12121212121212122</v>
      </c>
      <c r="W59" s="7">
        <f t="shared" si="85"/>
        <v>-6.7977067977067984E-2</v>
      </c>
      <c r="X59">
        <f>ROUND(SUMIFS(LogFY17!K:K,LogFY17!B:B,"=*ethics*")/SUMIFS(LogFY17!J:J,LogFY17!B:B,"=*ethics*"),0)</f>
        <v>8</v>
      </c>
      <c r="Y59">
        <f t="shared" si="86"/>
        <v>1</v>
      </c>
      <c r="Z59" s="1">
        <v>31</v>
      </c>
      <c r="AA59" s="1">
        <f t="shared" si="115"/>
        <v>2</v>
      </c>
      <c r="AB59">
        <f>COUNTIFS(All!F:F,"=*ethics*", All!B:B, "&gt;=7/1/2016", All!B:B,"&lt;=6/30/2017", All!E:E,"=U*",All!E:E,"&lt;&gt;UIPA*",All!E:E,"&lt;&gt;*RFO*",All!E:E,"&lt;&gt;*TRNG*")</f>
        <v>1</v>
      </c>
      <c r="AC59" s="7">
        <f>ROUND(AB59/(T59+J59),3)</f>
        <v>1.4E-2</v>
      </c>
      <c r="AD59">
        <f>SUMIFS(LogFY18!D:D,LogFY18!B:B,"=*ethics*")</f>
        <v>19</v>
      </c>
      <c r="AE59">
        <f>SUM(SUMIFS(LogFY18!D:D,LogFY18!B:B,"=*ethics*"),-1*SUMIFS(LogFY18!L:L,LogFY18!B:B,"=*ethics*"),-1*SUMIFS(LogFY18!N:N,LogFY18!B:B,"=*ethics*"))</f>
        <v>5</v>
      </c>
      <c r="AF59" s="7">
        <f t="shared" si="87"/>
        <v>0.26315789473684209</v>
      </c>
      <c r="AG59" s="7">
        <f t="shared" si="88"/>
        <v>0.14194577352472088</v>
      </c>
      <c r="AH59">
        <f>ROUND(SUMIFS(LogFY18!K:K,LogFY18!B:B,"=*ethics*")/SUMIFS(LogFY18!J:J,LogFY18!B:B,"=*ethics*"),0)</f>
        <v>7</v>
      </c>
      <c r="AI59">
        <f t="shared" si="89"/>
        <v>-1</v>
      </c>
      <c r="AJ59" s="1">
        <v>20</v>
      </c>
      <c r="AK59" s="1">
        <f t="shared" si="116"/>
        <v>-11</v>
      </c>
      <c r="AL59">
        <f>COUNTIFS(All!F:F,"=*ethics*", All!B:B, "&gt;=7/1/2017", All!B:B,"&lt;=6/30/2018", All!E:E,"=U*",All!E:E,"&lt;&gt;UIPA*",All!E:E,"&lt;&gt;*RFO*",All!E:E,"&lt;&gt;*TRNG*")</f>
        <v>1</v>
      </c>
      <c r="AM59" s="7">
        <f>ROUND(AL59/(AD59+T59),3)</f>
        <v>1.9E-2</v>
      </c>
      <c r="AN59">
        <f>SUMIFS(LogFY19!D:D,LogFY19!B:B,"=*ethics*")</f>
        <v>13</v>
      </c>
      <c r="AO59">
        <f>SUM(SUMIFS(LogFY19!D:D,LogFY19!B:B,"=*ethics*"),-1*SUMIFS(LogFY19!L:L,LogFY19!B:B,"=*ethics*"),-1*SUMIFS(LogFY19!N:N,LogFY19!B:B,"=*ethics*"))</f>
        <v>4</v>
      </c>
      <c r="AP59" s="7">
        <f t="shared" si="91"/>
        <v>0.30769230769230771</v>
      </c>
      <c r="AQ59" s="7">
        <f t="shared" si="92"/>
        <v>4.4534412955465619E-2</v>
      </c>
      <c r="AR59">
        <f>ROUND(SUMIFS(LogFY19!K:K,LogFY19!B:B,"=*ethics*")/SUMIFS(LogFY19!J:J,LogFY19!B:B,"=*ethics*"),0)</f>
        <v>4</v>
      </c>
      <c r="AS59">
        <f t="shared" si="93"/>
        <v>-3</v>
      </c>
      <c r="AT59" s="1">
        <v>21</v>
      </c>
      <c r="AU59" s="1">
        <f t="shared" si="117"/>
        <v>1</v>
      </c>
      <c r="AV59">
        <f>COUNTIFS(All!F:F,"=*ethics*", All!B:B, "&gt;=7/1/2018", All!B:B,"&lt;=6/30/2019", All!E:E,"=U*",All!E:E,"&lt;&gt;UIPA*",All!E:E,"&lt;&gt;*RFO*",All!E:E,"&lt;&gt;*TRNG*")</f>
        <v>0</v>
      </c>
      <c r="AW59" s="7">
        <f>ROUND(AV59/(AN59+AD59),3)</f>
        <v>0</v>
      </c>
      <c r="AX59">
        <f>SUMIFS(LogFY20!D:D,LogFY20!B:B,"=*ethics*")</f>
        <v>25</v>
      </c>
      <c r="AY59">
        <f>SUM(SUMIFS(LogFY20!D:D,LogFY20!B:B,"=*ethics*"),-1*SUMIFS(LogFY20!L:L,LogFY20!B:B,"=*ethics*"),-1*SUMIFS(LogFY20!N:N,LogFY20!B:B,"=*ethics*"))</f>
        <v>7</v>
      </c>
      <c r="AZ59" s="7">
        <f t="shared" si="95"/>
        <v>0.28000000000000003</v>
      </c>
      <c r="BA59" s="7">
        <f t="shared" si="96"/>
        <v>-2.7692307692307683E-2</v>
      </c>
      <c r="BB59">
        <f>ROUND(SUMIFS(LogFY20!K:K,LogFY20!B:B,"=*ethics*")/SUMIFS(LogFY20!J:J,LogFY20!B:B,"=*ethics*"),0)</f>
        <v>8</v>
      </c>
      <c r="BC59">
        <f t="shared" si="97"/>
        <v>4</v>
      </c>
      <c r="BD59" s="1">
        <v>29</v>
      </c>
      <c r="BE59" s="1">
        <f t="shared" si="98"/>
        <v>8</v>
      </c>
      <c r="BF59">
        <f>COUNTIFS(All!F:F,"=*ethics*", All!B:B, "&gt;=7/1/2019", All!B:B,"&lt;=6/30/2020", All!E:E,"=U*",All!E:E,"&lt;&gt;UIPA*",All!E:E,"&lt;&gt;*RFO*",All!E:E,"&lt;&gt;*TRNG*")</f>
        <v>1</v>
      </c>
      <c r="BG59" s="7">
        <f>ROUND(BF59/(AX59+AN59),3)</f>
        <v>2.5999999999999999E-2</v>
      </c>
      <c r="BH59">
        <f>SUMIFS(LogFY21!D:D,LogFY21!B:B,"=*ethics*")</f>
        <v>13</v>
      </c>
      <c r="BI59">
        <f>SUM(SUMIFS(LogFY21!D:D,LogFY21!B:B,"=*ethics*"),-1*SUMIFS(LogFY21!L:L,LogFY21!B:B,"=*ethics*"),-1*SUMIFS(LogFY21!N:N,LogFY21!B:B,"=*ethics*"))</f>
        <v>3</v>
      </c>
      <c r="BJ59" s="7">
        <f t="shared" ref="BJ59:BJ101" si="118">BI59/BH59</f>
        <v>0.23076923076923078</v>
      </c>
      <c r="BK59" s="7">
        <f t="shared" ref="BK59:BK101" si="119">BJ59-AZ59</f>
        <v>-4.9230769230769245E-2</v>
      </c>
      <c r="BL59">
        <f>ROUND(SUMIFS(LogFY21!K:K,LogFY21!B:B,"=*ethics*")/SUMIFS(LogFY21!J:J,LogFY21!B:B,"=*ethics*"),0)</f>
        <v>11</v>
      </c>
      <c r="BM59">
        <f t="shared" ref="BM59:BM101" si="120">BL59-BB59</f>
        <v>3</v>
      </c>
      <c r="BN59" s="1">
        <v>30</v>
      </c>
      <c r="BO59" s="1">
        <f t="shared" ref="BO59:BO101" si="121">BN59-BD59</f>
        <v>1</v>
      </c>
      <c r="BP59">
        <f>COUNTIFS(All!F:F,"=*ethics*", All!B:B, "&gt;=7/1/2020", All!B:B,"&lt;=6/30/2021", All!E:E,"=U*",All!E:E,"&lt;&gt;UIPA*",All!E:E,"&lt;&gt;*RFO*",All!E:E,"&lt;&gt;*TRNG*")</f>
        <v>0</v>
      </c>
      <c r="BQ59" s="7">
        <f>ROUND(BP59/(BH59+AX59),3)</f>
        <v>0</v>
      </c>
      <c r="BR59">
        <f>SUMIFS(LogFY22!D:D,LogFY22!B:B,"=*ethics*")</f>
        <v>30</v>
      </c>
      <c r="BS59">
        <f>SUM(SUMIFS(LogFY22!D:D,LogFY22!B:B,"=*ethics*"),-1*SUMIFS(LogFY22!L:L,LogFY22!B:B,"=*ethics*"),-1*SUMIFS(LogFY22!N:N,LogFY22!B:B,"=*ethics*"))</f>
        <v>12</v>
      </c>
      <c r="BT59" s="7">
        <f t="shared" si="103"/>
        <v>0.4</v>
      </c>
      <c r="BU59" s="7">
        <f t="shared" si="104"/>
        <v>0.16923076923076924</v>
      </c>
      <c r="BV59">
        <f>ROUND(SUMIFS(LogFY22!K:K,LogFY22!B:B,"=*ethics*")/SUMIFS(LogFY22!J:J,LogFY22!B:B,"=*ethics*"),0)</f>
        <v>7</v>
      </c>
      <c r="BW59">
        <f t="shared" si="105"/>
        <v>-4</v>
      </c>
      <c r="BX59" s="1">
        <v>24</v>
      </c>
      <c r="BY59" s="1">
        <f t="shared" si="106"/>
        <v>-6</v>
      </c>
      <c r="BZ59">
        <f>COUNTIFS(All!F:F,"=*ethics*", All!B:B, "&gt;=7/1/2021", All!B:B,"&lt;=6/30/2022", All!E:E,"=U*",All!E:E,"&lt;&gt;UIPA*",All!E:E,"&lt;&gt;*RFO*",All!E:E,"&lt;&gt;*TRNG*")</f>
        <v>0</v>
      </c>
      <c r="CA59" s="7">
        <f>ROUND(BZ59/(BR59+BH59),3)</f>
        <v>0</v>
      </c>
      <c r="CB59">
        <f>SUMIFS(LogFY23!D:D,LogFY23!B:B,"=*ethics*")</f>
        <v>14</v>
      </c>
      <c r="CC59">
        <f>SUM(SUMIFS(LogFY23!D:D,LogFY23!B:B,"=*ethics*"),-1*SUMIFS(LogFY23!L:L,LogFY23!B:B,"=*ethics*"),-1*SUMIFS(LogFY23!N:N,LogFY23!B:B,"=*ethics*"))</f>
        <v>5</v>
      </c>
      <c r="CD59" s="7">
        <f t="shared" ref="CD59:CD101" si="122">CC59/CB59</f>
        <v>0.35714285714285715</v>
      </c>
      <c r="CE59" s="7">
        <f t="shared" ref="CE59:CE101" si="123">CD59-BT59</f>
        <v>-4.2857142857142871E-2</v>
      </c>
      <c r="CF59">
        <f>ROUND(SUMIFS(LogFY23!K:K,LogFY23!B:B,"=*ethics*")/SUMIFS(LogFY23!J:J,LogFY23!B:B,"=*ethics*"),0)</f>
        <v>10</v>
      </c>
      <c r="CG59">
        <f t="shared" ref="CG59:CG101" si="124">CF59-BV59</f>
        <v>3</v>
      </c>
      <c r="CH59" s="1">
        <v>58</v>
      </c>
      <c r="CI59" s="1">
        <f t="shared" si="74"/>
        <v>34</v>
      </c>
      <c r="CJ59">
        <f>COUNTIFS(All!F:F,"=*ethics*", All!B:B, "&gt;=7/1/2022", All!B:B,"&lt;=6/30/2023", All!E:E,"=U*",All!E:E,"&lt;&gt;UIPA*",All!E:E,"&lt;&gt;*RFO*",All!E:E,"&lt;&gt;*TRNG*")</f>
        <v>0</v>
      </c>
      <c r="CK59" s="7">
        <f>ROUND(CJ59/(CB59+BR59),3)</f>
        <v>0</v>
      </c>
      <c r="CL59">
        <f>SUMIFS(LogFY24!D:D,LogFY24!B:B,"=*ethics*")</f>
        <v>12</v>
      </c>
      <c r="CM59">
        <f>SUM(SUMIFS(LogFY24!D:D,LogFY24!B:B,"=*ethics*"),-1*SUMIFS(LogFY24!L:L,LogFY24!B:B,"=*ethics*"),-1*SUMIFS(LogFY24!N:N,LogFY24!B:B,"=*ethics*"))</f>
        <v>4</v>
      </c>
      <c r="CN59" s="7">
        <f t="shared" si="73"/>
        <v>0.33333333333333331</v>
      </c>
      <c r="CO59" s="7">
        <f t="shared" si="75"/>
        <v>-2.3809523809523836E-2</v>
      </c>
      <c r="CP59">
        <f>ROUND(SUMIFS(LogFY24!K:K,LogFY24!B:B,"=*ethics*")/SUMIFS(LogFY24!J:J,LogFY24!B:B,"=*ethics*"),0)</f>
        <v>5</v>
      </c>
      <c r="CQ59">
        <f t="shared" si="76"/>
        <v>-5</v>
      </c>
      <c r="CR59" s="1">
        <v>11</v>
      </c>
      <c r="CS59" s="1">
        <f t="shared" si="110"/>
        <v>-47</v>
      </c>
      <c r="CT59">
        <f>COUNTIFS(All!F:F,"=*ethics*", All!B:B, "&gt;=7/1/2023", All!B:B,"&lt;=6/30/2024", All!E:E,"=U*",All!E:E,"&lt;&gt;UIPA*",All!E:E,"&lt;&gt;*RFO*",All!E:E,"&lt;&gt;*TRNG*")</f>
        <v>0</v>
      </c>
      <c r="CU59" s="7">
        <f>ROUND(CT59/(CL59+CB59),3)</f>
        <v>0</v>
      </c>
    </row>
    <row r="60" spans="1:99" ht="16">
      <c r="A60" s="10">
        <f t="shared" si="77"/>
        <v>59</v>
      </c>
      <c r="B60" s="9" t="s">
        <v>17440</v>
      </c>
      <c r="E60" s="7"/>
      <c r="J60">
        <f>SUMIFS(LogFY16!D:D,LogFY16!B:B,"=*state ethics*")</f>
        <v>21</v>
      </c>
      <c r="K60">
        <f>SUM(SUMIFS(LogFY16!D:D,LogFY16!B:B,"=*state ethics*"),-1*SUMIFS(LogFY16!L:L,LogFY16!B:B,"=*state ethics*"),-1*SUMIFS(LogFY16!N:N,LogFY16!B:B,"=*state ethics*"))</f>
        <v>2</v>
      </c>
      <c r="L60" s="7">
        <f t="shared" si="111"/>
        <v>9.5238095238095233E-2</v>
      </c>
      <c r="M60" s="7">
        <f t="shared" si="112"/>
        <v>9.5238095238095233E-2</v>
      </c>
      <c r="N60">
        <f>ROUND(SUMIFS(LogFY16!K:K,LogFY16!B:B,"=*state ethics*")/SUMIFS(LogFY16!J:J,LogFY16!B:B,"=*state ethics*"),0)</f>
        <v>5</v>
      </c>
      <c r="O60">
        <f t="shared" si="113"/>
        <v>5</v>
      </c>
      <c r="P60">
        <v>28</v>
      </c>
      <c r="Q60" s="1">
        <f t="shared" si="114"/>
        <v>28</v>
      </c>
      <c r="T60">
        <f>SUMIFS(LogFY17!D:D,LogFY17!B:B,"=*state ethics*")</f>
        <v>22</v>
      </c>
      <c r="U60">
        <f>SUM(SUMIFS(LogFY17!D:D,LogFY17!B:B,"=*state ethics*"),-1*SUMIFS(LogFY17!L:L,LogFY17!B:B,"=*state ethics*"),-1*SUMIFS(LogFY17!N:N,LogFY17!B:B,"=*state ethics*"))</f>
        <v>3</v>
      </c>
      <c r="V60" s="7">
        <f t="shared" si="84"/>
        <v>0.13636363636363635</v>
      </c>
      <c r="W60" s="7">
        <f t="shared" si="85"/>
        <v>4.1125541125541121E-2</v>
      </c>
      <c r="X60">
        <f>ROUND(SUMIFS(LogFY17!K:K,LogFY17!B:B,"=*state ethics*")/SUMIFS(LogFY17!J:J,LogFY17!B:B,"=*state ethics*"),0)</f>
        <v>5</v>
      </c>
      <c r="Y60">
        <f t="shared" si="86"/>
        <v>0</v>
      </c>
      <c r="Z60" s="1">
        <v>31</v>
      </c>
      <c r="AA60" s="1">
        <f t="shared" si="115"/>
        <v>3</v>
      </c>
      <c r="AD60">
        <f>SUMIFS(LogFY18!D:D,LogFY18!B:B,"=*state ethics*")</f>
        <v>15</v>
      </c>
      <c r="AE60">
        <f>SUM(SUMIFS(LogFY18!D:D,LogFY18!B:B,"=*state ethics*"),-1*SUMIFS(LogFY18!L:L,LogFY18!B:B,"=*state ethics*"),-1*SUMIFS(LogFY18!N:N,LogFY18!B:B,"=*state ethics*"))</f>
        <v>2</v>
      </c>
      <c r="AF60" s="7">
        <f t="shared" si="87"/>
        <v>0.13333333333333333</v>
      </c>
      <c r="AG60" s="7">
        <f t="shared" si="88"/>
        <v>-3.0303030303030221E-3</v>
      </c>
      <c r="AH60">
        <f>ROUND(SUMIFS(LogFY18!K:K,LogFY18!B:B,"=*state ethics*")/SUMIFS(LogFY18!J:J,LogFY18!B:B,"=*state ethics*"),0)</f>
        <v>3</v>
      </c>
      <c r="AI60">
        <f t="shared" si="89"/>
        <v>-2</v>
      </c>
      <c r="AJ60" s="1">
        <v>8</v>
      </c>
      <c r="AK60" s="1">
        <f t="shared" si="116"/>
        <v>-23</v>
      </c>
      <c r="AN60">
        <f>SUMIFS(LogFY19!D:D,LogFY19!B:B,"=*state ethics*")</f>
        <v>10</v>
      </c>
      <c r="AO60">
        <f>SUM(SUMIFS(LogFY19!D:D,LogFY19!B:B,"=*state ethics*"),-1*SUMIFS(LogFY19!L:L,LogFY19!B:B,"=*state ethics*"),-1*SUMIFS(LogFY19!N:N,LogFY19!B:B,"=*state ethics*"))</f>
        <v>2</v>
      </c>
      <c r="AP60" s="7">
        <f t="shared" si="91"/>
        <v>0.2</v>
      </c>
      <c r="AQ60" s="7">
        <f t="shared" si="92"/>
        <v>6.666666666666668E-2</v>
      </c>
      <c r="AR60">
        <f>ROUND(SUMIFS(LogFY19!K:K,LogFY19!B:B,"=*state ethics*")/SUMIFS(LogFY19!J:J,LogFY19!B:B,"=*state ethics*"),0)</f>
        <v>4</v>
      </c>
      <c r="AS60">
        <f t="shared" si="93"/>
        <v>1</v>
      </c>
      <c r="AT60" s="1">
        <v>21</v>
      </c>
      <c r="AU60" s="1">
        <f t="shared" si="117"/>
        <v>13</v>
      </c>
      <c r="AX60">
        <f>SUMIFS(LogFY20!D:D,LogFY20!B:B,"=*state ethics*")</f>
        <v>11</v>
      </c>
      <c r="AY60">
        <f>SUM(SUMIFS(LogFY20!D:D,LogFY20!B:B,"=*state ethics*"),-1*SUMIFS(LogFY20!L:L,LogFY20!B:B,"=*state ethics*"),-1*SUMIFS(LogFY20!N:N,LogFY20!B:B,"=*state ethics*"))</f>
        <v>1</v>
      </c>
      <c r="AZ60" s="7">
        <f t="shared" si="95"/>
        <v>9.0909090909090912E-2</v>
      </c>
      <c r="BA60" s="7">
        <f t="shared" si="96"/>
        <v>-0.1090909090909091</v>
      </c>
      <c r="BB60">
        <f>ROUND(SUMIFS(LogFY20!K:K,LogFY20!B:B,"=*state ethics*")/SUMIFS(LogFY20!J:J,LogFY20!B:B,"=*state ethics*"),0)</f>
        <v>2</v>
      </c>
      <c r="BC60">
        <f t="shared" si="97"/>
        <v>-2</v>
      </c>
      <c r="BD60" s="1">
        <v>9</v>
      </c>
      <c r="BE60" s="1">
        <f t="shared" si="98"/>
        <v>-12</v>
      </c>
      <c r="BH60">
        <f>SUMIFS(LogFY21!D:D,LogFY21!B:B,"=*state ethics*")</f>
        <v>3</v>
      </c>
      <c r="BI60">
        <f>SUM(SUMIFS(LogFY21!D:D,LogFY21!B:B,"=*state ethics*"),-1*SUMIFS(LogFY21!L:L,LogFY21!B:B,"=*state ethics*"),-1*SUMIFS(LogFY21!N:N,LogFY21!B:B,"=*state ethics*"))</f>
        <v>0</v>
      </c>
      <c r="BJ60" s="7">
        <f t="shared" si="118"/>
        <v>0</v>
      </c>
      <c r="BK60" s="7">
        <f t="shared" si="119"/>
        <v>-9.0909090909090912E-2</v>
      </c>
      <c r="BL60">
        <f>ROUND(SUMIFS(LogFY21!K:K,LogFY21!B:B,"=*state ethics*")/SUMIFS(LogFY21!J:J,LogFY21!B:B,"=*state ethics*"),0)</f>
        <v>2</v>
      </c>
      <c r="BM60">
        <f t="shared" si="120"/>
        <v>0</v>
      </c>
      <c r="BN60" s="1">
        <v>2</v>
      </c>
      <c r="BO60" s="1">
        <f t="shared" si="121"/>
        <v>-7</v>
      </c>
      <c r="BR60">
        <f>SUMIFS(LogFY22!D:D,LogFY22!B:B,"=*state ethics*")</f>
        <v>11</v>
      </c>
      <c r="BS60">
        <f>SUM(SUMIFS(LogFY22!D:D,LogFY22!B:B,"=*state ethics*"),-1*SUMIFS(LogFY22!L:L,LogFY22!B:B,"=*state ethics*"),-1*SUMIFS(LogFY22!N:N,LogFY22!B:B,"=*state ethics*"))</f>
        <v>2</v>
      </c>
      <c r="BT60" s="7">
        <f t="shared" si="103"/>
        <v>0.18181818181818182</v>
      </c>
      <c r="BU60" s="7">
        <f t="shared" si="104"/>
        <v>0.18181818181818182</v>
      </c>
      <c r="BV60">
        <f>ROUND(SUMIFS(LogFY22!K:K,LogFY22!B:B,"=*state ethics*")/SUMIFS(LogFY22!J:J,LogFY22!B:B,"=*state ethics*"),0)</f>
        <v>2</v>
      </c>
      <c r="BW60">
        <f t="shared" si="105"/>
        <v>0</v>
      </c>
      <c r="BX60" s="1">
        <v>4</v>
      </c>
      <c r="BY60" s="1">
        <f t="shared" si="106"/>
        <v>2</v>
      </c>
      <c r="CB60">
        <f>SUMIFS(LogFY23!D:D,LogFY23!B:B,"=*state ethics*")</f>
        <v>9</v>
      </c>
      <c r="CC60">
        <f>SUM(SUMIFS(LogFY23!D:D,LogFY23!B:B,"=*state ethics*"),-1*SUMIFS(LogFY23!L:L,LogFY23!B:B,"=*state ethics*"),-1*SUMIFS(LogFY23!N:N,LogFY23!B:B,"=*state ethics*"))</f>
        <v>1</v>
      </c>
      <c r="CD60" s="7">
        <f t="shared" si="122"/>
        <v>0.1111111111111111</v>
      </c>
      <c r="CE60" s="7">
        <f t="shared" si="123"/>
        <v>-7.0707070707070718E-2</v>
      </c>
      <c r="CF60">
        <f>ROUND(SUMIFS(LogFY23!K:K,LogFY23!B:B,"=*state ethics*")/SUMIFS(LogFY23!J:J,LogFY23!B:B,"=*state ethics*"),0)</f>
        <v>10</v>
      </c>
      <c r="CG60">
        <f t="shared" si="124"/>
        <v>8</v>
      </c>
      <c r="CH60" s="1">
        <v>58</v>
      </c>
      <c r="CI60" s="1">
        <f t="shared" si="74"/>
        <v>54</v>
      </c>
      <c r="CK60" s="7"/>
      <c r="CL60">
        <f>SUMIFS(LogFY24!D:D,LogFY24!B:B,"=*state ethics*")</f>
        <v>7</v>
      </c>
      <c r="CM60">
        <f>SUM(SUMIFS(LogFY24!D:D,LogFY24!B:B,"=*state ethics*"),-1*SUMIFS(LogFY24!L:L,LogFY24!B:B,"=*state ethics*"),-1*SUMIFS(LogFY24!N:N,LogFY24!B:B,"=*state ethics*"))</f>
        <v>2</v>
      </c>
      <c r="CN60" s="7">
        <f t="shared" si="73"/>
        <v>0.2857142857142857</v>
      </c>
      <c r="CO60" s="7">
        <f t="shared" si="75"/>
        <v>0.17460317460317459</v>
      </c>
      <c r="CP60">
        <f>ROUND(SUMIFS(LogFY24!K:K,LogFY24!B:B,"=*state ethics*")/SUMIFS(LogFY24!J:J,LogFY24!B:B,"=*state ethics*"),0)</f>
        <v>3</v>
      </c>
      <c r="CQ60">
        <f t="shared" si="76"/>
        <v>-7</v>
      </c>
      <c r="CR60" s="1">
        <v>10</v>
      </c>
      <c r="CS60" s="1">
        <f t="shared" si="110"/>
        <v>-48</v>
      </c>
    </row>
    <row r="61" spans="1:99" ht="16">
      <c r="A61" s="10">
        <f t="shared" si="77"/>
        <v>60</v>
      </c>
      <c r="B61" s="9" t="s">
        <v>17441</v>
      </c>
      <c r="E61" s="7"/>
      <c r="J61">
        <f>SUMIFS(LogFY16!D:D,LogFY16!A:A,"=*honolulu_ethics*")</f>
        <v>16</v>
      </c>
      <c r="K61">
        <f>SUM(SUMIFS(LogFY16!D:D,LogFY16!A:A,"=*honolulu_ethics*"),-1*SUMIFS(LogFY16!L:L,LogFY16!A:A,"=*honolulu_ethics*"),-1*SUMIFS(LogFY16!N:N,LogFY16!A:A,"=*honolulu_ethics*"))</f>
        <v>5</v>
      </c>
      <c r="L61" s="7">
        <f t="shared" si="111"/>
        <v>0.3125</v>
      </c>
      <c r="M61" s="7">
        <f t="shared" si="112"/>
        <v>0.3125</v>
      </c>
      <c r="N61">
        <f>ROUND(SUMIFS(LogFY16!K:K,LogFY16!A:A,"=*honolulu_ethics*")/SUMIFS(LogFY16!J:J,LogFY16!A:A,"=*honolulu_ethics*"),0)</f>
        <v>10</v>
      </c>
      <c r="O61">
        <f t="shared" si="113"/>
        <v>10</v>
      </c>
      <c r="P61">
        <v>29</v>
      </c>
      <c r="Q61" s="1">
        <f t="shared" si="114"/>
        <v>29</v>
      </c>
      <c r="T61">
        <f>SUMIFS(LogFY17!D:D,LogFY17!A:A,"=*honolulu_ethics*")</f>
        <v>11</v>
      </c>
      <c r="U61">
        <f>SUM(SUMIFS(LogFY17!D:D,LogFY17!A:A,"=*honolulu_ethics*"),-1*SUMIFS(LogFY17!L:L,LogFY17!A:A,"=*honolulu_ethics*"),-1*SUMIFS(LogFY17!N:N,LogFY17!A:A,"=*honolulu_ethics*"))</f>
        <v>1</v>
      </c>
      <c r="V61" s="7">
        <f t="shared" si="84"/>
        <v>9.0909090909090912E-2</v>
      </c>
      <c r="W61" s="7">
        <f t="shared" si="85"/>
        <v>-0.22159090909090909</v>
      </c>
      <c r="X61">
        <f>ROUND(SUMIFS(LogFY17!K:K,LogFY17!A:A,"=*honolulu_ethics*")/SUMIFS(LogFY17!J:J,LogFY17!A:A,"=*honolulu_ethics*"),0)</f>
        <v>12</v>
      </c>
      <c r="Y61">
        <f t="shared" si="86"/>
        <v>2</v>
      </c>
      <c r="Z61">
        <v>25</v>
      </c>
      <c r="AA61" s="1">
        <f t="shared" si="115"/>
        <v>-4</v>
      </c>
      <c r="AD61">
        <f>SUMIFS(LogFY18!D:D,LogFY18!A:A,"=*honolulu_ethics*")</f>
        <v>4</v>
      </c>
      <c r="AE61">
        <f>SUM(SUMIFS(LogFY18!D:D,LogFY18!A:A,"=*honolulu_ethics*"),-1*SUMIFS(LogFY18!L:L,LogFY18!A:A,"=*honolulu_ethics*"),-1*SUMIFS(LogFY18!N:N,LogFY18!A:A,"=*honolulu_ethics*"))</f>
        <v>3</v>
      </c>
      <c r="AF61" s="7">
        <f t="shared" si="87"/>
        <v>0.75</v>
      </c>
      <c r="AG61" s="7">
        <f t="shared" si="88"/>
        <v>0.65909090909090906</v>
      </c>
      <c r="AH61">
        <f>ROUND(SUMIFS(LogFY18!K:K,LogFY18!A:A,"=*honolulu_ethics*")/SUMIFS(LogFY18!J:J,LogFY18!A:A,"=*honolulu_ethics*"),0)</f>
        <v>20</v>
      </c>
      <c r="AI61">
        <f t="shared" si="89"/>
        <v>8</v>
      </c>
      <c r="AJ61">
        <v>20</v>
      </c>
      <c r="AK61" s="1">
        <f t="shared" si="116"/>
        <v>-5</v>
      </c>
      <c r="AN61">
        <f>SUMIFS(LogFY19!D:D,LogFY19!A:A,"=*honolulu_ethics*")</f>
        <v>3</v>
      </c>
      <c r="AO61">
        <f>SUM(SUMIFS(LogFY19!D:D,LogFY19!A:A,"=*honolulu_ethics*"),-1*SUMIFS(LogFY19!L:L,LogFY19!A:A,"=*honolulu_ethics*"),-1*SUMIFS(LogFY19!N:N,LogFY19!A:A,"=*honolulu_ethics*"))</f>
        <v>2</v>
      </c>
      <c r="AP61" s="7">
        <f t="shared" si="91"/>
        <v>0.66666666666666663</v>
      </c>
      <c r="AQ61" s="7">
        <f t="shared" si="92"/>
        <v>-8.333333333333337E-2</v>
      </c>
      <c r="AR61">
        <f>ROUND(SUMIFS(LogFY19!K:K,LogFY19!A:A,"=*honolulu_ethics*")/SUMIFS(LogFY19!J:J,LogFY19!A:A,"=*honolulu_ethics*"),0)</f>
        <v>5</v>
      </c>
      <c r="AS61">
        <f t="shared" si="93"/>
        <v>-15</v>
      </c>
      <c r="AT61">
        <v>10</v>
      </c>
      <c r="AU61" s="1">
        <f t="shared" si="117"/>
        <v>-10</v>
      </c>
      <c r="AX61">
        <f>SUMIFS(LogFY20!D:D,LogFY20!A:A,"=*honolulu_ethics*")</f>
        <v>14</v>
      </c>
      <c r="AY61">
        <f>SUM(SUMIFS(LogFY20!D:D,LogFY20!A:A,"=*honolulu_ethics*"),-1*SUMIFS(LogFY20!L:L,LogFY20!A:A,"=*honolulu_ethics*"),-1*SUMIFS(LogFY20!N:N,LogFY20!A:A,"=*honolulu_ethics*"))</f>
        <v>6</v>
      </c>
      <c r="AZ61" s="7">
        <f t="shared" si="95"/>
        <v>0.42857142857142855</v>
      </c>
      <c r="BA61" s="7">
        <f t="shared" si="96"/>
        <v>-0.23809523809523808</v>
      </c>
      <c r="BB61">
        <f>ROUND(SUMIFS(LogFY20!K:K,LogFY20!A:A,"=*honolulu_ethics*")/SUMIFS(LogFY20!J:J,LogFY20!A:A,"=*honolulu_ethics*"),0)</f>
        <v>12</v>
      </c>
      <c r="BC61">
        <f t="shared" si="97"/>
        <v>7</v>
      </c>
      <c r="BD61">
        <v>29</v>
      </c>
      <c r="BE61" s="1">
        <f t="shared" si="98"/>
        <v>19</v>
      </c>
      <c r="BH61">
        <f>SUMIFS(LogFY21!D:D,LogFY21!A:A,"=*honolulu_ethics*")</f>
        <v>10</v>
      </c>
      <c r="BI61">
        <f>SUM(SUMIFS(LogFY21!D:D,LogFY21!A:A,"=*honolulu_ethics*"),-1*SUMIFS(LogFY21!L:L,LogFY21!A:A,"=*honolulu_ethics*"),-1*SUMIFS(LogFY21!N:N,LogFY21!A:A,"=*honolulu_ethics*"))</f>
        <v>3</v>
      </c>
      <c r="BJ61" s="7">
        <f t="shared" si="118"/>
        <v>0.3</v>
      </c>
      <c r="BK61" s="7">
        <f t="shared" si="119"/>
        <v>-0.12857142857142856</v>
      </c>
      <c r="BL61">
        <f>ROUND(SUMIFS(LogFY21!K:K,LogFY21!A:A,"=*honolulu_ethics*")/SUMIFS(LogFY21!J:J,LogFY21!A:A,"=*honolulu_ethics*"),0)</f>
        <v>14</v>
      </c>
      <c r="BM61">
        <f t="shared" si="120"/>
        <v>2</v>
      </c>
      <c r="BN61">
        <v>30</v>
      </c>
      <c r="BO61" s="1">
        <f t="shared" si="121"/>
        <v>1</v>
      </c>
      <c r="BR61">
        <f>SUMIFS(LogFY22!D:D,LogFY22!A:A,"=*honolulu_ethics*")</f>
        <v>19</v>
      </c>
      <c r="BS61">
        <f>SUM(SUMIFS(LogFY22!D:D,LogFY22!A:A,"=*honolulu_ethics*"),-1*SUMIFS(LogFY22!L:L,LogFY22!A:A,"=*honolulu_ethics*"),-1*SUMIFS(LogFY22!N:N,LogFY22!A:A,"=*honolulu_ethics*"))</f>
        <v>10</v>
      </c>
      <c r="BT61" s="7">
        <f t="shared" si="103"/>
        <v>0.52631578947368418</v>
      </c>
      <c r="BU61" s="7">
        <f t="shared" si="104"/>
        <v>0.22631578947368419</v>
      </c>
      <c r="BV61">
        <f>ROUND(SUMIFS(LogFY22!K:K,LogFY22!A:A,"=*honolulu_ethics*")/SUMIFS(LogFY22!J:J,LogFY22!A:A,"=*honolulu_ethics*"),0)</f>
        <v>10</v>
      </c>
      <c r="BW61">
        <f t="shared" si="105"/>
        <v>-4</v>
      </c>
      <c r="BX61" s="1">
        <v>24</v>
      </c>
      <c r="BY61" s="1">
        <f t="shared" si="106"/>
        <v>-6</v>
      </c>
      <c r="CB61">
        <f>SUMIFS(LogFY23!D:D,LogFY23!A:A,"=*honolulu_ethics*")</f>
        <v>5</v>
      </c>
      <c r="CC61">
        <f>SUM(SUMIFS(LogFY23!D:D,LogFY23!A:A,"=*honolulu_ethics*"),-1*SUMIFS(LogFY23!L:L,LogFY23!A:A,"=*honolulu_ethics*"),-1*SUMIFS(LogFY23!N:N,LogFY23!A:A,"=*honolulu_ethics*"))</f>
        <v>4</v>
      </c>
      <c r="CD61" s="7">
        <f t="shared" si="122"/>
        <v>0.8</v>
      </c>
      <c r="CE61" s="7">
        <f t="shared" si="123"/>
        <v>0.27368421052631586</v>
      </c>
      <c r="CF61">
        <f>ROUND(SUMIFS(LogFY23!K:K,LogFY23!A:A,"=*honolulu_ethics*")/SUMIFS(LogFY23!J:J,LogFY23!A:A,"=*honolulu_ethics*"),0)</f>
        <v>10</v>
      </c>
      <c r="CG61">
        <f t="shared" si="124"/>
        <v>0</v>
      </c>
      <c r="CH61" s="1">
        <v>16</v>
      </c>
      <c r="CI61" s="1">
        <f t="shared" si="74"/>
        <v>-8</v>
      </c>
      <c r="CK61" s="7"/>
      <c r="CL61">
        <f>SUMIFS(LogFY24!D:D,LogFY24!A:A,"=*honolulu_ethics*")</f>
        <v>5</v>
      </c>
      <c r="CM61">
        <f>SUM(SUMIFS(LogFY24!D:D,LogFY24!A:A,"=*honolulu_ethics*"),-1*SUMIFS(LogFY24!L:L,LogFY24!A:A,"=*honolulu_ethics*"),-1*SUMIFS(LogFY24!N:N,LogFY24!A:A,"=*honolulu_ethics*"))</f>
        <v>2</v>
      </c>
      <c r="CN61" s="7">
        <f t="shared" si="73"/>
        <v>0.4</v>
      </c>
      <c r="CO61" s="7">
        <f t="shared" si="75"/>
        <v>-0.4</v>
      </c>
      <c r="CP61">
        <f>ROUND(SUMIFS(LogFY24!K:K,LogFY24!A:A,"=*honolulu_ethics*")/SUMIFS(LogFY24!J:J,LogFY24!A:A,"=*honolulu_ethics*"),0)</f>
        <v>7</v>
      </c>
      <c r="CQ61">
        <f t="shared" si="76"/>
        <v>-3</v>
      </c>
      <c r="CR61" s="1">
        <v>11</v>
      </c>
      <c r="CS61" s="1">
        <f t="shared" si="110"/>
        <v>-5</v>
      </c>
    </row>
    <row r="62" spans="1:99" ht="16">
      <c r="A62" s="10">
        <f t="shared" si="77"/>
        <v>61</v>
      </c>
      <c r="B62" s="1" t="s">
        <v>17237</v>
      </c>
      <c r="C62">
        <f>SUMIFS(LogFY15!D:D,LogFY15!A:A,"=SOH_Attorney_General")</f>
        <v>30</v>
      </c>
      <c r="D62">
        <f>SUM(SUMIFS(LogFY15!D:D,LogFY15!A:A,"=SOH_Attorney_General"),-1*SUMIFS(LogFY15!L:L,LogFY15!A:A,"=SOH_Attorney_General"),-1*SUMIFS(LogFY15!N:N,LogFY15!A:A,"=SOH_Attorney_General"))</f>
        <v>13</v>
      </c>
      <c r="E62" s="7">
        <f t="shared" ref="E62:E82" si="125">D62/C62</f>
        <v>0.43333333333333335</v>
      </c>
      <c r="F62">
        <f>ROUND(SUMIFS(LogFY15!K:K,LogFY15!A:A,"=SOH_Attorney_General")/SUMIFS(LogFY15!J:J,LogFY15!A:A,"=SOH_Attorney_General"),0)</f>
        <v>14</v>
      </c>
      <c r="G62" s="1">
        <v>51</v>
      </c>
      <c r="H62">
        <f>COUNTIFS(All!F:F,"=AG*", All!B:B, "&gt;=7/1/2014", All!B:B,"&lt;=6/30/2015", All!E:E,"U*", All!E:E,"&lt;&gt;UIPA*",All!E:E,"&lt;&gt;*RFO*",All!E:E,"&lt;&gt;*TRNG*",All!F:F,"&lt;&gt;aging*",All!F:F,"&lt;&gt;agency*")</f>
        <v>0</v>
      </c>
      <c r="I62" s="7">
        <f>ROUND(H62/C62,3)</f>
        <v>0</v>
      </c>
      <c r="J62">
        <f>SUMIFS(LogFY16!D:D,LogFY16!A:A,"=SOH_Attorney_General")</f>
        <v>29</v>
      </c>
      <c r="K62">
        <f>SUM(SUMIFS(LogFY16!D:D,LogFY16!A:A,"=SOH_Attorney_General"),-1*SUMIFS(LogFY16!L:L,LogFY16!A:A,"=SOH_Attorney_General"),-1*SUMIFS(LogFY16!N:N,LogFY16!A:A,"=SOH_Attorney_General"))</f>
        <v>20</v>
      </c>
      <c r="L62" s="11">
        <f t="shared" si="111"/>
        <v>0.68965517241379315</v>
      </c>
      <c r="M62" s="11">
        <f t="shared" si="112"/>
        <v>0.2563218390804598</v>
      </c>
      <c r="N62" s="12">
        <f>ROUND(SUMIFS(LogFY16!K:K,LogFY16!A:A,"=SOH_Attorney_General")/SUMIFS(LogFY16!J:J,LogFY16!A:A,"=SOH_Attorney_General"),0)</f>
        <v>10</v>
      </c>
      <c r="O62" s="12">
        <f t="shared" si="113"/>
        <v>-4</v>
      </c>
      <c r="P62" s="1"/>
      <c r="Q62" s="1">
        <f t="shared" si="114"/>
        <v>-51</v>
      </c>
      <c r="R62">
        <f>COUNTIFS(All!F:F,"=AG*", All!B:B, "&gt;=7/1/2015", All!B:B,"&lt;=6/30/2016", All!E:E,"U*", All!E:E,"&lt;&gt;UIPA*",All!E:E,"&lt;&gt;*RFO*",All!E:E,"&lt;&gt;*TRNG*",All!F:F,"&lt;&gt;aging*",All!F:F,"&lt;&gt;agency*")</f>
        <v>2</v>
      </c>
      <c r="S62" s="7">
        <f>ROUND(R62/(J62+C62),3)</f>
        <v>3.4000000000000002E-2</v>
      </c>
      <c r="T62">
        <f>SUMIFS(LogFY17!D:D,LogFY17!A:A,"=SOH_Attorney_General")</f>
        <v>30</v>
      </c>
      <c r="U62">
        <f>SUM(SUMIFS(LogFY17!D:D,LogFY17!A:A,"=SOH_Attorney_General"),-1*SUMIFS(LogFY17!L:L,LogFY17!A:A,"=SOH_Attorney_General"),-1*SUMIFS(LogFY17!N:N,LogFY17!A:A,"=SOH_Attorney_General"))</f>
        <v>17</v>
      </c>
      <c r="V62" s="11">
        <f t="shared" si="84"/>
        <v>0.56666666666666665</v>
      </c>
      <c r="W62" s="11">
        <f t="shared" si="85"/>
        <v>-0.1229885057471265</v>
      </c>
      <c r="X62" s="12">
        <f>ROUND(SUMIFS(LogFY17!K:K,LogFY17!A:A,"=SOH_Attorney_General")/SUMIFS(LogFY17!J:J,LogFY17!A:A,"=SOH_Attorney_General"),0)</f>
        <v>10</v>
      </c>
      <c r="Y62" s="12">
        <f t="shared" si="86"/>
        <v>0</v>
      </c>
      <c r="Z62" s="1">
        <v>68</v>
      </c>
      <c r="AA62" s="1">
        <f t="shared" si="115"/>
        <v>68</v>
      </c>
      <c r="AB62">
        <f>COUNTIFS(All!F:F,"=AG*", All!B:B, "&gt;=7/1/2016", All!B:B,"&lt;=6/30/2017", All!E:E,"U*", All!E:E,"&lt;&gt;UIPA*",All!E:E,"&lt;&gt;*RFO*",All!E:E,"&lt;&gt;*TRNG*",All!F:F,"&lt;&gt;aging*",All!F:F,"&lt;&gt;agency*")</f>
        <v>3</v>
      </c>
      <c r="AC62" s="7">
        <f>ROUND(AB62/(T62+J62),3)</f>
        <v>5.0999999999999997E-2</v>
      </c>
      <c r="AD62">
        <f>SUMIFS(LogFY18!D:D,LogFY18!A:A,"=SOH_Attorney_General")</f>
        <v>55</v>
      </c>
      <c r="AE62">
        <f>SUM(SUMIFS(LogFY18!D:D,LogFY18!A:A,"=SOH_Attorney_General"),-1*SUMIFS(LogFY18!L:L,LogFY18!A:A,"=SOH_Attorney_General"),-1*SUMIFS(LogFY18!N:N,LogFY18!A:A,"=SOH_Attorney_General"))</f>
        <v>31</v>
      </c>
      <c r="AF62" s="11">
        <f t="shared" si="87"/>
        <v>0.5636363636363636</v>
      </c>
      <c r="AG62" s="11">
        <f t="shared" si="88"/>
        <v>-3.0303030303030498E-3</v>
      </c>
      <c r="AH62" s="12">
        <f>ROUND(SUMIFS(LogFY18!K:K,LogFY18!A:A,"=SOH_Attorney_General")/SUMIFS(LogFY18!J:J,LogFY18!A:A,"=SOH_Attorney_General"),0)</f>
        <v>12</v>
      </c>
      <c r="AI62" s="12">
        <f t="shared" si="89"/>
        <v>2</v>
      </c>
      <c r="AJ62" s="1">
        <v>116</v>
      </c>
      <c r="AK62" s="1">
        <f t="shared" si="116"/>
        <v>48</v>
      </c>
      <c r="AL62">
        <f>COUNTIFS(All!F:F,"=AG*", All!B:B, "&gt;=7/1/2017", All!B:B,"&lt;=6/30/2018", All!E:E,"U*", All!E:E,"&lt;&gt;UIPA*",All!E:E,"&lt;&gt;*RFO*",All!E:E,"&lt;&gt;*TRNG*",All!F:F,"&lt;&gt;aging*",All!F:F,"&lt;&gt;agency*")</f>
        <v>6</v>
      </c>
      <c r="AM62" s="7">
        <f>ROUND(AL62/(AD62+T62),3)</f>
        <v>7.0999999999999994E-2</v>
      </c>
      <c r="AN62">
        <f>SUMIFS(LogFY19!D:D,LogFY19!A:A,"=SOH_Attorney_General")</f>
        <v>46</v>
      </c>
      <c r="AO62">
        <f>SUM(SUMIFS(LogFY19!D:D,LogFY19!A:A,"=SOH_Attorney_General"),-1*SUMIFS(LogFY19!L:L,LogFY19!A:A,"=SOH_Attorney_General"),-1*SUMIFS(LogFY19!N:N,LogFY19!A:A,"=SOH_Attorney_General"))</f>
        <v>35</v>
      </c>
      <c r="AP62" s="11">
        <f t="shared" si="91"/>
        <v>0.76086956521739135</v>
      </c>
      <c r="AQ62" s="11">
        <f t="shared" si="92"/>
        <v>0.19723320158102775</v>
      </c>
      <c r="AR62" s="12">
        <f>ROUND(SUMIFS(LogFY19!K:K,LogFY19!A:A,"=SOH_Attorney_General")/SUMIFS(LogFY19!J:J,LogFY19!A:A,"=SOH_Attorney_General"),0)</f>
        <v>13</v>
      </c>
      <c r="AS62" s="12">
        <f t="shared" si="93"/>
        <v>1</v>
      </c>
      <c r="AT62" s="1">
        <v>34</v>
      </c>
      <c r="AU62" s="1">
        <f t="shared" si="117"/>
        <v>-82</v>
      </c>
      <c r="AV62">
        <f>COUNTIFS(All!F:F,"=AG*", All!B:B, "&gt;=7/1/2018", All!B:B,"&lt;=6/30/2019", All!E:E,"U*", All!E:E,"&lt;&gt;UIPA*",All!E:E,"&lt;&gt;*RFO*",All!E:E,"&lt;&gt;*TRNG*",All!F:F,"&lt;&gt;aging*",All!F:F,"&lt;&gt;agency*")</f>
        <v>3</v>
      </c>
      <c r="AW62" s="7">
        <f>ROUND(AV62/(AN62+AD62),3)</f>
        <v>0.03</v>
      </c>
      <c r="AX62">
        <f>SUMIFS(LogFY20!D:D,LogFY20!A:A,"=SOH_Attorney_General")</f>
        <v>52</v>
      </c>
      <c r="AY62">
        <f>SUM(SUMIFS(LogFY20!D:D,LogFY20!A:A,"=SOH_Attorney_General"),-1*SUMIFS(LogFY20!L:L,LogFY20!A:A,"=SOH_Attorney_General"),-1*SUMIFS(LogFY20!N:N,LogFY20!A:A,"=SOH_Attorney_General"))</f>
        <v>40</v>
      </c>
      <c r="AZ62" s="11">
        <f t="shared" si="95"/>
        <v>0.76923076923076927</v>
      </c>
      <c r="BA62" s="11">
        <f t="shared" si="96"/>
        <v>8.3612040133779209E-3</v>
      </c>
      <c r="BB62" s="12">
        <f>ROUND(SUMIFS(LogFY20!K:K,LogFY20!A:A,"=SOH_Attorney_General")/SUMIFS(LogFY20!J:J,LogFY20!A:A,"=SOH_Attorney_General"),0)</f>
        <v>9</v>
      </c>
      <c r="BC62" s="12">
        <f t="shared" si="97"/>
        <v>-4</v>
      </c>
      <c r="BD62" s="1">
        <v>36</v>
      </c>
      <c r="BE62" s="1">
        <f t="shared" si="98"/>
        <v>2</v>
      </c>
      <c r="BF62">
        <f>COUNTIFS(All!F:F,"=AG*", All!B:B, "&gt;=7/1/2019", All!B:B,"&lt;=6/30/2020", All!E:E,"U*", All!E:E,"&lt;&gt;UIPA*",All!E:E,"&lt;&gt;*RFO*",All!E:E,"&lt;&gt;*TRNG*",All!F:F,"&lt;&gt;aging*",All!F:F,"&lt;&gt;agency*")</f>
        <v>4</v>
      </c>
      <c r="BG62" s="7">
        <f>ROUND(BF62/(AX62+AN62),3)</f>
        <v>4.1000000000000002E-2</v>
      </c>
      <c r="BH62">
        <f>SUMIFS(LogFY21!D:D,LogFY21!A:A,"=SOH_Attorney_General")</f>
        <v>31</v>
      </c>
      <c r="BI62">
        <f>SUM(SUMIFS(LogFY21!D:D,LogFY21!A:A,"=SOH_Attorney_General"),-1*SUMIFS(LogFY21!L:L,LogFY21!A:A,"=SOH_Attorney_General"),-1*SUMIFS(LogFY21!N:N,LogFY21!A:A,"=SOH_Attorney_General"))</f>
        <v>20</v>
      </c>
      <c r="BJ62" s="11">
        <f t="shared" si="118"/>
        <v>0.64516129032258063</v>
      </c>
      <c r="BK62" s="11">
        <f t="shared" si="119"/>
        <v>-0.12406947890818865</v>
      </c>
      <c r="BL62" s="12">
        <f>ROUND(SUMIFS(LogFY21!K:K,LogFY21!A:A,"=SOH_Attorney_General")/SUMIFS(LogFY21!J:J,LogFY21!A:A,"=SOH_Attorney_General"),0)</f>
        <v>18</v>
      </c>
      <c r="BM62" s="12">
        <f t="shared" si="120"/>
        <v>9</v>
      </c>
      <c r="BN62" s="1">
        <v>86</v>
      </c>
      <c r="BO62" s="1">
        <f t="shared" si="121"/>
        <v>50</v>
      </c>
      <c r="BP62">
        <f>COUNTIFS(All!F:F,"=AG*", All!B:B, "&gt;=7/1/2020", All!B:B,"&lt;=6/30/2021", All!E:E,"U*", All!E:E,"&lt;&gt;UIPA*",All!E:E,"&lt;&gt;*RFO*",All!E:E,"&lt;&gt;*TRNG*",All!F:F,"&lt;&gt;aging*",All!F:F,"&lt;&gt;agency*")</f>
        <v>1</v>
      </c>
      <c r="BQ62" s="7">
        <f>ROUND(BP62/(BH62+AX62),3)</f>
        <v>1.2E-2</v>
      </c>
      <c r="BR62">
        <f>SUMIFS(LogFY22!D:D,LogFY22!A:A,"=SOH_Attorney_General")</f>
        <v>45</v>
      </c>
      <c r="BS62">
        <f>SUM(SUMIFS(LogFY22!D:D,LogFY22!A:A,"=SOH_Attorney_General"),-1*SUMIFS(LogFY22!L:L,LogFY22!A:A,"=SOH_Attorney_General"),-1*SUMIFS(LogFY22!N:N,LogFY22!A:A,"=SOH_Attorney_General"))</f>
        <v>29</v>
      </c>
      <c r="BT62" s="11">
        <f t="shared" si="103"/>
        <v>0.64444444444444449</v>
      </c>
      <c r="BU62" s="11">
        <f t="shared" si="104"/>
        <v>-7.1684587813614087E-4</v>
      </c>
      <c r="BV62" s="12">
        <f>ROUND(SUMIFS(LogFY22!K:K,LogFY22!A:A,"=SOH_Attorney_General")/SUMIFS(LogFY22!J:J,LogFY22!A:A,"=SOH_Attorney_General"),0)</f>
        <v>9</v>
      </c>
      <c r="BW62" s="12">
        <f t="shared" si="105"/>
        <v>-9</v>
      </c>
      <c r="BX62" s="1">
        <v>23</v>
      </c>
      <c r="BY62" s="1">
        <f t="shared" si="106"/>
        <v>-63</v>
      </c>
      <c r="BZ62">
        <f>COUNTIFS(All!F:F,"=AG*", All!B:B, "&gt;=7/1/2021", All!B:B,"&lt;=6/30/2022", All!E:E,"U*", All!E:E,"&lt;&gt;UIPA*",All!E:E,"&lt;&gt;*RFO*",All!E:E,"&lt;&gt;*TRNG*",All!F:F,"&lt;&gt;aging*",All!F:F,"&lt;&gt;agency*")</f>
        <v>2</v>
      </c>
      <c r="CA62" s="7">
        <f>ROUND(BZ62/(BR62+BH62),3)</f>
        <v>2.5999999999999999E-2</v>
      </c>
      <c r="CB62">
        <f>SUMIFS(LogFY23!D:D,LogFY23!A:A,"=SOH_Attorney_General")</f>
        <v>46</v>
      </c>
      <c r="CC62">
        <f>SUM(SUMIFS(LogFY23!D:D,LogFY23!A:A,"=SOH_Attorney_General"),-1*SUMIFS(LogFY23!L:L,LogFY23!A:A,"=SOH_Attorney_General"),-1*SUMIFS(LogFY23!N:N,LogFY23!A:A,"=SOH_Attorney_General"))</f>
        <v>26</v>
      </c>
      <c r="CD62" s="11">
        <f t="shared" si="122"/>
        <v>0.56521739130434778</v>
      </c>
      <c r="CE62" s="11">
        <f t="shared" si="123"/>
        <v>-7.9227053140096704E-2</v>
      </c>
      <c r="CF62" s="12">
        <f>ROUND(SUMIFS(LogFY23!K:K,LogFY23!A:A,"=SOH_Attorney_General")/SUMIFS(LogFY23!J:J,LogFY23!A:A,"=SOH_Attorney_General"),0)</f>
        <v>10</v>
      </c>
      <c r="CG62" s="12">
        <f t="shared" si="124"/>
        <v>1</v>
      </c>
      <c r="CH62" s="1">
        <v>59</v>
      </c>
      <c r="CI62" s="1">
        <f t="shared" si="74"/>
        <v>36</v>
      </c>
      <c r="CJ62">
        <f>COUNTIFS(All!F:F,"=AG*", All!B:B, "&gt;=7/1/2022", All!B:B,"&lt;=6/30/2023", All!E:E,"U*", All!E:E,"&lt;&gt;UIPA*",All!E:E,"&lt;&gt;*RFO*",All!E:E,"&lt;&gt;*TRNG*",All!F:F,"&lt;&gt;aging*",All!F:F,"&lt;&gt;agency*")</f>
        <v>1</v>
      </c>
      <c r="CK62" s="7">
        <f>ROUND(CJ62/(CB62+BR62),3)</f>
        <v>1.0999999999999999E-2</v>
      </c>
      <c r="CL62">
        <f>SUMIFS(LogFY24!D:D,LogFY24!A:A,"=SOH_Attorney_General")</f>
        <v>58</v>
      </c>
      <c r="CM62">
        <f>SUM(SUMIFS(LogFY24!D:D,LogFY24!A:A,"=SOH_Attorney_General"),-1*SUMIFS(LogFY24!L:L,LogFY24!A:A,"=SOH_Attorney_General"),-1*SUMIFS(LogFY24!N:N,LogFY24!A:A,"=SOH_Attorney_General"))</f>
        <v>29</v>
      </c>
      <c r="CN62" s="11">
        <f t="shared" si="73"/>
        <v>0.5</v>
      </c>
      <c r="CO62" s="11">
        <f t="shared" si="75"/>
        <v>-6.5217391304347783E-2</v>
      </c>
      <c r="CP62" s="12">
        <f>ROUND(SUMIFS(LogFY24!K:K,LogFY24!A:A,"=SOH_Attorney_General")/SUMIFS(LogFY24!J:J,LogFY24!A:A,"=SOH_Attorney_General"),0)</f>
        <v>10</v>
      </c>
      <c r="CQ62" s="12">
        <f t="shared" si="76"/>
        <v>0</v>
      </c>
      <c r="CR62" s="1">
        <v>25</v>
      </c>
      <c r="CS62" s="1">
        <f t="shared" si="110"/>
        <v>-34</v>
      </c>
      <c r="CT62">
        <f>COUNTIFS(All!F:F,"=AG*", All!B:B, "&gt;=7/1/2023", All!B:B,"&lt;=6/30/2024", All!E:E,"U*", All!E:E,"&lt;&gt;UIPA*",All!E:E,"&lt;&gt;*RFO*",All!E:E,"&lt;&gt;*TRNG*",All!F:F,"&lt;&gt;aging*",All!F:F,"&lt;&gt;agency*")</f>
        <v>2</v>
      </c>
      <c r="CU62" s="7">
        <f>ROUND(CT62/(CL62+CB62),3)</f>
        <v>1.9E-2</v>
      </c>
    </row>
    <row r="63" spans="1:99" ht="32">
      <c r="A63" s="10">
        <f t="shared" si="77"/>
        <v>62</v>
      </c>
      <c r="B63" s="1" t="s">
        <v>17256</v>
      </c>
      <c r="C63">
        <f>SUMIFS(LogFY15!D:D,LogFY15!A:A,"=*accounting*")</f>
        <v>83</v>
      </c>
      <c r="D63">
        <f>SUM(SUMIFS(LogFY15!D:D,LogFY15!A:A,"=*accounting*"),-1*SUMIFS(LogFY15!L:L,LogFY15!A:A,"=*accounting*"),-1*SUMIFS(LogFY15!N:N,LogFY15!A:A,"=*accounting*"))</f>
        <v>18</v>
      </c>
      <c r="E63" s="7">
        <f t="shared" si="125"/>
        <v>0.21686746987951808</v>
      </c>
      <c r="F63">
        <f>ROUND(SUMIFS(LogFY15!K:K,LogFY15!A:A,"=*accounting*")/SUMIFS(LogFY15!J:J,LogFY15!A:A,"=*accounting*"),0)</f>
        <v>5</v>
      </c>
      <c r="G63" s="1">
        <v>31</v>
      </c>
      <c r="H63">
        <f>COUNTIFS(All!F:F,"=DAGS*", All!B:B, "&gt;=7/1/2014", All!B:B,"&lt;=6/30/2015", All!E:E,"=U*",All!E:E,"&lt;&gt;UIPA*",All!E:E,"&lt;&gt;*RFO*",All!E:E,"&lt;&gt;*TRNG*")</f>
        <v>1</v>
      </c>
      <c r="I63" s="7">
        <f>ROUND(H63/C63,3)</f>
        <v>1.2E-2</v>
      </c>
      <c r="J63">
        <f>SUMIFS(LogFY16!D:D,LogFY16!A:A,"=*accounting*")</f>
        <v>87</v>
      </c>
      <c r="K63">
        <f>SUM(SUMIFS(LogFY16!D:D,LogFY16!A:A,"=*accounting*"),-1*SUMIFS(LogFY16!L:L,LogFY16!A:A,"=*accounting*"),-1*SUMIFS(LogFY16!N:N,LogFY16!A:A,"=*accounting*"))</f>
        <v>22</v>
      </c>
      <c r="L63" s="7">
        <f t="shared" si="111"/>
        <v>0.25287356321839083</v>
      </c>
      <c r="M63" s="7">
        <f t="shared" si="112"/>
        <v>3.6006093338872752E-2</v>
      </c>
      <c r="N63">
        <f>ROUND(SUMIFS(LogFY16!K:K,LogFY16!A:A,"=*accounting*")/SUMIFS(LogFY16!J:J,LogFY16!A:A,"=*accounting*"),0)</f>
        <v>8</v>
      </c>
      <c r="O63">
        <f t="shared" si="113"/>
        <v>3</v>
      </c>
      <c r="P63" s="1">
        <v>163</v>
      </c>
      <c r="Q63" s="1">
        <f t="shared" si="114"/>
        <v>132</v>
      </c>
      <c r="R63">
        <f>COUNTIFS(All!F:F,"=DAGS*", All!B:B, "&gt;=7/1/2015", All!B:B,"&lt;=6/30/2016", All!E:E,"=U*",All!E:E,"&lt;&gt;UIPA*",All!E:E,"&lt;&gt;*RFO*",All!E:E,"&lt;&gt;*TRNG*")</f>
        <v>0</v>
      </c>
      <c r="S63" s="7">
        <f>ROUND(R63/(J63+C63),3)</f>
        <v>0</v>
      </c>
      <c r="T63">
        <f>SUMIFS(LogFY17!D:D,LogFY17!A:A,"=*accounting*")</f>
        <v>132</v>
      </c>
      <c r="U63">
        <f>SUM(SUMIFS(LogFY17!D:D,LogFY17!A:A,"=*accounting*"),-1*SUMIFS(LogFY17!L:L,LogFY17!A:A,"=*accounting*"),-1*SUMIFS(LogFY17!N:N,LogFY17!A:A,"=*accounting*"))</f>
        <v>38</v>
      </c>
      <c r="V63" s="7">
        <f t="shared" si="84"/>
        <v>0.2878787878787879</v>
      </c>
      <c r="W63" s="7">
        <f t="shared" si="85"/>
        <v>3.5005224660397072E-2</v>
      </c>
      <c r="X63">
        <f>ROUND(SUMIFS(LogFY17!K:K,LogFY17!A:A,"=*accounting*")/SUMIFS(LogFY17!J:J,LogFY17!A:A,"=*accounting*"),0)</f>
        <v>8</v>
      </c>
      <c r="Y63">
        <f t="shared" si="86"/>
        <v>0</v>
      </c>
      <c r="Z63" s="1">
        <v>100</v>
      </c>
      <c r="AA63" s="1">
        <f t="shared" si="115"/>
        <v>-63</v>
      </c>
      <c r="AB63">
        <f>COUNTIFS(All!F:F,"=DAGS*", All!B:B, "&gt;=7/1/2016", All!B:B,"&lt;=6/30/2017", All!E:E,"=U*",All!E:E,"&lt;&gt;UIPA*",All!E:E,"&lt;&gt;*RFO*",All!E:E,"&lt;&gt;*TRNG*")</f>
        <v>2</v>
      </c>
      <c r="AC63" s="7">
        <f>ROUND(AB63/(T63+J63),3)</f>
        <v>8.9999999999999993E-3</v>
      </c>
      <c r="AD63">
        <f>SUMIFS(LogFY18!D:D,LogFY18!A:A,"=*accounting*")</f>
        <v>115</v>
      </c>
      <c r="AE63">
        <f>SUM(SUMIFS(LogFY18!D:D,LogFY18!A:A,"=*accounting*"),-1*SUMIFS(LogFY18!L:L,LogFY18!A:A,"=*accounting*"),-1*SUMIFS(LogFY18!N:N,LogFY18!A:A,"=*accounting*"))</f>
        <v>24</v>
      </c>
      <c r="AF63" s="7">
        <f t="shared" si="87"/>
        <v>0.20869565217391303</v>
      </c>
      <c r="AG63" s="7">
        <f t="shared" si="88"/>
        <v>-7.9183135704874869E-2</v>
      </c>
      <c r="AH63">
        <f>ROUND(SUMIFS(LogFY18!K:K,LogFY18!A:A,"=*accounting*")/SUMIFS(LogFY18!J:J,LogFY18!A:A,"=*accounting*"),0)</f>
        <v>5</v>
      </c>
      <c r="AI63">
        <f t="shared" si="89"/>
        <v>-3</v>
      </c>
      <c r="AJ63" s="1">
        <v>22</v>
      </c>
      <c r="AK63" s="1">
        <f t="shared" si="116"/>
        <v>-78</v>
      </c>
      <c r="AL63">
        <f>COUNTIFS(All!F:F,"=DAGS*", All!B:B, "&gt;=7/1/2017", All!B:B,"&lt;=6/30/2018", All!E:E,"=U*",All!E:E,"&lt;&gt;UIPA*",All!E:E,"&lt;&gt;*RFO*",All!E:E,"&lt;&gt;*TRNG*")</f>
        <v>2</v>
      </c>
      <c r="AM63" s="7">
        <f>ROUND(AL63/(AD63+T63),3)</f>
        <v>8.0000000000000002E-3</v>
      </c>
      <c r="AN63">
        <f>SUMIFS(LogFY19!D:D,LogFY19!A:A,"=*accounting*")</f>
        <v>129</v>
      </c>
      <c r="AO63">
        <f>SUM(SUMIFS(LogFY19!D:D,LogFY19!A:A,"=*accounting*"),-1*SUMIFS(LogFY19!L:L,LogFY19!A:A,"=*accounting*"),-1*SUMIFS(LogFY19!N:N,LogFY19!A:A,"=*accounting*"))</f>
        <v>25</v>
      </c>
      <c r="AP63" s="7">
        <f t="shared" si="91"/>
        <v>0.19379844961240311</v>
      </c>
      <c r="AQ63" s="7">
        <f t="shared" si="92"/>
        <v>-1.489720256150992E-2</v>
      </c>
      <c r="AR63">
        <f>ROUND(SUMIFS(LogFY19!K:K,LogFY19!A:A,"=*accounting*")/SUMIFS(LogFY19!J:J,LogFY19!A:A,"=*accounting*"),0)</f>
        <v>9</v>
      </c>
      <c r="AS63">
        <f t="shared" si="93"/>
        <v>4</v>
      </c>
      <c r="AT63" s="1">
        <v>100</v>
      </c>
      <c r="AU63" s="1">
        <f t="shared" si="117"/>
        <v>78</v>
      </c>
      <c r="AV63">
        <f>COUNTIFS(All!F:F,"=DAGS*", All!B:B, "&gt;=7/1/2018", All!B:B,"&lt;=6/30/2019", All!E:E,"=U*",All!E:E,"&lt;&gt;UIPA*",All!E:E,"&lt;&gt;*RFO*",All!E:E,"&lt;&gt;*TRNG*")</f>
        <v>1</v>
      </c>
      <c r="AW63" s="7">
        <f>ROUND(AV63/(AN63+AD63),3)</f>
        <v>4.0000000000000001E-3</v>
      </c>
      <c r="AX63">
        <f>SUMIFS(LogFY20!D:D,LogFY20!A:A,"=*accounting*")</f>
        <v>141</v>
      </c>
      <c r="AY63">
        <f>SUM(SUMIFS(LogFY20!D:D,LogFY20!A:A,"=*accounting*"),-1*SUMIFS(LogFY20!L:L,LogFY20!A:A,"=*accounting*"),-1*SUMIFS(LogFY20!N:N,LogFY20!A:A,"=*accounting*"))</f>
        <v>39</v>
      </c>
      <c r="AZ63" s="7">
        <f t="shared" si="95"/>
        <v>0.27659574468085107</v>
      </c>
      <c r="BA63" s="7">
        <f t="shared" si="96"/>
        <v>8.2797295068447962E-2</v>
      </c>
      <c r="BB63">
        <f>ROUND(SUMIFS(LogFY20!K:K,LogFY20!A:A,"=*accounting*")/SUMIFS(LogFY20!J:J,LogFY20!A:A,"=*accounting*"),0)</f>
        <v>7</v>
      </c>
      <c r="BC63">
        <f t="shared" si="97"/>
        <v>-2</v>
      </c>
      <c r="BD63" s="1">
        <v>45</v>
      </c>
      <c r="BE63" s="1">
        <f t="shared" si="98"/>
        <v>-55</v>
      </c>
      <c r="BF63">
        <f>COUNTIFS(All!F:F,"=DAGS*", All!B:B, "&gt;=7/1/2019", All!B:B,"&lt;=6/30/2020", All!E:E,"=U*",All!E:E,"&lt;&gt;UIPA*",All!E:E,"&lt;&gt;*RFO*",All!E:E,"&lt;&gt;*TRNG*")</f>
        <v>1</v>
      </c>
      <c r="BG63" s="7">
        <f>ROUND(BF63/(AX63+AN63),3)</f>
        <v>4.0000000000000001E-3</v>
      </c>
      <c r="BH63">
        <f>SUMIFS(LogFY21!D:D,LogFY21!A:A,"=*accounting*")</f>
        <v>83</v>
      </c>
      <c r="BI63">
        <f>SUM(SUMIFS(LogFY21!D:D,LogFY21!A:A,"=*accounting*"),-1*SUMIFS(LogFY21!L:L,LogFY21!A:A,"=*accounting*"),-1*SUMIFS(LogFY21!N:N,LogFY21!A:A,"=*accounting*"))</f>
        <v>18</v>
      </c>
      <c r="BJ63" s="7">
        <f t="shared" si="118"/>
        <v>0.21686746987951808</v>
      </c>
      <c r="BK63" s="7">
        <f t="shared" si="119"/>
        <v>-5.9728274801332998E-2</v>
      </c>
      <c r="BL63">
        <f>ROUND(SUMIFS(LogFY21!K:K,LogFY21!A:A,"=*accounting*")/SUMIFS(LogFY21!J:J,LogFY21!A:A,"=*accounting*"),0)</f>
        <v>7</v>
      </c>
      <c r="BM63">
        <f t="shared" si="120"/>
        <v>0</v>
      </c>
      <c r="BN63" s="1">
        <v>52</v>
      </c>
      <c r="BO63" s="1">
        <f t="shared" si="121"/>
        <v>7</v>
      </c>
      <c r="BP63">
        <f>COUNTIFS(All!F:F,"=DAGS*", All!B:B, "&gt;=7/1/2020", All!B:B,"&lt;=6/30/2021", All!E:E,"=U*",All!E:E,"&lt;&gt;UIPA*",All!E:E,"&lt;&gt;*RFO*",All!E:E,"&lt;&gt;*TRNG*")</f>
        <v>0</v>
      </c>
      <c r="BQ63" s="7">
        <f>ROUND(BP63/(BH63+AX63),3)</f>
        <v>0</v>
      </c>
      <c r="BR63">
        <f>SUMIFS(LogFY22!D:D,LogFY22!A:A,"=*accounting*")</f>
        <v>172</v>
      </c>
      <c r="BS63">
        <f>SUM(SUMIFS(LogFY22!D:D,LogFY22!A:A,"=*accounting*"),-1*SUMIFS(LogFY22!L:L,LogFY22!A:A,"=*accounting*"),-1*SUMIFS(LogFY22!N:N,LogFY22!A:A,"=*accounting*"))</f>
        <v>67</v>
      </c>
      <c r="BT63" s="7">
        <f t="shared" si="103"/>
        <v>0.38953488372093026</v>
      </c>
      <c r="BU63" s="7">
        <f t="shared" si="104"/>
        <v>0.17266741384141218</v>
      </c>
      <c r="BV63">
        <f>ROUND(SUMIFS(LogFY22!K:K,LogFY22!A:A,"=*accounting*")/SUMIFS(LogFY22!J:J,LogFY22!A:A,"=*accounting*"),0)</f>
        <v>6</v>
      </c>
      <c r="BW63">
        <f t="shared" si="105"/>
        <v>-1</v>
      </c>
      <c r="BX63" s="1">
        <v>30</v>
      </c>
      <c r="BY63" s="1">
        <f t="shared" si="106"/>
        <v>-22</v>
      </c>
      <c r="BZ63">
        <f>COUNTIFS(All!F:F,"=DAGS*", All!B:B, "&gt;=7/1/2021", All!B:B,"&lt;=6/30/2022", All!E:E,"=U*",All!E:E,"&lt;&gt;UIPA*",All!E:E,"&lt;&gt;*RFO*",All!E:E,"&lt;&gt;*TRNG*")</f>
        <v>2</v>
      </c>
      <c r="CA63" s="7">
        <f>ROUND(BZ63/(BR63+BH63),3)</f>
        <v>8.0000000000000002E-3</v>
      </c>
      <c r="CB63">
        <f>SUMIFS(LogFY23!D:D,LogFY23!A:A,"=*accounting*")</f>
        <v>289</v>
      </c>
      <c r="CC63">
        <f>SUM(SUMIFS(LogFY23!D:D,LogFY23!A:A,"=*accounting*"),-1*SUMIFS(LogFY23!L:L,LogFY23!A:A,"=*accounting*"),-1*SUMIFS(LogFY23!N:N,LogFY23!A:A,"=*accounting*"))</f>
        <v>167</v>
      </c>
      <c r="CD63" s="7">
        <f t="shared" si="122"/>
        <v>0.57785467128027679</v>
      </c>
      <c r="CE63" s="7">
        <f t="shared" si="123"/>
        <v>0.18831978755934653</v>
      </c>
      <c r="CF63">
        <f>ROUND(SUMIFS(LogFY23!K:K,LogFY23!A:A,"=*accounting*")/SUMIFS(LogFY23!J:J,LogFY23!A:A,"=*accounting*"),0)</f>
        <v>9</v>
      </c>
      <c r="CG63">
        <f t="shared" si="124"/>
        <v>3</v>
      </c>
      <c r="CH63" s="1">
        <v>69</v>
      </c>
      <c r="CI63" s="1">
        <f t="shared" si="74"/>
        <v>39</v>
      </c>
      <c r="CJ63">
        <f>COUNTIFS(All!F:F,"=DAGS*", All!B:B, "&gt;=7/1/2022", All!B:B,"&lt;=6/30/2023", All!E:E,"=U*",All!E:E,"&lt;&gt;UIPA*",All!E:E,"&lt;&gt;*RFO*",All!E:E,"&lt;&gt;*TRNG*")</f>
        <v>5</v>
      </c>
      <c r="CK63" s="7">
        <f>ROUND(CJ63/(CB63+BR63),3)</f>
        <v>1.0999999999999999E-2</v>
      </c>
      <c r="CL63">
        <f>SUMIFS(LogFY24!D:D,LogFY24!A:A,"=*accounting*")</f>
        <v>199</v>
      </c>
      <c r="CM63">
        <f>SUM(SUMIFS(LogFY24!D:D,LogFY24!A:A,"=*accounting*"),-1*SUMIFS(LogFY24!L:L,LogFY24!A:A,"=*accounting*"),-1*SUMIFS(LogFY24!N:N,LogFY24!A:A,"=*accounting*"))</f>
        <v>85</v>
      </c>
      <c r="CN63" s="7">
        <f t="shared" si="73"/>
        <v>0.42713567839195982</v>
      </c>
      <c r="CO63" s="7">
        <f t="shared" si="75"/>
        <v>-0.15071899288831697</v>
      </c>
      <c r="CP63">
        <f>ROUND(SUMIFS(LogFY24!K:K,LogFY24!A:A,"=*accounting*")/SUMIFS(LogFY24!J:J,LogFY24!A:A,"=*accounting*"),0)</f>
        <v>6</v>
      </c>
      <c r="CQ63">
        <f t="shared" si="76"/>
        <v>-3</v>
      </c>
      <c r="CR63" s="1">
        <v>112</v>
      </c>
      <c r="CS63" s="1">
        <f t="shared" si="110"/>
        <v>43</v>
      </c>
      <c r="CT63">
        <f>COUNTIFS(All!F:F,"=DAGS*", All!B:B, "&gt;=7/1/2023", All!B:B,"&lt;=6/30/2024", All!E:E,"=U*",All!E:E,"&lt;&gt;UIPA*",All!E:E,"&lt;&gt;*RFO*",All!E:E,"&lt;&gt;*TRNG*")</f>
        <v>1</v>
      </c>
      <c r="CU63" s="7">
        <f>ROUND(CT63/(CL63+CB63),3)</f>
        <v>2E-3</v>
      </c>
    </row>
    <row r="64" spans="1:99" ht="16">
      <c r="A64" s="10">
        <f t="shared" si="77"/>
        <v>63</v>
      </c>
      <c r="B64" s="9" t="s">
        <v>17455</v>
      </c>
      <c r="C64">
        <f>SUMIFS(LogFY15!D:D,LogFY15!B:B,"=*accounting division*")</f>
        <v>20</v>
      </c>
      <c r="D64">
        <f>SUM(SUMIFS(LogFY15!D:D,LogFY15!B:B,"=*accounting division*"),-1*SUMIFS(LogFY15!L:L,LogFY15!B:B,"=*accounting division*"),-1*SUMIFS(LogFY15!N:N,LogFY15!B:B,"=*accounting division*"))</f>
        <v>0</v>
      </c>
      <c r="E64" s="7">
        <f t="shared" si="125"/>
        <v>0</v>
      </c>
      <c r="F64">
        <f>ROUND(SUMIFS(LogFY15!K:K,LogFY15!B:B,"=*accounting division*")/SUMIFS(LogFY15!J:J,LogFY15!B:B,"=*accounting division*"),0)</f>
        <v>4</v>
      </c>
      <c r="G64" s="1">
        <v>13</v>
      </c>
      <c r="J64">
        <f>SUMIFS(LogFY16!D:D,LogFY16!B:B,"=*accounting division*")</f>
        <v>23</v>
      </c>
      <c r="K64">
        <f>SUM(SUMIFS(LogFY16!D:D,LogFY16!B:B,"=*accounting division*"),-1*SUMIFS(LogFY16!L:L,LogFY16!B:B,"=*accounting division*"),-1*SUMIFS(LogFY16!N:N,LogFY16!B:B,"=*accounting division*"))</f>
        <v>0</v>
      </c>
      <c r="L64" s="7">
        <f t="shared" si="111"/>
        <v>0</v>
      </c>
      <c r="M64" s="7">
        <f t="shared" si="112"/>
        <v>0</v>
      </c>
      <c r="N64">
        <f>ROUND(SUMIFS(LogFY16!K:K,LogFY16!B:B,"=*accounting division*")/SUMIFS(LogFY16!J:J,LogFY16!B:B,"=*accounting division*"),0)</f>
        <v>3</v>
      </c>
      <c r="O64">
        <f t="shared" si="113"/>
        <v>-1</v>
      </c>
      <c r="P64" s="1">
        <v>5</v>
      </c>
      <c r="Q64" s="1">
        <f t="shared" si="114"/>
        <v>-8</v>
      </c>
      <c r="T64">
        <f>SUMIFS(LogFY17!D:D,LogFY17!B:B,"=*accounting division*")</f>
        <v>21</v>
      </c>
      <c r="U64">
        <f>SUM(SUMIFS(LogFY17!D:D,LogFY17!B:B,"=*accounting division*"),-1*SUMIFS(LogFY17!L:L,LogFY17!B:B,"=*accounting division*"),-1*SUMIFS(LogFY17!N:N,LogFY17!B:B,"=*accounting division*"))</f>
        <v>0</v>
      </c>
      <c r="V64" s="7">
        <f t="shared" si="84"/>
        <v>0</v>
      </c>
      <c r="W64" s="7">
        <f t="shared" si="85"/>
        <v>0</v>
      </c>
      <c r="X64">
        <f>ROUND(SUMIFS(LogFY17!K:K,LogFY17!B:B,"=*accounting division*")/SUMIFS(LogFY17!J:J,LogFY17!B:B,"=*accounting division*"),0)</f>
        <v>6</v>
      </c>
      <c r="Y64">
        <f t="shared" si="86"/>
        <v>3</v>
      </c>
      <c r="Z64" s="1">
        <v>37</v>
      </c>
      <c r="AA64" s="1">
        <f t="shared" si="115"/>
        <v>32</v>
      </c>
      <c r="AD64">
        <f>SUMIFS(LogFY18!D:D,LogFY18!B:B,"=*acct-1*")</f>
        <v>34</v>
      </c>
      <c r="AE64">
        <f>SUM(SUMIFS(LogFY18!D:D,LogFY18!B:B,"=*acct-1*"),-1*SUMIFS(LogFY18!L:L,LogFY18!B:B,"=*acct-1*"),-1*SUMIFS(LogFY18!N:N,LogFY18!B:B,"=*acct-1*"))</f>
        <v>0</v>
      </c>
      <c r="AF64" s="7">
        <f t="shared" si="87"/>
        <v>0</v>
      </c>
      <c r="AG64" s="7">
        <f t="shared" si="88"/>
        <v>0</v>
      </c>
      <c r="AH64">
        <f>ROUND(SUMIFS(LogFY18!K:K,LogFY18!B:B,"=*acct-1*")/SUMIFS(LogFY18!J:J,LogFY18!B:B,"=*acct-1*"),0)</f>
        <v>4</v>
      </c>
      <c r="AI64">
        <f t="shared" si="89"/>
        <v>-2</v>
      </c>
      <c r="AJ64" s="1">
        <v>15</v>
      </c>
      <c r="AK64" s="1">
        <f t="shared" si="116"/>
        <v>-22</v>
      </c>
      <c r="AN64">
        <f>SUMIFS(LogFY19!D:D,LogFY19!B:B,"=*acct-1*")</f>
        <v>45</v>
      </c>
      <c r="AO64">
        <f>SUM(SUMIFS(LogFY19!D:D,LogFY19!B:B,"=*acct-1*"),-1*SUMIFS(LogFY19!L:L,LogFY19!B:B,"=*acct-1*"),-1*SUMIFS(LogFY19!N:N,LogFY19!B:B,"=*acct-1*"))</f>
        <v>0</v>
      </c>
      <c r="AP64" s="7">
        <f t="shared" si="91"/>
        <v>0</v>
      </c>
      <c r="AQ64" s="7">
        <f t="shared" si="92"/>
        <v>0</v>
      </c>
      <c r="AR64">
        <f>ROUND(SUMIFS(LogFY19!K:K,LogFY19!B:B,"=*acct-1*")/SUMIFS(LogFY19!J:J,LogFY19!B:B,"=*acct-1*"),0)</f>
        <v>5</v>
      </c>
      <c r="AS64">
        <f t="shared" si="93"/>
        <v>1</v>
      </c>
      <c r="AT64" s="1">
        <v>25</v>
      </c>
      <c r="AU64" s="1">
        <f t="shared" si="117"/>
        <v>10</v>
      </c>
      <c r="AX64">
        <f>SUMIFS(LogFY20!D:D,LogFY20!B:B,"=*acct-1*")</f>
        <v>54</v>
      </c>
      <c r="AY64">
        <f>SUM(SUMIFS(LogFY20!D:D,LogFY20!B:B,"=*acct-1*"),-1*SUMIFS(LogFY20!L:L,LogFY20!B:B,"=*acct-1*"),-1*SUMIFS(LogFY20!N:N,LogFY20!B:B,"=*acct-1*"))</f>
        <v>0</v>
      </c>
      <c r="AZ64" s="7">
        <f t="shared" si="95"/>
        <v>0</v>
      </c>
      <c r="BA64" s="7">
        <f t="shared" si="96"/>
        <v>0</v>
      </c>
      <c r="BB64">
        <f>ROUND(SUMIFS(LogFY20!K:K,LogFY20!B:B,"=*acct-1*")/SUMIFS(LogFY20!J:J,LogFY20!B:B,"=*acct-1*"),0)</f>
        <v>7</v>
      </c>
      <c r="BC64">
        <f t="shared" si="97"/>
        <v>2</v>
      </c>
      <c r="BD64" s="1">
        <v>31</v>
      </c>
      <c r="BE64" s="1">
        <f t="shared" si="98"/>
        <v>6</v>
      </c>
      <c r="BH64">
        <f>SUMIFS(LogFY21!D:D,LogFY21!B:B,"=*acct-1*")</f>
        <v>41</v>
      </c>
      <c r="BI64">
        <f>SUM(SUMIFS(LogFY21!D:D,LogFY21!B:B,"=*acct-1*"),-1*SUMIFS(LogFY21!L:L,LogFY21!B:B,"=*acct-1*"),-1*SUMIFS(LogFY21!N:N,LogFY21!B:B,"=*acct-1*"))</f>
        <v>0</v>
      </c>
      <c r="BJ64" s="7">
        <f t="shared" si="118"/>
        <v>0</v>
      </c>
      <c r="BK64" s="7">
        <f t="shared" si="119"/>
        <v>0</v>
      </c>
      <c r="BL64">
        <f>ROUND(SUMIFS(LogFY21!K:K,LogFY21!B:B,"=*acct-1*")/SUMIFS(LogFY21!J:J,LogFY21!B:B,"=*acct-1*"),0)</f>
        <v>5</v>
      </c>
      <c r="BM64">
        <f t="shared" si="120"/>
        <v>-2</v>
      </c>
      <c r="BN64" s="1">
        <v>11</v>
      </c>
      <c r="BO64" s="1">
        <f t="shared" si="121"/>
        <v>-20</v>
      </c>
      <c r="BR64">
        <f>SUMIFS(LogFY22!D:D,LogFY22!B:B,"=*acct-1*")</f>
        <v>53</v>
      </c>
      <c r="BS64">
        <f>SUM(SUMIFS(LogFY22!D:D,LogFY22!B:B,"=*acct-1*"),-1*SUMIFS(LogFY22!L:L,LogFY22!B:B,"=*acct-1*"),-1*SUMIFS(LogFY22!N:N,LogFY22!B:B,"=*acct-1*"))</f>
        <v>0</v>
      </c>
      <c r="BT64" s="7">
        <f t="shared" si="103"/>
        <v>0</v>
      </c>
      <c r="BU64" s="7">
        <f t="shared" si="104"/>
        <v>0</v>
      </c>
      <c r="BV64">
        <f>ROUND(SUMIFS(LogFY22!K:K,LogFY22!B:B,"=*acct-1*")/SUMIFS(LogFY22!J:J,LogFY22!B:B,"=*acct-1*"),0)</f>
        <v>4</v>
      </c>
      <c r="BW64">
        <f t="shared" si="105"/>
        <v>-1</v>
      </c>
      <c r="BX64" s="1">
        <v>16</v>
      </c>
      <c r="BY64" s="1">
        <f t="shared" si="106"/>
        <v>5</v>
      </c>
      <c r="CB64">
        <f>SUMIFS(LogFY23!D:D,LogFY23!B:B,"=*acct-1*")</f>
        <v>49</v>
      </c>
      <c r="CC64">
        <f>SUM(SUMIFS(LogFY23!D:D,LogFY23!B:B,"=*acct-1*"),-1*SUMIFS(LogFY23!L:L,LogFY23!B:B,"=*acct-1*"),-1*SUMIFS(LogFY23!N:N,LogFY23!B:B,"=*acct-1*"))</f>
        <v>0</v>
      </c>
      <c r="CD64" s="7">
        <f t="shared" si="122"/>
        <v>0</v>
      </c>
      <c r="CE64" s="7">
        <f t="shared" si="123"/>
        <v>0</v>
      </c>
      <c r="CF64">
        <f>ROUND(SUMIFS(LogFY23!K:K,LogFY23!B:B,"=*acct-1*")/SUMIFS(LogFY23!J:J,LogFY23!B:B,"=*acct-1*"),0)</f>
        <v>3</v>
      </c>
      <c r="CG64">
        <f t="shared" si="124"/>
        <v>-1</v>
      </c>
      <c r="CH64" s="1">
        <v>8</v>
      </c>
      <c r="CI64" s="1">
        <f t="shared" si="74"/>
        <v>-8</v>
      </c>
      <c r="CK64" s="7"/>
      <c r="CL64">
        <f>SUMIFS(LogFY24!D:D,LogFY24!B:B,"=*acct-1*")</f>
        <v>52</v>
      </c>
      <c r="CM64">
        <f>SUM(SUMIFS(LogFY24!D:D,LogFY24!B:B,"=*acct-1*"),-1*SUMIFS(LogFY24!L:L,LogFY24!B:B,"=*acct-1*"),-1*SUMIFS(LogFY24!N:N,LogFY24!B:B,"=*acct-1*"))</f>
        <v>0</v>
      </c>
      <c r="CN64" s="7">
        <f t="shared" si="73"/>
        <v>0</v>
      </c>
      <c r="CO64" s="7">
        <f t="shared" si="75"/>
        <v>0</v>
      </c>
      <c r="CP64">
        <f>ROUND(SUMIFS(LogFY24!K:K,LogFY24!B:B,"=*acct-1*")/SUMIFS(LogFY24!J:J,LogFY24!B:B,"=*acct-1*"),0)</f>
        <v>3</v>
      </c>
      <c r="CQ64">
        <f t="shared" si="76"/>
        <v>0</v>
      </c>
      <c r="CR64" s="1">
        <v>11</v>
      </c>
      <c r="CS64" s="1">
        <f t="shared" si="110"/>
        <v>3</v>
      </c>
    </row>
    <row r="65" spans="1:99" ht="16">
      <c r="A65" s="10">
        <f t="shared" si="77"/>
        <v>64</v>
      </c>
      <c r="B65" s="9" t="s">
        <v>17456</v>
      </c>
      <c r="C65">
        <f>SUMIFS(LogFY15!D:D,LogFY15!B:B,"=*public works division*")</f>
        <v>15</v>
      </c>
      <c r="D65">
        <f>SUM(SUMIFS(LogFY15!D:D,LogFY15!B:B,"=*public works division*"),-1*SUMIFS(LogFY15!L:L,LogFY15!B:B,"=*public works division*"),-1*SUMIFS(LogFY15!N:N,LogFY15!B:B,"=*public works division*"))</f>
        <v>3</v>
      </c>
      <c r="E65" s="7">
        <f t="shared" si="125"/>
        <v>0.2</v>
      </c>
      <c r="F65">
        <f>ROUND(SUMIFS(LogFY15!K:K,LogFY15!B:B,"=*public works division*")/SUMIFS(LogFY15!J:J,LogFY15!B:B,"=*public works division*"),0)</f>
        <v>4</v>
      </c>
      <c r="G65" s="1">
        <v>31</v>
      </c>
      <c r="J65">
        <f>SUMIFS(LogFY16!D:D,LogFY16!B:B,"=*public works division*")</f>
        <v>19</v>
      </c>
      <c r="K65">
        <f>SUM(SUMIFS(LogFY16!D:D,LogFY16!B:B,"=*public works division*"),-1*SUMIFS(LogFY16!L:L,LogFY16!B:B,"=*public works division*"),-1*SUMIFS(LogFY16!N:N,LogFY16!B:B,"=*public works division*"))</f>
        <v>2</v>
      </c>
      <c r="L65" s="7">
        <f t="shared" si="111"/>
        <v>0.10526315789473684</v>
      </c>
      <c r="M65" s="7">
        <f t="shared" si="112"/>
        <v>-9.4736842105263175E-2</v>
      </c>
      <c r="N65">
        <f>ROUND(SUMIFS(LogFY16!K:K,LogFY16!B:B,"=*public works division*")/SUMIFS(LogFY16!J:J,LogFY16!B:B,"=*public works division*"),0)</f>
        <v>3</v>
      </c>
      <c r="O65">
        <f t="shared" si="113"/>
        <v>-1</v>
      </c>
      <c r="P65" s="1">
        <v>9</v>
      </c>
      <c r="Q65" s="1">
        <f t="shared" si="114"/>
        <v>-22</v>
      </c>
      <c r="T65">
        <f>SUMIFS(LogFY17!D:D,LogFY17!B:B,"=*public works division*")</f>
        <v>11</v>
      </c>
      <c r="U65">
        <f>SUM(SUMIFS(LogFY17!D:D,LogFY17!B:B,"=*public works division*"),-1*SUMIFS(LogFY17!L:L,LogFY17!B:B,"=*public works division*"),-1*SUMIFS(LogFY17!N:N,LogFY17!B:B,"=*public works division*"))</f>
        <v>1</v>
      </c>
      <c r="V65" s="7">
        <f t="shared" si="84"/>
        <v>9.0909090909090912E-2</v>
      </c>
      <c r="W65" s="7">
        <f t="shared" si="85"/>
        <v>-1.4354066985645925E-2</v>
      </c>
      <c r="X65">
        <f>ROUND(SUMIFS(LogFY17!K:K,LogFY17!B:B,"=*public works division*")/SUMIFS(LogFY17!J:J,LogFY17!B:B,"=*public works division*"),0)</f>
        <v>3</v>
      </c>
      <c r="Y65">
        <f t="shared" si="86"/>
        <v>0</v>
      </c>
      <c r="Z65" s="1">
        <v>7</v>
      </c>
      <c r="AA65" s="1">
        <f t="shared" si="115"/>
        <v>-2</v>
      </c>
      <c r="AD65">
        <f>SUMIFS(LogFY18!D:D,LogFY18!B:B,"=*public works division*")</f>
        <v>17</v>
      </c>
      <c r="AE65">
        <f>SUM(SUMIFS(LogFY18!D:D,LogFY18!B:B,"=*public works division*"),-1*SUMIFS(LogFY18!L:L,LogFY18!B:B,"=*public works division*"),-1*SUMIFS(LogFY18!N:N,LogFY18!B:B,"=*public works division*"))</f>
        <v>2</v>
      </c>
      <c r="AF65" s="7">
        <f t="shared" si="87"/>
        <v>0.11764705882352941</v>
      </c>
      <c r="AG65" s="7">
        <f t="shared" si="88"/>
        <v>2.6737967914438499E-2</v>
      </c>
      <c r="AH65">
        <f>ROUND(SUMIFS(LogFY18!K:K,LogFY18!B:B,"=*public works division*")/SUMIFS(LogFY18!J:J,LogFY18!B:B,"=*public works division*"),0)</f>
        <v>4</v>
      </c>
      <c r="AI65">
        <f t="shared" si="89"/>
        <v>1</v>
      </c>
      <c r="AJ65" s="1">
        <v>10</v>
      </c>
      <c r="AK65" s="1">
        <f t="shared" si="116"/>
        <v>3</v>
      </c>
      <c r="AN65">
        <f>SUMIFS(LogFY19!D:D,LogFY19!B:B,"=*public works division*")</f>
        <v>16</v>
      </c>
      <c r="AO65">
        <f>SUM(SUMIFS(LogFY19!D:D,LogFY19!B:B,"=*public works division*"),-1*SUMIFS(LogFY19!L:L,LogFY19!B:B,"=*public works division*"),-1*SUMIFS(LogFY19!N:N,LogFY19!B:B,"=*public works division*"))</f>
        <v>3</v>
      </c>
      <c r="AP65" s="7">
        <f t="shared" si="91"/>
        <v>0.1875</v>
      </c>
      <c r="AQ65" s="7">
        <f t="shared" si="92"/>
        <v>6.985294117647059E-2</v>
      </c>
      <c r="AR65">
        <f>ROUND(SUMIFS(LogFY19!K:K,LogFY19!B:B,"=*public works division*")/SUMIFS(LogFY19!J:J,LogFY19!B:B,"=*public works division*"),0)</f>
        <v>7</v>
      </c>
      <c r="AS65">
        <f t="shared" si="93"/>
        <v>3</v>
      </c>
      <c r="AT65" s="1">
        <v>28</v>
      </c>
      <c r="AU65" s="1">
        <f t="shared" si="117"/>
        <v>18</v>
      </c>
      <c r="AX65">
        <f>SUMIFS(LogFY20!D:D,LogFY20!B:B,"=*public works division*")</f>
        <v>12</v>
      </c>
      <c r="AY65">
        <f>SUM(SUMIFS(LogFY20!D:D,LogFY20!B:B,"=*public works division*"),-1*SUMIFS(LogFY20!L:L,LogFY20!B:B,"=*public works division*"),-1*SUMIFS(LogFY20!N:N,LogFY20!B:B,"=*public works division*"))</f>
        <v>2</v>
      </c>
      <c r="AZ65" s="7">
        <f t="shared" si="95"/>
        <v>0.16666666666666666</v>
      </c>
      <c r="BA65" s="7">
        <f t="shared" si="96"/>
        <v>-2.0833333333333343E-2</v>
      </c>
      <c r="BB65">
        <f>ROUND(SUMIFS(LogFY20!K:K,LogFY20!B:B,"=*public works division*")/SUMIFS(LogFY20!J:J,LogFY20!B:B,"=*public works division*"),0)</f>
        <v>10</v>
      </c>
      <c r="BC65">
        <f t="shared" si="97"/>
        <v>3</v>
      </c>
      <c r="BD65" s="1">
        <v>45</v>
      </c>
      <c r="BE65" s="1">
        <f t="shared" si="98"/>
        <v>17</v>
      </c>
      <c r="BH65">
        <f>SUMIFS(LogFY21!D:D,LogFY21!B:B,"=*public works division*")</f>
        <v>5</v>
      </c>
      <c r="BI65">
        <f>SUM(SUMIFS(LogFY21!D:D,LogFY21!B:B,"=*public works division*"),-1*SUMIFS(LogFY21!L:L,LogFY21!B:B,"=*public works division*"),-1*SUMIFS(LogFY21!N:N,LogFY21!B:B,"=*public works division*"))</f>
        <v>0</v>
      </c>
      <c r="BJ65" s="7">
        <f t="shared" si="118"/>
        <v>0</v>
      </c>
      <c r="BK65" s="7">
        <f t="shared" si="119"/>
        <v>-0.16666666666666666</v>
      </c>
      <c r="BL65">
        <f>ROUND(SUMIFS(LogFY21!K:K,LogFY21!B:B,"=*public works division*")/SUMIFS(LogFY21!J:J,LogFY21!B:B,"=*public works division*"),0)</f>
        <v>8</v>
      </c>
      <c r="BM65">
        <f t="shared" si="120"/>
        <v>-2</v>
      </c>
      <c r="BN65" s="1">
        <v>14</v>
      </c>
      <c r="BO65" s="1">
        <f t="shared" si="121"/>
        <v>-31</v>
      </c>
      <c r="BR65">
        <f>SUMIFS(LogFY22!D:D,LogFY22!B:B,"=*public works division*")</f>
        <v>7</v>
      </c>
      <c r="BS65">
        <f>SUM(SUMIFS(LogFY22!D:D,LogFY22!B:B,"=*public works division*"),-1*SUMIFS(LogFY22!L:L,LogFY22!B:B,"=*public works division*"),-1*SUMIFS(LogFY22!N:N,LogFY22!B:B,"=*public works division*"))</f>
        <v>1</v>
      </c>
      <c r="BT65" s="7">
        <f t="shared" si="103"/>
        <v>0.14285714285714285</v>
      </c>
      <c r="BU65" s="7">
        <f t="shared" si="104"/>
        <v>0.14285714285714285</v>
      </c>
      <c r="BV65">
        <f>ROUND(SUMIFS(LogFY22!K:K,LogFY22!B:B,"=*public works division*")/SUMIFS(LogFY22!J:J,LogFY22!B:B,"=*public works division*"),0)</f>
        <v>12</v>
      </c>
      <c r="BW65">
        <f t="shared" si="105"/>
        <v>4</v>
      </c>
      <c r="BX65" s="1">
        <v>30</v>
      </c>
      <c r="BY65" s="1">
        <f t="shared" si="106"/>
        <v>16</v>
      </c>
      <c r="CB65">
        <f>SUMIFS(LogFY23!D:D,LogFY23!B:B,"=*public works division*")</f>
        <v>14</v>
      </c>
      <c r="CC65">
        <f>SUM(SUMIFS(LogFY23!D:D,LogFY23!B:B,"=*public works division*"),-1*SUMIFS(LogFY23!L:L,LogFY23!B:B,"=*public works division*"),-1*SUMIFS(LogFY23!N:N,LogFY23!B:B,"=*public works division*"))</f>
        <v>1</v>
      </c>
      <c r="CD65" s="7">
        <f t="shared" si="122"/>
        <v>7.1428571428571425E-2</v>
      </c>
      <c r="CE65" s="7">
        <f t="shared" si="123"/>
        <v>-7.1428571428571425E-2</v>
      </c>
      <c r="CF65">
        <f>ROUND(SUMIFS(LogFY23!K:K,LogFY23!B:B,"=*public works division*")/SUMIFS(LogFY23!J:J,LogFY23!B:B,"=*public works division*"),0)</f>
        <v>5</v>
      </c>
      <c r="CG65">
        <f t="shared" si="124"/>
        <v>-7</v>
      </c>
      <c r="CH65" s="1">
        <v>12</v>
      </c>
      <c r="CI65" s="1">
        <f t="shared" si="74"/>
        <v>-18</v>
      </c>
      <c r="CK65" s="7"/>
      <c r="CL65">
        <f>SUMIFS(LogFY24!D:D,LogFY24!B:B,"=*public works division*")</f>
        <v>6</v>
      </c>
      <c r="CM65">
        <f>SUM(SUMIFS(LogFY24!D:D,LogFY24!B:B,"=*public works division*"),-1*SUMIFS(LogFY24!L:L,LogFY24!B:B,"=*public works division*"),-1*SUMIFS(LogFY24!N:N,LogFY24!B:B,"=*public works division*"))</f>
        <v>2</v>
      </c>
      <c r="CN65" s="7">
        <f t="shared" ref="CN65:CN96" si="126">CM65/CL65</f>
        <v>0.33333333333333331</v>
      </c>
      <c r="CO65" s="7">
        <f t="shared" si="75"/>
        <v>0.26190476190476186</v>
      </c>
      <c r="CP65">
        <f>ROUND(SUMIFS(LogFY24!K:K,LogFY24!B:B,"=*public works division*")/SUMIFS(LogFY24!J:J,LogFY24!B:B,"=*public works division*"),0)</f>
        <v>4</v>
      </c>
      <c r="CQ65">
        <f t="shared" si="76"/>
        <v>-1</v>
      </c>
      <c r="CR65" s="1">
        <v>9</v>
      </c>
      <c r="CS65" s="1">
        <f t="shared" si="110"/>
        <v>-3</v>
      </c>
    </row>
    <row r="66" spans="1:99" ht="16">
      <c r="A66" s="10">
        <f t="shared" si="77"/>
        <v>65</v>
      </c>
      <c r="B66" s="9" t="s">
        <v>17457</v>
      </c>
      <c r="C66">
        <f>SUMIFS(LogFY15!D:D,LogFY15!B:B,"=*pre audit br*")</f>
        <v>7</v>
      </c>
      <c r="D66">
        <f>SUM(SUMIFS(LogFY15!D:D,LogFY15!B:B,"=*pre audit br*"),-1*SUMIFS(LogFY15!L:L,LogFY15!B:B,"=*pre audit br*"),-1*SUMIFS(LogFY15!N:N,LogFY15!B:B,"=*pre audit br*"))</f>
        <v>4</v>
      </c>
      <c r="E66" s="7">
        <f t="shared" si="125"/>
        <v>0.5714285714285714</v>
      </c>
      <c r="F66">
        <f>ROUND(SUMIFS(LogFY15!K:K,LogFY15!B:B,"=*pre audit br*")/SUMIFS(LogFY15!J:J,LogFY15!B:B,"=*pre audit br*"),0)</f>
        <v>13</v>
      </c>
      <c r="G66" s="1">
        <v>21</v>
      </c>
      <c r="J66">
        <f>SUMIFS(LogFY16!D:D,LogFY16!B:B,"=*pre audit br*")</f>
        <v>10</v>
      </c>
      <c r="K66">
        <f>SUM(SUMIFS(LogFY16!D:D,LogFY16!B:B,"=*pre audit br*"),-1*SUMIFS(LogFY16!L:L,LogFY16!B:B,"=*pre audit br*"),-1*SUMIFS(LogFY16!N:N,LogFY16!B:B,"=*pre audit br*"))</f>
        <v>6</v>
      </c>
      <c r="L66" s="7">
        <f t="shared" si="111"/>
        <v>0.6</v>
      </c>
      <c r="M66" s="7">
        <f t="shared" si="112"/>
        <v>2.8571428571428581E-2</v>
      </c>
      <c r="N66">
        <f>ROUND(SUMIFS(LogFY16!K:K,LogFY16!B:B,"=*pre audit br*")/SUMIFS(LogFY16!J:J,LogFY16!B:B,"=*pre audit br*"),0)</f>
        <v>31</v>
      </c>
      <c r="O66">
        <f t="shared" si="113"/>
        <v>18</v>
      </c>
      <c r="P66" s="1">
        <v>163</v>
      </c>
      <c r="Q66" s="1">
        <f t="shared" si="114"/>
        <v>142</v>
      </c>
      <c r="T66">
        <f>SUMIFS(LogFY17!D:D,LogFY17!B:B,"=*pre audit br*")</f>
        <v>18</v>
      </c>
      <c r="U66">
        <f>SUM(SUMIFS(LogFY17!D:D,LogFY17!B:B,"=*pre audit br*"),-1*SUMIFS(LogFY17!L:L,LogFY17!B:B,"=*pre audit br*"),-1*SUMIFS(LogFY17!N:N,LogFY17!B:B,"=*pre audit br*"))</f>
        <v>9</v>
      </c>
      <c r="V66" s="7">
        <f t="shared" si="84"/>
        <v>0.5</v>
      </c>
      <c r="W66" s="7">
        <f t="shared" si="85"/>
        <v>-9.9999999999999978E-2</v>
      </c>
      <c r="X66">
        <f>ROUND(SUMIFS(LogFY17!K:K,LogFY17!B:B,"=*pre audit br*")/SUMIFS(LogFY17!J:J,LogFY17!B:B,"=*pre audit br*"),0)</f>
        <v>5</v>
      </c>
      <c r="Y66">
        <f t="shared" si="86"/>
        <v>-26</v>
      </c>
      <c r="Z66" s="1">
        <v>20</v>
      </c>
      <c r="AA66" s="1">
        <f t="shared" si="115"/>
        <v>-143</v>
      </c>
      <c r="AD66">
        <f>SUMIFS(LogFY18!D:D,LogFY18!B:B,"=*pre audit*")</f>
        <v>5</v>
      </c>
      <c r="AE66">
        <f>SUM(SUMIFS(LogFY18!D:D,LogFY18!B:B,"=*pre audit*"),-1*SUMIFS(LogFY18!L:L,LogFY18!B:B,"=*pre audit*"),-1*SUMIFS(LogFY18!N:N,LogFY18!B:B,"=*pre audit*"))</f>
        <v>1</v>
      </c>
      <c r="AF66" s="7">
        <f t="shared" si="87"/>
        <v>0.2</v>
      </c>
      <c r="AG66" s="7">
        <f t="shared" si="88"/>
        <v>-0.3</v>
      </c>
      <c r="AH66">
        <f>ROUND(SUMIFS(LogFY18!K:K,LogFY18!B:B,"=*pre audit*")/SUMIFS(LogFY18!J:J,LogFY18!B:B,"=*pre audit*"),0)</f>
        <v>6</v>
      </c>
      <c r="AI66">
        <f t="shared" si="89"/>
        <v>1</v>
      </c>
      <c r="AJ66" s="1">
        <v>13</v>
      </c>
      <c r="AK66" s="1">
        <f t="shared" si="116"/>
        <v>-7</v>
      </c>
      <c r="AN66">
        <f>SUMIFS(LogFY19!D:D,LogFY19!B:B,"=*pre audit*")</f>
        <v>9</v>
      </c>
      <c r="AO66">
        <f>SUM(SUMIFS(LogFY19!D:D,LogFY19!B:B,"=*pre audit*"),-1*SUMIFS(LogFY19!L:L,LogFY19!B:B,"=*pre audit*"),-1*SUMIFS(LogFY19!N:N,LogFY19!B:B,"=*pre audit*"))</f>
        <v>3</v>
      </c>
      <c r="AP66" s="7">
        <f t="shared" si="91"/>
        <v>0.33333333333333331</v>
      </c>
      <c r="AQ66" s="7">
        <f t="shared" si="92"/>
        <v>0.1333333333333333</v>
      </c>
      <c r="AR66">
        <f>ROUND(SUMIFS(LogFY19!K:K,LogFY19!B:B,"=*pre audit*")/SUMIFS(LogFY19!J:J,LogFY19!B:B,"=*pre audit*"),0)</f>
        <v>6</v>
      </c>
      <c r="AS66">
        <f t="shared" si="93"/>
        <v>0</v>
      </c>
      <c r="AT66" s="1">
        <v>11</v>
      </c>
      <c r="AU66" s="1">
        <f t="shared" si="117"/>
        <v>-2</v>
      </c>
      <c r="AX66">
        <f>SUMIFS(LogFY20!D:D,LogFY20!B:B,"=*pre audit*")</f>
        <v>3</v>
      </c>
      <c r="AY66">
        <f>SUM(SUMIFS(LogFY20!D:D,LogFY20!B:B,"=*pre audit*"),-1*SUMIFS(LogFY20!L:L,LogFY20!B:B,"=*pre audit*"),-1*SUMIFS(LogFY20!N:N,LogFY20!B:B,"=*pre audit*"))</f>
        <v>1</v>
      </c>
      <c r="AZ66" s="7">
        <f t="shared" si="95"/>
        <v>0.33333333333333331</v>
      </c>
      <c r="BA66" s="7">
        <f t="shared" si="96"/>
        <v>0</v>
      </c>
      <c r="BB66">
        <f>ROUND(SUMIFS(LogFY20!K:K,LogFY20!B:B,"=*pre audit*")/SUMIFS(LogFY20!J:J,LogFY20!B:B,"=*pre audit*"),0)</f>
        <v>6</v>
      </c>
      <c r="BC66">
        <f t="shared" si="97"/>
        <v>0</v>
      </c>
      <c r="BD66" s="1">
        <v>8</v>
      </c>
      <c r="BE66" s="1">
        <f t="shared" si="98"/>
        <v>-3</v>
      </c>
      <c r="BH66">
        <f>SUMIFS(LogFY21!D:D,LogFY21!B:B,"=*pre audit*")</f>
        <v>4</v>
      </c>
      <c r="BI66">
        <f>SUM(SUMIFS(LogFY21!D:D,LogFY21!B:B,"=*pre audit*"),-1*SUMIFS(LogFY21!L:L,LogFY21!B:B,"=*pre audit*"),-1*SUMIFS(LogFY21!N:N,LogFY21!B:B,"=*pre audit*"))</f>
        <v>3</v>
      </c>
      <c r="BJ66" s="7">
        <f t="shared" si="118"/>
        <v>0.75</v>
      </c>
      <c r="BK66" s="7">
        <f t="shared" si="119"/>
        <v>0.41666666666666669</v>
      </c>
      <c r="BL66">
        <f>ROUND(SUMIFS(LogFY21!K:K,LogFY21!B:B,"=*pre audit*")/SUMIFS(LogFY21!J:J,LogFY21!B:B,"=*pre audit*"),0)</f>
        <v>5</v>
      </c>
      <c r="BM66">
        <f t="shared" si="120"/>
        <v>-1</v>
      </c>
      <c r="BN66" s="1">
        <v>7</v>
      </c>
      <c r="BO66" s="1">
        <f t="shared" si="121"/>
        <v>-1</v>
      </c>
      <c r="BR66">
        <f>SUMIFS(LogFY22!D:D,LogFY22!B:B,"=*pre audit*")</f>
        <v>16</v>
      </c>
      <c r="BS66">
        <f>SUM(SUMIFS(LogFY22!D:D,LogFY22!B:B,"=*pre audit*"),-1*SUMIFS(LogFY22!L:L,LogFY22!B:B,"=*pre audit*"),-1*SUMIFS(LogFY22!N:N,LogFY22!B:B,"=*pre audit*"))</f>
        <v>13</v>
      </c>
      <c r="BT66" s="7">
        <f t="shared" si="103"/>
        <v>0.8125</v>
      </c>
      <c r="BU66" s="7">
        <f t="shared" si="104"/>
        <v>6.25E-2</v>
      </c>
      <c r="BV66">
        <f>ROUND(SUMIFS(LogFY22!K:K,LogFY22!B:B,"=*pre audit*")/SUMIFS(LogFY22!J:J,LogFY22!B:B,"=*pre audit*"),0)</f>
        <v>4</v>
      </c>
      <c r="BW66">
        <f t="shared" si="105"/>
        <v>-1</v>
      </c>
      <c r="BX66" s="1">
        <v>13</v>
      </c>
      <c r="BY66" s="1">
        <f t="shared" si="106"/>
        <v>6</v>
      </c>
      <c r="CB66">
        <f>SUMIFS(LogFY23!D:D,LogFY23!B:B,"=*pre audit*")</f>
        <v>21</v>
      </c>
      <c r="CC66">
        <f>SUM(SUMIFS(LogFY23!D:D,LogFY23!B:B,"=*pre audit*"),-1*SUMIFS(LogFY23!L:L,LogFY23!B:B,"=*pre audit*"),-1*SUMIFS(LogFY23!N:N,LogFY23!B:B,"=*pre audit*"))</f>
        <v>20</v>
      </c>
      <c r="CD66" s="7">
        <f t="shared" si="122"/>
        <v>0.95238095238095233</v>
      </c>
      <c r="CE66" s="7">
        <f t="shared" si="123"/>
        <v>0.13988095238095233</v>
      </c>
      <c r="CF66">
        <f>ROUND(SUMIFS(LogFY23!K:K,LogFY23!B:B,"=*pre audit*")/SUMIFS(LogFY23!J:J,LogFY23!B:B,"=*pre audit*"),0)</f>
        <v>4</v>
      </c>
      <c r="CG66">
        <f t="shared" si="124"/>
        <v>0</v>
      </c>
      <c r="CH66" s="1">
        <v>22</v>
      </c>
      <c r="CI66" s="1">
        <f t="shared" ref="CI66:CI97" si="127">CH66-BX66</f>
        <v>9</v>
      </c>
      <c r="CK66" s="7"/>
      <c r="CL66">
        <f>SUMIFS(LogFY24!D:D,LogFY24!B:B,"=*pre audit*")</f>
        <v>34</v>
      </c>
      <c r="CM66">
        <f>SUM(SUMIFS(LogFY24!D:D,LogFY24!B:B,"=*pre audit*"),-1*SUMIFS(LogFY24!L:L,LogFY24!B:B,"=*pre audit*"),-1*SUMIFS(LogFY24!N:N,LogFY24!B:B,"=*pre audit*"))</f>
        <v>34</v>
      </c>
      <c r="CN66" s="7">
        <f t="shared" si="126"/>
        <v>1</v>
      </c>
      <c r="CO66" s="7">
        <f t="shared" ref="CO66:CO97" si="128">CN66-CD66</f>
        <v>4.7619047619047672E-2</v>
      </c>
      <c r="CP66">
        <f>ROUND(SUMIFS(LogFY24!K:K,LogFY24!B:B,"=*pre audit*")/SUMIFS(LogFY24!J:J,LogFY24!B:B,"=*pre audit*"),0)</f>
        <v>4</v>
      </c>
      <c r="CQ66">
        <f t="shared" ref="CQ66:CQ97" si="129">CP66-CF66</f>
        <v>0</v>
      </c>
      <c r="CR66" s="1">
        <v>9</v>
      </c>
      <c r="CS66" s="1">
        <f t="shared" si="110"/>
        <v>-13</v>
      </c>
    </row>
    <row r="67" spans="1:99" ht="16">
      <c r="A67" s="10">
        <f t="shared" ref="A67:A98" si="130">A66+1</f>
        <v>66</v>
      </c>
      <c r="B67" s="9" t="s">
        <v>17458</v>
      </c>
      <c r="C67">
        <f>SUMIFS(LogFY15!D:D,LogFY15!B:B,"=*state procurement office*")</f>
        <v>27</v>
      </c>
      <c r="D67">
        <f>SUM(SUMIFS(LogFY15!D:D,LogFY15!B:B,"=*state procurement office*"),-1*SUMIFS(LogFY15!L:L,LogFY15!B:B,"=*state procurement office*"),-1*SUMIFS(LogFY15!N:N,LogFY15!B:B,"=*state procurement office*"))</f>
        <v>9</v>
      </c>
      <c r="E67" s="7">
        <f t="shared" si="125"/>
        <v>0.33333333333333331</v>
      </c>
      <c r="F67">
        <f>ROUND(SUMIFS(LogFY15!K:K,LogFY15!B:B,"=*state procurement office*")/SUMIFS(LogFY15!J:J,LogFY15!B:B,"=*state procurement office*"),0)</f>
        <v>4</v>
      </c>
      <c r="G67" s="1">
        <v>11</v>
      </c>
      <c r="J67">
        <f>SUMIFS(LogFY16!D:D,LogFY16!B:B,"=*state procurement office*")</f>
        <v>21</v>
      </c>
      <c r="K67">
        <f>SUM(SUMIFS(LogFY16!D:D,LogFY16!B:B,"=*state procurement office*"),-1*SUMIFS(LogFY16!L:L,LogFY16!B:B,"=*state procurement office*"),-1*SUMIFS(LogFY16!N:N,LogFY16!B:B,"=*state procurement office*"))</f>
        <v>9</v>
      </c>
      <c r="L67" s="7">
        <f t="shared" si="111"/>
        <v>0.42857142857142855</v>
      </c>
      <c r="M67" s="7">
        <f t="shared" si="112"/>
        <v>9.5238095238095233E-2</v>
      </c>
      <c r="N67">
        <f>ROUND(SUMIFS(LogFY16!K:K,LogFY16!B:B,"=*state procurement office*")/SUMIFS(LogFY16!J:J,LogFY16!B:B,"=*state procurement office*"),0)</f>
        <v>5</v>
      </c>
      <c r="O67">
        <f t="shared" si="113"/>
        <v>1</v>
      </c>
      <c r="P67" s="1">
        <v>24</v>
      </c>
      <c r="Q67" s="1">
        <f t="shared" si="114"/>
        <v>13</v>
      </c>
      <c r="T67">
        <f>SUMIFS(LogFY17!D:D,LogFY17!B:B,"=*state procurement office*")</f>
        <v>22</v>
      </c>
      <c r="U67">
        <f>SUM(SUMIFS(LogFY17!D:D,LogFY17!B:B,"=*state procurement office*"),-1*SUMIFS(LogFY17!L:L,LogFY17!B:B,"=*state procurement office*"),-1*SUMIFS(LogFY17!N:N,LogFY17!B:B,"=*state procurement office*"))</f>
        <v>13</v>
      </c>
      <c r="V67" s="7">
        <f t="shared" si="84"/>
        <v>0.59090909090909094</v>
      </c>
      <c r="W67" s="7">
        <f t="shared" si="85"/>
        <v>0.16233766233766239</v>
      </c>
      <c r="X67">
        <f>ROUND(SUMIFS(LogFY17!K:K,LogFY17!B:B,"=*state procurement office*")/SUMIFS(LogFY17!J:J,LogFY17!B:B,"=*state procurement office*"),0)</f>
        <v>6</v>
      </c>
      <c r="Y67">
        <f t="shared" si="86"/>
        <v>1</v>
      </c>
      <c r="Z67" s="1">
        <v>21</v>
      </c>
      <c r="AA67" s="1">
        <f t="shared" si="115"/>
        <v>-3</v>
      </c>
      <c r="AD67">
        <f>SUMIFS(LogFY18!D:D,LogFY18!B:B,"=*state procurement office*")</f>
        <v>15</v>
      </c>
      <c r="AE67">
        <f>SUM(SUMIFS(LogFY18!D:D,LogFY18!B:B,"=*state procurement office*"),-1*SUMIFS(LogFY18!L:L,LogFY18!B:B,"=*state procurement office*"),-1*SUMIFS(LogFY18!N:N,LogFY18!B:B,"=*state procurement office*"))</f>
        <v>4</v>
      </c>
      <c r="AF67" s="7">
        <f t="shared" si="87"/>
        <v>0.26666666666666666</v>
      </c>
      <c r="AG67" s="7">
        <f t="shared" si="88"/>
        <v>-0.32424242424242428</v>
      </c>
      <c r="AH67">
        <f>ROUND(SUMIFS(LogFY18!K:K,LogFY18!B:B,"=*state procurement office*")/SUMIFS(LogFY18!J:J,LogFY18!B:B,"=*state procurement office*"),0)</f>
        <v>2</v>
      </c>
      <c r="AI67">
        <f t="shared" si="89"/>
        <v>-4</v>
      </c>
      <c r="AJ67" s="1">
        <v>6</v>
      </c>
      <c r="AK67" s="1">
        <f t="shared" si="116"/>
        <v>-15</v>
      </c>
      <c r="AN67">
        <f>SUMIFS(LogFY19!D:D,LogFY19!B:B,"=*state procurement office*")</f>
        <v>24</v>
      </c>
      <c r="AO67">
        <f>SUM(SUMIFS(LogFY19!D:D,LogFY19!B:B,"=*state procurement office*"),-1*SUMIFS(LogFY19!L:L,LogFY19!B:B,"=*state procurement office*"),-1*SUMIFS(LogFY19!N:N,LogFY19!B:B,"=*state procurement office*"))</f>
        <v>8</v>
      </c>
      <c r="AP67" s="7">
        <f t="shared" si="91"/>
        <v>0.33333333333333331</v>
      </c>
      <c r="AQ67" s="7">
        <f t="shared" si="92"/>
        <v>6.6666666666666652E-2</v>
      </c>
      <c r="AR67">
        <f>ROUND(SUMIFS(LogFY19!K:K,LogFY19!B:B,"=*state procurement office*")/SUMIFS(LogFY19!J:J,LogFY19!B:B,"=*state procurement office*"),0)</f>
        <v>11</v>
      </c>
      <c r="AS67">
        <f t="shared" si="93"/>
        <v>9</v>
      </c>
      <c r="AT67" s="1">
        <v>100</v>
      </c>
      <c r="AU67" s="1">
        <f t="shared" si="117"/>
        <v>94</v>
      </c>
      <c r="AX67">
        <f>SUMIFS(LogFY20!D:D,LogFY20!B:B,"=*state procurement office*")</f>
        <v>12</v>
      </c>
      <c r="AY67">
        <f>SUM(SUMIFS(LogFY20!D:D,LogFY20!B:B,"=*state procurement office*"),-1*SUMIFS(LogFY20!L:L,LogFY20!B:B,"=*state procurement office*"),-1*SUMIFS(LogFY20!N:N,LogFY20!B:B,"=*state procurement office*"))</f>
        <v>5</v>
      </c>
      <c r="AZ67" s="7">
        <f t="shared" si="95"/>
        <v>0.41666666666666669</v>
      </c>
      <c r="BA67" s="7">
        <f t="shared" si="96"/>
        <v>8.333333333333337E-2</v>
      </c>
      <c r="BB67">
        <f>ROUND(SUMIFS(LogFY20!K:K,LogFY20!B:B,"=*state procurement office*")/SUMIFS(LogFY20!J:J,LogFY20!B:B,"=*state procurement office*"),0)</f>
        <v>7</v>
      </c>
      <c r="BC67">
        <f t="shared" si="97"/>
        <v>-4</v>
      </c>
      <c r="BD67" s="1">
        <v>18</v>
      </c>
      <c r="BE67" s="1">
        <f t="shared" si="98"/>
        <v>-82</v>
      </c>
      <c r="BH67">
        <f>SUMIFS(LogFY21!D:D,LogFY21!B:B,"=*state procurement office*")</f>
        <v>7</v>
      </c>
      <c r="BI67">
        <f>SUM(SUMIFS(LogFY21!D:D,LogFY21!B:B,"=*state procurement office*"),-1*SUMIFS(LogFY21!L:L,LogFY21!B:B,"=*state procurement office*"),-1*SUMIFS(LogFY21!N:N,LogFY21!B:B,"=*state procurement office*"))</f>
        <v>7</v>
      </c>
      <c r="BJ67" s="7">
        <f t="shared" si="118"/>
        <v>1</v>
      </c>
      <c r="BK67" s="7">
        <f t="shared" si="119"/>
        <v>0.58333333333333326</v>
      </c>
      <c r="BL67">
        <f>ROUND(SUMIFS(LogFY21!K:K,LogFY21!B:B,"=*state procurement office*")/SUMIFS(LogFY21!J:J,LogFY21!B:B,"=*state procurement office*"),0)</f>
        <v>12</v>
      </c>
      <c r="BM67">
        <f t="shared" si="120"/>
        <v>5</v>
      </c>
      <c r="BN67" s="1">
        <v>52</v>
      </c>
      <c r="BO67" s="1">
        <f t="shared" si="121"/>
        <v>34</v>
      </c>
      <c r="BR67">
        <f>SUMIFS(LogFY22!D:D,LogFY22!B:B,"=*state procurement office*")</f>
        <v>4</v>
      </c>
      <c r="BS67">
        <f>SUM(SUMIFS(LogFY22!D:D,LogFY22!B:B,"=*state procurement office*"),-1*SUMIFS(LogFY22!L:L,LogFY22!B:B,"=*state procurement office*"),-1*SUMIFS(LogFY22!N:N,LogFY22!B:B,"=*state procurement office*"))</f>
        <v>4</v>
      </c>
      <c r="BT67" s="7">
        <f t="shared" si="103"/>
        <v>1</v>
      </c>
      <c r="BU67" s="7">
        <f t="shared" si="104"/>
        <v>0</v>
      </c>
      <c r="BV67">
        <f>ROUND(SUMIFS(LogFY22!K:K,LogFY22!B:B,"=*state procurement office*")/SUMIFS(LogFY22!J:J,LogFY22!B:B,"=*state procurement office*"),0)</f>
        <v>3</v>
      </c>
      <c r="BW67">
        <f t="shared" si="105"/>
        <v>-9</v>
      </c>
      <c r="BX67" s="1">
        <v>8</v>
      </c>
      <c r="BY67" s="1">
        <f t="shared" si="106"/>
        <v>-44</v>
      </c>
      <c r="CB67">
        <f>SUMIFS(LogFY23!D:D,LogFY23!B:B,"=*state procurement office*")</f>
        <v>14</v>
      </c>
      <c r="CC67">
        <f>SUM(SUMIFS(LogFY23!D:D,LogFY23!B:B,"=*state procurement office*"),-1*SUMIFS(LogFY23!L:L,LogFY23!B:B,"=*state procurement office*"),-1*SUMIFS(LogFY23!N:N,LogFY23!B:B,"=*state procurement office*"))</f>
        <v>5</v>
      </c>
      <c r="CD67" s="7">
        <f t="shared" si="122"/>
        <v>0.35714285714285715</v>
      </c>
      <c r="CE67" s="7">
        <f t="shared" si="123"/>
        <v>-0.64285714285714279</v>
      </c>
      <c r="CF67">
        <f>ROUND(SUMIFS(LogFY23!K:K,LogFY23!B:B,"=*state procurement office*")/SUMIFS(LogFY23!J:J,LogFY23!B:B,"=*state procurement office*"),0)</f>
        <v>16</v>
      </c>
      <c r="CG67">
        <f t="shared" si="124"/>
        <v>13</v>
      </c>
      <c r="CH67" s="1">
        <v>69</v>
      </c>
      <c r="CI67" s="1">
        <f t="shared" si="127"/>
        <v>61</v>
      </c>
      <c r="CK67" s="7"/>
      <c r="CL67">
        <f>SUMIFS(LogFY24!D:D,LogFY24!B:B,"=*state procurement office*")</f>
        <v>35</v>
      </c>
      <c r="CM67">
        <f>SUM(SUMIFS(LogFY24!D:D,LogFY24!B:B,"=*state procurement office*"),-1*SUMIFS(LogFY24!L:L,LogFY24!B:B,"=*state procurement office*"),-1*SUMIFS(LogFY24!N:N,LogFY24!B:B,"=*state procurement office*"))</f>
        <v>17</v>
      </c>
      <c r="CN67" s="7">
        <f t="shared" si="126"/>
        <v>0.48571428571428571</v>
      </c>
      <c r="CO67" s="7">
        <f t="shared" si="128"/>
        <v>0.12857142857142856</v>
      </c>
      <c r="CP67">
        <f>ROUND(SUMIFS(LogFY24!K:K,LogFY24!B:B,"=*state procurement office*")/SUMIFS(LogFY24!J:J,LogFY24!B:B,"=*state procurement office*"),0)</f>
        <v>10</v>
      </c>
      <c r="CQ67">
        <f t="shared" si="129"/>
        <v>-6</v>
      </c>
      <c r="CR67" s="1">
        <v>112</v>
      </c>
      <c r="CS67" s="1">
        <f t="shared" si="110"/>
        <v>43</v>
      </c>
    </row>
    <row r="68" spans="1:99" ht="16">
      <c r="A68" s="10">
        <f t="shared" si="130"/>
        <v>67</v>
      </c>
      <c r="B68" s="1" t="s">
        <v>17242</v>
      </c>
      <c r="C68">
        <f>SUMIFS(LogFY15!D:D,LogFY15!A:A,"=*agriculture*")</f>
        <v>49</v>
      </c>
      <c r="D68">
        <f>SUM(SUMIFS(LogFY15!D:D,LogFY15!A:A,"=*agriculture*"),-1*SUMIFS(LogFY15!L:L,LogFY15!A:A,"=*agriculture*"),-1*SUMIFS(LogFY15!N:N,LogFY15!A:A,"=*agriculture*"))</f>
        <v>6</v>
      </c>
      <c r="E68" s="7">
        <f t="shared" si="125"/>
        <v>0.12244897959183673</v>
      </c>
      <c r="F68">
        <f>ROUND(SUMIFS(LogFY15!K:K,LogFY15!A:A,"=*agriculture*")/SUMIFS(LogFY15!J:J,LogFY15!A:A,"=*agriculture*"),0)</f>
        <v>8</v>
      </c>
      <c r="G68" s="1">
        <v>63</v>
      </c>
      <c r="H68">
        <f>COUNTIFS(All!F:F,"=DOA*", All!B:B, "&gt;=7/1/2014", All!B:B,"&lt;=6/30/2015", All!E:E,"=U*",All!E:E,"&lt;&gt;UIPA*",All!E:E,"&lt;&gt;*RFO*",All!E:E,"&lt;&gt;*TRNG*")</f>
        <v>2</v>
      </c>
      <c r="I68" s="7">
        <f>ROUND(H68/C68,3)</f>
        <v>4.1000000000000002E-2</v>
      </c>
      <c r="J68">
        <f>SUMIFS(LogFY16!D:D,LogFY16!A:A,"=*agriculture*")</f>
        <v>117</v>
      </c>
      <c r="K68">
        <f>SUM(SUMIFS(LogFY16!D:D,LogFY16!A:A,"=*agriculture*"),-1*SUMIFS(LogFY16!L:L,LogFY16!A:A,"=*agriculture*"),-1*SUMIFS(LogFY16!N:N,LogFY16!A:A,"=*agriculture*"))</f>
        <v>19</v>
      </c>
      <c r="L68" s="7">
        <f t="shared" si="111"/>
        <v>0.1623931623931624</v>
      </c>
      <c r="M68" s="7">
        <f t="shared" si="112"/>
        <v>3.9944182801325667E-2</v>
      </c>
      <c r="N68">
        <f>ROUND(SUMIFS(LogFY16!K:K,LogFY16!A:A,"=*agriculture*")/SUMIFS(LogFY16!J:J,LogFY16!A:A,"=*agriculture*"),0)</f>
        <v>10</v>
      </c>
      <c r="O68">
        <f t="shared" si="113"/>
        <v>2</v>
      </c>
      <c r="P68" s="1">
        <v>64</v>
      </c>
      <c r="Q68" s="1">
        <f t="shared" si="114"/>
        <v>1</v>
      </c>
      <c r="R68">
        <f>COUNTIFS(All!F:F,"=DOA*", All!B:B, "&gt;=7/1/2015", All!B:B,"&lt;=6/30/2016", All!E:E,"=U*",All!E:E,"&lt;&gt;UIPA*",All!E:E,"&lt;&gt;*RFO*",All!E:E,"&lt;&gt;*TRNG*")</f>
        <v>1</v>
      </c>
      <c r="S68" s="7">
        <f>ROUND(R68/(J68+C68),3)</f>
        <v>6.0000000000000001E-3</v>
      </c>
      <c r="T68">
        <f>SUMIFS(LogFY17!D:D,LogFY17!A:A,"=*agriculture*")</f>
        <v>71</v>
      </c>
      <c r="U68">
        <f>SUM(SUMIFS(LogFY17!D:D,LogFY17!A:A,"=*agriculture*"),-1*SUMIFS(LogFY17!L:L,LogFY17!A:A,"=*agriculture*"),-1*SUMIFS(LogFY17!N:N,LogFY17!A:A,"=*agriculture*"))</f>
        <v>21</v>
      </c>
      <c r="V68" s="7">
        <f t="shared" si="84"/>
        <v>0.29577464788732394</v>
      </c>
      <c r="W68" s="7">
        <f t="shared" si="85"/>
        <v>0.13338148549416154</v>
      </c>
      <c r="X68">
        <f>ROUND(SUMIFS(LogFY17!K:K,LogFY17!A:A,"=*agriculture*")/SUMIFS(LogFY17!J:J,LogFY17!A:A,"=*agriculture*"),0)</f>
        <v>13</v>
      </c>
      <c r="Y68">
        <f t="shared" si="86"/>
        <v>3</v>
      </c>
      <c r="Z68" s="1">
        <v>68</v>
      </c>
      <c r="AA68" s="1">
        <f t="shared" si="115"/>
        <v>4</v>
      </c>
      <c r="AB68">
        <f>COUNTIFS(All!F:F,"=DOA*", All!B:B, "&gt;=7/1/2016", All!B:B,"&lt;=6/30/2017", All!E:E,"=U*",All!E:E,"&lt;&gt;UIPA*",All!E:E,"&lt;&gt;*RFO*",All!E:E,"&lt;&gt;*TRNG*")</f>
        <v>1</v>
      </c>
      <c r="AC68" s="7">
        <f>ROUND(AB68/(T68+J68),3)</f>
        <v>5.0000000000000001E-3</v>
      </c>
      <c r="AD68">
        <f>SUMIFS(LogFY18!D:D,LogFY18!A:A,"=*agriculture*")</f>
        <v>42</v>
      </c>
      <c r="AE68">
        <f>SUM(SUMIFS(LogFY18!D:D,LogFY18!A:A,"=*agriculture*"),-1*SUMIFS(LogFY18!L:L,LogFY18!A:A,"=*agriculture*"),-1*SUMIFS(LogFY18!N:N,LogFY18!A:A,"=*agriculture*"))</f>
        <v>13</v>
      </c>
      <c r="AF68" s="7">
        <f t="shared" si="87"/>
        <v>0.30952380952380953</v>
      </c>
      <c r="AG68" s="7">
        <f t="shared" si="88"/>
        <v>1.3749161636485596E-2</v>
      </c>
      <c r="AH68">
        <f>ROUND(SUMIFS(LogFY18!K:K,LogFY18!A:A,"=*agriculture*")/SUMIFS(LogFY18!J:J,LogFY18!A:A,"=*agriculture*"),0)</f>
        <v>6</v>
      </c>
      <c r="AI68">
        <f t="shared" si="89"/>
        <v>-7</v>
      </c>
      <c r="AJ68" s="1">
        <v>21</v>
      </c>
      <c r="AK68" s="1">
        <f t="shared" si="116"/>
        <v>-47</v>
      </c>
      <c r="AL68">
        <f>COUNTIFS(All!F:F,"=DOA*", All!B:B, "&gt;=7/1/2017", All!B:B,"&lt;=6/30/2018", All!E:E,"=U*",All!E:E,"&lt;&gt;UIPA*",All!E:E,"&lt;&gt;*RFO*",All!E:E,"&lt;&gt;*TRNG*")</f>
        <v>1</v>
      </c>
      <c r="AM68" s="7">
        <f>ROUND(AL68/(AD68+T68),3)</f>
        <v>8.9999999999999993E-3</v>
      </c>
      <c r="AN68">
        <f>SUMIFS(LogFY19!D:D,LogFY19!A:A,"=*agriculture*")</f>
        <v>68</v>
      </c>
      <c r="AO68">
        <f>SUM(SUMIFS(LogFY19!D:D,LogFY19!A:A,"=*agriculture*"),-1*SUMIFS(LogFY19!L:L,LogFY19!A:A,"=*agriculture*"),-1*SUMIFS(LogFY19!N:N,LogFY19!A:A,"=*agriculture*"))</f>
        <v>15</v>
      </c>
      <c r="AP68" s="7">
        <f t="shared" si="91"/>
        <v>0.22058823529411764</v>
      </c>
      <c r="AQ68" s="7">
        <f t="shared" si="92"/>
        <v>-8.8935574229691894E-2</v>
      </c>
      <c r="AR68">
        <f>ROUND(SUMIFS(LogFY19!K:K,LogFY19!A:A,"=*agriculture*")/SUMIFS(LogFY19!J:J,LogFY19!A:A,"=*agriculture*"),0)</f>
        <v>9</v>
      </c>
      <c r="AS68">
        <f t="shared" si="93"/>
        <v>3</v>
      </c>
      <c r="AT68" s="1">
        <v>38</v>
      </c>
      <c r="AU68" s="1">
        <f t="shared" si="117"/>
        <v>17</v>
      </c>
      <c r="AV68">
        <f>COUNTIFS(All!F:F,"=DOA*", All!B:B, "&gt;=7/1/2018", All!B:B,"&lt;=6/30/2019", All!E:E,"=U*",All!E:E,"&lt;&gt;UIPA*",All!E:E,"&lt;&gt;*RFO*",All!E:E,"&lt;&gt;*TRNG*")</f>
        <v>1</v>
      </c>
      <c r="AW68" s="7">
        <f>ROUND(AV68/(AN68+AD68),3)</f>
        <v>8.9999999999999993E-3</v>
      </c>
      <c r="AX68">
        <f>SUMIFS(LogFY20!D:D,LogFY20!A:A,"=*agriculture*")</f>
        <v>70</v>
      </c>
      <c r="AY68">
        <f>SUM(SUMIFS(LogFY20!D:D,LogFY20!A:A,"=*agriculture*"),-1*SUMIFS(LogFY20!L:L,LogFY20!A:A,"=*agriculture*"),-1*SUMIFS(LogFY20!N:N,LogFY20!A:A,"=*agriculture*"))</f>
        <v>24</v>
      </c>
      <c r="AZ68" s="7">
        <f t="shared" si="95"/>
        <v>0.34285714285714286</v>
      </c>
      <c r="BA68" s="7">
        <f t="shared" si="96"/>
        <v>0.12226890756302522</v>
      </c>
      <c r="BB68">
        <f>ROUND(SUMIFS(LogFY20!K:K,LogFY20!A:A,"=*agriculture*")/SUMIFS(LogFY20!J:J,LogFY20!A:A,"=*agriculture*"),0)</f>
        <v>11</v>
      </c>
      <c r="BC68">
        <f t="shared" si="97"/>
        <v>2</v>
      </c>
      <c r="BD68" s="1">
        <v>121</v>
      </c>
      <c r="BE68" s="1">
        <f t="shared" si="98"/>
        <v>83</v>
      </c>
      <c r="BF68">
        <f>COUNTIFS(All!F:F,"=DOA*", All!B:B, "&gt;=7/1/2019", All!B:B,"&lt;=6/30/2020", All!E:E,"=U*",All!E:E,"&lt;&gt;UIPA*",All!E:E,"&lt;&gt;*RFO*",All!E:E,"&lt;&gt;*TRNG*")</f>
        <v>3</v>
      </c>
      <c r="BG68" s="7">
        <f>ROUND(BF68/(AX68+AN68),3)</f>
        <v>2.1999999999999999E-2</v>
      </c>
      <c r="BH68">
        <f>SUMIFS(LogFY21!D:D,LogFY21!A:A,"=*agriculture*")</f>
        <v>112</v>
      </c>
      <c r="BI68">
        <f>SUM(SUMIFS(LogFY21!D:D,LogFY21!A:A,"=*agriculture*"),-1*SUMIFS(LogFY21!L:L,LogFY21!A:A,"=*agriculture*"),-1*SUMIFS(LogFY21!N:N,LogFY21!A:A,"=*agriculture*"))</f>
        <v>26</v>
      </c>
      <c r="BJ68" s="7">
        <f t="shared" si="118"/>
        <v>0.23214285714285715</v>
      </c>
      <c r="BK68" s="7">
        <f t="shared" si="119"/>
        <v>-0.11071428571428571</v>
      </c>
      <c r="BL68">
        <f>ROUND(SUMIFS(LogFY21!K:K,LogFY21!A:A,"=*agriculture*")/SUMIFS(LogFY21!J:J,LogFY21!A:A,"=*agriculture*"),0)</f>
        <v>9</v>
      </c>
      <c r="BM68">
        <f t="shared" si="120"/>
        <v>-2</v>
      </c>
      <c r="BN68" s="1">
        <v>80</v>
      </c>
      <c r="BO68" s="1">
        <f t="shared" si="121"/>
        <v>-41</v>
      </c>
      <c r="BP68">
        <f>COUNTIFS(All!F:F,"=DOA*", All!B:B, "&gt;=7/1/2020", All!B:B,"&lt;=6/30/2021", All!E:E,"=U*",All!E:E,"&lt;&gt;UIPA*",All!E:E,"&lt;&gt;*RFO*",All!E:E,"&lt;&gt;*TRNG*")</f>
        <v>1</v>
      </c>
      <c r="BQ68" s="7">
        <f>ROUND(BP68/(BH68+AX68),3)</f>
        <v>5.0000000000000001E-3</v>
      </c>
      <c r="BR68">
        <f>SUMIFS(LogFY22!D:D,LogFY22!A:A,"=*agriculture*")</f>
        <v>72</v>
      </c>
      <c r="BS68">
        <f>SUM(SUMIFS(LogFY22!D:D,LogFY22!A:A,"=*agriculture*"),-1*SUMIFS(LogFY22!L:L,LogFY22!A:A,"=*agriculture*"),-1*SUMIFS(LogFY22!N:N,LogFY22!A:A,"=*agriculture*"))</f>
        <v>21</v>
      </c>
      <c r="BT68" s="7">
        <f t="shared" si="103"/>
        <v>0.29166666666666669</v>
      </c>
      <c r="BU68" s="7">
        <f t="shared" si="104"/>
        <v>5.9523809523809534E-2</v>
      </c>
      <c r="BV68">
        <f>ROUND(SUMIFS(LogFY22!K:K,LogFY22!A:A,"=*agriculture*")/SUMIFS(LogFY22!J:J,LogFY22!A:A,"=*agriculture*"),0)</f>
        <v>6</v>
      </c>
      <c r="BW68">
        <f t="shared" si="105"/>
        <v>-3</v>
      </c>
      <c r="BX68" s="1">
        <v>49</v>
      </c>
      <c r="BY68" s="1">
        <f t="shared" si="106"/>
        <v>-31</v>
      </c>
      <c r="BZ68">
        <f>COUNTIFS(All!F:F,"=DOA*", All!B:B, "&gt;=7/1/2021", All!B:B,"&lt;=6/30/2022", All!E:E,"=U*",All!E:E,"&lt;&gt;UIPA*",All!E:E,"&lt;&gt;*RFO*",All!E:E,"&lt;&gt;*TRNG*")</f>
        <v>0</v>
      </c>
      <c r="CA68" s="7">
        <f>ROUND(BZ68/(BR68+BH68),3)</f>
        <v>0</v>
      </c>
      <c r="CB68">
        <f>SUMIFS(LogFY23!D:D,LogFY23!A:A,"=*agriculture*")</f>
        <v>50</v>
      </c>
      <c r="CC68">
        <f>SUM(SUMIFS(LogFY23!D:D,LogFY23!A:A,"=*agriculture*"),-1*SUMIFS(LogFY23!L:L,LogFY23!A:A,"=*agriculture*"),-1*SUMIFS(LogFY23!N:N,LogFY23!A:A,"=*agriculture*"))</f>
        <v>15</v>
      </c>
      <c r="CD68" s="7">
        <f t="shared" si="122"/>
        <v>0.3</v>
      </c>
      <c r="CE68" s="7">
        <f t="shared" si="123"/>
        <v>8.3333333333333037E-3</v>
      </c>
      <c r="CF68">
        <f>ROUND(SUMIFS(LogFY23!K:K,LogFY23!A:A,"=*agriculture*")/SUMIFS(LogFY23!J:J,LogFY23!A:A,"=*agriculture*"),0)</f>
        <v>6</v>
      </c>
      <c r="CG68">
        <f t="shared" si="124"/>
        <v>0</v>
      </c>
      <c r="CH68" s="1">
        <v>29</v>
      </c>
      <c r="CI68" s="1">
        <f t="shared" si="127"/>
        <v>-20</v>
      </c>
      <c r="CJ68">
        <f>COUNTIFS(All!F:F,"=DOA*", All!B:B, "&gt;=7/1/2022", All!B:B,"&lt;=6/30/2023", All!E:E,"=U*",All!E:E,"&lt;&gt;UIPA*",All!E:E,"&lt;&gt;*RFO*",All!E:E,"&lt;&gt;*TRNG*")</f>
        <v>0</v>
      </c>
      <c r="CK68" s="7">
        <f>ROUND(CJ68/(CB68+BR68),3)</f>
        <v>0</v>
      </c>
      <c r="CL68">
        <f>SUMIFS(LogFY24!D:D,LogFY24!A:A,"=*agriculture*")</f>
        <v>58</v>
      </c>
      <c r="CM68">
        <f>SUM(SUMIFS(LogFY24!D:D,LogFY24!A:A,"=*agriculture*"),-1*SUMIFS(LogFY24!L:L,LogFY24!A:A,"=*agriculture*"),-1*SUMIFS(LogFY24!N:N,LogFY24!A:A,"=*agriculture*"))</f>
        <v>34</v>
      </c>
      <c r="CN68" s="7">
        <f t="shared" si="126"/>
        <v>0.58620689655172409</v>
      </c>
      <c r="CO68" s="7">
        <f t="shared" si="128"/>
        <v>0.2862068965517241</v>
      </c>
      <c r="CP68">
        <f>ROUND(SUMIFS(LogFY24!K:K,LogFY24!A:A,"=*agriculture*")/SUMIFS(LogFY24!J:J,LogFY24!A:A,"=*agriculture*"),0)</f>
        <v>9</v>
      </c>
      <c r="CQ68">
        <f t="shared" si="129"/>
        <v>3</v>
      </c>
      <c r="CR68" s="1">
        <v>51</v>
      </c>
      <c r="CS68" s="1">
        <f t="shared" si="110"/>
        <v>22</v>
      </c>
      <c r="CT68">
        <f>COUNTIFS(All!F:F,"=DOA*", All!B:B, "&gt;=7/1/2023", All!B:B,"&lt;=6/30/2024", All!E:E,"=U*",All!E:E,"&lt;&gt;UIPA*",All!E:E,"&lt;&gt;*RFO*",All!E:E,"&lt;&gt;*TRNG*")</f>
        <v>0</v>
      </c>
      <c r="CU68" s="7">
        <f>ROUND(CT68/(CL68+CB68),3)</f>
        <v>0</v>
      </c>
    </row>
    <row r="69" spans="1:99" ht="16">
      <c r="A69" s="10">
        <f t="shared" si="130"/>
        <v>68</v>
      </c>
      <c r="B69" s="9" t="s">
        <v>17459</v>
      </c>
      <c r="C69">
        <f>SUMIFS(LogFY15!D:D,LogFY15!B:B,"=*chr*",LogFY15!A:A,"=*agriculture*")</f>
        <v>4</v>
      </c>
      <c r="D69">
        <f>SUM(SUMIFS(LogFY15!D:D,LogFY15!B:B,"=*chr*",LogFY15!A:A,"=*agriculture*"),-1*SUMIFS(LogFY15!L:L,LogFY15!B:B,"=*chr*",LogFY15!A:A,"=*agriculture*"),-1*SUMIFS(LogFY15!N:N,LogFY15!B:B,"=*chr*",LogFY15!A:A,"=*agriculture*"))</f>
        <v>1</v>
      </c>
      <c r="E69" s="7">
        <f t="shared" si="125"/>
        <v>0.25</v>
      </c>
      <c r="F69">
        <f>ROUND(SUMIFS(LogFY15!K:K,LogFY15!B:B,"=*chr*",LogFY15!A:A,"=*agriculture*")/SUMIFS(LogFY15!J:J,LogFY15!B:B,"=*chr*",LogFY15!A:A,"=*agriculture*"),0)</f>
        <v>31</v>
      </c>
      <c r="G69" s="1">
        <v>63</v>
      </c>
      <c r="J69">
        <f>SUMIFS(LogFY16!D:D,LogFY16!B:B,"=*chr*",LogFY16!A:A,"=*agriculture*")</f>
        <v>21</v>
      </c>
      <c r="K69">
        <f>SUM(SUMIFS(LogFY16!D:D,LogFY16!B:B,"=*chr*",LogFY16!A:A,"=*agriculture*"),-1*SUMIFS(LogFY16!L:L,LogFY16!B:B,"=*chr*",LogFY16!A:A,"=*agriculture*"),-1*SUMIFS(LogFY16!N:N,LogFY16!B:B,"=*chr*",LogFY16!A:A,"=*agriculture*"))</f>
        <v>5</v>
      </c>
      <c r="L69" s="7">
        <f t="shared" si="111"/>
        <v>0.23809523809523808</v>
      </c>
      <c r="M69" s="7">
        <f t="shared" si="112"/>
        <v>-1.1904761904761918E-2</v>
      </c>
      <c r="N69">
        <f>ROUND(SUMIFS(LogFY16!K:K,LogFY16!B:B,"=*chr*",LogFY16!A:A,"=*agriculture*")/SUMIFS(LogFY16!J:J,LogFY16!B:B,"=*chr*",LogFY16!A:A,"=*agriculture*"),0)</f>
        <v>16</v>
      </c>
      <c r="O69">
        <f t="shared" si="113"/>
        <v>-15</v>
      </c>
      <c r="P69" s="1">
        <v>60</v>
      </c>
      <c r="Q69" s="1">
        <f t="shared" si="114"/>
        <v>-3</v>
      </c>
      <c r="T69">
        <f>SUMIFS(LogFY17!D:D,LogFY17!B:B,"=*chr*",LogFY17!A:A,"=*agriculture*")</f>
        <v>16</v>
      </c>
      <c r="U69">
        <f>SUM(SUMIFS(LogFY17!D:D,LogFY17!B:B,"=*chr*",LogFY17!A:A,"=*agriculture*"),-1*SUMIFS(LogFY17!L:L,LogFY17!B:B,"=*chr*",LogFY17!A:A,"=*agriculture*"),-1*SUMIFS(LogFY17!N:N,LogFY17!B:B,"=*chr*",LogFY17!A:A,"=*agriculture*"))</f>
        <v>6</v>
      </c>
      <c r="V69" s="7">
        <f t="shared" si="84"/>
        <v>0.375</v>
      </c>
      <c r="W69" s="7">
        <f t="shared" si="85"/>
        <v>0.13690476190476192</v>
      </c>
      <c r="X69">
        <f>ROUND(SUMIFS(LogFY17!K:K,LogFY17!B:B,"=*chr*",LogFY17!A:A,"=*agriculture*")/SUMIFS(LogFY17!J:J,LogFY17!B:B,"=*chr*",LogFY17!A:A,"=*agriculture*"),0)</f>
        <v>20</v>
      </c>
      <c r="Y69">
        <f t="shared" si="86"/>
        <v>4</v>
      </c>
      <c r="Z69" s="1">
        <v>68</v>
      </c>
      <c r="AA69" s="1">
        <f t="shared" si="115"/>
        <v>8</v>
      </c>
      <c r="AD69">
        <f>SUMIFS(LogFY18!D:D,LogFY18!B:B,"=*chr*",LogFY18!A:A,"=*agriculture*")</f>
        <v>12</v>
      </c>
      <c r="AE69">
        <f>SUM(SUMIFS(LogFY18!D:D,LogFY18!B:B,"=*chr*",LogFY18!A:A,"=*agriculture*"),-1*SUMIFS(LogFY18!L:L,LogFY18!B:B,"=*chr*",LogFY18!A:A,"=*agriculture*"),-1*SUMIFS(LogFY18!N:N,LogFY18!B:B,"=*chr*",LogFY18!A:A,"=*agriculture*"))</f>
        <v>8</v>
      </c>
      <c r="AF69" s="7">
        <f t="shared" si="87"/>
        <v>0.66666666666666663</v>
      </c>
      <c r="AG69" s="7">
        <f t="shared" si="88"/>
        <v>0.29166666666666663</v>
      </c>
      <c r="AH69">
        <f>ROUND(SUMIFS(LogFY18!K:K,LogFY18!B:B,"=*chr*",LogFY18!A:A,"=*agriculture*")/SUMIFS(LogFY18!J:J,LogFY18!B:B,"=*chr*",LogFY18!A:A,"=*agriculture*"),0)</f>
        <v>6</v>
      </c>
      <c r="AI69">
        <f t="shared" si="89"/>
        <v>-14</v>
      </c>
      <c r="AJ69" s="1">
        <v>21</v>
      </c>
      <c r="AK69" s="1">
        <f t="shared" si="116"/>
        <v>-47</v>
      </c>
      <c r="AN69">
        <f>SUMIFS(LogFY19!D:D,LogFY19!B:B,"=*chr*",LogFY19!A:A,"=*agriculture*")</f>
        <v>25</v>
      </c>
      <c r="AO69">
        <f>SUM(SUMIFS(LogFY19!D:D,LogFY19!B:B,"=*chr*",LogFY19!A:A,"=*agriculture*"),-1*SUMIFS(LogFY19!L:L,LogFY19!B:B,"=*chr*",LogFY19!A:A,"=*agriculture*"),-1*SUMIFS(LogFY19!N:N,LogFY19!B:B,"=*chr*",LogFY19!A:A,"=*agriculture*"))</f>
        <v>9</v>
      </c>
      <c r="AP69" s="7">
        <f t="shared" si="91"/>
        <v>0.36</v>
      </c>
      <c r="AQ69" s="7">
        <f t="shared" si="92"/>
        <v>-0.30666666666666664</v>
      </c>
      <c r="AR69">
        <f>ROUND(SUMIFS(LogFY19!K:K,LogFY19!B:B,"=*chr*",LogFY19!A:A,"=*agriculture*")/SUMIFS(LogFY19!J:J,LogFY19!B:B,"=*chr*",LogFY19!A:A,"=*agriculture*"),0)</f>
        <v>10</v>
      </c>
      <c r="AS69">
        <f t="shared" si="93"/>
        <v>4</v>
      </c>
      <c r="AT69" s="1">
        <v>23</v>
      </c>
      <c r="AU69" s="1">
        <f t="shared" si="117"/>
        <v>2</v>
      </c>
      <c r="AX69">
        <f>SUMIFS(LogFY20!D:D,LogFY20!B:B,"=*chr*",LogFY20!A:A,"=*agriculture*")</f>
        <v>21</v>
      </c>
      <c r="AY69">
        <f>SUM(SUMIFS(LogFY20!D:D,LogFY20!B:B,"=*chr*",LogFY20!A:A,"=*agriculture*"),-1*SUMIFS(LogFY20!L:L,LogFY20!B:B,"=*chr*",LogFY20!A:A,"=*agriculture*"),-1*SUMIFS(LogFY20!N:N,LogFY20!B:B,"=*chr*",LogFY20!A:A,"=*agriculture*"))</f>
        <v>12</v>
      </c>
      <c r="AZ69" s="7">
        <f t="shared" si="95"/>
        <v>0.5714285714285714</v>
      </c>
      <c r="BA69" s="7">
        <f t="shared" si="96"/>
        <v>0.21142857142857141</v>
      </c>
      <c r="BB69">
        <f>ROUND(SUMIFS(LogFY20!K:K,LogFY20!B:B,"=*chr*",LogFY20!A:A,"=*agriculture*")/SUMIFS(LogFY20!J:J,LogFY20!B:B,"=*chr*",LogFY20!A:A,"=*agriculture*"),0)</f>
        <v>8</v>
      </c>
      <c r="BC69">
        <f t="shared" si="97"/>
        <v>-2</v>
      </c>
      <c r="BD69" s="1">
        <v>20</v>
      </c>
      <c r="BE69" s="1">
        <f t="shared" si="98"/>
        <v>-3</v>
      </c>
      <c r="BH69">
        <f>SUMIFS(LogFY21!D:D,LogFY21!B:B,"=*chr*",LogFY21!A:A,"=*agriculture*")</f>
        <v>12</v>
      </c>
      <c r="BI69">
        <f>SUM(SUMIFS(LogFY21!D:D,LogFY21!B:B,"=*chr*",LogFY21!A:A,"=*agriculture*"),-1*SUMIFS(LogFY21!L:L,LogFY21!B:B,"=*chr*",LogFY21!A:A,"=*agriculture*"),-1*SUMIFS(LogFY21!N:N,LogFY21!B:B,"=*chr*",LogFY21!A:A,"=*agriculture*"))</f>
        <v>8</v>
      </c>
      <c r="BJ69" s="7">
        <f t="shared" si="118"/>
        <v>0.66666666666666663</v>
      </c>
      <c r="BK69" s="7">
        <f t="shared" si="119"/>
        <v>9.5238095238095233E-2</v>
      </c>
      <c r="BL69">
        <f>ROUND(SUMIFS(LogFY21!K:K,LogFY21!B:B,"=*chr*",LogFY21!A:A,"=*agriculture*")/SUMIFS(LogFY21!J:J,LogFY21!B:B,"=*chr*",LogFY21!A:A,"=*agriculture*"),0)</f>
        <v>9</v>
      </c>
      <c r="BM69">
        <f t="shared" si="120"/>
        <v>1</v>
      </c>
      <c r="BN69" s="1">
        <v>60</v>
      </c>
      <c r="BO69" s="1">
        <f t="shared" si="121"/>
        <v>40</v>
      </c>
      <c r="BR69">
        <f>SUMIFS(LogFY22!D:D,LogFY22!B:B,"=*chr*",LogFY22!A:A,"=*agriculture*")</f>
        <v>8</v>
      </c>
      <c r="BS69">
        <f>SUM(SUMIFS(LogFY22!D:D,LogFY22!B:B,"=*chr*",LogFY22!A:A,"=*agriculture*"),-1*SUMIFS(LogFY22!L:L,LogFY22!B:B,"=*chr*",LogFY22!A:A,"=*agriculture*"),-1*SUMIFS(LogFY22!N:N,LogFY22!B:B,"=*chr*",LogFY22!A:A,"=*agriculture*"))</f>
        <v>7</v>
      </c>
      <c r="BT69" s="7">
        <f t="shared" si="103"/>
        <v>0.875</v>
      </c>
      <c r="BU69" s="7">
        <f t="shared" si="104"/>
        <v>0.20833333333333337</v>
      </c>
      <c r="BV69">
        <f>ROUND(SUMIFS(LogFY22!K:K,LogFY22!B:B,"=*chr*",LogFY22!A:A,"=*agriculture*")/SUMIFS(LogFY22!J:J,LogFY22!B:B,"=*chr*",LogFY22!A:A,"=*agriculture*"),0)</f>
        <v>9</v>
      </c>
      <c r="BW69">
        <f t="shared" si="105"/>
        <v>0</v>
      </c>
      <c r="BX69" s="1">
        <v>49</v>
      </c>
      <c r="BY69" s="1">
        <f t="shared" si="106"/>
        <v>-11</v>
      </c>
      <c r="CB69">
        <f>SUMIFS(LogFY23!D:D,LogFY23!B:B,"=*chr*",LogFY23!A:A,"=*agriculture*")</f>
        <v>9</v>
      </c>
      <c r="CC69">
        <f>SUM(SUMIFS(LogFY23!D:D,LogFY23!B:B,"=*chr*",LogFY23!A:A,"=*agriculture*"),-1*SUMIFS(LogFY23!L:L,LogFY23!B:B,"=*chr*",LogFY23!A:A,"=*agriculture*"),-1*SUMIFS(LogFY23!N:N,LogFY23!B:B,"=*chr*",LogFY23!A:A,"=*agriculture*"))</f>
        <v>7</v>
      </c>
      <c r="CD69" s="7">
        <f t="shared" si="122"/>
        <v>0.77777777777777779</v>
      </c>
      <c r="CE69" s="7">
        <f t="shared" si="123"/>
        <v>-9.722222222222221E-2</v>
      </c>
      <c r="CF69">
        <f>ROUND(SUMIFS(LogFY23!K:K,LogFY23!B:B,"=*chr*",LogFY23!A:A,"=*agriculture*")/SUMIFS(LogFY23!J:J,LogFY23!B:B,"=*chr*",LogFY23!A:A,"=*agriculture*"),0)</f>
        <v>3</v>
      </c>
      <c r="CG69">
        <f t="shared" si="124"/>
        <v>-6</v>
      </c>
      <c r="CH69" s="1">
        <v>10</v>
      </c>
      <c r="CI69" s="1">
        <f t="shared" si="127"/>
        <v>-39</v>
      </c>
      <c r="CK69" s="7"/>
      <c r="CL69">
        <f>SUMIFS(LogFY24!D:D,LogFY24!B:B,"=*chr*",LogFY24!A:A,"=*agriculture*")</f>
        <v>26</v>
      </c>
      <c r="CM69">
        <f>SUM(SUMIFS(LogFY24!D:D,LogFY24!B:B,"=*chr*",LogFY24!A:A,"=*agriculture*"),-1*SUMIFS(LogFY24!L:L,LogFY24!B:B,"=*chr*",LogFY24!A:A,"=*agriculture*"),-1*SUMIFS(LogFY24!N:N,LogFY24!B:B,"=*chr*",LogFY24!A:A,"=*agriculture*"))</f>
        <v>24</v>
      </c>
      <c r="CN69" s="7">
        <f t="shared" si="126"/>
        <v>0.92307692307692313</v>
      </c>
      <c r="CO69" s="7">
        <f t="shared" si="128"/>
        <v>0.14529914529914534</v>
      </c>
      <c r="CP69">
        <f>ROUND(SUMIFS(LogFY24!K:K,LogFY24!B:B,"=*chr*",LogFY24!A:A,"=*agriculture*")/SUMIFS(LogFY24!J:J,LogFY24!B:B,"=*chr*",LogFY24!A:A,"=*agriculture*"),0)</f>
        <v>4</v>
      </c>
      <c r="CQ69">
        <f t="shared" si="129"/>
        <v>1</v>
      </c>
      <c r="CR69" s="1">
        <v>22</v>
      </c>
      <c r="CS69" s="1">
        <f t="shared" si="110"/>
        <v>12</v>
      </c>
    </row>
    <row r="70" spans="1:99" ht="16">
      <c r="A70" s="10">
        <f t="shared" si="130"/>
        <v>69</v>
      </c>
      <c r="B70" s="9" t="s">
        <v>17461</v>
      </c>
      <c r="C70">
        <f>SUMIFS(LogFY15!D:D,LogFY15!B:B,"=*pesticides*")</f>
        <v>27</v>
      </c>
      <c r="D70">
        <f>SUM(SUMIFS(LogFY15!D:D,LogFY15!B:B,"=*pesticides*"),-1*SUMIFS(LogFY15!L:L,LogFY15!B:B,"=*pesticides*"),-1*SUMIFS(LogFY15!N:N,LogFY15!B:B,"=*pesticides*"))</f>
        <v>4</v>
      </c>
      <c r="E70" s="7">
        <f t="shared" si="125"/>
        <v>0.14814814814814814</v>
      </c>
      <c r="F70">
        <f>ROUND(SUMIFS(LogFY15!K:K,LogFY15!B:B,"=*pesticides*")/SUMIFS(LogFY15!J:J,LogFY15!B:B,"=*pesticides*"),0)</f>
        <v>3</v>
      </c>
      <c r="G70" s="1">
        <v>22</v>
      </c>
      <c r="J70">
        <f>SUMIFS(LogFY16!D:D,LogFY16!B:B,"=*pesticides*")</f>
        <v>81</v>
      </c>
      <c r="K70">
        <f>SUM(SUMIFS(LogFY16!D:D,LogFY16!B:B,"=*pesticides*"),-1*SUMIFS(LogFY16!L:L,LogFY16!B:B,"=*pesticides*"),-1*SUMIFS(LogFY16!N:N,LogFY16!B:B,"=*pesticides*"))</f>
        <v>13</v>
      </c>
      <c r="L70" s="7">
        <f t="shared" si="111"/>
        <v>0.16049382716049382</v>
      </c>
      <c r="M70" s="7">
        <f t="shared" si="112"/>
        <v>1.2345679012345678E-2</v>
      </c>
      <c r="N70">
        <f>ROUND(SUMIFS(LogFY16!K:K,LogFY16!B:B,"=*pesticides*")/SUMIFS(LogFY16!J:J,LogFY16!B:B,"=*pesticides*"),0)</f>
        <v>9</v>
      </c>
      <c r="O70">
        <f t="shared" si="113"/>
        <v>6</v>
      </c>
      <c r="P70" s="1">
        <v>64</v>
      </c>
      <c r="Q70" s="1">
        <f t="shared" si="114"/>
        <v>42</v>
      </c>
      <c r="T70">
        <f>SUMIFS(LogFY17!D:D,LogFY17!B:B,"=*pesticides*")</f>
        <v>37</v>
      </c>
      <c r="U70">
        <f>SUM(SUMIFS(LogFY17!D:D,LogFY17!B:B,"=*pesticides*"),-1*SUMIFS(LogFY17!L:L,LogFY17!B:B,"=*pesticides*"),-1*SUMIFS(LogFY17!N:N,LogFY17!B:B,"=*pesticides*"))</f>
        <v>14</v>
      </c>
      <c r="V70" s="7">
        <f t="shared" si="84"/>
        <v>0.3783783783783784</v>
      </c>
      <c r="W70" s="7">
        <f t="shared" si="85"/>
        <v>0.21788455121788458</v>
      </c>
      <c r="X70">
        <f>ROUND(SUMIFS(LogFY17!K:K,LogFY17!B:B,"=*pesticides*")/SUMIFS(LogFY17!J:J,LogFY17!B:B,"=*pesticides*"),0)</f>
        <v>11</v>
      </c>
      <c r="Y70">
        <f t="shared" si="86"/>
        <v>2</v>
      </c>
      <c r="Z70" s="1">
        <v>34</v>
      </c>
      <c r="AA70" s="1">
        <f t="shared" si="115"/>
        <v>-30</v>
      </c>
      <c r="AD70">
        <f>SUMIFS(LogFY18!D:D,LogFY18!B:B,"=*pesticides*")</f>
        <v>18</v>
      </c>
      <c r="AE70">
        <f>SUM(SUMIFS(LogFY18!D:D,LogFY18!B:B,"=*pesticides*"),-1*SUMIFS(LogFY18!L:L,LogFY18!B:B,"=*pesticides*"),-1*SUMIFS(LogFY18!N:N,LogFY18!B:B,"=*pesticides*"))</f>
        <v>5</v>
      </c>
      <c r="AF70" s="7">
        <f t="shared" si="87"/>
        <v>0.27777777777777779</v>
      </c>
      <c r="AG70" s="7">
        <f t="shared" si="88"/>
        <v>-0.10060060060060061</v>
      </c>
      <c r="AH70">
        <f>ROUND(SUMIFS(LogFY18!K:K,LogFY18!B:B,"=*pesticides*")/SUMIFS(LogFY18!J:J,LogFY18!B:B,"=*pesticides*"),0)</f>
        <v>5</v>
      </c>
      <c r="AI70">
        <f t="shared" si="89"/>
        <v>-6</v>
      </c>
      <c r="AJ70" s="1">
        <v>12</v>
      </c>
      <c r="AK70" s="1">
        <f t="shared" si="116"/>
        <v>-22</v>
      </c>
      <c r="AN70">
        <f>SUMIFS(LogFY19!D:D,LogFY19!B:B,"=*pesticides*")</f>
        <v>30</v>
      </c>
      <c r="AO70">
        <f>SUM(SUMIFS(LogFY19!D:D,LogFY19!B:B,"=*pesticides*"),-1*SUMIFS(LogFY19!L:L,LogFY19!B:B,"=*pesticides*"),-1*SUMIFS(LogFY19!N:N,LogFY19!B:B,"=*pesticides*"))</f>
        <v>4</v>
      </c>
      <c r="AP70" s="7">
        <f t="shared" si="91"/>
        <v>0.13333333333333333</v>
      </c>
      <c r="AQ70" s="7">
        <f t="shared" si="92"/>
        <v>-0.14444444444444446</v>
      </c>
      <c r="AR70">
        <f>ROUND(SUMIFS(LogFY19!K:K,LogFY19!B:B,"=*pesticides*")/SUMIFS(LogFY19!J:J,LogFY19!B:B,"=*pesticides*"),0)</f>
        <v>7</v>
      </c>
      <c r="AS70">
        <f t="shared" si="93"/>
        <v>2</v>
      </c>
      <c r="AT70" s="1">
        <v>17</v>
      </c>
      <c r="AU70" s="1">
        <f t="shared" si="117"/>
        <v>5</v>
      </c>
      <c r="AX70">
        <f>SUMIFS(LogFY20!D:D,LogFY20!B:B,"=*pesticides*")</f>
        <v>33</v>
      </c>
      <c r="AY70">
        <f>SUM(SUMIFS(LogFY20!D:D,LogFY20!B:B,"=*pesticides*"),-1*SUMIFS(LogFY20!L:L,LogFY20!B:B,"=*pesticides*"),-1*SUMIFS(LogFY20!N:N,LogFY20!B:B,"=*pesticides*"))</f>
        <v>12</v>
      </c>
      <c r="AZ70" s="7">
        <f t="shared" si="95"/>
        <v>0.36363636363636365</v>
      </c>
      <c r="BA70" s="7">
        <f t="shared" si="96"/>
        <v>0.23030303030303031</v>
      </c>
      <c r="BB70">
        <f>ROUND(SUMIFS(LogFY20!K:K,LogFY20!B:B,"=*pesticides*")/SUMIFS(LogFY20!J:J,LogFY20!B:B,"=*pesticides*"),0)</f>
        <v>14</v>
      </c>
      <c r="BC70">
        <f t="shared" si="97"/>
        <v>7</v>
      </c>
      <c r="BD70" s="1">
        <v>121</v>
      </c>
      <c r="BE70" s="1">
        <f t="shared" si="98"/>
        <v>104</v>
      </c>
      <c r="BH70">
        <f>SUMIFS(LogFY21!D:D,LogFY21!B:B,"=*pesticides*")</f>
        <v>40</v>
      </c>
      <c r="BI70">
        <f>SUM(SUMIFS(LogFY21!D:D,LogFY21!B:B,"=*pesticides*"),-1*SUMIFS(LogFY21!L:L,LogFY21!B:B,"=*pesticides*"),-1*SUMIFS(LogFY21!N:N,LogFY21!B:B,"=*pesticides*"))</f>
        <v>15</v>
      </c>
      <c r="BJ70" s="7">
        <f t="shared" si="118"/>
        <v>0.375</v>
      </c>
      <c r="BK70" s="7">
        <f t="shared" si="119"/>
        <v>1.1363636363636354E-2</v>
      </c>
      <c r="BL70">
        <f>ROUND(SUMIFS(LogFY21!K:K,LogFY21!B:B,"=*pesticides*")/SUMIFS(LogFY21!J:J,LogFY21!B:B,"=*pesticides*"),0)</f>
        <v>14</v>
      </c>
      <c r="BM70">
        <f t="shared" si="120"/>
        <v>0</v>
      </c>
      <c r="BN70" s="1">
        <v>80</v>
      </c>
      <c r="BO70" s="1">
        <f t="shared" si="121"/>
        <v>-41</v>
      </c>
      <c r="BR70">
        <f>SUMIFS(LogFY22!D:D,LogFY22!B:B,"=*pesticides*")</f>
        <v>31</v>
      </c>
      <c r="BS70">
        <f>SUM(SUMIFS(LogFY22!D:D,LogFY22!B:B,"=*pesticides*"),-1*SUMIFS(LogFY22!L:L,LogFY22!B:B,"=*pesticides*"),-1*SUMIFS(LogFY22!N:N,LogFY22!B:B,"=*pesticides*"))</f>
        <v>13</v>
      </c>
      <c r="BT70" s="7">
        <f t="shared" si="103"/>
        <v>0.41935483870967744</v>
      </c>
      <c r="BU70" s="7">
        <f t="shared" si="104"/>
        <v>4.4354838709677435E-2</v>
      </c>
      <c r="BV70">
        <f>ROUND(SUMIFS(LogFY22!K:K,LogFY22!B:B,"=*pesticides*")/SUMIFS(LogFY22!J:J,LogFY22!B:B,"=*pesticides*"),0)</f>
        <v>9</v>
      </c>
      <c r="BW70">
        <f t="shared" si="105"/>
        <v>-5</v>
      </c>
      <c r="BX70" s="1">
        <v>28</v>
      </c>
      <c r="BY70" s="1">
        <f t="shared" si="106"/>
        <v>-52</v>
      </c>
      <c r="CB70">
        <f>SUMIFS(LogFY23!D:D,LogFY23!B:B,"=*pesticides*")</f>
        <v>23</v>
      </c>
      <c r="CC70">
        <f>SUM(SUMIFS(LogFY23!D:D,LogFY23!B:B,"=*pesticides*"),-1*SUMIFS(LogFY23!L:L,LogFY23!B:B,"=*pesticides*"),-1*SUMIFS(LogFY23!N:N,LogFY23!B:B,"=*pesticides*"))</f>
        <v>8</v>
      </c>
      <c r="CD70" s="7">
        <f t="shared" si="122"/>
        <v>0.34782608695652173</v>
      </c>
      <c r="CE70" s="7">
        <f t="shared" si="123"/>
        <v>-7.1528751753155706E-2</v>
      </c>
      <c r="CF70">
        <f>ROUND(SUMIFS(LogFY23!K:K,LogFY23!B:B,"=*pesticides*")/SUMIFS(LogFY23!J:J,LogFY23!B:B,"=*pesticides*"),0)</f>
        <v>9</v>
      </c>
      <c r="CG70">
        <f t="shared" si="124"/>
        <v>0</v>
      </c>
      <c r="CH70" s="1">
        <v>29</v>
      </c>
      <c r="CI70" s="1">
        <f t="shared" si="127"/>
        <v>1</v>
      </c>
      <c r="CK70" s="7"/>
      <c r="CL70">
        <f>SUMIFS(LogFY24!D:D,LogFY24!B:B,"=*pesticides*")</f>
        <v>22</v>
      </c>
      <c r="CM70">
        <f>SUM(SUMIFS(LogFY24!D:D,LogFY24!B:B,"=*pesticides*"),-1*SUMIFS(LogFY24!L:L,LogFY24!B:B,"=*pesticides*"),-1*SUMIFS(LogFY24!N:N,LogFY24!B:B,"=*pesticides*"))</f>
        <v>6</v>
      </c>
      <c r="CN70" s="7">
        <f t="shared" si="126"/>
        <v>0.27272727272727271</v>
      </c>
      <c r="CO70" s="7">
        <f t="shared" si="128"/>
        <v>-7.5098814229249022E-2</v>
      </c>
      <c r="CP70">
        <f>ROUND(SUMIFS(LogFY24!K:K,LogFY24!B:B,"=*pesticides*")/SUMIFS(LogFY24!J:J,LogFY24!B:B,"=*pesticides*"),0)</f>
        <v>14</v>
      </c>
      <c r="CQ70">
        <f t="shared" si="129"/>
        <v>5</v>
      </c>
      <c r="CR70" s="1">
        <v>51</v>
      </c>
      <c r="CS70" s="1">
        <f t="shared" si="110"/>
        <v>22</v>
      </c>
    </row>
    <row r="71" spans="1:99" ht="32">
      <c r="A71" s="10">
        <f t="shared" si="130"/>
        <v>70</v>
      </c>
      <c r="B71" s="1" t="s">
        <v>17243</v>
      </c>
      <c r="C71">
        <f>SUMIFS(LogFY15!D:D,LogFY15!A:A,"=SOH_BUDGET_AND_FINANCE", LogFY15!B:B,"&lt;&gt;*PUC*")</f>
        <v>74</v>
      </c>
      <c r="D71">
        <f>SUM(SUMIFS(LogFY15!D:D,LogFY15!A:A,"=SOH_BUDGET_AND_FINANCE", LogFY15!B:B,"&lt;&gt;*PUC*"),-1*SUMIFS(LogFY15!L:L,LogFY15!A:A,"=SOH_BUDGET_AND_FINANCE", LogFY15!B:B,"&lt;&gt;*PUC*"),-1*SUMIFS(LogFY15!N:N,LogFY15!A:A,"=SOH_BUDGET_AND_FINANCE", LogFY15!B:B,"&lt;&gt;*PUC*"))</f>
        <v>14</v>
      </c>
      <c r="E71" s="7">
        <f t="shared" si="125"/>
        <v>0.1891891891891892</v>
      </c>
      <c r="F71">
        <f>ROUND(SUMIFS(LogFY15!K:K,LogFY15!A:A,"=SOH_BUDGET_AND_FINANCE", LogFY15!B:B,"&lt;&gt;*PUC*")/SUMIFS(LogFY15!J:J,LogFY15!A:A,"=SOH_BUDGET_AND_FINANCE", LogFY15!B:B,"&lt;&gt;*PUC*"),0)</f>
        <v>12</v>
      </c>
      <c r="G71" s="1">
        <v>104</v>
      </c>
      <c r="H71">
        <f>SUM(COUNTIFS(All!F:F,"=B&amp;F*", All!F:F,"&lt;&gt;*PUC", All!B:B, "&gt;=7/1/2014", All!B:B,"&lt;=6/30/2015", All!E:E,"U*", All!E:E,"&lt;&gt;UIPA*",All!E:E,"&lt;&gt;*RFO*",All!E:E,"&lt;&gt;*TRNG*"),COUNTIFS(All!F:F,"=ERS*", All!B:B, "&gt;=7/1/2014", All!B:B,"&lt;=6/30/2015", All!E:E,"U*", All!E:E,"&lt;&gt;UIPA*",All!E:E,"&lt;&gt;*RFO*",All!E:E,"&lt;&gt;*TRNG*"))</f>
        <v>4</v>
      </c>
      <c r="I71" s="7">
        <f>ROUND(H71/C71,3)</f>
        <v>5.3999999999999999E-2</v>
      </c>
      <c r="J71">
        <f>SUMIFS(LogFY16!D:D,LogFY16!A:A,"=SOH_BUDGET_AND_FINANCE", LogFY16!B:B,"&lt;&gt;*PUC*")</f>
        <v>91</v>
      </c>
      <c r="K71">
        <f>SUM(SUMIFS(LogFY16!D:D,LogFY16!A:A,"=SOH_BUDGET_AND_FINANCE", LogFY16!B:B,"&lt;&gt;*PUC*"),-1*SUMIFS(LogFY16!L:L,LogFY16!A:A,"=SOH_BUDGET_AND_FINANCE", LogFY16!B:B,"&lt;&gt;*PUC*"),-1*SUMIFS(LogFY16!N:N,LogFY16!A:A,"=SOH_BUDGET_AND_FINANCE", LogFY16!B:B,"&lt;&gt;*PUC*"))</f>
        <v>17</v>
      </c>
      <c r="L71" s="7">
        <f t="shared" si="111"/>
        <v>0.18681318681318682</v>
      </c>
      <c r="M71" s="7">
        <f t="shared" si="112"/>
        <v>-2.3760023760023841E-3</v>
      </c>
      <c r="N71">
        <f>ROUND(SUMIFS(LogFY16!K:K,LogFY16!A:A,"=SOH_BUDGET_AND_FINANCE", LogFY16!B:B,"&lt;&gt;*PUC*")/SUMIFS(LogFY16!J:J,LogFY16!A:A,"=SOH_BUDGET_AND_FINANCE", LogFY16!B:B,"&lt;&gt;*PUC*"),0)</f>
        <v>8</v>
      </c>
      <c r="O71">
        <f t="shared" si="113"/>
        <v>-4</v>
      </c>
      <c r="P71" s="1">
        <v>51</v>
      </c>
      <c r="Q71" s="1">
        <f t="shared" si="114"/>
        <v>-53</v>
      </c>
      <c r="R71">
        <f>SUM(COUNTIFS(All!F:F,"=B&amp;F*", All!F:F,"&lt;&gt;*PUC", All!B:B, "&gt;=7/1/2015", All!B:B,"&lt;=6/30/2016", All!E:E,"U*", All!E:E,"&lt;&gt;UIPA*",All!E:E,"&lt;&gt;*RFO*",All!E:E,"&lt;&gt;*TRNG*"),COUNTIFS(All!F:F,"=ERS*", All!B:B, "&gt;=7/1/2015", All!B:B,"&lt;=6/30/2016", All!E:E,"U*", All!E:E,"&lt;&gt;UIPA*",All!E:E,"&lt;&gt;*RFO*",All!E:E,"&lt;&gt;*TRNG*"))</f>
        <v>4</v>
      </c>
      <c r="S71" s="7">
        <f>ROUND(R71/(J71+C71),3)</f>
        <v>2.4E-2</v>
      </c>
      <c r="T71">
        <f>SUMIFS(LogFY17!D:D,LogFY17!A:A,"=SOH_BUDGET_AND_FINANCE", LogFY17!B:B,"&lt;&gt;*PUC*")</f>
        <v>77</v>
      </c>
      <c r="U71">
        <f>SUM(SUMIFS(LogFY17!D:D,LogFY17!A:A,"=SOH_BUDGET_AND_FINANCE", LogFY17!B:B,"&lt;&gt;*PUC*"),-1*SUMIFS(LogFY17!L:L,LogFY17!A:A,"=SOH_BUDGET_AND_FINANCE", LogFY17!B:B,"&lt;&gt;*PUC*"),-1*SUMIFS(LogFY17!N:N,LogFY17!A:A,"=SOH_BUDGET_AND_FINANCE", LogFY17!B:B,"&lt;&gt;*PUC*"))</f>
        <v>31</v>
      </c>
      <c r="V71" s="7">
        <f t="shared" si="84"/>
        <v>0.40259740259740262</v>
      </c>
      <c r="W71" s="7">
        <f t="shared" si="85"/>
        <v>0.2157842157842158</v>
      </c>
      <c r="X71">
        <f>ROUND(SUMIFS(LogFY17!K:K,LogFY17!A:A,"=SOH_BUDGET_AND_FINANCE", LogFY17!B:B,"&lt;&gt;*PUC*")/SUMIFS(LogFY17!J:J,LogFY17!A:A,"=SOH_BUDGET_AND_FINANCE", LogFY17!B:B,"&lt;&gt;*PUC*"),0)</f>
        <v>14</v>
      </c>
      <c r="Y71">
        <f t="shared" si="86"/>
        <v>6</v>
      </c>
      <c r="Z71" s="1">
        <v>112</v>
      </c>
      <c r="AA71" s="1">
        <f t="shared" si="115"/>
        <v>61</v>
      </c>
      <c r="AB71">
        <f>SUM(COUNTIFS(All!F:F,"=B&amp;F*", All!F:F,"&lt;&gt;*PUC", All!B:B, "&gt;=7/1/2016", All!B:B,"&lt;=6/30/2017", All!E:E,"U*", All!E:E,"&lt;&gt;UIPA*",All!E:E,"&lt;&gt;*RFO*",All!E:E,"&lt;&gt;*TRNG*"),COUNTIFS(All!F:F,"=ERS*", All!B:B, "&gt;=7/1/2016", All!B:B,"&lt;=6/30/2017", All!E:E,"U*", All!E:E,"&lt;&gt;UIPA*",All!E:E,"&lt;&gt;*RFO*",All!E:E,"&lt;&gt;*TRNG*"))</f>
        <v>2</v>
      </c>
      <c r="AC71" s="7">
        <f>ROUND(AB71/(T71+J71),3)</f>
        <v>1.2E-2</v>
      </c>
      <c r="AD71">
        <f>SUMIFS(LogFY18!D:D,LogFY18!A:A,"=SOH_BUDGET_AND_FINANCE", LogFY18!B:B,"&lt;&gt;*PUC*")</f>
        <v>86</v>
      </c>
      <c r="AE71">
        <f>SUM(SUMIFS(LogFY18!D:D,LogFY18!A:A,"=SOH_BUDGET_AND_FINANCE", LogFY18!B:B,"&lt;&gt;*PUC*"),-1*SUMIFS(LogFY18!L:L,LogFY18!A:A,"=SOH_BUDGET_AND_FINANCE", LogFY18!B:B,"&lt;&gt;*PUC*"),-1*SUMIFS(LogFY18!N:N,LogFY18!A:A,"=SOH_BUDGET_AND_FINANCE", LogFY18!B:B,"&lt;&gt;*PUC*"))</f>
        <v>43</v>
      </c>
      <c r="AF71" s="7">
        <f t="shared" si="87"/>
        <v>0.5</v>
      </c>
      <c r="AG71" s="7">
        <f t="shared" si="88"/>
        <v>9.740259740259738E-2</v>
      </c>
      <c r="AH71">
        <f>ROUND(SUMIFS(LogFY18!K:K,LogFY18!A:A,"=SOH_BUDGET_AND_FINANCE", LogFY18!B:B,"&lt;&gt;*PUC*")/SUMIFS(LogFY18!J:J,LogFY18!A:A,"=SOH_BUDGET_AND_FINANCE", LogFY18!B:B,"&lt;&gt;*PUC*"),0)</f>
        <v>12</v>
      </c>
      <c r="AI71">
        <f t="shared" si="89"/>
        <v>-2</v>
      </c>
      <c r="AJ71" s="1">
        <v>140</v>
      </c>
      <c r="AK71" s="1">
        <f t="shared" si="116"/>
        <v>28</v>
      </c>
      <c r="AL71">
        <f>SUM(COUNTIFS(All!F:F,"=B&amp;F*", All!F:F,"&lt;&gt;*PUC", All!B:B, "&gt;=7/1/2017", All!B:B,"&lt;=6/30/2018", All!E:E,"U*", All!E:E,"&lt;&gt;UIPA*",All!E:E,"&lt;&gt;*RFO*",All!E:E,"&lt;&gt;*TRNG*"),COUNTIFS(All!F:F,"=ERS*", All!B:B, "&gt;=7/1/2017", All!B:B,"&lt;=6/30/2018", All!E:E,"U*", All!E:E,"&lt;&gt;UIPA*",All!E:E,"&lt;&gt;*RFO*",All!E:E,"&lt;&gt;*TRNG*"))</f>
        <v>4</v>
      </c>
      <c r="AM71" s="7">
        <f>ROUND(AL71/(AD71+T71),3)</f>
        <v>2.5000000000000001E-2</v>
      </c>
      <c r="AN71">
        <f>SUMIFS(LogFY19!D:D,LogFY19!A:A,"=SOH_BUDGET_AND_FINANCE", LogFY19!B:B,"&lt;&gt;*PUC*")</f>
        <v>86</v>
      </c>
      <c r="AO71">
        <f>SUM(SUMIFS(LogFY19!D:D,LogFY19!A:A,"=SOH_BUDGET_AND_FINANCE", LogFY19!B:B,"&lt;&gt;*PUC*"),-1*SUMIFS(LogFY19!L:L,LogFY19!A:A,"=SOH_BUDGET_AND_FINANCE", LogFY19!B:B,"&lt;&gt;*PUC*"),-1*SUMIFS(LogFY19!N:N,LogFY19!A:A,"=SOH_BUDGET_AND_FINANCE", LogFY19!B:B,"&lt;&gt;*PUC*"))</f>
        <v>23</v>
      </c>
      <c r="AP71" s="7">
        <f t="shared" si="91"/>
        <v>0.26744186046511625</v>
      </c>
      <c r="AQ71" s="7">
        <f t="shared" si="92"/>
        <v>-0.23255813953488375</v>
      </c>
      <c r="AR71">
        <f>ROUND(SUMIFS(LogFY19!K:K,LogFY19!A:A,"=SOH_BUDGET_AND_FINANCE", LogFY19!B:B,"&lt;&gt;*PUC*")/SUMIFS(LogFY19!J:J,LogFY19!A:A,"=SOH_BUDGET_AND_FINANCE", LogFY19!B:B,"&lt;&gt;*PUC*"),0)</f>
        <v>10</v>
      </c>
      <c r="AS71">
        <f t="shared" si="93"/>
        <v>-2</v>
      </c>
      <c r="AT71" s="1">
        <v>77</v>
      </c>
      <c r="AU71" s="1">
        <f t="shared" si="117"/>
        <v>-63</v>
      </c>
      <c r="AV71">
        <f>SUM(COUNTIFS(All!F:F,"=B&amp;F*", All!F:F,"&lt;&gt;*PUC", All!B:B, "&gt;=7/1/2018", All!B:B,"&lt;=6/30/2019", All!E:E,"U*", All!E:E,"&lt;&gt;UIPA*",All!E:E,"&lt;&gt;*RFO*",All!E:E,"&lt;&gt;*TRNG*"),COUNTIFS(All!F:F,"=ERS*", All!B:B, "&gt;=7/1/2018", All!B:B,"&lt;=6/30/2019", All!E:E,"U*", All!E:E,"&lt;&gt;UIPA*",All!E:E,"&lt;&gt;*RFO*",All!E:E,"&lt;&gt;*TRNG*"))</f>
        <v>1</v>
      </c>
      <c r="AW71" s="7">
        <f>ROUND(AV71/(AN71+AD71),3)</f>
        <v>6.0000000000000001E-3</v>
      </c>
      <c r="AX71">
        <f>SUMIFS(LogFY20!D:D,LogFY20!A:A,"=SOH_BUDGET_AND_FINANCE", LogFY20!B:B,"&lt;&gt;*PUC*")</f>
        <v>34</v>
      </c>
      <c r="AY71">
        <f>SUM(SUMIFS(LogFY20!D:D,LogFY20!A:A,"=SOH_BUDGET_AND_FINANCE", LogFY20!B:B,"&lt;&gt;*PUC*"),-1*SUMIFS(LogFY20!L:L,LogFY20!A:A,"=SOH_BUDGET_AND_FINANCE", LogFY20!B:B,"&lt;&gt;*PUC*"),-1*SUMIFS(LogFY20!N:N,LogFY20!A:A,"=SOH_BUDGET_AND_FINANCE", LogFY20!B:B,"&lt;&gt;*PUC*"))</f>
        <v>15</v>
      </c>
      <c r="AZ71" s="7">
        <f t="shared" si="95"/>
        <v>0.44117647058823528</v>
      </c>
      <c r="BA71" s="7">
        <f t="shared" si="96"/>
        <v>0.17373461012311903</v>
      </c>
      <c r="BB71">
        <f>ROUND(SUMIFS(LogFY20!K:K,LogFY20!A:A,"=SOH_BUDGET_AND_FINANCE", LogFY20!B:B,"&lt;&gt;*PUC*")/SUMIFS(LogFY20!J:J,LogFY20!A:A,"=SOH_BUDGET_AND_FINANCE", LogFY20!B:B,"&lt;&gt;*PUC*"),0)</f>
        <v>42</v>
      </c>
      <c r="BC71">
        <f t="shared" si="97"/>
        <v>32</v>
      </c>
      <c r="BD71" s="1">
        <v>510</v>
      </c>
      <c r="BE71" s="1">
        <f t="shared" si="98"/>
        <v>433</v>
      </c>
      <c r="BF71">
        <f>SUM(COUNTIFS(All!F:F,"=B&amp;F*", All!F:F,"&lt;&gt;*PUC", All!B:B, "&gt;=7/1/2019", All!B:B,"&lt;=6/30/2020", All!E:E,"U*", All!E:E,"&lt;&gt;UIPA*",All!E:E,"&lt;&gt;*RFO*",All!E:E,"&lt;&gt;*TRNG*"),COUNTIFS(All!F:F,"=ERS*", All!B:B, "&gt;=7/1/2019", All!B:B,"&lt;=6/30/2020", All!E:E,"U*", All!E:E,"&lt;&gt;UIPA*",All!E:E,"&lt;&gt;*RFO*",All!E:E,"&lt;&gt;*TRNG*"))</f>
        <v>0</v>
      </c>
      <c r="BG71" s="7">
        <f>ROUND(BF71/(AX71+AN71),3)</f>
        <v>0</v>
      </c>
      <c r="BH71">
        <f>SUMIFS(LogFY21!D:D,LogFY21!A:A,"=SOH_BUDGET_AND_FINANCE", LogFY21!B:B,"&lt;&gt;*PUC*")</f>
        <v>64</v>
      </c>
      <c r="BI71">
        <f>SUM(SUMIFS(LogFY21!D:D,LogFY21!A:A,"=SOH_BUDGET_AND_FINANCE", LogFY21!B:B,"&lt;&gt;*PUC*"),-1*SUMIFS(LogFY21!L:L,LogFY21!A:A,"=SOH_BUDGET_AND_FINANCE", LogFY21!B:B,"&lt;&gt;*PUC*"),-1*SUMIFS(LogFY21!N:N,LogFY21!A:A,"=SOH_BUDGET_AND_FINANCE", LogFY21!B:B,"&lt;&gt;*PUC*"))</f>
        <v>27</v>
      </c>
      <c r="BJ71" s="7">
        <f t="shared" si="118"/>
        <v>0.421875</v>
      </c>
      <c r="BK71" s="7">
        <f t="shared" si="119"/>
        <v>-1.9301470588235281E-2</v>
      </c>
      <c r="BL71">
        <f>ROUND(SUMIFS(LogFY21!K:K,LogFY21!A:A,"=SOH_BUDGET_AND_FINANCE", LogFY21!B:B,"&lt;&gt;*PUC*")/SUMIFS(LogFY21!J:J,LogFY21!A:A,"=SOH_BUDGET_AND_FINANCE", LogFY21!B:B,"&lt;&gt;*PUC*"),0)</f>
        <v>14</v>
      </c>
      <c r="BM71">
        <f t="shared" si="120"/>
        <v>-28</v>
      </c>
      <c r="BN71" s="1">
        <v>67</v>
      </c>
      <c r="BO71" s="1">
        <f t="shared" si="121"/>
        <v>-443</v>
      </c>
      <c r="BP71">
        <f>SUM(COUNTIFS(All!F:F,"=B&amp;F*", All!F:F,"&lt;&gt;*PUC", All!B:B, "&gt;=7/1/2020", All!B:B,"&lt;=6/30/2021", All!E:E,"U*", All!E:E,"&lt;&gt;UIPA*",All!E:E,"&lt;&gt;*RFO*",All!E:E,"&lt;&gt;*TRNG*"),COUNTIFS(All!F:F,"=ERS*", All!B:B, "&gt;=7/1/2020", All!B:B,"&lt;=6/30/2021", All!E:E,"U*", All!E:E,"&lt;&gt;UIPA*",All!E:E,"&lt;&gt;*RFO*",All!E:E,"&lt;&gt;*TRNG*"))</f>
        <v>1</v>
      </c>
      <c r="BQ71" s="7">
        <f>ROUND(BP71/(BH71+AX71),3)</f>
        <v>0.01</v>
      </c>
      <c r="BR71">
        <f>SUMIFS(LogFY22!D:D,LogFY22!A:A,"=SOH_BUDGET_AND_FINANCE", LogFY22!B:B,"&lt;&gt;*PUC*")</f>
        <v>67</v>
      </c>
      <c r="BS71">
        <f>SUM(SUMIFS(LogFY22!D:D,LogFY22!A:A,"=SOH_BUDGET_AND_FINANCE", LogFY22!B:B,"&lt;&gt;*PUC*"),-1*SUMIFS(LogFY22!L:L,LogFY22!A:A,"=SOH_BUDGET_AND_FINANCE", LogFY22!B:B,"&lt;&gt;*PUC*"),-1*SUMIFS(LogFY22!N:N,LogFY22!A:A,"=SOH_BUDGET_AND_FINANCE", LogFY22!B:B,"&lt;&gt;*PUC*"))</f>
        <v>30</v>
      </c>
      <c r="BT71" s="7">
        <f t="shared" si="103"/>
        <v>0.44776119402985076</v>
      </c>
      <c r="BU71" s="7">
        <f t="shared" si="104"/>
        <v>2.5886194029850762E-2</v>
      </c>
      <c r="BV71">
        <f>ROUND(SUMIFS(LogFY22!K:K,LogFY22!A:A,"=SOH_BUDGET_AND_FINANCE", LogFY22!B:B,"&lt;&gt;*PUC*")/SUMIFS(LogFY22!J:J,LogFY22!A:A,"=SOH_BUDGET_AND_FINANCE", LogFY22!B:B,"&lt;&gt;*PUC*"),0)</f>
        <v>10</v>
      </c>
      <c r="BW71">
        <f t="shared" si="105"/>
        <v>-4</v>
      </c>
      <c r="BX71" s="1">
        <v>44</v>
      </c>
      <c r="BY71" s="1">
        <f t="shared" si="106"/>
        <v>-23</v>
      </c>
      <c r="BZ71">
        <f>SUM(COUNTIFS(All!F:F,"=B&amp;F*", All!F:F,"&lt;&gt;*PUC", All!B:B, "&gt;=7/1/2021", All!B:B,"&lt;=6/30/2022", All!E:E,"U*", All!E:E,"&lt;&gt;UIPA*",All!E:E,"&lt;&gt;*RFO*",All!E:E,"&lt;&gt;*TRNG*"),COUNTIFS(All!F:F,"=ERS*", All!B:B, "&gt;=7/1/2021", All!B:B,"&lt;=6/30/2022", All!E:E,"U*", All!E:E,"&lt;&gt;UIPA*",All!E:E,"&lt;&gt;*RFO*",All!E:E,"&lt;&gt;*TRNG*"))</f>
        <v>1</v>
      </c>
      <c r="CA71" s="7">
        <f>ROUND(BZ71/(BR71+BH71),3)</f>
        <v>8.0000000000000002E-3</v>
      </c>
      <c r="CB71">
        <f>SUMIFS(LogFY23!D:D,LogFY23!A:A,"=SOH_BUDGET_AND_FINANCE", LogFY23!B:B,"&lt;&gt;*PUC*")</f>
        <v>84</v>
      </c>
      <c r="CC71">
        <f>SUM(SUMIFS(LogFY23!D:D,LogFY23!A:A,"=SOH_BUDGET_AND_FINANCE", LogFY23!B:B,"&lt;&gt;*PUC*"),-1*SUMIFS(LogFY23!L:L,LogFY23!A:A,"=SOH_BUDGET_AND_FINANCE", LogFY23!B:B,"&lt;&gt;*PUC*"),-1*SUMIFS(LogFY23!N:N,LogFY23!A:A,"=SOH_BUDGET_AND_FINANCE", LogFY23!B:B,"&lt;&gt;*PUC*"))</f>
        <v>33</v>
      </c>
      <c r="CD71" s="7">
        <f t="shared" si="122"/>
        <v>0.39285714285714285</v>
      </c>
      <c r="CE71" s="7">
        <f t="shared" si="123"/>
        <v>-5.4904051172707913E-2</v>
      </c>
      <c r="CF71">
        <f>ROUND(SUMIFS(LogFY23!K:K,LogFY23!A:A,"=SOH_BUDGET_AND_FINANCE", LogFY23!B:B,"&lt;&gt;*PUC*")/SUMIFS(LogFY23!J:J,LogFY23!A:A,"=SOH_BUDGET_AND_FINANCE", LogFY23!B:B,"&lt;&gt;*PUC*"),0)</f>
        <v>8</v>
      </c>
      <c r="CG71">
        <f t="shared" si="124"/>
        <v>-2</v>
      </c>
      <c r="CH71" s="1">
        <v>69</v>
      </c>
      <c r="CI71" s="1">
        <f t="shared" si="127"/>
        <v>25</v>
      </c>
      <c r="CJ71">
        <f>SUM(COUNTIFS(All!F:F,"=B&amp;F*", All!F:F,"&lt;&gt;*PUC", All!B:B, "&gt;=7/1/2022", All!B:B,"&lt;=6/30/2023", All!E:E,"U*", All!E:E,"&lt;&gt;UIPA*",All!E:E,"&lt;&gt;*RFO*",All!E:E,"&lt;&gt;*TRNG*"),COUNTIFS(All!F:F,"=ERS*", All!B:B, "&gt;=7/1/2022", All!B:B,"&lt;=6/30/2023", All!E:E,"U*", All!E:E,"&lt;&gt;UIPA*",All!E:E,"&lt;&gt;*RFO*",All!E:E,"&lt;&gt;*TRNG*"))</f>
        <v>1</v>
      </c>
      <c r="CK71" s="7">
        <f>ROUND(CJ71/(CB71+BR71),3)</f>
        <v>7.0000000000000001E-3</v>
      </c>
      <c r="CL71">
        <f>SUMIFS(LogFY24!D:D,LogFY24!A:A,"=SOH_BUDGET_AND_FINANCE", LogFY24!B:B,"&lt;&gt;*PUC*")</f>
        <v>102</v>
      </c>
      <c r="CM71">
        <f>SUM(SUMIFS(LogFY24!D:D,LogFY24!A:A,"=SOH_BUDGET_AND_FINANCE", LogFY24!B:B,"&lt;&gt;*PUC*"),-1*SUMIFS(LogFY24!L:L,LogFY24!A:A,"=SOH_BUDGET_AND_FINANCE", LogFY24!B:B,"&lt;&gt;*PUC*"),-1*SUMIFS(LogFY24!N:N,LogFY24!A:A,"=SOH_BUDGET_AND_FINANCE", LogFY24!B:B,"&lt;&gt;*PUC*"))</f>
        <v>35</v>
      </c>
      <c r="CN71" s="7">
        <f t="shared" si="126"/>
        <v>0.34313725490196079</v>
      </c>
      <c r="CO71" s="7">
        <f t="shared" si="128"/>
        <v>-4.9719887955182063E-2</v>
      </c>
      <c r="CP71">
        <f>ROUND(SUMIFS(LogFY24!K:K,LogFY24!A:A,"=SOH_BUDGET_AND_FINANCE", LogFY24!B:B,"&lt;&gt;*PUC*")/SUMIFS(LogFY24!J:J,LogFY24!A:A,"=SOH_BUDGET_AND_FINANCE", LogFY24!B:B,"&lt;&gt;*PUC*"),0)</f>
        <v>8</v>
      </c>
      <c r="CQ71">
        <f t="shared" si="129"/>
        <v>0</v>
      </c>
      <c r="CR71" s="1">
        <v>47</v>
      </c>
      <c r="CS71" s="1">
        <f t="shared" si="110"/>
        <v>-22</v>
      </c>
      <c r="CT71">
        <f>SUM(COUNTIFS(All!F:F,"=B&amp;F*", All!F:F,"&lt;&gt;*PUC", All!F:F,"&lt;&gt;*HON", All!B:B, "&gt;=7/1/2023", All!B:B,"&lt;=6/30/2024", All!E:E,"U*", All!E:E,"&lt;&gt;UIPA*",All!E:E,"&lt;&gt;*RFO*",All!E:E,"&lt;&gt;*TRNG*"),COUNTIFS(All!F:F,"=ERS*", All!B:B, "&gt;=7/1/2023", All!B:B,"&lt;=6/30/2024", All!E:E,"U*", All!E:E,"&lt;&gt;UIPA*",All!E:E,"&lt;&gt;*RFO*",All!E:E,"&lt;&gt;*TRNG*"))</f>
        <v>1</v>
      </c>
      <c r="CU71" s="7">
        <f>ROUND(CT71/(CL71+CB71),3)</f>
        <v>5.0000000000000001E-3</v>
      </c>
    </row>
    <row r="72" spans="1:99" ht="16">
      <c r="A72" s="10">
        <f t="shared" si="130"/>
        <v>71</v>
      </c>
      <c r="B72" s="9" t="s">
        <v>17463</v>
      </c>
      <c r="C72">
        <f>SUMIFS(LogFY15!D:D,LogFY15!B:B,"=*fad*")</f>
        <v>18</v>
      </c>
      <c r="D72">
        <f>SUM(SUMIFS(LogFY15!D:D,LogFY15!B:B,"=*fad*"),-1*SUMIFS(LogFY15!L:L,LogFY15!B:B,"=*fad*"),-1*SUMIFS(LogFY15!N:N,LogFY15!B:B,"=*fad*"))</f>
        <v>4</v>
      </c>
      <c r="E72" s="7">
        <f t="shared" si="125"/>
        <v>0.22222222222222221</v>
      </c>
      <c r="F72">
        <f>ROUND(SUMIFS(LogFY15!K:K,LogFY15!B:B,"=*fad*")/SUMIFS(LogFY15!J:J,LogFY15!B:B,"=*fad*"),0)</f>
        <v>17</v>
      </c>
      <c r="G72" s="1">
        <v>104</v>
      </c>
      <c r="J72">
        <f>SUMIFS(LogFY16!D:D,LogFY16!B:B,"=*unclaimed*")</f>
        <v>15</v>
      </c>
      <c r="K72">
        <f>SUM(SUMIFS(LogFY16!D:D,LogFY16!B:B,"=*unclaimed*"),-1*SUMIFS(LogFY16!L:L,LogFY16!B:B,"=*unclaimed*"),-1*SUMIFS(LogFY16!N:N,LogFY16!B:B,"=*unclaimed*"))</f>
        <v>3</v>
      </c>
      <c r="L72" s="7">
        <f t="shared" si="111"/>
        <v>0.2</v>
      </c>
      <c r="M72" s="7">
        <f t="shared" si="112"/>
        <v>-2.2222222222222199E-2</v>
      </c>
      <c r="N72">
        <f>ROUND(SUMIFS(LogFY16!K:K,LogFY16!B:B,"=*unclaimed*")/SUMIFS(LogFY16!J:J,LogFY16!B:B,"=*unclaimed*"),0)</f>
        <v>7</v>
      </c>
      <c r="O72">
        <f t="shared" si="113"/>
        <v>-10</v>
      </c>
      <c r="P72" s="1">
        <v>23</v>
      </c>
      <c r="Q72" s="1">
        <f t="shared" si="114"/>
        <v>-81</v>
      </c>
      <c r="T72">
        <f>SUMIFS(LogFY17!D:D,LogFY17!B:B,"=*unclaimed*")</f>
        <v>5</v>
      </c>
      <c r="U72">
        <f>SUM(SUMIFS(LogFY17!D:D,LogFY17!B:B,"=*unclaimed*"),-1*SUMIFS(LogFY17!L:L,LogFY17!B:B,"=*unclaimed*"),-1*SUMIFS(LogFY17!N:N,LogFY17!B:B,"=*unclaimed*"))</f>
        <v>3</v>
      </c>
      <c r="V72" s="7">
        <f t="shared" si="84"/>
        <v>0.6</v>
      </c>
      <c r="W72" s="7">
        <f t="shared" si="85"/>
        <v>0.39999999999999997</v>
      </c>
      <c r="X72">
        <f>ROUND(SUMIFS(LogFY17!K:K,LogFY17!B:B,"=*unclaimed*")/SUMIFS(LogFY17!J:J,LogFY17!B:B,"=*unclaimed*"),0)</f>
        <v>31</v>
      </c>
      <c r="Y72">
        <f t="shared" si="86"/>
        <v>24</v>
      </c>
      <c r="Z72" s="1">
        <v>67</v>
      </c>
      <c r="AA72" s="1">
        <f t="shared" si="115"/>
        <v>44</v>
      </c>
      <c r="AD72">
        <f>SUMIFS(LogFY18!D:D,LogFY18!B:B,"=*unclaimed*")</f>
        <v>2</v>
      </c>
      <c r="AE72">
        <f>SUM(SUMIFS(LogFY18!D:D,LogFY18!B:B,"=*unclaimed*"),-1*SUMIFS(LogFY18!L:L,LogFY18!B:B,"=*unclaimed*"),-1*SUMIFS(LogFY18!N:N,LogFY18!B:B,"=*unclaimed*"))</f>
        <v>2</v>
      </c>
      <c r="AF72" s="7">
        <f t="shared" si="87"/>
        <v>1</v>
      </c>
      <c r="AG72" s="7">
        <f t="shared" si="88"/>
        <v>0.4</v>
      </c>
      <c r="AH72">
        <f>ROUND(SUMIFS(LogFY18!K:K,LogFY18!B:B,"=*unclaimed*")/SUMIFS(LogFY18!J:J,LogFY18!B:B,"=*unclaimed*"),0)</f>
        <v>8</v>
      </c>
      <c r="AI72">
        <f t="shared" si="89"/>
        <v>-23</v>
      </c>
      <c r="AJ72" s="1">
        <v>10</v>
      </c>
      <c r="AK72" s="1">
        <f t="shared" si="116"/>
        <v>-57</v>
      </c>
      <c r="AN72">
        <f>SUMIFS(LogFY19!D:D,LogFY19!B:B,"=*unclaimed*")</f>
        <v>13</v>
      </c>
      <c r="AO72">
        <f>SUM(SUMIFS(LogFY19!D:D,LogFY19!B:B,"=*unclaimed*"),-1*SUMIFS(LogFY19!L:L,LogFY19!B:B,"=*unclaimed*"),-1*SUMIFS(LogFY19!N:N,LogFY19!B:B,"=*unclaimed*"))</f>
        <v>9</v>
      </c>
      <c r="AP72" s="7">
        <f t="shared" si="91"/>
        <v>0.69230769230769229</v>
      </c>
      <c r="AQ72" s="7">
        <f t="shared" si="92"/>
        <v>-0.30769230769230771</v>
      </c>
      <c r="AR72">
        <f>ROUND(SUMIFS(LogFY19!K:K,LogFY19!B:B,"=*unclaimed*")/SUMIFS(LogFY19!J:J,LogFY19!B:B,"=*unclaimed*"),0)</f>
        <v>5</v>
      </c>
      <c r="AS72">
        <f t="shared" si="93"/>
        <v>-3</v>
      </c>
      <c r="AT72" s="1">
        <v>21</v>
      </c>
      <c r="AU72" s="1">
        <f t="shared" si="117"/>
        <v>11</v>
      </c>
      <c r="AX72">
        <f>SUMIFS(LogFY20!D:D,LogFY20!B:B,"=*unclaimed*")</f>
        <v>8</v>
      </c>
      <c r="AY72">
        <f>SUM(SUMIFS(LogFY20!D:D,LogFY20!B:B,"=*unclaimed*"),-1*SUMIFS(LogFY20!L:L,LogFY20!B:B,"=*unclaimed*"),-1*SUMIFS(LogFY20!N:N,LogFY20!B:B,"=*unclaimed*"))</f>
        <v>6</v>
      </c>
      <c r="AZ72" s="7">
        <f t="shared" si="95"/>
        <v>0.75</v>
      </c>
      <c r="BA72" s="7">
        <f t="shared" si="96"/>
        <v>5.7692307692307709E-2</v>
      </c>
      <c r="BB72">
        <f>ROUND(SUMIFS(LogFY20!K:K,LogFY20!B:B,"=*unclaimed*")/SUMIFS(LogFY20!J:J,LogFY20!B:B,"=*unclaimed*"),0)</f>
        <v>2</v>
      </c>
      <c r="BC72">
        <f t="shared" si="97"/>
        <v>-3</v>
      </c>
      <c r="BD72" s="1">
        <v>7</v>
      </c>
      <c r="BE72" s="1">
        <f t="shared" si="98"/>
        <v>-14</v>
      </c>
      <c r="BH72">
        <f>SUMIFS(LogFY21!D:D,LogFY21!B:B,"=*unclaimed*")</f>
        <v>11</v>
      </c>
      <c r="BI72">
        <f>SUM(SUMIFS(LogFY21!D:D,LogFY21!B:B,"=*unclaimed*"),-1*SUMIFS(LogFY21!L:L,LogFY21!B:B,"=*unclaimed*"),-1*SUMIFS(LogFY21!N:N,LogFY21!B:B,"=*unclaimed*"))</f>
        <v>8</v>
      </c>
      <c r="BJ72" s="7">
        <f t="shared" si="118"/>
        <v>0.72727272727272729</v>
      </c>
      <c r="BK72" s="7">
        <f t="shared" si="119"/>
        <v>-2.2727272727272707E-2</v>
      </c>
      <c r="BL72">
        <f>ROUND(SUMIFS(LogFY21!K:K,LogFY21!B:B,"=*unclaimed*")/SUMIFS(LogFY21!J:J,LogFY21!B:B,"=*unclaimed*"),0)</f>
        <v>2</v>
      </c>
      <c r="BM72">
        <f t="shared" si="120"/>
        <v>0</v>
      </c>
      <c r="BN72" s="1">
        <v>5</v>
      </c>
      <c r="BO72" s="1">
        <f t="shared" si="121"/>
        <v>-2</v>
      </c>
      <c r="BR72">
        <f>SUMIFS(LogFY22!D:D,LogFY22!B:B,"=*unclaimed*")</f>
        <v>15</v>
      </c>
      <c r="BS72">
        <f>SUM(SUMIFS(LogFY22!D:D,LogFY22!B:B,"=*unclaimed*"),-1*SUMIFS(LogFY22!L:L,LogFY22!B:B,"=*unclaimed*"),-1*SUMIFS(LogFY22!N:N,LogFY22!B:B,"=*unclaimed*"))</f>
        <v>11</v>
      </c>
      <c r="BT72" s="7">
        <f t="shared" si="103"/>
        <v>0.73333333333333328</v>
      </c>
      <c r="BU72" s="7">
        <f t="shared" si="104"/>
        <v>6.0606060606059886E-3</v>
      </c>
      <c r="BV72">
        <f>ROUND(SUMIFS(LogFY22!K:K,LogFY22!B:B,"=*unclaimed*")/SUMIFS(LogFY22!J:J,LogFY22!B:B,"=*unclaimed*"),0)</f>
        <v>5</v>
      </c>
      <c r="BW72">
        <f t="shared" si="105"/>
        <v>3</v>
      </c>
      <c r="BX72" s="1">
        <v>18</v>
      </c>
      <c r="BY72" s="1">
        <f t="shared" si="106"/>
        <v>13</v>
      </c>
      <c r="CB72">
        <f>SUMIFS(LogFY23!D:D,LogFY23!B:B,"=*unclaimed*")</f>
        <v>14</v>
      </c>
      <c r="CC72">
        <f>SUM(SUMIFS(LogFY23!D:D,LogFY23!B:B,"=*unclaimed*"),-1*SUMIFS(LogFY23!L:L,LogFY23!B:B,"=*unclaimed*"),-1*SUMIFS(LogFY23!N:N,LogFY23!B:B,"=*unclaimed*"))</f>
        <v>10</v>
      </c>
      <c r="CD72" s="7">
        <f t="shared" si="122"/>
        <v>0.7142857142857143</v>
      </c>
      <c r="CE72" s="7">
        <f t="shared" si="123"/>
        <v>-1.904761904761898E-2</v>
      </c>
      <c r="CF72">
        <f>ROUND(SUMIFS(LogFY23!K:K,LogFY23!B:B,"=*unclaimed*")/SUMIFS(LogFY23!J:J,LogFY23!B:B,"=*unclaimed*"),0)</f>
        <v>10</v>
      </c>
      <c r="CG72">
        <f t="shared" si="124"/>
        <v>5</v>
      </c>
      <c r="CH72" s="1">
        <v>69</v>
      </c>
      <c r="CI72" s="1">
        <f t="shared" si="127"/>
        <v>51</v>
      </c>
      <c r="CK72" s="7"/>
      <c r="CL72">
        <f>SUMIFS(LogFY24!D:D,LogFY24!B:B,"=*unclaimed*")</f>
        <v>14</v>
      </c>
      <c r="CM72">
        <f>SUM(SUMIFS(LogFY24!D:D,LogFY24!B:B,"=*unclaimed*"),-1*SUMIFS(LogFY24!L:L,LogFY24!B:B,"=*unclaimed*"),-1*SUMIFS(LogFY24!N:N,LogFY24!B:B,"=*unclaimed*"))</f>
        <v>8</v>
      </c>
      <c r="CN72" s="7">
        <f t="shared" si="126"/>
        <v>0.5714285714285714</v>
      </c>
      <c r="CO72" s="7">
        <f t="shared" si="128"/>
        <v>-0.1428571428571429</v>
      </c>
      <c r="CP72">
        <f>ROUND(SUMIFS(LogFY24!K:K,LogFY24!B:B,"=*unclaimed*")/SUMIFS(LogFY24!J:J,LogFY24!B:B,"=*unclaimed*"),0)</f>
        <v>5</v>
      </c>
      <c r="CQ72">
        <f t="shared" si="129"/>
        <v>-5</v>
      </c>
      <c r="CR72" s="1">
        <v>10</v>
      </c>
      <c r="CS72" s="1">
        <f t="shared" si="110"/>
        <v>-59</v>
      </c>
    </row>
    <row r="73" spans="1:99" ht="16">
      <c r="A73" s="10">
        <f t="shared" si="130"/>
        <v>72</v>
      </c>
      <c r="B73" s="9" t="s">
        <v>17464</v>
      </c>
      <c r="C73">
        <f>SUMIFS(LogFY15!D:D,LogFY15!B:B,"=*employees retirement*")</f>
        <v>45</v>
      </c>
      <c r="D73">
        <f>SUM(SUMIFS(LogFY15!D:D,LogFY15!B:B,"=*employees retirement*"),-1*SUMIFS(LogFY15!L:L,LogFY15!B:B,"=*employees retirement*"),-1*SUMIFS(LogFY15!N:N,LogFY15!B:B,"=*employees retirement*"))</f>
        <v>5</v>
      </c>
      <c r="E73" s="7">
        <f t="shared" si="125"/>
        <v>0.1111111111111111</v>
      </c>
      <c r="F73">
        <f>ROUND(SUMIFS(LogFY15!K:K,LogFY15!B:B,"=*employees retirement*")/SUMIFS(LogFY15!J:J,LogFY15!B:B,"=*employees retirement*"),0)</f>
        <v>8</v>
      </c>
      <c r="G73" s="1">
        <v>70</v>
      </c>
      <c r="J73">
        <f>SUMIFS(LogFY16!D:D,LogFY16!B:B,"=*employees retirement*")</f>
        <v>67</v>
      </c>
      <c r="K73">
        <f>SUM(SUMIFS(LogFY16!D:D,LogFY16!B:B,"=*employees retirement*"),-1*SUMIFS(LogFY16!L:L,LogFY16!B:B,"=*employees retirement*"),-1*SUMIFS(LogFY16!N:N,LogFY16!B:B,"=*employees retirement*"))</f>
        <v>13</v>
      </c>
      <c r="L73" s="7">
        <f t="shared" si="111"/>
        <v>0.19402985074626866</v>
      </c>
      <c r="M73" s="7">
        <f t="shared" si="112"/>
        <v>8.2918739635157557E-2</v>
      </c>
      <c r="N73">
        <f>ROUND(SUMIFS(LogFY16!K:K,LogFY16!B:B,"=*employees retirement*")/SUMIFS(LogFY16!J:J,LogFY16!B:B,"=*employees retirement*"),0)</f>
        <v>7</v>
      </c>
      <c r="O73">
        <f t="shared" si="113"/>
        <v>-1</v>
      </c>
      <c r="P73" s="1">
        <v>51</v>
      </c>
      <c r="Q73" s="1">
        <f t="shared" si="114"/>
        <v>-19</v>
      </c>
      <c r="T73">
        <f>SUMIFS(LogFY17!D:D,LogFY17!B:B,"=*employees retirement*")</f>
        <v>63</v>
      </c>
      <c r="U73">
        <f>SUM(SUMIFS(LogFY17!D:D,LogFY17!B:B,"=*employees retirement*"),-1*SUMIFS(LogFY17!L:L,LogFY17!B:B,"=*employees retirement*"),-1*SUMIFS(LogFY17!N:N,LogFY17!B:B,"=*employees retirement*"))</f>
        <v>25</v>
      </c>
      <c r="V73" s="7">
        <f t="shared" si="84"/>
        <v>0.3968253968253968</v>
      </c>
      <c r="W73" s="7">
        <f t="shared" si="85"/>
        <v>0.20279554607912814</v>
      </c>
      <c r="X73">
        <f>ROUND(SUMIFS(LogFY17!K:K,LogFY17!B:B,"=*employees retirement*")/SUMIFS(LogFY17!J:J,LogFY17!B:B,"=*employees retirement*"),0)</f>
        <v>8</v>
      </c>
      <c r="Y73">
        <f t="shared" si="86"/>
        <v>1</v>
      </c>
      <c r="Z73" s="1">
        <v>25</v>
      </c>
      <c r="AA73" s="1">
        <f t="shared" si="115"/>
        <v>-26</v>
      </c>
      <c r="AD73">
        <f>SUMIFS(LogFY18!D:D,LogFY18!B:B,"=*employees retirement*")</f>
        <v>66</v>
      </c>
      <c r="AE73">
        <f>SUM(SUMIFS(LogFY18!D:D,LogFY18!B:B,"=*employees retirement*"),-1*SUMIFS(LogFY18!L:L,LogFY18!B:B,"=*employees retirement*"),-1*SUMIFS(LogFY18!N:N,LogFY18!B:B,"=*employees retirement*"))</f>
        <v>29</v>
      </c>
      <c r="AF73" s="7">
        <f t="shared" si="87"/>
        <v>0.43939393939393939</v>
      </c>
      <c r="AG73" s="7">
        <f t="shared" si="88"/>
        <v>4.2568542568542589E-2</v>
      </c>
      <c r="AH73">
        <f>ROUND(SUMIFS(LogFY18!K:K,LogFY18!B:B,"=*employees retirement*")/SUMIFS(LogFY18!J:J,LogFY18!B:B,"=*employees retirement*"),0)</f>
        <v>12</v>
      </c>
      <c r="AI73">
        <f t="shared" si="89"/>
        <v>4</v>
      </c>
      <c r="AJ73" s="1">
        <v>140</v>
      </c>
      <c r="AK73" s="1">
        <f t="shared" si="116"/>
        <v>115</v>
      </c>
      <c r="AN73">
        <f>SUMIFS(LogFY19!D:D,LogFY19!B:B,"=*employees retirement*")</f>
        <v>48</v>
      </c>
      <c r="AO73">
        <f>SUM(SUMIFS(LogFY19!D:D,LogFY19!B:B,"=*employees retirement*"),-1*SUMIFS(LogFY19!L:L,LogFY19!B:B,"=*employees retirement*"),-1*SUMIFS(LogFY19!N:N,LogFY19!B:B,"=*employees retirement*"))</f>
        <v>11</v>
      </c>
      <c r="AP73" s="7">
        <f t="shared" si="91"/>
        <v>0.22916666666666666</v>
      </c>
      <c r="AQ73" s="7">
        <f t="shared" si="92"/>
        <v>-0.21022727272727273</v>
      </c>
      <c r="AR73">
        <f>ROUND(SUMIFS(LogFY19!K:K,LogFY19!B:B,"=*employees retirement*")/SUMIFS(LogFY19!J:J,LogFY19!B:B,"=*employees retirement*"),0)</f>
        <v>10</v>
      </c>
      <c r="AS73">
        <f t="shared" si="93"/>
        <v>-2</v>
      </c>
      <c r="AT73" s="1">
        <v>39</v>
      </c>
      <c r="AU73" s="1">
        <f t="shared" si="117"/>
        <v>-101</v>
      </c>
      <c r="AX73">
        <f>SUMIFS(LogFY20!D:D,LogFY20!B:B,"=*employees retirement*")</f>
        <v>16</v>
      </c>
      <c r="AY73">
        <f>SUM(SUMIFS(LogFY20!D:D,LogFY20!B:B,"=*employees retirement*"),-1*SUMIFS(LogFY20!L:L,LogFY20!B:B,"=*employees retirement*"),-1*SUMIFS(LogFY20!N:N,LogFY20!B:B,"=*employees retirement*"))</f>
        <v>7</v>
      </c>
      <c r="AZ73" s="7">
        <f t="shared" si="95"/>
        <v>0.4375</v>
      </c>
      <c r="BA73" s="7">
        <f t="shared" si="96"/>
        <v>0.20833333333333334</v>
      </c>
      <c r="BB73">
        <f>ROUND(SUMIFS(LogFY20!K:K,LogFY20!B:B,"=*employees retirement*")/SUMIFS(LogFY20!J:J,LogFY20!B:B,"=*employees retirement*"),0)</f>
        <v>12</v>
      </c>
      <c r="BC73">
        <f t="shared" si="97"/>
        <v>2</v>
      </c>
      <c r="BD73" s="1">
        <v>39</v>
      </c>
      <c r="BE73" s="1">
        <f t="shared" si="98"/>
        <v>0</v>
      </c>
      <c r="BH73">
        <f>SUMIFS(LogFY21!D:D,LogFY21!B:B,"=*employees retirement*")</f>
        <v>31</v>
      </c>
      <c r="BI73">
        <f>SUM(SUMIFS(LogFY21!D:D,LogFY21!B:B,"=*employees retirement*"),-1*SUMIFS(LogFY21!L:L,LogFY21!B:B,"=*employees retirement*"),-1*SUMIFS(LogFY21!N:N,LogFY21!B:B,"=*employees retirement*"))</f>
        <v>11</v>
      </c>
      <c r="BJ73" s="7">
        <f t="shared" si="118"/>
        <v>0.35483870967741937</v>
      </c>
      <c r="BK73" s="7">
        <f t="shared" si="119"/>
        <v>-8.2661290322580627E-2</v>
      </c>
      <c r="BL73">
        <f>ROUND(SUMIFS(LogFY21!K:K,LogFY21!B:B,"=*employees retirement*")/SUMIFS(LogFY21!J:J,LogFY21!B:B,"=*employees retirement*"),0)</f>
        <v>20</v>
      </c>
      <c r="BM73">
        <f t="shared" si="120"/>
        <v>8</v>
      </c>
      <c r="BN73" s="1">
        <v>56</v>
      </c>
      <c r="BO73" s="1">
        <f t="shared" si="121"/>
        <v>17</v>
      </c>
      <c r="BR73">
        <f>SUMIFS(LogFY22!D:D,LogFY22!B:B,"=*employees retirement*")</f>
        <v>26</v>
      </c>
      <c r="BS73">
        <f>SUM(SUMIFS(LogFY22!D:D,LogFY22!B:B,"=*employees retirement*"),-1*SUMIFS(LogFY22!L:L,LogFY22!B:B,"=*employees retirement*"),-1*SUMIFS(LogFY22!N:N,LogFY22!B:B,"=*employees retirement*"))</f>
        <v>10</v>
      </c>
      <c r="BT73" s="7">
        <f t="shared" si="103"/>
        <v>0.38461538461538464</v>
      </c>
      <c r="BU73" s="7">
        <f t="shared" si="104"/>
        <v>2.9776674937965264E-2</v>
      </c>
      <c r="BV73">
        <f>ROUND(SUMIFS(LogFY22!K:K,LogFY22!B:B,"=*employees retirement*")/SUMIFS(LogFY22!J:J,LogFY22!B:B,"=*employees retirement*"),0)</f>
        <v>22</v>
      </c>
      <c r="BW73">
        <f t="shared" si="105"/>
        <v>2</v>
      </c>
      <c r="BX73" s="1">
        <v>44</v>
      </c>
      <c r="BY73" s="1">
        <f t="shared" si="106"/>
        <v>-12</v>
      </c>
      <c r="CB73">
        <f>SUMIFS(LogFY23!D:D,LogFY23!B:B,"=*employees retirement*")</f>
        <v>46</v>
      </c>
      <c r="CC73">
        <f>SUM(SUMIFS(LogFY23!D:D,LogFY23!B:B,"=*employees retirement*"),-1*SUMIFS(LogFY23!L:L,LogFY23!B:B,"=*employees retirement*"),-1*SUMIFS(LogFY23!N:N,LogFY23!B:B,"=*employees retirement*"))</f>
        <v>14</v>
      </c>
      <c r="CD73" s="7">
        <f t="shared" si="122"/>
        <v>0.30434782608695654</v>
      </c>
      <c r="CE73" s="7">
        <f t="shared" si="123"/>
        <v>-8.0267558528428096E-2</v>
      </c>
      <c r="CF73">
        <f>ROUND(SUMIFS(LogFY23!K:K,LogFY23!B:B,"=*employees retirement*")/SUMIFS(LogFY23!J:J,LogFY23!B:B,"=*employees retirement*"),0)</f>
        <v>6</v>
      </c>
      <c r="CG73">
        <f t="shared" si="124"/>
        <v>-16</v>
      </c>
      <c r="CH73" s="1">
        <v>22</v>
      </c>
      <c r="CI73" s="1">
        <f t="shared" si="127"/>
        <v>-22</v>
      </c>
      <c r="CK73" s="7"/>
      <c r="CL73">
        <f>SUMIFS(LogFY24!D:D,LogFY24!B:B,"=*employees retirement*")</f>
        <v>52</v>
      </c>
      <c r="CM73">
        <f>SUM(SUMIFS(LogFY24!D:D,LogFY24!B:B,"=*employees retirement*"),-1*SUMIFS(LogFY24!L:L,LogFY24!B:B,"=*employees retirement*"),-1*SUMIFS(LogFY24!N:N,LogFY24!B:B,"=*employees retirement*"))</f>
        <v>18</v>
      </c>
      <c r="CN73" s="7">
        <f t="shared" si="126"/>
        <v>0.34615384615384615</v>
      </c>
      <c r="CO73" s="7">
        <f t="shared" si="128"/>
        <v>4.1806020066889604E-2</v>
      </c>
      <c r="CP73">
        <f>ROUND(SUMIFS(LogFY24!K:K,LogFY24!B:B,"=*employees retirement*")/SUMIFS(LogFY24!J:J,LogFY24!B:B,"=*employees retirement*"),0)</f>
        <v>8</v>
      </c>
      <c r="CQ73">
        <f t="shared" si="129"/>
        <v>2</v>
      </c>
      <c r="CR73" s="1">
        <v>47</v>
      </c>
      <c r="CS73" s="1">
        <f t="shared" si="110"/>
        <v>25</v>
      </c>
    </row>
    <row r="74" spans="1:99" ht="16">
      <c r="A74" s="10">
        <f t="shared" si="130"/>
        <v>73</v>
      </c>
      <c r="B74" s="9" t="s">
        <v>17465</v>
      </c>
      <c r="C74">
        <f>SUMIFS(LogFY15!D:D,LogFY15!B:B,"=*trust fund*")</f>
        <v>6</v>
      </c>
      <c r="D74">
        <f>SUM(SUMIFS(LogFY15!D:D,LogFY15!B:B,"=*trust fund*"),-1*SUMIFS(LogFY15!L:L,LogFY15!B:B,"=*trust fund*"),-1*SUMIFS(LogFY15!N:N,LogFY15!B:B,"=*trust fund*"))</f>
        <v>0</v>
      </c>
      <c r="E74" s="7">
        <f t="shared" si="125"/>
        <v>0</v>
      </c>
      <c r="F74">
        <f>ROUND(SUMIFS(LogFY15!K:K,LogFY15!B:B,"=*trust fund*")/SUMIFS(LogFY15!J:J,LogFY15!B:B,"=*trust fund*"),0)</f>
        <v>16</v>
      </c>
      <c r="G74" s="1">
        <v>37</v>
      </c>
      <c r="J74">
        <f>SUMIFS(LogFY16!D:D,LogFY16!B:B,"=*trust fund*")</f>
        <v>4</v>
      </c>
      <c r="K74">
        <f>SUM(SUMIFS(LogFY16!D:D,LogFY16!B:B,"=*trust fund*"),-1*SUMIFS(LogFY16!L:L,LogFY16!B:B,"=*trust fund*"),-1*SUMIFS(LogFY16!N:N,LogFY16!B:B,"=*trust fund*"))</f>
        <v>1</v>
      </c>
      <c r="L74" s="7">
        <f t="shared" si="111"/>
        <v>0.25</v>
      </c>
      <c r="M74" s="7">
        <f t="shared" si="112"/>
        <v>0.25</v>
      </c>
      <c r="N74">
        <f>ROUND(SUMIFS(LogFY16!K:K,LogFY16!B:B,"=*trust fund*")/SUMIFS(LogFY16!J:J,LogFY16!B:B,"=*trust fund*"),0)</f>
        <v>24</v>
      </c>
      <c r="O74">
        <f t="shared" si="113"/>
        <v>8</v>
      </c>
      <c r="P74" s="1">
        <v>28</v>
      </c>
      <c r="Q74" s="1">
        <f t="shared" si="114"/>
        <v>-9</v>
      </c>
      <c r="T74">
        <f>SUMIFS(LogFY17!D:D,LogFY17!B:B,"=*trust fund*")</f>
        <v>8</v>
      </c>
      <c r="U74">
        <f>SUM(SUMIFS(LogFY17!D:D,LogFY17!B:B,"=*trust fund*"),-1*SUMIFS(LogFY17!L:L,LogFY17!B:B,"=*trust fund*"),-1*SUMIFS(LogFY17!N:N,LogFY17!B:B,"=*trust fund*"))</f>
        <v>2</v>
      </c>
      <c r="V74" s="7">
        <f t="shared" si="84"/>
        <v>0.25</v>
      </c>
      <c r="W74" s="7">
        <f t="shared" si="85"/>
        <v>0</v>
      </c>
      <c r="X74">
        <f>ROUND(SUMIFS(LogFY17!K:K,LogFY17!B:B,"=*trust fund*")/SUMIFS(LogFY17!J:J,LogFY17!B:B,"=*trust fund*"),0)</f>
        <v>56</v>
      </c>
      <c r="Y74">
        <f t="shared" si="86"/>
        <v>32</v>
      </c>
      <c r="Z74" s="1">
        <v>112</v>
      </c>
      <c r="AA74" s="1">
        <f t="shared" si="115"/>
        <v>84</v>
      </c>
      <c r="AD74">
        <f>SUMIFS(LogFY18!D:D,LogFY18!B:B,"=*trust fund*")</f>
        <v>13</v>
      </c>
      <c r="AE74">
        <f>SUM(SUMIFS(LogFY18!D:D,LogFY18!B:B,"=*trust fund*"),-1*SUMIFS(LogFY18!L:L,LogFY18!B:B,"=*trust fund*"),-1*SUMIFS(LogFY18!N:N,LogFY18!B:B,"=*trust fund*"))</f>
        <v>8</v>
      </c>
      <c r="AF74" s="7">
        <f t="shared" si="87"/>
        <v>0.61538461538461542</v>
      </c>
      <c r="AG74" s="7">
        <f t="shared" si="88"/>
        <v>0.36538461538461542</v>
      </c>
      <c r="AH74">
        <f>ROUND(SUMIFS(LogFY18!K:K,LogFY18!B:B,"=*trust fund*")/SUMIFS(LogFY18!J:J,LogFY18!B:B,"=*trust fund*"),0)</f>
        <v>26</v>
      </c>
      <c r="AI74">
        <f t="shared" si="89"/>
        <v>-30</v>
      </c>
      <c r="AJ74" s="1">
        <v>36</v>
      </c>
      <c r="AK74" s="1">
        <f t="shared" si="116"/>
        <v>-76</v>
      </c>
      <c r="AN74">
        <f>SUMIFS(LogFY19!D:D,LogFY19!B:B,"=*trust fund*")</f>
        <v>8</v>
      </c>
      <c r="AO74">
        <f>SUM(SUMIFS(LogFY19!D:D,LogFY19!B:B,"=*trust fund*"),-1*SUMIFS(LogFY19!L:L,LogFY19!B:B,"=*trust fund*"),-1*SUMIFS(LogFY19!N:N,LogFY19!B:B,"=*trust fund*"))</f>
        <v>1</v>
      </c>
      <c r="AP74" s="7">
        <f t="shared" si="91"/>
        <v>0.125</v>
      </c>
      <c r="AQ74" s="7">
        <f t="shared" si="92"/>
        <v>-0.49038461538461542</v>
      </c>
      <c r="AR74">
        <f>ROUND(SUMIFS(LogFY19!K:K,LogFY19!B:B,"=*trust fund*")/SUMIFS(LogFY19!J:J,LogFY19!B:B,"=*trust fund*"),0)</f>
        <v>17</v>
      </c>
      <c r="AS74">
        <f t="shared" si="93"/>
        <v>-9</v>
      </c>
      <c r="AT74" s="1">
        <v>77</v>
      </c>
      <c r="AU74" s="1">
        <f t="shared" si="117"/>
        <v>41</v>
      </c>
      <c r="AX74">
        <f>SUMIFS(LogFY20!D:D,LogFY20!B:B,"=*trust fund*")</f>
        <v>6</v>
      </c>
      <c r="AY74">
        <f>SUM(SUMIFS(LogFY20!D:D,LogFY20!B:B,"=*trust fund*"),-1*SUMIFS(LogFY20!L:L,LogFY20!B:B,"=*trust fund*"),-1*SUMIFS(LogFY20!N:N,LogFY20!B:B,"=*trust fund*"))</f>
        <v>1</v>
      </c>
      <c r="AZ74" s="7">
        <f t="shared" si="95"/>
        <v>0.16666666666666666</v>
      </c>
      <c r="BA74" s="7">
        <f t="shared" si="96"/>
        <v>4.1666666666666657E-2</v>
      </c>
      <c r="BB74">
        <f>ROUND(SUMIFS(LogFY20!K:K,LogFY20!B:B,"=*trust fund*")/SUMIFS(LogFY20!J:J,LogFY20!B:B,"=*trust fund*"),0)</f>
        <v>175</v>
      </c>
      <c r="BC74">
        <f t="shared" si="97"/>
        <v>158</v>
      </c>
      <c r="BD74" s="1">
        <v>510</v>
      </c>
      <c r="BE74" s="1">
        <f t="shared" si="98"/>
        <v>433</v>
      </c>
      <c r="BH74">
        <f>SUMIFS(LogFY21!D:D,LogFY21!B:B,"=*trust fund*")</f>
        <v>11</v>
      </c>
      <c r="BI74">
        <f>SUM(SUMIFS(LogFY21!D:D,LogFY21!B:B,"=*trust fund*"),-1*SUMIFS(LogFY21!L:L,LogFY21!B:B,"=*trust fund*"),-1*SUMIFS(LogFY21!N:N,LogFY21!B:B,"=*trust fund*"))</f>
        <v>4</v>
      </c>
      <c r="BJ74" s="7">
        <f t="shared" si="118"/>
        <v>0.36363636363636365</v>
      </c>
      <c r="BK74" s="7">
        <f t="shared" si="119"/>
        <v>0.19696969696969699</v>
      </c>
      <c r="BL74">
        <f>ROUND(SUMIFS(LogFY21!K:K,LogFY21!B:B,"=*trust fund*")/SUMIFS(LogFY21!J:J,LogFY21!B:B,"=*trust fund*"),0)</f>
        <v>15</v>
      </c>
      <c r="BM74">
        <f t="shared" si="120"/>
        <v>-160</v>
      </c>
      <c r="BN74" s="1">
        <v>67</v>
      </c>
      <c r="BO74" s="1">
        <f t="shared" si="121"/>
        <v>-443</v>
      </c>
      <c r="BR74">
        <f>SUMIFS(LogFY22!D:D,LogFY22!B:B,"=*trust fund*")</f>
        <v>18</v>
      </c>
      <c r="BS74">
        <f>SUM(SUMIFS(LogFY22!D:D,LogFY22!B:B,"=*trust fund*"),-1*SUMIFS(LogFY22!L:L,LogFY22!B:B,"=*trust fund*"),-1*SUMIFS(LogFY22!N:N,LogFY22!B:B,"=*trust fund*"))</f>
        <v>3</v>
      </c>
      <c r="BT74" s="7">
        <f t="shared" si="103"/>
        <v>0.16666666666666666</v>
      </c>
      <c r="BU74" s="7">
        <f t="shared" si="104"/>
        <v>-0.19696969696969699</v>
      </c>
      <c r="BV74">
        <f>ROUND(SUMIFS(LogFY22!K:K,LogFY22!B:B,"=*trust fund*")/SUMIFS(LogFY22!J:J,LogFY22!B:B,"=*trust fund*"),0)</f>
        <v>3</v>
      </c>
      <c r="BW74">
        <f t="shared" si="105"/>
        <v>-12</v>
      </c>
      <c r="BX74" s="1">
        <v>10</v>
      </c>
      <c r="BY74" s="1">
        <f t="shared" si="106"/>
        <v>-57</v>
      </c>
      <c r="CB74">
        <f>SUMIFS(LogFY23!D:D,LogFY23!B:B,"=*trust fund*")</f>
        <v>7</v>
      </c>
      <c r="CC74">
        <f>SUM(SUMIFS(LogFY23!D:D,LogFY23!B:B,"=*trust fund*"),-1*SUMIFS(LogFY23!L:L,LogFY23!B:B,"=*trust fund*"),-1*SUMIFS(LogFY23!N:N,LogFY23!B:B,"=*trust fund*"))</f>
        <v>1</v>
      </c>
      <c r="CD74" s="7">
        <f t="shared" si="122"/>
        <v>0.14285714285714285</v>
      </c>
      <c r="CE74" s="7">
        <f t="shared" si="123"/>
        <v>-2.3809523809523808E-2</v>
      </c>
      <c r="CF74">
        <f>ROUND(SUMIFS(LogFY23!K:K,LogFY23!B:B,"=*trust fund*")/SUMIFS(LogFY23!J:J,LogFY23!B:B,"=*trust fund*"),0)</f>
        <v>8</v>
      </c>
      <c r="CG74">
        <f t="shared" si="124"/>
        <v>5</v>
      </c>
      <c r="CH74" s="1">
        <v>21</v>
      </c>
      <c r="CI74" s="1">
        <f t="shared" si="127"/>
        <v>11</v>
      </c>
      <c r="CK74" s="7"/>
      <c r="CL74">
        <f>SUMIFS(LogFY24!D:D,LogFY24!B:B,"=*trust fund*")</f>
        <v>23</v>
      </c>
      <c r="CM74">
        <f>SUM(SUMIFS(LogFY24!D:D,LogFY24!B:B,"=*trust fund*"),-1*SUMIFS(LogFY24!L:L,LogFY24!B:B,"=*trust fund*"),-1*SUMIFS(LogFY24!N:N,LogFY24!B:B,"=*trust fund*"))</f>
        <v>3</v>
      </c>
      <c r="CN74" s="7">
        <f t="shared" si="126"/>
        <v>0.13043478260869565</v>
      </c>
      <c r="CO74" s="7">
        <f t="shared" si="128"/>
        <v>-1.2422360248447201E-2</v>
      </c>
      <c r="CP74">
        <f>ROUND(SUMIFS(LogFY24!K:K,LogFY24!B:B,"=*trust fund*")/SUMIFS(LogFY24!J:J,LogFY24!B:B,"=*trust fund*"),0)</f>
        <v>10</v>
      </c>
      <c r="CQ74">
        <f t="shared" si="129"/>
        <v>2</v>
      </c>
      <c r="CR74" s="1">
        <v>21</v>
      </c>
      <c r="CS74" s="1">
        <f t="shared" si="110"/>
        <v>0</v>
      </c>
    </row>
    <row r="75" spans="1:99" ht="48">
      <c r="A75" s="10">
        <f t="shared" si="130"/>
        <v>74</v>
      </c>
      <c r="B75" s="1" t="s">
        <v>17244</v>
      </c>
      <c r="C75">
        <f>SUMIFS(LogFY15!D:D,LogFY15!A:A,"=*tourism*")</f>
        <v>15</v>
      </c>
      <c r="D75">
        <f>SUM(SUMIFS(LogFY15!D:D,LogFY15!A:A,"=*tourism*"),-1*SUMIFS(LogFY15!L:L,LogFY15!A:A,"=*tourism*"),-1*SUMIFS(LogFY15!N:N,LogFY15!A:A,"=*tourism*"))</f>
        <v>2</v>
      </c>
      <c r="E75" s="7">
        <f t="shared" si="125"/>
        <v>0.13333333333333333</v>
      </c>
      <c r="F75">
        <f>ROUND(SUMIFS(LogFY15!K:K,LogFY15!A:A,"=*tourism*")/SUMIFS(LogFY15!J:J,LogFY15!A:A,"=*tourism*"),0)</f>
        <v>16</v>
      </c>
      <c r="G75" s="1">
        <v>59</v>
      </c>
      <c r="H75">
        <f>COUNTIFS(All!F:F,"=DBEDT*", All!B:B, "&gt;=7/1/2014", All!B:B,"&lt;=6/30/2015", All!E:E,"=U*",All!E:E,"&lt;&gt;UIPA*",All!E:E,"&lt;&gt;*RFO*",All!E:E,"&lt;&gt;*TRNG*")</f>
        <v>2</v>
      </c>
      <c r="I75" s="7">
        <f>ROUND(H75/C75,3)</f>
        <v>0.13300000000000001</v>
      </c>
      <c r="J75">
        <f>SUMIFS(LogFY16!D:D,LogFY16!A:A,"=*tourism*")</f>
        <v>24</v>
      </c>
      <c r="K75">
        <f>SUM(SUMIFS(LogFY16!D:D,LogFY16!A:A,"=*tourism*"),-1*SUMIFS(LogFY16!L:L,LogFY16!A:A,"=*tourism*"),-1*SUMIFS(LogFY16!N:N,LogFY16!A:A,"=*tourism*"))</f>
        <v>2</v>
      </c>
      <c r="L75" s="7">
        <f t="shared" si="111"/>
        <v>8.3333333333333329E-2</v>
      </c>
      <c r="M75" s="7">
        <f t="shared" si="112"/>
        <v>-0.05</v>
      </c>
      <c r="N75">
        <f>ROUND(SUMIFS(LogFY16!K:K,LogFY16!A:A,"=*tourism*")/SUMIFS(LogFY16!J:J,LogFY16!A:A,"=*tourism*"),0)</f>
        <v>7</v>
      </c>
      <c r="O75">
        <f t="shared" si="113"/>
        <v>-9</v>
      </c>
      <c r="P75" s="1">
        <v>25</v>
      </c>
      <c r="Q75" s="1">
        <f t="shared" si="114"/>
        <v>-34</v>
      </c>
      <c r="R75">
        <f>COUNTIFS(All!F:F,"=DBEDT*", All!B:B, "&gt;=7/1/2015", All!B:B,"&lt;=6/30/2016", All!E:E,"=U*",All!E:E,"&lt;&gt;UIPA*",All!E:E,"&lt;&gt;*RFO*",All!E:E,"&lt;&gt;*TRNG*")</f>
        <v>1</v>
      </c>
      <c r="S75" s="7">
        <f>ROUND(R75/(J75+C75),3)</f>
        <v>2.5999999999999999E-2</v>
      </c>
      <c r="T75">
        <f>SUMIFS(LogFY17!D:D,LogFY17!A:A,"=*tourism*")</f>
        <v>80</v>
      </c>
      <c r="U75">
        <f>SUM(SUMIFS(LogFY17!D:D,LogFY17!A:A,"=*tourism*"),-1*SUMIFS(LogFY17!L:L,LogFY17!A:A,"=*tourism*"),-1*SUMIFS(LogFY17!N:N,LogFY17!A:A,"=*tourism*"))</f>
        <v>6</v>
      </c>
      <c r="V75" s="7">
        <f t="shared" si="84"/>
        <v>7.4999999999999997E-2</v>
      </c>
      <c r="W75" s="7">
        <f t="shared" si="85"/>
        <v>-8.3333333333333315E-3</v>
      </c>
      <c r="X75">
        <f>ROUND(SUMIFS(LogFY17!K:K,LogFY17!A:A,"=*tourism*")/SUMIFS(LogFY17!J:J,LogFY17!A:A,"=*tourism*"),0)</f>
        <v>8</v>
      </c>
      <c r="Y75">
        <f t="shared" si="86"/>
        <v>1</v>
      </c>
      <c r="Z75" s="1">
        <v>62</v>
      </c>
      <c r="AA75" s="1">
        <f t="shared" si="115"/>
        <v>37</v>
      </c>
      <c r="AB75">
        <f>COUNTIFS(All!F:F,"=DBEDT*", All!B:B, "&gt;=7/1/2016", All!B:B,"&lt;=6/30/2017", All!E:E,"=U*",All!E:E,"&lt;&gt;UIPA*",All!E:E,"&lt;&gt;*RFO*",All!E:E,"&lt;&gt;*TRNG*")</f>
        <v>4</v>
      </c>
      <c r="AC75" s="7">
        <f>ROUND(AB75/(T75+J75),3)</f>
        <v>3.7999999999999999E-2</v>
      </c>
      <c r="AD75">
        <f>SUMIFS(LogFY18!D:D,LogFY18!A:A,"=*tourism*")</f>
        <v>103</v>
      </c>
      <c r="AE75">
        <f>SUM(SUMIFS(LogFY18!D:D,LogFY18!A:A,"=*tourism*"),-1*SUMIFS(LogFY18!L:L,LogFY18!A:A,"=*tourism*"),-1*SUMIFS(LogFY18!N:N,LogFY18!A:A,"=*tourism*"))</f>
        <v>16</v>
      </c>
      <c r="AF75" s="7">
        <f t="shared" si="87"/>
        <v>0.1553398058252427</v>
      </c>
      <c r="AG75" s="7">
        <f t="shared" si="88"/>
        <v>8.0339805825242708E-2</v>
      </c>
      <c r="AH75">
        <f>ROUND(SUMIFS(LogFY18!K:K,LogFY18!A:A,"=*tourism*")/SUMIFS(LogFY18!J:J,LogFY18!A:A,"=*tourism*"),0)</f>
        <v>5</v>
      </c>
      <c r="AI75">
        <f t="shared" si="89"/>
        <v>-3</v>
      </c>
      <c r="AJ75" s="1">
        <v>35</v>
      </c>
      <c r="AK75" s="1">
        <f t="shared" si="116"/>
        <v>-27</v>
      </c>
      <c r="AL75">
        <f>SUM(COUNTIFS(All!F:F,"=DBEDT*", All!B:B, "&gt;=7/1/2017", All!B:B,"&lt;=6/30/2018", All!E:E,"=U*",All!E:E,"&lt;&gt;UIPA*",All!E:E,"&lt;&gt;*RFO*",All!E:E,"&lt;&gt;*TRNG*"),COUNTIFS(All!F:F,"=HTA*", All!B:B, "&gt;=7/1/2017", All!B:B,"&lt;=6/30/2018", All!E:E,"=U*",All!E:E,"&lt;&gt;UIPA*",All!E:E,"&lt;&gt;*RFO*",All!E:E,"&lt;&gt;*TRNG*"))</f>
        <v>0</v>
      </c>
      <c r="AM75" s="7">
        <f>ROUND(AL75/(AD75+T75),3)</f>
        <v>0</v>
      </c>
      <c r="AN75">
        <f>SUMIFS(LogFY19!D:D,LogFY19!A:A,"=*tourism*")</f>
        <v>61</v>
      </c>
      <c r="AO75">
        <f>SUM(SUMIFS(LogFY19!D:D,LogFY19!A:A,"=*tourism*"),-1*SUMIFS(LogFY19!L:L,LogFY19!A:A,"=*tourism*"),-1*SUMIFS(LogFY19!N:N,LogFY19!A:A,"=*tourism*"))</f>
        <v>9</v>
      </c>
      <c r="AP75" s="7">
        <f t="shared" si="91"/>
        <v>0.14754098360655737</v>
      </c>
      <c r="AQ75" s="7">
        <f t="shared" si="92"/>
        <v>-7.7988222186853307E-3</v>
      </c>
      <c r="AR75">
        <f>ROUND(SUMIFS(LogFY19!K:K,LogFY19!A:A,"=*tourism*")/SUMIFS(LogFY19!J:J,LogFY19!A:A,"=*tourism*"),0)</f>
        <v>4</v>
      </c>
      <c r="AS75">
        <f t="shared" si="93"/>
        <v>-1</v>
      </c>
      <c r="AT75" s="1">
        <v>20</v>
      </c>
      <c r="AU75" s="1">
        <f t="shared" si="117"/>
        <v>-15</v>
      </c>
      <c r="AV75">
        <f>SUM(COUNTIFS(All!F:F,"=DBEDT*", All!B:B, "&gt;=7/1/2018", All!B:B,"&lt;=6/30/2019", All!E:E,"=U*",All!E:E,"&lt;&gt;UIPA*",All!E:E,"&lt;&gt;*RFO*",All!E:E,"&lt;&gt;*TRNG*"),COUNTIFS(All!F:F,"=HTA*", All!B:B, "&gt;=7/1/2018", All!B:B,"&lt;=6/30/2019", All!E:E,"=U*",All!E:E,"&lt;&gt;UIPA*",All!E:E,"&lt;&gt;*RFO*",All!E:E,"&lt;&gt;*TRNG*"))</f>
        <v>0</v>
      </c>
      <c r="AW75" s="7">
        <f>ROUND(AV75/(AN75+AD75),3)</f>
        <v>0</v>
      </c>
      <c r="AX75">
        <f>SUMIFS(LogFY20!D:D,LogFY20!A:A,"=*tourism*")</f>
        <v>37</v>
      </c>
      <c r="AY75">
        <f>SUM(SUMIFS(LogFY20!D:D,LogFY20!A:A,"=*tourism*"),-1*SUMIFS(LogFY20!L:L,LogFY20!A:A,"=*tourism*"),-1*SUMIFS(LogFY20!N:N,LogFY20!A:A,"=*tourism*"))</f>
        <v>1</v>
      </c>
      <c r="AZ75" s="7">
        <f t="shared" si="95"/>
        <v>2.7027027027027029E-2</v>
      </c>
      <c r="BA75" s="7">
        <f t="shared" si="96"/>
        <v>-0.12051395657953035</v>
      </c>
      <c r="BB75">
        <f>ROUND(SUMIFS(LogFY20!K:K,LogFY20!A:A,"=*tourism*")/SUMIFS(LogFY20!J:J,LogFY20!A:A,"=*tourism*"),0)</f>
        <v>6</v>
      </c>
      <c r="BC75">
        <f t="shared" si="97"/>
        <v>2</v>
      </c>
      <c r="BD75" s="1">
        <v>123</v>
      </c>
      <c r="BE75" s="1">
        <f t="shared" si="98"/>
        <v>103</v>
      </c>
      <c r="BF75">
        <f>SUM(COUNTIFS(All!F:F,"=DBEDT*", All!B:B, "&gt;=7/1/2019", All!B:B,"&lt;=6/30/2020", All!E:E,"=U*",All!E:E,"&lt;&gt;UIPA*",All!E:E,"&lt;&gt;*RFO*",All!E:E,"&lt;&gt;*TRNG*"),COUNTIFS(All!F:F,"=HTA*", All!B:B, "&gt;=7/1/2019", All!B:B,"&lt;=6/30/2020", All!E:E,"=U*",All!E:E,"&lt;&gt;UIPA*",All!E:E,"&lt;&gt;*RFO*",All!E:E,"&lt;&gt;*TRNG*"))</f>
        <v>0</v>
      </c>
      <c r="BG75" s="7">
        <f>ROUND(BF75/(AX75+AN75),3)</f>
        <v>0</v>
      </c>
      <c r="BH75">
        <f>SUMIFS(LogFY21!D:D,LogFY21!A:A,"=*tourism*")</f>
        <v>50</v>
      </c>
      <c r="BI75">
        <f>SUM(SUMIFS(LogFY21!D:D,LogFY21!A:A,"=*tourism*"),-1*SUMIFS(LogFY21!L:L,LogFY21!A:A,"=*tourism*"),-1*SUMIFS(LogFY21!N:N,LogFY21!A:A,"=*tourism*"))</f>
        <v>5</v>
      </c>
      <c r="BJ75" s="7">
        <f t="shared" si="118"/>
        <v>0.1</v>
      </c>
      <c r="BK75" s="7">
        <f t="shared" si="119"/>
        <v>7.2972972972972977E-2</v>
      </c>
      <c r="BL75">
        <f>ROUND(SUMIFS(LogFY21!K:K,LogFY21!A:A,"=*tourism*")/SUMIFS(LogFY21!J:J,LogFY21!A:A,"=*tourism*"),0)</f>
        <v>7</v>
      </c>
      <c r="BM75">
        <f t="shared" si="120"/>
        <v>1</v>
      </c>
      <c r="BN75" s="1">
        <v>139</v>
      </c>
      <c r="BO75" s="1">
        <f t="shared" si="121"/>
        <v>16</v>
      </c>
      <c r="BP75">
        <f>SUM(COUNTIFS(All!F:F,"=DBEDT*", All!B:B, "&gt;=7/1/2020", All!B:B,"&lt;=6/30/2021", All!E:E,"=U*",All!E:E,"&lt;&gt;UIPA*",All!E:E,"&lt;&gt;*RFO*",All!E:E,"&lt;&gt;*TRNG*"),COUNTIFS(All!F:F,"=HTA*", All!B:B, "&gt;=7/1/2020", All!B:B,"&lt;=6/30/2021", All!E:E,"=U*",All!E:E,"&lt;&gt;UIPA*",All!E:E,"&lt;&gt;*RFO*",All!E:E,"&lt;&gt;*TRNG*"))</f>
        <v>1</v>
      </c>
      <c r="BQ75" s="7">
        <f>ROUND(BP75/(BH75+AX75),3)</f>
        <v>1.0999999999999999E-2</v>
      </c>
      <c r="BR75">
        <f>SUMIFS(LogFY22!D:D,LogFY22!A:A,"=*tourism*")</f>
        <v>61</v>
      </c>
      <c r="BS75">
        <f>SUM(SUMIFS(LogFY22!D:D,LogFY22!A:A,"=*tourism*"),-1*SUMIFS(LogFY22!L:L,LogFY22!A:A,"=*tourism*"),-1*SUMIFS(LogFY22!N:N,LogFY22!A:A,"=*tourism*"))</f>
        <v>21</v>
      </c>
      <c r="BT75" s="7">
        <f t="shared" si="103"/>
        <v>0.34426229508196721</v>
      </c>
      <c r="BU75" s="7">
        <f t="shared" si="104"/>
        <v>0.2442622950819672</v>
      </c>
      <c r="BV75">
        <f>ROUND(SUMIFS(LogFY22!K:K,LogFY22!A:A,"=*tourism*")/SUMIFS(LogFY22!J:J,LogFY22!A:A,"=*tourism*"),0)</f>
        <v>8</v>
      </c>
      <c r="BW75">
        <f t="shared" si="105"/>
        <v>1</v>
      </c>
      <c r="BX75" s="1">
        <v>56</v>
      </c>
      <c r="BY75" s="1">
        <f t="shared" si="106"/>
        <v>-83</v>
      </c>
      <c r="BZ75">
        <f>SUM(COUNTIFS(All!F:F,"=DBEDT*", All!B:B, "&gt;=7/1/2021", All!B:B,"&lt;=6/30/2022", All!E:E,"=U*",All!E:E,"&lt;&gt;UIPA*",All!E:E,"&lt;&gt;*RFO*",All!E:E,"&lt;&gt;*TRNG*"),COUNTIFS(All!F:F,"=HTA*", All!B:B, "&gt;=7/1/2021", All!B:B,"&lt;=6/30/2022", All!E:E,"=U*",All!E:E,"&lt;&gt;UIPA*",All!E:E,"&lt;&gt;*RFO*",All!E:E,"&lt;&gt;*TRNG*"))</f>
        <v>1</v>
      </c>
      <c r="CA75" s="7">
        <f>ROUND(BZ75/(BR75+BH75),3)</f>
        <v>8.9999999999999993E-3</v>
      </c>
      <c r="CB75">
        <f>SUMIFS(LogFY23!D:D,LogFY23!A:A,"=*tourism*")</f>
        <v>93</v>
      </c>
      <c r="CC75">
        <f>SUM(SUMIFS(LogFY23!D:D,LogFY23!A:A,"=*tourism*"),-1*SUMIFS(LogFY23!L:L,LogFY23!A:A,"=*tourism*"),-1*SUMIFS(LogFY23!N:N,LogFY23!A:A,"=*tourism*"))</f>
        <v>15</v>
      </c>
      <c r="CD75" s="7">
        <f t="shared" si="122"/>
        <v>0.16129032258064516</v>
      </c>
      <c r="CE75" s="7">
        <f t="shared" si="123"/>
        <v>-0.18297197250132205</v>
      </c>
      <c r="CF75">
        <f>ROUND(SUMIFS(LogFY23!K:K,LogFY23!A:A,"=*tourism*")/SUMIFS(LogFY23!J:J,LogFY23!A:A,"=*tourism*"),0)</f>
        <v>13</v>
      </c>
      <c r="CG75">
        <f t="shared" si="124"/>
        <v>5</v>
      </c>
      <c r="CH75" s="1">
        <v>33</v>
      </c>
      <c r="CI75" s="1">
        <f t="shared" si="127"/>
        <v>-23</v>
      </c>
      <c r="CJ75">
        <f>SUM(COUNTIFS(All!F:F,"=DBEDT*", All!B:B, "&gt;=7/1/2022", All!B:B,"&lt;=6/30/2023", All!E:E,"=U*",All!E:E,"&lt;&gt;UIPA*",All!E:E,"&lt;&gt;*RFO*",All!E:E,"&lt;&gt;*TRNG*"),COUNTIFS(All!F:F,"=HTA*", All!B:B, "&gt;=7/1/2022", All!B:B,"&lt;=6/30/2023", All!E:E,"=U*",All!E:E,"&lt;&gt;UIPA*",All!E:E,"&lt;&gt;*RFO*",All!E:E,"&lt;&gt;*TRNG*"))</f>
        <v>1</v>
      </c>
      <c r="CK75" s="7">
        <f>ROUND(CJ75/(CB75+BR75),3)</f>
        <v>6.0000000000000001E-3</v>
      </c>
      <c r="CL75">
        <f>SUMIFS(LogFY24!D:D,LogFY24!A:A,"=*tourism*")</f>
        <v>77</v>
      </c>
      <c r="CM75">
        <f>SUM(SUMIFS(LogFY24!D:D,LogFY24!A:A,"=*tourism*"),-1*SUMIFS(LogFY24!L:L,LogFY24!A:A,"=*tourism*"),-1*SUMIFS(LogFY24!N:N,LogFY24!A:A,"=*tourism*"))</f>
        <v>18</v>
      </c>
      <c r="CN75" s="7">
        <f t="shared" si="126"/>
        <v>0.23376623376623376</v>
      </c>
      <c r="CO75" s="7">
        <f t="shared" si="128"/>
        <v>7.2475911185588604E-2</v>
      </c>
      <c r="CP75">
        <f>ROUND(SUMIFS(LogFY24!K:K,LogFY24!A:A,"=*tourism*")/SUMIFS(LogFY24!J:J,LogFY24!A:A,"=*tourism*"),0)</f>
        <v>9</v>
      </c>
      <c r="CQ75">
        <f t="shared" si="129"/>
        <v>-4</v>
      </c>
      <c r="CR75" s="1">
        <v>81</v>
      </c>
      <c r="CS75" s="1">
        <f t="shared" si="110"/>
        <v>48</v>
      </c>
      <c r="CT75">
        <f>SUM(COUNTIFS(All!F:F,"=DBEDT*", All!B:B, "&gt;=7/1/2023", All!B:B,"&lt;=6/30/2024", All!E:E,"=U*",All!E:E,"&lt;&gt;UIPA*",All!E:E,"&lt;&gt;*RFO*",All!E:E,"&lt;&gt;*TRNG*"),COUNTIFS(All!F:F,"=HTA*", All!B:B, "&gt;=7/1/2023", All!B:B,"&lt;=6/30/2024", All!E:E,"=U*",All!E:E,"&lt;&gt;UIPA*",All!E:E,"&lt;&gt;*RFO*",All!E:E,"&lt;&gt;*TRNG*"),COUNTIFS(All!F:F,"=ADC*", All!B:B, "&gt;=7/1/2023", All!B:B,"&lt;=6/30/2024", All!E:E,"=U*",All!E:E,"&lt;&gt;UIPA*",All!E:E,"&lt;&gt;*RFO*",All!E:E,"&lt;&gt;*TRNG*"))</f>
        <v>4</v>
      </c>
      <c r="CU75" s="7">
        <f>ROUND(CT75/(CL75+CB75),3)</f>
        <v>2.4E-2</v>
      </c>
    </row>
    <row r="76" spans="1:99" ht="16">
      <c r="A76" s="10">
        <f t="shared" si="130"/>
        <v>75</v>
      </c>
      <c r="B76" s="9" t="s">
        <v>17460</v>
      </c>
      <c r="C76">
        <f>SUMIFS(LogFY15!D:D,LogFY15!B:B,"=*agribusiness*")</f>
        <v>6</v>
      </c>
      <c r="D76">
        <f>SUM(SUMIFS(LogFY15!D:D,LogFY15!B:B,"=*agribusiness*"),-1*SUMIFS(LogFY15!L:L,LogFY15!B:B,"=*agribusiness*"),-1*SUMIFS(LogFY15!N:N,LogFY15!B:B,"=*agribusiness*"))</f>
        <v>0</v>
      </c>
      <c r="E76" s="7">
        <f t="shared" si="125"/>
        <v>0</v>
      </c>
      <c r="F76">
        <f>ROUND(SUMIFS(LogFY15!K:K,LogFY15!B:B,"=*agribusiness*")/SUMIFS(LogFY15!J:J,LogFY15!B:B,"=*agribusiness*"),0)</f>
        <v>9</v>
      </c>
      <c r="G76" s="1">
        <v>13</v>
      </c>
      <c r="J76">
        <f>SUMIFS(LogFY16!D:D,LogFY16!B:B,"=*agribusiness*")</f>
        <v>3</v>
      </c>
      <c r="K76">
        <f>SUM(SUMIFS(LogFY16!D:D,LogFY16!B:B,"=*agribusiness*"),-1*SUMIFS(LogFY16!L:L,LogFY16!B:B,"=*agribusiness*"),-1*SUMIFS(LogFY16!N:N,LogFY16!B:B,"=*agribusiness*"))</f>
        <v>0</v>
      </c>
      <c r="L76" s="7">
        <f t="shared" si="111"/>
        <v>0</v>
      </c>
      <c r="M76" s="7">
        <f t="shared" si="112"/>
        <v>0</v>
      </c>
      <c r="N76">
        <f>ROUND(SUMIFS(LogFY16!K:K,LogFY16!B:B,"=*agribusiness*")/SUMIFS(LogFY16!J:J,LogFY16!B:B,"=*agribusiness*"),0)</f>
        <v>9</v>
      </c>
      <c r="O76">
        <f t="shared" si="113"/>
        <v>0</v>
      </c>
      <c r="P76" s="1">
        <v>12</v>
      </c>
      <c r="Q76" s="1">
        <f t="shared" si="114"/>
        <v>-1</v>
      </c>
      <c r="T76">
        <f>SUMIFS(LogFY17!D:D,LogFY17!B:B,"=*agribusiness*")</f>
        <v>3</v>
      </c>
      <c r="U76">
        <f>SUM(SUMIFS(LogFY17!D:D,LogFY17!B:B,"=*agribusiness*"),-1*SUMIFS(LogFY17!L:L,LogFY17!B:B,"=*agribusiness*"),-1*SUMIFS(LogFY17!N:N,LogFY17!B:B,"=*agribusiness*"))</f>
        <v>0</v>
      </c>
      <c r="V76" s="7">
        <f t="shared" si="84"/>
        <v>0</v>
      </c>
      <c r="W76" s="7">
        <f t="shared" si="85"/>
        <v>0</v>
      </c>
      <c r="X76">
        <f>ROUND(SUMIFS(LogFY17!K:K,LogFY17!B:B,"=*agribusiness*")/SUMIFS(LogFY17!J:J,LogFY17!B:B,"=*agribusiness*"),0)</f>
        <v>9</v>
      </c>
      <c r="Y76">
        <f t="shared" si="86"/>
        <v>0</v>
      </c>
      <c r="Z76" s="1">
        <v>10</v>
      </c>
      <c r="AA76" s="1">
        <f t="shared" si="115"/>
        <v>-2</v>
      </c>
      <c r="AD76">
        <f>SUMIFS(LogFY18!D:D,LogFY18!B:B,"=*agribusiness*")</f>
        <v>1</v>
      </c>
      <c r="AE76">
        <f>SUM(SUMIFS(LogFY18!D:D,LogFY18!B:B,"=*agribusiness*"),-1*SUMIFS(LogFY18!L:L,LogFY18!B:B,"=*agribusiness*"),-1*SUMIFS(LogFY18!N:N,LogFY18!B:B,"=*agribusiness*"))</f>
        <v>0</v>
      </c>
      <c r="AF76" s="7">
        <f t="shared" si="87"/>
        <v>0</v>
      </c>
      <c r="AG76" s="7">
        <f t="shared" si="88"/>
        <v>0</v>
      </c>
      <c r="AH76">
        <f>ROUND(SUMIFS(LogFY18!K:K,LogFY18!B:B,"=*agribusiness*")/SUMIFS(LogFY18!J:J,LogFY18!B:B,"=*agribusiness*"),0)</f>
        <v>19</v>
      </c>
      <c r="AI76">
        <f t="shared" si="89"/>
        <v>10</v>
      </c>
      <c r="AJ76" s="1">
        <v>19</v>
      </c>
      <c r="AK76" s="1">
        <f t="shared" si="116"/>
        <v>9</v>
      </c>
      <c r="AN76">
        <f>SUMIFS(LogFY19!D:D,LogFY19!B:B,"=*agribusiness*")</f>
        <v>4</v>
      </c>
      <c r="AO76">
        <f>SUM(SUMIFS(LogFY19!D:D,LogFY19!B:B,"=*agribusiness*"),-1*SUMIFS(LogFY19!L:L,LogFY19!B:B,"=*agribusiness*"),-1*SUMIFS(LogFY19!N:N,LogFY19!B:B,"=*agribusiness*"))</f>
        <v>0</v>
      </c>
      <c r="AP76" s="7">
        <f t="shared" si="91"/>
        <v>0</v>
      </c>
      <c r="AQ76" s="7">
        <f t="shared" si="92"/>
        <v>0</v>
      </c>
      <c r="AR76">
        <f>ROUND(SUMIFS(LogFY19!K:K,LogFY19!B:B,"=*agribusiness*")/SUMIFS(LogFY19!J:J,LogFY19!B:B,"=*agribusiness*"),0)</f>
        <v>14</v>
      </c>
      <c r="AS76">
        <f t="shared" si="93"/>
        <v>-5</v>
      </c>
      <c r="AT76" s="1">
        <v>38</v>
      </c>
      <c r="AU76" s="1">
        <f t="shared" si="117"/>
        <v>19</v>
      </c>
      <c r="AX76">
        <f>SUMIFS(LogFY20!D:D,LogFY20!B:B,"=*agribusiness*")</f>
        <v>2</v>
      </c>
      <c r="AY76">
        <f>SUM(SUMIFS(LogFY20!D:D,LogFY20!B:B,"=*agribusiness*"),-1*SUMIFS(LogFY20!L:L,LogFY20!B:B,"=*agribusiness*"),-1*SUMIFS(LogFY20!N:N,LogFY20!B:B,"=*agribusiness*"))</f>
        <v>0</v>
      </c>
      <c r="AZ76" s="7">
        <f t="shared" si="95"/>
        <v>0</v>
      </c>
      <c r="BA76" s="7">
        <f t="shared" si="96"/>
        <v>0</v>
      </c>
      <c r="BB76">
        <f>ROUND(SUMIFS(LogFY20!K:K,LogFY20!B:B,"=*agribusiness*")/SUMIFS(LogFY20!J:J,LogFY20!B:B,"=*agribusiness*"),0)</f>
        <v>0</v>
      </c>
      <c r="BC76">
        <f t="shared" si="97"/>
        <v>-14</v>
      </c>
      <c r="BD76" s="1">
        <v>1</v>
      </c>
      <c r="BE76" s="1">
        <f t="shared" si="98"/>
        <v>-37</v>
      </c>
      <c r="BH76">
        <f>SUMIFS(LogFY21!D:D,LogFY21!B:B,"=*agribusiness*")</f>
        <v>19</v>
      </c>
      <c r="BI76">
        <f>SUM(SUMIFS(LogFY21!D:D,LogFY21!B:B,"=*agribusiness*"),-1*SUMIFS(LogFY21!L:L,LogFY21!B:B,"=*agribusiness*"),-1*SUMIFS(LogFY21!N:N,LogFY21!B:B,"=*agribusiness*"))</f>
        <v>3</v>
      </c>
      <c r="BJ76" s="7">
        <f t="shared" si="118"/>
        <v>0.15789473684210525</v>
      </c>
      <c r="BK76" s="7">
        <f t="shared" si="119"/>
        <v>0.15789473684210525</v>
      </c>
      <c r="BL76">
        <f>ROUND(SUMIFS(LogFY21!K:K,LogFY21!B:B,"=*agribusiness*")/SUMIFS(LogFY21!J:J,LogFY21!B:B,"=*agribusiness*"),0)</f>
        <v>7</v>
      </c>
      <c r="BM76">
        <f t="shared" si="120"/>
        <v>7</v>
      </c>
      <c r="BN76" s="1">
        <v>14</v>
      </c>
      <c r="BO76" s="1">
        <f t="shared" si="121"/>
        <v>13</v>
      </c>
      <c r="BR76">
        <f>SUMIFS(LogFY22!D:D,LogFY22!B:B,"=*agribusiness*")</f>
        <v>8</v>
      </c>
      <c r="BS76">
        <f>SUM(SUMIFS(LogFY22!D:D,LogFY22!B:B,"=*agribusiness*"),-1*SUMIFS(LogFY22!L:L,LogFY22!B:B,"=*agribusiness*"),-1*SUMIFS(LogFY22!N:N,LogFY22!B:B,"=*agribusiness*"))</f>
        <v>0</v>
      </c>
      <c r="BT76" s="7">
        <f t="shared" si="103"/>
        <v>0</v>
      </c>
      <c r="BU76" s="7">
        <f t="shared" si="104"/>
        <v>-0.15789473684210525</v>
      </c>
      <c r="BV76">
        <f>ROUND(SUMIFS(LogFY22!K:K,LogFY22!B:B,"=*agribusiness*")/SUMIFS(LogFY22!J:J,LogFY22!B:B,"=*agribusiness*"),0)</f>
        <v>2</v>
      </c>
      <c r="BW76">
        <f t="shared" si="105"/>
        <v>-5</v>
      </c>
      <c r="BX76" s="1">
        <v>32</v>
      </c>
      <c r="BY76" s="1">
        <f t="shared" si="106"/>
        <v>18</v>
      </c>
      <c r="CB76">
        <f>SUMIFS(LogFY23!D:D,LogFY23!B:B,"=*agribusiness*")</f>
        <v>8</v>
      </c>
      <c r="CC76">
        <f>SUM(SUMIFS(LogFY23!D:D,LogFY23!B:B,"=*agribusiness*"),-1*SUMIFS(LogFY23!L:L,LogFY23!B:B,"=*agribusiness*"),-1*SUMIFS(LogFY23!N:N,LogFY23!B:B,"=*agribusiness*"))</f>
        <v>0</v>
      </c>
      <c r="CD76" s="7">
        <f t="shared" si="122"/>
        <v>0</v>
      </c>
      <c r="CE76" s="7">
        <f t="shared" si="123"/>
        <v>0</v>
      </c>
      <c r="CF76">
        <f>ROUND(SUMIFS(LogFY23!K:K,LogFY23!B:B,"=*agribusiness*")/SUMIFS(LogFY23!J:J,LogFY23!B:B,"=*agribusiness*"),0)</f>
        <v>9</v>
      </c>
      <c r="CG76">
        <f t="shared" si="124"/>
        <v>7</v>
      </c>
      <c r="CH76" s="1">
        <v>23</v>
      </c>
      <c r="CI76" s="1">
        <f t="shared" si="127"/>
        <v>-9</v>
      </c>
      <c r="CK76" s="7"/>
      <c r="CL76">
        <f>SUMIFS(LogFY24!D:D,LogFY24!B:B,"=*agribusiness*")</f>
        <v>8</v>
      </c>
      <c r="CM76">
        <f>SUM(SUMIFS(LogFY24!D:D,LogFY24!B:B,"=*agribusiness*"),-1*SUMIFS(LogFY24!L:L,LogFY24!B:B,"=*agribusiness*"),-1*SUMIFS(LogFY24!N:N,LogFY24!B:B,"=*agribusiness*"))</f>
        <v>1</v>
      </c>
      <c r="CN76" s="7">
        <f t="shared" si="126"/>
        <v>0.125</v>
      </c>
      <c r="CO76" s="7">
        <f t="shared" si="128"/>
        <v>0.125</v>
      </c>
      <c r="CP76">
        <f>ROUND(SUMIFS(LogFY24!K:K,LogFY24!B:B,"=*agribusiness*")/SUMIFS(LogFY24!J:J,LogFY24!B:B,"=*agribusiness*"),0)</f>
        <v>13</v>
      </c>
      <c r="CQ76">
        <f t="shared" si="129"/>
        <v>4</v>
      </c>
      <c r="CR76" s="1">
        <v>27</v>
      </c>
      <c r="CS76" s="1">
        <f t="shared" si="110"/>
        <v>4</v>
      </c>
    </row>
    <row r="77" spans="1:99" ht="16">
      <c r="A77" s="10">
        <f t="shared" si="130"/>
        <v>76</v>
      </c>
      <c r="B77" s="9" t="s">
        <v>17466</v>
      </c>
      <c r="C77">
        <f>SUMIFS(LogFY15!D:D,LogFY15!B:B,"=*energy*")</f>
        <v>7</v>
      </c>
      <c r="D77">
        <f>SUM(SUMIFS(LogFY15!D:D,LogFY15!B:B,"=*energy*"),-1*SUMIFS(LogFY15!L:L,LogFY15!B:B,"=*energy*"),-1*SUMIFS(LogFY15!N:N,LogFY15!B:B,"=*energy*"))</f>
        <v>2</v>
      </c>
      <c r="E77" s="7">
        <f t="shared" si="125"/>
        <v>0.2857142857142857</v>
      </c>
      <c r="F77">
        <f>ROUND(SUMIFS(LogFY15!K:K,LogFY15!B:B,"=*energy*")/SUMIFS(LogFY15!J:J,LogFY15!B:B,"=*energy*"),0)</f>
        <v>26</v>
      </c>
      <c r="G77" s="1">
        <v>59</v>
      </c>
      <c r="J77">
        <f>SUMIFS(LogFY16!D:D,LogFY16!B:B,"=*energy*")</f>
        <v>7</v>
      </c>
      <c r="K77">
        <f>SUM(SUMIFS(LogFY16!D:D,LogFY16!B:B,"=*energy*"),-1*SUMIFS(LogFY16!L:L,LogFY16!B:B,"=*energy*"),-1*SUMIFS(LogFY16!N:N,LogFY16!B:B,"=*energy*"))</f>
        <v>2</v>
      </c>
      <c r="L77" s="7">
        <f t="shared" si="111"/>
        <v>0.2857142857142857</v>
      </c>
      <c r="M77" s="7">
        <f t="shared" si="112"/>
        <v>0</v>
      </c>
      <c r="N77">
        <f>ROUND(SUMIFS(LogFY16!K:K,LogFY16!B:B,"=*energy*")/SUMIFS(LogFY16!J:J,LogFY16!B:B,"=*energy*"),0)</f>
        <v>11</v>
      </c>
      <c r="O77">
        <f t="shared" si="113"/>
        <v>-15</v>
      </c>
      <c r="P77" s="1">
        <v>19</v>
      </c>
      <c r="Q77" s="1">
        <f t="shared" si="114"/>
        <v>-40</v>
      </c>
      <c r="T77">
        <f>SUMIFS(LogFY17!D:D,LogFY17!B:B,"=*energy*")</f>
        <v>6</v>
      </c>
      <c r="U77">
        <f>SUM(SUMIFS(LogFY17!D:D,LogFY17!B:B,"=*energy*"),-1*SUMIFS(LogFY17!L:L,LogFY17!B:B,"=*energy*"),-1*SUMIFS(LogFY17!N:N,LogFY17!B:B,"=*energy*"))</f>
        <v>0</v>
      </c>
      <c r="V77" s="7">
        <f t="shared" ref="V77:V95" si="131">U77/T77</f>
        <v>0</v>
      </c>
      <c r="W77" s="7">
        <f t="shared" ref="W77:W95" si="132">V77-L77</f>
        <v>-0.2857142857142857</v>
      </c>
      <c r="X77">
        <f>ROUND(SUMIFS(LogFY17!K:K,LogFY17!B:B,"=*energy*")/SUMIFS(LogFY17!J:J,LogFY17!B:B,"=*energy*"),0)</f>
        <v>12</v>
      </c>
      <c r="Y77">
        <f t="shared" si="86"/>
        <v>1</v>
      </c>
      <c r="Z77" s="1">
        <v>49</v>
      </c>
      <c r="AA77" s="1">
        <f t="shared" si="115"/>
        <v>30</v>
      </c>
      <c r="AD77">
        <f>SUMIFS(LogFY18!D:D,LogFY18!B:B,"=*energy*")</f>
        <v>2</v>
      </c>
      <c r="AE77">
        <f>SUM(SUMIFS(LogFY18!D:D,LogFY18!B:B,"=*energy*"),-1*SUMIFS(LogFY18!L:L,LogFY18!B:B,"=*energy*"),-1*SUMIFS(LogFY18!N:N,LogFY18!B:B,"=*energy*"))</f>
        <v>1</v>
      </c>
      <c r="AF77" s="7">
        <f t="shared" si="87"/>
        <v>0.5</v>
      </c>
      <c r="AG77" s="7">
        <f t="shared" si="88"/>
        <v>0.5</v>
      </c>
      <c r="AH77">
        <f>ROUND(SUMIFS(LogFY18!K:K,LogFY18!B:B,"=*energy*")/SUMIFS(LogFY18!J:J,LogFY18!B:B,"=*energy*"),0)</f>
        <v>9</v>
      </c>
      <c r="AI77">
        <f t="shared" si="89"/>
        <v>-3</v>
      </c>
      <c r="AJ77" s="1">
        <v>12</v>
      </c>
      <c r="AK77" s="1">
        <f t="shared" si="116"/>
        <v>-37</v>
      </c>
      <c r="AN77">
        <f>SUMIFS(LogFY19!D:D,LogFY19!B:B,"=*energy*")</f>
        <v>4</v>
      </c>
      <c r="AO77">
        <f>SUM(SUMIFS(LogFY19!D:D,LogFY19!B:B,"=*energy*"),-1*SUMIFS(LogFY19!L:L,LogFY19!B:B,"=*energy*"),-1*SUMIFS(LogFY19!N:N,LogFY19!B:B,"=*energy*"))</f>
        <v>0</v>
      </c>
      <c r="AP77" s="7">
        <f t="shared" si="91"/>
        <v>0</v>
      </c>
      <c r="AQ77" s="7">
        <f t="shared" si="92"/>
        <v>-0.5</v>
      </c>
      <c r="AR77">
        <f>ROUND(SUMIFS(LogFY19!K:K,LogFY19!B:B,"=*energy*")/SUMIFS(LogFY19!J:J,LogFY19!B:B,"=*energy*"),0)</f>
        <v>6</v>
      </c>
      <c r="AS77">
        <f t="shared" si="93"/>
        <v>-3</v>
      </c>
      <c r="AT77" s="1">
        <v>11</v>
      </c>
      <c r="AU77" s="1">
        <f t="shared" si="117"/>
        <v>-1</v>
      </c>
      <c r="AX77">
        <f>SUMIFS(LogFY20!D:D,LogFY20!B:B,"=*energy*")</f>
        <v>0</v>
      </c>
      <c r="AY77">
        <f>SUM(SUMIFS(LogFY20!D:D,LogFY20!B:B,"=*energy*"),-1*SUMIFS(LogFY20!L:L,LogFY20!B:B,"=*energy*"),-1*SUMIFS(LogFY20!N:N,LogFY20!B:B,"=*energy*"))</f>
        <v>0</v>
      </c>
      <c r="AZ77" s="7"/>
      <c r="BA77" s="7"/>
      <c r="BD77" s="1"/>
      <c r="BE77" s="1"/>
      <c r="BH77">
        <f>SUMIFS(LogFY21!D:D,LogFY21!B:B,"=*energy*")</f>
        <v>4</v>
      </c>
      <c r="BI77">
        <f>SUM(SUMIFS(LogFY21!D:D,LogFY21!B:B,"=*energy*"),-1*SUMIFS(LogFY21!L:L,LogFY21!B:B,"=*energy*"),-1*SUMIFS(LogFY21!N:N,LogFY21!B:B,"=*energy*"))</f>
        <v>3</v>
      </c>
      <c r="BJ77" s="7">
        <f t="shared" si="118"/>
        <v>0.75</v>
      </c>
      <c r="BK77" s="7">
        <f t="shared" si="119"/>
        <v>0.75</v>
      </c>
      <c r="BL77">
        <f>ROUND(SUMIFS(LogFY21!K:K,LogFY21!B:B,"=*energy*")/SUMIFS(LogFY21!J:J,LogFY21!B:B,"=*energy*"),0)</f>
        <v>5</v>
      </c>
      <c r="BM77">
        <f t="shared" si="120"/>
        <v>5</v>
      </c>
      <c r="BN77" s="1">
        <v>8</v>
      </c>
      <c r="BO77" s="1">
        <f t="shared" si="121"/>
        <v>8</v>
      </c>
      <c r="BR77">
        <f>SUMIFS(LogFY22!D:D,LogFY22!B:B,"=*energy*")</f>
        <v>6</v>
      </c>
      <c r="BS77">
        <f>SUM(SUMIFS(LogFY22!D:D,LogFY22!B:B,"=*energy*"),-1*SUMIFS(LogFY22!L:L,LogFY22!B:B,"=*energy*"),-1*SUMIFS(LogFY22!N:N,LogFY22!B:B,"=*energy*"))</f>
        <v>2</v>
      </c>
      <c r="BT77" s="7">
        <f t="shared" si="103"/>
        <v>0.33333333333333331</v>
      </c>
      <c r="BU77" s="7">
        <f t="shared" si="104"/>
        <v>-0.41666666666666669</v>
      </c>
      <c r="BV77">
        <f>ROUND(SUMIFS(LogFY22!K:K,LogFY22!B:B,"=*energy*")/SUMIFS(LogFY22!J:J,LogFY22!B:B,"=*energy*"),0)</f>
        <v>18</v>
      </c>
      <c r="BW77">
        <f t="shared" si="105"/>
        <v>13</v>
      </c>
      <c r="BX77" s="1">
        <v>56</v>
      </c>
      <c r="BY77" s="1">
        <f t="shared" si="106"/>
        <v>48</v>
      </c>
      <c r="CB77">
        <f>SUMIFS(LogFY23!D:D,LogFY23!B:B,"=*energy*")</f>
        <v>7</v>
      </c>
      <c r="CC77">
        <f>SUM(SUMIFS(LogFY23!D:D,LogFY23!B:B,"=*energy*"),-1*SUMIFS(LogFY23!L:L,LogFY23!B:B,"=*energy*"),-1*SUMIFS(LogFY23!N:N,LogFY23!B:B,"=*energy*"))</f>
        <v>4</v>
      </c>
      <c r="CD77" s="7">
        <f t="shared" si="122"/>
        <v>0.5714285714285714</v>
      </c>
      <c r="CE77" s="7">
        <f t="shared" si="123"/>
        <v>0.23809523809523808</v>
      </c>
      <c r="CF77">
        <f>ROUND(SUMIFS(LogFY23!K:K,LogFY23!B:B,"=*energy*")/SUMIFS(LogFY23!J:J,LogFY23!B:B,"=*energy*"),0)</f>
        <v>5</v>
      </c>
      <c r="CG77">
        <f t="shared" si="124"/>
        <v>-13</v>
      </c>
      <c r="CH77" s="1">
        <v>9</v>
      </c>
      <c r="CI77" s="1">
        <f t="shared" si="127"/>
        <v>-47</v>
      </c>
      <c r="CK77" s="7"/>
      <c r="CL77">
        <f>SUMIFS(LogFY24!D:D,LogFY24!B:B,"=*energy*")</f>
        <v>8</v>
      </c>
      <c r="CM77">
        <f>SUM(SUMIFS(LogFY24!D:D,LogFY24!B:B,"=*energy*"),-1*SUMIFS(LogFY24!L:L,LogFY24!B:B,"=*energy*"),-1*SUMIFS(LogFY24!N:N,LogFY24!B:B,"=*energy*"))</f>
        <v>8</v>
      </c>
      <c r="CN77" s="7">
        <f t="shared" si="126"/>
        <v>1</v>
      </c>
      <c r="CO77" s="7">
        <f t="shared" si="128"/>
        <v>0.4285714285714286</v>
      </c>
      <c r="CP77">
        <f>ROUND(SUMIFS(LogFY24!K:K,LogFY24!B:B,"=*energy*")/SUMIFS(LogFY24!J:J,LogFY24!B:B,"=*energy*"),0)</f>
        <v>7</v>
      </c>
      <c r="CQ77">
        <f t="shared" si="129"/>
        <v>2</v>
      </c>
      <c r="CR77" s="1">
        <v>6</v>
      </c>
      <c r="CS77" s="1">
        <f t="shared" si="110"/>
        <v>-3</v>
      </c>
    </row>
    <row r="78" spans="1:99" ht="16">
      <c r="A78" s="10">
        <f t="shared" si="130"/>
        <v>77</v>
      </c>
      <c r="B78" s="9" t="s">
        <v>17467</v>
      </c>
      <c r="C78">
        <f>SUMIFS(LogFY15!D:D,LogFY15!B:B,"=*hhfdc*")</f>
        <v>6</v>
      </c>
      <c r="D78">
        <f>SUM(SUMIFS(LogFY15!D:D,LogFY15!B:B,"=*hhfdc*"),-1*SUMIFS(LogFY15!L:L,LogFY15!B:B,"=*hhfdc*"),-1*SUMIFS(LogFY15!N:N,LogFY15!B:B,"=*hhfdc*"))</f>
        <v>0</v>
      </c>
      <c r="E78" s="7">
        <f t="shared" si="125"/>
        <v>0</v>
      </c>
      <c r="F78">
        <f>ROUND(SUMIFS(LogFY15!K:K,LogFY15!B:B,"=*hhfdc*")/SUMIFS(LogFY15!J:J,LogFY15!B:B,"=*hhfdc*"),0)</f>
        <v>6</v>
      </c>
      <c r="G78" s="1">
        <v>18</v>
      </c>
      <c r="J78">
        <f>SUMIFS(LogFY16!D:D,LogFY16!B:B,"=*hhfdc*")</f>
        <v>11</v>
      </c>
      <c r="K78">
        <f>SUM(SUMIFS(LogFY16!D:D,LogFY16!B:B,"=*hhfdc*"),-1*SUMIFS(LogFY16!L:L,LogFY16!B:B,"=*hhfdc*"),-1*SUMIFS(LogFY16!N:N,LogFY16!B:B,"=*hhfdc*"))</f>
        <v>0</v>
      </c>
      <c r="L78" s="7">
        <f t="shared" si="111"/>
        <v>0</v>
      </c>
      <c r="M78" s="7">
        <f t="shared" si="112"/>
        <v>0</v>
      </c>
      <c r="N78">
        <f>ROUND(SUMIFS(LogFY16!K:K,LogFY16!B:B,"=*hhfdc*")/SUMIFS(LogFY16!J:J,LogFY16!B:B,"=*hhfdc*"),0)</f>
        <v>6</v>
      </c>
      <c r="O78">
        <f t="shared" si="113"/>
        <v>0</v>
      </c>
      <c r="P78" s="1">
        <v>25</v>
      </c>
      <c r="Q78" s="1">
        <f t="shared" si="114"/>
        <v>7</v>
      </c>
      <c r="T78">
        <f>SUMIFS(LogFY17!D:D,LogFY17!B:B,"=*hhfdc*")</f>
        <v>17</v>
      </c>
      <c r="U78">
        <f>SUM(SUMIFS(LogFY17!D:D,LogFY17!B:B,"=*hhfdc*"),-1*SUMIFS(LogFY17!L:L,LogFY17!B:B,"=*hhfdc*"),-1*SUMIFS(LogFY17!N:N,LogFY17!B:B,"=*hhfdc*"))</f>
        <v>1</v>
      </c>
      <c r="V78" s="7">
        <f t="shared" si="131"/>
        <v>5.8823529411764705E-2</v>
      </c>
      <c r="W78" s="7">
        <f t="shared" si="132"/>
        <v>5.8823529411764705E-2</v>
      </c>
      <c r="X78">
        <f>ROUND(SUMIFS(LogFY17!K:K,LogFY17!B:B,"=*hhfdc*")/SUMIFS(LogFY17!J:J,LogFY17!B:B,"=*hhfdc*"),0)</f>
        <v>5</v>
      </c>
      <c r="Y78">
        <f t="shared" si="86"/>
        <v>-1</v>
      </c>
      <c r="Z78" s="1">
        <v>20</v>
      </c>
      <c r="AA78" s="1">
        <f t="shared" si="115"/>
        <v>-5</v>
      </c>
      <c r="AD78">
        <f>SUMIFS(LogFY18!D:D,LogFY18!B:B,"=*hhfdc*")</f>
        <v>38</v>
      </c>
      <c r="AE78">
        <f>SUM(SUMIFS(LogFY18!D:D,LogFY18!B:B,"=*hhfdc*"),-1*SUMIFS(LogFY18!L:L,LogFY18!B:B,"=*hhfdc*"),-1*SUMIFS(LogFY18!N:N,LogFY18!B:B,"=*hhfdc*"))</f>
        <v>8</v>
      </c>
      <c r="AF78" s="7">
        <f t="shared" si="87"/>
        <v>0.21052631578947367</v>
      </c>
      <c r="AG78" s="7">
        <f t="shared" si="88"/>
        <v>0.15170278637770895</v>
      </c>
      <c r="AH78">
        <f>ROUND(SUMIFS(LogFY18!K:K,LogFY18!B:B,"=*hhfdc*")/SUMIFS(LogFY18!J:J,LogFY18!B:B,"=*hhfdc*"),0)</f>
        <v>3</v>
      </c>
      <c r="AI78">
        <f t="shared" si="89"/>
        <v>-2</v>
      </c>
      <c r="AJ78" s="1">
        <v>21</v>
      </c>
      <c r="AK78" s="1">
        <f t="shared" si="116"/>
        <v>1</v>
      </c>
      <c r="AN78">
        <f>SUMIFS(LogFY19!D:D,LogFY19!B:B,"=*hhfdc*")</f>
        <v>18</v>
      </c>
      <c r="AO78">
        <f>SUM(SUMIFS(LogFY19!D:D,LogFY19!B:B,"=*hhfdc*"),-1*SUMIFS(LogFY19!L:L,LogFY19!B:B,"=*hhfdc*"),-1*SUMIFS(LogFY19!N:N,LogFY19!B:B,"=*hhfdc*"))</f>
        <v>4</v>
      </c>
      <c r="AP78" s="7">
        <f t="shared" si="91"/>
        <v>0.22222222222222221</v>
      </c>
      <c r="AQ78" s="7">
        <f t="shared" si="92"/>
        <v>1.1695906432748537E-2</v>
      </c>
      <c r="AR78">
        <f>ROUND(SUMIFS(LogFY19!K:K,LogFY19!B:B,"=*hhfdc*")/SUMIFS(LogFY19!J:J,LogFY19!B:B,"=*hhfdc*"),0)</f>
        <v>4</v>
      </c>
      <c r="AS78">
        <f t="shared" si="93"/>
        <v>1</v>
      </c>
      <c r="AT78" s="1">
        <v>10</v>
      </c>
      <c r="AU78" s="1">
        <f t="shared" si="117"/>
        <v>-11</v>
      </c>
      <c r="AX78">
        <f>SUMIFS(LogFY20!D:D,LogFY20!B:B,"=*hhfdc*")</f>
        <v>18</v>
      </c>
      <c r="AY78">
        <f>SUM(SUMIFS(LogFY20!D:D,LogFY20!B:B,"=*hhfdc*"),-1*SUMIFS(LogFY20!L:L,LogFY20!B:B,"=*hhfdc*"),-1*SUMIFS(LogFY20!N:N,LogFY20!B:B,"=*hhfdc*"))</f>
        <v>0</v>
      </c>
      <c r="AZ78" s="7">
        <f>AY78/AX78</f>
        <v>0</v>
      </c>
      <c r="BA78" s="7">
        <f t="shared" ref="BA78:BA101" si="133">AZ78-AP78</f>
        <v>-0.22222222222222221</v>
      </c>
      <c r="BB78">
        <f>ROUND(SUMIFS(LogFY20!K:K,LogFY20!B:B,"=*hhfdc*")/SUMIFS(LogFY20!J:J,LogFY20!B:B,"=*hhfdc*"),0)</f>
        <v>2</v>
      </c>
      <c r="BC78">
        <f>BB78-AR78</f>
        <v>-2</v>
      </c>
      <c r="BD78" s="1">
        <v>6</v>
      </c>
      <c r="BE78" s="1">
        <f t="shared" ref="BE78:BE101" si="134">BD78-AT78</f>
        <v>-4</v>
      </c>
      <c r="BH78">
        <f>SUMIFS(LogFY21!D:D,LogFY21!B:B,"=*hhfdc*")</f>
        <v>19</v>
      </c>
      <c r="BI78">
        <f>SUM(SUMIFS(LogFY21!D:D,LogFY21!B:B,"=*hhfdc*"),-1*SUMIFS(LogFY21!L:L,LogFY21!B:B,"=*hhfdc*"),-1*SUMIFS(LogFY21!N:N,LogFY21!B:B,"=*hhfdc*"))</f>
        <v>0</v>
      </c>
      <c r="BJ78" s="7">
        <f t="shared" si="118"/>
        <v>0</v>
      </c>
      <c r="BK78" s="7">
        <f t="shared" si="119"/>
        <v>0</v>
      </c>
      <c r="BL78">
        <f>ROUND(SUMIFS(LogFY21!K:K,LogFY21!B:B,"=*hhfdc*")/SUMIFS(LogFY21!J:J,LogFY21!B:B,"=*hhfdc*"),0)</f>
        <v>7</v>
      </c>
      <c r="BM78">
        <f t="shared" si="120"/>
        <v>5</v>
      </c>
      <c r="BN78" s="1">
        <v>35</v>
      </c>
      <c r="BO78" s="1">
        <f t="shared" si="121"/>
        <v>29</v>
      </c>
      <c r="BR78">
        <f>SUMIFS(LogFY22!D:D,LogFY22!B:B,"=*hhfdc*")</f>
        <v>19</v>
      </c>
      <c r="BS78">
        <f>SUM(SUMIFS(LogFY22!D:D,LogFY22!B:B,"=*hhfdc*"),-1*SUMIFS(LogFY22!L:L,LogFY22!B:B,"=*hhfdc*"),-1*SUMIFS(LogFY22!N:N,LogFY22!B:B,"=*hhfdc*"))</f>
        <v>6</v>
      </c>
      <c r="BT78" s="7">
        <f t="shared" si="103"/>
        <v>0.31578947368421051</v>
      </c>
      <c r="BU78" s="7">
        <f t="shared" si="104"/>
        <v>0.31578947368421051</v>
      </c>
      <c r="BV78">
        <f>ROUND(SUMIFS(LogFY22!K:K,LogFY22!B:B,"=*hhfdc*")/SUMIFS(LogFY22!J:J,LogFY22!B:B,"=*hhfdc*"),0)</f>
        <v>5</v>
      </c>
      <c r="BW78">
        <f t="shared" si="105"/>
        <v>-2</v>
      </c>
      <c r="BX78" s="1">
        <v>15</v>
      </c>
      <c r="BY78" s="1">
        <f t="shared" si="106"/>
        <v>-20</v>
      </c>
      <c r="CB78">
        <f>SUMIFS(LogFY23!D:D,LogFY23!B:B,"=*hhfdc*")</f>
        <v>14</v>
      </c>
      <c r="CC78">
        <f>SUM(SUMIFS(LogFY23!D:D,LogFY23!B:B,"=*hhfdc*"),-1*SUMIFS(LogFY23!L:L,LogFY23!B:B,"=*hhfdc*"),-1*SUMIFS(LogFY23!N:N,LogFY23!B:B,"=*hhfdc*"))</f>
        <v>2</v>
      </c>
      <c r="CD78" s="7">
        <f t="shared" si="122"/>
        <v>0.14285714285714285</v>
      </c>
      <c r="CE78" s="7">
        <f t="shared" si="123"/>
        <v>-0.17293233082706766</v>
      </c>
      <c r="CF78">
        <f>ROUND(SUMIFS(LogFY23!K:K,LogFY23!B:B,"=*hhfdc*")/SUMIFS(LogFY23!J:J,LogFY23!B:B,"=*hhfdc*"),0)</f>
        <v>8</v>
      </c>
      <c r="CG78">
        <f t="shared" si="124"/>
        <v>3</v>
      </c>
      <c r="CH78" s="1">
        <v>26</v>
      </c>
      <c r="CI78" s="1">
        <f t="shared" si="127"/>
        <v>11</v>
      </c>
      <c r="CK78" s="7"/>
      <c r="CL78">
        <f>SUMIFS(LogFY24!D:D,LogFY24!B:B,"=*hhfdc*")</f>
        <v>16</v>
      </c>
      <c r="CM78">
        <f>SUM(SUMIFS(LogFY24!D:D,LogFY24!B:B,"=*hhfdc*"),-1*SUMIFS(LogFY24!L:L,LogFY24!B:B,"=*hhfdc*"),-1*SUMIFS(LogFY24!N:N,LogFY24!B:B,"=*hhfdc*"))</f>
        <v>5</v>
      </c>
      <c r="CN78" s="7">
        <f t="shared" si="126"/>
        <v>0.3125</v>
      </c>
      <c r="CO78" s="7">
        <f t="shared" si="128"/>
        <v>0.16964285714285715</v>
      </c>
      <c r="CP78">
        <f>ROUND(SUMIFS(LogFY24!K:K,LogFY24!B:B,"=*hhfdc*")/SUMIFS(LogFY24!J:J,LogFY24!B:B,"=*hhfdc*"),0)</f>
        <v>13</v>
      </c>
      <c r="CQ78">
        <f t="shared" si="129"/>
        <v>5</v>
      </c>
      <c r="CR78" s="1">
        <v>81</v>
      </c>
      <c r="CS78" s="1">
        <f t="shared" si="110"/>
        <v>55</v>
      </c>
    </row>
    <row r="79" spans="1:99" ht="32">
      <c r="A79" s="10">
        <f t="shared" si="130"/>
        <v>78</v>
      </c>
      <c r="B79" s="1" t="s">
        <v>17245</v>
      </c>
      <c r="C79">
        <f>SUMIFS(LogFY15!D:D,LogFY15!A:A,"=*consumer*", LogFY15!B:B,"&lt;&gt;*utilities*")</f>
        <v>254</v>
      </c>
      <c r="D79">
        <f>SUM(SUMIFS(LogFY15!D:D,LogFY15!A:A,"=*consumer*", LogFY15!B:B,"&lt;&gt;*utilities*"),-1*SUMIFS(LogFY15!L:L,LogFY15!A:A,"=*consumer*", LogFY15!B:B,"&lt;&gt;*utilities*"),-1*SUMIFS(LogFY15!N:N,LogFY15!A:A,"=*consumer*", LogFY15!B:B,"&lt;&gt;*utilities*"))</f>
        <v>81</v>
      </c>
      <c r="E79" s="7">
        <f t="shared" si="125"/>
        <v>0.31889763779527558</v>
      </c>
      <c r="F79">
        <f>ROUND(SUMIFS(LogFY15!K:K,LogFY15!A:A,"=*consumer*", LogFY15!B:B,"&lt;&gt;*utilities*")/SUMIFS(LogFY15!J:J,LogFY15!A:A,"=*consumer*", LogFY15!B:B,"&lt;&gt;*utilities*"),0)</f>
        <v>9</v>
      </c>
      <c r="G79" s="1">
        <v>56</v>
      </c>
      <c r="H79">
        <f>COUNTIFS(All!F:F,"=DCCA*", All!F:F,"&lt;&gt;*PUC", All!B:B, "&gt;=7/1/2014", All!B:B,"&lt;=6/30/2015", All!E:E,"=U*",All!E:E,"&lt;&gt;UIPA*",All!E:E,"&lt;&gt;*RFO*",All!E:E,"&lt;&gt;*TRNG*")</f>
        <v>0</v>
      </c>
      <c r="I79" s="7">
        <f>ROUND(H79/C79,3)</f>
        <v>0</v>
      </c>
      <c r="J79">
        <f>SUMIFS(LogFY16!D:D,LogFY16!A:A,"=*consumer*", LogFY16!B:B,"&lt;&gt;*utilities*")</f>
        <v>230</v>
      </c>
      <c r="K79">
        <f>SUM(SUMIFS(LogFY16!D:D,LogFY16!A:A,"=*consumer*", LogFY16!B:B,"&lt;&gt;*utilities*"),-1*SUMIFS(LogFY16!L:L,LogFY16!A:A,"=*consumer*", LogFY16!B:B,"&lt;&gt;*utilities*"),-1*SUMIFS(LogFY16!N:N,LogFY16!A:A,"=*consumer*", LogFY16!B:B,"&lt;&gt;*utilities*"))</f>
        <v>63</v>
      </c>
      <c r="L79" s="7">
        <f t="shared" si="111"/>
        <v>0.27391304347826084</v>
      </c>
      <c r="M79" s="7">
        <f t="shared" si="112"/>
        <v>-4.4984594317014737E-2</v>
      </c>
      <c r="N79">
        <f>ROUND(SUMIFS(LogFY16!K:K,LogFY16!A:A,"=*consumer*", LogFY16!B:B,"&lt;&gt;*utilities*")/SUMIFS(LogFY16!J:J,LogFY16!A:A,"=*consumer*", LogFY16!B:B,"&lt;&gt;*utilities*"),0)</f>
        <v>8</v>
      </c>
      <c r="O79">
        <f t="shared" si="113"/>
        <v>-1</v>
      </c>
      <c r="P79" s="1">
        <v>58</v>
      </c>
      <c r="Q79" s="1">
        <f t="shared" si="114"/>
        <v>2</v>
      </c>
      <c r="R79">
        <f>COUNTIFS(All!F:F,"=DCCA*", All!F:F,"&lt;&gt;*PUC", All!B:B, "&gt;=7/1/2015", All!B:B,"&lt;=6/30/2016", All!E:E,"=U*",All!E:E,"&lt;&gt;UIPA*",All!E:E,"&lt;&gt;*RFO*",All!E:E,"&lt;&gt;*TRNG*")</f>
        <v>2</v>
      </c>
      <c r="S79" s="7">
        <f>ROUND(R79/(J79+C79),3)</f>
        <v>4.0000000000000001E-3</v>
      </c>
      <c r="T79">
        <f>SUMIFS(LogFY17!D:D,LogFY17!A:A,"=*consumer*", LogFY17!B:B,"&lt;&gt;*utilities*")</f>
        <v>237</v>
      </c>
      <c r="U79">
        <f>SUM(SUMIFS(LogFY17!D:D,LogFY17!A:A,"=*consumer*", LogFY17!B:B,"&lt;&gt;*utilities*"),-1*SUMIFS(LogFY17!L:L,LogFY17!A:A,"=*consumer*", LogFY17!B:B,"&lt;&gt;*utilities*"),-1*SUMIFS(LogFY17!N:N,LogFY17!A:A,"=*consumer*", LogFY17!B:B,"&lt;&gt;*utilities*"))</f>
        <v>83</v>
      </c>
      <c r="V79" s="7">
        <f t="shared" si="131"/>
        <v>0.35021097046413502</v>
      </c>
      <c r="W79" s="7">
        <f t="shared" si="132"/>
        <v>7.6297926985874176E-2</v>
      </c>
      <c r="X79">
        <f>ROUND(SUMIFS(LogFY17!K:K,LogFY17!A:A,"=*consumer*", LogFY17!B:B,"&lt;&gt;*utilities*")/SUMIFS(LogFY17!J:J,LogFY17!A:A,"=*consumer*", LogFY17!B:B,"&lt;&gt;*utilities*"),0)</f>
        <v>9</v>
      </c>
      <c r="Y79">
        <f t="shared" si="86"/>
        <v>1</v>
      </c>
      <c r="Z79" s="1">
        <v>49</v>
      </c>
      <c r="AA79" s="1">
        <f t="shared" si="115"/>
        <v>-9</v>
      </c>
      <c r="AB79">
        <f>COUNTIFS(All!F:F,"=DCCA*", All!F:F,"&lt;&gt;*PUC", All!B:B, "&gt;=7/1/2016", All!B:B,"&lt;=6/30/2017", All!E:E,"=U*",All!E:E,"&lt;&gt;UIPA*",All!E:E,"&lt;&gt;*RFO*",All!E:E,"&lt;&gt;*TRNG*")</f>
        <v>2</v>
      </c>
      <c r="AC79" s="7">
        <f>ROUND(AB79/(T79+J79),3)</f>
        <v>4.0000000000000001E-3</v>
      </c>
      <c r="AD79">
        <f>SUMIFS(LogFY18!D:D,LogFY18!A:A,"=*consumer*", LogFY18!B:B,"&lt;&gt;*utilities*")</f>
        <v>243</v>
      </c>
      <c r="AE79">
        <f>SUM(SUMIFS(LogFY18!D:D,LogFY18!A:A,"=*consumer*", LogFY18!B:B,"&lt;&gt;*utilities*"),-1*SUMIFS(LogFY18!L:L,LogFY18!A:A,"=*consumer*", LogFY18!B:B,"&lt;&gt;*utilities*"),-1*SUMIFS(LogFY18!N:N,LogFY18!A:A,"=*consumer*", LogFY18!B:B,"&lt;&gt;*utilities*"))</f>
        <v>88</v>
      </c>
      <c r="AF79" s="7">
        <f t="shared" si="87"/>
        <v>0.36213991769547327</v>
      </c>
      <c r="AG79" s="7">
        <f t="shared" si="88"/>
        <v>1.1928947231338249E-2</v>
      </c>
      <c r="AH79">
        <f>ROUND(SUMIFS(LogFY18!K:K,LogFY18!A:A,"=*consumer*", LogFY18!B:B,"&lt;&gt;*utilities*")/SUMIFS(LogFY18!J:J,LogFY18!A:A,"=*consumer*", LogFY18!B:B,"&lt;&gt;*utilities*"),0)</f>
        <v>8</v>
      </c>
      <c r="AI79">
        <f t="shared" si="89"/>
        <v>-1</v>
      </c>
      <c r="AJ79" s="1">
        <v>47</v>
      </c>
      <c r="AK79" s="1">
        <f t="shared" si="116"/>
        <v>-2</v>
      </c>
      <c r="AL79">
        <f>COUNTIFS(All!F:F,"=DCCA*", All!F:F,"&lt;&gt;*PUC", All!B:B, "&gt;=7/1/2017", All!B:B,"&lt;=6/30/2018", All!E:E,"=U*",All!E:E,"&lt;&gt;UIPA*",All!E:E,"&lt;&gt;*RFO*",All!E:E,"&lt;&gt;*TRNG*")</f>
        <v>1</v>
      </c>
      <c r="AM79" s="7">
        <f>ROUND(AL79/(AD79+T79),3)</f>
        <v>2E-3</v>
      </c>
      <c r="AN79">
        <f>SUMIFS(LogFY19!D:D,LogFY19!A:A,"=*consumer*", LogFY19!B:B,"&lt;&gt;*utilities*")</f>
        <v>256</v>
      </c>
      <c r="AO79">
        <f>SUM(SUMIFS(LogFY19!D:D,LogFY19!A:A,"=*consumer*", LogFY19!B:B,"&lt;&gt;*utilities*"),-1*SUMIFS(LogFY19!L:L,LogFY19!A:A,"=*consumer*", LogFY19!B:B,"&lt;&gt;*utilities*"),-1*SUMIFS(LogFY19!N:N,LogFY19!A:A,"=*consumer*", LogFY19!B:B,"&lt;&gt;*utilities*"))</f>
        <v>76</v>
      </c>
      <c r="AP79" s="7">
        <f t="shared" si="91"/>
        <v>0.296875</v>
      </c>
      <c r="AQ79" s="7">
        <f t="shared" si="92"/>
        <v>-6.5264917695473268E-2</v>
      </c>
      <c r="AR79">
        <f>ROUND(SUMIFS(LogFY19!K:K,LogFY19!A:A,"=*consumer*", LogFY19!B:B,"&lt;&gt;*utilities*")/SUMIFS(LogFY19!J:J,LogFY19!A:A,"=*consumer*", LogFY19!B:B,"&lt;&gt;*utilities*"),0)</f>
        <v>10</v>
      </c>
      <c r="AS79">
        <f t="shared" si="93"/>
        <v>2</v>
      </c>
      <c r="AT79" s="1">
        <v>79</v>
      </c>
      <c r="AU79" s="1">
        <f t="shared" si="117"/>
        <v>32</v>
      </c>
      <c r="AV79">
        <f>COUNTIFS(All!F:F,"=DCCA*", All!F:F,"&lt;&gt;*PUC", All!B:B, "&gt;=7/1/2018", All!B:B,"&lt;=6/30/2019", All!E:E,"=U*",All!E:E,"&lt;&gt;UIPA*",All!E:E,"&lt;&gt;*RFO*",All!E:E,"&lt;&gt;*TRNG*")</f>
        <v>4</v>
      </c>
      <c r="AW79" s="7">
        <f>ROUND(AV79/(AN79+AD79),3)</f>
        <v>8.0000000000000002E-3</v>
      </c>
      <c r="AX79">
        <f>SUMIFS(LogFY20!D:D,LogFY20!A:A,"=*consumer*", LogFY20!B:B,"&lt;&gt;*utilities*")</f>
        <v>325</v>
      </c>
      <c r="AY79">
        <f>SUM(SUMIFS(LogFY20!D:D,LogFY20!A:A,"=*consumer*", LogFY20!B:B,"&lt;&gt;*utilities*"),-1*SUMIFS(LogFY20!L:L,LogFY20!A:A,"=*consumer*", LogFY20!B:B,"&lt;&gt;*utilities*"),-1*SUMIFS(LogFY20!N:N,LogFY20!A:A,"=*consumer*", LogFY20!B:B,"&lt;&gt;*utilities*"))</f>
        <v>129</v>
      </c>
      <c r="AZ79" s="7">
        <f>AY79/AX79</f>
        <v>0.39692307692307693</v>
      </c>
      <c r="BA79" s="7">
        <f t="shared" si="133"/>
        <v>0.10004807692307693</v>
      </c>
      <c r="BB79">
        <f>ROUND(SUMIFS(LogFY20!K:K,LogFY20!A:A,"=*consumer*", LogFY20!B:B,"&lt;&gt;*utilities*")/SUMIFS(LogFY20!J:J,LogFY20!A:A,"=*consumer*", LogFY20!B:B,"&lt;&gt;*utilities*"),0)</f>
        <v>10</v>
      </c>
      <c r="BC79">
        <f>BB79-AR79</f>
        <v>0</v>
      </c>
      <c r="BD79" s="1">
        <v>104</v>
      </c>
      <c r="BE79" s="1">
        <f t="shared" si="134"/>
        <v>25</v>
      </c>
      <c r="BF79">
        <f>COUNTIFS(All!F:F,"=DCCA*", All!F:F,"&lt;&gt;*PUC", All!B:B, "&gt;=7/1/2019", All!B:B,"&lt;=6/30/2020", All!E:E,"=U*",All!E:E,"&lt;&gt;UIPA*",All!E:E,"&lt;&gt;*RFO*",All!E:E,"&lt;&gt;*TRNG*")</f>
        <v>4</v>
      </c>
      <c r="BG79" s="7">
        <f>ROUND(BF79/(AX79+AN79),3)</f>
        <v>7.0000000000000001E-3</v>
      </c>
      <c r="BH79">
        <f>SUMIFS(LogFY21!D:D,LogFY21!A:A,"=*consumer*", LogFY21!B:B,"&lt;&gt;*utilities*")</f>
        <v>273</v>
      </c>
      <c r="BI79">
        <f>SUM(SUMIFS(LogFY21!D:D,LogFY21!A:A,"=*consumer*", LogFY21!B:B,"&lt;&gt;*utilities*"),-1*SUMIFS(LogFY21!L:L,LogFY21!A:A,"=*consumer*", LogFY21!B:B,"&lt;&gt;*utilities*"),-1*SUMIFS(LogFY21!N:N,LogFY21!A:A,"=*consumer*", LogFY21!B:B,"&lt;&gt;*utilities*"))</f>
        <v>107</v>
      </c>
      <c r="BJ79" s="7">
        <f t="shared" si="118"/>
        <v>0.39194139194139194</v>
      </c>
      <c r="BK79" s="7">
        <f t="shared" si="119"/>
        <v>-4.9816849816849973E-3</v>
      </c>
      <c r="BL79">
        <f>ROUND(SUMIFS(LogFY21!K:K,LogFY21!A:A,"=*consumer*", LogFY21!B:B,"&lt;&gt;*utilities*")/SUMIFS(LogFY21!J:J,LogFY21!A:A,"=*consumer*", LogFY21!B:B,"&lt;&gt;*utilities*"),0)</f>
        <v>8</v>
      </c>
      <c r="BM79">
        <f t="shared" si="120"/>
        <v>-2</v>
      </c>
      <c r="BN79" s="1">
        <v>36</v>
      </c>
      <c r="BO79" s="1">
        <f t="shared" si="121"/>
        <v>-68</v>
      </c>
      <c r="BP79">
        <f>COUNTIFS(All!F:F,"=DCCA*", All!F:F,"&lt;&gt;*PUC", All!B:B, "&gt;=7/1/2020", All!B:B,"&lt;=6/30/2021", All!E:E,"=U*",All!E:E,"&lt;&gt;UIPA*",All!E:E,"&lt;&gt;*RFO*",All!E:E,"&lt;&gt;*TRNG*")</f>
        <v>2</v>
      </c>
      <c r="BQ79" s="7">
        <f>ROUND(BP79/(BH79+AX79),3)</f>
        <v>3.0000000000000001E-3</v>
      </c>
      <c r="BR79">
        <f>SUMIFS(LogFY22!D:D,LogFY22!A:A,"=*consumer*", LogFY22!B:B,"&lt;&gt;*utilities*")</f>
        <v>303</v>
      </c>
      <c r="BS79">
        <f>SUM(SUMIFS(LogFY22!D:D,LogFY22!A:A,"=*consumer*", LogFY22!B:B,"&lt;&gt;*utilities*"),-1*SUMIFS(LogFY22!L:L,LogFY22!A:A,"=*consumer*", LogFY22!B:B,"&lt;&gt;*utilities*"),-1*SUMIFS(LogFY22!N:N,LogFY22!A:A,"=*consumer*", LogFY22!B:B,"&lt;&gt;*utilities*"))</f>
        <v>116</v>
      </c>
      <c r="BT79" s="7">
        <f t="shared" si="103"/>
        <v>0.38283828382838286</v>
      </c>
      <c r="BU79" s="7">
        <f t="shared" si="104"/>
        <v>-9.103108113009073E-3</v>
      </c>
      <c r="BV79">
        <f>ROUND(SUMIFS(LogFY22!K:K,LogFY22!A:A,"=*consumer*", LogFY22!B:B,"&lt;&gt;*utilities*")/SUMIFS(LogFY22!J:J,LogFY22!A:A,"=*consumer*", LogFY22!B:B,"&lt;&gt;*utilities*"),0)</f>
        <v>7</v>
      </c>
      <c r="BW79">
        <f t="shared" si="105"/>
        <v>-1</v>
      </c>
      <c r="BX79" s="1">
        <v>51</v>
      </c>
      <c r="BY79" s="1">
        <f t="shared" si="106"/>
        <v>15</v>
      </c>
      <c r="BZ79">
        <f>COUNTIFS(All!F:F,"=DCCA*", All!F:F,"&lt;&gt;*PUC", All!B:B, "&gt;=7/1/2021", All!B:B,"&lt;=6/30/2022", All!E:E,"=U*",All!E:E,"&lt;&gt;UIPA*",All!E:E,"&lt;&gt;*RFO*",All!E:E,"&lt;&gt;*TRNG*")</f>
        <v>5</v>
      </c>
      <c r="CA79" s="7">
        <f>ROUND(BZ79/(BR79+BH79),3)</f>
        <v>8.9999999999999993E-3</v>
      </c>
      <c r="CB79">
        <f>SUMIFS(LogFY23!D:D,LogFY23!A:A,"=*consumer*", LogFY23!B:B,"&lt;&gt;*utilities*")</f>
        <v>320</v>
      </c>
      <c r="CC79">
        <f>SUM(SUMIFS(LogFY23!D:D,LogFY23!A:A,"=*consumer*", LogFY23!B:B,"&lt;&gt;*utilities*"),-1*SUMIFS(LogFY23!L:L,LogFY23!A:A,"=*consumer*", LogFY23!B:B,"&lt;&gt;*utilities*"),-1*SUMIFS(LogFY23!N:N,LogFY23!A:A,"=*consumer*", LogFY23!B:B,"&lt;&gt;*utilities*"))</f>
        <v>119</v>
      </c>
      <c r="CD79" s="7">
        <f t="shared" si="122"/>
        <v>0.37187500000000001</v>
      </c>
      <c r="CE79" s="7">
        <f t="shared" si="123"/>
        <v>-1.0963283828382853E-2</v>
      </c>
      <c r="CF79">
        <f>ROUND(SUMIFS(LogFY23!K:K,LogFY23!A:A,"=*consumer*", LogFY23!B:B,"&lt;&gt;*utilities*")/SUMIFS(LogFY23!J:J,LogFY23!A:A,"=*consumer*", LogFY23!B:B,"&lt;&gt;*utilities*"),0)</f>
        <v>8</v>
      </c>
      <c r="CG79">
        <f t="shared" si="124"/>
        <v>1</v>
      </c>
      <c r="CH79" s="1">
        <v>51</v>
      </c>
      <c r="CI79" s="1">
        <f t="shared" si="127"/>
        <v>0</v>
      </c>
      <c r="CJ79">
        <f>COUNTIFS(All!F:F,"=DCCA*", All!F:F,"&lt;&gt;*PUC", All!B:B, "&gt;=7/1/2022", All!B:B,"&lt;=6/30/2023", All!E:E,"=U*",All!E:E,"&lt;&gt;UIPA*",All!E:E,"&lt;&gt;*RFO*",All!E:E,"&lt;&gt;*TRNG*")</f>
        <v>2</v>
      </c>
      <c r="CK79" s="7">
        <f>ROUND(CJ79/(CB79+BR79),3)</f>
        <v>3.0000000000000001E-3</v>
      </c>
      <c r="CL79">
        <f>SUMIFS(LogFY24!D:D,LogFY24!A:A,"=*consumer*", LogFY24!B:B,"&lt;&gt;*utilities*")</f>
        <v>286</v>
      </c>
      <c r="CM79">
        <f>SUM(SUMIFS(LogFY24!D:D,LogFY24!A:A,"=*consumer*", LogFY24!B:B,"&lt;&gt;*utilities*"),-1*SUMIFS(LogFY24!L:L,LogFY24!A:A,"=*consumer*", LogFY24!B:B,"&lt;&gt;*utilities*"),-1*SUMIFS(LogFY24!N:N,LogFY24!A:A,"=*consumer*", LogFY24!B:B,"&lt;&gt;*utilities*"))</f>
        <v>136</v>
      </c>
      <c r="CN79" s="7">
        <f t="shared" si="126"/>
        <v>0.47552447552447552</v>
      </c>
      <c r="CO79" s="7">
        <f t="shared" si="128"/>
        <v>0.10364947552447551</v>
      </c>
      <c r="CP79">
        <f>ROUND(SUMIFS(LogFY24!K:K,LogFY24!A:A,"=*consumer*", LogFY24!B:B,"&lt;&gt;*utilities*")/SUMIFS(LogFY24!J:J,LogFY24!A:A,"=*consumer*", LogFY24!B:B,"&lt;&gt;*utilities*"),0)</f>
        <v>9</v>
      </c>
      <c r="CQ79">
        <f t="shared" si="129"/>
        <v>1</v>
      </c>
      <c r="CR79" s="1">
        <v>121</v>
      </c>
      <c r="CS79" s="1">
        <f t="shared" si="110"/>
        <v>70</v>
      </c>
      <c r="CT79">
        <f>COUNTIFS(All!F:F,"=DCCA*", All!F:F,"&lt;&gt;*PUC", All!B:B, "&gt;=7/1/2023", All!B:B,"&lt;=6/30/2024", All!E:E,"=U*",All!E:E,"&lt;&gt;UIPA*",All!E:E,"&lt;&gt;*RFO*",All!E:E,"&lt;&gt;*TRNG*")</f>
        <v>1</v>
      </c>
      <c r="CU79" s="7">
        <f>ROUND(CT79/(CL79+CB79),3)</f>
        <v>2E-3</v>
      </c>
    </row>
    <row r="80" spans="1:99" ht="16">
      <c r="A80" s="10">
        <f t="shared" si="130"/>
        <v>79</v>
      </c>
      <c r="B80" s="9" t="s">
        <v>17470</v>
      </c>
      <c r="C80">
        <f>SUMIFS(LogFY15!D:D,LogFY15!B:B,"=*pvl*")</f>
        <v>119</v>
      </c>
      <c r="D80">
        <f>SUM(SUMIFS(LogFY15!D:D,LogFY15!B:B,"=*pvl*"),-1*SUMIFS(LogFY15!L:L,LogFY15!B:B,"=*pvl*"),-1*SUMIFS(LogFY15!N:N,LogFY15!B:B,"=*pvl*"))</f>
        <v>18</v>
      </c>
      <c r="E80" s="7">
        <f t="shared" si="125"/>
        <v>0.15126050420168066</v>
      </c>
      <c r="F80">
        <f>ROUND(SUMIFS(LogFY15!K:K,LogFY15!B:B,"=*pvl*")/SUMIFS(LogFY15!J:J,LogFY15!B:B,"=*pvl*"),0)</f>
        <v>13</v>
      </c>
      <c r="G80" s="1">
        <v>56</v>
      </c>
      <c r="J80">
        <f>SUMIFS(LogFY16!D:D,LogFY16!B:B,"=*pvl*")</f>
        <v>97</v>
      </c>
      <c r="K80">
        <f>SUM(SUMIFS(LogFY16!D:D,LogFY16!B:B,"=*pvl*"),-1*SUMIFS(LogFY16!L:L,LogFY16!B:B,"=*pvl*"),-1*SUMIFS(LogFY16!N:N,LogFY16!B:B,"=*pvl*"))</f>
        <v>14</v>
      </c>
      <c r="L80" s="7">
        <f t="shared" si="111"/>
        <v>0.14432989690721648</v>
      </c>
      <c r="M80" s="7">
        <f t="shared" si="112"/>
        <v>-6.9306072944641806E-3</v>
      </c>
      <c r="N80">
        <f>ROUND(SUMIFS(LogFY16!K:K,LogFY16!B:B,"=*pvl*")/SUMIFS(LogFY16!J:J,LogFY16!B:B,"=*pvl*"),0)</f>
        <v>11</v>
      </c>
      <c r="O80">
        <f t="shared" si="113"/>
        <v>-2</v>
      </c>
      <c r="P80" s="1">
        <v>49</v>
      </c>
      <c r="Q80" s="1">
        <f t="shared" si="114"/>
        <v>-7</v>
      </c>
      <c r="T80">
        <f>SUMIFS(LogFY17!D:D,LogFY17!B:B,"=*pvl*")</f>
        <v>113</v>
      </c>
      <c r="U80">
        <f>SUM(SUMIFS(LogFY17!D:D,LogFY17!B:B,"=*pvl*"),-1*SUMIFS(LogFY17!L:L,LogFY17!B:B,"=*pvl*"),-1*SUMIFS(LogFY17!N:N,LogFY17!B:B,"=*pvl*"))</f>
        <v>26</v>
      </c>
      <c r="V80" s="7">
        <f t="shared" si="131"/>
        <v>0.23008849557522124</v>
      </c>
      <c r="W80" s="7">
        <f t="shared" si="132"/>
        <v>8.5758598668004754E-2</v>
      </c>
      <c r="X80">
        <f>ROUND(SUMIFS(LogFY17!K:K,LogFY17!B:B,"=*pvl*")/SUMIFS(LogFY17!J:J,LogFY17!B:B,"=*pvl*"),0)</f>
        <v>13</v>
      </c>
      <c r="Y80">
        <f t="shared" si="86"/>
        <v>2</v>
      </c>
      <c r="Z80" s="1">
        <v>49</v>
      </c>
      <c r="AA80" s="1">
        <f t="shared" si="115"/>
        <v>0</v>
      </c>
      <c r="AD80">
        <f>SUMIFS(LogFY18!D:D,LogFY18!B:B,"=*pvl*")</f>
        <v>112</v>
      </c>
      <c r="AE80">
        <f>SUM(SUMIFS(LogFY18!D:D,LogFY18!B:B,"=*pvl*"),-1*SUMIFS(LogFY18!L:L,LogFY18!B:B,"=*pvl*"),-1*SUMIFS(LogFY18!N:N,LogFY18!B:B,"=*pvl*"))</f>
        <v>20</v>
      </c>
      <c r="AF80" s="7">
        <f t="shared" si="87"/>
        <v>0.17857142857142858</v>
      </c>
      <c r="AG80" s="7">
        <f t="shared" si="88"/>
        <v>-5.151706700379266E-2</v>
      </c>
      <c r="AH80">
        <f>ROUND(SUMIFS(LogFY18!K:K,LogFY18!B:B,"=*pvl*")/SUMIFS(LogFY18!J:J,LogFY18!B:B,"=*pvl*"),0)</f>
        <v>9</v>
      </c>
      <c r="AI80">
        <f t="shared" si="89"/>
        <v>-4</v>
      </c>
      <c r="AJ80" s="1">
        <v>41</v>
      </c>
      <c r="AK80" s="1">
        <f t="shared" si="116"/>
        <v>-8</v>
      </c>
      <c r="AN80">
        <f>SUMIFS(LogFY19!D:D,LogFY19!B:B,"=*pvl*")</f>
        <v>116</v>
      </c>
      <c r="AO80">
        <f>SUM(SUMIFS(LogFY19!D:D,LogFY19!B:B,"=*pvl*"),-1*SUMIFS(LogFY19!L:L,LogFY19!B:B,"=*pvl*"),-1*SUMIFS(LogFY19!N:N,LogFY19!B:B,"=*pvl*"))</f>
        <v>14</v>
      </c>
      <c r="AP80" s="7">
        <f t="shared" si="91"/>
        <v>0.1206896551724138</v>
      </c>
      <c r="AQ80" s="7">
        <f t="shared" si="92"/>
        <v>-5.7881773399014777E-2</v>
      </c>
      <c r="AR80">
        <f>ROUND(SUMIFS(LogFY19!K:K,LogFY19!B:B,"=*pvl*")/SUMIFS(LogFY19!J:J,LogFY19!B:B,"=*pvl*"),0)</f>
        <v>11</v>
      </c>
      <c r="AS80">
        <f t="shared" si="93"/>
        <v>2</v>
      </c>
      <c r="AT80" s="1">
        <v>42</v>
      </c>
      <c r="AU80" s="1">
        <f t="shared" si="117"/>
        <v>1</v>
      </c>
      <c r="AX80">
        <f>SUMIFS(LogFY20!D:D,LogFY20!B:B,"=*pvl*")</f>
        <v>103</v>
      </c>
      <c r="AY80">
        <f>SUM(SUMIFS(LogFY20!D:D,LogFY20!B:B,"=*pvl*"),-1*SUMIFS(LogFY20!L:L,LogFY20!B:B,"=*pvl*"),-1*SUMIFS(LogFY20!N:N,LogFY20!B:B,"=*pvl*"))</f>
        <v>25</v>
      </c>
      <c r="AZ80" s="7">
        <f>AY80/AX80</f>
        <v>0.24271844660194175</v>
      </c>
      <c r="BA80" s="7">
        <f t="shared" si="133"/>
        <v>0.12202879142952795</v>
      </c>
      <c r="BB80">
        <f>ROUND(SUMIFS(LogFY20!K:K,LogFY20!B:B,"=*pvl*")/SUMIFS(LogFY20!J:J,LogFY20!B:B,"=*pvl*"),0)</f>
        <v>12</v>
      </c>
      <c r="BC80">
        <f>BB80-AR80</f>
        <v>1</v>
      </c>
      <c r="BD80" s="1">
        <v>71</v>
      </c>
      <c r="BE80" s="1">
        <f t="shared" si="134"/>
        <v>29</v>
      </c>
      <c r="BH80">
        <f>SUMIFS(LogFY21!D:D,LogFY21!B:B,"=*pvl*")</f>
        <v>48</v>
      </c>
      <c r="BI80">
        <f>SUM(SUMIFS(LogFY21!D:D,LogFY21!B:B,"=*pvl*"),-1*SUMIFS(LogFY21!L:L,LogFY21!B:B,"=*pvl*"),-1*SUMIFS(LogFY21!N:N,LogFY21!B:B,"=*pvl*"))</f>
        <v>10</v>
      </c>
      <c r="BJ80" s="7">
        <f t="shared" si="118"/>
        <v>0.20833333333333334</v>
      </c>
      <c r="BK80" s="7">
        <f t="shared" si="119"/>
        <v>-3.4385113268608408E-2</v>
      </c>
      <c r="BL80">
        <f>ROUND(SUMIFS(LogFY21!K:K,LogFY21!B:B,"=*pvl*")/SUMIFS(LogFY21!J:J,LogFY21!B:B,"=*pvl*"),0)</f>
        <v>13</v>
      </c>
      <c r="BM80">
        <f t="shared" si="120"/>
        <v>1</v>
      </c>
      <c r="BN80" s="1">
        <v>35</v>
      </c>
      <c r="BO80" s="1">
        <f t="shared" si="121"/>
        <v>-36</v>
      </c>
      <c r="BR80">
        <f>SUMIFS(LogFY22!D:D,LogFY22!B:B,"=*pvl*")</f>
        <v>63</v>
      </c>
      <c r="BS80">
        <f>SUM(SUMIFS(LogFY22!D:D,LogFY22!B:B,"=*pvl*"),-1*SUMIFS(LogFY22!L:L,LogFY22!B:B,"=*pvl*"),-1*SUMIFS(LogFY22!N:N,LogFY22!B:B,"=*pvl*"))</f>
        <v>8</v>
      </c>
      <c r="BT80" s="7">
        <f t="shared" si="103"/>
        <v>0.12698412698412698</v>
      </c>
      <c r="BU80" s="7">
        <f t="shared" si="104"/>
        <v>-8.1349206349206366E-2</v>
      </c>
      <c r="BV80">
        <f>ROUND(SUMIFS(LogFY22!K:K,LogFY22!B:B,"=*pvl*")/SUMIFS(LogFY22!J:J,LogFY22!B:B,"=*pvl*"),0)</f>
        <v>12</v>
      </c>
      <c r="BW80">
        <f t="shared" si="105"/>
        <v>-1</v>
      </c>
      <c r="BX80" s="1">
        <v>51</v>
      </c>
      <c r="BY80" s="1">
        <f t="shared" si="106"/>
        <v>16</v>
      </c>
      <c r="CB80">
        <f>SUMIFS(LogFY23!D:D,LogFY23!B:B,"=*pvl*")</f>
        <v>92</v>
      </c>
      <c r="CC80">
        <f>SUM(SUMIFS(LogFY23!D:D,LogFY23!B:B,"=*pvl*"),-1*SUMIFS(LogFY23!L:L,LogFY23!B:B,"=*pvl*"),-1*SUMIFS(LogFY23!N:N,LogFY23!B:B,"=*pvl*"))</f>
        <v>14</v>
      </c>
      <c r="CD80" s="7">
        <f t="shared" si="122"/>
        <v>0.15217391304347827</v>
      </c>
      <c r="CE80" s="7">
        <f t="shared" si="123"/>
        <v>2.5189786059351293E-2</v>
      </c>
      <c r="CF80">
        <f>ROUND(SUMIFS(LogFY23!K:K,LogFY23!B:B,"=*pvl*")/SUMIFS(LogFY23!J:J,LogFY23!B:B,"=*pvl*"),0)</f>
        <v>8</v>
      </c>
      <c r="CG80">
        <f t="shared" si="124"/>
        <v>-4</v>
      </c>
      <c r="CH80" s="1">
        <v>43</v>
      </c>
      <c r="CI80" s="1">
        <f t="shared" si="127"/>
        <v>-8</v>
      </c>
      <c r="CK80" s="7"/>
      <c r="CL80">
        <f>SUMIFS(LogFY24!D:D,LogFY24!B:B,"=*pvl*")</f>
        <v>58</v>
      </c>
      <c r="CM80">
        <f>SUM(SUMIFS(LogFY24!D:D,LogFY24!B:B,"=*pvl*"),-1*SUMIFS(LogFY24!L:L,LogFY24!B:B,"=*pvl*"),-1*SUMIFS(LogFY24!N:N,LogFY24!B:B,"=*pvl*"))</f>
        <v>6</v>
      </c>
      <c r="CN80" s="7">
        <f t="shared" si="126"/>
        <v>0.10344827586206896</v>
      </c>
      <c r="CO80" s="7">
        <f t="shared" si="128"/>
        <v>-4.8725637181409306E-2</v>
      </c>
      <c r="CP80">
        <f>ROUND(SUMIFS(LogFY24!K:K,LogFY24!B:B,"=*pvl*")/SUMIFS(LogFY24!J:J,LogFY24!B:B,"=*pvl*"),0)</f>
        <v>10</v>
      </c>
      <c r="CQ80">
        <f t="shared" si="129"/>
        <v>2</v>
      </c>
      <c r="CR80" s="1">
        <v>121</v>
      </c>
      <c r="CS80" s="1">
        <f t="shared" si="110"/>
        <v>78</v>
      </c>
    </row>
    <row r="81" spans="1:99" ht="16">
      <c r="A81" s="10">
        <f t="shared" si="130"/>
        <v>80</v>
      </c>
      <c r="B81" s="9" t="s">
        <v>17471</v>
      </c>
      <c r="C81">
        <f>SUMIFS(LogFY15!D:D,LogFY15!B:B,"=*rico*")</f>
        <v>101</v>
      </c>
      <c r="D81">
        <f>SUM(SUMIFS(LogFY15!D:D,LogFY15!B:B,"=*rico*"),-1*SUMIFS(LogFY15!L:L,LogFY15!B:B,"=*rico*"),-1*SUMIFS(LogFY15!N:N,LogFY15!B:B,"=*rico*"))</f>
        <v>47</v>
      </c>
      <c r="E81" s="7">
        <f t="shared" si="125"/>
        <v>0.46534653465346537</v>
      </c>
      <c r="F81">
        <f>ROUND(SUMIFS(LogFY15!K:K,LogFY15!B:B,"=*rico*")/SUMIFS(LogFY15!J:J,LogFY15!B:B,"=*rico*"),0)</f>
        <v>5</v>
      </c>
      <c r="G81" s="1">
        <v>33</v>
      </c>
      <c r="J81">
        <f>SUMIFS(LogFY16!D:D,LogFY16!B:B,"=*rico*")</f>
        <v>87</v>
      </c>
      <c r="K81">
        <f>SUM(SUMIFS(LogFY16!D:D,LogFY16!B:B,"=*rico*"),-1*SUMIFS(LogFY16!L:L,LogFY16!B:B,"=*rico*"),-1*SUMIFS(LogFY16!N:N,LogFY16!B:B,"=*rico*"))</f>
        <v>28</v>
      </c>
      <c r="L81" s="7">
        <f t="shared" si="111"/>
        <v>0.32183908045977011</v>
      </c>
      <c r="M81" s="7">
        <f t="shared" si="112"/>
        <v>-0.14350745419369526</v>
      </c>
      <c r="N81">
        <f>ROUND(SUMIFS(LogFY16!K:K,LogFY16!B:B,"=*rico*")/SUMIFS(LogFY16!J:J,LogFY16!B:B,"=*rico*"),0)</f>
        <v>4</v>
      </c>
      <c r="O81">
        <f t="shared" si="113"/>
        <v>-1</v>
      </c>
      <c r="P81" s="1">
        <v>22</v>
      </c>
      <c r="Q81" s="1">
        <f t="shared" si="114"/>
        <v>-11</v>
      </c>
      <c r="T81">
        <f>SUMIFS(LogFY17!D:D,LogFY17!B:B,"=*rico*")</f>
        <v>88</v>
      </c>
      <c r="U81">
        <f>SUM(SUMIFS(LogFY17!D:D,LogFY17!B:B,"=*rico*"),-1*SUMIFS(LogFY17!L:L,LogFY17!B:B,"=*rico*"),-1*SUMIFS(LogFY17!N:N,LogFY17!B:B,"=*rico*"))</f>
        <v>45</v>
      </c>
      <c r="V81" s="7">
        <f t="shared" si="131"/>
        <v>0.51136363636363635</v>
      </c>
      <c r="W81" s="7">
        <f t="shared" si="132"/>
        <v>0.18952455590386624</v>
      </c>
      <c r="X81">
        <f>ROUND(SUMIFS(LogFY17!K:K,LogFY17!B:B,"=*rico*")/SUMIFS(LogFY17!J:J,LogFY17!B:B,"=*rico*"),0)</f>
        <v>4</v>
      </c>
      <c r="Y81">
        <f t="shared" si="86"/>
        <v>0</v>
      </c>
      <c r="Z81" s="1">
        <v>19</v>
      </c>
      <c r="AA81" s="1">
        <f t="shared" si="115"/>
        <v>-3</v>
      </c>
      <c r="AD81">
        <f>SUMIFS(LogFY18!D:D,LogFY18!B:B,"=*rico*")</f>
        <v>86</v>
      </c>
      <c r="AE81">
        <f>SUM(SUMIFS(LogFY18!D:D,LogFY18!B:B,"=*rico*"),-1*SUMIFS(LogFY18!L:L,LogFY18!B:B,"=*rico*"),-1*SUMIFS(LogFY18!N:N,LogFY18!B:B,"=*rico*"))</f>
        <v>46</v>
      </c>
      <c r="AF81" s="7">
        <f t="shared" si="87"/>
        <v>0.53488372093023251</v>
      </c>
      <c r="AG81" s="7">
        <f t="shared" si="88"/>
        <v>2.3520084566596156E-2</v>
      </c>
      <c r="AH81">
        <f>ROUND(SUMIFS(LogFY18!K:K,LogFY18!B:B,"=*rico*")/SUMIFS(LogFY18!J:J,LogFY18!B:B,"=*rico*"),0)</f>
        <v>6</v>
      </c>
      <c r="AI81">
        <f t="shared" si="89"/>
        <v>2</v>
      </c>
      <c r="AJ81" s="1">
        <v>26</v>
      </c>
      <c r="AK81" s="1">
        <f t="shared" si="116"/>
        <v>7</v>
      </c>
      <c r="AN81">
        <f>SUMIFS(LogFY19!D:D,LogFY19!B:B,"=*rico*")</f>
        <v>87</v>
      </c>
      <c r="AO81">
        <f>SUM(SUMIFS(LogFY19!D:D,LogFY19!B:B,"=*rico*"),-1*SUMIFS(LogFY19!L:L,LogFY19!B:B,"=*rico*"),-1*SUMIFS(LogFY19!N:N,LogFY19!B:B,"=*rico*"))</f>
        <v>32</v>
      </c>
      <c r="AP81" s="7">
        <f t="shared" si="91"/>
        <v>0.36781609195402298</v>
      </c>
      <c r="AQ81" s="7">
        <f t="shared" ref="AQ81:AQ101" si="135">AP81-AF81</f>
        <v>-0.16706762897620953</v>
      </c>
      <c r="AR81">
        <f>ROUND(SUMIFS(LogFY19!K:K,LogFY19!B:B,"=*rico*")/SUMIFS(LogFY19!J:J,LogFY19!B:B,"=*rico*"),0)</f>
        <v>5</v>
      </c>
      <c r="AS81">
        <f t="shared" si="93"/>
        <v>-1</v>
      </c>
      <c r="AT81" s="1">
        <v>33</v>
      </c>
      <c r="AU81" s="1">
        <f t="shared" si="117"/>
        <v>7</v>
      </c>
      <c r="AX81">
        <f>SUMIFS(LogFY20!D:D,LogFY20!B:B,"=*rico*")</f>
        <v>157</v>
      </c>
      <c r="AY81">
        <f>SUM(SUMIFS(LogFY20!D:D,LogFY20!B:B,"=*rico*"),-1*SUMIFS(LogFY20!L:L,LogFY20!B:B,"=*rico*"),-1*SUMIFS(LogFY20!N:N,LogFY20!B:B,"=*rico*"))</f>
        <v>63</v>
      </c>
      <c r="AZ81" s="7">
        <f>AY81/AX81</f>
        <v>0.40127388535031849</v>
      </c>
      <c r="BA81" s="7">
        <f t="shared" si="133"/>
        <v>3.345779339629551E-2</v>
      </c>
      <c r="BB81">
        <f>ROUND(SUMIFS(LogFY20!K:K,LogFY20!B:B,"=*rico*")/SUMIFS(LogFY20!J:J,LogFY20!B:B,"=*rico*"),0)</f>
        <v>7</v>
      </c>
      <c r="BC81">
        <f>BB81-AR81</f>
        <v>2</v>
      </c>
      <c r="BD81" s="1">
        <v>53</v>
      </c>
      <c r="BE81" s="1">
        <f t="shared" si="134"/>
        <v>20</v>
      </c>
      <c r="BH81">
        <f>SUMIFS(LogFY21!D:D,LogFY21!B:B,"=*rico*")</f>
        <v>163</v>
      </c>
      <c r="BI81">
        <f>SUM(SUMIFS(LogFY21!D:D,LogFY21!B:B,"=*rico*"),-1*SUMIFS(LogFY21!L:L,LogFY21!B:B,"=*rico*"),-1*SUMIFS(LogFY21!N:N,LogFY21!B:B,"=*rico*"))</f>
        <v>54</v>
      </c>
      <c r="BJ81" s="7">
        <f t="shared" si="118"/>
        <v>0.33128834355828218</v>
      </c>
      <c r="BK81" s="7">
        <f t="shared" si="119"/>
        <v>-6.998554179203631E-2</v>
      </c>
      <c r="BL81">
        <f>ROUND(SUMIFS(LogFY21!K:K,LogFY21!B:B,"=*rico*")/SUMIFS(LogFY21!J:J,LogFY21!B:B,"=*rico*"),0)</f>
        <v>6</v>
      </c>
      <c r="BM81">
        <f t="shared" si="120"/>
        <v>-1</v>
      </c>
      <c r="BN81" s="1">
        <v>14</v>
      </c>
      <c r="BO81" s="1">
        <f t="shared" si="121"/>
        <v>-39</v>
      </c>
      <c r="BR81">
        <f>SUMIFS(LogFY22!D:D,LogFY22!B:B,"=*rico*")</f>
        <v>162</v>
      </c>
      <c r="BS81">
        <f>SUM(SUMIFS(LogFY22!D:D,LogFY22!B:B,"=*rico*"),-1*SUMIFS(LogFY22!L:L,LogFY22!B:B,"=*rico*"),-1*SUMIFS(LogFY22!N:N,LogFY22!B:B,"=*rico*"))</f>
        <v>62</v>
      </c>
      <c r="BT81" s="7">
        <f t="shared" ref="BT81:BT101" si="136">BS81/BR81</f>
        <v>0.38271604938271603</v>
      </c>
      <c r="BU81" s="7">
        <f t="shared" ref="BU81:BU101" si="137">BT81-BJ81</f>
        <v>5.1427705824433845E-2</v>
      </c>
      <c r="BV81">
        <f>ROUND(SUMIFS(LogFY22!K:K,LogFY22!B:B,"=*rico*")/SUMIFS(LogFY22!J:J,LogFY22!B:B,"=*rico*"),0)</f>
        <v>5</v>
      </c>
      <c r="BW81">
        <f t="shared" ref="BW81:BW101" si="138">BV81-BL81</f>
        <v>-1</v>
      </c>
      <c r="BX81" s="1">
        <v>11</v>
      </c>
      <c r="BY81" s="1">
        <f t="shared" ref="BY81:BY101" si="139">BX81-BN81</f>
        <v>-3</v>
      </c>
      <c r="CB81">
        <f>SUMIFS(LogFY23!D:D,LogFY23!B:B,"=*rico*")</f>
        <v>132</v>
      </c>
      <c r="CC81">
        <f>SUM(SUMIFS(LogFY23!D:D,LogFY23!B:B,"=*rico*"),-1*SUMIFS(LogFY23!L:L,LogFY23!B:B,"=*rico*"),-1*SUMIFS(LogFY23!N:N,LogFY23!B:B,"=*rico*"))</f>
        <v>47</v>
      </c>
      <c r="CD81" s="7">
        <f t="shared" si="122"/>
        <v>0.35606060606060608</v>
      </c>
      <c r="CE81" s="7">
        <f t="shared" si="123"/>
        <v>-2.6655443322109951E-2</v>
      </c>
      <c r="CF81">
        <f>ROUND(SUMIFS(LogFY23!K:K,LogFY23!B:B,"=*rico*")/SUMIFS(LogFY23!J:J,LogFY23!B:B,"=*rico*"),0)</f>
        <v>7</v>
      </c>
      <c r="CG81">
        <f t="shared" si="124"/>
        <v>2</v>
      </c>
      <c r="CH81" s="1">
        <v>35</v>
      </c>
      <c r="CI81" s="1">
        <f t="shared" si="127"/>
        <v>24</v>
      </c>
      <c r="CK81" s="7"/>
      <c r="CL81">
        <f>SUMIFS(LogFY24!D:D,LogFY24!B:B,"=*rico*")</f>
        <v>131</v>
      </c>
      <c r="CM81">
        <f>SUM(SUMIFS(LogFY24!D:D,LogFY24!B:B,"=*rico*"),-1*SUMIFS(LogFY24!L:L,LogFY24!B:B,"=*rico*"),-1*SUMIFS(LogFY24!N:N,LogFY24!B:B,"=*rico*"))</f>
        <v>68</v>
      </c>
      <c r="CN81" s="7">
        <f t="shared" si="126"/>
        <v>0.51908396946564883</v>
      </c>
      <c r="CO81" s="7">
        <f t="shared" si="128"/>
        <v>0.16302336340504275</v>
      </c>
      <c r="CP81">
        <f>ROUND(SUMIFS(LogFY24!K:K,LogFY24!B:B,"=*rico*")/SUMIFS(LogFY24!J:J,LogFY24!B:B,"=*rico*"),0)</f>
        <v>8</v>
      </c>
      <c r="CQ81">
        <f t="shared" si="129"/>
        <v>1</v>
      </c>
      <c r="CR81" s="1">
        <v>53</v>
      </c>
      <c r="CS81" s="1">
        <f t="shared" ref="CS81:CS100" si="140">CR81-CH81</f>
        <v>18</v>
      </c>
    </row>
    <row r="82" spans="1:99" ht="32">
      <c r="A82" s="10">
        <f t="shared" si="130"/>
        <v>81</v>
      </c>
      <c r="B82" s="1" t="s">
        <v>17468</v>
      </c>
      <c r="C82">
        <f>SUMIFS(LogFY15!D:D,LogFY15!B:B,"=*puc*")</f>
        <v>2</v>
      </c>
      <c r="D82">
        <f>SUM(SUMIFS(LogFY15!D:D,LogFY15!B:B,"=*puc*"),-1*SUMIFS(LogFY15!L:L,LogFY15!B:B,"=*puc*"),-1*SUMIFS(LogFY15!N:N,LogFY15!B:B,"=*puc*"))</f>
        <v>1</v>
      </c>
      <c r="E82" s="7">
        <f t="shared" si="125"/>
        <v>0.5</v>
      </c>
      <c r="F82">
        <f>ROUND(SUMIFS(LogFY15!K:K,LogFY15!B:B,"=*puc*")/SUMIFS(LogFY15!J:J,LogFY15!B:B,"=*puc*"),0)</f>
        <v>9</v>
      </c>
      <c r="G82" s="1">
        <v>12</v>
      </c>
      <c r="H82">
        <f>COUNTIFS(All!F:F,"=*PUC*", All!B:B, "&gt;=7/1/2014", All!B:B,"&lt;=6/30/2015", All!E:E,"=U*",All!E:E,"&lt;&gt;UIPA*",All!E:E,"&lt;&gt;*RFO*",All!E:E,"&lt;&gt;*TRNG*")</f>
        <v>0</v>
      </c>
      <c r="I82" s="7">
        <f>ROUND(H82/C82,3)</f>
        <v>0</v>
      </c>
      <c r="J82">
        <f>SUMIFS(LogFY16!D:D,LogFY16!B:B,"=*utilities*")</f>
        <v>12</v>
      </c>
      <c r="K82">
        <f>SUM(SUMIFS(LogFY16!D:D,LogFY16!B:B,"=*utilities*"),-1*SUMIFS(LogFY16!L:L,LogFY16!B:B,"=*utilities*"),-1*SUMIFS(LogFY16!N:N,LogFY16!B:B,"=*utilities*"))</f>
        <v>7</v>
      </c>
      <c r="L82" s="7">
        <f t="shared" si="111"/>
        <v>0.58333333333333337</v>
      </c>
      <c r="M82" s="7">
        <f t="shared" si="112"/>
        <v>8.333333333333337E-2</v>
      </c>
      <c r="N82">
        <f>ROUND(SUMIFS(LogFY16!K:K,LogFY16!B:B,"=*utilities*")/SUMIFS(LogFY16!J:J,LogFY16!B:B,"=*utilities*"),0)</f>
        <v>16</v>
      </c>
      <c r="O82">
        <f t="shared" si="113"/>
        <v>7</v>
      </c>
      <c r="P82" s="1">
        <v>69</v>
      </c>
      <c r="Q82" s="1">
        <f t="shared" si="114"/>
        <v>57</v>
      </c>
      <c r="R82">
        <f>COUNTIFS(All!F:F,"=*PUC*", All!B:B, "&gt;=7/1/2015", All!B:B,"&lt;=6/30/2016", All!E:E,"=U*",All!E:E,"&lt;&gt;UIPA*",All!E:E,"&lt;&gt;*RFO*",All!E:E,"&lt;&gt;*TRNG*")</f>
        <v>0</v>
      </c>
      <c r="S82" s="7">
        <f>ROUND(R82/(J82+C82),3)</f>
        <v>0</v>
      </c>
      <c r="T82">
        <f>SUMIFS(LogFY17!D:D,LogFY17!B:B,"=*utilities*")</f>
        <v>11</v>
      </c>
      <c r="U82">
        <f>SUM(SUMIFS(LogFY17!D:D,LogFY17!B:B,"=*utilities*"),-1*SUMIFS(LogFY17!L:L,LogFY17!B:B,"=*utilities*"),-1*SUMIFS(LogFY17!N:N,LogFY17!B:B,"=*utilities*"))</f>
        <v>6</v>
      </c>
      <c r="V82" s="7">
        <f t="shared" si="131"/>
        <v>0.54545454545454541</v>
      </c>
      <c r="W82" s="7">
        <f t="shared" si="132"/>
        <v>-3.7878787878787956E-2</v>
      </c>
      <c r="X82">
        <f>ROUND(SUMIFS(LogFY17!K:K,LogFY17!B:B,"=*utilities*")/SUMIFS(LogFY17!J:J,LogFY17!B:B,"=*utilities*"),0)</f>
        <v>16</v>
      </c>
      <c r="Y82">
        <f t="shared" si="86"/>
        <v>0</v>
      </c>
      <c r="Z82" s="1">
        <v>32</v>
      </c>
      <c r="AA82" s="1">
        <f t="shared" si="115"/>
        <v>-37</v>
      </c>
      <c r="AB82">
        <f>COUNTIFS(All!F:F,"=*PUC*", All!B:B, "&gt;=7/1/2016", All!B:B,"&lt;=6/30/2017", All!E:E,"=U*",All!E:E,"&lt;&gt;UIPA*",All!E:E,"&lt;&gt;*RFO*",All!E:E,"&lt;&gt;*TRNG*")</f>
        <v>1</v>
      </c>
      <c r="AC82" s="7">
        <f>ROUND(AB82/(T82+J82),3)</f>
        <v>4.2999999999999997E-2</v>
      </c>
      <c r="AD82">
        <f>SUMIFS(LogFY18!D:D,LogFY18!B:B,"=*utilities*")</f>
        <v>3</v>
      </c>
      <c r="AE82">
        <f>SUM(SUMIFS(LogFY18!D:D,LogFY18!B:B,"=*utilities*"),-1*SUMIFS(LogFY18!L:L,LogFY18!B:B,"=*utilities*"),-1*SUMIFS(LogFY18!N:N,LogFY18!B:B,"=*utilities*"))</f>
        <v>1</v>
      </c>
      <c r="AF82" s="7">
        <f t="shared" si="87"/>
        <v>0.33333333333333331</v>
      </c>
      <c r="AG82" s="7">
        <f t="shared" si="88"/>
        <v>-0.2121212121212121</v>
      </c>
      <c r="AH82">
        <f>ROUND(SUMIFS(LogFY18!K:K,LogFY18!B:B,"=*utilities*")/SUMIFS(LogFY18!J:J,LogFY18!B:B,"=*utilities*"),0)</f>
        <v>12</v>
      </c>
      <c r="AI82">
        <f t="shared" si="89"/>
        <v>-4</v>
      </c>
      <c r="AJ82" s="1">
        <v>19</v>
      </c>
      <c r="AK82" s="1">
        <f t="shared" si="116"/>
        <v>-13</v>
      </c>
      <c r="AL82">
        <f>COUNTIFS(All!F:F,"=*PUC*", All!B:B, "&gt;=7/1/2017", All!B:B,"&lt;=6/30/2018", All!E:E,"=U*",All!E:E,"&lt;&gt;UIPA*",All!E:E,"&lt;&gt;*RFO*",All!E:E,"&lt;&gt;*TRNG*")</f>
        <v>0</v>
      </c>
      <c r="AM82" s="7">
        <f>ROUND(AL82/(AD82+T82),3)</f>
        <v>0</v>
      </c>
      <c r="AN82">
        <f>SUMIFS(LogFY19!D:D,LogFY19!B:B,"=*utilities*")</f>
        <v>5</v>
      </c>
      <c r="AO82">
        <f>SUM(SUMIFS(LogFY19!D:D,LogFY19!B:B,"=*utilities*"),-1*SUMIFS(LogFY19!L:L,LogFY19!B:B,"=*utilities*"),-1*SUMIFS(LogFY19!N:N,LogFY19!B:B,"=*utilities*"))</f>
        <v>1</v>
      </c>
      <c r="AP82" s="7">
        <f t="shared" si="91"/>
        <v>0.2</v>
      </c>
      <c r="AQ82" s="7">
        <f t="shared" si="135"/>
        <v>-0.1333333333333333</v>
      </c>
      <c r="AR82">
        <f>ROUND(SUMIFS(LogFY19!K:K,LogFY19!B:B,"=*utilities*")/SUMIFS(LogFY19!J:J,LogFY19!B:B,"=*utilities*"),0)</f>
        <v>26</v>
      </c>
      <c r="AS82">
        <f t="shared" si="93"/>
        <v>14</v>
      </c>
      <c r="AT82" s="1">
        <v>64</v>
      </c>
      <c r="AU82" s="1">
        <f t="shared" si="117"/>
        <v>45</v>
      </c>
      <c r="AV82">
        <f>COUNTIFS(All!F:F,"=*PUC*", All!B:B, "&gt;=7/1/2018", All!B:B,"&lt;=6/30/2019", All!E:E,"=U*",All!E:E,"&lt;&gt;UIPA*",All!E:E,"&lt;&gt;*RFO*",All!E:E,"&lt;&gt;*TRNG*")</f>
        <v>0</v>
      </c>
      <c r="AW82" s="7">
        <f>ROUND(AV82/(AN82+AD82),3)</f>
        <v>0</v>
      </c>
      <c r="AX82">
        <f>SUMIFS(LogFY20!D:D,LogFY20!B:B,"=*utilities*")</f>
        <v>7</v>
      </c>
      <c r="AY82">
        <f>SUM(SUMIFS(LogFY20!D:D,LogFY20!B:B,"=*utilities*"),-1*SUMIFS(LogFY20!L:L,LogFY20!B:B,"=*utilities*"),-1*SUMIFS(LogFY20!N:N,LogFY20!B:B,"=*utilities*"))</f>
        <v>4</v>
      </c>
      <c r="AZ82" s="7">
        <f>AY82/AX82</f>
        <v>0.5714285714285714</v>
      </c>
      <c r="BA82" s="7">
        <f t="shared" si="133"/>
        <v>0.37142857142857139</v>
      </c>
      <c r="BB82">
        <f>ROUND(SUMIFS(LogFY20!K:K,LogFY20!B:B,"=*utilities*")/SUMIFS(LogFY20!J:J,LogFY20!B:B,"=*utilities*"),0)</f>
        <v>21</v>
      </c>
      <c r="BC82">
        <f>BB82-AR82</f>
        <v>-5</v>
      </c>
      <c r="BD82" s="1">
        <v>44</v>
      </c>
      <c r="BE82" s="1">
        <f t="shared" si="134"/>
        <v>-20</v>
      </c>
      <c r="BF82">
        <f>COUNTIFS(All!F:F,"=*PUC*", All!B:B, "&gt;=7/1/2019", All!B:B,"&lt;=6/30/2020", All!E:E,"=U*",All!E:E,"&lt;&gt;UIPA*",All!E:E,"&lt;&gt;*RFO*",All!E:E,"&lt;&gt;*TRNG*")</f>
        <v>0</v>
      </c>
      <c r="BG82" s="7">
        <f>ROUND(BF82/(AX82+AN82),3)</f>
        <v>0</v>
      </c>
      <c r="BH82">
        <f>SUMIFS(LogFY21!D:D,LogFY21!B:B,"=*utilities*")</f>
        <v>46</v>
      </c>
      <c r="BI82">
        <f>SUM(SUMIFS(LogFY21!D:D,LogFY21!B:B,"=*utilities*"),-1*SUMIFS(LogFY21!L:L,LogFY21!B:B,"=*utilities*"),-1*SUMIFS(LogFY21!N:N,LogFY21!B:B,"=*utilities*"))</f>
        <v>9</v>
      </c>
      <c r="BJ82" s="7">
        <f t="shared" si="118"/>
        <v>0.19565217391304349</v>
      </c>
      <c r="BK82" s="7">
        <f t="shared" si="119"/>
        <v>-0.37577639751552794</v>
      </c>
      <c r="BL82">
        <f>ROUND(SUMIFS(LogFY21!K:K,LogFY21!B:B,"=*utilities*")/SUMIFS(LogFY21!J:J,LogFY21!B:B,"=*utilities*"),0)</f>
        <v>10</v>
      </c>
      <c r="BM82">
        <f t="shared" si="120"/>
        <v>-11</v>
      </c>
      <c r="BN82" s="1">
        <v>24</v>
      </c>
      <c r="BO82" s="1">
        <f t="shared" si="121"/>
        <v>-20</v>
      </c>
      <c r="BP82">
        <f>COUNTIFS(All!F:F,"=*PUC*", All!B:B, "&gt;=7/1/2020", All!B:B,"&lt;=6/30/2021", All!E:E,"=U*",All!E:E,"&lt;&gt;UIPA*",All!E:E,"&lt;&gt;*RFO*",All!E:E,"&lt;&gt;*TRNG*")</f>
        <v>0</v>
      </c>
      <c r="BQ82" s="7">
        <f>ROUND(BP82/(BH82+AX82),3)</f>
        <v>0</v>
      </c>
      <c r="BR82">
        <f>SUMIFS(LogFY22!D:D,LogFY22!B:B,"=*utilities*")</f>
        <v>30</v>
      </c>
      <c r="BS82">
        <f>SUM(SUMIFS(LogFY22!D:D,LogFY22!B:B,"=*utilities*"),-1*SUMIFS(LogFY22!L:L,LogFY22!B:B,"=*utilities*"),-1*SUMIFS(LogFY22!N:N,LogFY22!B:B,"=*utilities*"))</f>
        <v>7</v>
      </c>
      <c r="BT82" s="7">
        <f t="shared" si="136"/>
        <v>0.23333333333333334</v>
      </c>
      <c r="BU82" s="7">
        <f t="shared" si="137"/>
        <v>3.768115942028985E-2</v>
      </c>
      <c r="BV82">
        <f>ROUND(SUMIFS(LogFY22!K:K,LogFY22!B:B,"=*utilities*")/SUMIFS(LogFY22!J:J,LogFY22!B:B,"=*utilities*"),0)</f>
        <v>16</v>
      </c>
      <c r="BW82">
        <f t="shared" si="138"/>
        <v>6</v>
      </c>
      <c r="BX82" s="1">
        <v>61</v>
      </c>
      <c r="BY82" s="1">
        <f t="shared" si="139"/>
        <v>37</v>
      </c>
      <c r="BZ82">
        <f>COUNTIFS(All!F:F,"=*PUC*", All!B:B, "&gt;=7/1/2021", All!B:B,"&lt;=6/30/2022", All!E:E,"=U*",All!E:E,"&lt;&gt;UIPA*",All!E:E,"&lt;&gt;*RFO*",All!E:E,"&lt;&gt;*TRNG*")</f>
        <v>0</v>
      </c>
      <c r="CA82" s="7">
        <f>ROUND(BZ82/(BR82+BH82),3)</f>
        <v>0</v>
      </c>
      <c r="CB82">
        <f>SUMIFS(LogFY23!D:D,LogFY23!B:B,"=*utilities*")</f>
        <v>29</v>
      </c>
      <c r="CC82">
        <f>SUM(SUMIFS(LogFY23!D:D,LogFY23!B:B,"=*utilities*"),-1*SUMIFS(LogFY23!L:L,LogFY23!B:B,"=*utilities*"),-1*SUMIFS(LogFY23!N:N,LogFY23!B:B,"=*utilities*"))</f>
        <v>7</v>
      </c>
      <c r="CD82" s="7">
        <f t="shared" si="122"/>
        <v>0.2413793103448276</v>
      </c>
      <c r="CE82" s="7">
        <f t="shared" si="123"/>
        <v>8.0459770114942597E-3</v>
      </c>
      <c r="CF82">
        <f>ROUND(SUMIFS(LogFY23!K:K,LogFY23!B:B,"=*utilities*")/SUMIFS(LogFY23!J:J,LogFY23!B:B,"=*utilities*"),0)</f>
        <v>10</v>
      </c>
      <c r="CG82">
        <f t="shared" si="124"/>
        <v>-6</v>
      </c>
      <c r="CH82" s="1">
        <v>80</v>
      </c>
      <c r="CI82" s="1">
        <f t="shared" si="127"/>
        <v>19</v>
      </c>
      <c r="CJ82">
        <f>COUNTIFS(All!F:F,"=*PUC*", All!B:B, "&gt;=7/1/2022", All!B:B,"&lt;=6/30/2023", All!E:E,"=U*",All!E:E,"&lt;&gt;UIPA*",All!E:E,"&lt;&gt;*RFO*",All!E:E,"&lt;&gt;*TRNG*")</f>
        <v>0</v>
      </c>
      <c r="CK82" s="7">
        <f>ROUND(CJ82/(CB82+BR82),3)</f>
        <v>0</v>
      </c>
      <c r="CL82">
        <f>SUMIFS(LogFY24!D:D,LogFY24!B:B,"=*utilities*")</f>
        <v>47</v>
      </c>
      <c r="CM82">
        <f>SUM(SUMIFS(LogFY24!D:D,LogFY24!B:B,"=*utilities*"),-1*SUMIFS(LogFY24!L:L,LogFY24!B:B,"=*utilities*"),-1*SUMIFS(LogFY24!N:N,LogFY24!B:B,"=*utilities*"))</f>
        <v>11</v>
      </c>
      <c r="CN82" s="7">
        <f t="shared" si="126"/>
        <v>0.23404255319148937</v>
      </c>
      <c r="CO82" s="7">
        <f t="shared" si="128"/>
        <v>-7.3367571533382303E-3</v>
      </c>
      <c r="CP82">
        <f>ROUND(SUMIFS(LogFY24!K:K,LogFY24!B:B,"=*utilities*")/SUMIFS(LogFY24!J:J,LogFY24!B:B,"=*utilities*"),0)</f>
        <v>11</v>
      </c>
      <c r="CQ82">
        <f t="shared" si="129"/>
        <v>1</v>
      </c>
      <c r="CR82" s="1">
        <v>39</v>
      </c>
      <c r="CS82" s="1">
        <f t="shared" si="140"/>
        <v>-41</v>
      </c>
      <c r="CT82">
        <f>COUNTIFS(All!F:F,"=*PUC*", All!B:B, "&gt;=7/1/2023", All!B:B,"&lt;=6/30/2024", All!E:E,"=U*",All!E:E,"&lt;&gt;UIPA*",All!E:E,"&lt;&gt;*RFO*",All!E:E,"&lt;&gt;*TRNG*")</f>
        <v>0</v>
      </c>
      <c r="CU82" s="7">
        <f>ROUND(CT82/(CL82+CB82),3)</f>
        <v>0</v>
      </c>
    </row>
    <row r="83" spans="1:99" ht="16">
      <c r="A83" s="10">
        <f t="shared" si="130"/>
        <v>82</v>
      </c>
      <c r="B83" s="1" t="s">
        <v>17246</v>
      </c>
      <c r="C83">
        <f>SUMIFS(LogFY15!D:D,LogFY15!A:A,"=SOH_DEFENSE")</f>
        <v>0</v>
      </c>
      <c r="D83">
        <f>SUM(SUMIFS(LogFY15!D:D,LogFY15!A:A,"=SOH_DEFENSE"),-1*SUMIFS(LogFY15!L:L,LogFY15!A:A,"=SOH_DEFENSE"),-1*SUMIFS(LogFY15!N:N,LogFY15!A:A,"=SOH_DEFENSE"))</f>
        <v>0</v>
      </c>
      <c r="E83" s="7"/>
      <c r="G83" s="1"/>
      <c r="H83">
        <f>COUNTIFS(All!F:F,"=DOD*", All!B:B, "&gt;=7/1/2014", All!B:B,"&lt;=6/30/2015", All!E:E,"=U*",All!E:E,"&lt;&gt;UIPA*",All!E:E,"&lt;&gt;*RFO*",All!E:E,"&lt;&gt;*TRNG*")</f>
        <v>2</v>
      </c>
      <c r="I83" s="7"/>
      <c r="J83">
        <f>SUMIFS(LogFY16!D:D,LogFY16!A:A,"=SOH_DEFENSE")</f>
        <v>0</v>
      </c>
      <c r="K83">
        <f>SUM(SUMIFS(LogFY16!D:D,LogFY16!A:A,"=SOH_DEFENSE"),-1*SUMIFS(LogFY16!L:L,LogFY16!A:A,"=SOH_DEFENSE"),-1*SUMIFS(LogFY16!N:N,LogFY16!A:A,"=SOH_DEFENSE"))</f>
        <v>0</v>
      </c>
      <c r="L83" s="7"/>
      <c r="M83" s="7"/>
      <c r="P83" s="1"/>
      <c r="Q83" s="1"/>
      <c r="R83">
        <f>COUNTIFS(All!F:F,"=DOD*", All!B:B, "&gt;=7/1/2015", All!B:B,"&lt;=6/30/2016", All!E:E,"=U*",All!E:E,"&lt;&gt;UIPA*",All!E:E,"&lt;&gt;*RFO*",All!E:E,"&lt;&gt;*TRNG*")</f>
        <v>0</v>
      </c>
      <c r="S83" s="7"/>
      <c r="T83">
        <f>SUMIFS(LogFY17!D:D,LogFY17!A:A,"=SOH_DEFENSE")</f>
        <v>2</v>
      </c>
      <c r="U83">
        <f>SUM(SUMIFS(LogFY17!D:D,LogFY17!A:A,"=SOH_DEFENSE"),-1*SUMIFS(LogFY17!L:L,LogFY17!A:A,"=SOH_DEFENSE"),-1*SUMIFS(LogFY17!N:N,LogFY17!A:A,"=SOH_DEFENSE"))</f>
        <v>0</v>
      </c>
      <c r="V83" s="7">
        <f t="shared" si="131"/>
        <v>0</v>
      </c>
      <c r="W83" s="7">
        <f t="shared" si="132"/>
        <v>0</v>
      </c>
      <c r="Z83" s="1">
        <v>1</v>
      </c>
      <c r="AA83" s="1"/>
      <c r="AB83">
        <f>COUNTIFS(All!F:F,"=DOD*", All!B:B, "&gt;=7/1/2016", All!B:B,"&lt;=6/30/2017", All!E:E,"=U*",All!E:E,"&lt;&gt;UIPA*",All!E:E,"&lt;&gt;*RFO*",All!E:E,"&lt;&gt;*TRNG*")</f>
        <v>0</v>
      </c>
      <c r="AC83" s="7"/>
      <c r="AD83">
        <f>SUMIFS(LogFY18!D:D,LogFY18!A:A,"=SOH_DEFENSE")</f>
        <v>11</v>
      </c>
      <c r="AE83">
        <f>SUM(SUMIFS(LogFY18!D:D,LogFY18!A:A,"=SOH_DEFENSE"),-1*SUMIFS(LogFY18!L:L,LogFY18!A:A,"=SOH_DEFENSE"),-1*SUMIFS(LogFY18!N:N,LogFY18!A:A,"=SOH_DEFENSE"))</f>
        <v>10</v>
      </c>
      <c r="AF83" s="7">
        <f t="shared" si="87"/>
        <v>0.90909090909090906</v>
      </c>
      <c r="AG83" s="7">
        <f t="shared" si="88"/>
        <v>0.90909090909090906</v>
      </c>
      <c r="AH83">
        <f>ROUND(SUMIFS(LogFY18!K:K,LogFY18!A:A,"=SOH_DEFENSE")/SUMIFS(LogFY18!J:J,LogFY18!A:A,"=SOH_DEFENSE"),0)</f>
        <v>14</v>
      </c>
      <c r="AI83">
        <f t="shared" si="89"/>
        <v>14</v>
      </c>
      <c r="AJ83" s="1">
        <v>35</v>
      </c>
      <c r="AK83" s="1">
        <f t="shared" si="116"/>
        <v>34</v>
      </c>
      <c r="AL83">
        <f>COUNTIFS(All!F:F,"=DOD*", All!B:B, "&gt;=7/1/2017", All!B:B,"&lt;=6/30/2018", All!E:E,"=U*",All!E:E,"&lt;&gt;UIPA*",All!E:E,"&lt;&gt;*RFO*",All!E:E,"&lt;&gt;*TRNG*")</f>
        <v>0</v>
      </c>
      <c r="AM83" s="7"/>
      <c r="AN83">
        <f>SUMIFS(LogFY19!D:D,LogFY19!A:A,"=SOH_DEFENSE")</f>
        <v>0</v>
      </c>
      <c r="AO83">
        <f>SUM(SUMIFS(LogFY19!D:D,LogFY19!A:A,"=SOH_DEFENSE"),-1*SUMIFS(LogFY19!L:L,LogFY19!A:A,"=SOH_DEFENSE"),-1*SUMIFS(LogFY19!N:N,LogFY19!A:A,"=SOH_DEFENSE"))</f>
        <v>0</v>
      </c>
      <c r="AP83" s="7"/>
      <c r="AQ83" s="7">
        <f t="shared" si="135"/>
        <v>-0.90909090909090906</v>
      </c>
      <c r="AT83" s="1">
        <v>0</v>
      </c>
      <c r="AU83" s="1">
        <f t="shared" si="117"/>
        <v>-35</v>
      </c>
      <c r="AV83">
        <f>COUNTIFS(All!F:F,"=DOD*", All!B:B, "&gt;=7/1/2018", All!B:B,"&lt;=6/30/2019", All!E:E,"=U*",All!E:E,"&lt;&gt;UIPA*",All!E:E,"&lt;&gt;*RFO*",All!E:E,"&lt;&gt;*TRNG*")</f>
        <v>0</v>
      </c>
      <c r="AW83" s="7"/>
      <c r="AX83">
        <f>SUMIFS(LogFY20!D:D,LogFY20!A:A,"=SOH_DEFENSE")</f>
        <v>0</v>
      </c>
      <c r="AY83">
        <f>SUM(SUMIFS(LogFY20!D:D,LogFY20!A:A,"=SOH_DEFENSE"),-1*SUMIFS(LogFY20!L:L,LogFY20!A:A,"=SOH_DEFENSE"),-1*SUMIFS(LogFY20!N:N,LogFY20!A:A,"=SOH_DEFENSE"))</f>
        <v>0</v>
      </c>
      <c r="AZ83" s="7"/>
      <c r="BA83" s="7">
        <f t="shared" si="133"/>
        <v>0</v>
      </c>
      <c r="BD83" s="1"/>
      <c r="BE83" s="1">
        <f t="shared" si="134"/>
        <v>0</v>
      </c>
      <c r="BF83">
        <f>COUNTIFS(All!F:F,"=DOD*", All!B:B, "&gt;=7/1/2019", All!B:B,"&lt;=6/30/2020", All!E:E,"=U*",All!E:E,"&lt;&gt;UIPA*",All!E:E,"&lt;&gt;*RFO*",All!E:E,"&lt;&gt;*TRNG*")</f>
        <v>0</v>
      </c>
      <c r="BG83" s="7"/>
      <c r="BH83">
        <f>SUMIFS(LogFY21!D:D,LogFY21!A:A,"=SOH_DEFENSE")</f>
        <v>1</v>
      </c>
      <c r="BI83">
        <f>SUM(SUMIFS(LogFY21!D:D,LogFY21!A:A,"=SOH_DEFENSE"),-1*SUMIFS(LogFY21!L:L,LogFY21!A:A,"=SOH_DEFENSE"),-1*SUMIFS(LogFY21!N:N,LogFY21!A:A,"=SOH_DEFENSE"))</f>
        <v>0</v>
      </c>
      <c r="BJ83" s="7">
        <f t="shared" si="118"/>
        <v>0</v>
      </c>
      <c r="BK83" s="7">
        <f t="shared" si="119"/>
        <v>0</v>
      </c>
      <c r="BL83">
        <f>ROUND(SUMIFS(LogFY21!K:K,LogFY21!A:A,"=SOH_DEFENSE")/SUMIFS(LogFY21!J:J,LogFY21!A:A,"=SOH_DEFENSE"),0)</f>
        <v>110</v>
      </c>
      <c r="BM83">
        <f t="shared" si="120"/>
        <v>110</v>
      </c>
      <c r="BN83" s="1">
        <v>110</v>
      </c>
      <c r="BO83" s="1">
        <f t="shared" si="121"/>
        <v>110</v>
      </c>
      <c r="BP83">
        <f>COUNTIFS(All!F:F,"=DOD*", All!B:B, "&gt;=7/1/2020", All!B:B,"&lt;=6/30/2021", All!E:E,"=U*",All!E:E,"&lt;&gt;UIPA*",All!E:E,"&lt;&gt;*RFO*",All!E:E,"&lt;&gt;*TRNG*")</f>
        <v>0</v>
      </c>
      <c r="BQ83" s="7"/>
      <c r="BR83">
        <f>SUMIFS(LogFY22!D:D,LogFY22!A:A,"=SOH_DEFENSE")</f>
        <v>5</v>
      </c>
      <c r="BS83">
        <f>SUM(SUMIFS(LogFY22!D:D,LogFY22!A:A,"=SOH_DEFENSE"),-1*SUMIFS(LogFY22!L:L,LogFY22!A:A,"=SOH_DEFENSE"),-1*SUMIFS(LogFY22!N:N,LogFY22!A:A,"=SOH_DEFENSE"))</f>
        <v>1</v>
      </c>
      <c r="BT83" s="7">
        <f t="shared" si="136"/>
        <v>0.2</v>
      </c>
      <c r="BU83" s="7">
        <f t="shared" si="137"/>
        <v>0.2</v>
      </c>
      <c r="BV83">
        <f>ROUND(SUMIFS(LogFY22!K:K,LogFY22!A:A,"=SOH_DEFENSE")/SUMIFS(LogFY22!J:J,LogFY22!A:A,"=SOH_DEFENSE"),0)</f>
        <v>13</v>
      </c>
      <c r="BW83">
        <f t="shared" si="138"/>
        <v>-97</v>
      </c>
      <c r="BX83" s="1">
        <v>56</v>
      </c>
      <c r="BY83" s="1">
        <f t="shared" si="139"/>
        <v>-54</v>
      </c>
      <c r="BZ83">
        <f>COUNTIFS(All!F:F,"=DOD*", All!B:B, "&gt;=7/1/2021", All!B:B,"&lt;=6/30/2022", All!E:E,"=U*",All!E:E,"&lt;&gt;UIPA*",All!E:E,"&lt;&gt;*RFO*",All!E:E,"&lt;&gt;*TRNG*")</f>
        <v>0</v>
      </c>
      <c r="CA83" s="7"/>
      <c r="CB83">
        <f>SUMIFS(LogFY23!D:D,LogFY23!A:A,"=SOH_DEFENSE")</f>
        <v>10</v>
      </c>
      <c r="CC83">
        <f>SUM(SUMIFS(LogFY23!D:D,LogFY23!A:A,"=SOH_DEFENSE"),-1*SUMIFS(LogFY23!L:L,LogFY23!A:A,"=SOH_DEFENSE"),-1*SUMIFS(LogFY23!N:N,LogFY23!A:A,"=SOH_DEFENSE"))</f>
        <v>1</v>
      </c>
      <c r="CD83" s="7">
        <f t="shared" si="122"/>
        <v>0.1</v>
      </c>
      <c r="CE83" s="7">
        <f t="shared" si="123"/>
        <v>-0.1</v>
      </c>
      <c r="CF83">
        <f>ROUND(SUMIFS(LogFY23!K:K,LogFY23!A:A,"=SOH_DEFENSE")/SUMIFS(LogFY23!J:J,LogFY23!A:A,"=SOH_DEFENSE"),0)</f>
        <v>10</v>
      </c>
      <c r="CG83">
        <f t="shared" si="124"/>
        <v>-3</v>
      </c>
      <c r="CH83" s="1">
        <v>44</v>
      </c>
      <c r="CI83" s="1">
        <f t="shared" si="127"/>
        <v>-12</v>
      </c>
      <c r="CJ83">
        <f>COUNTIFS(All!F:F,"=DOD*", All!B:B, "&gt;=7/1/2022", All!B:B,"&lt;=6/30/2023", All!E:E,"=U*",All!E:E,"&lt;&gt;UIPA*",All!E:E,"&lt;&gt;*RFO*",All!E:E,"&lt;&gt;*TRNG*")</f>
        <v>0</v>
      </c>
      <c r="CK83" s="7"/>
      <c r="CL83">
        <f>SUMIFS(LogFY24!D:D,LogFY24!A:A,"=SOH_DEFENSE")</f>
        <v>8</v>
      </c>
      <c r="CM83">
        <f>SUM(SUMIFS(LogFY24!D:D,LogFY24!A:A,"=SOH_DEFENSE"),-1*SUMIFS(LogFY24!L:L,LogFY24!A:A,"=SOH_DEFENSE"),-1*SUMIFS(LogFY24!N:N,LogFY24!A:A,"=SOH_DEFENSE"))</f>
        <v>8</v>
      </c>
      <c r="CN83" s="7">
        <f t="shared" si="126"/>
        <v>1</v>
      </c>
      <c r="CO83" s="7">
        <f t="shared" si="128"/>
        <v>0.9</v>
      </c>
      <c r="CP83">
        <f>ROUND(SUMIFS(LogFY24!K:K,LogFY24!A:A,"=SOH_DEFENSE")/SUMIFS(LogFY24!J:J,LogFY24!A:A,"=SOH_DEFENSE"),0)</f>
        <v>35</v>
      </c>
      <c r="CQ83">
        <f t="shared" si="129"/>
        <v>25</v>
      </c>
      <c r="CR83" s="1">
        <v>68</v>
      </c>
      <c r="CS83" s="1">
        <f t="shared" si="140"/>
        <v>24</v>
      </c>
      <c r="CT83">
        <f>COUNTIFS(All!F:F,"=DOD*", All!B:B, "&gt;=7/1/2023", All!B:B,"&lt;=6/30/2024", All!E:E,"=U*",All!E:E,"&lt;&gt;UIPA*",All!E:E,"&lt;&gt;*RFO*",All!E:E,"&lt;&gt;*TRNG*")</f>
        <v>3</v>
      </c>
      <c r="CU83" s="7">
        <f>ROUND(CT83/(CL83+CB83),3)</f>
        <v>0.16700000000000001</v>
      </c>
    </row>
    <row r="84" spans="1:99" ht="16">
      <c r="A84" s="10">
        <f t="shared" si="130"/>
        <v>83</v>
      </c>
      <c r="B84" s="1" t="s">
        <v>17247</v>
      </c>
      <c r="C84">
        <f>SUMIFS(LogFY15!D:D,LogFY15!A:A,"=*education*")</f>
        <v>262</v>
      </c>
      <c r="D84">
        <f>SUM(SUMIFS(LogFY15!D:D,LogFY15!A:A,"=*education*"),-1*SUMIFS(LogFY15!L:L,LogFY15!A:A,"=*education*"),-1*SUMIFS(LogFY15!N:N,LogFY15!A:A,"=*education*"))</f>
        <v>27</v>
      </c>
      <c r="E84" s="7">
        <f t="shared" ref="E84:E101" si="141">D84/C84</f>
        <v>0.10305343511450382</v>
      </c>
      <c r="F84">
        <f>ROUND(SUMIFS(LogFY15!K:K,LogFY15!A:A,"=*education*")/SUMIFS(LogFY15!J:J,LogFY15!A:A,"=*education*"),0)</f>
        <v>7</v>
      </c>
      <c r="G84" s="1">
        <v>130</v>
      </c>
      <c r="H84">
        <f>COUNTIFS(All!F:F,"=DOE*", All!B:B, "&gt;=7/1/2014", All!B:B,"&lt;=6/30/2015", All!E:E,"=U*",All!E:E,"&lt;&gt;UIPA*",All!E:E,"&lt;&gt;*RFO*",All!E:E,"&lt;&gt;*TRNG*")</f>
        <v>4</v>
      </c>
      <c r="I84" s="7">
        <f>ROUND(H84/C84,3)</f>
        <v>1.4999999999999999E-2</v>
      </c>
      <c r="J84">
        <f>SUMIFS(LogFY16!D:D,LogFY16!A:A,"=*education*")</f>
        <v>235</v>
      </c>
      <c r="K84">
        <f>SUM(SUMIFS(LogFY16!D:D,LogFY16!A:A,"=*education*"),-1*SUMIFS(LogFY16!L:L,LogFY16!A:A,"=*education*"),-1*SUMIFS(LogFY16!N:N,LogFY16!A:A,"=*education*"))</f>
        <v>35</v>
      </c>
      <c r="L84" s="7">
        <f t="shared" ref="L84:L101" si="142">K84/J84</f>
        <v>0.14893617021276595</v>
      </c>
      <c r="M84" s="7">
        <f t="shared" ref="M84:M101" si="143">L84-E84</f>
        <v>4.5882735098262128E-2</v>
      </c>
      <c r="N84">
        <f>ROUND(SUMIFS(LogFY16!K:K,LogFY16!A:A,"=*education*")/SUMIFS(LogFY16!J:J,LogFY16!A:A,"=*education*"),0)</f>
        <v>10</v>
      </c>
      <c r="O84">
        <f t="shared" ref="O84:O101" si="144">N84-F84</f>
        <v>3</v>
      </c>
      <c r="P84" s="1">
        <v>93</v>
      </c>
      <c r="Q84" s="1">
        <f t="shared" ref="Q84:Q101" si="145">P84-G84</f>
        <v>-37</v>
      </c>
      <c r="R84">
        <f>COUNTIFS(All!F:F,"=DOE*", All!B:B, "&gt;=7/1/2015", All!B:B,"&lt;=6/30/2016", All!E:E,"=U*",All!E:E,"&lt;&gt;UIPA*",All!E:E,"&lt;&gt;*RFO*",All!E:E,"&lt;&gt;*TRNG*")</f>
        <v>7</v>
      </c>
      <c r="S84" s="7">
        <f>ROUND(R84/(J84+C84),3)</f>
        <v>1.4E-2</v>
      </c>
      <c r="T84">
        <f>SUMIFS(LogFY17!D:D,LogFY17!A:A,"=*education*")</f>
        <v>193</v>
      </c>
      <c r="U84">
        <f>SUM(SUMIFS(LogFY17!D:D,LogFY17!A:A,"=*education*"),-1*SUMIFS(LogFY17!L:L,LogFY17!A:A,"=*education*"),-1*SUMIFS(LogFY17!N:N,LogFY17!A:A,"=*education*"))</f>
        <v>19</v>
      </c>
      <c r="V84" s="7">
        <f t="shared" si="131"/>
        <v>9.8445595854922283E-2</v>
      </c>
      <c r="W84" s="7">
        <f t="shared" si="132"/>
        <v>-5.0490574357843668E-2</v>
      </c>
      <c r="X84">
        <f>ROUND(SUMIFS(LogFY17!K:K,LogFY17!A:A,"=*education*")/SUMIFS(LogFY17!J:J,LogFY17!A:A,"=*education*"),0)</f>
        <v>9</v>
      </c>
      <c r="Y84">
        <f t="shared" ref="Y84:Y101" si="146">X84-N84</f>
        <v>-1</v>
      </c>
      <c r="Z84" s="1">
        <v>100</v>
      </c>
      <c r="AA84" s="1">
        <f t="shared" ref="AA84:AA101" si="147">Z84-P84</f>
        <v>7</v>
      </c>
      <c r="AB84">
        <f>COUNTIFS(All!F:F,"=DOE*", All!B:B, "&gt;=7/1/2016", All!B:B,"&lt;=6/30/2017", All!E:E,"=U*",All!E:E,"&lt;&gt;UIPA*",All!E:E,"&lt;&gt;*RFO*",All!E:E,"&lt;&gt;*TRNG*")</f>
        <v>3</v>
      </c>
      <c r="AC84" s="7">
        <f>ROUND(AB84/(T84+J84),3)</f>
        <v>7.0000000000000001E-3</v>
      </c>
      <c r="AD84">
        <f>SUMIFS(LogFY18!D:D,LogFY18!A:A,"=*education*")</f>
        <v>197</v>
      </c>
      <c r="AE84">
        <f>SUM(SUMIFS(LogFY18!D:D,LogFY18!A:A,"=*education*"),-1*SUMIFS(LogFY18!L:L,LogFY18!A:A,"=*education*"),-1*SUMIFS(LogFY18!N:N,LogFY18!A:A,"=*education*"))</f>
        <v>22</v>
      </c>
      <c r="AF84" s="7">
        <f t="shared" si="87"/>
        <v>0.1116751269035533</v>
      </c>
      <c r="AG84" s="7">
        <f t="shared" si="88"/>
        <v>1.3229531048631019E-2</v>
      </c>
      <c r="AH84">
        <f>ROUND(SUMIFS(LogFY18!K:K,LogFY18!A:A,"=*education*")/SUMIFS(LogFY18!J:J,LogFY18!A:A,"=*education*"),0)</f>
        <v>8</v>
      </c>
      <c r="AI84">
        <f t="shared" si="89"/>
        <v>-1</v>
      </c>
      <c r="AJ84" s="1">
        <v>73</v>
      </c>
      <c r="AK84" s="1">
        <f t="shared" si="116"/>
        <v>-27</v>
      </c>
      <c r="AL84">
        <f>COUNTIFS(All!F:F,"=DOE*", All!B:B, "&gt;=7/1/2017", All!B:B,"&lt;=6/30/2018", All!E:E,"=U*",All!E:E,"&lt;&gt;UIPA*",All!E:E,"&lt;&gt;*RFO*",All!E:E,"&lt;&gt;*TRNG*")</f>
        <v>0</v>
      </c>
      <c r="AM84" s="7">
        <f>ROUND(AL84/(AD84+T84),3)</f>
        <v>0</v>
      </c>
      <c r="AN84">
        <f>SUMIFS(LogFY19!D:D,LogFY19!A:A,"=*education*")</f>
        <v>177</v>
      </c>
      <c r="AO84">
        <f>SUM(SUMIFS(LogFY19!D:D,LogFY19!A:A,"=*education*"),-1*SUMIFS(LogFY19!L:L,LogFY19!A:A,"=*education*"),-1*SUMIFS(LogFY19!N:N,LogFY19!A:A,"=*education*"))</f>
        <v>25</v>
      </c>
      <c r="AP84" s="7">
        <f t="shared" ref="AP84:AP101" si="148">AO84/AN84</f>
        <v>0.14124293785310735</v>
      </c>
      <c r="AQ84" s="7">
        <f t="shared" si="135"/>
        <v>2.9567810949554046E-2</v>
      </c>
      <c r="AR84">
        <f>ROUND(SUMIFS(LogFY19!K:K,LogFY19!A:A,"=*education*")/SUMIFS(LogFY19!J:J,LogFY19!A:A,"=*education*"),0)</f>
        <v>9</v>
      </c>
      <c r="AS84">
        <f t="shared" ref="AS84:AS101" si="149">AR84-AH84</f>
        <v>1</v>
      </c>
      <c r="AT84" s="1">
        <v>100</v>
      </c>
      <c r="AU84" s="1">
        <f t="shared" si="117"/>
        <v>27</v>
      </c>
      <c r="AV84">
        <f>COUNTIFS(All!F:F,"=DOE*", All!B:B, "&gt;=7/1/2018", All!B:B,"&lt;=6/30/2019", All!E:E,"=U*",All!E:E,"&lt;&gt;UIPA*",All!E:E,"&lt;&gt;*RFO*",All!E:E,"&lt;&gt;*TRNG*")</f>
        <v>6</v>
      </c>
      <c r="AW84" s="7">
        <f>ROUND(AV84/(AN84+AD84),3)</f>
        <v>1.6E-2</v>
      </c>
      <c r="AX84">
        <f>SUMIFS(LogFY20!D:D,LogFY20!A:A,"=*education*")</f>
        <v>219</v>
      </c>
      <c r="AY84">
        <f>SUM(SUMIFS(LogFY20!D:D,LogFY20!A:A,"=*education*"),-1*SUMIFS(LogFY20!L:L,LogFY20!A:A,"=*education*"),-1*SUMIFS(LogFY20!N:N,LogFY20!A:A,"=*education*"))</f>
        <v>19</v>
      </c>
      <c r="AZ84" s="7">
        <f t="shared" ref="AZ84:AZ101" si="150">AY84/AX84</f>
        <v>8.6757990867579904E-2</v>
      </c>
      <c r="BA84" s="7">
        <f t="shared" si="133"/>
        <v>-5.4484946985527444E-2</v>
      </c>
      <c r="BB84">
        <f>ROUND(SUMIFS(LogFY20!K:K,LogFY20!A:A,"=*education*")/SUMIFS(LogFY20!J:J,LogFY20!A:A,"=*education*"),0)</f>
        <v>7</v>
      </c>
      <c r="BC84">
        <f t="shared" ref="BC84:BC101" si="151">BB84-AR84</f>
        <v>-2</v>
      </c>
      <c r="BD84" s="1">
        <v>116</v>
      </c>
      <c r="BE84" s="1">
        <f t="shared" si="134"/>
        <v>16</v>
      </c>
      <c r="BF84">
        <f>COUNTIFS(All!F:F,"=DOE*", All!B:B, "&gt;=7/1/2019", All!B:B,"&lt;=6/30/2020", All!E:E,"=U*",All!E:E,"&lt;&gt;UIPA*",All!E:E,"&lt;&gt;*RFO*",All!E:E,"&lt;&gt;*TRNG*")</f>
        <v>1</v>
      </c>
      <c r="BG84" s="7">
        <f>ROUND(BF84/(AX84+AN84),3)</f>
        <v>3.0000000000000001E-3</v>
      </c>
      <c r="BH84">
        <f>SUMIFS(LogFY21!D:D,LogFY21!A:A,"=*education*")</f>
        <v>181</v>
      </c>
      <c r="BI84">
        <f>SUM(SUMIFS(LogFY21!D:D,LogFY21!A:A,"=*education*"),-1*SUMIFS(LogFY21!L:L,LogFY21!A:A,"=*education*"),-1*SUMIFS(LogFY21!N:N,LogFY21!A:A,"=*education*"))</f>
        <v>38</v>
      </c>
      <c r="BJ84" s="7">
        <f t="shared" si="118"/>
        <v>0.20994475138121546</v>
      </c>
      <c r="BK84" s="7">
        <f t="shared" si="119"/>
        <v>0.12318676051363556</v>
      </c>
      <c r="BL84">
        <f>ROUND(SUMIFS(LogFY21!K:K,LogFY21!A:A,"=*education*")/SUMIFS(LogFY21!J:J,LogFY21!A:A,"=*education*"),0)</f>
        <v>10</v>
      </c>
      <c r="BM84">
        <f t="shared" si="120"/>
        <v>3</v>
      </c>
      <c r="BN84" s="1">
        <v>213</v>
      </c>
      <c r="BO84" s="1">
        <f t="shared" si="121"/>
        <v>97</v>
      </c>
      <c r="BP84">
        <f>COUNTIFS(All!F:F,"=DOE*", All!B:B, "&gt;=7/1/2020", All!B:B,"&lt;=6/30/2021", All!E:E,"=U*",All!E:E,"&lt;&gt;UIPA*",All!E:E,"&lt;&gt;*RFO*",All!E:E,"&lt;&gt;*TRNG*")</f>
        <v>8</v>
      </c>
      <c r="BQ84" s="7">
        <f>ROUND(BP84/(BH84+AX84),3)</f>
        <v>0.02</v>
      </c>
      <c r="BR84">
        <f>SUMIFS(LogFY22!D:D,LogFY22!A:A,"=*education*")</f>
        <v>214</v>
      </c>
      <c r="BS84">
        <f>SUM(SUMIFS(LogFY22!D:D,LogFY22!A:A,"=*education*"),-1*SUMIFS(LogFY22!L:L,LogFY22!A:A,"=*education*"),-1*SUMIFS(LogFY22!N:N,LogFY22!A:A,"=*education*"))</f>
        <v>32</v>
      </c>
      <c r="BT84" s="7">
        <f t="shared" si="136"/>
        <v>0.14953271028037382</v>
      </c>
      <c r="BU84" s="7">
        <f t="shared" si="137"/>
        <v>-6.041204110084164E-2</v>
      </c>
      <c r="BV84">
        <f>ROUND(SUMIFS(LogFY22!K:K,LogFY22!A:A,"=*education*")/SUMIFS(LogFY22!J:J,LogFY22!A:A,"=*education*"),0)</f>
        <v>8</v>
      </c>
      <c r="BW84">
        <f t="shared" si="138"/>
        <v>-2</v>
      </c>
      <c r="BX84" s="1">
        <v>99</v>
      </c>
      <c r="BY84" s="1">
        <f t="shared" si="139"/>
        <v>-114</v>
      </c>
      <c r="BZ84">
        <f>COUNTIFS(All!F:F,"=DOE*", All!B:B, "&gt;=7/1/2021", All!B:B,"&lt;=6/30/2022", All!E:E,"=U*",All!E:E,"&lt;&gt;UIPA*",All!E:E,"&lt;&gt;*RFO*",All!E:E,"&lt;&gt;*TRNG*")</f>
        <v>4</v>
      </c>
      <c r="CA84" s="7">
        <f>ROUND(BZ84/(BR84+BH84),3)</f>
        <v>0.01</v>
      </c>
      <c r="CB84">
        <f>SUMIFS(LogFY23!D:D,LogFY23!A:A,"=*education*")</f>
        <v>216</v>
      </c>
      <c r="CC84">
        <f>SUM(SUMIFS(LogFY23!D:D,LogFY23!A:A,"=*education*"),-1*SUMIFS(LogFY23!L:L,LogFY23!A:A,"=*education*"),-1*SUMIFS(LogFY23!N:N,LogFY23!A:A,"=*education*"))</f>
        <v>30</v>
      </c>
      <c r="CD84" s="7">
        <f t="shared" si="122"/>
        <v>0.1388888888888889</v>
      </c>
      <c r="CE84" s="7">
        <f t="shared" si="123"/>
        <v>-1.0643821391484926E-2</v>
      </c>
      <c r="CF84">
        <f>ROUND(SUMIFS(LogFY23!K:K,LogFY23!A:A,"=*education*")/SUMIFS(LogFY23!J:J,LogFY23!A:A,"=*education*"),0)</f>
        <v>8</v>
      </c>
      <c r="CG84">
        <f t="shared" si="124"/>
        <v>0</v>
      </c>
      <c r="CH84" s="1">
        <v>99</v>
      </c>
      <c r="CI84" s="1">
        <f t="shared" si="127"/>
        <v>0</v>
      </c>
      <c r="CJ84">
        <f>COUNTIFS(All!F:F,"=DOE*", All!B:B, "&gt;=7/1/2022", All!B:B,"&lt;=6/30/2023", All!E:E,"=U*",All!E:E,"&lt;&gt;UIPA*",All!E:E,"&lt;&gt;*RFO*",All!E:E,"&lt;&gt;*TRNG*")</f>
        <v>9</v>
      </c>
      <c r="CK84" s="7">
        <f>ROUND(CJ84/(CB84+BR84),3)</f>
        <v>2.1000000000000001E-2</v>
      </c>
      <c r="CL84">
        <f>SUMIFS(LogFY24!D:D,LogFY24!A:A,"=*education*")</f>
        <v>188</v>
      </c>
      <c r="CM84">
        <f>SUM(SUMIFS(LogFY24!D:D,LogFY24!A:A,"=*education*"),-1*SUMIFS(LogFY24!L:L,LogFY24!A:A,"=*education*"),-1*SUMIFS(LogFY24!N:N,LogFY24!A:A,"=*education*"))</f>
        <v>25</v>
      </c>
      <c r="CN84" s="7">
        <f t="shared" si="126"/>
        <v>0.13297872340425532</v>
      </c>
      <c r="CO84" s="7">
        <f t="shared" si="128"/>
        <v>-5.9101654846335783E-3</v>
      </c>
      <c r="CP84">
        <f>ROUND(SUMIFS(LogFY24!K:K,LogFY24!A:A,"=*education*")/SUMIFS(LogFY24!J:J,LogFY24!A:A,"=*education*"),0)</f>
        <v>7</v>
      </c>
      <c r="CQ84">
        <f t="shared" si="129"/>
        <v>-1</v>
      </c>
      <c r="CR84" s="1">
        <v>86</v>
      </c>
      <c r="CS84" s="1">
        <f t="shared" si="140"/>
        <v>-13</v>
      </c>
      <c r="CT84">
        <f>COUNTIFS(All!F:F,"=DOE*", All!B:B, "&gt;=7/1/2023", All!B:B,"&lt;=6/30/2024", All!E:E,"=U*",All!E:E,"&lt;&gt;UIPA*",All!E:E,"&lt;&gt;*RFO*",All!E:E,"&lt;&gt;*TRNG*")</f>
        <v>8</v>
      </c>
      <c r="CU84" s="7">
        <f>ROUND(CT84/(CL84+CB84),3)</f>
        <v>0.02</v>
      </c>
    </row>
    <row r="85" spans="1:99" ht="16">
      <c r="A85" s="10">
        <f t="shared" si="130"/>
        <v>84</v>
      </c>
      <c r="B85" s="9" t="s">
        <v>17472</v>
      </c>
      <c r="C85">
        <f>SUMIFS(LogFY15!D:D,LogFY15!B:B,"=*supt*")</f>
        <v>61</v>
      </c>
      <c r="D85">
        <f>SUM(SUMIFS(LogFY15!D:D,LogFY15!B:B,"=*supt*"),-1*SUMIFS(LogFY15!L:L,LogFY15!B:B,"=*supt*"),-1*SUMIFS(LogFY15!N:N,LogFY15!B:B,"=*supt*"))</f>
        <v>20</v>
      </c>
      <c r="E85" s="7">
        <f t="shared" si="141"/>
        <v>0.32786885245901637</v>
      </c>
      <c r="F85">
        <f>ROUND(SUMIFS(LogFY15!K:K,LogFY15!B:B,"=*supt*")/SUMIFS(LogFY15!J:J,LogFY15!B:B,"=*supt*"),0)</f>
        <v>19</v>
      </c>
      <c r="G85" s="1">
        <v>130</v>
      </c>
      <c r="J85">
        <f>SUMIFS(LogFY16!D:D,LogFY16!B:B,"=*supt*")</f>
        <v>91</v>
      </c>
      <c r="K85">
        <f>SUM(SUMIFS(LogFY16!D:D,LogFY16!B:B,"=*supt*"),-1*SUMIFS(LogFY16!L:L,LogFY16!B:B,"=*supt*"),-1*SUMIFS(LogFY16!N:N,LogFY16!B:B,"=*supt*"))</f>
        <v>21</v>
      </c>
      <c r="L85" s="7">
        <f t="shared" si="142"/>
        <v>0.23076923076923078</v>
      </c>
      <c r="M85" s="7">
        <f t="shared" si="143"/>
        <v>-9.7099621689785587E-2</v>
      </c>
      <c r="N85">
        <f>ROUND(SUMIFS(LogFY16!K:K,LogFY16!B:B,"=*supt*")/SUMIFS(LogFY16!J:J,LogFY16!B:B,"=*supt*"),0)</f>
        <v>18</v>
      </c>
      <c r="O85">
        <f t="shared" si="144"/>
        <v>-1</v>
      </c>
      <c r="P85" s="1">
        <v>93</v>
      </c>
      <c r="Q85" s="1">
        <f t="shared" si="145"/>
        <v>-37</v>
      </c>
      <c r="T85">
        <f>SUMIFS(LogFY17!D:D,LogFY17!B:B,"=*supt*")</f>
        <v>71</v>
      </c>
      <c r="U85">
        <f>SUM(SUMIFS(LogFY17!D:D,LogFY17!B:B,"=*supt*"),-1*SUMIFS(LogFY17!L:L,LogFY17!B:B,"=*supt*"),-1*SUMIFS(LogFY17!N:N,LogFY17!B:B,"=*supt*"))</f>
        <v>10</v>
      </c>
      <c r="V85" s="7">
        <f t="shared" si="131"/>
        <v>0.14084507042253522</v>
      </c>
      <c r="W85" s="7">
        <f t="shared" si="132"/>
        <v>-8.9924160346695564E-2</v>
      </c>
      <c r="X85">
        <f>ROUND(SUMIFS(LogFY17!K:K,LogFY17!B:B,"=*supt*")/SUMIFS(LogFY17!J:J,LogFY17!B:B,"=*supt*"),0)</f>
        <v>13</v>
      </c>
      <c r="Y85">
        <f t="shared" si="146"/>
        <v>-5</v>
      </c>
      <c r="Z85" s="1">
        <v>61</v>
      </c>
      <c r="AA85" s="1">
        <f t="shared" si="147"/>
        <v>-32</v>
      </c>
      <c r="AD85">
        <f>SUMIFS(LogFY18!D:D,LogFY18!B:B,"=*doe*")</f>
        <v>78</v>
      </c>
      <c r="AE85">
        <f>SUM(SUMIFS(LogFY18!D:D,LogFY18!B:B,"=*doe*"),-1*SUMIFS(LogFY18!L:L,LogFY18!B:B,"=*doe*"),-1*SUMIFS(LogFY18!N:N,LogFY18!B:B,"=*doe*"))</f>
        <v>16</v>
      </c>
      <c r="AF85" s="7">
        <f t="shared" si="87"/>
        <v>0.20512820512820512</v>
      </c>
      <c r="AG85" s="7">
        <f t="shared" si="88"/>
        <v>6.4283134705669903E-2</v>
      </c>
      <c r="AH85">
        <f>ROUND(SUMIFS(LogFY18!K:K,LogFY18!B:B,"=*doe*")/SUMIFS(LogFY18!J:J,LogFY18!B:B,"=*doe*"),0)</f>
        <v>12</v>
      </c>
      <c r="AI85">
        <f t="shared" si="89"/>
        <v>-1</v>
      </c>
      <c r="AJ85" s="1">
        <v>73</v>
      </c>
      <c r="AK85" s="1">
        <f t="shared" si="116"/>
        <v>12</v>
      </c>
      <c r="AN85">
        <f>SUMIFS(LogFY19!D:D,LogFY19!B:B,"=*doe*")</f>
        <v>96</v>
      </c>
      <c r="AO85">
        <f>SUM(SUMIFS(LogFY19!D:D,LogFY19!B:B,"=*doe*"),-1*SUMIFS(LogFY19!L:L,LogFY19!B:B,"=*doe*"),-1*SUMIFS(LogFY19!N:N,LogFY19!B:B,"=*doe*"))</f>
        <v>16</v>
      </c>
      <c r="AP85" s="7">
        <f t="shared" si="148"/>
        <v>0.16666666666666666</v>
      </c>
      <c r="AQ85" s="7">
        <f t="shared" si="135"/>
        <v>-3.8461538461538464E-2</v>
      </c>
      <c r="AR85">
        <f>ROUND(SUMIFS(LogFY19!K:K,LogFY19!B:B,"=*doe*")/SUMIFS(LogFY19!J:J,LogFY19!B:B,"=*doe*"),0)</f>
        <v>13</v>
      </c>
      <c r="AS85">
        <f t="shared" si="149"/>
        <v>1</v>
      </c>
      <c r="AT85" s="1">
        <v>100</v>
      </c>
      <c r="AU85" s="1">
        <f t="shared" si="117"/>
        <v>27</v>
      </c>
      <c r="AX85">
        <f>SUMIFS(LogFY20!D:D,LogFY20!B:B,"=*doe*")</f>
        <v>60</v>
      </c>
      <c r="AY85">
        <f>SUM(SUMIFS(LogFY20!D:D,LogFY20!B:B,"=*doe*"),-1*SUMIFS(LogFY20!L:L,LogFY20!B:B,"=*doe*"),-1*SUMIFS(LogFY20!N:N,LogFY20!B:B,"=*doe*"))</f>
        <v>12</v>
      </c>
      <c r="AZ85" s="7">
        <f t="shared" si="150"/>
        <v>0.2</v>
      </c>
      <c r="BA85" s="7">
        <f t="shared" si="133"/>
        <v>3.3333333333333354E-2</v>
      </c>
      <c r="BB85">
        <f>ROUND(SUMIFS(LogFY20!K:K,LogFY20!B:B,"=*doe*")/SUMIFS(LogFY20!J:J,LogFY20!B:B,"=*doe*"),0)</f>
        <v>12</v>
      </c>
      <c r="BC85">
        <f t="shared" si="151"/>
        <v>-1</v>
      </c>
      <c r="BD85" s="1">
        <v>62</v>
      </c>
      <c r="BE85" s="1">
        <f t="shared" si="134"/>
        <v>-38</v>
      </c>
      <c r="BH85">
        <f>SUMIFS(LogFY21!D:D,LogFY21!B:B,"=*doe*")</f>
        <v>64</v>
      </c>
      <c r="BI85">
        <f>SUM(SUMIFS(LogFY21!D:D,LogFY21!B:B,"=*doe*"),-1*SUMIFS(LogFY21!L:L,LogFY21!B:B,"=*doe*"),-1*SUMIFS(LogFY21!N:N,LogFY21!B:B,"=*doe*"))</f>
        <v>30</v>
      </c>
      <c r="BJ85" s="7">
        <f t="shared" si="118"/>
        <v>0.46875</v>
      </c>
      <c r="BK85" s="7">
        <f t="shared" si="119"/>
        <v>0.26874999999999999</v>
      </c>
      <c r="BL85">
        <f>ROUND(SUMIFS(LogFY21!K:K,LogFY21!B:B,"=*doe*")/SUMIFS(LogFY21!J:J,LogFY21!B:B,"=*doe*"),0)</f>
        <v>26</v>
      </c>
      <c r="BM85">
        <f t="shared" si="120"/>
        <v>14</v>
      </c>
      <c r="BN85" s="1">
        <v>213</v>
      </c>
      <c r="BO85" s="1">
        <f t="shared" si="121"/>
        <v>151</v>
      </c>
      <c r="BR85">
        <f>SUMIFS(LogFY22!D:D,LogFY22!B:B,"=*doe*")</f>
        <v>69</v>
      </c>
      <c r="BS85">
        <f>SUM(SUMIFS(LogFY22!D:D,LogFY22!B:B,"=*doe*"),-1*SUMIFS(LogFY22!L:L,LogFY22!B:B,"=*doe*"),-1*SUMIFS(LogFY22!N:N,LogFY22!B:B,"=*doe*"))</f>
        <v>23</v>
      </c>
      <c r="BT85" s="7">
        <f t="shared" si="136"/>
        <v>0.33333333333333331</v>
      </c>
      <c r="BU85" s="7">
        <f t="shared" si="137"/>
        <v>-0.13541666666666669</v>
      </c>
      <c r="BV85">
        <f>ROUND(SUMIFS(LogFY22!K:K,LogFY22!B:B,"=*doe*")/SUMIFS(LogFY22!J:J,LogFY22!B:B,"=*doe*"),0)</f>
        <v>17</v>
      </c>
      <c r="BW85">
        <f t="shared" si="138"/>
        <v>-9</v>
      </c>
      <c r="BX85" s="1">
        <v>99</v>
      </c>
      <c r="BY85" s="1">
        <f t="shared" si="139"/>
        <v>-114</v>
      </c>
      <c r="CB85">
        <f>SUMIFS(LogFY23!D:D,LogFY23!B:B,"=*doe*")</f>
        <v>79</v>
      </c>
      <c r="CC85">
        <f>SUM(SUMIFS(LogFY23!D:D,LogFY23!B:B,"=*doe*"),-1*SUMIFS(LogFY23!L:L,LogFY23!B:B,"=*doe*"),-1*SUMIFS(LogFY23!N:N,LogFY23!B:B,"=*doe*"))</f>
        <v>28</v>
      </c>
      <c r="CD85" s="7">
        <f t="shared" si="122"/>
        <v>0.35443037974683544</v>
      </c>
      <c r="CE85" s="7">
        <f t="shared" si="123"/>
        <v>2.109704641350213E-2</v>
      </c>
      <c r="CF85">
        <f>ROUND(SUMIFS(LogFY23!K:K,LogFY23!B:B,"=*doe*")/SUMIFS(LogFY23!J:J,LogFY23!B:B,"=*doe*"),0)</f>
        <v>17</v>
      </c>
      <c r="CG85">
        <f t="shared" si="124"/>
        <v>0</v>
      </c>
      <c r="CH85" s="1">
        <v>99</v>
      </c>
      <c r="CI85" s="1">
        <f t="shared" si="127"/>
        <v>0</v>
      </c>
      <c r="CK85" s="7"/>
      <c r="CL85">
        <f>SUMIFS(LogFY24!D:D,LogFY24!B:B,"=*doe*")</f>
        <v>64</v>
      </c>
      <c r="CM85">
        <f>SUM(SUMIFS(LogFY24!D:D,LogFY24!B:B,"=*doe*"),-1*SUMIFS(LogFY24!L:L,LogFY24!B:B,"=*doe*"),-1*SUMIFS(LogFY24!N:N,LogFY24!B:B,"=*doe*"))</f>
        <v>19</v>
      </c>
      <c r="CN85" s="7">
        <f t="shared" si="126"/>
        <v>0.296875</v>
      </c>
      <c r="CO85" s="7">
        <f t="shared" si="128"/>
        <v>-5.7555379746835444E-2</v>
      </c>
      <c r="CP85">
        <f>ROUND(SUMIFS(LogFY24!K:K,LogFY24!B:B,"=*doe*")/SUMIFS(LogFY24!J:J,LogFY24!B:B,"=*doe*"),0)</f>
        <v>15</v>
      </c>
      <c r="CQ85">
        <f t="shared" si="129"/>
        <v>-2</v>
      </c>
      <c r="CR85" s="1">
        <v>86</v>
      </c>
      <c r="CS85" s="1">
        <f t="shared" si="140"/>
        <v>-13</v>
      </c>
    </row>
    <row r="86" spans="1:99" ht="32">
      <c r="A86" s="10">
        <f t="shared" si="130"/>
        <v>85</v>
      </c>
      <c r="B86" s="1" t="s">
        <v>17248</v>
      </c>
      <c r="C86">
        <f>SUMIFS(LogFY15!D:D,LogFY15!A:A,"=*home*")</f>
        <v>22</v>
      </c>
      <c r="D86">
        <f>SUM(SUMIFS(LogFY15!D:D,LogFY15!A:A,"=*home*"),-1*SUMIFS(LogFY15!L:L,LogFY15!A:A,"=*home*"),-1*SUMIFS(LogFY15!N:N,LogFY15!A:A,"=*home*"))</f>
        <v>1</v>
      </c>
      <c r="E86" s="7">
        <f t="shared" si="141"/>
        <v>4.5454545454545456E-2</v>
      </c>
      <c r="F86">
        <f>ROUND(SUMIFS(LogFY15!K:K,LogFY15!A:A,"=*home*")/SUMIFS(LogFY15!J:J,LogFY15!A:A,"=*home*"),0)</f>
        <v>22</v>
      </c>
      <c r="G86" s="1">
        <v>116</v>
      </c>
      <c r="H86">
        <f>COUNTIFS(All!F:F,"=DHHL*", All!B:B, "&gt;=7/1/2014", All!B:B,"&lt;=6/30/2015", All!E:E,"=U*",All!E:E,"&lt;&gt;UIPA*",All!E:E,"&lt;&gt;*RFO*",All!E:E,"&lt;&gt;*TRNG*")</f>
        <v>0</v>
      </c>
      <c r="I86" s="7">
        <f>ROUND(H86/C86,3)</f>
        <v>0</v>
      </c>
      <c r="J86">
        <f>SUMIFS(LogFY16!D:D,LogFY16!A:A,"=*home*")</f>
        <v>39</v>
      </c>
      <c r="K86">
        <f>SUM(SUMIFS(LogFY16!D:D,LogFY16!A:A,"=*home*"),-1*SUMIFS(LogFY16!L:L,LogFY16!A:A,"=*home*"),-1*SUMIFS(LogFY16!N:N,LogFY16!A:A,"=*home*"))</f>
        <v>1</v>
      </c>
      <c r="L86" s="7">
        <f t="shared" si="142"/>
        <v>2.564102564102564E-2</v>
      </c>
      <c r="M86" s="7">
        <f t="shared" si="143"/>
        <v>-1.9813519813519816E-2</v>
      </c>
      <c r="N86">
        <f>ROUND(SUMIFS(LogFY16!K:K,LogFY16!A:A,"=*home*")/SUMIFS(LogFY16!J:J,LogFY16!A:A,"=*home*"),0)</f>
        <v>15</v>
      </c>
      <c r="O86">
        <f t="shared" si="144"/>
        <v>-7</v>
      </c>
      <c r="P86" s="1">
        <v>34</v>
      </c>
      <c r="Q86" s="1">
        <f t="shared" si="145"/>
        <v>-82</v>
      </c>
      <c r="R86">
        <f>COUNTIFS(All!F:F,"=DHHL*", All!B:B, "&gt;=7/1/2015", All!B:B,"&lt;=6/30/2016", All!E:E,"=U*",All!E:E,"&lt;&gt;UIPA*",All!E:E,"&lt;&gt;*RFO*",All!E:E,"&lt;&gt;*TRNG*")</f>
        <v>0</v>
      </c>
      <c r="S86" s="7">
        <f>ROUND(R86/(J86+C86),3)</f>
        <v>0</v>
      </c>
      <c r="T86">
        <f>SUMIFS(LogFY17!D:D,LogFY17!A:A,"=*home*")</f>
        <v>27</v>
      </c>
      <c r="U86">
        <f>SUM(SUMIFS(LogFY17!D:D,LogFY17!A:A,"=*home*"),-1*SUMIFS(LogFY17!L:L,LogFY17!A:A,"=*home*"),-1*SUMIFS(LogFY17!N:N,LogFY17!A:A,"=*home*"))</f>
        <v>15</v>
      </c>
      <c r="V86" s="7">
        <f t="shared" si="131"/>
        <v>0.55555555555555558</v>
      </c>
      <c r="W86" s="7">
        <f t="shared" si="132"/>
        <v>0.52991452991452992</v>
      </c>
      <c r="X86">
        <f>ROUND(SUMIFS(LogFY17!K:K,LogFY17!A:A,"=*home*")/SUMIFS(LogFY17!J:J,LogFY17!A:A,"=*home*"),0)</f>
        <v>28</v>
      </c>
      <c r="Y86">
        <f t="shared" si="146"/>
        <v>13</v>
      </c>
      <c r="Z86" s="1">
        <v>208</v>
      </c>
      <c r="AA86" s="1">
        <f t="shared" si="147"/>
        <v>174</v>
      </c>
      <c r="AB86">
        <f>COUNTIFS(All!F:F,"=DHHL*", All!B:B, "&gt;=7/1/2016", All!B:B,"&lt;=6/30/2017", All!E:E,"=U*",All!E:E,"&lt;&gt;UIPA*",All!E:E,"&lt;&gt;*RFO*",All!E:E,"&lt;&gt;*TRNG*")</f>
        <v>1</v>
      </c>
      <c r="AC86" s="7">
        <f>ROUND(AB86/(T86+J86),3)</f>
        <v>1.4999999999999999E-2</v>
      </c>
      <c r="AD86">
        <f>SUMIFS(LogFY18!D:D,LogFY18!A:A,"=*home*")</f>
        <v>17</v>
      </c>
      <c r="AE86">
        <f>SUM(SUMIFS(LogFY18!D:D,LogFY18!A:A,"=*home*"),-1*SUMIFS(LogFY18!L:L,LogFY18!A:A,"=*home*"),-1*SUMIFS(LogFY18!N:N,LogFY18!A:A,"=*home*"))</f>
        <v>10</v>
      </c>
      <c r="AF86" s="7">
        <f t="shared" si="87"/>
        <v>0.58823529411764708</v>
      </c>
      <c r="AG86" s="7">
        <f t="shared" si="88"/>
        <v>3.2679738562091498E-2</v>
      </c>
      <c r="AH86">
        <f>ROUND(SUMIFS(LogFY18!K:K,LogFY18!A:A,"=*home*")/SUMIFS(LogFY18!J:J,LogFY18!A:A,"=*home*"),0)</f>
        <v>9</v>
      </c>
      <c r="AI86">
        <f t="shared" si="89"/>
        <v>-19</v>
      </c>
      <c r="AJ86" s="1">
        <v>22</v>
      </c>
      <c r="AK86" s="1">
        <f t="shared" si="116"/>
        <v>-186</v>
      </c>
      <c r="AL86">
        <f>COUNTIFS(All!F:F,"=DHHL*", All!B:B, "&gt;=7/1/2017", All!B:B,"&lt;=6/30/2018", All!E:E,"=U*",All!E:E,"&lt;&gt;UIPA*",All!E:E,"&lt;&gt;*RFO*",All!E:E,"&lt;&gt;*TRNG*")</f>
        <v>0</v>
      </c>
      <c r="AM86" s="7">
        <f>ROUND(AL86/(AD86+T86),3)</f>
        <v>0</v>
      </c>
      <c r="AN86">
        <f>SUMIFS(LogFY19!D:D,LogFY19!A:A,"=*home*")</f>
        <v>11</v>
      </c>
      <c r="AO86">
        <f>SUM(SUMIFS(LogFY19!D:D,LogFY19!A:A,"=*home*"),-1*SUMIFS(LogFY19!L:L,LogFY19!A:A,"=*home*"),-1*SUMIFS(LogFY19!N:N,LogFY19!A:A,"=*home*"))</f>
        <v>11</v>
      </c>
      <c r="AP86" s="7">
        <f t="shared" si="148"/>
        <v>1</v>
      </c>
      <c r="AQ86" s="7">
        <f t="shared" si="135"/>
        <v>0.41176470588235292</v>
      </c>
      <c r="AR86">
        <f>ROUND(SUMIFS(LogFY19!K:K,LogFY19!A:A,"=*home*")/SUMIFS(LogFY19!J:J,LogFY19!A:A,"=*home*"),0)</f>
        <v>7</v>
      </c>
      <c r="AS86">
        <f t="shared" si="149"/>
        <v>-2</v>
      </c>
      <c r="AT86" s="1">
        <v>20</v>
      </c>
      <c r="AU86" s="1">
        <f t="shared" si="117"/>
        <v>-2</v>
      </c>
      <c r="AV86">
        <f>COUNTIFS(All!F:F,"=DHHL*", All!B:B, "&gt;=7/1/2018", All!B:B,"&lt;=6/30/2019", All!E:E,"=U*",All!E:E,"&lt;&gt;UIPA*",All!E:E,"&lt;&gt;*RFO*",All!E:E,"&lt;&gt;*TRNG*")</f>
        <v>0</v>
      </c>
      <c r="AW86" s="7">
        <f>ROUND(AV86/(AN86+AD86),3)</f>
        <v>0</v>
      </c>
      <c r="AX86">
        <f>SUMIFS(LogFY20!D:D,LogFY20!A:A,"=*home*")</f>
        <v>17</v>
      </c>
      <c r="AY86">
        <f>SUM(SUMIFS(LogFY20!D:D,LogFY20!A:A,"=*home*"),-1*SUMIFS(LogFY20!L:L,LogFY20!A:A,"=*home*"),-1*SUMIFS(LogFY20!N:N,LogFY20!A:A,"=*home*"))</f>
        <v>17</v>
      </c>
      <c r="AZ86" s="7">
        <f t="shared" si="150"/>
        <v>1</v>
      </c>
      <c r="BA86" s="7">
        <f t="shared" si="133"/>
        <v>0</v>
      </c>
      <c r="BB86">
        <f>ROUND(SUMIFS(LogFY20!K:K,LogFY20!A:A,"=*home*")/SUMIFS(LogFY20!J:J,LogFY20!A:A,"=*home*"),0)</f>
        <v>8</v>
      </c>
      <c r="BC86">
        <f t="shared" si="151"/>
        <v>1</v>
      </c>
      <c r="BD86" s="1">
        <v>13</v>
      </c>
      <c r="BE86" s="1">
        <f t="shared" si="134"/>
        <v>-7</v>
      </c>
      <c r="BF86">
        <f>COUNTIFS(All!F:F,"=DHHL*", All!B:B, "&gt;=7/1/2019", All!B:B,"&lt;=6/30/2020", All!E:E,"=U*",All!E:E,"&lt;&gt;UIPA*",All!E:E,"&lt;&gt;*RFO*",All!E:E,"&lt;&gt;*TRNG*")</f>
        <v>2</v>
      </c>
      <c r="BG86" s="7">
        <f>ROUND(BF86/(AX86+AN86),3)</f>
        <v>7.0999999999999994E-2</v>
      </c>
      <c r="BH86">
        <f>SUMIFS(LogFY21!D:D,LogFY21!A:A,"=*home*")</f>
        <v>19</v>
      </c>
      <c r="BI86">
        <f>SUM(SUMIFS(LogFY21!D:D,LogFY21!A:A,"=*home*"),-1*SUMIFS(LogFY21!L:L,LogFY21!A:A,"=*home*"),-1*SUMIFS(LogFY21!N:N,LogFY21!A:A,"=*home*"))</f>
        <v>18</v>
      </c>
      <c r="BJ86" s="7">
        <f t="shared" si="118"/>
        <v>0.94736842105263153</v>
      </c>
      <c r="BK86" s="7">
        <f t="shared" si="119"/>
        <v>-5.2631578947368474E-2</v>
      </c>
      <c r="BL86">
        <f>ROUND(SUMIFS(LogFY21!K:K,LogFY21!A:A,"=*home*")/SUMIFS(LogFY21!J:J,LogFY21!A:A,"=*home*"),0)</f>
        <v>31</v>
      </c>
      <c r="BM86">
        <f t="shared" si="120"/>
        <v>23</v>
      </c>
      <c r="BN86" s="1">
        <v>77</v>
      </c>
      <c r="BO86" s="1">
        <f t="shared" si="121"/>
        <v>64</v>
      </c>
      <c r="BP86">
        <f>COUNTIFS(All!F:F,"=DHHL*", All!B:B, "&gt;=7/1/2020", All!B:B,"&lt;=6/30/2021", All!E:E,"=U*",All!E:E,"&lt;&gt;UIPA*",All!E:E,"&lt;&gt;*RFO*",All!E:E,"&lt;&gt;*TRNG*")</f>
        <v>1</v>
      </c>
      <c r="BQ86" s="7">
        <f>ROUND(BP86/(BH86+AX86),3)</f>
        <v>2.8000000000000001E-2</v>
      </c>
      <c r="BR86">
        <f>SUMIFS(LogFY22!D:D,LogFY22!A:A,"=*home*")</f>
        <v>32</v>
      </c>
      <c r="BS86">
        <f>SUM(SUMIFS(LogFY22!D:D,LogFY22!A:A,"=*home*"),-1*SUMIFS(LogFY22!L:L,LogFY22!A:A,"=*home*"),-1*SUMIFS(LogFY22!N:N,LogFY22!A:A,"=*home*"))</f>
        <v>12</v>
      </c>
      <c r="BT86" s="7">
        <f t="shared" si="136"/>
        <v>0.375</v>
      </c>
      <c r="BU86" s="7">
        <f t="shared" si="137"/>
        <v>-0.57236842105263153</v>
      </c>
      <c r="BV86">
        <f>ROUND(SUMIFS(LogFY22!K:K,LogFY22!A:A,"=*home*")/SUMIFS(LogFY22!J:J,LogFY22!A:A,"=*home*"),0)</f>
        <v>14</v>
      </c>
      <c r="BW86">
        <f t="shared" si="138"/>
        <v>-17</v>
      </c>
      <c r="BX86" s="1">
        <v>76</v>
      </c>
      <c r="BY86" s="1">
        <f t="shared" si="139"/>
        <v>-1</v>
      </c>
      <c r="BZ86">
        <f>COUNTIFS(All!F:F,"=DHHL*", All!B:B, "&gt;=7/1/2021", All!B:B,"&lt;=6/30/2022", All!E:E,"=U*",All!E:E,"&lt;&gt;UIPA*",All!E:E,"&lt;&gt;*RFO*",All!E:E,"&lt;&gt;*TRNG*")</f>
        <v>3</v>
      </c>
      <c r="CA86" s="7">
        <f>ROUND(BZ86/(BR86+BH86),3)</f>
        <v>5.8999999999999997E-2</v>
      </c>
      <c r="CB86">
        <f>SUMIFS(LogFY23!D:D,LogFY23!A:A,"=*home*")</f>
        <v>27</v>
      </c>
      <c r="CC86">
        <f>SUM(SUMIFS(LogFY23!D:D,LogFY23!A:A,"=*home*"),-1*SUMIFS(LogFY23!L:L,LogFY23!A:A,"=*home*"),-1*SUMIFS(LogFY23!N:N,LogFY23!A:A,"=*home*"))</f>
        <v>6</v>
      </c>
      <c r="CD86" s="7">
        <f t="shared" si="122"/>
        <v>0.22222222222222221</v>
      </c>
      <c r="CE86" s="7">
        <f t="shared" si="123"/>
        <v>-0.15277777777777779</v>
      </c>
      <c r="CF86">
        <f>ROUND(SUMIFS(LogFY23!K:K,LogFY23!A:A,"=*home*")/SUMIFS(LogFY23!J:J,LogFY23!A:A,"=*home*"),0)</f>
        <v>20</v>
      </c>
      <c r="CG86">
        <f t="shared" si="124"/>
        <v>6</v>
      </c>
      <c r="CH86" s="1">
        <v>147</v>
      </c>
      <c r="CI86" s="1">
        <f t="shared" si="127"/>
        <v>71</v>
      </c>
      <c r="CJ86">
        <f>COUNTIFS(All!F:F,"=DHHL*", All!B:B, "&gt;=7/1/2022", All!B:B,"&lt;=6/30/2023", All!E:E,"=U*",All!E:E,"&lt;&gt;UIPA*",All!E:E,"&lt;&gt;*RFO*",All!E:E,"&lt;&gt;*TRNG*")</f>
        <v>3</v>
      </c>
      <c r="CK86" s="7">
        <f>ROUND(CJ86/(CB86+BR86),3)</f>
        <v>5.0999999999999997E-2</v>
      </c>
      <c r="CL86">
        <f>SUMIFS(LogFY24!D:D,LogFY24!A:A,"=*home*")</f>
        <v>36</v>
      </c>
      <c r="CM86">
        <f>SUM(SUMIFS(LogFY24!D:D,LogFY24!A:A,"=*home*"),-1*SUMIFS(LogFY24!L:L,LogFY24!A:A,"=*home*"),-1*SUMIFS(LogFY24!N:N,LogFY24!A:A,"=*home*"))</f>
        <v>5</v>
      </c>
      <c r="CN86" s="7">
        <f t="shared" si="126"/>
        <v>0.1388888888888889</v>
      </c>
      <c r="CO86" s="7">
        <f t="shared" si="128"/>
        <v>-8.3333333333333315E-2</v>
      </c>
      <c r="CP86">
        <f>ROUND(SUMIFS(LogFY24!K:K,LogFY24!A:A,"=*home*")/SUMIFS(LogFY24!J:J,LogFY24!A:A,"=*home*"),0)</f>
        <v>12</v>
      </c>
      <c r="CQ86">
        <f t="shared" si="129"/>
        <v>-8</v>
      </c>
      <c r="CR86" s="1">
        <v>107</v>
      </c>
      <c r="CS86" s="1">
        <f t="shared" si="140"/>
        <v>-40</v>
      </c>
      <c r="CT86">
        <f>COUNTIFS(All!F:F,"=DHHL*", All!B:B, "&gt;=7/1/2023", All!B:B,"&lt;=6/30/2024", All!E:E,"=U*",All!E:E,"&lt;&gt;UIPA*",All!E:E,"&lt;&gt;*RFO*",All!E:E,"&lt;&gt;*TRNG*")</f>
        <v>4</v>
      </c>
      <c r="CU86" s="7">
        <f>ROUND(CT86/(CL86+CB86),3)</f>
        <v>6.3E-2</v>
      </c>
    </row>
    <row r="87" spans="1:99" ht="16">
      <c r="A87" s="10">
        <f t="shared" si="130"/>
        <v>86</v>
      </c>
      <c r="B87" s="1" t="s">
        <v>17249</v>
      </c>
      <c r="C87">
        <f>SUMIFS(LogFY15!D:D,LogFY15!A:A,"=*health*")</f>
        <v>4116</v>
      </c>
      <c r="D87">
        <f>SUM(SUMIFS(LogFY15!D:D,LogFY15!A:A,"=*health*"),-1*SUMIFS(LogFY15!L:L,LogFY15!A:A,"=*health*"),-1*SUMIFS(LogFY15!N:N,LogFY15!A:A,"=*health*"))</f>
        <v>2455</v>
      </c>
      <c r="E87" s="7">
        <f t="shared" si="141"/>
        <v>0.59645286686103016</v>
      </c>
      <c r="F87">
        <f>ROUND(SUMIFS(LogFY15!K:K,LogFY15!A:A,"=*health*")/SUMIFS(LogFY15!J:J,LogFY15!A:A,"=*health*"),0)</f>
        <v>11</v>
      </c>
      <c r="G87" s="1">
        <v>175</v>
      </c>
      <c r="H87">
        <f>SUM(COUNTIFS(All!F:F,"=DOH*", All!B:B, "&gt;=7/1/2014", All!B:B,"&lt;=6/30/2015", All!E:E,"=U*",All!E:E,"&lt;&gt;UIPA*",All!E:E,"&lt;&gt;*RFO*",All!E:E,"&lt;&gt;*TRNG*"),COUNTIFS(All!F:F,"=HHSC*", All!B:B, "&gt;=7/1/2014", All!B:B,"&lt;=6/30/2015", All!E:E,"=U*",All!E:E,"&lt;&gt;UIPA*",All!E:E,"&lt;&gt;*RFO*",All!E:E,"&lt;&gt;*TRNG*"))</f>
        <v>3</v>
      </c>
      <c r="I87" s="7">
        <f>ROUND(H87/C87,3)</f>
        <v>1E-3</v>
      </c>
      <c r="J87">
        <f>SUMIFS(LogFY16!D:D,LogFY16!A:A,"=*health*")</f>
        <v>5546</v>
      </c>
      <c r="K87">
        <f>SUM(SUMIFS(LogFY16!D:D,LogFY16!A:A,"=*health*"),-1*SUMIFS(LogFY16!L:L,LogFY16!A:A,"=*health*"),-1*SUMIFS(LogFY16!N:N,LogFY16!A:A,"=*health*"))</f>
        <v>3579</v>
      </c>
      <c r="L87" s="7">
        <f t="shared" si="142"/>
        <v>0.64532996754417593</v>
      </c>
      <c r="M87" s="7">
        <f t="shared" si="143"/>
        <v>4.8877100683145769E-2</v>
      </c>
      <c r="N87">
        <f>ROUND(SUMIFS(LogFY16!K:K,LogFY16!A:A,"=*health*")/SUMIFS(LogFY16!J:J,LogFY16!A:A,"=*health*"),0)</f>
        <v>8</v>
      </c>
      <c r="O87">
        <f t="shared" si="144"/>
        <v>-3</v>
      </c>
      <c r="P87" s="1">
        <v>63</v>
      </c>
      <c r="Q87" s="1">
        <f t="shared" si="145"/>
        <v>-112</v>
      </c>
      <c r="R87">
        <f>SUM(COUNTIFS(All!F:F,"=DOH*", All!B:B, "&gt;=7/1/2015", All!B:B,"&lt;=6/30/2016", All!E:E,"=U*",All!E:E,"&lt;&gt;UIPA*",All!E:E,"&lt;&gt;*RFO*",All!E:E,"&lt;&gt;*TRNG*"),COUNTIFS(All!F:F,"=HHSC*", All!B:B, "&gt;=7/1/2015", All!B:B,"&lt;=6/30/2016", All!E:E,"=U*",All!E:E,"&lt;&gt;UIPA*",All!E:E,"&lt;&gt;*RFO*",All!E:E,"&lt;&gt;*TRNG*"))</f>
        <v>9</v>
      </c>
      <c r="S87" s="7">
        <f>ROUND(R87/(J87+C87),3)</f>
        <v>1E-3</v>
      </c>
      <c r="T87">
        <f>SUMIFS(LogFY17!D:D,LogFY17!A:A,"=*health*")</f>
        <v>5633</v>
      </c>
      <c r="U87">
        <f>SUM(SUMIFS(LogFY17!D:D,LogFY17!A:A,"=*health*"),-1*SUMIFS(LogFY17!L:L,LogFY17!A:A,"=*health*"),-1*SUMIFS(LogFY17!N:N,LogFY17!A:A,"=*health*"))</f>
        <v>3845</v>
      </c>
      <c r="V87" s="7">
        <f t="shared" si="131"/>
        <v>0.682584768329487</v>
      </c>
      <c r="W87" s="7">
        <f t="shared" si="132"/>
        <v>3.7254800785311071E-2</v>
      </c>
      <c r="X87">
        <f>ROUND(SUMIFS(LogFY17!K:K,LogFY17!A:A,"=*health*")/SUMIFS(LogFY17!J:J,LogFY17!A:A,"=*health*"),0)</f>
        <v>10</v>
      </c>
      <c r="Y87">
        <f t="shared" si="146"/>
        <v>2</v>
      </c>
      <c r="Z87" s="1">
        <v>165</v>
      </c>
      <c r="AA87" s="1">
        <f t="shared" si="147"/>
        <v>102</v>
      </c>
      <c r="AB87">
        <f>SUM(COUNTIFS(All!F:F,"=DOH*", All!B:B, "&gt;=7/1/2016", All!B:B,"&lt;=6/30/2017", All!E:E,"=U*",All!E:E,"&lt;&gt;UIPA*",All!E:E,"&lt;&gt;*RFO*",All!E:E,"&lt;&gt;*TRNG*"),COUNTIFS(All!F:F,"=HHSC*", All!B:B, "&gt;=7/1/2016", All!B:B,"&lt;=6/30/2017", All!E:E,"=U*",All!E:E,"&lt;&gt;UIPA*",All!E:E,"&lt;&gt;*RFO*",All!E:E,"&lt;&gt;*TRNG*"))</f>
        <v>15</v>
      </c>
      <c r="AC87" s="7">
        <f>ROUND(AB87/(T87+J87),3)</f>
        <v>1E-3</v>
      </c>
      <c r="AD87">
        <f>SUMIFS(LogFY18!D:D,LogFY18!A:A,"=*health*")</f>
        <v>4352</v>
      </c>
      <c r="AE87">
        <f>SUM(SUMIFS(LogFY18!D:D,LogFY18!A:A,"=*health*"),-1*SUMIFS(LogFY18!L:L,LogFY18!A:A,"=*health*"),-1*SUMIFS(LogFY18!N:N,LogFY18!A:A,"=*health*"))</f>
        <v>2997</v>
      </c>
      <c r="AF87" s="7">
        <f t="shared" si="87"/>
        <v>0.68864889705882348</v>
      </c>
      <c r="AG87" s="7">
        <f t="shared" si="88"/>
        <v>6.0641287293364821E-3</v>
      </c>
      <c r="AH87">
        <f>ROUND(SUMIFS(LogFY18!K:K,LogFY18!A:A,"=*health*")/SUMIFS(LogFY18!J:J,LogFY18!A:A,"=*health*"),0)</f>
        <v>14</v>
      </c>
      <c r="AI87">
        <f t="shared" si="89"/>
        <v>4</v>
      </c>
      <c r="AJ87" s="1">
        <v>161</v>
      </c>
      <c r="AK87" s="1">
        <f t="shared" si="116"/>
        <v>-4</v>
      </c>
      <c r="AL87">
        <f>SUM(COUNTIFS(All!F:F,"=DOH*", All!B:B, "&gt;=7/1/2017", All!B:B,"&lt;=6/30/2018", All!E:E,"=U*",All!E:E,"&lt;&gt;UIPA*",All!E:E,"&lt;&gt;*RFO*",All!E:E,"&lt;&gt;*TRNG*"),COUNTIFS(All!F:F,"=HHSC*", All!B:B, "&gt;=7/1/2017", All!B:B,"&lt;=6/30/2018", All!E:E,"=U*",All!E:E,"&lt;&gt;UIPA*",All!E:E,"&lt;&gt;*RFO*",All!E:E,"&lt;&gt;*TRNG*"))</f>
        <v>2</v>
      </c>
      <c r="AM87" s="7">
        <f>ROUND(AL87/(AD87+T87),3)</f>
        <v>0</v>
      </c>
      <c r="AN87">
        <f>SUMIFS(LogFY19!D:D,LogFY19!A:A,"=*health*")</f>
        <v>6280</v>
      </c>
      <c r="AO87">
        <f>SUM(SUMIFS(LogFY19!D:D,LogFY19!A:A,"=*health*"),-1*SUMIFS(LogFY19!L:L,LogFY19!A:A,"=*health*"),-1*SUMIFS(LogFY19!N:N,LogFY19!A:A,"=*health*"))</f>
        <v>4163</v>
      </c>
      <c r="AP87" s="7">
        <f t="shared" si="148"/>
        <v>0.66289808917197457</v>
      </c>
      <c r="AQ87" s="7">
        <f t="shared" si="135"/>
        <v>-2.5750807886848914E-2</v>
      </c>
      <c r="AR87">
        <f>ROUND(SUMIFS(LogFY19!K:K,LogFY19!A:A,"=*health*")/SUMIFS(LogFY19!J:J,LogFY19!A:A,"=*health*"),0)</f>
        <v>12</v>
      </c>
      <c r="AS87">
        <f t="shared" si="149"/>
        <v>-2</v>
      </c>
      <c r="AT87" s="1">
        <v>275</v>
      </c>
      <c r="AU87" s="1">
        <f t="shared" si="117"/>
        <v>114</v>
      </c>
      <c r="AV87">
        <f>SUM(COUNTIFS(All!F:F,"=DOH*", All!B:B, "&gt;=7/1/2018", All!B:B,"&lt;=6/30/2019", All!E:E,"=U*",All!E:E,"&lt;&gt;UIPA*",All!E:E,"&lt;&gt;*RFO*",All!E:E,"&lt;&gt;*TRNG*"),COUNTIFS(All!F:F,"=HHSC*", All!B:B, "&gt;=7/1/2018", All!B:B,"&lt;=6/30/2019", All!E:E,"=U*",All!E:E,"&lt;&gt;UIPA*",All!E:E,"&lt;&gt;*RFO*",All!E:E,"&lt;&gt;*TRNG*"))</f>
        <v>5</v>
      </c>
      <c r="AW87" s="7">
        <f>ROUND(AV87/(AN87+AD87),3)</f>
        <v>0</v>
      </c>
      <c r="AX87">
        <f>SUMIFS(LogFY20!D:D,LogFY20!A:A,"=*health*")</f>
        <v>4202</v>
      </c>
      <c r="AY87">
        <f>SUM(SUMIFS(LogFY20!D:D,LogFY20!A:A,"=*health*"),-1*SUMIFS(LogFY20!L:L,LogFY20!A:A,"=*health*"),-1*SUMIFS(LogFY20!N:N,LogFY20!A:A,"=*health*"))</f>
        <v>2730</v>
      </c>
      <c r="AZ87" s="7">
        <f t="shared" si="150"/>
        <v>0.64969062351261309</v>
      </c>
      <c r="BA87" s="7">
        <f t="shared" si="133"/>
        <v>-1.3207465659361484E-2</v>
      </c>
      <c r="BB87">
        <f>ROUND(SUMIFS(LogFY20!K:K,LogFY20!A:A,"=*health*")/SUMIFS(LogFY20!J:J,LogFY20!A:A,"=*health*"),0)</f>
        <v>10</v>
      </c>
      <c r="BC87">
        <f t="shared" si="151"/>
        <v>-2</v>
      </c>
      <c r="BD87" s="1">
        <v>264</v>
      </c>
      <c r="BE87" s="1">
        <f t="shared" si="134"/>
        <v>-11</v>
      </c>
      <c r="BF87">
        <f>SUM(COUNTIFS(All!F:F,"=DOH*", All!B:B, "&gt;=7/1/2019", All!B:B,"&lt;=6/30/2020", All!E:E,"=U*",All!E:E,"&lt;&gt;UIPA*",All!E:E,"&lt;&gt;*RFO*",All!E:E,"&lt;&gt;*TRNG*"),COUNTIFS(All!F:F,"=HHSC*", All!B:B, "&gt;=7/1/2019", All!B:B,"&lt;=6/30/2020", All!E:E,"=U*",All!E:E,"&lt;&gt;UIPA*",All!E:E,"&lt;&gt;*RFO*",All!E:E,"&lt;&gt;*TRNG*"))</f>
        <v>9</v>
      </c>
      <c r="BG87" s="7">
        <f>ROUND(BF87/(AX87+AN87),3)</f>
        <v>1E-3</v>
      </c>
      <c r="BH87">
        <f>SUMIFS(LogFY21!D:D,LogFY21!A:A,"=*health*")</f>
        <v>4490</v>
      </c>
      <c r="BI87">
        <f>SUM(SUMIFS(LogFY21!D:D,LogFY21!A:A,"=*health*"),-1*SUMIFS(LogFY21!L:L,LogFY21!A:A,"=*health*"),-1*SUMIFS(LogFY21!N:N,LogFY21!A:A,"=*health*"))</f>
        <v>2984</v>
      </c>
      <c r="BJ87" s="7">
        <f t="shared" si="118"/>
        <v>0.66458797327394215</v>
      </c>
      <c r="BK87" s="7">
        <f t="shared" si="119"/>
        <v>1.489734976132906E-2</v>
      </c>
      <c r="BL87">
        <f>ROUND(SUMIFS(LogFY21!K:K,LogFY21!A:A,"=*health*")/SUMIFS(LogFY21!J:J,LogFY21!A:A,"=*health*"),0)</f>
        <v>13</v>
      </c>
      <c r="BM87">
        <f t="shared" si="120"/>
        <v>3</v>
      </c>
      <c r="BN87" s="1">
        <v>133</v>
      </c>
      <c r="BO87" s="1">
        <f t="shared" si="121"/>
        <v>-131</v>
      </c>
      <c r="BP87">
        <f>SUM(COUNTIFS(All!F:F,"=DOH*", All!B:B, "&gt;=7/1/2020", All!B:B,"&lt;=6/30/2021", All!E:E,"=U*",All!E:E,"&lt;&gt;UIPA*",All!E:E,"&lt;&gt;*RFO*",All!E:E,"&lt;&gt;*TRNG*"),COUNTIFS(All!F:F,"=HHSC*", All!B:B, "&gt;=7/1/2020", All!B:B,"&lt;=6/30/2021", All!E:E,"=U*",All!E:E,"&lt;&gt;UIPA*",All!E:E,"&lt;&gt;*RFO*",All!E:E,"&lt;&gt;*TRNG*"))</f>
        <v>0</v>
      </c>
      <c r="BQ87" s="7">
        <f>ROUND(BP87/(BH87+AX87),3)</f>
        <v>0</v>
      </c>
      <c r="BR87">
        <f>SUMIFS(LogFY22!D:D,LogFY22!A:A,"=*health*")</f>
        <v>4620</v>
      </c>
      <c r="BS87">
        <f>SUM(SUMIFS(LogFY22!D:D,LogFY22!A:A,"=*health*"),-1*SUMIFS(LogFY22!L:L,LogFY22!A:A,"=*health*"),-1*SUMIFS(LogFY22!N:N,LogFY22!A:A,"=*health*"))</f>
        <v>3124</v>
      </c>
      <c r="BT87" s="7">
        <f t="shared" si="136"/>
        <v>0.67619047619047623</v>
      </c>
      <c r="BU87" s="7">
        <f t="shared" si="137"/>
        <v>1.1602502916534085E-2</v>
      </c>
      <c r="BV87">
        <f>ROUND(SUMIFS(LogFY22!K:K,LogFY22!A:A,"=*health*")/SUMIFS(LogFY22!J:J,LogFY22!A:A,"=*health*"),0)</f>
        <v>10</v>
      </c>
      <c r="BW87">
        <f t="shared" si="138"/>
        <v>-3</v>
      </c>
      <c r="BX87" s="1">
        <v>134</v>
      </c>
      <c r="BY87" s="1">
        <f t="shared" si="139"/>
        <v>1</v>
      </c>
      <c r="BZ87">
        <f>SUM(COUNTIFS(All!F:F,"=DOH*", All!B:B, "&gt;=7/1/2021", All!B:B,"&lt;=6/30/2022", All!E:E,"=U*",All!E:E,"&lt;&gt;UIPA*",All!E:E,"&lt;&gt;*RFO*",All!E:E,"&lt;&gt;*TRNG*"),COUNTIFS(All!F:F,"=HHSC*", All!B:B, "&gt;=7/1/2021", All!B:B,"&lt;=6/30/2022", All!E:E,"=U*",All!E:E,"&lt;&gt;UIPA*",All!E:E,"&lt;&gt;*RFO*",All!E:E,"&lt;&gt;*TRNG*"))</f>
        <v>16</v>
      </c>
      <c r="CA87" s="7">
        <f>ROUND(BZ87/(BR87+BH87),3)</f>
        <v>2E-3</v>
      </c>
      <c r="CB87">
        <f>SUMIFS(LogFY23!D:D,LogFY23!A:A,"=*health*")</f>
        <v>3156</v>
      </c>
      <c r="CC87">
        <f>SUM(SUMIFS(LogFY23!D:D,LogFY23!A:A,"=*health*"),-1*SUMIFS(LogFY23!L:L,LogFY23!A:A,"=*health*"),-1*SUMIFS(LogFY23!N:N,LogFY23!A:A,"=*health*"))</f>
        <v>2250</v>
      </c>
      <c r="CD87" s="7">
        <f t="shared" si="122"/>
        <v>0.71292775665399244</v>
      </c>
      <c r="CE87" s="7">
        <f t="shared" si="123"/>
        <v>3.6737280463516209E-2</v>
      </c>
      <c r="CF87">
        <f>ROUND(SUMIFS(LogFY23!K:K,LogFY23!A:A,"=*health*")/SUMIFS(LogFY23!J:J,LogFY23!A:A,"=*health*"),0)</f>
        <v>10</v>
      </c>
      <c r="CG87">
        <f t="shared" si="124"/>
        <v>0</v>
      </c>
      <c r="CH87" s="1">
        <v>104</v>
      </c>
      <c r="CI87" s="1">
        <f t="shared" si="127"/>
        <v>-30</v>
      </c>
      <c r="CJ87">
        <f>SUM(COUNTIFS(All!F:F,"=DOH*", All!B:B, "&gt;=7/1/2022", All!B:B,"&lt;=6/30/2023", All!E:E,"=U*",All!E:E,"&lt;&gt;UIPA*",All!E:E,"&lt;&gt;*RFO*",All!E:E,"&lt;&gt;*TRNG*"),COUNTIFS(All!F:F,"=HHSC*", All!B:B, "&gt;=7/1/2022", All!B:B,"&lt;=6/30/2023", All!E:E,"=U*",All!E:E,"&lt;&gt;UIPA*",All!E:E,"&lt;&gt;*RFO*",All!E:E,"&lt;&gt;*TRNG*"))</f>
        <v>0</v>
      </c>
      <c r="CK87" s="7">
        <f>ROUND(CJ87/(CB87+BR87),3)</f>
        <v>0</v>
      </c>
      <c r="CL87">
        <f>SUMIFS(LogFY24!D:D,LogFY24!A:A,"=*health*")</f>
        <v>2839</v>
      </c>
      <c r="CM87">
        <f>SUM(SUMIFS(LogFY24!D:D,LogFY24!A:A,"=*health*"),-1*SUMIFS(LogFY24!L:L,LogFY24!A:A,"=*health*"),-1*SUMIFS(LogFY24!N:N,LogFY24!A:A,"=*health*"))</f>
        <v>1930</v>
      </c>
      <c r="CN87" s="7">
        <f t="shared" si="126"/>
        <v>0.67981683691440653</v>
      </c>
      <c r="CO87" s="7">
        <f t="shared" si="128"/>
        <v>-3.3110919739585909E-2</v>
      </c>
      <c r="CP87">
        <f>ROUND(SUMIFS(LogFY24!K:K,LogFY24!A:A,"=*health*")/SUMIFS(LogFY24!J:J,LogFY24!A:A,"=*health*"),0)</f>
        <v>13</v>
      </c>
      <c r="CQ87">
        <f t="shared" si="129"/>
        <v>3</v>
      </c>
      <c r="CR87" s="1">
        <v>168</v>
      </c>
      <c r="CS87" s="1">
        <f t="shared" si="140"/>
        <v>64</v>
      </c>
      <c r="CT87">
        <f>SUM(COUNTIFS(All!F:F,"=DOH*", All!B:B, "&gt;=7/1/2023", All!B:B,"&lt;=6/30/2024", All!E:E,"=U*",All!E:E,"&lt;&gt;UIPA*",All!E:E,"&lt;&gt;*RFO*",All!E:E,"&lt;&gt;*TRNG*"),COUNTIFS(All!F:F,"=HHSC*", All!B:B, "&gt;=7/1/2023", All!B:B,"&lt;=6/30/2024", All!E:E,"=U*",All!E:E,"&lt;&gt;UIPA*",All!E:E,"&lt;&gt;*RFO*",All!E:E,"&lt;&gt;*TRNG*"))</f>
        <v>9</v>
      </c>
      <c r="CU87" s="7">
        <f>ROUND(CT87/(CL87+CB87),3)</f>
        <v>2E-3</v>
      </c>
    </row>
    <row r="88" spans="1:99" ht="16">
      <c r="A88" s="10">
        <f t="shared" si="130"/>
        <v>87</v>
      </c>
      <c r="B88" s="9" t="s">
        <v>17473</v>
      </c>
      <c r="C88">
        <f>SUMIFS(LogFY15!D:D,LogFY15!A:A,"=*health*", LogFY15!B:B,"&lt;&gt;*solid &amp; hazard*")</f>
        <v>1022</v>
      </c>
      <c r="D88">
        <f>SUM(SUMIFS(LogFY15!D:D,LogFY15!A:A,"=*health*", LogFY15!B:B,"&lt;&gt;*solid &amp; hazard*"),-1*SUMIFS(LogFY15!L:L,LogFY15!A:A,"=*health*", LogFY15!B:B,"&lt;&gt;*solid &amp; hazard*"),-1*SUMIFS(LogFY15!N:N,LogFY15!A:A,"=*health*", LogFY15!B:B,"&lt;&gt;*solid &amp; hazard*"))</f>
        <v>149</v>
      </c>
      <c r="E88" s="7">
        <f t="shared" si="141"/>
        <v>0.14579256360078277</v>
      </c>
      <c r="F88">
        <f>ROUND(SUMIFS(LogFY15!K:K,LogFY15!A:A,"=*health*", LogFY15!B:B,"&lt;&gt;*solid &amp; hazard*")/SUMIFS(LogFY15!J:J,LogFY15!A:A,"=*health*", LogFY15!B:B,"&lt;&gt;*solid &amp; hazard*"),0)</f>
        <v>6</v>
      </c>
      <c r="G88" s="1">
        <v>175</v>
      </c>
      <c r="J88">
        <f>SUMIFS(LogFY16!D:D,LogFY16!A:A,"=*health*", LogFY16!B:B,"&lt;&gt;*solid &amp; hazard*")</f>
        <v>853</v>
      </c>
      <c r="K88">
        <f>SUM(SUMIFS(LogFY16!D:D,LogFY16!A:A,"=*health*", LogFY16!B:B,"&lt;&gt;*solid &amp; hazard*"),-1*SUMIFS(LogFY16!L:L,LogFY16!A:A,"=*health*", LogFY16!B:B,"&lt;&gt;*solid &amp; hazard*"),-1*SUMIFS(LogFY16!N:N,LogFY16!A:A,"=*health*", LogFY16!B:B,"&lt;&gt;*solid &amp; hazard*"))</f>
        <v>155</v>
      </c>
      <c r="L88" s="7">
        <f t="shared" si="142"/>
        <v>0.1817116060961313</v>
      </c>
      <c r="M88" s="7">
        <f t="shared" si="143"/>
        <v>3.5919042495348524E-2</v>
      </c>
      <c r="N88">
        <f>ROUND(SUMIFS(LogFY16!K:K,LogFY16!A:A,"=*health*", LogFY16!B:B,"&lt;&gt;*solid &amp; hazard*")/SUMIFS(LogFY16!J:J,LogFY16!A:A,"=*health*", LogFY16!B:B,"&lt;&gt;*solid &amp; hazard*"),0)</f>
        <v>7</v>
      </c>
      <c r="O88">
        <f t="shared" si="144"/>
        <v>1</v>
      </c>
      <c r="P88" s="1">
        <v>63</v>
      </c>
      <c r="Q88" s="1">
        <f t="shared" si="145"/>
        <v>-112</v>
      </c>
      <c r="T88">
        <f>SUMIFS(LogFY17!D:D,LogFY17!A:A,"=*health*", LogFY17!B:B,"&lt;&gt;*solid &amp; hazard*")</f>
        <v>1133</v>
      </c>
      <c r="U88">
        <f>SUM(SUMIFS(LogFY17!D:D,LogFY17!A:A,"=*health*", LogFY17!B:B,"&lt;&gt;*solid &amp; hazard*"),-1*SUMIFS(LogFY17!L:L,LogFY17!A:A,"=*health*", LogFY17!B:B,"&lt;&gt;*solid &amp; hazard*"),-1*SUMIFS(LogFY17!N:N,LogFY17!A:A,"=*health*", LogFY17!B:B,"&lt;&gt;*solid &amp; hazard*"))</f>
        <v>180</v>
      </c>
      <c r="V88" s="7">
        <f t="shared" si="131"/>
        <v>0.1588702559576346</v>
      </c>
      <c r="W88" s="7">
        <f t="shared" si="132"/>
        <v>-2.2841350138496697E-2</v>
      </c>
      <c r="X88">
        <f>ROUND(SUMIFS(LogFY17!K:K,LogFY17!A:A,"=*health*", LogFY17!B:B,"&lt;&gt;*solid &amp; hazard*")/SUMIFS(LogFY17!J:J,LogFY17!A:A,"=*health*", LogFY17!B:B,"&lt;&gt;*solid &amp; hazard*"),0)</f>
        <v>10</v>
      </c>
      <c r="Y88">
        <f t="shared" si="146"/>
        <v>3</v>
      </c>
      <c r="Z88" s="1">
        <v>165</v>
      </c>
      <c r="AA88" s="1">
        <f t="shared" si="147"/>
        <v>102</v>
      </c>
      <c r="AD88">
        <f>SUMIFS(LogFY18!D:D,LogFY18!A:A,"=*health*", LogFY18!B:B,"&lt;&gt;*solid &amp; hazard*")</f>
        <v>934</v>
      </c>
      <c r="AE88">
        <f>SUM(SUMIFS(LogFY18!D:D,LogFY18!A:A,"=*health*", LogFY18!B:B,"&lt;&gt;*solid &amp; hazard*"),-1*SUMIFS(LogFY18!L:L,LogFY18!A:A,"=*health*", LogFY18!B:B,"&lt;&gt;*solid &amp; hazard*"),-1*SUMIFS(LogFY18!N:N,LogFY18!A:A,"=*health*", LogFY18!B:B,"&lt;&gt;*solid &amp; hazard*"))</f>
        <v>130</v>
      </c>
      <c r="AF88" s="7">
        <f t="shared" si="87"/>
        <v>0.13918629550321199</v>
      </c>
      <c r="AG88" s="7">
        <f t="shared" si="88"/>
        <v>-1.9683960454422611E-2</v>
      </c>
      <c r="AH88">
        <f>ROUND(SUMIFS(LogFY18!K:K,LogFY18!A:A,"=*health*", LogFY18!B:B,"&lt;&gt;*solid &amp; hazard*")/SUMIFS(LogFY18!J:J,LogFY18!A:A,"=*health*", LogFY18!B:B,"&lt;&gt;*solid &amp; hazard*"),0)</f>
        <v>6</v>
      </c>
      <c r="AI88">
        <f t="shared" si="89"/>
        <v>-4</v>
      </c>
      <c r="AJ88" s="1">
        <v>161</v>
      </c>
      <c r="AK88" s="1">
        <f t="shared" si="116"/>
        <v>-4</v>
      </c>
      <c r="AN88">
        <f>SUMIFS(LogFY19!D:D,LogFY19!A:A,"=*health*", LogFY19!B:B,"&lt;&gt;*solid &amp; hazard*")</f>
        <v>974</v>
      </c>
      <c r="AO88">
        <f>SUM(SUMIFS(LogFY19!D:D,LogFY19!A:A,"=*health*", LogFY19!B:B,"&lt;&gt;*solid &amp; hazard*"),-1*SUMIFS(LogFY19!L:L,LogFY19!A:A,"=*health*", LogFY19!B:B,"&lt;&gt;*solid &amp; hazard*"),-1*SUMIFS(LogFY19!N:N,LogFY19!A:A,"=*health*", LogFY19!B:B,"&lt;&gt;*solid &amp; hazard*"))</f>
        <v>102</v>
      </c>
      <c r="AP88" s="7">
        <f t="shared" si="148"/>
        <v>0.10472279260780287</v>
      </c>
      <c r="AQ88" s="7">
        <f t="shared" si="135"/>
        <v>-3.4463502895409115E-2</v>
      </c>
      <c r="AR88">
        <f>ROUND(SUMIFS(LogFY19!K:K,LogFY19!A:A,"=*health*", LogFY19!B:B,"&lt;&gt;*solid &amp; hazard*")/SUMIFS(LogFY19!J:J,LogFY19!A:A,"=*health*", LogFY19!B:B,"&lt;&gt;*solid &amp; hazard*"),0)</f>
        <v>6</v>
      </c>
      <c r="AS88">
        <f t="shared" si="149"/>
        <v>0</v>
      </c>
      <c r="AT88" s="1">
        <v>130</v>
      </c>
      <c r="AU88" s="1">
        <f t="shared" si="117"/>
        <v>-31</v>
      </c>
      <c r="AX88">
        <f>SUMIFS(LogFY20!D:D,LogFY20!A:A,"=*health*", LogFY20!B:B,"&lt;&gt;*solid &amp; hazard*")</f>
        <v>962</v>
      </c>
      <c r="AY88">
        <f>SUM(SUMIFS(LogFY20!D:D,LogFY20!A:A,"=*health*", LogFY20!B:B,"&lt;&gt;*solid &amp; hazard*"),-1*SUMIFS(LogFY20!L:L,LogFY20!A:A,"=*health*", LogFY20!B:B,"&lt;&gt;*solid &amp; hazard*"),-1*SUMIFS(LogFY20!N:N,LogFY20!A:A,"=*health*", LogFY20!B:B,"&lt;&gt;*solid &amp; hazard*"))</f>
        <v>365</v>
      </c>
      <c r="AZ88" s="7">
        <f t="shared" si="150"/>
        <v>0.37941787941787941</v>
      </c>
      <c r="BA88" s="7">
        <f t="shared" si="133"/>
        <v>0.27469508681007654</v>
      </c>
      <c r="BB88">
        <f>ROUND(SUMIFS(LogFY20!K:K,LogFY20!A:A,"=*health*", LogFY20!B:B,"&lt;&gt;*solid &amp; hazard*")/SUMIFS(LogFY20!J:J,LogFY20!A:A,"=*health*", LogFY20!B:B,"&lt;&gt;*solid &amp; hazard*"),0)</f>
        <v>5</v>
      </c>
      <c r="BC88">
        <f t="shared" si="151"/>
        <v>-1</v>
      </c>
      <c r="BD88" s="1">
        <v>264</v>
      </c>
      <c r="BE88" s="1">
        <f t="shared" si="134"/>
        <v>134</v>
      </c>
      <c r="BG88" s="7"/>
      <c r="BH88">
        <f>SUMIFS(LogFY21!D:D,LogFY21!A:A,"=*health*", LogFY21!B:B,"&lt;&gt;*solid &amp; hazard*")</f>
        <v>755</v>
      </c>
      <c r="BI88">
        <f>SUM(SUMIFS(LogFY21!D:D,LogFY21!A:A,"=*health*", LogFY21!B:B,"&lt;&gt;*solid &amp; hazard*"),-1*SUMIFS(LogFY21!L:L,LogFY21!A:A,"=*health*", LogFY21!B:B,"&lt;&gt;*solid &amp; hazard*"),-1*SUMIFS(LogFY21!N:N,LogFY21!A:A,"=*health*", LogFY21!B:B,"&lt;&gt;*solid &amp; hazard*"))</f>
        <v>63</v>
      </c>
      <c r="BJ88" s="7">
        <f t="shared" si="118"/>
        <v>8.3443708609271527E-2</v>
      </c>
      <c r="BK88" s="7">
        <f t="shared" si="119"/>
        <v>-0.29597417080860788</v>
      </c>
      <c r="BL88">
        <f>ROUND(SUMIFS(LogFY21!K:K,LogFY21!A:A,"=*health*", LogFY21!B:B,"&lt;&gt;*solid &amp; hazard*")/SUMIFS(LogFY21!J:J,LogFY21!A:A,"=*health*", LogFY21!B:B,"&lt;&gt;*solid &amp; hazard*"),0)</f>
        <v>8</v>
      </c>
      <c r="BM88">
        <f t="shared" si="120"/>
        <v>3</v>
      </c>
      <c r="BN88" s="1">
        <v>133</v>
      </c>
      <c r="BO88" s="1">
        <f t="shared" si="121"/>
        <v>-131</v>
      </c>
      <c r="BQ88" s="7"/>
      <c r="BR88">
        <f>SUMIFS(LogFY22!D:D,LogFY22!A:A,"=*health*", LogFY22!B:B,"&lt;&gt;*solid &amp; hazard*")</f>
        <v>660</v>
      </c>
      <c r="BS88">
        <f>SUM(SUMIFS(LogFY22!D:D,LogFY22!A:A,"=*health*", LogFY22!B:B,"&lt;&gt;*solid &amp; hazard*"),-1*SUMIFS(LogFY22!L:L,LogFY22!A:A,"=*health*", LogFY22!B:B,"&lt;&gt;*solid &amp; hazard*"),-1*SUMIFS(LogFY22!N:N,LogFY22!A:A,"=*health*", LogFY22!B:B,"&lt;&gt;*solid &amp; hazard*"))</f>
        <v>162</v>
      </c>
      <c r="BT88" s="7">
        <f t="shared" si="136"/>
        <v>0.24545454545454545</v>
      </c>
      <c r="BU88" s="7">
        <f t="shared" si="137"/>
        <v>0.16201083684527393</v>
      </c>
      <c r="BV88">
        <f>ROUND(SUMIFS(LogFY22!K:K,LogFY22!A:A,"=*health*", LogFY22!B:B,"&lt;&gt;*solid &amp; hazard*")/SUMIFS(LogFY22!J:J,LogFY22!A:A,"=*health*", LogFY22!B:B,"&lt;&gt;*solid &amp; hazard*"),0)</f>
        <v>7</v>
      </c>
      <c r="BW88">
        <f t="shared" si="138"/>
        <v>-1</v>
      </c>
      <c r="BX88" s="1">
        <v>134</v>
      </c>
      <c r="BY88" s="1">
        <f t="shared" si="139"/>
        <v>1</v>
      </c>
      <c r="CA88" s="7"/>
      <c r="CB88">
        <f>SUMIFS(LogFY23!D:D,LogFY23!A:A,"=*health*", LogFY23!B:B,"&lt;&gt;*solid &amp; hazard*")</f>
        <v>467</v>
      </c>
      <c r="CC88">
        <f>SUM(SUMIFS(LogFY23!D:D,LogFY23!A:A,"=*health*", LogFY23!B:B,"&lt;&gt;*solid &amp; hazard*"),-1*SUMIFS(LogFY23!L:L,LogFY23!A:A,"=*health*", LogFY23!B:B,"&lt;&gt;*solid &amp; hazard*"),-1*SUMIFS(LogFY23!N:N,LogFY23!A:A,"=*health*", LogFY23!B:B,"&lt;&gt;*solid &amp; hazard*"))</f>
        <v>155</v>
      </c>
      <c r="CD88" s="7">
        <f t="shared" si="122"/>
        <v>0.33190578158458245</v>
      </c>
      <c r="CE88" s="7">
        <f t="shared" si="123"/>
        <v>8.6451236130036996E-2</v>
      </c>
      <c r="CF88">
        <f>ROUND(SUMIFS(LogFY23!K:K,LogFY23!A:A,"=*health*", LogFY23!B:B,"&lt;&gt;*solid &amp; hazard*")/SUMIFS(LogFY23!J:J,LogFY23!A:A,"=*health*", LogFY23!B:B,"&lt;&gt;*solid &amp; hazard*"),0)</f>
        <v>6</v>
      </c>
      <c r="CG88">
        <f t="shared" si="124"/>
        <v>-1</v>
      </c>
      <c r="CH88" s="1">
        <v>104</v>
      </c>
      <c r="CI88" s="1">
        <f t="shared" si="127"/>
        <v>-30</v>
      </c>
      <c r="CK88" s="7"/>
      <c r="CL88">
        <f>SUMIFS(LogFY24!D:D,LogFY24!A:A,"=*health*", LogFY24!B:B,"&lt;&gt;*solid &amp; hazard*")</f>
        <v>509</v>
      </c>
      <c r="CM88">
        <f>SUM(SUMIFS(LogFY24!D:D,LogFY24!A:A,"=*health*", LogFY24!B:B,"&lt;&gt;*solid &amp; hazard*"),-1*SUMIFS(LogFY24!L:L,LogFY24!A:A,"=*health*", LogFY24!B:B,"&lt;&gt;*solid &amp; hazard*"),-1*SUMIFS(LogFY24!N:N,LogFY24!A:A,"=*health*", LogFY24!B:B,"&lt;&gt;*solid &amp; hazard*"))</f>
        <v>116</v>
      </c>
      <c r="CN88" s="7">
        <f t="shared" si="126"/>
        <v>0.22789783889980353</v>
      </c>
      <c r="CO88" s="7">
        <f t="shared" si="128"/>
        <v>-0.10400794268477892</v>
      </c>
      <c r="CP88">
        <f>ROUND(SUMIFS(LogFY24!K:K,LogFY24!A:A,"=*health*", LogFY24!B:B,"&lt;&gt;*solid &amp; hazard*")/SUMIFS(LogFY24!J:J,LogFY24!A:A,"=*health*", LogFY24!B:B,"&lt;&gt;*solid &amp; hazard*"),0)</f>
        <v>7</v>
      </c>
      <c r="CQ88">
        <f t="shared" si="129"/>
        <v>1</v>
      </c>
      <c r="CR88" s="1">
        <v>168</v>
      </c>
      <c r="CS88" s="1">
        <f t="shared" si="140"/>
        <v>64</v>
      </c>
      <c r="CU88" s="7"/>
    </row>
    <row r="89" spans="1:99" ht="16">
      <c r="A89" s="10">
        <f t="shared" si="130"/>
        <v>88</v>
      </c>
      <c r="B89" s="9" t="s">
        <v>17474</v>
      </c>
      <c r="C89">
        <f>SUMIFS(LogFY15!D:D,LogFY15!B:B,"=*solid &amp; hazard*")</f>
        <v>3094</v>
      </c>
      <c r="D89">
        <f>SUM(SUMIFS(LogFY15!D:D,LogFY15!B:B,"=*solid &amp; hazard*"),-1*SUMIFS(LogFY15!L:L,LogFY15!B:B,"=*solid &amp; hazard*"),-1*SUMIFS(LogFY15!N:N,LogFY15!B:B,"=*solid &amp; hazard*"))</f>
        <v>2306</v>
      </c>
      <c r="E89" s="7">
        <f t="shared" si="141"/>
        <v>0.74531351001939239</v>
      </c>
      <c r="F89">
        <f>ROUND(SUMIFS(LogFY15!K:K,LogFY15!B:B,"=*solid &amp; hazard*")/SUMIFS(LogFY15!J:J,LogFY15!B:B,"=*solid &amp; hazard*"),0)</f>
        <v>12</v>
      </c>
      <c r="G89" s="1">
        <v>42</v>
      </c>
      <c r="J89">
        <f>SUMIFS(LogFY16!D:D,LogFY16!B:B,"=*solid &amp; hazard*")</f>
        <v>4693</v>
      </c>
      <c r="K89">
        <f>SUM(SUMIFS(LogFY16!D:D,LogFY16!B:B,"=*solid &amp; hazard*"),-1*SUMIFS(LogFY16!L:L,LogFY16!B:B,"=*solid &amp; hazard*"),-1*SUMIFS(LogFY16!N:N,LogFY16!B:B,"=*solid &amp; hazard*"))</f>
        <v>3424</v>
      </c>
      <c r="L89" s="7">
        <f t="shared" si="142"/>
        <v>0.72959727253356066</v>
      </c>
      <c r="M89" s="7">
        <f t="shared" si="143"/>
        <v>-1.571623748583173E-2</v>
      </c>
      <c r="N89">
        <f>ROUND(SUMIFS(LogFY16!K:K,LogFY16!B:B,"=*solid &amp; hazard*")/SUMIFS(LogFY16!J:J,LogFY16!B:B,"=*solid &amp; hazard*"),0)</f>
        <v>8</v>
      </c>
      <c r="O89">
        <f t="shared" si="144"/>
        <v>-4</v>
      </c>
      <c r="P89" s="1">
        <v>45</v>
      </c>
      <c r="Q89" s="1">
        <f t="shared" si="145"/>
        <v>3</v>
      </c>
      <c r="T89">
        <f>SUMIFS(LogFY17!D:D,LogFY17!B:B,"=*solid &amp; hazard*")</f>
        <v>4500</v>
      </c>
      <c r="U89">
        <f>SUM(SUMIFS(LogFY17!D:D,LogFY17!B:B,"=*solid &amp; hazard*"),-1*SUMIFS(LogFY17!L:L,LogFY17!B:B,"=*solid &amp; hazard*"),-1*SUMIFS(LogFY17!N:N,LogFY17!B:B,"=*solid &amp; hazard*"))</f>
        <v>3665</v>
      </c>
      <c r="V89" s="7">
        <f t="shared" si="131"/>
        <v>0.81444444444444442</v>
      </c>
      <c r="W89" s="7">
        <f t="shared" si="132"/>
        <v>8.4847171910883756E-2</v>
      </c>
      <c r="X89">
        <f>ROUND(SUMIFS(LogFY17!K:K,LogFY17!B:B,"=*solid &amp; hazard*")/SUMIFS(LogFY17!J:J,LogFY17!B:B,"=*solid &amp; hazard*"),0)</f>
        <v>10</v>
      </c>
      <c r="Y89">
        <f t="shared" si="146"/>
        <v>2</v>
      </c>
      <c r="Z89" s="1">
        <v>46</v>
      </c>
      <c r="AA89" s="1">
        <f t="shared" si="147"/>
        <v>1</v>
      </c>
      <c r="AD89">
        <f>SUMIFS(LogFY18!D:D,LogFY18!B:B,"=*solid &amp; hazard*")</f>
        <v>3418</v>
      </c>
      <c r="AE89">
        <f>SUM(SUMIFS(LogFY18!D:D,LogFY18!B:B,"=*solid &amp; hazard*"),-1*SUMIFS(LogFY18!L:L,LogFY18!B:B,"=*solid &amp; hazard*"),-1*SUMIFS(LogFY18!N:N,LogFY18!B:B,"=*solid &amp; hazard*"))</f>
        <v>2867</v>
      </c>
      <c r="AF89" s="7">
        <f t="shared" si="87"/>
        <v>0.83879461673493272</v>
      </c>
      <c r="AG89" s="7">
        <f t="shared" si="88"/>
        <v>2.4350172290488303E-2</v>
      </c>
      <c r="AH89">
        <f>ROUND(SUMIFS(LogFY18!K:K,LogFY18!B:B,"=*solid &amp; hazard*")/SUMIFS(LogFY18!J:J,LogFY18!B:B,"=*solid &amp; hazard*"),0)</f>
        <v>16</v>
      </c>
      <c r="AI89">
        <f t="shared" si="89"/>
        <v>6</v>
      </c>
      <c r="AJ89" s="1">
        <v>57</v>
      </c>
      <c r="AK89" s="1">
        <f t="shared" si="116"/>
        <v>11</v>
      </c>
      <c r="AN89">
        <f>SUMIFS(LogFY19!D:D,LogFY19!B:B,"=*solid &amp; hazard*")</f>
        <v>5306</v>
      </c>
      <c r="AO89">
        <f>SUM(SUMIFS(LogFY19!D:D,LogFY19!B:B,"=*solid &amp; hazard*"),-1*SUMIFS(LogFY19!L:L,LogFY19!B:B,"=*solid &amp; hazard*"),-1*SUMIFS(LogFY19!N:N,LogFY19!B:B,"=*solid &amp; hazard*"))</f>
        <v>4061</v>
      </c>
      <c r="AP89" s="7">
        <f t="shared" si="148"/>
        <v>0.76535996984545795</v>
      </c>
      <c r="AQ89" s="7">
        <f t="shared" si="135"/>
        <v>-7.3434646889474764E-2</v>
      </c>
      <c r="AR89">
        <f>ROUND(SUMIFS(LogFY19!K:K,LogFY19!B:B,"=*solid &amp; hazard*")/SUMIFS(LogFY19!J:J,LogFY19!B:B,"=*solid &amp; hazard*"),0)</f>
        <v>13</v>
      </c>
      <c r="AS89">
        <f t="shared" si="149"/>
        <v>-3</v>
      </c>
      <c r="AT89" s="1">
        <v>275</v>
      </c>
      <c r="AU89" s="1">
        <f t="shared" si="117"/>
        <v>218</v>
      </c>
      <c r="AX89">
        <f>SUMIFS(LogFY20!D:D,LogFY20!B:B,"=*solid &amp; hazard*")</f>
        <v>3240</v>
      </c>
      <c r="AY89">
        <f>SUM(SUMIFS(LogFY20!D:D,LogFY20!B:B,"=*solid &amp; hazard*"),-1*SUMIFS(LogFY20!L:L,LogFY20!B:B,"=*solid &amp; hazard*"),-1*SUMIFS(LogFY20!N:N,LogFY20!B:B,"=*solid &amp; hazard*"))</f>
        <v>2365</v>
      </c>
      <c r="AZ89" s="7">
        <f t="shared" si="150"/>
        <v>0.72993827160493829</v>
      </c>
      <c r="BA89" s="7">
        <f t="shared" si="133"/>
        <v>-3.5421698240519661E-2</v>
      </c>
      <c r="BB89">
        <f>ROUND(SUMIFS(LogFY20!K:K,LogFY20!B:B,"=*solid &amp; hazard*")/SUMIFS(LogFY20!J:J,LogFY20!B:B,"=*solid &amp; hazard*"),0)</f>
        <v>11</v>
      </c>
      <c r="BC89">
        <f t="shared" si="151"/>
        <v>-2</v>
      </c>
      <c r="BD89" s="1">
        <v>40</v>
      </c>
      <c r="BE89" s="1">
        <f t="shared" si="134"/>
        <v>-235</v>
      </c>
      <c r="BH89">
        <f>SUMIFS(LogFY21!D:D,LogFY21!B:B,"=*solid &amp; hazard*")</f>
        <v>3735</v>
      </c>
      <c r="BI89">
        <f>SUM(SUMIFS(LogFY21!D:D,LogFY21!B:B,"=*solid &amp; hazard*"),-1*SUMIFS(LogFY21!L:L,LogFY21!B:B,"=*solid &amp; hazard*"),-1*SUMIFS(LogFY21!N:N,LogFY21!B:B,"=*solid &amp; hazard*"))</f>
        <v>2921</v>
      </c>
      <c r="BJ89" s="7">
        <f t="shared" si="118"/>
        <v>0.78206157965194112</v>
      </c>
      <c r="BK89" s="7">
        <f t="shared" si="119"/>
        <v>5.2123308047002825E-2</v>
      </c>
      <c r="BL89">
        <f>ROUND(SUMIFS(LogFY21!K:K,LogFY21!B:B,"=*solid &amp; hazard*")/SUMIFS(LogFY21!J:J,LogFY21!B:B,"=*solid &amp; hazard*"),0)</f>
        <v>14</v>
      </c>
      <c r="BM89">
        <f t="shared" si="120"/>
        <v>3</v>
      </c>
      <c r="BN89" s="1">
        <v>79</v>
      </c>
      <c r="BO89" s="1">
        <f t="shared" si="121"/>
        <v>39</v>
      </c>
      <c r="BR89">
        <f>SUMIFS(LogFY22!D:D,LogFY22!B:B,"=*solid &amp; hazard*")</f>
        <v>3960</v>
      </c>
      <c r="BS89">
        <f>SUM(SUMIFS(LogFY22!D:D,LogFY22!B:B,"=*solid &amp; hazard*"),-1*SUMIFS(LogFY22!L:L,LogFY22!B:B,"=*solid &amp; hazard*"),-1*SUMIFS(LogFY22!N:N,LogFY22!B:B,"=*solid &amp; hazard*"))</f>
        <v>2962</v>
      </c>
      <c r="BT89" s="7">
        <f t="shared" si="136"/>
        <v>0.74797979797979797</v>
      </c>
      <c r="BU89" s="7">
        <f t="shared" si="137"/>
        <v>-3.4081781672143152E-2</v>
      </c>
      <c r="BV89">
        <f>ROUND(SUMIFS(LogFY22!K:K,LogFY22!B:B,"=*solid &amp; hazard*")/SUMIFS(LogFY22!J:J,LogFY22!B:B,"=*solid &amp; hazard*"),0)</f>
        <v>11</v>
      </c>
      <c r="BW89">
        <f t="shared" si="138"/>
        <v>-3</v>
      </c>
      <c r="BX89" s="1">
        <v>54</v>
      </c>
      <c r="BY89" s="1">
        <f t="shared" si="139"/>
        <v>-25</v>
      </c>
      <c r="CB89">
        <f>SUMIFS(LogFY23!D:D,LogFY23!B:B,"=*solid &amp; hazard*")</f>
        <v>2689</v>
      </c>
      <c r="CC89">
        <f>SUM(SUMIFS(LogFY23!D:D,LogFY23!B:B,"=*solid &amp; hazard*"),-1*SUMIFS(LogFY23!L:L,LogFY23!B:B,"=*solid &amp; hazard*"),-1*SUMIFS(LogFY23!N:N,LogFY23!B:B,"=*solid &amp; hazard*"))</f>
        <v>2095</v>
      </c>
      <c r="CD89" s="7">
        <f t="shared" si="122"/>
        <v>0.77910003718854592</v>
      </c>
      <c r="CE89" s="7">
        <f t="shared" si="123"/>
        <v>3.1120239208747957E-2</v>
      </c>
      <c r="CF89">
        <f>ROUND(SUMIFS(LogFY23!K:K,LogFY23!B:B,"=*solid &amp; hazard*")/SUMIFS(LogFY23!J:J,LogFY23!B:B,"=*solid &amp; hazard*"),0)</f>
        <v>11</v>
      </c>
      <c r="CG89">
        <f t="shared" si="124"/>
        <v>0</v>
      </c>
      <c r="CH89" s="1">
        <v>60</v>
      </c>
      <c r="CI89" s="1">
        <f t="shared" si="127"/>
        <v>6</v>
      </c>
      <c r="CK89" s="7"/>
      <c r="CL89">
        <f>SUMIFS(LogFY24!D:D,LogFY24!B:B,"=*solid &amp; hazard*")</f>
        <v>2330</v>
      </c>
      <c r="CM89">
        <f>SUM(SUMIFS(LogFY24!D:D,LogFY24!B:B,"=*solid &amp; hazard*"),-1*SUMIFS(LogFY24!L:L,LogFY24!B:B,"=*solid &amp; hazard*"),-1*SUMIFS(LogFY24!N:N,LogFY24!B:B,"=*solid &amp; hazard*"))</f>
        <v>1814</v>
      </c>
      <c r="CN89" s="7">
        <f t="shared" si="126"/>
        <v>0.7785407725321889</v>
      </c>
      <c r="CO89" s="7">
        <f t="shared" si="128"/>
        <v>-5.5926465635702804E-4</v>
      </c>
      <c r="CP89">
        <f>ROUND(SUMIFS(LogFY24!K:K,LogFY24!B:B,"=*solid &amp; hazard*")/SUMIFS(LogFY24!J:J,LogFY24!B:B,"=*solid &amp; hazard*"),0)</f>
        <v>15</v>
      </c>
      <c r="CQ89">
        <f t="shared" si="129"/>
        <v>4</v>
      </c>
      <c r="CR89" s="1">
        <v>48</v>
      </c>
      <c r="CS89" s="1">
        <f t="shared" si="140"/>
        <v>-12</v>
      </c>
    </row>
    <row r="90" spans="1:99" ht="16">
      <c r="A90" s="10">
        <f t="shared" si="130"/>
        <v>89</v>
      </c>
      <c r="B90" s="9" t="s">
        <v>17475</v>
      </c>
      <c r="C90">
        <f>SUMIFS(LogFY15!D:D,LogFY15!B:B,"=*clean air*")</f>
        <v>84</v>
      </c>
      <c r="D90">
        <f>SUM(SUMIFS(LogFY15!D:D,LogFY15!B:B,"=*clean air*"),-1*SUMIFS(LogFY15!L:L,LogFY15!B:B,"=*clean air*"),-1*SUMIFS(LogFY15!N:N,LogFY15!B:B,"=*clean air*"))</f>
        <v>0</v>
      </c>
      <c r="E90" s="7">
        <f t="shared" si="141"/>
        <v>0</v>
      </c>
      <c r="F90">
        <f>ROUND(SUMIFS(LogFY15!K:K,LogFY15!B:B,"=*clean air*")/SUMIFS(LogFY15!J:J,LogFY15!B:B,"=*clean air*"),0)</f>
        <v>8</v>
      </c>
      <c r="G90" s="1">
        <v>54</v>
      </c>
      <c r="J90">
        <f>SUMIFS(LogFY16!D:D,LogFY16!B:B,"=*clean air*")</f>
        <v>80</v>
      </c>
      <c r="K90">
        <f>SUM(SUMIFS(LogFY16!D:D,LogFY16!B:B,"=*clean air*"),-1*SUMIFS(LogFY16!L:L,LogFY16!B:B,"=*clean air*"),-1*SUMIFS(LogFY16!N:N,LogFY16!B:B,"=*clean air*"))</f>
        <v>0</v>
      </c>
      <c r="L90" s="7">
        <f t="shared" si="142"/>
        <v>0</v>
      </c>
      <c r="M90" s="7">
        <f t="shared" si="143"/>
        <v>0</v>
      </c>
      <c r="N90">
        <f>ROUND(SUMIFS(LogFY16!K:K,LogFY16!B:B,"=*clean air*")/SUMIFS(LogFY16!J:J,LogFY16!B:B,"=*clean air*"),0)</f>
        <v>7</v>
      </c>
      <c r="O90">
        <f t="shared" si="144"/>
        <v>-1</v>
      </c>
      <c r="P90" s="1">
        <v>62</v>
      </c>
      <c r="Q90" s="1">
        <f t="shared" si="145"/>
        <v>8</v>
      </c>
      <c r="T90">
        <f>SUMIFS(LogFY17!D:D,LogFY17!B:B,"=*clean air*")</f>
        <v>92</v>
      </c>
      <c r="U90">
        <f>SUM(SUMIFS(LogFY17!D:D,LogFY17!B:B,"=*clean air*"),-1*SUMIFS(LogFY17!L:L,LogFY17!B:B,"=*clean air*"),-1*SUMIFS(LogFY17!N:N,LogFY17!B:B,"=*clean air*"))</f>
        <v>0</v>
      </c>
      <c r="V90" s="7">
        <f t="shared" si="131"/>
        <v>0</v>
      </c>
      <c r="W90" s="7">
        <f t="shared" si="132"/>
        <v>0</v>
      </c>
      <c r="X90">
        <f>ROUND(SUMIFS(LogFY17!K:K,LogFY17!B:B,"=*clean air*")/SUMIFS(LogFY17!J:J,LogFY17!B:B,"=*clean air*"),0)</f>
        <v>8</v>
      </c>
      <c r="Y90">
        <f t="shared" si="146"/>
        <v>1</v>
      </c>
      <c r="Z90" s="1">
        <v>25</v>
      </c>
      <c r="AA90" s="1">
        <f t="shared" si="147"/>
        <v>-37</v>
      </c>
      <c r="AD90">
        <f>SUMIFS(LogFY18!D:D,LogFY18!B:B,"=*clean air*")</f>
        <v>65</v>
      </c>
      <c r="AE90">
        <f>SUM(SUMIFS(LogFY18!D:D,LogFY18!B:B,"=*clean air*"),-1*SUMIFS(LogFY18!L:L,LogFY18!B:B,"=*clean air*"),-1*SUMIFS(LogFY18!N:N,LogFY18!B:B,"=*clean air*"))</f>
        <v>0</v>
      </c>
      <c r="AF90" s="7">
        <f t="shared" si="87"/>
        <v>0</v>
      </c>
      <c r="AG90" s="7">
        <f t="shared" si="88"/>
        <v>0</v>
      </c>
      <c r="AH90">
        <f>ROUND(SUMIFS(LogFY18!K:K,LogFY18!B:B,"=*clean air*")/SUMIFS(LogFY18!J:J,LogFY18!B:B,"=*clean air*"),0)</f>
        <v>7</v>
      </c>
      <c r="AI90">
        <f t="shared" si="89"/>
        <v>-1</v>
      </c>
      <c r="AJ90" s="1">
        <v>88</v>
      </c>
      <c r="AK90" s="1">
        <f t="shared" si="116"/>
        <v>63</v>
      </c>
      <c r="AN90">
        <f>SUMIFS(LogFY19!D:D,LogFY19!B:B,"=*clean air*")</f>
        <v>70</v>
      </c>
      <c r="AO90">
        <f>SUM(SUMIFS(LogFY19!D:D,LogFY19!B:B,"=*clean air*"),-1*SUMIFS(LogFY19!L:L,LogFY19!B:B,"=*clean air*"),-1*SUMIFS(LogFY19!N:N,LogFY19!B:B,"=*clean air*"))</f>
        <v>0</v>
      </c>
      <c r="AP90" s="7">
        <f t="shared" si="148"/>
        <v>0</v>
      </c>
      <c r="AQ90" s="7">
        <f t="shared" si="135"/>
        <v>0</v>
      </c>
      <c r="AR90">
        <f>ROUND(SUMIFS(LogFY19!K:K,LogFY19!B:B,"=*clean air*")/SUMIFS(LogFY19!J:J,LogFY19!B:B,"=*clean air*"),0)</f>
        <v>8</v>
      </c>
      <c r="AS90">
        <f t="shared" si="149"/>
        <v>1</v>
      </c>
      <c r="AT90" s="1">
        <v>70</v>
      </c>
      <c r="AU90" s="1">
        <f t="shared" si="117"/>
        <v>-18</v>
      </c>
      <c r="AX90">
        <f>SUMIFS(LogFY20!D:D,LogFY20!B:B,"=*clean air*")</f>
        <v>42</v>
      </c>
      <c r="AY90">
        <f>SUM(SUMIFS(LogFY20!D:D,LogFY20!B:B,"=*clean air*"),-1*SUMIFS(LogFY20!L:L,LogFY20!B:B,"=*clean air*"),-1*SUMIFS(LogFY20!N:N,LogFY20!B:B,"=*clean air*"))</f>
        <v>0</v>
      </c>
      <c r="AZ90" s="7">
        <f t="shared" si="150"/>
        <v>0</v>
      </c>
      <c r="BA90" s="7">
        <f t="shared" si="133"/>
        <v>0</v>
      </c>
      <c r="BB90">
        <f>ROUND(SUMIFS(LogFY20!K:K,LogFY20!B:B,"=*clean air*")/SUMIFS(LogFY20!J:J,LogFY20!B:B,"=*clean air*"),0)</f>
        <v>15</v>
      </c>
      <c r="BC90">
        <f t="shared" si="151"/>
        <v>7</v>
      </c>
      <c r="BD90" s="1">
        <v>264</v>
      </c>
      <c r="BE90" s="1">
        <f t="shared" si="134"/>
        <v>194</v>
      </c>
      <c r="BH90">
        <f>SUMIFS(LogFY21!D:D,LogFY21!B:B,"=*clean air*")</f>
        <v>89</v>
      </c>
      <c r="BI90">
        <f>SUM(SUMIFS(LogFY21!D:D,LogFY21!B:B,"=*clean air*"),-1*SUMIFS(LogFY21!L:L,LogFY21!B:B,"=*clean air*"),-1*SUMIFS(LogFY21!N:N,LogFY21!B:B,"=*clean air*"))</f>
        <v>0</v>
      </c>
      <c r="BJ90" s="7">
        <f t="shared" si="118"/>
        <v>0</v>
      </c>
      <c r="BK90" s="7">
        <f t="shared" si="119"/>
        <v>0</v>
      </c>
      <c r="BL90">
        <f>ROUND(SUMIFS(LogFY21!K:K,LogFY21!B:B,"=*clean air*")/SUMIFS(LogFY21!J:J,LogFY21!B:B,"=*clean air*"),0)</f>
        <v>8</v>
      </c>
      <c r="BM90">
        <f t="shared" si="120"/>
        <v>-7</v>
      </c>
      <c r="BN90" s="1">
        <v>133</v>
      </c>
      <c r="BO90" s="1">
        <f t="shared" si="121"/>
        <v>-131</v>
      </c>
      <c r="BR90">
        <f>SUMIFS(LogFY22!D:D,LogFY22!B:B,"=*clean air*")</f>
        <v>80</v>
      </c>
      <c r="BS90">
        <f>SUM(SUMIFS(LogFY22!D:D,LogFY22!B:B,"=*clean air*"),-1*SUMIFS(LogFY22!L:L,LogFY22!B:B,"=*clean air*"),-1*SUMIFS(LogFY22!N:N,LogFY22!B:B,"=*clean air*"))</f>
        <v>0</v>
      </c>
      <c r="BT90" s="7">
        <f t="shared" si="136"/>
        <v>0</v>
      </c>
      <c r="BU90" s="7">
        <f t="shared" si="137"/>
        <v>0</v>
      </c>
      <c r="BV90">
        <f>ROUND(SUMIFS(LogFY22!K:K,LogFY22!B:B,"=*clean air*")/SUMIFS(LogFY22!J:J,LogFY22!B:B,"=*clean air*"),0)</f>
        <v>7</v>
      </c>
      <c r="BW90">
        <f t="shared" si="138"/>
        <v>-1</v>
      </c>
      <c r="BX90" s="1">
        <v>40</v>
      </c>
      <c r="BY90" s="1">
        <f t="shared" si="139"/>
        <v>-93</v>
      </c>
      <c r="CB90">
        <f>SUMIFS(LogFY23!D:D,LogFY23!B:B,"=*clean air*")</f>
        <v>16</v>
      </c>
      <c r="CC90">
        <f>SUM(SUMIFS(LogFY23!D:D,LogFY23!B:B,"=*clean air*"),-1*SUMIFS(LogFY23!L:L,LogFY23!B:B,"=*clean air*"),-1*SUMIFS(LogFY23!N:N,LogFY23!B:B,"=*clean air*"))</f>
        <v>0</v>
      </c>
      <c r="CD90" s="7">
        <f t="shared" si="122"/>
        <v>0</v>
      </c>
      <c r="CE90" s="7">
        <f t="shared" si="123"/>
        <v>0</v>
      </c>
      <c r="CF90">
        <f>ROUND(SUMIFS(LogFY23!K:K,LogFY23!B:B,"=*clean air*")/SUMIFS(LogFY23!J:J,LogFY23!B:B,"=*clean air*"),0)</f>
        <v>8</v>
      </c>
      <c r="CG90">
        <f t="shared" si="124"/>
        <v>1</v>
      </c>
      <c r="CH90" s="1">
        <v>29</v>
      </c>
      <c r="CI90" s="1">
        <f t="shared" si="127"/>
        <v>-11</v>
      </c>
      <c r="CK90" s="7"/>
      <c r="CL90">
        <f>SUMIFS(LogFY24!D:D,LogFY24!B:B,"=*clean air*")</f>
        <v>26</v>
      </c>
      <c r="CM90">
        <f>SUM(SUMIFS(LogFY24!D:D,LogFY24!B:B,"=*clean air*"),-1*SUMIFS(LogFY24!L:L,LogFY24!B:B,"=*clean air*"),-1*SUMIFS(LogFY24!N:N,LogFY24!B:B,"=*clean air*"))</f>
        <v>0</v>
      </c>
      <c r="CN90" s="7">
        <f t="shared" si="126"/>
        <v>0</v>
      </c>
      <c r="CO90" s="7">
        <f t="shared" si="128"/>
        <v>0</v>
      </c>
      <c r="CP90">
        <f>ROUND(SUMIFS(LogFY24!K:K,LogFY24!B:B,"=*clean air*")/SUMIFS(LogFY24!J:J,LogFY24!B:B,"=*clean air*"),0)</f>
        <v>16</v>
      </c>
      <c r="CQ90">
        <f t="shared" si="129"/>
        <v>8</v>
      </c>
      <c r="CR90" s="1">
        <v>168</v>
      </c>
      <c r="CS90" s="1">
        <f t="shared" si="140"/>
        <v>139</v>
      </c>
    </row>
    <row r="91" spans="1:99" ht="16">
      <c r="A91" s="10">
        <f t="shared" si="130"/>
        <v>90</v>
      </c>
      <c r="B91" s="9" t="s">
        <v>17476</v>
      </c>
      <c r="C91">
        <f>SUMIFS(LogFY15!D:D,LogFY15!B:B,"=*clean water*")</f>
        <v>102</v>
      </c>
      <c r="D91">
        <f>SUM(SUMIFS(LogFY15!D:D,LogFY15!B:B,"=*clean water*"),-1*SUMIFS(LogFY15!L:L,LogFY15!B:B,"=*clean water*"),-1*SUMIFS(LogFY15!N:N,LogFY15!B:B,"=*clean water*"))</f>
        <v>4</v>
      </c>
      <c r="E91" s="7">
        <f t="shared" si="141"/>
        <v>3.9215686274509803E-2</v>
      </c>
      <c r="F91">
        <f>ROUND(SUMIFS(LogFY15!K:K,LogFY15!B:B,"=*clean water*")/SUMIFS(LogFY15!J:J,LogFY15!B:B,"=*clean water*"),0)</f>
        <v>8</v>
      </c>
      <c r="G91" s="1">
        <v>82</v>
      </c>
      <c r="J91">
        <f>SUMIFS(LogFY16!D:D,LogFY16!B:B,"=*clean water*")</f>
        <v>93</v>
      </c>
      <c r="K91">
        <f>SUM(SUMIFS(LogFY16!D:D,LogFY16!B:B,"=*clean water*"),-1*SUMIFS(LogFY16!L:L,LogFY16!B:B,"=*clean water*"),-1*SUMIFS(LogFY16!N:N,LogFY16!B:B,"=*clean water*"))</f>
        <v>0</v>
      </c>
      <c r="L91" s="7">
        <f t="shared" si="142"/>
        <v>0</v>
      </c>
      <c r="M91" s="7">
        <f t="shared" si="143"/>
        <v>-3.9215686274509803E-2</v>
      </c>
      <c r="N91">
        <f>ROUND(SUMIFS(LogFY16!K:K,LogFY16!B:B,"=*clean water*")/SUMIFS(LogFY16!J:J,LogFY16!B:B,"=*clean water*"),0)</f>
        <v>7</v>
      </c>
      <c r="O91">
        <f t="shared" si="144"/>
        <v>-1</v>
      </c>
      <c r="P91" s="1">
        <v>38</v>
      </c>
      <c r="Q91" s="1">
        <f t="shared" si="145"/>
        <v>-44</v>
      </c>
      <c r="T91">
        <f>SUMIFS(LogFY17!D:D,LogFY17!B:B,"=*clean water*")</f>
        <v>84</v>
      </c>
      <c r="U91">
        <f>SUM(SUMIFS(LogFY17!D:D,LogFY17!B:B,"=*clean water*"),-1*SUMIFS(LogFY17!L:L,LogFY17!B:B,"=*clean water*"),-1*SUMIFS(LogFY17!N:N,LogFY17!B:B,"=*clean water*"))</f>
        <v>4</v>
      </c>
      <c r="V91" s="7">
        <f t="shared" si="131"/>
        <v>4.7619047619047616E-2</v>
      </c>
      <c r="W91" s="7">
        <f t="shared" si="132"/>
        <v>4.7619047619047616E-2</v>
      </c>
      <c r="X91">
        <f>ROUND(SUMIFS(LogFY17!K:K,LogFY17!B:B,"=*clean water*")/SUMIFS(LogFY17!J:J,LogFY17!B:B,"=*clean water*"),0)</f>
        <v>5</v>
      </c>
      <c r="Y91">
        <f t="shared" si="146"/>
        <v>-2</v>
      </c>
      <c r="Z91" s="1">
        <v>16</v>
      </c>
      <c r="AA91" s="1">
        <f t="shared" si="147"/>
        <v>-22</v>
      </c>
      <c r="AD91">
        <f>SUMIFS(LogFY18!D:D,LogFY18!B:B,"=*clean water*")</f>
        <v>74</v>
      </c>
      <c r="AE91">
        <f>SUM(SUMIFS(LogFY18!D:D,LogFY18!B:B,"=*clean water*"),-1*SUMIFS(LogFY18!L:L,LogFY18!B:B,"=*clean water*"),-1*SUMIFS(LogFY18!N:N,LogFY18!B:B,"=*clean water*"))</f>
        <v>2</v>
      </c>
      <c r="AF91" s="7">
        <f t="shared" si="87"/>
        <v>2.7027027027027029E-2</v>
      </c>
      <c r="AG91" s="7">
        <f t="shared" si="88"/>
        <v>-2.0592020592020588E-2</v>
      </c>
      <c r="AH91">
        <f>ROUND(SUMIFS(LogFY18!K:K,LogFY18!B:B,"=*clean water*")/SUMIFS(LogFY18!J:J,LogFY18!B:B,"=*clean water*"),0)</f>
        <v>6</v>
      </c>
      <c r="AI91">
        <f t="shared" si="89"/>
        <v>1</v>
      </c>
      <c r="AJ91" s="1">
        <v>27</v>
      </c>
      <c r="AK91" s="1">
        <f t="shared" si="116"/>
        <v>11</v>
      </c>
      <c r="AN91">
        <f>SUMIFS(LogFY19!D:D,LogFY19!B:B,"=*clean water*")</f>
        <v>69</v>
      </c>
      <c r="AO91">
        <f>SUM(SUMIFS(LogFY19!D:D,LogFY19!B:B,"=*clean water*"),-1*SUMIFS(LogFY19!L:L,LogFY19!B:B,"=*clean water*"),-1*SUMIFS(LogFY19!N:N,LogFY19!B:B,"=*clean water*"))</f>
        <v>0</v>
      </c>
      <c r="AP91" s="7">
        <f t="shared" si="148"/>
        <v>0</v>
      </c>
      <c r="AQ91" s="7">
        <f t="shared" si="135"/>
        <v>-2.7027027027027029E-2</v>
      </c>
      <c r="AR91">
        <f>ROUND(SUMIFS(LogFY19!K:K,LogFY19!B:B,"=*clean water*")/SUMIFS(LogFY19!J:J,LogFY19!B:B,"=*clean water*"),0)</f>
        <v>6</v>
      </c>
      <c r="AS91">
        <f t="shared" si="149"/>
        <v>0</v>
      </c>
      <c r="AT91" s="1">
        <v>37</v>
      </c>
      <c r="AU91" s="1">
        <f t="shared" si="117"/>
        <v>10</v>
      </c>
      <c r="AX91">
        <f>SUMIFS(LogFY20!D:D,LogFY20!B:B,"=*clean water*")</f>
        <v>59</v>
      </c>
      <c r="AY91">
        <f>SUM(SUMIFS(LogFY20!D:D,LogFY20!B:B,"=*clean water*"),-1*SUMIFS(LogFY20!L:L,LogFY20!B:B,"=*clean water*"),-1*SUMIFS(LogFY20!N:N,LogFY20!B:B,"=*clean water*"))</f>
        <v>0</v>
      </c>
      <c r="AZ91" s="7">
        <f t="shared" si="150"/>
        <v>0</v>
      </c>
      <c r="BA91" s="7">
        <f t="shared" si="133"/>
        <v>0</v>
      </c>
      <c r="BB91">
        <f>ROUND(SUMIFS(LogFY20!K:K,LogFY20!B:B,"=*clean water*")/SUMIFS(LogFY20!J:J,LogFY20!B:B,"=*clean water*"),0)</f>
        <v>7</v>
      </c>
      <c r="BC91">
        <f t="shared" si="151"/>
        <v>1</v>
      </c>
      <c r="BD91" s="1">
        <v>29</v>
      </c>
      <c r="BE91" s="1">
        <f t="shared" si="134"/>
        <v>-8</v>
      </c>
      <c r="BH91">
        <f>SUMIFS(LogFY21!D:D,LogFY21!B:B,"=*clean water*")</f>
        <v>79</v>
      </c>
      <c r="BI91">
        <f>SUM(SUMIFS(LogFY21!D:D,LogFY21!B:B,"=*clean water*"),-1*SUMIFS(LogFY21!L:L,LogFY21!B:B,"=*clean water*"),-1*SUMIFS(LogFY21!N:N,LogFY21!B:B,"=*clean water*"))</f>
        <v>1</v>
      </c>
      <c r="BJ91" s="7">
        <f t="shared" si="118"/>
        <v>1.2658227848101266E-2</v>
      </c>
      <c r="BK91" s="7">
        <f t="shared" si="119"/>
        <v>1.2658227848101266E-2</v>
      </c>
      <c r="BL91">
        <f>ROUND(SUMIFS(LogFY21!K:K,LogFY21!B:B,"=*clean water*")/SUMIFS(LogFY21!J:J,LogFY21!B:B,"=*clean water*"),0)</f>
        <v>10</v>
      </c>
      <c r="BM91">
        <f t="shared" si="120"/>
        <v>3</v>
      </c>
      <c r="BN91" s="1">
        <v>31</v>
      </c>
      <c r="BO91" s="1">
        <f t="shared" si="121"/>
        <v>2</v>
      </c>
      <c r="BR91">
        <f>SUMIFS(LogFY22!D:D,LogFY22!B:B,"=*clean water*")</f>
        <v>79</v>
      </c>
      <c r="BS91">
        <f>SUM(SUMIFS(LogFY22!D:D,LogFY22!B:B,"=*clean water*"),-1*SUMIFS(LogFY22!L:L,LogFY22!B:B,"=*clean water*"),-1*SUMIFS(LogFY22!N:N,LogFY22!B:B,"=*clean water*"))</f>
        <v>0</v>
      </c>
      <c r="BT91" s="7">
        <f t="shared" si="136"/>
        <v>0</v>
      </c>
      <c r="BU91" s="7">
        <f t="shared" si="137"/>
        <v>-1.2658227848101266E-2</v>
      </c>
      <c r="BV91">
        <f>ROUND(SUMIFS(LogFY22!K:K,LogFY22!B:B,"=*clean water*")/SUMIFS(LogFY22!J:J,LogFY22!B:B,"=*clean water*"),0)</f>
        <v>14</v>
      </c>
      <c r="BW91">
        <f t="shared" si="138"/>
        <v>4</v>
      </c>
      <c r="BX91" s="1">
        <v>134</v>
      </c>
      <c r="BY91" s="1">
        <f t="shared" si="139"/>
        <v>103</v>
      </c>
      <c r="CB91">
        <f>SUMIFS(LogFY23!D:D,LogFY23!B:B,"=*clean water*")</f>
        <v>31</v>
      </c>
      <c r="CC91">
        <f>SUM(SUMIFS(LogFY23!D:D,LogFY23!B:B,"=*clean water*"),-1*SUMIFS(LogFY23!L:L,LogFY23!B:B,"=*clean water*"),-1*SUMIFS(LogFY23!N:N,LogFY23!B:B,"=*clean water*"))</f>
        <v>1</v>
      </c>
      <c r="CD91" s="7">
        <f t="shared" si="122"/>
        <v>3.2258064516129031E-2</v>
      </c>
      <c r="CE91" s="7">
        <f t="shared" si="123"/>
        <v>3.2258064516129031E-2</v>
      </c>
      <c r="CF91">
        <f>ROUND(SUMIFS(LogFY23!K:K,LogFY23!B:B,"=*clean water*")/SUMIFS(LogFY23!J:J,LogFY23!B:B,"=*clean water*"),0)</f>
        <v>8</v>
      </c>
      <c r="CG91">
        <f t="shared" si="124"/>
        <v>-6</v>
      </c>
      <c r="CH91" s="1">
        <v>104</v>
      </c>
      <c r="CI91" s="1">
        <f t="shared" si="127"/>
        <v>-30</v>
      </c>
      <c r="CK91" s="7"/>
      <c r="CL91">
        <f>SUMIFS(LogFY24!D:D,LogFY24!B:B,"=*clean water*")</f>
        <v>58</v>
      </c>
      <c r="CM91">
        <f>SUM(SUMIFS(LogFY24!D:D,LogFY24!B:B,"=*clean water*"),-1*SUMIFS(LogFY24!L:L,LogFY24!B:B,"=*clean water*"),-1*SUMIFS(LogFY24!N:N,LogFY24!B:B,"=*clean water*"))</f>
        <v>0</v>
      </c>
      <c r="CN91" s="7">
        <f t="shared" si="126"/>
        <v>0</v>
      </c>
      <c r="CO91" s="7">
        <f t="shared" si="128"/>
        <v>-3.2258064516129031E-2</v>
      </c>
      <c r="CP91">
        <f>ROUND(SUMIFS(LogFY24!K:K,LogFY24!B:B,"=*clean water*")/SUMIFS(LogFY24!J:J,LogFY24!B:B,"=*clean water*"),0)</f>
        <v>8</v>
      </c>
      <c r="CQ91">
        <f t="shared" si="129"/>
        <v>0</v>
      </c>
      <c r="CR91" s="1">
        <v>79</v>
      </c>
      <c r="CS91" s="1">
        <f t="shared" si="140"/>
        <v>-25</v>
      </c>
    </row>
    <row r="92" spans="1:99" ht="32">
      <c r="A92" s="10">
        <f t="shared" si="130"/>
        <v>91</v>
      </c>
      <c r="B92" s="1" t="s">
        <v>17250</v>
      </c>
      <c r="C92">
        <f>SUMIFS(LogFY15!D:D,LogFY15!A:A,"=*resources_development")</f>
        <v>9</v>
      </c>
      <c r="D92">
        <f>SUM(SUMIFS(LogFY15!D:D,LogFY15!A:A,"=*resources_development"),-1*SUMIFS(LogFY15!L:L,LogFY15!A:A,"=*resources_development"),-1*SUMIFS(LogFY15!N:N,LogFY15!A:A,"=*resources_development"))</f>
        <v>1</v>
      </c>
      <c r="E92" s="7">
        <f t="shared" si="141"/>
        <v>0.1111111111111111</v>
      </c>
      <c r="F92">
        <f>ROUND(SUMIFS(LogFY15!K:K,LogFY15!A:A,"=*resources_development")/SUMIFS(LogFY15!J:J,LogFY15!A:A,"=*resources_development"),0)</f>
        <v>3</v>
      </c>
      <c r="G92" s="1">
        <v>12</v>
      </c>
      <c r="H92">
        <f>COUNTIFS(All!F:F,"=DHRD*", All!B:B, "&gt;=7/1/2014", All!B:B,"&lt;=6/30/2015", All!E:E,"=U*",All!E:E,"&lt;&gt;UIPA*",All!E:E,"&lt;&gt;*RFO*",All!E:E,"&lt;&gt;*TRNG*")</f>
        <v>1</v>
      </c>
      <c r="I92" s="7">
        <f>ROUND(H92/C92,3)</f>
        <v>0.111</v>
      </c>
      <c r="J92">
        <f>SUMIFS(LogFY16!D:D,LogFY16!A:A,"=*resources_development")</f>
        <v>22</v>
      </c>
      <c r="K92">
        <f>SUM(SUMIFS(LogFY16!D:D,LogFY16!A:A,"=*resources_development"),-1*SUMIFS(LogFY16!L:L,LogFY16!A:A,"=*resources_development"),-1*SUMIFS(LogFY16!N:N,LogFY16!A:A,"=*resources_development"))</f>
        <v>2</v>
      </c>
      <c r="L92" s="7">
        <f t="shared" si="142"/>
        <v>9.0909090909090912E-2</v>
      </c>
      <c r="M92" s="7">
        <f t="shared" si="143"/>
        <v>-2.0202020202020193E-2</v>
      </c>
      <c r="N92">
        <f>ROUND(SUMIFS(LogFY16!K:K,LogFY16!A:A,"=*resources_development")/SUMIFS(LogFY16!J:J,LogFY16!A:A,"=*resources_development"),0)</f>
        <v>5</v>
      </c>
      <c r="O92">
        <f t="shared" si="144"/>
        <v>2</v>
      </c>
      <c r="P92" s="1">
        <v>26</v>
      </c>
      <c r="Q92" s="1">
        <f t="shared" si="145"/>
        <v>14</v>
      </c>
      <c r="R92">
        <f>COUNTIFS(All!F:F,"=DHRD*", All!B:B, "&gt;=7/1/2015", All!B:B,"&lt;=6/30/2016", All!E:E,"=U*",All!E:E,"&lt;&gt;UIPA*",All!E:E,"&lt;&gt;*RFO*",All!E:E,"&lt;&gt;*TRNG*")</f>
        <v>0</v>
      </c>
      <c r="S92" s="7">
        <f>ROUND(R92/(J92+C92),3)</f>
        <v>0</v>
      </c>
      <c r="T92">
        <f>SUMIFS(LogFY17!D:D,LogFY17!A:A,"=*resources_development")</f>
        <v>23</v>
      </c>
      <c r="U92">
        <f>SUM(SUMIFS(LogFY17!D:D,LogFY17!A:A,"=*resources_development"),-1*SUMIFS(LogFY17!L:L,LogFY17!A:A,"=*resources_development"),-1*SUMIFS(LogFY17!N:N,LogFY17!A:A,"=*resources_development"))</f>
        <v>6</v>
      </c>
      <c r="V92" s="7">
        <f t="shared" si="131"/>
        <v>0.2608695652173913</v>
      </c>
      <c r="W92" s="7">
        <f t="shared" si="132"/>
        <v>0.16996047430830039</v>
      </c>
      <c r="X92">
        <f>ROUND(SUMIFS(LogFY17!K:K,LogFY17!A:A,"=*resources_development")/SUMIFS(LogFY17!J:J,LogFY17!A:A,"=*resources_development"),0)</f>
        <v>5</v>
      </c>
      <c r="Y92">
        <f t="shared" si="146"/>
        <v>0</v>
      </c>
      <c r="Z92" s="1">
        <v>23</v>
      </c>
      <c r="AA92" s="1">
        <f t="shared" si="147"/>
        <v>-3</v>
      </c>
      <c r="AB92">
        <f>COUNTIFS(All!F:F,"=DHRD*", All!B:B, "&gt;=7/1/2016", All!B:B,"&lt;=6/30/2017", All!E:E,"=U*",All!E:E,"&lt;&gt;UIPA*",All!E:E,"&lt;&gt;*RFO*",All!E:E,"&lt;&gt;*TRNG*")</f>
        <v>2</v>
      </c>
      <c r="AC92" s="7">
        <f>ROUND(AB92/(T92+J92),3)</f>
        <v>4.3999999999999997E-2</v>
      </c>
      <c r="AD92">
        <f>SUMIFS(LogFY18!D:D,LogFY18!A:A,"=*resources_development")</f>
        <v>8</v>
      </c>
      <c r="AE92">
        <f>SUM(SUMIFS(LogFY18!D:D,LogFY18!A:A,"=*resources_development"),-1*SUMIFS(LogFY18!L:L,LogFY18!A:A,"=*resources_development"),-1*SUMIFS(LogFY18!N:N,LogFY18!A:A,"=*resources_development"))</f>
        <v>0</v>
      </c>
      <c r="AF92" s="7">
        <f t="shared" si="87"/>
        <v>0</v>
      </c>
      <c r="AG92" s="7">
        <f t="shared" si="88"/>
        <v>-0.2608695652173913</v>
      </c>
      <c r="AH92">
        <f>ROUND(SUMIFS(LogFY18!K:K,LogFY18!A:A,"=*resources_development")/SUMIFS(LogFY18!J:J,LogFY18!A:A,"=*resources_development"),0)</f>
        <v>11</v>
      </c>
      <c r="AI92">
        <f t="shared" si="89"/>
        <v>6</v>
      </c>
      <c r="AJ92" s="1">
        <v>34</v>
      </c>
      <c r="AK92" s="1">
        <f t="shared" si="116"/>
        <v>11</v>
      </c>
      <c r="AL92">
        <f>COUNTIFS(All!F:F,"=DHRD*", All!B:B, "&gt;=7/1/2017", All!B:B,"&lt;=6/30/2018", All!E:E,"=U*",All!E:E,"&lt;&gt;UIPA*",All!E:E,"&lt;&gt;*RFO*",All!E:E,"&lt;&gt;*TRNG*")</f>
        <v>1</v>
      </c>
      <c r="AM92" s="7">
        <f>ROUND(AL92/(AD92+T92),3)</f>
        <v>3.2000000000000001E-2</v>
      </c>
      <c r="AN92">
        <f>SUMIFS(LogFY19!D:D,LogFY19!A:A,"=*resources_development")</f>
        <v>6</v>
      </c>
      <c r="AO92">
        <f>SUM(SUMIFS(LogFY19!D:D,LogFY19!A:A,"=*resources_development"),-1*SUMIFS(LogFY19!L:L,LogFY19!A:A,"=*resources_development"),-1*SUMIFS(LogFY19!N:N,LogFY19!A:A,"=*resources_development"))</f>
        <v>1</v>
      </c>
      <c r="AP92" s="7">
        <f t="shared" si="148"/>
        <v>0.16666666666666666</v>
      </c>
      <c r="AQ92" s="7">
        <f t="shared" si="135"/>
        <v>0.16666666666666666</v>
      </c>
      <c r="AR92">
        <f>ROUND(SUMIFS(LogFY19!K:K,LogFY19!A:A,"=*resources_development")/SUMIFS(LogFY19!J:J,LogFY19!A:A,"=*resources_development"),0)</f>
        <v>7</v>
      </c>
      <c r="AS92">
        <f t="shared" si="149"/>
        <v>-4</v>
      </c>
      <c r="AT92" s="1">
        <v>11</v>
      </c>
      <c r="AU92" s="1">
        <f t="shared" si="117"/>
        <v>-23</v>
      </c>
      <c r="AV92">
        <f>COUNTIFS(All!F:F,"=DHRD*", All!B:B, "&gt;=7/1/2018", All!B:B,"&lt;=6/30/2019", All!E:E,"=U*",All!E:E,"&lt;&gt;UIPA*",All!E:E,"&lt;&gt;*RFO*",All!E:E,"&lt;&gt;*TRNG*")</f>
        <v>3</v>
      </c>
      <c r="AW92" s="7">
        <f>ROUND(AV92/(AN92+AD92),3)</f>
        <v>0.214</v>
      </c>
      <c r="AX92">
        <f>SUMIFS(LogFY20!D:D,LogFY20!A:A,"=*resources_development")</f>
        <v>10</v>
      </c>
      <c r="AY92">
        <f>SUM(SUMIFS(LogFY20!D:D,LogFY20!A:A,"=*resources_development"),-1*SUMIFS(LogFY20!L:L,LogFY20!A:A,"=*resources_development"),-1*SUMIFS(LogFY20!N:N,LogFY20!A:A,"=*resources_development"))</f>
        <v>7</v>
      </c>
      <c r="AZ92" s="7">
        <f t="shared" si="150"/>
        <v>0.7</v>
      </c>
      <c r="BA92" s="7">
        <f t="shared" si="133"/>
        <v>0.53333333333333333</v>
      </c>
      <c r="BB92">
        <f>ROUND(SUMIFS(LogFY20!K:K,LogFY20!A:A,"=*resources_development")/SUMIFS(LogFY20!J:J,LogFY20!A:A,"=*resources_development"),0)</f>
        <v>8</v>
      </c>
      <c r="BC92">
        <f t="shared" si="151"/>
        <v>1</v>
      </c>
      <c r="BD92" s="1">
        <v>30</v>
      </c>
      <c r="BE92" s="1">
        <f t="shared" si="134"/>
        <v>19</v>
      </c>
      <c r="BF92">
        <f>COUNTIFS(All!F:F,"=DHRD*", All!B:B, "&gt;=7/1/2019", All!B:B,"&lt;=6/30/2020", All!E:E,"=U*",All!E:E,"&lt;&gt;UIPA*",All!E:E,"&lt;&gt;*RFO*",All!E:E,"&lt;&gt;*TRNG*")</f>
        <v>0</v>
      </c>
      <c r="BG92" s="7">
        <f>ROUND(BF92/(AX92+AN92),3)</f>
        <v>0</v>
      </c>
      <c r="BH92">
        <f>SUMIFS(LogFY21!D:D,LogFY21!A:A,"=*resources_development")</f>
        <v>3</v>
      </c>
      <c r="BI92">
        <f>SUM(SUMIFS(LogFY21!D:D,LogFY21!A:A,"=*resources_development"),-1*SUMIFS(LogFY21!L:L,LogFY21!A:A,"=*resources_development"),-1*SUMIFS(LogFY21!N:N,LogFY21!A:A,"=*resources_development"))</f>
        <v>1</v>
      </c>
      <c r="BJ92" s="7">
        <f t="shared" si="118"/>
        <v>0.33333333333333331</v>
      </c>
      <c r="BK92" s="7">
        <f t="shared" si="119"/>
        <v>-0.36666666666666664</v>
      </c>
      <c r="BL92">
        <f>ROUND(SUMIFS(LogFY21!K:K,LogFY21!A:A,"=*resources_development")/SUMIFS(LogFY21!J:J,LogFY21!A:A,"=*resources_development"),0)</f>
        <v>12</v>
      </c>
      <c r="BM92">
        <f t="shared" si="120"/>
        <v>4</v>
      </c>
      <c r="BN92" s="1">
        <v>30</v>
      </c>
      <c r="BO92" s="1">
        <f t="shared" si="121"/>
        <v>0</v>
      </c>
      <c r="BP92">
        <f>COUNTIFS(All!F:F,"=DHRD*", All!B:B, "&gt;=7/1/2020", All!B:B,"&lt;=6/30/2021", All!E:E,"=U*",All!E:E,"&lt;&gt;UIPA*",All!E:E,"&lt;&gt;*RFO*",All!E:E,"&lt;&gt;*TRNG*")</f>
        <v>0</v>
      </c>
      <c r="BQ92" s="7">
        <f>ROUND(BP92/(BH92+AX92),3)</f>
        <v>0</v>
      </c>
      <c r="BR92">
        <f>SUMIFS(LogFY22!D:D,LogFY22!A:A,"=*resources_development")</f>
        <v>19</v>
      </c>
      <c r="BS92">
        <f>SUM(SUMIFS(LogFY22!D:D,LogFY22!A:A,"=*resources_development"),-1*SUMIFS(LogFY22!L:L,LogFY22!A:A,"=*resources_development"),-1*SUMIFS(LogFY22!N:N,LogFY22!A:A,"=*resources_development"))</f>
        <v>5</v>
      </c>
      <c r="BT92" s="7">
        <f t="shared" si="136"/>
        <v>0.26315789473684209</v>
      </c>
      <c r="BU92" s="7">
        <f t="shared" si="137"/>
        <v>-7.0175438596491224E-2</v>
      </c>
      <c r="BV92">
        <f>ROUND(SUMIFS(LogFY22!K:K,LogFY22!A:A,"=*resources_development")/SUMIFS(LogFY22!J:J,LogFY22!A:A,"=*resources_development"),0)</f>
        <v>18</v>
      </c>
      <c r="BW92">
        <f t="shared" si="138"/>
        <v>6</v>
      </c>
      <c r="BX92" s="1">
        <v>110</v>
      </c>
      <c r="BY92" s="1">
        <f t="shared" si="139"/>
        <v>80</v>
      </c>
      <c r="BZ92">
        <f>COUNTIFS(All!F:F,"=DHRD*", All!B:B, "&gt;=7/1/2021", All!B:B,"&lt;=6/30/2022", All!E:E,"=U*",All!E:E,"&lt;&gt;UIPA*",All!E:E,"&lt;&gt;*RFO*",All!E:E,"&lt;&gt;*TRNG*")</f>
        <v>2</v>
      </c>
      <c r="CA92" s="7">
        <f>ROUND(BZ92/(BR92+BH92),3)</f>
        <v>9.0999999999999998E-2</v>
      </c>
      <c r="CB92">
        <f>SUMIFS(LogFY23!D:D,LogFY23!A:A,"=*resources_development")</f>
        <v>25</v>
      </c>
      <c r="CC92">
        <f>SUM(SUMIFS(LogFY23!D:D,LogFY23!A:A,"=*resources_development"),-1*SUMIFS(LogFY23!L:L,LogFY23!A:A,"=*resources_development"),-1*SUMIFS(LogFY23!N:N,LogFY23!A:A,"=*resources_development"))</f>
        <v>20</v>
      </c>
      <c r="CD92" s="7">
        <f t="shared" si="122"/>
        <v>0.8</v>
      </c>
      <c r="CE92" s="7">
        <f t="shared" si="123"/>
        <v>0.53684210526315801</v>
      </c>
      <c r="CF92">
        <f>ROUND(SUMIFS(LogFY23!K:K,LogFY23!A:A,"=*resources_development")/SUMIFS(LogFY23!J:J,LogFY23!A:A,"=*resources_development"),0)</f>
        <v>4</v>
      </c>
      <c r="CG92">
        <f t="shared" si="124"/>
        <v>-14</v>
      </c>
      <c r="CH92" s="1">
        <v>17</v>
      </c>
      <c r="CI92" s="1">
        <f t="shared" si="127"/>
        <v>-93</v>
      </c>
      <c r="CJ92">
        <f>COUNTIFS(All!F:F,"=DHRD*", All!B:B, "&gt;=7/1/2022", All!B:B,"&lt;=6/30/2023", All!E:E,"=U*",All!E:E,"&lt;&gt;UIPA*",All!E:E,"&lt;&gt;*RFO*",All!E:E,"&lt;&gt;*TRNG*")</f>
        <v>0</v>
      </c>
      <c r="CK92" s="7">
        <f>ROUND(CJ92/(CB92+BR92),3)</f>
        <v>0</v>
      </c>
      <c r="CL92">
        <f>SUMIFS(LogFY24!D:D,LogFY24!A:A,"=*resources_development")</f>
        <v>24</v>
      </c>
      <c r="CM92">
        <f>SUM(SUMIFS(LogFY24!D:D,LogFY24!A:A,"=*resources_development"),-1*SUMIFS(LogFY24!L:L,LogFY24!A:A,"=*resources_development"),-1*SUMIFS(LogFY24!N:N,LogFY24!A:A,"=*resources_development"))</f>
        <v>24</v>
      </c>
      <c r="CN92" s="7">
        <f t="shared" si="126"/>
        <v>1</v>
      </c>
      <c r="CO92" s="7">
        <f t="shared" si="128"/>
        <v>0.19999999999999996</v>
      </c>
      <c r="CP92">
        <f>ROUND(SUMIFS(LogFY24!K:K,LogFY24!A:A,"=*resources_development")/SUMIFS(LogFY24!J:J,LogFY24!A:A,"=*resources_development"),0)</f>
        <v>14</v>
      </c>
      <c r="CQ92">
        <f t="shared" si="129"/>
        <v>10</v>
      </c>
      <c r="CR92" s="1">
        <v>82</v>
      </c>
      <c r="CS92" s="1">
        <f t="shared" si="140"/>
        <v>65</v>
      </c>
      <c r="CT92">
        <f>COUNTIFS(All!F:F,"=DHRD*", All!B:B, "&gt;=7/1/2023", All!B:B,"&lt;=6/30/2024", All!E:E,"=U*",All!E:E,"&lt;&gt;UIPA*",All!E:E,"&lt;&gt;*RFO*",All!E:E,"&lt;&gt;*TRNG*")</f>
        <v>2</v>
      </c>
      <c r="CU92" s="7">
        <f>ROUND(CT92/(CL92+CB92),3)</f>
        <v>4.1000000000000002E-2</v>
      </c>
    </row>
    <row r="93" spans="1:99" ht="32">
      <c r="A93" s="10">
        <f t="shared" si="130"/>
        <v>92</v>
      </c>
      <c r="B93" s="1" t="s">
        <v>17251</v>
      </c>
      <c r="C93">
        <f>SUMIFS(LogFY15!D:D,LogFY15!A:A,"=*human_services")</f>
        <v>71</v>
      </c>
      <c r="D93">
        <f>SUM(SUMIFS(LogFY15!D:D,LogFY15!A:A,"=*human_services"),-1*SUMIFS(LogFY15!L:L,LogFY15!A:A,"=*human_services"),-1*SUMIFS(LogFY15!N:N,LogFY15!A:A,"=*human_services"))</f>
        <v>12</v>
      </c>
      <c r="E93" s="7">
        <f t="shared" si="141"/>
        <v>0.16901408450704225</v>
      </c>
      <c r="F93">
        <f>ROUND(SUMIFS(LogFY15!K:K,LogFY15!A:A,"=*human_services")/SUMIFS(LogFY15!J:J,LogFY15!A:A,"=*human_services"),0)</f>
        <v>9</v>
      </c>
      <c r="G93" s="1">
        <v>79</v>
      </c>
      <c r="H93">
        <f>SUM(COUNTIFS(All!F:F,"=DHS*", All!B:B, "&gt;=7/1/2014", All!B:B,"&lt;=6/30/2015", All!E:E,"=U*",All!E:E,"&lt;&gt;UIPA*",All!E:E,"&lt;&gt;*RFO*",All!E:E,"&lt;&gt;*TRNG*"),COUNTIFS(All!F:F,"=hpha*", All!B:B, "&gt;=7/1/2014", All!B:B,"&lt;=6/30/2015", All!E:E,"=U*",All!E:E,"&lt;&gt;UIPA*",All!E:E,"&lt;&gt;*RFO*",All!E:E,"&lt;&gt;*TRNG*"))</f>
        <v>7</v>
      </c>
      <c r="I93" s="7">
        <f>ROUND(H93/C93,3)</f>
        <v>9.9000000000000005E-2</v>
      </c>
      <c r="J93">
        <f>SUMIFS(LogFY16!D:D,LogFY16!A:A,"=*human_services")</f>
        <v>39</v>
      </c>
      <c r="K93">
        <f>SUM(SUMIFS(LogFY16!D:D,LogFY16!A:A,"=*human_services"),-1*SUMIFS(LogFY16!L:L,LogFY16!A:A,"=*human_services"),-1*SUMIFS(LogFY16!N:N,LogFY16!A:A,"=*human_services"))</f>
        <v>14</v>
      </c>
      <c r="L93" s="7">
        <f t="shared" si="142"/>
        <v>0.35897435897435898</v>
      </c>
      <c r="M93" s="7">
        <f t="shared" si="143"/>
        <v>0.18996027446731673</v>
      </c>
      <c r="N93">
        <f>ROUND(SUMIFS(LogFY16!K:K,LogFY16!A:A,"=*human_services")/SUMIFS(LogFY16!J:J,LogFY16!A:A,"=*human_services"),0)</f>
        <v>23</v>
      </c>
      <c r="O93">
        <f t="shared" si="144"/>
        <v>14</v>
      </c>
      <c r="P93" s="1">
        <v>81</v>
      </c>
      <c r="Q93" s="1">
        <f t="shared" si="145"/>
        <v>2</v>
      </c>
      <c r="R93">
        <f>SUM(COUNTIFS(All!F:F,"=DHS*", All!B:B, "&gt;=7/1/2015", All!B:B,"&lt;=6/30/2016", All!E:E,"=U*",All!E:E,"&lt;&gt;UIPA*",All!E:E,"&lt;&gt;*RFO*",All!E:E,"&lt;&gt;*TRNG*"),COUNTIFS(All!F:F,"=hpha*", All!B:B, "&gt;=7/1/2015", All!B:B,"&lt;=6/30/2016", All!E:E,"=U*",All!E:E,"&lt;&gt;UIPA*",All!E:E,"&lt;&gt;*RFO*",All!E:E,"&lt;&gt;*TRNG*"))</f>
        <v>13</v>
      </c>
      <c r="S93" s="7">
        <f>ROUND(R93/(J93+C93),3)</f>
        <v>0.11799999999999999</v>
      </c>
      <c r="T93">
        <f>SUMIFS(LogFY17!D:D,LogFY17!A:A,"=*human_services")</f>
        <v>83</v>
      </c>
      <c r="U93">
        <f>SUM(SUMIFS(LogFY17!D:D,LogFY17!A:A,"=*human_services"),-1*SUMIFS(LogFY17!L:L,LogFY17!A:A,"=*human_services"),-1*SUMIFS(LogFY17!N:N,LogFY17!A:A,"=*human_services"))</f>
        <v>26</v>
      </c>
      <c r="V93" s="7">
        <f t="shared" si="131"/>
        <v>0.31325301204819278</v>
      </c>
      <c r="W93" s="7">
        <f t="shared" si="132"/>
        <v>-4.5721346926166195E-2</v>
      </c>
      <c r="X93">
        <f>ROUND(SUMIFS(LogFY17!K:K,LogFY17!A:A,"=*human_services")/SUMIFS(LogFY17!J:J,LogFY17!A:A,"=*human_services"),0)</f>
        <v>10</v>
      </c>
      <c r="Y93">
        <f t="shared" si="146"/>
        <v>-13</v>
      </c>
      <c r="Z93" s="1">
        <v>34</v>
      </c>
      <c r="AA93" s="1">
        <f t="shared" si="147"/>
        <v>-47</v>
      </c>
      <c r="AB93">
        <f>SUM(COUNTIFS(All!F:F,"=DHS*", All!B:B, "&gt;=7/1/2016", All!B:B,"&lt;=6/30/2017", All!E:E,"=U*",All!E:E,"&lt;&gt;UIPA*",All!E:E,"&lt;&gt;*RFO*",All!E:E,"&lt;&gt;*TRNG*"),COUNTIFS(All!F:F,"=hpha*", All!B:B, "&gt;=7/1/2016", All!B:B,"&lt;=6/30/2017", All!E:E,"=U*",All!E:E,"&lt;&gt;UIPA*",All!E:E,"&lt;&gt;*RFO*",All!E:E,"&lt;&gt;*TRNG*"))</f>
        <v>14</v>
      </c>
      <c r="AC93" s="7">
        <f>ROUND(AB93/(T93+J93),3)</f>
        <v>0.115</v>
      </c>
      <c r="AD93">
        <f>SUMIFS(LogFY18!D:D,LogFY18!A:A,"=*human_services")</f>
        <v>79</v>
      </c>
      <c r="AE93">
        <f>SUM(SUMIFS(LogFY18!D:D,LogFY18!A:A,"=*human_services"),-1*SUMIFS(LogFY18!L:L,LogFY18!A:A,"=*human_services"),-1*SUMIFS(LogFY18!N:N,LogFY18!A:A,"=*human_services"))</f>
        <v>22</v>
      </c>
      <c r="AF93" s="7">
        <f t="shared" si="87"/>
        <v>0.27848101265822783</v>
      </c>
      <c r="AG93" s="7">
        <f t="shared" si="88"/>
        <v>-3.4771999389964947E-2</v>
      </c>
      <c r="AH93">
        <f>ROUND(SUMIFS(LogFY18!K:K,LogFY18!A:A,"=*human_services")/SUMIFS(LogFY18!J:J,LogFY18!A:A,"=*human_services"),0)</f>
        <v>15</v>
      </c>
      <c r="AI93">
        <f t="shared" si="89"/>
        <v>5</v>
      </c>
      <c r="AJ93" s="1">
        <v>84</v>
      </c>
      <c r="AK93" s="1">
        <f t="shared" si="116"/>
        <v>50</v>
      </c>
      <c r="AL93">
        <f>SUM(COUNTIFS(All!F:F,"=DHS*", All!B:B, "&gt;=7/1/2017", All!B:B,"&lt;=6/30/2018", All!E:E,"=U*",All!E:E,"&lt;&gt;UIPA*",All!E:E,"&lt;&gt;*RFO*",All!E:E,"&lt;&gt;*TRNG*"),COUNTIFS(All!F:F,"=hpha*", All!B:B, "&gt;=7/1/2017", All!B:B,"&lt;=6/30/2018", All!E:E,"=U*",All!E:E,"&lt;&gt;UIPA*",All!E:E,"&lt;&gt;*RFO*",All!E:E,"&lt;&gt;*TRNG*"))</f>
        <v>1</v>
      </c>
      <c r="AM93" s="7">
        <f>ROUND(AL93/(AD93+T93),3)</f>
        <v>6.0000000000000001E-3</v>
      </c>
      <c r="AN93">
        <f>SUMIFS(LogFY19!D:D,LogFY19!A:A,"=*human_services")</f>
        <v>31</v>
      </c>
      <c r="AO93">
        <f>SUM(SUMIFS(LogFY19!D:D,LogFY19!A:A,"=*human_services"),-1*SUMIFS(LogFY19!L:L,LogFY19!A:A,"=*human_services"),-1*SUMIFS(LogFY19!N:N,LogFY19!A:A,"=*human_services"))</f>
        <v>5</v>
      </c>
      <c r="AP93" s="7">
        <f t="shared" si="148"/>
        <v>0.16129032258064516</v>
      </c>
      <c r="AQ93" s="7">
        <f t="shared" si="135"/>
        <v>-0.11719069007758268</v>
      </c>
      <c r="AR93">
        <f>ROUND(SUMIFS(LogFY19!K:K,LogFY19!A:A,"=*human_services")/SUMIFS(LogFY19!J:J,LogFY19!A:A,"=*human_services"),0)</f>
        <v>15</v>
      </c>
      <c r="AS93">
        <f t="shared" si="149"/>
        <v>0</v>
      </c>
      <c r="AT93" s="1">
        <v>45</v>
      </c>
      <c r="AU93" s="1">
        <f t="shared" si="117"/>
        <v>-39</v>
      </c>
      <c r="AV93">
        <f>SUM(COUNTIFS(All!F:F,"=DHS*", All!B:B, "&gt;=7/1/2018", All!B:B,"&lt;=6/30/2019", All!E:E,"=U*",All!E:E,"&lt;&gt;UIPA*",All!E:E,"&lt;&gt;*RFO*",All!E:E,"&lt;&gt;*TRNG*"),COUNTIFS(All!F:F,"=hpha*", All!B:B, "&gt;=7/1/2018", All!B:B,"&lt;=6/30/2019", All!E:E,"=U*",All!E:E,"&lt;&gt;UIPA*",All!E:E,"&lt;&gt;*RFO*",All!E:E,"&lt;&gt;*TRNG*"))</f>
        <v>3</v>
      </c>
      <c r="AW93" s="7">
        <f>ROUND(AV93/(AN93+AD93),3)</f>
        <v>2.7E-2</v>
      </c>
      <c r="AX93">
        <f>SUMIFS(LogFY20!D:D,LogFY20!A:A,"=*human_services")</f>
        <v>51</v>
      </c>
      <c r="AY93">
        <f>SUM(SUMIFS(LogFY20!D:D,LogFY20!A:A,"=*human_services"),-1*SUMIFS(LogFY20!L:L,LogFY20!A:A,"=*human_services"),-1*SUMIFS(LogFY20!N:N,LogFY20!A:A,"=*human_services"))</f>
        <v>39</v>
      </c>
      <c r="AZ93" s="7">
        <f t="shared" si="150"/>
        <v>0.76470588235294112</v>
      </c>
      <c r="BA93" s="7">
        <f t="shared" si="133"/>
        <v>0.603415559772296</v>
      </c>
      <c r="BB93">
        <f>ROUND(SUMIFS(LogFY20!K:K,LogFY20!A:A,"=*human_services")/SUMIFS(LogFY20!J:J,LogFY20!A:A,"=*human_services"),0)</f>
        <v>9</v>
      </c>
      <c r="BC93">
        <f t="shared" si="151"/>
        <v>-6</v>
      </c>
      <c r="BD93" s="1">
        <v>40</v>
      </c>
      <c r="BE93" s="1">
        <f t="shared" si="134"/>
        <v>-5</v>
      </c>
      <c r="BF93">
        <f>SUM(COUNTIFS(All!F:F,"=DHS*", All!B:B, "&gt;=7/1/2019", All!B:B,"&lt;=6/30/2020", All!E:E,"=U*",All!E:E,"&lt;&gt;UIPA*",All!E:E,"&lt;&gt;*RFO*",All!E:E,"&lt;&gt;*TRNG*"),COUNTIFS(All!F:F,"=hpha*", All!B:B, "&gt;=7/1/2019", All!B:B,"&lt;=6/30/2020", All!E:E,"=U*",All!E:E,"&lt;&gt;UIPA*",All!E:E,"&lt;&gt;*RFO*",All!E:E,"&lt;&gt;*TRNG*"))</f>
        <v>5</v>
      </c>
      <c r="BG93" s="7">
        <f>ROUND(BF93/(AX93+AN93),3)</f>
        <v>6.0999999999999999E-2</v>
      </c>
      <c r="BH93">
        <f>SUMIFS(LogFY21!D:D,LogFY21!A:A,"=*human_services")</f>
        <v>68</v>
      </c>
      <c r="BI93">
        <f>SUM(SUMIFS(LogFY21!D:D,LogFY21!A:A,"=*human_services"),-1*SUMIFS(LogFY21!L:L,LogFY21!A:A,"=*human_services"),-1*SUMIFS(LogFY21!N:N,LogFY21!A:A,"=*human_services"))</f>
        <v>3</v>
      </c>
      <c r="BJ93" s="7">
        <f t="shared" si="118"/>
        <v>4.4117647058823532E-2</v>
      </c>
      <c r="BK93" s="7">
        <f t="shared" si="119"/>
        <v>-0.72058823529411764</v>
      </c>
      <c r="BL93">
        <f>ROUND(SUMIFS(LogFY21!K:K,LogFY21!A:A,"=*human_services")/SUMIFS(LogFY21!J:J,LogFY21!A:A,"=*human_services"),0)</f>
        <v>14</v>
      </c>
      <c r="BM93">
        <f t="shared" si="120"/>
        <v>5</v>
      </c>
      <c r="BN93" s="1">
        <v>157</v>
      </c>
      <c r="BO93" s="1">
        <f t="shared" si="121"/>
        <v>117</v>
      </c>
      <c r="BP93">
        <f>SUM(COUNTIFS(All!F:F,"=DHS*", All!B:B, "&gt;=7/1/2020", All!B:B,"&lt;=6/30/2021", All!E:E,"=U*",All!E:E,"&lt;&gt;UIPA*",All!E:E,"&lt;&gt;*RFO*",All!E:E,"&lt;&gt;*TRNG*"),COUNTIFS(All!F:F,"=hpha*", All!B:B, "&gt;=7/1/2020", All!B:B,"&lt;=6/30/2021", All!E:E,"=U*",All!E:E,"&lt;&gt;UIPA*",All!E:E,"&lt;&gt;*RFO*",All!E:E,"&lt;&gt;*TRNG*"))</f>
        <v>0</v>
      </c>
      <c r="BQ93" s="7">
        <f>ROUND(BP93/(BH93+AX93),3)</f>
        <v>0</v>
      </c>
      <c r="BR93">
        <f>SUMIFS(LogFY22!D:D,LogFY22!A:A,"=*human_services")</f>
        <v>130</v>
      </c>
      <c r="BS93">
        <f>SUM(SUMIFS(LogFY22!D:D,LogFY22!A:A,"=*human_services"),-1*SUMIFS(LogFY22!L:L,LogFY22!A:A,"=*human_services"),-1*SUMIFS(LogFY22!N:N,LogFY22!A:A,"=*human_services"))</f>
        <v>21</v>
      </c>
      <c r="BT93" s="7">
        <f t="shared" si="136"/>
        <v>0.16153846153846155</v>
      </c>
      <c r="BU93" s="7">
        <f t="shared" si="137"/>
        <v>0.11742081447963801</v>
      </c>
      <c r="BV93">
        <f>ROUND(SUMIFS(LogFY22!K:K,LogFY22!A:A,"=*human_services")/SUMIFS(LogFY22!J:J,LogFY22!A:A,"=*human_services"),0)</f>
        <v>17</v>
      </c>
      <c r="BW93">
        <f t="shared" si="138"/>
        <v>3</v>
      </c>
      <c r="BX93" s="1">
        <v>279</v>
      </c>
      <c r="BY93" s="1">
        <f t="shared" si="139"/>
        <v>122</v>
      </c>
      <c r="BZ93">
        <f>SUM(COUNTIFS(All!F:F,"=DHS*", All!B:B, "&gt;=7/1/2021", All!B:B,"&lt;=6/30/2022", All!E:E,"=U*",All!E:E,"&lt;&gt;UIPA*",All!E:E,"&lt;&gt;*RFO*",All!E:E,"&lt;&gt;*TRNG*"),COUNTIFS(All!F:F,"=hpha*", All!B:B, "&gt;=7/1/2021", All!B:B,"&lt;=6/30/2022", All!E:E,"=U*",All!E:E,"&lt;&gt;UIPA*",All!E:E,"&lt;&gt;*RFO*",All!E:E,"&lt;&gt;*TRNG*"))</f>
        <v>2</v>
      </c>
      <c r="CA93" s="7">
        <f>ROUND(BZ93/(BR93+BH93),3)</f>
        <v>0.01</v>
      </c>
      <c r="CB93">
        <f>SUMIFS(LogFY23!D:D,LogFY23!A:A,"=*human_services")</f>
        <v>64</v>
      </c>
      <c r="CC93">
        <f>SUM(SUMIFS(LogFY23!D:D,LogFY23!A:A,"=*human_services"),-1*SUMIFS(LogFY23!L:L,LogFY23!A:A,"=*human_services"),-1*SUMIFS(LogFY23!N:N,LogFY23!A:A,"=*human_services"))</f>
        <v>10</v>
      </c>
      <c r="CD93" s="7">
        <f t="shared" si="122"/>
        <v>0.15625</v>
      </c>
      <c r="CE93" s="7">
        <f t="shared" si="123"/>
        <v>-5.2884615384615474E-3</v>
      </c>
      <c r="CF93">
        <f>ROUND(SUMIFS(LogFY23!K:K,LogFY23!A:A,"=*human_services")/SUMIFS(LogFY23!J:J,LogFY23!A:A,"=*human_services"),0)</f>
        <v>13</v>
      </c>
      <c r="CG93">
        <f t="shared" si="124"/>
        <v>-4</v>
      </c>
      <c r="CH93" s="1">
        <v>155</v>
      </c>
      <c r="CI93" s="1">
        <f t="shared" si="127"/>
        <v>-124</v>
      </c>
      <c r="CJ93">
        <f>SUM(COUNTIFS(All!F:F,"=DHS*", All!B:B, "&gt;=7/1/2022", All!B:B,"&lt;=6/30/2023", All!E:E,"=U*",All!E:E,"&lt;&gt;UIPA*",All!E:E,"&lt;&gt;*RFO*",All!E:E,"&lt;&gt;*TRNG*"),COUNTIFS(All!F:F,"=hpha*", All!B:B, "&gt;=7/1/2022", All!B:B,"&lt;=6/30/2023", All!E:E,"=U*",All!E:E,"&lt;&gt;UIPA*",All!E:E,"&lt;&gt;*RFO*",All!E:E,"&lt;&gt;*TRNG*"))</f>
        <v>9</v>
      </c>
      <c r="CK93" s="7">
        <f>ROUND(CJ93/(CB93+BR93),3)</f>
        <v>4.5999999999999999E-2</v>
      </c>
      <c r="CL93">
        <f>SUMIFS(LogFY24!D:D,LogFY24!A:A,"=*human_services")</f>
        <v>167</v>
      </c>
      <c r="CM93">
        <f>SUM(SUMIFS(LogFY24!D:D,LogFY24!A:A,"=*human_services"),-1*SUMIFS(LogFY24!L:L,LogFY24!A:A,"=*human_services"),-1*SUMIFS(LogFY24!N:N,LogFY24!A:A,"=*human_services"))</f>
        <v>48</v>
      </c>
      <c r="CN93" s="7">
        <f t="shared" si="126"/>
        <v>0.28742514970059879</v>
      </c>
      <c r="CO93" s="7">
        <f t="shared" si="128"/>
        <v>0.13117514970059879</v>
      </c>
      <c r="CP93">
        <f>ROUND(SUMIFS(LogFY24!K:K,LogFY24!A:A,"=*human_services")/SUMIFS(LogFY24!J:J,LogFY24!A:A,"=*human_services"),0)</f>
        <v>9</v>
      </c>
      <c r="CQ93">
        <f t="shared" si="129"/>
        <v>-4</v>
      </c>
      <c r="CR93" s="1">
        <v>93</v>
      </c>
      <c r="CS93" s="1">
        <f t="shared" si="140"/>
        <v>-62</v>
      </c>
      <c r="CT93">
        <f>SUM(COUNTIFS(All!F:F,"=DHS*", All!B:B, "&gt;=7/1/2023", All!B:B,"&lt;=6/30/2024", All!E:E,"=U*",All!E:E,"&lt;&gt;UIPA*",All!E:E,"&lt;&gt;*RFO*",All!E:E,"&lt;&gt;*TRNG*"),COUNTIFS(All!F:F,"=hpha*", All!B:B, "&gt;=7/1/2023", All!B:B,"&lt;=6/30/2024", All!E:E,"=U*",All!E:E,"&lt;&gt;UIPA*",All!E:E,"&lt;&gt;*RFO*",All!E:E,"&lt;&gt;*TRNG*"))</f>
        <v>8</v>
      </c>
      <c r="CU93" s="7">
        <f>ROUND(CT93/(CL93+CB93),3)</f>
        <v>3.5000000000000003E-2</v>
      </c>
    </row>
    <row r="94" spans="1:99" ht="32">
      <c r="A94" s="10">
        <f t="shared" si="130"/>
        <v>93</v>
      </c>
      <c r="B94" s="1" t="s">
        <v>17252</v>
      </c>
      <c r="C94">
        <f>SUMIFS(LogFY15!D:D,LogFY15!A:A,"=*industrial*")</f>
        <v>61</v>
      </c>
      <c r="D94">
        <f>SUM(SUMIFS(LogFY15!D:D,LogFY15!A:A,"=*industrial*"),-1*SUMIFS(LogFY15!L:L,LogFY15!A:A,"=*industrial*"),-1*SUMIFS(LogFY15!N:N,LogFY15!A:A,"=*industrial*"))</f>
        <v>40</v>
      </c>
      <c r="E94" s="7">
        <f t="shared" si="141"/>
        <v>0.65573770491803274</v>
      </c>
      <c r="F94">
        <f>ROUND(SUMIFS(LogFY15!K:K,LogFY15!A:A,"=*industrial*")/SUMIFS(LogFY15!J:J,LogFY15!A:A,"=*industrial*"),0)</f>
        <v>11</v>
      </c>
      <c r="G94" s="1">
        <v>69</v>
      </c>
      <c r="H94">
        <f>COUNTIFS(All!F:F,"=DLIR*", All!B:B, "&gt;=7/1/2014", All!B:B,"&lt;=6/30/2015", All!E:E,"=U*",All!E:E,"&lt;&gt;UIPA*",All!E:E,"&lt;&gt;*RFO*",All!E:E,"&lt;&gt;*TRNG*")</f>
        <v>3</v>
      </c>
      <c r="I94" s="7">
        <f>ROUND(H94/C94,3)</f>
        <v>4.9000000000000002E-2</v>
      </c>
      <c r="J94">
        <f>SUMIFS(LogFY16!D:D,LogFY16!A:A,"=*industrial*")</f>
        <v>94</v>
      </c>
      <c r="K94">
        <f>SUM(SUMIFS(LogFY16!D:D,LogFY16!A:A,"=*industrial*"),-1*SUMIFS(LogFY16!L:L,LogFY16!A:A,"=*industrial*"),-1*SUMIFS(LogFY16!N:N,LogFY16!A:A,"=*industrial*"))</f>
        <v>16</v>
      </c>
      <c r="L94" s="7">
        <f t="shared" si="142"/>
        <v>0.1702127659574468</v>
      </c>
      <c r="M94" s="7">
        <f t="shared" si="143"/>
        <v>-0.48552493896058591</v>
      </c>
      <c r="N94">
        <f>ROUND(SUMIFS(LogFY16!K:K,LogFY16!A:A,"=*industrial*")/SUMIFS(LogFY16!J:J,LogFY16!A:A,"=*industrial*"),0)</f>
        <v>11</v>
      </c>
      <c r="O94">
        <f t="shared" si="144"/>
        <v>0</v>
      </c>
      <c r="P94" s="1">
        <v>180</v>
      </c>
      <c r="Q94" s="1">
        <f t="shared" si="145"/>
        <v>111</v>
      </c>
      <c r="R94">
        <f>COUNTIFS(All!F:F,"=DLIR*", All!B:B, "&gt;=7/1/2015", All!B:B,"&lt;=6/30/2016", All!E:E,"=U*",All!E:E,"&lt;&gt;UIPA*",All!E:E,"&lt;&gt;*RFO*",All!E:E,"&lt;&gt;*TRNG*")</f>
        <v>0</v>
      </c>
      <c r="S94" s="7">
        <f>ROUND(R94/(J94+C94),3)</f>
        <v>0</v>
      </c>
      <c r="T94">
        <f>SUMIFS(LogFY17!D:D,LogFY17!A:A,"=*industrial*")</f>
        <v>86</v>
      </c>
      <c r="U94">
        <f>SUM(SUMIFS(LogFY17!D:D,LogFY17!A:A,"=*industrial*"),-1*SUMIFS(LogFY17!L:L,LogFY17!A:A,"=*industrial*"),-1*SUMIFS(LogFY17!N:N,LogFY17!A:A,"=*industrial*"))</f>
        <v>27</v>
      </c>
      <c r="V94" s="7">
        <f t="shared" si="131"/>
        <v>0.31395348837209303</v>
      </c>
      <c r="W94" s="7">
        <f t="shared" si="132"/>
        <v>0.14374072241464622</v>
      </c>
      <c r="X94">
        <f>ROUND(SUMIFS(LogFY17!K:K,LogFY17!A:A,"=*industrial*")/SUMIFS(LogFY17!J:J,LogFY17!A:A,"=*industrial*"),0)</f>
        <v>7</v>
      </c>
      <c r="Y94">
        <f t="shared" si="146"/>
        <v>-4</v>
      </c>
      <c r="Z94" s="1">
        <v>50</v>
      </c>
      <c r="AA94" s="1">
        <f t="shared" si="147"/>
        <v>-130</v>
      </c>
      <c r="AB94">
        <f>COUNTIFS(All!F:F,"=DLIR*", All!B:B, "&gt;=7/1/2016", All!B:B,"&lt;=6/30/2017", All!E:E,"=U*",All!E:E,"&lt;&gt;UIPA*",All!E:E,"&lt;&gt;*RFO*",All!E:E,"&lt;&gt;*TRNG*")</f>
        <v>1</v>
      </c>
      <c r="AC94" s="7">
        <f>ROUND(AB94/(T94+J94),3)</f>
        <v>6.0000000000000001E-3</v>
      </c>
      <c r="AD94">
        <f>SUMIFS(LogFY18!D:D,LogFY18!A:A,"=*industrial*")</f>
        <v>91</v>
      </c>
      <c r="AE94">
        <f>SUM(SUMIFS(LogFY18!D:D,LogFY18!A:A,"=*industrial*"),-1*SUMIFS(LogFY18!L:L,LogFY18!A:A,"=*industrial*"),-1*SUMIFS(LogFY18!N:N,LogFY18!A:A,"=*industrial*"))</f>
        <v>65</v>
      </c>
      <c r="AF94" s="7">
        <f t="shared" si="87"/>
        <v>0.7142857142857143</v>
      </c>
      <c r="AG94" s="7">
        <f t="shared" si="88"/>
        <v>0.40033222591362128</v>
      </c>
      <c r="AH94">
        <f>ROUND(SUMIFS(LogFY18!K:K,LogFY18!A:A,"=*industrial*")/SUMIFS(LogFY18!J:J,LogFY18!A:A,"=*industrial*"),0)</f>
        <v>8</v>
      </c>
      <c r="AI94">
        <f t="shared" si="89"/>
        <v>1</v>
      </c>
      <c r="AJ94" s="1">
        <v>124</v>
      </c>
      <c r="AK94" s="1">
        <f t="shared" si="116"/>
        <v>74</v>
      </c>
      <c r="AL94">
        <f>COUNTIFS(All!F:F,"=DLIR*", All!B:B, "&gt;=7/1/2017", All!B:B,"&lt;=6/30/2018", All!E:E,"=U*",All!E:E,"&lt;&gt;UIPA*",All!E:E,"&lt;&gt;*RFO*",All!E:E,"&lt;&gt;*TRNG*")</f>
        <v>0</v>
      </c>
      <c r="AM94" s="7">
        <f>ROUND(AL94/(AD94+T94),3)</f>
        <v>0</v>
      </c>
      <c r="AN94">
        <f>SUMIFS(LogFY19!D:D,LogFY19!A:A,"=*industrial*")</f>
        <v>70</v>
      </c>
      <c r="AO94">
        <f>SUM(SUMIFS(LogFY19!D:D,LogFY19!A:A,"=*industrial*"),-1*SUMIFS(LogFY19!L:L,LogFY19!A:A,"=*industrial*"),-1*SUMIFS(LogFY19!N:N,LogFY19!A:A,"=*industrial*"))</f>
        <v>12</v>
      </c>
      <c r="AP94" s="7">
        <f t="shared" si="148"/>
        <v>0.17142857142857143</v>
      </c>
      <c r="AQ94" s="7">
        <f t="shared" si="135"/>
        <v>-0.54285714285714293</v>
      </c>
      <c r="AR94">
        <f>ROUND(SUMIFS(LogFY19!K:K,LogFY19!A:A,"=*industrial*")/SUMIFS(LogFY19!J:J,LogFY19!A:A,"=*industrial*"),0)</f>
        <v>3</v>
      </c>
      <c r="AS94">
        <f t="shared" si="149"/>
        <v>-5</v>
      </c>
      <c r="AT94" s="1">
        <v>22</v>
      </c>
      <c r="AU94" s="1">
        <f t="shared" si="117"/>
        <v>-102</v>
      </c>
      <c r="AV94">
        <f>COUNTIFS(All!F:F,"=DLIR*", All!B:B, "&gt;=7/1/2018", All!B:B,"&lt;=6/30/2019", All!E:E,"=U*",All!E:E,"&lt;&gt;UIPA*",All!E:E,"&lt;&gt;*RFO*",All!E:E,"&lt;&gt;*TRNG*")</f>
        <v>0</v>
      </c>
      <c r="AW94" s="7">
        <f>ROUND(AV94/(AN94+AD94),3)</f>
        <v>0</v>
      </c>
      <c r="AX94">
        <f>SUMIFS(LogFY20!D:D,LogFY20!A:A,"=*industrial*")</f>
        <v>35</v>
      </c>
      <c r="AY94">
        <f>SUM(SUMIFS(LogFY20!D:D,LogFY20!A:A,"=*industrial*"),-1*SUMIFS(LogFY20!L:L,LogFY20!A:A,"=*industrial*"),-1*SUMIFS(LogFY20!N:N,LogFY20!A:A,"=*industrial*"))</f>
        <v>14</v>
      </c>
      <c r="AZ94" s="7">
        <f t="shared" si="150"/>
        <v>0.4</v>
      </c>
      <c r="BA94" s="7">
        <f t="shared" si="133"/>
        <v>0.22857142857142859</v>
      </c>
      <c r="BB94">
        <f>ROUND(SUMIFS(LogFY20!K:K,LogFY20!A:A,"=*industrial*")/SUMIFS(LogFY20!J:J,LogFY20!A:A,"=*industrial*"),0)</f>
        <v>8</v>
      </c>
      <c r="BC94">
        <f t="shared" si="151"/>
        <v>5</v>
      </c>
      <c r="BD94" s="1">
        <v>21</v>
      </c>
      <c r="BE94" s="1">
        <f t="shared" si="134"/>
        <v>-1</v>
      </c>
      <c r="BF94">
        <f>COUNTIFS(All!F:F,"=DLIR*", All!B:B, "&gt;=7/1/2019", All!B:B,"&lt;=6/30/2020", All!E:E,"=U*",All!E:E,"&lt;&gt;UIPA*",All!E:E,"&lt;&gt;*RFO*",All!E:E,"&lt;&gt;*TRNG*")</f>
        <v>4</v>
      </c>
      <c r="BG94" s="7">
        <f>ROUND(BF94/(AX94+AN94),3)</f>
        <v>3.7999999999999999E-2</v>
      </c>
      <c r="BH94">
        <f>SUMIFS(LogFY21!D:D,LogFY21!A:A,"=*industrial*")</f>
        <v>59</v>
      </c>
      <c r="BI94">
        <f>SUM(SUMIFS(LogFY21!D:D,LogFY21!A:A,"=*industrial*"),-1*SUMIFS(LogFY21!L:L,LogFY21!A:A,"=*industrial*"),-1*SUMIFS(LogFY21!N:N,LogFY21!A:A,"=*industrial*"))</f>
        <v>23</v>
      </c>
      <c r="BJ94" s="7">
        <f t="shared" si="118"/>
        <v>0.38983050847457629</v>
      </c>
      <c r="BK94" s="7">
        <f t="shared" si="119"/>
        <v>-1.0169491525423735E-2</v>
      </c>
      <c r="BL94">
        <f>ROUND(SUMIFS(LogFY21!K:K,LogFY21!A:A,"=*industrial*")/SUMIFS(LogFY21!J:J,LogFY21!A:A,"=*industrial*"),0)</f>
        <v>6</v>
      </c>
      <c r="BM94">
        <f t="shared" si="120"/>
        <v>-2</v>
      </c>
      <c r="BN94" s="1">
        <v>48</v>
      </c>
      <c r="BO94" s="1">
        <f t="shared" si="121"/>
        <v>27</v>
      </c>
      <c r="BP94">
        <f>COUNTIFS(All!F:F,"=DLIR*", All!B:B, "&gt;=7/1/2020", All!B:B,"&lt;=6/30/2021", All!E:E,"=U*",All!E:E,"&lt;&gt;UIPA*",All!E:E,"&lt;&gt;*RFO*",All!E:E,"&lt;&gt;*TRNG*")</f>
        <v>0</v>
      </c>
      <c r="BQ94" s="7">
        <f>ROUND(BP94/(BH94+AX94),3)</f>
        <v>0</v>
      </c>
      <c r="BR94">
        <f>SUMIFS(LogFY22!D:D,LogFY22!A:A,"=*industrial*")</f>
        <v>53</v>
      </c>
      <c r="BS94">
        <f>SUM(SUMIFS(LogFY22!D:D,LogFY22!A:A,"=*industrial*"),-1*SUMIFS(LogFY22!L:L,LogFY22!A:A,"=*industrial*"),-1*SUMIFS(LogFY22!N:N,LogFY22!A:A,"=*industrial*"))</f>
        <v>22</v>
      </c>
      <c r="BT94" s="7">
        <f t="shared" si="136"/>
        <v>0.41509433962264153</v>
      </c>
      <c r="BU94" s="7">
        <f t="shared" si="137"/>
        <v>2.5263831148065241E-2</v>
      </c>
      <c r="BV94">
        <f>ROUND(SUMIFS(LogFY22!K:K,LogFY22!A:A,"=*industrial*")/SUMIFS(LogFY22!J:J,LogFY22!A:A,"=*industrial*"),0)</f>
        <v>9</v>
      </c>
      <c r="BW94">
        <f t="shared" si="138"/>
        <v>3</v>
      </c>
      <c r="BX94" s="1">
        <v>74</v>
      </c>
      <c r="BY94" s="1">
        <f t="shared" si="139"/>
        <v>26</v>
      </c>
      <c r="BZ94">
        <f>COUNTIFS(All!F:F,"=DLIR*", All!B:B, "&gt;=7/1/2021", All!B:B,"&lt;=6/30/2022", All!E:E,"=U*",All!E:E,"&lt;&gt;UIPA*",All!E:E,"&lt;&gt;*RFO*",All!E:E,"&lt;&gt;*TRNG*")</f>
        <v>7</v>
      </c>
      <c r="CA94" s="7">
        <f>ROUND(BZ94/(BR94+BH94),3)</f>
        <v>6.3E-2</v>
      </c>
      <c r="CB94">
        <f>SUMIFS(LogFY23!D:D,LogFY23!A:A,"=*industrial*")</f>
        <v>78</v>
      </c>
      <c r="CC94">
        <f>SUM(SUMIFS(LogFY23!D:D,LogFY23!A:A,"=*industrial*"),-1*SUMIFS(LogFY23!L:L,LogFY23!A:A,"=*industrial*"),-1*SUMIFS(LogFY23!N:N,LogFY23!A:A,"=*industrial*"))</f>
        <v>25</v>
      </c>
      <c r="CD94" s="7">
        <f t="shared" si="122"/>
        <v>0.32051282051282054</v>
      </c>
      <c r="CE94" s="7">
        <f t="shared" si="123"/>
        <v>-9.4581519109820988E-2</v>
      </c>
      <c r="CF94">
        <f>ROUND(SUMIFS(LogFY23!K:K,LogFY23!A:A,"=*industrial*")/SUMIFS(LogFY23!J:J,LogFY23!A:A,"=*industrial*"),0)</f>
        <v>6</v>
      </c>
      <c r="CG94">
        <f t="shared" si="124"/>
        <v>-3</v>
      </c>
      <c r="CH94" s="1">
        <v>22</v>
      </c>
      <c r="CI94" s="1">
        <f t="shared" si="127"/>
        <v>-52</v>
      </c>
      <c r="CJ94">
        <f>COUNTIFS(All!F:F,"=DLIR*", All!B:B, "&gt;=7/1/2022", All!B:B,"&lt;=6/30/2023", All!E:E,"=U*",All!E:E,"&lt;&gt;UIPA*",All!E:E,"&lt;&gt;*RFO*",All!E:E,"&lt;&gt;*TRNG*")</f>
        <v>1</v>
      </c>
      <c r="CK94" s="7">
        <f>ROUND(CJ94/(CB94+BR94),3)</f>
        <v>8.0000000000000002E-3</v>
      </c>
      <c r="CL94">
        <f>SUMIFS(LogFY24!D:D,LogFY24!A:A,"=*industrial*")</f>
        <v>56</v>
      </c>
      <c r="CM94">
        <f>SUM(SUMIFS(LogFY24!D:D,LogFY24!A:A,"=*industrial*"),-1*SUMIFS(LogFY24!L:L,LogFY24!A:A,"=*industrial*"),-1*SUMIFS(LogFY24!N:N,LogFY24!A:A,"=*industrial*"))</f>
        <v>30</v>
      </c>
      <c r="CN94" s="7">
        <f t="shared" si="126"/>
        <v>0.5357142857142857</v>
      </c>
      <c r="CO94" s="7">
        <f t="shared" si="128"/>
        <v>0.21520146520146516</v>
      </c>
      <c r="CP94">
        <f>ROUND(SUMIFS(LogFY24!K:K,LogFY24!A:A,"=*industrial*")/SUMIFS(LogFY24!J:J,LogFY24!A:A,"=*industrial*"),0)</f>
        <v>10</v>
      </c>
      <c r="CQ94">
        <f t="shared" si="129"/>
        <v>4</v>
      </c>
      <c r="CR94" s="1">
        <v>31</v>
      </c>
      <c r="CS94" s="1">
        <f t="shared" si="140"/>
        <v>9</v>
      </c>
      <c r="CT94">
        <f>COUNTIFS(All!F:F,"=DLIR*", All!B:B, "&gt;=7/1/2023", All!B:B,"&lt;=6/30/2024", All!E:E,"=U*",All!E:E,"&lt;&gt;UIPA*",All!E:E,"&lt;&gt;*RFO*",All!E:E,"&lt;&gt;*TRNG*")</f>
        <v>2</v>
      </c>
      <c r="CU94" s="7">
        <f>ROUND(CT94/(CL94+CB94),3)</f>
        <v>1.4999999999999999E-2</v>
      </c>
    </row>
    <row r="95" spans="1:99" ht="16">
      <c r="A95" s="10">
        <f t="shared" si="130"/>
        <v>94</v>
      </c>
      <c r="B95" s="9" t="s">
        <v>17477</v>
      </c>
      <c r="C95">
        <f>SUMIFS(LogFY15!D:D,LogFY15!B:B,"=*occupational*")</f>
        <v>38</v>
      </c>
      <c r="D95">
        <f>SUM(SUMIFS(LogFY15!D:D,LogFY15!B:B,"=*occupational*"),-1*SUMIFS(LogFY15!L:L,LogFY15!B:B,"=*occupational*"),-1*SUMIFS(LogFY15!N:N,LogFY15!B:B,"=*occupational*"))</f>
        <v>32</v>
      </c>
      <c r="E95" s="7">
        <f t="shared" si="141"/>
        <v>0.84210526315789469</v>
      </c>
      <c r="F95">
        <f>ROUND(SUMIFS(LogFY15!K:K,LogFY15!B:B,"=*occupational*")/SUMIFS(LogFY15!J:J,LogFY15!B:B,"=*occupational*"),0)</f>
        <v>14</v>
      </c>
      <c r="G95" s="1">
        <v>69</v>
      </c>
      <c r="J95">
        <f>SUMIFS(LogFY16!D:D,LogFY16!B:B,"=*occupational*")</f>
        <v>27</v>
      </c>
      <c r="K95">
        <f>SUM(SUMIFS(LogFY16!D:D,LogFY16!B:B,"=*occupational*"),-1*SUMIFS(LogFY16!L:L,LogFY16!B:B,"=*occupational*"),-1*SUMIFS(LogFY16!N:N,LogFY16!B:B,"=*occupational*"))</f>
        <v>11</v>
      </c>
      <c r="L95" s="7">
        <f t="shared" si="142"/>
        <v>0.40740740740740738</v>
      </c>
      <c r="M95" s="7">
        <f t="shared" si="143"/>
        <v>-0.43469785575048731</v>
      </c>
      <c r="N95">
        <f>ROUND(SUMIFS(LogFY16!K:K,LogFY16!B:B,"=*occupational*")/SUMIFS(LogFY16!J:J,LogFY16!B:B,"=*occupational*"),0)</f>
        <v>10</v>
      </c>
      <c r="O95">
        <f t="shared" si="144"/>
        <v>-4</v>
      </c>
      <c r="P95" s="1">
        <v>79</v>
      </c>
      <c r="Q95" s="1">
        <f t="shared" si="145"/>
        <v>10</v>
      </c>
      <c r="T95">
        <f>SUMIFS(LogFY17!D:D,LogFY17!B:B,"=*occupational*")</f>
        <v>31</v>
      </c>
      <c r="U95">
        <f>SUM(SUMIFS(LogFY17!D:D,LogFY17!B:B,"=*occupational*"),-1*SUMIFS(LogFY17!L:L,LogFY17!B:B,"=*occupational*"),-1*SUMIFS(LogFY17!N:N,LogFY17!B:B,"=*occupational*"))</f>
        <v>12</v>
      </c>
      <c r="V95" s="7">
        <f t="shared" si="131"/>
        <v>0.38709677419354838</v>
      </c>
      <c r="W95" s="7">
        <f t="shared" si="132"/>
        <v>-2.0310633213859008E-2</v>
      </c>
      <c r="X95">
        <f>ROUND(SUMIFS(LogFY17!K:K,LogFY17!B:B,"=*occupational*")/SUMIFS(LogFY17!J:J,LogFY17!B:B,"=*occupational*"),0)</f>
        <v>10</v>
      </c>
      <c r="Y95">
        <f t="shared" si="146"/>
        <v>0</v>
      </c>
      <c r="Z95" s="1">
        <v>50</v>
      </c>
      <c r="AA95" s="1">
        <f t="shared" si="147"/>
        <v>-29</v>
      </c>
      <c r="AD95">
        <f>SUMIFS(LogFY18!D:D,LogFY18!B:B,"=*occupational*")</f>
        <v>23</v>
      </c>
      <c r="AE95">
        <f>SUM(SUMIFS(LogFY18!D:D,LogFY18!B:B,"=*occupational*"),-1*SUMIFS(LogFY18!L:L,LogFY18!B:B,"=*occupational*"),-1*SUMIFS(LogFY18!N:N,LogFY18!B:B,"=*occupational*"))</f>
        <v>16</v>
      </c>
      <c r="AF95" s="7">
        <f t="shared" si="87"/>
        <v>0.69565217391304346</v>
      </c>
      <c r="AG95" s="7">
        <f t="shared" si="88"/>
        <v>0.30855539971949508</v>
      </c>
      <c r="AH95">
        <f>ROUND(SUMIFS(LogFY18!K:K,LogFY18!B:B,"=*occupational*")/SUMIFS(LogFY18!J:J,LogFY18!B:B,"=*occupational*"),0)</f>
        <v>13</v>
      </c>
      <c r="AI95">
        <f t="shared" si="89"/>
        <v>3</v>
      </c>
      <c r="AJ95" s="1">
        <v>124</v>
      </c>
      <c r="AK95" s="1">
        <f t="shared" si="116"/>
        <v>74</v>
      </c>
      <c r="AN95">
        <f>SUMIFS(LogFY19!D:D,LogFY19!B:B,"=*occupational*")</f>
        <v>15</v>
      </c>
      <c r="AO95">
        <f>SUM(SUMIFS(LogFY19!D:D,LogFY19!B:B,"=*occupational*"),-1*SUMIFS(LogFY19!L:L,LogFY19!B:B,"=*occupational*"),-1*SUMIFS(LogFY19!N:N,LogFY19!B:B,"=*occupational*"))</f>
        <v>5</v>
      </c>
      <c r="AP95" s="7">
        <f t="shared" si="148"/>
        <v>0.33333333333333331</v>
      </c>
      <c r="AQ95" s="7">
        <f t="shared" si="135"/>
        <v>-0.36231884057971014</v>
      </c>
      <c r="AR95">
        <f>ROUND(SUMIFS(LogFY19!K:K,LogFY19!B:B,"=*occupational*")/SUMIFS(LogFY19!J:J,LogFY19!B:B,"=*occupational*"),0)</f>
        <v>3</v>
      </c>
      <c r="AS95">
        <f t="shared" si="149"/>
        <v>-10</v>
      </c>
      <c r="AT95" s="1">
        <v>9</v>
      </c>
      <c r="AU95" s="1">
        <f t="shared" si="117"/>
        <v>-115</v>
      </c>
      <c r="AX95">
        <f>SUMIFS(LogFY20!D:D,LogFY20!B:B,"=*occupational*")</f>
        <v>16</v>
      </c>
      <c r="AY95">
        <f>SUM(SUMIFS(LogFY20!D:D,LogFY20!B:B,"=*occupational*"),-1*SUMIFS(LogFY20!L:L,LogFY20!B:B,"=*occupational*"),-1*SUMIFS(LogFY20!N:N,LogFY20!B:B,"=*occupational*"))</f>
        <v>8</v>
      </c>
      <c r="AZ95" s="7">
        <f t="shared" si="150"/>
        <v>0.5</v>
      </c>
      <c r="BA95" s="7">
        <f t="shared" si="133"/>
        <v>0.16666666666666669</v>
      </c>
      <c r="BB95">
        <f>ROUND(SUMIFS(LogFY20!K:K,LogFY20!B:B,"=*occupational*")/SUMIFS(LogFY20!J:J,LogFY20!B:B,"=*occupational*"),0)</f>
        <v>11</v>
      </c>
      <c r="BC95">
        <f t="shared" si="151"/>
        <v>8</v>
      </c>
      <c r="BD95" s="1">
        <v>21</v>
      </c>
      <c r="BE95" s="1">
        <f t="shared" si="134"/>
        <v>12</v>
      </c>
      <c r="BH95">
        <f>SUMIFS(LogFY21!D:D,LogFY21!B:B,"=*occupational*")</f>
        <v>27</v>
      </c>
      <c r="BI95">
        <f>SUM(SUMIFS(LogFY21!D:D,LogFY21!B:B,"=*occupational*"),-1*SUMIFS(LogFY21!L:L,LogFY21!B:B,"=*occupational*"),-1*SUMIFS(LogFY21!N:N,LogFY21!B:B,"=*occupational*"))</f>
        <v>12</v>
      </c>
      <c r="BJ95" s="7">
        <f t="shared" si="118"/>
        <v>0.44444444444444442</v>
      </c>
      <c r="BK95" s="7">
        <f t="shared" si="119"/>
        <v>-5.555555555555558E-2</v>
      </c>
      <c r="BL95">
        <f>ROUND(SUMIFS(LogFY21!K:K,LogFY21!B:B,"=*occupational*")/SUMIFS(LogFY21!J:J,LogFY21!B:B,"=*occupational*"),0)</f>
        <v>10</v>
      </c>
      <c r="BM95">
        <f t="shared" si="120"/>
        <v>-1</v>
      </c>
      <c r="BN95" s="1">
        <v>48</v>
      </c>
      <c r="BO95" s="1">
        <f t="shared" si="121"/>
        <v>27</v>
      </c>
      <c r="BR95">
        <f>SUMIFS(LogFY22!D:D,LogFY22!B:B,"=*occupational*")</f>
        <v>25</v>
      </c>
      <c r="BS95">
        <f>SUM(SUMIFS(LogFY22!D:D,LogFY22!B:B,"=*occupational*"),-1*SUMIFS(LogFY22!L:L,LogFY22!B:B,"=*occupational*"),-1*SUMIFS(LogFY22!N:N,LogFY22!B:B,"=*occupational*"))</f>
        <v>14</v>
      </c>
      <c r="BT95" s="7">
        <f t="shared" si="136"/>
        <v>0.56000000000000005</v>
      </c>
      <c r="BU95" s="7">
        <f t="shared" si="137"/>
        <v>0.11555555555555563</v>
      </c>
      <c r="BV95">
        <f>ROUND(SUMIFS(LogFY22!K:K,LogFY22!B:B,"=*occupational*")/SUMIFS(LogFY22!J:J,LogFY22!B:B,"=*occupational*"),0)</f>
        <v>11</v>
      </c>
      <c r="BW95">
        <f t="shared" si="138"/>
        <v>1</v>
      </c>
      <c r="BX95" s="1">
        <v>50</v>
      </c>
      <c r="BY95" s="1">
        <f t="shared" si="139"/>
        <v>2</v>
      </c>
      <c r="CB95">
        <f>SUMIFS(LogFY23!D:D,LogFY23!B:B,"=*occupational*")</f>
        <v>29</v>
      </c>
      <c r="CC95">
        <f>SUM(SUMIFS(LogFY23!D:D,LogFY23!B:B,"=*occupational*"),-1*SUMIFS(LogFY23!L:L,LogFY23!B:B,"=*occupational*"),-1*SUMIFS(LogFY23!N:N,LogFY23!B:B,"=*occupational*"))</f>
        <v>12</v>
      </c>
      <c r="CD95" s="7">
        <f t="shared" si="122"/>
        <v>0.41379310344827586</v>
      </c>
      <c r="CE95" s="7">
        <f t="shared" si="123"/>
        <v>-0.1462068965517242</v>
      </c>
      <c r="CF95">
        <f>ROUND(SUMIFS(LogFY23!K:K,LogFY23!B:B,"=*occupational*")/SUMIFS(LogFY23!J:J,LogFY23!B:B,"=*occupational*"),0)</f>
        <v>7</v>
      </c>
      <c r="CG95">
        <f t="shared" si="124"/>
        <v>-4</v>
      </c>
      <c r="CH95" s="1">
        <v>22</v>
      </c>
      <c r="CI95" s="1">
        <f t="shared" si="127"/>
        <v>-28</v>
      </c>
      <c r="CK95" s="7"/>
      <c r="CL95">
        <f>SUMIFS(LogFY24!D:D,LogFY24!B:B,"=*occupational*")</f>
        <v>14</v>
      </c>
      <c r="CM95">
        <f>SUM(SUMIFS(LogFY24!D:D,LogFY24!B:B,"=*occupational*"),-1*SUMIFS(LogFY24!L:L,LogFY24!B:B,"=*occupational*"),-1*SUMIFS(LogFY24!N:N,LogFY24!B:B,"=*occupational*"))</f>
        <v>9</v>
      </c>
      <c r="CN95" s="7">
        <f t="shared" si="126"/>
        <v>0.6428571428571429</v>
      </c>
      <c r="CO95" s="7">
        <f t="shared" si="128"/>
        <v>0.22906403940886705</v>
      </c>
      <c r="CP95">
        <f>ROUND(SUMIFS(LogFY24!K:K,LogFY24!B:B,"=*occupational*")/SUMIFS(LogFY24!J:J,LogFY24!B:B,"=*occupational*"),0)</f>
        <v>16</v>
      </c>
      <c r="CQ95">
        <f t="shared" si="129"/>
        <v>9</v>
      </c>
      <c r="CR95" s="1">
        <v>31</v>
      </c>
      <c r="CS95" s="1">
        <f t="shared" si="140"/>
        <v>9</v>
      </c>
    </row>
    <row r="96" spans="1:99" ht="16">
      <c r="A96" s="10">
        <f t="shared" si="130"/>
        <v>95</v>
      </c>
      <c r="B96" s="9" t="s">
        <v>17478</v>
      </c>
      <c r="C96">
        <f>SUMIFS(LogFY15!D:D,LogFY15!B:B,"=*labor relations*")</f>
        <v>10</v>
      </c>
      <c r="D96">
        <f>SUM(SUMIFS(LogFY15!D:D,LogFY15!B:B,"=*labor relations*"),-1*SUMIFS(LogFY15!L:L,LogFY15!B:B,"=*labor relations*"),-1*SUMIFS(LogFY15!N:N,LogFY15!B:B,"=*labor relations*"))</f>
        <v>0</v>
      </c>
      <c r="E96" s="7">
        <f t="shared" si="141"/>
        <v>0</v>
      </c>
      <c r="F96">
        <f>ROUND(SUMIFS(LogFY15!K:K,LogFY15!B:B,"=*labor relations*")/SUMIFS(LogFY15!J:J,LogFY15!B:B,"=*labor relations*"),0)</f>
        <v>1</v>
      </c>
      <c r="G96" s="1">
        <v>2</v>
      </c>
      <c r="J96">
        <f>SUMIFS(LogFY16!D:D,LogFY16!B:B,"=*labor relations*")</f>
        <v>21</v>
      </c>
      <c r="K96">
        <f>SUM(SUMIFS(LogFY16!D:D,LogFY16!B:B,"=*labor relations*"),-1*SUMIFS(LogFY16!L:L,LogFY16!B:B,"=*labor relations*"),-1*SUMIFS(LogFY16!N:N,LogFY16!B:B,"=*labor relations*"))</f>
        <v>0</v>
      </c>
      <c r="L96" s="7">
        <f t="shared" si="142"/>
        <v>0</v>
      </c>
      <c r="M96" s="7">
        <f t="shared" si="143"/>
        <v>0</v>
      </c>
      <c r="N96">
        <f>ROUND(SUMIFS(LogFY16!K:K,LogFY16!B:B,"=*labor relations*")/SUMIFS(LogFY16!J:J,LogFY16!B:B,"=*labor relations*"),0)</f>
        <v>1</v>
      </c>
      <c r="O96">
        <f t="shared" si="144"/>
        <v>0</v>
      </c>
      <c r="P96" s="1">
        <v>2</v>
      </c>
      <c r="Q96" s="1">
        <f t="shared" si="145"/>
        <v>0</v>
      </c>
      <c r="T96">
        <f>SUMIFS(LogFY17!D:D,LogFY17!B:B,"=*labor relations*")</f>
        <v>14</v>
      </c>
      <c r="V96" s="7"/>
      <c r="W96" s="7"/>
      <c r="X96">
        <f>ROUND(SUMIFS(LogFY17!K:K,LogFY17!B:B,"=*labor relations*")/SUMIFS(LogFY17!J:J,LogFY17!B:B,"=*labor relations*"),0)</f>
        <v>1</v>
      </c>
      <c r="Y96">
        <f t="shared" si="146"/>
        <v>0</v>
      </c>
      <c r="Z96" s="1">
        <v>1</v>
      </c>
      <c r="AA96" s="1">
        <f t="shared" si="147"/>
        <v>-1</v>
      </c>
      <c r="AD96">
        <f>SUMIFS(LogFY18!D:D,LogFY18!B:B,"=*labor relations*")</f>
        <v>33</v>
      </c>
      <c r="AF96" s="7"/>
      <c r="AG96" s="7"/>
      <c r="AJ96" s="1"/>
      <c r="AK96" s="1"/>
      <c r="AN96">
        <f>SUMIFS(LogFY19!D:D,LogFY19!B:B,"=*labor relations*")</f>
        <v>7</v>
      </c>
      <c r="AO96">
        <f>SUM(SUMIFS(LogFY19!D:D,LogFY19!B:B,"=*labor relations*"),-1*SUMIFS(LogFY19!L:L,LogFY19!B:B,"=*labor relations*"),-1*SUMIFS(LogFY19!N:N,LogFY19!B:B,"=*labor relations*"))</f>
        <v>0</v>
      </c>
      <c r="AP96" s="7">
        <f t="shared" si="148"/>
        <v>0</v>
      </c>
      <c r="AQ96" s="7">
        <f t="shared" si="135"/>
        <v>0</v>
      </c>
      <c r="AR96">
        <f>ROUND(SUMIFS(LogFY19!K:K,LogFY19!B:B,"=*labor relations*")/SUMIFS(LogFY19!J:J,LogFY19!B:B,"=*labor relations*"),0)</f>
        <v>1</v>
      </c>
      <c r="AS96">
        <f t="shared" si="149"/>
        <v>1</v>
      </c>
      <c r="AT96" s="1">
        <v>1</v>
      </c>
      <c r="AU96" s="1">
        <f t="shared" si="117"/>
        <v>1</v>
      </c>
      <c r="AX96">
        <f>SUMIFS(LogFY20!D:D,LogFY20!B:B,"=*labor relations*")</f>
        <v>4</v>
      </c>
      <c r="AY96">
        <f>SUM(SUMIFS(LogFY20!D:D,LogFY20!B:B,"=*labor relations*"),-1*SUMIFS(LogFY20!L:L,LogFY20!B:B,"=*labor relations*"),-1*SUMIFS(LogFY20!N:N,LogFY20!B:B,"=*labor relations*"))</f>
        <v>0</v>
      </c>
      <c r="AZ96" s="7">
        <f t="shared" si="150"/>
        <v>0</v>
      </c>
      <c r="BA96" s="7">
        <f t="shared" si="133"/>
        <v>0</v>
      </c>
      <c r="BB96">
        <f>ROUND(SUMIFS(LogFY20!K:K,LogFY20!B:B,"=*labor relations*")/SUMIFS(LogFY20!J:J,LogFY20!B:B,"=*labor relations*"),0)</f>
        <v>1</v>
      </c>
      <c r="BC96">
        <f t="shared" si="151"/>
        <v>0</v>
      </c>
      <c r="BD96" s="1">
        <v>1</v>
      </c>
      <c r="BE96" s="1">
        <f t="shared" si="134"/>
        <v>0</v>
      </c>
      <c r="BH96">
        <f>SUMIFS(LogFY21!D:D,LogFY21!B:B,"=*labor relations*")</f>
        <v>10</v>
      </c>
      <c r="BI96">
        <f>SUM(SUMIFS(LogFY21!D:D,LogFY21!B:B,"=*labor relations*"),-1*SUMIFS(LogFY21!L:L,LogFY21!B:B,"=*labor relations*"),-1*SUMIFS(LogFY21!N:N,LogFY21!B:B,"=*labor relations*"))</f>
        <v>0</v>
      </c>
      <c r="BJ96" s="7">
        <f t="shared" si="118"/>
        <v>0</v>
      </c>
      <c r="BK96" s="7">
        <f t="shared" si="119"/>
        <v>0</v>
      </c>
      <c r="BL96">
        <f>ROUND(SUMIFS(LogFY21!K:K,LogFY21!B:B,"=*labor relations*")/SUMIFS(LogFY21!J:J,LogFY21!B:B,"=*labor relations*"),0)</f>
        <v>1</v>
      </c>
      <c r="BM96">
        <f t="shared" si="120"/>
        <v>0</v>
      </c>
      <c r="BN96" s="1">
        <v>1</v>
      </c>
      <c r="BO96" s="1">
        <f t="shared" si="121"/>
        <v>0</v>
      </c>
      <c r="BR96">
        <f>SUMIFS(LogFY22!D:D,LogFY22!B:B,"=*labor relations*")</f>
        <v>7</v>
      </c>
      <c r="BS96">
        <f>SUM(SUMIFS(LogFY22!D:D,LogFY22!B:B,"=*labor relations*"),-1*SUMIFS(LogFY22!L:L,LogFY22!B:B,"=*labor relations*"),-1*SUMIFS(LogFY22!N:N,LogFY22!B:B,"=*labor relations*"))</f>
        <v>0</v>
      </c>
      <c r="BT96" s="7">
        <f t="shared" si="136"/>
        <v>0</v>
      </c>
      <c r="BU96" s="7">
        <f t="shared" si="137"/>
        <v>0</v>
      </c>
      <c r="BV96">
        <f>ROUND(SUMIFS(LogFY22!K:K,LogFY22!B:B,"=*labor relations*")/SUMIFS(LogFY22!J:J,LogFY22!B:B,"=*labor relations*"),0)</f>
        <v>11</v>
      </c>
      <c r="BW96">
        <f t="shared" si="138"/>
        <v>10</v>
      </c>
      <c r="BX96" s="1">
        <v>74</v>
      </c>
      <c r="BY96" s="1">
        <f t="shared" si="139"/>
        <v>73</v>
      </c>
      <c r="CB96">
        <f>SUMIFS(LogFY23!D:D,LogFY23!B:B,"=*labor relations*")</f>
        <v>3</v>
      </c>
      <c r="CC96">
        <f>SUM(SUMIFS(LogFY23!D:D,LogFY23!B:B,"=*labor relations*"),-1*SUMIFS(LogFY23!L:L,LogFY23!B:B,"=*labor relations*"),-1*SUMIFS(LogFY23!N:N,LogFY23!B:B,"=*labor relations*"))</f>
        <v>0</v>
      </c>
      <c r="CD96" s="7">
        <f t="shared" si="122"/>
        <v>0</v>
      </c>
      <c r="CE96" s="7">
        <f t="shared" si="123"/>
        <v>0</v>
      </c>
      <c r="CF96">
        <f>ROUND(SUMIFS(LogFY23!K:K,LogFY23!B:B,"=*labor relations*")/SUMIFS(LogFY23!J:J,LogFY23!B:B,"=*labor relations*"),0)</f>
        <v>2</v>
      </c>
      <c r="CG96">
        <f t="shared" si="124"/>
        <v>-9</v>
      </c>
      <c r="CH96" s="1">
        <v>4</v>
      </c>
      <c r="CI96" s="1">
        <f t="shared" si="127"/>
        <v>-70</v>
      </c>
      <c r="CK96" s="7"/>
      <c r="CL96">
        <f>SUMIFS(LogFY24!D:D,LogFY24!B:B,"=*labor relations*")</f>
        <v>5</v>
      </c>
      <c r="CM96">
        <f>SUM(SUMIFS(LogFY24!D:D,LogFY24!B:B,"=*labor relations*"),-1*SUMIFS(LogFY24!L:L,LogFY24!B:B,"=*labor relations*"),-1*SUMIFS(LogFY24!N:N,LogFY24!B:B,"=*labor relations*"))</f>
        <v>0</v>
      </c>
      <c r="CN96" s="7">
        <f t="shared" si="126"/>
        <v>0</v>
      </c>
      <c r="CO96" s="7">
        <f t="shared" si="128"/>
        <v>0</v>
      </c>
      <c r="CP96">
        <f>ROUND(SUMIFS(LogFY24!K:K,LogFY24!B:B,"=*labor relations*")/SUMIFS(LogFY24!J:J,LogFY24!B:B,"=*labor relations*"),0)</f>
        <v>3</v>
      </c>
      <c r="CQ96">
        <f t="shared" si="129"/>
        <v>1</v>
      </c>
      <c r="CR96" s="1">
        <v>6</v>
      </c>
      <c r="CS96" s="1">
        <f t="shared" si="140"/>
        <v>2</v>
      </c>
    </row>
    <row r="97" spans="1:99" ht="32">
      <c r="A97" s="10">
        <f t="shared" si="130"/>
        <v>96</v>
      </c>
      <c r="B97" s="1" t="s">
        <v>17253</v>
      </c>
      <c r="C97">
        <f>SUMIFS(LogFY15!D:D,LogFY15!A:A,"=*natural*")</f>
        <v>65</v>
      </c>
      <c r="D97">
        <f>SUM(SUMIFS(LogFY15!D:D,LogFY15!A:A,"=*natural*"),-1*SUMIFS(LogFY15!L:L,LogFY15!A:A,"=*natural*"),-1*SUMIFS(LogFY15!N:N,LogFY15!A:A,"=*natural*"))</f>
        <v>17</v>
      </c>
      <c r="E97" s="7">
        <f t="shared" si="141"/>
        <v>0.26153846153846155</v>
      </c>
      <c r="F97">
        <f>ROUND(SUMIFS(LogFY15!K:K,LogFY15!A:A,"=*natural*")/SUMIFS(LogFY15!J:J,LogFY15!A:A,"=*natural*"),0)</f>
        <v>13</v>
      </c>
      <c r="G97" s="1">
        <v>150</v>
      </c>
      <c r="H97">
        <f>SUM(COUNTIFS(All!F:F,"=*LNR*", All!B:B, "&gt;=7/1/2014", All!B:B,"&lt;=6/30/2015", All!E:E,"=U*",All!E:E,"&lt;&gt;UIPA*",All!E:E,"&lt;&gt;*RFO*",All!E:E,"&lt;&gt;*TRNG*"),COUNTIFS(All!F:F,"=DOCARE*", All!B:B, "&gt;=7/1/2014", All!B:B,"&lt;=6/30/2015", All!E:E,"=U*",All!E:E,"&lt;&gt;UIPA*",All!E:E,"&lt;&gt;*RFO*",All!E:E,"&lt;&gt;*TRNG*"))</f>
        <v>3</v>
      </c>
      <c r="I97" s="7">
        <f>ROUND(H97/C97,3)</f>
        <v>4.5999999999999999E-2</v>
      </c>
      <c r="J97">
        <f>SUMIFS(LogFY16!D:D,LogFY16!A:A,"=*natural*")</f>
        <v>94</v>
      </c>
      <c r="K97">
        <f>SUM(SUMIFS(LogFY16!D:D,LogFY16!A:A,"=*natural*"),-1*SUMIFS(LogFY16!L:L,LogFY16!A:A,"=*natural*"),-1*SUMIFS(LogFY16!N:N,LogFY16!A:A,"=*natural*"))</f>
        <v>33</v>
      </c>
      <c r="L97" s="7">
        <f t="shared" si="142"/>
        <v>0.35106382978723405</v>
      </c>
      <c r="M97" s="7">
        <f t="shared" si="143"/>
        <v>8.9525368248772497E-2</v>
      </c>
      <c r="N97">
        <f>ROUND(SUMIFS(LogFY16!K:K,LogFY16!A:A,"=*natural*")/SUMIFS(LogFY16!J:J,LogFY16!A:A,"=*natural*"),0)</f>
        <v>17</v>
      </c>
      <c r="O97">
        <f t="shared" si="144"/>
        <v>4</v>
      </c>
      <c r="P97" s="1">
        <v>141</v>
      </c>
      <c r="Q97" s="1">
        <f t="shared" si="145"/>
        <v>-9</v>
      </c>
      <c r="R97">
        <f>SUM(COUNTIFS(All!F:F,"=*LNR*", All!B:B, "&gt;=7/1/2015", All!B:B,"&lt;=6/30/2016", All!E:E,"=U*",All!E:E,"&lt;&gt;UIPA*",All!E:E,"&lt;&gt;*RFO*",All!E:E,"&lt;&gt;*TRNG*"),COUNTIFS(All!F:F,"=DOCARE*", All!B:B, "&gt;=7/1/2015", All!B:B,"&lt;=6/30/2016", All!E:E,"=U*",All!E:E,"&lt;&gt;UIPA*",All!E:E,"&lt;&gt;*RFO*",All!E:E,"&lt;&gt;*TRNG*"))</f>
        <v>3</v>
      </c>
      <c r="S97" s="7">
        <f>ROUND(R97/(J97+C97),3)</f>
        <v>1.9E-2</v>
      </c>
      <c r="T97">
        <f>SUMIFS(LogFY17!D:D,LogFY17!A:A,"=*natural*")</f>
        <v>75</v>
      </c>
      <c r="U97">
        <f>SUM(SUMIFS(LogFY17!D:D,LogFY17!A:A,"=*natural*"),-1*SUMIFS(LogFY17!L:L,LogFY17!A:A,"=*natural*"),-1*SUMIFS(LogFY17!N:N,LogFY17!A:A,"=*natural*"))</f>
        <v>18</v>
      </c>
      <c r="V97" s="7">
        <f>U97/T97</f>
        <v>0.24</v>
      </c>
      <c r="W97" s="7">
        <f>V97-L97</f>
        <v>-0.11106382978723406</v>
      </c>
      <c r="X97">
        <f>ROUND(SUMIFS(LogFY17!K:K,LogFY17!A:A,"=*natural*")/SUMIFS(LogFY17!J:J,LogFY17!A:A,"=*natural*"),0)</f>
        <v>11</v>
      </c>
      <c r="Y97">
        <f t="shared" si="146"/>
        <v>-6</v>
      </c>
      <c r="Z97" s="1">
        <v>118</v>
      </c>
      <c r="AA97" s="1">
        <f t="shared" si="147"/>
        <v>-23</v>
      </c>
      <c r="AB97">
        <f>SUM(COUNTIFS(All!F:F,"=*LNR*", All!B:B, "&gt;=7/1/2016", All!B:B,"&lt;=6/30/2017", All!E:E,"=U*",All!E:E,"&lt;&gt;UIPA*",All!E:E,"&lt;&gt;*RFO*",All!E:E,"&lt;&gt;*TRNG*"),COUNTIFS(All!F:F,"=DOCARE*", All!B:B, "&gt;=7/1/2016", All!B:B,"&lt;=6/30/2017", All!E:E,"=U*",All!E:E,"&lt;&gt;UIPA*",All!E:E,"&lt;&gt;*RFO*",All!E:E,"&lt;&gt;*TRNG*"))</f>
        <v>5</v>
      </c>
      <c r="AC97" s="7">
        <f>ROUND(AB97/(T97+J97),3)</f>
        <v>0.03</v>
      </c>
      <c r="AD97">
        <f>SUMIFS(LogFY18!D:D,LogFY18!A:A,"=*natural*")</f>
        <v>225</v>
      </c>
      <c r="AE97">
        <f>SUM(SUMIFS(LogFY18!D:D,LogFY18!A:A,"=*natural*"),-1*SUMIFS(LogFY18!L:L,LogFY18!A:A,"=*natural*"),-1*SUMIFS(LogFY18!N:N,LogFY18!A:A,"=*natural*"))</f>
        <v>67</v>
      </c>
      <c r="AF97" s="7">
        <f>AE97/AD97</f>
        <v>0.29777777777777775</v>
      </c>
      <c r="AG97" s="7">
        <f>AF97-V97</f>
        <v>5.7777777777777761E-2</v>
      </c>
      <c r="AH97">
        <f>ROUND(SUMIFS(LogFY18!K:K,LogFY18!A:A,"=*natural*")/SUMIFS(LogFY18!J:J,LogFY18!A:A,"=*natural*"),0)</f>
        <v>13</v>
      </c>
      <c r="AI97">
        <f>AH97-X97</f>
        <v>2</v>
      </c>
      <c r="AJ97" s="1">
        <v>105</v>
      </c>
      <c r="AK97" s="1">
        <f>AJ97-Z97</f>
        <v>-13</v>
      </c>
      <c r="AL97">
        <f>SUM(COUNTIFS(All!F:F,"=*LNR*", All!B:B, "&gt;=7/1/2017", All!B:B,"&lt;=6/30/2018", All!E:E,"=U*",All!E:E,"&lt;&gt;UIPA*",All!E:E,"&lt;&gt;*RFO*",All!E:E,"&lt;&gt;*TRNG*"),COUNTIFS(All!F:F,"=DOCARE*", All!B:B, "&gt;=7/1/2017", All!B:B,"&lt;=6/30/2018", All!E:E,"=U*",All!E:E,"&lt;&gt;UIPA*",All!E:E,"&lt;&gt;*RFO*",All!E:E,"&lt;&gt;*TRNG*"))</f>
        <v>6</v>
      </c>
      <c r="AM97" s="7">
        <f>ROUND(AL97/(AD97+T97),3)</f>
        <v>0.02</v>
      </c>
      <c r="AN97">
        <f>SUMIFS(LogFY19!D:D,LogFY19!A:A,"=*natural*")</f>
        <v>220</v>
      </c>
      <c r="AO97">
        <f>SUM(SUMIFS(LogFY19!D:D,LogFY19!A:A,"=*natural*"),-1*SUMIFS(LogFY19!L:L,LogFY19!A:A,"=*natural*"),-1*SUMIFS(LogFY19!N:N,LogFY19!A:A,"=*natural*"))</f>
        <v>65</v>
      </c>
      <c r="AP97" s="7">
        <f t="shared" si="148"/>
        <v>0.29545454545454547</v>
      </c>
      <c r="AQ97" s="7">
        <f t="shared" si="135"/>
        <v>-2.3232323232322827E-3</v>
      </c>
      <c r="AR97">
        <f>ROUND(SUMIFS(LogFY19!K:K,LogFY19!A:A,"=*natural*")/SUMIFS(LogFY19!J:J,LogFY19!A:A,"=*natural*"),0)</f>
        <v>15</v>
      </c>
      <c r="AS97">
        <f t="shared" si="149"/>
        <v>2</v>
      </c>
      <c r="AT97" s="1">
        <v>135</v>
      </c>
      <c r="AU97" s="1">
        <f t="shared" si="117"/>
        <v>30</v>
      </c>
      <c r="AV97">
        <f>SUM(COUNTIFS(All!F:F,"=*LNR*", All!B:B, "&gt;=7/1/2018", All!B:B,"&lt;=6/30/2019", All!E:E,"=U*",All!E:E,"&lt;&gt;UIPA*",All!E:E,"&lt;&gt;*RFO*",All!E:E,"&lt;&gt;*TRNG*"),COUNTIFS(All!F:F,"=DOCARE*", All!B:B, "&gt;=7/1/2018", All!B:B,"&lt;=6/30/2019", All!E:E,"=U*",All!E:E,"&lt;&gt;UIPA*",All!E:E,"&lt;&gt;*RFO*",All!E:E,"&lt;&gt;*TRNG*"))</f>
        <v>1</v>
      </c>
      <c r="AW97" s="7">
        <f>ROUND(AV97/(AN97+AD97),3)</f>
        <v>2E-3</v>
      </c>
      <c r="AX97">
        <f>SUMIFS(LogFY20!D:D,LogFY20!A:A,"=*natural*")</f>
        <v>211</v>
      </c>
      <c r="AY97">
        <f>SUM(SUMIFS(LogFY20!D:D,LogFY20!A:A,"=*natural*"),-1*SUMIFS(LogFY20!L:L,LogFY20!A:A,"=*natural*"),-1*SUMIFS(LogFY20!N:N,LogFY20!A:A,"=*natural*"))</f>
        <v>69</v>
      </c>
      <c r="AZ97" s="7">
        <f t="shared" si="150"/>
        <v>0.32701421800947866</v>
      </c>
      <c r="BA97" s="7">
        <f t="shared" si="133"/>
        <v>3.1559672554933194E-2</v>
      </c>
      <c r="BB97">
        <f>ROUND(SUMIFS(LogFY20!K:K,LogFY20!A:A,"=*natural*")/SUMIFS(LogFY20!J:J,LogFY20!A:A,"=*natural*"),0)</f>
        <v>17</v>
      </c>
      <c r="BC97">
        <f t="shared" si="151"/>
        <v>2</v>
      </c>
      <c r="BD97" s="1">
        <v>205</v>
      </c>
      <c r="BE97" s="1">
        <f t="shared" si="134"/>
        <v>70</v>
      </c>
      <c r="BF97">
        <f>SUM(COUNTIFS(All!F:F,"=*LNR*", All!B:B, "&gt;=7/1/2019", All!B:B,"&lt;=6/30/2020", All!E:E,"=U*",All!E:E,"&lt;&gt;UIPA*",All!E:E,"&lt;&gt;*RFO*",All!E:E,"&lt;&gt;*TRNG*"),COUNTIFS(All!F:F,"=DOCARE*", All!B:B, "&gt;=7/1/2019", All!B:B,"&lt;=6/30/2020", All!E:E,"=U*",All!E:E,"&lt;&gt;UIPA*",All!E:E,"&lt;&gt;*RFO*",All!E:E,"&lt;&gt;*TRNG*"))</f>
        <v>6</v>
      </c>
      <c r="BG97" s="7">
        <f>ROUND(BF97/(AX97+AN97),3)</f>
        <v>1.4E-2</v>
      </c>
      <c r="BH97">
        <f>SUMIFS(LogFY21!D:D,LogFY21!A:A,"=*natural*")</f>
        <v>130</v>
      </c>
      <c r="BI97">
        <f>SUM(SUMIFS(LogFY21!D:D,LogFY21!A:A,"=*natural*"),-1*SUMIFS(LogFY21!L:L,LogFY21!A:A,"=*natural*"),-1*SUMIFS(LogFY21!N:N,LogFY21!A:A,"=*natural*"))</f>
        <v>30</v>
      </c>
      <c r="BJ97" s="7">
        <f t="shared" si="118"/>
        <v>0.23076923076923078</v>
      </c>
      <c r="BK97" s="7">
        <f t="shared" si="119"/>
        <v>-9.6244987240247881E-2</v>
      </c>
      <c r="BL97">
        <f>ROUND(SUMIFS(LogFY21!K:K,LogFY21!A:A,"=*natural*")/SUMIFS(LogFY21!J:J,LogFY21!A:A,"=*natural*"),0)</f>
        <v>11</v>
      </c>
      <c r="BM97">
        <f t="shared" si="120"/>
        <v>-6</v>
      </c>
      <c r="BN97" s="1">
        <v>81</v>
      </c>
      <c r="BO97" s="1">
        <f t="shared" si="121"/>
        <v>-124</v>
      </c>
      <c r="BP97">
        <f>SUM(COUNTIFS(All!F:F,"=*LNR*", All!B:B, "&gt;=7/1/2020", All!B:B,"&lt;=6/30/2021", All!E:E,"=U*",All!E:E,"&lt;&gt;UIPA*",All!E:E,"&lt;&gt;*RFO*",All!E:E,"&lt;&gt;*TRNG*"),COUNTIFS(All!F:F,"=DOCARE*", All!B:B, "&gt;=7/1/2020", All!B:B,"&lt;=6/30/2021", All!E:E,"=U*",All!E:E,"&lt;&gt;UIPA*",All!E:E,"&lt;&gt;*RFO*",All!E:E,"&lt;&gt;*TRNG*"))</f>
        <v>2</v>
      </c>
      <c r="BQ97" s="7">
        <f>ROUND(BP97/(BH97+AX97),3)</f>
        <v>6.0000000000000001E-3</v>
      </c>
      <c r="BR97">
        <f>SUMIFS(LogFY22!D:D,LogFY22!A:A,"=*natural*")</f>
        <v>316</v>
      </c>
      <c r="BS97">
        <f>SUM(SUMIFS(LogFY22!D:D,LogFY22!A:A,"=*natural*"),-1*SUMIFS(LogFY22!L:L,LogFY22!A:A,"=*natural*"),-1*SUMIFS(LogFY22!N:N,LogFY22!A:A,"=*natural*"))</f>
        <v>81</v>
      </c>
      <c r="BT97" s="7">
        <f t="shared" si="136"/>
        <v>0.25632911392405061</v>
      </c>
      <c r="BU97" s="7">
        <f t="shared" si="137"/>
        <v>2.5559883154819829E-2</v>
      </c>
      <c r="BV97">
        <f>ROUND(SUMIFS(LogFY22!K:K,LogFY22!A:A,"=*natural*")/SUMIFS(LogFY22!J:J,LogFY22!A:A,"=*natural*"),0)</f>
        <v>10</v>
      </c>
      <c r="BW97">
        <f t="shared" si="138"/>
        <v>-1</v>
      </c>
      <c r="BX97" s="1">
        <v>277</v>
      </c>
      <c r="BY97" s="1">
        <f t="shared" si="139"/>
        <v>196</v>
      </c>
      <c r="BZ97">
        <f>SUM(COUNTIFS(All!F:F,"=*LNR*", All!B:B, "&gt;=7/1/2021", All!B:B,"&lt;=6/30/2022", All!E:E,"=U*",All!E:E,"&lt;&gt;UIPA*",All!E:E,"&lt;&gt;*RFO*",All!E:E,"&lt;&gt;*TRNG*"),COUNTIFS(All!F:F,"=DOCARE*", All!B:B, "&gt;=7/1/2021", All!B:B,"&lt;=6/30/2022", All!E:E,"=U*",All!E:E,"&lt;&gt;UIPA*",All!E:E,"&lt;&gt;*RFO*",All!E:E,"&lt;&gt;*TRNG*"))</f>
        <v>6</v>
      </c>
      <c r="CA97" s="7">
        <f>ROUND(BZ97/(BR97+BH97),3)</f>
        <v>1.2999999999999999E-2</v>
      </c>
      <c r="CB97">
        <f>SUMIFS(LogFY23!D:D,LogFY23!A:A,"=*natural*")</f>
        <v>235</v>
      </c>
      <c r="CC97">
        <f>SUM(SUMIFS(LogFY23!D:D,LogFY23!A:A,"=*natural*"),-1*SUMIFS(LogFY23!L:L,LogFY23!A:A,"=*natural*"),-1*SUMIFS(LogFY23!N:N,LogFY23!A:A,"=*natural*"))</f>
        <v>72</v>
      </c>
      <c r="CD97" s="7">
        <f t="shared" si="122"/>
        <v>0.30638297872340425</v>
      </c>
      <c r="CE97" s="7">
        <f t="shared" si="123"/>
        <v>5.0053864799353642E-2</v>
      </c>
      <c r="CF97">
        <f>ROUND(SUMIFS(LogFY23!K:K,LogFY23!A:A,"=*natural*")/SUMIFS(LogFY23!J:J,LogFY23!A:A,"=*natural*"),0)</f>
        <v>13</v>
      </c>
      <c r="CG97">
        <f t="shared" si="124"/>
        <v>3</v>
      </c>
      <c r="CH97" s="1">
        <v>182</v>
      </c>
      <c r="CI97" s="1">
        <f t="shared" si="127"/>
        <v>-95</v>
      </c>
      <c r="CJ97">
        <f>SUM(COUNTIFS(All!F:F,"=*LNR*", All!B:B, "&gt;=7/1/2022", All!B:B,"&lt;=6/30/2023", All!E:E,"=U*",All!E:E,"&lt;&gt;UIPA*",All!E:E,"&lt;&gt;*RFO*",All!E:E,"&lt;&gt;*TRNG*"),COUNTIFS(All!F:F,"=DOCARE*", All!B:B, "&gt;=7/1/2022", All!B:B,"&lt;=6/30/2023", All!E:E,"=U*",All!E:E,"&lt;&gt;UIPA*",All!E:E,"&lt;&gt;*RFO*",All!E:E,"&lt;&gt;*TRNG*"))</f>
        <v>4</v>
      </c>
      <c r="CK97" s="7">
        <f>ROUND(CJ97/(CB97+BR97),3)</f>
        <v>7.0000000000000001E-3</v>
      </c>
      <c r="CL97">
        <f>SUMIFS(LogFY24!D:D,LogFY24!A:A,"=*natural*")</f>
        <v>334</v>
      </c>
      <c r="CM97">
        <f>SUM(SUMIFS(LogFY24!D:D,LogFY24!A:A,"=*natural*"),-1*SUMIFS(LogFY24!L:L,LogFY24!A:A,"=*natural*"),-1*SUMIFS(LogFY24!N:N,LogFY24!A:A,"=*natural*"))</f>
        <v>97</v>
      </c>
      <c r="CN97" s="7">
        <f t="shared" ref="CN97:CN100" si="152">CM97/CL97</f>
        <v>0.29041916167664672</v>
      </c>
      <c r="CO97" s="7">
        <f t="shared" si="128"/>
        <v>-1.5963817046757534E-2</v>
      </c>
      <c r="CP97">
        <f>ROUND(SUMIFS(LogFY24!K:K,LogFY24!A:A,"=*natural*")/SUMIFS(LogFY24!J:J,LogFY24!A:A,"=*natural*"),0)</f>
        <v>12</v>
      </c>
      <c r="CQ97">
        <f t="shared" si="129"/>
        <v>-1</v>
      </c>
      <c r="CR97" s="1">
        <v>158</v>
      </c>
      <c r="CS97" s="1">
        <f t="shared" si="140"/>
        <v>-24</v>
      </c>
      <c r="CT97">
        <f>SUM(COUNTIFS(All!F:F,"=*LNR*", All!B:B, "&gt;=7/1/2023", All!B:B,"&lt;=6/30/2024", All!E:E,"=U*",All!E:E,"&lt;&gt;UIPA*",All!E:E,"&lt;&gt;*RFO*",All!E:E,"&lt;&gt;*TRNG*"),COUNTIFS(All!F:F,"=DOCARE*", All!B:B, "&gt;=7/1/2023", All!B:B,"&lt;=6/30/2024", All!E:E,"=U*",All!E:E,"&lt;&gt;UIPA*",All!E:E,"&lt;&gt;*RFO*",All!E:E,"&lt;&gt;*TRNG*"))</f>
        <v>20</v>
      </c>
      <c r="CU97" s="7">
        <f>ROUND(CT97/(CL97+CB97),3)</f>
        <v>3.5000000000000003E-2</v>
      </c>
    </row>
    <row r="98" spans="1:99" ht="16">
      <c r="A98" s="10">
        <f t="shared" si="130"/>
        <v>97</v>
      </c>
      <c r="B98" s="9" t="s">
        <v>17459</v>
      </c>
      <c r="C98">
        <f>SUMIFS(LogFY15!D:D,LogFY15!A:A,"=*natural*", LogFY15!B:B,"=*chair*")</f>
        <v>8</v>
      </c>
      <c r="D98">
        <f>SUM(SUMIFS(LogFY15!D:D,LogFY15!A:A,"=*natural*", LogFY15!B:B,"=*chair*"),-1*SUMIFS(LogFY15!L:L,LogFY15!A:A,"=*natural*", LogFY15!B:B,"=*chair*"),-1*SUMIFS(LogFY15!N:N,LogFY15!A:A,"=*natural*", LogFY15!B:B,"=*chair*"))</f>
        <v>5</v>
      </c>
      <c r="E98" s="7">
        <f t="shared" si="141"/>
        <v>0.625</v>
      </c>
      <c r="F98">
        <f>ROUND(SUMIFS(LogFY15!K:K,LogFY15!A:A,"=*natural*", LogFY15!B:B,"=*chair*")/SUMIFS(LogFY15!J:J,LogFY15!A:A,"=*natural*", LogFY15!B:B,"=*chair*"),0)</f>
        <v>16</v>
      </c>
      <c r="G98" s="1">
        <v>43</v>
      </c>
      <c r="J98">
        <f>SUMIFS(LogFY16!D:D,LogFY16!A:A,"=*natural*", LogFY16!B:B,"=*chair*")</f>
        <v>31</v>
      </c>
      <c r="K98">
        <f>SUM(SUMIFS(LogFY16!D:D,LogFY16!A:A,"=*natural*", LogFY16!B:B,"=*chair*"),-1*SUMIFS(LogFY16!L:L,LogFY16!A:A,"=*natural*", LogFY16!B:B,"=*chair*"),-1*SUMIFS(LogFY16!N:N,LogFY16!A:A,"=*natural*", LogFY16!B:B,"=*chair*"))</f>
        <v>14</v>
      </c>
      <c r="L98" s="7">
        <f t="shared" si="142"/>
        <v>0.45161290322580644</v>
      </c>
      <c r="M98" s="7">
        <f t="shared" si="143"/>
        <v>-0.17338709677419356</v>
      </c>
      <c r="N98">
        <f>ROUND(SUMIFS(LogFY16!K:K,LogFY16!A:A,"=*natural*", LogFY16!B:B,"=*chair*")/SUMIFS(LogFY16!J:J,LogFY16!A:A,"=*natural*", LogFY16!B:B,"=*chair*"),0)</f>
        <v>32</v>
      </c>
      <c r="O98">
        <f t="shared" si="144"/>
        <v>16</v>
      </c>
      <c r="P98" s="1">
        <v>141</v>
      </c>
      <c r="Q98" s="1">
        <f t="shared" si="145"/>
        <v>98</v>
      </c>
      <c r="T98">
        <f>SUMIFS(LogFY17!D:D,LogFY17!A:A,"=*natural*", LogFY17!B:B,"=*chair*")</f>
        <v>39</v>
      </c>
      <c r="U98">
        <f>SUM(SUMIFS(LogFY17!D:D,LogFY17!A:A,"=*natural*", LogFY17!B:B,"=*chair*"),-1*SUMIFS(LogFY17!L:L,LogFY17!A:A,"=*natural*", LogFY17!B:B,"=*chair*"),-1*SUMIFS(LogFY17!N:N,LogFY17!A:A,"=*natural*", LogFY17!B:B,"=*chair*"))</f>
        <v>12</v>
      </c>
      <c r="V98" s="7">
        <f>U98/T98</f>
        <v>0.30769230769230771</v>
      </c>
      <c r="W98" s="7">
        <f>V98-L98</f>
        <v>-0.14392059553349873</v>
      </c>
      <c r="X98">
        <f>ROUND(SUMIFS(LogFY17!K:K,LogFY17!A:A,"=*natural*", LogFY17!B:B,"=*chair*")/SUMIFS(LogFY17!J:J,LogFY17!A:A,"=*natural*", LogFY17!B:B,"=*chair*"),0)</f>
        <v>18</v>
      </c>
      <c r="Y98">
        <f t="shared" si="146"/>
        <v>-14</v>
      </c>
      <c r="Z98" s="1">
        <v>118</v>
      </c>
      <c r="AA98" s="1">
        <f t="shared" si="147"/>
        <v>-23</v>
      </c>
      <c r="AD98">
        <f>SUMIFS(LogFY18!D:D,LogFY18!A:A,"=*natural*", LogFY18!B:B,"=*chair*")</f>
        <v>93</v>
      </c>
      <c r="AE98">
        <f>SUM(SUMIFS(LogFY18!D:D,LogFY18!A:A,"=*natural*", LogFY18!B:B,"=*chair*"),-1*SUMIFS(LogFY18!L:L,LogFY18!A:A,"=*natural*", LogFY18!B:B,"=*chair*"),-1*SUMIFS(LogFY18!N:N,LogFY18!A:A,"=*natural*", LogFY18!B:B,"=*chair*"))</f>
        <v>34</v>
      </c>
      <c r="AF98" s="7">
        <f>AE98/AD98</f>
        <v>0.36559139784946237</v>
      </c>
      <c r="AG98" s="7">
        <f>AF98-V98</f>
        <v>5.7899090157154665E-2</v>
      </c>
      <c r="AH98">
        <f>ROUND(SUMIFS(LogFY18!K:K,LogFY18!A:A,"=*natural*", LogFY18!B:B,"=*chair*")/SUMIFS(LogFY18!J:J,LogFY18!A:A,"=*natural*", LogFY18!B:B,"=*chair*"),0)</f>
        <v>14</v>
      </c>
      <c r="AI98">
        <f>AH98-X98</f>
        <v>-4</v>
      </c>
      <c r="AJ98" s="1">
        <v>105</v>
      </c>
      <c r="AK98" s="1">
        <f>AJ98-Z98</f>
        <v>-13</v>
      </c>
      <c r="AN98">
        <f>SUMIFS(LogFY19!D:D,LogFY19!A:A,"=*natural*", LogFY19!B:B,"=*chair*")</f>
        <v>77</v>
      </c>
      <c r="AO98">
        <f>SUM(SUMIFS(LogFY19!D:D,LogFY19!A:A,"=*natural*", LogFY19!B:B,"=*chair*"),-1*SUMIFS(LogFY19!L:L,LogFY19!A:A,"=*natural*", LogFY19!B:B,"=*chair*"),-1*SUMIFS(LogFY19!N:N,LogFY19!A:A,"=*natural*", LogFY19!B:B,"=*chair*"))</f>
        <v>20</v>
      </c>
      <c r="AP98" s="7">
        <f t="shared" si="148"/>
        <v>0.25974025974025972</v>
      </c>
      <c r="AQ98" s="7">
        <f t="shared" si="135"/>
        <v>-0.10585113810920266</v>
      </c>
      <c r="AR98">
        <f>ROUND(SUMIFS(LogFY19!K:K,LogFY19!A:A,"=*natural*", LogFY19!B:B,"=*chair*")/SUMIFS(LogFY19!J:J,LogFY19!A:A,"=*natural*", LogFY19!B:B,"=*chair*"),0)</f>
        <v>11</v>
      </c>
      <c r="AS98">
        <f t="shared" si="149"/>
        <v>-3</v>
      </c>
      <c r="AT98" s="1">
        <v>49</v>
      </c>
      <c r="AU98" s="1">
        <f t="shared" si="117"/>
        <v>-56</v>
      </c>
      <c r="AX98">
        <f>SUMIFS(LogFY20!D:D,LogFY20!A:A,"=*natural*", LogFY20!B:B,"=*chair*")</f>
        <v>83</v>
      </c>
      <c r="AY98">
        <f>SUM(SUMIFS(LogFY20!D:D,LogFY20!A:A,"=*natural*", LogFY20!B:B,"=*chair*"),-1*SUMIFS(LogFY20!L:L,LogFY20!A:A,"=*natural*", LogFY20!B:B,"=*chair*"),-1*SUMIFS(LogFY20!N:N,LogFY20!A:A,"=*natural*", LogFY20!B:B,"=*chair*"))</f>
        <v>29</v>
      </c>
      <c r="AZ98" s="7">
        <f t="shared" si="150"/>
        <v>0.3493975903614458</v>
      </c>
      <c r="BA98" s="7">
        <f t="shared" si="133"/>
        <v>8.9657330621186082E-2</v>
      </c>
      <c r="BB98">
        <f>ROUND(SUMIFS(LogFY20!K:K,LogFY20!A:A,"=*natural*", LogFY20!B:B,"=*chair*")/SUMIFS(LogFY20!J:J,LogFY20!A:A,"=*natural*", LogFY20!B:B,"=*chair*"),0)</f>
        <v>14</v>
      </c>
      <c r="BC98">
        <f t="shared" si="151"/>
        <v>3</v>
      </c>
      <c r="BD98" s="1">
        <v>107</v>
      </c>
      <c r="BE98" s="1">
        <f t="shared" si="134"/>
        <v>58</v>
      </c>
      <c r="BH98">
        <f>SUMIFS(LogFY21!D:D,LogFY21!A:A,"=*natural*", LogFY21!B:B,"=*chair*")</f>
        <v>67</v>
      </c>
      <c r="BI98">
        <f>SUM(SUMIFS(LogFY21!D:D,LogFY21!A:A,"=*natural*", LogFY21!B:B,"=*chair*"),-1*SUMIFS(LogFY21!L:L,LogFY21!A:A,"=*natural*", LogFY21!B:B,"=*chair*"),-1*SUMIFS(LogFY21!N:N,LogFY21!A:A,"=*natural*", LogFY21!B:B,"=*chair*"))</f>
        <v>19</v>
      </c>
      <c r="BJ98" s="7">
        <f t="shared" si="118"/>
        <v>0.28358208955223879</v>
      </c>
      <c r="BK98" s="7">
        <f t="shared" si="119"/>
        <v>-6.5815500809207006E-2</v>
      </c>
      <c r="BL98">
        <f>ROUND(SUMIFS(LogFY21!K:K,LogFY21!A:A,"=*natural*", LogFY21!B:B,"=*chair*")/SUMIFS(LogFY21!J:J,LogFY21!A:A,"=*natural*", LogFY21!B:B,"=*chair*"),0)</f>
        <v>11</v>
      </c>
      <c r="BM98">
        <f t="shared" si="120"/>
        <v>-3</v>
      </c>
      <c r="BN98" s="1">
        <v>63</v>
      </c>
      <c r="BO98" s="1">
        <f t="shared" si="121"/>
        <v>-44</v>
      </c>
      <c r="BR98">
        <f>SUMIFS(LogFY22!D:D,LogFY22!A:A,"=*natural*", LogFY22!B:B,"=*chair*")</f>
        <v>88</v>
      </c>
      <c r="BS98">
        <f>SUM(SUMIFS(LogFY22!D:D,LogFY22!A:A,"=*natural*", LogFY22!B:B,"=*chair*"),-1*SUMIFS(LogFY22!L:L,LogFY22!A:A,"=*natural*", LogFY22!B:B,"=*chair*"),-1*SUMIFS(LogFY22!N:N,LogFY22!A:A,"=*natural*", LogFY22!B:B,"=*chair*"))</f>
        <v>33</v>
      </c>
      <c r="BT98" s="7">
        <f t="shared" si="136"/>
        <v>0.375</v>
      </c>
      <c r="BU98" s="7">
        <f t="shared" si="137"/>
        <v>9.1417910447761208E-2</v>
      </c>
      <c r="BV98">
        <f>ROUND(SUMIFS(LogFY22!K:K,LogFY22!A:A,"=*natural*", LogFY22!B:B,"=*chair*")/SUMIFS(LogFY22!J:J,LogFY22!A:A,"=*natural*", LogFY22!B:B,"=*chair*"),0)</f>
        <v>10</v>
      </c>
      <c r="BW98">
        <f t="shared" si="138"/>
        <v>-1</v>
      </c>
      <c r="BX98" s="1">
        <v>119</v>
      </c>
      <c r="BY98" s="1">
        <f t="shared" si="139"/>
        <v>56</v>
      </c>
      <c r="CB98">
        <f>SUMIFS(LogFY23!D:D,LogFY23!A:A,"=*natural*", LogFY23!B:B,"=*chair*")</f>
        <v>87</v>
      </c>
      <c r="CC98">
        <f>SUM(SUMIFS(LogFY23!D:D,LogFY23!A:A,"=*natural*", LogFY23!B:B,"=*chair*"),-1*SUMIFS(LogFY23!L:L,LogFY23!A:A,"=*natural*", LogFY23!B:B,"=*chair*"),-1*SUMIFS(LogFY23!N:N,LogFY23!A:A,"=*natural*", LogFY23!B:B,"=*chair*"))</f>
        <v>28</v>
      </c>
      <c r="CD98" s="7">
        <f t="shared" si="122"/>
        <v>0.32183908045977011</v>
      </c>
      <c r="CE98" s="7">
        <f t="shared" si="123"/>
        <v>-5.316091954022989E-2</v>
      </c>
      <c r="CF98">
        <f>ROUND(SUMIFS(LogFY23!K:K,LogFY23!A:A,"=*natural*", LogFY23!B:B,"=*chair*")/SUMIFS(LogFY23!J:J,LogFY23!A:A,"=*natural*", LogFY23!B:B,"=*chair*"),0)</f>
        <v>14</v>
      </c>
      <c r="CG98">
        <f t="shared" si="124"/>
        <v>4</v>
      </c>
      <c r="CH98" s="1">
        <v>150</v>
      </c>
      <c r="CI98" s="1">
        <f t="shared" ref="CI98:CI101" si="153">CH98-BX98</f>
        <v>31</v>
      </c>
      <c r="CK98" s="7"/>
      <c r="CL98">
        <f>SUMIFS(LogFY24!D:D,LogFY24!A:A,"=*natural*", LogFY24!B:B,"=*chair*")</f>
        <v>153</v>
      </c>
      <c r="CM98">
        <f>SUM(SUMIFS(LogFY24!D:D,LogFY24!A:A,"=*natural*", LogFY24!B:B,"=*chair*"),-1*SUMIFS(LogFY24!L:L,LogFY24!A:A,"=*natural*", LogFY24!B:B,"=*chair*"),-1*SUMIFS(LogFY24!N:N,LogFY24!A:A,"=*natural*", LogFY24!B:B,"=*chair*"))</f>
        <v>50</v>
      </c>
      <c r="CN98" s="7">
        <f t="shared" si="152"/>
        <v>0.32679738562091504</v>
      </c>
      <c r="CO98" s="7">
        <f t="shared" ref="CO98:CO100" si="154">CN98-CD98</f>
        <v>4.9583051611449269E-3</v>
      </c>
      <c r="CP98">
        <f>ROUND(SUMIFS(LogFY24!K:K,LogFY24!A:A,"=*natural*", LogFY24!B:B,"=*chair*")/SUMIFS(LogFY24!J:J,LogFY24!A:A,"=*natural*", LogFY24!B:B,"=*chair*"),0)</f>
        <v>11</v>
      </c>
      <c r="CQ98">
        <f t="shared" ref="CQ98:CQ100" si="155">CP98-CF98</f>
        <v>-3</v>
      </c>
      <c r="CR98" s="1">
        <v>158</v>
      </c>
      <c r="CS98" s="1">
        <f t="shared" si="140"/>
        <v>8</v>
      </c>
    </row>
    <row r="99" spans="1:99" ht="16">
      <c r="A99" s="10">
        <f t="shared" ref="A99:A116" si="156">A98+1</f>
        <v>98</v>
      </c>
      <c r="B99" s="9" t="s">
        <v>17479</v>
      </c>
      <c r="C99">
        <f>SUMIFS(LogFY15!D:D,LogFY15!A:A,"=*natural*",LogFY15!B:B,"=*engineering*")</f>
        <v>8</v>
      </c>
      <c r="D99">
        <f>SUM(SUMIFS(LogFY15!D:D,LogFY15!A:A,"=*natural*",LogFY15!B:B,"=*engineering*"),-1*SUMIFS(LogFY15!L:L,LogFY15!A:A,"=*natural*",LogFY15!B:B,"=*engineering*"),-1*SUMIFS(LogFY15!N:N,LogFY15!A:A,"=*natural*",LogFY15!B:B,"=*engineering*"))</f>
        <v>1</v>
      </c>
      <c r="E99" s="7">
        <f t="shared" si="141"/>
        <v>0.125</v>
      </c>
      <c r="F99">
        <f>ROUND(SUMIFS(LogFY15!K:K,LogFY15!A:A,"=*natural*",LogFY15!B:B,"=*engineering*")/SUMIFS(LogFY15!J:J,LogFY15!A:A,"=*natural*",LogFY15!B:B,"=*engineering*"),0)</f>
        <v>6</v>
      </c>
      <c r="G99" s="1">
        <v>14</v>
      </c>
      <c r="J99">
        <f>SUMIFS(LogFY16!D:D,LogFY16!A:A,"=*natural*",LogFY16!B:B,"=*engineering*")</f>
        <v>15</v>
      </c>
      <c r="K99">
        <f>SUM(SUMIFS(LogFY16!D:D,LogFY16!A:A,"=*natural*",LogFY16!B:B,"=*engineering*"),-1*SUMIFS(LogFY16!L:L,LogFY16!A:A,"=*natural*",LogFY16!B:B,"=*engineering*"),-1*SUMIFS(LogFY16!N:N,LogFY16!A:A,"=*natural*",LogFY16!B:B,"=*engineering*"))</f>
        <v>0</v>
      </c>
      <c r="L99" s="7">
        <f t="shared" si="142"/>
        <v>0</v>
      </c>
      <c r="M99" s="7">
        <f t="shared" si="143"/>
        <v>-0.125</v>
      </c>
      <c r="N99">
        <f>ROUND(SUMIFS(LogFY16!K:K,LogFY16!A:A,"=*natural*",LogFY16!B:B,"=*engineering*")/SUMIFS(LogFY16!J:J,LogFY16!A:A,"=*natural*",LogFY16!B:B,"=*engineering*"),0)</f>
        <v>2</v>
      </c>
      <c r="O99">
        <f t="shared" si="144"/>
        <v>-4</v>
      </c>
      <c r="P99" s="1">
        <v>6</v>
      </c>
      <c r="Q99" s="1">
        <f t="shared" si="145"/>
        <v>-8</v>
      </c>
      <c r="T99">
        <f>SUMIFS(LogFY17!D:D,LogFY17!A:A,"=*natural*",LogFY17!B:B,"=*engineering*")</f>
        <v>4</v>
      </c>
      <c r="U99">
        <f>SUM(SUMIFS(LogFY17!D:D,LogFY17!A:A,"=*natural*",LogFY17!B:B,"=*engineering*"),-1*SUMIFS(LogFY17!L:L,LogFY17!A:A,"=*natural*",LogFY17!B:B,"=*engineering*"),-1*SUMIFS(LogFY17!N:N,LogFY17!A:A,"=*natural*",LogFY17!B:B,"=*engineering*"))</f>
        <v>0</v>
      </c>
      <c r="V99" s="7">
        <f>U99/T99</f>
        <v>0</v>
      </c>
      <c r="W99" s="7">
        <f>V99-L99</f>
        <v>0</v>
      </c>
      <c r="X99">
        <f>ROUND(SUMIFS(LogFY17!K:K,LogFY17!A:A,"=*natural*",LogFY17!B:B,"=*engineering*")/SUMIFS(LogFY17!J:J,LogFY17!A:A,"=*natural*",LogFY17!B:B,"=*engineering*"),0)</f>
        <v>6</v>
      </c>
      <c r="Y99">
        <f t="shared" si="146"/>
        <v>4</v>
      </c>
      <c r="Z99" s="1">
        <v>8</v>
      </c>
      <c r="AA99" s="1">
        <f t="shared" si="147"/>
        <v>2</v>
      </c>
      <c r="AD99">
        <f>SUMIFS(LogFY18!D:D,LogFY18!A:A,"=*natural*",LogFY18!B:B,"=*engineering*")</f>
        <v>15</v>
      </c>
      <c r="AE99">
        <f>SUM(SUMIFS(LogFY18!D:D,LogFY18!A:A,"=*natural*",LogFY18!B:B,"=*engineering*"),-1*SUMIFS(LogFY18!L:L,LogFY18!A:A,"=*natural*",LogFY18!B:B,"=*engineering*"),-1*SUMIFS(LogFY18!N:N,LogFY18!A:A,"=*natural*",LogFY18!B:B,"=*engineering*"))</f>
        <v>1</v>
      </c>
      <c r="AF99" s="7">
        <f>AE99/AD99</f>
        <v>6.6666666666666666E-2</v>
      </c>
      <c r="AG99" s="7">
        <f>AF99-V99</f>
        <v>6.6666666666666666E-2</v>
      </c>
      <c r="AH99">
        <f>ROUND(SUMIFS(LogFY18!K:K,LogFY18!A:A,"=*natural*",LogFY18!B:B,"=*engineering*")/SUMIFS(LogFY18!J:J,LogFY18!A:A,"=*natural*",LogFY18!B:B,"=*engineering*"),0)</f>
        <v>3</v>
      </c>
      <c r="AI99">
        <f>AH99-X99</f>
        <v>-3</v>
      </c>
      <c r="AJ99" s="1">
        <v>7</v>
      </c>
      <c r="AK99" s="1">
        <f>AJ99-Z99</f>
        <v>-1</v>
      </c>
      <c r="AN99">
        <f>SUMIFS(LogFY19!D:D,LogFY19!A:A,"=*natural*",LogFY19!B:B,"=*engineering*")</f>
        <v>6</v>
      </c>
      <c r="AO99">
        <f>SUM(SUMIFS(LogFY19!D:D,LogFY19!A:A,"=*natural*",LogFY19!B:B,"=*engineering*"),-1*SUMIFS(LogFY19!L:L,LogFY19!A:A,"=*natural*",LogFY19!B:B,"=*engineering*"),-1*SUMIFS(LogFY19!N:N,LogFY19!A:A,"=*natural*",LogFY19!B:B,"=*engineering*"))</f>
        <v>2</v>
      </c>
      <c r="AP99" s="7">
        <f t="shared" si="148"/>
        <v>0.33333333333333331</v>
      </c>
      <c r="AQ99" s="7">
        <f t="shared" si="135"/>
        <v>0.26666666666666666</v>
      </c>
      <c r="AR99">
        <f>ROUND(SUMIFS(LogFY19!K:K,LogFY19!A:A,"=*natural*",LogFY19!B:B,"=*engineering*")/SUMIFS(LogFY19!J:J,LogFY19!A:A,"=*natural*",LogFY19!B:B,"=*engineering*"),0)</f>
        <v>14</v>
      </c>
      <c r="AS99">
        <f t="shared" si="149"/>
        <v>11</v>
      </c>
      <c r="AT99" s="1">
        <v>34</v>
      </c>
      <c r="AU99" s="1">
        <f t="shared" si="117"/>
        <v>27</v>
      </c>
      <c r="AX99">
        <f>SUMIFS(LogFY20!D:D,LogFY20!A:A,"=*natural*",LogFY20!B:B,"=*engineering*")</f>
        <v>16</v>
      </c>
      <c r="AY99">
        <f>SUM(SUMIFS(LogFY20!D:D,LogFY20!A:A,"=*natural*",LogFY20!B:B,"=*engineering*"),-1*SUMIFS(LogFY20!L:L,LogFY20!A:A,"=*natural*",LogFY20!B:B,"=*engineering*"),-1*SUMIFS(LogFY20!N:N,LogFY20!A:A,"=*natural*",LogFY20!B:B,"=*engineering*"))</f>
        <v>1</v>
      </c>
      <c r="AZ99" s="7">
        <f t="shared" si="150"/>
        <v>6.25E-2</v>
      </c>
      <c r="BA99" s="7">
        <f t="shared" si="133"/>
        <v>-0.27083333333333331</v>
      </c>
      <c r="BB99">
        <f>ROUND(SUMIFS(LogFY20!K:K,LogFY20!A:A,"=*natural*",LogFY20!B:B,"=*engineering*")/SUMIFS(LogFY20!J:J,LogFY20!A:A,"=*natural*",LogFY20!B:B,"=*engineering*"),0)</f>
        <v>10</v>
      </c>
      <c r="BC99">
        <f t="shared" si="151"/>
        <v>-4</v>
      </c>
      <c r="BD99" s="1">
        <v>39</v>
      </c>
      <c r="BE99" s="1">
        <f t="shared" si="134"/>
        <v>5</v>
      </c>
      <c r="BH99">
        <f>SUMIFS(LogFY21!D:D,LogFY21!A:A,"=*natural*",LogFY21!B:B,"=*engineering*")</f>
        <v>10</v>
      </c>
      <c r="BI99">
        <f>SUM(SUMIFS(LogFY21!D:D,LogFY21!A:A,"=*natural*",LogFY21!B:B,"=*engineering*"),-1*SUMIFS(LogFY21!L:L,LogFY21!A:A,"=*natural*",LogFY21!B:B,"=*engineering*"),-1*SUMIFS(LogFY21!N:N,LogFY21!A:A,"=*natural*",LogFY21!B:B,"=*engineering*"))</f>
        <v>0</v>
      </c>
      <c r="BJ99" s="7">
        <f t="shared" si="118"/>
        <v>0</v>
      </c>
      <c r="BK99" s="7">
        <f t="shared" si="119"/>
        <v>-6.25E-2</v>
      </c>
      <c r="BL99">
        <f>ROUND(SUMIFS(LogFY21!K:K,LogFY21!A:A,"=*natural*",LogFY21!B:B,"=*engineering*")/SUMIFS(LogFY21!J:J,LogFY21!A:A,"=*natural*",LogFY21!B:B,"=*engineering*"),0)</f>
        <v>3</v>
      </c>
      <c r="BM99">
        <f t="shared" si="120"/>
        <v>-7</v>
      </c>
      <c r="BN99" s="1">
        <v>5</v>
      </c>
      <c r="BO99" s="1">
        <f t="shared" si="121"/>
        <v>-34</v>
      </c>
      <c r="BR99">
        <f>SUMIFS(LogFY22!D:D,LogFY22!A:A,"=*natural*",LogFY22!B:B,"=*engineering*")</f>
        <v>18</v>
      </c>
      <c r="BS99">
        <f>SUM(SUMIFS(LogFY22!D:D,LogFY22!A:A,"=*natural*",LogFY22!B:B,"=*engineering*"),-1*SUMIFS(LogFY22!L:L,LogFY22!A:A,"=*natural*",LogFY22!B:B,"=*engineering*"),-1*SUMIFS(LogFY22!N:N,LogFY22!A:A,"=*natural*",LogFY22!B:B,"=*engineering*"))</f>
        <v>6</v>
      </c>
      <c r="BT99" s="7">
        <f t="shared" si="136"/>
        <v>0.33333333333333331</v>
      </c>
      <c r="BU99" s="7">
        <f t="shared" si="137"/>
        <v>0.33333333333333331</v>
      </c>
      <c r="BV99">
        <f>ROUND(SUMIFS(LogFY22!K:K,LogFY22!A:A,"=*natural*",LogFY22!B:B,"=*engineering*")/SUMIFS(LogFY22!J:J,LogFY22!A:A,"=*natural*",LogFY22!B:B,"=*engineering*"),0)</f>
        <v>4</v>
      </c>
      <c r="BW99">
        <f t="shared" si="138"/>
        <v>1</v>
      </c>
      <c r="BX99" s="1">
        <v>11</v>
      </c>
      <c r="BY99" s="1">
        <f t="shared" si="139"/>
        <v>6</v>
      </c>
      <c r="CB99">
        <f>SUMIFS(LogFY23!D:D,LogFY23!A:A,"=*natural*",LogFY23!B:B,"=*engineering*")</f>
        <v>12</v>
      </c>
      <c r="CC99">
        <f>SUM(SUMIFS(LogFY23!D:D,LogFY23!A:A,"=*natural*",LogFY23!B:B,"=*engineering*"),-1*SUMIFS(LogFY23!L:L,LogFY23!A:A,"=*natural*",LogFY23!B:B,"=*engineering*"),-1*SUMIFS(LogFY23!N:N,LogFY23!A:A,"=*natural*",LogFY23!B:B,"=*engineering*"))</f>
        <v>2</v>
      </c>
      <c r="CD99" s="7">
        <f t="shared" si="122"/>
        <v>0.16666666666666666</v>
      </c>
      <c r="CE99" s="7">
        <f t="shared" si="123"/>
        <v>-0.16666666666666666</v>
      </c>
      <c r="CF99">
        <f>ROUND(SUMIFS(LogFY23!K:K,LogFY23!A:A,"=*natural*",LogFY23!B:B,"=*engineering*")/SUMIFS(LogFY23!J:J,LogFY23!A:A,"=*natural*",LogFY23!B:B,"=*engineering*"),0)</f>
        <v>14</v>
      </c>
      <c r="CG99">
        <f t="shared" si="124"/>
        <v>10</v>
      </c>
      <c r="CH99" s="1">
        <v>36</v>
      </c>
      <c r="CI99" s="1">
        <f t="shared" si="153"/>
        <v>25</v>
      </c>
      <c r="CK99" s="7"/>
      <c r="CL99">
        <f>SUMIFS(LogFY24!D:D,LogFY24!A:A,"=*natural*",LogFY24!B:B,"=*engineering*")</f>
        <v>15</v>
      </c>
      <c r="CM99">
        <f>SUM(SUMIFS(LogFY24!D:D,LogFY24!A:A,"=*natural*",LogFY24!B:B,"=*engineering*"),-1*SUMIFS(LogFY24!L:L,LogFY24!A:A,"=*natural*",LogFY24!B:B,"=*engineering*"),-1*SUMIFS(LogFY24!N:N,LogFY24!A:A,"=*natural*",LogFY24!B:B,"=*engineering*"))</f>
        <v>2</v>
      </c>
      <c r="CN99" s="7">
        <f t="shared" si="152"/>
        <v>0.13333333333333333</v>
      </c>
      <c r="CO99" s="7">
        <f t="shared" si="154"/>
        <v>-3.3333333333333326E-2</v>
      </c>
      <c r="CP99">
        <f>ROUND(SUMIFS(LogFY24!K:K,LogFY24!A:A,"=*natural*",LogFY24!B:B,"=*engineering*")/SUMIFS(LogFY24!J:J,LogFY24!A:A,"=*natural*",LogFY24!B:B,"=*engineering*"),0)</f>
        <v>5</v>
      </c>
      <c r="CQ99">
        <f t="shared" si="155"/>
        <v>-9</v>
      </c>
      <c r="CR99" s="1">
        <v>19</v>
      </c>
      <c r="CS99" s="1">
        <f t="shared" si="140"/>
        <v>-17</v>
      </c>
    </row>
    <row r="100" spans="1:99" ht="16">
      <c r="A100" s="10">
        <f t="shared" si="156"/>
        <v>99</v>
      </c>
      <c r="B100" s="9" t="s">
        <v>17480</v>
      </c>
      <c r="C100">
        <f>SUMIFS(LogFY15!D:D,LogFY15!B:B,"=*land management*")</f>
        <v>11</v>
      </c>
      <c r="D100">
        <f>SUM(SUMIFS(LogFY15!D:D,LogFY15!B:B,"=*land management*"),-1*SUMIFS(LogFY15!L:L,LogFY15!B:B,"=*land management*"),-1*SUMIFS(LogFY15!N:N,LogFY15!B:B,"=*land management*"))</f>
        <v>2</v>
      </c>
      <c r="E100" s="7">
        <f t="shared" si="141"/>
        <v>0.18181818181818182</v>
      </c>
      <c r="F100">
        <f>ROUND(SUMIFS(LogFY15!K:K,LogFY15!B:B,"=*land management*")/SUMIFS(LogFY15!J:J,LogFY15!B:B,"=*land management*"),0)</f>
        <v>4</v>
      </c>
      <c r="G100" s="1">
        <v>8</v>
      </c>
      <c r="J100">
        <f>SUMIFS(LogFY16!D:D,LogFY16!B:B,"=*land management*")</f>
        <v>13</v>
      </c>
      <c r="K100">
        <f>SUM(SUMIFS(LogFY16!D:D,LogFY16!B:B,"=*land management*"),-1*SUMIFS(LogFY16!L:L,LogFY16!B:B,"=*land management*"),-1*SUMIFS(LogFY16!N:N,LogFY16!B:B,"=*land management*"))</f>
        <v>5</v>
      </c>
      <c r="L100" s="7">
        <f t="shared" si="142"/>
        <v>0.38461538461538464</v>
      </c>
      <c r="M100" s="7">
        <f t="shared" si="143"/>
        <v>0.20279720279720281</v>
      </c>
      <c r="N100">
        <f>ROUND(SUMIFS(LogFY16!K:K,LogFY16!B:B,"=*land management*")/SUMIFS(LogFY16!J:J,LogFY16!B:B,"=*land management*"),0)</f>
        <v>5</v>
      </c>
      <c r="O100">
        <f t="shared" si="144"/>
        <v>1</v>
      </c>
      <c r="P100" s="1">
        <v>21</v>
      </c>
      <c r="Q100" s="1">
        <f t="shared" si="145"/>
        <v>13</v>
      </c>
      <c r="T100">
        <f>SUMIFS(LogFY17!D:D,LogFY17!B:B,"=*land management*")</f>
        <v>7</v>
      </c>
      <c r="U100">
        <f>SUM(SUMIFS(LogFY17!D:D,LogFY17!B:B,"=*land management*"),-1*SUMIFS(LogFY17!L:L,LogFY17!B:B,"=*land management*"),-1*SUMIFS(LogFY17!N:N,LogFY17!B:B,"=*land management*"))</f>
        <v>0</v>
      </c>
      <c r="V100" s="7">
        <f>U100/T100</f>
        <v>0</v>
      </c>
      <c r="W100" s="7">
        <f>V100-L100</f>
        <v>-0.38461538461538464</v>
      </c>
      <c r="X100">
        <f>ROUND(SUMIFS(LogFY17!K:K,LogFY17!B:B,"=*land management*")/SUMIFS(LogFY17!J:J,LogFY17!B:B,"=*land management*"),0)</f>
        <v>5</v>
      </c>
      <c r="Y100">
        <f t="shared" si="146"/>
        <v>0</v>
      </c>
      <c r="Z100" s="1">
        <v>13</v>
      </c>
      <c r="AA100" s="1">
        <f t="shared" si="147"/>
        <v>-8</v>
      </c>
      <c r="AD100">
        <f>SUMIFS(LogFY18!D:D,LogFY18!B:B,"=*land management*")</f>
        <v>6</v>
      </c>
      <c r="AE100">
        <f>SUM(SUMIFS(LogFY18!D:D,LogFY18!B:B,"=*land management*"),-1*SUMIFS(LogFY18!L:L,LogFY18!B:B,"=*land management*"),-1*SUMIFS(LogFY18!N:N,LogFY18!B:B,"=*land management*"))</f>
        <v>0</v>
      </c>
      <c r="AF100" s="7">
        <f>AE100/AD100</f>
        <v>0</v>
      </c>
      <c r="AG100" s="7">
        <f>AF100-V100</f>
        <v>0</v>
      </c>
      <c r="AH100">
        <f>ROUND(SUMIFS(LogFY18!K:K,LogFY18!B:B,"=*land management*")/SUMIFS(LogFY18!J:J,LogFY18!B:B,"=*land management*"),0)</f>
        <v>3</v>
      </c>
      <c r="AI100">
        <f>AH100-X100</f>
        <v>-2</v>
      </c>
      <c r="AJ100" s="1">
        <v>9</v>
      </c>
      <c r="AK100" s="1">
        <f>AJ100-Z100</f>
        <v>-4</v>
      </c>
      <c r="AN100">
        <f>SUMIFS(LogFY19!D:D,LogFY19!B:B,"=*land management*",LogFY19!B:B,"&lt;&gt;*honolulu*")</f>
        <v>9</v>
      </c>
      <c r="AO100">
        <f>SUM(SUMIFS(LogFY19!D:D,LogFY19!B:B,"=*land management*",LogFY19!B:B,"&lt;&gt;*honolulu*"),-1*SUMIFS(LogFY19!L:L,LogFY19!B:B,"=*land management*",LogFY19!B:B,"&lt;&gt;*honolulu*"),-1*SUMIFS(LogFY19!N:N,LogFY19!B:B,"=*land management*",LogFY19!B:B,"&lt;&gt;*honolulu*"))</f>
        <v>3</v>
      </c>
      <c r="AP100" s="7">
        <f t="shared" si="148"/>
        <v>0.33333333333333331</v>
      </c>
      <c r="AQ100" s="7">
        <f t="shared" si="135"/>
        <v>0.33333333333333331</v>
      </c>
      <c r="AR100">
        <f>ROUND(SUMIFS(LogFY19!K:K,LogFY19!B:B,"=*land management*",LogFY19!B:B,"&lt;&gt;*honolulu*")/SUMIFS(LogFY19!J:J,LogFY19!B:B,"=*land management*",LogFY19!B:B,"&lt;&gt;*honolulu*"),0)</f>
        <v>15</v>
      </c>
      <c r="AS100">
        <f t="shared" si="149"/>
        <v>12</v>
      </c>
      <c r="AT100" s="1">
        <v>44</v>
      </c>
      <c r="AU100" s="1">
        <f t="shared" si="117"/>
        <v>35</v>
      </c>
      <c r="AX100">
        <f>SUMIFS(LogFY20!D:D,LogFY20!B:B,"=*land management*",LogFY20!B:B,"&lt;&gt;*honolulu*")</f>
        <v>3</v>
      </c>
      <c r="AY100">
        <f>SUM(SUMIFS(LogFY20!D:D,LogFY20!B:B,"=*land management*",LogFY20!B:B,"&lt;&gt;*honolulu*"),-1*SUMIFS(LogFY20!L:L,LogFY20!B:B,"=*land management*",LogFY20!B:B,"&lt;&gt;*honolulu*"),-1*SUMIFS(LogFY20!N:N,LogFY20!B:B,"=*land management*",LogFY20!B:B,"&lt;&gt;*honolulu*"))</f>
        <v>1</v>
      </c>
      <c r="AZ100" s="7">
        <f t="shared" si="150"/>
        <v>0.33333333333333331</v>
      </c>
      <c r="BA100" s="7">
        <f t="shared" si="133"/>
        <v>0</v>
      </c>
      <c r="BB100">
        <f>ROUND(SUMIFS(LogFY20!K:K,LogFY20!B:B,"=*land management*",LogFY20!B:B,"&lt;&gt;*honolulu*")/SUMIFS(LogFY20!J:J,LogFY20!B:B,"=*land management*",LogFY20!B:B,"&lt;&gt;*honolulu*"),0)</f>
        <v>15</v>
      </c>
      <c r="BC100">
        <f t="shared" si="151"/>
        <v>0</v>
      </c>
      <c r="BD100" s="1">
        <v>24</v>
      </c>
      <c r="BE100" s="1">
        <f t="shared" si="134"/>
        <v>-20</v>
      </c>
      <c r="BH100">
        <f>SUMIFS(LogFY21!D:D,LogFY21!B:B,"=*land management*",LogFY21!B:B,"&lt;&gt;*honolulu*")</f>
        <v>7</v>
      </c>
      <c r="BI100">
        <f>SUM(SUMIFS(LogFY21!D:D,LogFY21!B:B,"=*land management*",LogFY21!B:B,"&lt;&gt;*honolulu*"),-1*SUMIFS(LogFY21!L:L,LogFY21!B:B,"=*land management*",LogFY21!B:B,"&lt;&gt;*honolulu*"),-1*SUMIFS(LogFY21!N:N,LogFY21!B:B,"=*land management*",LogFY21!B:B,"&lt;&gt;*honolulu*"))</f>
        <v>0</v>
      </c>
      <c r="BJ100" s="7">
        <f t="shared" si="118"/>
        <v>0</v>
      </c>
      <c r="BK100" s="7">
        <f t="shared" si="119"/>
        <v>-0.33333333333333331</v>
      </c>
      <c r="BL100">
        <f>ROUND(SUMIFS(LogFY21!K:K,LogFY21!B:B,"=*land management*",LogFY21!B:B,"&lt;&gt;*honolulu*")/SUMIFS(LogFY21!J:J,LogFY21!B:B,"=*land management*",LogFY21!B:B,"&lt;&gt;*honolulu*"),0)</f>
        <v>7</v>
      </c>
      <c r="BM100">
        <f t="shared" si="120"/>
        <v>-8</v>
      </c>
      <c r="BN100" s="1">
        <v>20</v>
      </c>
      <c r="BO100" s="1">
        <f t="shared" si="121"/>
        <v>-4</v>
      </c>
      <c r="BR100">
        <f>SUMIFS(LogFY22!D:D,LogFY22!B:B,"=*land management*",LogFY22!B:B,"&lt;&gt;*honolulu*")</f>
        <v>28</v>
      </c>
      <c r="BS100">
        <f>SUM(SUMIFS(LogFY22!D:D,LogFY22!B:B,"=*land management*",LogFY22!B:B,"&lt;&gt;*honolulu*"),-1*SUMIFS(LogFY22!L:L,LogFY22!B:B,"=*land management*",LogFY22!B:B,"&lt;&gt;*honolulu*"),-1*SUMIFS(LogFY22!N:N,LogFY22!B:B,"=*land management*",LogFY22!B:B,"&lt;&gt;*honolulu*"))</f>
        <v>3</v>
      </c>
      <c r="BT100" s="7">
        <f t="shared" si="136"/>
        <v>0.10714285714285714</v>
      </c>
      <c r="BU100" s="7">
        <f t="shared" si="137"/>
        <v>0.10714285714285714</v>
      </c>
      <c r="BV100">
        <f>ROUND(SUMIFS(LogFY22!K:K,LogFY22!B:B,"=*land management*",LogFY22!B:B,"&lt;&gt;*honolulu*")/SUMIFS(LogFY22!J:J,LogFY22!B:B,"=*land management*",LogFY22!B:B,"&lt;&gt;*honolulu*"),0)</f>
        <v>10</v>
      </c>
      <c r="BW100">
        <f t="shared" si="138"/>
        <v>3</v>
      </c>
      <c r="BX100" s="1">
        <v>38</v>
      </c>
      <c r="BY100" s="1">
        <f t="shared" si="139"/>
        <v>18</v>
      </c>
      <c r="CB100">
        <f>SUMIFS(LogFY23!D:D,LogFY23!B:B,"=*land management*",LogFY23!B:B,"&lt;&gt;*honolulu*")</f>
        <v>5</v>
      </c>
      <c r="CC100">
        <f>SUM(SUMIFS(LogFY23!D:D,LogFY23!B:B,"=*land management*",LogFY23!B:B,"&lt;&gt;*honolulu*"),-1*SUMIFS(LogFY23!L:L,LogFY23!B:B,"=*land management*",LogFY23!B:B,"&lt;&gt;*honolulu*"),-1*SUMIFS(LogFY23!N:N,LogFY23!B:B,"=*land management*",LogFY23!B:B,"&lt;&gt;*honolulu*"))</f>
        <v>0</v>
      </c>
      <c r="CD100" s="7">
        <f t="shared" si="122"/>
        <v>0</v>
      </c>
      <c r="CE100" s="7">
        <f t="shared" si="123"/>
        <v>-0.10714285714285714</v>
      </c>
      <c r="CF100">
        <f>ROUND(SUMIFS(LogFY23!K:K,LogFY23!B:B,"=*land management*",LogFY23!B:B,"&lt;&gt;*honolulu*")/SUMIFS(LogFY23!J:J,LogFY23!B:B,"=*land management*",LogFY23!B:B,"&lt;&gt;*honolulu*"),0)</f>
        <v>6</v>
      </c>
      <c r="CG100">
        <f t="shared" si="124"/>
        <v>-4</v>
      </c>
      <c r="CH100" s="1">
        <v>12</v>
      </c>
      <c r="CI100" s="1">
        <f t="shared" si="153"/>
        <v>-26</v>
      </c>
      <c r="CK100" s="7"/>
      <c r="CL100">
        <f>SUMIFS(LogFY24!D:D,LogFY24!B:B,"=*land management*",LogFY24!B:B,"&lt;&gt;*honolulu*")</f>
        <v>45</v>
      </c>
      <c r="CM100">
        <f>SUM(SUMIFS(LogFY24!D:D,LogFY24!B:B,"=*land management*",LogFY24!B:B,"&lt;&gt;*honolulu*"),-1*SUMIFS(LogFY24!L:L,LogFY24!B:B,"=*land management*",LogFY24!B:B,"&lt;&gt;*honolulu*"),-1*SUMIFS(LogFY24!N:N,LogFY24!B:B,"=*land management*",LogFY24!B:B,"&lt;&gt;*honolulu*"))</f>
        <v>7</v>
      </c>
      <c r="CN100" s="7">
        <f t="shared" si="152"/>
        <v>0.15555555555555556</v>
      </c>
      <c r="CO100" s="7">
        <f t="shared" si="154"/>
        <v>0.15555555555555556</v>
      </c>
      <c r="CP100">
        <f>ROUND(SUMIFS(LogFY24!K:K,LogFY24!B:B,"=*land management*",LogFY24!B:B,"&lt;&gt;*honolulu*")/SUMIFS(LogFY24!J:J,LogFY24!B:B,"=*land management*",LogFY24!B:B,"&lt;&gt;*honolulu*"),0)</f>
        <v>11</v>
      </c>
      <c r="CQ100">
        <f t="shared" si="155"/>
        <v>5</v>
      </c>
      <c r="CR100" s="1">
        <v>109</v>
      </c>
      <c r="CS100" s="1">
        <f t="shared" si="140"/>
        <v>97</v>
      </c>
    </row>
    <row r="101" spans="1:99" ht="32">
      <c r="A101" s="10">
        <f t="shared" si="156"/>
        <v>100</v>
      </c>
      <c r="B101" s="1" t="s">
        <v>22135</v>
      </c>
      <c r="C101">
        <f>SUMIFS(LogFY15!D:D,LogFY15!A:A,"=SOH_PUBLIC_SAFETY")</f>
        <v>43</v>
      </c>
      <c r="D101">
        <f>SUM(SUMIFS(LogFY15!D:D,LogFY15!A:A,"=SOH_PUBLIC_SAFETY"),-1*SUMIFS(LogFY15!L:L,LogFY15!A:A,"=SOH_PUBLIC_SAFETY"),-1*SUMIFS(LogFY15!N:N,LogFY15!A:A,"=SOH_PUBLIC_SAFETY"))</f>
        <v>27</v>
      </c>
      <c r="E101" s="7">
        <f t="shared" si="141"/>
        <v>0.62790697674418605</v>
      </c>
      <c r="F101">
        <f>ROUND(SUMIFS(LogFY15!K:K,LogFY15!A:A,"=SOH_PUBLIC_SAFETY")/SUMIFS(LogFY15!J:J,LogFY15!A:A,"=SOH_PUBLIC_SAFETY"),0)</f>
        <v>10</v>
      </c>
      <c r="G101" s="1">
        <v>34</v>
      </c>
      <c r="H101">
        <f>SUM(COUNTIFS(All!F:F,"=psd*", All!B:B, "&gt;=7/1/2014", All!B:B,"&lt;=6/30/2015", All!E:E,"=U*",All!E:E,"&lt;&gt;UIPA*",All!E:E,"&lt;&gt;*RFO*",All!E:E,"&lt;&gt;*TRNG*"),COUNTIFS(All!F:F,"=hpa*", All!B:B, "&gt;=7/1/2014", All!B:B,"&lt;=6/30/2015", All!E:E,"=U*",All!E:E,"&lt;&gt;UIPA*",All!E:E,"&lt;&gt;*RFO*",All!E:E,"&lt;&gt;*TRNG*"))</f>
        <v>11</v>
      </c>
      <c r="I101" s="7">
        <f>ROUND(H101/C101,3)</f>
        <v>0.25600000000000001</v>
      </c>
      <c r="J101">
        <f>SUMIFS(LogFY16!D:D,LogFY16!A:A,"=SOH_PUBLIC_SAFETY")</f>
        <v>34</v>
      </c>
      <c r="K101">
        <f>SUM(SUMIFS(LogFY16!D:D,LogFY16!A:A,"=SOH_PUBLIC_SAFETY"),-1*SUMIFS(LogFY16!L:L,LogFY16!A:A,"=SOH_PUBLIC_SAFETY"),-1*SUMIFS(LogFY16!N:N,LogFY16!A:A,"=SOH_PUBLIC_SAFETY"))</f>
        <v>19</v>
      </c>
      <c r="L101" s="7">
        <f t="shared" si="142"/>
        <v>0.55882352941176472</v>
      </c>
      <c r="M101" s="7">
        <f t="shared" si="143"/>
        <v>-6.9083447332421333E-2</v>
      </c>
      <c r="N101">
        <f>ROUND(SUMIFS(LogFY16!K:K,LogFY16!A:A,"=SOH_PUBLIC_SAFETY")/SUMIFS(LogFY16!J:J,LogFY16!A:A,"=SOH_PUBLIC_SAFETY"),0)</f>
        <v>10</v>
      </c>
      <c r="O101">
        <f t="shared" si="144"/>
        <v>0</v>
      </c>
      <c r="P101" s="1">
        <v>37</v>
      </c>
      <c r="Q101" s="1">
        <f t="shared" si="145"/>
        <v>3</v>
      </c>
      <c r="R101">
        <f>SUM(COUNTIFS(All!F:F,"=psd*", All!B:B, "&gt;=7/1/2015", All!B:B,"&lt;=6/30/2016", All!E:E,"=U*",All!E:E,"&lt;&gt;UIPA*",All!E:E,"&lt;&gt;*RFO*",All!E:E,"&lt;&gt;*TRNG*"),COUNTIFS(All!F:F,"=hpa*", All!B:B, "&gt;=7/1/2015", All!B:B,"&lt;=6/30/2016", All!E:E,"=U*",All!E:E,"&lt;&gt;UIPA*",All!E:E,"&lt;&gt;*RFO*",All!E:E,"&lt;&gt;*TRNG*"))</f>
        <v>9</v>
      </c>
      <c r="S101" s="7">
        <f>ROUND(R101/(J101+C101),3)</f>
        <v>0.11700000000000001</v>
      </c>
      <c r="T101">
        <f>SUMIFS(LogFY17!D:D,LogFY17!A:A,"=SOH_PUBLIC_SAFETY")</f>
        <v>42</v>
      </c>
      <c r="U101">
        <f>SUM(SUMIFS(LogFY17!D:D,LogFY17!A:A,"=SOH_PUBLIC_SAFETY"),-1*SUMIFS(LogFY17!L:L,LogFY17!A:A,"=SOH_PUBLIC_SAFETY"),-1*SUMIFS(LogFY17!N:N,LogFY17!A:A,"=SOH_PUBLIC_SAFETY"))</f>
        <v>25</v>
      </c>
      <c r="V101" s="7">
        <f>U101/T101</f>
        <v>0.59523809523809523</v>
      </c>
      <c r="W101" s="7">
        <f>V101-L101</f>
        <v>3.6414565826330514E-2</v>
      </c>
      <c r="X101">
        <f>ROUND(SUMIFS(LogFY17!K:K,LogFY17!A:A,"=SOH_PUBLIC_SAFETY")/SUMIFS(LogFY17!J:J,LogFY17!A:A,"=SOH_PUBLIC_SAFETY"),0)</f>
        <v>15</v>
      </c>
      <c r="Y101">
        <f t="shared" si="146"/>
        <v>5</v>
      </c>
      <c r="Z101" s="1">
        <v>172</v>
      </c>
      <c r="AA101" s="1">
        <f t="shared" si="147"/>
        <v>135</v>
      </c>
      <c r="AB101">
        <f>SUM(COUNTIFS(All!F:F,"=psd*", All!B:B, "&gt;=7/1/2016", All!B:B,"&lt;=6/30/2017", All!E:E,"=U*",All!E:E,"&lt;&gt;UIPA*",All!E:E,"&lt;&gt;*RFO*",All!E:E,"&lt;&gt;*TRNG*"),COUNTIFS(All!F:F,"=hpa*", All!B:B, "&gt;=7/1/2016", All!B:B,"&lt;=6/30/2017", All!E:E,"=U*",All!E:E,"&lt;&gt;UIPA*",All!E:E,"&lt;&gt;*RFO*",All!E:E,"&lt;&gt;*TRNG*"))</f>
        <v>11</v>
      </c>
      <c r="AC101" s="7">
        <f>ROUND(AB101/(T101+J101),3)</f>
        <v>0.14499999999999999</v>
      </c>
      <c r="AD101">
        <f>SUMIFS(LogFY18!D:D,LogFY18!A:A,"=SOH_PUBLIC_SAFETY")</f>
        <v>33</v>
      </c>
      <c r="AE101">
        <f>SUM(SUMIFS(LogFY18!D:D,LogFY18!A:A,"=SOH_PUBLIC_SAFETY"),-1*SUMIFS(LogFY18!L:L,LogFY18!A:A,"=SOH_PUBLIC_SAFETY"),-1*SUMIFS(LogFY18!N:N,LogFY18!A:A,"=SOH_PUBLIC_SAFETY"))</f>
        <v>14</v>
      </c>
      <c r="AF101" s="7">
        <f>AE101/AD101</f>
        <v>0.42424242424242425</v>
      </c>
      <c r="AG101" s="7">
        <f>AF101-V101</f>
        <v>-0.17099567099567098</v>
      </c>
      <c r="AH101">
        <f>ROUND(SUMIFS(LogFY18!K:K,LogFY18!A:A,"=SOH_PUBLIC_SAFETY")/SUMIFS(LogFY18!J:J,LogFY18!A:A,"=SOH_PUBLIC_SAFETY"),0)</f>
        <v>9</v>
      </c>
      <c r="AI101">
        <f>AH101-X101</f>
        <v>-6</v>
      </c>
      <c r="AJ101" s="1">
        <v>37</v>
      </c>
      <c r="AK101" s="1">
        <f>AJ101-Z101</f>
        <v>-135</v>
      </c>
      <c r="AL101">
        <f>SUM(COUNTIFS(All!F:F,"=psd*", All!B:B, "&gt;=7/1/2017", All!B:B,"&lt;=6/30/2018", All!E:E,"=U*",All!E:E,"&lt;&gt;UIPA*",All!E:E,"&lt;&gt;*RFO*",All!E:E,"&lt;&gt;*TRNG*"),COUNTIFS(All!F:F,"=hpa*", All!B:B, "&gt;=7/1/2017", All!B:B,"&lt;=6/30/2018", All!E:E,"=U*",All!E:E,"&lt;&gt;UIPA*",All!E:E,"&lt;&gt;*RFO*",All!E:E,"&lt;&gt;*TRNG*"))</f>
        <v>7</v>
      </c>
      <c r="AM101" s="7">
        <f>ROUND(AL101/(AD101+T101),3)</f>
        <v>9.2999999999999999E-2</v>
      </c>
      <c r="AN101">
        <f>SUMIFS(LogFY19!D:D,LogFY19!A:A,"=SOH_PUBLIC_SAFETY")</f>
        <v>42</v>
      </c>
      <c r="AO101">
        <f>SUM(SUMIFS(LogFY19!D:D,LogFY19!A:A,"=SOH_PUBLIC_SAFETY"),-1*SUMIFS(LogFY19!L:L,LogFY19!A:A,"=SOH_PUBLIC_SAFETY"),-1*SUMIFS(LogFY19!N:N,LogFY19!A:A,"=SOH_PUBLIC_SAFETY"))</f>
        <v>22</v>
      </c>
      <c r="AP101" s="7">
        <f t="shared" si="148"/>
        <v>0.52380952380952384</v>
      </c>
      <c r="AQ101" s="7">
        <f t="shared" si="135"/>
        <v>9.9567099567099582E-2</v>
      </c>
      <c r="AR101">
        <f>ROUND(SUMIFS(LogFY19!K:K,LogFY19!A:A,"=SOH_PUBLIC_SAFETY")/SUMIFS(LogFY19!J:J,LogFY19!A:A,"=SOH_PUBLIC_SAFETY"),0)</f>
        <v>8</v>
      </c>
      <c r="AS101">
        <f t="shared" si="149"/>
        <v>-1</v>
      </c>
      <c r="AT101" s="1">
        <v>28</v>
      </c>
      <c r="AU101" s="1">
        <f t="shared" si="117"/>
        <v>-9</v>
      </c>
      <c r="AV101">
        <f>SUM(COUNTIFS(All!F:F,"=psd*", All!B:B, "&gt;=7/1/2018", All!B:B,"&lt;=6/30/2019", All!E:E,"=U*",All!E:E,"&lt;&gt;UIPA*",All!E:E,"&lt;&gt;*RFO*",All!E:E,"&lt;&gt;*TRNG*"),COUNTIFS(All!F:F,"=hpa*", All!B:B, "&gt;=7/1/2018", All!B:B,"&lt;=6/30/2019", All!E:E,"=U*",All!E:E,"&lt;&gt;UIPA*",All!E:E,"&lt;&gt;*RFO*",All!E:E,"&lt;&gt;*TRNG*"))</f>
        <v>9</v>
      </c>
      <c r="AW101" s="7">
        <f>ROUND(AV101/(AN101+AD101),3)</f>
        <v>0.12</v>
      </c>
      <c r="AX101">
        <f>SUMIFS(LogFY20!D:D,LogFY20!A:A,"=SOH_PUBLIC_SAFETY")</f>
        <v>36</v>
      </c>
      <c r="AY101">
        <f>SUM(SUMIFS(LogFY20!D:D,LogFY20!A:A,"=SOH_PUBLIC_SAFETY"),-1*SUMIFS(LogFY20!L:L,LogFY20!A:A,"=SOH_PUBLIC_SAFETY"),-1*SUMIFS(LogFY20!N:N,LogFY20!A:A,"=SOH_PUBLIC_SAFETY"))</f>
        <v>19</v>
      </c>
      <c r="AZ101" s="7">
        <f t="shared" si="150"/>
        <v>0.52777777777777779</v>
      </c>
      <c r="BA101" s="7">
        <f t="shared" si="133"/>
        <v>3.9682539682539542E-3</v>
      </c>
      <c r="BB101">
        <f>ROUND(SUMIFS(LogFY20!K:K,LogFY20!A:A,"=SOH_PUBLIC_SAFETY")/SUMIFS(LogFY20!J:J,LogFY20!A:A,"=SOH_PUBLIC_SAFETY"),0)</f>
        <v>14</v>
      </c>
      <c r="BC101">
        <f t="shared" si="151"/>
        <v>6</v>
      </c>
      <c r="BD101" s="1">
        <v>78</v>
      </c>
      <c r="BE101" s="1">
        <f t="shared" si="134"/>
        <v>50</v>
      </c>
      <c r="BF101">
        <f>SUM(COUNTIFS(All!F:F,"=psd*", All!B:B, "&gt;=7/1/2019", All!B:B,"&lt;=6/30/2020", All!E:E,"=U*",All!E:E,"&lt;&gt;UIPA*",All!E:E,"&lt;&gt;*RFO*",All!E:E,"&lt;&gt;*TRNG*"),COUNTIFS(All!F:F,"=hpa*", All!B:B, "&gt;=7/1/2019", All!B:B,"&lt;=6/30/2020", All!E:E,"=U*",All!E:E,"&lt;&gt;UIPA*",All!E:E,"&lt;&gt;*RFO*",All!E:E,"&lt;&gt;*TRNG*"))</f>
        <v>12</v>
      </c>
      <c r="BG101" s="7">
        <f>ROUND(BF101/(AX101+AN101),3)</f>
        <v>0.154</v>
      </c>
      <c r="BH101">
        <f>SUMIFS(LogFY21!D:D,LogFY21!A:A,"=SOH_PUBLIC_SAFETY")</f>
        <v>48</v>
      </c>
      <c r="BI101">
        <f>SUM(SUMIFS(LogFY21!D:D,LogFY21!A:A,"=SOH_PUBLIC_SAFETY"),-1*SUMIFS(LogFY21!L:L,LogFY21!A:A,"=SOH_PUBLIC_SAFETY"),-1*SUMIFS(LogFY21!N:N,LogFY21!A:A,"=SOH_PUBLIC_SAFETY"))</f>
        <v>8</v>
      </c>
      <c r="BJ101" s="7">
        <f t="shared" si="118"/>
        <v>0.16666666666666666</v>
      </c>
      <c r="BK101" s="7">
        <f t="shared" si="119"/>
        <v>-0.36111111111111116</v>
      </c>
      <c r="BL101">
        <f>ROUND(SUMIFS(LogFY21!K:K,LogFY21!A:A,"=SOH_PUBLIC_SAFETY")/SUMIFS(LogFY21!J:J,LogFY21!A:A,"=SOH_PUBLIC_SAFETY"),0)</f>
        <v>3</v>
      </c>
      <c r="BM101">
        <f t="shared" si="120"/>
        <v>-11</v>
      </c>
      <c r="BN101" s="1">
        <v>45</v>
      </c>
      <c r="BO101" s="1">
        <f t="shared" si="121"/>
        <v>-33</v>
      </c>
      <c r="BP101">
        <f>SUM(COUNTIFS(All!F:F,"=psd*", All!B:B, "&gt;=7/1/2020", All!B:B,"&lt;=6/30/2021", All!E:E,"=U*",All!E:E,"&lt;&gt;UIPA*",All!E:E,"&lt;&gt;*RFO*",All!E:E,"&lt;&gt;*TRNG*"),COUNTIFS(All!F:F,"=hpa*", All!B:B, "&gt;=7/1/2020", All!B:B,"&lt;=6/30/2021", All!E:E,"=U*",All!E:E,"&lt;&gt;UIPA*",All!E:E,"&lt;&gt;*RFO*",All!E:E,"&lt;&gt;*TRNG*"))</f>
        <v>7</v>
      </c>
      <c r="BQ101" s="7">
        <f>ROUND(BP101/(BH101+AX101),3)</f>
        <v>8.3000000000000004E-2</v>
      </c>
      <c r="BR101">
        <f>SUMIFS(LogFY22!D:D,LogFY22!A:A,"=SOH_PUBLIC_SAFETY")</f>
        <v>70</v>
      </c>
      <c r="BS101">
        <f>SUM(SUMIFS(LogFY22!D:D,LogFY22!A:A,"=SOH_PUBLIC_SAFETY"),-1*SUMIFS(LogFY22!L:L,LogFY22!A:A,"=SOH_PUBLIC_SAFETY"),-1*SUMIFS(LogFY22!N:N,LogFY22!A:A,"=SOH_PUBLIC_SAFETY"))</f>
        <v>32</v>
      </c>
      <c r="BT101" s="7">
        <f t="shared" si="136"/>
        <v>0.45714285714285713</v>
      </c>
      <c r="BU101" s="7">
        <f t="shared" si="137"/>
        <v>0.29047619047619044</v>
      </c>
      <c r="BV101">
        <f>ROUND(SUMIFS(LogFY22!K:K,LogFY22!A:A,"=SOH_PUBLIC_SAFETY")/SUMIFS(LogFY22!J:J,LogFY22!A:A,"=SOH_PUBLIC_SAFETY"),0)</f>
        <v>7</v>
      </c>
      <c r="BW101">
        <f t="shared" si="138"/>
        <v>4</v>
      </c>
      <c r="BX101" s="1">
        <v>61</v>
      </c>
      <c r="BY101" s="1">
        <f t="shared" si="139"/>
        <v>16</v>
      </c>
      <c r="BZ101">
        <f>SUM(COUNTIFS(All!F:F,"=psd*", All!B:B, "&gt;=7/1/2021", All!B:B,"&lt;=6/30/2022", All!E:E,"=U*",All!E:E,"&lt;&gt;UIPA*",All!E:E,"&lt;&gt;*RFO*",All!E:E,"&lt;&gt;*TRNG*"),COUNTIFS(All!F:F,"=hpa*", All!B:B, "&gt;=7/1/2021", All!B:B,"&lt;=6/30/2022", All!E:E,"=U*",All!E:E,"&lt;&gt;UIPA*",All!E:E,"&lt;&gt;*RFO*",All!E:E,"&lt;&gt;*TRNG*"))</f>
        <v>9</v>
      </c>
      <c r="CA101" s="7">
        <f>ROUND(BZ101/(BR101+BH101),3)</f>
        <v>7.5999999999999998E-2</v>
      </c>
      <c r="CB101">
        <f>SUMIFS(LogFY23!D:D,LogFY23!A:A,"=SOH_PUBLIC_SAFETY")</f>
        <v>56</v>
      </c>
      <c r="CC101">
        <f>SUM(SUMIFS(LogFY23!D:D,LogFY23!A:A,"=SOH_PUBLIC_SAFETY"),-1*SUMIFS(LogFY23!L:L,LogFY23!A:A,"=SOH_PUBLIC_SAFETY"),-1*SUMIFS(LogFY23!N:N,LogFY23!A:A,"=SOH_PUBLIC_SAFETY"))</f>
        <v>17</v>
      </c>
      <c r="CD101" s="7">
        <f t="shared" si="122"/>
        <v>0.30357142857142855</v>
      </c>
      <c r="CE101" s="7">
        <f t="shared" si="123"/>
        <v>-0.15357142857142858</v>
      </c>
      <c r="CF101">
        <f>ROUND(SUMIFS(LogFY23!K:K,LogFY23!A:A,"=SOH_PUBLIC_SAFETY")/SUMIFS(LogFY23!J:J,LogFY23!A:A,"=SOH_PUBLIC_SAFETY"),0)</f>
        <v>7</v>
      </c>
      <c r="CG101">
        <f t="shared" si="124"/>
        <v>0</v>
      </c>
      <c r="CH101" s="1">
        <v>58</v>
      </c>
      <c r="CI101" s="1">
        <f t="shared" si="153"/>
        <v>-3</v>
      </c>
      <c r="CJ101">
        <f>SUM(COUNTIFS(All!F:F,"=psd*", All!B:B, "&gt;=7/1/2022", All!B:B,"&lt;=6/30/2023", All!E:E,"=U*",All!E:E,"&lt;&gt;UIPA*",All!E:E,"&lt;&gt;*RFO*",All!E:E,"&lt;&gt;*TRNG*"),COUNTIFS(All!F:F,"=hpa*", All!B:B, "&gt;=7/1/2022", All!B:B,"&lt;=6/30/2023", All!E:E,"=U*",All!E:E,"&lt;&gt;UIPA*",All!E:E,"&lt;&gt;*RFO*",All!E:E,"&lt;&gt;*TRNG*"))</f>
        <v>9</v>
      </c>
      <c r="CK101" s="7">
        <f>ROUND(CJ101/(CB101+BR101),3)</f>
        <v>7.0999999999999994E-2</v>
      </c>
      <c r="CN101" s="7"/>
      <c r="CO101" s="7"/>
      <c r="CR101" s="1"/>
      <c r="CS101" s="1"/>
      <c r="CU101" s="7"/>
    </row>
    <row r="102" spans="1:99" ht="32">
      <c r="A102" s="10">
        <f t="shared" si="156"/>
        <v>101</v>
      </c>
      <c r="B102" s="111" t="s">
        <v>22134</v>
      </c>
      <c r="E102" s="7"/>
      <c r="G102" s="1"/>
      <c r="L102" s="7"/>
      <c r="M102" s="7"/>
      <c r="P102" s="1"/>
      <c r="Q102" s="1"/>
      <c r="V102" s="7"/>
      <c r="W102" s="7"/>
      <c r="Z102" s="1"/>
      <c r="AA102" s="1"/>
      <c r="AF102" s="7"/>
      <c r="AG102" s="7"/>
      <c r="AJ102" s="1"/>
      <c r="AK102" s="1"/>
      <c r="AP102" s="7"/>
      <c r="AQ102" s="7"/>
      <c r="AT102" s="1"/>
      <c r="AU102" s="1"/>
      <c r="AZ102" s="7"/>
      <c r="BA102" s="7"/>
      <c r="BD102" s="1"/>
      <c r="BE102" s="1"/>
      <c r="BJ102" s="7"/>
      <c r="BK102" s="7"/>
      <c r="BN102" s="1"/>
      <c r="BO102" s="1"/>
      <c r="BT102" s="7"/>
      <c r="BU102" s="7"/>
      <c r="BX102" s="1"/>
      <c r="BY102" s="1"/>
      <c r="CD102" s="7"/>
      <c r="CE102" s="7"/>
      <c r="CH102" s="1"/>
      <c r="CI102" s="1"/>
      <c r="CK102" s="7"/>
      <c r="CL102">
        <f>SUMIFS(LogFY24!D:D,LogFY24!A:A,"=SOH_CORRECTIONS_REHABILITATION")</f>
        <v>62</v>
      </c>
      <c r="CM102">
        <f>SUM(SUMIFS(LogFY24!D:D,LogFY24!A:A,"=SOH_CORRECTIONS_REHABILITATION"),-1*SUMIFS(LogFY24!L:L,LogFY24!A:A,"=SOH_CORRECTIONS_REHABILITATION"),-1*SUMIFS(LogFY24!N:N,LogFY24!A:A,"=SOH_CORRECTIONS_REHABILITATION"))</f>
        <v>23</v>
      </c>
      <c r="CN102" s="7">
        <f t="shared" ref="CN102:CN116" si="157">CM102/CL102</f>
        <v>0.37096774193548387</v>
      </c>
      <c r="CO102" s="7">
        <f t="shared" ref="CO102:CO116" si="158">CN102-CD102</f>
        <v>0.37096774193548387</v>
      </c>
      <c r="CP102">
        <f>ROUND(SUMIFS(LogFY24!K:K,LogFY24!A:A,"=SOH_CORRECTIONS_REHABILITATION")/SUMIFS(LogFY24!J:J,LogFY24!A:A,"=SOH_CORRECTIONS_REHABILITATION"),0)</f>
        <v>8</v>
      </c>
      <c r="CQ102">
        <f t="shared" ref="CQ102:CQ116" si="159">CP102-CF102</f>
        <v>8</v>
      </c>
      <c r="CR102" s="1">
        <v>51</v>
      </c>
      <c r="CS102" s="1">
        <f t="shared" ref="CS102:CS116" si="160">CR102-CH102</f>
        <v>51</v>
      </c>
      <c r="CT102">
        <f>SUM(COUNTIFS(All!F:F,"=*dcr*", All!B:B, "&gt;=7/1/2023", All!B:B,"&lt;=6/30/2024", All!E:E,"=U*",All!E:E,"&lt;&gt;UIPA*",All!E:E,"&lt;&gt;*RFO*",All!E:E,"&lt;&gt;*TRNG*"),COUNTIFS(All!F:F,"=psd*", All!B:B, "&gt;=7/1/2023", All!B:B,"&lt;=6/30/2024", All!E:E,"=U*",All!E:E,"&lt;&gt;UIPA*",All!E:E,"&lt;&gt;*RFO*",All!E:E,"&lt;&gt;*TRNG*"),COUNTIFS(All!F:F,"=hpa*", All!B:B, "&gt;=7/1/2023", All!B:B,"&lt;=6/30/2024", All!E:E,"=U*",All!E:E,"&lt;&gt;UIPA*",All!E:E,"&lt;&gt;*RFO*",All!E:E,"&lt;&gt;*TRNG*"))</f>
        <v>3</v>
      </c>
      <c r="CU102" s="7">
        <f>ROUND(CT102/(CL102+CB102),3)</f>
        <v>4.8000000000000001E-2</v>
      </c>
    </row>
    <row r="103" spans="1:99" ht="32">
      <c r="A103" s="10">
        <f t="shared" si="156"/>
        <v>102</v>
      </c>
      <c r="B103" s="111" t="s">
        <v>22136</v>
      </c>
      <c r="E103" s="7"/>
      <c r="G103" s="1"/>
      <c r="L103" s="7"/>
      <c r="M103" s="7"/>
      <c r="P103" s="1"/>
      <c r="Q103" s="1"/>
      <c r="V103" s="7"/>
      <c r="W103" s="7"/>
      <c r="Z103" s="1"/>
      <c r="AA103" s="1"/>
      <c r="AF103" s="7"/>
      <c r="AG103" s="7"/>
      <c r="AJ103" s="1"/>
      <c r="AK103" s="1"/>
      <c r="AP103" s="7"/>
      <c r="AQ103" s="7"/>
      <c r="AT103" s="1"/>
      <c r="AU103" s="1"/>
      <c r="AZ103" s="7"/>
      <c r="BA103" s="7"/>
      <c r="BD103" s="1"/>
      <c r="BE103" s="1"/>
      <c r="BJ103" s="7"/>
      <c r="BK103" s="7"/>
      <c r="BN103" s="1"/>
      <c r="BO103" s="1"/>
      <c r="BT103" s="7"/>
      <c r="BU103" s="7"/>
      <c r="BX103" s="1"/>
      <c r="BY103" s="1"/>
      <c r="CD103" s="7"/>
      <c r="CE103" s="7"/>
      <c r="CH103" s="1"/>
      <c r="CI103" s="1"/>
      <c r="CK103" s="7"/>
      <c r="CL103">
        <f>SUMIFS(LogFY24!D:D,LogFY24!A:A,"=SOH_LAW_ENFORCEMENT")</f>
        <v>25</v>
      </c>
      <c r="CM103">
        <f>SUM(SUMIFS(LogFY24!D:D,LogFY24!A:A,"=SOH_LAW_ENFORCEMENT"),-1*SUMIFS(LogFY24!L:L,LogFY24!A:A,"=SOH_LAW_ENFORCEMENT"),-1*SUMIFS(LogFY24!N:N,LogFY24!A:A,"=SOH_LAW_ENFORCEMENT"))</f>
        <v>12</v>
      </c>
      <c r="CN103" s="7">
        <f t="shared" si="157"/>
        <v>0.48</v>
      </c>
      <c r="CO103" s="7">
        <f t="shared" si="158"/>
        <v>0.48</v>
      </c>
      <c r="CP103">
        <f>ROUND(SUMIFS(LogFY24!K:K,LogFY24!A:A,"=SOH_LAW_ENFORCEMENT")/SUMIFS(LogFY24!J:J,LogFY24!A:A,"=SOH_LAW_ENFORCEMENT"),0)</f>
        <v>5</v>
      </c>
      <c r="CQ103">
        <f t="shared" si="159"/>
        <v>5</v>
      </c>
      <c r="CR103" s="1">
        <v>27</v>
      </c>
      <c r="CS103" s="1">
        <f t="shared" si="160"/>
        <v>27</v>
      </c>
      <c r="CT103">
        <f>SUM(COUNTIFS(All!F:F,"=dle*", All!B:B, "&gt;=7/1/2023", All!B:B,"&lt;=6/30/2024", All!E:E,"=U*",All!E:E,"&lt;&gt;UIPA*",All!E:E,"&lt;&gt;*RFO*",All!E:E,"&lt;&gt;*TRNG*"))</f>
        <v>0</v>
      </c>
      <c r="CU103" s="7">
        <f>ROUND(CT103/(CL103+CB103),3)</f>
        <v>0</v>
      </c>
    </row>
    <row r="104" spans="1:99" ht="16">
      <c r="A104" s="10">
        <f t="shared" si="156"/>
        <v>103</v>
      </c>
      <c r="B104" s="1" t="s">
        <v>17254</v>
      </c>
      <c r="C104">
        <f>SUMIFS(LogFY15!D:D,LogFY15!A:A,"=SOH_TAXATION")</f>
        <v>6</v>
      </c>
      <c r="D104">
        <f>SUM(SUMIFS(LogFY15!D:D,LogFY15!A:A,"=SOH_TAXATION"),-1*SUMIFS(LogFY15!L:L,LogFY15!A:A,"=SOH_TAXATION"),-1*SUMIFS(LogFY15!N:N,LogFY15!A:A,"=SOH_TAXATION"))</f>
        <v>2</v>
      </c>
      <c r="E104" s="7">
        <f t="shared" ref="E104:E109" si="161">D104/C104</f>
        <v>0.33333333333333331</v>
      </c>
      <c r="F104">
        <f>ROUND(SUMIFS(LogFY15!K:K,LogFY15!A:A,"=SOH_TAXATION")/SUMIFS(LogFY15!J:J,LogFY15!A:A,"=SOH_TAXATION"),0)</f>
        <v>35</v>
      </c>
      <c r="G104" s="1">
        <v>82</v>
      </c>
      <c r="H104">
        <f>COUNTIFS(All!F:F,"=DOTAX*", All!B:B, "&gt;=7/1/2014", All!B:B,"&lt;=6/30/2015", All!E:E,"=U*",All!E:E,"&lt;&gt;UIPA*",All!E:E,"&lt;&gt;*RFO*",All!E:E,"&lt;&gt;*TRNG*")</f>
        <v>2</v>
      </c>
      <c r="I104" s="7">
        <f>ROUND(H104/C104,3)</f>
        <v>0.33300000000000002</v>
      </c>
      <c r="J104">
        <f>SUMIFS(LogFY16!D:D,LogFY16!A:A,"=SOH_TAXATION")</f>
        <v>9</v>
      </c>
      <c r="K104">
        <f>SUM(SUMIFS(LogFY16!D:D,LogFY16!A:A,"=SOH_TAXATION"),-1*SUMIFS(LogFY16!L:L,LogFY16!A:A,"=SOH_TAXATION"),-1*SUMIFS(LogFY16!N:N,LogFY16!A:A,"=SOH_TAXATION"))</f>
        <v>3</v>
      </c>
      <c r="L104" s="7">
        <f t="shared" ref="L104:L116" si="162">K104/J104</f>
        <v>0.33333333333333331</v>
      </c>
      <c r="M104" s="7">
        <f t="shared" ref="M104:M116" si="163">L104-E104</f>
        <v>0</v>
      </c>
      <c r="N104">
        <f>ROUND(SUMIFS(LogFY16!K:K,LogFY16!A:A,"=SOH_TAXATION")/SUMIFS(LogFY16!J:J,LogFY16!A:A,"=SOH_TAXATION"),0)</f>
        <v>24</v>
      </c>
      <c r="O104">
        <f t="shared" ref="O104:O116" si="164">N104-F104</f>
        <v>-11</v>
      </c>
      <c r="P104" s="1">
        <v>84</v>
      </c>
      <c r="Q104" s="1">
        <f t="shared" ref="Q104:Q116" si="165">P104-G104</f>
        <v>2</v>
      </c>
      <c r="R104">
        <f>COUNTIFS(All!F:F,"=DOTAX*", All!B:B, "&gt;=7/1/2015", All!B:B,"&lt;=6/30/2016", All!E:E,"=U*",All!E:E,"&lt;&gt;UIPA*",All!E:E,"&lt;&gt;*RFO*",All!E:E,"&lt;&gt;*TRNG*")</f>
        <v>3</v>
      </c>
      <c r="S104" s="7">
        <f>ROUND(R104/(J104+C104),3)</f>
        <v>0.2</v>
      </c>
      <c r="T104">
        <f>SUMIFS(LogFY17!D:D,LogFY17!A:A,"=SOH_TAXATION")</f>
        <v>14</v>
      </c>
      <c r="U104">
        <f>SUM(SUMIFS(LogFY17!D:D,LogFY17!A:A,"=SOH_TAXATION"),-1*SUMIFS(LogFY17!L:L,LogFY17!A:A,"=SOH_TAXATION"),-1*SUMIFS(LogFY17!N:N,LogFY17!A:A,"=SOH_TAXATION"))</f>
        <v>4</v>
      </c>
      <c r="V104" s="7">
        <f t="shared" ref="V104:V116" si="166">U104/T104</f>
        <v>0.2857142857142857</v>
      </c>
      <c r="W104" s="7">
        <f t="shared" ref="W104:W116" si="167">V104-L104</f>
        <v>-4.7619047619047616E-2</v>
      </c>
      <c r="X104">
        <f>ROUND(SUMIFS(LogFY17!K:K,LogFY17!A:A,"=SOH_TAXATION")/SUMIFS(LogFY17!J:J,LogFY17!A:A,"=SOH_TAXATION"),0)</f>
        <v>20</v>
      </c>
      <c r="Y104">
        <f t="shared" ref="Y104:Y116" si="168">X104-N104</f>
        <v>-4</v>
      </c>
      <c r="Z104" s="1">
        <v>61</v>
      </c>
      <c r="AA104" s="1">
        <f t="shared" ref="AA104:AA116" si="169">Z104-P104</f>
        <v>-23</v>
      </c>
      <c r="AB104">
        <f>COUNTIFS(All!F:F,"=DOTAX*", All!B:B, "&gt;=7/1/2016", All!B:B,"&lt;=6/30/2017", All!E:E,"=U*",All!E:E,"&lt;&gt;UIPA*",All!E:E,"&lt;&gt;*RFO*",All!E:E,"&lt;&gt;*TRNG*")</f>
        <v>3</v>
      </c>
      <c r="AC104" s="7">
        <f>ROUND(AB104/(T104+J104),3)</f>
        <v>0.13</v>
      </c>
      <c r="AD104">
        <f>SUMIFS(LogFY18!D:D,LogFY18!A:A,"=SOH_TAXATION")</f>
        <v>14</v>
      </c>
      <c r="AE104">
        <f>SUM(SUMIFS(LogFY18!D:D,LogFY18!A:A,"=SOH_TAXATION"),-1*SUMIFS(LogFY18!L:L,LogFY18!A:A,"=SOH_TAXATION"),-1*SUMIFS(LogFY18!N:N,LogFY18!A:A,"=SOH_TAXATION"))</f>
        <v>9</v>
      </c>
      <c r="AF104" s="7">
        <f t="shared" ref="AF104:AF116" si="170">AE104/AD104</f>
        <v>0.6428571428571429</v>
      </c>
      <c r="AG104" s="7">
        <f t="shared" ref="AG104:AG116" si="171">AF104-V104</f>
        <v>0.35714285714285721</v>
      </c>
      <c r="AH104">
        <f>ROUND(SUMIFS(LogFY18!K:K,LogFY18!A:A,"=SOH_TAXATION")/SUMIFS(LogFY18!J:J,LogFY18!A:A,"=SOH_TAXATION"),0)</f>
        <v>15</v>
      </c>
      <c r="AI104">
        <f t="shared" ref="AI104:AI116" si="172">AH104-X104</f>
        <v>-5</v>
      </c>
      <c r="AJ104" s="1">
        <v>42</v>
      </c>
      <c r="AK104" s="1">
        <f t="shared" ref="AK104:AK116" si="173">AJ104-Z104</f>
        <v>-19</v>
      </c>
      <c r="AL104">
        <f>COUNTIFS(All!F:F,"=DOTAX*", All!B:B, "&gt;=7/1/2017", All!B:B,"&lt;=6/30/2018", All!E:E,"=U*",All!E:E,"&lt;&gt;UIPA*",All!E:E,"&lt;&gt;*RFO*",All!E:E,"&lt;&gt;*TRNG*")</f>
        <v>0</v>
      </c>
      <c r="AM104" s="7">
        <f>ROUND(AL104/(AD104+T104),3)</f>
        <v>0</v>
      </c>
      <c r="AN104">
        <f>SUMIFS(LogFY19!D:D,LogFY19!A:A,"=SOH_TAXATION")</f>
        <v>21</v>
      </c>
      <c r="AO104">
        <f>SUM(SUMIFS(LogFY19!D:D,LogFY19!A:A,"=SOH_TAXATION"),-1*SUMIFS(LogFY19!L:L,LogFY19!A:A,"=SOH_TAXATION"),-1*SUMIFS(LogFY19!N:N,LogFY19!A:A,"=SOH_TAXATION"))</f>
        <v>11</v>
      </c>
      <c r="AP104" s="7">
        <f t="shared" ref="AP104:AP116" si="174">AO104/AN104</f>
        <v>0.52380952380952384</v>
      </c>
      <c r="AQ104" s="7">
        <f t="shared" ref="AQ104:AQ116" si="175">AP104-AF104</f>
        <v>-0.11904761904761907</v>
      </c>
      <c r="AR104">
        <f>ROUND(SUMIFS(LogFY19!K:K,LogFY19!A:A,"=SOH_TAXATION")/SUMIFS(LogFY19!J:J,LogFY19!A:A,"=SOH_TAXATION"),0)</f>
        <v>20</v>
      </c>
      <c r="AS104">
        <f t="shared" ref="AS104:AS116" si="176">AR104-AH104</f>
        <v>5</v>
      </c>
      <c r="AT104" s="1">
        <v>102</v>
      </c>
      <c r="AU104" s="1">
        <f t="shared" ref="AU104:AU116" si="177">AT104-AJ104</f>
        <v>60</v>
      </c>
      <c r="AV104">
        <f>COUNTIFS(All!F:F,"=DOTAX*", All!B:B, "&gt;=7/1/2018", All!B:B,"&lt;=6/30/2019", All!E:E,"=U*",All!E:E,"&lt;&gt;UIPA*",All!E:E,"&lt;&gt;*RFO*",All!E:E,"&lt;&gt;*TRNG*")</f>
        <v>1</v>
      </c>
      <c r="AW104" s="7">
        <f>ROUND(AV104/(AN104+AD104),3)</f>
        <v>2.9000000000000001E-2</v>
      </c>
      <c r="AX104">
        <f>SUMIFS(LogFY20!D:D,LogFY20!A:A,"=SOH_TAXATION")</f>
        <v>9</v>
      </c>
      <c r="AY104">
        <f>SUM(SUMIFS(LogFY20!D:D,LogFY20!A:A,"=SOH_TAXATION"),-1*SUMIFS(LogFY20!L:L,LogFY20!A:A,"=SOH_TAXATION"),-1*SUMIFS(LogFY20!N:N,LogFY20!A:A,"=SOH_TAXATION"))</f>
        <v>5</v>
      </c>
      <c r="AZ104" s="7">
        <f t="shared" ref="AZ104:AZ116" si="178">AY104/AX104</f>
        <v>0.55555555555555558</v>
      </c>
      <c r="BA104" s="7">
        <f t="shared" ref="BA104:BA116" si="179">AZ104-AP104</f>
        <v>3.1746031746031744E-2</v>
      </c>
      <c r="BB104">
        <f>ROUND(SUMIFS(LogFY20!K:K,LogFY20!A:A,"=SOH_TAXATION")/SUMIFS(LogFY20!J:J,LogFY20!A:A,"=SOH_TAXATION"),0)</f>
        <v>32</v>
      </c>
      <c r="BC104">
        <f t="shared" ref="BC104:BC116" si="180">BB104-AR104</f>
        <v>12</v>
      </c>
      <c r="BD104" s="1">
        <v>115</v>
      </c>
      <c r="BE104" s="1">
        <f t="shared" ref="BE104:BE116" si="181">BD104-AT104</f>
        <v>13</v>
      </c>
      <c r="BF104">
        <f>COUNTIFS(All!F:F,"=DOTAX*", All!B:B, "&gt;=7/1/2019", All!B:B,"&lt;=6/30/2020", All!E:E,"=U*",All!E:E,"&lt;&gt;UIPA*",All!E:E,"&lt;&gt;*RFO*",All!E:E,"&lt;&gt;*TRNG*")</f>
        <v>3</v>
      </c>
      <c r="BG104" s="7">
        <f>ROUND(BF104/(AX104+AN104),3)</f>
        <v>0.1</v>
      </c>
      <c r="BH104">
        <f>SUMIFS(LogFY21!D:D,LogFY21!A:A,"=SOH_TAXATION")</f>
        <v>1</v>
      </c>
      <c r="BI104">
        <f>SUM(SUMIFS(LogFY21!D:D,LogFY21!A:A,"=SOH_TAXATION"),-1*SUMIFS(LogFY21!L:L,LogFY21!A:A,"=SOH_TAXATION"),-1*SUMIFS(LogFY21!N:N,LogFY21!A:A,"=SOH_TAXATION"))</f>
        <v>1</v>
      </c>
      <c r="BJ104" s="7">
        <f t="shared" ref="BJ104:BJ116" si="182">BI104/BH104</f>
        <v>1</v>
      </c>
      <c r="BK104" s="7">
        <f t="shared" ref="BK104:BK116" si="183">BJ104-AZ104</f>
        <v>0.44444444444444442</v>
      </c>
      <c r="BL104">
        <f>ROUND(SUMIFS(LogFY21!K:K,LogFY21!A:A,"=SOH_TAXATION")/SUMIFS(LogFY21!J:J,LogFY21!A:A,"=SOH_TAXATION"),0)</f>
        <v>1</v>
      </c>
      <c r="BM104">
        <f t="shared" ref="BM104:BM116" si="184">BL104-BB104</f>
        <v>-31</v>
      </c>
      <c r="BN104" s="1">
        <v>1</v>
      </c>
      <c r="BO104" s="1">
        <f t="shared" ref="BO104:BO116" si="185">BN104-BD104</f>
        <v>-114</v>
      </c>
      <c r="BP104">
        <f>COUNTIFS(All!F:F,"=DOTAX*", All!B:B, "&gt;=7/1/2020", All!B:B,"&lt;=6/30/2021", All!E:E,"=U*",All!E:E,"&lt;&gt;UIPA*",All!E:E,"&lt;&gt;*RFO*",All!E:E,"&lt;&gt;*TRNG*")</f>
        <v>0</v>
      </c>
      <c r="BQ104" s="7">
        <f>ROUND(BP104/(BH104+AX104),3)</f>
        <v>0</v>
      </c>
      <c r="BR104">
        <f>SUMIFS(LogFY22!D:D,LogFY22!A:A,"=SOH_TAXATION")</f>
        <v>11</v>
      </c>
      <c r="BS104">
        <f>SUM(SUMIFS(LogFY22!D:D,LogFY22!A:A,"=SOH_TAXATION"),-1*SUMIFS(LogFY22!L:L,LogFY22!A:A,"=SOH_TAXATION"),-1*SUMIFS(LogFY22!N:N,LogFY22!A:A,"=SOH_TAXATION"))</f>
        <v>3</v>
      </c>
      <c r="BT104" s="7">
        <f t="shared" ref="BT104:BT116" si="186">BS104/BR104</f>
        <v>0.27272727272727271</v>
      </c>
      <c r="BU104" s="7">
        <f t="shared" ref="BU104:BU116" si="187">BT104-BJ104</f>
        <v>-0.72727272727272729</v>
      </c>
      <c r="BV104">
        <f>ROUND(SUMIFS(LogFY22!K:K,LogFY22!A:A,"=SOH_TAXATION")/SUMIFS(LogFY22!J:J,LogFY22!A:A,"=SOH_TAXATION"),0)</f>
        <v>15</v>
      </c>
      <c r="BW104">
        <f t="shared" ref="BW104:BW116" si="188">BV104-BL104</f>
        <v>14</v>
      </c>
      <c r="BX104" s="1">
        <v>41</v>
      </c>
      <c r="BY104" s="1">
        <f t="shared" ref="BY104:BY116" si="189">BX104-BN104</f>
        <v>40</v>
      </c>
      <c r="BZ104">
        <f>COUNTIFS(All!F:F,"=DOTAX*", All!B:B, "&gt;=7/1/2021", All!B:B,"&lt;=6/30/2022", All!E:E,"=U*",All!E:E,"&lt;&gt;UIPA*",All!E:E,"&lt;&gt;*RFO*",All!E:E,"&lt;&gt;*TRNG*")</f>
        <v>0</v>
      </c>
      <c r="CA104" s="7">
        <f>ROUND(BZ104/(BR104+BH104),3)</f>
        <v>0</v>
      </c>
      <c r="CB104">
        <f>SUMIFS(LogFY23!D:D,LogFY23!A:A,"=SOH_TAXATION")</f>
        <v>16</v>
      </c>
      <c r="CC104">
        <f>SUM(SUMIFS(LogFY23!D:D,LogFY23!A:A,"=SOH_TAXATION"),-1*SUMIFS(LogFY23!L:L,LogFY23!A:A,"=SOH_TAXATION"),-1*SUMIFS(LogFY23!N:N,LogFY23!A:A,"=SOH_TAXATION"))</f>
        <v>12</v>
      </c>
      <c r="CD104" s="7">
        <f t="shared" ref="CD104:CD116" si="190">CC104/CB104</f>
        <v>0.75</v>
      </c>
      <c r="CE104" s="7">
        <f t="shared" ref="CE104:CE116" si="191">CD104-BT104</f>
        <v>0.47727272727272729</v>
      </c>
      <c r="CF104">
        <f>ROUND(SUMIFS(LogFY23!K:K,LogFY23!A:A,"=SOH_TAXATION")/SUMIFS(LogFY23!J:J,LogFY23!A:A,"=SOH_TAXATION"),0)</f>
        <v>7</v>
      </c>
      <c r="CG104">
        <f t="shared" ref="CG104:CG116" si="192">CF104-BV104</f>
        <v>-8</v>
      </c>
      <c r="CH104" s="1">
        <v>22</v>
      </c>
      <c r="CI104" s="1">
        <f t="shared" ref="CI104:CI116" si="193">CH104-BX104</f>
        <v>-19</v>
      </c>
      <c r="CJ104">
        <f>COUNTIFS(All!F:F,"=DOTAX*", All!B:B, "&gt;=7/1/2022", All!B:B,"&lt;=6/30/2023", All!E:E,"=U*",All!E:E,"&lt;&gt;UIPA*",All!E:E,"&lt;&gt;*RFO*",All!E:E,"&lt;&gt;*TRNG*")</f>
        <v>0</v>
      </c>
      <c r="CK104" s="7">
        <f>ROUND(CJ104/(CB104+BR104),3)</f>
        <v>0</v>
      </c>
      <c r="CL104">
        <f>SUMIFS(LogFY24!D:D,LogFY24!A:A,"=SOH_TAXATION")</f>
        <v>27</v>
      </c>
      <c r="CM104">
        <f>SUM(SUMIFS(LogFY24!D:D,LogFY24!A:A,"=SOH_TAXATION"),-1*SUMIFS(LogFY24!L:L,LogFY24!A:A,"=SOH_TAXATION"),-1*SUMIFS(LogFY24!N:N,LogFY24!A:A,"=SOH_TAXATION"))</f>
        <v>8</v>
      </c>
      <c r="CN104" s="7">
        <f t="shared" si="157"/>
        <v>0.29629629629629628</v>
      </c>
      <c r="CO104" s="7">
        <f t="shared" si="158"/>
        <v>-0.45370370370370372</v>
      </c>
      <c r="CP104">
        <f>ROUND(SUMIFS(LogFY24!K:K,LogFY24!A:A,"=SOH_TAXATION")/SUMIFS(LogFY24!J:J,LogFY24!A:A,"=SOH_TAXATION"),0)</f>
        <v>8</v>
      </c>
      <c r="CQ104">
        <f t="shared" si="159"/>
        <v>1</v>
      </c>
      <c r="CR104" s="1">
        <v>23</v>
      </c>
      <c r="CS104" s="1">
        <f t="shared" si="160"/>
        <v>1</v>
      </c>
      <c r="CT104">
        <f>COUNTIFS(All!F:F,"=DOTAX*", All!B:B, "&gt;=7/1/2023", All!B:B,"&lt;=6/30/2024", All!E:E,"=U*",All!E:E,"&lt;&gt;UIPA*",All!E:E,"&lt;&gt;*RFO*",All!E:E,"&lt;&gt;*TRNG*")</f>
        <v>0</v>
      </c>
      <c r="CU104" s="7">
        <f>ROUND(CT104/(CL104+CB104),3)</f>
        <v>0</v>
      </c>
    </row>
    <row r="105" spans="1:99" ht="32">
      <c r="A105" s="10">
        <f t="shared" si="156"/>
        <v>104</v>
      </c>
      <c r="B105" s="1" t="s">
        <v>17255</v>
      </c>
      <c r="C105">
        <f>SUMIFS(LogFY15!D:D,LogFY15!A:A,"=SOH_TRANSPORTATION")</f>
        <v>66</v>
      </c>
      <c r="D105">
        <f>SUM(SUMIFS(LogFY15!D:D,LogFY15!A:A,"=SOH_TRANSPORTATION"),-1*SUMIFS(LogFY15!L:L,LogFY15!A:A,"=SOH_TRANSPORTATION"),-1*SUMIFS(LogFY15!N:N,LogFY15!A:A,"=SOH_TRANSPORTATION"))</f>
        <v>19</v>
      </c>
      <c r="E105" s="7">
        <f t="shared" si="161"/>
        <v>0.2878787878787879</v>
      </c>
      <c r="F105">
        <f>ROUND(SUMIFS(LogFY15!K:K,LogFY15!A:A,"=SOH_TRANSPORTATION")/SUMIFS(LogFY15!J:J,LogFY15!A:A,"=SOH_TRANSPORTATION"),0)</f>
        <v>24</v>
      </c>
      <c r="G105" s="1">
        <v>261</v>
      </c>
      <c r="H105">
        <f>COUNTIFS(All!F:F,"=DOT*", All!B:B, "&gt;=7/1/2014", All!B:B,"&lt;=6/30/2015", All!E:E,"=U*",All!E:E,"&lt;&gt;UIPA*",All!E:E,"&lt;&gt;*RFO*",All!E:E,"&lt;&gt;*TRNG*",All!F:F,"&lt;&gt;dotax*")</f>
        <v>3</v>
      </c>
      <c r="I105" s="7">
        <f>ROUND(H105/C105,3)</f>
        <v>4.4999999999999998E-2</v>
      </c>
      <c r="J105">
        <f>SUMIFS(LogFY16!D:D,LogFY16!A:A,"=SOH_TRANSPORTATION")</f>
        <v>74</v>
      </c>
      <c r="K105">
        <f>SUM(SUMIFS(LogFY16!D:D,LogFY16!A:A,"=SOH_TRANSPORTATION"),-1*SUMIFS(LogFY16!L:L,LogFY16!A:A,"=SOH_TRANSPORTATION"),-1*SUMIFS(LogFY16!N:N,LogFY16!A:A,"=SOH_TRANSPORTATION"))</f>
        <v>13</v>
      </c>
      <c r="L105" s="7">
        <f t="shared" si="162"/>
        <v>0.17567567567567569</v>
      </c>
      <c r="M105" s="7">
        <f t="shared" si="163"/>
        <v>-0.11220311220311222</v>
      </c>
      <c r="N105">
        <f>ROUND(SUMIFS(LogFY16!K:K,LogFY16!A:A,"=SOH_TRANSPORTATION")/SUMIFS(LogFY16!J:J,LogFY16!A:A,"=SOH_TRANSPORTATION"),0)</f>
        <v>15</v>
      </c>
      <c r="O105">
        <f t="shared" si="164"/>
        <v>-9</v>
      </c>
      <c r="P105" s="1">
        <v>66</v>
      </c>
      <c r="Q105" s="1">
        <f t="shared" si="165"/>
        <v>-195</v>
      </c>
      <c r="R105">
        <f>COUNTIFS(All!F:F,"=DOT*", All!B:B, "&gt;=7/1/2015", All!B:B,"&lt;=6/30/2016", All!E:E,"=U*",All!E:E,"&lt;&gt;UIPA*",All!E:E,"&lt;&gt;*RFO*",All!E:E,"&lt;&gt;*TRNG*",All!F:F,"&lt;&gt;dotax*")</f>
        <v>4</v>
      </c>
      <c r="S105" s="7">
        <f>ROUND(R105/(J105+C105),3)</f>
        <v>2.9000000000000001E-2</v>
      </c>
      <c r="T105">
        <f>SUMIFS(LogFY17!D:D,LogFY17!A:A,"=SOH_TRANSPORTATION")</f>
        <v>96</v>
      </c>
      <c r="U105">
        <f>SUM(SUMIFS(LogFY17!D:D,LogFY17!A:A,"=SOH_TRANSPORTATION"),-1*SUMIFS(LogFY17!L:L,LogFY17!A:A,"=SOH_TRANSPORTATION"),-1*SUMIFS(LogFY17!N:N,LogFY17!A:A,"=SOH_TRANSPORTATION"))</f>
        <v>13</v>
      </c>
      <c r="V105" s="7">
        <f t="shared" si="166"/>
        <v>0.13541666666666666</v>
      </c>
      <c r="W105" s="7">
        <f t="shared" si="167"/>
        <v>-4.0259009009009028E-2</v>
      </c>
      <c r="X105">
        <f>ROUND(SUMIFS(LogFY17!K:K,LogFY17!A:A,"=SOH_TRANSPORTATION")/SUMIFS(LogFY17!J:J,LogFY17!A:A,"=SOH_TRANSPORTATION"),0)</f>
        <v>21</v>
      </c>
      <c r="Y105">
        <f t="shared" si="168"/>
        <v>6</v>
      </c>
      <c r="Z105" s="1">
        <v>150</v>
      </c>
      <c r="AA105" s="1">
        <f t="shared" si="169"/>
        <v>84</v>
      </c>
      <c r="AB105">
        <f>COUNTIFS(All!F:F,"=DOT*", All!B:B, "&gt;=7/1/2016", All!B:B,"&lt;=6/30/2017", All!E:E,"=U*",All!E:E,"&lt;&gt;UIPA*",All!E:E,"&lt;&gt;*RFO*",All!E:E,"&lt;&gt;*TRNG*",All!F:F,"&lt;&gt;dotax*")</f>
        <v>4</v>
      </c>
      <c r="AC105" s="7">
        <f>ROUND(AB105/(T105+J105),3)</f>
        <v>2.4E-2</v>
      </c>
      <c r="AD105">
        <f>SUMIFS(LogFY18!D:D,LogFY18!A:A,"=SOH_TRANSPORTATION")</f>
        <v>106</v>
      </c>
      <c r="AE105">
        <f>SUM(SUMIFS(LogFY18!D:D,LogFY18!A:A,"=SOH_TRANSPORTATION"),-1*SUMIFS(LogFY18!L:L,LogFY18!A:A,"=SOH_TRANSPORTATION"),-1*SUMIFS(LogFY18!N:N,LogFY18!A:A,"=SOH_TRANSPORTATION"))</f>
        <v>30</v>
      </c>
      <c r="AF105" s="7">
        <f t="shared" si="170"/>
        <v>0.28301886792452829</v>
      </c>
      <c r="AG105" s="7">
        <f t="shared" si="171"/>
        <v>0.14760220125786164</v>
      </c>
      <c r="AH105">
        <f>ROUND(SUMIFS(LogFY18!K:K,LogFY18!A:A,"=SOH_TRANSPORTATION")/SUMIFS(LogFY18!J:J,LogFY18!A:A,"=SOH_TRANSPORTATION"),0)</f>
        <v>16</v>
      </c>
      <c r="AI105">
        <f t="shared" si="172"/>
        <v>-5</v>
      </c>
      <c r="AJ105" s="1">
        <v>130</v>
      </c>
      <c r="AK105" s="1">
        <f t="shared" si="173"/>
        <v>-20</v>
      </c>
      <c r="AL105">
        <f>COUNTIFS(All!F:F,"=DOT*", All!B:B, "&gt;=7/1/2017", All!B:B,"&lt;=6/30/2018", All!E:E,"=U*",All!E:E,"&lt;&gt;UIPA*",All!E:E,"&lt;&gt;*RFO*",All!E:E,"&lt;&gt;*TRNG*",All!F:F,"&lt;&gt;dotax*")</f>
        <v>2</v>
      </c>
      <c r="AM105" s="7">
        <f>ROUND(AL105/(AD105+T105),3)</f>
        <v>0.01</v>
      </c>
      <c r="AN105">
        <f>SUMIFS(LogFY19!D:D,LogFY19!A:A,"=SOH_TRANSPORTATION")</f>
        <v>97</v>
      </c>
      <c r="AO105">
        <f>SUM(SUMIFS(LogFY19!D:D,LogFY19!A:A,"=SOH_TRANSPORTATION"),-1*SUMIFS(LogFY19!L:L,LogFY19!A:A,"=SOH_TRANSPORTATION"),-1*SUMIFS(LogFY19!N:N,LogFY19!A:A,"=SOH_TRANSPORTATION"))</f>
        <v>14</v>
      </c>
      <c r="AP105" s="7">
        <f t="shared" si="174"/>
        <v>0.14432989690721648</v>
      </c>
      <c r="AQ105" s="7">
        <f t="shared" si="175"/>
        <v>-0.13868897101731181</v>
      </c>
      <c r="AR105">
        <f>ROUND(SUMIFS(LogFY19!K:K,LogFY19!A:A,"=SOH_TRANSPORTATION")/SUMIFS(LogFY19!J:J,LogFY19!A:A,"=SOH_TRANSPORTATION"),0)</f>
        <v>14</v>
      </c>
      <c r="AS105">
        <f t="shared" si="176"/>
        <v>-2</v>
      </c>
      <c r="AT105" s="1">
        <v>131</v>
      </c>
      <c r="AU105" s="1">
        <f t="shared" si="177"/>
        <v>1</v>
      </c>
      <c r="AV105">
        <f>COUNTIFS(All!F:F,"=DOT*", All!B:B, "&gt;=7/1/2018", All!B:B,"&lt;=6/30/2019", All!E:E,"=U*",All!E:E,"&lt;&gt;UIPA*",All!E:E,"&lt;&gt;*RFO*",All!E:E,"&lt;&gt;*TRNG*",All!F:F,"&lt;&gt;dotax*")</f>
        <v>6</v>
      </c>
      <c r="AW105" s="7">
        <f>ROUND(AV105/(AN105+AD105),3)</f>
        <v>0.03</v>
      </c>
      <c r="AX105">
        <f>SUMIFS(LogFY20!D:D,LogFY20!A:A,"=SOH_TRANSPORTATION")</f>
        <v>91</v>
      </c>
      <c r="AY105">
        <f>SUM(SUMIFS(LogFY20!D:D,LogFY20!A:A,"=SOH_TRANSPORTATION"),-1*SUMIFS(LogFY20!L:L,LogFY20!A:A,"=SOH_TRANSPORTATION"),-1*SUMIFS(LogFY20!N:N,LogFY20!A:A,"=SOH_TRANSPORTATION"))</f>
        <v>13</v>
      </c>
      <c r="AZ105" s="7">
        <f t="shared" si="178"/>
        <v>0.14285714285714285</v>
      </c>
      <c r="BA105" s="7">
        <f t="shared" si="179"/>
        <v>-1.4727540500736325E-3</v>
      </c>
      <c r="BB105">
        <f>ROUND(SUMIFS(LogFY20!K:K,LogFY20!A:A,"=SOH_TRANSPORTATION")/SUMIFS(LogFY20!J:J,LogFY20!A:A,"=SOH_TRANSPORTATION"),0)</f>
        <v>12</v>
      </c>
      <c r="BC105">
        <f t="shared" si="180"/>
        <v>-2</v>
      </c>
      <c r="BD105" s="1">
        <v>116</v>
      </c>
      <c r="BE105" s="1">
        <f t="shared" si="181"/>
        <v>-15</v>
      </c>
      <c r="BF105">
        <f>COUNTIFS(All!F:F,"=DOT*", All!B:B, "&gt;=7/1/2019", All!B:B,"&lt;=6/30/2020", All!E:E,"=U*",All!E:E,"&lt;&gt;UIPA*",All!E:E,"&lt;&gt;*RFO*",All!E:E,"&lt;&gt;*TRNG*",All!F:F,"&lt;&gt;dotax*")</f>
        <v>5</v>
      </c>
      <c r="BG105" s="7">
        <f>ROUND(BF105/(AX105+AN105),3)</f>
        <v>2.7E-2</v>
      </c>
      <c r="BH105">
        <f>SUMIFS(LogFY21!D:D,LogFY21!A:A,"=SOH_TRANSPORTATION")</f>
        <v>140</v>
      </c>
      <c r="BI105">
        <f>SUM(SUMIFS(LogFY21!D:D,LogFY21!A:A,"=SOH_TRANSPORTATION"),-1*SUMIFS(LogFY21!L:L,LogFY21!A:A,"=SOH_TRANSPORTATION"),-1*SUMIFS(LogFY21!N:N,LogFY21!A:A,"=SOH_TRANSPORTATION"))</f>
        <v>18</v>
      </c>
      <c r="BJ105" s="7">
        <f t="shared" si="182"/>
        <v>0.12857142857142856</v>
      </c>
      <c r="BK105" s="7">
        <f t="shared" si="183"/>
        <v>-1.428571428571429E-2</v>
      </c>
      <c r="BL105">
        <f>ROUND(SUMIFS(LogFY21!K:K,LogFY21!A:A,"=SOH_TRANSPORTATION")/SUMIFS(LogFY21!J:J,LogFY21!A:A,"=SOH_TRANSPORTATION"),0)</f>
        <v>7</v>
      </c>
      <c r="BM105">
        <f t="shared" si="184"/>
        <v>-5</v>
      </c>
      <c r="BN105" s="1">
        <v>75</v>
      </c>
      <c r="BO105" s="1">
        <f t="shared" si="185"/>
        <v>-41</v>
      </c>
      <c r="BP105">
        <f>COUNTIFS(All!F:F,"=DOT*", All!B:B, "&gt;=7/1/2020", All!B:B,"&lt;=6/30/2021", All!E:E,"=U*",All!E:E,"&lt;&gt;UIPA*",All!E:E,"&lt;&gt;*RFO*",All!E:E,"&lt;&gt;*TRNG*",All!F:F,"&lt;&gt;dotax*")</f>
        <v>3</v>
      </c>
      <c r="BQ105" s="7">
        <f>ROUND(BP105/(BH105+AX105),3)</f>
        <v>1.2999999999999999E-2</v>
      </c>
      <c r="BR105">
        <f>SUMIFS(LogFY22!D:D,LogFY22!A:A,"=SOH_TRANSPORTATION")</f>
        <v>155</v>
      </c>
      <c r="BS105">
        <f>SUM(SUMIFS(LogFY22!D:D,LogFY22!A:A,"=SOH_TRANSPORTATION"),-1*SUMIFS(LogFY22!L:L,LogFY22!A:A,"=SOH_TRANSPORTATION"),-1*SUMIFS(LogFY22!N:N,LogFY22!A:A,"=SOH_TRANSPORTATION"))</f>
        <v>34</v>
      </c>
      <c r="BT105" s="7">
        <f t="shared" si="186"/>
        <v>0.21935483870967742</v>
      </c>
      <c r="BU105" s="7">
        <f t="shared" si="187"/>
        <v>9.0783410138248866E-2</v>
      </c>
      <c r="BV105">
        <f>ROUND(SUMIFS(LogFY22!K:K,LogFY22!A:A,"=SOH_TRANSPORTATION")/SUMIFS(LogFY22!J:J,LogFY22!A:A,"=SOH_TRANSPORTATION"),0)</f>
        <v>10</v>
      </c>
      <c r="BW105">
        <f t="shared" si="188"/>
        <v>3</v>
      </c>
      <c r="BX105" s="1">
        <v>135</v>
      </c>
      <c r="BY105" s="1">
        <f t="shared" si="189"/>
        <v>60</v>
      </c>
      <c r="BZ105">
        <f>COUNTIFS(All!F:F,"=DOT*", All!B:B, "&gt;=7/1/2021", All!B:B,"&lt;=6/30/2022", All!E:E,"=U*",All!E:E,"&lt;&gt;UIPA*",All!E:E,"&lt;&gt;*RFO*",All!E:E,"&lt;&gt;*TRNG*",All!F:F,"&lt;&gt;dotax*")</f>
        <v>0</v>
      </c>
      <c r="CA105" s="7">
        <f>ROUND(BZ105/(BR105+BH105),3)</f>
        <v>0</v>
      </c>
      <c r="CB105">
        <f>SUMIFS(LogFY23!D:D,LogFY23!A:A,"=SOH_TRANSPORTATION")</f>
        <v>84</v>
      </c>
      <c r="CC105">
        <f>SUM(SUMIFS(LogFY23!D:D,LogFY23!A:A,"=SOH_TRANSPORTATION"),-1*SUMIFS(LogFY23!L:L,LogFY23!A:A,"=SOH_TRANSPORTATION"),-1*SUMIFS(LogFY23!N:N,LogFY23!A:A,"=SOH_TRANSPORTATION"))</f>
        <v>13</v>
      </c>
      <c r="CD105" s="7">
        <f t="shared" si="190"/>
        <v>0.15476190476190477</v>
      </c>
      <c r="CE105" s="7">
        <f t="shared" si="191"/>
        <v>-6.4592933947772657E-2</v>
      </c>
      <c r="CF105">
        <f>ROUND(SUMIFS(LogFY23!K:K,LogFY23!A:A,"=SOH_TRANSPORTATION")/SUMIFS(LogFY23!J:J,LogFY23!A:A,"=SOH_TRANSPORTATION"),0)</f>
        <v>10</v>
      </c>
      <c r="CG105">
        <f t="shared" si="192"/>
        <v>0</v>
      </c>
      <c r="CH105" s="1">
        <v>84</v>
      </c>
      <c r="CI105" s="1">
        <f t="shared" si="193"/>
        <v>-51</v>
      </c>
      <c r="CJ105">
        <f>COUNTIFS(All!F:F,"=DOT*", All!B:B, "&gt;=7/1/2022", All!B:B,"&lt;=6/30/2023", All!E:E,"=U*",All!E:E,"&lt;&gt;UIPA*",All!E:E,"&lt;&gt;*RFO*",All!E:E,"&lt;&gt;*TRNG*",All!F:F,"&lt;&gt;dotax*")</f>
        <v>4</v>
      </c>
      <c r="CK105" s="7">
        <f>ROUND(CJ105/(CB105+BR105),3)</f>
        <v>1.7000000000000001E-2</v>
      </c>
      <c r="CL105">
        <f>SUMIFS(LogFY24!D:D,LogFY24!A:A,"=SOH_TRANSPORTATION")</f>
        <v>67</v>
      </c>
      <c r="CM105">
        <f>SUM(SUMIFS(LogFY24!D:D,LogFY24!A:A,"=SOH_TRANSPORTATION"),-1*SUMIFS(LogFY24!L:L,LogFY24!A:A,"=SOH_TRANSPORTATION"),-1*SUMIFS(LogFY24!N:N,LogFY24!A:A,"=SOH_TRANSPORTATION"))</f>
        <v>16</v>
      </c>
      <c r="CN105" s="7">
        <f t="shared" si="157"/>
        <v>0.23880597014925373</v>
      </c>
      <c r="CO105" s="7">
        <f t="shared" si="158"/>
        <v>8.404406538734896E-2</v>
      </c>
      <c r="CP105">
        <f>ROUND(SUMIFS(LogFY24!K:K,LogFY24!A:A,"=SOH_TRANSPORTATION")/SUMIFS(LogFY24!J:J,LogFY24!A:A,"=SOH_TRANSPORTATION"),0)</f>
        <v>13</v>
      </c>
      <c r="CQ105">
        <f t="shared" si="159"/>
        <v>3</v>
      </c>
      <c r="CR105" s="1">
        <v>65</v>
      </c>
      <c r="CS105" s="1">
        <f t="shared" si="160"/>
        <v>-19</v>
      </c>
      <c r="CT105">
        <f>COUNTIFS(All!F:F,"=DOT*", All!B:B, "&gt;=7/1/2023", All!B:B,"&lt;=6/30/2024", All!E:E,"=U*",All!E:E,"&lt;&gt;UIPA*",All!E:E,"&lt;&gt;*RFO*",All!E:E,"&lt;&gt;*TRNG*",All!F:F,"&lt;&gt;dotax*")</f>
        <v>2</v>
      </c>
      <c r="CU105" s="7">
        <f>ROUND(CT105/(CL105+CB105),3)</f>
        <v>1.2999999999999999E-2</v>
      </c>
    </row>
    <row r="106" spans="1:99" ht="16">
      <c r="A106" s="10">
        <f t="shared" si="156"/>
        <v>105</v>
      </c>
      <c r="B106" s="9" t="s">
        <v>17481</v>
      </c>
      <c r="C106">
        <f>SUMIFS(LogFY15!D:D,LogFY15!A:A,"=*SOH_TRANSPORTATION*", LogFY15!B:B,"=*admin*")</f>
        <v>12</v>
      </c>
      <c r="D106">
        <f>SUM(SUMIFS(LogFY15!D:D,LogFY15!A:A,"=*SOH_TRANSPORTATION*", LogFY15!B:B,"=*admin*"),-1*SUMIFS(LogFY15!L:L,LogFY15!A:A,"=*SOH_TRANSPORTATION*", LogFY15!B:B,"=*admin*"),-1*SUMIFS(LogFY15!N:N,LogFY15!A:A,"=*SOH_TRANSPORTATION*", LogFY15!B:B,"=*admin*"))</f>
        <v>6</v>
      </c>
      <c r="E106" s="7">
        <f t="shared" si="161"/>
        <v>0.5</v>
      </c>
      <c r="F106">
        <f>ROUND(SUMIFS(LogFY15!K:K,LogFY15!A:A,"=*SOH_TRANSPORTATION*", LogFY15!B:B,"=*admin*")/SUMIFS(LogFY15!J:J,LogFY15!A:A,"=*SOH_TRANSPORTATION*", LogFY15!B:B,"=*admin*"),0)</f>
        <v>18</v>
      </c>
      <c r="G106" s="1">
        <v>71</v>
      </c>
      <c r="J106">
        <f>SUMIFS(LogFY16!D:D,LogFY16!A:A,"=*SOH_TRANSPORTATION*", LogFY16!B:B,"=*admin*")</f>
        <v>11</v>
      </c>
      <c r="K106">
        <f>SUM(SUMIFS(LogFY16!D:D,LogFY16!A:A,"=*SOH_TRANSPORTATION*", LogFY16!B:B,"=*admin*"),-1*SUMIFS(LogFY16!L:L,LogFY16!A:A,"=*SOH_TRANSPORTATION*", LogFY16!B:B,"=*admin*"),-1*SUMIFS(LogFY16!N:N,LogFY16!A:A,"=*SOH_TRANSPORTATION*", LogFY16!B:B,"=*admin*"))</f>
        <v>3</v>
      </c>
      <c r="L106" s="7">
        <f t="shared" si="162"/>
        <v>0.27272727272727271</v>
      </c>
      <c r="M106" s="7">
        <f t="shared" si="163"/>
        <v>-0.22727272727272729</v>
      </c>
      <c r="N106">
        <f>ROUND(SUMIFS(LogFY16!K:K,LogFY16!A:A,"=*SOH_TRANSPORTATION*", LogFY16!B:B,"=*admin*")/SUMIFS(LogFY16!J:J,LogFY16!A:A,"=*SOH_TRANSPORTATION*", LogFY16!B:B,"=*admin*"),0)</f>
        <v>17</v>
      </c>
      <c r="O106">
        <f t="shared" si="164"/>
        <v>-1</v>
      </c>
      <c r="P106" s="1">
        <v>47</v>
      </c>
      <c r="Q106" s="1">
        <f t="shared" si="165"/>
        <v>-24</v>
      </c>
      <c r="T106">
        <f>SUMIFS(LogFY17!D:D,LogFY17!A:A,"=*SOH_TRANSPORTATION*", LogFY17!B:B,"=*admin*")</f>
        <v>16</v>
      </c>
      <c r="U106">
        <f>SUM(SUMIFS(LogFY17!D:D,LogFY17!A:A,"=*SOH_TRANSPORTATION*", LogFY17!B:B,"=*admin*"),-1*SUMIFS(LogFY17!L:L,LogFY17!A:A,"=*SOH_TRANSPORTATION*", LogFY17!B:B,"=*admin*"),-1*SUMIFS(LogFY17!N:N,LogFY17!A:A,"=*SOH_TRANSPORTATION*", LogFY17!B:B,"=*admin*"))</f>
        <v>8</v>
      </c>
      <c r="V106" s="7">
        <f t="shared" si="166"/>
        <v>0.5</v>
      </c>
      <c r="W106" s="7">
        <f t="shared" si="167"/>
        <v>0.22727272727272729</v>
      </c>
      <c r="X106">
        <f>ROUND(SUMIFS(LogFY17!K:K,LogFY17!A:A,"=*SOH_TRANSPORTATION*", LogFY17!B:B,"=*admin*")/SUMIFS(LogFY17!J:J,LogFY17!A:A,"=*SOH_TRANSPORTATION*", LogFY17!B:B,"=*admin*"),0)</f>
        <v>20</v>
      </c>
      <c r="Y106">
        <f t="shared" si="168"/>
        <v>3</v>
      </c>
      <c r="Z106" s="1">
        <v>68</v>
      </c>
      <c r="AA106" s="1">
        <f t="shared" si="169"/>
        <v>21</v>
      </c>
      <c r="AD106">
        <f>SUMIFS(LogFY18!D:D,LogFY18!A:A,"=*SOH_TRANSPORTATION*", LogFY18!B:B,"=*admin*")</f>
        <v>26</v>
      </c>
      <c r="AE106">
        <f>SUM(SUMIFS(LogFY18!D:D,LogFY18!A:A,"=*SOH_TRANSPORTATION*", LogFY18!B:B,"=*admin*"),-1*SUMIFS(LogFY18!L:L,LogFY18!A:A,"=*SOH_TRANSPORTATION*", LogFY18!B:B,"=*admin*"),-1*SUMIFS(LogFY18!N:N,LogFY18!A:A,"=*SOH_TRANSPORTATION*", LogFY18!B:B,"=*admin*"))</f>
        <v>16</v>
      </c>
      <c r="AF106" s="7">
        <f t="shared" si="170"/>
        <v>0.61538461538461542</v>
      </c>
      <c r="AG106" s="7">
        <f t="shared" si="171"/>
        <v>0.11538461538461542</v>
      </c>
      <c r="AH106">
        <f>ROUND(SUMIFS(LogFY18!K:K,LogFY18!A:A,"=*SOH_TRANSPORTATION*", LogFY18!B:B,"=*admin*")/SUMIFS(LogFY18!J:J,LogFY18!A:A,"=*SOH_TRANSPORTATION*", LogFY18!B:B,"=*admin*"),0)</f>
        <v>11</v>
      </c>
      <c r="AI106">
        <f t="shared" si="172"/>
        <v>-9</v>
      </c>
      <c r="AJ106" s="1">
        <v>54</v>
      </c>
      <c r="AK106" s="1">
        <f t="shared" si="173"/>
        <v>-14</v>
      </c>
      <c r="AN106">
        <f>SUMIFS(LogFY19!D:D,LogFY19!A:A,"=*SOH_TRANSPORTATION*", LogFY19!B:B,"=*admin*")</f>
        <v>10</v>
      </c>
      <c r="AO106">
        <f>SUM(SUMIFS(LogFY19!D:D,LogFY19!A:A,"=*SOH_TRANSPORTATION*", LogFY19!B:B,"=*admin*"),-1*SUMIFS(LogFY19!L:L,LogFY19!A:A,"=*SOH_TRANSPORTATION*", LogFY19!B:B,"=*admin*"),-1*SUMIFS(LogFY19!N:N,LogFY19!A:A,"=*SOH_TRANSPORTATION*", LogFY19!B:B,"=*admin*"))</f>
        <v>1</v>
      </c>
      <c r="AP106" s="7">
        <f t="shared" si="174"/>
        <v>0.1</v>
      </c>
      <c r="AQ106" s="7">
        <f t="shared" si="175"/>
        <v>-0.51538461538461544</v>
      </c>
      <c r="AR106">
        <f>ROUND(SUMIFS(LogFY19!K:K,LogFY19!A:A,"=*SOH_TRANSPORTATION*", LogFY19!B:B,"=*admin*")/SUMIFS(LogFY19!J:J,LogFY19!A:A,"=*SOH_TRANSPORTATION*", LogFY19!B:B,"=*admin*"),0)</f>
        <v>6</v>
      </c>
      <c r="AS106">
        <f t="shared" si="176"/>
        <v>-5</v>
      </c>
      <c r="AT106" s="1">
        <v>14</v>
      </c>
      <c r="AU106" s="1">
        <f t="shared" si="177"/>
        <v>-40</v>
      </c>
      <c r="AX106">
        <f>SUMIFS(LogFY20!D:D,LogFY20!A:A,"=*SOH_TRANSPORTATION*", LogFY20!B:B,"=*admin*")</f>
        <v>13</v>
      </c>
      <c r="AY106">
        <f>SUM(SUMIFS(LogFY20!D:D,LogFY20!A:A,"=*SOH_TRANSPORTATION*", LogFY20!B:B,"=*admin*"),-1*SUMIFS(LogFY20!L:L,LogFY20!A:A,"=*SOH_TRANSPORTATION*", LogFY20!B:B,"=*admin*"),-1*SUMIFS(LogFY20!N:N,LogFY20!A:A,"=*SOH_TRANSPORTATION*", LogFY20!B:B,"=*admin*"))</f>
        <v>1</v>
      </c>
      <c r="AZ106" s="7">
        <f t="shared" si="178"/>
        <v>7.6923076923076927E-2</v>
      </c>
      <c r="BA106" s="7">
        <f t="shared" si="179"/>
        <v>-2.3076923076923078E-2</v>
      </c>
      <c r="BB106">
        <f>ROUND(SUMIFS(LogFY20!K:K,LogFY20!A:A,"=*SOH_TRANSPORTATION*", LogFY20!B:B,"=*admin*")/SUMIFS(LogFY20!J:J,LogFY20!A:A,"=*SOH_TRANSPORTATION*", LogFY20!B:B,"=*admin*"),0)</f>
        <v>6</v>
      </c>
      <c r="BC106">
        <f t="shared" si="180"/>
        <v>0</v>
      </c>
      <c r="BD106" s="1">
        <v>11</v>
      </c>
      <c r="BE106" s="1">
        <f t="shared" si="181"/>
        <v>-3</v>
      </c>
      <c r="BH106">
        <f>SUMIFS(LogFY21!D:D,LogFY21!A:A,"=*SOH_TRANSPORTATION*", LogFY21!B:B,"=*admin*")</f>
        <v>6</v>
      </c>
      <c r="BI106">
        <f>SUM(SUMIFS(LogFY21!D:D,LogFY21!A:A,"=*SOH_TRANSPORTATION*", LogFY21!B:B,"=*admin*"),-1*SUMIFS(LogFY21!L:L,LogFY21!A:A,"=*SOH_TRANSPORTATION*", LogFY21!B:B,"=*admin*"),-1*SUMIFS(LogFY21!N:N,LogFY21!A:A,"=*SOH_TRANSPORTATION*", LogFY21!B:B,"=*admin*"))</f>
        <v>2</v>
      </c>
      <c r="BJ106" s="7">
        <f t="shared" si="182"/>
        <v>0.33333333333333331</v>
      </c>
      <c r="BK106" s="7">
        <f t="shared" si="183"/>
        <v>0.25641025641025639</v>
      </c>
      <c r="BL106">
        <f>ROUND(SUMIFS(LogFY21!K:K,LogFY21!A:A,"=*SOH_TRANSPORTATION*", LogFY21!B:B,"=*admin*")/SUMIFS(LogFY21!J:J,LogFY21!A:A,"=*SOH_TRANSPORTATION*", LogFY21!B:B,"=*admin*"),0)</f>
        <v>5</v>
      </c>
      <c r="BM106">
        <f t="shared" si="184"/>
        <v>-1</v>
      </c>
      <c r="BN106" s="1">
        <v>12</v>
      </c>
      <c r="BO106" s="1">
        <f t="shared" si="185"/>
        <v>1</v>
      </c>
      <c r="BR106">
        <f>SUMIFS(LogFY22!D:D,LogFY22!A:A,"=*SOH_TRANSPORTATION*", LogFY22!B:B,"=*admin*")</f>
        <v>13</v>
      </c>
      <c r="BS106">
        <f>SUM(SUMIFS(LogFY22!D:D,LogFY22!A:A,"=*SOH_TRANSPORTATION*", LogFY22!B:B,"=*admin*"),-1*SUMIFS(LogFY22!L:L,LogFY22!A:A,"=*SOH_TRANSPORTATION*", LogFY22!B:B,"=*admin*"),-1*SUMIFS(LogFY22!N:N,LogFY22!A:A,"=*SOH_TRANSPORTATION*", LogFY22!B:B,"=*admin*"))</f>
        <v>6</v>
      </c>
      <c r="BT106" s="7">
        <f t="shared" si="186"/>
        <v>0.46153846153846156</v>
      </c>
      <c r="BU106" s="7">
        <f t="shared" si="187"/>
        <v>0.12820512820512825</v>
      </c>
      <c r="BV106">
        <f>ROUND(SUMIFS(LogFY22!K:K,LogFY22!A:A,"=*SOH_TRANSPORTATION*", LogFY22!B:B,"=*admin*")/SUMIFS(LogFY22!J:J,LogFY22!A:A,"=*SOH_TRANSPORTATION*", LogFY22!B:B,"=*admin*"),0)</f>
        <v>14</v>
      </c>
      <c r="BW106">
        <f t="shared" si="188"/>
        <v>9</v>
      </c>
      <c r="BX106" s="1">
        <v>39</v>
      </c>
      <c r="BY106" s="1">
        <f t="shared" si="189"/>
        <v>27</v>
      </c>
      <c r="CB106">
        <f>SUMIFS(LogFY23!D:D,LogFY23!A:A,"=*SOH_TRANSPORTATION*", LogFY23!B:B,"=*admin*")</f>
        <v>13</v>
      </c>
      <c r="CC106">
        <f>SUM(SUMIFS(LogFY23!D:D,LogFY23!A:A,"=*SOH_TRANSPORTATION*", LogFY23!B:B,"=*admin*"),-1*SUMIFS(LogFY23!L:L,LogFY23!A:A,"=*SOH_TRANSPORTATION*", LogFY23!B:B,"=*admin*"),-1*SUMIFS(LogFY23!N:N,LogFY23!A:A,"=*SOH_TRANSPORTATION*", LogFY23!B:B,"=*admin*"))</f>
        <v>4</v>
      </c>
      <c r="CD106" s="7">
        <f t="shared" si="190"/>
        <v>0.30769230769230771</v>
      </c>
      <c r="CE106" s="7">
        <f t="shared" si="191"/>
        <v>-0.15384615384615385</v>
      </c>
      <c r="CF106">
        <f>ROUND(SUMIFS(LogFY23!K:K,LogFY23!A:A,"=*SOH_TRANSPORTATION*", LogFY23!B:B,"=*admin*")/SUMIFS(LogFY23!J:J,LogFY23!A:A,"=*SOH_TRANSPORTATION*", LogFY23!B:B,"=*admin*"),0)</f>
        <v>11</v>
      </c>
      <c r="CG106">
        <f t="shared" si="192"/>
        <v>-3</v>
      </c>
      <c r="CH106" s="1">
        <v>32</v>
      </c>
      <c r="CI106" s="1">
        <f t="shared" si="193"/>
        <v>-7</v>
      </c>
      <c r="CK106" s="7"/>
      <c r="CL106">
        <f>SUMIFS(LogFY24!D:D,LogFY24!A:A,"=*SOH_TRANSPORTATION*", LogFY24!B:B,"=*admin*")</f>
        <v>16</v>
      </c>
      <c r="CM106">
        <f>SUM(SUMIFS(LogFY24!D:D,LogFY24!A:A,"=*SOH_TRANSPORTATION*", LogFY24!B:B,"=*admin*"),-1*SUMIFS(LogFY24!L:L,LogFY24!A:A,"=*SOH_TRANSPORTATION*", LogFY24!B:B,"=*admin*"),-1*SUMIFS(LogFY24!N:N,LogFY24!A:A,"=*SOH_TRANSPORTATION*", LogFY24!B:B,"=*admin*"))</f>
        <v>4</v>
      </c>
      <c r="CN106" s="7">
        <f t="shared" si="157"/>
        <v>0.25</v>
      </c>
      <c r="CO106" s="7">
        <f t="shared" si="158"/>
        <v>-5.7692307692307709E-2</v>
      </c>
      <c r="CP106">
        <f>ROUND(SUMIFS(LogFY24!K:K,LogFY24!A:A,"=*SOH_TRANSPORTATION*", LogFY24!B:B,"=*admin*")/SUMIFS(LogFY24!J:J,LogFY24!A:A,"=*SOH_TRANSPORTATION*", LogFY24!B:B,"=*admin*"),0)</f>
        <v>13</v>
      </c>
      <c r="CQ106">
        <f t="shared" si="159"/>
        <v>2</v>
      </c>
      <c r="CR106" s="1">
        <v>32</v>
      </c>
      <c r="CS106" s="1">
        <f t="shared" si="160"/>
        <v>0</v>
      </c>
    </row>
    <row r="107" spans="1:99" ht="16">
      <c r="A107" s="10">
        <f t="shared" si="156"/>
        <v>106</v>
      </c>
      <c r="B107" s="9" t="s">
        <v>17482</v>
      </c>
      <c r="C107">
        <f>SUMIFS(LogFY15!D:D,LogFY15!B:B,"=*highways*")</f>
        <v>44</v>
      </c>
      <c r="D107">
        <f>SUM(SUMIFS(LogFY15!D:D,LogFY15!B:B,"=*highways*"),-1*SUMIFS(LogFY15!L:L,LogFY15!B:B,"=*highways*"),-1*SUMIFS(LogFY15!N:N,LogFY15!B:B,"=*highways*"))</f>
        <v>11</v>
      </c>
      <c r="E107" s="7">
        <f t="shared" si="161"/>
        <v>0.25</v>
      </c>
      <c r="F107">
        <f>ROUND(SUMIFS(LogFY15!K:K,LogFY15!B:B,"=*highways*")/SUMIFS(LogFY15!J:J,LogFY15!B:B,"=*highways*"),0)</f>
        <v>29</v>
      </c>
      <c r="G107" s="1">
        <v>261</v>
      </c>
      <c r="J107">
        <f>SUMIFS(LogFY16!D:D,LogFY16!B:B,"=*highways*")</f>
        <v>37</v>
      </c>
      <c r="K107">
        <f>SUM(SUMIFS(LogFY16!D:D,LogFY16!B:B,"=*highways*"),-1*SUMIFS(LogFY16!L:L,LogFY16!B:B,"=*highways*"),-1*SUMIFS(LogFY16!N:N,LogFY16!B:B,"=*highways*"))</f>
        <v>5</v>
      </c>
      <c r="L107" s="7">
        <f t="shared" si="162"/>
        <v>0.13513513513513514</v>
      </c>
      <c r="M107" s="7">
        <f t="shared" si="163"/>
        <v>-0.11486486486486486</v>
      </c>
      <c r="N107">
        <f>ROUND(SUMIFS(LogFY16!K:K,LogFY16!B:B,"=*highways*")/SUMIFS(LogFY16!J:J,LogFY16!B:B,"=*highways*"),0)</f>
        <v>15</v>
      </c>
      <c r="O107">
        <f t="shared" si="164"/>
        <v>-14</v>
      </c>
      <c r="P107" s="1">
        <v>66</v>
      </c>
      <c r="Q107" s="1">
        <f t="shared" si="165"/>
        <v>-195</v>
      </c>
      <c r="T107">
        <f>SUMIFS(LogFY17!D:D,LogFY17!B:B,"=*highways*")</f>
        <v>35</v>
      </c>
      <c r="U107">
        <f>SUM(SUMIFS(LogFY17!D:D,LogFY17!B:B,"=*highways*"),-1*SUMIFS(LogFY17!L:L,LogFY17!B:B,"=*highways*"),-1*SUMIFS(LogFY17!N:N,LogFY17!B:B,"=*highways*"))</f>
        <v>2</v>
      </c>
      <c r="V107" s="7">
        <f t="shared" si="166"/>
        <v>5.7142857142857141E-2</v>
      </c>
      <c r="W107" s="7">
        <f t="shared" si="167"/>
        <v>-7.7992277992278009E-2</v>
      </c>
      <c r="X107">
        <f>ROUND(SUMIFS(LogFY17!K:K,LogFY17!B:B,"=*highways*")/SUMIFS(LogFY17!J:J,LogFY17!B:B,"=*highways*"),0)</f>
        <v>31</v>
      </c>
      <c r="Y107">
        <f t="shared" si="168"/>
        <v>16</v>
      </c>
      <c r="Z107" s="1">
        <v>150</v>
      </c>
      <c r="AA107" s="1">
        <f t="shared" si="169"/>
        <v>84</v>
      </c>
      <c r="AD107">
        <f>SUMIFS(LogFY18!D:D,LogFY18!B:B,"=*highways*")</f>
        <v>37</v>
      </c>
      <c r="AE107">
        <f>SUM(SUMIFS(LogFY18!D:D,LogFY18!B:B,"=*highways*"),-1*SUMIFS(LogFY18!L:L,LogFY18!B:B,"=*highways*"),-1*SUMIFS(LogFY18!N:N,LogFY18!B:B,"=*highways*"))</f>
        <v>6</v>
      </c>
      <c r="AF107" s="7">
        <f t="shared" si="170"/>
        <v>0.16216216216216217</v>
      </c>
      <c r="AG107" s="7">
        <f t="shared" si="171"/>
        <v>0.10501930501930504</v>
      </c>
      <c r="AH107">
        <f>ROUND(SUMIFS(LogFY18!K:K,LogFY18!B:B,"=*highways*")/SUMIFS(LogFY18!J:J,LogFY18!B:B,"=*highways*"),0)</f>
        <v>25</v>
      </c>
      <c r="AI107">
        <f t="shared" si="172"/>
        <v>-6</v>
      </c>
      <c r="AJ107" s="1">
        <v>130</v>
      </c>
      <c r="AK107" s="1">
        <f t="shared" si="173"/>
        <v>-20</v>
      </c>
      <c r="AN107">
        <f>SUMIFS(LogFY19!D:D,LogFY19!B:B,"=*highways*")</f>
        <v>28</v>
      </c>
      <c r="AO107">
        <f>SUM(SUMIFS(LogFY19!D:D,LogFY19!B:B,"=*highways*"),-1*SUMIFS(LogFY19!L:L,LogFY19!B:B,"=*highways*"),-1*SUMIFS(LogFY19!N:N,LogFY19!B:B,"=*highways*"))</f>
        <v>2</v>
      </c>
      <c r="AP107" s="7">
        <f t="shared" si="174"/>
        <v>7.1428571428571425E-2</v>
      </c>
      <c r="AQ107" s="7">
        <f t="shared" si="175"/>
        <v>-9.0733590733590747E-2</v>
      </c>
      <c r="AR107">
        <f>ROUND(SUMIFS(LogFY19!K:K,LogFY19!B:B,"=*highways*")/SUMIFS(LogFY19!J:J,LogFY19!B:B,"=*highways*"),0)</f>
        <v>18</v>
      </c>
      <c r="AS107">
        <f t="shared" si="176"/>
        <v>-7</v>
      </c>
      <c r="AT107" s="1">
        <v>131</v>
      </c>
      <c r="AU107" s="1">
        <f t="shared" si="177"/>
        <v>1</v>
      </c>
      <c r="AX107">
        <f>SUMIFS(LogFY20!D:D,LogFY20!B:B,"=*highways*")</f>
        <v>41</v>
      </c>
      <c r="AY107">
        <f>SUM(SUMIFS(LogFY20!D:D,LogFY20!B:B,"=*highways*"),-1*SUMIFS(LogFY20!L:L,LogFY20!B:B,"=*highways*"),-1*SUMIFS(LogFY20!N:N,LogFY20!B:B,"=*highways*"))</f>
        <v>1</v>
      </c>
      <c r="AZ107" s="7">
        <f t="shared" si="178"/>
        <v>2.4390243902439025E-2</v>
      </c>
      <c r="BA107" s="7">
        <f t="shared" si="179"/>
        <v>-4.7038327526132399E-2</v>
      </c>
      <c r="BB107">
        <f>ROUND(SUMIFS(LogFY20!K:K,LogFY20!B:B,"=*highways*")/SUMIFS(LogFY20!J:J,LogFY20!B:B,"=*highways*"),0)</f>
        <v>9</v>
      </c>
      <c r="BC107">
        <f t="shared" si="180"/>
        <v>-9</v>
      </c>
      <c r="BD107" s="1">
        <v>72</v>
      </c>
      <c r="BE107" s="1">
        <f t="shared" si="181"/>
        <v>-59</v>
      </c>
      <c r="BH107">
        <f>SUMIFS(LogFY21!D:D,LogFY21!B:B,"=*highways*")</f>
        <v>87</v>
      </c>
      <c r="BI107">
        <f>SUM(SUMIFS(LogFY21!D:D,LogFY21!B:B,"=*highways*"),-1*SUMIFS(LogFY21!L:L,LogFY21!B:B,"=*highways*"),-1*SUMIFS(LogFY21!N:N,LogFY21!B:B,"=*highways*"))</f>
        <v>5</v>
      </c>
      <c r="BJ107" s="7">
        <f t="shared" si="182"/>
        <v>5.7471264367816091E-2</v>
      </c>
      <c r="BK107" s="7">
        <f t="shared" si="183"/>
        <v>3.3081020465377066E-2</v>
      </c>
      <c r="BL107">
        <f>ROUND(SUMIFS(LogFY21!K:K,LogFY21!B:B,"=*highways*")/SUMIFS(LogFY21!J:J,LogFY21!B:B,"=*highways*"),0)</f>
        <v>7</v>
      </c>
      <c r="BM107">
        <f t="shared" si="184"/>
        <v>-2</v>
      </c>
      <c r="BN107" s="1">
        <v>75</v>
      </c>
      <c r="BO107" s="1">
        <f t="shared" si="185"/>
        <v>3</v>
      </c>
      <c r="BR107">
        <f>SUMIFS(LogFY22!D:D,LogFY22!B:B,"=*highways*")</f>
        <v>86</v>
      </c>
      <c r="BS107">
        <f>SUM(SUMIFS(LogFY22!D:D,LogFY22!B:B,"=*highways*"),-1*SUMIFS(LogFY22!L:L,LogFY22!B:B,"=*highways*"),-1*SUMIFS(LogFY22!N:N,LogFY22!B:B,"=*highways*"))</f>
        <v>10</v>
      </c>
      <c r="BT107" s="7">
        <f t="shared" si="186"/>
        <v>0.11627906976744186</v>
      </c>
      <c r="BU107" s="7">
        <f t="shared" si="187"/>
        <v>5.8807805399625768E-2</v>
      </c>
      <c r="BV107">
        <f>ROUND(SUMIFS(LogFY22!K:K,LogFY22!B:B,"=*highways*")/SUMIFS(LogFY22!J:J,LogFY22!B:B,"=*highways*"),0)</f>
        <v>7</v>
      </c>
      <c r="BW107">
        <f t="shared" si="188"/>
        <v>0</v>
      </c>
      <c r="BX107" s="1">
        <v>43</v>
      </c>
      <c r="BY107" s="1">
        <f t="shared" si="189"/>
        <v>-32</v>
      </c>
      <c r="CB107">
        <f>SUMIFS(LogFY23!D:D,LogFY23!B:B,"=*highways*")</f>
        <v>31</v>
      </c>
      <c r="CC107">
        <f>SUM(SUMIFS(LogFY23!D:D,LogFY23!B:B,"=*highways*"),-1*SUMIFS(LogFY23!L:L,LogFY23!B:B,"=*highways*"),-1*SUMIFS(LogFY23!N:N,LogFY23!B:B,"=*highways*"))</f>
        <v>5</v>
      </c>
      <c r="CD107" s="7">
        <f t="shared" si="190"/>
        <v>0.16129032258064516</v>
      </c>
      <c r="CE107" s="7">
        <f t="shared" si="191"/>
        <v>4.5011252813203298E-2</v>
      </c>
      <c r="CF107">
        <f>ROUND(SUMIFS(LogFY23!K:K,LogFY23!B:B,"=*highways*")/SUMIFS(LogFY23!J:J,LogFY23!B:B,"=*highways*"),0)</f>
        <v>11</v>
      </c>
      <c r="CG107">
        <f t="shared" si="192"/>
        <v>4</v>
      </c>
      <c r="CH107" s="1">
        <v>84</v>
      </c>
      <c r="CI107" s="1">
        <f t="shared" si="193"/>
        <v>41</v>
      </c>
      <c r="CK107" s="7"/>
      <c r="CL107">
        <f>SUMIFS(LogFY24!D:D,LogFY24!B:B,"=*highways*")</f>
        <v>12</v>
      </c>
      <c r="CM107">
        <f>SUM(SUMIFS(LogFY24!D:D,LogFY24!B:B,"=*highways*"),-1*SUMIFS(LogFY24!L:L,LogFY24!B:B,"=*highways*"),-1*SUMIFS(LogFY24!N:N,LogFY24!B:B,"=*highways*"))</f>
        <v>3</v>
      </c>
      <c r="CN107" s="7">
        <f t="shared" si="157"/>
        <v>0.25</v>
      </c>
      <c r="CO107" s="7">
        <f t="shared" si="158"/>
        <v>8.8709677419354843E-2</v>
      </c>
      <c r="CP107">
        <f>ROUND(SUMIFS(LogFY24!K:K,LogFY24!B:B,"=*highways*")/SUMIFS(LogFY24!J:J,LogFY24!B:B,"=*highways*"),0)</f>
        <v>17</v>
      </c>
      <c r="CQ107">
        <f t="shared" si="159"/>
        <v>6</v>
      </c>
      <c r="CR107" s="1">
        <v>48</v>
      </c>
      <c r="CS107" s="1">
        <f t="shared" si="160"/>
        <v>-36</v>
      </c>
    </row>
    <row r="108" spans="1:99" ht="16">
      <c r="A108" s="10">
        <f t="shared" si="156"/>
        <v>107</v>
      </c>
      <c r="B108" s="1" t="s">
        <v>17238</v>
      </c>
      <c r="C108">
        <f>SUMIFS(LogFY15!D:D,LogFY15!A:A,"=SOH_GOVERNOR")</f>
        <v>43</v>
      </c>
      <c r="D108">
        <f>SUM(SUMIFS(LogFY15!D:D,LogFY15!A:A,"=SOH_GOVERNOR"),-1*SUMIFS(LogFY15!L:L,LogFY15!A:A,"=SOH_GOVERNOR"),-1*SUMIFS(LogFY15!N:N,LogFY15!A:A,"=SOH_GOVERNOR"))</f>
        <v>16</v>
      </c>
      <c r="E108" s="7">
        <f t="shared" si="161"/>
        <v>0.37209302325581395</v>
      </c>
      <c r="F108">
        <f>ROUND(SUMIFS(LogFY15!K:K,LogFY15!A:A,"=SOH_GOVERNOR")/SUMIFS(LogFY15!J:J,LogFY15!A:A,"=SOH_GOVERNOR"),0)</f>
        <v>11</v>
      </c>
      <c r="G108" s="1">
        <v>36</v>
      </c>
      <c r="H108">
        <f>COUNTIFS(All!F:F,"=gov*", All!B:B, "&gt;=7/1/2014", All!B:B,"&lt;=6/30/2015", All!E:E,"=U*",All!E:E,"&lt;&gt;UIPA*",All!E:E,"&lt;&gt;*RFO*",All!E:E,"&lt;&gt;*TRNG*")</f>
        <v>0</v>
      </c>
      <c r="I108" s="7">
        <f>ROUND(H108/C108,3)</f>
        <v>0</v>
      </c>
      <c r="J108">
        <f>SUMIFS(LogFY16!D:D,LogFY16!A:A,"=SOH_GOVERNOR")</f>
        <v>21</v>
      </c>
      <c r="K108">
        <f>SUM(SUMIFS(LogFY16!D:D,LogFY16!A:A,"=SOH_GOVERNOR"),-1*SUMIFS(LogFY16!L:L,LogFY16!A:A,"=SOH_GOVERNOR"),-1*SUMIFS(LogFY16!N:N,LogFY16!A:A,"=SOH_GOVERNOR"))</f>
        <v>5</v>
      </c>
      <c r="L108" s="7">
        <f t="shared" si="162"/>
        <v>0.23809523809523808</v>
      </c>
      <c r="M108" s="7">
        <f t="shared" si="163"/>
        <v>-0.13399778516057587</v>
      </c>
      <c r="N108">
        <f>ROUND(SUMIFS(LogFY16!K:K,LogFY16!A:A,"=SOH_GOVERNOR")/SUMIFS(LogFY16!J:J,LogFY16!A:A,"=SOH_GOVERNOR"),0)</f>
        <v>9</v>
      </c>
      <c r="O108">
        <f t="shared" si="164"/>
        <v>-2</v>
      </c>
      <c r="P108" s="1">
        <v>21</v>
      </c>
      <c r="Q108" s="1">
        <f t="shared" si="165"/>
        <v>-15</v>
      </c>
      <c r="R108">
        <f>COUNTIFS(All!F:F,"=gov*", All!B:B, "&gt;=7/1/2015", All!B:B,"&lt;=6/30/2016", All!E:E,"=U*",All!E:E,"&lt;&gt;UIPA*",All!E:E,"&lt;&gt;*RFO*",All!E:E,"&lt;&gt;*TRNG*")</f>
        <v>0</v>
      </c>
      <c r="S108" s="7">
        <f>ROUND(R108/(J108+C108),3)</f>
        <v>0</v>
      </c>
      <c r="T108">
        <f>SUMIFS(LogFY17!D:D,LogFY17!A:A,"=SOH_GOVERNOR")</f>
        <v>10</v>
      </c>
      <c r="U108">
        <f>SUM(SUMIFS(LogFY17!D:D,LogFY17!A:A,"=SOH_GOVERNOR"),-1*SUMIFS(LogFY17!L:L,LogFY17!A:A,"=SOH_GOVERNOR"),-1*SUMIFS(LogFY17!N:N,LogFY17!A:A,"=SOH_GOVERNOR"))</f>
        <v>3</v>
      </c>
      <c r="V108" s="7">
        <f t="shared" si="166"/>
        <v>0.3</v>
      </c>
      <c r="W108" s="7">
        <f t="shared" si="167"/>
        <v>6.1904761904761907E-2</v>
      </c>
      <c r="X108">
        <f>ROUND(SUMIFS(LogFY17!K:K,LogFY17!A:A,"=SOH_GOVERNOR")/SUMIFS(LogFY17!J:J,LogFY17!A:A,"=SOH_GOVERNOR"),0)</f>
        <v>14</v>
      </c>
      <c r="Y108">
        <f t="shared" si="168"/>
        <v>5</v>
      </c>
      <c r="Z108" s="1">
        <v>27</v>
      </c>
      <c r="AA108" s="1">
        <f t="shared" si="169"/>
        <v>6</v>
      </c>
      <c r="AB108">
        <f>COUNTIFS(All!F:F,"=gov*", All!B:B, "&gt;=7/1/2016", All!B:B,"&lt;=6/30/2017", All!E:E,"=U*",All!E:E,"&lt;&gt;UIPA*",All!E:E,"&lt;&gt;*RFO*",All!E:E,"&lt;&gt;*TRNG*")</f>
        <v>1</v>
      </c>
      <c r="AC108" s="7">
        <f>ROUND(AB108/(T108+J108),3)</f>
        <v>3.2000000000000001E-2</v>
      </c>
      <c r="AD108">
        <f>SUMIFS(LogFY18!D:D,LogFY18!A:A,"=SOH_GOVERNOR")</f>
        <v>21</v>
      </c>
      <c r="AE108">
        <f>SUM(SUMIFS(LogFY18!D:D,LogFY18!A:A,"=SOH_GOVERNOR"),-1*SUMIFS(LogFY18!L:L,LogFY18!A:A,"=SOH_GOVERNOR"),-1*SUMIFS(LogFY18!N:N,LogFY18!A:A,"=SOH_GOVERNOR"))</f>
        <v>15</v>
      </c>
      <c r="AF108" s="7">
        <f t="shared" si="170"/>
        <v>0.7142857142857143</v>
      </c>
      <c r="AG108" s="7">
        <f t="shared" si="171"/>
        <v>0.41428571428571431</v>
      </c>
      <c r="AH108">
        <f>ROUND(SUMIFS(LogFY18!K:K,LogFY18!A:A,"=SOH_GOVERNOR")/SUMIFS(LogFY18!J:J,LogFY18!A:A,"=SOH_GOVERNOR"),0)</f>
        <v>14</v>
      </c>
      <c r="AI108">
        <f t="shared" si="172"/>
        <v>0</v>
      </c>
      <c r="AJ108" s="1">
        <v>34</v>
      </c>
      <c r="AK108" s="1">
        <f t="shared" si="173"/>
        <v>7</v>
      </c>
      <c r="AL108">
        <f>COUNTIFS(All!F:F,"=gov*", All!B:B, "&gt;=7/1/2017", All!B:B,"&lt;=6/30/2018", All!E:E,"=U*",All!E:E,"&lt;&gt;UIPA*",All!E:E,"&lt;&gt;*RFO*",All!E:E,"&lt;&gt;*TRNG*")</f>
        <v>1</v>
      </c>
      <c r="AM108" s="7">
        <f>ROUND(AL108/(AD108+T108),3)</f>
        <v>3.2000000000000001E-2</v>
      </c>
      <c r="AN108">
        <f>SUMIFS(LogFY19!D:D,LogFY19!A:A,"=SOH_GOVERNOR")</f>
        <v>22</v>
      </c>
      <c r="AO108">
        <f>SUM(SUMIFS(LogFY19!D:D,LogFY19!A:A,"=SOH_GOVERNOR"),-1*SUMIFS(LogFY19!L:L,LogFY19!A:A,"=SOH_GOVERNOR"),-1*SUMIFS(LogFY19!N:N,LogFY19!A:A,"=SOH_GOVERNOR"))</f>
        <v>15</v>
      </c>
      <c r="AP108" s="7">
        <f t="shared" si="174"/>
        <v>0.68181818181818177</v>
      </c>
      <c r="AQ108" s="7">
        <f t="shared" si="175"/>
        <v>-3.2467532467532534E-2</v>
      </c>
      <c r="AR108">
        <f>ROUND(SUMIFS(LogFY19!K:K,LogFY19!A:A,"=SOH_GOVERNOR")/SUMIFS(LogFY19!J:J,LogFY19!A:A,"=SOH_GOVERNOR"),0)</f>
        <v>17</v>
      </c>
      <c r="AS108">
        <f t="shared" si="176"/>
        <v>3</v>
      </c>
      <c r="AT108" s="1">
        <v>53</v>
      </c>
      <c r="AU108" s="1">
        <f t="shared" si="177"/>
        <v>19</v>
      </c>
      <c r="AV108">
        <f>COUNTIFS(All!F:F,"=gov*", All!B:B, "&gt;=7/1/2018", All!B:B,"&lt;=6/30/2019", All!E:E,"=U*",All!E:E,"&lt;&gt;UIPA*",All!E:E,"&lt;&gt;*RFO*",All!E:E,"&lt;&gt;*TRNG*")</f>
        <v>0</v>
      </c>
      <c r="AW108" s="7">
        <f>ROUND(AV108/(AN108+AD108),3)</f>
        <v>0</v>
      </c>
      <c r="AX108">
        <f>SUMIFS(LogFY20!D:D,LogFY20!A:A,"=SOH_GOVERNOR")</f>
        <v>26</v>
      </c>
      <c r="AY108">
        <f>SUM(SUMIFS(LogFY20!D:D,LogFY20!A:A,"=SOH_GOVERNOR"),-1*SUMIFS(LogFY20!L:L,LogFY20!A:A,"=SOH_GOVERNOR"),-1*SUMIFS(LogFY20!N:N,LogFY20!A:A,"=SOH_GOVERNOR"))</f>
        <v>19</v>
      </c>
      <c r="AZ108" s="7">
        <f t="shared" si="178"/>
        <v>0.73076923076923073</v>
      </c>
      <c r="BA108" s="7">
        <f t="shared" si="179"/>
        <v>4.8951048951048959E-2</v>
      </c>
      <c r="BB108">
        <f>ROUND(SUMIFS(LogFY20!K:K,LogFY20!A:A,"=SOH_GOVERNOR")/SUMIFS(LogFY20!J:J,LogFY20!A:A,"=SOH_GOVERNOR"),0)</f>
        <v>10</v>
      </c>
      <c r="BC108">
        <f t="shared" si="180"/>
        <v>-7</v>
      </c>
      <c r="BD108" s="1">
        <v>32</v>
      </c>
      <c r="BE108" s="1">
        <f t="shared" si="181"/>
        <v>-21</v>
      </c>
      <c r="BF108">
        <f>COUNTIFS(All!F:F,"=gov*", All!B:B, "&gt;=7/1/2019", All!B:B,"&lt;=6/30/2020", All!E:E,"=U*",All!E:E,"&lt;&gt;UIPA*",All!E:E,"&lt;&gt;*RFO*",All!E:E,"&lt;&gt;*TRNG*")</f>
        <v>1</v>
      </c>
      <c r="BG108" s="7">
        <f>ROUND(BF108/(AX108+AN108),3)</f>
        <v>2.1000000000000001E-2</v>
      </c>
      <c r="BH108">
        <f>SUMIFS(LogFY21!D:D,LogFY21!A:A,"=SOH_GOVERNOR")</f>
        <v>22</v>
      </c>
      <c r="BI108">
        <f>SUM(SUMIFS(LogFY21!D:D,LogFY21!A:A,"=SOH_GOVERNOR"),-1*SUMIFS(LogFY21!L:L,LogFY21!A:A,"=SOH_GOVERNOR"),-1*SUMIFS(LogFY21!N:N,LogFY21!A:A,"=SOH_GOVERNOR"))</f>
        <v>19</v>
      </c>
      <c r="BJ108" s="7">
        <f t="shared" si="182"/>
        <v>0.86363636363636365</v>
      </c>
      <c r="BK108" s="7">
        <f t="shared" si="183"/>
        <v>0.13286713286713292</v>
      </c>
      <c r="BL108">
        <f>ROUND(SUMIFS(LogFY21!K:K,LogFY21!A:A,"=SOH_GOVERNOR")/SUMIFS(LogFY21!J:J,LogFY21!A:A,"=SOH_GOVERNOR"),0)</f>
        <v>18</v>
      </c>
      <c r="BM108">
        <f t="shared" si="184"/>
        <v>8</v>
      </c>
      <c r="BN108" s="1">
        <v>141</v>
      </c>
      <c r="BO108" s="1">
        <f t="shared" si="185"/>
        <v>109</v>
      </c>
      <c r="BP108">
        <f>COUNTIFS(All!F:F,"=gov*", All!B:B, "&gt;=7/1/2020", All!B:B,"&lt;=6/30/2021", All!E:E,"=U*",All!E:E,"&lt;&gt;UIPA*",All!E:E,"&lt;&gt;*RFO*",All!E:E,"&lt;&gt;*TRNG*")</f>
        <v>0</v>
      </c>
      <c r="BQ108" s="7">
        <f>ROUND(BP108/(BH108+AX108),3)</f>
        <v>0</v>
      </c>
      <c r="BR108">
        <f>SUMIFS(LogFY22!D:D,LogFY22!A:A,"=SOH_GOVERNOR")</f>
        <v>28</v>
      </c>
      <c r="BS108">
        <f>SUM(SUMIFS(LogFY22!D:D,LogFY22!A:A,"=SOH_GOVERNOR"),-1*SUMIFS(LogFY22!L:L,LogFY22!A:A,"=SOH_GOVERNOR"),-1*SUMIFS(LogFY22!N:N,LogFY22!A:A,"=SOH_GOVERNOR"))</f>
        <v>18</v>
      </c>
      <c r="BT108" s="7">
        <f t="shared" si="186"/>
        <v>0.6428571428571429</v>
      </c>
      <c r="BU108" s="7">
        <f t="shared" si="187"/>
        <v>-0.22077922077922074</v>
      </c>
      <c r="BV108">
        <f>ROUND(SUMIFS(LogFY22!K:K,LogFY22!A:A,"=SOH_GOVERNOR")/SUMIFS(LogFY22!J:J,LogFY22!A:A,"=SOH_GOVERNOR"),0)</f>
        <v>15</v>
      </c>
      <c r="BW108">
        <f t="shared" si="188"/>
        <v>-3</v>
      </c>
      <c r="BX108" s="1">
        <v>100</v>
      </c>
      <c r="BY108" s="1">
        <f t="shared" si="189"/>
        <v>-41</v>
      </c>
      <c r="BZ108">
        <f>COUNTIFS(All!F:F,"=gov*", All!B:B, "&gt;=7/1/2021", All!B:B,"&lt;=6/30/2022", All!E:E,"=U*",All!E:E,"&lt;&gt;UIPA*",All!E:E,"&lt;&gt;*RFO*",All!E:E,"&lt;&gt;*TRNG*")</f>
        <v>1</v>
      </c>
      <c r="CA108" s="7">
        <f>ROUND(BZ108/(BR108+BH108),3)</f>
        <v>0.02</v>
      </c>
      <c r="CB108">
        <f>SUMIFS(LogFY23!D:D,LogFY23!A:A,"=SOH_GOVERNOR")</f>
        <v>37</v>
      </c>
      <c r="CC108">
        <f>SUM(SUMIFS(LogFY23!D:D,LogFY23!A:A,"=SOH_GOVERNOR"),-1*SUMIFS(LogFY23!L:L,LogFY23!A:A,"=SOH_GOVERNOR"),-1*SUMIFS(LogFY23!N:N,LogFY23!A:A,"=SOH_GOVERNOR"))</f>
        <v>22</v>
      </c>
      <c r="CD108" s="7">
        <f t="shared" si="190"/>
        <v>0.59459459459459463</v>
      </c>
      <c r="CE108" s="7">
        <f t="shared" si="191"/>
        <v>-4.8262548262548277E-2</v>
      </c>
      <c r="CF108">
        <f>ROUND(SUMIFS(LogFY23!K:K,LogFY23!A:A,"=SOH_GOVERNOR")/SUMIFS(LogFY23!J:J,LogFY23!A:A,"=SOH_GOVERNOR"),0)</f>
        <v>9</v>
      </c>
      <c r="CG108">
        <f t="shared" si="192"/>
        <v>-6</v>
      </c>
      <c r="CH108" s="1">
        <v>55</v>
      </c>
      <c r="CI108" s="1">
        <f t="shared" si="193"/>
        <v>-45</v>
      </c>
      <c r="CJ108">
        <f>COUNTIFS(All!F:F,"=gov*", All!B:B, "&gt;=7/1/2022", All!B:B,"&lt;=6/30/2023", All!E:E,"=U*",All!E:E,"&lt;&gt;UIPA*",All!E:E,"&lt;&gt;*RFO*",All!E:E,"&lt;&gt;*TRNG*")</f>
        <v>0</v>
      </c>
      <c r="CK108" s="7">
        <f>ROUND(CJ108/(CB106+BR106),3)</f>
        <v>0</v>
      </c>
      <c r="CL108">
        <f>SUMIFS(LogFY24!D:D,LogFY24!A:A,"=SOH_GOVERNOR")</f>
        <v>77</v>
      </c>
      <c r="CM108">
        <f>SUM(SUMIFS(LogFY24!D:D,LogFY24!A:A,"=SOH_GOVERNOR"),-1*SUMIFS(LogFY24!L:L,LogFY24!A:A,"=SOH_GOVERNOR"),-1*SUMIFS(LogFY24!N:N,LogFY24!A:A,"=SOH_GOVERNOR"))</f>
        <v>59</v>
      </c>
      <c r="CN108" s="7">
        <f t="shared" si="157"/>
        <v>0.76623376623376627</v>
      </c>
      <c r="CO108" s="7">
        <f t="shared" si="158"/>
        <v>0.17163917163917164</v>
      </c>
      <c r="CP108">
        <f>ROUND(SUMIFS(LogFY24!K:K,LogFY24!A:A,"=SOH_GOVERNOR")/SUMIFS(LogFY24!J:J,LogFY24!A:A,"=SOH_GOVERNOR"),0)</f>
        <v>18</v>
      </c>
      <c r="CQ108">
        <f t="shared" si="159"/>
        <v>9</v>
      </c>
      <c r="CR108" s="1">
        <v>63</v>
      </c>
      <c r="CS108" s="1">
        <f t="shared" si="160"/>
        <v>8</v>
      </c>
      <c r="CT108">
        <f>COUNTIFS(All!F:F,"=gov*", All!B:B, "&gt;=7/1/2023", All!B:B,"&lt;=6/30/2024", All!E:E,"=U*",All!E:E,"&lt;&gt;UIPA*",All!E:E,"&lt;&gt;*RFO*",All!E:E,"&lt;&gt;*TRNG*")</f>
        <v>5</v>
      </c>
      <c r="CU108" s="7">
        <f>ROUND(CT108/(CL108+CB108),3)</f>
        <v>4.3999999999999997E-2</v>
      </c>
    </row>
    <row r="109" spans="1:99" ht="16">
      <c r="A109" s="10">
        <f t="shared" si="156"/>
        <v>108</v>
      </c>
      <c r="B109" s="1" t="s">
        <v>17239</v>
      </c>
      <c r="C109">
        <f>SUMIFS(LogFY15!D:D,LogFY15!A:A,"=*judiciary*")</f>
        <v>14</v>
      </c>
      <c r="D109">
        <f>SUM(SUMIFS(LogFY15!D:D,LogFY15!A:A,"=*judiciary*"),-1*SUMIFS(LogFY15!L:L,LogFY15!A:A,"=*judiciary*"),-1*SUMIFS(LogFY15!N:N,LogFY15!A:A,"=*judiciary*"))</f>
        <v>2</v>
      </c>
      <c r="E109" s="7">
        <f t="shared" si="161"/>
        <v>0.14285714285714285</v>
      </c>
      <c r="F109">
        <f>ROUND(SUMIFS(LogFY15!K:K,LogFY15!A:A,"=*judiciary*")/SUMIFS(LogFY15!J:J,LogFY15!A:A,"=*judiciary*"),0)</f>
        <v>9</v>
      </c>
      <c r="G109" s="1">
        <v>39</v>
      </c>
      <c r="H109">
        <f>COUNTIFS(All!F:F,"=jud*", All!B:B, "&gt;=7/1/2014", All!B:B,"&lt;=6/30/2015", All!E:E,"=U*",All!E:E,"&lt;&gt;UIPA*",All!E:E,"&lt;&gt;*RFO*",All!E:E,"&lt;&gt;*TRNG*")</f>
        <v>1</v>
      </c>
      <c r="I109" s="7">
        <f>ROUND(H109/C109,3)</f>
        <v>7.0999999999999994E-2</v>
      </c>
      <c r="J109">
        <f>SUMIFS(LogFY16!D:D,LogFY16!A:A,"=*judiciary*")</f>
        <v>8</v>
      </c>
      <c r="K109">
        <f>SUM(SUMIFS(LogFY16!D:D,LogFY16!A:A,"=*judiciary*"),-1*SUMIFS(LogFY16!L:L,LogFY16!A:A,"=*judiciary*"),-1*SUMIFS(LogFY16!N:N,LogFY16!A:A,"=*judiciary*"))</f>
        <v>0</v>
      </c>
      <c r="L109" s="7">
        <f t="shared" si="162"/>
        <v>0</v>
      </c>
      <c r="M109" s="7">
        <f t="shared" si="163"/>
        <v>-0.14285714285714285</v>
      </c>
      <c r="N109">
        <f>ROUND(SUMIFS(LogFY16!K:K,LogFY16!A:A,"=*judiciary*")/SUMIFS(LogFY16!J:J,LogFY16!A:A,"=*judiciary*"),0)</f>
        <v>6</v>
      </c>
      <c r="O109">
        <f t="shared" si="164"/>
        <v>-3</v>
      </c>
      <c r="P109" s="1">
        <v>12</v>
      </c>
      <c r="Q109" s="1">
        <f t="shared" si="165"/>
        <v>-27</v>
      </c>
      <c r="R109">
        <f>COUNTIFS(All!F:F,"=jud*", All!B:B, "&gt;=7/1/2015", All!B:B,"&lt;=6/30/2016", All!E:E,"=U*",All!E:E,"&lt;&gt;UIPA*",All!E:E,"&lt;&gt;*RFO*",All!E:E,"&lt;&gt;*TRNG*")</f>
        <v>0</v>
      </c>
      <c r="S109" s="7">
        <f>ROUND(R109/(J109+C109),3)</f>
        <v>0</v>
      </c>
      <c r="T109">
        <f>SUMIFS(LogFY17!D:D,LogFY17!A:A,"=*judiciary*")</f>
        <v>9</v>
      </c>
      <c r="U109">
        <f>SUM(SUMIFS(LogFY17!D:D,LogFY17!A:A,"=*judiciary*"),-1*SUMIFS(LogFY17!L:L,LogFY17!A:A,"=*judiciary*"),-1*SUMIFS(LogFY17!N:N,LogFY17!A:A,"=*judiciary*"))</f>
        <v>3</v>
      </c>
      <c r="V109" s="7">
        <f t="shared" si="166"/>
        <v>0.33333333333333331</v>
      </c>
      <c r="W109" s="7">
        <f t="shared" si="167"/>
        <v>0.33333333333333331</v>
      </c>
      <c r="X109">
        <f>ROUND(SUMIFS(LogFY17!K:K,LogFY17!A:A,"=*judiciary*")/SUMIFS(LogFY17!J:J,LogFY17!A:A,"=*judiciary*"),0)</f>
        <v>4</v>
      </c>
      <c r="Y109">
        <f t="shared" si="168"/>
        <v>-2</v>
      </c>
      <c r="Z109" s="1">
        <v>11</v>
      </c>
      <c r="AA109" s="1">
        <f t="shared" si="169"/>
        <v>-1</v>
      </c>
      <c r="AB109">
        <f>COUNTIFS(All!F:F,"=jud*", All!B:B, "&gt;=7/1/2016", All!B:B,"&lt;=6/30/2017", All!E:E,"=U*",All!E:E,"&lt;&gt;UIPA*",All!E:E,"&lt;&gt;*RFO*",All!E:E,"&lt;&gt;*TRNG*")</f>
        <v>1</v>
      </c>
      <c r="AC109" s="7">
        <f>ROUND(AB109/(T109+J109),3)</f>
        <v>5.8999999999999997E-2</v>
      </c>
      <c r="AD109">
        <f>SUMIFS(LogFY18!D:D,LogFY18!A:A,"=*judiciary*")</f>
        <v>7</v>
      </c>
      <c r="AE109">
        <f>SUM(SUMIFS(LogFY18!D:D,LogFY18!A:A,"=*judiciary*"),-1*SUMIFS(LogFY18!L:L,LogFY18!A:A,"=*judiciary*"),-1*SUMIFS(LogFY18!N:N,LogFY18!A:A,"=*judiciary*"))</f>
        <v>0</v>
      </c>
      <c r="AF109" s="7">
        <f t="shared" si="170"/>
        <v>0</v>
      </c>
      <c r="AG109" s="7">
        <f t="shared" si="171"/>
        <v>-0.33333333333333331</v>
      </c>
      <c r="AH109">
        <f>ROUND(SUMIFS(LogFY18!K:K,LogFY18!A:A,"=*judiciary*")/SUMIFS(LogFY18!J:J,LogFY18!A:A,"=*judiciary*"),0)</f>
        <v>27</v>
      </c>
      <c r="AI109">
        <f t="shared" si="172"/>
        <v>23</v>
      </c>
      <c r="AJ109" s="1">
        <v>80</v>
      </c>
      <c r="AK109" s="1">
        <f t="shared" si="173"/>
        <v>69</v>
      </c>
      <c r="AL109">
        <f>COUNTIFS(All!F:F,"=jud*", All!B:B, "&gt;=7/1/2017", All!B:B,"&lt;=6/30/2018", All!E:E,"=U*",All!E:E,"&lt;&gt;UIPA*",All!E:E,"&lt;&gt;*RFO*",All!E:E,"&lt;&gt;*TRNG*")</f>
        <v>1</v>
      </c>
      <c r="AM109" s="7">
        <f>ROUND(AL109/(AD109+T109),3)</f>
        <v>6.3E-2</v>
      </c>
      <c r="AN109">
        <f>SUMIFS(LogFY19!D:D,LogFY19!A:A,"=*judiciary*")</f>
        <v>5</v>
      </c>
      <c r="AO109">
        <f>SUM(SUMIFS(LogFY19!D:D,LogFY19!A:A,"=*judiciary*"),-1*SUMIFS(LogFY19!L:L,LogFY19!A:A,"=*judiciary*"),-1*SUMIFS(LogFY19!N:N,LogFY19!A:A,"=*judiciary*"))</f>
        <v>1</v>
      </c>
      <c r="AP109" s="7">
        <f t="shared" si="174"/>
        <v>0.2</v>
      </c>
      <c r="AQ109" s="7">
        <f t="shared" si="175"/>
        <v>0.2</v>
      </c>
      <c r="AR109">
        <f>ROUND(SUMIFS(LogFY19!K:K,LogFY19!A:A,"=*judiciary*")/SUMIFS(LogFY19!J:J,LogFY19!A:A,"=*judiciary*"),0)</f>
        <v>13</v>
      </c>
      <c r="AS109">
        <f t="shared" si="176"/>
        <v>-14</v>
      </c>
      <c r="AT109" s="1">
        <v>46</v>
      </c>
      <c r="AU109" s="1">
        <f t="shared" si="177"/>
        <v>-34</v>
      </c>
      <c r="AV109">
        <f>COUNTIFS(All!F:F,"=jud*", All!B:B, "&gt;=7/1/2018", All!B:B,"&lt;=6/30/2019", All!E:E,"=U*",All!E:E,"&lt;&gt;UIPA*",All!E:E,"&lt;&gt;*RFO*",All!E:E,"&lt;&gt;*TRNG*")</f>
        <v>1</v>
      </c>
      <c r="AW109" s="7">
        <f>ROUND(AV109/(AN109+AD109),3)</f>
        <v>8.3000000000000004E-2</v>
      </c>
      <c r="AX109">
        <f>SUMIFS(LogFY20!D:D,LogFY20!A:A,"=*judiciary*")</f>
        <v>16</v>
      </c>
      <c r="AY109">
        <f>SUM(SUMIFS(LogFY20!D:D,LogFY20!A:A,"=*judiciary*"),-1*SUMIFS(LogFY20!L:L,LogFY20!A:A,"=*judiciary*"),-1*SUMIFS(LogFY20!N:N,LogFY20!A:A,"=*judiciary*"))</f>
        <v>4</v>
      </c>
      <c r="AZ109" s="7">
        <f t="shared" si="178"/>
        <v>0.25</v>
      </c>
      <c r="BA109" s="7">
        <f t="shared" si="179"/>
        <v>4.9999999999999989E-2</v>
      </c>
      <c r="BB109">
        <f>ROUND(SUMIFS(LogFY20!K:K,LogFY20!A:A,"=*judiciary*")/SUMIFS(LogFY20!J:J,LogFY20!A:A,"=*judiciary*"),0)</f>
        <v>8</v>
      </c>
      <c r="BC109">
        <f t="shared" si="180"/>
        <v>-5</v>
      </c>
      <c r="BD109" s="1">
        <v>28</v>
      </c>
      <c r="BE109" s="1">
        <f t="shared" si="181"/>
        <v>-18</v>
      </c>
      <c r="BF109">
        <f>COUNTIFS(All!F:F,"=jud*", All!B:B, "&gt;=7/1/2019", All!B:B,"&lt;=6/30/2020", All!E:E,"=U*",All!E:E,"&lt;&gt;UIPA*",All!E:E,"&lt;&gt;*RFO*",All!E:E,"&lt;&gt;*TRNG*")</f>
        <v>6</v>
      </c>
      <c r="BG109" s="7">
        <f>ROUND(BF109/(AX109+AN109),3)</f>
        <v>0.28599999999999998</v>
      </c>
      <c r="BH109">
        <f>SUMIFS(LogFY21!D:D,LogFY21!A:A,"=*judiciary*")</f>
        <v>9</v>
      </c>
      <c r="BI109">
        <f>SUM(SUMIFS(LogFY21!D:D,LogFY21!A:A,"=*judiciary*"),-1*SUMIFS(LogFY21!L:L,LogFY21!A:A,"=*judiciary*"),-1*SUMIFS(LogFY21!N:N,LogFY21!A:A,"=*judiciary*"))</f>
        <v>3</v>
      </c>
      <c r="BJ109" s="7">
        <f t="shared" si="182"/>
        <v>0.33333333333333331</v>
      </c>
      <c r="BK109" s="7">
        <f t="shared" si="183"/>
        <v>8.3333333333333315E-2</v>
      </c>
      <c r="BL109">
        <f>ROUND(SUMIFS(LogFY21!K:K,LogFY21!A:A,"=*judiciary*")/SUMIFS(LogFY21!J:J,LogFY21!A:A,"=*judiciary*"),0)</f>
        <v>9</v>
      </c>
      <c r="BM109">
        <f t="shared" si="184"/>
        <v>1</v>
      </c>
      <c r="BN109" s="1">
        <v>17</v>
      </c>
      <c r="BO109" s="1">
        <f t="shared" si="185"/>
        <v>-11</v>
      </c>
      <c r="BP109">
        <f>COUNTIFS(All!F:F,"=jud*", All!B:B, "&gt;=7/1/2020", All!B:B,"&lt;=6/30/2021", All!E:E,"=U*",All!E:E,"&lt;&gt;UIPA*",All!E:E,"&lt;&gt;*RFO*",All!E:E,"&lt;&gt;*TRNG*")</f>
        <v>0</v>
      </c>
      <c r="BQ109" s="7">
        <f>ROUND(BP109/(BH109+AX109),3)</f>
        <v>0</v>
      </c>
      <c r="BR109">
        <f>SUMIFS(LogFY22!D:D,LogFY22!A:A,"=*judiciary*")</f>
        <v>17</v>
      </c>
      <c r="BS109">
        <f>SUM(SUMIFS(LogFY22!D:D,LogFY22!A:A,"=*judiciary*"),-1*SUMIFS(LogFY22!L:L,LogFY22!A:A,"=*judiciary*"),-1*SUMIFS(LogFY22!N:N,LogFY22!A:A,"=*judiciary*"))</f>
        <v>0</v>
      </c>
      <c r="BT109" s="7">
        <f t="shared" si="186"/>
        <v>0</v>
      </c>
      <c r="BU109" s="7">
        <f t="shared" si="187"/>
        <v>-0.33333333333333331</v>
      </c>
      <c r="BV109">
        <f>ROUND(SUMIFS(LogFY22!K:K,LogFY22!A:A,"=*judiciary*")/SUMIFS(LogFY22!J:J,LogFY22!A:A,"=*judiciary*"),0)</f>
        <v>13</v>
      </c>
      <c r="BW109">
        <f t="shared" si="188"/>
        <v>4</v>
      </c>
      <c r="BX109" s="1">
        <v>116</v>
      </c>
      <c r="BY109" s="1">
        <f t="shared" si="189"/>
        <v>99</v>
      </c>
      <c r="BZ109">
        <f>COUNTIFS(All!F:F,"=jud*", All!B:B, "&gt;=7/1/2021", All!B:B,"&lt;=6/30/2022", All!E:E,"=U*",All!E:E,"&lt;&gt;UIPA*",All!E:E,"&lt;&gt;*RFO*",All!E:E,"&lt;&gt;*TRNG*")</f>
        <v>1</v>
      </c>
      <c r="CA109" s="7">
        <f>ROUND(BZ109/(BR109+BH109),3)</f>
        <v>3.7999999999999999E-2</v>
      </c>
      <c r="CB109">
        <f>SUMIFS(LogFY23!D:D,LogFY23!A:A,"=*judiciary*")</f>
        <v>18</v>
      </c>
      <c r="CC109">
        <f>SUM(SUMIFS(LogFY23!D:D,LogFY23!A:A,"=*judiciary*"),-1*SUMIFS(LogFY23!L:L,LogFY23!A:A,"=*judiciary*"),-1*SUMIFS(LogFY23!N:N,LogFY23!A:A,"=*judiciary*"))</f>
        <v>5</v>
      </c>
      <c r="CD109" s="7">
        <f t="shared" si="190"/>
        <v>0.27777777777777779</v>
      </c>
      <c r="CE109" s="7">
        <f t="shared" si="191"/>
        <v>0.27777777777777779</v>
      </c>
      <c r="CF109">
        <f>ROUND(SUMIFS(LogFY23!K:K,LogFY23!A:A,"=*judiciary*")/SUMIFS(LogFY23!J:J,LogFY23!A:A,"=*judiciary*"),0)</f>
        <v>15</v>
      </c>
      <c r="CG109">
        <f t="shared" si="192"/>
        <v>2</v>
      </c>
      <c r="CH109" s="1">
        <v>54</v>
      </c>
      <c r="CI109" s="1">
        <f t="shared" si="193"/>
        <v>-62</v>
      </c>
      <c r="CJ109">
        <f>COUNTIFS(All!F:F,"=jud*", All!B:B, "&gt;=7/1/2022", All!B:B,"&lt;=6/30/2023", All!E:E,"=U*",All!E:E,"&lt;&gt;UIPA*",All!E:E,"&lt;&gt;*RFO*",All!E:E,"&lt;&gt;*TRNG*")</f>
        <v>2</v>
      </c>
      <c r="CK109" s="7">
        <f>ROUND(CJ109/(CB107+BR107),3)</f>
        <v>1.7000000000000001E-2</v>
      </c>
      <c r="CL109">
        <f>SUMIFS(LogFY24!D:D,LogFY24!A:A,"=*judiciary*")</f>
        <v>17</v>
      </c>
      <c r="CM109">
        <f>SUM(SUMIFS(LogFY24!D:D,LogFY24!A:A,"=*judiciary*"),-1*SUMIFS(LogFY24!L:L,LogFY24!A:A,"=*judiciary*"),-1*SUMIFS(LogFY24!N:N,LogFY24!A:A,"=*judiciary*"))</f>
        <v>2</v>
      </c>
      <c r="CN109" s="7">
        <f t="shared" si="157"/>
        <v>0.11764705882352941</v>
      </c>
      <c r="CO109" s="7">
        <f t="shared" si="158"/>
        <v>-0.16013071895424838</v>
      </c>
      <c r="CP109">
        <f>ROUND(SUMIFS(LogFY24!K:K,LogFY24!A:A,"=*judiciary*")/SUMIFS(LogFY24!J:J,LogFY24!A:A,"=*judiciary*"),0)</f>
        <v>11</v>
      </c>
      <c r="CQ109">
        <f t="shared" si="159"/>
        <v>-4</v>
      </c>
      <c r="CR109" s="1">
        <v>39</v>
      </c>
      <c r="CS109" s="1">
        <f t="shared" si="160"/>
        <v>-15</v>
      </c>
      <c r="CT109">
        <f>COUNTIFS(All!F:F,"=jud*", All!B:B, "&gt;=7/1/2023", All!B:B,"&lt;=6/30/2024", All!E:E,"=U*",All!E:E,"&lt;&gt;UIPA*",All!E:E,"&lt;&gt;*RFO*",All!E:E,"&lt;&gt;*TRNG*")</f>
        <v>2</v>
      </c>
      <c r="CU109" s="7">
        <f>ROUND(CT109/(CL109+CB109),3)</f>
        <v>5.7000000000000002E-2</v>
      </c>
    </row>
    <row r="110" spans="1:99" ht="16">
      <c r="A110" s="10">
        <f t="shared" si="156"/>
        <v>109</v>
      </c>
      <c r="B110" s="1" t="s">
        <v>17240</v>
      </c>
      <c r="E110" s="7"/>
      <c r="H110">
        <f>COUNTIFS(All!F:F,"=LEG*", All!B:B, "&gt;=7/1/2014", All!B:B,"&lt;=6/30/2015", All!E:E,"=U*",All!E:E,"&lt;&gt;UIPA*",All!E:E,"&lt;&gt;*RFO*",All!E:E,"&lt;&gt;*TRNG*",All!F:F,"&lt;&gt;*ethics*")</f>
        <v>2</v>
      </c>
      <c r="I110" s="7"/>
      <c r="J110">
        <f>SUMIFS(LogFY16!D:D,LogFY16!A:A,"=*legislature*",LogFY16!B:B,"&lt;&gt;*ethics*")</f>
        <v>50</v>
      </c>
      <c r="K110">
        <f>SUM(SUMIFS(LogFY16!D:D,LogFY16!A:A,"=*legislature*",LogFY16!B:B,"&lt;&gt;*ethics*"),-1*SUMIFS(LogFY16!L:L,LogFY16!A:A,"=*legislature*",LogFY16!B:B,"&lt;&gt;*ethics*"),-1*SUMIFS(LogFY16!N:N,LogFY16!A:A,"=*legislature*",LogFY16!B:B,"&lt;&gt;*ethics*"))</f>
        <v>27</v>
      </c>
      <c r="L110" s="7">
        <f t="shared" si="162"/>
        <v>0.54</v>
      </c>
      <c r="M110" s="7">
        <f t="shared" si="163"/>
        <v>0.54</v>
      </c>
      <c r="N110">
        <f>ROUND(SUMIFS(LogFY16!K:K,LogFY16!A:A,"=*legislature*",LogFY16!B:B,"&lt;&gt;*ethics*")/SUMIFS(LogFY16!J:J,LogFY16!A:A,"=*legislature*",LogFY16!B:B,"&lt;&gt;*ethics*"),0)</f>
        <v>7</v>
      </c>
      <c r="O110">
        <f t="shared" si="164"/>
        <v>7</v>
      </c>
      <c r="P110">
        <v>19</v>
      </c>
      <c r="Q110" s="1">
        <f t="shared" si="165"/>
        <v>19</v>
      </c>
      <c r="R110">
        <f>COUNTIFS(All!F:F,"=LEG*", All!B:B, "&gt;=7/1/2015", All!B:B,"&lt;=6/30/2016", All!E:E,"=U*",All!E:E,"&lt;&gt;UIPA*",All!E:E,"&lt;&gt;*RFO*",All!E:E,"&lt;&gt;*TRNG*",All!F:F,"&lt;&gt;*ethics*")</f>
        <v>2</v>
      </c>
      <c r="S110" s="7">
        <f>ROUND(R110/(J110+C110),3)</f>
        <v>0.04</v>
      </c>
      <c r="T110">
        <f>SUMIFS(LogFY17!D:D,LogFY17!A:A,"=*legislature*",LogFY17!B:B,"&lt;&gt;*ethics*")</f>
        <v>33</v>
      </c>
      <c r="U110">
        <f>SUM(SUMIFS(LogFY17!D:D,LogFY17!A:A,"=*legislature*",LogFY17!B:B,"&lt;&gt;*ethics*"),-1*SUMIFS(LogFY17!L:L,LogFY17!A:A,"=*legislature*",LogFY17!B:B,"&lt;&gt;*ethics*"),-1*SUMIFS(LogFY17!N:N,LogFY17!A:A,"=*legislature*",LogFY17!B:B,"&lt;&gt;*ethics*"))</f>
        <v>20</v>
      </c>
      <c r="V110" s="7">
        <f t="shared" si="166"/>
        <v>0.60606060606060608</v>
      </c>
      <c r="W110" s="7">
        <f t="shared" si="167"/>
        <v>6.6060606060606042E-2</v>
      </c>
      <c r="X110">
        <f>ROUND(SUMIFS(LogFY17!K:K,LogFY17!A:A,"=*legislature*",LogFY17!B:B,"&lt;&gt;*ethics*")/SUMIFS(LogFY17!J:J,LogFY17!A:A,"=*legislature*",LogFY17!B:B,"&lt;&gt;*ethics*"),0)</f>
        <v>6</v>
      </c>
      <c r="Y110">
        <f t="shared" si="168"/>
        <v>-1</v>
      </c>
      <c r="Z110" s="1">
        <v>29</v>
      </c>
      <c r="AA110" s="1">
        <f t="shared" si="169"/>
        <v>10</v>
      </c>
      <c r="AB110">
        <f>COUNTIFS(All!F:F,"=LEG*", All!B:B, "&gt;=7/1/2016", All!B:B,"&lt;=6/30/2017", All!E:E,"=U*",All!E:E,"&lt;&gt;UIPA*",All!E:E,"&lt;&gt;*RFO*",All!E:E,"&lt;&gt;*TRNG*",All!F:F,"&lt;&gt;*ethics*")</f>
        <v>12</v>
      </c>
      <c r="AC110" s="7">
        <f>ROUND(AB110/(T110+J110),3)</f>
        <v>0.14499999999999999</v>
      </c>
      <c r="AD110">
        <f>SUMIFS(LogFY18!D:D,LogFY18!A:A,"=*legislature*",LogFY18!B:B,"&lt;&gt;*ethics*")</f>
        <v>41</v>
      </c>
      <c r="AE110">
        <f>SUM(SUMIFS(LogFY18!D:D,LogFY18!A:A,"=*legislature*",LogFY18!B:B,"&lt;&gt;*ethics*"),-1*SUMIFS(LogFY18!L:L,LogFY18!A:A,"=*legislature*",LogFY18!B:B,"&lt;&gt;*ethics*"),-1*SUMIFS(LogFY18!N:N,LogFY18!A:A,"=*legislature*",LogFY18!B:B,"&lt;&gt;*ethics*"))</f>
        <v>19</v>
      </c>
      <c r="AF110" s="7">
        <f t="shared" si="170"/>
        <v>0.46341463414634149</v>
      </c>
      <c r="AG110" s="7">
        <f t="shared" si="171"/>
        <v>-0.14264597191426459</v>
      </c>
      <c r="AH110">
        <f>ROUND(SUMIFS(LogFY18!K:K,LogFY18!A:A,"=*legislature*",LogFY18!B:B,"&lt;&gt;*ethics*")/SUMIFS(LogFY18!J:J,LogFY18!A:A,"=*legislature*",LogFY18!B:B,"&lt;&gt;*ethics*"),0)</f>
        <v>5</v>
      </c>
      <c r="AI110">
        <f t="shared" si="172"/>
        <v>-1</v>
      </c>
      <c r="AJ110" s="1">
        <v>12</v>
      </c>
      <c r="AK110" s="1">
        <f t="shared" si="173"/>
        <v>-17</v>
      </c>
      <c r="AL110">
        <f>COUNTIFS(All!F:F,"=LEG*", All!B:B, "&gt;=7/1/2017", All!B:B,"&lt;=6/30/2018", All!E:E,"=U*",All!E:E,"&lt;&gt;UIPA*",All!E:E,"&lt;&gt;*RFO*",All!E:E,"&lt;&gt;*TRNG*",All!F:F,"&lt;&gt;*ethics*")</f>
        <v>0</v>
      </c>
      <c r="AM110" s="7">
        <f>ROUND(AL110/(AD110+T110),3)</f>
        <v>0</v>
      </c>
      <c r="AN110">
        <f>SUMIFS(LogFY19!D:D,LogFY19!A:A,"=*legislature*",LogFY19!B:B,"&lt;&gt;*ethics*")</f>
        <v>34</v>
      </c>
      <c r="AO110">
        <f>SUM(SUMIFS(LogFY19!D:D,LogFY19!A:A,"=*legislature*",LogFY19!B:B,"&lt;&gt;*ethics*"),-1*SUMIFS(LogFY19!L:L,LogFY19!A:A,"=*legislature*",LogFY19!B:B,"&lt;&gt;*ethics*"),-1*SUMIFS(LogFY19!N:N,LogFY19!A:A,"=*legislature*",LogFY19!B:B,"&lt;&gt;*ethics*"))</f>
        <v>14</v>
      </c>
      <c r="AP110" s="7">
        <f t="shared" si="174"/>
        <v>0.41176470588235292</v>
      </c>
      <c r="AQ110" s="7">
        <f t="shared" si="175"/>
        <v>-5.1649928263988565E-2</v>
      </c>
      <c r="AR110">
        <f>ROUND(SUMIFS(LogFY19!K:K,LogFY19!A:A,"=*legislature*",LogFY19!B:B,"&lt;&gt;*ethics*")/SUMIFS(LogFY19!J:J,LogFY19!A:A,"=*legislature*",LogFY19!B:B,"&lt;&gt;*ethics*"),0)</f>
        <v>6</v>
      </c>
      <c r="AS110">
        <f t="shared" si="176"/>
        <v>1</v>
      </c>
      <c r="AT110" s="1">
        <v>21</v>
      </c>
      <c r="AU110" s="1">
        <f t="shared" si="177"/>
        <v>9</v>
      </c>
      <c r="AV110">
        <f>COUNTIFS(All!F:F,"=LEG*", All!B:B, "&gt;=7/1/2018", All!B:B,"&lt;=6/30/2019", All!E:E,"=U*",All!E:E,"&lt;&gt;UIPA*",All!E:E,"&lt;&gt;*RFO*",All!E:E,"&lt;&gt;*TRNG*",All!F:F,"&lt;&gt;*ethics*")</f>
        <v>0</v>
      </c>
      <c r="AW110" s="7">
        <f>ROUND(AV110/(AN110+AD110),3)</f>
        <v>0</v>
      </c>
      <c r="AX110">
        <f>SUMIFS(LogFY20!D:D,LogFY20!A:A,"=*legislature*",LogFY20!B:B,"&lt;&gt;*ethics*")</f>
        <v>29</v>
      </c>
      <c r="AY110">
        <f>SUM(SUMIFS(LogFY20!D:D,LogFY20!A:A,"=*legislature*",LogFY20!B:B,"&lt;&gt;*ethics*"),-1*SUMIFS(LogFY20!L:L,LogFY20!A:A,"=*legislature*",LogFY20!B:B,"&lt;&gt;*ethics*"),-1*SUMIFS(LogFY20!N:N,LogFY20!A:A,"=*legislature*",LogFY20!B:B,"&lt;&gt;*ethics*"))</f>
        <v>4</v>
      </c>
      <c r="AZ110" s="7">
        <f t="shared" si="178"/>
        <v>0.13793103448275862</v>
      </c>
      <c r="BA110" s="7">
        <f t="shared" si="179"/>
        <v>-0.2738336713995943</v>
      </c>
      <c r="BB110">
        <f>ROUND(SUMIFS(LogFY20!K:K,LogFY20!A:A,"=*legislature*",LogFY20!B:B,"&lt;&gt;*ethics*")/SUMIFS(LogFY20!J:J,LogFY20!A:A,"=*legislature*",LogFY20!B:B,"&lt;&gt;*ethics*"),0)</f>
        <v>8</v>
      </c>
      <c r="BC110">
        <f t="shared" si="180"/>
        <v>2</v>
      </c>
      <c r="BD110" s="1">
        <v>43</v>
      </c>
      <c r="BE110" s="1">
        <f t="shared" si="181"/>
        <v>22</v>
      </c>
      <c r="BF110">
        <f>COUNTIFS(All!F:F,"=LEG*", All!B:B, "&gt;=7/1/2019", All!B:B,"&lt;=6/30/2020", All!E:E,"=U*",All!E:E,"&lt;&gt;UIPA*",All!E:E,"&lt;&gt;*RFO*",All!E:E,"&lt;&gt;*TRNG*",All!F:F,"&lt;&gt;*ethics*")</f>
        <v>0</v>
      </c>
      <c r="BG110" s="7">
        <f>ROUND(BF110/(AX110+AN110),3)</f>
        <v>0</v>
      </c>
      <c r="BH110">
        <f>SUMIFS(LogFY21!D:D,LogFY21!A:A,"=*legislature*",LogFY21!B:B,"&lt;&gt;*ethics*")</f>
        <v>28</v>
      </c>
      <c r="BI110">
        <f>SUM(SUMIFS(LogFY21!D:D,LogFY21!A:A,"=*legislature*",LogFY21!B:B,"&lt;&gt;*ethics*"),-1*SUMIFS(LogFY21!L:L,LogFY21!A:A,"=*legislature*",LogFY21!B:B,"&lt;&gt;*ethics*"),-1*SUMIFS(LogFY21!N:N,LogFY21!A:A,"=*legislature*",LogFY21!B:B,"&lt;&gt;*ethics*"))</f>
        <v>12</v>
      </c>
      <c r="BJ110" s="7">
        <f t="shared" si="182"/>
        <v>0.42857142857142855</v>
      </c>
      <c r="BK110" s="7">
        <f t="shared" si="183"/>
        <v>0.29064039408866993</v>
      </c>
      <c r="BL110">
        <f>ROUND(SUMIFS(LogFY21!K:K,LogFY21!A:A,"=*legislature*",LogFY21!B:B,"&lt;&gt;*ethics*")/SUMIFS(LogFY21!J:J,LogFY21!A:A,"=*legislature*",LogFY21!B:B,"&lt;&gt;*ethics*"),0)</f>
        <v>6</v>
      </c>
      <c r="BM110">
        <f t="shared" si="184"/>
        <v>-2</v>
      </c>
      <c r="BN110" s="1">
        <v>36</v>
      </c>
      <c r="BO110" s="1">
        <f t="shared" si="185"/>
        <v>-7</v>
      </c>
      <c r="BP110">
        <f>COUNTIFS(All!F:F,"=LEG*", All!B:B, "&gt;=7/1/2020", All!B:B,"&lt;=6/30/2021", All!E:E,"=U*",All!E:E,"&lt;&gt;UIPA*",All!E:E,"&lt;&gt;*RFO*",All!E:E,"&lt;&gt;*TRNG*",All!F:F,"&lt;&gt;*ethics*")</f>
        <v>2</v>
      </c>
      <c r="BQ110" s="7">
        <f>ROUND(BP110/(BH110+AX110),3)</f>
        <v>3.5000000000000003E-2</v>
      </c>
      <c r="BR110">
        <f>SUMIFS(LogFY22!D:D,LogFY22!A:A,"=*legislature*",LogFY22!B:B,"&lt;&gt;*ethics*")</f>
        <v>45</v>
      </c>
      <c r="BS110">
        <f>SUM(SUMIFS(LogFY22!D:D,LogFY22!A:A,"=*legislature*",LogFY22!B:B,"&lt;&gt;*ethics*"),-1*SUMIFS(LogFY22!L:L,LogFY22!A:A,"=*legislature*",LogFY22!B:B,"&lt;&gt;*ethics*"),-1*SUMIFS(LogFY22!N:N,LogFY22!A:A,"=*legislature*",LogFY22!B:B,"&lt;&gt;*ethics*"))</f>
        <v>19</v>
      </c>
      <c r="BT110" s="7">
        <f t="shared" si="186"/>
        <v>0.42222222222222222</v>
      </c>
      <c r="BU110" s="7">
        <f t="shared" si="187"/>
        <v>-6.3492063492063266E-3</v>
      </c>
      <c r="BV110">
        <f>ROUND(SUMIFS(LogFY22!K:K,LogFY22!A:A,"=*legislature*",LogFY22!B:B,"&lt;&gt;*ethics*")/SUMIFS(LogFY22!J:J,LogFY22!A:A,"=*legislature*",LogFY22!B:B,"&lt;&gt;*ethics*"),0)</f>
        <v>9</v>
      </c>
      <c r="BW110">
        <f t="shared" si="188"/>
        <v>3</v>
      </c>
      <c r="BX110" s="1">
        <v>37</v>
      </c>
      <c r="BY110" s="1">
        <f t="shared" si="189"/>
        <v>1</v>
      </c>
      <c r="BZ110">
        <f>COUNTIFS(All!F:F,"=LEG*", All!B:B, "&gt;=7/1/2021", All!B:B,"&lt;=6/30/2022", All!E:E,"=U*",All!E:E,"&lt;&gt;UIPA*",All!E:E,"&lt;&gt;*RFO*",All!E:E,"&lt;&gt;*TRNG*",All!F:F,"&lt;&gt;*ethics*")</f>
        <v>1</v>
      </c>
      <c r="CA110" s="7">
        <f>ROUND(BZ110/(BR110+BH110),3)</f>
        <v>1.4E-2</v>
      </c>
      <c r="CB110">
        <f>SUMIFS(LogFY23!D:D,LogFY23!A:A,"=*legislature*",LogFY23!B:B,"&lt;&gt;*ethics*")</f>
        <v>37</v>
      </c>
      <c r="CC110">
        <f>SUM(SUMIFS(LogFY23!D:D,LogFY23!A:A,"=*legislature*",LogFY23!B:B,"&lt;&gt;*ethics*"),-1*SUMIFS(LogFY23!L:L,LogFY23!A:A,"=*legislature*",LogFY23!B:B,"&lt;&gt;*ethics*"),-1*SUMIFS(LogFY23!N:N,LogFY23!A:A,"=*legislature*",LogFY23!B:B,"&lt;&gt;*ethics*"))</f>
        <v>17</v>
      </c>
      <c r="CD110" s="7">
        <f t="shared" si="190"/>
        <v>0.45945945945945948</v>
      </c>
      <c r="CE110" s="7">
        <f t="shared" si="191"/>
        <v>3.7237237237237264E-2</v>
      </c>
      <c r="CF110">
        <f>ROUND(SUMIFS(LogFY23!K:K,LogFY23!A:A,"=*legislature*",LogFY23!B:B,"&lt;&gt;*ethics*")/SUMIFS(LogFY23!J:J,LogFY23!A:A,"=*legislature*",LogFY23!B:B,"&lt;&gt;*ethics*"),0)</f>
        <v>7</v>
      </c>
      <c r="CG110">
        <f t="shared" si="192"/>
        <v>-2</v>
      </c>
      <c r="CH110" s="1">
        <v>26</v>
      </c>
      <c r="CI110" s="1">
        <f t="shared" si="193"/>
        <v>-11</v>
      </c>
      <c r="CJ110">
        <f>COUNTIFS(All!F:F,"=LEG*", All!B:B, "&gt;=7/1/2022", All!B:B,"&lt;=6/30/2023", All!E:E,"=U*",All!E:E,"&lt;&gt;UIPA*",All!E:E,"&lt;&gt;*RFO*",All!E:E,"&lt;&gt;*TRNG*",All!F:F,"&lt;&gt;*ethics*")</f>
        <v>0</v>
      </c>
      <c r="CK110" s="7">
        <f>ROUND(CJ110/(CB108+BR108),3)</f>
        <v>0</v>
      </c>
      <c r="CL110">
        <f>SUMIFS(LogFY24!D:D,LogFY24!A:A,"=*legislature*",LogFY24!B:B,"&lt;&gt;*ethics*")</f>
        <v>34</v>
      </c>
      <c r="CM110">
        <f>SUM(SUMIFS(LogFY24!D:D,LogFY24!A:A,"=*legislature*",LogFY24!B:B,"&lt;&gt;*ethics*"),-1*SUMIFS(LogFY24!L:L,LogFY24!A:A,"=*legislature*",LogFY24!B:B,"&lt;&gt;*ethics*"),-1*SUMIFS(LogFY24!N:N,LogFY24!A:A,"=*legislature*",LogFY24!B:B,"&lt;&gt;*ethics*"))</f>
        <v>8</v>
      </c>
      <c r="CN110" s="7">
        <f t="shared" si="157"/>
        <v>0.23529411764705882</v>
      </c>
      <c r="CO110" s="7">
        <f t="shared" si="158"/>
        <v>-0.22416534181240066</v>
      </c>
      <c r="CP110">
        <f>ROUND(SUMIFS(LogFY24!K:K,LogFY24!A:A,"=*legislature*",LogFY24!B:B,"&lt;&gt;*ethics*")/SUMIFS(LogFY24!J:J,LogFY24!A:A,"=*legislature*",LogFY24!B:B,"&lt;&gt;*ethics*"),0)</f>
        <v>10</v>
      </c>
      <c r="CQ110">
        <f t="shared" si="159"/>
        <v>3</v>
      </c>
      <c r="CR110" s="1">
        <v>67</v>
      </c>
      <c r="CS110" s="1">
        <f t="shared" si="160"/>
        <v>41</v>
      </c>
      <c r="CT110">
        <f>COUNTIFS(All!F:F,"=LEG*", All!B:B, "&gt;=7/1/2023", All!B:B,"&lt;=6/30/2024", All!E:E,"=U*",All!E:E,"&lt;&gt;UIPA*",All!E:E,"&lt;&gt;*RFO*",All!E:E,"&lt;&gt;*TRNG*",All!F:F,"&lt;&gt;*ethics*")</f>
        <v>2</v>
      </c>
      <c r="CU110" s="7">
        <f>ROUND(CT110/(CL110+CB110),3)</f>
        <v>2.8000000000000001E-2</v>
      </c>
    </row>
    <row r="111" spans="1:99" ht="16">
      <c r="A111" s="10">
        <f t="shared" si="156"/>
        <v>110</v>
      </c>
      <c r="B111" s="9" t="s">
        <v>17483</v>
      </c>
      <c r="E111" s="7"/>
      <c r="G111" s="1"/>
      <c r="J111">
        <f>SUMIFS(LogFY16!D:D,LogFY16!A:A,"=*legislature*",LogFY16!B:B,"=*clerk*")</f>
        <v>30</v>
      </c>
      <c r="K111">
        <f>SUM(SUMIFS(LogFY16!D:D,LogFY16!A:A,"=*legislature*",LogFY16!B:B,"=*clerk*"),-1*SUMIFS(LogFY16!L:L,LogFY16!A:A,"=*legislature*",LogFY16!B:B,"=*clerk*"),-1*SUMIFS(LogFY16!N:N,LogFY16!A:A,"=*legislature*",LogFY16!B:B,"=*clerk*"))</f>
        <v>16</v>
      </c>
      <c r="L111" s="7">
        <f t="shared" si="162"/>
        <v>0.53333333333333333</v>
      </c>
      <c r="M111" s="7">
        <f t="shared" si="163"/>
        <v>0.53333333333333333</v>
      </c>
      <c r="N111">
        <f>ROUND(SUMIFS(LogFY16!K:K,LogFY16!A:A,"=*legislature*",LogFY16!B:B,"=*clerk*")/SUMIFS(LogFY16!J:J,LogFY16!A:A,"=*legislature*",LogFY16!B:B,"=*clerk*"),0)</f>
        <v>9</v>
      </c>
      <c r="O111">
        <f t="shared" si="164"/>
        <v>9</v>
      </c>
      <c r="P111">
        <v>19</v>
      </c>
      <c r="Q111" s="1">
        <f t="shared" si="165"/>
        <v>19</v>
      </c>
      <c r="T111">
        <f>SUMIFS(LogFY17!D:D,LogFY17!A:A,"=*legislature*",LogFY17!B:B,"=*clerk*")</f>
        <v>14</v>
      </c>
      <c r="U111">
        <f>SUM(SUMIFS(LogFY17!D:D,LogFY17!A:A,"=*legislature*",LogFY17!B:B,"=*clerk*"),-1*SUMIFS(LogFY17!L:L,LogFY17!A:A,"=*legislature*",LogFY17!B:B,"=*clerk*"),-1*SUMIFS(LogFY17!N:N,LogFY17!A:A,"=*legislature*",LogFY17!B:B,"=*clerk*"))</f>
        <v>6</v>
      </c>
      <c r="V111" s="7">
        <f t="shared" si="166"/>
        <v>0.42857142857142855</v>
      </c>
      <c r="W111" s="7">
        <f t="shared" si="167"/>
        <v>-0.10476190476190478</v>
      </c>
      <c r="X111">
        <f>ROUND(SUMIFS(LogFY17!K:K,LogFY17!A:A,"=*legislature*",LogFY17!B:B,"=*clerk*")/SUMIFS(LogFY17!J:J,LogFY17!A:A,"=*legislature*",LogFY17!B:B,"=*clerk*"),0)</f>
        <v>8</v>
      </c>
      <c r="Y111">
        <f t="shared" si="168"/>
        <v>-1</v>
      </c>
      <c r="Z111" s="1">
        <v>29</v>
      </c>
      <c r="AA111" s="1">
        <f t="shared" si="169"/>
        <v>10</v>
      </c>
      <c r="AD111">
        <f>SUMIFS(LogFY18!D:D,LogFY18!A:A,"=*legislature*",LogFY18!B:B,"=*clerk*")</f>
        <v>20</v>
      </c>
      <c r="AE111">
        <f>SUM(SUMIFS(LogFY18!D:D,LogFY18!A:A,"=*legislature*",LogFY18!B:B,"=*clerk*"),-1*SUMIFS(LogFY18!L:L,LogFY18!A:A,"=*legislature*",LogFY18!B:B,"=*clerk*"),-1*SUMIFS(LogFY18!N:N,LogFY18!A:A,"=*legislature*",LogFY18!B:B,"=*clerk*"))</f>
        <v>7</v>
      </c>
      <c r="AF111" s="7">
        <f t="shared" si="170"/>
        <v>0.35</v>
      </c>
      <c r="AG111" s="7">
        <f t="shared" si="171"/>
        <v>-7.857142857142857E-2</v>
      </c>
      <c r="AH111">
        <f>ROUND(SUMIFS(LogFY18!K:K,LogFY18!A:A,"=*legislature*",LogFY18!B:B,"=*clerk*")/SUMIFS(LogFY18!J:J,LogFY18!A:A,"=*legislature*",LogFY18!B:B,"=*clerk*"),0)</f>
        <v>6</v>
      </c>
      <c r="AI111">
        <f t="shared" si="172"/>
        <v>-2</v>
      </c>
      <c r="AJ111" s="1">
        <v>12</v>
      </c>
      <c r="AK111" s="1">
        <f t="shared" si="173"/>
        <v>-17</v>
      </c>
      <c r="AN111">
        <f>SUMIFS(LogFY19!D:D,LogFY19!A:A,"=*legislature*",LogFY19!B:B,"=*clerk*")</f>
        <v>9</v>
      </c>
      <c r="AO111">
        <f>SUM(SUMIFS(LogFY19!D:D,LogFY19!A:A,"=*legislature*",LogFY19!B:B,"=*clerk*"),-1*SUMIFS(LogFY19!L:L,LogFY19!A:A,"=*legislature*",LogFY19!B:B,"=*clerk*"),-1*SUMIFS(LogFY19!N:N,LogFY19!A:A,"=*legislature*",LogFY19!B:B,"=*clerk*"))</f>
        <v>1</v>
      </c>
      <c r="AP111" s="7">
        <f t="shared" si="174"/>
        <v>0.1111111111111111</v>
      </c>
      <c r="AQ111" s="7">
        <f t="shared" si="175"/>
        <v>-0.23888888888888887</v>
      </c>
      <c r="AR111">
        <f>ROUND(SUMIFS(LogFY19!K:K,LogFY19!A:A,"=*legislature*",LogFY19!B:B,"=*clerk*")/SUMIFS(LogFY19!J:J,LogFY19!A:A,"=*legislature*",LogFY19!B:B,"=*clerk*"),0)</f>
        <v>8</v>
      </c>
      <c r="AS111">
        <f t="shared" si="176"/>
        <v>2</v>
      </c>
      <c r="AT111" s="1">
        <v>12</v>
      </c>
      <c r="AU111" s="1">
        <f t="shared" si="177"/>
        <v>0</v>
      </c>
      <c r="AX111">
        <f>SUMIFS(LogFY20!D:D,LogFY20!A:A,"=*legislature*",LogFY20!B:B,"=*clerk*")</f>
        <v>10</v>
      </c>
      <c r="AY111">
        <f>SUM(SUMIFS(LogFY20!D:D,LogFY20!A:A,"=*legislature*",LogFY20!B:B,"=*clerk*"),-1*SUMIFS(LogFY20!L:L,LogFY20!A:A,"=*legislature*",LogFY20!B:B,"=*clerk*"),-1*SUMIFS(LogFY20!N:N,LogFY20!A:A,"=*legislature*",LogFY20!B:B,"=*clerk*"))</f>
        <v>0</v>
      </c>
      <c r="AZ111" s="7">
        <f t="shared" si="178"/>
        <v>0</v>
      </c>
      <c r="BA111" s="7">
        <f t="shared" si="179"/>
        <v>-0.1111111111111111</v>
      </c>
      <c r="BB111">
        <f>ROUND(SUMIFS(LogFY20!K:K,LogFY20!A:A,"=*legislature*",LogFY20!B:B,"=*clerk*")/SUMIFS(LogFY20!J:J,LogFY20!A:A,"=*legislature*",LogFY20!B:B,"=*clerk*"),0)</f>
        <v>10</v>
      </c>
      <c r="BC111">
        <f t="shared" si="180"/>
        <v>2</v>
      </c>
      <c r="BD111" s="1">
        <v>21</v>
      </c>
      <c r="BE111" s="1">
        <f t="shared" si="181"/>
        <v>9</v>
      </c>
      <c r="BH111">
        <f>SUMIFS(LogFY21!D:D,LogFY21!A:A,"=*legislature*",LogFY21!B:B,"=*clerk*")</f>
        <v>4</v>
      </c>
      <c r="BI111">
        <f>SUM(SUMIFS(LogFY21!D:D,LogFY21!A:A,"=*legislature*",LogFY21!B:B,"=*clerk*"),-1*SUMIFS(LogFY21!L:L,LogFY21!A:A,"=*legislature*",LogFY21!B:B,"=*clerk*"),-1*SUMIFS(LogFY21!N:N,LogFY21!A:A,"=*legislature*",LogFY21!B:B,"=*clerk*"))</f>
        <v>2</v>
      </c>
      <c r="BJ111" s="7">
        <f t="shared" si="182"/>
        <v>0.5</v>
      </c>
      <c r="BK111" s="7">
        <f t="shared" si="183"/>
        <v>0.5</v>
      </c>
      <c r="BL111">
        <f>ROUND(SUMIFS(LogFY21!K:K,LogFY21!A:A,"=*legislature*",LogFY21!B:B,"=*clerk*")/SUMIFS(LogFY21!J:J,LogFY21!A:A,"=*legislature*",LogFY21!B:B,"=*clerk*"),0)</f>
        <v>9</v>
      </c>
      <c r="BM111">
        <f t="shared" si="184"/>
        <v>-1</v>
      </c>
      <c r="BN111" s="1">
        <v>13</v>
      </c>
      <c r="BO111" s="1">
        <f t="shared" si="185"/>
        <v>-8</v>
      </c>
      <c r="BR111">
        <f>SUMIFS(LogFY22!D:D,LogFY22!A:A,"=*legislature*",LogFY22!B:B,"=*clerk*")</f>
        <v>19</v>
      </c>
      <c r="BS111">
        <f>SUM(SUMIFS(LogFY22!D:D,LogFY22!A:A,"=*legislature*",LogFY22!B:B,"=*clerk*"),-1*SUMIFS(LogFY22!L:L,LogFY22!A:A,"=*legislature*",LogFY22!B:B,"=*clerk*"),-1*SUMIFS(LogFY22!N:N,LogFY22!A:A,"=*legislature*",LogFY22!B:B,"=*clerk*"))</f>
        <v>9</v>
      </c>
      <c r="BT111" s="7">
        <f t="shared" si="186"/>
        <v>0.47368421052631576</v>
      </c>
      <c r="BU111" s="7">
        <f t="shared" si="187"/>
        <v>-2.6315789473684237E-2</v>
      </c>
      <c r="BV111">
        <f>ROUND(SUMIFS(LogFY22!K:K,LogFY22!A:A,"=*legislature*",LogFY22!B:B,"=*clerk*")/SUMIFS(LogFY22!J:J,LogFY22!A:A,"=*legislature*",LogFY22!B:B,"=*clerk*"),0)</f>
        <v>13</v>
      </c>
      <c r="BW111">
        <f t="shared" si="188"/>
        <v>4</v>
      </c>
      <c r="BX111" s="1">
        <v>37</v>
      </c>
      <c r="BY111" s="1">
        <f t="shared" si="189"/>
        <v>24</v>
      </c>
      <c r="CB111">
        <f>SUMIFS(LogFY23!D:D,LogFY23!A:A,"=*legislature*",LogFY23!B:B,"=*clerk*")</f>
        <v>11</v>
      </c>
      <c r="CC111">
        <f>SUM(SUMIFS(LogFY23!D:D,LogFY23!A:A,"=*legislature*",LogFY23!B:B,"=*clerk*"),-1*SUMIFS(LogFY23!L:L,LogFY23!A:A,"=*legislature*",LogFY23!B:B,"=*clerk*"),-1*SUMIFS(LogFY23!N:N,LogFY23!A:A,"=*legislature*",LogFY23!B:B,"=*clerk*"))</f>
        <v>5</v>
      </c>
      <c r="CD111" s="7">
        <f t="shared" si="190"/>
        <v>0.45454545454545453</v>
      </c>
      <c r="CE111" s="7">
        <f t="shared" si="191"/>
        <v>-1.9138755980861233E-2</v>
      </c>
      <c r="CF111">
        <f>ROUND(SUMIFS(LogFY23!K:K,LogFY23!A:A,"=*legislature*",LogFY23!B:B,"=*clerk*")/SUMIFS(LogFY23!J:J,LogFY23!A:A,"=*legislature*",LogFY23!B:B,"=*clerk*"),0)</f>
        <v>9</v>
      </c>
      <c r="CG111">
        <f t="shared" si="192"/>
        <v>-4</v>
      </c>
      <c r="CH111" s="1">
        <v>26</v>
      </c>
      <c r="CI111" s="1">
        <f t="shared" si="193"/>
        <v>-11</v>
      </c>
      <c r="CK111" s="7"/>
      <c r="CL111">
        <f>SUMIFS(LogFY24!D:D,LogFY24!A:A,"=*legislature*",LogFY24!B:B,"=*clerk*")</f>
        <v>17</v>
      </c>
      <c r="CM111">
        <f>SUM(SUMIFS(LogFY24!D:D,LogFY24!A:A,"=*legislature*",LogFY24!B:B,"=*clerk*"),-1*SUMIFS(LogFY24!L:L,LogFY24!A:A,"=*legislature*",LogFY24!B:B,"=*clerk*"),-1*SUMIFS(LogFY24!N:N,LogFY24!A:A,"=*legislature*",LogFY24!B:B,"=*clerk*"))</f>
        <v>4</v>
      </c>
      <c r="CN111" s="7">
        <f t="shared" si="157"/>
        <v>0.23529411764705882</v>
      </c>
      <c r="CO111" s="7">
        <f t="shared" si="158"/>
        <v>-0.21925133689839571</v>
      </c>
      <c r="CP111">
        <f>ROUND(SUMIFS(LogFY24!K:K,LogFY24!A:A,"=*legislature*",LogFY24!B:B,"=*clerk*")/SUMIFS(LogFY24!J:J,LogFY24!A:A,"=*legislature*",LogFY24!B:B,"=*clerk*"),0)</f>
        <v>15</v>
      </c>
      <c r="CQ111">
        <f t="shared" si="159"/>
        <v>6</v>
      </c>
      <c r="CR111" s="1">
        <v>67</v>
      </c>
      <c r="CS111" s="1">
        <f t="shared" si="160"/>
        <v>41</v>
      </c>
    </row>
    <row r="112" spans="1:99" ht="16">
      <c r="A112" s="10">
        <f t="shared" si="156"/>
        <v>111</v>
      </c>
      <c r="B112" s="9" t="s">
        <v>17484</v>
      </c>
      <c r="E112" s="7"/>
      <c r="G112" s="1"/>
      <c r="J112">
        <f>SUMIFS(LogFY16!D:D,LogFY16!A:A,"=*legislature*",LogFY16!B:B,"=*auditor*")</f>
        <v>6</v>
      </c>
      <c r="K112">
        <f>SUM(SUMIFS(LogFY16!D:D,LogFY16!A:A,"=*legislature*",LogFY16!B:B,"=*auditor*"),-1*SUMIFS(LogFY16!L:L,LogFY16!A:A,"=*legislature*",LogFY16!B:B,"=*auditor*"),-1*SUMIFS(LogFY16!N:N,LogFY16!A:A,"=*legislature*",LogFY16!B:B,"=*auditor*"))</f>
        <v>0</v>
      </c>
      <c r="L112" s="7">
        <f t="shared" si="162"/>
        <v>0</v>
      </c>
      <c r="M112" s="7">
        <f t="shared" si="163"/>
        <v>0</v>
      </c>
      <c r="N112">
        <f>ROUND(SUMIFS(LogFY16!K:K,LogFY16!A:A,"=*legislature*",LogFY16!B:B,"=*auditor*")/SUMIFS(LogFY16!J:J,LogFY16!A:A,"=*legislature*",LogFY16!B:B,"=*auditor*"),0)</f>
        <v>5</v>
      </c>
      <c r="O112">
        <f t="shared" si="164"/>
        <v>5</v>
      </c>
      <c r="P112">
        <v>12</v>
      </c>
      <c r="Q112" s="1">
        <f t="shared" si="165"/>
        <v>12</v>
      </c>
      <c r="T112">
        <f>SUMIFS(LogFY17!D:D,LogFY17!A:A,"=*legislature*",LogFY17!B:B,"=*auditor*")</f>
        <v>4</v>
      </c>
      <c r="U112">
        <f>SUM(SUMIFS(LogFY17!D:D,LogFY17!A:A,"=*legislature*",LogFY17!B:B,"=*auditor*"),-1*SUMIFS(LogFY17!L:L,LogFY17!A:A,"=*legislature*",LogFY17!B:B,"=*auditor*"),-1*SUMIFS(LogFY17!N:N,LogFY17!A:A,"=*legislature*",LogFY17!B:B,"=*auditor*"))</f>
        <v>1</v>
      </c>
      <c r="V112" s="7">
        <f t="shared" si="166"/>
        <v>0.25</v>
      </c>
      <c r="W112" s="7">
        <f t="shared" si="167"/>
        <v>0.25</v>
      </c>
      <c r="X112">
        <f>ROUND(SUMIFS(LogFY17!K:K,LogFY17!A:A,"=*legislature*",LogFY17!B:B,"=*auditor*")/SUMIFS(LogFY17!J:J,LogFY17!A:A,"=*legislature*",LogFY17!B:B,"=*auditor*"),0)</f>
        <v>6</v>
      </c>
      <c r="Y112">
        <f t="shared" si="168"/>
        <v>1</v>
      </c>
      <c r="Z112" s="1">
        <v>9</v>
      </c>
      <c r="AA112" s="1">
        <f t="shared" si="169"/>
        <v>-3</v>
      </c>
      <c r="AD112">
        <f>SUMIFS(LogFY18!D:D,LogFY18!A:A,"=*legislature*",LogFY18!B:B,"=*auditor*")</f>
        <v>7</v>
      </c>
      <c r="AE112">
        <f>SUM(SUMIFS(LogFY18!D:D,LogFY18!A:A,"=*legislature*",LogFY18!B:B,"=*auditor*"),-1*SUMIFS(LogFY18!L:L,LogFY18!A:A,"=*legislature*",LogFY18!B:B,"=*auditor*"),-1*SUMIFS(LogFY18!N:N,LogFY18!A:A,"=*legislature*",LogFY18!B:B,"=*auditor*"))</f>
        <v>2</v>
      </c>
      <c r="AF112" s="7">
        <f t="shared" si="170"/>
        <v>0.2857142857142857</v>
      </c>
      <c r="AG112" s="7">
        <f t="shared" si="171"/>
        <v>3.5714285714285698E-2</v>
      </c>
      <c r="AH112">
        <f>ROUND(SUMIFS(LogFY18!K:K,LogFY18!A:A,"=*legislature*",LogFY18!B:B,"=*auditor*")/SUMIFS(LogFY18!J:J,LogFY18!A:A,"=*legislature*",LogFY18!B:B,"=*auditor*"),0)</f>
        <v>5</v>
      </c>
      <c r="AI112">
        <f t="shared" si="172"/>
        <v>-1</v>
      </c>
      <c r="AJ112" s="1">
        <v>10</v>
      </c>
      <c r="AK112" s="1">
        <f t="shared" si="173"/>
        <v>1</v>
      </c>
      <c r="AN112">
        <f>SUMIFS(LogFY19!D:D,LogFY19!A:A,"=*legislature*",LogFY19!B:B,"=*auditor*")</f>
        <v>7</v>
      </c>
      <c r="AO112">
        <f>SUM(SUMIFS(LogFY19!D:D,LogFY19!A:A,"=*legislature*",LogFY19!B:B,"=*auditor*"),-1*SUMIFS(LogFY19!L:L,LogFY19!A:A,"=*legislature*",LogFY19!B:B,"=*auditor*"),-1*SUMIFS(LogFY19!N:N,LogFY19!A:A,"=*legislature*",LogFY19!B:B,"=*auditor*"))</f>
        <v>2</v>
      </c>
      <c r="AP112" s="7">
        <f t="shared" si="174"/>
        <v>0.2857142857142857</v>
      </c>
      <c r="AQ112" s="7">
        <f t="shared" si="175"/>
        <v>0</v>
      </c>
      <c r="AR112">
        <f>ROUND(SUMIFS(LogFY19!K:K,LogFY19!A:A,"=*legislature*",LogFY19!B:B,"=*auditor*")/SUMIFS(LogFY19!J:J,LogFY19!A:A,"=*legislature*",LogFY19!B:B,"=*auditor*"),0)</f>
        <v>8</v>
      </c>
      <c r="AS112">
        <f t="shared" si="176"/>
        <v>3</v>
      </c>
      <c r="AT112" s="1">
        <v>21</v>
      </c>
      <c r="AU112" s="1">
        <f t="shared" si="177"/>
        <v>11</v>
      </c>
      <c r="AX112">
        <f>SUMIFS(LogFY20!D:D,LogFY20!A:A,"=*legislature*",LogFY20!B:B,"=*auditor*")</f>
        <v>8</v>
      </c>
      <c r="AY112">
        <f>SUM(SUMIFS(LogFY20!D:D,LogFY20!A:A,"=*legislature*",LogFY20!B:B,"=*auditor*"),-1*SUMIFS(LogFY20!L:L,LogFY20!A:A,"=*legislature*",LogFY20!B:B,"=*auditor*"),-1*SUMIFS(LogFY20!N:N,LogFY20!A:A,"=*legislature*",LogFY20!B:B,"=*auditor*"))</f>
        <v>1</v>
      </c>
      <c r="AZ112" s="7">
        <f t="shared" si="178"/>
        <v>0.125</v>
      </c>
      <c r="BA112" s="7">
        <f t="shared" si="179"/>
        <v>-0.1607142857142857</v>
      </c>
      <c r="BB112">
        <f>ROUND(SUMIFS(LogFY20!K:K,LogFY20!A:A,"=*legislature*",LogFY20!B:B,"=*auditor*")/SUMIFS(LogFY20!J:J,LogFY20!A:A,"=*legislature*",LogFY20!B:B,"=*auditor*"),0)</f>
        <v>7</v>
      </c>
      <c r="BC112">
        <f t="shared" si="180"/>
        <v>-1</v>
      </c>
      <c r="BD112" s="1">
        <v>12</v>
      </c>
      <c r="BE112" s="1">
        <f t="shared" si="181"/>
        <v>-9</v>
      </c>
      <c r="BH112">
        <f>SUMIFS(LogFY21!D:D,LogFY21!A:A,"=*legislature*",LogFY21!B:B,"=*auditor*")</f>
        <v>8</v>
      </c>
      <c r="BI112">
        <f>SUM(SUMIFS(LogFY21!D:D,LogFY21!A:A,"=*legislature*",LogFY21!B:B,"=*auditor*"),-1*SUMIFS(LogFY21!L:L,LogFY21!A:A,"=*legislature*",LogFY21!B:B,"=*auditor*"),-1*SUMIFS(LogFY21!N:N,LogFY21!A:A,"=*legislature*",LogFY21!B:B,"=*auditor*"))</f>
        <v>2</v>
      </c>
      <c r="BJ112" s="7">
        <f t="shared" si="182"/>
        <v>0.25</v>
      </c>
      <c r="BK112" s="7">
        <f t="shared" si="183"/>
        <v>0.125</v>
      </c>
      <c r="BL112">
        <f>ROUND(SUMIFS(LogFY21!K:K,LogFY21!A:A,"=*legislature*",LogFY21!B:B,"=*auditor*")/SUMIFS(LogFY21!J:J,LogFY21!A:A,"=*legislature*",LogFY21!B:B,"=*auditor*"),0)</f>
        <v>3</v>
      </c>
      <c r="BM112">
        <f t="shared" si="184"/>
        <v>-4</v>
      </c>
      <c r="BN112" s="1">
        <v>6</v>
      </c>
      <c r="BO112" s="1">
        <f t="shared" si="185"/>
        <v>-6</v>
      </c>
      <c r="BR112">
        <f>SUMIFS(LogFY22!D:D,LogFY22!A:A,"=*legislature*",LogFY22!B:B,"=*auditor*")</f>
        <v>16</v>
      </c>
      <c r="BS112">
        <f>SUM(SUMIFS(LogFY22!D:D,LogFY22!A:A,"=*legislature*",LogFY22!B:B,"=*auditor*"),-1*SUMIFS(LogFY22!L:L,LogFY22!A:A,"=*legislature*",LogFY22!B:B,"=*auditor*"),-1*SUMIFS(LogFY22!N:N,LogFY22!A:A,"=*legislature*",LogFY22!B:B,"=*auditor*"))</f>
        <v>6</v>
      </c>
      <c r="BT112" s="7">
        <f t="shared" si="186"/>
        <v>0.375</v>
      </c>
      <c r="BU112" s="7">
        <f t="shared" si="187"/>
        <v>0.125</v>
      </c>
      <c r="BV112">
        <f>ROUND(SUMIFS(LogFY22!K:K,LogFY22!A:A,"=*legislature*",LogFY22!B:B,"=*auditor*")/SUMIFS(LogFY22!J:J,LogFY22!A:A,"=*legislature*",LogFY22!B:B,"=*auditor*"),0)</f>
        <v>6</v>
      </c>
      <c r="BW112">
        <f t="shared" si="188"/>
        <v>3</v>
      </c>
      <c r="BX112" s="1">
        <v>11</v>
      </c>
      <c r="BY112" s="1">
        <f t="shared" si="189"/>
        <v>5</v>
      </c>
      <c r="CB112">
        <f>SUMIFS(LogFY23!D:D,LogFY23!A:A,"=*legislature*",LogFY23!B:B,"=*auditor*")</f>
        <v>9</v>
      </c>
      <c r="CC112">
        <f>SUM(SUMIFS(LogFY23!D:D,LogFY23!A:A,"=*legislature*",LogFY23!B:B,"=*auditor*"),-1*SUMIFS(LogFY23!L:L,LogFY23!A:A,"=*legislature*",LogFY23!B:B,"=*auditor*"),-1*SUMIFS(LogFY23!N:N,LogFY23!A:A,"=*legislature*",LogFY23!B:B,"=*auditor*"))</f>
        <v>4</v>
      </c>
      <c r="CD112" s="7">
        <f t="shared" si="190"/>
        <v>0.44444444444444442</v>
      </c>
      <c r="CE112" s="7">
        <f t="shared" si="191"/>
        <v>6.944444444444442E-2</v>
      </c>
      <c r="CF112">
        <f>ROUND(SUMIFS(LogFY23!K:K,LogFY23!A:A,"=*legislature*",LogFY23!B:B,"=*auditor*")/SUMIFS(LogFY23!J:J,LogFY23!A:A,"=*legislature*",LogFY23!B:B,"=*auditor*"),0)</f>
        <v>4</v>
      </c>
      <c r="CG112">
        <f t="shared" si="192"/>
        <v>-2</v>
      </c>
      <c r="CH112" s="1">
        <v>11</v>
      </c>
      <c r="CI112" s="1">
        <f t="shared" si="193"/>
        <v>0</v>
      </c>
      <c r="CK112" s="7"/>
      <c r="CL112">
        <f>SUMIFS(LogFY24!D:D,LogFY24!A:A,"=*legislature*",LogFY24!B:B,"=*auditor*")</f>
        <v>10</v>
      </c>
      <c r="CM112">
        <f>SUM(SUMIFS(LogFY24!D:D,LogFY24!A:A,"=*legislature*",LogFY24!B:B,"=*auditor*"),-1*SUMIFS(LogFY24!L:L,LogFY24!A:A,"=*legislature*",LogFY24!B:B,"=*auditor*"),-1*SUMIFS(LogFY24!N:N,LogFY24!A:A,"=*legislature*",LogFY24!B:B,"=*auditor*"))</f>
        <v>0</v>
      </c>
      <c r="CN112" s="7">
        <f t="shared" si="157"/>
        <v>0</v>
      </c>
      <c r="CO112" s="7">
        <f t="shared" si="158"/>
        <v>-0.44444444444444442</v>
      </c>
      <c r="CP112">
        <f>ROUND(SUMIFS(LogFY24!K:K,LogFY24!A:A,"=*legislature*",LogFY24!B:B,"=*auditor*")/SUMIFS(LogFY24!J:J,LogFY24!A:A,"=*legislature*",LogFY24!B:B,"=*auditor*"),0)</f>
        <v>3</v>
      </c>
      <c r="CQ112">
        <f t="shared" si="159"/>
        <v>-1</v>
      </c>
      <c r="CR112" s="1">
        <v>8</v>
      </c>
      <c r="CS112" s="1">
        <f t="shared" si="160"/>
        <v>-3</v>
      </c>
    </row>
    <row r="113" spans="1:99" ht="16">
      <c r="A113" s="10">
        <f t="shared" si="156"/>
        <v>112</v>
      </c>
      <c r="B113" s="9" t="s">
        <v>17485</v>
      </c>
      <c r="E113" s="7"/>
      <c r="G113" s="1"/>
      <c r="J113">
        <f>SUMIFS(LogFY16!D:D,LogFY16!A:A,"=*legislature*",LogFY16!B:B,"=*ombudsman*")</f>
        <v>13</v>
      </c>
      <c r="K113">
        <f>SUM(SUMIFS(LogFY16!D:D,LogFY16!A:A,"=*legislature*",LogFY16!B:B,"=*ombudsman*"),-1*SUMIFS(LogFY16!L:L,LogFY16!A:A,"=*legislature*",LogFY16!B:B,"=*ombudsman*"),-1*SUMIFS(LogFY16!N:N,LogFY16!A:A,"=*legislature*",LogFY16!B:B,"=*ombudsman*"))</f>
        <v>11</v>
      </c>
      <c r="L113" s="7">
        <f t="shared" si="162"/>
        <v>0.84615384615384615</v>
      </c>
      <c r="M113" s="7">
        <f t="shared" si="163"/>
        <v>0.84615384615384615</v>
      </c>
      <c r="N113">
        <f>ROUND(SUMIFS(LogFY16!K:K,LogFY16!A:A,"=*legislature*",LogFY16!B:B,"=*ombudsman*")/SUMIFS(LogFY16!J:J,LogFY16!A:A,"=*legislature*",LogFY16!B:B,"=*ombudsman*"),0)</f>
        <v>5</v>
      </c>
      <c r="O113">
        <f t="shared" si="164"/>
        <v>5</v>
      </c>
      <c r="P113">
        <v>11</v>
      </c>
      <c r="Q113" s="1">
        <f t="shared" si="165"/>
        <v>11</v>
      </c>
      <c r="T113">
        <f>SUMIFS(LogFY17!D:D,LogFY17!A:A,"=*legislature*",LogFY17!B:B,"=*ombudsman*")</f>
        <v>15</v>
      </c>
      <c r="U113">
        <f>SUM(SUMIFS(LogFY17!D:D,LogFY17!A:A,"=*legislature*",LogFY17!B:B,"=*ombudsman*"),-1*SUMIFS(LogFY17!L:L,LogFY17!A:A,"=*legislature*",LogFY17!B:B,"=*ombudsman*"),-1*SUMIFS(LogFY17!N:N,LogFY17!A:A,"=*legislature*",LogFY17!B:B,"=*ombudsman*"))</f>
        <v>13</v>
      </c>
      <c r="V113" s="7">
        <f t="shared" si="166"/>
        <v>0.8666666666666667</v>
      </c>
      <c r="W113" s="7">
        <f t="shared" si="167"/>
        <v>2.0512820512820551E-2</v>
      </c>
      <c r="X113">
        <f>ROUND(SUMIFS(LogFY17!K:K,LogFY17!A:A,"=*legislature*",LogFY17!B:B,"=*ombudsman*")/SUMIFS(LogFY17!J:J,LogFY17!A:A,"=*legislature*",LogFY17!B:B,"=*ombudsman*"),0)</f>
        <v>4</v>
      </c>
      <c r="Y113">
        <f t="shared" si="168"/>
        <v>-1</v>
      </c>
      <c r="Z113" s="1">
        <v>11</v>
      </c>
      <c r="AA113" s="1">
        <f t="shared" si="169"/>
        <v>0</v>
      </c>
      <c r="AD113">
        <f>SUMIFS(LogFY18!D:D,LogFY18!A:A,"=*legislature*",LogFY18!B:B,"=*ombudsman*")</f>
        <v>14</v>
      </c>
      <c r="AE113">
        <f>SUM(SUMIFS(LogFY18!D:D,LogFY18!A:A,"=*legislature*",LogFY18!B:B,"=*ombudsman*"),-1*SUMIFS(LogFY18!L:L,LogFY18!A:A,"=*legislature*",LogFY18!B:B,"=*ombudsman*"),-1*SUMIFS(LogFY18!N:N,LogFY18!A:A,"=*legislature*",LogFY18!B:B,"=*ombudsman*"))</f>
        <v>10</v>
      </c>
      <c r="AF113" s="7">
        <f t="shared" si="170"/>
        <v>0.7142857142857143</v>
      </c>
      <c r="AG113" s="7">
        <f t="shared" si="171"/>
        <v>-0.15238095238095239</v>
      </c>
      <c r="AH113">
        <f>ROUND(SUMIFS(LogFY18!K:K,LogFY18!A:A,"=*legislature*",LogFY18!B:B,"=*ombudsman*")/SUMIFS(LogFY18!J:J,LogFY18!A:A,"=*legislature*",LogFY18!B:B,"=*ombudsman*"),0)</f>
        <v>3</v>
      </c>
      <c r="AI113">
        <f t="shared" si="172"/>
        <v>-1</v>
      </c>
      <c r="AJ113" s="1">
        <v>10</v>
      </c>
      <c r="AK113" s="1">
        <f t="shared" si="173"/>
        <v>-1</v>
      </c>
      <c r="AN113">
        <f>SUMIFS(LogFY19!D:D,LogFY19!A:A,"=*legislature*",LogFY19!B:B,"=*ombudsman*")</f>
        <v>18</v>
      </c>
      <c r="AO113">
        <f>SUM(SUMIFS(LogFY19!D:D,LogFY19!A:A,"=*legislature*",LogFY19!B:B,"=*ombudsman*"),-1*SUMIFS(LogFY19!L:L,LogFY19!A:A,"=*legislature*",LogFY19!B:B,"=*ombudsman*"),-1*SUMIFS(LogFY19!N:N,LogFY19!A:A,"=*legislature*",LogFY19!B:B,"=*ombudsman*"))</f>
        <v>11</v>
      </c>
      <c r="AP113" s="7">
        <f t="shared" si="174"/>
        <v>0.61111111111111116</v>
      </c>
      <c r="AQ113" s="7">
        <f t="shared" si="175"/>
        <v>-0.10317460317460314</v>
      </c>
      <c r="AR113">
        <f>ROUND(SUMIFS(LogFY19!K:K,LogFY19!A:A,"=*legislature*",LogFY19!B:B,"=*ombudsman*")/SUMIFS(LogFY19!J:J,LogFY19!A:A,"=*legislature*",LogFY19!B:B,"=*ombudsman*"),0)</f>
        <v>4</v>
      </c>
      <c r="AS113">
        <f t="shared" si="176"/>
        <v>1</v>
      </c>
      <c r="AT113" s="1">
        <v>11</v>
      </c>
      <c r="AU113" s="1">
        <f t="shared" si="177"/>
        <v>1</v>
      </c>
      <c r="AX113">
        <f>SUMIFS(LogFY20!D:D,LogFY20!A:A,"=*legislature*",LogFY20!B:B,"=*ombudsman*")</f>
        <v>10</v>
      </c>
      <c r="AY113">
        <f>SUM(SUMIFS(LogFY20!D:D,LogFY20!A:A,"=*legislature*",LogFY20!B:B,"=*ombudsman*"),-1*SUMIFS(LogFY20!L:L,LogFY20!A:A,"=*legislature*",LogFY20!B:B,"=*ombudsman*"),-1*SUMIFS(LogFY20!N:N,LogFY20!A:A,"=*legislature*",LogFY20!B:B,"=*ombudsman*"))</f>
        <v>3</v>
      </c>
      <c r="AZ113" s="7">
        <f t="shared" si="178"/>
        <v>0.3</v>
      </c>
      <c r="BA113" s="7">
        <f t="shared" si="179"/>
        <v>-0.31111111111111117</v>
      </c>
      <c r="BB113">
        <f>ROUND(SUMIFS(LogFY20!K:K,LogFY20!A:A,"=*legislature*",LogFY20!B:B,"=*ombudsman*")/SUMIFS(LogFY20!J:J,LogFY20!A:A,"=*legislature*",LogFY20!B:B,"=*ombudsman*"),0)</f>
        <v>8</v>
      </c>
      <c r="BC113">
        <f t="shared" si="180"/>
        <v>4</v>
      </c>
      <c r="BD113" s="1">
        <v>43</v>
      </c>
      <c r="BE113" s="1">
        <f t="shared" si="181"/>
        <v>32</v>
      </c>
      <c r="BH113">
        <f>SUMIFS(LogFY21!D:D,LogFY21!A:A,"=*legislature*",LogFY21!B:B,"=*ombudsman*")</f>
        <v>16</v>
      </c>
      <c r="BI113">
        <f>SUM(SUMIFS(LogFY21!D:D,LogFY21!A:A,"=*legislature*",LogFY21!B:B,"=*ombudsman*"),-1*SUMIFS(LogFY21!L:L,LogFY21!A:A,"=*legislature*",LogFY21!B:B,"=*ombudsman*"),-1*SUMIFS(LogFY21!N:N,LogFY21!A:A,"=*legislature*",LogFY21!B:B,"=*ombudsman*"))</f>
        <v>8</v>
      </c>
      <c r="BJ113" s="7">
        <f t="shared" si="182"/>
        <v>0.5</v>
      </c>
      <c r="BK113" s="7">
        <f t="shared" si="183"/>
        <v>0.2</v>
      </c>
      <c r="BL113">
        <f>ROUND(SUMIFS(LogFY21!K:K,LogFY21!A:A,"=*legislature*",LogFY21!B:B,"=*ombudsman*")/SUMIFS(LogFY21!J:J,LogFY21!A:A,"=*legislature*",LogFY21!B:B,"=*ombudsman*"),0)</f>
        <v>7</v>
      </c>
      <c r="BM113">
        <f t="shared" si="184"/>
        <v>-1</v>
      </c>
      <c r="BN113" s="1">
        <v>36</v>
      </c>
      <c r="BO113" s="1">
        <f t="shared" si="185"/>
        <v>-7</v>
      </c>
      <c r="BR113">
        <f>SUMIFS(LogFY22!D:D,LogFY22!A:A,"=*legislature*",LogFY22!B:B,"=*ombudsman*")</f>
        <v>5</v>
      </c>
      <c r="BS113">
        <f>SUM(SUMIFS(LogFY22!D:D,LogFY22!A:A,"=*legislature*",LogFY22!B:B,"=*ombudsman*"),-1*SUMIFS(LogFY22!L:L,LogFY22!A:A,"=*legislature*",LogFY22!B:B,"=*ombudsman*"),-1*SUMIFS(LogFY22!N:N,LogFY22!A:A,"=*legislature*",LogFY22!B:B,"=*ombudsman*"))</f>
        <v>3</v>
      </c>
      <c r="BT113" s="7">
        <f t="shared" si="186"/>
        <v>0.6</v>
      </c>
      <c r="BU113" s="7">
        <f t="shared" si="187"/>
        <v>9.9999999999999978E-2</v>
      </c>
      <c r="BV113">
        <f>ROUND(SUMIFS(LogFY22!K:K,LogFY22!A:A,"=*legislature*",LogFY22!B:B,"=*ombudsman*")/SUMIFS(LogFY22!J:J,LogFY22!A:A,"=*legislature*",LogFY22!B:B,"=*ombudsman*"),0)</f>
        <v>4</v>
      </c>
      <c r="BW113">
        <f t="shared" si="188"/>
        <v>-3</v>
      </c>
      <c r="BX113" s="1">
        <v>10</v>
      </c>
      <c r="BY113" s="1">
        <f t="shared" si="189"/>
        <v>-26</v>
      </c>
      <c r="CB113">
        <f>SUMIFS(LogFY23!D:D,LogFY23!A:A,"=*legislature*",LogFY23!B:B,"=*ombudsman*")</f>
        <v>13</v>
      </c>
      <c r="CC113">
        <f>SUM(SUMIFS(LogFY23!D:D,LogFY23!A:A,"=*legislature*",LogFY23!B:B,"=*ombudsman*"),-1*SUMIFS(LogFY23!L:L,LogFY23!A:A,"=*legislature*",LogFY23!B:B,"=*ombudsman*"),-1*SUMIFS(LogFY23!N:N,LogFY23!A:A,"=*legislature*",LogFY23!B:B,"=*ombudsman*"))</f>
        <v>7</v>
      </c>
      <c r="CD113" s="7">
        <f t="shared" si="190"/>
        <v>0.53846153846153844</v>
      </c>
      <c r="CE113" s="7">
        <f t="shared" si="191"/>
        <v>-6.1538461538461542E-2</v>
      </c>
      <c r="CF113">
        <f>ROUND(SUMIFS(LogFY23!K:K,LogFY23!A:A,"=*legislature*",LogFY23!B:B,"=*ombudsman*")/SUMIFS(LogFY23!J:J,LogFY23!A:A,"=*legislature*",LogFY23!B:B,"=*ombudsman*"),0)</f>
        <v>6</v>
      </c>
      <c r="CG113">
        <f t="shared" si="192"/>
        <v>2</v>
      </c>
      <c r="CH113" s="1">
        <v>10</v>
      </c>
      <c r="CI113" s="1">
        <f t="shared" si="193"/>
        <v>0</v>
      </c>
      <c r="CK113" s="7"/>
      <c r="CL113">
        <f>SUMIFS(LogFY24!D:D,LogFY24!A:A,"=*legislature*",LogFY24!B:B,"=*ombudsman*")</f>
        <v>5</v>
      </c>
      <c r="CM113">
        <f>SUM(SUMIFS(LogFY24!D:D,LogFY24!A:A,"=*legislature*",LogFY24!B:B,"=*ombudsman*"),-1*SUMIFS(LogFY24!L:L,LogFY24!A:A,"=*legislature*",LogFY24!B:B,"=*ombudsman*"),-1*SUMIFS(LogFY24!N:N,LogFY24!A:A,"=*legislature*",LogFY24!B:B,"=*ombudsman*"))</f>
        <v>4</v>
      </c>
      <c r="CN113" s="7">
        <f t="shared" si="157"/>
        <v>0.8</v>
      </c>
      <c r="CO113" s="7">
        <f t="shared" si="158"/>
        <v>0.26153846153846161</v>
      </c>
      <c r="CP113">
        <f>ROUND(SUMIFS(LogFY24!K:K,LogFY24!A:A,"=*legislature*",LogFY24!B:B,"=*ombudsman*")/SUMIFS(LogFY24!J:J,LogFY24!A:A,"=*legislature*",LogFY24!B:B,"=*ombudsman*"),0)</f>
        <v>5</v>
      </c>
      <c r="CQ113">
        <f t="shared" si="159"/>
        <v>-1</v>
      </c>
      <c r="CR113" s="1">
        <v>10</v>
      </c>
      <c r="CS113" s="1">
        <f t="shared" si="160"/>
        <v>0</v>
      </c>
    </row>
    <row r="114" spans="1:99" ht="16">
      <c r="A114" s="10">
        <f t="shared" si="156"/>
        <v>113</v>
      </c>
      <c r="B114" s="1" t="s">
        <v>16814</v>
      </c>
      <c r="C114">
        <f>SUMIFS(LogFY15!D:D,LogFY15!A:A,"=*hawaiian_affairs")</f>
        <v>33</v>
      </c>
      <c r="D114">
        <f>SUM(SUMIFS(LogFY15!D:D,LogFY15!A:A,"=*hawaiian_affairs"),-1*SUMIFS(LogFY15!L:L,LogFY15!A:A,"=*hawaiian_affairs"),-1*SUMIFS(LogFY15!N:N,LogFY15!A:A,"=*hawaiian_affairs"))</f>
        <v>9</v>
      </c>
      <c r="E114" s="7">
        <f>D114/C114</f>
        <v>0.27272727272727271</v>
      </c>
      <c r="F114">
        <f>ROUND(SUMIFS(LogFY15!K:K,LogFY15!A:A,"=*hawaiian_affairs")/SUMIFS(LogFY15!J:J,LogFY15!A:A,"=*hawaiian_affairs"),0)</f>
        <v>11</v>
      </c>
      <c r="G114" s="1">
        <v>49</v>
      </c>
      <c r="H114">
        <f>COUNTIFS(All!F:F,"=oha*", All!B:B, "&gt;=7/1/2014", All!B:B,"&lt;=6/30/2015", All!E:E,"=U*",All!E:E,"&lt;&gt;UIPA*",All!E:E,"&lt;&gt;*RFO*",All!E:E,"&lt;&gt;*TRNG*")</f>
        <v>8</v>
      </c>
      <c r="I114" s="7">
        <f>ROUND(H114/C114,3)</f>
        <v>0.24199999999999999</v>
      </c>
      <c r="J114">
        <f>SUMIFS(LogFY16!D:D,LogFY16!A:A,"=*hawaiian_affairs")</f>
        <v>26</v>
      </c>
      <c r="K114">
        <f>SUM(SUMIFS(LogFY16!D:D,LogFY16!A:A,"=*hawaiian_affairs"),-1*SUMIFS(LogFY16!L:L,LogFY16!A:A,"=*hawaiian_affairs"),-1*SUMIFS(LogFY16!N:N,LogFY16!A:A,"=*hawaiian_affairs"))</f>
        <v>5</v>
      </c>
      <c r="L114" s="7">
        <f t="shared" si="162"/>
        <v>0.19230769230769232</v>
      </c>
      <c r="M114" s="7">
        <f t="shared" si="163"/>
        <v>-8.0419580419580389E-2</v>
      </c>
      <c r="N114">
        <f>ROUND(SUMIFS(LogFY16!K:K,LogFY16!A:A,"=*hawaiian_affairs")/SUMIFS(LogFY16!J:J,LogFY16!A:A,"=*hawaiian_affairs"),0)</f>
        <v>7</v>
      </c>
      <c r="O114">
        <f t="shared" si="164"/>
        <v>-4</v>
      </c>
      <c r="P114" s="1">
        <v>23</v>
      </c>
      <c r="Q114" s="1">
        <f t="shared" si="165"/>
        <v>-26</v>
      </c>
      <c r="R114">
        <f>COUNTIFS(All!F:F,"=oha*", All!B:B, "&gt;=7/1/2015", All!B:B,"&lt;=6/30/2016", All!E:E,"=U*",All!E:E,"&lt;&gt;UIPA*",All!E:E,"&lt;&gt;*RFO*",All!E:E,"&lt;&gt;*TRNG*")</f>
        <v>0</v>
      </c>
      <c r="S114" s="7">
        <f>ROUND(R114/(J114+C114),3)</f>
        <v>0</v>
      </c>
      <c r="T114">
        <f>SUMIFS(LogFY17!D:D,LogFY17!A:A,"=*hawaiian_affairs")</f>
        <v>42</v>
      </c>
      <c r="U114">
        <f>SUM(SUMIFS(LogFY17!D:D,LogFY17!A:A,"=*hawaiian_affairs"),-1*SUMIFS(LogFY17!L:L,LogFY17!A:A,"=*hawaiian_affairs"),-1*SUMIFS(LogFY17!N:N,LogFY17!A:A,"=*hawaiian_affairs"))</f>
        <v>13</v>
      </c>
      <c r="V114" s="7">
        <f t="shared" si="166"/>
        <v>0.30952380952380953</v>
      </c>
      <c r="W114" s="7">
        <f t="shared" si="167"/>
        <v>0.11721611721611722</v>
      </c>
      <c r="X114">
        <f>ROUND(SUMIFS(LogFY17!K:K,LogFY17!A:A,"=*hawaiian_affairs")/SUMIFS(LogFY17!J:J,LogFY17!A:A,"=*hawaiian_affairs"),0)</f>
        <v>9</v>
      </c>
      <c r="Y114">
        <f t="shared" si="168"/>
        <v>2</v>
      </c>
      <c r="Z114" s="1">
        <v>29</v>
      </c>
      <c r="AA114" s="1">
        <f t="shared" si="169"/>
        <v>6</v>
      </c>
      <c r="AB114">
        <f>COUNTIFS(All!F:F,"=oha*", All!B:B, "&gt;=7/1/2016", All!B:B,"&lt;=6/30/2017", All!E:E,"=U*",All!E:E,"&lt;&gt;UIPA*",All!E:E,"&lt;&gt;*RFO*",All!E:E,"&lt;&gt;*TRNG*")</f>
        <v>5</v>
      </c>
      <c r="AC114" s="7">
        <f>ROUND(AB114/(T114+J114),3)</f>
        <v>7.3999999999999996E-2</v>
      </c>
      <c r="AD114">
        <f>SUMIFS(LogFY18!D:D,LogFY18!A:A,"=*hawaiian_affairs")</f>
        <v>41</v>
      </c>
      <c r="AE114">
        <f>SUM(SUMIFS(LogFY18!D:D,LogFY18!A:A,"=*hawaiian_affairs"),-1*SUMIFS(LogFY18!L:L,LogFY18!A:A,"=*hawaiian_affairs"),-1*SUMIFS(LogFY18!N:N,LogFY18!A:A,"=*hawaiian_affairs"))</f>
        <v>10</v>
      </c>
      <c r="AF114" s="7">
        <f t="shared" si="170"/>
        <v>0.24390243902439024</v>
      </c>
      <c r="AG114" s="7">
        <f t="shared" si="171"/>
        <v>-6.5621370499419296E-2</v>
      </c>
      <c r="AH114">
        <f>ROUND(SUMIFS(LogFY18!K:K,LogFY18!A:A,"=*hawaiian_affairs")/SUMIFS(LogFY18!J:J,LogFY18!A:A,"=*hawaiian_affairs"),0)</f>
        <v>10</v>
      </c>
      <c r="AI114">
        <f t="shared" si="172"/>
        <v>1</v>
      </c>
      <c r="AJ114" s="1">
        <v>24</v>
      </c>
      <c r="AK114" s="1">
        <f t="shared" si="173"/>
        <v>-5</v>
      </c>
      <c r="AL114">
        <f>COUNTIFS(All!F:F,"=oha*", All!B:B, "&gt;=7/1/2017", All!B:B,"&lt;=6/30/2018", All!E:E,"=U*",All!E:E,"&lt;&gt;UIPA*",All!E:E,"&lt;&gt;*RFO*",All!E:E,"&lt;&gt;*TRNG*")</f>
        <v>1</v>
      </c>
      <c r="AM114" s="7">
        <f>ROUND(AL114/(AD114+T114),3)</f>
        <v>1.2E-2</v>
      </c>
      <c r="AN114">
        <f>SUMIFS(LogFY19!D:D,LogFY19!A:A,"=*hawaiian_affairs")</f>
        <v>21</v>
      </c>
      <c r="AO114">
        <f>SUM(SUMIFS(LogFY19!D:D,LogFY19!A:A,"=*hawaiian_affairs"),-1*SUMIFS(LogFY19!L:L,LogFY19!A:A,"=*hawaiian_affairs"),-1*SUMIFS(LogFY19!N:N,LogFY19!A:A,"=*hawaiian_affairs"))</f>
        <v>3</v>
      </c>
      <c r="AP114" s="7">
        <f t="shared" si="174"/>
        <v>0.14285714285714285</v>
      </c>
      <c r="AQ114" s="7">
        <f t="shared" si="175"/>
        <v>-0.10104529616724739</v>
      </c>
      <c r="AR114">
        <f>ROUND(SUMIFS(LogFY19!K:K,LogFY19!A:A,"=*hawaiian_affairs")/SUMIFS(LogFY19!J:J,LogFY19!A:A,"=*hawaiian_affairs"),0)</f>
        <v>26</v>
      </c>
      <c r="AS114">
        <f t="shared" si="176"/>
        <v>16</v>
      </c>
      <c r="AT114" s="1">
        <v>78</v>
      </c>
      <c r="AU114" s="1">
        <f t="shared" si="177"/>
        <v>54</v>
      </c>
      <c r="AV114">
        <f>COUNTIFS(All!F:F,"=oha*", All!B:B, "&gt;=7/1/2018", All!B:B,"&lt;=6/30/2019", All!E:E,"=U*",All!E:E,"&lt;&gt;UIPA*",All!E:E,"&lt;&gt;*RFO*",All!E:E,"&lt;&gt;*TRNG*")</f>
        <v>2</v>
      </c>
      <c r="AW114" s="7">
        <f>ROUND(AV114/(AN114+AD114),3)</f>
        <v>3.2000000000000001E-2</v>
      </c>
      <c r="AX114">
        <f>SUMIFS(LogFY20!D:D,LogFY20!A:A,"=*hawaiian_affairs")</f>
        <v>19</v>
      </c>
      <c r="AY114">
        <f>SUM(SUMIFS(LogFY20!D:D,LogFY20!A:A,"=*hawaiian_affairs"),-1*SUMIFS(LogFY20!L:L,LogFY20!A:A,"=*hawaiian_affairs"),-1*SUMIFS(LogFY20!N:N,LogFY20!A:A,"=*hawaiian_affairs"))</f>
        <v>2</v>
      </c>
      <c r="AZ114" s="7">
        <f t="shared" si="178"/>
        <v>0.10526315789473684</v>
      </c>
      <c r="BA114" s="7">
        <f t="shared" si="179"/>
        <v>-3.7593984962406013E-2</v>
      </c>
      <c r="BB114">
        <f>ROUND(SUMIFS(LogFY20!K:K,LogFY20!A:A,"=*hawaiian_affairs")/SUMIFS(LogFY20!J:J,LogFY20!A:A,"=*hawaiian_affairs"),0)</f>
        <v>6</v>
      </c>
      <c r="BC114">
        <f t="shared" si="180"/>
        <v>-20</v>
      </c>
      <c r="BD114" s="1">
        <v>36</v>
      </c>
      <c r="BE114" s="1">
        <f t="shared" si="181"/>
        <v>-42</v>
      </c>
      <c r="BF114">
        <f>COUNTIFS(All!F:F,"=oha*", All!B:B, "&gt;=7/1/2019", All!B:B,"&lt;=6/30/2020", All!E:E,"=U*",All!E:E,"&lt;&gt;UIPA*",All!E:E,"&lt;&gt;*RFO*",All!E:E,"&lt;&gt;*TRNG*")</f>
        <v>1</v>
      </c>
      <c r="BG114" s="7">
        <f>ROUND(BF114/(AX114+AN114),3)</f>
        <v>2.5000000000000001E-2</v>
      </c>
      <c r="BH114">
        <f>SUMIFS(LogFY21!D:D,LogFY21!A:A,"=*hawaiian_affairs")</f>
        <v>7</v>
      </c>
      <c r="BI114">
        <f>SUM(SUMIFS(LogFY21!D:D,LogFY21!A:A,"=*hawaiian_affairs"),-1*SUMIFS(LogFY21!L:L,LogFY21!A:A,"=*hawaiian_affairs"),-1*SUMIFS(LogFY21!N:N,LogFY21!A:A,"=*hawaiian_affairs"))</f>
        <v>1</v>
      </c>
      <c r="BJ114" s="7">
        <f t="shared" si="182"/>
        <v>0.14285714285714285</v>
      </c>
      <c r="BK114" s="7">
        <f t="shared" si="183"/>
        <v>3.7593984962406013E-2</v>
      </c>
      <c r="BL114">
        <f>ROUND(SUMIFS(LogFY21!K:K,LogFY21!A:A,"=*hawaiian_affairs")/SUMIFS(LogFY21!J:J,LogFY21!A:A,"=*hawaiian_affairs"),0)</f>
        <v>13</v>
      </c>
      <c r="BM114">
        <f t="shared" si="184"/>
        <v>7</v>
      </c>
      <c r="BN114" s="1">
        <v>30</v>
      </c>
      <c r="BO114" s="1">
        <f t="shared" si="185"/>
        <v>-6</v>
      </c>
      <c r="BP114">
        <f>COUNTIFS(All!F:F,"=oha*", All!B:B, "&gt;=7/1/2020", All!B:B,"&lt;=6/30/2021", All!E:E,"=U*",All!E:E,"&lt;&gt;UIPA*",All!E:E,"&lt;&gt;*RFO*",All!E:E,"&lt;&gt;*TRNG*")</f>
        <v>0</v>
      </c>
      <c r="BQ114" s="7">
        <f>ROUND(BP114/(BH114+AX114),3)</f>
        <v>0</v>
      </c>
      <c r="BR114">
        <f>SUMIFS(LogFY22!D:D,LogFY22!A:A,"=*hawaiian_affairs")</f>
        <v>33</v>
      </c>
      <c r="BS114">
        <f>SUM(SUMIFS(LogFY22!D:D,LogFY22!A:A,"=*hawaiian_affairs"),-1*SUMIFS(LogFY22!L:L,LogFY22!A:A,"=*hawaiian_affairs"),-1*SUMIFS(LogFY22!N:N,LogFY22!A:A,"=*hawaiian_affairs"))</f>
        <v>17</v>
      </c>
      <c r="BT114" s="7">
        <f t="shared" si="186"/>
        <v>0.51515151515151514</v>
      </c>
      <c r="BU114" s="7">
        <f t="shared" si="187"/>
        <v>0.37229437229437229</v>
      </c>
      <c r="BV114">
        <f>ROUND(SUMIFS(LogFY22!K:K,LogFY22!A:A,"=*hawaiian_affairs")/SUMIFS(LogFY22!J:J,LogFY22!A:A,"=*hawaiian_affairs"),0)</f>
        <v>8</v>
      </c>
      <c r="BW114">
        <f t="shared" si="188"/>
        <v>-5</v>
      </c>
      <c r="BX114" s="1">
        <v>20</v>
      </c>
      <c r="BY114" s="1">
        <f t="shared" si="189"/>
        <v>-10</v>
      </c>
      <c r="BZ114">
        <f>COUNTIFS(All!F:F,"=oha*", All!B:B, "&gt;=7/1/2021", All!B:B,"&lt;=6/30/2022", All!E:E,"=U*",All!E:E,"&lt;&gt;UIPA*",All!E:E,"&lt;&gt;*RFO*",All!E:E,"&lt;&gt;*TRNG*")</f>
        <v>0</v>
      </c>
      <c r="CA114" s="7">
        <f>ROUND(BZ114/(BR114+BH114),3)</f>
        <v>0</v>
      </c>
      <c r="CB114">
        <f>SUMIFS(LogFY23!D:D,LogFY23!A:A,"=*hawaiian_affairs")</f>
        <v>12</v>
      </c>
      <c r="CC114">
        <f>SUM(SUMIFS(LogFY23!D:D,LogFY23!A:A,"=*hawaiian_affairs"),-1*SUMIFS(LogFY23!L:L,LogFY23!A:A,"=*hawaiian_affairs"),-1*SUMIFS(LogFY23!N:N,LogFY23!A:A,"=*hawaiian_affairs"))</f>
        <v>4</v>
      </c>
      <c r="CD114" s="7">
        <f t="shared" si="190"/>
        <v>0.33333333333333331</v>
      </c>
      <c r="CE114" s="7">
        <f t="shared" si="191"/>
        <v>-0.18181818181818182</v>
      </c>
      <c r="CF114">
        <f>ROUND(SUMIFS(LogFY23!K:K,LogFY23!A:A,"=*hawaiian_affairs")/SUMIFS(LogFY23!J:J,LogFY23!A:A,"=*hawaiian_affairs"),0)</f>
        <v>8</v>
      </c>
      <c r="CG114">
        <f t="shared" si="192"/>
        <v>0</v>
      </c>
      <c r="CH114" s="1">
        <v>19</v>
      </c>
      <c r="CI114" s="1">
        <f t="shared" si="193"/>
        <v>-1</v>
      </c>
      <c r="CJ114">
        <f>COUNTIFS(All!F:F,"=oha*", All!B:B, "&gt;=7/1/2022", All!B:B,"&lt;=6/30/2023", All!E:E,"=U*",All!E:E,"&lt;&gt;UIPA*",All!E:E,"&lt;&gt;*RFO*",All!E:E,"&lt;&gt;*TRNG*")</f>
        <v>0</v>
      </c>
      <c r="CK114" s="7">
        <f>ROUND(CJ114/(CB114+BR114),3)</f>
        <v>0</v>
      </c>
      <c r="CL114">
        <f>SUMIFS(LogFY24!D:D,LogFY24!A:A,"=*hawaiian_affairs")</f>
        <v>16</v>
      </c>
      <c r="CM114">
        <f>SUM(SUMIFS(LogFY24!D:D,LogFY24!A:A,"=*hawaiian_affairs"),-1*SUMIFS(LogFY24!L:L,LogFY24!A:A,"=*hawaiian_affairs"),-1*SUMIFS(LogFY24!N:N,LogFY24!A:A,"=*hawaiian_affairs"))</f>
        <v>5</v>
      </c>
      <c r="CN114" s="7">
        <f t="shared" si="157"/>
        <v>0.3125</v>
      </c>
      <c r="CO114" s="7">
        <f t="shared" si="158"/>
        <v>-2.0833333333333315E-2</v>
      </c>
      <c r="CP114">
        <f>ROUND(SUMIFS(LogFY24!K:K,LogFY24!A:A,"=*hawaiian_affairs")/SUMIFS(LogFY24!J:J,LogFY24!A:A,"=*hawaiian_affairs"),0)</f>
        <v>8</v>
      </c>
      <c r="CQ114">
        <f t="shared" si="159"/>
        <v>0</v>
      </c>
      <c r="CR114" s="1">
        <v>21</v>
      </c>
      <c r="CS114" s="1">
        <f t="shared" si="160"/>
        <v>2</v>
      </c>
      <c r="CT114">
        <f>COUNTIFS(All!F:F,"=oha*", All!B:B, "&gt;=7/1/2023", All!B:B,"&lt;=6/30/2024", All!E:E,"=U*",All!E:E,"&lt;&gt;UIPA*",All!E:E,"&lt;&gt;*RFO*",All!E:E,"&lt;&gt;*TRNG*")</f>
        <v>0</v>
      </c>
      <c r="CU114" s="7">
        <f>ROUND(CT114/(CL114+CB114),3)</f>
        <v>0</v>
      </c>
    </row>
    <row r="115" spans="1:99" ht="16">
      <c r="A115" s="10">
        <f t="shared" si="156"/>
        <v>114</v>
      </c>
      <c r="B115" s="1" t="s">
        <v>16818</v>
      </c>
      <c r="C115">
        <f>SUMIFS(LogFY15!D:D,LogFY15!A:A,"=*university*")</f>
        <v>27</v>
      </c>
      <c r="D115">
        <f>SUM(SUMIFS(LogFY15!D:D,LogFY15!A:A,"=*university*"),-1*SUMIFS(LogFY15!L:L,LogFY15!A:A,"=*university*"),-1*SUMIFS(LogFY15!N:N,LogFY15!A:A,"=*university*"))</f>
        <v>12</v>
      </c>
      <c r="E115" s="7">
        <f>D115/C115</f>
        <v>0.44444444444444442</v>
      </c>
      <c r="F115">
        <f>ROUND(SUMIFS(LogFY15!K:K,LogFY15!A:A,"=*university*")/SUMIFS(LogFY15!J:J,LogFY15!A:A,"=*university*"),0)</f>
        <v>16</v>
      </c>
      <c r="G115" s="1">
        <v>59</v>
      </c>
      <c r="H115">
        <f>COUNTIFS(All!F:F,"=*uh*", All!B:B, "&gt;=7/1/2014", All!B:B,"&lt;=6/30/2015", All!E:E,"=U*",All!E:E,"&lt;&gt;UIPA*",All!E:E,"&lt;&gt;*RFO*",All!E:E,"&lt;&gt;*TRNG*")</f>
        <v>8</v>
      </c>
      <c r="I115" s="7">
        <f>ROUND(H115/C115,3)</f>
        <v>0.29599999999999999</v>
      </c>
      <c r="J115">
        <f>SUMIFS(LogFY16!D:D,LogFY16!A:A,"=*university*")</f>
        <v>5</v>
      </c>
      <c r="K115">
        <f>SUM(SUMIFS(LogFY16!D:D,LogFY16!A:A,"=*university*"),-1*SUMIFS(LogFY16!L:L,LogFY16!A:A,"=*university*"),-1*SUMIFS(LogFY16!N:N,LogFY16!A:A,"=*university*"))</f>
        <v>3</v>
      </c>
      <c r="L115" s="7">
        <f t="shared" si="162"/>
        <v>0.6</v>
      </c>
      <c r="M115" s="7">
        <f t="shared" si="163"/>
        <v>0.15555555555555556</v>
      </c>
      <c r="N115">
        <f>ROUND(SUMIFS(LogFY16!K:K,LogFY16!A:A,"=*university*")/SUMIFS(LogFY16!J:J,LogFY16!A:A,"=*university*"),0)</f>
        <v>9</v>
      </c>
      <c r="O115">
        <f t="shared" si="164"/>
        <v>-7</v>
      </c>
      <c r="P115" s="1">
        <v>12</v>
      </c>
      <c r="Q115" s="1">
        <f t="shared" si="165"/>
        <v>-47</v>
      </c>
      <c r="R115">
        <f>COUNTIFS(All!F:F,"=*uh*", All!B:B, "&gt;=7/1/2015", All!B:B,"&lt;=6/30/2016", All!E:E,"=U*",All!E:E,"&lt;&gt;UIPA*",All!E:E,"&lt;&gt;*RFO*",All!E:E,"&lt;&gt;*TRNG*")</f>
        <v>8</v>
      </c>
      <c r="S115" s="7">
        <f>ROUND(R115/(J115+C115),3)</f>
        <v>0.25</v>
      </c>
      <c r="T115">
        <f>SUMIFS(LogFY17!D:D,LogFY17!A:A,"=*university*")</f>
        <v>13</v>
      </c>
      <c r="U115">
        <f>SUM(SUMIFS(LogFY17!D:D,LogFY17!A:A,"=*university*"),-1*SUMIFS(LogFY17!L:L,LogFY17!A:A,"=*university*"),-1*SUMIFS(LogFY17!N:N,LogFY17!A:A,"=*university*"))</f>
        <v>6</v>
      </c>
      <c r="V115" s="7">
        <f t="shared" si="166"/>
        <v>0.46153846153846156</v>
      </c>
      <c r="W115" s="7">
        <f t="shared" si="167"/>
        <v>-0.13846153846153841</v>
      </c>
      <c r="X115">
        <f>ROUND(SUMIFS(LogFY17!K:K,LogFY17!A:A,"=*university*")/SUMIFS(LogFY17!J:J,LogFY17!A:A,"=*university*"),0)</f>
        <v>13</v>
      </c>
      <c r="Y115">
        <f t="shared" si="168"/>
        <v>4</v>
      </c>
      <c r="Z115" s="1">
        <v>34</v>
      </c>
      <c r="AA115" s="1">
        <f t="shared" si="169"/>
        <v>22</v>
      </c>
      <c r="AB115">
        <f>COUNTIFS(All!F:F,"=*uh*", All!B:B, "&gt;=7/1/2016", All!B:B,"&lt;=6/30/2017", All!E:E,"=U*",All!E:E,"&lt;&gt;UIPA*",All!E:E,"&lt;&gt;*RFO*",All!E:E,"&lt;&gt;*TRNG*")</f>
        <v>8</v>
      </c>
      <c r="AC115" s="7">
        <f>ROUND(AB115/(T115+J115),3)</f>
        <v>0.44400000000000001</v>
      </c>
      <c r="AD115">
        <f>SUMIFS(LogFY18!D:D,LogFY18!A:A,"=*university*")</f>
        <v>10</v>
      </c>
      <c r="AE115">
        <f>SUM(SUMIFS(LogFY18!D:D,LogFY18!A:A,"=*university*"),-1*SUMIFS(LogFY18!L:L,LogFY18!A:A,"=*university*"),-1*SUMIFS(LogFY18!N:N,LogFY18!A:A,"=*university*"))</f>
        <v>5</v>
      </c>
      <c r="AF115" s="7">
        <f t="shared" si="170"/>
        <v>0.5</v>
      </c>
      <c r="AG115" s="7">
        <f t="shared" si="171"/>
        <v>3.8461538461538436E-2</v>
      </c>
      <c r="AH115">
        <f>ROUND(SUMIFS(LogFY18!K:K,LogFY18!A:A,"=*university*")/SUMIFS(LogFY18!J:J,LogFY18!A:A,"=*university*"),0)</f>
        <v>14</v>
      </c>
      <c r="AI115">
        <f t="shared" si="172"/>
        <v>1</v>
      </c>
      <c r="AJ115" s="1">
        <v>25</v>
      </c>
      <c r="AK115" s="1">
        <f t="shared" si="173"/>
        <v>-9</v>
      </c>
      <c r="AL115">
        <f>COUNTIFS(All!F:F,"=*uh*", All!B:B, "&gt;=7/1/2017", All!B:B,"&lt;=6/30/2018", All!E:E,"=U*",All!E:E,"&lt;&gt;UIPA*",All!E:E,"&lt;&gt;*RFO*",All!E:E,"&lt;&gt;*TRNG*")</f>
        <v>0</v>
      </c>
      <c r="AM115" s="7">
        <f>ROUND(AL115/(AD115+T115),3)</f>
        <v>0</v>
      </c>
      <c r="AN115">
        <f>SUMIFS(LogFY19!D:D,LogFY19!A:A,"=*university*")</f>
        <v>31</v>
      </c>
      <c r="AO115">
        <f>SUM(SUMIFS(LogFY19!D:D,LogFY19!A:A,"=*university*"),-1*SUMIFS(LogFY19!L:L,LogFY19!A:A,"=*university*"),-1*SUMIFS(LogFY19!N:N,LogFY19!A:A,"=*university*"))</f>
        <v>14</v>
      </c>
      <c r="AP115" s="7">
        <f t="shared" si="174"/>
        <v>0.45161290322580644</v>
      </c>
      <c r="AQ115" s="7">
        <f t="shared" si="175"/>
        <v>-4.8387096774193561E-2</v>
      </c>
      <c r="AR115">
        <f>ROUND(SUMIFS(LogFY19!K:K,LogFY19!A:A,"=*university*")/SUMIFS(LogFY19!J:J,LogFY19!A:A,"=*university*"),0)</f>
        <v>18</v>
      </c>
      <c r="AS115">
        <f t="shared" si="176"/>
        <v>4</v>
      </c>
      <c r="AT115" s="1">
        <v>90</v>
      </c>
      <c r="AU115" s="1">
        <f t="shared" si="177"/>
        <v>65</v>
      </c>
      <c r="AV115">
        <f>COUNTIFS(All!F:F,"=*uh*", All!B:B, "&gt;=7/1/2018", All!B:B,"&lt;=6/30/2019", All!E:E,"=U*",All!E:E,"&lt;&gt;UIPA*",All!E:E,"&lt;&gt;*RFO*",All!E:E,"&lt;&gt;*TRNG*")</f>
        <v>4</v>
      </c>
      <c r="AW115" s="7">
        <f>ROUND(AV115/(AN115+AD115),3)</f>
        <v>9.8000000000000004E-2</v>
      </c>
      <c r="AX115">
        <f>SUMIFS(LogFY20!D:D,LogFY20!A:A,"=*university*")</f>
        <v>11</v>
      </c>
      <c r="AY115">
        <f>SUM(SUMIFS(LogFY20!D:D,LogFY20!A:A,"=*university*"),-1*SUMIFS(LogFY20!L:L,LogFY20!A:A,"=*university*"),-1*SUMIFS(LogFY20!N:N,LogFY20!A:A,"=*university*"))</f>
        <v>-2</v>
      </c>
      <c r="AZ115" s="7">
        <f t="shared" si="178"/>
        <v>-0.18181818181818182</v>
      </c>
      <c r="BA115" s="7">
        <f t="shared" si="179"/>
        <v>-0.63343108504398826</v>
      </c>
      <c r="BB115">
        <f>ROUND(SUMIFS(LogFY20!K:K,LogFY20!A:A,"=*university*")/SUMIFS(LogFY20!J:J,LogFY20!A:A,"=*university*"),0)</f>
        <v>6</v>
      </c>
      <c r="BC115">
        <f t="shared" si="180"/>
        <v>-12</v>
      </c>
      <c r="BD115" s="1">
        <v>33</v>
      </c>
      <c r="BE115" s="1">
        <f t="shared" si="181"/>
        <v>-57</v>
      </c>
      <c r="BF115">
        <f>COUNTIFS(All!F:F,"=*uh*", All!B:B, "&gt;=7/1/2019", All!B:B,"&lt;=6/30/2020", All!E:E,"=U*",All!E:E,"&lt;&gt;UIPA*",All!E:E,"&lt;&gt;*RFO*",All!E:E,"&lt;&gt;*TRNG*")</f>
        <v>2</v>
      </c>
      <c r="BG115" s="7">
        <f>ROUND(BF115/(AX115+AN115),3)</f>
        <v>4.8000000000000001E-2</v>
      </c>
      <c r="BH115">
        <f>SUMIFS(LogFY21!D:D,LogFY21!A:A,"=*university*")</f>
        <v>23</v>
      </c>
      <c r="BI115">
        <f>SUM(SUMIFS(LogFY21!D:D,LogFY21!A:A,"=*university*"),-1*SUMIFS(LogFY21!L:L,LogFY21!A:A,"=*university*"),-1*SUMIFS(LogFY21!N:N,LogFY21!A:A,"=*university*"))</f>
        <v>9</v>
      </c>
      <c r="BJ115" s="7">
        <f t="shared" si="182"/>
        <v>0.39130434782608697</v>
      </c>
      <c r="BK115" s="7">
        <f t="shared" si="183"/>
        <v>0.5731225296442688</v>
      </c>
      <c r="BL115">
        <f>ROUND(SUMIFS(LogFY21!K:K,LogFY21!A:A,"=*university*")/SUMIFS(LogFY21!J:J,LogFY21!A:A,"=*university*"),0)</f>
        <v>23</v>
      </c>
      <c r="BM115">
        <f t="shared" si="184"/>
        <v>17</v>
      </c>
      <c r="BN115" s="1">
        <v>143</v>
      </c>
      <c r="BO115" s="1">
        <f t="shared" si="185"/>
        <v>110</v>
      </c>
      <c r="BP115">
        <f>COUNTIFS(All!F:F,"=*uh*", All!B:B, "&gt;=7/1/2020", All!B:B,"&lt;=6/30/2021", All!E:E,"=U*",All!E:E,"&lt;&gt;UIPA*",All!E:E,"&lt;&gt;*RFO*",All!E:E,"&lt;&gt;*TRNG*")</f>
        <v>0</v>
      </c>
      <c r="BQ115" s="7">
        <f>ROUND(BP115/(BH115+AX115),3)</f>
        <v>0</v>
      </c>
      <c r="BR115">
        <f>SUMIFS(LogFY22!D:D,LogFY22!A:A,"=*university*")</f>
        <v>25</v>
      </c>
      <c r="BS115">
        <f>SUM(SUMIFS(LogFY22!D:D,LogFY22!A:A,"=*university*"),-1*SUMIFS(LogFY22!L:L,LogFY22!A:A,"=*university*"),-1*SUMIFS(LogFY22!N:N,LogFY22!A:A,"=*university*"))</f>
        <v>5</v>
      </c>
      <c r="BT115" s="7">
        <f t="shared" si="186"/>
        <v>0.2</v>
      </c>
      <c r="BU115" s="7">
        <f t="shared" si="187"/>
        <v>-0.19130434782608696</v>
      </c>
      <c r="BV115">
        <f>ROUND(SUMIFS(LogFY22!K:K,LogFY22!A:A,"=*university*")/SUMIFS(LogFY22!J:J,LogFY22!A:A,"=*university*"),0)</f>
        <v>12</v>
      </c>
      <c r="BW115">
        <f t="shared" si="188"/>
        <v>-11</v>
      </c>
      <c r="BX115" s="1">
        <v>102</v>
      </c>
      <c r="BY115" s="1">
        <f t="shared" si="189"/>
        <v>-41</v>
      </c>
      <c r="BZ115">
        <f>COUNTIFS(All!F:F,"=*uh*", All!B:B, "&gt;=7/1/2021", All!B:B,"&lt;=6/30/2022", All!E:E,"=U*",All!E:E,"&lt;&gt;UIPA*",All!E:E,"&lt;&gt;*RFO*",All!E:E,"&lt;&gt;*TRNG*")</f>
        <v>4</v>
      </c>
      <c r="CA115" s="7">
        <f>ROUND(BZ115/(BR115+BH115),3)</f>
        <v>8.3000000000000004E-2</v>
      </c>
      <c r="CB115">
        <f>SUMIFS(LogFY23!D:D,LogFY23!A:A,"=*university*")</f>
        <v>116</v>
      </c>
      <c r="CC115">
        <f>SUM(SUMIFS(LogFY23!D:D,LogFY23!A:A,"=*university*"),-1*SUMIFS(LogFY23!L:L,LogFY23!A:A,"=*university*"),-1*SUMIFS(LogFY23!N:N,LogFY23!A:A,"=*university*"))</f>
        <v>42</v>
      </c>
      <c r="CD115" s="7">
        <f t="shared" si="190"/>
        <v>0.36206896551724138</v>
      </c>
      <c r="CE115" s="7">
        <f t="shared" si="191"/>
        <v>0.16206896551724137</v>
      </c>
      <c r="CF115">
        <f>ROUND(SUMIFS(LogFY23!K:K,LogFY23!A:A,"=*university*")/SUMIFS(LogFY23!J:J,LogFY23!A:A,"=*university*"),0)</f>
        <v>16</v>
      </c>
      <c r="CG115">
        <f t="shared" si="192"/>
        <v>4</v>
      </c>
      <c r="CH115" s="1">
        <v>73</v>
      </c>
      <c r="CI115" s="1">
        <f t="shared" si="193"/>
        <v>-29</v>
      </c>
      <c r="CJ115">
        <f>COUNTIFS(All!F:F,"=*uh*", All!B:B, "&gt;=7/1/2022", All!B:B,"&lt;=6/30/2023", All!E:E,"=U*",All!E:E,"&lt;&gt;UIPA*",All!E:E,"&lt;&gt;*RFO*",All!E:E,"&lt;&gt;*TRNG*")</f>
        <v>5</v>
      </c>
      <c r="CK115" s="7">
        <f>ROUND(CJ115/(CB115+BR115),3)</f>
        <v>3.5000000000000003E-2</v>
      </c>
      <c r="CL115">
        <f>SUMIFS(LogFY24!D:D,LogFY24!A:A,"=*university*")</f>
        <v>144</v>
      </c>
      <c r="CM115">
        <f>SUM(SUMIFS(LogFY24!D:D,LogFY24!A:A,"=*university*"),-1*SUMIFS(LogFY24!L:L,LogFY24!A:A,"=*university*"),-1*SUMIFS(LogFY24!N:N,LogFY24!A:A,"=*university*"))</f>
        <v>62</v>
      </c>
      <c r="CN115" s="7">
        <f t="shared" si="157"/>
        <v>0.43055555555555558</v>
      </c>
      <c r="CO115" s="7">
        <f t="shared" si="158"/>
        <v>6.8486590038314199E-2</v>
      </c>
      <c r="CP115">
        <f>ROUND(SUMIFS(LogFY24!K:K,LogFY24!A:A,"=*university*")/SUMIFS(LogFY24!J:J,LogFY24!A:A,"=*university*"),0)</f>
        <v>16</v>
      </c>
      <c r="CQ115">
        <f t="shared" si="159"/>
        <v>0</v>
      </c>
      <c r="CR115" s="1">
        <v>159</v>
      </c>
      <c r="CS115" s="1">
        <f t="shared" si="160"/>
        <v>86</v>
      </c>
      <c r="CT115">
        <f>COUNTIFS(All!F:F,"=*uh*", All!B:B, "&gt;=7/1/2023", All!B:B,"&lt;=6/30/2024", All!E:E,"=U*",All!E:E,"&lt;&gt;UIPA*",All!E:E,"&lt;&gt;*RFO*",All!E:E,"&lt;&gt;*TRNG*")</f>
        <v>4</v>
      </c>
      <c r="CU115" s="7">
        <f>ROUND(CT115/(CL115+CB115),3)</f>
        <v>1.4999999999999999E-2</v>
      </c>
    </row>
    <row r="116" spans="1:99" ht="16">
      <c r="A116" s="10">
        <f t="shared" si="156"/>
        <v>115</v>
      </c>
      <c r="B116" s="111" t="s">
        <v>23544</v>
      </c>
      <c r="C116">
        <f>SUMIFS(LogFY15!D:D,LogFY15!B:B,"=*information practices*")</f>
        <v>44</v>
      </c>
      <c r="D116">
        <f>SUM(SUMIFS(LogFY15!D:D,LogFY15!B:B,"=*information practices*"),-1*SUMIFS(LogFY15!L:L,LogFY15!B:B,"=*information practices*"),-1*SUMIFS(LogFY15!N:N,LogFY15!B:B,"=*information practices*"))</f>
        <v>9</v>
      </c>
      <c r="E116" s="7">
        <f>D116/C116</f>
        <v>0.20454545454545456</v>
      </c>
      <c r="F116">
        <f>ROUND(SUMIFS(LogFY15!K:K,LogFY15!B:B,"=*information practices*")/SUMIFS(LogFY15!J:J,LogFY15!B:B,"=*information practices*"),0)</f>
        <v>8</v>
      </c>
      <c r="G116" s="1">
        <v>41</v>
      </c>
      <c r="H116">
        <f>COUNTIFS(All!F:F,"=oip*", All!B:B, "&gt;=7/1/2014", All!B:B,"&lt;=6/30/2015", All!E:E,"=U*",All!E:E,"&lt;&gt;UIPA*",All!E:E,"&lt;&gt;*RFO*",All!E:E,"&lt;&gt;*TRNG*")</f>
        <v>0</v>
      </c>
      <c r="I116" s="7">
        <f>ROUND(H116/C116,3)</f>
        <v>0</v>
      </c>
      <c r="J116">
        <f>SUMIFS(LogFY16!D:D,LogFY16!B:B,"=*information practices*")</f>
        <v>41</v>
      </c>
      <c r="K116">
        <f>SUM(SUMIFS(LogFY16!D:D,LogFY16!B:B,"=*information practices*"),-1*SUMIFS(LogFY16!L:L,LogFY16!B:B,"=*information practices*"),-1*SUMIFS(LogFY16!N:N,LogFY16!B:B,"=*information practices*"))</f>
        <v>11</v>
      </c>
      <c r="L116" s="7">
        <f t="shared" si="162"/>
        <v>0.26829268292682928</v>
      </c>
      <c r="M116" s="7">
        <f t="shared" si="163"/>
        <v>6.3747228381374726E-2</v>
      </c>
      <c r="N116">
        <f>ROUND(SUMIFS(LogFY16!K:K,LogFY16!B:B,"=*information practices*")/SUMIFS(LogFY16!J:J,LogFY16!B:B,"=*information practices*"),0)</f>
        <v>5</v>
      </c>
      <c r="O116">
        <f t="shared" si="164"/>
        <v>-3</v>
      </c>
      <c r="P116" s="1">
        <v>12</v>
      </c>
      <c r="Q116" s="1">
        <f t="shared" si="165"/>
        <v>-29</v>
      </c>
      <c r="R116">
        <f>COUNTIFS(All!F:F,"=oip*", All!B:B, "&gt;=7/1/2015", All!B:B,"&lt;=6/30/2016", All!E:E,"=U*",All!E:E,"&lt;&gt;UIPA*",All!E:E,"&lt;&gt;*RFO*",All!E:E,"&lt;&gt;*TRNG*")</f>
        <v>0</v>
      </c>
      <c r="S116" s="7">
        <f>ROUND(R116/(J116+C116),3)</f>
        <v>0</v>
      </c>
      <c r="T116">
        <f>SUMIFS(LogFY17!D:D,LogFY17!B:B,"=*information practices*")</f>
        <v>36</v>
      </c>
      <c r="U116">
        <f>SUM(SUMIFS(LogFY17!D:D,LogFY17!B:B,"=*information practices*"),-1*SUMIFS(LogFY17!L:L,LogFY17!B:B,"=*information practices*"),-1*SUMIFS(LogFY17!N:N,LogFY17!B:B,"=*information practices*"))</f>
        <v>8</v>
      </c>
      <c r="V116" s="7">
        <f t="shared" si="166"/>
        <v>0.22222222222222221</v>
      </c>
      <c r="W116" s="7">
        <f t="shared" si="167"/>
        <v>-4.6070460704607075E-2</v>
      </c>
      <c r="X116">
        <f>ROUND(SUMIFS(LogFY17!K:K,LogFY17!B:B,"=*information practices*")/SUMIFS(LogFY17!J:J,LogFY17!B:B,"=*information practices*"),0)</f>
        <v>13</v>
      </c>
      <c r="Y116">
        <f t="shared" si="168"/>
        <v>8</v>
      </c>
      <c r="Z116" s="1">
        <v>100</v>
      </c>
      <c r="AA116" s="1">
        <f t="shared" si="169"/>
        <v>88</v>
      </c>
      <c r="AB116">
        <f>COUNTIFS(All!F:F,"=oip*", All!B:B, "&gt;=7/1/2016", All!B:B,"&lt;=6/30/2017", All!E:E,"=U*",All!E:E,"&lt;&gt;UIPA*",All!E:E,"&lt;&gt;*RFO*",All!E:E,"&lt;&gt;*TRNG*")</f>
        <v>0</v>
      </c>
      <c r="AC116" s="7">
        <f>ROUND(AB116/(T116+J116),3)</f>
        <v>0</v>
      </c>
      <c r="AD116">
        <f>SUMIFS(LogFY18!D:D,LogFY18!B:B,"=*information practices*")</f>
        <v>28</v>
      </c>
      <c r="AE116">
        <f>SUM(SUMIFS(LogFY18!D:D,LogFY18!B:B,"=*information practices*"),-1*SUMIFS(LogFY18!L:L,LogFY18!B:B,"=*information practices*"),-1*SUMIFS(LogFY18!N:N,LogFY18!B:B,"=*information practices*"))</f>
        <v>10</v>
      </c>
      <c r="AF116" s="7">
        <f t="shared" si="170"/>
        <v>0.35714285714285715</v>
      </c>
      <c r="AG116" s="7">
        <f t="shared" si="171"/>
        <v>0.13492063492063494</v>
      </c>
      <c r="AH116">
        <f>ROUND(SUMIFS(LogFY18!K:K,LogFY18!B:B,"=*information practices*")/SUMIFS(LogFY18!J:J,LogFY18!B:B,"=*information practices*"),0)</f>
        <v>10</v>
      </c>
      <c r="AI116">
        <f t="shared" si="172"/>
        <v>-3</v>
      </c>
      <c r="AJ116" s="1">
        <v>26</v>
      </c>
      <c r="AK116" s="1">
        <f t="shared" si="173"/>
        <v>-74</v>
      </c>
      <c r="AL116">
        <f>COUNTIFS(All!F:F,"=oip*", All!B:B, "&gt;=7/1/2017", All!B:B,"&lt;=6/30/2018", All!E:E,"=U*",All!E:E,"&lt;&gt;UIPA*",All!E:E,"&lt;&gt;*RFO*",All!E:E,"&lt;&gt;*TRNG*")</f>
        <v>0</v>
      </c>
      <c r="AM116" s="7">
        <f>ROUND(AL116/(AD116+T116),3)</f>
        <v>0</v>
      </c>
      <c r="AN116">
        <f>SUMIFS(LogFY19!D:D,LogFY19!B:B,"=*information practices*")</f>
        <v>16</v>
      </c>
      <c r="AO116">
        <f>SUM(SUMIFS(LogFY19!D:D,LogFY19!B:B,"=*information practices*"),-1*SUMIFS(LogFY19!L:L,LogFY19!B:B,"=*information practices*"),-1*SUMIFS(LogFY19!N:N,LogFY19!B:B,"=*information practices*"))</f>
        <v>3</v>
      </c>
      <c r="AP116" s="7">
        <f t="shared" si="174"/>
        <v>0.1875</v>
      </c>
      <c r="AQ116" s="7">
        <f t="shared" si="175"/>
        <v>-0.16964285714285715</v>
      </c>
      <c r="AR116">
        <f>ROUND(SUMIFS(LogFY19!K:K,LogFY19!B:B,"=*information practices*")/SUMIFS(LogFY19!J:J,LogFY19!B:B,"=*information practices*"),0)</f>
        <v>7</v>
      </c>
      <c r="AS116">
        <f t="shared" si="176"/>
        <v>-3</v>
      </c>
      <c r="AT116" s="1">
        <v>17</v>
      </c>
      <c r="AU116" s="1">
        <f t="shared" si="177"/>
        <v>-9</v>
      </c>
      <c r="AV116">
        <f>COUNTIFS(All!F:F,"=oip*", All!B:B, "&gt;=7/1/2018", All!B:B,"&lt;=6/30/2019", All!E:E,"=U*",All!E:E,"&lt;&gt;UIPA*",All!E:E,"&lt;&gt;*RFO*",All!E:E,"&lt;&gt;*TRNG*")</f>
        <v>0</v>
      </c>
      <c r="AW116" s="7">
        <f>ROUND(AV116/(AN116+AD116),3)</f>
        <v>0</v>
      </c>
      <c r="AX116">
        <f>SUMIFS(LogFY20!D:D,LogFY20!B:B,"=*information practices*")</f>
        <v>20</v>
      </c>
      <c r="AY116">
        <f>SUM(SUMIFS(LogFY20!D:D,LogFY20!B:B,"=*information practices*"),-1*SUMIFS(LogFY20!L:L,LogFY20!B:B,"=*information practices*"),-1*SUMIFS(LogFY20!N:N,LogFY20!B:B,"=*information practices*"))</f>
        <v>5</v>
      </c>
      <c r="AZ116" s="7">
        <f t="shared" si="178"/>
        <v>0.25</v>
      </c>
      <c r="BA116" s="7">
        <f t="shared" si="179"/>
        <v>6.25E-2</v>
      </c>
      <c r="BB116">
        <f>ROUND(SUMIFS(LogFY20!K:K,LogFY20!B:B,"=*information practices*")/SUMIFS(LogFY20!J:J,LogFY20!B:B,"=*information practices*"),0)</f>
        <v>7</v>
      </c>
      <c r="BC116">
        <f t="shared" si="180"/>
        <v>0</v>
      </c>
      <c r="BD116" s="1">
        <v>12</v>
      </c>
      <c r="BE116" s="1">
        <f t="shared" si="181"/>
        <v>-5</v>
      </c>
      <c r="BF116">
        <f>COUNTIFS(All!F:F,"=oip*", All!B:B, "&gt;=7/1/2019", All!B:B,"&lt;=6/30/2020", All!E:E,"=U*",All!E:E,"&lt;&gt;UIPA*",All!E:E,"&lt;&gt;*RFO*",All!E:E,"&lt;&gt;*TRNG*")</f>
        <v>0</v>
      </c>
      <c r="BG116" s="7">
        <f>ROUND(BF116/(AX116+AN116),3)</f>
        <v>0</v>
      </c>
      <c r="BH116">
        <f>SUMIFS(LogFY21!D:D,LogFY21!B:B,"=*information practices*")</f>
        <v>13</v>
      </c>
      <c r="BI116">
        <f>SUM(SUMIFS(LogFY21!D:D,LogFY21!B:B,"=*information practices*"),-1*SUMIFS(LogFY21!L:L,LogFY21!B:B,"=*information practices*"),-1*SUMIFS(LogFY21!N:N,LogFY21!B:B,"=*information practices*"))</f>
        <v>2</v>
      </c>
      <c r="BJ116" s="7">
        <f t="shared" si="182"/>
        <v>0.15384615384615385</v>
      </c>
      <c r="BK116" s="7">
        <f t="shared" si="183"/>
        <v>-9.6153846153846145E-2</v>
      </c>
      <c r="BL116">
        <f>ROUND(SUMIFS(LogFY21!K:K,LogFY21!B:B,"=*information practices*")/SUMIFS(LogFY21!J:J,LogFY21!B:B,"=*information practices*"),0)</f>
        <v>10</v>
      </c>
      <c r="BM116">
        <f t="shared" si="184"/>
        <v>3</v>
      </c>
      <c r="BN116" s="1">
        <v>31</v>
      </c>
      <c r="BO116" s="1">
        <f t="shared" si="185"/>
        <v>19</v>
      </c>
      <c r="BP116">
        <f>COUNTIFS(All!F:F,"=oip*", All!B:B, "&gt;=7/1/2020", All!B:B,"&lt;=6/30/2021", All!E:E,"=U*",All!E:E,"&lt;&gt;UIPA*",All!E:E,"&lt;&gt;*RFO*",All!E:E,"&lt;&gt;*TRNG*")</f>
        <v>0</v>
      </c>
      <c r="BQ116" s="7">
        <f>ROUND(BP116/(BH116+AX116),3)</f>
        <v>0</v>
      </c>
      <c r="BR116">
        <f>SUMIFS(LogFY22!D:D,LogFY22!B:B,"=*information practices*")</f>
        <v>23</v>
      </c>
      <c r="BS116">
        <f>SUM(SUMIFS(LogFY22!D:D,LogFY22!B:B,"=*information practices*"),-1*SUMIFS(LogFY22!L:L,LogFY22!B:B,"=*information practices*"),-1*SUMIFS(LogFY22!N:N,LogFY22!B:B,"=*information practices*"))</f>
        <v>4</v>
      </c>
      <c r="BT116" s="7">
        <f t="shared" si="186"/>
        <v>0.17391304347826086</v>
      </c>
      <c r="BU116" s="7">
        <f t="shared" si="187"/>
        <v>2.006688963210701E-2</v>
      </c>
      <c r="BV116">
        <f>ROUND(SUMIFS(LogFY22!K:K,LogFY22!B:B,"=*information practices*")/SUMIFS(LogFY22!J:J,LogFY22!B:B,"=*information practices*"),0)</f>
        <v>7</v>
      </c>
      <c r="BW116">
        <f t="shared" si="188"/>
        <v>-3</v>
      </c>
      <c r="BX116" s="1">
        <v>19</v>
      </c>
      <c r="BY116" s="1">
        <f t="shared" si="189"/>
        <v>-12</v>
      </c>
      <c r="BZ116">
        <f>COUNTIFS(All!F:F,"=oip*", All!B:B, "&gt;=7/1/2021", All!B:B,"&lt;=6/30/2022", All!E:E,"=U*",All!E:E,"&lt;&gt;UIPA*",All!E:E,"&lt;&gt;*RFO*",All!E:E,"&lt;&gt;*TRNG*")</f>
        <v>0</v>
      </c>
      <c r="CA116" s="7">
        <f>ROUND(BZ116/(BR116+BH116),3)</f>
        <v>0</v>
      </c>
      <c r="CB116">
        <f>SUMIFS(LogFY23!D:D,LogFY23!B:B,"=*information practices*")</f>
        <v>12</v>
      </c>
      <c r="CC116">
        <f>SUM(SUMIFS(LogFY23!D:D,LogFY23!B:B,"=*information practices*"),-1*SUMIFS(LogFY23!L:L,LogFY23!B:B,"=*information practices*"),-1*SUMIFS(LogFY23!N:N,LogFY23!B:B,"=*information practices*"))</f>
        <v>1</v>
      </c>
      <c r="CD116" s="7">
        <f t="shared" si="190"/>
        <v>8.3333333333333329E-2</v>
      </c>
      <c r="CE116" s="7">
        <f t="shared" si="191"/>
        <v>-9.0579710144927536E-2</v>
      </c>
      <c r="CF116">
        <f>ROUND(SUMIFS(LogFY23!K:K,LogFY23!B:B,"=*information practices*")/SUMIFS(LogFY23!J:J,LogFY23!B:B,"=*information practices*"),0)</f>
        <v>6</v>
      </c>
      <c r="CG116">
        <f t="shared" si="192"/>
        <v>-1</v>
      </c>
      <c r="CH116" s="1">
        <v>11</v>
      </c>
      <c r="CI116" s="1">
        <f t="shared" si="193"/>
        <v>-8</v>
      </c>
      <c r="CJ116">
        <f>COUNTIFS(All!F:F,"=oip*", All!B:B, "&gt;=7/1/2022", All!B:B,"&lt;=6/30/2023", All!E:E,"=U*",All!E:E,"&lt;&gt;UIPA*",All!E:E,"&lt;&gt;*RFO*",All!E:E,"&lt;&gt;*TRNG*")</f>
        <v>0</v>
      </c>
      <c r="CK116" s="7">
        <f>ROUND(CJ116/(CB116+BR116),3)</f>
        <v>0</v>
      </c>
      <c r="CL116">
        <f>SUMIFS(LogFY24!D:D,LogFY24!B:B,"=*information practices*")</f>
        <v>14</v>
      </c>
      <c r="CM116">
        <f>SUM(SUMIFS(LogFY24!D:D,LogFY24!B:B,"=*information practices*"),-1*SUMIFS(LogFY24!L:L,LogFY24!B:B,"=*information practices*"),-1*SUMIFS(LogFY24!N:N,LogFY24!B:B,"=*information practices*"))</f>
        <v>2</v>
      </c>
      <c r="CN116" s="7">
        <f t="shared" si="157"/>
        <v>0.14285714285714285</v>
      </c>
      <c r="CO116" s="7">
        <f t="shared" si="158"/>
        <v>5.9523809523809521E-2</v>
      </c>
      <c r="CP116">
        <f>ROUND(SUMIFS(LogFY24!K:K,LogFY24!B:B,"=*information practices*")/SUMIFS(LogFY24!J:J,LogFY24!B:B,"=*information practices*"),0)</f>
        <v>6</v>
      </c>
      <c r="CQ116">
        <f t="shared" si="159"/>
        <v>0</v>
      </c>
      <c r="CR116" s="1">
        <v>28</v>
      </c>
      <c r="CS116" s="1">
        <f t="shared" si="160"/>
        <v>17</v>
      </c>
      <c r="CT116">
        <f>COUNTIFS(All!F:F,"=oip*", All!B:B, "&gt;=7/1/2023", All!B:B,"&lt;=6/30/2024", All!E:E,"=U*",All!E:E,"&lt;&gt;UIPA*",All!E:E,"&lt;&gt;*RFO*",All!E:E,"&lt;&gt;*TRNG*")</f>
        <v>0</v>
      </c>
      <c r="CU116" s="7">
        <f>ROUND(CT116/(CL116+CB116),3)</f>
        <v>0</v>
      </c>
    </row>
  </sheetData>
  <sortState xmlns:xlrd2="http://schemas.microsoft.com/office/spreadsheetml/2017/richdata2" ref="A2:CA115">
    <sortCondition ref="A2:A115"/>
  </sortState>
  <pageMargins left="0.75" right="0.75" top="1" bottom="1" header="0.5" footer="0.5"/>
  <pageSetup orientation="portrait" horizontalDpi="4294967292" verticalDpi="4294967292"/>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16"/>
  <sheetViews>
    <sheetView topLeftCell="F92" workbookViewId="0"/>
  </sheetViews>
  <sheetFormatPr baseColWidth="10" defaultColWidth="11.5" defaultRowHeight="15"/>
  <cols>
    <col min="1" max="1" width="11.5" style="10"/>
    <col min="2" max="2" width="25.5" customWidth="1"/>
    <col min="3" max="3" width="14.5" customWidth="1"/>
    <col min="4" max="6" width="10" customWidth="1"/>
    <col min="8" max="8" width="10" customWidth="1"/>
    <col min="10" max="10" width="10" customWidth="1"/>
    <col min="12" max="12" width="10" customWidth="1"/>
    <col min="14" max="14" width="10" customWidth="1"/>
    <col min="15" max="15" width="10.83203125" customWidth="1"/>
    <col min="16" max="16" width="10" customWidth="1"/>
    <col min="17" max="17" width="10.83203125" customWidth="1"/>
    <col min="18" max="18" width="10" customWidth="1"/>
    <col min="19" max="20" width="10.83203125" customWidth="1"/>
    <col min="21" max="21" width="8.6640625" customWidth="1"/>
    <col min="22" max="22" width="11.1640625" customWidth="1"/>
  </cols>
  <sheetData>
    <row r="1" spans="1:28" s="3" customFormat="1" ht="96">
      <c r="A1" s="3" t="s">
        <v>17442</v>
      </c>
      <c r="B1" s="2" t="s">
        <v>16796</v>
      </c>
      <c r="C1" s="2" t="s">
        <v>17233</v>
      </c>
      <c r="D1" s="2" t="s">
        <v>17508</v>
      </c>
      <c r="E1" s="2" t="s">
        <v>17285</v>
      </c>
      <c r="F1" s="2" t="s">
        <v>17500</v>
      </c>
      <c r="G1" s="2" t="s">
        <v>17286</v>
      </c>
      <c r="H1" s="2" t="s">
        <v>17501</v>
      </c>
      <c r="I1" s="6" t="s">
        <v>17287</v>
      </c>
      <c r="J1" s="2" t="s">
        <v>17502</v>
      </c>
      <c r="K1" s="2" t="s">
        <v>17288</v>
      </c>
      <c r="L1" s="2" t="s">
        <v>17503</v>
      </c>
      <c r="M1" s="2" t="s">
        <v>17289</v>
      </c>
      <c r="N1" s="2" t="s">
        <v>17504</v>
      </c>
      <c r="O1" s="6" t="s">
        <v>20655</v>
      </c>
      <c r="P1" s="2" t="s">
        <v>20656</v>
      </c>
      <c r="Q1" s="6" t="s">
        <v>23546</v>
      </c>
      <c r="R1" s="2" t="s">
        <v>23549</v>
      </c>
      <c r="S1" s="6" t="s">
        <v>23547</v>
      </c>
      <c r="T1" s="6" t="s">
        <v>23548</v>
      </c>
      <c r="U1" s="2" t="s">
        <v>17234</v>
      </c>
      <c r="V1" s="2" t="s">
        <v>17257</v>
      </c>
      <c r="W1" s="2" t="s">
        <v>17235</v>
      </c>
      <c r="X1" s="2" t="s">
        <v>17236</v>
      </c>
      <c r="Y1" s="2" t="s">
        <v>20657</v>
      </c>
      <c r="Z1" s="2" t="s">
        <v>20658</v>
      </c>
    </row>
    <row r="2" spans="1:28" ht="16">
      <c r="A2" s="10">
        <v>1</v>
      </c>
      <c r="B2" s="1" t="s">
        <v>16794</v>
      </c>
      <c r="C2">
        <f>SUM(COUNTIF(Major!F:F,"=Corp*"),COUNTIF(Major!F:F,"=cnty atty*"))</f>
        <v>39</v>
      </c>
      <c r="D2">
        <f>ROUND(AVERAGE(AVERAGEIF(Major!F:F,"=Corp*", Major!R:R),AVERAGEIF(Major!F:F,"=cnty atty*", Major!R:R)), 0)</f>
        <v>619</v>
      </c>
      <c r="E2">
        <f>SUM(COUNTIFS(Major!F:F,"=Corp*", Major!B:B, "&lt;1/1/1995"),COUNTIFS(Major!F:F,"=cnty atty*", Major!B:B, "&lt;1/1/1995"))</f>
        <v>4</v>
      </c>
      <c r="F2">
        <f>ROUND(SUM(COUNTIFS(Major!F:F,"=Corp*", Major!B:B, "&lt;1/1/1995"),COUNTIFS(Major!F:F,"=cnty atty*", Major!B:B, "&lt;1/1/1995"))/YEARFRAC("11/1/1988", "12/31/1994"),0)</f>
        <v>1</v>
      </c>
      <c r="G2">
        <f>SUM(COUNTIFS(Major!F:F,"=Corp*", Major!B:B, "&gt;=1/1/1995", Major!B:B, "&lt;1/1/2000"),COUNTIFS(Major!F:F,"=cnty atty*", Major!B:B, "&gt;=1/1/1995", Major!B:B, "&lt;1/1/2000"))</f>
        <v>7</v>
      </c>
      <c r="H2">
        <f>ROUND(SUM(COUNTIFS(Major!F:F,"=Corp*", Major!B:B, "&gt;=1/1/1995", Major!B:B, "&lt;1/1/2000"),COUNTIFS(Major!F:F,"=cnty atty*", Major!B:B, "&gt;=1/1/1995", Major!B:B, "&lt;1/1/2000"))/YEARFRAC("1/1/1995", "12/31/1999"),0)</f>
        <v>1</v>
      </c>
      <c r="I2">
        <f>SUM(COUNTIFS(Major!F:F,"=Corp*", Major!B:B, "&gt;=1/1/2000", Major!B:B, "&lt;1/1/2005"),COUNTIFS(Major!F:F,"=cnty atty*", Major!B:B, "&gt;=1/1/2000", Major!B:B, "&lt;1/1/2005"))</f>
        <v>6</v>
      </c>
      <c r="J2">
        <f>ROUND(SUM(COUNTIFS(Major!F:F,"=Corp*", Major!B:B, "&gt;=1/1/2000", Major!B:B, "&lt;1/1/2005"),COUNTIFS(Major!F:F,"=cnty atty*", Major!B:B, "&gt;=1/1/2000", Major!B:B, "&lt;1/1/2005"))/YEARFRAC("1/1/2000", "12/31/2004"),0)</f>
        <v>1</v>
      </c>
      <c r="K2">
        <f>SUM(COUNTIFS(Major!F:F,"=Corp*", Major!B:B, "&gt;=1/1/2005", Major!B:B, "&lt;1/1/2010"),COUNTIFS(Major!F:F,"=cnty atty*", Major!B:B, "&gt;=1/1/2005", Major!B:B, "&lt;1/1/2010"))</f>
        <v>13</v>
      </c>
      <c r="L2">
        <f>ROUND(SUM(COUNTIFS(Major!F:F,"=Corp*", Major!B:B, "&gt;=1/1/2005", Major!B:B, "&lt;1/1/2010"),COUNTIFS(Major!F:F,"=cnty atty*", Major!B:B, "&gt;=1/1/2005", Major!B:B, "&lt;1/1/2010"))/YEARFRAC("1/1/2005", "12/31/2009"),0)</f>
        <v>3</v>
      </c>
      <c r="M2">
        <f>SUM(COUNTIFS(Major!F:F,"=Corp*", Major!B:B, "&gt;=1/1/2010", Major!B:B, "&lt;1/1/2015"),COUNTIFS(Major!F:F,"=cnty atty*", Major!B:B, "&gt;=1/1/2010", Major!B:B, "&lt;1/1/2015"))</f>
        <v>0</v>
      </c>
      <c r="N2">
        <f>ROUND(SUM(COUNTIFS(Major!F:F,"=Corp*", Major!B:B, "&gt;=1/1/2010", Major!B:B, "&lt;1/1/2015"),COUNTIFS(Major!F:F,"=cnty atty*", Major!B:B, "&gt;=1/1/2010", Major!B:B, "&lt;1/1/2015"))/YEARFRAC("1/1/2010", "12/31/2014"),0)</f>
        <v>0</v>
      </c>
      <c r="O2">
        <f>SUM(COUNTIFS(Major!F:F,"=Corp*", Major!B:B, "&gt;=1/1/2015", Major!B:B, "&lt;1/1/2020"),COUNTIFS(Major!F:F,"=cnty atty*", Major!B:B, "&gt;=1/1/2015", Major!B:B, "&lt;1/1/2020"))</f>
        <v>5</v>
      </c>
      <c r="P2">
        <f>ROUND(SUM(COUNTIFS(Major!F:F,"=Corp*", Major!B:B, "&gt;=1/1/2015", Major!B:B, "&lt;1/1/2020"),COUNTIFS(Major!F:F,"=cnty atty*", Major!B:B, "&gt;=1/1/2015", Major!B:B, "&lt;1/1/2020"))/YEARFRAC("1/1/2015", "12/31/2019"),0)</f>
        <v>1</v>
      </c>
      <c r="Q2">
        <f>ROUND(5*SUM(COUNTIFS(Major!F:F,"=Corp*", Major!B:B, "&gt;=1/1/2020", Major!B:B, "&lt;1/1/2025"),COUNTIFS(Major!F:F,"=cnty atty*", Major!B:B, "&gt;=1/1/2020", Major!B:B, "&lt;1/1/2025"))/YEARFRAC("1/1/2020", "1/1/2025"),0)</f>
        <v>4</v>
      </c>
      <c r="R2">
        <f>ROUND(SUM(COUNTIFS(Major!F:F,"=Corp*", Major!B:B, "&gt;=1/1/2020", Major!B:B, "&lt;1/1/2025"),COUNTIFS(Major!F:F,"=cnty atty*", Major!B:B, "&gt;=1/1/2020", Major!B:B, "&lt;1/1/2025"))/YEARFRAC("1/1/2020", "12/31/2024"),0)</f>
        <v>1</v>
      </c>
      <c r="S2">
        <f>SUM(COUNTIFS(Major!F:F,"=Corp*", Major!B:B, "&gt;=1/1/2025", Major!B:B, "&lt;1/1/2030"),COUNTIFS(Major!F:F,"=cnty atty*", Major!B:B, "&gt;=1/1/2025", Major!B:B, "&lt;1/1/2030"))</f>
        <v>0</v>
      </c>
      <c r="T2">
        <f>ROUND(5*SUM(COUNTIFS(Major!F:F,"=Corp*", Major!B:B, "&gt;=1/1/2025", Major!B:B, "&lt;1/1/2030"),COUNTIFS(Major!F:F,"=cnty atty*", Major!B:B, "&gt;=1/1/2025", Major!B:B, "&lt;1/1/2030"))/YEARFRAC("1/1/2025", "1/1/2026"),0)</f>
        <v>0</v>
      </c>
      <c r="U2">
        <f>SUM(COUNTIFS(All!F:F,"=Corp*", All!E:E,"&lt;&gt;LIT", All!E:E,"&lt;&gt;LEG",All!E:E,"&lt;&gt;UIPA*",All!E:E,"&lt;&gt;*TRNG*", All!E:E,"&lt;&gt;ADMIN",All!E:E,"&lt;&gt;RULES",All!E:E,"&lt;&gt;RR*",All!E:E,"&lt;&gt;RSCH"),COUNTIFS(All!F:F,"=cnty atty*", All!E:E,"&lt;&gt;LIT", All!E:E,"&lt;&gt;LEG",All!E:E,"&lt;&gt;UIPA*",All!E:E,"&lt;&gt;*TRNG*", All!E:E,"&lt;&gt;ADMIN",All!E:E,"&lt;&gt;RULES",All!E:E,"&lt;&gt;RR*",All!E:E,"&lt;&gt;RSCH"))</f>
        <v>91</v>
      </c>
      <c r="V2">
        <f>ROUND(AVERAGE(AVERAGEIFS(All!R:R, All!E:E,"&lt;&gt;LIT", All!E:E,"&lt;&gt;LEG",All!E:E,"&lt;&gt;UIPA*",All!E:E,"&lt;&gt;*TRNG*", All!E:E,"&lt;&gt;ADMIN",All!E:E,"&lt;&gt;RULES",All!E:E,"&lt;&gt;RR*",All!E:E,"&lt;&gt;RSCH",All!F:F,"=Corp*"),AVERAGEIFS(All!R:R, All!E:E,"&lt;&gt;LIT", All!E:E,"&lt;&gt;LEG",All!E:E,"&lt;&gt;UIPA*",All!E:E,"&lt;&gt;*TRNG*", All!E:E,"&lt;&gt;ADMIN",All!E:E,"&lt;&gt;RULES",All!E:E,"&lt;&gt;RR*",All!E:E,"&lt;&gt;RSCH",All!F:F,"=cnty atty*")), 0)</f>
        <v>525</v>
      </c>
      <c r="W2">
        <f>SUM(COUNTIFS(All!F:F,"=Corp*", All!B:B, "&lt;1/1/2000", All!E:E,"&lt;&gt;LIT", All!E:E,"&lt;&gt;LEG",All!E:E,"&lt;&gt;UIPA*",All!E:E,"&lt;&gt;*TRNG*", All!E:E,"&lt;&gt;ADMIN",All!E:E,"&lt;&gt;RULES",All!E:E,"&lt;&gt;RR*",All!E:E,"&lt;&gt;RSCH"),COUNTIFS(All!F:F,"=cnty atty*", All!B:B, "&lt;1/1/2000", All!E:E,"&lt;&gt;LIT", All!E:E,"&lt;&gt;LEG",All!E:E,"&lt;&gt;UIPA*",All!E:E,"&lt;&gt;*TRNG*", All!E:E,"&lt;&gt;ADMIN",All!E:E,"&lt;&gt;RULES",All!E:E,"&lt;&gt;RR*",All!E:E,"&lt;&gt;RSCH"))</f>
        <v>15</v>
      </c>
      <c r="X2">
        <f>SUM(COUNTIFS(All!F:F,"=Corp*", All!B:B, "&gt;=1/1/2000", All!B:B, "&lt;1/1/2010", All!E:E,"&lt;&gt;LIT", All!E:E,"&lt;&gt;LEG",All!E:E,"&lt;&gt;UIPA*",All!E:E,"&lt;&gt;*TRNG*", All!E:E,"&lt;&gt;ADMIN",All!E:E,"&lt;&gt;RULES",All!E:E,"&lt;&gt;RR*",All!E:E,"&lt;&gt;RSCH"),COUNTIFS(All!F:F,"=cnty atty*", All!B:B, "&gt;=1/1/2000", All!B:B, "&lt;1/1/2010", All!E:E,"&lt;&gt;LIT", All!E:E,"&lt;&gt;LEG",All!E:E,"&lt;&gt;UIPA*",All!E:E,"&lt;&gt;*TRNG*", All!E:E,"&lt;&gt;ADMIN",All!E:E,"&lt;&gt;RULES",All!E:E,"&lt;&gt;RR*",All!E:E,"&lt;&gt;RSCH"))</f>
        <v>36</v>
      </c>
      <c r="Y2">
        <f>SUM(COUNTIFS(All!F:F,"=Corp*", All!B:B, "&gt;=1/1/2010", All!B:B, "&lt;1/1/2020", All!E:E,"&lt;&gt;LIT", All!E:E,"&lt;&gt;LEG",All!E:E,"&lt;&gt;UIPA*",All!E:E,"&lt;&gt;*TRNG*", All!E:E,"&lt;&gt;ADMIN",All!E:E,"&lt;&gt;RULES",All!E:E,"&lt;&gt;RR*",All!E:E,"&lt;&gt;RSCH"),COUNTIFS(All!F:F,"=cnty atty*", All!B:B, "&gt;=1/1/2010", All!B:B, "&lt;1/1/2020", All!E:E,"&lt;&gt;LIT", All!E:E,"&lt;&gt;LEG",All!E:E,"&lt;&gt;UIPA*",All!E:E,"&lt;&gt;*TRNG*", All!E:E,"&lt;&gt;ADMIN",All!E:E,"&lt;&gt;RULES",All!E:E,"&lt;&gt;RR*",All!E:E,"&lt;&gt;RSCH"))</f>
        <v>23</v>
      </c>
      <c r="Z2">
        <f>SUM(COUNTIFS(All!F:F,"=Corp*", All!B:B, "&gt;=1/1/2020", All!B:B, "&lt;1/1/2030", All!E:E,"&lt;&gt;LIT", All!E:E,"&lt;&gt;LEG",All!E:E,"&lt;&gt;UIPA*",All!E:E,"&lt;&gt;*TRNG*", All!E:E,"&lt;&gt;ADMIN",All!E:E,"&lt;&gt;RULES",All!E:E,"&lt;&gt;RR*",All!E:E,"&lt;&gt;RSCH"),COUNTIFS(All!F:F,"=cnty atty*", All!B:B, "&gt;=1/1/2020", All!B:B, "&lt;1/1/2030", All!E:E,"&lt;&gt;LIT", All!E:E,"&lt;&gt;LEG",All!E:E,"&lt;&gt;UIPA*",All!E:E,"&lt;&gt;*TRNG*", All!E:E,"&lt;&gt;ADMIN",All!E:E,"&lt;&gt;RULES",All!E:E,"&lt;&gt;RR*",All!E:E,"&lt;&gt;RSCH"))</f>
        <v>17</v>
      </c>
      <c r="AB2" t="s">
        <v>16807</v>
      </c>
    </row>
    <row r="3" spans="1:28" ht="16">
      <c r="A3" s="10">
        <v>2</v>
      </c>
      <c r="B3" s="9" t="s">
        <v>17420</v>
      </c>
      <c r="AB3" t="s">
        <v>16808</v>
      </c>
    </row>
    <row r="4" spans="1:28" ht="16">
      <c r="A4" s="10">
        <v>3</v>
      </c>
      <c r="B4" s="9" t="s">
        <v>17421</v>
      </c>
      <c r="AB4" t="s">
        <v>16812</v>
      </c>
    </row>
    <row r="5" spans="1:28" ht="16">
      <c r="A5" s="10">
        <v>4</v>
      </c>
      <c r="B5" s="9" t="s">
        <v>17443</v>
      </c>
      <c r="AB5" t="s">
        <v>16813</v>
      </c>
    </row>
    <row r="6" spans="1:28" ht="16">
      <c r="A6" s="10">
        <v>5</v>
      </c>
      <c r="B6" s="9" t="s">
        <v>17422</v>
      </c>
    </row>
    <row r="7" spans="1:28" ht="16">
      <c r="A7" s="10">
        <v>6</v>
      </c>
      <c r="B7" s="1" t="s">
        <v>16793</v>
      </c>
      <c r="C7">
        <f>SUM(COUNTIF(Major!F:F,"=council*"),COUNTIF(Major!F:F,"=cncl*"))</f>
        <v>168</v>
      </c>
      <c r="D7">
        <f>ROUND(AVERAGE(AVERAGEIF(Major!F:F,"=council*", Major!R:R)), 0)</f>
        <v>393</v>
      </c>
      <c r="E7">
        <f>SUM(COUNTIFS(Major!F:F,"=council*", Major!B:B, "&lt;1/1/1995"),COUNTIFS(Major!F:F,"=cncl*", Major!B:B, "&lt;1/1/1995"))</f>
        <v>5</v>
      </c>
      <c r="F7">
        <f>ROUND(SUM(COUNTIFS(Major!F:F,"=council*", Major!B:B, "&lt;1/1/1995"),COUNTIFS(Major!F:F,"=cncl*", Major!B:B, "&lt;1/1/1995"))/YEARFRAC("11/1/1988", "12/31/1994"),0)</f>
        <v>1</v>
      </c>
      <c r="G7">
        <f>SUM(COUNTIFS(Major!F:F,"=council*", Major!B:B, "&gt;=1/1/1995", Major!B:B, "&lt;1/1/2000"),COUNTIFS(Major!F:F,"=cncl*", Major!B:B, "&gt;=1/1/1995", Major!B:B, "&lt;1/1/2000"))</f>
        <v>9</v>
      </c>
      <c r="H7">
        <f>ROUND(SUM(COUNTIFS(Major!F:F,"=council*", Major!B:B, "&gt;=1/1/1995", Major!B:B, "&lt;1/1/2000"),COUNTIFS(Major!F:F,"=cncl*", Major!B:B, "&gt;=1/1/1995", Major!B:B, "&lt;1/1/2000"))/YEARFRAC("1/1/1995", "12/31/1999"),0)</f>
        <v>2</v>
      </c>
      <c r="I7">
        <f>SUM(COUNTIFS(Major!F:F,"=council*", Major!B:B, "&gt;=1/1/2000", Major!B:B, "&lt;1/1/2005"),COUNTIFS(Major!F:F,"=cncl*", Major!B:B, "&gt;=1/1/2000", Major!B:B, "&lt;1/1/2005"))</f>
        <v>35</v>
      </c>
      <c r="J7">
        <f>ROUND(SUM(COUNTIFS(Major!F:F,"=council*", Major!B:B, "&gt;=1/1/2000", Major!B:B, "&lt;1/1/2005"),COUNTIFS(Major!F:F,"=cncl*", Major!B:B, "&gt;=1/1/2000", Major!B:B, "&lt;1/1/2005"))/YEARFRAC("1/1/2000", "12/31/2004"),0)</f>
        <v>7</v>
      </c>
      <c r="K7">
        <f>SUM(COUNTIFS(Major!F:F,"=council*", Major!B:B, "&gt;=1/1/2005", Major!B:B, "&lt;1/1/2010"),COUNTIFS(Major!F:F,"=cncl*", Major!B:B, "&gt;=1/1/2005", Major!B:B, "&lt;1/1/2010"))</f>
        <v>68</v>
      </c>
      <c r="L7">
        <f>ROUND(SUM(COUNTIFS(Major!F:F,"=council*", Major!B:B, "&gt;=1/1/2005", Major!B:B, "&lt;1/1/2010"),COUNTIFS(Major!F:F,"=cncl*", Major!B:B, "&gt;=1/1/2005", Major!B:B, "&lt;1/1/2010"))/YEARFRAC("1/1/2005", "12/31/2009"),0)</f>
        <v>14</v>
      </c>
      <c r="M7">
        <f>SUM(COUNTIFS(Major!F:F,"=council*", Major!B:B, "&gt;=1/1/2010", Major!B:B, "&lt;1/1/2015"),COUNTIFS(Major!F:F,"=cncl*", Major!B:B, "&gt;=1/1/2010", Major!B:B, "&lt;1/1/2015"))</f>
        <v>27</v>
      </c>
      <c r="N7">
        <f>ROUND(SUM(COUNTIFS(Major!F:F,"=council*", Major!B:B, "&gt;=1/1/2010", Major!B:B, "&lt;1/1/2015"),COUNTIFS(Major!F:F,"=cncl*", Major!B:B, "&gt;=1/1/2010", Major!B:B, "&lt;1/1/2015"))/YEARFRAC("1/1/2010", "12/31/2014"),0)</f>
        <v>5</v>
      </c>
      <c r="O7">
        <f>SUM(COUNTIFS(Major!F:F,"=council*", Major!B:B, "&gt;=1/1/2015", Major!B:B, "&lt;1/1/2020"),COUNTIFS(Major!F:F,"=cncl*", Major!B:B, "&gt;=1/1/2015", Major!B:B, "&lt;1/1/2020"))</f>
        <v>19</v>
      </c>
      <c r="P7">
        <f>ROUND(SUM(COUNTIFS(Major!F:F,"=council*", Major!B:B, "&gt;=1/1/2015", Major!B:B, "&lt;1/1/2020"),COUNTIFS(Major!F:F,"=cncl*", Major!B:B, "&gt;=1/1/2015", Major!B:B, "&lt;1/1/2020"))/YEARFRAC("1/1/2015", "12/31/2019"),0)</f>
        <v>4</v>
      </c>
      <c r="Q7">
        <f>ROUND(5*SUM(COUNTIFS(Major!F:F,"=council*", Major!B:B, "&gt;=1/1/2020", Major!B:B, "&lt;1/1/2025"),COUNTIFS(Major!F:F,"=cncl*", Major!B:B, "&gt;=1/1/2020", Major!B:B, "&lt;1/1/2025"))/YEARFRAC("1/1/2020", "1/1/2025"),0)</f>
        <v>5</v>
      </c>
      <c r="R7">
        <f>ROUND(SUM(COUNTIFS(Major!F:F,"=council*", Major!B:B, "&gt;=1/1/2020", Major!B:B, "&lt;1/1/2025"),COUNTIFS(Major!F:F,"=cncl*", Major!B:B, "&gt;=1/1/2020", Major!B:B, "&lt;1/1/2025"))/YEARFRAC("1/1/2020", "12/31/2024"),0)</f>
        <v>1</v>
      </c>
      <c r="S7">
        <f>SUM(COUNTIFS(Major!F:F,"=council*", Major!B:B, "&gt;=1/1/2025", Major!B:B, "&lt;1/1/2030"),COUNTIFS(Major!F:F,"=cncl*", Major!B:B, "&gt;=1/1/2025", Major!B:B, "&lt;1/1/2030"))</f>
        <v>0</v>
      </c>
      <c r="T7">
        <f>ROUND(5*SUM(COUNTIFS(Major!F:F,"=council*", Major!B:B, "&gt;=1/1/2025", Major!B:B, "&lt;1/1/2030"),COUNTIFS(Major!F:F,"=cncl*", Major!B:B, "&gt;=1/1/2025", Major!B:B, "&lt;1/1/2030"))/YEARFRAC("1/1/2025", "1/1/2026"),0)</f>
        <v>0</v>
      </c>
      <c r="U7">
        <f>SUM(COUNTIFS(All!F:F,"=council*", All!E:E,"&lt;&gt;LIT", All!E:E,"&lt;&gt;LEG",All!E:E,"&lt;&gt;UIPA*",All!E:E,"&lt;&gt;*TRNG*", All!E:E,"&lt;&gt;ADMIN",All!E:E,"&lt;&gt;RULES",All!E:E,"&lt;&gt;RR*",All!E:E,"&lt;&gt;RSCH"),COUNTIFS(All!F:F,"=cncl*", All!E:E,"&lt;&gt;LIT", All!E:E,"&lt;&gt;LEG",All!E:E,"&lt;&gt;UIPA*",All!E:E,"&lt;&gt;*TRNG*", All!E:E,"&lt;&gt;ADMIN",All!E:E,"&lt;&gt;RULES",All!E:E,"&lt;&gt;RR*",All!E:E,"&lt;&gt;RSCH"))</f>
        <v>252</v>
      </c>
      <c r="V7">
        <f>ROUND(AVERAGE(AVERAGEIFS(All!R:R, All!E:E,"&lt;&gt;LIT", All!E:E,"&lt;&gt;LEG",All!E:E,"&lt;&gt;UIPA*",All!E:E,"&lt;&gt;*TRNG*", All!E:E,"&lt;&gt;ADMIN",All!E:E,"&lt;&gt;RULES",All!E:E,"&lt;&gt;RR*",All!E:E,"&lt;&gt;RSCH",All!F:F,"=council*"),AVERAGEIFS(All!R:R, All!E:E,"&lt;&gt;LIT", All!E:E,"&lt;&gt;LEG",All!E:E,"&lt;&gt;UIPA*",All!E:E,"&lt;&gt;*TRNG*", All!E:E,"&lt;&gt;ADMIN",All!E:E,"&lt;&gt;RULES",All!E:E,"&lt;&gt;RR*",All!E:E,"&lt;&gt;RSCH",All!F:F,"=cncl*")), 0)</f>
        <v>411</v>
      </c>
      <c r="W7">
        <f>SUM(COUNTIFS(All!F:F,"=council*", All!B:B, "&lt;1/1/2000", All!E:E,"&lt;&gt;LIT", All!E:E,"&lt;&gt;LEG",All!E:E,"&lt;&gt;UIPA*",All!E:E,"&lt;&gt;*TRNG*", All!E:E,"&lt;&gt;ADMIN",All!E:E,"&lt;&gt;RULES",All!E:E,"&lt;&gt;RR*",All!E:E,"&lt;&gt;RSCH"),COUNTIFS(All!F:F,"=cncl*", All!B:B, "&lt;1/1/2000", All!E:E,"&lt;&gt;LIT", All!E:E,"&lt;&gt;LEG",All!E:E,"&lt;&gt;UIPA*",All!E:E,"&lt;&gt;*TRNG*", All!E:E,"&lt;&gt;ADMIN",All!E:E,"&lt;&gt;RULES",All!E:E,"&lt;&gt;RR*",All!E:E,"&lt;&gt;RSCH"))</f>
        <v>19</v>
      </c>
      <c r="X7">
        <f>SUM(COUNTIFS(All!F:F,"=council*", All!B:B, "&gt;=1/1/2000", All!B:B, "&lt;1/1/2010", All!E:E,"&lt;&gt;LIT", All!E:E,"&lt;&gt;LEG",All!E:E,"&lt;&gt;UIPA*",All!E:E,"&lt;&gt;*TRNG*", All!E:E,"&lt;&gt;ADMIN",All!E:E,"&lt;&gt;RULES",All!E:E,"&lt;&gt;RR*",All!E:E,"&lt;&gt;RSCH"),COUNTIFS(All!F:F,"=cncl*", All!B:B, "&gt;=1/1/2000", All!B:B, "&lt;1/1/2010", All!E:E,"&lt;&gt;LIT", All!E:E,"&lt;&gt;LEG",All!E:E,"&lt;&gt;UIPA*",All!E:E,"&lt;&gt;*TRNG*", All!E:E,"&lt;&gt;ADMIN",All!E:E,"&lt;&gt;RULES",All!E:E,"&lt;&gt;RR*",All!E:E,"&lt;&gt;RSCH"))</f>
        <v>135</v>
      </c>
      <c r="Y7">
        <f>SUM(COUNTIFS(All!F:F,"=council*", All!B:B, "&gt;=1/1/2010", All!B:B, "&lt;1/1/2020", All!E:E,"&lt;&gt;LIT", All!E:E,"&lt;&gt;LEG",All!E:E,"&lt;&gt;UIPA*",All!E:E,"&lt;&gt;*TRNG*", All!E:E,"&lt;&gt;ADMIN",All!E:E,"&lt;&gt;RULES",All!E:E,"&lt;&gt;RR*",All!E:E,"&lt;&gt;RSCH"),COUNTIFS(All!F:F,"=cncl*", All!B:B, "&gt;=1/1/2010", All!B:B, "&lt;1/1/2020", All!E:E,"&lt;&gt;LIT", All!E:E,"&lt;&gt;LEG",All!E:E,"&lt;&gt;UIPA*",All!E:E,"&lt;&gt;*TRNG*", All!E:E,"&lt;&gt;ADMIN",All!E:E,"&lt;&gt;RULES",All!E:E,"&lt;&gt;RR*",All!E:E,"&lt;&gt;RSCH"))</f>
        <v>85</v>
      </c>
      <c r="Z7">
        <f>SUM(COUNTIFS(All!F:F,"=council*", All!B:B, "&gt;=1/1/2020", All!B:B, "&lt;1/1/2030", All!E:E,"&lt;&gt;LIT", All!E:E,"&lt;&gt;LEG",All!E:E,"&lt;&gt;UIPA*",All!E:E,"&lt;&gt;*TRNG*", All!E:E,"&lt;&gt;ADMIN",All!E:E,"&lt;&gt;RULES",All!E:E,"&lt;&gt;RR*",All!E:E,"&lt;&gt;RSCH"),COUNTIFS(All!F:F,"=cncl*", All!B:B, "&gt;=1/1/2020", All!B:B, "&lt;1/1/2030", All!E:E,"&lt;&gt;LIT", All!E:E,"&lt;&gt;LEG",All!E:E,"&lt;&gt;UIPA*",All!E:E,"&lt;&gt;*TRNG*", All!E:E,"&lt;&gt;ADMIN",All!E:E,"&lt;&gt;RULES",All!E:E,"&lt;&gt;RR*",All!E:E,"&lt;&gt;RSCH"))</f>
        <v>13</v>
      </c>
    </row>
    <row r="8" spans="1:28" ht="16">
      <c r="A8" s="10">
        <v>7</v>
      </c>
      <c r="B8" s="1" t="s">
        <v>17491</v>
      </c>
      <c r="C8">
        <f>SUM(COUNTIF(Major!F:F,"=env*"),COUNTIF(Major!F:F,"=ent svc*"))</f>
        <v>5</v>
      </c>
      <c r="D8">
        <f>ROUND(AVERAGE(AVERAGEIF(Major!F:F,"=env*", Major!R:R),AVERAGEIF(Major!F:F,"=env svc*", Major!R:R)), 0)</f>
        <v>190</v>
      </c>
      <c r="E8">
        <f>SUM(COUNTIFS(Major!F:F,"=env*", Major!B:B, "&lt;1/1/1995"),COUNTIFS(Major!F:F,"=ent svc*", Major!B:B, "&lt;1/1/1995"))</f>
        <v>0</v>
      </c>
      <c r="F8">
        <f>ROUND(SUM(COUNTIFS(Major!F:F,"=env*", Major!B:B, "&lt;1/1/1995"),COUNTIFS(Major!F:F,"=ent svc*", Major!B:B, "&lt;1/1/1995"))/YEARFRAC("11/1/1988", "12/31/1994"),0)</f>
        <v>0</v>
      </c>
      <c r="G8">
        <f>SUM(COUNTIFS(Major!F:F,"=env*", Major!B:B, "&gt;=1/1/1995", Major!B:B, "&lt;1/1/2000"),COUNTIFS(Major!F:F,"=ent svc*", Major!B:B, "&gt;=1/1/1995", Major!B:B, "&lt;1/1/2000"))</f>
        <v>0</v>
      </c>
      <c r="H8">
        <f>ROUND(SUM(COUNTIFS(Major!F:F,"=env*", Major!B:B, "&gt;=1/1/1995", Major!B:B, "&lt;1/1/2000"),COUNTIFS(Major!F:F,"=ent svc*", Major!B:B, "&gt;=1/1/1995", Major!B:B, "&lt;1/1/2000"))/YEARFRAC("1/1/1995", "12/31/1999"),0)</f>
        <v>0</v>
      </c>
      <c r="I8">
        <f>SUM(COUNTIFS(Major!F:F,"=env*", Major!B:B, "&gt;=1/1/2000", Major!B:B, "&lt;1/1/2005"),COUNTIFS(Major!F:F,"=ent svc*", Major!B:B, "&gt;=1/1/2000", Major!B:B, "&lt;1/1/2005"))</f>
        <v>1</v>
      </c>
      <c r="J8">
        <f>ROUND(SUM(COUNTIFS(Major!F:F,"=env*", Major!B:B, "&gt;=1/1/2000", Major!B:B, "&lt;1/1/2005"),COUNTIFS(Major!F:F,"=ent svc*", Major!B:B, "&gt;=1/1/2000", Major!B:B, "&lt;1/1/2005"))/YEARFRAC("1/1/2000", "12/31/2004"),0)</f>
        <v>0</v>
      </c>
      <c r="K8">
        <f>SUM(COUNTIFS(Major!F:F,"=env*", Major!B:B, "&gt;=1/1/2005", Major!B:B, "&lt;1/1/2010"),COUNTIFS(Major!F:F,"=ent svc*", Major!B:B, "&gt;=1/1/2005", Major!B:B, "&lt;1/1/2010"))</f>
        <v>1</v>
      </c>
      <c r="L8">
        <f>ROUND(SUM(COUNTIFS(Major!F:F,"=env*", Major!B:B, "&gt;=1/1/2005", Major!B:B, "&lt;1/1/2010"),COUNTIFS(Major!F:F,"=ent svc*", Major!B:B, "&gt;=1/1/2005", Major!B:B, "&lt;1/1/2010"))/YEARFRAC("1/1/2005", "12/31/2009"),0)</f>
        <v>0</v>
      </c>
      <c r="M8">
        <f>SUM(COUNTIFS(Major!F:F,"=env*", Major!B:B, "&gt;=1/1/2010", Major!B:B, "&lt;1/1/2015"),COUNTIFS(Major!F:F,"=ent svc*", Major!B:B, "&gt;=1/1/2010", Major!B:B, "&lt;1/1/2015"))</f>
        <v>1</v>
      </c>
      <c r="N8">
        <f>ROUND(SUM(COUNTIFS(Major!F:F,"=env*", Major!B:B, "&gt;=1/1/2010", Major!B:B, "&lt;1/1/2015"),COUNTIFS(Major!F:F,"=ent svc*", Major!B:B, "&gt;=1/1/2010", Major!B:B, "&lt;1/1/2015"))/YEARFRAC("1/1/2010", "12/31/2014"),0)</f>
        <v>0</v>
      </c>
      <c r="O8">
        <f>SUM(COUNTIFS(Major!F:F,"=env*", Major!B:B, "&gt;=1/1/2015", Major!B:B, "&lt;1/1/2020"),COUNTIFS(Major!F:F,"=ent svc*", Major!B:B, "&gt;=1/1/2015", Major!B:B, "&lt;1/1/2020"))</f>
        <v>1</v>
      </c>
      <c r="P8">
        <f>ROUND(SUM(COUNTIFS(Major!F:F,"=env*", Major!B:B, "&gt;=1/1/2015", Major!B:B, "&lt;1/1/2020"),COUNTIFS(Major!F:F,"=ent svc*", Major!B:B, "&gt;=1/1/2015", Major!B:B, "&lt;1/1/2020"))/YEARFRAC("1/1/2015", "12/31/2019"),0)</f>
        <v>0</v>
      </c>
      <c r="Q8">
        <f>ROUND(5*SUM(COUNTIFS(Major!F:F,"=env*", Major!B:B, "&gt;=1/1/2020", Major!B:B, "&lt;1/1/2025"),COUNTIFS(Major!F:F,"=ent svc*", Major!B:B, "&gt;=1/1/2020", Major!B:B, "&lt;1/1/2025"))/YEARFRAC("1/1/2020", "1/1/2025"),0)</f>
        <v>1</v>
      </c>
      <c r="R8">
        <f>ROUND(SUM(COUNTIFS(Major!F:F,"=env*", Major!B:B, "&gt;=1/1/2020", Major!B:B, "&lt;1/1/2025"),COUNTIFS(Major!F:F,"=ent svc*", Major!B:B, "&gt;=1/1/2020", Major!B:B, "&lt;1/1/2025"))/YEARFRAC("1/1/2020", "12/31/2024"),0)</f>
        <v>0</v>
      </c>
      <c r="S8">
        <f>SUM(COUNTIFS(Major!F:F,"=env*", Major!B:B, "&gt;=1/1/2025", Major!B:B, "&lt;1/1/2030"),COUNTIFS(Major!F:F,"=ent svc*", Major!B:B, "&gt;=1/1/2025", Major!B:B, "&lt;1/1/2030"))</f>
        <v>0</v>
      </c>
      <c r="T8">
        <f>ROUND(5*SUM(COUNTIFS(Major!F:F,"=env*", Major!B:B, "&gt;=1/1/2025", Major!B:B, "&lt;1/1/2030"),COUNTIFS(Major!F:F,"=ent svc*", Major!B:B, "&gt;=1/1/2025", Major!B:B, "&lt;1/1/2030"))/YEARFRAC("1/1/2025", "1/1/2026"),0)</f>
        <v>0</v>
      </c>
      <c r="U8">
        <f>SUM(COUNTIFS(All!F:F,"=env*", All!E:E,"&lt;&gt;LIT", All!E:E,"&lt;&gt;LEG",All!E:E,"&lt;&gt;UIPA*",All!E:E,"&lt;&gt;*TRNG*", All!E:E,"&lt;&gt;ADMIN",All!E:E,"&lt;&gt;RULES",All!E:E,"&lt;&gt;RR*",All!E:E,"&lt;&gt;RSCH"),COUNTIFS(All!F:F,"=ent svc*", All!E:E,"&lt;&gt;LIT", All!E:E,"&lt;&gt;LEG",All!E:E,"&lt;&gt;UIPA*",All!E:E,"&lt;&gt;*TRNG*", All!E:E,"&lt;&gt;ADMIN",All!E:E,"&lt;&gt;RULES",All!E:E,"&lt;&gt;RR*",All!E:E,"&lt;&gt;RSCH"))</f>
        <v>17</v>
      </c>
      <c r="V8">
        <f>ROUND(AVERAGE(AVERAGEIFS(All!R:R, All!E:E,"&lt;&gt;LIT", All!E:E,"&lt;&gt;LEG",All!E:E,"&lt;&gt;UIPA*",All!E:E,"&lt;&gt;*TRNG*", All!E:E,"&lt;&gt;ADMIN",All!E:E,"&lt;&gt;RULES",All!E:E,"&lt;&gt;RR*",All!E:E,"&lt;&gt;RSCH",All!F:F,"=env*"),AVERAGEIFS(All!R:R, All!E:E,"&lt;&gt;LIT", All!E:E,"&lt;&gt;LEG",All!E:E,"&lt;&gt;UIPA*",All!E:E,"&lt;&gt;*TRNG*", All!E:E,"&lt;&gt;ADMIN",All!E:E,"&lt;&gt;RULES",All!E:E,"&lt;&gt;RR*",All!E:E,"&lt;&gt;RSCH",All!F:F,"=ent svc*")), 0)</f>
        <v>563</v>
      </c>
      <c r="W8">
        <f>SUM(COUNTIFS(All!F:F,"=env*", All!B:B, "&lt;1/1/2000", All!E:E,"&lt;&gt;LIT", All!E:E,"&lt;&gt;LEG",All!E:E,"&lt;&gt;UIPA*",All!E:E,"&lt;&gt;*TRNG*", All!E:E,"&lt;&gt;ADMIN",All!E:E,"&lt;&gt;RULES",All!E:E,"&lt;&gt;RR*",All!E:E,"&lt;&gt;RSCH"),COUNTIFS(All!F:F,"=ent svc*", All!B:B, "&lt;1/1/2000", All!E:E,"&lt;&gt;LIT", All!E:E,"&lt;&gt;LEG",All!E:E,"&lt;&gt;UIPA*",All!E:E,"&lt;&gt;*TRNG*", All!E:E,"&lt;&gt;ADMIN",All!E:E,"&lt;&gt;RULES",All!E:E,"&lt;&gt;RR*",All!E:E,"&lt;&gt;RSCH"))</f>
        <v>1</v>
      </c>
      <c r="X8">
        <f>SUM(COUNTIFS(All!F:F,"=env*", All!B:B, "&gt;=1/1/2000", All!B:B, "&lt;1/1/2010", All!E:E,"&lt;&gt;LIT", All!E:E,"&lt;&gt;LEG",All!E:E,"&lt;&gt;UIPA*",All!E:E,"&lt;&gt;*TRNG*", All!E:E,"&lt;&gt;ADMIN",All!E:E,"&lt;&gt;RULES",All!E:E,"&lt;&gt;RR*",All!E:E,"&lt;&gt;RSCH"),COUNTIFS(All!F:F,"=ent svc*", All!B:B, "&gt;=1/1/2000", All!B:B, "&lt;1/1/2010", All!E:E,"&lt;&gt;LIT", All!E:E,"&lt;&gt;LEG",All!E:E,"&lt;&gt;UIPA*",All!E:E,"&lt;&gt;*TRNG*", All!E:E,"&lt;&gt;ADMIN",All!E:E,"&lt;&gt;RULES",All!E:E,"&lt;&gt;RR*",All!E:E,"&lt;&gt;RSCH"))</f>
        <v>8</v>
      </c>
      <c r="Y8">
        <f>SUM(COUNTIFS(All!F:F,"=env*", All!B:B, "&gt;=1/1/2010", All!B:B, "&lt;1/1/2020", All!E:E,"&lt;&gt;LIT", All!E:E,"&lt;&gt;LEG",All!E:E,"&lt;&gt;UIPA*",All!E:E,"&lt;&gt;*TRNG*", All!E:E,"&lt;&gt;ADMIN",All!E:E,"&lt;&gt;RULES",All!E:E,"&lt;&gt;RR*",All!E:E,"&lt;&gt;RSCH"),COUNTIFS(All!F:F,"=ent svc*", All!B:B, "&gt;=1/1/2010", All!B:B, "&lt;1/1/2020", All!E:E,"&lt;&gt;LIT", All!E:E,"&lt;&gt;LEG",All!E:E,"&lt;&gt;UIPA*",All!E:E,"&lt;&gt;*TRNG*", All!E:E,"&lt;&gt;ADMIN",All!E:E,"&lt;&gt;RULES",All!E:E,"&lt;&gt;RR*",All!E:E,"&lt;&gt;RSCH"))</f>
        <v>5</v>
      </c>
      <c r="Z8">
        <f>SUM(COUNTIFS(All!F:F,"=env*", All!B:B, "&gt;=1/1/2020", All!B:B, "&lt;1/1/2030", All!E:E,"&lt;&gt;LIT", All!E:E,"&lt;&gt;LEG",All!E:E,"&lt;&gt;UIPA*",All!E:E,"&lt;&gt;*TRNG*", All!E:E,"&lt;&gt;ADMIN",All!E:E,"&lt;&gt;RULES",All!E:E,"&lt;&gt;RR*",All!E:E,"&lt;&gt;RSCH"),COUNTIFS(All!F:F,"=ent svc*", All!B:B, "&gt;=1/1/2020", All!B:B, "&lt;1/1/2030", All!E:E,"&lt;&gt;LIT", All!E:E,"&lt;&gt;LEG",All!E:E,"&lt;&gt;UIPA*",All!E:E,"&lt;&gt;*TRNG*", All!E:E,"&lt;&gt;ADMIN",All!E:E,"&lt;&gt;RULES",All!E:E,"&lt;&gt;RR*",All!E:E,"&lt;&gt;RSCH"))</f>
        <v>3</v>
      </c>
    </row>
    <row r="9" spans="1:28" ht="16">
      <c r="A9" s="10">
        <v>8</v>
      </c>
      <c r="B9" s="9" t="s">
        <v>17492</v>
      </c>
    </row>
    <row r="10" spans="1:28" ht="16">
      <c r="A10" s="10">
        <v>9</v>
      </c>
      <c r="B10" s="9" t="s">
        <v>17493</v>
      </c>
    </row>
    <row r="11" spans="1:28" ht="16">
      <c r="A11" s="10">
        <v>10</v>
      </c>
      <c r="B11" s="9" t="s">
        <v>17494</v>
      </c>
    </row>
    <row r="12" spans="1:28" ht="16">
      <c r="A12" s="10">
        <v>11</v>
      </c>
      <c r="B12" s="1" t="s">
        <v>16800</v>
      </c>
      <c r="C12">
        <f>SUM(COUNTIF(Major!F:F,"=fin*"),COUNTIF(Major!F:F,"=*bfs"))</f>
        <v>22</v>
      </c>
      <c r="D12">
        <f>ROUND(AVERAGE(AVERAGEIF(Major!F:F,"=fin*", Major!R:R),AVERAGEIF(Major!F:F,"=*bfs", Major!R:R)), 0)</f>
        <v>852</v>
      </c>
      <c r="E12">
        <f>SUM(COUNTIFS(Major!F:F,"=fin*", Major!B:B, "&lt;1/1/1995"),COUNTIFS(Major!F:F,"=*bfs", Major!B:B, "&lt;1/1/1995"))</f>
        <v>10</v>
      </c>
      <c r="F12">
        <f>ROUND(SUM(COUNTIFS(Major!F:F,"=fin*", Major!B:B, "&lt;1/1/1995"),COUNTIFS(Major!F:F,"=*bfs", Major!B:B, "&lt;1/1/1995"))/YEARFRAC("11/1/1988", "12/31/1994"),0)</f>
        <v>2</v>
      </c>
      <c r="G12">
        <f>SUM(COUNTIFS(Major!F:F,"=fin*", Major!B:B, "&gt;=1/1/1995", Major!B:B, "&lt;1/1/2000"),COUNTIFS(Major!F:F,"=*bfs", Major!B:B, "&gt;=1/1/1995", Major!B:B, "&lt;1/1/2000"))</f>
        <v>2</v>
      </c>
      <c r="H12">
        <f>ROUND(SUM(COUNTIFS(Major!F:F,"=fin*", Major!B:B, "&gt;=1/1/1995", Major!B:B, "&lt;1/1/2000"),COUNTIFS(Major!F:F,"=*bfs", Major!B:B, "&gt;=1/1/1995", Major!B:B, "&lt;1/1/2000"))/YEARFRAC("1/1/1995", "12/31/1999"),0)</f>
        <v>0</v>
      </c>
      <c r="I12">
        <f>SUM(COUNTIFS(Major!F:F,"=fin*", Major!B:B, "&gt;=1/1/2000", Major!B:B, "&lt;1/1/2005"),COUNTIFS(Major!F:F,"=*bfs", Major!B:B, "&gt;=1/1/2000", Major!B:B, "&lt;1/1/2005"))</f>
        <v>1</v>
      </c>
      <c r="J12">
        <f>ROUND(SUM(COUNTIFS(Major!F:F,"=fin*", Major!B:B, "&gt;=1/1/2000", Major!B:B, "&lt;1/1/2005"),COUNTIFS(Major!F:F,"=*bfs", Major!B:B, "&gt;=1/1/2000", Major!B:B, "&lt;1/1/2005"))/YEARFRAC("1/1/2000", "12/31/2004"),0)</f>
        <v>0</v>
      </c>
      <c r="K12">
        <f>SUM(COUNTIFS(Major!F:F,"=fin*", Major!B:B, "&gt;=1/1/2005", Major!B:B, "&lt;1/1/2010"),COUNTIFS(Major!F:F,"=*bfs", Major!B:B, "&gt;=1/1/2005", Major!B:B, "&lt;1/1/2010"))</f>
        <v>0</v>
      </c>
      <c r="L12">
        <f>ROUND(SUM(COUNTIFS(Major!F:F,"=fin*", Major!B:B, "&gt;=1/1/2005", Major!B:B, "&lt;1/1/2010"),COUNTIFS(Major!F:F,"=*bfs", Major!B:B, "&gt;=1/1/2005", Major!B:B, "&lt;1/1/2010"))/YEARFRAC("1/1/2005", "12/31/2009"),0)</f>
        <v>0</v>
      </c>
      <c r="M12">
        <f>SUM(COUNTIFS(Major!F:F,"=fin*", Major!B:B, "&gt;=1/1/2010", Major!B:B, "&lt;1/1/2015"),COUNTIFS(Major!F:F,"=*bfs", Major!B:B, "&gt;=1/1/2010", Major!B:B, "&lt;1/1/2015"))</f>
        <v>3</v>
      </c>
      <c r="N12">
        <f>ROUND(SUM(COUNTIFS(Major!F:F,"=fin*", Major!B:B, "&gt;=1/1/2010", Major!B:B, "&lt;1/1/2015"),COUNTIFS(Major!F:F,"=*bfs", Major!B:B, "&gt;=1/1/2010", Major!B:B, "&lt;1/1/2015"))/YEARFRAC("1/1/2010", "12/31/2014"),0)</f>
        <v>1</v>
      </c>
      <c r="O12">
        <f>SUM(COUNTIFS(Major!F:F,"=fin*", Major!B:B, "&gt;=1/1/2015", Major!B:B, "&lt;1/1/2020"),COUNTIFS(Major!F:F,"=*bfs", Major!B:B, "&gt;=1/1/2015", Major!B:B, "&lt;1/1/2020"))</f>
        <v>2</v>
      </c>
      <c r="P12">
        <f>ROUND(SUM(COUNTIFS(Major!F:F,"=fin*", Major!B:B, "&gt;=1/1/2015", Major!B:B, "&lt;1/1/2020"),COUNTIFS(Major!F:F,"=*bfs", Major!B:B, "&gt;=1/1/2015", Major!B:B, "&lt;1/1/2020"))/YEARFRAC("1/1/2015", "12/31/2019"),0)</f>
        <v>0</v>
      </c>
      <c r="Q12">
        <f>ROUND(5*SUM(COUNTIFS(Major!F:F,"=fin*", Major!B:B, "&gt;=1/1/2020", Major!B:B, "&lt;1/1/2025"),COUNTIFS(Major!F:F,"=*bfs", Major!B:B, "&gt;=1/1/2020", Major!B:B, "&lt;1/1/2025"))/YEARFRAC("1/1/2020", "1/1/2025"),0)</f>
        <v>4</v>
      </c>
      <c r="R12">
        <f>ROUND(SUM(COUNTIFS(Major!F:F,"=fin*", Major!B:B, "&gt;=1/1/2020", Major!B:B, "&lt;1/1/2025"),COUNTIFS(Major!F:F,"=*bfs", Major!B:B, "&gt;=1/1/2020", Major!B:B, "&lt;1/1/2025"))/YEARFRAC("1/1/2020", "12/31/2024"),0)</f>
        <v>1</v>
      </c>
      <c r="S12">
        <f>SUM(COUNTIFS(Major!F:F,"=fin*", Major!B:B, "&gt;=1/1/2025", Major!B:B, "&lt;1/1/2030"),COUNTIFS(Major!F:F,"=*bfs", Major!B:B, "&gt;=1/1/2025", Major!B:B, "&lt;1/1/2030"))</f>
        <v>0</v>
      </c>
      <c r="T12">
        <f>ROUND(5*SUM(COUNTIFS(Major!F:F,"=fin*", Major!B:B, "&gt;=1/1/2025", Major!B:B, "&lt;1/1/2030"),COUNTIFS(Major!F:F,"=*bfs", Major!B:B, "&gt;=1/1/2025", Major!B:B, "&lt;1/1/2030"))/YEARFRAC("1/1/2025", "1/1/2026"),0)</f>
        <v>0</v>
      </c>
      <c r="U12">
        <f>SUM(COUNTIFS(All!F:F,"=fin*", All!E:E,"&lt;&gt;LIT", All!E:E,"&lt;&gt;LEG",All!E:E,"&lt;&gt;UIPA*",All!E:E,"&lt;&gt;*TRNG*", All!E:E,"&lt;&gt;ADMIN",All!E:E,"&lt;&gt;RULES",All!E:E,"&lt;&gt;RR*",All!E:E,"&lt;&gt;RSCH"),COUNTIFS(All!F:F,"=*bfs", All!E:E,"&lt;&gt;LIT", All!E:E,"&lt;&gt;LEG",All!E:E,"&lt;&gt;UIPA*",All!E:E,"&lt;&gt;*TRNG*", All!E:E,"&lt;&gt;ADMIN",All!E:E,"&lt;&gt;RULES",All!E:E,"&lt;&gt;RR*",All!E:E,"&lt;&gt;RSCH"))</f>
        <v>43</v>
      </c>
      <c r="V12">
        <f>ROUND(AVERAGE(AVERAGEIFS(All!R:R, All!E:E,"&lt;&gt;LIT", All!E:E,"&lt;&gt;LEG",All!E:E,"&lt;&gt;UIPA*",All!E:E,"&lt;&gt;*TRNG*", All!E:E,"&lt;&gt;ADMIN",All!E:E,"&lt;&gt;RULES",All!E:E,"&lt;&gt;RR*",All!E:E,"&lt;&gt;RSCH",All!F:F,"=fin*"),AVERAGEIFS(All!R:R, All!E:E,"&lt;&gt;LIT", All!E:E,"&lt;&gt;LEG",All!E:E,"&lt;&gt;UIPA*",All!E:E,"&lt;&gt;*TRNG*", All!E:E,"&lt;&gt;ADMIN",All!E:E,"&lt;&gt;RULES",All!E:E,"&lt;&gt;RR*",All!E:E,"&lt;&gt;RSCH",All!F:F,"=*bfs")), 0)</f>
        <v>398</v>
      </c>
      <c r="W12">
        <f>SUM(COUNTIFS(All!F:F,"=fin*", All!B:B, "&lt;1/1/2000", All!E:E,"&lt;&gt;LIT", All!E:E,"&lt;&gt;LEG",All!E:E,"&lt;&gt;UIPA*",All!E:E,"&lt;&gt;*TRNG*", All!E:E,"&lt;&gt;ADMIN",All!E:E,"&lt;&gt;RULES",All!E:E,"&lt;&gt;RR*",All!E:E,"&lt;&gt;RSCH"),COUNTIFS(All!F:F,"=*bfs", All!B:B, "&lt;1/1/2000", All!E:E,"&lt;&gt;LIT", All!E:E,"&lt;&gt;LEG",All!E:E,"&lt;&gt;UIPA*",All!E:E,"&lt;&gt;*TRNG*", All!E:E,"&lt;&gt;ADMIN",All!E:E,"&lt;&gt;RULES",All!E:E,"&lt;&gt;RR*",All!E:E,"&lt;&gt;RSCH"))</f>
        <v>14</v>
      </c>
      <c r="X12">
        <f>SUM(COUNTIFS(All!F:F,"=fin*", All!B:B, "&gt;=1/1/2000", All!B:B, "&lt;1/1/2010", All!E:E,"&lt;&gt;LIT", All!E:E,"&lt;&gt;LEG",All!E:E,"&lt;&gt;UIPA*",All!E:E,"&lt;&gt;*TRNG*", All!E:E,"&lt;&gt;ADMIN",All!E:E,"&lt;&gt;RULES",All!E:E,"&lt;&gt;RR*",All!E:E,"&lt;&gt;RSCH"),COUNTIFS(All!F:F,"=*bfs", All!B:B, "&gt;=1/1/2000", All!B:B, "&lt;1/1/2010", All!E:E,"&lt;&gt;LIT", All!E:E,"&lt;&gt;LEG",All!E:E,"&lt;&gt;UIPA*",All!E:E,"&lt;&gt;*TRNG*", All!E:E,"&lt;&gt;ADMIN",All!E:E,"&lt;&gt;RULES",All!E:E,"&lt;&gt;RR*",All!E:E,"&lt;&gt;RSCH"))</f>
        <v>4</v>
      </c>
      <c r="Y12">
        <f>SUM(COUNTIFS(All!F:F,"=fin*", All!B:B, "&gt;=1/1/2010", All!B:B, "&lt;1/1/2020", All!E:E,"&lt;&gt;LIT", All!E:E,"&lt;&gt;LEG",All!E:E,"&lt;&gt;UIPA*",All!E:E,"&lt;&gt;*TRNG*", All!E:E,"&lt;&gt;ADMIN",All!E:E,"&lt;&gt;RULES",All!E:E,"&lt;&gt;RR*",All!E:E,"&lt;&gt;RSCH"),COUNTIFS(All!F:F,"=*bfs", All!B:B, "&gt;=1/1/2010", All!B:B, "&lt;1/1/2020", All!E:E,"&lt;&gt;LIT", All!E:E,"&lt;&gt;LEG",All!E:E,"&lt;&gt;UIPA*",All!E:E,"&lt;&gt;*TRNG*", All!E:E,"&lt;&gt;ADMIN",All!E:E,"&lt;&gt;RULES",All!E:E,"&lt;&gt;RR*",All!E:E,"&lt;&gt;RSCH"))</f>
        <v>15</v>
      </c>
      <c r="Z12">
        <f>SUM(COUNTIFS(All!F:F,"=fin*", All!B:B, "&gt;=1/1/2020", All!B:B, "&lt;1/1/2030", All!E:E,"&lt;&gt;LIT", All!E:E,"&lt;&gt;LEG",All!E:E,"&lt;&gt;UIPA*",All!E:E,"&lt;&gt;*TRNG*", All!E:E,"&lt;&gt;ADMIN",All!E:E,"&lt;&gt;RULES",All!E:E,"&lt;&gt;RR*",All!E:E,"&lt;&gt;RSCH"),COUNTIFS(All!F:F,"=*bfs", All!B:B, "&gt;=1/1/2020", All!B:B, "&lt;1/1/2030", All!E:E,"&lt;&gt;LIT", All!E:E,"&lt;&gt;LEG",All!E:E,"&lt;&gt;UIPA*",All!E:E,"&lt;&gt;*TRNG*", All!E:E,"&lt;&gt;ADMIN",All!E:E,"&lt;&gt;RULES",All!E:E,"&lt;&gt;RR*",All!E:E,"&lt;&gt;RSCH"))</f>
        <v>10</v>
      </c>
      <c r="AB12" t="s">
        <v>16804</v>
      </c>
    </row>
    <row r="13" spans="1:28" ht="16">
      <c r="A13" s="10">
        <v>12</v>
      </c>
      <c r="B13" s="9" t="s">
        <v>17423</v>
      </c>
      <c r="AB13" t="s">
        <v>16805</v>
      </c>
    </row>
    <row r="14" spans="1:28" ht="16">
      <c r="A14" s="10">
        <v>13</v>
      </c>
      <c r="B14" s="9" t="s">
        <v>17424</v>
      </c>
      <c r="AB14" t="s">
        <v>16803</v>
      </c>
    </row>
    <row r="15" spans="1:28" ht="16">
      <c r="A15" s="10">
        <v>14</v>
      </c>
      <c r="B15" s="9" t="s">
        <v>17444</v>
      </c>
      <c r="AB15" t="s">
        <v>16806</v>
      </c>
    </row>
    <row r="16" spans="1:28" ht="16">
      <c r="A16" s="10">
        <v>15</v>
      </c>
      <c r="B16" s="9" t="s">
        <v>17425</v>
      </c>
      <c r="AB16" t="s">
        <v>17232</v>
      </c>
    </row>
    <row r="17" spans="1:26" ht="16">
      <c r="A17" s="10">
        <v>16</v>
      </c>
      <c r="B17" s="1" t="s">
        <v>16801</v>
      </c>
      <c r="C17">
        <f>COUNTIF(Major!F:F,"=fire*")</f>
        <v>11</v>
      </c>
      <c r="D17">
        <f>ROUND(AVERAGEIF(Major!F:F,"=fire*", Major!R:R), 0)</f>
        <v>928</v>
      </c>
      <c r="E17">
        <f>COUNTIFS(Major!F:F,"=fire*", Major!B:B, "&lt;1/1/1995")</f>
        <v>2</v>
      </c>
      <c r="F17">
        <f>ROUND(COUNTIFS(Major!F:F,"=fire*", Major!B:B, "&lt;1/1/1995")/YEARFRAC("11/1/1988", "12/31/1994"),0)</f>
        <v>0</v>
      </c>
      <c r="G17">
        <f>COUNTIFS(Major!F:F,"=fire*", Major!B:B, "&gt;=1/1/1995", Major!B:B, "&lt;1/1/2000")</f>
        <v>2</v>
      </c>
      <c r="H17">
        <f>ROUND(COUNTIFS(Major!F:F,"=fire*", Major!B:B, "&gt;=1/1/1995", Major!B:B, "&lt;1/1/2000")/YEARFRAC("1/1/1995", "12/31/1999"),0)</f>
        <v>0</v>
      </c>
      <c r="I17">
        <f>COUNTIFS(Major!F:F,"=fire*", Major!B:B, "&gt;=1/1/2000", Major!B:B, "&lt;1/1/2005")</f>
        <v>2</v>
      </c>
      <c r="J17">
        <f>ROUND(COUNTIFS(Major!F:F,"=fire*", Major!B:B, "&gt;=1/1/2000", Major!B:B, "&lt;1/1/2005")/YEARFRAC("1/1/2000", "12/31/2004"),0)</f>
        <v>0</v>
      </c>
      <c r="K17">
        <f>COUNTIFS(Major!F:F,"=fire*", Major!B:B, "&gt;=1/1/2005", Major!B:B, "&lt;1/1/2010")</f>
        <v>0</v>
      </c>
      <c r="L17">
        <f>ROUND(COUNTIFS(Major!F:F,"=fire*", Major!B:B, "&gt;=1/1/2005", Major!B:B, "&lt;1/1/2010")/YEARFRAC("1/1/2005", "12/31/2009"),0)</f>
        <v>0</v>
      </c>
      <c r="M17">
        <f>COUNTIFS(Major!F:F,"=fire*", Major!B:B, "&gt;=1/1/2010", Major!B:B, "&lt;1/1/2015")</f>
        <v>0</v>
      </c>
      <c r="N17">
        <f>ROUND(COUNTIFS(Major!F:F,"=fire*", Major!B:B, "&gt;=1/1/2010", Major!B:B, "&lt;1/1/2015")/YEARFRAC("1/1/2010", "12/31/2014"),0)</f>
        <v>0</v>
      </c>
      <c r="O17">
        <f>COUNTIFS(Major!F:F,"=fire*", Major!B:B, "&gt;=1/1/2015", Major!B:B, "&lt;1/1/2020")</f>
        <v>3</v>
      </c>
      <c r="P17">
        <f>ROUND(COUNTIFS(Major!F:F,"=fire*", Major!B:B, "&gt;=1/1/2015", Major!B:B, "&lt;1/1/2020")/YEARFRAC("1/1/2015", "12/31/2019"),0)</f>
        <v>1</v>
      </c>
      <c r="Q17">
        <f>ROUND(5*COUNTIFS(Major!F:F,"=fire*", Major!B:B, "&gt;=1/1/2020", Major!B:B, "&lt;1/1/2025")/YEARFRAC("1/1/2020", "1/1/2025"),0)</f>
        <v>2</v>
      </c>
      <c r="R17">
        <f>ROUND(COUNTIFS(Major!F:F,"=fire*", Major!B:B, "&gt;=1/1/2020", Major!B:B, "&lt;1/1/2025")/YEARFRAC("1/1/2020", "12/31/2024"),0)</f>
        <v>0</v>
      </c>
      <c r="S17">
        <f>COUNTIFS(Major!F:F,"=fire*", Major!B:B, "&gt;=1/1/2025", Major!B:B, "&lt;1/1/2030")</f>
        <v>0</v>
      </c>
      <c r="T17">
        <f>ROUND(5*COUNTIFS(Major!F:F,"=fire*", Major!B:B, "&gt;=1/1/2025", Major!B:B, "&lt;1/1/2030")/YEARFRAC("1/1/2025", "1/1/2026"),0)</f>
        <v>0</v>
      </c>
      <c r="U17">
        <f>COUNTIFS(All!F:F,"=fire*", All!E:E,"&lt;&gt;LIT", All!E:E,"&lt;&gt;LEG",All!E:E,"&lt;&gt;UIPA*",All!E:E,"&lt;&gt;*TRNG*", All!E:E,"&lt;&gt;ADMIN",All!E:E,"&lt;&gt;RULES",All!E:E,"&lt;&gt;RR*",All!E:E,"&lt;&gt;RSCH")</f>
        <v>26</v>
      </c>
      <c r="V17">
        <f>ROUND(AVERAGEIFS(All!R:R, All!E:E,"&lt;&gt;LIT", All!E:E,"&lt;&gt;LEG",All!E:E,"&lt;&gt;UIPA*",All!E:E,"&lt;&gt;*TRNG*", All!E:E,"&lt;&gt;ADMIN",All!E:E,"&lt;&gt;RULES",All!E:E,"&lt;&gt;RR*",All!E:E,"&lt;&gt;RSCH",All!F:F,"=fire*"), 0)</f>
        <v>454</v>
      </c>
      <c r="W17">
        <f>COUNTIFS(All!F:F,"=fire*", All!B:B, "&lt;1/1/2000", All!E:E,"&lt;&gt;LIT", All!E:E,"&lt;&gt;LEG",All!E:E,"&lt;&gt;UIPA*",All!E:E,"&lt;&gt;*TRNG*", All!E:E,"&lt;&gt;ADMIN",All!E:E,"&lt;&gt;RULES",All!E:E,"&lt;&gt;RR*",All!E:E,"&lt;&gt;RSCH")</f>
        <v>4</v>
      </c>
      <c r="X17">
        <f>COUNTIFS(All!F:F,"=fire*", All!B:B, "&gt;=1/1/2000", All!B:B, "&lt;1/1/2010", All!E:E,"&lt;&gt;LIT", All!E:E,"&lt;&gt;LEG",All!E:E,"&lt;&gt;UIPA*",All!E:E,"&lt;&gt;*TRNG*", All!E:E,"&lt;&gt;ADMIN",All!E:E,"&lt;&gt;RULES",All!E:E,"&lt;&gt;RR*",All!E:E,"&lt;&gt;RSCH")</f>
        <v>4</v>
      </c>
      <c r="Y17">
        <f>COUNTIFS(All!F:F,"=fire*", All!B:B, "&gt;=1/1/2010", All!B:B, "&lt;1/1/2020", All!E:E,"&lt;&gt;LIT", All!E:E,"&lt;&gt;LEG",All!E:E,"&lt;&gt;UIPA*",All!E:E,"&lt;&gt;*TRNG*", All!E:E,"&lt;&gt;ADMIN",All!E:E,"&lt;&gt;RULES",All!E:E,"&lt;&gt;RR*",All!E:E,"&lt;&gt;RSCH")</f>
        <v>6</v>
      </c>
      <c r="Z17">
        <f>COUNTIFS(All!F:F,"=fire*", All!B:B, "&gt;=1/1/2020", All!B:B, "&lt;1/1/2030", All!E:E,"&lt;&gt;LIT", All!E:E,"&lt;&gt;LEG",All!E:E,"&lt;&gt;UIPA*",All!E:E,"&lt;&gt;*TRNG*", All!E:E,"&lt;&gt;ADMIN",All!E:E,"&lt;&gt;RULES",All!E:E,"&lt;&gt;RR*",All!E:E,"&lt;&gt;RSCH")</f>
        <v>12</v>
      </c>
    </row>
    <row r="18" spans="1:26" ht="16">
      <c r="A18" s="10">
        <v>17</v>
      </c>
      <c r="B18" s="9" t="s">
        <v>17426</v>
      </c>
    </row>
    <row r="19" spans="1:26" ht="16">
      <c r="A19" s="10">
        <v>18</v>
      </c>
      <c r="B19" s="9" t="s">
        <v>17427</v>
      </c>
    </row>
    <row r="20" spans="1:26" ht="16">
      <c r="A20" s="10">
        <v>19</v>
      </c>
      <c r="B20" s="9" t="s">
        <v>17445</v>
      </c>
    </row>
    <row r="21" spans="1:26" ht="16">
      <c r="A21" s="10">
        <v>20</v>
      </c>
      <c r="B21" s="9" t="s">
        <v>17428</v>
      </c>
    </row>
    <row r="22" spans="1:26" ht="16">
      <c r="A22" s="10">
        <v>21</v>
      </c>
      <c r="B22" s="1" t="s">
        <v>16810</v>
      </c>
      <c r="C22">
        <f>COUNTIF(Major!F:F,"=liq*")</f>
        <v>23</v>
      </c>
      <c r="D22">
        <f>ROUND(AVERAGEIF(Major!F:F,"=liq*", Major!R:R), 0)</f>
        <v>789</v>
      </c>
      <c r="E22">
        <f>COUNTIFS(Major!F:F,"=liq*", Major!B:B, "&lt;1/1/1995")</f>
        <v>6</v>
      </c>
      <c r="F22">
        <f>ROUND(COUNTIFS(Major!F:F,"=liq*", Major!B:B, "&lt;1/1/1995")/YEARFRAC("11/1/1988", "12/31/1994"),0)</f>
        <v>1</v>
      </c>
      <c r="G22">
        <f>COUNTIFS(Major!F:F,"=liq*", Major!B:B, "&gt;=1/1/1995", Major!B:B, "&lt;1/1/2000")</f>
        <v>3</v>
      </c>
      <c r="H22">
        <f>ROUND(COUNTIFS(Major!F:F,"=liq*", Major!B:B, "&gt;=1/1/1995", Major!B:B, "&lt;1/1/2000")/YEARFRAC("1/1/1995", "12/31/1999"),0)</f>
        <v>1</v>
      </c>
      <c r="I22">
        <f>COUNTIFS(Major!F:F,"=liq*", Major!B:B, "&gt;=1/1/2000", Major!B:B, "&lt;1/1/2005")</f>
        <v>0</v>
      </c>
      <c r="J22">
        <f>ROUND(COUNTIFS(Major!F:F,"=liq*", Major!B:B, "&gt;=1/1/2000", Major!B:B, "&lt;1/1/2005")/YEARFRAC("1/1/2000", "12/31/2004"),0)</f>
        <v>0</v>
      </c>
      <c r="K22">
        <f>COUNTIFS(Major!F:F,"=liq*", Major!B:B, "&gt;=1/1/2005", Major!B:B, "&lt;1/1/2010")</f>
        <v>5</v>
      </c>
      <c r="L22">
        <f>ROUND(COUNTIFS(Major!F:F,"=liq*", Major!B:B, "&gt;=1/1/2005", Major!B:B, "&lt;1/1/2010")/YEARFRAC("1/1/2005", "12/31/2009"),0)</f>
        <v>1</v>
      </c>
      <c r="M22">
        <f>COUNTIFS(Major!F:F,"=liq*", Major!B:B, "&gt;=1/1/2010", Major!B:B, "&lt;1/1/2015")</f>
        <v>3</v>
      </c>
      <c r="N22">
        <f>ROUND(COUNTIFS(Major!F:F,"=liq*", Major!B:B, "&gt;=1/1/2010", Major!B:B, "&lt;1/1/2015")/YEARFRAC("1/1/2010", "12/31/2014"),0)</f>
        <v>1</v>
      </c>
      <c r="O22">
        <f>COUNTIFS(Major!F:F,"=liq*", Major!B:B, "&gt;=1/1/2015", Major!B:B, "&lt;1/1/2020")</f>
        <v>2</v>
      </c>
      <c r="P22">
        <f>ROUND(COUNTIFS(Major!F:F,"=liq*", Major!B:B, "&gt;=1/1/2015", Major!B:B, "&lt;1/1/2020")/YEARFRAC("1/1/2015", "12/31/2019"),0)</f>
        <v>0</v>
      </c>
      <c r="Q22">
        <f>ROUND(5*COUNTIFS(Major!F:F,"=liq*", Major!B:B, "&gt;=1/1/2020", Major!B:B, "&lt;1/1/2025")/YEARFRAC("1/1/2020", "1/1/2025"),0)</f>
        <v>4</v>
      </c>
      <c r="R22">
        <f>ROUND(COUNTIFS(Major!F:F,"=liq*", Major!B:B, "&gt;=1/1/2020", Major!B:B, "&lt;1/1/2025")/YEARFRAC("1/1/2020", "12/31/2024"),0)</f>
        <v>1</v>
      </c>
      <c r="S22">
        <f>COUNTIFS(Major!F:F,"=liq*", Major!B:B, "&gt;=1/1/2025", Major!B:B, "&lt;1/1/2030")</f>
        <v>0</v>
      </c>
      <c r="T22">
        <f>ROUND(5*COUNTIFS(Major!F:F,"=liq*", Major!B:B, "&gt;=1/1/2025", Major!B:B, "&lt;1/1/2030")/YEARFRAC("1/1/2025", "1/1/2026"),0)</f>
        <v>0</v>
      </c>
      <c r="U22">
        <f>COUNTIFS(All!F:F,"=liq*", All!E:E,"&lt;&gt;LIT", All!E:E,"&lt;&gt;LEG",All!E:E,"&lt;&gt;UIPA*",All!E:E,"&lt;&gt;*TRNG*", All!E:E,"&lt;&gt;ADMIN",All!E:E,"&lt;&gt;RULES",All!E:E,"&lt;&gt;RR*",All!E:E,"&lt;&gt;RSCH")</f>
        <v>31</v>
      </c>
      <c r="V22">
        <f>ROUND(AVERAGEIFS(All!R:R, All!E:E,"&lt;&gt;LIT", All!E:E,"&lt;&gt;LEG",All!E:E,"&lt;&gt;UIPA*",All!E:E,"&lt;&gt;*TRNG*", All!E:E,"&lt;&gt;ADMIN",All!E:E,"&lt;&gt;RULES",All!E:E,"&lt;&gt;RR*",All!E:E,"&lt;&gt;RSCH",All!F:F,"=liq*"), 0)</f>
        <v>696</v>
      </c>
      <c r="W22">
        <f>COUNTIFS(All!F:F,"=liq*", All!B:B, "&lt;1/1/2000", All!E:E,"&lt;&gt;LIT", All!E:E,"&lt;&gt;LEG",All!E:E,"&lt;&gt;UIPA*",All!E:E,"&lt;&gt;*TRNG*", All!E:E,"&lt;&gt;ADMIN",All!E:E,"&lt;&gt;RULES",All!E:E,"&lt;&gt;RR*",All!E:E,"&lt;&gt;RSCH")</f>
        <v>9</v>
      </c>
      <c r="X22">
        <f>COUNTIFS(All!F:F,"=liq*", All!B:B, "&gt;=1/1/2000", All!B:B, "&lt;1/1/2010", All!E:E,"&lt;&gt;LIT", All!E:E,"&lt;&gt;LEG",All!E:E,"&lt;&gt;UIPA*",All!E:E,"&lt;&gt;*TRNG*", All!E:E,"&lt;&gt;ADMIN",All!E:E,"&lt;&gt;RULES",All!E:E,"&lt;&gt;RR*",All!E:E,"&lt;&gt;RSCH")</f>
        <v>11</v>
      </c>
      <c r="Y22">
        <f>COUNTIFS(All!F:F,"=liq*", All!B:B, "&gt;=1/1/2010", All!B:B, "&lt;1/1/2020", All!E:E,"&lt;&gt;LIT", All!E:E,"&lt;&gt;LEG",All!E:E,"&lt;&gt;UIPA*",All!E:E,"&lt;&gt;*TRNG*", All!E:E,"&lt;&gt;ADMIN",All!E:E,"&lt;&gt;RULES",All!E:E,"&lt;&gt;RR*",All!E:E,"&lt;&gt;RSCH")</f>
        <v>7</v>
      </c>
      <c r="Z22">
        <f>COUNTIFS(All!F:F,"=liq*", All!B:B, "&gt;=1/1/2020", All!B:B, "&lt;1/1/2030", All!E:E,"&lt;&gt;LIT", All!E:E,"&lt;&gt;LEG",All!E:E,"&lt;&gt;UIPA*",All!E:E,"&lt;&gt;*TRNG*", All!E:E,"&lt;&gt;ADMIN",All!E:E,"&lt;&gt;RULES",All!E:E,"&lt;&gt;RR*",All!E:E,"&lt;&gt;RSCH")</f>
        <v>4</v>
      </c>
    </row>
    <row r="23" spans="1:26" ht="16">
      <c r="A23" s="10">
        <v>22</v>
      </c>
      <c r="B23" s="9" t="s">
        <v>17429</v>
      </c>
    </row>
    <row r="24" spans="1:26" ht="16">
      <c r="A24" s="10">
        <v>23</v>
      </c>
      <c r="B24" s="9" t="s">
        <v>17430</v>
      </c>
    </row>
    <row r="25" spans="1:26" ht="16">
      <c r="A25" s="10">
        <v>24</v>
      </c>
      <c r="B25" s="9" t="s">
        <v>17446</v>
      </c>
    </row>
    <row r="26" spans="1:26" ht="16">
      <c r="A26" s="10">
        <v>25</v>
      </c>
      <c r="B26" s="9" t="s">
        <v>17431</v>
      </c>
    </row>
    <row r="27" spans="1:26" ht="16">
      <c r="A27" s="10">
        <v>26</v>
      </c>
      <c r="B27" s="1" t="s">
        <v>16811</v>
      </c>
      <c r="C27">
        <f>COUNTIF(Major!F:F,"=*mayor*")</f>
        <v>30</v>
      </c>
      <c r="D27">
        <f>ROUND(AVERAGEIF(Major!F:F,"=*mayor*", Major!R:R), 0)</f>
        <v>356</v>
      </c>
      <c r="E27">
        <f>COUNTIFS(Major!F:F,"=*mayor*", Major!B:B, "&lt;1/1/1995")</f>
        <v>3</v>
      </c>
      <c r="F27">
        <f>ROUND(COUNTIFS(Major!F:F,"=*mayor*", Major!B:B, "&lt;1/1/1995")/YEARFRAC("11/1/1988", "12/31/1994"),0)</f>
        <v>0</v>
      </c>
      <c r="G27">
        <f>COUNTIFS(Major!F:F,"=*mayor*", Major!B:B, "&gt;=1/1/1995", Major!B:B, "&lt;1/1/2000")</f>
        <v>5</v>
      </c>
      <c r="H27">
        <f>ROUND(COUNTIFS(Major!F:F,"=*mayor*", Major!B:B, "&gt;=1/1/1995", Major!B:B, "&lt;1/1/2000")/YEARFRAC("1/1/1995", "12/31/1999"),0)</f>
        <v>1</v>
      </c>
      <c r="I27">
        <f>COUNTIFS(Major!F:F,"=*mayor*", Major!B:B, "&gt;=1/1/2000", Major!B:B, "&lt;1/1/2005")</f>
        <v>5</v>
      </c>
      <c r="J27">
        <f>ROUND(COUNTIFS(Major!F:F,"=*mayor*", Major!B:B, "&gt;=1/1/2000", Major!B:B, "&lt;1/1/2005")/YEARFRAC("1/1/2000", "12/31/2004"),0)</f>
        <v>1</v>
      </c>
      <c r="K27">
        <f>COUNTIFS(Major!F:F,"=*mayor*", Major!B:B, "&gt;=1/1/2005", Major!B:B, "&lt;1/1/2010")</f>
        <v>9</v>
      </c>
      <c r="L27">
        <f>ROUND(COUNTIFS(Major!F:F,"=*mayor*", Major!B:B, "&gt;=1/1/2005", Major!B:B, "&lt;1/1/2010")/YEARFRAC("1/1/2005", "12/31/2009"),0)</f>
        <v>2</v>
      </c>
      <c r="M27">
        <f>COUNTIFS(Major!F:F,"=*mayor*", Major!B:B, "&gt;=1/1/2010", Major!B:B, "&lt;1/1/2015")</f>
        <v>3</v>
      </c>
      <c r="N27">
        <f>ROUND(COUNTIFS(Major!F:F,"=*mayor*", Major!B:B, "&gt;=1/1/2010", Major!B:B, "&lt;1/1/2015")/YEARFRAC("1/1/2010", "12/31/2014"),0)</f>
        <v>1</v>
      </c>
      <c r="O27">
        <f>COUNTIFS(Major!F:F,"=*mayor*", Major!B:B, "&gt;=1/1/2015", Major!B:B, "&lt;1/1/2020")</f>
        <v>2</v>
      </c>
      <c r="P27">
        <f>ROUND(COUNTIFS(Major!F:F,"=*mayor*", Major!B:B, "&gt;=1/1/2015", Major!B:B, "&lt;1/1/2020")/YEARFRAC("1/1/2015", "12/31/2019"),0)</f>
        <v>0</v>
      </c>
      <c r="Q27">
        <f>ROUND(5*COUNTIFS(Major!F:F,"=*mayor*", Major!B:B, "&gt;=1/1/2020", Major!B:B, "&lt;1/1/2025")/YEARFRAC("1/1/2020", "1/1/2025"),0)</f>
        <v>3</v>
      </c>
      <c r="R27">
        <f>ROUND(COUNTIFS(Major!F:F,"=*mayor*", Major!B:B, "&gt;=1/1/2020", Major!B:B, "&lt;1/1/2025")/YEARFRAC("1/1/2020", "12/31/2024"),0)</f>
        <v>1</v>
      </c>
      <c r="S27">
        <f>COUNTIFS(Major!F:F,"=*mayor*", Major!B:B, "&gt;=1/1/2025", Major!B:B, "&lt;1/1/2030")</f>
        <v>0</v>
      </c>
      <c r="T27">
        <f>ROUND(5*COUNTIFS(Major!F:F,"=*mayor*", Major!B:B, "&gt;=1/1/2025", Major!B:B, "&lt;1/1/2030")/YEARFRAC("1/1/2025", "1/1/2026"),0)</f>
        <v>0</v>
      </c>
      <c r="U27">
        <f>COUNTIFS(All!F:F,"=*mayor*", All!E:E,"&lt;&gt;LIT", All!E:E,"&lt;&gt;LEG",All!E:E,"&lt;&gt;UIPA*",All!E:E,"&lt;&gt;*TRNG*", All!E:E,"&lt;&gt;ADMIN",All!E:E,"&lt;&gt;RULES",All!E:E,"&lt;&gt;RR*",All!E:E,"&lt;&gt;RSCH")</f>
        <v>59</v>
      </c>
      <c r="V27">
        <f>ROUND(AVERAGEIFS(All!R:R, All!E:E,"&lt;&gt;LIT", All!E:E,"&lt;&gt;LEG",All!E:E,"&lt;&gt;UIPA*",All!E:E,"&lt;&gt;*TRNG*", All!E:E,"&lt;&gt;ADMIN",All!E:E,"&lt;&gt;RULES",All!E:E,"&lt;&gt;RR*",All!E:E,"&lt;&gt;RSCH",All!F:F,"=*mayor*"), 0)</f>
        <v>221</v>
      </c>
      <c r="W27">
        <f>COUNTIFS(All!F:F,"=*mayor*", All!B:B, "&lt;1/1/2000", All!E:E,"&lt;&gt;LIT", All!E:E,"&lt;&gt;LEG",All!E:E,"&lt;&gt;UIPA*",All!E:E,"&lt;&gt;*TRNG*", All!E:E,"&lt;&gt;ADMIN",All!E:E,"&lt;&gt;RULES",All!E:E,"&lt;&gt;RR*",All!E:E,"&lt;&gt;RSCH")</f>
        <v>8</v>
      </c>
      <c r="X27">
        <f>COUNTIFS(All!F:F,"=*mayor*", All!B:B, "&gt;=1/1/2000", All!B:B, "&lt;1/1/2010", All!E:E,"&lt;&gt;LIT", All!E:E,"&lt;&gt;LEG",All!E:E,"&lt;&gt;UIPA*",All!E:E,"&lt;&gt;*TRNG*", All!E:E,"&lt;&gt;ADMIN",All!E:E,"&lt;&gt;RULES",All!E:E,"&lt;&gt;RR*",All!E:E,"&lt;&gt;RSCH")</f>
        <v>23</v>
      </c>
      <c r="Y27">
        <f>COUNTIFS(All!F:F,"=*mayor*", All!B:B, "&gt;=1/1/2010", All!B:B, "&lt;1/1/2020", All!E:E,"&lt;&gt;LIT", All!E:E,"&lt;&gt;LEG",All!E:E,"&lt;&gt;UIPA*",All!E:E,"&lt;&gt;*TRNG*", All!E:E,"&lt;&gt;ADMIN",All!E:E,"&lt;&gt;RULES",All!E:E,"&lt;&gt;RR*",All!E:E,"&lt;&gt;RSCH")</f>
        <v>15</v>
      </c>
      <c r="Z27">
        <f>COUNTIFS(All!F:F,"=*mayor*", All!B:B, "&gt;=1/1/2020", All!B:B, "&lt;1/1/2030", All!E:E,"&lt;&gt;LIT", All!E:E,"&lt;&gt;LEG",All!E:E,"&lt;&gt;UIPA*",All!E:E,"&lt;&gt;*TRNG*", All!E:E,"&lt;&gt;ADMIN",All!E:E,"&lt;&gt;RULES",All!E:E,"&lt;&gt;RR*",All!E:E,"&lt;&gt;RSCH")</f>
        <v>13</v>
      </c>
    </row>
    <row r="28" spans="1:26" ht="16">
      <c r="A28" s="10">
        <v>27</v>
      </c>
      <c r="B28" s="9" t="s">
        <v>17489</v>
      </c>
    </row>
    <row r="29" spans="1:26" ht="16">
      <c r="A29" s="10">
        <v>28</v>
      </c>
      <c r="B29" s="9" t="s">
        <v>17488</v>
      </c>
    </row>
    <row r="30" spans="1:26" ht="16">
      <c r="A30" s="10">
        <v>29</v>
      </c>
      <c r="B30" s="9" t="s">
        <v>17486</v>
      </c>
    </row>
    <row r="31" spans="1:26" ht="16">
      <c r="A31" s="10">
        <v>30</v>
      </c>
      <c r="B31" s="9" t="s">
        <v>17487</v>
      </c>
    </row>
    <row r="32" spans="1:26" ht="16">
      <c r="A32" s="10">
        <v>31</v>
      </c>
      <c r="B32" s="1" t="s">
        <v>16815</v>
      </c>
      <c r="C32">
        <f>COUNTIF(Major!F:F,"=*park*")</f>
        <v>11</v>
      </c>
      <c r="D32">
        <f>ROUND(AVERAGEIF(Major!F:F,"=*park*", Major!R:R), 0)</f>
        <v>254</v>
      </c>
      <c r="E32">
        <f>COUNTIFS(Major!F:F,"=*park*", Major!B:B, "&lt;1/1/1995")</f>
        <v>1</v>
      </c>
      <c r="F32">
        <f>ROUND(COUNTIFS(Major!F:F,"=*park*", Major!B:B, "&lt;1/1/1995")/YEARFRAC("11/1/1988", "12/31/1994"),0)</f>
        <v>0</v>
      </c>
      <c r="G32">
        <f>COUNTIFS(Major!F:F,"=*park*", Major!B:B, "&gt;=1/1/1995", Major!B:B, "&lt;1/1/2000")</f>
        <v>2</v>
      </c>
      <c r="H32">
        <f>ROUND(COUNTIFS(Major!F:F,"=*park*", Major!B:B, "&gt;=1/1/1995", Major!B:B, "&lt;1/1/2000")/YEARFRAC("1/1/1995", "12/31/1999"),0)</f>
        <v>0</v>
      </c>
      <c r="I32">
        <f>COUNTIFS(Major!F:F,"=*park*", Major!B:B, "&gt;=1/1/2000", Major!B:B, "&lt;1/1/2005")</f>
        <v>0</v>
      </c>
      <c r="J32">
        <f>ROUND(COUNTIFS(Major!F:F,"=*park*", Major!B:B, "&gt;=1/1/2000", Major!B:B, "&lt;1/1/2005")/YEARFRAC("1/1/2000", "12/31/2004"),0)</f>
        <v>0</v>
      </c>
      <c r="K32">
        <f>COUNTIFS(Major!F:F,"=*park*", Major!B:B, "&gt;=1/1/2005", Major!B:B, "&lt;1/1/2010")</f>
        <v>2</v>
      </c>
      <c r="L32">
        <f>ROUND(COUNTIFS(Major!F:F,"=*park*", Major!B:B, "&gt;=1/1/2005", Major!B:B, "&lt;1/1/2010")/YEARFRAC("1/1/2005", "12/31/2009"),0)</f>
        <v>0</v>
      </c>
      <c r="M32">
        <f>COUNTIFS(Major!F:F,"=*park*", Major!B:B, "&gt;=1/1/2010", Major!B:B, "&lt;1/1/2015")</f>
        <v>0</v>
      </c>
      <c r="N32">
        <f>ROUND(COUNTIFS(Major!F:F,"=*park*", Major!B:B, "&gt;=1/1/2010", Major!B:B, "&lt;1/1/2015")/YEARFRAC("1/1/2010", "12/31/2014"),0)</f>
        <v>0</v>
      </c>
      <c r="O32">
        <f>COUNTIFS(Major!F:F,"=*park*", Major!B:B, "&gt;=1/1/2015", Major!B:B, "&lt;1/1/2020")</f>
        <v>1</v>
      </c>
      <c r="P32">
        <f>ROUND(COUNTIFS(Major!F:F,"=*park*", Major!B:B, "&gt;=1/1/2015", Major!B:B, "&lt;1/1/2020")/YEARFRAC("1/1/2015", "12/31/2019"),0)</f>
        <v>0</v>
      </c>
      <c r="Q32">
        <f>ROUND(5*COUNTIFS(Major!F:F,"=*park*", Major!B:B, "&gt;=1/1/2020", Major!B:B, "&lt;1/1/2025")/YEARFRAC("1/1/2020", "1/1/2025"),0)</f>
        <v>5</v>
      </c>
      <c r="R32">
        <f>ROUND(COUNTIFS(Major!F:F,"=*park*", Major!B:B, "&gt;=1/1/2020", Major!B:B, "&lt;1/1/2025")/YEARFRAC("1/1/2020", "12/31/2024"),0)</f>
        <v>1</v>
      </c>
      <c r="S32">
        <f>COUNTIFS(Major!F:F,"=*park*", Major!B:B, "&gt;=1/1/2025", Major!B:B, "&lt;1/1/2030")</f>
        <v>0</v>
      </c>
      <c r="T32">
        <f>ROUND(5*COUNTIFS(Major!F:F,"=*park*", Major!B:B, "&gt;=1/1/2025", Major!B:B, "&lt;1/1/2030")/YEARFRAC("1/1/2025", "1/1/2026"),0)</f>
        <v>0</v>
      </c>
      <c r="U32">
        <f>COUNTIFS(All!F:F,"=*park*", All!E:E,"&lt;&gt;LIT", All!E:E,"&lt;&gt;LEG",All!E:E,"&lt;&gt;UIPA*",All!E:E,"&lt;&gt;*TRNG*", All!E:E,"&lt;&gt;ADMIN",All!E:E,"&lt;&gt;RULES",All!E:E,"&lt;&gt;RR*",All!E:E,"&lt;&gt;RSCH")</f>
        <v>35</v>
      </c>
      <c r="V32">
        <f>ROUND(AVERAGEIFS(All!R:R, All!E:E,"&lt;&gt;LIT", All!E:E,"&lt;&gt;LEG",All!E:E,"&lt;&gt;UIPA*",All!E:E,"&lt;&gt;*TRNG*", All!E:E,"&lt;&gt;ADMIN",All!E:E,"&lt;&gt;RULES",All!E:E,"&lt;&gt;RR*",All!E:E,"&lt;&gt;RSCH",All!F:F,"=*park*"), 0)</f>
        <v>90</v>
      </c>
      <c r="W32">
        <f>COUNTIFS(All!F:F,"=*park*", All!B:B, "&lt;1/1/2000", All!E:E,"&lt;&gt;LIT", All!E:E,"&lt;&gt;LEG",All!E:E,"&lt;&gt;UIPA*",All!E:E,"&lt;&gt;*TRNG*", All!E:E,"&lt;&gt;ADMIN",All!E:E,"&lt;&gt;RULES",All!E:E,"&lt;&gt;RR*",All!E:E,"&lt;&gt;RSCH")</f>
        <v>4</v>
      </c>
      <c r="X32">
        <f>COUNTIFS(All!F:F,"=*park*", All!B:B, "&gt;=1/1/2000", All!B:B, "&lt;1/1/2010", All!E:E,"&lt;&gt;LIT", All!E:E,"&lt;&gt;LEG",All!E:E,"&lt;&gt;UIPA*",All!E:E,"&lt;&gt;*TRNG*", All!E:E,"&lt;&gt;ADMIN",All!E:E,"&lt;&gt;RULES",All!E:E,"&lt;&gt;RR*",All!E:E,"&lt;&gt;RSCH")</f>
        <v>5</v>
      </c>
      <c r="Y32">
        <f>COUNTIFS(All!F:F,"=*park*", All!B:B, "&gt;=1/1/2010", All!B:B, "&lt;1/1/2020", All!E:E,"&lt;&gt;LIT", All!E:E,"&lt;&gt;LEG",All!E:E,"&lt;&gt;UIPA*",All!E:E,"&lt;&gt;*TRNG*", All!E:E,"&lt;&gt;ADMIN",All!E:E,"&lt;&gt;RULES",All!E:E,"&lt;&gt;RR*",All!E:E,"&lt;&gt;RSCH")</f>
        <v>6</v>
      </c>
      <c r="Z32">
        <f>COUNTIFS(All!F:F,"=*park*", All!B:B, "&gt;=1/1/2020", All!B:B, "&lt;1/1/2030", All!E:E,"&lt;&gt;LIT", All!E:E,"&lt;&gt;LEG",All!E:E,"&lt;&gt;UIPA*",All!E:E,"&lt;&gt;*TRNG*", All!E:E,"&lt;&gt;ADMIN",All!E:E,"&lt;&gt;RULES",All!E:E,"&lt;&gt;RR*",All!E:E,"&lt;&gt;RSCH")</f>
        <v>20</v>
      </c>
    </row>
    <row r="33" spans="1:26" ht="16">
      <c r="A33" s="10">
        <v>32</v>
      </c>
      <c r="B33" s="1" t="s">
        <v>16816</v>
      </c>
      <c r="C33">
        <f>SUM(COUNTIF(Major!F:F,"=*dhr"),COUNTIF(Major!F:F,"=hr*"),COUNTIF(Major!F:F,"=pers*"),COUNTIF(Major!F:F,"=civ*"))</f>
        <v>23</v>
      </c>
      <c r="D33">
        <f>ROUND(AVERAGE(AVERAGEIF(Major!F:F,"=pers*", Major!R:R),AVERAGEIF(Major!F:F,"=hr*", Major!R:R),AVERAGEIF(Major!F:F,"=civ*", Major!R:R)), 0)</f>
        <v>676</v>
      </c>
      <c r="E33">
        <f>SUM(COUNTIFS(Major!F:F,"=*dhr", Major!B:B, "&lt;1/1/1995"),COUNTIFS(Major!F:F,"=hr*", Major!B:B, "&lt;1/1/1995"),COUNTIFS(Major!F:F,"=pers*", Major!B:B, "&lt;1/1/1995"),COUNTIFS(Major!F:F,"=civ*", Major!B:B, "&lt;1/1/1995"))</f>
        <v>10</v>
      </c>
      <c r="F33">
        <f>ROUND(SUM(COUNTIFS(Major!F:F,"=*dhr", Major!B:B, "&lt;1/1/1995"),COUNTIFS(Major!F:F,"=hr*", Major!B:B, "&lt;1/1/1995"),COUNTIFS(Major!F:F,"=pers*", Major!B:B, "&lt;1/1/1995"),COUNTIFS(Major!F:F,"=civ*", Major!B:B, "&lt;1/1/1995"))/YEARFRAC("11/1/1988", "12/31/1994"),0)</f>
        <v>2</v>
      </c>
      <c r="G33">
        <f>SUM(COUNTIFS(Major!F:F,"=*dhr", Major!B:B, "&gt;=1/1/1995", Major!B:B, "&lt;1/1/2000"),COUNTIFS(Major!F:F,"=hr*", Major!B:B, "&gt;=1/1/1995", Major!B:B, "&lt;1/1/2000"),COUNTIFS(Major!F:F,"=pers*", Major!B:B, "&gt;=1/1/1995", Major!B:B, "&lt;1/1/2000"),COUNTIFS(Major!F:F,"=civ*", Major!B:B, "&gt;=1/1/1995", Major!B:B, "&lt;1/1/2000"))</f>
        <v>2</v>
      </c>
      <c r="H33">
        <f>ROUND(SUM(COUNTIFS(Major!F:F,"=*dhr", Major!B:B, "&gt;=1/1/1995", Major!B:B, "&lt;1/1/2000"),COUNTIFS(Major!F:F,"=hr*", Major!B:B, "&gt;=1/1/1995", Major!B:B, "&lt;1/1/2000"),COUNTIFS(Major!F:F,"=pers*", Major!B:B, "&gt;=1/1/1995", Major!B:B, "&lt;1/1/2000"),COUNTIFS(Major!F:F,"=civ*", Major!B:B, "&gt;=1/1/1995", Major!B:B, "&lt;1/1/2000"))/YEARFRAC("1/1/1995", "12/31/1999"),0)</f>
        <v>0</v>
      </c>
      <c r="I33">
        <f>SUM(COUNTIFS(Major!F:F,"=*dhr", Major!B:B, "&gt;=1/1/2000", Major!B:B, "&lt;1/1/2005"),COUNTIFS(Major!F:F,"=hr*", Major!B:B, "&gt;=1/1/2000", Major!B:B, "&lt;1/1/2005"),COUNTIFS(Major!F:F,"=pers*", Major!B:B, "&gt;=1/1/2000", Major!B:B, "&lt;1/1/2005"),COUNTIFS(Major!F:F,"=civ*", Major!B:B, "&gt;=1/1/2000", Major!B:B, "&lt;1/1/2005"))</f>
        <v>3</v>
      </c>
      <c r="J33">
        <f>ROUND(SUM(COUNTIFS(Major!F:F,"=*dhr", Major!B:B, "&gt;=1/1/2000", Major!B:B, "&lt;1/1/2005"),COUNTIFS(Major!F:F,"=hr*", Major!B:B, "&gt;=1/1/2000", Major!B:B, "&lt;1/1/2005"),COUNTIFS(Major!F:F,"=pers*", Major!B:B, "&gt;=1/1/2000", Major!B:B, "&lt;1/1/2005"),COUNTIFS(Major!F:F,"=civ*", Major!B:B, "&gt;=1/1/2000", Major!B:B, "&lt;1/1/2005"))/YEARFRAC("1/1/2000", "12/31/2004"),0)</f>
        <v>1</v>
      </c>
      <c r="K33">
        <f>SUM(COUNTIFS(Major!F:F,"=*dhr", Major!B:B, "&gt;=1/1/2005", Major!B:B, "&lt;1/1/2010"),COUNTIFS(Major!F:F,"=hr*", Major!B:B, "&gt;=1/1/2005", Major!B:B, "&lt;1/1/2010"),COUNTIFS(Major!F:F,"=pers*", Major!B:B, "&gt;=1/1/2005", Major!B:B, "&lt;1/1/2010"),COUNTIFS(Major!F:F,"=civ*", Major!B:B, "&gt;=1/1/2005", Major!B:B, "&lt;1/1/2010"))</f>
        <v>1</v>
      </c>
      <c r="L33">
        <f>ROUND(SUM(COUNTIFS(Major!F:F,"=*dhr", Major!B:B, "&gt;=1/1/2005", Major!B:B, "&lt;1/1/2010"),COUNTIFS(Major!F:F,"=hr*", Major!B:B, "&gt;=1/1/2005", Major!B:B, "&lt;1/1/2010"),COUNTIFS(Major!F:F,"=pers*", Major!B:B, "&gt;=1/1/2005", Major!B:B, "&lt;1/1/2010"),COUNTIFS(Major!F:F,"=civ*", Major!B:B, "&gt;=1/1/2005", Major!B:B, "&lt;1/1/2010"))/YEARFRAC("1/1/2005", "12/31/2009"),0)</f>
        <v>0</v>
      </c>
      <c r="M33">
        <f>SUM(COUNTIFS(Major!F:F,"=*dhr", Major!B:B, "&gt;=1/1/2010", Major!B:B, "&lt;1/1/2015"),COUNTIFS(Major!F:F,"=hr*", Major!B:B, "&gt;=1/1/2010", Major!B:B, "&lt;1/1/2015"),COUNTIFS(Major!F:F,"=pers*", Major!B:B, "&gt;=1/1/2010", Major!B:B, "&lt;1/1/2015"),COUNTIFS(Major!F:F,"=civ*", Major!B:B, "&gt;=1/1/2010", Major!B:B, "&lt;1/1/2015"))</f>
        <v>1</v>
      </c>
      <c r="N33">
        <f>ROUND(SUM(COUNTIFS(Major!F:F,"=*dhr", Major!B:B, "&gt;=1/1/2010", Major!B:B, "&lt;1/1/2015"),COUNTIFS(Major!F:F,"=hr*", Major!B:B, "&gt;=1/1/2010", Major!B:B, "&lt;1/1/2015"),COUNTIFS(Major!F:F,"=pers*", Major!B:B, "&gt;=1/1/2010", Major!B:B, "&lt;1/1/2015"),COUNTIFS(Major!F:F,"=civ*", Major!B:B, "&gt;=1/1/2010", Major!B:B, "&lt;1/1/2015"))/YEARFRAC("1/1/2010", "12/31/2014"),0)</f>
        <v>0</v>
      </c>
      <c r="O33">
        <f>SUM(COUNTIFS(Major!F:F,"=*dhr", Major!B:B, "&gt;=1/1/2015", Major!B:B, "&lt;1/1/2020"),COUNTIFS(Major!F:F,"=hr*", Major!B:B, "&gt;=1/1/2015", Major!B:B, "&lt;1/1/2020"),COUNTIFS(Major!F:F,"=pers*", Major!B:B, "&gt;=1/1/2015", Major!B:B, "&lt;1/1/2020"),COUNTIFS(Major!F:F,"=civ*", Major!B:B, "&gt;=1/1/2015", Major!B:B, "&lt;1/1/2020"))</f>
        <v>4</v>
      </c>
      <c r="P33">
        <f>ROUND(SUM(COUNTIFS(Major!F:F,"=*dhr", Major!B:B, "&gt;=1/1/2015", Major!B:B, "&lt;1/1/2020"),COUNTIFS(Major!F:F,"=hr*", Major!B:B, "&gt;=1/1/2015", Major!B:B, "&lt;1/1/2020"),COUNTIFS(Major!F:F,"=pers*", Major!B:B, "&gt;=1/1/2015", Major!B:B, "&lt;1/1/2020"),COUNTIFS(Major!F:F,"=civ*", Major!B:B, "&gt;=1/1/2015", Major!B:B, "&lt;1/1/2020"))/YEARFRAC("1/1/2015", "12/31/2019"),0)</f>
        <v>1</v>
      </c>
      <c r="Q33">
        <f>ROUND(5*SUM(COUNTIFS(Major!F:F,"=*dhr", Major!B:B, "&gt;=1/1/2020", Major!B:B, "&lt;1/1/2025"),COUNTIFS(Major!F:F,"=hr*", Major!B:B, "&gt;=1/1/2020", Major!B:B, "&lt;1/1/2025"),COUNTIFS(Major!F:F,"=pers*", Major!B:B, "&gt;=1/1/2020", Major!B:B, "&lt;1/1/2025"),COUNTIFS(Major!F:F,"=civ*", Major!B:B, "&gt;=1/1/2020", Major!B:B, "&lt;1/1/2025"))/YEARFRAC("1/1/2020", "1/1/2025"),0)</f>
        <v>2</v>
      </c>
      <c r="R33">
        <f>ROUND(SUM(COUNTIFS(Major!F:F,"=*dhr", Major!B:B, "&gt;=1/1/2020", Major!B:B, "&lt;1/1/2025"),COUNTIFS(Major!F:F,"=hr*", Major!B:B, "&gt;=1/1/2020", Major!B:B, "&lt;1/1/2025"),COUNTIFS(Major!F:F,"=pers*", Major!B:B, "&gt;=1/1/2020", Major!B:B, "&lt;1/1/2025"),COUNTIFS(Major!F:F,"=civ*", Major!B:B, "&gt;=1/1/2020", Major!B:B, "&lt;1/1/2025"))/YEARFRAC("1/1/2020", "12/31/2024"),0)</f>
        <v>0</v>
      </c>
      <c r="S33">
        <f>SUM(COUNTIFS(Major!F:F,"=*dhr", Major!B:B, "&gt;=1/1/2025", Major!B:B, "&lt;1/1/2030"),COUNTIFS(Major!F:F,"=hr*", Major!B:B, "&gt;=1/1/2025", Major!B:B, "&lt;1/1/2030"),COUNTIFS(Major!F:F,"=pers*", Major!B:B, "&gt;=1/1/2025", Major!B:B, "&lt;1/1/2030"),COUNTIFS(Major!F:F,"=civ*", Major!B:B, "&gt;=1/1/2025", Major!B:B, "&lt;1/1/2030"))</f>
        <v>0</v>
      </c>
      <c r="T33">
        <f>ROUND(5*SUM(COUNTIFS(Major!F:F,"=*dhr", Major!B:B, "&gt;=1/1/2025", Major!B:B, "&lt;1/1/2030"),COUNTIFS(Major!F:F,"=hr*", Major!B:B, "&gt;=1/1/2025", Major!B:B, "&lt;1/1/2030"),COUNTIFS(Major!F:F,"=pers*", Major!B:B, "&gt;=1/1/2025", Major!B:B, "&lt;1/1/2030"),COUNTIFS(Major!F:F,"=civ*", Major!B:B, "&gt;=1/1/2025", Major!B:B, "&lt;1/1/2030"))/YEARFRAC("1/1/2025", "1/1/2026"),0)</f>
        <v>0</v>
      </c>
      <c r="U33">
        <f>SUM(COUNTIFS(All!F:F,"=*dhr", All!E:E,"&lt;&gt;LIT", All!E:E,"&lt;&gt;LEG",All!E:E,"&lt;&gt;UIPA*",All!E:E,"&lt;&gt;*TRNG*", All!E:E,"&lt;&gt;ADMIN",All!E:E,"&lt;&gt;RULES",All!E:E,"&lt;&gt;RR*",All!E:E,"&lt;&gt;RSCH"),COUNTIFS(All!F:F,"=hr*", All!E:E,"&lt;&gt;LIT", All!E:E,"&lt;&gt;LEG",All!E:E,"&lt;&gt;UIPA*",All!E:E,"&lt;&gt;*TRNG*", All!E:E,"&lt;&gt;ADMIN",All!E:E,"&lt;&gt;RULES",All!E:E,"&lt;&gt;RR*",All!E:E,"&lt;&gt;RSCH"),COUNTIFS(All!F:F,"=pers*", All!E:E,"&lt;&gt;LIT", All!E:E,"&lt;&gt;LEG",All!E:E,"&lt;&gt;UIPA*",All!E:E,"&lt;&gt;*TRNG*", All!E:E,"&lt;&gt;ADMIN",All!E:E,"&lt;&gt;RULES",All!E:E,"&lt;&gt;RR*",All!E:E,"&lt;&gt;RSCH"),COUNTIFS(All!F:F,"=civ*", All!E:E,"&lt;&gt;LIT", All!E:E,"&lt;&gt;LEG",All!E:E,"&lt;&gt;UIPA*",All!E:E,"&lt;&gt;*TRNG*", All!E:E,"&lt;&gt;ADMIN",All!E:E,"&lt;&gt;RULES",All!E:E,"&lt;&gt;RR*",All!E:E,"&lt;&gt;RSCH"))</f>
        <v>36</v>
      </c>
      <c r="V33">
        <f>ROUND(AVERAGE(AVERAGEIFS(All!R:R, All!E:E,"&lt;&gt;LIT", All!E:E,"&lt;&gt;LEG",All!E:E,"&lt;&gt;UIPA*",All!E:E,"&lt;&gt;*TRNG*", All!E:E,"&lt;&gt;ADMIN",All!E:E,"&lt;&gt;RULES",All!E:E,"&lt;&gt;RR*",All!E:E,"&lt;&gt;RSCH",All!F:F,"=*dhr"),AVERAGEIFS(All!R:R, All!E:E,"&lt;&gt;LIT", All!E:E,"&lt;&gt;LEG",All!E:E,"&lt;&gt;UIPA*",All!E:E,"&lt;&gt;*TRNG*", All!E:E,"&lt;&gt;ADMIN",All!E:E,"&lt;&gt;RULES",All!E:E,"&lt;&gt;RR*",All!E:E,"&lt;&gt;RSCH",All!F:F,"=hr*"),AVERAGEIFS(All!R:R, All!E:E,"&lt;&gt;LIT", All!E:E,"&lt;&gt;LEG",All!E:E,"&lt;&gt;UIPA*",All!E:E,"&lt;&gt;*TRNG*", All!E:E,"&lt;&gt;ADMIN",All!E:E,"&lt;&gt;RULES",All!E:E,"&lt;&gt;RR*",All!E:E,"&lt;&gt;RSCH",All!F:F,"=pers*"),AVERAGEIFS(All!R:R, All!E:E,"&lt;&gt;LIT", All!E:E,"&lt;&gt;LEG",All!E:E,"&lt;&gt;UIPA*",All!E:E,"&lt;&gt;*TRNG*", All!E:E,"&lt;&gt;ADMIN",All!E:E,"&lt;&gt;RULES",All!E:E,"&lt;&gt;RR*",All!E:E,"&lt;&gt;RSCH",All!F:F,"=civ*")), 0)</f>
        <v>340</v>
      </c>
      <c r="W33">
        <f>SUM(COUNTIFS(All!F:F,"=*dhr", All!B:B, "&lt;1/1/2000", All!E:E,"&lt;&gt;LIT", All!E:E,"&lt;&gt;LEG",All!E:E,"&lt;&gt;UIPA*",All!E:E,"&lt;&gt;*TRNG*", All!E:E,"&lt;&gt;ADMIN",All!E:E,"&lt;&gt;RULES",All!E:E,"&lt;&gt;RR*",All!E:E,"&lt;&gt;RSCH"),COUNTIFS(All!F:F,"=hr*", All!B:B, "&lt;1/1/2000", All!E:E,"&lt;&gt;LIT", All!E:E,"&lt;&gt;LEG",All!E:E,"&lt;&gt;UIPA*",All!E:E,"&lt;&gt;*TRNG*", All!E:E,"&lt;&gt;ADMIN",All!E:E,"&lt;&gt;RULES",All!E:E,"&lt;&gt;RR*",All!E:E,"&lt;&gt;RSCH"),COUNTIFS(All!F:F,"=pers*", All!B:B, "&lt;1/1/2000", All!E:E,"&lt;&gt;LIT", All!E:E,"&lt;&gt;LEG",All!E:E,"&lt;&gt;UIPA*",All!E:E,"&lt;&gt;*TRNG*", All!E:E,"&lt;&gt;ADMIN",All!E:E,"&lt;&gt;RULES",All!E:E,"&lt;&gt;RR*",All!E:E,"&lt;&gt;RSCH"),COUNTIFS(All!F:F,"=civ*", All!B:B, "&lt;1/1/2000", All!E:E,"&lt;&gt;LIT", All!E:E,"&lt;&gt;LEG",All!E:E,"&lt;&gt;UIPA*",All!E:E,"&lt;&gt;*TRNG*", All!E:E,"&lt;&gt;ADMIN",All!E:E,"&lt;&gt;RULES",All!E:E,"&lt;&gt;RR*",All!E:E,"&lt;&gt;RSCH"))</f>
        <v>16</v>
      </c>
      <c r="X33">
        <f>SUM(COUNTIFS(All!F:F,"=*dhr", All!B:B, "&gt;=1/1/2000", All!B:B, "&lt;1/1/2010", All!E:E,"&lt;&gt;LIT", All!E:E,"&lt;&gt;LEG",All!E:E,"&lt;&gt;UIPA*",All!E:E,"&lt;&gt;*TRNG*", All!E:E,"&lt;&gt;ADMIN",All!E:E,"&lt;&gt;RULES",All!E:E,"&lt;&gt;RR*",All!E:E,"&lt;&gt;RSCH"),COUNTIFS(All!F:F,"=hr*", All!B:B, "&gt;=1/1/2000", All!B:B, "&lt;1/1/2010", All!E:E,"&lt;&gt;LIT", All!E:E,"&lt;&gt;LEG",All!E:E,"&lt;&gt;UIPA*",All!E:E,"&lt;&gt;*TRNG*", All!E:E,"&lt;&gt;ADMIN",All!E:E,"&lt;&gt;RULES",All!E:E,"&lt;&gt;RR*",All!E:E,"&lt;&gt;RSCH"),COUNTIFS(All!F:F,"=pers*", All!B:B, "&gt;=1/1/2000", All!B:B, "&lt;1/1/2010", All!E:E,"&lt;&gt;LIT", All!E:E,"&lt;&gt;LEG",All!E:E,"&lt;&gt;UIPA*",All!E:E,"&lt;&gt;*TRNG*", All!E:E,"&lt;&gt;ADMIN",All!E:E,"&lt;&gt;RULES",All!E:E,"&lt;&gt;RR*",All!E:E,"&lt;&gt;RSCH"),COUNTIFS(All!F:F,"=civ*", All!B:B, "&gt;=1/1/2000", All!B:B, "&lt;1/1/2010", All!E:E,"&lt;&gt;LIT", All!E:E,"&lt;&gt;LEG",All!E:E,"&lt;&gt;UIPA*",All!E:E,"&lt;&gt;*TRNG*", All!E:E,"&lt;&gt;ADMIN",All!E:E,"&lt;&gt;RULES",All!E:E,"&lt;&gt;RR*",All!E:E,"&lt;&gt;RSCH"))</f>
        <v>5</v>
      </c>
      <c r="Y33">
        <f>SUM(COUNTIFS(All!F:F,"=*dhr", All!B:B, "&gt;=1/1/2010", All!B:B, "&lt;1/1/2020", All!E:E,"&lt;&gt;LIT", All!E:E,"&lt;&gt;LEG",All!E:E,"&lt;&gt;UIPA*",All!E:E,"&lt;&gt;*TRNG*", All!E:E,"&lt;&gt;ADMIN",All!E:E,"&lt;&gt;RULES",All!E:E,"&lt;&gt;RR*",All!E:E,"&lt;&gt;RSCH"),COUNTIFS(All!F:F,"=hr*", All!B:B, "&gt;=1/1/2010", All!B:B, "&lt;1/1/2020", All!E:E,"&lt;&gt;LIT", All!E:E,"&lt;&gt;LEG",All!E:E,"&lt;&gt;UIPA*",All!E:E,"&lt;&gt;*TRNG*", All!E:E,"&lt;&gt;ADMIN",All!E:E,"&lt;&gt;RULES",All!E:E,"&lt;&gt;RR*",All!E:E,"&lt;&gt;RSCH"),COUNTIFS(All!F:F,"=pers*", All!B:B, "&gt;=1/1/2010", All!B:B, "&lt;1/1/2020", All!E:E,"&lt;&gt;LIT", All!E:E,"&lt;&gt;LEG",All!E:E,"&lt;&gt;UIPA*",All!E:E,"&lt;&gt;*TRNG*", All!E:E,"&lt;&gt;ADMIN",All!E:E,"&lt;&gt;RULES",All!E:E,"&lt;&gt;RR*",All!E:E,"&lt;&gt;RSCH"),COUNTIFS(All!F:F,"=civ*", All!B:B, "&gt;=1/1/2010", All!B:B, "&lt;1/1/2020", All!E:E,"&lt;&gt;LIT", All!E:E,"&lt;&gt;LEG",All!E:E,"&lt;&gt;UIPA*",All!E:E,"&lt;&gt;*TRNG*", All!E:E,"&lt;&gt;ADMIN",All!E:E,"&lt;&gt;RULES",All!E:E,"&lt;&gt;RR*",All!E:E,"&lt;&gt;RSCH"))</f>
        <v>9</v>
      </c>
      <c r="Z33">
        <f>SUM(COUNTIFS(All!F:F,"=*dhr", All!B:B, "&gt;=1/1/2020", All!B:B, "&lt;1/1/2030", All!E:E,"&lt;&gt;LIT", All!E:E,"&lt;&gt;LEG",All!E:E,"&lt;&gt;UIPA*",All!E:E,"&lt;&gt;*TRNG*", All!E:E,"&lt;&gt;ADMIN",All!E:E,"&lt;&gt;RULES",All!E:E,"&lt;&gt;RR*",All!E:E,"&lt;&gt;RSCH"),COUNTIFS(All!F:F,"=hr*", All!B:B, "&gt;=1/1/2020", All!B:B, "&lt;1/1/2030", All!E:E,"&lt;&gt;LIT", All!E:E,"&lt;&gt;LEG",All!E:E,"&lt;&gt;UIPA*",All!E:E,"&lt;&gt;*TRNG*", All!E:E,"&lt;&gt;ADMIN",All!E:E,"&lt;&gt;RULES",All!E:E,"&lt;&gt;RR*",All!E:E,"&lt;&gt;RSCH"),COUNTIFS(All!F:F,"=pers*", All!B:B, "&gt;=1/1/2020", All!B:B, "&lt;1/1/2030", All!E:E,"&lt;&gt;LIT", All!E:E,"&lt;&gt;LEG",All!E:E,"&lt;&gt;UIPA*",All!E:E,"&lt;&gt;*TRNG*", All!E:E,"&lt;&gt;ADMIN",All!E:E,"&lt;&gt;RULES",All!E:E,"&lt;&gt;RR*",All!E:E,"&lt;&gt;RSCH"),COUNTIFS(All!F:F,"=civ*", All!B:B, "&gt;=1/1/2020", All!B:B, "&lt;1/1/2030", All!E:E,"&lt;&gt;LIT", All!E:E,"&lt;&gt;LEG",All!E:E,"&lt;&gt;UIPA*",All!E:E,"&lt;&gt;*TRNG*", All!E:E,"&lt;&gt;ADMIN",All!E:E,"&lt;&gt;RULES",All!E:E,"&lt;&gt;RR*",All!E:E,"&lt;&gt;RSCH"))</f>
        <v>6</v>
      </c>
    </row>
    <row r="34" spans="1:26" ht="16">
      <c r="A34" s="10">
        <v>33</v>
      </c>
      <c r="B34" s="1" t="s">
        <v>16795</v>
      </c>
      <c r="C34">
        <f>SUM(COUNTIF(Major!F:F,"=Plan*"),COUNTIF(Major!F:F,"=Bldg*"),COUNTIF(Major!F:F,"=*DPP*"))</f>
        <v>53</v>
      </c>
      <c r="D34">
        <f>ROUND(AVERAGE(AVERAGEIF(Major!F:F,"=Plan*", Major!R:R),AVERAGEIF(Major!F:F,"=Bldg*", Major!R:R),AVERAGEIF(Major!F:F,"=*DPP*", Major!R:R)), 0)</f>
        <v>319</v>
      </c>
      <c r="E34">
        <f>SUM(COUNTIFS(Major!F:F,"=Plan*", Major!B:B, "&lt;1/1/1995"),COUNTIFS(Major!F:F,"=Bldg*", Major!B:B, "&lt;1/1/1995"),COUNTIFS(Major!F:F,"=*DPP*", Major!B:B, "&lt;1/1/1995"))</f>
        <v>6</v>
      </c>
      <c r="F34">
        <f>ROUND(SUM(COUNTIFS(Major!F:F,"=Plan*", Major!B:B, "&lt;1/1/1995"),COUNTIFS(Major!F:F,"=Bldg*", Major!B:B, "&lt;1/1/1995"),COUNTIFS(Major!F:F,"=*DPP*", Major!B:B, "&lt;1/1/1995"))/YEARFRAC("11/1/1988", "12/31/1994"),0)</f>
        <v>1</v>
      </c>
      <c r="G34">
        <f>SUM(COUNTIFS(Major!F:F,"=Plan*", Major!B:B, "&gt;=1/1/1995", Major!B:B, "&lt;1/1/2000"),COUNTIFS(Major!F:F,"=Bldg*", Major!B:B, "&gt;=1/1/1995", Major!B:B, "&lt;1/1/2000"),COUNTIFS(Major!F:F,"=*DPP*", Major!B:B, "&gt;=1/1/1995", Major!B:B, "&lt;1/1/2000"))</f>
        <v>1</v>
      </c>
      <c r="H34">
        <f>ROUND(SUM(COUNTIFS(Major!F:F,"=Plan*", Major!B:B, "&gt;=1/1/1995", Major!B:B, "&lt;1/1/2000"),COUNTIFS(Major!F:F,"=Bldg*", Major!B:B, "&gt;=1/1/1995", Major!B:B, "&lt;1/1/2000"),COUNTIFS(Major!F:F,"=*DPP*", Major!B:B, "&gt;=1/1/1995", Major!B:B, "&lt;1/1/2000"))/YEARFRAC("1/1/1995", "12/31/1999"),0)</f>
        <v>0</v>
      </c>
      <c r="I34">
        <f>SUM(COUNTIFS(Major!F:F,"=Plan*", Major!B:B, "&gt;=1/1/2000", Major!B:B, "&lt;1/1/2005"),COUNTIFS(Major!F:F,"=Bldg*", Major!B:B, "&gt;=1/1/2000", Major!B:B, "&lt;1/1/2005"),COUNTIFS(Major!F:F,"=*DPP*", Major!B:B, "&gt;=1/1/2000", Major!B:B, "&lt;1/1/2005"))</f>
        <v>3</v>
      </c>
      <c r="J34">
        <f>ROUND(SUM(COUNTIFS(Major!F:F,"=Plan*", Major!B:B, "&gt;=1/1/2000", Major!B:B, "&lt;1/1/2005"),COUNTIFS(Major!F:F,"=Bldg*", Major!B:B, "&gt;=1/1/2000", Major!B:B, "&lt;1/1/2005"),COUNTIFS(Major!F:F,"=*DPP*", Major!B:B, "&gt;=1/1/2000", Major!B:B, "&lt;1/1/2005"))/YEARFRAC("1/1/2000", "12/31/2004"),0)</f>
        <v>1</v>
      </c>
      <c r="K34">
        <f>SUM(COUNTIFS(Major!F:F,"=Plan*", Major!B:B, "&gt;=1/1/2005", Major!B:B, "&lt;1/1/2010"),COUNTIFS(Major!F:F,"=Bldg*", Major!B:B, "&gt;=1/1/2005", Major!B:B, "&lt;1/1/2010"),COUNTIFS(Major!F:F,"=*DPP*", Major!B:B, "&gt;=1/1/2005", Major!B:B, "&lt;1/1/2010"))</f>
        <v>9</v>
      </c>
      <c r="L34">
        <f>ROUND(SUM(COUNTIFS(Major!F:F,"=Plan*", Major!B:B, "&gt;=1/1/2005", Major!B:B, "&lt;1/1/2010"),COUNTIFS(Major!F:F,"=Bldg*", Major!B:B, "&gt;=1/1/2005", Major!B:B, "&lt;1/1/2010"),COUNTIFS(Major!F:F,"=*DPP*", Major!B:B, "&gt;=1/1/2005", Major!B:B, "&lt;1/1/2010"))/YEARFRAC("1/1/2005", "12/31/2009"),0)</f>
        <v>2</v>
      </c>
      <c r="M34">
        <f>SUM(COUNTIFS(Major!F:F,"=Plan*", Major!B:B, "&gt;=1/1/2010", Major!B:B, "&lt;1/1/2015"),COUNTIFS(Major!F:F,"=Bldg*", Major!B:B, "&gt;=1/1/2010", Major!B:B, "&lt;1/1/2015"),COUNTIFS(Major!F:F,"=*DPP*", Major!B:B, "&gt;=1/1/2010", Major!B:B, "&lt;1/1/2015"))</f>
        <v>5</v>
      </c>
      <c r="N34">
        <f>ROUND(SUM(COUNTIFS(Major!F:F,"=Plan*", Major!B:B, "&gt;=1/1/2010", Major!B:B, "&lt;1/1/2015"),COUNTIFS(Major!F:F,"=Bldg*", Major!B:B, "&gt;=1/1/2010", Major!B:B, "&lt;1/1/2015"),COUNTIFS(Major!F:F,"=*DPP*", Major!B:B, "&gt;=1/1/2010", Major!B:B, "&lt;1/1/2015"))/YEARFRAC("1/1/2010", "12/31/2014"),0)</f>
        <v>1</v>
      </c>
      <c r="O34">
        <f>SUM(COUNTIFS(Major!F:F,"=Plan*", Major!B:B, "&gt;=1/1/2015", Major!B:B, "&lt;1/1/2020"),COUNTIFS(Major!F:F,"=Bldg*", Major!B:B, "&gt;=1/1/2015", Major!B:B, "&lt;1/1/2020"),COUNTIFS(Major!F:F,"=*DPP*", Major!B:B, "&gt;=1/1/2015", Major!B:B, "&lt;1/1/2020"))</f>
        <v>14</v>
      </c>
      <c r="P34">
        <f>ROUND(SUM(COUNTIFS(Major!F:F,"=Plan*", Major!B:B, "&gt;=1/1/2015", Major!B:B, "&lt;1/1/2020"),COUNTIFS(Major!F:F,"=Bldg*", Major!B:B, "&gt;=1/1/2015", Major!B:B, "&lt;1/1/2020"),COUNTIFS(Major!F:F,"=*DPP*", Major!B:B, "&gt;=1/1/2015", Major!B:B, "&lt;1/1/2020"))/YEARFRAC("1/1/2015", "12/31/2019"),0)</f>
        <v>3</v>
      </c>
      <c r="Q34">
        <f>ROUND(5*SUM(COUNTIFS(Major!F:F,"=Plan*", Major!B:B, "&gt;=1/1/2020", Major!B:B, "&lt;1/1/2025"),COUNTIFS(Major!F:F,"=Bldg*", Major!B:B, "&gt;=1/1/2020", Major!B:B, "&lt;1/1/2025"),COUNTIFS(Major!F:F,"=*DPP*", Major!B:B, "&gt;=1/1/2020", Major!B:B, "&lt;1/1/2025"))/YEARFRAC("1/1/2020", "1/1/2025"),0)</f>
        <v>14</v>
      </c>
      <c r="R34">
        <f>ROUND(SUM(COUNTIFS(Major!F:F,"=Plan*", Major!B:B, "&gt;=1/1/2020", Major!B:B, "&lt;1/1/2025"),COUNTIFS(Major!F:F,"=Bldg*", Major!B:B, "&gt;=1/1/2020", Major!B:B, "&lt;1/1/2025"),COUNTIFS(Major!F:F,"=*DPP*", Major!B:B, "&gt;=1/1/2020", Major!B:B, "&lt;1/1/2025"))/YEARFRAC("1/1/2020", "12/31/2024"),0)</f>
        <v>3</v>
      </c>
      <c r="S34">
        <f>SUM(COUNTIFS(Major!F:F,"=Plan*", Major!B:B, "&gt;=1/1/2025", Major!B:B, "&lt;1/1/2030"),COUNTIFS(Major!F:F,"=Bldg*", Major!B:B, "&gt;=1/1/2025", Major!B:B, "&lt;1/1/2030"),COUNTIFS(Major!F:F,"=*DPP*", Major!B:B, "&gt;=1/1/2025", Major!B:B, "&lt;1/1/2030"))</f>
        <v>1</v>
      </c>
      <c r="T34">
        <f>ROUND(5*SUM(COUNTIFS(Major!F:F,"=Plan*", Major!B:B, "&gt;=1/1/2025", Major!B:B, "&lt;1/1/2030"),COUNTIFS(Major!F:F,"=Bldg*", Major!B:B, "&gt;=1/1/2025", Major!B:B, "&lt;1/1/2030"),COUNTIFS(Major!F:F,"=*DPP*", Major!B:B, "&gt;=1/1/2025", Major!B:B, "&lt;1/1/2030"))/YEARFRAC("1/1/2025", "1/1/2026"),0)</f>
        <v>5</v>
      </c>
      <c r="U34">
        <f>SUM(COUNTIFS(All!F:F,"=Plan*", All!E:E,"&lt;&gt;LIT", All!E:E,"&lt;&gt;LEG",All!E:E,"&lt;&gt;UIPA*",All!E:E,"&lt;&gt;*TRNG*", All!E:E,"&lt;&gt;ADMIN",All!E:E,"&lt;&gt;RULES",All!E:E,"&lt;&gt;RR*",All!E:E,"&lt;&gt;RSCH"),COUNTIFS(All!F:F,"=Bldg*", All!E:E,"&lt;&gt;LIT", All!E:E,"&lt;&gt;LEG",All!E:E,"&lt;&gt;UIPA*",All!E:E,"&lt;&gt;*TRNG*", All!E:E,"&lt;&gt;ADMIN",All!E:E,"&lt;&gt;RULES",All!E:E,"&lt;&gt;RR*",All!E:E,"&lt;&gt;RSCH"),COUNTIFS(All!F:F,"=*DPP*", All!E:E,"&lt;&gt;LIT", All!E:E,"&lt;&gt;LEG",All!E:E,"&lt;&gt;UIPA*",All!E:E,"&lt;&gt;*TRNG*", All!E:E,"&lt;&gt;ADMIN",All!E:E,"&lt;&gt;RULES",All!E:E,"&lt;&gt;RR*",All!E:E,"&lt;&gt;RSCH"))</f>
        <v>129</v>
      </c>
      <c r="V34">
        <f>ROUND(AVERAGE(AVERAGEIFS(All!R:R, All!E:E,"&lt;&gt;LIT", All!E:E,"&lt;&gt;LEG",All!E:E,"&lt;&gt;UIPA*",All!E:E,"&lt;&gt;*TRNG*", All!E:E,"&lt;&gt;ADMIN",All!E:E,"&lt;&gt;RULES",All!E:E,"&lt;&gt;RR*",All!E:E,"&lt;&gt;RSCH",All!F:F,"=Plan*"),AVERAGEIFS(All!R:R, All!E:E,"&lt;&gt;LIT", All!E:E,"&lt;&gt;LEG",All!E:E,"&lt;&gt;UIPA*",All!E:E,"&lt;&gt;*TRNG*", All!E:E,"&lt;&gt;ADMIN",All!E:E,"&lt;&gt;RULES",All!E:E,"&lt;&gt;RR*",All!E:E,"&lt;&gt;RSCH",All!F:F,"=Bldg*"),AVERAGEIFS(All!R:R, All!E:E,"&lt;&gt;LIT", All!E:E,"&lt;&gt;LEG",All!E:E,"&lt;&gt;UIPA*",All!E:E,"&lt;&gt;*TRNG*", All!E:E,"&lt;&gt;ADMIN",All!E:E,"&lt;&gt;RULES",All!E:E,"&lt;&gt;RR*",All!E:E,"&lt;&gt;RSCH",All!F:F,"=*DPP*")), 0)</f>
        <v>218</v>
      </c>
      <c r="W34">
        <f>SUM(COUNTIFS(All!F:F,"=Plan*", All!B:B, "&lt;1/1/2000", All!E:E,"&lt;&gt;LIT", All!E:E,"&lt;&gt;LEG",All!E:E,"&lt;&gt;UIPA*",All!E:E,"&lt;&gt;*TRNG*", All!E:E,"&lt;&gt;ADMIN",All!E:E,"&lt;&gt;RULES",All!E:E,"&lt;&gt;RR*",All!E:E,"&lt;&gt;RSCH"),COUNTIFS(All!F:F,"=Bldg*", All!B:B, "&lt;1/1/2000", All!E:E,"&lt;&gt;LIT", All!E:E,"&lt;&gt;LEG",All!E:E,"&lt;&gt;UIPA*",All!E:E,"&lt;&gt;*TRNG*", All!E:E,"&lt;&gt;ADMIN",All!E:E,"&lt;&gt;RULES",All!E:E,"&lt;&gt;RR*",All!E:E,"&lt;&gt;RSCH"),COUNTIFS(All!F:F,"=*DPP*", All!B:B, "&lt;1/1/2000", All!E:E,"&lt;&gt;LIT", All!E:E,"&lt;&gt;LEG",All!E:E,"&lt;&gt;UIPA*",All!E:E,"&lt;&gt;*TRNG*", All!E:E,"&lt;&gt;ADMIN",All!E:E,"&lt;&gt;RULES",All!E:E,"&lt;&gt;RR*",All!E:E,"&lt;&gt;RSCH"))</f>
        <v>10</v>
      </c>
      <c r="X34">
        <f>SUM(COUNTIFS(All!F:F,"=Plan*", All!B:B, "&gt;=1/1/2000", All!B:B, "&lt;1/1/2010", All!E:E,"&lt;&gt;LIT", All!E:E,"&lt;&gt;LEG",All!E:E,"&lt;&gt;UIPA*",All!E:E,"&lt;&gt;*TRNG*", All!E:E,"&lt;&gt;ADMIN",All!E:E,"&lt;&gt;RULES",All!E:E,"&lt;&gt;RR*",All!E:E,"&lt;&gt;RSCH"),COUNTIFS(All!F:F,"=Bldg*", All!B:B, "&gt;=1/1/2000", All!B:B, "&lt;1/1/2010", All!E:E,"&lt;&gt;LIT", All!E:E,"&lt;&gt;LEG",All!E:E,"&lt;&gt;UIPA*",All!E:E,"&lt;&gt;*TRNG*", All!E:E,"&lt;&gt;ADMIN",All!E:E,"&lt;&gt;RULES",All!E:E,"&lt;&gt;RR*",All!E:E,"&lt;&gt;RSCH"),COUNTIFS(All!F:F,"=*DPP*", All!B:B, "&gt;=1/1/2000", All!B:B, "&lt;1/1/2010", All!E:E,"&lt;&gt;LIT", All!E:E,"&lt;&gt;LEG",All!E:E,"&lt;&gt;UIPA*",All!E:E,"&lt;&gt;*TRNG*", All!E:E,"&lt;&gt;ADMIN",All!E:E,"&lt;&gt;RULES",All!E:E,"&lt;&gt;RR*",All!E:E,"&lt;&gt;RSCH"))</f>
        <v>25</v>
      </c>
      <c r="Y34">
        <f>SUM(COUNTIFS(All!F:F,"=Plan*", All!B:B, "&gt;=1/1/2010", All!B:B, "&lt;1/1/2020", All!E:E,"&lt;&gt;LIT", All!E:E,"&lt;&gt;LEG",All!E:E,"&lt;&gt;UIPA*",All!E:E,"&lt;&gt;*TRNG*", All!E:E,"&lt;&gt;ADMIN",All!E:E,"&lt;&gt;RULES",All!E:E,"&lt;&gt;RR*",All!E:E,"&lt;&gt;RSCH"),COUNTIFS(All!F:F,"=Bldg*", All!B:B, "&gt;=1/1/2010", All!B:B, "&lt;1/1/2020", All!E:E,"&lt;&gt;LIT", All!E:E,"&lt;&gt;LEG",All!E:E,"&lt;&gt;UIPA*",All!E:E,"&lt;&gt;*TRNG*", All!E:E,"&lt;&gt;ADMIN",All!E:E,"&lt;&gt;RULES",All!E:E,"&lt;&gt;RR*",All!E:E,"&lt;&gt;RSCH"),COUNTIFS(All!F:F,"=*DPP*", All!B:B, "&gt;=1/1/2010", All!B:B, "&lt;1/1/2020", All!E:E,"&lt;&gt;LIT", All!E:E,"&lt;&gt;LEG",All!E:E,"&lt;&gt;UIPA*",All!E:E,"&lt;&gt;*TRNG*", All!E:E,"&lt;&gt;ADMIN",All!E:E,"&lt;&gt;RULES",All!E:E,"&lt;&gt;RR*",All!E:E,"&lt;&gt;RSCH"))</f>
        <v>53</v>
      </c>
      <c r="Z34">
        <f>SUM(COUNTIFS(All!F:F,"=Plan*", All!B:B, "&gt;=1/1/2020", All!B:B, "&lt;1/1/2030", All!E:E,"&lt;&gt;LIT", All!E:E,"&lt;&gt;LEG",All!E:E,"&lt;&gt;UIPA*",All!E:E,"&lt;&gt;*TRNG*", All!E:E,"&lt;&gt;ADMIN",All!E:E,"&lt;&gt;RULES",All!E:E,"&lt;&gt;RR*",All!E:E,"&lt;&gt;RSCH"),COUNTIFS(All!F:F,"=Bldg*", All!B:B, "&gt;=1/1/2020", All!B:B, "&lt;1/1/2030", All!E:E,"&lt;&gt;LIT", All!E:E,"&lt;&gt;LEG",All!E:E,"&lt;&gt;UIPA*",All!E:E,"&lt;&gt;*TRNG*", All!E:E,"&lt;&gt;ADMIN",All!E:E,"&lt;&gt;RULES",All!E:E,"&lt;&gt;RR*",All!E:E,"&lt;&gt;RSCH"),COUNTIFS(All!F:F,"=*DPP*", All!B:B, "&gt;=1/1/2020", All!B:B, "&lt;1/1/2030", All!E:E,"&lt;&gt;LIT", All!E:E,"&lt;&gt;LEG",All!E:E,"&lt;&gt;UIPA*",All!E:E,"&lt;&gt;*TRNG*", All!E:E,"&lt;&gt;ADMIN",All!E:E,"&lt;&gt;RULES",All!E:E,"&lt;&gt;RR*",All!E:E,"&lt;&gt;RSCH"))</f>
        <v>41</v>
      </c>
    </row>
    <row r="35" spans="1:26" ht="16">
      <c r="A35" s="10">
        <v>34</v>
      </c>
      <c r="B35" s="9" t="s">
        <v>17432</v>
      </c>
    </row>
    <row r="36" spans="1:26" ht="16">
      <c r="A36" s="10">
        <v>35</v>
      </c>
      <c r="B36" s="9" t="s">
        <v>17433</v>
      </c>
    </row>
    <row r="37" spans="1:26" ht="16">
      <c r="A37" s="10">
        <v>36</v>
      </c>
      <c r="B37" s="9" t="s">
        <v>17447</v>
      </c>
    </row>
    <row r="38" spans="1:26" ht="16">
      <c r="A38" s="10">
        <v>37</v>
      </c>
      <c r="B38" s="9" t="s">
        <v>17434</v>
      </c>
    </row>
    <row r="39" spans="1:26" ht="16">
      <c r="A39" s="10">
        <v>38</v>
      </c>
      <c r="B39" s="1" t="s">
        <v>16802</v>
      </c>
      <c r="C39">
        <f>SUM(COUNTIF(Major!F:F,"=police*"),COUNTIF(Major!F:F,"=hpd*"),COUNTIF(Major!F:F,"kpd*"),COUNTIF(Major!F:F,"mpd*"))</f>
        <v>209</v>
      </c>
      <c r="D39">
        <f>ROUND(AVERAGE(AVERAGEIF(Major!F:F,"=police*", Major!R:R),AVERAGEIF(Major!F:F,"=hpd*", Major!R:R),AVERAGEIF(Major!F:F,"=kpd*", Major!R:R),AVERAGEIF(Major!F:F,"=mpd*", Major!R:R)), 0)</f>
        <v>551</v>
      </c>
      <c r="E39">
        <f>SUM(COUNTIFS(Major!F:F,"=police*", Major!B:B, "&lt;1/1/1995"),COUNTIFS(Major!F:F,"=hpd*", Major!B:B, "&lt;1/1/1995"),COUNTIFS(Major!F:F,"=kpd*", Major!B:B, "&lt;1/1/1995"),COUNTIFS(Major!F:F,"=mpd*", Major!B:B, "&lt;1/1/1995"))</f>
        <v>57</v>
      </c>
      <c r="F39">
        <f>ROUND(SUM(COUNTIFS(Major!F:F,"=police*", Major!B:B, "&lt;1/1/1995"),COUNTIFS(Major!F:F,"=hpd*", Major!B:B, "&lt;1/1/1995"),COUNTIFS(Major!F:F,"=kpd*", Major!B:B, "&lt;1/1/1995"),COUNTIFS(Major!F:F,"=mpd*", Major!B:B, "&lt;1/1/1995"))/YEARFRAC("11/1/1988", "12/31/1994"),0)</f>
        <v>9</v>
      </c>
      <c r="G39">
        <f>SUM(COUNTIFS(Major!F:F,"=police*", Major!B:B, "&gt;=1/1/1995", Major!B:B, "&lt;1/1/2000"),COUNTIFS(Major!F:F,"=hpd*", Major!B:B, "&gt;=1/1/1995", Major!B:B, "&lt;1/1/2000"),COUNTIFS(Major!F:F,"=kpd*", Major!B:B, "&gt;=1/1/1995", Major!B:B, "&lt;1/1/2000"),COUNTIFS(Major!F:F,"=mpd*", Major!B:B, "&gt;=1/1/1995", Major!B:B, "&lt;1/1/2000"))</f>
        <v>41</v>
      </c>
      <c r="H39">
        <f>ROUND(SUM(COUNTIFS(Major!F:F,"=police*", Major!B:B, "&gt;=1/1/1995", Major!B:B, "&lt;1/1/2000"),COUNTIFS(Major!F:F,"=hpd*", Major!B:B, "&gt;=1/1/1995", Major!B:B, "&lt;1/1/2000"),COUNTIFS(Major!F:F,"=kpd*", Major!B:B, "&gt;=1/1/1995", Major!B:B, "&lt;1/1/2000"),COUNTIFS(Major!F:F,"=mpd*", Major!B:B, "&gt;=1/1/1995", Major!B:B, "&lt;1/1/2000"))/YEARFRAC("1/1/1995", "12/31/1999"),0)</f>
        <v>8</v>
      </c>
      <c r="I39">
        <f>SUM(COUNTIFS(Major!F:F,"=police*", Major!B:B, "&gt;=1/1/2000", Major!B:B, "&lt;1/1/2005"),COUNTIFS(Major!F:F,"=hpd*", Major!B:B, "&gt;=1/1/2000", Major!B:B, "&lt;1/1/2005"),COUNTIFS(Major!F:F,"=kpd*", Major!B:B, "&gt;=1/1/2000", Major!B:B, "&lt;1/1/2005"),COUNTIFS(Major!F:F,"=mpd*", Major!B:B, "&gt;=1/1/2000", Major!B:B, "&lt;1/1/2005"))</f>
        <v>21</v>
      </c>
      <c r="J39">
        <f>ROUND(SUM(COUNTIFS(Major!F:F,"=police*", Major!B:B, "&gt;=1/1/2000", Major!B:B, "&lt;1/1/2005"),COUNTIFS(Major!F:F,"=hpd*", Major!B:B, "&gt;=1/1/2000", Major!B:B, "&lt;1/1/2005"),COUNTIFS(Major!F:F,"=kpd*", Major!B:B, "&gt;=1/1/2000", Major!B:B, "&lt;1/1/2005"),COUNTIFS(Major!F:F,"=mpd*", Major!B:B, "&gt;=1/1/2000", Major!B:B, "&lt;1/1/2005"))/YEARFRAC("1/1/2000", "12/31/2004"),0)</f>
        <v>4</v>
      </c>
      <c r="K39">
        <f>SUM(COUNTIFS(Major!F:F,"=police*", Major!B:B, "&gt;=1/1/2005", Major!B:B, "&lt;1/1/2010"),COUNTIFS(Major!F:F,"=hpd*", Major!B:B, "&gt;=1/1/2005", Major!B:B, "&lt;1/1/2010"),COUNTIFS(Major!F:F,"=kpd*", Major!B:B, "&gt;=1/1/2005", Major!B:B, "&lt;1/1/2010"),COUNTIFS(Major!F:F,"=mpd*", Major!B:B, "&gt;=1/1/2005", Major!B:B, "&lt;1/1/2010"))</f>
        <v>25</v>
      </c>
      <c r="L39">
        <f>ROUND(SUM(COUNTIFS(Major!F:F,"=police*", Major!B:B, "&gt;=1/1/2005", Major!B:B, "&lt;1/1/2010"),COUNTIFS(Major!F:F,"=hpd*", Major!B:B, "&gt;=1/1/2005", Major!B:B, "&lt;1/1/2010"),COUNTIFS(Major!F:F,"=kpd*", Major!B:B, "&gt;=1/1/2005", Major!B:B, "&lt;1/1/2010"),COUNTIFS(Major!F:F,"=mpd*", Major!B:B, "&gt;=1/1/2005", Major!B:B, "&lt;1/1/2010"))/YEARFRAC("1/1/2005", "12/31/2009"),0)</f>
        <v>5</v>
      </c>
      <c r="M39">
        <f>SUM(COUNTIFS(Major!F:F,"=police*", Major!B:B, "&gt;=1/1/2010", Major!B:B, "&lt;1/1/2015"),COUNTIFS(Major!F:F,"=hpd*", Major!B:B, "&gt;=1/1/2010", Major!B:B, "&lt;1/1/2015"),COUNTIFS(Major!F:F,"=kpd*", Major!B:B, "&gt;=1/1/2010", Major!B:B, "&lt;1/1/2015"),COUNTIFS(Major!F:F,"=mpd*", Major!B:B, "&gt;=1/1/2010", Major!B:B, "&lt;1/1/2015"))</f>
        <v>20</v>
      </c>
      <c r="N39">
        <f>ROUND(SUM(COUNTIFS(Major!F:F,"=police*", Major!B:B, "&gt;=1/1/2010", Major!B:B, "&lt;1/1/2015"),COUNTIFS(Major!F:F,"=hpd*", Major!B:B, "&gt;=1/1/2010", Major!B:B, "&lt;1/1/2015"),COUNTIFS(Major!F:F,"=kpd*", Major!B:B, "&gt;=1/1/2010", Major!B:B, "&lt;1/1/2015"),COUNTIFS(Major!F:F,"=mpd*", Major!B:B, "&gt;=1/1/2010", Major!B:B, "&lt;1/1/2015"))/YEARFRAC("1/1/2010", "12/31/2014"),0)</f>
        <v>4</v>
      </c>
      <c r="O39">
        <f>SUM(COUNTIFS(Major!F:F,"=police*", Major!B:B, "&gt;=1/1/2015", Major!B:B, "&lt;1/1/2020"),COUNTIFS(Major!F:F,"=hpd*", Major!B:B, "&gt;=1/1/2015", Major!B:B, "&lt;1/1/2020"),COUNTIFS(Major!F:F,"=kpd*", Major!B:B, "&gt;=1/1/2015", Major!B:B, "&lt;1/1/2020"),COUNTIFS(Major!F:F,"=mpd*", Major!B:B, "&gt;=1/1/2015", Major!B:B, "&lt;1/1/2020"))</f>
        <v>20</v>
      </c>
      <c r="P39">
        <f>ROUND(SUM(COUNTIFS(Major!F:F,"=police*", Major!B:B, "&gt;=1/1/2015", Major!B:B, "&lt;1/1/2020"),COUNTIFS(Major!F:F,"=hpd*", Major!B:B, "&gt;=1/1/2015", Major!B:B, "&lt;1/1/2020"),COUNTIFS(Major!F:F,"=kpd*", Major!B:B, "&gt;=1/1/2015", Major!B:B, "&lt;1/1/2020"),COUNTIFS(Major!F:F,"=mpd*", Major!B:B, "&gt;=1/1/2015", Major!B:B, "&lt;1/1/2020"))/YEARFRAC("1/1/2015", "12/31/2019"),0)</f>
        <v>4</v>
      </c>
      <c r="Q39">
        <f>ROUND(5*SUM(COUNTIFS(Major!F:F,"=police*", Major!B:B, "&gt;=1/1/2020", Major!B:B, "&lt;1/1/2025"),COUNTIFS(Major!F:F,"=hpd*", Major!B:B, "&gt;=1/1/2020", Major!B:B, "&lt;1/1/2025"),COUNTIFS(Major!F:F,"=kpd*", Major!B:B, "&gt;=1/1/2020", Major!B:B, "&lt;1/1/2025"),COUNTIFS(Major!F:F,"=mpd*", Major!B:B, "&gt;=1/1/2020", Major!B:B, "&lt;1/1/2025"))/YEARFRAC("1/1/2020", "1/1/2025"),0)</f>
        <v>25</v>
      </c>
      <c r="R39">
        <f>ROUND(SUM(COUNTIFS(Major!F:F,"=police*", Major!B:B, "&gt;=1/1/2020", Major!B:B, "&lt;1/1/2025"),COUNTIFS(Major!F:F,"=hpd*", Major!B:B, "&gt;=1/1/2020", Major!B:B, "&lt;1/1/2025"),COUNTIFS(Major!F:F,"=kpd*", Major!B:B, "&gt;=1/1/2020", Major!B:B, "&lt;1/1/2025"),COUNTIFS(Major!F:F,"=mpd*", Major!B:B, "&gt;=1/1/2020", Major!B:B, "&lt;1/1/2025"))/YEARFRAC("1/1/2020", "12/31/2024"),0)</f>
        <v>5</v>
      </c>
      <c r="S39">
        <f>SUM(COUNTIFS(Major!F:F,"=police*", Major!B:B, "&gt;=1/1/2025", Major!B:B, "&lt;1/1/2030"),COUNTIFS(Major!F:F,"=hpd*", Major!B:B, "&gt;=1/1/2025", Major!B:B, "&lt;1/1/2030"),COUNTIFS(Major!F:F,"=kpd*", Major!B:B, "&gt;=1/1/2025", Major!B:B, "&lt;1/1/2030"),COUNTIFS(Major!F:F,"=mpd*", Major!B:B, "&gt;=1/1/2025", Major!B:B, "&lt;1/1/2030"))</f>
        <v>0</v>
      </c>
      <c r="T39">
        <f>ROUND(5*SUM(COUNTIFS(Major!F:F,"=police*", Major!B:B, "&gt;=1/1/2025", Major!B:B, "&lt;1/1/2030"),COUNTIFS(Major!F:F,"=hpd*", Major!B:B, "&gt;=1/1/2025", Major!B:B, "&lt;1/1/2030"),COUNTIFS(Major!F:F,"=kpd*", Major!B:B, "&gt;=1/1/2025", Major!B:B, "&lt;1/1/2030"),COUNTIFS(Major!F:F,"=mpd*", Major!B:B, "&gt;=1/1/2025", Major!B:B, "&lt;1/1/2030"))/YEARFRAC("1/1/2025", "1/1/2026"),0)</f>
        <v>0</v>
      </c>
      <c r="U39">
        <f>SUM(COUNTIFS(All!F:F,"=police*", All!E:E,"&lt;&gt;LIT", All!E:E,"&lt;&gt;LEG",All!E:E,"&lt;&gt;UIPA*",All!E:E,"&lt;&gt;*TRNG*", All!E:E,"&lt;&gt;ADMIN",All!E:E,"&lt;&gt;RULES",All!E:E,"&lt;&gt;RR*",All!E:E,"&lt;&gt;RSCH"),COUNTIFS(All!F:F,"=hpd*", All!E:E,"&lt;&gt;LIT", All!E:E,"&lt;&gt;LEG",All!E:E,"&lt;&gt;UIPA*",All!E:E,"&lt;&gt;*TRNG*", All!E:E,"&lt;&gt;ADMIN",All!E:E,"&lt;&gt;RULES",All!E:E,"&lt;&gt;RR*",All!E:E,"&lt;&gt;RSCH"),COUNTIFS(All!F:F,"=kpd*", All!E:E,"&lt;&gt;LIT", All!E:E,"&lt;&gt;LEG",All!E:E,"&lt;&gt;UIPA*",All!E:E,"&lt;&gt;*TRNG*", All!E:E,"&lt;&gt;ADMIN",All!E:E,"&lt;&gt;RULES",All!E:E,"&lt;&gt;RR*",All!E:E,"&lt;&gt;RSCH"),COUNTIFS(All!F:F,"=mpd*", All!E:E,"&lt;&gt;LIT", All!E:E,"&lt;&gt;LEG",All!E:E,"&lt;&gt;UIPA*",All!E:E,"&lt;&gt;*TRNG*", All!E:E,"&lt;&gt;ADMIN",All!E:E,"&lt;&gt;RULES",All!E:E,"&lt;&gt;RR*",All!E:E,"&lt;&gt;RSCH"))</f>
        <v>396</v>
      </c>
      <c r="V39">
        <f>ROUND(AVERAGE(AVERAGEIFS(All!R:R, All!E:E,"&lt;&gt;LIT", All!E:E,"&lt;&gt;LEG",All!E:E,"&lt;&gt;UIPA*",All!E:E,"&lt;&gt;*TRNG*", All!E:E,"&lt;&gt;ADMIN",All!E:E,"&lt;&gt;RULES",All!E:E,"&lt;&gt;RR*",All!E:E,"&lt;&gt;RSCH",All!F:F,"=police*"),AVERAGEIFS(All!R:R, All!E:E,"&lt;&gt;LIT", All!E:E,"&lt;&gt;LEG",All!E:E,"&lt;&gt;UIPA*",All!E:E,"&lt;&gt;*TRNG*", All!E:E,"&lt;&gt;ADMIN",All!E:E,"&lt;&gt;RULES",All!E:E,"&lt;&gt;RR*",All!E:E,"&lt;&gt;RSCH",All!F:F,"=hpd*"),AVERAGEIFS(All!R:R, All!E:E,"&lt;&gt;LIT", All!E:E,"&lt;&gt;LEG",All!E:E,"&lt;&gt;UIPA*",All!E:E,"&lt;&gt;*TRNG*", All!E:E,"&lt;&gt;ADMIN",All!E:E,"&lt;&gt;RULES",All!E:E,"&lt;&gt;RR*",All!E:E,"&lt;&gt;RSCH",All!F:F,"=kpd*"),AVERAGEIFS(All!R:R, All!E:E,"&lt;&gt;LIT", All!E:E,"&lt;&gt;LEG",All!E:E,"&lt;&gt;UIPA*",All!E:E,"&lt;&gt;*TRNG*", All!E:E,"&lt;&gt;ADMIN",All!E:E,"&lt;&gt;RULES",All!E:E,"&lt;&gt;RR*",All!E:E,"&lt;&gt;RSCH",All!F:F,"=mpd*")), 0)</f>
        <v>288</v>
      </c>
      <c r="W39">
        <f>SUM(COUNTIFS(All!F:F,"=police*", All!B:B, "&lt;1/1/2000", All!E:E,"&lt;&gt;LIT", All!E:E,"&lt;&gt;LEG",All!E:E,"&lt;&gt;UIPA*",All!E:E,"&lt;&gt;*TRNG*", All!E:E,"&lt;&gt;ADMIN",All!E:E,"&lt;&gt;RULES",All!E:E,"&lt;&gt;RR*",All!E:E,"&lt;&gt;RSCH"),COUNTIFS(All!F:F,"=hpd*", All!B:B, "&lt;1/1/2000", All!E:E,"&lt;&gt;LIT", All!E:E,"&lt;&gt;LEG",All!E:E,"&lt;&gt;UIPA*",All!E:E,"&lt;&gt;*TRNG*", All!E:E,"&lt;&gt;ADMIN",All!E:E,"&lt;&gt;RULES",All!E:E,"&lt;&gt;RR*",All!E:E,"&lt;&gt;RSCH"),COUNTIFS(All!F:F,"=kpd*", All!B:B, "&lt;1/1/2000", All!E:E,"&lt;&gt;LIT", All!E:E,"&lt;&gt;LEG",All!E:E,"&lt;&gt;UIPA*",All!E:E,"&lt;&gt;*TRNG*", All!E:E,"&lt;&gt;ADMIN",All!E:E,"&lt;&gt;RULES",All!E:E,"&lt;&gt;RR*",All!E:E,"&lt;&gt;RSCH"),COUNTIFS(All!F:F,"=mpd*", All!B:B, "&lt;1/1/2000", All!E:E,"&lt;&gt;LIT", All!E:E,"&lt;&gt;LEG",All!E:E,"&lt;&gt;UIPA*",All!E:E,"&lt;&gt;*TRNG*", All!E:E,"&lt;&gt;ADMIN",All!E:E,"&lt;&gt;RULES",All!E:E,"&lt;&gt;RR*",All!E:E,"&lt;&gt;RSCH"))</f>
        <v>131</v>
      </c>
      <c r="X39">
        <f>SUM(COUNTIFS(All!F:F,"=police*", All!B:B, "&gt;=1/1/2000", All!B:B, "&lt;1/1/2010", All!E:E,"&lt;&gt;LIT", All!E:E,"&lt;&gt;LEG",All!E:E,"&lt;&gt;UIPA*",All!E:E,"&lt;&gt;*TRNG*", All!E:E,"&lt;&gt;ADMIN",All!E:E,"&lt;&gt;RULES",All!E:E,"&lt;&gt;RR*",All!E:E,"&lt;&gt;RSCH"),COUNTIFS(All!F:F,"=hpd*", All!B:B, "&gt;=1/1/2000", All!B:B, "&lt;1/1/2010", All!E:E,"&lt;&gt;LIT", All!E:E,"&lt;&gt;LEG",All!E:E,"&lt;&gt;UIPA*",All!E:E,"&lt;&gt;*TRNG*", All!E:E,"&lt;&gt;ADMIN",All!E:E,"&lt;&gt;RULES",All!E:E,"&lt;&gt;RR*",All!E:E,"&lt;&gt;RSCH"),COUNTIFS(All!F:F,"=kpd*", All!B:B, "&gt;=1/1/2000", All!B:B, "&lt;1/1/2010", All!E:E,"&lt;&gt;LIT", All!E:E,"&lt;&gt;LEG",All!E:E,"&lt;&gt;UIPA*",All!E:E,"&lt;&gt;*TRNG*", All!E:E,"&lt;&gt;ADMIN",All!E:E,"&lt;&gt;RULES",All!E:E,"&lt;&gt;RR*",All!E:E,"&lt;&gt;RSCH"),COUNTIFS(All!F:F,"=mpd*", All!B:B, "&gt;=1/1/2000", All!B:B, "&lt;1/1/2010", All!E:E,"&lt;&gt;LIT", All!E:E,"&lt;&gt;LEG",All!E:E,"&lt;&gt;UIPA*",All!E:E,"&lt;&gt;*TRNG*", All!E:E,"&lt;&gt;ADMIN",All!E:E,"&lt;&gt;RULES",All!E:E,"&lt;&gt;RR*",All!E:E,"&lt;&gt;RSCH"))</f>
        <v>101</v>
      </c>
      <c r="Y39">
        <f>SUM(COUNTIFS(All!F:F,"=police*", All!B:B, "&gt;=1/1/2010", All!B:B, "&lt;1/1/2020", All!E:E,"&lt;&gt;LIT", All!E:E,"&lt;&gt;LEG",All!E:E,"&lt;&gt;UIPA*",All!E:E,"&lt;&gt;*TRNG*", All!E:E,"&lt;&gt;ADMIN",All!E:E,"&lt;&gt;RULES",All!E:E,"&lt;&gt;RR*",All!E:E,"&lt;&gt;RSCH"),COUNTIFS(All!F:F,"=hpd*", All!B:B, "&gt;=1/1/2010", All!B:B, "&lt;1/1/2020", All!E:E,"&lt;&gt;LIT", All!E:E,"&lt;&gt;LEG",All!E:E,"&lt;&gt;UIPA*",All!E:E,"&lt;&gt;*TRNG*", All!E:E,"&lt;&gt;ADMIN",All!E:E,"&lt;&gt;RULES",All!E:E,"&lt;&gt;RR*",All!E:E,"&lt;&gt;RSCH"),COUNTIFS(All!F:F,"=kpd*", All!B:B, "&gt;=1/1/2010", All!B:B, "&lt;1/1/2020", All!E:E,"&lt;&gt;LIT", All!E:E,"&lt;&gt;LEG",All!E:E,"&lt;&gt;UIPA*",All!E:E,"&lt;&gt;*TRNG*", All!E:E,"&lt;&gt;ADMIN",All!E:E,"&lt;&gt;RULES",All!E:E,"&lt;&gt;RR*",All!E:E,"&lt;&gt;RSCH"),COUNTIFS(All!F:F,"=mpd*", All!B:B, "&gt;=1/1/2010", All!B:B, "&lt;1/1/2020", All!E:E,"&lt;&gt;LIT", All!E:E,"&lt;&gt;LEG",All!E:E,"&lt;&gt;UIPA*",All!E:E,"&lt;&gt;*TRNG*", All!E:E,"&lt;&gt;ADMIN",All!E:E,"&lt;&gt;RULES",All!E:E,"&lt;&gt;RR*",All!E:E,"&lt;&gt;RSCH"))</f>
        <v>87</v>
      </c>
      <c r="Z39">
        <f>SUM(COUNTIFS(All!F:F,"=police*", All!B:B, "&gt;=1/1/2020", All!B:B, "&lt;1/1/2030", All!E:E,"&lt;&gt;LIT", All!E:E,"&lt;&gt;LEG",All!E:E,"&lt;&gt;UIPA*",All!E:E,"&lt;&gt;*TRNG*", All!E:E,"&lt;&gt;ADMIN",All!E:E,"&lt;&gt;RULES",All!E:E,"&lt;&gt;RR*",All!E:E,"&lt;&gt;RSCH"),COUNTIFS(All!F:F,"=hpd*", All!B:B, "&gt;=1/1/2020", All!B:B, "&lt;1/1/2030", All!E:E,"&lt;&gt;LIT", All!E:E,"&lt;&gt;LEG",All!E:E,"&lt;&gt;UIPA*",All!E:E,"&lt;&gt;*TRNG*", All!E:E,"&lt;&gt;ADMIN",All!E:E,"&lt;&gt;RULES",All!E:E,"&lt;&gt;RR*",All!E:E,"&lt;&gt;RSCH"),COUNTIFS(All!F:F,"=kpd*", All!B:B, "&gt;=1/1/2020", All!B:B, "&lt;1/1/2030", All!E:E,"&lt;&gt;LIT", All!E:E,"&lt;&gt;LEG",All!E:E,"&lt;&gt;UIPA*",All!E:E,"&lt;&gt;*TRNG*", All!E:E,"&lt;&gt;ADMIN",All!E:E,"&lt;&gt;RULES",All!E:E,"&lt;&gt;RR*",All!E:E,"&lt;&gt;RSCH"),COUNTIFS(All!F:F,"=mpd*", All!B:B, "&gt;=1/1/2020", All!B:B, "&lt;1/1/2030", All!E:E,"&lt;&gt;LIT", All!E:E,"&lt;&gt;LEG",All!E:E,"&lt;&gt;UIPA*",All!E:E,"&lt;&gt;*TRNG*", All!E:E,"&lt;&gt;ADMIN",All!E:E,"&lt;&gt;RULES",All!E:E,"&lt;&gt;RR*",All!E:E,"&lt;&gt;RSCH"))</f>
        <v>77</v>
      </c>
    </row>
    <row r="40" spans="1:26" ht="16">
      <c r="A40" s="10">
        <v>39</v>
      </c>
      <c r="B40" s="9" t="s">
        <v>17435</v>
      </c>
    </row>
    <row r="41" spans="1:26" ht="16">
      <c r="A41" s="10">
        <v>40</v>
      </c>
      <c r="B41" s="9" t="s">
        <v>17436</v>
      </c>
    </row>
    <row r="42" spans="1:26" ht="16">
      <c r="A42" s="10">
        <v>41</v>
      </c>
      <c r="B42" s="9" t="s">
        <v>17448</v>
      </c>
    </row>
    <row r="43" spans="1:26" ht="16">
      <c r="A43" s="10">
        <v>42</v>
      </c>
      <c r="B43" s="9" t="s">
        <v>17437</v>
      </c>
    </row>
    <row r="44" spans="1:26" ht="16">
      <c r="A44" s="10">
        <v>43</v>
      </c>
      <c r="B44" s="1" t="s">
        <v>16817</v>
      </c>
      <c r="C44">
        <f>COUNTIF(Major!F:F,"=*pros*")</f>
        <v>17</v>
      </c>
      <c r="D44">
        <f>ROUND(AVERAGEIF(Major!F:F,"=*pros*", Major!R:R), 0)</f>
        <v>823</v>
      </c>
      <c r="E44">
        <f>COUNTIFS(Major!F:F,"=*pros*", Major!B:B, "&lt;1/1/1995")</f>
        <v>6</v>
      </c>
      <c r="F44">
        <f>ROUND(COUNTIFS(Major!F:F,"=*pros*", Major!B:B, "&lt;1/1/1995")/YEARFRAC("11/1/1988", "12/31/1994"),0)</f>
        <v>1</v>
      </c>
      <c r="G44">
        <f>COUNTIFS(Major!F:F,"=*pros*", Major!B:B, "&gt;=1/1/1995", Major!B:B, "&lt;1/1/2000")</f>
        <v>4</v>
      </c>
      <c r="H44">
        <f>ROUND(COUNTIFS(Major!F:F,"=*pros*", Major!B:B, "&gt;=1/1/1995", Major!B:B, "&lt;1/1/2000")/YEARFRAC("1/1/1995", "12/31/1999"),0)</f>
        <v>1</v>
      </c>
      <c r="I44">
        <f>COUNTIFS(Major!F:F,"=*pros*", Major!B:B, "&gt;=1/1/2000", Major!B:B, "&lt;1/1/2005")</f>
        <v>1</v>
      </c>
      <c r="J44">
        <f>ROUND(COUNTIFS(Major!F:F,"=*pros*", Major!B:B, "&gt;=1/1/2000", Major!B:B, "&lt;1/1/2005")/YEARFRAC("1/1/2000", "12/31/2004"),0)</f>
        <v>0</v>
      </c>
      <c r="K44">
        <f>COUNTIFS(Major!F:F,"=*pros*", Major!B:B, "&gt;=1/1/2005", Major!B:B, "&lt;1/1/2010")</f>
        <v>1</v>
      </c>
      <c r="L44">
        <f>ROUND(COUNTIFS(Major!F:F,"=*pros*", Major!B:B, "&gt;=1/1/2005", Major!B:B, "&lt;1/1/2010")/YEARFRAC("1/1/2005", "12/31/2009"),0)</f>
        <v>0</v>
      </c>
      <c r="M44">
        <f>COUNTIFS(Major!F:F,"=*pros*", Major!B:B, "&gt;=1/1/2010", Major!B:B, "&lt;1/1/2015")</f>
        <v>3</v>
      </c>
      <c r="N44">
        <f>ROUND(COUNTIFS(Major!F:F,"=*pros*", Major!B:B, "&gt;=1/1/2010", Major!B:B, "&lt;1/1/2015")/YEARFRAC("1/1/2010", "12/31/2014"),0)</f>
        <v>1</v>
      </c>
      <c r="O44">
        <f>COUNTIFS(Major!F:F,"=*pros*", Major!B:B, "&gt;=1/1/2015", Major!B:B, "&lt;1/1/2020")</f>
        <v>2</v>
      </c>
      <c r="P44">
        <f>ROUND(COUNTIFS(Major!F:F,"=*pros*", Major!B:B, "&gt;=1/1/2015", Major!B:B, "&lt;1/1/2020")/YEARFRAC("1/1/2015", "12/31/2019"),0)</f>
        <v>0</v>
      </c>
      <c r="Q44">
        <f>ROUND(5*COUNTIFS(Major!F:F,"=*pros*", Major!B:B, "&gt;=1/1/2020", Major!B:B, "&lt;1/1/2025")/YEARFRAC("1/1/2020", "1/1/2025"),0)</f>
        <v>0</v>
      </c>
      <c r="R44">
        <f>ROUND(COUNTIFS(Major!F:F,"=*pros*", Major!B:B, "&gt;=1/1/2020", Major!B:B, "&lt;1/1/2025")/YEARFRAC("1/1/2020", "12/31/2024"),0)</f>
        <v>0</v>
      </c>
      <c r="S44">
        <f>COUNTIFS(Major!F:F,"=*pros*", Major!B:B, "&gt;=1/1/2025", Major!B:B, "&lt;1/1/2030")</f>
        <v>0</v>
      </c>
      <c r="T44">
        <f>ROUND(5*COUNTIFS(Major!F:F,"=*pros*", Major!B:B, "&gt;=1/1/2025", Major!B:B, "&lt;1/1/2030")/YEARFRAC("1/1/2025", "1/1/2026"),0)</f>
        <v>0</v>
      </c>
      <c r="U44">
        <f>COUNTIFS(All!F:F,"=*pros*", All!E:E,"&lt;&gt;LIT", All!E:E,"&lt;&gt;LEG",All!E:E,"&lt;&gt;UIPA*",All!E:E,"&lt;&gt;*TRNG*", All!E:E,"&lt;&gt;ADMIN",All!E:E,"&lt;&gt;RULES",All!E:E,"&lt;&gt;RR*",All!E:E,"&lt;&gt;RSCH")</f>
        <v>58</v>
      </c>
      <c r="V44">
        <f>ROUND(AVERAGEIFS(All!R:R, All!E:E,"&lt;&gt;LIT", All!E:E,"&lt;&gt;LEG",All!E:E,"&lt;&gt;UIPA*",All!E:E,"&lt;&gt;*TRNG*", All!E:E,"&lt;&gt;ADMIN",All!E:E,"&lt;&gt;RULES",All!E:E,"&lt;&gt;RR*",All!E:E,"&lt;&gt;RSCH",All!F:F,"=*pros*"), 0)</f>
        <v>281</v>
      </c>
      <c r="W44">
        <f>COUNTIFS(All!F:F,"=*pros*", All!B:B, "&lt;1/1/2000", All!E:E,"&lt;&gt;LIT", All!E:E,"&lt;&gt;LEG",All!E:E,"&lt;&gt;UIPA*",All!E:E,"&lt;&gt;*TRNG*", All!E:E,"&lt;&gt;ADMIN",All!E:E,"&lt;&gt;RULES",All!E:E,"&lt;&gt;RR*",All!E:E,"&lt;&gt;RSCH")</f>
        <v>14</v>
      </c>
      <c r="X44">
        <f>COUNTIFS(All!F:F,"=*pros*", All!B:B, "&gt;=1/1/2000", All!B:B, "&lt;1/1/2010", All!E:E,"&lt;&gt;LIT", All!E:E,"&lt;&gt;LEG",All!E:E,"&lt;&gt;UIPA*",All!E:E,"&lt;&gt;*TRNG*", All!E:E,"&lt;&gt;ADMIN",All!E:E,"&lt;&gt;RULES",All!E:E,"&lt;&gt;RR*",All!E:E,"&lt;&gt;RSCH")</f>
        <v>14</v>
      </c>
      <c r="Y44">
        <f>COUNTIFS(All!F:F,"=*pros*", All!B:B, "&gt;=1/1/2010", All!B:B, "&lt;1/1/2020", All!E:E,"&lt;&gt;LIT", All!E:E,"&lt;&gt;LEG",All!E:E,"&lt;&gt;UIPA*",All!E:E,"&lt;&gt;*TRNG*", All!E:E,"&lt;&gt;ADMIN",All!E:E,"&lt;&gt;RULES",All!E:E,"&lt;&gt;RR*",All!E:E,"&lt;&gt;RSCH")</f>
        <v>20</v>
      </c>
      <c r="Z44">
        <f>COUNTIFS(All!F:F,"=*pros*", All!B:B, "&gt;=1/1/2020", All!B:B, "&lt;1/1/2030", All!E:E,"&lt;&gt;LIT", All!E:E,"&lt;&gt;LEG",All!E:E,"&lt;&gt;UIPA*",All!E:E,"&lt;&gt;*TRNG*", All!E:E,"&lt;&gt;ADMIN",All!E:E,"&lt;&gt;RULES",All!E:E,"&lt;&gt;RR*",All!E:E,"&lt;&gt;RSCH")</f>
        <v>10</v>
      </c>
    </row>
    <row r="45" spans="1:26" ht="16">
      <c r="A45" s="10">
        <v>44</v>
      </c>
      <c r="B45" s="1" t="s">
        <v>16797</v>
      </c>
      <c r="C45">
        <f>SUM(COUNTIF(Major!F:F,"=*DPW*"),COUNTIF(Major!F:F,"=*DDC*"),COUNTIF(Major!F:F,"=Works*"))</f>
        <v>14</v>
      </c>
      <c r="D45">
        <f>ROUND(AVERAGE(AVERAGEIF(Major!F:F,"=*DPW*", Major!R:R),AVERAGEIF(Major!F:F,"=works*", Major!R:R)), 0)</f>
        <v>205</v>
      </c>
      <c r="E45">
        <f>SUM(COUNTIFS(Major!F:F,"=*DPW*", Major!B:B, "&lt;1/1/1995"),COUNTIFS(Major!F:F,"=*DDC*", Major!B:B, "&lt;1/1/1995"),COUNTIFS(Major!F:F,"=Works*", Major!B:B, "&lt;1/1/1995"))</f>
        <v>2</v>
      </c>
      <c r="F45">
        <f>ROUND(SUM(COUNTIFS(Major!F:F,"=*DPW*", Major!B:B, "&lt;1/1/1995"),COUNTIFS(Major!F:F,"=*DDC*", Major!B:B, "&lt;1/1/1995"),COUNTIFS(Major!F:F,"=Works*", Major!B:B, "&lt;1/1/1995"))/YEARFRAC("11/1/1988", "12/31/1994"),0)</f>
        <v>0</v>
      </c>
      <c r="G45">
        <f>SUM(COUNTIFS(Major!F:F,"=*DPW*", Major!B:B, "&gt;=1/1/1995", Major!B:B, "&lt;1/1/2000"),COUNTIFS(Major!F:F,"=*DDC*", Major!B:B, "&gt;=1/1/1995", Major!B:B, "&lt;1/1/2000"),COUNTIFS(Major!F:F,"=Works*", Major!B:B, "&gt;=1/1/1995", Major!B:B, "&lt;1/1/2000"))</f>
        <v>1</v>
      </c>
      <c r="H45">
        <f>ROUND(SUM(COUNTIFS(Major!F:F,"=*DPW*", Major!B:B, "&gt;=1/1/1995", Major!B:B, "&lt;1/1/2000"),COUNTIFS(Major!F:F,"=*DDC*", Major!B:B, "&gt;=1/1/1995", Major!B:B, "&lt;1/1/2000"),COUNTIFS(Major!F:F,"=Works*", Major!B:B, "&gt;=1/1/1995", Major!B:B, "&lt;1/1/2000"))/YEARFRAC("1/1/1995", "12/31/1999"),0)</f>
        <v>0</v>
      </c>
      <c r="I45">
        <f>SUM(COUNTIFS(Major!F:F,"=*DPW*", Major!B:B, "&gt;=1/1/2000", Major!B:B, "&lt;1/1/2005"),COUNTIFS(Major!F:F,"=*DDC*", Major!B:B, "&gt;=1/1/2000", Major!B:B, "&lt;1/1/2005"),COUNTIFS(Major!F:F,"=Works*", Major!B:B, "&gt;=1/1/2000", Major!B:B, "&lt;1/1/2005"))</f>
        <v>0</v>
      </c>
      <c r="J45">
        <f>ROUND(SUM(COUNTIFS(Major!F:F,"=*DPW*", Major!B:B, "&gt;=1/1/2000", Major!B:B, "&lt;1/1/2005"),COUNTIFS(Major!F:F,"=*DDC*", Major!B:B, "&gt;=1/1/2000", Major!B:B, "&lt;1/1/2005"),COUNTIFS(Major!F:F,"=Works*", Major!B:B, "&gt;=1/1/2000", Major!B:B, "&lt;1/1/2005"))/YEARFRAC("1/1/2000", "12/31/2004"),0)</f>
        <v>0</v>
      </c>
      <c r="K45">
        <f>SUM(COUNTIFS(Major!F:F,"=*DPW*", Major!B:B, "&gt;=1/1/2005", Major!B:B, "&lt;1/1/2010"),COUNTIFS(Major!F:F,"=*DDC*", Major!B:B, "&gt;=1/1/2005", Major!B:B, "&lt;1/1/2010"),COUNTIFS(Major!F:F,"=Works*", Major!B:B, "&gt;=1/1/2005", Major!B:B, "&lt;1/1/2010"))</f>
        <v>2</v>
      </c>
      <c r="L45">
        <f>ROUND(SUM(COUNTIFS(Major!F:F,"=*DPW*", Major!B:B, "&gt;=1/1/2005", Major!B:B, "&lt;1/1/2010"),COUNTIFS(Major!F:F,"=*DDC*", Major!B:B, "&gt;=1/1/2005", Major!B:B, "&lt;1/1/2010"),COUNTIFS(Major!F:F,"=Works*", Major!B:B, "&gt;=1/1/2005", Major!B:B, "&lt;1/1/2010"))/YEARFRAC("1/1/2005", "12/31/2009"),0)</f>
        <v>0</v>
      </c>
      <c r="M45">
        <f>SUM(COUNTIFS(Major!F:F,"=*DPW*", Major!B:B, "&gt;=1/1/2010", Major!B:B, "&lt;1/1/2015"),COUNTIFS(Major!F:F,"=*DDC*", Major!B:B, "&gt;=1/1/2010", Major!B:B, "&lt;1/1/2015"),COUNTIFS(Major!F:F,"=Works*", Major!B:B, "&gt;=1/1/2010", Major!B:B, "&lt;1/1/2015"))</f>
        <v>2</v>
      </c>
      <c r="N45">
        <f>ROUND(SUM(COUNTIFS(Major!F:F,"=*DPW*", Major!B:B, "&gt;=1/1/2010", Major!B:B, "&lt;1/1/2015"),COUNTIFS(Major!F:F,"=*DDC*", Major!B:B, "&gt;=1/1/2010", Major!B:B, "&lt;1/1/2015"),COUNTIFS(Major!F:F,"=Works*", Major!B:B, "&gt;=1/1/2010", Major!B:B, "&lt;1/1/2015"))/YEARFRAC("1/1/2010", "12/31/2014"),0)</f>
        <v>0</v>
      </c>
      <c r="O45">
        <f>SUM(COUNTIFS(Major!F:F,"=*DPW*", Major!B:B, "&gt;=1/1/2015", Major!B:B, "&lt;1/1/2020"),COUNTIFS(Major!F:F,"=*DDC*", Major!B:B, "&gt;=1/1/2015", Major!B:B, "&lt;1/1/2020"),COUNTIFS(Major!F:F,"=Works*", Major!B:B, "&gt;=1/1/2015", Major!B:B, "&lt;1/1/2020"))</f>
        <v>6</v>
      </c>
      <c r="P45">
        <f>ROUND(SUM(COUNTIFS(Major!F:F,"=*DPW*", Major!B:B, "&gt;=1/1/2015", Major!B:B, "&lt;1/1/2020"),COUNTIFS(Major!F:F,"=*DDC*", Major!B:B, "&gt;=1/1/2015", Major!B:B, "&lt;1/1/2020"),COUNTIFS(Major!F:F,"=Works*", Major!B:B, "&gt;=1/1/2015", Major!B:B, "&lt;1/1/2020"))/YEARFRAC("1/1/2015", "12/31/2019"),0)</f>
        <v>1</v>
      </c>
      <c r="Q45">
        <f>ROUND(5*SUM(COUNTIFS(Major!F:F,"=*DPW*", Major!B:B, "&gt;=1/1/2020", Major!B:B, "&lt;1/1/2025"),COUNTIFS(Major!F:F,"=*DDC*", Major!B:B, "&gt;=1/1/2020", Major!B:B, "&lt;1/1/2025"),COUNTIFS(Major!F:F,"=Works*", Major!B:B, "&gt;=1/1/2020", Major!B:B, "&lt;1/1/2025"))/YEARFRAC("1/1/2020", "1/1/2025"),0)</f>
        <v>1</v>
      </c>
      <c r="R45">
        <f>ROUND(SUM(COUNTIFS(Major!F:F,"=*DPW*", Major!B:B, "&gt;=1/1/2020", Major!B:B, "&lt;1/1/2025"),COUNTIFS(Major!F:F,"=*DDC*", Major!B:B, "&gt;=1/1/2020", Major!B:B, "&lt;1/1/2025"),COUNTIFS(Major!F:F,"=Works*", Major!B:B, "&gt;=1/1/2020", Major!B:B, "&lt;1/1/2025"))/YEARFRAC("1/1/2020", "12/31/2024"),0)</f>
        <v>0</v>
      </c>
      <c r="S45">
        <f>SUM(COUNTIFS(Major!F:F,"=*DPW*", Major!B:B, "&gt;=1/1/2025", Major!B:B, "&lt;1/1/2030"),COUNTIFS(Major!F:F,"=*DDC*", Major!B:B, "&gt;=1/1/2025", Major!B:B, "&lt;1/1/2030"),COUNTIFS(Major!F:F,"=Works*", Major!B:B, "&gt;=1/1/2025", Major!B:B, "&lt;1/1/2030"))</f>
        <v>0</v>
      </c>
      <c r="T45">
        <f>ROUND(5*SUM(COUNTIFS(Major!F:F,"=*DPW*", Major!B:B, "&gt;=1/1/2025", Major!B:B, "&lt;1/1/2030"),COUNTIFS(Major!F:F,"=*DDC*", Major!B:B, "&gt;=1/1/2025", Major!B:B, "&lt;1/1/2030"),COUNTIFS(Major!F:F,"=Works*", Major!B:B, "&gt;=1/1/2025", Major!B:B, "&lt;1/1/2030"))/YEARFRAC("1/1/2025", "1/1/2026"),0)</f>
        <v>0</v>
      </c>
      <c r="U45">
        <f>SUM(COUNTIFS(All!F:F,"=*DPW*", All!E:E,"&lt;&gt;LIT", All!E:E,"&lt;&gt;LEG",All!E:E,"&lt;&gt;UIPA*",All!E:E,"&lt;&gt;*TRNG*", All!E:E,"&lt;&gt;ADMIN",All!E:E,"&lt;&gt;RULES",All!E:E,"&lt;&gt;RR*",All!E:E,"&lt;&gt;RSCH"),COUNTIFS(All!F:F,"=*DDC*", All!E:E,"&lt;&gt;LIT", All!E:E,"&lt;&gt;LEG",All!E:E,"&lt;&gt;UIPA*",All!E:E,"&lt;&gt;*TRNG*", All!E:E,"&lt;&gt;ADMIN",All!E:E,"&lt;&gt;RULES",All!E:E,"&lt;&gt;RR*",All!E:E,"&lt;&gt;RSCH"),COUNTIFS(All!F:F,"=Works*", All!E:E,"&lt;&gt;LIT", All!E:E,"&lt;&gt;LEG",All!E:E,"&lt;&gt;UIPA*",All!E:E,"&lt;&gt;*TRNG*", All!E:E,"&lt;&gt;ADMIN",All!E:E,"&lt;&gt;RULES",All!E:E,"&lt;&gt;RR*",All!E:E,"&lt;&gt;RSCH"))</f>
        <v>58</v>
      </c>
      <c r="V45">
        <f>ROUND(AVERAGE(AVERAGEIFS(All!R:R, All!E:E,"&lt;&gt;LIT", All!E:E,"&lt;&gt;LEG",All!E:E,"&lt;&gt;UIPA*",All!E:E,"&lt;&gt;*TRNG*", All!E:E,"&lt;&gt;ADMIN",All!E:E,"&lt;&gt;RULES",All!E:E,"&lt;&gt;RR*",All!E:E,"&lt;&gt;RSCH",All!F:F,"=*DPW*"),AVERAGEIFS(All!R:R, All!E:E,"&lt;&gt;LIT", All!E:E,"&lt;&gt;LEG",All!E:E,"&lt;&gt;UIPA*",All!E:E,"&lt;&gt;*TRNG*", All!E:E,"&lt;&gt;ADMIN",All!E:E,"&lt;&gt;RULES",All!E:E,"&lt;&gt;RR*",All!E:E,"&lt;&gt;RSCH",All!F:F,"=*DDC*"),AVERAGEIFS(All!R:R, All!E:E,"&lt;&gt;LIT", All!E:E,"&lt;&gt;LEG",All!E:E,"&lt;&gt;UIPA*",All!E:E,"&lt;&gt;*TRNG*", All!E:E,"&lt;&gt;ADMIN",All!E:E,"&lt;&gt;RULES",All!E:E,"&lt;&gt;RR*",All!E:E,"&lt;&gt;RSCH",All!F:F,"=Works*")), 0)</f>
        <v>100</v>
      </c>
      <c r="W45">
        <f>SUM(COUNTIFS(All!F:F,"=*DPW*", All!B:B, "&lt;1/1/2000", All!E:E,"&lt;&gt;LIT", All!E:E,"&lt;&gt;LEG",All!E:E,"&lt;&gt;UIPA*",All!E:E,"&lt;&gt;*TRNG*", All!E:E,"&lt;&gt;ADMIN",All!E:E,"&lt;&gt;RULES",All!E:E,"&lt;&gt;RR*",All!E:E,"&lt;&gt;RSCH"),COUNTIFS(All!F:F,"=*DDC*", All!B:B, "&lt;1/1/2000", All!E:E,"&lt;&gt;LIT", All!E:E,"&lt;&gt;LEG",All!E:E,"&lt;&gt;UIPA*",All!E:E,"&lt;&gt;*TRNG*", All!E:E,"&lt;&gt;ADMIN",All!E:E,"&lt;&gt;RULES",All!E:E,"&lt;&gt;RR*",All!E:E,"&lt;&gt;RSCH"),COUNTIFS(All!F:F,"=Works*", All!B:B, "&lt;1/1/2000", All!E:E,"&lt;&gt;LIT", All!E:E,"&lt;&gt;LEG",All!E:E,"&lt;&gt;UIPA*",All!E:E,"&lt;&gt;*TRNG*", All!E:E,"&lt;&gt;ADMIN",All!E:E,"&lt;&gt;RULES",All!E:E,"&lt;&gt;RR*",All!E:E,"&lt;&gt;RSCH"))</f>
        <v>5</v>
      </c>
      <c r="X45">
        <f>SUM(COUNTIFS(All!F:F,"=*DPW*", All!B:B, "&gt;=1/1/2000", All!B:B, "&lt;1/1/2010", All!E:E,"&lt;&gt;LIT", All!E:E,"&lt;&gt;LEG",All!E:E,"&lt;&gt;UIPA*",All!E:E,"&lt;&gt;*TRNG*", All!E:E,"&lt;&gt;ADMIN",All!E:E,"&lt;&gt;RULES",All!E:E,"&lt;&gt;RR*",All!E:E,"&lt;&gt;RSCH"),COUNTIFS(All!F:F,"=*DDC*", All!B:B, "&gt;=1/1/2000", All!B:B, "&lt;1/1/2010", All!E:E,"&lt;&gt;LIT", All!E:E,"&lt;&gt;LEG",All!E:E,"&lt;&gt;UIPA*",All!E:E,"&lt;&gt;*TRNG*", All!E:E,"&lt;&gt;ADMIN",All!E:E,"&lt;&gt;RULES",All!E:E,"&lt;&gt;RR*",All!E:E,"&lt;&gt;RSCH"),COUNTIFS(All!F:F,"=Works*", All!B:B, "&gt;=1/1/2000", All!B:B, "&lt;1/1/2010", All!E:E,"&lt;&gt;LIT", All!E:E,"&lt;&gt;LEG",All!E:E,"&lt;&gt;UIPA*",All!E:E,"&lt;&gt;*TRNG*", All!E:E,"&lt;&gt;ADMIN",All!E:E,"&lt;&gt;RULES",All!E:E,"&lt;&gt;RR*",All!E:E,"&lt;&gt;RSCH"))</f>
        <v>18</v>
      </c>
      <c r="Y45">
        <f>SUM(COUNTIFS(All!F:F,"=*DPW*", All!B:B, "&gt;=1/1/2010", All!B:B, "&lt;1/1/2020", All!E:E,"&lt;&gt;LIT", All!E:E,"&lt;&gt;LEG",All!E:E,"&lt;&gt;UIPA*",All!E:E,"&lt;&gt;*TRNG*", All!E:E,"&lt;&gt;ADMIN",All!E:E,"&lt;&gt;RULES",All!E:E,"&lt;&gt;RR*",All!E:E,"&lt;&gt;RSCH"),COUNTIFS(All!F:F,"=*DDC*", All!B:B, "&gt;=1/1/2010", All!B:B, "&lt;1/1/2020", All!E:E,"&lt;&gt;LIT", All!E:E,"&lt;&gt;LEG",All!E:E,"&lt;&gt;UIPA*",All!E:E,"&lt;&gt;*TRNG*", All!E:E,"&lt;&gt;ADMIN",All!E:E,"&lt;&gt;RULES",All!E:E,"&lt;&gt;RR*",All!E:E,"&lt;&gt;RSCH"),COUNTIFS(All!F:F,"=Works*", All!B:B, "&gt;=1/1/2010", All!B:B, "&lt;1/1/2020", All!E:E,"&lt;&gt;LIT", All!E:E,"&lt;&gt;LEG",All!E:E,"&lt;&gt;UIPA*",All!E:E,"&lt;&gt;*TRNG*", All!E:E,"&lt;&gt;ADMIN",All!E:E,"&lt;&gt;RULES",All!E:E,"&lt;&gt;RR*",All!E:E,"&lt;&gt;RSCH"))</f>
        <v>23</v>
      </c>
      <c r="Z45">
        <f>SUM(COUNTIFS(All!F:F,"=*DPW*", All!B:B, "&gt;=1/1/2020", All!B:B, "&lt;1/1/2030", All!E:E,"&lt;&gt;LIT", All!E:E,"&lt;&gt;LEG",All!E:E,"&lt;&gt;UIPA*",All!E:E,"&lt;&gt;*TRNG*", All!E:E,"&lt;&gt;ADMIN",All!E:E,"&lt;&gt;RULES",All!E:E,"&lt;&gt;RR*",All!E:E,"&lt;&gt;RSCH"),COUNTIFS(All!F:F,"=*DDC*", All!B:B, "&gt;=1/1/2020", All!B:B, "&lt;1/1/2030", All!E:E,"&lt;&gt;LIT", All!E:E,"&lt;&gt;LEG",All!E:E,"&lt;&gt;UIPA*",All!E:E,"&lt;&gt;*TRNG*", All!E:E,"&lt;&gt;ADMIN",All!E:E,"&lt;&gt;RULES",All!E:E,"&lt;&gt;RR*",All!E:E,"&lt;&gt;RSCH"),COUNTIFS(All!F:F,"=Works*", All!B:B, "&gt;=1/1/2020", All!B:B, "&lt;1/1/2030", All!E:E,"&lt;&gt;LIT", All!E:E,"&lt;&gt;LEG",All!E:E,"&lt;&gt;UIPA*",All!E:E,"&lt;&gt;*TRNG*", All!E:E,"&lt;&gt;ADMIN",All!E:E,"&lt;&gt;RULES",All!E:E,"&lt;&gt;RR*",All!E:E,"&lt;&gt;RSCH"))</f>
        <v>12</v>
      </c>
    </row>
    <row r="46" spans="1:26" ht="16">
      <c r="A46" s="10">
        <v>45</v>
      </c>
      <c r="B46" s="9" t="s">
        <v>17490</v>
      </c>
    </row>
    <row r="47" spans="1:26" ht="16">
      <c r="A47" s="10">
        <v>46</v>
      </c>
      <c r="B47" s="9" t="s">
        <v>17438</v>
      </c>
    </row>
    <row r="48" spans="1:26" ht="16">
      <c r="A48" s="10">
        <v>47</v>
      </c>
      <c r="B48" s="9" t="s">
        <v>17449</v>
      </c>
    </row>
    <row r="49" spans="1:26" ht="16">
      <c r="A49" s="10">
        <v>48</v>
      </c>
      <c r="B49" s="9" t="s">
        <v>17439</v>
      </c>
    </row>
    <row r="50" spans="1:26" ht="16">
      <c r="A50" s="10">
        <v>49</v>
      </c>
      <c r="B50" s="1" t="s">
        <v>16798</v>
      </c>
      <c r="C50">
        <f>SUM(COUNTIFS(Major!F:F,"=*DTS*", Major!F:F,"&lt;&gt;*HART*"),COUNTIF(Major!F:F,"=Trans-*"))</f>
        <v>9</v>
      </c>
      <c r="D50">
        <f>ROUND(AVERAGE(AVERAGEIFS(Major!R:R, Major!F:F,"=*DTS*", Major!F:F,"&lt;&gt;*HART*"),AVERAGEIF(Major!F:F,"=Trans-*", Major!R:R)), 0)</f>
        <v>414</v>
      </c>
      <c r="E50">
        <f>SUM(COUNTIFS(Major!F:F,"=*DTS*", Major!F:F,"&lt;&gt;*HART*",Major!B:B, "&lt;1/1/1995"),COUNTIFS(Major!F:F,"=Trans-*", Major!B:B, "&lt;1/1/1995"))</f>
        <v>4</v>
      </c>
      <c r="F50">
        <f>ROUND(SUM(COUNTIFS(Major!F:F,"=*DTS*", Major!F:F,"&lt;&gt;*HART*",Major!B:B, "&lt;1/1/1995"),COUNTIFS(Major!F:F,"=Trans-*", Major!B:B, "&lt;1/1/1995"))/YEARFRAC("11/1/1988", "12/31/1994"),0)</f>
        <v>1</v>
      </c>
      <c r="G50">
        <f>SUM(COUNTIFS(Major!F:F,"=*DTS*", Major!F:F,"&lt;&gt;*HART*", Major!B:B, "&gt;=1/1/1995", Major!B:B, "&lt;1/1/2000"),COUNTIFS(Major!F:F,"=Trans-*", Major!B:B, "&gt;=1/1/1995", Major!B:B, "&lt;1/1/2000"))</f>
        <v>2</v>
      </c>
      <c r="H50">
        <f>ROUND(SUM(COUNTIFS(Major!F:F,"=*DTS*", Major!F:F,"&lt;&gt;*HART*",Major!B:B, "&gt;=1/1/1995", Major!B:B, "&lt;1/1/2000"),COUNTIFS(Major!F:F,"=Trans-*", Major!B:B, "&gt;=1/1/1995", Major!B:B, "&lt;1/1/2000"))/YEARFRAC("1/1/1995", "12/31/1999"),0)</f>
        <v>0</v>
      </c>
      <c r="I50">
        <f>SUM(COUNTIFS(Major!F:F,"=*DTS*", Major!F:F,"&lt;&gt;*HART*", Major!B:B, "&gt;=1/1/2000", Major!B:B, "&lt;1/1/2005"),COUNTIFS(Major!F:F,"=Trans-*", Major!B:B, "&gt;=1/1/2000", Major!B:B, "&lt;1/1/2005"))</f>
        <v>0</v>
      </c>
      <c r="J50">
        <f>ROUND(SUM(COUNTIFS(Major!F:F,"=*DTS*", Major!F:F,"&lt;&gt;*HART*",Major!B:B, "&gt;=1/1/2000", Major!B:B, "&lt;1/1/2005"),COUNTIFS(Major!F:F,"=Trans-*", Major!B:B, "&gt;=1/1/2000", Major!B:B, "&lt;1/1/2005"))/YEARFRAC("1/1/2000", "12/31/2004"),0)</f>
        <v>0</v>
      </c>
      <c r="K50">
        <f>SUM(COUNTIFS(Major!F:F,"=*DTS*", Major!F:F,"&lt;&gt;*HART*", Major!B:B, "&gt;=1/1/2005", Major!B:B, "&lt;1/1/2010"),COUNTIFS(Major!F:F,"=Trans-*", Major!B:B, "&gt;=1/1/2005", Major!B:B, "&lt;1/1/2010"))</f>
        <v>1</v>
      </c>
      <c r="L50">
        <f>ROUND(SUM(COUNTIFS(Major!F:F,"=*DTS*", Major!F:F,"&lt;&gt;*HART*",Major!B:B, "&gt;=1/1/2005", Major!B:B, "&lt;1/1/2010"),COUNTIFS(Major!F:F,"=Trans-*", Major!B:B, "&gt;=1/1/2005", Major!B:B, "&lt;1/1/2010"))/YEARFRAC("1/1/2005", "12/31/2009"),0)</f>
        <v>0</v>
      </c>
      <c r="M50">
        <f>SUM(COUNTIFS(Major!F:F,"=*DTS*", Major!F:F,"&lt;&gt;*HART*", Major!B:B, "&gt;=1/1/2010", Major!B:B, "&lt;1/1/2015"),COUNTIFS(Major!F:F,"=Trans-*", Major!B:B, "&gt;=1/1/2010", Major!B:B, "&lt;1/1/2015"))</f>
        <v>0</v>
      </c>
      <c r="N50">
        <f>ROUND(SUM(COUNTIFS(Major!F:F,"=*DTS*", Major!F:F,"&lt;&gt;*HART*",Major!B:B, "&gt;=1/1/2010", Major!B:B, "&lt;1/1/2015"),COUNTIFS(Major!F:F,"=Trans-*", Major!B:B, "&gt;=1/1/2010", Major!B:B, "&lt;1/1/2015"))/YEARFRAC("1/1/2010", "12/31/2014"),0)</f>
        <v>0</v>
      </c>
      <c r="O50">
        <f>SUM(COUNTIFS(Major!F:F,"=*DTS*", Major!F:F,"&lt;&gt;*HART*", Major!B:B, "&gt;=1/1/2015", Major!B:B, "&lt;1/1/2020"),COUNTIFS(Major!F:F,"=Trans-*", Major!B:B, "&gt;=1/1/2015", Major!B:B, "&lt;1/1/2020"))</f>
        <v>2</v>
      </c>
      <c r="P50">
        <f>ROUND(SUM(COUNTIFS(Major!F:F,"=*DTS*", Major!F:F,"&lt;&gt;*HART*",Major!B:B, "&gt;=1/1/2015", Major!B:B, "&lt;1/1/2020"),COUNTIFS(Major!F:F,"=Trans-*", Major!B:B, "&gt;=1/1/2015", Major!B:B, "&lt;1/1/2020"))/YEARFRAC("1/1/2015", "12/31/2019"),0)</f>
        <v>0</v>
      </c>
      <c r="Q50">
        <f>ROUND(5*SUM(COUNTIFS(Major!F:F,"=*DTS*", Major!F:F,"&lt;&gt;*HART*",Major!B:B, "&gt;=1/1/2020", Major!B:B, "&lt;1/1/2025"),COUNTIFS(Major!F:F,"=Trans-*", Major!B:B, "&gt;=1/1/2020", Major!B:B, "&lt;1/1/2025"))/YEARFRAC("1/1/2020", "1/1/2025"),0)</f>
        <v>0</v>
      </c>
      <c r="R50">
        <f>ROUND(SUM(COUNTIFS(Major!F:F,"=*DTS*", Major!F:F,"&lt;&gt;*HART*",Major!B:B, "&gt;=1/1/2020", Major!B:B, "&lt;1/1/2025"),COUNTIFS(Major!F:F,"=Trans-*", Major!B:B, "&gt;=1/1/2020", Major!B:B, "&lt;1/1/2025"))/YEARFRAC("1/1/2020", "12/31/2024"),0)</f>
        <v>0</v>
      </c>
      <c r="S50">
        <f>SUM(COUNTIFS(Major!F:F,"=*DTS*", Major!F:F,"&lt;&gt;*HART*", Major!B:B, "&gt;=1/1/2025", Major!B:B, "&lt;1/1/2030"),COUNTIFS(Major!F:F,"=Trans-*", Major!B:B, "&gt;=1/1/2025", Major!B:B, "&lt;1/1/2030"))</f>
        <v>0</v>
      </c>
      <c r="T50">
        <f>ROUND(5*SUM(COUNTIFS(Major!F:F,"=*DTS*", Major!F:F,"&lt;&gt;*HART*",Major!B:B, "&gt;=1/1/2025", Major!B:B, "&lt;1/1/2030"),COUNTIFS(Major!F:F,"=Trans-*", Major!B:B, "&gt;=1/1/2025", Major!B:B, "&lt;1/1/2030"))/YEARFRAC("1/1/2025", "1/1/2026"),0)</f>
        <v>0</v>
      </c>
      <c r="U50">
        <f>SUM(COUNTIFS(All!F:F,"=*DTS*",All!F:F,"&lt;&gt;*HART*",  All!E:E,"&lt;&gt;LIT", All!E:E,"&lt;&gt;LEG",All!E:E,"&lt;&gt;UIPA*",All!E:E,"&lt;&gt;*TRNG*", All!E:E,"&lt;&gt;ADMIN",All!E:E,"&lt;&gt;RULES",All!E:E,"&lt;&gt;RR*",All!E:E,"&lt;&gt;RSCH"),COUNTIFS(All!F:F,"=Trans-*", All!E:E,"&lt;&gt;LIT", All!E:E,"&lt;&gt;LEG",All!E:E,"&lt;&gt;UIPA*",All!E:E,"&lt;&gt;*TRNG*", All!E:E,"&lt;&gt;ADMIN",All!E:E,"&lt;&gt;RULES",All!E:E,"&lt;&gt;RR*",All!E:E,"&lt;&gt;RSCH"))</f>
        <v>20</v>
      </c>
      <c r="V50">
        <f>ROUND(AVERAGE(AVERAGEIFS(All!R:R, All!E:E,"&lt;&gt;LIT", All!E:E,"&lt;&gt;LEG",All!E:E,"&lt;&gt;UIPA*",All!E:E,"&lt;&gt;*TRNG*", All!E:E,"&lt;&gt;ADMIN",All!E:E,"&lt;&gt;RULES",All!E:E,"&lt;&gt;RR*",All!E:E,"&lt;&gt;RSCH",All!F:F,"=*DTS*",All!F:F,"&lt;&gt;*HART*"),AVERAGEIFS(All!R:R, All!E:E,"&lt;&gt;LIT", All!E:E,"&lt;&gt;LEG",All!E:E,"&lt;&gt;UIPA*",All!E:E,"&lt;&gt;*TRNG*", All!E:E,"&lt;&gt;ADMIN",All!E:E,"&lt;&gt;RULES",All!E:E,"&lt;&gt;RR*",All!E:E,"&lt;&gt;RSCH",All!F:F,"=Trans-*")), 0)</f>
        <v>379</v>
      </c>
      <c r="W50">
        <f>SUM(COUNTIFS(All!F:F,"=*DTS*", All!F:F,"&lt;&gt;*HART*", All!B:B, "&lt;1/1/2000", All!E:E,"&lt;&gt;LIT", All!E:E,"&lt;&gt;LEG",All!E:E,"&lt;&gt;UIPA*",All!E:E,"&lt;&gt;*TRNG*", All!E:E,"&lt;&gt;ADMIN",All!E:E,"&lt;&gt;RULES",All!E:E,"&lt;&gt;RR*",All!E:E,"&lt;&gt;RSCH"),COUNTIFS(All!F:F,"=Trans-*", All!B:B, "&lt;1/1/2000", All!E:E,"&lt;&gt;LIT", All!E:E,"&lt;&gt;LEG",All!E:E,"&lt;&gt;UIPA*",All!E:E,"&lt;&gt;*TRNG*", All!E:E,"&lt;&gt;ADMIN",All!E:E,"&lt;&gt;RULES",All!E:E,"&lt;&gt;RR*",All!E:E,"&lt;&gt;RSCH"))</f>
        <v>7</v>
      </c>
      <c r="X50">
        <f>SUM(COUNTIFS(All!F:F,"=*DTS*", All!F:F,"&lt;&gt;*HART*", All!B:B, "&gt;=1/1/2000", All!B:B, "&lt;1/1/2010", All!E:E,"&lt;&gt;LIT", All!E:E,"&lt;&gt;LEG",All!E:E,"&lt;&gt;UIPA*",All!E:E,"&lt;&gt;*TRNG*", All!E:E,"&lt;&gt;ADMIN",All!E:E,"&lt;&gt;RULES",All!E:E,"&lt;&gt;RR*",All!E:E,"&lt;&gt;RSCH"),COUNTIFS(All!F:F,"=Trans-*", All!B:B, "&gt;=1/1/2000", All!B:B, "&lt;1/1/2010", All!E:E,"&lt;&gt;LIT", All!E:E,"&lt;&gt;LEG",All!E:E,"&lt;&gt;UIPA*",All!E:E,"&lt;&gt;*TRNG*", All!E:E,"&lt;&gt;ADMIN",All!E:E,"&lt;&gt;RULES",All!E:E,"&lt;&gt;RR*",All!E:E,"&lt;&gt;RSCH"))</f>
        <v>7</v>
      </c>
      <c r="Y50">
        <f>SUM(COUNTIFS(All!F:F,"=*DTS*", All!F:F,"&lt;&gt;*HART*", All!B:B, "&gt;=1/1/2010", All!B:B, "&lt;1/1/2020", All!E:E,"&lt;&gt;LIT", All!E:E,"&lt;&gt;LEG",All!E:E,"&lt;&gt;UIPA*",All!E:E,"&lt;&gt;*TRNG*", All!E:E,"&lt;&gt;ADMIN",All!E:E,"&lt;&gt;RULES",All!E:E,"&lt;&gt;RR*",All!E:E,"&lt;&gt;RSCH"),COUNTIFS(All!F:F,"=Trans-*", All!B:B, "&gt;=1/1/2010", All!B:B, "&lt;1/1/2020", All!E:E,"&lt;&gt;LIT", All!E:E,"&lt;&gt;LEG",All!E:E,"&lt;&gt;UIPA*",All!E:E,"&lt;&gt;*TRNG*", All!E:E,"&lt;&gt;ADMIN",All!E:E,"&lt;&gt;RULES",All!E:E,"&lt;&gt;RR*",All!E:E,"&lt;&gt;RSCH"))</f>
        <v>6</v>
      </c>
      <c r="Z50">
        <f>SUM(COUNTIFS(All!F:F,"=*DTS*", All!F:F,"&lt;&gt;*HART*", All!B:B, "&gt;=1/1/2020", All!B:B, "&lt;1/1/2030", All!E:E,"&lt;&gt;LIT", All!E:E,"&lt;&gt;LEG",All!E:E,"&lt;&gt;UIPA*",All!E:E,"&lt;&gt;*TRNG*", All!E:E,"&lt;&gt;ADMIN",All!E:E,"&lt;&gt;RULES",All!E:E,"&lt;&gt;RR*",All!E:E,"&lt;&gt;RSCH"),COUNTIFS(All!F:F,"=Trans-*", All!B:B, "&gt;=1/1/2020", All!B:B, "&lt;1/1/2030", All!E:E,"&lt;&gt;LIT", All!E:E,"&lt;&gt;LEG",All!E:E,"&lt;&gt;UIPA*",All!E:E,"&lt;&gt;*TRNG*", All!E:E,"&lt;&gt;ADMIN",All!E:E,"&lt;&gt;RULES",All!E:E,"&lt;&gt;RR*",All!E:E,"&lt;&gt;RSCH"))</f>
        <v>0</v>
      </c>
    </row>
    <row r="51" spans="1:26" ht="16">
      <c r="A51" s="10">
        <v>50</v>
      </c>
      <c r="B51" s="1" t="s">
        <v>16198</v>
      </c>
      <c r="C51">
        <f>COUNTIFS(Major!F:F,"=*HART*",Major!F:F,"&lt;&gt;*charter*")</f>
        <v>8</v>
      </c>
      <c r="D51">
        <f>ROUND(AVERAGEIFS(Major!R:R, Major!F:F,"=*HART*", Major!F:F,"&lt;&gt;*charter*"), 0)</f>
        <v>670</v>
      </c>
      <c r="E51">
        <f>COUNTIFS(Major!F:F,"=*hart*",Major!B:B,"&lt;1/1/1995",Major!F:F,"&lt;&gt;*charter*")</f>
        <v>0</v>
      </c>
      <c r="F51">
        <f>ROUND(COUNTIFS(Major!F:F,"=*hart*",Major!B:B,"&lt;1/1/1995",Major!F:F,"&lt;&gt;*charter*")/YEARFRAC("11/1/1988", "12/31/1994"),0)</f>
        <v>0</v>
      </c>
      <c r="G51">
        <f>COUNTIFS(Major!F:F,"=*HART*", Major!B:B, "&gt;=1/1/1995", Major!B:B, "&lt;1/1/2000",Major!F:F,"&lt;&gt;*charter*")</f>
        <v>0</v>
      </c>
      <c r="H51">
        <f>ROUND(COUNTIFS(Major!F:F,"=*hart*",Major!B:B, "&gt;=1/1/1995", Major!B:B, "&lt;1/1/2000",Major!F:F,"&lt;&gt;*charter*")/YEARFRAC("1/1/1995", "12/31/1999"),0)</f>
        <v>0</v>
      </c>
      <c r="I51">
        <f>COUNTIFS(Major!F:F,"=*hart*", Major!B:B, "&gt;=1/1/2000", Major!B:B, "&lt;1/1/2005",Major!F:F,"&lt;&gt;*charter*")</f>
        <v>0</v>
      </c>
      <c r="J51">
        <f>ROUND(COUNTIFS(Major!F:F,"=*hart*",Major!B:B, "&gt;=1/1/2000", Major!B:B, "&lt;1/1/2005",Major!F:F,"&lt;&gt;*charter*")/YEARFRAC("1/1/2000", "12/31/2004"),0)</f>
        <v>0</v>
      </c>
      <c r="K51">
        <f>COUNTIFS(Major!F:F,"=*hart*", Major!B:B, "&gt;=1/1/2005", Major!B:B, "&lt;1/1/2010",Major!F:F,"&lt;&gt;*charter*")</f>
        <v>0</v>
      </c>
      <c r="L51">
        <f>ROUND(COUNTIFS(Major!F:F,"=*hart*",Major!B:B, "&gt;=1/1/2005", Major!B:B, "&lt;1/1/2010",Major!F:F,"&lt;&gt;*charter*")/YEARFRAC("1/1/2005", "12/31/2009"),0)</f>
        <v>0</v>
      </c>
      <c r="M51">
        <f>COUNTIFS(Major!F:F,"=*hart*", Major!B:B, "&gt;=1/1/2010", Major!B:B, "&lt;1/1/2015",Major!F:F,"&lt;&gt;*charter*")</f>
        <v>2</v>
      </c>
      <c r="N51">
        <f>ROUND(COUNTIFS(Major!F:F,"=*hart*",Major!B:B, "&gt;=1/1/2010", Major!B:B, "&lt;1/1/2015",Major!F:F,"&lt;&gt;*charter*")/YEARFRAC("1/1/2010", "12/31/2014"),0)</f>
        <v>0</v>
      </c>
      <c r="O51">
        <f>COUNTIFS(Major!F:F,"=*hart*", Major!B:B, "&gt;=1/1/2015", Major!B:B, "&lt;1/1/2020",Major!F:F,"&lt;&gt;*charter*")</f>
        <v>4</v>
      </c>
      <c r="P51">
        <f>ROUND(COUNTIFS(Major!F:F,"=*hart*",Major!B:B, "&gt;=1/1/2015", Major!B:B, "&lt;1/1/2020",Major!F:F,"&lt;&gt;*charter*")/YEARFRAC("1/1/2015", "12/31/2019"),0)</f>
        <v>1</v>
      </c>
      <c r="Q51">
        <f>ROUND(5*COUNTIFS(Major!F:F,"=*hart*",Major!B:B, "&gt;=1/1/2020", Major!B:B, "&lt;1/1/2025",Major!F:F,"&lt;&gt;*charter*")/YEARFRAC("1/1/2020", "1/1/2025"),0)</f>
        <v>2</v>
      </c>
      <c r="R51">
        <f>ROUND(COUNTIFS(Major!F:F,"=*hart*",Major!B:B, "&gt;=1/1/2020", Major!B:B, "&lt;1/1/2025",Major!F:F,"&lt;&gt;*charter*")/YEARFRAC("1/1/2020", "12/31/2024"),0)</f>
        <v>0</v>
      </c>
      <c r="S51">
        <f>COUNTIFS(Major!F:F,"=*hart*", Major!B:B, "&gt;=1/1/2025", Major!B:B, "&lt;1/1/2030",Major!F:F,"&lt;&gt;*charter*")</f>
        <v>0</v>
      </c>
      <c r="T51">
        <f>ROUND(5*COUNTIFS(Major!F:F,"=*hart*",Major!B:B, "&gt;=1/1/2025", Major!B:B, "&lt;1/1/2030",Major!F:F,"&lt;&gt;*charter*")/YEARFRAC("1/1/2025", "1/1/2026"),0)</f>
        <v>0</v>
      </c>
      <c r="U51">
        <f>COUNTIFS(All!F:F,"=*hart*", All!E:E,"&lt;&gt;LIT", All!E:E,"&lt;&gt;LEG",All!E:E,"&lt;&gt;UIPA*",All!E:E,"&lt;&gt;*TRNG*", All!E:E,"&lt;&gt;ADMIN",All!E:E,"&lt;&gt;RULES",All!E:E,"&lt;&gt;RR*",All!E:E,"&lt;&gt;RSCH",All!F:F,"&lt;&gt;*charter*")</f>
        <v>12</v>
      </c>
      <c r="V51">
        <f>ROUND(AVERAGEIFS(All!R:R, All!E:E,"&lt;&gt;LIT", All!E:E,"&lt;&gt;LEG",All!E:E,"&lt;&gt;UIPA*",All!E:E,"&lt;&gt;*TRNG*", All!E:E,"&lt;&gt;ADMIN",All!E:E,"&lt;&gt;RULES",All!E:E,"&lt;&gt;RR*",All!E:E,"&lt;&gt;RSCH",All!F:F,"=*hart*", All!F:F,"&lt;&gt;*charter*"), 0)</f>
        <v>519</v>
      </c>
      <c r="W51">
        <f>COUNTIFS(All!F:F,"=*hart*", All!B:B, "&lt;1/1/2000", All!E:E,"&lt;&gt;LIT", All!E:E,"&lt;&gt;LEG",All!E:E,"&lt;&gt;UIPA*",All!E:E,"&lt;&gt;*TRNG*", All!E:E,"&lt;&gt;ADMIN",All!E:E,"&lt;&gt;RULES",All!E:E,"&lt;&gt;RR*",All!E:E,"&lt;&gt;RSCH",All!F:F,"&lt;&gt;*charter*")</f>
        <v>0</v>
      </c>
      <c r="X51">
        <f>COUNTIFS(All!F:F,"=*hart*", All!B:B, "&gt;=1/1/2000", All!B:B, "&lt;1/1/2010", All!E:E,"&lt;&gt;LIT", All!E:E,"&lt;&gt;LEG",All!E:E,"&lt;&gt;UIPA*",All!E:E,"&lt;&gt;*TRNG*", All!E:E,"&lt;&gt;ADMIN",All!E:E,"&lt;&gt;RULES",All!E:E,"&lt;&gt;RR*",All!E:E,"&lt;&gt;RSCH",All!F:F,"&lt;&gt;*charter*")</f>
        <v>0</v>
      </c>
      <c r="Y51">
        <f>COUNTIFS(All!F:F,"=*hart*", All!B:B, "&gt;=1/1/2010", All!B:B, "&lt;1/1/2020", All!E:E,"&lt;&gt;LIT", All!E:E,"&lt;&gt;LEG",All!E:E,"&lt;&gt;UIPA*",All!E:E,"&lt;&gt;*TRNG*", All!E:E,"&lt;&gt;ADMIN",All!E:E,"&lt;&gt;RULES",All!E:E,"&lt;&gt;RR*",All!E:E,"&lt;&gt;RSCH",All!F:F,"&lt;&gt;*charter*")</f>
        <v>9</v>
      </c>
      <c r="Z51">
        <f>COUNTIFS(All!F:F,"=*hart*", All!B:B, "&gt;=1/1/2020", All!B:B, "&lt;1/1/2030", All!E:E,"&lt;&gt;LIT", All!E:E,"&lt;&gt;LEG",All!E:E,"&lt;&gt;UIPA*",All!E:E,"&lt;&gt;*TRNG*", All!E:E,"&lt;&gt;ADMIN",All!E:E,"&lt;&gt;RULES",All!E:E,"&lt;&gt;RR*",All!E:E,"&lt;&gt;RSCH",All!F:F,"&lt;&gt;*charter*")</f>
        <v>3</v>
      </c>
    </row>
    <row r="52" spans="1:26" ht="16">
      <c r="A52" s="10">
        <v>51</v>
      </c>
      <c r="B52" s="1" t="s">
        <v>16809</v>
      </c>
      <c r="C52">
        <f>SUM(COUNTIF(Major!F:F,"=*bws*"),COUNTIF(Major!F:F,"=*dws*"),COUNTIF(Major!F:F,"=water*"))</f>
        <v>18</v>
      </c>
      <c r="D52">
        <f>ROUND(AVERAGE(AVERAGEIF(Major!F:F,"=*bws*", Major!R:R),AVERAGEIF(Major!F:F,"=*dws*", Major!R:R),AVERAGEIF(Major!F:F,"=water*", Major!R:R)), 0)</f>
        <v>272</v>
      </c>
      <c r="E52">
        <f>SUM(COUNTIFS(Major!F:F,"=*bws*", Major!B:B, "&lt;1/1/1995"),COUNTIFS(Major!F:F,"=*dws*", Major!B:B, "&lt;1/1/1995"),COUNTIFS(Major!F:F,"=water*", Major!B:B, "&lt;1/1/1995"))</f>
        <v>3</v>
      </c>
      <c r="F52">
        <f>ROUND(SUM(COUNTIFS(Major!F:F,"=*bws*", Major!B:B, "&lt;1/1/1995"),COUNTIFS(Major!F:F,"=*dws*", Major!B:B, "&lt;1/1/1995"),COUNTIFS(Major!F:F,"=water*", Major!B:B, "&lt;1/1/1995"))/YEARFRAC("11/1/1988", "12/31/1994"),0)</f>
        <v>0</v>
      </c>
      <c r="G52">
        <f>SUM(COUNTIFS(Major!F:F,"=*bws*", Major!B:B, "&gt;=1/1/1995", Major!B:B, "&lt;1/1/2000"),COUNTIFS(Major!F:F,"=*dws*", Major!B:B, "&gt;=1/1/1995", Major!B:B, "&lt;1/1/2000"),COUNTIFS(Major!F:F,"=water*", Major!B:B, "&gt;=1/1/1995", Major!B:B, "&lt;1/1/2000"))</f>
        <v>5</v>
      </c>
      <c r="H52">
        <f>ROUND(SUM(COUNTIFS(Major!F:F,"=*bws*", Major!B:B, "&gt;=1/1/1995", Major!B:B, "&lt;1/1/2000"),COUNTIFS(Major!F:F,"=*dws*", Major!B:B, "&gt;=1/1/1995", Major!B:B, "&lt;1/1/2000"),COUNTIFS(Major!F:F,"=water*", Major!B:B, "&gt;=1/1/1995", Major!B:B, "&lt;1/1/2000"))/YEARFRAC("1/1/1995", "12/31/1999"),0)</f>
        <v>1</v>
      </c>
      <c r="I52">
        <f>SUM(COUNTIFS(Major!F:F,"=*bws*", Major!B:B, "&gt;=1/1/2000", Major!B:B, "&lt;1/1/2005"),COUNTIFS(Major!F:F,"=*dws*", Major!B:B, "&gt;=1/1/2000", Major!B:B, "&lt;1/1/2005"),COUNTIFS(Major!F:F,"=water*", Major!B:B, "&gt;=1/1/2000", Major!B:B, "&lt;1/1/2005"))</f>
        <v>4</v>
      </c>
      <c r="J52">
        <f>ROUND(SUM(COUNTIFS(Major!F:F,"=*bws*", Major!B:B, "&gt;=1/1/2000", Major!B:B, "&lt;1/1/2005"),COUNTIFS(Major!F:F,"=*dws*", Major!B:B, "&gt;=1/1/2000", Major!B:B, "&lt;1/1/2005"),COUNTIFS(Major!F:F,"=water*", Major!B:B, "&gt;=1/1/2000", Major!B:B, "&lt;1/1/2005"))/YEARFRAC("1/1/2000", "12/31/2004"),0)</f>
        <v>1</v>
      </c>
      <c r="K52">
        <f>SUM(COUNTIFS(Major!F:F,"=*bws*", Major!B:B, "&gt;=1/1/2005", Major!B:B, "&lt;1/1/2010"),COUNTIFS(Major!F:F,"=*dws*", Major!B:B, "&gt;=1/1/2005", Major!B:B, "&lt;1/1/2010"),COUNTIFS(Major!F:F,"=water*", Major!B:B, "&gt;=1/1/2005", Major!B:B, "&lt;1/1/2010"))</f>
        <v>2</v>
      </c>
      <c r="L52">
        <f>ROUND(SUM(COUNTIFS(Major!F:F,"=*bws*", Major!B:B, "&gt;=1/1/2005", Major!B:B, "&lt;1/1/2010"),COUNTIFS(Major!F:F,"=*dws*", Major!B:B, "&gt;=1/1/2005", Major!B:B, "&lt;1/1/2010"),COUNTIFS(Major!F:F,"=water*", Major!B:B, "&gt;=1/1/2005", Major!B:B, "&lt;1/1/2010"))/YEARFRAC("1/1/2005", "12/31/2009"),0)</f>
        <v>0</v>
      </c>
      <c r="M52">
        <f>SUM(COUNTIFS(Major!F:F,"=*bws*", Major!B:B, "&gt;=1/1/2010", Major!B:B, "&lt;1/1/2015"),COUNTIFS(Major!F:F,"=*dws*", Major!B:B, "&gt;=1/1/2010", Major!B:B, "&lt;1/1/2015"),COUNTIFS(Major!F:F,"=water*", Major!B:B, "&gt;=1/1/2010", Major!B:B, "&lt;1/1/2015"))</f>
        <v>1</v>
      </c>
      <c r="N52">
        <f>ROUND(SUM(COUNTIFS(Major!F:F,"=*bws*", Major!B:B, "&gt;=1/1/2010", Major!B:B, "&lt;1/1/2015"),COUNTIFS(Major!F:F,"=*dws*", Major!B:B, "&gt;=1/1/2010", Major!B:B, "&lt;1/1/2015"),COUNTIFS(Major!F:F,"=water*", Major!B:B, "&gt;=1/1/2010", Major!B:B, "&lt;1/1/2015"))/YEARFRAC("1/1/2010", "12/31/2014"),0)</f>
        <v>0</v>
      </c>
      <c r="O52">
        <f>SUM(COUNTIFS(Major!F:F,"=*bws*", Major!B:B, "&gt;=1/1/2015", Major!B:B, "&lt;1/1/2020"),COUNTIFS(Major!F:F,"=*dws*", Major!B:B, "&gt;=1/1/2015", Major!B:B, "&lt;1/1/2020"),COUNTIFS(Major!F:F,"=water*", Major!B:B, "&gt;=1/1/2015", Major!B:B, "&lt;1/1/2020"))</f>
        <v>1</v>
      </c>
      <c r="P52">
        <f>ROUND(SUM(COUNTIFS(Major!F:F,"=*bws*", Major!B:B, "&gt;=1/1/2015", Major!B:B, "&lt;1/1/2020"),COUNTIFS(Major!F:F,"=*dws*", Major!B:B, "&gt;=1/1/2015", Major!B:B, "&lt;1/1/2020"),COUNTIFS(Major!F:F,"=water*", Major!B:B, "&gt;=1/1/2015", Major!B:B, "&lt;1/1/2020"))/YEARFRAC("1/1/2015", "12/31/2019"),0)</f>
        <v>0</v>
      </c>
      <c r="Q52">
        <f>ROUND(5*SUM(COUNTIFS(Major!F:F,"=*bws*", Major!B:B, "&gt;=1/1/2020", Major!B:B, "&lt;1/1/2025"),COUNTIFS(Major!F:F,"=*dws*", Major!B:B, "&gt;=1/1/2020", Major!B:B, "&lt;1/1/2025"),COUNTIFS(Major!F:F,"=water*", Major!B:B, "&gt;=1/1/2020", Major!B:B, "&lt;1/1/2025"))/YEARFRAC("1/1/2020", "1/1/2025"),0)</f>
        <v>2</v>
      </c>
      <c r="R52">
        <f>ROUND(SUM(COUNTIFS(Major!F:F,"=*bws*", Major!B:B, "&gt;=1/1/2020", Major!B:B, "&lt;1/1/2025"),COUNTIFS(Major!F:F,"=*dws*", Major!B:B, "&gt;=1/1/2020", Major!B:B, "&lt;1/1/2025"),COUNTIFS(Major!F:F,"=water*", Major!B:B, "&gt;=1/1/2020", Major!B:B, "&lt;1/1/2025"))/YEARFRAC("1/1/2020", "12/31/2024"),0)</f>
        <v>0</v>
      </c>
      <c r="S52">
        <f>SUM(COUNTIFS(Major!F:F,"=*bws*", Major!B:B, "&gt;=1/1/2025", Major!B:B, "&lt;1/1/2030"),COUNTIFS(Major!F:F,"=*dws*", Major!B:B, "&gt;=1/1/2025", Major!B:B, "&lt;1/1/2030"),COUNTIFS(Major!F:F,"=water*", Major!B:B, "&gt;=1/1/2025", Major!B:B, "&lt;1/1/2030"))</f>
        <v>0</v>
      </c>
      <c r="T52">
        <f>ROUND(5*SUM(COUNTIFS(Major!F:F,"=*bws*", Major!B:B, "&gt;=1/1/2025", Major!B:B, "&lt;1/1/2030"),COUNTIFS(Major!F:F,"=*dws*", Major!B:B, "&gt;=1/1/2025", Major!B:B, "&lt;1/1/2030"),COUNTIFS(Major!F:F,"=water*", Major!B:B, "&gt;=1/1/2025", Major!B:B, "&lt;1/1/2030"))/YEARFRAC("1/1/2025", "1/1/2026"),0)</f>
        <v>0</v>
      </c>
      <c r="U52">
        <f>SUM(COUNTIFS(All!F:F,"=*bws*", All!E:E,"&lt;&gt;LIT", All!E:E,"&lt;&gt;LEG",All!E:E,"&lt;&gt;UIPA*",All!E:E,"&lt;&gt;*TRNG*", All!E:E,"&lt;&gt;ADMIN",All!E:E,"&lt;&gt;RULES",All!E:E,"&lt;&gt;RR*",All!E:E,"&lt;&gt;RSCH"),COUNTIFS(All!F:F,"=*dws*", All!E:E,"&lt;&gt;LIT", All!E:E,"&lt;&gt;LEG",All!E:E,"&lt;&gt;UIPA*",All!E:E,"&lt;&gt;*TRNG*", All!E:E,"&lt;&gt;ADMIN",All!E:E,"&lt;&gt;RULES",All!E:E,"&lt;&gt;RR*",All!E:E,"&lt;&gt;RSCH"),COUNTIFS(All!F:F,"=water*", All!E:E,"&lt;&gt;LIT", All!E:E,"&lt;&gt;LEG",All!E:E,"&lt;&gt;UIPA*",All!E:E,"&lt;&gt;*TRNG*", All!E:E,"&lt;&gt;ADMIN",All!E:E,"&lt;&gt;RULES",All!E:E,"&lt;&gt;RR*",All!E:E,"&lt;&gt;RSCH"))</f>
        <v>30</v>
      </c>
      <c r="V52">
        <f>ROUND(AVERAGE(AVERAGEIFS(All!R:R, All!E:E,"&lt;&gt;LIT", All!E:E,"&lt;&gt;LEG",All!E:E,"&lt;&gt;UIPA*",All!E:E,"&lt;&gt;*TRNG*", All!E:E,"&lt;&gt;ADMIN",All!E:E,"&lt;&gt;RULES",All!E:E,"&lt;&gt;RR*",All!E:E,"&lt;&gt;RSCH",All!F:F,"=*bws*"),AVERAGEIFS(All!R:R, All!E:E,"&lt;&gt;LIT", All!E:E,"&lt;&gt;LEG",All!E:E,"&lt;&gt;UIPA*",All!E:E,"&lt;&gt;*TRNG*", All!E:E,"&lt;&gt;ADMIN",All!E:E,"&lt;&gt;RULES",All!E:E,"&lt;&gt;RR*",All!E:E,"&lt;&gt;RSCH",All!F:F,"=*dws*"),AVERAGEIFS(All!R:R, All!E:E,"&lt;&gt;LIT", All!E:E,"&lt;&gt;LEG",All!E:E,"&lt;&gt;UIPA*",All!E:E,"&lt;&gt;*TRNG*", All!E:E,"&lt;&gt;ADMIN",All!E:E,"&lt;&gt;RULES",All!E:E,"&lt;&gt;RR*",All!E:E,"&lt;&gt;RSCH",All!F:F,"=water*")), 0)</f>
        <v>207</v>
      </c>
      <c r="W52">
        <f>SUM(COUNTIFS(All!F:F,"=*bws*", All!B:B, "&lt;1/1/2000", All!E:E,"&lt;&gt;LIT", All!E:E,"&lt;&gt;LEG",All!E:E,"&lt;&gt;UIPA*",All!E:E,"&lt;&gt;*TRNG*", All!E:E,"&lt;&gt;ADMIN",All!E:E,"&lt;&gt;RULES",All!E:E,"&lt;&gt;RR*",All!E:E,"&lt;&gt;RSCH"),COUNTIFS(All!F:F,"=*dws*", All!B:B, "&lt;1/1/2000", All!E:E,"&lt;&gt;LIT", All!E:E,"&lt;&gt;LEG",All!E:E,"&lt;&gt;UIPA*",All!E:E,"&lt;&gt;*TRNG*", All!E:E,"&lt;&gt;ADMIN",All!E:E,"&lt;&gt;RULES",All!E:E,"&lt;&gt;RR*",All!E:E,"&lt;&gt;RSCH"),COUNTIFS(All!F:F,"=water*", All!B:B, "&lt;1/1/2000", All!E:E,"&lt;&gt;LIT", All!E:E,"&lt;&gt;LEG",All!E:E,"&lt;&gt;UIPA*",All!E:E,"&lt;&gt;*TRNG*", All!E:E,"&lt;&gt;ADMIN",All!E:E,"&lt;&gt;RULES",All!E:E,"&lt;&gt;RR*",All!E:E,"&lt;&gt;RSCH"))</f>
        <v>13</v>
      </c>
      <c r="X52">
        <f>SUM(COUNTIFS(All!F:F,"=*bws*", All!B:B, "&gt;=1/1/2000", All!B:B, "&lt;1/1/2010", All!E:E,"&lt;&gt;LIT", All!E:E,"&lt;&gt;LEG",All!E:E,"&lt;&gt;UIPA*",All!E:E,"&lt;&gt;*TRNG*", All!E:E,"&lt;&gt;ADMIN",All!E:E,"&lt;&gt;RULES",All!E:E,"&lt;&gt;RR*",All!E:E,"&lt;&gt;RSCH"),COUNTIFS(All!F:F,"=*dws*", All!B:B, "&gt;=1/1/2000", All!B:B, "&lt;1/1/2010", All!E:E,"&lt;&gt;LIT", All!E:E,"&lt;&gt;LEG",All!E:E,"&lt;&gt;UIPA*",All!E:E,"&lt;&gt;*TRNG*", All!E:E,"&lt;&gt;ADMIN",All!E:E,"&lt;&gt;RULES",All!E:E,"&lt;&gt;RR*",All!E:E,"&lt;&gt;RSCH"),COUNTIFS(All!F:F,"=water*", All!B:B, "&gt;=1/1/2000", All!B:B, "&lt;1/1/2010", All!E:E,"&lt;&gt;LIT", All!E:E,"&lt;&gt;LEG",All!E:E,"&lt;&gt;UIPA*",All!E:E,"&lt;&gt;*TRNG*", All!E:E,"&lt;&gt;ADMIN",All!E:E,"&lt;&gt;RULES",All!E:E,"&lt;&gt;RR*",All!E:E,"&lt;&gt;RSCH"))</f>
        <v>10</v>
      </c>
      <c r="Y52">
        <f>SUM(COUNTIFS(All!F:F,"=*bws*", All!B:B, "&gt;=1/1/2010", All!B:B, "&lt;1/1/2020", All!E:E,"&lt;&gt;LIT", All!E:E,"&lt;&gt;LEG",All!E:E,"&lt;&gt;UIPA*",All!E:E,"&lt;&gt;*TRNG*", All!E:E,"&lt;&gt;ADMIN",All!E:E,"&lt;&gt;RULES",All!E:E,"&lt;&gt;RR*",All!E:E,"&lt;&gt;RSCH"),COUNTIFS(All!F:F,"=*dws*", All!B:B, "&gt;=1/1/2010", All!B:B, "&lt;1/1/2020", All!E:E,"&lt;&gt;LIT", All!E:E,"&lt;&gt;LEG",All!E:E,"&lt;&gt;UIPA*",All!E:E,"&lt;&gt;*TRNG*", All!E:E,"&lt;&gt;ADMIN",All!E:E,"&lt;&gt;RULES",All!E:E,"&lt;&gt;RR*",All!E:E,"&lt;&gt;RSCH"),COUNTIFS(All!F:F,"=water*", All!B:B, "&gt;=1/1/2010", All!B:B, "&lt;1/1/2020", All!E:E,"&lt;&gt;LIT", All!E:E,"&lt;&gt;LEG",All!E:E,"&lt;&gt;UIPA*",All!E:E,"&lt;&gt;*TRNG*", All!E:E,"&lt;&gt;ADMIN",All!E:E,"&lt;&gt;RULES",All!E:E,"&lt;&gt;RR*",All!E:E,"&lt;&gt;RSCH"))</f>
        <v>3</v>
      </c>
      <c r="Z52">
        <f>SUM(COUNTIFS(All!F:F,"=*bws*", All!B:B, "&gt;=1/1/2020", All!B:B, "&lt;1/1/2030", All!E:E,"&lt;&gt;LIT", All!E:E,"&lt;&gt;LEG",All!E:E,"&lt;&gt;UIPA*",All!E:E,"&lt;&gt;*TRNG*", All!E:E,"&lt;&gt;ADMIN",All!E:E,"&lt;&gt;RULES",All!E:E,"&lt;&gt;RR*",All!E:E,"&lt;&gt;RSCH"),COUNTIFS(All!F:F,"=*dws*", All!B:B, "&gt;=1/1/2020", All!B:B, "&lt;1/1/2030", All!E:E,"&lt;&gt;LIT", All!E:E,"&lt;&gt;LEG",All!E:E,"&lt;&gt;UIPA*",All!E:E,"&lt;&gt;*TRNG*", All!E:E,"&lt;&gt;ADMIN",All!E:E,"&lt;&gt;RULES",All!E:E,"&lt;&gt;RR*",All!E:E,"&lt;&gt;RSCH"),COUNTIFS(All!F:F,"=water*", All!B:B, "&gt;=1/1/2020", All!B:B, "&lt;1/1/2030", All!E:E,"&lt;&gt;LIT", All!E:E,"&lt;&gt;LEG",All!E:E,"&lt;&gt;UIPA*",All!E:E,"&lt;&gt;*TRNG*", All!E:E,"&lt;&gt;ADMIN",All!E:E,"&lt;&gt;RULES",All!E:E,"&lt;&gt;RR*",All!E:E,"&lt;&gt;RSCH"))</f>
        <v>4</v>
      </c>
    </row>
    <row r="53" spans="1:26" ht="16">
      <c r="A53" s="10">
        <v>52</v>
      </c>
      <c r="B53" s="9" t="s">
        <v>17451</v>
      </c>
    </row>
    <row r="54" spans="1:26" ht="16">
      <c r="A54" s="10">
        <v>53</v>
      </c>
      <c r="B54" s="9" t="s">
        <v>17452</v>
      </c>
    </row>
    <row r="55" spans="1:26" ht="16">
      <c r="A55" s="10">
        <v>54</v>
      </c>
      <c r="B55" s="9" t="s">
        <v>17453</v>
      </c>
    </row>
    <row r="56" spans="1:26" ht="16">
      <c r="A56" s="10">
        <v>55</v>
      </c>
      <c r="B56" s="9" t="s">
        <v>17454</v>
      </c>
    </row>
    <row r="57" spans="1:26" ht="16">
      <c r="A57" s="10">
        <v>56</v>
      </c>
      <c r="B57" s="1" t="s">
        <v>17241</v>
      </c>
      <c r="C57">
        <f>COUNTIF(Major!F:F,"=medex*")</f>
        <v>5</v>
      </c>
      <c r="D57">
        <f>ROUND(AVERAGEIF(Major!F:F,"=medex*", Major!R:R), 0)</f>
        <v>428</v>
      </c>
      <c r="E57">
        <f>COUNTIFS(Major!F:F,"=medex*", Major!B:B, "&lt;1/1/1995")</f>
        <v>4</v>
      </c>
      <c r="F57">
        <f>ROUND(COUNTIFS(Major!F:F,"=medex*", Major!B:B, "&lt;1/1/1995")/YEARFRAC("11/1/1988", "12/31/1994"),0)</f>
        <v>1</v>
      </c>
      <c r="G57">
        <f>COUNTIFS(Major!F:F,"=medex*", Major!B:B, "&gt;=1/1/1995", Major!B:B, "&lt;1/1/2000")</f>
        <v>1</v>
      </c>
      <c r="H57">
        <f>ROUND(COUNTIFS(Major!F:F,"=medex*", Major!B:B, "&gt;=1/1/1995", Major!B:B, "&lt;1/1/2000")/YEARFRAC("1/1/1995", "12/31/1999"),0)</f>
        <v>0</v>
      </c>
      <c r="I57">
        <f>COUNTIFS(Major!F:F,"=medex*", Major!B:B, "&gt;=1/1/2000", Major!B:B, "&lt;1/1/2005")</f>
        <v>0</v>
      </c>
      <c r="J57">
        <f>ROUND(COUNTIFS(Major!F:F,"=medex*", Major!B:B, "&gt;=1/1/2000", Major!B:B, "&lt;1/1/2005")/YEARFRAC("1/1/2000", "12/31/2004"),0)</f>
        <v>0</v>
      </c>
      <c r="K57">
        <f>COUNTIFS(Major!F:F,"=medex*", Major!B:B, "&gt;=1/1/2005", Major!B:B, "&lt;1/1/2010")</f>
        <v>0</v>
      </c>
      <c r="L57">
        <f>ROUND(COUNTIFS(Major!F:F,"=medex*", Major!B:B, "&gt;=1/1/2005", Major!B:B, "&lt;1/1/2010")/YEARFRAC("1/1/2005", "12/31/2009"),0)</f>
        <v>0</v>
      </c>
      <c r="M57">
        <f>COUNTIFS(Major!F:F,"=medex*", Major!B:B, "&gt;=1/1/2010", Major!B:B, "&lt;1/1/2015")</f>
        <v>0</v>
      </c>
      <c r="N57">
        <f>ROUND(COUNTIFS(Major!F:F,"=medex*", Major!B:B, "&gt;=1/1/2010", Major!B:B, "&lt;1/1/2015")/YEARFRAC("1/1/2010", "12/31/2014"),0)</f>
        <v>0</v>
      </c>
      <c r="O57">
        <f>COUNTIFS(Major!F:F,"=medex*", Major!B:B, "&gt;=1/1/2015", Major!B:B, "&lt;1/1/2020")</f>
        <v>0</v>
      </c>
      <c r="P57">
        <f>ROUND(COUNTIFS(Major!F:F,"=medex*", Major!B:B, "&gt;=1/1/2015", Major!B:B, "&lt;1/1/2020")/YEARFRAC("1/1/2015", "12/31/2019"),0)</f>
        <v>0</v>
      </c>
      <c r="Q57">
        <f>ROUND(5*COUNTIFS(Major!F:F,"=medex*", Major!B:B, "&gt;=1/1/2020", Major!B:B, "&lt;1/1/2025")/YEARFRAC("1/1/2020", "1/1/2025"),0)</f>
        <v>0</v>
      </c>
      <c r="R57">
        <f>ROUND(COUNTIFS(Major!F:F,"=medex*", Major!B:B, "&gt;=1/1/2020", Major!B:B, "&lt;1/1/2025")/YEARFRAC("1/1/2020", "12/31/2024"),0)</f>
        <v>0</v>
      </c>
      <c r="S57">
        <f>COUNTIFS(Major!F:F,"=medex*", Major!B:B, "&gt;=1/1/2025", Major!B:B, "&lt;1/1/2030")</f>
        <v>0</v>
      </c>
      <c r="T57">
        <f>ROUND(5*COUNTIFS(Major!F:F,"=medex*", Major!B:B, "&gt;=1/1/2025", Major!B:B, "&lt;1/1/2030")/YEARFRAC("1/1/2025", "1/1/2026"),0)</f>
        <v>0</v>
      </c>
      <c r="U57">
        <f>COUNTIFS(All!F:F,"=medex*", All!E:E,"&lt;&gt;LIT", All!E:E,"&lt;&gt;LEG",All!E:E,"&lt;&gt;UIPA*",All!E:E,"&lt;&gt;*TRNG*", All!E:E,"&lt;&gt;ADMIN",All!E:E,"&lt;&gt;RULES",All!E:E,"&lt;&gt;RR*",All!E:E,"&lt;&gt;RSCH")</f>
        <v>6</v>
      </c>
      <c r="V57">
        <f>ROUND(AVERAGEIFS(All!R:R, All!E:E,"&lt;&gt;LIT", All!E:E,"&lt;&gt;LEG",All!E:E,"&lt;&gt;UIPA*",All!E:E,"&lt;&gt;*TRNG*", All!E:E,"&lt;&gt;ADMIN",All!E:E,"&lt;&gt;RULES",All!E:E,"&lt;&gt;RR*",All!E:E,"&lt;&gt;RSCH",All!F:F,"=medex*"), 0)</f>
        <v>418</v>
      </c>
      <c r="W57">
        <f>COUNTIFS(All!F:F,"=medex*", All!B:B, "&lt;1/1/2000", All!E:E,"&lt;&gt;LIT", All!E:E,"&lt;&gt;LEG",All!E:E,"&lt;&gt;UIPA*",All!E:E,"&lt;&gt;*TRNG*", All!E:E,"&lt;&gt;ADMIN",All!E:E,"&lt;&gt;RULES",All!E:E,"&lt;&gt;RR*",All!E:E,"&lt;&gt;RSCH")</f>
        <v>5</v>
      </c>
      <c r="X57">
        <f>COUNTIFS(All!F:F,"=medex*", All!B:B, "&gt;=1/1/2000", All!B:B, "&lt;1/1/2010", All!E:E,"&lt;&gt;LIT", All!E:E,"&lt;&gt;LEG",All!E:E,"&lt;&gt;UIPA*",All!E:E,"&lt;&gt;*TRNG*", All!E:E,"&lt;&gt;ADMIN",All!E:E,"&lt;&gt;RULES",All!E:E,"&lt;&gt;RR*",All!E:E,"&lt;&gt;RSCH")</f>
        <v>0</v>
      </c>
      <c r="Y57">
        <f>COUNTIFS(All!F:F,"=medex*", All!B:B, "&gt;=1/1/2010", All!B:B, "&lt;1/1/2020", All!E:E,"&lt;&gt;LIT", All!E:E,"&lt;&gt;LEG",All!E:E,"&lt;&gt;UIPA*",All!E:E,"&lt;&gt;*TRNG*", All!E:E,"&lt;&gt;ADMIN",All!E:E,"&lt;&gt;RULES",All!E:E,"&lt;&gt;RR*",All!E:E,"&lt;&gt;RSCH")</f>
        <v>1</v>
      </c>
      <c r="Z57">
        <f>COUNTIFS(All!F:F,"=medex*", All!B:B, "&gt;=1/1/2020", All!B:B, "&lt;1/1/2030", All!E:E,"&lt;&gt;LIT", All!E:E,"&lt;&gt;LEG",All!E:E,"&lt;&gt;UIPA*",All!E:E,"&lt;&gt;*TRNG*", All!E:E,"&lt;&gt;ADMIN",All!E:E,"&lt;&gt;RULES",All!E:E,"&lt;&gt;RR*",All!E:E,"&lt;&gt;RSCH")</f>
        <v>0</v>
      </c>
    </row>
    <row r="58" spans="1:26" ht="32">
      <c r="A58" s="10">
        <v>57</v>
      </c>
      <c r="B58" s="1" t="s">
        <v>16799</v>
      </c>
      <c r="C58">
        <f>COUNTIF(Major!F:F,"=*ethics*")</f>
        <v>37</v>
      </c>
      <c r="D58">
        <f>ROUND(AVERAGEIF(Major!F:F,"=*ethics*", Major!R:R), 0)</f>
        <v>788</v>
      </c>
      <c r="E58">
        <f>COUNTIFS(Major!F:F,"=*ethics*", Major!B:B, "&lt;1/1/1995")</f>
        <v>11</v>
      </c>
      <c r="F58">
        <f>ROUND(COUNTIFS(Major!F:F,"=*ethics*", Major!B:B, "&lt;1/1/1995")/YEARFRAC("11/1/1988", "12/31/1994"),0)</f>
        <v>2</v>
      </c>
      <c r="G58">
        <f>COUNTIFS(Major!F:F,"=*ethics*", Major!B:B, "&gt;=1/1/1995", Major!B:B, "&lt;1/1/2000")</f>
        <v>3</v>
      </c>
      <c r="H58">
        <f>ROUND(COUNTIFS(Major!F:F,"=*ethics*", Major!B:B, "&gt;=1/1/1995", Major!B:B, "&lt;1/1/2000")/YEARFRAC("1/1/1995", "12/31/1999"),0)</f>
        <v>1</v>
      </c>
      <c r="I58">
        <f>COUNTIFS(Major!F:F,"=*ethics*", Major!B:B, "&gt;=1/1/2000", Major!B:B, "&lt;1/1/2005")</f>
        <v>3</v>
      </c>
      <c r="J58">
        <f>ROUND(COUNTIFS(Major!F:F,"=*ethics*", Major!B:B, "&gt;=1/1/2000", Major!B:B, "&lt;1/1/2005")/YEARFRAC("1/1/2000", "12/31/2004"),0)</f>
        <v>1</v>
      </c>
      <c r="K58">
        <f>COUNTIFS(Major!F:F,"=*ethics*", Major!B:B, "&gt;=1/1/2005", Major!B:B, "&lt;1/1/2010")</f>
        <v>8</v>
      </c>
      <c r="L58">
        <f>ROUND(COUNTIFS(Major!F:F,"=*ethics*", Major!B:B, "&gt;=1/1/2005", Major!B:B, "&lt;1/1/2010")/YEARFRAC("1/1/2005", "12/31/2009"),0)</f>
        <v>2</v>
      </c>
      <c r="M58">
        <f>COUNTIFS(Major!F:F,"=*ethics*", Major!B:B, "&gt;=1/1/2010", Major!B:B, "&lt;1/1/2015")</f>
        <v>4</v>
      </c>
      <c r="N58">
        <f>ROUND(COUNTIFS(Major!F:F,"=*ethics*", Major!B:B, "&gt;=1/1/2010", Major!B:B, "&lt;1/1/2015")/YEARFRAC("1/1/2010", "12/31/2014"),0)</f>
        <v>1</v>
      </c>
      <c r="O58">
        <f>COUNTIFS(Major!F:F,"=*ethics*", Major!B:B, "&gt;=1/1/2015", Major!B:B, "&lt;1/1/2020")</f>
        <v>4</v>
      </c>
      <c r="P58">
        <f>ROUND(COUNTIFS(Major!F:F,"=*ethics*", Major!B:B, "&gt;=1/1/2015", Major!B:B, "&lt;1/1/2020")/YEARFRAC("1/1/2015", "12/31/2019"),0)</f>
        <v>1</v>
      </c>
      <c r="Q58">
        <f>ROUND(5*COUNTIFS(Major!F:F,"=*ethics*", Major!B:B, "&gt;=1/1/2020", Major!B:B, "&lt;1/1/2025")/YEARFRAC("1/1/2020", "1/1/2025"),0)</f>
        <v>4</v>
      </c>
      <c r="R58">
        <f>ROUND(COUNTIFS(Major!F:F,"=*ethics*", Major!B:B, "&gt;=1/1/2020", Major!B:B, "&lt;1/1/2025")/YEARFRAC("1/1/2020", "12/31/2024"),0)</f>
        <v>1</v>
      </c>
      <c r="S58">
        <f>COUNTIFS(Major!F:F,"=*ethics*", Major!B:B, "&gt;=1/1/2025", Major!B:B, "&lt;1/1/2030")</f>
        <v>0</v>
      </c>
      <c r="T58">
        <f>ROUND(5*COUNTIFS(Major!F:F,"=*ethics*", Major!B:B, "&gt;=1/1/2025", Major!B:B, "&lt;1/1/2030")/YEARFRAC("1/1/2025", "1/1/2026"),0)</f>
        <v>0</v>
      </c>
      <c r="U58">
        <f>COUNTIFS(All!F:F,"=*ethics*", All!E:E,"&lt;&gt;LIT", All!E:E,"&lt;&gt;LEG",All!E:E,"&lt;&gt;UIPA*",All!E:E,"&lt;&gt;*TRNG*", All!E:E,"&lt;&gt;ADMIN",All!E:E,"&lt;&gt;RULES",All!E:E,"&lt;&gt;RR*",All!E:E,"&lt;&gt;RSCH")</f>
        <v>58</v>
      </c>
      <c r="V58">
        <f>ROUND(AVERAGEIFS(All!R:R, All!E:E,"&lt;&gt;LIT", All!E:E,"&lt;&gt;LEG",All!E:E,"&lt;&gt;UIPA*",All!E:E,"&lt;&gt;*TRNG*", All!E:E,"&lt;&gt;ADMIN",All!E:E,"&lt;&gt;RULES",All!E:E,"&lt;&gt;RR*",All!E:E,"&lt;&gt;RSCH",All!F:F,"=*ethics*"), 0)</f>
        <v>564</v>
      </c>
      <c r="W58">
        <f>COUNTIFS(All!F:F,"=*ethics*", All!B:B, "&lt;1/1/2000", All!E:E,"&lt;&gt;LIT", All!E:E,"&lt;&gt;LEG",All!E:E,"&lt;&gt;UIPA*",All!E:E,"&lt;&gt;*TRNG*", All!E:E,"&lt;&gt;ADMIN",All!E:E,"&lt;&gt;RULES",All!E:E,"&lt;&gt;RR*",All!E:E,"&lt;&gt;RSCH")</f>
        <v>19</v>
      </c>
      <c r="X58">
        <f>COUNTIFS(All!F:F,"=*ethics*", All!B:B, "&gt;=1/1/2000", All!B:B, "&lt;1/1/2010", All!E:E,"&lt;&gt;LIT", All!E:E,"&lt;&gt;LEG",All!E:E,"&lt;&gt;UIPA*",All!E:E,"&lt;&gt;*TRNG*", All!E:E,"&lt;&gt;ADMIN",All!E:E,"&lt;&gt;RULES",All!E:E,"&lt;&gt;RR*",All!E:E,"&lt;&gt;RSCH")</f>
        <v>18</v>
      </c>
      <c r="Y58">
        <f>COUNTIFS(All!F:F,"=*ethics*", All!B:B, "&gt;=1/1/2010", All!B:B, "&lt;1/1/2020", All!E:E,"&lt;&gt;LIT", All!E:E,"&lt;&gt;LEG",All!E:E,"&lt;&gt;UIPA*",All!E:E,"&lt;&gt;*TRNG*", All!E:E,"&lt;&gt;ADMIN",All!E:E,"&lt;&gt;RULES",All!E:E,"&lt;&gt;RR*",All!E:E,"&lt;&gt;RSCH")</f>
        <v>16</v>
      </c>
      <c r="Z58">
        <f>COUNTIFS(All!F:F,"=*ethics*", All!B:B, "&gt;=1/1/2020", All!B:B, "&lt;1/1/2030", All!E:E,"&lt;&gt;LIT", All!E:E,"&lt;&gt;LEG",All!E:E,"&lt;&gt;UIPA*",All!E:E,"&lt;&gt;*TRNG*", All!E:E,"&lt;&gt;ADMIN",All!E:E,"&lt;&gt;RULES",All!E:E,"&lt;&gt;RR*",All!E:E,"&lt;&gt;RSCH")</f>
        <v>5</v>
      </c>
    </row>
    <row r="59" spans="1:26" ht="16">
      <c r="A59" s="10">
        <v>58</v>
      </c>
      <c r="B59" s="9" t="s">
        <v>17440</v>
      </c>
    </row>
    <row r="60" spans="1:26" ht="16">
      <c r="A60" s="10">
        <v>59</v>
      </c>
      <c r="B60" s="9" t="s">
        <v>17441</v>
      </c>
    </row>
    <row r="61" spans="1:26" ht="16">
      <c r="A61" s="10">
        <v>60</v>
      </c>
      <c r="B61" s="1" t="s">
        <v>17237</v>
      </c>
      <c r="C61">
        <f>COUNTIFS(Major!F:F,"=AG*",Major!F:F,"&lt;&gt;aging*",Major!F:F,"&lt;&gt;agency*")</f>
        <v>85</v>
      </c>
      <c r="D61">
        <f>ROUND(AVERAGEIFS(Major!R:R, Major!F:F,"=AG*", Major!F:F,"&lt;&gt;aging-k"), 0)</f>
        <v>431</v>
      </c>
      <c r="E61">
        <f>COUNTIFS(Major!F:F,"=AG*",Major!B:B,"&lt;1/1/1995",Major!F:F,"&lt;&gt;aging*",Major!F:F,"&lt;&gt;agency*")</f>
        <v>41</v>
      </c>
      <c r="F61">
        <f>ROUND(COUNTIFS(Major!F:F,"=AG*",Major!B:B,"&lt;1/1/1995",Major!F:F,"&lt;&gt;aging*",Major!F:F,"&lt;&gt;agency*")/YEARFRAC("11/1/1988", "12/31/1994"),0)</f>
        <v>7</v>
      </c>
      <c r="G61">
        <f>COUNTIFS(Major!F:F,"=AG*", Major!B:B, "&gt;=1/1/1995", Major!B:B, "&lt;1/1/2000",Major!F:F,"&lt;&gt;aging*",Major!F:F,"&lt;&gt;agency*")</f>
        <v>12</v>
      </c>
      <c r="H61">
        <f>ROUND(COUNTIFS(Major!F:F,"=AG*",Major!B:B, "&gt;=1/1/1995", Major!B:B, "&lt;1/1/2000",Major!F:F,"&lt;&gt;aging*",Major!F:F,"&lt;&gt;agency*")/YEARFRAC("1/1/1995", "12/31/1999"),0)</f>
        <v>2</v>
      </c>
      <c r="I61">
        <f>COUNTIFS(Major!F:F,"=AG*", Major!B:B, "&gt;=1/1/2000", Major!B:B, "&lt;1/1/2005",Major!F:F,"&lt;&gt;aging*",Major!F:F,"&lt;&gt;agency*")</f>
        <v>8</v>
      </c>
      <c r="J61">
        <f>ROUND(COUNTIFS(Major!F:F,"=AG*",Major!B:B, "&gt;=1/1/2000", Major!B:B, "&lt;1/1/2005",Major!F:F,"&lt;&gt;aging*",Major!F:F,"&lt;&gt;agency*")/YEARFRAC("1/1/2000", "12/31/2004"),0)</f>
        <v>2</v>
      </c>
      <c r="K61">
        <f>COUNTIFS(Major!F:F,"=AG*", Major!B:B, "&gt;=1/1/2005", Major!B:B, "&lt;1/1/2010",Major!F:F,"&lt;&gt;aging*",Major!F:F,"&lt;&gt;agency*")</f>
        <v>6</v>
      </c>
      <c r="L61">
        <f>ROUND(COUNTIFS(Major!F:F,"=AG*",Major!B:B, "&gt;=1/1/2005", Major!B:B, "&lt;1/1/2010",Major!F:F,"&lt;&gt;aging*",Major!F:F,"&lt;&gt;agency*")/YEARFRAC("1/1/2005", "12/31/2009"),0)</f>
        <v>1</v>
      </c>
      <c r="M61">
        <f>COUNTIFS(Major!F:F,"=AG*", Major!B:B, "&gt;=1/1/2010", Major!B:B, "&lt;1/1/2015",Major!F:F,"&lt;&gt;aging*",Major!F:F,"&lt;&gt;agency*")</f>
        <v>5</v>
      </c>
      <c r="N61">
        <f>ROUND(COUNTIFS(Major!F:F,"=AG*",Major!B:B, "&gt;=1/1/2010", Major!B:B, "&lt;1/1/2015",Major!F:F,"&lt;&gt;aging*",Major!F:F,"&lt;&gt;agency*")/YEARFRAC("1/1/2010", "12/31/2014"),0)</f>
        <v>1</v>
      </c>
      <c r="O61">
        <f>COUNTIFS(Major!F:F,"=AG*", Major!B:B, "&gt;=1/1/2015", Major!B:B, "&lt;1/1/2020",Major!F:F,"&lt;&gt;aging*",Major!F:F,"&lt;&gt;agency*")</f>
        <v>7</v>
      </c>
      <c r="P61">
        <f>ROUND(COUNTIFS(Major!F:F,"=AG*",Major!B:B, "&gt;=1/1/2015", Major!B:B, "&lt;1/1/2020",Major!F:F,"&lt;&gt;aging*",Major!F:F,"&lt;&gt;agency*")/YEARFRAC("1/1/2015", "12/31/2019"),0)</f>
        <v>1</v>
      </c>
      <c r="Q61">
        <f>ROUND(5*COUNTIFS(Major!F:F,"=AG*",Major!B:B, "&gt;=1/1/2020", Major!B:B, "&lt;1/1/2025",Major!F:F,"&lt;&gt;aging*",Major!F:F,"&lt;&gt;agency*")/YEARFRAC("1/1/2020", "1/1/2025"),0)</f>
        <v>6</v>
      </c>
      <c r="R61">
        <f>ROUND(COUNTIFS(Major!F:F,"=AG*",Major!B:B, "&gt;=1/1/2020", Major!B:B, "&lt;1/1/2025",Major!F:F,"&lt;&gt;aging*",Major!F:F,"&lt;&gt;agency*")/YEARFRAC("1/1/2020", "12/31/2024"),0)</f>
        <v>1</v>
      </c>
      <c r="S61">
        <f>COUNTIFS(Major!F:F,"=AG*", Major!B:B, "&gt;=1/1/2025", Major!B:B, "&lt;1/1/2030",Major!F:F,"&lt;&gt;aging*",Major!F:F,"&lt;&gt;agency*")</f>
        <v>0</v>
      </c>
      <c r="T61">
        <f>ROUND(5*COUNTIFS(Major!F:F,"=AG*",Major!B:B, "&gt;=1/1/2025", Major!B:B, "&lt;1/1/2030",Major!F:F,"&lt;&gt;aging*",Major!F:F,"&lt;&gt;agency*")/YEARFRAC("1/1/2025", "1/1/2026"),0)</f>
        <v>0</v>
      </c>
      <c r="U61">
        <f>COUNTIFS(All!F:F,"=AG*", All!E:E,"&lt;&gt;LIT", All!E:E,"&lt;&gt;LEG",All!E:E,"&lt;&gt;UIPA*",All!E:E,"&lt;&gt;*TRNG*", All!E:E,"&lt;&gt;ADMIN",All!E:E,"&lt;&gt;RULES",All!E:E,"&lt;&gt;RR*",All!E:E,"&lt;&gt;RSCH",All!F:F,"&lt;&gt;aging*",All!F:F,"&lt;&gt;agency*")</f>
        <v>189</v>
      </c>
      <c r="V61">
        <f>ROUND(AVERAGEIFS(All!R:R, All!E:E,"&lt;&gt;LIT", All!E:E,"&lt;&gt;LEG",All!E:E,"&lt;&gt;UIPA*",All!E:E,"&lt;&gt;*TRNG*", All!E:E,"&lt;&gt;ADMIN",All!E:E,"&lt;&gt;RULES",All!E:E,"&lt;&gt;RR*",All!E:E,"&lt;&gt;RSCH",All!F:F,"=AG*", All!F:F,"&lt;&gt;aging*"), 0)</f>
        <v>232</v>
      </c>
      <c r="W61">
        <f>COUNTIFS(All!F:F,"=AG*", All!B:B, "&lt;1/1/2000", All!E:E,"&lt;&gt;LIT", All!E:E,"&lt;&gt;LEG",All!E:E,"&lt;&gt;UIPA*",All!E:E,"&lt;&gt;*TRNG*", All!E:E,"&lt;&gt;ADMIN",All!E:E,"&lt;&gt;RULES",All!E:E,"&lt;&gt;RR*",All!E:E,"&lt;&gt;RSCH",All!F:F,"&lt;&gt;aging*",All!F:F,"&lt;&gt;agency*")</f>
        <v>112</v>
      </c>
      <c r="X61">
        <f>COUNTIFS(All!F:F,"=AG*", All!B:B, "&gt;=1/1/2000", All!B:B, "&lt;1/1/2010", All!E:E,"&lt;&gt;LIT", All!E:E,"&lt;&gt;LEG",All!E:E,"&lt;&gt;UIPA*",All!E:E,"&lt;&gt;*TRNG*", All!E:E,"&lt;&gt;ADMIN",All!E:E,"&lt;&gt;RULES",All!E:E,"&lt;&gt;RR*",All!E:E,"&lt;&gt;RSCH",All!F:F,"&lt;&gt;aging*",All!F:F,"&lt;&gt;agency*")</f>
        <v>36</v>
      </c>
      <c r="Y61">
        <f>COUNTIFS(All!F:F,"=AG*", All!B:B, "&gt;=1/1/2010", All!B:B, "&lt;1/1/2020", All!E:E,"&lt;&gt;LIT", All!E:E,"&lt;&gt;LEG",All!E:E,"&lt;&gt;UIPA*",All!E:E,"&lt;&gt;*TRNG*", All!E:E,"&lt;&gt;ADMIN",All!E:E,"&lt;&gt;RULES",All!E:E,"&lt;&gt;RR*",All!E:E,"&lt;&gt;RSCH",All!F:F,"&lt;&gt;aging*",All!F:F,"&lt;&gt;agency*")</f>
        <v>27</v>
      </c>
      <c r="Z61">
        <f>COUNTIFS(All!F:F,"=AG*", All!B:B, "&gt;=1/1/2020", All!B:B, "&lt;1/1/2030", All!E:E,"&lt;&gt;LIT", All!E:E,"&lt;&gt;LEG",All!E:E,"&lt;&gt;UIPA*",All!E:E,"&lt;&gt;*TRNG*", All!E:E,"&lt;&gt;ADMIN",All!E:E,"&lt;&gt;RULES",All!E:E,"&lt;&gt;RR*",All!E:E,"&lt;&gt;RSCH",All!F:F,"&lt;&gt;aging*",All!F:F,"&lt;&gt;agency*")</f>
        <v>14</v>
      </c>
    </row>
    <row r="62" spans="1:26" ht="32">
      <c r="A62" s="10">
        <v>61</v>
      </c>
      <c r="B62" s="1" t="s">
        <v>17256</v>
      </c>
      <c r="C62">
        <f>COUNTIF(Major!F:F,"=DAGS*")</f>
        <v>63</v>
      </c>
      <c r="D62">
        <f>ROUND(AVERAGEIF(Major!F:F,"=DAGS*", Major!R:R), 0)</f>
        <v>614</v>
      </c>
      <c r="E62">
        <f>COUNTIFS(Major!F:F,"=DAGS*", Major!B:B, "&lt;1/1/1995")</f>
        <v>18</v>
      </c>
      <c r="F62">
        <f>ROUND(COUNTIFS(Major!F:F,"=DAGS*", Major!B:B, "&lt;1/1/1995")/YEARFRAC("11/1/1988", "12/31/1994"),0)</f>
        <v>3</v>
      </c>
      <c r="G62">
        <f>COUNTIFS(Major!F:F,"=DAGS*", Major!B:B, "&gt;=1/1/1995", Major!B:B, "&lt;1/1/2000")</f>
        <v>10</v>
      </c>
      <c r="H62">
        <f>ROUND(COUNTIFS(Major!F:F,"=DAGS*", Major!B:B, "&gt;=1/1/1995", Major!B:B, "&lt;1/1/2000")/YEARFRAC("1/1/1995", "12/31/1999"),0)</f>
        <v>2</v>
      </c>
      <c r="I62">
        <f>COUNTIFS(Major!F:F,"=DAGS*", Major!B:B, "&gt;=1/1/2000", Major!B:B, "&lt;1/1/2005")</f>
        <v>6</v>
      </c>
      <c r="J62">
        <f>ROUND(COUNTIFS(Major!F:F,"=DAGS*", Major!B:B, "&gt;=1/1/2000", Major!B:B, "&lt;1/1/2005")/YEARFRAC("1/1/2000", "12/31/2004"),0)</f>
        <v>1</v>
      </c>
      <c r="K62">
        <f>COUNTIFS(Major!F:F,"=DAGS*", Major!B:B, "&gt;=1/1/2005", Major!B:B, "&lt;1/1/2010")</f>
        <v>10</v>
      </c>
      <c r="L62">
        <f>ROUND(COUNTIFS(Major!F:F,"=DAGS*", Major!B:B, "&gt;=1/1/2005", Major!B:B, "&lt;1/1/2010")/YEARFRAC("1/1/2005", "12/31/2009"),0)</f>
        <v>2</v>
      </c>
      <c r="M62">
        <f>COUNTIFS(Major!F:F,"=DAGS*", Major!B:B, "&gt;=1/1/2010", Major!B:B, "&lt;1/1/2015")</f>
        <v>4</v>
      </c>
      <c r="N62">
        <f>ROUND(COUNTIFS(Major!F:F,"=DAGS*", Major!B:B, "&gt;=1/1/2010", Major!B:B, "&lt;1/1/2015")/YEARFRAC("1/1/2010", "12/31/2014"),0)</f>
        <v>1</v>
      </c>
      <c r="O62">
        <f>COUNTIFS(Major!F:F,"=DAGS*", Major!B:B, "&gt;=1/1/2015", Major!B:B, "&lt;1/1/2020")</f>
        <v>2</v>
      </c>
      <c r="P62">
        <f>ROUND(COUNTIFS(Major!F:F,"=DAGS*", Major!B:B, "&gt;=1/1/2015", Major!B:B, "&lt;1/1/2020")/YEARFRAC("1/1/2015", "12/31/2019"),0)</f>
        <v>0</v>
      </c>
      <c r="Q62">
        <f>ROUND(5*COUNTIFS(Major!F:F,"=DAGS*", Major!B:B, "&gt;=1/1/2020", Major!B:B, "&lt;1/1/2025")/YEARFRAC("1/1/2020", "1/1/2025"),0)</f>
        <v>13</v>
      </c>
      <c r="R62">
        <f>ROUND(COUNTIFS(Major!F:F,"=DAGS*", Major!B:B, "&gt;=1/1/2020", Major!B:B, "&lt;1/1/2025")/YEARFRAC("1/1/2020", "12/31/2024"),0)</f>
        <v>3</v>
      </c>
      <c r="S62">
        <f>COUNTIFS(Major!F:F,"=DAGS*", Major!B:B, "&gt;=1/1/2025", Major!B:B, "&lt;1/1/2030")</f>
        <v>0</v>
      </c>
      <c r="T62">
        <f>ROUND(5*COUNTIFS(Major!F:F,"=DAGS*", Major!B:B, "&gt;=1/1/2025", Major!B:B, "&lt;1/1/2030")/YEARFRAC("1/1/2025", "1/1/2026"),0)</f>
        <v>0</v>
      </c>
      <c r="U62">
        <f>COUNTIFS(All!F:F,"=DAGS*", All!E:E,"&lt;&gt;LIT", All!E:E,"&lt;&gt;LEG",All!E:E,"&lt;&gt;UIPA*",All!E:E,"&lt;&gt;*TRNG*", All!E:E,"&lt;&gt;ADMIN",All!E:E,"&lt;&gt;RULES",All!E:E,"&lt;&gt;RR*",All!E:E,"&lt;&gt;RSCH")</f>
        <v>114</v>
      </c>
      <c r="V62">
        <f>ROUND(AVERAGEIFS(All!R:R, All!E:E,"&lt;&gt;LIT", All!E:E,"&lt;&gt;LEG",All!E:E,"&lt;&gt;UIPA*",All!E:E,"&lt;&gt;*TRNG*", All!E:E,"&lt;&gt;ADMIN",All!E:E,"&lt;&gt;RULES",All!E:E,"&lt;&gt;RR*",All!E:E,"&lt;&gt;RSCH",All!F:F,"=DAGS*"), 0)</f>
        <v>344</v>
      </c>
      <c r="W62">
        <f>COUNTIFS(All!F:F,"=DAGS*", All!B:B, "&lt;1/1/2000", All!E:E,"&lt;&gt;LIT", All!E:E,"&lt;&gt;LEG",All!E:E,"&lt;&gt;UIPA*",All!E:E,"&lt;&gt;*TRNG*", All!E:E,"&lt;&gt;ADMIN",All!E:E,"&lt;&gt;RULES",All!E:E,"&lt;&gt;RR*",All!E:E,"&lt;&gt;RSCH")</f>
        <v>39</v>
      </c>
      <c r="X62">
        <f>COUNTIFS(All!F:F,"=DAGS*", All!B:B, "&gt;=1/1/2000", All!B:B, "&lt;1/1/2010", All!E:E,"&lt;&gt;LIT", All!E:E,"&lt;&gt;LEG",All!E:E,"&lt;&gt;UIPA*",All!E:E,"&lt;&gt;*TRNG*", All!E:E,"&lt;&gt;ADMIN",All!E:E,"&lt;&gt;RULES",All!E:E,"&lt;&gt;RR*",All!E:E,"&lt;&gt;RSCH")</f>
        <v>38</v>
      </c>
      <c r="Y62">
        <f>COUNTIFS(All!F:F,"=DAGS*", All!B:B, "&gt;=1/1/2010", All!B:B, "&lt;1/1/2020", All!E:E,"&lt;&gt;LIT", All!E:E,"&lt;&gt;LEG",All!E:E,"&lt;&gt;UIPA*",All!E:E,"&lt;&gt;*TRNG*", All!E:E,"&lt;&gt;ADMIN",All!E:E,"&lt;&gt;RULES",All!E:E,"&lt;&gt;RR*",All!E:E,"&lt;&gt;RSCH")</f>
        <v>17</v>
      </c>
      <c r="Z62">
        <f>COUNTIFS(All!F:F,"=DAGS*", All!B:B, "&gt;=1/1/2020", All!B:B, "&lt;1/1/2030", All!E:E,"&lt;&gt;LIT", All!E:E,"&lt;&gt;LEG",All!E:E,"&lt;&gt;UIPA*",All!E:E,"&lt;&gt;*TRNG*", All!E:E,"&lt;&gt;ADMIN",All!E:E,"&lt;&gt;RULES",All!E:E,"&lt;&gt;RR*",All!E:E,"&lt;&gt;RSCH")</f>
        <v>20</v>
      </c>
    </row>
    <row r="63" spans="1:26" ht="16">
      <c r="A63" s="10">
        <v>62</v>
      </c>
      <c r="B63" s="9" t="s">
        <v>17455</v>
      </c>
    </row>
    <row r="64" spans="1:26" ht="16">
      <c r="A64" s="10">
        <v>63</v>
      </c>
      <c r="B64" s="9" t="s">
        <v>17456</v>
      </c>
    </row>
    <row r="65" spans="1:26" ht="16">
      <c r="A65" s="10">
        <v>64</v>
      </c>
      <c r="B65" s="9" t="s">
        <v>17457</v>
      </c>
    </row>
    <row r="66" spans="1:26" ht="16">
      <c r="A66" s="10">
        <v>65</v>
      </c>
      <c r="B66" s="9" t="s">
        <v>17458</v>
      </c>
    </row>
    <row r="67" spans="1:26" ht="16">
      <c r="A67" s="10">
        <v>66</v>
      </c>
      <c r="B67" s="1" t="s">
        <v>17242</v>
      </c>
      <c r="C67">
        <f>COUNTIF(Major!F:F,"=DOA*")</f>
        <v>33</v>
      </c>
      <c r="D67">
        <f>ROUND(AVERAGEIF(Major!F:F,"=DOA*", Major!R:R), 0)</f>
        <v>796</v>
      </c>
      <c r="E67">
        <f>COUNTIFS(Major!F:F,"=DOA*", Major!B:B, "&lt;1/1/1995")</f>
        <v>11</v>
      </c>
      <c r="F67">
        <f>ROUND(COUNTIFS(Major!F:F,"=DOA*", Major!B:B, "&lt;1/1/1995")/YEARFRAC("11/1/1988", "12/31/1994"),0)</f>
        <v>2</v>
      </c>
      <c r="G67">
        <f>COUNTIFS(Major!F:F,"=DOA*", Major!B:B, "&gt;=1/1/1995", Major!B:B, "&lt;1/1/2000")</f>
        <v>4</v>
      </c>
      <c r="H67">
        <f>ROUND(COUNTIFS(Major!F:F,"=DOA*", Major!B:B, "&gt;=1/1/1995", Major!B:B, "&lt;1/1/2000")/YEARFRAC("1/1/1995", "12/31/1999"),0)</f>
        <v>1</v>
      </c>
      <c r="I67">
        <f>COUNTIFS(Major!F:F,"=DOA*", Major!B:B, "&gt;=1/1/2000", Major!B:B, "&lt;1/1/2005")</f>
        <v>4</v>
      </c>
      <c r="J67">
        <f>ROUND(COUNTIFS(Major!F:F,"=DOA*", Major!B:B, "&gt;=1/1/2000", Major!B:B, "&lt;1/1/2005")/YEARFRAC("1/1/2000", "12/31/2004"),0)</f>
        <v>1</v>
      </c>
      <c r="K67">
        <f>COUNTIFS(Major!F:F,"=DOA*", Major!B:B, "&gt;=1/1/2005", Major!B:B, "&lt;1/1/2010")</f>
        <v>3</v>
      </c>
      <c r="L67">
        <f>ROUND(COUNTIFS(Major!F:F,"=DOA*", Major!B:B, "&gt;=1/1/2005", Major!B:B, "&lt;1/1/2010")/YEARFRAC("1/1/2005", "12/31/2009"),0)</f>
        <v>1</v>
      </c>
      <c r="M67">
        <f>COUNTIFS(Major!F:F,"=DOA*", Major!B:B, "&gt;=1/1/2010", Major!B:B, "&lt;1/1/2015")</f>
        <v>6</v>
      </c>
      <c r="N67">
        <f>ROUND(COUNTIFS(Major!F:F,"=DOA*", Major!B:B, "&gt;=1/1/2010", Major!B:B, "&lt;1/1/2015")/YEARFRAC("1/1/2010", "12/31/2014"),0)</f>
        <v>1</v>
      </c>
      <c r="O67">
        <f>COUNTIFS(Major!F:F,"=DOA*", Major!B:B, "&gt;=1/1/2015", Major!B:B, "&lt;1/1/2020")</f>
        <v>4</v>
      </c>
      <c r="P67">
        <f>ROUND(COUNTIFS(Major!F:F,"=DOA*", Major!B:B, "&gt;=1/1/2015", Major!B:B, "&lt;1/1/2020")/YEARFRAC("1/1/2015", "12/31/2019"),0)</f>
        <v>1</v>
      </c>
      <c r="Q67">
        <f>ROUND(5*COUNTIFS(Major!F:F,"=DOA*", Major!B:B, "&gt;=1/1/2020", Major!B:B, "&lt;1/1/2025")/YEARFRAC("1/1/2020", "1/1/2025"),0)</f>
        <v>1</v>
      </c>
      <c r="R67">
        <f>ROUND(COUNTIFS(Major!F:F,"=DOA*", Major!B:B, "&gt;=1/1/2020", Major!B:B, "&lt;1/1/2025")/YEARFRAC("1/1/2020", "12/31/2024"),0)</f>
        <v>0</v>
      </c>
      <c r="S67">
        <f>COUNTIFS(Major!F:F,"=DOA*", Major!B:B, "&gt;=1/1/2025", Major!B:B, "&lt;1/1/2030")</f>
        <v>0</v>
      </c>
      <c r="T67">
        <f>ROUND(5*COUNTIFS(Major!F:F,"=DOA*", Major!B:B, "&gt;=1/1/2025", Major!B:B, "&lt;1/1/2030")/YEARFRAC("1/1/2025", "1/1/2026"),0)</f>
        <v>0</v>
      </c>
      <c r="U67">
        <f>COUNTIFS(All!F:F,"=DOA*", All!E:E,"&lt;&gt;LIT", All!E:E,"&lt;&gt;LEG",All!E:E,"&lt;&gt;UIPA*",All!E:E,"&lt;&gt;*TRNG*", All!E:E,"&lt;&gt;ADMIN",All!E:E,"&lt;&gt;RULES",All!E:E,"&lt;&gt;RR*",All!E:E,"&lt;&gt;RSCH")</f>
        <v>51</v>
      </c>
      <c r="V67">
        <f>ROUND(AVERAGEIFS(All!R:R, All!E:E,"&lt;&gt;LIT", All!E:E,"&lt;&gt;LEG",All!E:E,"&lt;&gt;UIPA*",All!E:E,"&lt;&gt;*TRNG*", All!E:E,"&lt;&gt;ADMIN",All!E:E,"&lt;&gt;RULES",All!E:E,"&lt;&gt;RR*",All!E:E,"&lt;&gt;RSCH",All!F:F,"=DOA*"), 0)</f>
        <v>553</v>
      </c>
      <c r="W67">
        <f>COUNTIFS(All!F:F,"=DOA*", All!B:B, "&lt;1/1/2000", All!E:E,"&lt;&gt;LIT", All!E:E,"&lt;&gt;LEG",All!E:E,"&lt;&gt;UIPA*",All!E:E,"&lt;&gt;*TRNG*", All!E:E,"&lt;&gt;ADMIN",All!E:E,"&lt;&gt;RULES",All!E:E,"&lt;&gt;RR*",All!E:E,"&lt;&gt;RSCH")</f>
        <v>21</v>
      </c>
      <c r="X67">
        <f>COUNTIFS(All!F:F,"=DOA*", All!B:B, "&gt;=1/1/2000", All!B:B, "&lt;1/1/2010", All!E:E,"&lt;&gt;LIT", All!E:E,"&lt;&gt;LEG",All!E:E,"&lt;&gt;UIPA*",All!E:E,"&lt;&gt;*TRNG*", All!E:E,"&lt;&gt;ADMIN",All!E:E,"&lt;&gt;RULES",All!E:E,"&lt;&gt;RR*",All!E:E,"&lt;&gt;RSCH")</f>
        <v>11</v>
      </c>
      <c r="Y67">
        <f>COUNTIFS(All!F:F,"=DOA*", All!B:B, "&gt;=1/1/2010", All!B:B, "&lt;1/1/2020", All!E:E,"&lt;&gt;LIT", All!E:E,"&lt;&gt;LEG",All!E:E,"&lt;&gt;UIPA*",All!E:E,"&lt;&gt;*TRNG*", All!E:E,"&lt;&gt;ADMIN",All!E:E,"&lt;&gt;RULES",All!E:E,"&lt;&gt;RR*",All!E:E,"&lt;&gt;RSCH")</f>
        <v>17</v>
      </c>
      <c r="Z67">
        <f>COUNTIFS(All!F:F,"=DOA*", All!B:B, "&gt;=1/1/2020", All!B:B, "&lt;1/1/2030", All!E:E,"&lt;&gt;LIT", All!E:E,"&lt;&gt;LEG",All!E:E,"&lt;&gt;UIPA*",All!E:E,"&lt;&gt;*TRNG*", All!E:E,"&lt;&gt;ADMIN",All!E:E,"&lt;&gt;RULES",All!E:E,"&lt;&gt;RR*",All!E:E,"&lt;&gt;RSCH")</f>
        <v>2</v>
      </c>
    </row>
    <row r="68" spans="1:26" ht="16">
      <c r="A68" s="10">
        <v>67</v>
      </c>
      <c r="B68" s="9" t="s">
        <v>17459</v>
      </c>
    </row>
    <row r="69" spans="1:26" ht="16">
      <c r="A69" s="10">
        <v>68</v>
      </c>
      <c r="B69" s="9" t="s">
        <v>17460</v>
      </c>
    </row>
    <row r="70" spans="1:26" ht="16">
      <c r="A70" s="10">
        <v>69</v>
      </c>
      <c r="B70" s="9" t="s">
        <v>17461</v>
      </c>
    </row>
    <row r="71" spans="1:26" ht="16">
      <c r="A71" s="10">
        <v>70</v>
      </c>
      <c r="B71" s="9" t="s">
        <v>17462</v>
      </c>
    </row>
    <row r="72" spans="1:26" ht="32">
      <c r="A72" s="10">
        <v>71</v>
      </c>
      <c r="B72" s="1" t="s">
        <v>17243</v>
      </c>
      <c r="C72">
        <f>SUM(COUNTIFS(Major!F:F,"=B&amp;F*", Major!F:F,"&lt;&gt;*PUC"),COUNTIFS(Major!F:F,"=ERS*"))</f>
        <v>62</v>
      </c>
      <c r="D72">
        <f>ROUND(AVERAGE(AVERAGEIFS(Major!R:R, Major!F:F,"=B&amp;F*", Major!F:F,"&lt;&gt;*PUC"),AVERAGEIFS(Major!R:R, Major!F:F,"=ERS*")), 0)</f>
        <v>688</v>
      </c>
      <c r="E72">
        <f>SUM(COUNTIFS(Major!F:F,"=B&amp;F*", Major!F:F,"&lt;&gt;*PUC", Major!B:B, "&lt;1/1/1995"),COUNTIFS(Major!F:F,"=ERS*", Major!B:B, "&lt;1/1/1995"))</f>
        <v>35</v>
      </c>
      <c r="F72">
        <f>ROUND(SUM(COUNTIFS(Major!F:F,"=B&amp;F*", Major!F:F,"&lt;&gt;*PUC", Major!B:B, "&lt;1/1/1995"),COUNTIFS(Major!F:F,"=ERS*", Major!B:B, "&lt;1/1/1995"))/YEARFRAC("11/1/1988", "12/31/1994"),0)</f>
        <v>6</v>
      </c>
      <c r="G72">
        <f>SUM(COUNTIFS(Major!F:F,"=B&amp;F*", Major!F:F,"&lt;&gt;*PUC", Major!B:B, "&gt;=1/1/1995", Major!B:B, "&lt;1/1/2000"),COUNTIFS(Major!F:F,"=ERS*", Major!B:B, "&gt;=1/1/1995", Major!B:B, "&lt;1/1/2000"))</f>
        <v>7</v>
      </c>
      <c r="H72">
        <f>ROUND(SUM(COUNTIFS(Major!F:F,"=B&amp;F*", Major!F:F,"&lt;&gt;*PUC", Major!B:B, "&gt;=1/1/1995", Major!B:B, "&lt;1/1/2000"),COUNTIFS(Major!F:F,"=ERS*", Major!B:B, "&gt;=1/1/1995", Major!B:B, "&lt;1/1/2000"))/YEARFRAC("1/1/1995", "12/31/1999"),0)</f>
        <v>1</v>
      </c>
      <c r="I72">
        <f>SUM(COUNTIFS(Major!F:F,"=B&amp;F*", Major!F:F,"&lt;&gt;*PUC", Major!B:B, "&gt;=1/1/2000", Major!B:B, "&lt;1/1/2005"),COUNTIFS(Major!F:F,"=ERS*", Major!B:B, "&gt;=1/1/2000", Major!B:B, "&lt;1/1/2005"))</f>
        <v>4</v>
      </c>
      <c r="J72">
        <f>ROUND(SUM(COUNTIFS(Major!F:F,"=B&amp;F*", Major!F:F,"&lt;&gt;*PUC", Major!B:B, "&gt;=1/1/2000", Major!B:B, "&lt;1/1/2005"),COUNTIFS(Major!F:F,"=ERS*",Major!B:B, "&gt;=1/1/2000", Major!B:B, "&lt;1/1/2005"))/YEARFRAC("1/1/2000", "12/31/2004"),0)</f>
        <v>1</v>
      </c>
      <c r="K72">
        <f>SUM(COUNTIFS(Major!F:F,"=B&amp;F*", Major!F:F,"&lt;&gt;*PUC", Major!B:B, "&gt;=1/1/2005", Major!B:B, "&lt;1/1/2010"),COUNTIFS(Major!F:F,"=ERS*", Major!B:B, "&gt;=1/1/2005", Major!B:B, "&lt;1/1/2010"))</f>
        <v>2</v>
      </c>
      <c r="L72">
        <f>ROUND(SUM(COUNTIFS(Major!F:F,"=B&amp;F*", Major!F:F,"&lt;&gt;*PUC", Major!B:B, "&gt;=1/1/2005", Major!B:B, "&lt;1/1/2010"),COUNTIFS(Major!F:F,"=ERS*", Major!B:B, "&gt;=1/1/2005", Major!B:B, "&lt;1/1/2010"))/YEARFRAC("1/1/2005", "12/31/2009"),0)</f>
        <v>0</v>
      </c>
      <c r="M72">
        <f>SUM(COUNTIFS(Major!F:F,"=B&amp;F*", Major!F:F,"&lt;&gt;*PUC", Major!B:B, "&gt;=1/1/2010", Major!B:B, "&lt;1/1/2015"),COUNTIFS(Major!F:F,"=ERS*", Major!B:B, "&gt;=1/1/2010", Major!B:B, "&lt;1/1/2015"))</f>
        <v>3</v>
      </c>
      <c r="N72">
        <f>ROUND(SUM(COUNTIFS(Major!F:F,"=B&amp;F*", Major!F:F,"&lt;&gt;*PUC", Major!B:B, "&gt;=1/1/2010", Major!B:B, "&lt;1/1/2015"),COUNTIFS(Major!F:F,"=ERS*", Major!B:B, "&gt;=1/1/2010", Major!B:B, "&lt;1/1/2015"))/YEARFRAC("1/1/2010", "12/31/2014"),0)</f>
        <v>1</v>
      </c>
      <c r="O72">
        <f>SUM(COUNTIFS(Major!F:F,"=B&amp;F*", Major!F:F,"&lt;&gt;*PUC", Major!B:B, "&gt;=1/1/2015", Major!B:B, "&lt;1/1/2020"),COUNTIFS(Major!F:F,"=ERS*", Major!B:B, "&gt;=1/1/2015", Major!B:B, "&lt;1/1/2020"))</f>
        <v>8</v>
      </c>
      <c r="P72">
        <f>ROUND(SUM(COUNTIFS(Major!F:F,"=B&amp;F*", Major!F:F,"&lt;&gt;*PUC", Major!B:B, "&gt;=1/1/2015", Major!B:B, "&lt;1/1/2020"),COUNTIFS(Major!F:F,"=ERS*", Major!B:B, "&gt;=1/1/2015", Major!B:B, "&lt;1/1/2020"))/YEARFRAC("1/1/2015", "12/31/2019"),0)</f>
        <v>2</v>
      </c>
      <c r="Q72">
        <f>ROUND(5*SUM(COUNTIFS(Major!F:F,"=B&amp;F*", Major!F:F,"&lt;&gt;*PUC", Major!B:B, "&gt;=1/1/2020", Major!B:B, "&lt;1/1/2025"),COUNTIFS(Major!F:F,"=ERS*", Major!B:B, "&gt;=1/1/2020", Major!B:B, "&lt;1/1/2025"))/YEARFRAC("1/1/2020", "1/1/2025"),0)</f>
        <v>3</v>
      </c>
      <c r="R72">
        <f>ROUND(SUM(COUNTIFS(Major!F:F,"=B&amp;F*", Major!F:F,"&lt;&gt;*PUC", Major!B:B, "&gt;=1/1/2020", Major!B:B, "&lt;1/1/2025"),COUNTIFS(Major!F:F,"=ERS*", Major!B:B, "&gt;=1/1/2020", Major!B:B, "&lt;1/1/2025"))/YEARFRAC("1/1/2020", "12/31/2024"),0)</f>
        <v>1</v>
      </c>
      <c r="S72">
        <f>SUM(COUNTIFS(Major!F:F,"=B&amp;F*", Major!F:F,"&lt;&gt;*PUC", Major!B:B, "&gt;=1/1/2025", Major!B:B, "&lt;1/1/2030"),COUNTIFS(Major!F:F,"=ERS*", Major!B:B, "&gt;=1/1/2025", Major!B:B, "&lt;1/1/2030"))</f>
        <v>0</v>
      </c>
      <c r="T72">
        <f>ROUND(5*SUM(COUNTIFS(Major!F:F,"=B&amp;F*", Major!F:F,"&lt;&gt;*PUC", Major!B:B, "&gt;=1/1/2025", Major!B:B, "&lt;1/1/2030"),COUNTIFS(Major!F:F,"=ERS*", Major!B:B, "&gt;=1/1/2025", Major!B:B, "&lt;1/1/2030"))/YEARFRAC("1/1/2025", "1/1/2026"),0)</f>
        <v>0</v>
      </c>
      <c r="U72">
        <f>SUM(COUNTIFS(All!F:F,"=B&amp;F*", All!F:F,"&lt;&gt;*PUC", All!E:E,"&lt;&gt;LIT", All!E:E,"&lt;&gt;LEG",All!E:E,"&lt;&gt;UIPA*",All!E:E,"&lt;&gt;*TRNG*", All!E:E,"&lt;&gt;ADMIN",All!E:E,"&lt;&gt;RULES",All!E:E,"&lt;&gt;RR*",All!E:E,"&lt;&gt;RSCH"),COUNTIFS(All!F:F,"=ERS*", All!E:E,"&lt;&gt;LIT", All!E:E,"&lt;&gt;LEG",All!E:E,"&lt;&gt;UIPA*",All!E:E,"&lt;&gt;*TRNG*", All!E:E,"&lt;&gt;ADMIN",All!E:E,"&lt;&gt;RULES",All!E:E,"&lt;&gt;RR*",All!E:E,"&lt;&gt;RSCH"))</f>
        <v>105</v>
      </c>
      <c r="V72">
        <f>ROUND(AVERAGE(AVERAGEIFS(All!R:R, All!E:E,"&lt;&gt;LIT", All!E:E,"&lt;&gt;LEG",All!E:E,"&lt;&gt;UIPA*",All!E:E,"&lt;&gt;*TRNG*", All!E:E,"&lt;&gt;ADMIN",All!E:E,"&lt;&gt;RULES",All!E:E,"&lt;&gt;RR*",All!E:E,"&lt;&gt;RSCH", All!F:F,"=B&amp;F*", All!F:F,"&lt;&gt;*PUC"),AVERAGEIFS(All!R:R, All!E:E,"&lt;&gt;LIT", All!E:E,"&lt;&gt;LEG",All!E:E,"&lt;&gt;UIPA*",All!E:E,"&lt;&gt;*TRNG*", All!E:E,"&lt;&gt;ADMIN",All!E:E,"&lt;&gt;RULES",All!E:E,"&lt;&gt;RR*",All!E:E,"&lt;&gt;RSCH", All!F:F,"=ERS*")), 0)</f>
        <v>550</v>
      </c>
      <c r="W72">
        <f>SUM(COUNTIFS(All!F:F,"=B&amp;F*", All!F:F,"&lt;&gt;*PUC", All!B:B, "&lt;1/1/2000", All!E:E,"&lt;&gt;LIT", All!E:E,"&lt;&gt;LEG",All!E:E,"&lt;&gt;UIPA*",All!E:E,"&lt;&gt;*TRNG*", All!E:E,"&lt;&gt;ADMIN",All!E:E,"&lt;&gt;RULES",All!E:E,"&lt;&gt;RR*",All!E:E,"&lt;&gt;RSCH"),COUNTIFS(All!F:F,"=ERS*", All!B:B, "&lt;1/1/2000", All!E:E,"&lt;&gt;LIT", All!E:E,"&lt;&gt;LEG",All!E:E,"&lt;&gt;UIPA*",All!E:E,"&lt;&gt;*TRNG*", All!E:E,"&lt;&gt;ADMIN",All!E:E,"&lt;&gt;RULES",All!E:E,"&lt;&gt;RR*",All!E:E,"&lt;&gt;RSCH"))</f>
        <v>55</v>
      </c>
      <c r="X72">
        <f>SUM(COUNTIFS(All!F:F,"=B&amp;F*", All!F:F,"&lt;&gt;*PUC", All!B:B, "&gt;=1/1/2000", All!B:B, "&lt;1/1/2010", All!E:E,"&lt;&gt;LIT", All!E:E,"&lt;&gt;LEG",All!E:E,"&lt;&gt;UIPA*",All!E:E,"&lt;&gt;*TRNG*", All!E:E,"&lt;&gt;ADMIN",All!E:E,"&lt;&gt;RULES",All!E:E,"&lt;&gt;RR*",All!E:E,"&lt;&gt;RSCH"),COUNTIFS(All!F:F,"=ERS*", All!B:B, "&gt;=1/1/2000", All!B:B, "&lt;1/1/2010", All!E:E,"&lt;&gt;LIT", All!E:E,"&lt;&gt;LEG",All!E:E,"&lt;&gt;UIPA*",All!E:E,"&lt;&gt;*TRNG*", All!E:E,"&lt;&gt;ADMIN",All!E:E,"&lt;&gt;RULES",All!E:E,"&lt;&gt;RR*",All!E:E,"&lt;&gt;RSCH"))</f>
        <v>19</v>
      </c>
      <c r="Y72">
        <f>SUM(COUNTIFS(All!F:F,"=B&amp;F*", All!F:F,"&lt;&gt;*PUC", All!B:B, "&gt;=1/1/2010", All!B:B, "&lt;1/1/2020", All!E:E,"&lt;&gt;LIT", All!E:E,"&lt;&gt;LEG",All!E:E,"&lt;&gt;UIPA*",All!E:E,"&lt;&gt;*TRNG*", All!E:E,"&lt;&gt;ADMIN",All!E:E,"&lt;&gt;RULES",All!E:E,"&lt;&gt;RR*",All!E:E,"&lt;&gt;RSCH"),COUNTIFS(All!F:F,"=ERS*", All!B:B, "&gt;=1/1/2010", All!B:B, "&lt;1/1/2020", All!E:E,"&lt;&gt;LIT", All!E:E,"&lt;&gt;LEG",All!E:E,"&lt;&gt;UIPA*",All!E:E,"&lt;&gt;*TRNG*", All!E:E,"&lt;&gt;ADMIN",All!E:E,"&lt;&gt;RULES",All!E:E,"&lt;&gt;RR*",All!E:E,"&lt;&gt;RSCH"))</f>
        <v>22</v>
      </c>
      <c r="Z72">
        <f>SUM(COUNTIFS(All!F:F,"=B&amp;F*", All!F:F,"&lt;&gt;*PUC", All!B:B, "&gt;=1/1/2020", All!B:B, "&lt;1/1/2030", All!E:E,"&lt;&gt;LIT", All!E:E,"&lt;&gt;LEG",All!E:E,"&lt;&gt;UIPA*",All!E:E,"&lt;&gt;*TRNG*", All!E:E,"&lt;&gt;ADMIN",All!E:E,"&lt;&gt;RULES",All!E:E,"&lt;&gt;RR*",All!E:E,"&lt;&gt;RSCH"),COUNTIFS(All!F:F,"=ERS*", All!B:B, "&gt;=1/1/2020", All!B:B, "&lt;1/1/2030", All!E:E,"&lt;&gt;LIT", All!E:E,"&lt;&gt;LEG",All!E:E,"&lt;&gt;UIPA*",All!E:E,"&lt;&gt;*TRNG*", All!E:E,"&lt;&gt;ADMIN",All!E:E,"&lt;&gt;RULES",All!E:E,"&lt;&gt;RR*",All!E:E,"&lt;&gt;RSCH"))</f>
        <v>9</v>
      </c>
    </row>
    <row r="73" spans="1:26" ht="16">
      <c r="A73" s="10">
        <v>72</v>
      </c>
      <c r="B73" s="9" t="s">
        <v>17463</v>
      </c>
    </row>
    <row r="74" spans="1:26" ht="16">
      <c r="A74" s="10">
        <v>73</v>
      </c>
      <c r="B74" s="9" t="s">
        <v>17464</v>
      </c>
    </row>
    <row r="75" spans="1:26" ht="16">
      <c r="A75" s="10">
        <v>74</v>
      </c>
      <c r="B75" s="9" t="s">
        <v>17465</v>
      </c>
    </row>
    <row r="76" spans="1:26" ht="48">
      <c r="A76" s="10">
        <v>75</v>
      </c>
      <c r="B76" s="1" t="s">
        <v>17244</v>
      </c>
      <c r="C76">
        <f>SUM(COUNTIF(Major!F:F,"=DBEDT*"),COUNTIF(Major!F:F,"=HTA*"))</f>
        <v>96</v>
      </c>
      <c r="D76">
        <f>ROUND(AVERAGE(AVERAGEIF(Major!F:F,"=DBEDT*", Major!R:R),AVERAGEIF(Major!F:F,"=HTA*", Major!R:R)), 0)</f>
        <v>322</v>
      </c>
      <c r="E76">
        <f>SUM(COUNTIFS(Major!F:F,"=DBEDT*", Major!B:B, "&lt;1/1/1995"),COUNTIFS(Major!F:F,"=HTA*", Major!B:B, "&lt;1/1/1995"))</f>
        <v>27</v>
      </c>
      <c r="F76">
        <f>ROUND(SUM(COUNTIFS(Major!F:F,"=DBEDT*", Major!B:B, "&lt;1/1/1995"),COUNTIFS(Major!F:F,"=HTA*", Major!B:B, "&lt;1/1/1995"))/YEARFRAC("11/1/1988", "12/31/1994"),0)</f>
        <v>4</v>
      </c>
      <c r="G76">
        <f>SUM(COUNTIFS(Major!F:F,"=DBEDT*", Major!B:B, "&gt;=1/1/1995", Major!B:B, "&lt;1/1/2000"),COUNTIFS(Major!F:F,"=HTA*", Major!B:B, "&gt;=1/1/1995", Major!B:B, "&lt;1/1/2000"))</f>
        <v>9</v>
      </c>
      <c r="H76">
        <f>ROUND(SUM(COUNTIFS(Major!F:F,"=DBEDT*", Major!B:B, "&gt;=1/1/1995", Major!B:B, "&lt;1/1/2000"),COUNTIFS(Major!F:F,"=HTA*", Major!B:B, "&gt;=1/1/1995", Major!B:B, "&lt;1/1/2000"))/YEARFRAC("1/1/1995", "12/31/1999"),0)</f>
        <v>2</v>
      </c>
      <c r="I76">
        <f>SUM(COUNTIFS(Major!F:F,"=DBEDT*", Major!B:B, "&gt;=1/1/2000", Major!B:B, "&lt;1/1/2005"),COUNTIFS(Major!F:F,"=HTA*", Major!B:B, "&gt;=1/1/2000", Major!B:B, "&lt;1/1/2005"))</f>
        <v>11</v>
      </c>
      <c r="J76">
        <f>ROUND(SUM(COUNTIFS(Major!F:F,"=DBEDT*", Major!B:B, "&gt;=1/1/2000", Major!B:B, "&lt;1/1/2005"),COUNTIFS(Major!F:F,"=HTA*", Major!B:B, "&gt;=1/1/2000", Major!B:B, "&lt;1/1/2005"))/YEARFRAC("1/1/2000", "12/31/2004"),0)</f>
        <v>2</v>
      </c>
      <c r="K76">
        <f>SUM(COUNTIFS(Major!F:F,"=DBEDT*", Major!B:B, "&gt;=1/1/2005", Major!B:B, "&lt;1/1/2010"),COUNTIFS(Major!F:F,"=HTA*", Major!B:B, "&gt;=1/1/2005", Major!B:B, "&lt;1/1/2010"))</f>
        <v>27</v>
      </c>
      <c r="L76">
        <f>ROUND(SUM(COUNTIFS(Major!F:F,"=DBEDT*", Major!B:B, "&gt;=1/1/2005", Major!B:B, "&lt;1/1/2010"),COUNTIFS(Major!F:F,"=HTA*", Major!B:B, "&gt;=1/1/2005", Major!B:B, "&lt;1/1/2010"))/YEARFRAC("1/1/2005", "12/31/2009"),0)</f>
        <v>5</v>
      </c>
      <c r="M76">
        <f>SUM(COUNTIFS(Major!F:F,"=DBEDT*", Major!B:B, "&gt;=1/1/2010", Major!B:B, "&lt;1/1/2015"),COUNTIFS(Major!F:F,"=HTA*", Major!B:B, "&gt;=1/1/2010", Major!B:B, "&lt;1/1/2015"))</f>
        <v>13</v>
      </c>
      <c r="N76">
        <f>ROUND(SUM(COUNTIFS(Major!F:F,"=DBEDT*", Major!B:B, "&gt;=1/1/2010", Major!B:B, "&lt;1/1/2015"),COUNTIFS(Major!F:F,"=HTA*", Major!B:B, "&gt;=1/1/2010", Major!B:B, "&lt;1/1/2015"))/YEARFRAC("1/1/2010", "12/31/2014"),0)</f>
        <v>3</v>
      </c>
      <c r="O76">
        <f>SUM(COUNTIFS(Major!F:F,"=DBEDT*", Major!B:B, "&gt;=1/1/2015", Major!B:B, "&lt;1/1/2020"),COUNTIFS(Major!F:F,"=HTA*", Major!B:B, "&gt;=1/1/2015", Major!B:B, "&lt;1/1/2020"))</f>
        <v>6</v>
      </c>
      <c r="P76">
        <f>ROUND(SUM(COUNTIFS(Major!F:F,"=DBEDT*", Major!B:B, "&gt;=1/1/2015", Major!B:B, "&lt;1/1/2020"),COUNTIFS(Major!F:F,"=HTA*", Major!B:B, "&gt;=1/1/2015", Major!B:B, "&lt;1/1/2020"))/YEARFRAC("1/1/2015", "12/31/2019"),0)</f>
        <v>1</v>
      </c>
      <c r="Q76">
        <f>ROUND(5*SUM(COUNTIFS(Major!F:F,"=DBEDT*", Major!B:B, "&gt;=1/1/2020", Major!B:B, "&lt;1/1/2025"),COUNTIFS(Major!F:F,"=HTA*", Major!B:B, "&gt;=1/1/2020", Major!B:B, "&lt;1/1/2025"))/YEARFRAC("1/1/2020", "1/1/2025"),0)</f>
        <v>3</v>
      </c>
      <c r="R76">
        <f>ROUND(SUM(COUNTIFS(Major!F:F,"=DBEDT*", Major!B:B, "&gt;=1/1/2020", Major!B:B, "&lt;1/1/2025"),COUNTIFS(Major!F:F,"=HTA*", Major!B:B, "&gt;=1/1/2020", Major!B:B, "&lt;1/1/2025"))/YEARFRAC("1/1/2020", "12/31/2024"),0)</f>
        <v>1</v>
      </c>
      <c r="S76">
        <f>SUM(COUNTIFS(Major!F:F,"=DBEDT*", Major!B:B, "&gt;=1/1/2025", Major!B:B, "&lt;1/1/2030"),COUNTIFS(Major!F:F,"=HTA*", Major!B:B, "&gt;=1/1/2025", Major!B:B, "&lt;1/1/2030"))</f>
        <v>0</v>
      </c>
      <c r="T76">
        <f>ROUND(5*SUM(COUNTIFS(Major!F:F,"=DBEDT*", Major!B:B, "&gt;=1/1/2025", Major!B:B, "&lt;1/1/2030"),COUNTIFS(Major!F:F,"=HTA*", Major!B:B, "&gt;=1/1/2025", Major!B:B, "&lt;1/1/2030"))/YEARFRAC("1/1/2025", "1/1/2026"),0)</f>
        <v>0</v>
      </c>
      <c r="U76">
        <f>SUM(COUNTIFS(All!F:F,"=DBEDT*", All!E:E,"&lt;&gt;LIT", All!E:E,"&lt;&gt;LEG",All!E:E,"&lt;&gt;UIPA*",All!E:E,"&lt;&gt;*TRNG*", All!E:E,"&lt;&gt;ADMIN",All!E:E,"&lt;&gt;RULES",All!E:E,"&lt;&gt;RR*",All!E:E,"&lt;&gt;RSCH"),COUNTIFS(All!F:F,"=HTA*", All!E:E,"&lt;&gt;LIT", All!E:E,"&lt;&gt;LEG",All!E:E,"&lt;&gt;UIPA*",All!E:E,"&lt;&gt;*TRNG*", All!E:E,"&lt;&gt;ADMIN",All!E:E,"&lt;&gt;RULES",All!E:E,"&lt;&gt;RR*",All!E:E,"&lt;&gt;RSCH"))</f>
        <v>167</v>
      </c>
      <c r="V76">
        <f>ROUND(AVERAGE(AVERAGEIFS(All!R:R, All!E:E,"&lt;&gt;LIT", All!E:E,"&lt;&gt;LEG",All!E:E,"&lt;&gt;UIPA*",All!E:E,"&lt;&gt;*TRNG*", All!E:E,"&lt;&gt;ADMIN",All!E:E,"&lt;&gt;RULES",All!E:E,"&lt;&gt;RR*",All!E:E,"&lt;&gt;RSCH",All!F:F,"=DBEDT*"),AVERAGEIFS(All!R:R, All!E:E,"&lt;&gt;LIT", All!E:E,"&lt;&gt;LEG",All!E:E,"&lt;&gt;UIPA*",All!E:E,"&lt;&gt;*TRNG*", All!E:E,"&lt;&gt;ADMIN",All!E:E,"&lt;&gt;RULES",All!E:E,"&lt;&gt;RR*",All!E:E,"&lt;&gt;RSCH",All!F:F,"=HTA*")), 0)</f>
        <v>207</v>
      </c>
      <c r="W76">
        <f>SUM(COUNTIFS(All!F:F,"=DBEDT*", All!B:B, "&lt;1/1/2000", All!E:E,"&lt;&gt;LIT", All!E:E,"&lt;&gt;LEG",All!E:E,"&lt;&gt;UIPA*",All!E:E,"&lt;&gt;*TRNG*", All!E:E,"&lt;&gt;ADMIN",All!E:E,"&lt;&gt;RULES",All!E:E,"&lt;&gt;RR*",All!E:E,"&lt;&gt;RSCH"),COUNTIFS(All!F:F,"=HTA*", All!B:B, "&lt;1/1/2000", All!E:E,"&lt;&gt;LIT", All!E:E,"&lt;&gt;LEG",All!E:E,"&lt;&gt;UIPA*",All!E:E,"&lt;&gt;*TRNG*", All!E:E,"&lt;&gt;ADMIN",All!E:E,"&lt;&gt;RULES",All!E:E,"&lt;&gt;RR*",All!E:E,"&lt;&gt;RSCH"))</f>
        <v>61</v>
      </c>
      <c r="X76">
        <f>SUM(COUNTIFS(All!F:F,"=DBEDT*", All!B:B, "&gt;=1/1/2000", All!B:B, "&lt;1/1/2010", All!E:E,"&lt;&gt;LIT", All!E:E,"&lt;&gt;LEG",All!E:E,"&lt;&gt;UIPA*",All!E:E,"&lt;&gt;*TRNG*", All!E:E,"&lt;&gt;ADMIN",All!E:E,"&lt;&gt;RULES",All!E:E,"&lt;&gt;RR*",All!E:E,"&lt;&gt;RSCH"),COUNTIFS(All!F:F,"=HTA*", All!B:B, "&gt;=1/1/2000", All!B:B, "&lt;1/1/2010", All!E:E,"&lt;&gt;LIT", All!E:E,"&lt;&gt;LEG",All!E:E,"&lt;&gt;UIPA*",All!E:E,"&lt;&gt;*TRNG*", All!E:E,"&lt;&gt;ADMIN",All!E:E,"&lt;&gt;RULES",All!E:E,"&lt;&gt;RR*",All!E:E,"&lt;&gt;RSCH"))</f>
        <v>57</v>
      </c>
      <c r="Y76">
        <f>SUM(COUNTIFS(All!F:F,"=DBEDT*", All!B:B, "&gt;=1/1/2010", All!B:B, "&lt;1/1/2020", All!E:E,"&lt;&gt;LIT", All!E:E,"&lt;&gt;LEG",All!E:E,"&lt;&gt;UIPA*",All!E:E,"&lt;&gt;*TRNG*", All!E:E,"&lt;&gt;ADMIN",All!E:E,"&lt;&gt;RULES",All!E:E,"&lt;&gt;RR*",All!E:E,"&lt;&gt;RSCH"),COUNTIFS(All!F:F,"=HTA*", All!B:B, "&gt;=1/1/2010", All!B:B, "&lt;1/1/2020", All!E:E,"&lt;&gt;LIT", All!E:E,"&lt;&gt;LEG",All!E:E,"&lt;&gt;UIPA*",All!E:E,"&lt;&gt;*TRNG*", All!E:E,"&lt;&gt;ADMIN",All!E:E,"&lt;&gt;RULES",All!E:E,"&lt;&gt;RR*",All!E:E,"&lt;&gt;RSCH"))</f>
        <v>35</v>
      </c>
      <c r="Z76">
        <f>SUM(COUNTIFS(All!F:F,"=DBEDT*", All!B:B, "&gt;=1/1/2020", All!B:B, "&lt;1/1/2030", All!E:E,"&lt;&gt;LIT", All!E:E,"&lt;&gt;LEG",All!E:E,"&lt;&gt;UIPA*",All!E:E,"&lt;&gt;*TRNG*", All!E:E,"&lt;&gt;ADMIN",All!E:E,"&lt;&gt;RULES",All!E:E,"&lt;&gt;RR*",All!E:E,"&lt;&gt;RSCH"),COUNTIFS(All!F:F,"=HTA*", All!B:B, "&gt;=1/1/2020", All!B:B, "&lt;1/1/2030", All!E:E,"&lt;&gt;LIT", All!E:E,"&lt;&gt;LEG",All!E:E,"&lt;&gt;UIPA*",All!E:E,"&lt;&gt;*TRNG*", All!E:E,"&lt;&gt;ADMIN",All!E:E,"&lt;&gt;RULES",All!E:E,"&lt;&gt;RR*",All!E:E,"&lt;&gt;RSCH"))</f>
        <v>14</v>
      </c>
    </row>
    <row r="77" spans="1:26" ht="16">
      <c r="A77" s="10">
        <v>76</v>
      </c>
      <c r="B77" s="9" t="s">
        <v>17466</v>
      </c>
    </row>
    <row r="78" spans="1:26" ht="16">
      <c r="A78" s="10">
        <v>77</v>
      </c>
      <c r="B78" s="9" t="s">
        <v>17467</v>
      </c>
    </row>
    <row r="79" spans="1:26" ht="32">
      <c r="A79" s="10">
        <v>78</v>
      </c>
      <c r="B79" s="1" t="s">
        <v>17245</v>
      </c>
      <c r="C79">
        <f>COUNTIFS(Major!F:F,"=DCCA*", Major!F:F,"&lt;&gt;*PUC")</f>
        <v>139</v>
      </c>
      <c r="D79">
        <f>ROUND(AVERAGEIFS(Major!R:R, Major!F:F,"=DCCA*", Major!F:F,"&lt;&gt;*PUC"), 0)</f>
        <v>652</v>
      </c>
      <c r="E79">
        <f>COUNTIFS(Major!F:F,"=DCCA*", Major!F:F,"&lt;&gt;*PUC", Major!B:B, "&lt;1/1/1995")</f>
        <v>51</v>
      </c>
      <c r="F79">
        <f>ROUND(COUNTIFS(Major!F:F,"=DCCA*", Major!F:F,"&lt;&gt;*PUC", Major!B:B, "&lt;1/1/1995")/YEARFRAC("11/1/1988", "12/31/1994"),0)</f>
        <v>8</v>
      </c>
      <c r="G79">
        <f>COUNTIFS(Major!F:F,"=DCCA*", Major!F:F,"&lt;&gt;*PUC", Major!B:B, "&gt;=1/1/1995", Major!B:B, "&lt;1/1/2000")</f>
        <v>20</v>
      </c>
      <c r="H79">
        <f>ROUND(COUNTIFS(Major!F:F,"=DCCA*", Major!F:F,"&lt;&gt;*PUC", Major!B:B, "&gt;=1/1/1995", Major!B:B, "&lt;1/1/2000")/YEARFRAC("1/1/1995", "12/31/1999"),0)</f>
        <v>4</v>
      </c>
      <c r="I79">
        <f>COUNTIFS(Major!F:F,"=DCCA*", Major!F:F,"&lt;&gt;*PUC", Major!B:B, "&gt;=1/1/2000", Major!B:B, "&lt;1/1/2005")</f>
        <v>14</v>
      </c>
      <c r="J79">
        <f>ROUND(COUNTIFS(Major!F:F,"=DCCA*", Major!F:F,"&lt;&gt;*PUC", Major!B:B, "&gt;=1/1/2000", Major!B:B, "&lt;1/1/2005")/YEARFRAC("1/1/2000", "12/31/2004"),0)</f>
        <v>3</v>
      </c>
      <c r="K79">
        <f>COUNTIFS(Major!F:F,"=DCCA*", Major!F:F,"&lt;&gt;*PUC", Major!B:B, "&gt;=1/1/2005", Major!B:B, "&lt;1/1/2010")</f>
        <v>16</v>
      </c>
      <c r="L79">
        <f>ROUND(COUNTIFS(Major!F:F,"=DCCA*", Major!F:F,"&lt;&gt;*PUC", Major!B:B, "&gt;=1/1/2005", Major!B:B, "&lt;1/1/2010")/YEARFRAC("1/1/2005", "12/31/2009"),0)</f>
        <v>3</v>
      </c>
      <c r="M79">
        <f>COUNTIFS(Major!F:F,"=DCCA*", Major!F:F,"&lt;&gt;*PUC", Major!B:B, "&gt;=1/1/2010", Major!B:B, "&lt;1/1/2015")</f>
        <v>16</v>
      </c>
      <c r="N79">
        <f>ROUND(COUNTIFS(Major!F:F,"=DCCA*", Major!F:F,"&lt;&gt;*PUC", Major!B:B, "&gt;=1/1/2010", Major!B:B, "&lt;1/1/2015")/YEARFRAC("1/1/2010", "12/31/2014"),0)</f>
        <v>3</v>
      </c>
      <c r="O79">
        <f>COUNTIFS(Major!F:F,"=DCCA*", Major!F:F,"&lt;&gt;*PUC", Major!B:B, "&gt;=1/1/2015", Major!B:B, "&lt;1/1/2020")</f>
        <v>12</v>
      </c>
      <c r="P79">
        <f>ROUND(COUNTIFS(Major!F:F,"=DCCA*", Major!F:F,"&lt;&gt;*PUC", Major!B:B, "&gt;=1/1/2015", Major!B:B, "&lt;1/1/2020")/YEARFRAC("1/1/2015", "12/31/2019"),0)</f>
        <v>2</v>
      </c>
      <c r="Q79">
        <f>ROUND(5*COUNTIFS(Major!F:F,"=DCCA*", Major!F:F,"&lt;&gt;*PUC", Major!B:B, "&gt;=1/1/2020", Major!B:B, "&lt;1/1/2025")/YEARFRAC("1/1/2020", "1/1/2025"),0)</f>
        <v>10</v>
      </c>
      <c r="R79">
        <f>ROUND(COUNTIFS(Major!F:F,"=DCCA*", Major!F:F,"&lt;&gt;*PUC", Major!B:B, "&gt;=1/1/2020", Major!B:B, "&lt;1/1/2025")/YEARFRAC("1/1/2020", "12/31/2024"),0)</f>
        <v>2</v>
      </c>
      <c r="S79">
        <f>COUNTIFS(Major!F:F,"=DCCA*", Major!F:F,"&lt;&gt;*PUC", Major!B:B, "&gt;=1/1/2025", Major!B:B, "&lt;1/1/2030")</f>
        <v>0</v>
      </c>
      <c r="T79">
        <f>ROUND(5*COUNTIFS(Major!F:F,"=DCCA*", Major!F:F,"&lt;&gt;*PUC", Major!B:B, "&gt;=1/1/2025", Major!B:B, "&lt;1/1/2030")/YEARFRAC("1/1/2025", "1/1/2026"),0)</f>
        <v>0</v>
      </c>
      <c r="U79">
        <f>COUNTIFS(All!F:F,"=DCCA*", All!F:F,"&lt;&gt;*PUC", All!E:E,"&lt;&gt;LIT", All!E:E,"&lt;&gt;LEG",All!E:E,"&lt;&gt;UIPA*",All!E:E,"&lt;&gt;*TRNG*", All!E:E,"&lt;&gt;ADMIN",All!E:E,"&lt;&gt;RULES",All!E:E,"&lt;&gt;RR*",All!E:E,"&lt;&gt;RSCH")</f>
        <v>264</v>
      </c>
      <c r="V79">
        <f>ROUND(AVERAGEIFS(All!R:R, All!E:E,"&lt;&gt;LIT", All!E:E,"&lt;&gt;LEG",All!E:E,"&lt;&gt;UIPA*",All!E:E,"&lt;&gt;*TRNG*", All!E:E,"&lt;&gt;ADMIN",All!E:E,"&lt;&gt;RULES",All!E:E,"&lt;&gt;RR*",All!E:E,"&lt;&gt;RSCH",All!F:F,"=DCCA*", All!F:F,"&lt;&gt;*PUC"), 0)</f>
        <v>435</v>
      </c>
      <c r="W79">
        <f>COUNTIFS(All!F:F,"=DCCA*", All!F:F,"&lt;&gt;*PUC", All!B:B, "&lt;1/1/2000", All!E:E,"&lt;&gt;LIT", All!E:E,"&lt;&gt;LEG",All!E:E,"&lt;&gt;UIPA*",All!E:E,"&lt;&gt;*TRNG*", All!E:E,"&lt;&gt;ADMIN",All!E:E,"&lt;&gt;RULES",All!E:E,"&lt;&gt;RR*",All!E:E,"&lt;&gt;RSCH")</f>
        <v>101</v>
      </c>
      <c r="X79">
        <f>COUNTIFS(All!F:F,"=DCCA*", All!F:F,"&lt;&gt;*PUC", All!B:B, "&gt;=1/1/2000", All!B:B, "&lt;1/1/2010", All!E:E,"&lt;&gt;LIT", All!E:E,"&lt;&gt;LEG",All!E:E,"&lt;&gt;UIPA*",All!E:E,"&lt;&gt;*TRNG*", All!E:E,"&lt;&gt;ADMIN",All!E:E,"&lt;&gt;RULES",All!E:E,"&lt;&gt;RR*",All!E:E,"&lt;&gt;RSCH")</f>
        <v>97</v>
      </c>
      <c r="Y79">
        <f>COUNTIFS(All!F:F,"=DCCA*", All!F:F,"&lt;&gt;*PUC", All!B:B, "&gt;=1/1/2010", All!B:B, "&lt;1/1/2020", All!E:E,"&lt;&gt;LIT", All!E:E,"&lt;&gt;LEG",All!E:E,"&lt;&gt;UIPA*",All!E:E,"&lt;&gt;*TRNG*", All!E:E,"&lt;&gt;ADMIN",All!E:E,"&lt;&gt;RULES",All!E:E,"&lt;&gt;RR*",All!E:E,"&lt;&gt;RSCH")</f>
        <v>49</v>
      </c>
      <c r="Z79">
        <f>COUNTIFS(All!F:F,"=DCCA*", All!F:F,"&lt;&gt;*PUC", All!B:B, "&gt;=1/1/2020", All!B:B, "&lt;1/1/2030", All!E:E,"&lt;&gt;LIT", All!E:E,"&lt;&gt;LEG",All!E:E,"&lt;&gt;UIPA*",All!E:E,"&lt;&gt;*TRNG*", All!E:E,"&lt;&gt;ADMIN",All!E:E,"&lt;&gt;RULES",All!E:E,"&lt;&gt;RR*",All!E:E,"&lt;&gt;RSCH")</f>
        <v>17</v>
      </c>
    </row>
    <row r="80" spans="1:26" ht="16">
      <c r="A80" s="10">
        <v>79</v>
      </c>
      <c r="B80" s="9" t="s">
        <v>17470</v>
      </c>
    </row>
    <row r="81" spans="1:26" ht="16">
      <c r="A81" s="10">
        <v>80</v>
      </c>
      <c r="B81" s="9" t="s">
        <v>17471</v>
      </c>
    </row>
    <row r="82" spans="1:26" ht="32">
      <c r="A82" s="10">
        <v>81</v>
      </c>
      <c r="B82" s="1" t="s">
        <v>17468</v>
      </c>
      <c r="C82">
        <f>COUNTIF(Major!F:F,"=*PUC*")</f>
        <v>7</v>
      </c>
      <c r="D82">
        <f>ROUND(AVERAGEIF(Major!F:F,"=*PUC*", Major!R:R), 0)</f>
        <v>431</v>
      </c>
      <c r="E82">
        <f>COUNTIFS(Major!F:F,"=*PUC*", Major!B:B, "&lt;1/1/1995")</f>
        <v>2</v>
      </c>
      <c r="F82">
        <f>ROUND(COUNTIFS(Major!F:F,"=*PUC*", Major!B:B, "&lt;1/1/1995")/YEARFRAC("11/1/1988", "12/31/1994"),0)</f>
        <v>0</v>
      </c>
      <c r="G82">
        <f>COUNTIFS(Major!F:F,"=*PUC*", Major!B:B, "&gt;=1/1/1995", Major!B:B, "&lt;1/1/2000")</f>
        <v>1</v>
      </c>
      <c r="H82">
        <f>ROUND(COUNTIFS(Major!F:F,"=*PUC*", Major!B:B, "&gt;=1/1/1995", Major!B:B, "&lt;1/1/2000")/YEARFRAC("1/1/1995", "12/31/1999"),0)</f>
        <v>0</v>
      </c>
      <c r="I82">
        <f>COUNTIFS(Major!F:F,"=*PUC*", Major!B:B, "&gt;=1/1/2000", Major!B:B, "&lt;1/1/2005")</f>
        <v>0</v>
      </c>
      <c r="J82">
        <f>ROUND(COUNTIFS(Major!F:F,"=*PUC*", Major!B:B, "&gt;=1/1/2000", Major!B:B, "&lt;1/1/2005")/YEARFRAC("1/1/2000", "12/31/2004"),0)</f>
        <v>0</v>
      </c>
      <c r="K82">
        <f>COUNTIFS(Major!F:F,"=*PUC*", Major!B:B, "&gt;=1/1/2005", Major!B:B, "&lt;1/1/2010")</f>
        <v>1</v>
      </c>
      <c r="L82">
        <f>ROUND(COUNTIFS(Major!F:F,"=*PUC*", Major!B:B, "&gt;=1/1/2005", Major!B:B, "&lt;1/1/2010")/YEARFRAC("1/1/2005", "12/31/2009"),0)</f>
        <v>0</v>
      </c>
      <c r="M82">
        <f>COUNTIFS(Major!F:F,"=*PUC*", Major!B:B, "&gt;=1/1/2010", Major!B:B, "&lt;1/1/2015")</f>
        <v>2</v>
      </c>
      <c r="N82">
        <f>ROUND(COUNTIFS(Major!F:F,"=*PUC*", Major!B:B, "&gt;=1/1/2010", Major!B:B, "&lt;1/1/2015")/YEARFRAC("1/1/2010", "12/31/2014"),0)</f>
        <v>0</v>
      </c>
      <c r="O82">
        <f>COUNTIFS(Major!F:F,"=*PUC*", Major!B:B, "&gt;=1/1/2015", Major!B:B, "&lt;1/1/2020")</f>
        <v>1</v>
      </c>
      <c r="P82">
        <f>ROUND(COUNTIFS(Major!F:F,"=*PUC*", Major!B:B, "&gt;=1/1/2015", Major!B:B, "&lt;1/1/2020")/YEARFRAC("1/1/2015", "12/31/2019"),0)</f>
        <v>0</v>
      </c>
      <c r="Q82">
        <f>ROUND(5*COUNTIFS(Major!F:F,"=*PUC*", Major!B:B, "&gt;=1/1/2020", Major!B:B, "&lt;1/1/2025")/YEARFRAC("1/1/2020", "1/1/2025"),0)</f>
        <v>0</v>
      </c>
      <c r="R82">
        <f>ROUND(COUNTIFS(Major!F:F,"=*PUC*", Major!B:B, "&gt;=1/1/2020", Major!B:B, "&lt;1/1/2025")/YEARFRAC("1/1/2020", "12/31/2024"),0)</f>
        <v>0</v>
      </c>
      <c r="S82">
        <f>COUNTIFS(Major!F:F,"=*PUC*", Major!B:B, "&gt;=1/1/2025", Major!B:B, "&lt;1/1/2030")</f>
        <v>0</v>
      </c>
      <c r="T82">
        <f>ROUND(5*COUNTIFS(Major!F:F,"=*PUC*", Major!B:B, "&gt;=1/1/2025", Major!B:B, "&lt;1/1/2030")/YEARFRAC("1/1/2025", "1/1/2026"),0)</f>
        <v>0</v>
      </c>
      <c r="U82">
        <f>COUNTIFS(All!F:F,"=*PUC*", All!E:E,"&lt;&gt;LIT", All!E:E,"&lt;&gt;LEG",All!E:E,"&lt;&gt;UIPA*",All!E:E,"&lt;&gt;*TRNG*", All!E:E,"&lt;&gt;ADMIN",All!E:E,"&lt;&gt;RULES",All!E:E,"&lt;&gt;RR*",All!E:E,"&lt;&gt;RSCH")</f>
        <v>10</v>
      </c>
      <c r="V82">
        <f>ROUND(AVERAGEIFS(All!R:R, All!E:E,"&lt;&gt;LIT", All!E:E,"&lt;&gt;LEG",All!E:E,"&lt;&gt;UIPA*",All!E:E,"&lt;&gt;*TRNG*", All!E:E,"&lt;&gt;ADMIN",All!E:E,"&lt;&gt;RULES",All!E:E,"&lt;&gt;RR*",All!E:E,"&lt;&gt;RSCH",All!F:F,"=*PUC*"), 0)</f>
        <v>327</v>
      </c>
      <c r="W82">
        <f>COUNTIFS(All!F:F,"=*PUC*", All!B:B, "&lt;1/1/2000", All!E:E,"&lt;&gt;LIT", All!E:E,"&lt;&gt;LEG",All!E:E,"&lt;&gt;UIPA*",All!E:E,"&lt;&gt;*TRNG*", All!E:E,"&lt;&gt;ADMIN",All!E:E,"&lt;&gt;RULES",All!E:E,"&lt;&gt;RR*",All!E:E,"&lt;&gt;RSCH")</f>
        <v>3</v>
      </c>
      <c r="X82">
        <f>COUNTIFS(All!F:F,"=*PUC*", All!B:B, "&gt;=1/1/2000", All!B:B, "&lt;1/1/2010", All!E:E,"&lt;&gt;LIT", All!E:E,"&lt;&gt;LEG",All!E:E,"&lt;&gt;UIPA*",All!E:E,"&lt;&gt;*TRNG*", All!E:E,"&lt;&gt;ADMIN",All!E:E,"&lt;&gt;RULES",All!E:E,"&lt;&gt;RR*",All!E:E,"&lt;&gt;RSCH")</f>
        <v>3</v>
      </c>
      <c r="Y82">
        <f>COUNTIFS(All!F:F,"=*PUC*", All!B:B, "&gt;=1/1/2010", All!B:B, "&lt;1/1/2020", All!E:E,"&lt;&gt;LIT", All!E:E,"&lt;&gt;LEG",All!E:E,"&lt;&gt;UIPA*",All!E:E,"&lt;&gt;*TRNG*", All!E:E,"&lt;&gt;ADMIN",All!E:E,"&lt;&gt;RULES",All!E:E,"&lt;&gt;RR*",All!E:E,"&lt;&gt;RSCH")</f>
        <v>4</v>
      </c>
      <c r="Z82">
        <f>COUNTIFS(All!F:F,"=*PUC*", All!B:B, "&gt;=1/1/2020", All!B:B, "&lt;1/1/2030", All!E:E,"&lt;&gt;LIT", All!E:E,"&lt;&gt;LEG",All!E:E,"&lt;&gt;UIPA*",All!E:E,"&lt;&gt;*TRNG*", All!E:E,"&lt;&gt;ADMIN",All!E:E,"&lt;&gt;RULES",All!E:E,"&lt;&gt;RR*",All!E:E,"&lt;&gt;RSCH")</f>
        <v>0</v>
      </c>
    </row>
    <row r="83" spans="1:26" ht="16">
      <c r="A83" s="10">
        <v>82</v>
      </c>
      <c r="B83" s="1" t="s">
        <v>17246</v>
      </c>
      <c r="C83">
        <f>COUNTIF(Major!F:F,"=DOD*")</f>
        <v>4</v>
      </c>
      <c r="D83">
        <f>ROUND(AVERAGEIF(Major!F:F,"=DOD*", Major!R:R), 0)</f>
        <v>385</v>
      </c>
      <c r="E83">
        <f>COUNTIFS(Major!F:F,"=DOD*", Major!B:B, "&lt;1/1/1995")</f>
        <v>3</v>
      </c>
      <c r="F83">
        <f>ROUND(COUNTIFS(Major!F:F,"=DOD*", Major!B:B, "&lt;1/1/1995")/YEARFRAC("11/1/1988", "12/31/1994"),0)</f>
        <v>0</v>
      </c>
      <c r="G83">
        <f>COUNTIFS(Major!F:F,"=DOD*", Major!B:B, "&gt;=1/1/1995", Major!B:B, "&lt;1/1/2000")</f>
        <v>0</v>
      </c>
      <c r="H83">
        <f>ROUND(COUNTIFS(Major!F:F,"=DOD*", Major!B:B, "&gt;=1/1/1995", Major!B:B, "&lt;1/1/2000")/YEARFRAC("1/1/1995", "12/31/1999"),0)</f>
        <v>0</v>
      </c>
      <c r="I83">
        <f>COUNTIFS(Major!F:F,"=DOD*", Major!B:B, "&gt;=1/1/2000", Major!B:B, "&lt;1/1/2005")</f>
        <v>0</v>
      </c>
      <c r="J83">
        <f>ROUND(COUNTIFS(Major!F:F,"=DOD*", Major!B:B, "&gt;=1/1/2000", Major!B:B, "&lt;1/1/2005")/YEARFRAC("1/1/2000", "12/31/2004"),0)</f>
        <v>0</v>
      </c>
      <c r="K83">
        <f>COUNTIFS(Major!F:F,"=DOD*", Major!B:B, "&gt;=1/1/2005", Major!B:B, "&lt;1/1/2010")</f>
        <v>0</v>
      </c>
      <c r="L83">
        <f>ROUND(COUNTIFS(Major!F:F,"=DOD*", Major!B:B, "&gt;=1/1/2005", Major!B:B, "&lt;1/1/2010")/YEARFRAC("1/1/2005", "12/31/2009"),0)</f>
        <v>0</v>
      </c>
      <c r="M83">
        <f>COUNTIFS(Major!F:F,"=DOD*", Major!B:B, "&gt;=1/1/2010", Major!B:B, "&lt;1/1/2015")</f>
        <v>1</v>
      </c>
      <c r="N83">
        <f>ROUND(COUNTIFS(Major!F:F,"=DOD*", Major!B:B, "&gt;=1/1/2010", Major!B:B, "&lt;1/1/2015")/YEARFRAC("1/1/2010", "12/31/2014"),0)</f>
        <v>0</v>
      </c>
      <c r="O83">
        <f>COUNTIFS(Major!F:F,"=DOD*", Major!B:B, "&gt;=1/1/2015", Major!B:B, "&lt;1/1/2020")</f>
        <v>0</v>
      </c>
      <c r="P83">
        <f>ROUND(COUNTIFS(Major!F:F,"=DOD*", Major!B:B, "&gt;=1/1/2015", Major!B:B, "&lt;1/1/2020")/YEARFRAC("1/1/2015", "12/31/2019"),0)</f>
        <v>0</v>
      </c>
      <c r="Q83">
        <f>ROUND(5*COUNTIFS(Major!F:F,"=DOD*", Major!B:B, "&gt;=1/1/2020", Major!B:B, "&lt;1/1/2025")/YEARFRAC("1/1/2020", "1/1/2025"),0)</f>
        <v>0</v>
      </c>
      <c r="R83">
        <f>ROUND(COUNTIFS(Major!F:F,"=DOD*", Major!B:B, "&gt;=1/1/2020", Major!B:B, "&lt;1/1/2025")/YEARFRAC("1/1/2020", "12/31/2024"),0)</f>
        <v>0</v>
      </c>
      <c r="S83">
        <f>COUNTIFS(Major!F:F,"=DOD*", Major!B:B, "&gt;=1/1/2025", Major!B:B, "&lt;1/1/2030")</f>
        <v>0</v>
      </c>
      <c r="T83">
        <f>ROUND(5*COUNTIFS(Major!F:F,"=DOD*", Major!B:B, "&gt;=1/1/2025", Major!B:B, "&lt;1/1/2030")/YEARFRAC("1/1/2025", "1/1/2026"),0)</f>
        <v>0</v>
      </c>
      <c r="U83">
        <f>COUNTIFS(All!F:F,"=DOD*", All!E:E,"&lt;&gt;LIT", All!E:E,"&lt;&gt;LEG",All!E:E,"&lt;&gt;UIPA*",All!E:E,"&lt;&gt;*TRNG*", All!E:E,"&lt;&gt;ADMIN",All!E:E,"&lt;&gt;RULES",All!E:E,"&lt;&gt;RR*",All!E:E,"&lt;&gt;RSCH")</f>
        <v>15</v>
      </c>
      <c r="V83">
        <f>ROUND(AVERAGEIFS(All!R:R, All!E:E,"&lt;&gt;LIT", All!E:E,"&lt;&gt;LEG",All!E:E,"&lt;&gt;UIPA*",All!E:E,"&lt;&gt;*TRNG*", All!E:E,"&lt;&gt;ADMIN",All!E:E,"&lt;&gt;RULES",All!E:E,"&lt;&gt;RR*",All!E:E,"&lt;&gt;RSCH",All!F:F,"=DOD*"), 0)</f>
        <v>119</v>
      </c>
      <c r="W83">
        <f>COUNTIFS(All!F:F,"=DOD*", All!B:B, "&lt;1/1/2000", All!E:E,"&lt;&gt;LIT", All!E:E,"&lt;&gt;LEG",All!E:E,"&lt;&gt;UIPA*",All!E:E,"&lt;&gt;*TRNG*", All!E:E,"&lt;&gt;ADMIN",All!E:E,"&lt;&gt;RULES",All!E:E,"&lt;&gt;RR*",All!E:E,"&lt;&gt;RSCH")</f>
        <v>5</v>
      </c>
      <c r="X83">
        <f>COUNTIFS(All!F:F,"=DOD*", All!B:B, "&gt;=1/1/2000", All!B:B, "&lt;1/1/2010", All!E:E,"&lt;&gt;LIT", All!E:E,"&lt;&gt;LEG",All!E:E,"&lt;&gt;UIPA*",All!E:E,"&lt;&gt;*TRNG*", All!E:E,"&lt;&gt;ADMIN",All!E:E,"&lt;&gt;RULES",All!E:E,"&lt;&gt;RR*",All!E:E,"&lt;&gt;RSCH")</f>
        <v>0</v>
      </c>
      <c r="Y83">
        <f>COUNTIFS(All!F:F,"=DOD*", All!B:B, "&gt;=1/1/2010", All!B:B, "&lt;1/1/2020", All!E:E,"&lt;&gt;LIT", All!E:E,"&lt;&gt;LEG",All!E:E,"&lt;&gt;UIPA*",All!E:E,"&lt;&gt;*TRNG*", All!E:E,"&lt;&gt;ADMIN",All!E:E,"&lt;&gt;RULES",All!E:E,"&lt;&gt;RR*",All!E:E,"&lt;&gt;RSCH")</f>
        <v>2</v>
      </c>
      <c r="Z83">
        <f>COUNTIFS(All!F:F,"=DOD*", All!B:B, "&gt;=1/1/2020", All!B:B, "&lt;1/1/2030", All!E:E,"&lt;&gt;LIT", All!E:E,"&lt;&gt;LEG",All!E:E,"&lt;&gt;UIPA*",All!E:E,"&lt;&gt;*TRNG*", All!E:E,"&lt;&gt;ADMIN",All!E:E,"&lt;&gt;RULES",All!E:E,"&lt;&gt;RR*",All!E:E,"&lt;&gt;RSCH")</f>
        <v>8</v>
      </c>
    </row>
    <row r="84" spans="1:26" ht="16">
      <c r="A84" s="10">
        <v>83</v>
      </c>
      <c r="B84" s="1" t="s">
        <v>17247</v>
      </c>
      <c r="C84">
        <f>COUNTIF(Major!F:F,"=DOE*")</f>
        <v>82</v>
      </c>
      <c r="D84">
        <f>ROUND(AVERAGEIF(Major!F:F,"=DOE*", Major!R:R), 0)</f>
        <v>430</v>
      </c>
      <c r="E84">
        <f>COUNTIFS(Major!F:F,"=DOE*", Major!B:B, "&lt;1/1/1995")</f>
        <v>15</v>
      </c>
      <c r="F84">
        <f>ROUND(COUNTIFS(Major!F:F,"=DOE*", Major!B:B, "&lt;1/1/1995")/YEARFRAC("11/1/1988", "12/31/1994"),0)</f>
        <v>2</v>
      </c>
      <c r="G84">
        <f>COUNTIFS(Major!F:F,"=DOE*", Major!B:B, "&gt;=1/1/1995", Major!B:B, "&lt;1/1/2000")</f>
        <v>5</v>
      </c>
      <c r="H84">
        <f>ROUND(COUNTIFS(Major!F:F,"=DOE*", Major!B:B, "&gt;=1/1/1995", Major!B:B, "&lt;1/1/2000")/YEARFRAC("1/1/1995", "12/31/1999"),0)</f>
        <v>1</v>
      </c>
      <c r="I84">
        <f>COUNTIFS(Major!F:F,"=DOE*", Major!B:B, "&gt;=1/1/2000", Major!B:B, "&lt;1/1/2005")</f>
        <v>8</v>
      </c>
      <c r="J84">
        <f>ROUND(COUNTIFS(Major!F:F,"=DOE*", Major!B:B, "&gt;=1/1/2000", Major!B:B, "&lt;1/1/2005")/YEARFRAC("1/1/2000", "12/31/2004"),0)</f>
        <v>2</v>
      </c>
      <c r="K84">
        <f>COUNTIFS(Major!F:F,"=DOE*", Major!B:B, "&gt;=1/1/2005", Major!B:B, "&lt;1/1/2010")</f>
        <v>24</v>
      </c>
      <c r="L84">
        <f>ROUND(COUNTIFS(Major!F:F,"=DOE*", Major!B:B, "&gt;=1/1/2005", Major!B:B, "&lt;1/1/2010")/YEARFRAC("1/1/2005", "12/31/2009"),0)</f>
        <v>5</v>
      </c>
      <c r="M84">
        <f>COUNTIFS(Major!F:F,"=DOE*", Major!B:B, "&gt;=1/1/2010", Major!B:B, "&lt;1/1/2015")</f>
        <v>7</v>
      </c>
      <c r="N84">
        <f>ROUND(COUNTIFS(Major!F:F,"=DOE*", Major!B:B, "&gt;=1/1/2010", Major!B:B, "&lt;1/1/2015")/YEARFRAC("1/1/2010", "12/31/2014"),0)</f>
        <v>1</v>
      </c>
      <c r="O84">
        <f>COUNTIFS(Major!F:F,"=DOE*", Major!B:B, "&gt;=1/1/2015", Major!B:B, "&lt;1/1/2020")</f>
        <v>11</v>
      </c>
      <c r="P84">
        <f>ROUND(COUNTIFS(Major!F:F,"=DOE*", Major!B:B, "&gt;=1/1/2015", Major!B:B, "&lt;1/1/2020")/YEARFRAC("1/1/2015", "12/31/2019"),0)</f>
        <v>2</v>
      </c>
      <c r="Q84">
        <f>ROUND(5*COUNTIFS(Major!F:F,"=DOE*", Major!B:B, "&gt;=1/1/2020", Major!B:B, "&lt;1/1/2025")/YEARFRAC("1/1/2020", "1/1/2025"),0)</f>
        <v>12</v>
      </c>
      <c r="R84">
        <f>ROUND(COUNTIFS(Major!F:F,"=DOE*", Major!B:B, "&gt;=1/1/2020", Major!B:B, "&lt;1/1/2025")/YEARFRAC("1/1/2020", "12/31/2024"),0)</f>
        <v>2</v>
      </c>
      <c r="S84">
        <f>COUNTIFS(Major!F:F,"=DOE*", Major!B:B, "&gt;=1/1/2025", Major!B:B, "&lt;1/1/2030")</f>
        <v>0</v>
      </c>
      <c r="T84">
        <f>ROUND(5*COUNTIFS(Major!F:F,"=DOE*", Major!B:B, "&gt;=1/1/2025", Major!B:B, "&lt;1/1/2030")/YEARFRAC("1/1/2025", "1/1/2026"),0)</f>
        <v>0</v>
      </c>
      <c r="U84">
        <f>COUNTIFS(All!F:F,"=DOE*", All!E:E,"&lt;&gt;LIT", All!E:E,"&lt;&gt;LEG",All!E:E,"&lt;&gt;UIPA*",All!E:E,"&lt;&gt;*TRNG*", All!E:E,"&lt;&gt;ADMIN",All!E:E,"&lt;&gt;RULES",All!E:E,"&lt;&gt;RR*",All!E:E,"&lt;&gt;RSCH")</f>
        <v>220</v>
      </c>
      <c r="V84">
        <f>ROUND(AVERAGEIFS(All!R:R, All!E:E,"&lt;&gt;LIT", All!E:E,"&lt;&gt;LEG",All!E:E,"&lt;&gt;UIPA*",All!E:E,"&lt;&gt;*TRNG*", All!E:E,"&lt;&gt;ADMIN",All!E:E,"&lt;&gt;RULES",All!E:E,"&lt;&gt;RR*",All!E:E,"&lt;&gt;RSCH",All!F:F,"=DOE*"), 0)</f>
        <v>224</v>
      </c>
      <c r="W84">
        <f>COUNTIFS(All!F:F,"=DOE*", All!B:B, "&lt;1/1/2000", All!E:E,"&lt;&gt;LIT", All!E:E,"&lt;&gt;LEG",All!E:E,"&lt;&gt;UIPA*",All!E:E,"&lt;&gt;*TRNG*", All!E:E,"&lt;&gt;ADMIN",All!E:E,"&lt;&gt;RULES",All!E:E,"&lt;&gt;RR*",All!E:E,"&lt;&gt;RSCH")</f>
        <v>38</v>
      </c>
      <c r="X84">
        <f>COUNTIFS(All!F:F,"=DOE*", All!B:B, "&gt;=1/1/2000", All!B:B, "&lt;1/1/2010", All!E:E,"&lt;&gt;LIT", All!E:E,"&lt;&gt;LEG",All!E:E,"&lt;&gt;UIPA*",All!E:E,"&lt;&gt;*TRNG*", All!E:E,"&lt;&gt;ADMIN",All!E:E,"&lt;&gt;RULES",All!E:E,"&lt;&gt;RR*",All!E:E,"&lt;&gt;RSCH")</f>
        <v>83</v>
      </c>
      <c r="Y84">
        <f>COUNTIFS(All!F:F,"=DOE*", All!B:B, "&gt;=1/1/2010", All!B:B, "&lt;1/1/2020", All!E:E,"&lt;&gt;LIT", All!E:E,"&lt;&gt;LEG",All!E:E,"&lt;&gt;UIPA*",All!E:E,"&lt;&gt;*TRNG*", All!E:E,"&lt;&gt;ADMIN",All!E:E,"&lt;&gt;RULES",All!E:E,"&lt;&gt;RR*",All!E:E,"&lt;&gt;RSCH")</f>
        <v>59</v>
      </c>
      <c r="Z84">
        <f>COUNTIFS(All!F:F,"=DOE*", All!B:B, "&gt;=1/1/2020", All!B:B, "&lt;1/1/2030", All!E:E,"&lt;&gt;LIT", All!E:E,"&lt;&gt;LEG",All!E:E,"&lt;&gt;UIPA*",All!E:E,"&lt;&gt;*TRNG*", All!E:E,"&lt;&gt;ADMIN",All!E:E,"&lt;&gt;RULES",All!E:E,"&lt;&gt;RR*",All!E:E,"&lt;&gt;RSCH")</f>
        <v>40</v>
      </c>
    </row>
    <row r="85" spans="1:26" ht="16">
      <c r="A85" s="10">
        <v>84</v>
      </c>
      <c r="B85" s="9" t="s">
        <v>17472</v>
      </c>
    </row>
    <row r="86" spans="1:26" ht="32">
      <c r="A86" s="10">
        <v>85</v>
      </c>
      <c r="B86" s="1" t="s">
        <v>17248</v>
      </c>
      <c r="C86">
        <f>COUNTIF(Major!F:F,"=DHHL*")</f>
        <v>17</v>
      </c>
      <c r="D86">
        <f>ROUND(AVERAGEIF(Major!F:F,"=DHHL*", Major!R:R), 0)</f>
        <v>668</v>
      </c>
      <c r="E86">
        <f>COUNTIFS(Major!F:F,"=DHHL*", Major!B:B, "&lt;1/1/1995")</f>
        <v>5</v>
      </c>
      <c r="F86">
        <f>ROUND(COUNTIFS(Major!F:F,"=DHHL*", Major!B:B, "&lt;1/1/1995")/YEARFRAC("11/1/1988", "12/31/1994"),0)</f>
        <v>1</v>
      </c>
      <c r="G86">
        <f>COUNTIFS(Major!F:F,"=DHHL*", Major!B:B, "&gt;=1/1/1995", Major!B:B, "&lt;1/1/2000")</f>
        <v>4</v>
      </c>
      <c r="H86">
        <f>ROUND(COUNTIFS(Major!F:F,"=DHHL*", Major!B:B, "&gt;=1/1/1995", Major!B:B, "&lt;1/1/2000")/YEARFRAC("1/1/1995", "12/31/1999"),0)</f>
        <v>1</v>
      </c>
      <c r="I86">
        <f>COUNTIFS(Major!F:F,"=DHHL*", Major!B:B, "&gt;=1/1/2000", Major!B:B, "&lt;1/1/2005")</f>
        <v>0</v>
      </c>
      <c r="J86">
        <f>ROUND(COUNTIFS(Major!F:F,"=DHHL*", Major!B:B, "&gt;=1/1/2000", Major!B:B, "&lt;1/1/2005")/YEARFRAC("1/1/2000", "12/31/2004"),0)</f>
        <v>0</v>
      </c>
      <c r="K86">
        <f>COUNTIFS(Major!F:F,"=DHHL*", Major!B:B, "&gt;=1/1/2005", Major!B:B, "&lt;1/1/2010")</f>
        <v>2</v>
      </c>
      <c r="L86">
        <f>ROUND(COUNTIFS(Major!F:F,"=DHHL*", Major!B:B, "&gt;=1/1/2005", Major!B:B, "&lt;1/1/2010")/YEARFRAC("1/1/2005", "12/31/2009"),0)</f>
        <v>0</v>
      </c>
      <c r="M86">
        <f>COUNTIFS(Major!F:F,"=DHHL*", Major!B:B, "&gt;=1/1/2010", Major!B:B, "&lt;1/1/2015")</f>
        <v>2</v>
      </c>
      <c r="N86">
        <f>ROUND(COUNTIFS(Major!F:F,"=DHHL*", Major!B:B, "&gt;=1/1/2010", Major!B:B, "&lt;1/1/2015")/YEARFRAC("1/1/2010", "12/31/2014"),0)</f>
        <v>0</v>
      </c>
      <c r="O86">
        <f>COUNTIFS(Major!F:F,"=DHHL*", Major!B:B, "&gt;=1/1/2015", Major!B:B, "&lt;1/1/2020")</f>
        <v>1</v>
      </c>
      <c r="P86">
        <f>ROUND(COUNTIFS(Major!F:F,"=DHHL*", Major!B:B, "&gt;=1/1/2015", Major!B:B, "&lt;1/1/2020")/YEARFRAC("1/1/2015", "12/31/2019"),0)</f>
        <v>0</v>
      </c>
      <c r="Q86">
        <f>ROUND(5*COUNTIFS(Major!F:F,"=DHHL*", Major!B:B, "&gt;=1/1/2020", Major!B:B, "&lt;1/1/2025")/YEARFRAC("1/1/2020", "1/1/2025"),0)</f>
        <v>3</v>
      </c>
      <c r="R86">
        <f>ROUND(COUNTIFS(Major!F:F,"=DHHL*", Major!B:B, "&gt;=1/1/2020", Major!B:B, "&lt;1/1/2025")/YEARFRAC("1/1/2020", "12/31/2024"),0)</f>
        <v>1</v>
      </c>
      <c r="S86">
        <f>COUNTIFS(Major!F:F,"=DHHL*", Major!B:B, "&gt;=1/1/2025", Major!B:B, "&lt;1/1/2030")</f>
        <v>0</v>
      </c>
      <c r="T86">
        <f>ROUND(5*COUNTIFS(Major!F:F,"=DHHL*", Major!B:B, "&gt;=1/1/2025", Major!B:B, "&lt;1/1/2030")/YEARFRAC("1/1/2025", "1/1/2026"),0)</f>
        <v>0</v>
      </c>
      <c r="U86">
        <f>COUNTIFS(All!F:F,"=DHHL*", All!E:E,"&lt;&gt;LIT", All!E:E,"&lt;&gt;LEG",All!E:E,"&lt;&gt;UIPA*",All!E:E,"&lt;&gt;*TRNG*", All!E:E,"&lt;&gt;ADMIN",All!E:E,"&lt;&gt;RULES",All!E:E,"&lt;&gt;RR*",All!E:E,"&lt;&gt;RSCH")</f>
        <v>35</v>
      </c>
      <c r="V86">
        <f>ROUND(AVERAGEIFS(All!R:R, All!E:E,"&lt;&gt;LIT", All!E:E,"&lt;&gt;LEG",All!E:E,"&lt;&gt;UIPA*",All!E:E,"&lt;&gt;*TRNG*", All!E:E,"&lt;&gt;ADMIN",All!E:E,"&lt;&gt;RULES",All!E:E,"&lt;&gt;RR*",All!E:E,"&lt;&gt;RSCH",All!F:F,"=DHHL*"), 0)</f>
        <v>400</v>
      </c>
      <c r="W86">
        <f>COUNTIFS(All!F:F,"=DHHL*", All!B:B, "&lt;1/1/2000", All!E:E,"&lt;&gt;LIT", All!E:E,"&lt;&gt;LEG",All!E:E,"&lt;&gt;UIPA*",All!E:E,"&lt;&gt;*TRNG*", All!E:E,"&lt;&gt;ADMIN",All!E:E,"&lt;&gt;RULES",All!E:E,"&lt;&gt;RR*",All!E:E,"&lt;&gt;RSCH")</f>
        <v>10</v>
      </c>
      <c r="X86">
        <f>COUNTIFS(All!F:F,"=DHHL*", All!B:B, "&gt;=1/1/2000", All!B:B, "&lt;1/1/2010", All!E:E,"&lt;&gt;LIT", All!E:E,"&lt;&gt;LEG",All!E:E,"&lt;&gt;UIPA*",All!E:E,"&lt;&gt;*TRNG*", All!E:E,"&lt;&gt;ADMIN",All!E:E,"&lt;&gt;RULES",All!E:E,"&lt;&gt;RR*",All!E:E,"&lt;&gt;RSCH")</f>
        <v>3</v>
      </c>
      <c r="Y86">
        <f>COUNTIFS(All!F:F,"=DHHL*", All!B:B, "&gt;=1/1/2010", All!B:B, "&lt;1/1/2020", All!E:E,"&lt;&gt;LIT", All!E:E,"&lt;&gt;LEG",All!E:E,"&lt;&gt;UIPA*",All!E:E,"&lt;&gt;*TRNG*", All!E:E,"&lt;&gt;ADMIN",All!E:E,"&lt;&gt;RULES",All!E:E,"&lt;&gt;RR*",All!E:E,"&lt;&gt;RSCH")</f>
        <v>8</v>
      </c>
      <c r="Z86">
        <f>COUNTIFS(All!F:F,"=DHHL*", All!B:B, "&gt;=1/1/2020", All!B:B, "&lt;1/1/2030", All!E:E,"&lt;&gt;LIT", All!E:E,"&lt;&gt;LEG",All!E:E,"&lt;&gt;UIPA*",All!E:E,"&lt;&gt;*TRNG*", All!E:E,"&lt;&gt;ADMIN",All!E:E,"&lt;&gt;RULES",All!E:E,"&lt;&gt;RR*",All!E:E,"&lt;&gt;RSCH")</f>
        <v>14</v>
      </c>
    </row>
    <row r="87" spans="1:26" ht="16">
      <c r="A87" s="10">
        <v>86</v>
      </c>
      <c r="B87" s="1" t="s">
        <v>17249</v>
      </c>
      <c r="C87">
        <f>SUM(COUNTIF(Major!F:F,"=DOH*"),COUNTIF(Major!F:F,"=HHSC*"))</f>
        <v>130</v>
      </c>
      <c r="D87">
        <f>ROUND(AVERAGE(AVERAGEIF(Major!F:F,"=DOH*", Major!R:R),AVERAGEIF(Major!F:F,"=HHSC*", Major!R:R)), 0)</f>
        <v>810</v>
      </c>
      <c r="E87">
        <f>SUM(COUNTIFS(Major!F:F,"=DOH*", Major!B:B, "&lt;1/1/1995"),COUNTIFS(Major!F:F,"=hhsc*", Major!B:B, "&lt;1/1/1995"))</f>
        <v>37</v>
      </c>
      <c r="F87">
        <f>ROUND(SUM(COUNTIFS(Major!F:F,"=DOH*", Major!B:B, "&lt;1/1/1995"),COUNTIFS(Major!F:F,"=hhsc*", Major!B:B, "&lt;1/1/1995"))/YEARFRAC("11/1/1988", "12/31/1994"),0)</f>
        <v>6</v>
      </c>
      <c r="G87">
        <f>SUM(COUNTIFS(Major!F:F,"=DOH*", Major!B:B, "&gt;=1/1/1995", Major!B:B, "&lt;1/1/2000"),COUNTIFS(Major!F:F,"=hhsc*", Major!B:B, "&gt;=1/1/1995", Major!B:B, "&lt;1/1/2000"))</f>
        <v>20</v>
      </c>
      <c r="H87">
        <f>ROUND(SUM(COUNTIFS(Major!F:F,"=DOH*", Major!B:B, "&gt;=1/1/1995", Major!B:B, "&lt;1/1/2000"),COUNTIFS(Major!F:F,"=hhsc*", Major!B:B, "&gt;=1/1/1995", Major!B:B, "&lt;1/1/2000"))/YEARFRAC("1/1/1995", "12/31/1999"),0)</f>
        <v>4</v>
      </c>
      <c r="I87">
        <f>SUM(COUNTIFS(Major!F:F,"=DOH*", Major!B:B, "&gt;=1/1/2000", Major!B:B, "&lt;1/1/2005"),COUNTIFS(Major!F:F,"=hhsc*", Major!B:B, "&gt;=1/1/2000", Major!B:B, "&lt;1/1/2005"))</f>
        <v>5</v>
      </c>
      <c r="J87">
        <f>ROUND(SUM(COUNTIFS(Major!F:F,"=DOH*", Major!B:B, "&gt;=1/1/2000", Major!B:B, "&lt;1/1/2005"),COUNTIFS(Major!F:F,"=hhsc*", Major!B:B, "&gt;=1/1/2000", Major!B:B, "&lt;1/1/2005"))/YEARFRAC("1/1/2000", "12/31/2004"),0)</f>
        <v>1</v>
      </c>
      <c r="K87">
        <f>SUM(COUNTIFS(Major!F:F,"=DOH*", Major!B:B, "&gt;=1/1/2005", Major!B:B, "&lt;1/1/2010"),COUNTIFS(Major!F:F,"=hhsc*", Major!B:B, "&gt;=1/1/2005", Major!B:B, "&lt;1/1/2010"))</f>
        <v>14</v>
      </c>
      <c r="L87">
        <f>ROUND(SUM(COUNTIFS(Major!F:F,"=DOH*", Major!B:B, "&gt;=1/1/2005", Major!B:B, "&lt;1/1/2010"),COUNTIFS(Major!F:F,"=hhsc*", Major!B:B, "&gt;=1/1/2005", Major!B:B, "&lt;1/1/2010"))/YEARFRAC("1/1/2005", "12/31/2009"),0)</f>
        <v>3</v>
      </c>
      <c r="M87">
        <f>SUM(COUNTIFS(Major!F:F,"=DOH*", Major!B:B, "&gt;=1/1/2010", Major!B:B, "&lt;1/1/2015"),COUNTIFS(Major!F:F,"=hhsc*", Major!B:B, "&gt;=1/1/2010", Major!B:B, "&lt;1/1/2015"))</f>
        <v>22</v>
      </c>
      <c r="N87">
        <f>ROUND(SUM(COUNTIFS(Major!F:F,"=DOH*", Major!B:B, "&gt;=1/1/2010", Major!B:B, "&lt;1/1/2015"),COUNTIFS(Major!F:F,"=hhsc*", Major!B:B, "&gt;=1/1/2010", Major!B:B, "&lt;1/1/2015"))/YEARFRAC("1/1/2010", "12/31/2014"),0)</f>
        <v>4</v>
      </c>
      <c r="O87">
        <f>SUM(COUNTIFS(Major!F:F,"=DOH*", Major!B:B, "&gt;=1/1/2015", Major!B:B, "&lt;1/1/2020"),COUNTIFS(Major!F:F,"=hhsc*", Major!B:B, "&gt;=1/1/2015", Major!B:B, "&lt;1/1/2020"))</f>
        <v>14</v>
      </c>
      <c r="P87">
        <f>ROUND(SUM(COUNTIFS(Major!F:F,"=DOH*", Major!B:B, "&gt;=1/1/2015", Major!B:B, "&lt;1/1/2020"),COUNTIFS(Major!F:F,"=hhsc*", Major!B:B, "&gt;=1/1/2015", Major!B:B, "&lt;1/1/2020"))/YEARFRAC("1/1/2015", "12/31/2019"),0)</f>
        <v>3</v>
      </c>
      <c r="Q87">
        <f>ROUND(5*SUM(COUNTIFS(Major!F:F,"=DOH*", Major!B:B, "&gt;=1/1/2020", Major!B:B, "&lt;1/1/2025"),COUNTIFS(Major!F:F,"=hhsc*", Major!B:B, "&gt;=1/1/2020", Major!B:B, "&lt;1/1/2025"))/YEARFRAC("1/1/2020", "1/1/2025"),0)</f>
        <v>18</v>
      </c>
      <c r="R87">
        <f>ROUND(SUM(COUNTIFS(Major!F:F,"=DOH*", Major!B:B, "&gt;=1/1/2020", Major!B:B, "&lt;1/1/2025"),COUNTIFS(Major!F:F,"=hhsc*", Major!B:B, "&gt;=1/1/2020", Major!B:B, "&lt;1/1/2025"))/YEARFRAC("1/1/2020", "12/31/2024"),0)</f>
        <v>4</v>
      </c>
      <c r="S87">
        <f>SUM(COUNTIFS(Major!F:F,"=DOH*", Major!B:B, "&gt;=1/1/2025", Major!B:B, "&lt;1/1/2030"),COUNTIFS(Major!F:F,"=hhsc*", Major!B:B, "&gt;=1/1/2025", Major!B:B, "&lt;1/1/2030"))</f>
        <v>0</v>
      </c>
      <c r="T87">
        <f>ROUND(5*SUM(COUNTIFS(Major!F:F,"=DOH*", Major!B:B, "&gt;=1/1/2025", Major!B:B, "&lt;1/1/2030"),COUNTIFS(Major!F:F,"=hhsc*", Major!B:B, "&gt;=1/1/2025", Major!B:B, "&lt;1/1/2030"))/YEARFRAC("1/1/2025", "1/1/2026"),0)</f>
        <v>0</v>
      </c>
      <c r="U87">
        <f>SUM(COUNTIFS(All!F:F,"=DOH*", All!E:E,"&lt;&gt;LIT", All!E:E,"&lt;&gt;LEG",All!E:E,"&lt;&gt;UIPA*",All!E:E,"&lt;&gt;*TRNG*", All!E:E,"&lt;&gt;ADMIN",All!E:E,"&lt;&gt;RULES",All!E:E,"&lt;&gt;RR*",All!E:E,"&lt;&gt;RSCH"),COUNTIFS(All!F:F,"=HHSC*", All!E:E,"&lt;&gt;LIT", All!E:E,"&lt;&gt;LEG",All!E:E,"&lt;&gt;UIPA*",All!E:E,"&lt;&gt;*TRNG*", All!E:E,"&lt;&gt;ADMIN",All!E:E,"&lt;&gt;RULES",All!E:E,"&lt;&gt;RR*",All!E:E,"&lt;&gt;RSCH"))</f>
        <v>334</v>
      </c>
      <c r="V87">
        <f>ROUND(AVERAGE(AVERAGEIFS(All!R:R, All!E:E,"&lt;&gt;LIT", All!E:E,"&lt;&gt;LEG",All!E:E,"&lt;&gt;UIPA*",All!E:E,"&lt;&gt;*TRNG*", All!E:E,"&lt;&gt;ADMIN",All!E:E,"&lt;&gt;RULES",All!E:E,"&lt;&gt;RR*",All!E:E,"&lt;&gt;RSCH",All!F:F,"=DOH*"),AVERAGEIFS(All!R:R, All!E:E,"&lt;&gt;LIT", All!E:E,"&lt;&gt;LEG",All!E:E,"&lt;&gt;UIPA*",All!E:E,"&lt;&gt;*TRNG*", All!E:E,"&lt;&gt;ADMIN",All!E:E,"&lt;&gt;RULES",All!E:E,"&lt;&gt;RR*",All!E:E,"&lt;&gt;RSCH",All!F:F,"=HHSC*")), 0)</f>
        <v>230</v>
      </c>
      <c r="W87">
        <f>SUM(COUNTIFS(All!F:F,"=DOH*", All!B:B, "&lt;1/1/2000", All!E:E,"&lt;&gt;LIT", All!E:E,"&lt;&gt;LEG",All!E:E,"&lt;&gt;UIPA*",All!E:E,"&lt;&gt;*TRNG*", All!E:E,"&lt;&gt;ADMIN",All!E:E,"&lt;&gt;RULES",All!E:E,"&lt;&gt;RR*",All!E:E,"&lt;&gt;RSCH"),COUNTIFS(All!F:F,"=hhsc*", All!B:B, "&lt;1/1/2000", All!E:E,"&lt;&gt;LIT", All!E:E,"&lt;&gt;LEG",All!E:E,"&lt;&gt;UIPA*",All!E:E,"&lt;&gt;*TRNG*", All!E:E,"&lt;&gt;ADMIN",All!E:E,"&lt;&gt;RULES",All!E:E,"&lt;&gt;RR*",All!E:E,"&lt;&gt;RSCH"))</f>
        <v>88</v>
      </c>
      <c r="X87">
        <f>SUM(COUNTIFS(All!F:F,"=DOH*", All!B:B, "&gt;=1/1/2000", All!B:B, "&lt;1/1/2010", All!E:E,"&lt;&gt;LIT", All!E:E,"&lt;&gt;LEG",All!E:E,"&lt;&gt;UIPA*",All!E:E,"&lt;&gt;*TRNG*", All!E:E,"&lt;&gt;ADMIN",All!E:E,"&lt;&gt;RULES",All!E:E,"&lt;&gt;RR*",All!E:E,"&lt;&gt;RSCH"),COUNTIFS(All!F:F,"=hhsc*", All!B:B, "&gt;=1/1/2000", All!B:B, "&lt;1/1/2010", All!E:E,"&lt;&gt;LIT", All!E:E,"&lt;&gt;LEG",All!E:E,"&lt;&gt;UIPA*",All!E:E,"&lt;&gt;*TRNG*", All!E:E,"&lt;&gt;ADMIN",All!E:E,"&lt;&gt;RULES",All!E:E,"&lt;&gt;RR*",All!E:E,"&lt;&gt;RSCH"))</f>
        <v>83</v>
      </c>
      <c r="Y87">
        <f>SUM(COUNTIFS(All!F:F,"=DOH*", All!B:B, "&gt;=1/1/2010", All!B:B, "&lt;1/1/2020", All!E:E,"&lt;&gt;LIT", All!E:E,"&lt;&gt;LEG",All!E:E,"&lt;&gt;UIPA*",All!E:E,"&lt;&gt;*TRNG*", All!E:E,"&lt;&gt;ADMIN",All!E:E,"&lt;&gt;RULES",All!E:E,"&lt;&gt;RR*",All!E:E,"&lt;&gt;RSCH"),COUNTIFS(All!F:F,"=hhsc*", All!B:B, "&gt;=1/1/2010", All!B:B, "&lt;1/1/2020", All!E:E,"&lt;&gt;LIT", All!E:E,"&lt;&gt;LEG",All!E:E,"&lt;&gt;UIPA*",All!E:E,"&lt;&gt;*TRNG*", All!E:E,"&lt;&gt;ADMIN",All!E:E,"&lt;&gt;RULES",All!E:E,"&lt;&gt;RR*",All!E:E,"&lt;&gt;RSCH"))</f>
        <v>119</v>
      </c>
      <c r="Z87">
        <f>SUM(COUNTIFS(All!F:F,"=DOH*", All!B:B, "&gt;=1/1/2020", All!B:B, "&lt;1/1/2030", All!E:E,"&lt;&gt;LIT", All!E:E,"&lt;&gt;LEG",All!E:E,"&lt;&gt;UIPA*",All!E:E,"&lt;&gt;*TRNG*", All!E:E,"&lt;&gt;ADMIN",All!E:E,"&lt;&gt;RULES",All!E:E,"&lt;&gt;RR*",All!E:E,"&lt;&gt;RSCH"),COUNTIFS(All!F:F,"=hhsc*", All!B:B, "&gt;=1/1/2020", All!B:B, "&lt;1/1/2030", All!E:E,"&lt;&gt;LIT", All!E:E,"&lt;&gt;LEG",All!E:E,"&lt;&gt;UIPA*",All!E:E,"&lt;&gt;*TRNG*", All!E:E,"&lt;&gt;ADMIN",All!E:E,"&lt;&gt;RULES",All!E:E,"&lt;&gt;RR*",All!E:E,"&lt;&gt;RSCH"))</f>
        <v>44</v>
      </c>
    </row>
    <row r="88" spans="1:26" ht="16">
      <c r="A88" s="10">
        <v>87</v>
      </c>
      <c r="B88" s="9" t="s">
        <v>17473</v>
      </c>
    </row>
    <row r="89" spans="1:26" ht="16">
      <c r="A89" s="10">
        <v>88</v>
      </c>
      <c r="B89" s="9" t="s">
        <v>17474</v>
      </c>
    </row>
    <row r="90" spans="1:26" ht="16">
      <c r="A90" s="10">
        <v>89</v>
      </c>
      <c r="B90" s="9" t="s">
        <v>17475</v>
      </c>
    </row>
    <row r="91" spans="1:26" ht="16">
      <c r="A91" s="10">
        <v>90</v>
      </c>
      <c r="B91" s="9" t="s">
        <v>17476</v>
      </c>
    </row>
    <row r="92" spans="1:26" ht="32">
      <c r="A92" s="10">
        <v>91</v>
      </c>
      <c r="B92" s="1" t="s">
        <v>17250</v>
      </c>
      <c r="C92">
        <f>COUNTIF(Major!F:F,"=DHRD*")</f>
        <v>24</v>
      </c>
      <c r="D92">
        <f>ROUND(AVERAGEIF(Major!F:F,"=DHRD*", Major!R:R), 0)</f>
        <v>638</v>
      </c>
      <c r="E92">
        <f>COUNTIFS(Major!F:F,"=DHRD*", Major!B:B, "&lt;1/1/1995")</f>
        <v>11</v>
      </c>
      <c r="F92">
        <f>ROUND(COUNTIFS(Major!F:F,"=DHRD*", Major!B:B, "&lt;1/1/1995")/YEARFRAC("11/1/1988", "12/31/1994"),0)</f>
        <v>2</v>
      </c>
      <c r="G92">
        <f>COUNTIFS(Major!F:F,"=DHRD*", Major!B:B, "&gt;=1/1/1995", Major!B:B, "&lt;1/1/2000")</f>
        <v>3</v>
      </c>
      <c r="H92">
        <f>ROUND(COUNTIFS(Major!F:F,"=DHRD*", Major!B:B, "&gt;=1/1/1995", Major!B:B, "&lt;1/1/2000")/YEARFRAC("1/1/1995", "12/31/1999"),0)</f>
        <v>1</v>
      </c>
      <c r="I92">
        <f>COUNTIFS(Major!F:F,"=DHRD*", Major!B:B, "&gt;=1/1/2000", Major!B:B, "&lt;1/1/2005")</f>
        <v>2</v>
      </c>
      <c r="J92">
        <f>ROUND(COUNTIFS(Major!F:F,"=DHRD*", Major!B:B, "&gt;=1/1/2000", Major!B:B, "&lt;1/1/2005")/YEARFRAC("1/1/2000", "12/31/2004"),0)</f>
        <v>0</v>
      </c>
      <c r="K92">
        <f>COUNTIFS(Major!F:F,"=DHRD*", Major!B:B, "&gt;=1/1/2005", Major!B:B, "&lt;1/1/2010")</f>
        <v>1</v>
      </c>
      <c r="L92">
        <f>ROUND(COUNTIFS(Major!F:F,"=DHRD*", Major!B:B, "&gt;=1/1/2005", Major!B:B, "&lt;1/1/2010")/YEARFRAC("1/1/2005", "12/31/2009"),0)</f>
        <v>0</v>
      </c>
      <c r="M92">
        <f>COUNTIFS(Major!F:F,"=DHRD*", Major!B:B, "&gt;=1/1/2010", Major!B:B, "&lt;1/1/2015")</f>
        <v>3</v>
      </c>
      <c r="N92">
        <f>ROUND(COUNTIFS(Major!F:F,"=DHRD*", Major!B:B, "&gt;=1/1/2010", Major!B:B, "&lt;1/1/2015")/YEARFRAC("1/1/2010", "12/31/2014"),0)</f>
        <v>1</v>
      </c>
      <c r="O92">
        <f>COUNTIFS(Major!F:F,"=DHRD*", Major!B:B, "&gt;=1/1/2015", Major!B:B, "&lt;1/1/2020")</f>
        <v>2</v>
      </c>
      <c r="P92">
        <f>ROUND(COUNTIFS(Major!F:F,"=DHRD*", Major!B:B, "&gt;=1/1/2015", Major!B:B, "&lt;1/1/2020")/YEARFRAC("1/1/2015", "12/31/2019"),0)</f>
        <v>0</v>
      </c>
      <c r="Q92">
        <f>ROUND(5*COUNTIFS(Major!F:F,"=DHRD*", Major!B:B, "&gt;=1/1/2020", Major!B:B, "&lt;1/1/2025")/YEARFRAC("1/1/2020", "1/1/2025"),0)</f>
        <v>2</v>
      </c>
      <c r="R92">
        <f>ROUND(COUNTIFS(Major!F:F,"=DHRD*", Major!B:B, "&gt;=1/1/2020", Major!B:B, "&lt;1/1/2025")/YEARFRAC("1/1/2020", "12/31/2024"),0)</f>
        <v>0</v>
      </c>
      <c r="S92">
        <f>COUNTIFS(Major!F:F,"=DHRD*", Major!B:B, "&gt;=1/1/2025", Major!B:B, "&lt;1/1/2030")</f>
        <v>0</v>
      </c>
      <c r="T92">
        <f>ROUND(5*COUNTIFS(Major!F:F,"=DHRD*", Major!B:B, "&gt;=1/1/2025", Major!B:B, "&lt;1/1/2030")/YEARFRAC("1/1/2025", "1/1/2026"),0)</f>
        <v>0</v>
      </c>
      <c r="U92">
        <f>COUNTIFS(All!F:F,"=DHRD*", All!E:E,"&lt;&gt;LIT", All!E:E,"&lt;&gt;LEG",All!E:E,"&lt;&gt;UIPA*",All!E:E,"&lt;&gt;*TRNG*", All!E:E,"&lt;&gt;ADMIN",All!E:E,"&lt;&gt;RULES",All!E:E,"&lt;&gt;RR*",All!E:E,"&lt;&gt;RSCH")</f>
        <v>50</v>
      </c>
      <c r="V92">
        <f>ROUND(AVERAGEIFS(All!R:R, All!E:E,"&lt;&gt;LIT", All!E:E,"&lt;&gt;LEG",All!E:E,"&lt;&gt;UIPA*",All!E:E,"&lt;&gt;*TRNG*", All!E:E,"&lt;&gt;ADMIN",All!E:E,"&lt;&gt;RULES",All!E:E,"&lt;&gt;RR*",All!E:E,"&lt;&gt;RSCH",All!F:F,"=DHRD*"), 0)</f>
        <v>349</v>
      </c>
      <c r="W92">
        <f>COUNTIFS(All!F:F,"=DHRD*", All!B:B, "&lt;1/1/2000", All!E:E,"&lt;&gt;LIT", All!E:E,"&lt;&gt;LEG",All!E:E,"&lt;&gt;UIPA*",All!E:E,"&lt;&gt;*TRNG*", All!E:E,"&lt;&gt;ADMIN",All!E:E,"&lt;&gt;RULES",All!E:E,"&lt;&gt;RR*",All!E:E,"&lt;&gt;RSCH")</f>
        <v>21</v>
      </c>
      <c r="X92">
        <f>COUNTIFS(All!F:F,"=DHRD*", All!B:B, "&gt;=1/1/2000", All!B:B, "&lt;1/1/2010", All!E:E,"&lt;&gt;LIT", All!E:E,"&lt;&gt;LEG",All!E:E,"&lt;&gt;UIPA*",All!E:E,"&lt;&gt;*TRNG*", All!E:E,"&lt;&gt;ADMIN",All!E:E,"&lt;&gt;RULES",All!E:E,"&lt;&gt;RR*",All!E:E,"&lt;&gt;RSCH")</f>
        <v>13</v>
      </c>
      <c r="Y92">
        <f>COUNTIFS(All!F:F,"=DHRD*", All!B:B, "&gt;=1/1/2010", All!B:B, "&lt;1/1/2020", All!E:E,"&lt;&gt;LIT", All!E:E,"&lt;&gt;LEG",All!E:E,"&lt;&gt;UIPA*",All!E:E,"&lt;&gt;*TRNG*", All!E:E,"&lt;&gt;ADMIN",All!E:E,"&lt;&gt;RULES",All!E:E,"&lt;&gt;RR*",All!E:E,"&lt;&gt;RSCH")</f>
        <v>12</v>
      </c>
      <c r="Z92">
        <f>COUNTIFS(All!F:F,"=DHRD*", All!B:B, "&gt;=1/1/2020", All!B:B, "&lt;1/1/2030", All!E:E,"&lt;&gt;LIT", All!E:E,"&lt;&gt;LEG",All!E:E,"&lt;&gt;UIPA*",All!E:E,"&lt;&gt;*TRNG*", All!E:E,"&lt;&gt;ADMIN",All!E:E,"&lt;&gt;RULES",All!E:E,"&lt;&gt;RR*",All!E:E,"&lt;&gt;RSCH")</f>
        <v>4</v>
      </c>
    </row>
    <row r="93" spans="1:26" ht="32">
      <c r="A93" s="10">
        <v>92</v>
      </c>
      <c r="B93" s="1" t="s">
        <v>17251</v>
      </c>
      <c r="C93">
        <f>SUM(COUNTIF(Major!F:F,"=DHS*"),COUNTIF(Major!F:F,"=HPHA*"))</f>
        <v>75</v>
      </c>
      <c r="D93">
        <f>ROUND(AVERAGE(AVERAGEIF(Major!F:F,"=DHS*", Major!R:R),AVERAGEIF(Major!F:F,"=HPHA*", Major!R:R)), 0)</f>
        <v>627</v>
      </c>
      <c r="E93">
        <f>SUM(COUNTIFS(Major!F:F,"=DHS*", Major!B:B, "&lt;1/1/1995"),COUNTIFS(Major!F:F,"=HPHA*", Major!B:B, "&lt;1/1/1995"))</f>
        <v>23</v>
      </c>
      <c r="F93">
        <f>ROUND(SUM(COUNTIFS(Major!F:F,"=DHS*", Major!B:B, "&lt;1/1/1995"),COUNTIFS(Major!F:F,"=HPHA*", Major!B:B, "&lt;1/1/1995"))/YEARFRAC("11/1/1988", "12/31/1994"),0)</f>
        <v>4</v>
      </c>
      <c r="G93">
        <f>SUM(COUNTIFS(Major!F:F,"=DHS*", Major!B:B, "&gt;=1/1/1995", Major!B:B, "&lt;1/1/2000"),COUNTIFS(Major!F:F,"=HPHA*", Major!B:B, "&gt;=1/1/1995", Major!B:B, "&lt;1/1/2000"))</f>
        <v>8</v>
      </c>
      <c r="H93">
        <f>ROUND(SUM(COUNTIFS(Major!F:F,"=DHS*", Major!B:B, "&gt;=1/1/1995", Major!B:B, "&lt;1/1/2000"),COUNTIFS(Major!F:F,"=HPHA*", Major!B:B, "&gt;=1/1/1995", Major!B:B, "&lt;1/1/2000"))/YEARFRAC("1/1/1995", "12/31/1999"),0)</f>
        <v>2</v>
      </c>
      <c r="I93">
        <f>SUM(COUNTIFS(Major!F:F,"=DHS*", Major!B:B, "&gt;=1/1/2000", Major!B:B, "&lt;1/1/2005"),COUNTIFS(Major!F:F,"=HPHA*", Major!B:B, "&gt;=1/1/2000", Major!B:B, "&lt;1/1/2005"))</f>
        <v>3</v>
      </c>
      <c r="J93">
        <f>ROUND(SUM(COUNTIFS(Major!F:F,"=DHS*", Major!B:B, "&gt;=1/1/2000", Major!B:B, "&lt;1/1/2005"),COUNTIFS(Major!F:F,"=HPHA*", Major!B:B, "&gt;=1/1/2000", Major!B:B, "&lt;1/1/2005"))/YEARFRAC("1/1/2000", "12/31/2004"),0)</f>
        <v>1</v>
      </c>
      <c r="K93">
        <f>SUM(COUNTIFS(Major!F:F,"=DHS*", Major!B:B, "&gt;=1/1/2005", Major!B:B, "&lt;1/1/2010"),COUNTIFS(Major!F:F,"=HPHA*", Major!B:B, "&gt;=1/1/2005", Major!B:B, "&lt;1/1/2010"))</f>
        <v>20</v>
      </c>
      <c r="L93">
        <f>ROUND(SUM(COUNTIFS(Major!F:F,"=DHS*", Major!B:B, "&gt;=1/1/2005", Major!B:B, "&lt;1/1/2010"),COUNTIFS(Major!F:F,"=HPHA*", Major!B:B, "&gt;=1/1/2005", Major!B:B, "&lt;1/1/2010"))/YEARFRAC("1/1/2005", "12/31/2009"),0)</f>
        <v>4</v>
      </c>
      <c r="M93">
        <f>SUM(COUNTIFS(Major!F:F,"=DHS*", Major!B:B, "&gt;=1/1/2010", Major!B:B, "&lt;1/1/2015"),COUNTIFS(Major!F:F,"=HPHA*", Major!B:B, "&gt;=1/1/2010", Major!B:B, "&lt;1/1/2015"))</f>
        <v>7</v>
      </c>
      <c r="N93">
        <f>ROUND(SUM(COUNTIFS(Major!F:F,"=DHS*", Major!B:B, "&gt;=1/1/2010", Major!B:B, "&lt;1/1/2015"),COUNTIFS(Major!F:F,"=HPHA*", Major!B:B, "&gt;=1/1/2010", Major!B:B, "&lt;1/1/2015"))/YEARFRAC("1/1/2010", "12/31/2014"),0)</f>
        <v>1</v>
      </c>
      <c r="O93">
        <f>SUM(COUNTIFS(Major!F:F,"=DHS*", Major!B:B, "&gt;=1/1/2015", Major!B:B, "&lt;1/1/2020"),COUNTIFS(Major!F:F,"=HPHA*", Major!B:B, "&gt;=1/1/2015", Major!B:B, "&lt;1/1/2020"))</f>
        <v>9</v>
      </c>
      <c r="P93">
        <f>ROUND(SUM(COUNTIFS(Major!F:F,"=DHS*", Major!B:B, "&gt;=1/1/2015", Major!B:B, "&lt;1/1/2020"),COUNTIFS(Major!F:F,"=HPHA*", Major!B:B, "&gt;=1/1/2015", Major!B:B, "&lt;1/1/2020"))/YEARFRAC("1/1/2015", "12/31/2019"),0)</f>
        <v>2</v>
      </c>
      <c r="Q93">
        <f>ROUND(5*SUM(COUNTIFS(Major!F:F,"=DHS*", Major!B:B, "&gt;=1/1/2020", Major!B:B, "&lt;1/1/2025"),COUNTIFS(Major!F:F,"=HPHA*", Major!B:B, "&gt;=1/1/2020", Major!B:B, "&lt;1/1/2025"))/YEARFRAC("1/1/2020", "1/1/2025"),0)</f>
        <v>5</v>
      </c>
      <c r="R93">
        <f>ROUND(SUM(COUNTIFS(Major!F:F,"=DHS*", Major!B:B, "&gt;=1/1/2020", Major!B:B, "&lt;1/1/2025"),COUNTIFS(Major!F:F,"=HPHA*", Major!B:B, "&gt;=1/1/2020", Major!B:B, "&lt;1/1/2025"))/YEARFRAC("1/1/2020", "12/31/2024"),0)</f>
        <v>1</v>
      </c>
      <c r="S93">
        <f>SUM(COUNTIFS(Major!F:F,"=DHS*", Major!B:B, "&gt;=1/1/2025", Major!B:B, "&lt;1/1/2030"),COUNTIFS(Major!F:F,"=HPHA*", Major!B:B, "&gt;=1/1/2025", Major!B:B, "&lt;1/1/2030"))</f>
        <v>0</v>
      </c>
      <c r="T93">
        <f>ROUND(5*SUM(COUNTIFS(Major!F:F,"=DHS*", Major!B:B, "&gt;=1/1/2025", Major!B:B, "&lt;1/1/2030"),COUNTIFS(Major!F:F,"=HPHA*", Major!B:B, "&gt;=1/1/2025", Major!B:B, "&lt;1/1/2030"))/YEARFRAC("1/1/2025", "1/1/2026"),0)</f>
        <v>0</v>
      </c>
      <c r="U93">
        <f>SUM(COUNTIFS(All!F:F,"=DHS*", All!E:E,"&lt;&gt;LIT", All!E:E,"&lt;&gt;LEG",All!E:E,"&lt;&gt;UIPA*",All!E:E,"&lt;&gt;*TRNG*", All!E:E,"&lt;&gt;ADMIN",All!E:E,"&lt;&gt;RULES",All!E:E,"&lt;&gt;RR*",All!E:E,"&lt;&gt;RSCH"),COUNTIFS(All!F:F,"=HPHA*", All!E:E,"&lt;&gt;LIT", All!E:E,"&lt;&gt;LEG",All!E:E,"&lt;&gt;UIPA*",All!E:E,"&lt;&gt;*TRNG*", All!E:E,"&lt;&gt;ADMIN",All!E:E,"&lt;&gt;RULES",All!E:E,"&lt;&gt;RR*",All!E:E,"&lt;&gt;RSCH"))</f>
        <v>211</v>
      </c>
      <c r="V93">
        <f>ROUND(AVERAGE(AVERAGEIFS(All!R:R, All!E:E,"&lt;&gt;LIT", All!E:E,"&lt;&gt;LEG",All!E:E,"&lt;&gt;UIPA*",All!E:E,"&lt;&gt;*TRNG*", All!E:E,"&lt;&gt;ADMIN",All!E:E,"&lt;&gt;RULES",All!E:E,"&lt;&gt;RR*",All!E:E,"&lt;&gt;RSCH",All!F:F,"=DHS*"),AVERAGEIFS(All!R:R, All!E:E,"&lt;&gt;LIT", All!E:E,"&lt;&gt;LEG",All!E:E,"&lt;&gt;UIPA*",All!E:E,"&lt;&gt;*TRNG*", All!E:E,"&lt;&gt;ADMIN",All!E:E,"&lt;&gt;RULES",All!E:E,"&lt;&gt;RR*",All!E:E,"&lt;&gt;RSCH",All!F:F,"=HPHA*")), 0)</f>
        <v>293</v>
      </c>
      <c r="W93">
        <f>SUM(COUNTIFS(All!F:F,"=DHS*", All!B:B, "&lt;1/1/2000", All!E:E,"&lt;&gt;LIT", All!E:E,"&lt;&gt;LEG",All!E:E,"&lt;&gt;UIPA*",All!E:E,"&lt;&gt;*TRNG*", All!E:E,"&lt;&gt;ADMIN",All!E:E,"&lt;&gt;RULES",All!E:E,"&lt;&gt;RR*",All!E:E,"&lt;&gt;RSCH"),COUNTIFS(All!F:F,"=HPHA*", All!B:B, "&lt;1/1/2000", All!E:E,"&lt;&gt;LIT", All!E:E,"&lt;&gt;LEG",All!E:E,"&lt;&gt;UIPA*",All!E:E,"&lt;&gt;*TRNG*", All!E:E,"&lt;&gt;ADMIN",All!E:E,"&lt;&gt;RULES",All!E:E,"&lt;&gt;RR*",All!E:E,"&lt;&gt;RSCH"))</f>
        <v>54</v>
      </c>
      <c r="X93">
        <f>SUM(COUNTIFS(All!F:F,"=DHS*", All!B:B, "&gt;=1/1/2000", All!B:B, "&lt;1/1/2010", All!E:E,"&lt;&gt;LIT", All!E:E,"&lt;&gt;LEG",All!E:E,"&lt;&gt;UIPA*",All!E:E,"&lt;&gt;*TRNG*", All!E:E,"&lt;&gt;ADMIN",All!E:E,"&lt;&gt;RULES",All!E:E,"&lt;&gt;RR*",All!E:E,"&lt;&gt;RSCH"),COUNTIFS(All!F:F,"=HPHA*", All!B:B, "&gt;=1/1/2000", All!B:B, "&lt;1/1/2010", All!E:E,"&lt;&gt;LIT", All!E:E,"&lt;&gt;LEG",All!E:E,"&lt;&gt;UIPA*",All!E:E,"&lt;&gt;*TRNG*", All!E:E,"&lt;&gt;ADMIN",All!E:E,"&lt;&gt;RULES",All!E:E,"&lt;&gt;RR*",All!E:E,"&lt;&gt;RSCH"))</f>
        <v>48</v>
      </c>
      <c r="Y93">
        <f>SUM(COUNTIFS(All!F:F,"=DHS*", All!B:B, "&gt;=1/1/2010", All!B:B, "&lt;1/1/2020", All!E:E,"&lt;&gt;LIT", All!E:E,"&lt;&gt;LEG",All!E:E,"&lt;&gt;UIPA*",All!E:E,"&lt;&gt;*TRNG*", All!E:E,"&lt;&gt;ADMIN",All!E:E,"&lt;&gt;RULES",All!E:E,"&lt;&gt;RR*",All!E:E,"&lt;&gt;RSCH"),COUNTIFS(All!F:F,"=HPHA*", All!B:B, "&gt;=1/1/2010", All!B:B, "&lt;1/1/2020", All!E:E,"&lt;&gt;LIT", All!E:E,"&lt;&gt;LEG",All!E:E,"&lt;&gt;UIPA*",All!E:E,"&lt;&gt;*TRNG*", All!E:E,"&lt;&gt;ADMIN",All!E:E,"&lt;&gt;RULES",All!E:E,"&lt;&gt;RR*",All!E:E,"&lt;&gt;RSCH"))</f>
        <v>76</v>
      </c>
      <c r="Z93">
        <f>SUM(COUNTIFS(All!F:F,"=DHS*", All!B:B, "&gt;=1/1/2020", All!B:B, "&lt;1/1/2030", All!E:E,"&lt;&gt;LIT", All!E:E,"&lt;&gt;LEG",All!E:E,"&lt;&gt;UIPA*",All!E:E,"&lt;&gt;*TRNG*", All!E:E,"&lt;&gt;ADMIN",All!E:E,"&lt;&gt;RULES",All!E:E,"&lt;&gt;RR*",All!E:E,"&lt;&gt;RSCH"),COUNTIFS(All!F:F,"=HPHA*", All!B:B, "&gt;=1/1/2020", All!B:B, "&lt;1/1/2030", All!E:E,"&lt;&gt;LIT", All!E:E,"&lt;&gt;LEG",All!E:E,"&lt;&gt;UIPA*",All!E:E,"&lt;&gt;*TRNG*", All!E:E,"&lt;&gt;ADMIN",All!E:E,"&lt;&gt;RULES",All!E:E,"&lt;&gt;RR*",All!E:E,"&lt;&gt;RSCH"))</f>
        <v>33</v>
      </c>
    </row>
    <row r="94" spans="1:26" ht="32">
      <c r="A94" s="10">
        <v>93</v>
      </c>
      <c r="B94" s="1" t="s">
        <v>17252</v>
      </c>
      <c r="C94">
        <f>COUNTIF(Major!F:F,"=DLIR*")</f>
        <v>60</v>
      </c>
      <c r="D94">
        <f>ROUND(AVERAGEIF(Major!F:F,"=DLIR*", Major!R:R), 0)</f>
        <v>1080</v>
      </c>
      <c r="E94">
        <f>COUNTIFS(Major!F:F,"=DLIR*", Major!B:B, "&lt;1/1/1995")</f>
        <v>35</v>
      </c>
      <c r="F94">
        <f>ROUND(COUNTIFS(Major!F:F,"=DLIR*", Major!B:B, "&lt;1/1/1995")/YEARFRAC("11/1/1988", "12/31/1994"),0)</f>
        <v>6</v>
      </c>
      <c r="G94">
        <f>COUNTIFS(Major!F:F,"=DLIR*", Major!B:B, "&gt;=1/1/1995", Major!B:B, "&lt;1/1/2000")</f>
        <v>9</v>
      </c>
      <c r="H94">
        <f>ROUND(COUNTIFS(Major!F:F,"=DLIR*", Major!B:B, "&gt;=1/1/1995", Major!B:B, "&lt;1/1/2000")/YEARFRAC("1/1/1995", "12/31/1999"),0)</f>
        <v>2</v>
      </c>
      <c r="I94">
        <f>COUNTIFS(Major!F:F,"=DLIR*", Major!B:B, "&gt;=1/1/2000", Major!B:B, "&lt;1/1/2005")</f>
        <v>3</v>
      </c>
      <c r="J94">
        <f>ROUND(COUNTIFS(Major!F:F,"=DLIR*", Major!B:B, "&gt;=1/1/2000", Major!B:B, "&lt;1/1/2005")/YEARFRAC("1/1/2000", "12/31/2004"),0)</f>
        <v>1</v>
      </c>
      <c r="K94">
        <f>COUNTIFS(Major!F:F,"=DLIR*", Major!B:B, "&gt;=1/1/2005", Major!B:B, "&lt;1/1/2010")</f>
        <v>1</v>
      </c>
      <c r="L94">
        <f>ROUND(COUNTIFS(Major!F:F,"=DLIR*", Major!B:B, "&gt;=1/1/2005", Major!B:B, "&lt;1/1/2010")/YEARFRAC("1/1/2005", "12/31/2009"),0)</f>
        <v>0</v>
      </c>
      <c r="M94">
        <f>COUNTIFS(Major!F:F,"=DLIR*", Major!B:B, "&gt;=1/1/2010", Major!B:B, "&lt;1/1/2015")</f>
        <v>6</v>
      </c>
      <c r="N94">
        <f>ROUND(COUNTIFS(Major!F:F,"=DLIR*", Major!B:B, "&gt;=1/1/2010", Major!B:B, "&lt;1/1/2015")/YEARFRAC("1/1/2010", "12/31/2014"),0)</f>
        <v>1</v>
      </c>
      <c r="O94">
        <f>COUNTIFS(Major!F:F,"=DLIR*", Major!B:B, "&gt;=1/1/2015", Major!B:B, "&lt;1/1/2020")</f>
        <v>4</v>
      </c>
      <c r="P94">
        <f>ROUND(COUNTIFS(Major!F:F,"=DLIR*", Major!B:B, "&gt;=1/1/2015", Major!B:B, "&lt;1/1/2020")/YEARFRAC("1/1/2015", "12/31/2019"),0)</f>
        <v>1</v>
      </c>
      <c r="Q94">
        <f>ROUND(5*COUNTIFS(Major!F:F,"=DLIR*", Major!B:B, "&gt;=1/1/2020", Major!B:B, "&lt;1/1/2025")/YEARFRAC("1/1/2020", "1/1/2025"),0)</f>
        <v>2</v>
      </c>
      <c r="R94">
        <f>ROUND(COUNTIFS(Major!F:F,"=DLIR*", Major!B:B, "&gt;=1/1/2020", Major!B:B, "&lt;1/1/2025")/YEARFRAC("1/1/2020", "12/31/2024"),0)</f>
        <v>0</v>
      </c>
      <c r="S94">
        <f>COUNTIFS(Major!F:F,"=DLIR*", Major!B:B, "&gt;=1/1/2025", Major!B:B, "&lt;1/1/2030")</f>
        <v>0</v>
      </c>
      <c r="T94">
        <f>ROUND(5*COUNTIFS(Major!F:F,"=DLIR*", Major!B:B, "&gt;=1/1/2025", Major!B:B, "&lt;1/1/2030")/YEARFRAC("1/1/2025", "1/1/2026"),0)</f>
        <v>0</v>
      </c>
      <c r="U94">
        <f>COUNTIFS(All!F:F,"=DLIR*", All!E:E,"&lt;&gt;LIT", All!E:E,"&lt;&gt;LEG",All!E:E,"&lt;&gt;UIPA*",All!E:E,"&lt;&gt;*TRNG*", All!E:E,"&lt;&gt;ADMIN",All!E:E,"&lt;&gt;RULES",All!E:E,"&lt;&gt;RR*",All!E:E,"&lt;&gt;RSCH")</f>
        <v>119</v>
      </c>
      <c r="V94">
        <f>ROUND(AVERAGEIFS(All!R:R, All!E:E,"&lt;&gt;LIT", All!E:E,"&lt;&gt;LEG",All!E:E,"&lt;&gt;UIPA*",All!E:E,"&lt;&gt;*TRNG*", All!E:E,"&lt;&gt;ADMIN",All!E:E,"&lt;&gt;RULES",All!E:E,"&lt;&gt;RR*",All!E:E,"&lt;&gt;RSCH",All!F:F,"=DLIR*"), 0)</f>
        <v>603</v>
      </c>
      <c r="W94">
        <f>COUNTIFS(All!F:F,"=DLIR*", All!B:B, "&lt;1/1/2000", All!E:E,"&lt;&gt;LIT", All!E:E,"&lt;&gt;LEG",All!E:E,"&lt;&gt;UIPA*",All!E:E,"&lt;&gt;*TRNG*", All!E:E,"&lt;&gt;ADMIN",All!E:E,"&lt;&gt;RULES",All!E:E,"&lt;&gt;RR*",All!E:E,"&lt;&gt;RSCH")</f>
        <v>60</v>
      </c>
      <c r="X94">
        <f>COUNTIFS(All!F:F,"=DLIR*", All!B:B, "&gt;=1/1/2000", All!B:B, "&lt;1/1/2010", All!E:E,"&lt;&gt;LIT", All!E:E,"&lt;&gt;LEG",All!E:E,"&lt;&gt;UIPA*",All!E:E,"&lt;&gt;*TRNG*", All!E:E,"&lt;&gt;ADMIN",All!E:E,"&lt;&gt;RULES",All!E:E,"&lt;&gt;RR*",All!E:E,"&lt;&gt;RSCH")</f>
        <v>25</v>
      </c>
      <c r="Y94">
        <f>COUNTIFS(All!F:F,"=DLIR*", All!B:B, "&gt;=1/1/2010", All!B:B, "&lt;1/1/2020", All!E:E,"&lt;&gt;LIT", All!E:E,"&lt;&gt;LEG",All!E:E,"&lt;&gt;UIPA*",All!E:E,"&lt;&gt;*TRNG*", All!E:E,"&lt;&gt;ADMIN",All!E:E,"&lt;&gt;RULES",All!E:E,"&lt;&gt;RR*",All!E:E,"&lt;&gt;RSCH")</f>
        <v>18</v>
      </c>
      <c r="Z94">
        <f>COUNTIFS(All!F:F,"=DLIR*", All!B:B, "&gt;=1/1/2020", All!B:B, "&lt;1/1/2030", All!E:E,"&lt;&gt;LIT", All!E:E,"&lt;&gt;LEG",All!E:E,"&lt;&gt;UIPA*",All!E:E,"&lt;&gt;*TRNG*", All!E:E,"&lt;&gt;ADMIN",All!E:E,"&lt;&gt;RULES",All!E:E,"&lt;&gt;RR*",All!E:E,"&lt;&gt;RSCH")</f>
        <v>16</v>
      </c>
    </row>
    <row r="95" spans="1:26" ht="16">
      <c r="A95" s="10">
        <v>94</v>
      </c>
      <c r="B95" s="9" t="s">
        <v>17477</v>
      </c>
    </row>
    <row r="96" spans="1:26" ht="16">
      <c r="A96" s="10">
        <v>95</v>
      </c>
      <c r="B96" s="9" t="s">
        <v>17478</v>
      </c>
    </row>
    <row r="97" spans="1:26" ht="32">
      <c r="A97" s="10">
        <v>96</v>
      </c>
      <c r="B97" s="1" t="s">
        <v>17253</v>
      </c>
      <c r="C97">
        <f>COUNTIF(Major!F:F,"=*LNR*")</f>
        <v>135</v>
      </c>
      <c r="D97">
        <f>ROUND(AVERAGEIF(Major!F:F,"=*LNR*", Major!R:R), 0)</f>
        <v>480</v>
      </c>
      <c r="E97">
        <f>COUNTIFS(Major!F:F,"=*LNR*", Major!B:B, "&lt;1/1/1995")</f>
        <v>21</v>
      </c>
      <c r="F97">
        <f>ROUND(COUNTIFS(Major!F:F,"=*LNR*", Major!B:B, "&lt;1/1/1995")/YEARFRAC("11/1/1988", "12/31/1994"),0)</f>
        <v>3</v>
      </c>
      <c r="G97">
        <f>COUNTIFS(Major!F:F,"=*LNR*", Major!B:B, "&gt;=1/1/1995", Major!B:B, "&lt;1/1/2000")</f>
        <v>14</v>
      </c>
      <c r="H97">
        <f>ROUND(COUNTIFS(Major!F:F,"=*LNR*", Major!B:B, "&gt;=1/1/1995", Major!B:B, "&lt;1/1/2000")/YEARFRAC("1/1/1995", "12/31/1999"),0)</f>
        <v>3</v>
      </c>
      <c r="I97">
        <f>COUNTIFS(Major!F:F,"=*LNR*", Major!B:B, "&gt;=1/1/2000", Major!B:B, "&lt;1/1/2005")</f>
        <v>6</v>
      </c>
      <c r="J97">
        <f>ROUND(COUNTIFS(Major!F:F,"=*LNR*", Major!B:B, "&gt;=1/1/2000", Major!B:B, "&lt;1/1/2005")/YEARFRAC("1/1/2000", "12/31/2004"),0)</f>
        <v>1</v>
      </c>
      <c r="K97">
        <f>COUNTIFS(Major!F:F,"=*LNR*", Major!B:B, "&gt;=1/1/2005", Major!B:B, "&lt;1/1/2010")</f>
        <v>20</v>
      </c>
      <c r="L97">
        <f>ROUND(COUNTIFS(Major!F:F,"=*LNR*", Major!B:B, "&gt;=1/1/2005", Major!B:B, "&lt;1/1/2010")/YEARFRAC("1/1/2005", "12/31/2009"),0)</f>
        <v>4</v>
      </c>
      <c r="M97">
        <f>COUNTIFS(Major!F:F,"=*LNR*", Major!B:B, "&gt;=1/1/2010", Major!B:B, "&lt;1/1/2015")</f>
        <v>45</v>
      </c>
      <c r="N97">
        <f>ROUND(COUNTIFS(Major!F:F,"=*LNR*", Major!B:B, "&gt;=1/1/2010", Major!B:B, "&lt;1/1/2015")/YEARFRAC("1/1/2010", "12/31/2014"),0)</f>
        <v>9</v>
      </c>
      <c r="O97">
        <f>COUNTIFS(Major!F:F,"=*LNR*", Major!B:B, "&gt;=1/1/2015", Major!B:B, "&lt;1/1/2020")</f>
        <v>14</v>
      </c>
      <c r="P97">
        <f>ROUND(COUNTIFS(Major!F:F,"=*LNR*", Major!B:B, "&gt;=1/1/2015", Major!B:B, "&lt;1/1/2020")/YEARFRAC("1/1/2015", "12/31/2019"),0)</f>
        <v>3</v>
      </c>
      <c r="Q97">
        <f>ROUND(5*COUNTIFS(Major!F:F,"=*LNR*", Major!B:B, "&gt;=1/1/2020", Major!B:B, "&lt;1/1/2025")/YEARFRAC("1/1/2020", "1/1/2025"),0)</f>
        <v>15</v>
      </c>
      <c r="R97">
        <f>ROUND(COUNTIFS(Major!F:F,"=*LNR*", Major!B:B, "&gt;=1/1/2020", Major!B:B, "&lt;1/1/2025")/YEARFRAC("1/1/2020", "12/31/2024"),0)</f>
        <v>3</v>
      </c>
      <c r="S97">
        <f>COUNTIFS(Major!F:F,"=*LNR*", Major!B:B, "&gt;=1/1/2025", Major!B:B, "&lt;1/1/2030")</f>
        <v>0</v>
      </c>
      <c r="T97">
        <f>ROUND(5*COUNTIFS(Major!F:F,"=*LNR*", Major!B:B, "&gt;=1/1/2025", Major!B:B, "&lt;1/1/2030")/YEARFRAC("1/1/2025", "1/1/2026"),0)</f>
        <v>0</v>
      </c>
      <c r="U97">
        <f>COUNTIFS(All!F:F,"=*LNR*", All!E:E,"&lt;&gt;LIT", All!E:E,"&lt;&gt;LEG",All!E:E,"&lt;&gt;UIPA*",All!E:E,"&lt;&gt;*TRNG*", All!E:E,"&lt;&gt;ADMIN",All!E:E,"&lt;&gt;RULES",All!E:E,"&lt;&gt;RR*",All!E:E,"&lt;&gt;RSCH")</f>
        <v>303</v>
      </c>
      <c r="V97">
        <f>ROUND(AVERAGEIFS(All!R:R, All!E:E,"&lt;&gt;LIT", All!E:E,"&lt;&gt;LEG",All!E:E,"&lt;&gt;UIPA*",All!E:E,"&lt;&gt;*TRNG*", All!E:E,"&lt;&gt;ADMIN",All!E:E,"&lt;&gt;RULES",All!E:E,"&lt;&gt;RR*",All!E:E,"&lt;&gt;RSCH",All!F:F,"=*LNR*"), 0)</f>
        <v>272</v>
      </c>
      <c r="W97">
        <f>COUNTIFS(All!F:F,"=*LNR*", All!B:B, "&lt;1/1/2000", All!E:E,"&lt;&gt;LIT", All!E:E,"&lt;&gt;LEG",All!E:E,"&lt;&gt;UIPA*",All!E:E,"&lt;&gt;*TRNG*", All!E:E,"&lt;&gt;ADMIN",All!E:E,"&lt;&gt;RULES",All!E:E,"&lt;&gt;RR*",All!E:E,"&lt;&gt;RSCH")</f>
        <v>62</v>
      </c>
      <c r="X97">
        <f>COUNTIFS(All!F:F,"=*LNR*", All!B:B, "&gt;=1/1/2000", All!B:B, "&lt;1/1/2010", All!E:E,"&lt;&gt;LIT", All!E:E,"&lt;&gt;LEG",All!E:E,"&lt;&gt;UIPA*",All!E:E,"&lt;&gt;*TRNG*", All!E:E,"&lt;&gt;ADMIN",All!E:E,"&lt;&gt;RULES",All!E:E,"&lt;&gt;RR*",All!E:E,"&lt;&gt;RSCH")</f>
        <v>61</v>
      </c>
      <c r="Y97">
        <f>COUNTIFS(All!F:F,"=*LNR*", All!B:B, "&gt;=1/1/2010", All!B:B, "&lt;1/1/2020", All!E:E,"&lt;&gt;LIT", All!E:E,"&lt;&gt;LEG",All!E:E,"&lt;&gt;UIPA*",All!E:E,"&lt;&gt;*TRNG*", All!E:E,"&lt;&gt;ADMIN",All!E:E,"&lt;&gt;RULES",All!E:E,"&lt;&gt;RR*",All!E:E,"&lt;&gt;RSCH")</f>
        <v>134</v>
      </c>
      <c r="Z97">
        <f>COUNTIFS(All!F:F,"=*LNR*", All!B:B, "&gt;=1/1/2020", All!B:B, "&lt;1/1/2030", All!E:E,"&lt;&gt;LIT", All!E:E,"&lt;&gt;LEG",All!E:E,"&lt;&gt;UIPA*",All!E:E,"&lt;&gt;*TRNG*", All!E:E,"&lt;&gt;ADMIN",All!E:E,"&lt;&gt;RULES",All!E:E,"&lt;&gt;RR*",All!E:E,"&lt;&gt;RSCH")</f>
        <v>46</v>
      </c>
    </row>
    <row r="98" spans="1:26" ht="16">
      <c r="A98" s="10">
        <v>97</v>
      </c>
      <c r="B98" s="9" t="s">
        <v>17459</v>
      </c>
    </row>
    <row r="99" spans="1:26" ht="16">
      <c r="A99" s="10">
        <v>98</v>
      </c>
      <c r="B99" s="9" t="s">
        <v>17479</v>
      </c>
    </row>
    <row r="100" spans="1:26" ht="16">
      <c r="A100" s="10">
        <v>99</v>
      </c>
      <c r="B100" s="9" t="s">
        <v>17480</v>
      </c>
    </row>
    <row r="101" spans="1:26" ht="32">
      <c r="A101" s="10">
        <v>100</v>
      </c>
      <c r="B101" s="1" t="s">
        <v>22135</v>
      </c>
      <c r="C101">
        <f>SUM(COUNTIF(Major!F:F,"=psd*"),COUNTIF(Major!F:F,"=hpa*"))</f>
        <v>156</v>
      </c>
      <c r="D101">
        <f>ROUND(AVERAGE(AVERAGEIF(Major!F:F,"=psd*", Major!R:R),AVERAGEIF(Major!F:F,"=hpa*", Major!R:R)), 0)</f>
        <v>668</v>
      </c>
      <c r="E101">
        <f>SUM(COUNTIFS(Major!F:F,"=psd*", Major!B:B, "&lt;1/1/1995"),COUNTIFS(Major!F:F,"=hpa*", Major!B:B, "&lt;1/1/1995"))</f>
        <v>56</v>
      </c>
      <c r="F101">
        <f>ROUND(SUM(COUNTIFS(Major!F:F,"=psd*", Major!B:B, "&lt;1/1/1995"),COUNTIFS(Major!F:F,"=hpa*", Major!B:B, "&lt;1/1/1995"))/YEARFRAC("11/1/1988", "12/31/1994"),0)</f>
        <v>9</v>
      </c>
      <c r="G101">
        <f>SUM(COUNTIFS(Major!F:F,"=psd*", Major!B:B, "&gt;=1/1/1995", Major!B:B, "&lt;1/1/2000"),COUNTIFS(Major!F:F,"=hpa*", Major!B:B, "&gt;=1/1/1995", Major!B:B, "&lt;1/1/2000"))</f>
        <v>35</v>
      </c>
      <c r="H101">
        <f>ROUND(SUM(COUNTIFS(Major!F:F,"=psd*", Major!B:B, "&gt;=1/1/1995", Major!B:B, "&lt;1/1/2000"),COUNTIFS(Major!F:F,"=hpa*", Major!B:B, "&gt;=1/1/1995", Major!B:B, "&lt;1/1/2000"))/YEARFRAC("1/1/1995", "12/31/1999"),0)</f>
        <v>7</v>
      </c>
      <c r="I101">
        <f>SUM(COUNTIFS(Major!F:F,"=psd*", Major!B:B, "&gt;=1/1/2000", Major!B:B, "&lt;1/1/2005"),COUNTIFS(Major!F:F,"=hpa*", Major!B:B, "&gt;=1/1/2000", Major!B:B, "&lt;1/1/2005"))</f>
        <v>10</v>
      </c>
      <c r="J101">
        <f>ROUND(SUM(COUNTIFS(Major!F:F,"=psd*", Major!B:B, "&gt;=1/1/2000", Major!B:B, "&lt;1/1/2005"),COUNTIFS(Major!F:F,"=hpa*", Major!B:B, "&gt;=1/1/2000", Major!B:B, "&lt;1/1/2005"))/YEARFRAC("1/1/2000", "12/31/2004"),0)</f>
        <v>2</v>
      </c>
      <c r="K101">
        <f>SUM(COUNTIFS(Major!F:F,"=psd*", Major!B:B, "&gt;=1/1/2005", Major!B:B, "&lt;1/1/2010"),COUNTIFS(Major!F:F,"=hpa*", Major!B:B, "&gt;=1/1/2005", Major!B:B, "&lt;1/1/2010"))</f>
        <v>13</v>
      </c>
      <c r="L101">
        <f>ROUND(SUM(COUNTIFS(Major!F:F,"=psd*", Major!B:B, "&gt;=1/1/2005", Major!B:B, "&lt;1/1/2010"),COUNTIFS(Major!F:F,"=hpa*", Major!B:B, "&gt;=1/1/2005", Major!B:B, "&lt;1/1/2010"))/YEARFRAC("1/1/2005", "12/31/2009"),0)</f>
        <v>3</v>
      </c>
      <c r="M101">
        <f>SUM(COUNTIFS(Major!F:F,"=psd*", Major!B:B, "&gt;=1/1/2010", Major!B:B, "&lt;1/1/2015"),COUNTIFS(Major!F:F,"=hpa*", Major!B:B, "&gt;=1/1/2010", Major!B:B, "&lt;1/1/2015"))</f>
        <v>20</v>
      </c>
      <c r="N101">
        <f>ROUND(SUM(COUNTIFS(Major!F:F,"=psd*", Major!B:B, "&gt;=1/1/2010", Major!B:B, "&lt;1/1/2015"),COUNTIFS(Major!F:F,"=hpa*", Major!B:B, "&gt;=1/1/2010", Major!B:B, "&lt;1/1/2015"))/YEARFRAC("1/1/2010", "12/31/2014"),0)</f>
        <v>4</v>
      </c>
      <c r="O101">
        <f>SUM(COUNTIFS(Major!F:F,"=psd*", Major!B:B, "&gt;=1/1/2015", Major!B:B, "&lt;1/1/2020"),COUNTIFS(Major!F:F,"=hpa*", Major!B:B, "&gt;=1/1/2015", Major!B:B, "&lt;1/1/2020"))</f>
        <v>12</v>
      </c>
      <c r="P101">
        <f>ROUND(SUM(COUNTIFS(Major!F:F,"=psd*", Major!B:B, "&gt;=1/1/2015", Major!B:B, "&lt;1/1/2020"),COUNTIFS(Major!F:F,"=hpa*", Major!B:B, "&gt;=1/1/2015", Major!B:B, "&lt;1/1/2020"))/YEARFRAC("1/1/2015", "12/31/2019"),0)</f>
        <v>2</v>
      </c>
      <c r="Q101">
        <f>ROUND(5*SUM(COUNTIFS(Major!F:F,"=psd*", Major!B:B, "&gt;=1/1/2020", Major!B:B, "&lt;1/1/2024"),COUNTIFS(Major!F:F,"=hpa*", Major!B:B, "&gt;=1/1/2020", Major!B:B, "&lt;1/1/2024"))/YEARFRAC("1/1/2020", "1/1/2024"),0)</f>
        <v>13</v>
      </c>
      <c r="R101">
        <f>ROUND(SUM(COUNTIFS(Major!F:F,"=psd*", Major!B:B, "&gt;=1/1/2020", Major!B:B, "&lt;1/1/2024"),COUNTIFS(Major!F:F,"=hpa*", Major!B:B, "&gt;=1/1/2020", Major!B:B, "&lt;1/1/2024"))/YEARFRAC("1/1/2020", "1/1/2024"),0)</f>
        <v>3</v>
      </c>
      <c r="U101">
        <f>SUM(COUNTIFS(All!F:F,"=psd*",All!E:E,"&lt;&gt;LIT",All!E:E,"&lt;&gt;LEG",All!E:E,"&lt;&gt;UIPA*",All!E:E,"&lt;&gt;*TRNG*",All!E:E,"&lt;&gt;ADMIN",All!E:E,"&lt;&gt;RULES",All!E:E,"&lt;&gt;RR*",All!E:E,"&lt;&gt;RSCH"),COUNTIFS(All!F:F,"=hpa*",All!E:E,"&lt;&gt;LIT",All!E:E,"&lt;&gt;LEG",All!E:E,"&lt;&gt;UIPA*",All!E:E,"&lt;&gt;*TRNG*",All!E:E,"&lt;&gt;ADMIN",All!E:E,"&lt;&gt;RULES",All!E:E,"&lt;&gt;RR*",All!E:E,"&lt;&gt;RSCH",All!B:B,"&lt;1/1/2024"))</f>
        <v>645</v>
      </c>
      <c r="V101">
        <f>ROUND(AVERAGE(AVERAGEIFS(All!R:R, All!E:E,"&lt;&gt;LIT", All!E:E,"&lt;&gt;LEG",All!E:E,"&lt;&gt;UIPA*",All!E:E,"&lt;&gt;*TRNG*", All!E:E,"&lt;&gt;ADMIN",All!E:E,"&lt;&gt;RULES",All!E:E,"&lt;&gt;RR*",All!E:E,"&lt;&gt;RSCH",All!F:F,"=psd*"),AVERAGEIFS(All!R:R, All!E:E,"&lt;&gt;LIT", All!E:E,"&lt;&gt;LEG",All!E:E,"&lt;&gt;UIPA*",All!E:E,"&lt;&gt;*TRNG*", All!E:E,"&lt;&gt;ADMIN",All!E:E,"&lt;&gt;RULES",All!E:E,"&lt;&gt;RR*",All!E:E,"&lt;&gt;RSCH",All!F:F,"=hpa*",All!B:B,"&lt;1/1/2024")), 0)</f>
        <v>249</v>
      </c>
      <c r="W101">
        <f>SUM(COUNTIFS(All!F:F,"=psd*", All!B:B, "&lt;1/1/2000", All!E:E,"&lt;&gt;LIT", All!E:E,"&lt;&gt;LEG",All!E:E,"&lt;&gt;UIPA*",All!E:E,"&lt;&gt;*TRNG*", All!E:E,"&lt;&gt;ADMIN",All!E:E,"&lt;&gt;RULES",All!E:E,"&lt;&gt;RR*",All!E:E,"&lt;&gt;RSCH"),COUNTIFS(All!F:F,"=hpa*", All!B:B, "&lt;1/1/2000", All!E:E,"&lt;&gt;LIT", All!E:E,"&lt;&gt;LEG",All!E:E,"&lt;&gt;UIPA*",All!E:E,"&lt;&gt;*TRNG*", All!E:E,"&lt;&gt;ADMIN",All!E:E,"&lt;&gt;RULES",All!E:E,"&lt;&gt;RR*",All!E:E,"&lt;&gt;RSCH"))</f>
        <v>178</v>
      </c>
      <c r="X101">
        <f>SUM(COUNTIFS(All!F:F,"=psd*", All!B:B, "&gt;=1/1/2000", All!B:B, "&lt;1/1/2010", All!E:E,"&lt;&gt;LIT", All!E:E,"&lt;&gt;LEG",All!E:E,"&lt;&gt;UIPA*",All!E:E,"&lt;&gt;*TRNG*", All!E:E,"&lt;&gt;ADMIN",All!E:E,"&lt;&gt;RULES",All!E:E,"&lt;&gt;RR*",All!E:E,"&lt;&gt;RSCH"),COUNTIFS(All!F:F,"=hpa*", All!B:B, "&gt;=1/1/2000", All!B:B, "&lt;1/1/2010", All!E:E,"&lt;&gt;LIT", All!E:E,"&lt;&gt;LEG",All!E:E,"&lt;&gt;UIPA*",All!E:E,"&lt;&gt;*TRNG*", All!E:E,"&lt;&gt;ADMIN",All!E:E,"&lt;&gt;RULES",All!E:E,"&lt;&gt;RR*",All!E:E,"&lt;&gt;RSCH"))</f>
        <v>234</v>
      </c>
      <c r="Y101">
        <f>SUM(COUNTIFS(All!F:F,"=psd*", All!B:B, "&gt;=1/1/2010", All!B:B, "&lt;1/1/2020", All!E:E,"&lt;&gt;LIT", All!E:E,"&lt;&gt;LEG",All!E:E,"&lt;&gt;UIPA*",All!E:E,"&lt;&gt;*TRNG*", All!E:E,"&lt;&gt;ADMIN",All!E:E,"&lt;&gt;RULES",All!E:E,"&lt;&gt;RR*",All!E:E,"&lt;&gt;RSCH"),COUNTIFS(All!F:F,"=hpa*", All!B:B, "&gt;=1/1/2010", All!B:B, "&lt;1/1/2020", All!E:E,"&lt;&gt;LIT", All!E:E,"&lt;&gt;LEG",All!E:E,"&lt;&gt;UIPA*",All!E:E,"&lt;&gt;*TRNG*", All!E:E,"&lt;&gt;ADMIN",All!E:E,"&lt;&gt;RULES",All!E:E,"&lt;&gt;RR*",All!E:E,"&lt;&gt;RSCH"))</f>
        <v>181</v>
      </c>
      <c r="Z101">
        <f>SUM(COUNTIFS(All!F:F,"=psd*", All!B:B, "&gt;=1/1/2020", All!B:B, "&lt;1/1/2024", All!E:E,"&lt;&gt;LIT", All!E:E,"&lt;&gt;LEG",All!E:E,"&lt;&gt;UIPA*",All!E:E,"&lt;&gt;*TRNG*", All!E:E,"&lt;&gt;ADMIN",All!E:E,"&lt;&gt;RULES",All!E:E,"&lt;&gt;RR*",All!E:E,"&lt;&gt;RSCH"),COUNTIFS(All!F:F,"=hpa*", All!B:B, "&gt;=1/1/2020", All!B:B, "&lt;1/1/2024", All!E:E,"&lt;&gt;LIT", All!E:E,"&lt;&gt;LEG",All!E:E,"&lt;&gt;UIPA*",All!E:E,"&lt;&gt;*TRNG*", All!E:E,"&lt;&gt;ADMIN",All!E:E,"&lt;&gt;RULES",All!E:E,"&lt;&gt;RR*",All!E:E,"&lt;&gt;RSCH"))</f>
        <v>52</v>
      </c>
    </row>
    <row r="102" spans="1:26" ht="32">
      <c r="A102" s="10">
        <f t="shared" ref="A102:A115" si="0">A101+1</f>
        <v>101</v>
      </c>
      <c r="B102" s="111" t="s">
        <v>22134</v>
      </c>
      <c r="Q102">
        <f>ROUND(5*SUM(COUNTIFS(Major!F:F,"=*dcr*", Major!B:B, "&gt;=1/1/2020", Major!B:B, "&lt;1/1/2025"),COUNTIFS(Major!F:F,"=hpa*", Major!B:B, "&gt;=1/1/2020", Major!B:B, "&lt;1/1/2025"))/YEARFRAC("1/1/2020", "1/1/2025"),0)</f>
        <v>1</v>
      </c>
      <c r="R102">
        <f>ROUND(SUM(COUNTIFS(Major!F:F,"=*dcr*", Major!B:B, "&gt;=1/1/2020", Major!B:B, "&lt;1/1/2025"),COUNTIFS(Major!F:F,"=hpa*", Major!B:B, "&gt;=1/1/2020", Major!B:B, "&lt;1/1/2025"))/YEARFRAC("1/1/2020", "12/31/2024"),0)</f>
        <v>0</v>
      </c>
      <c r="S102">
        <f>SUM(COUNTIFS(Major!F:F,"=*dcr*", Major!B:B, "&gt;=1/1/2025", Major!B:B, "&lt;1/1/2030"),COUNTIFS(Major!F:F,"=hpa*", Major!B:B, "&gt;=1/1/2025", Major!B:B, "&lt;1/1/2030"))</f>
        <v>0</v>
      </c>
      <c r="T102">
        <f>ROUND(5*SUM(COUNTIFS(Major!F:F,"=*dcr*", Major!B:B, "&gt;=1/1/2025", Major!B:B, "&lt;1/1/2030"),COUNTIFS(Major!F:F,"=hpa*", Major!B:B, "&gt;=1/1/2025", Major!B:B, "&lt;1/1/2030"))/YEARFRAC("1/1/2025", "1/1/2026"),0)</f>
        <v>0</v>
      </c>
      <c r="U102">
        <f>SUM(COUNTIFS(All!F:F,"=*dcr*",All!E:E,"&lt;&gt;LIT",All!E:E,"&lt;&gt;LEG",All!E:E,"&lt;&gt;UIPA*",All!E:E,"&lt;&gt;*TRNG*",All!E:E,"&lt;&gt;ADMIN",All!E:E,"&lt;&gt;RULES",All!E:E,"&lt;&gt;RR*",All!E:E,"&lt;&gt;RSCH"),COUNTIFS(All!F:F,"=hpa*", All!B:B, "&gt;=1/1/2024",All!E:E,"&lt;&gt;LIT",All!E:E,"&lt;&gt;LEG",All!E:E,"&lt;&gt;UIPA*",All!E:E,"&lt;&gt;*TRNG*",All!E:E,"&lt;&gt;ADMIN",All!E:E,"&lt;&gt;RULES",All!E:E,"&lt;&gt;RR*",All!E:E,"&lt;&gt;RSCH"))</f>
        <v>4</v>
      </c>
      <c r="V102" t="e">
        <f>ROUND(AVERAGE(AVERAGEIFS(All!R:R, All!E:E,"&lt;&gt;LIT", All!E:E,"&lt;&gt;LEG",All!E:E,"&lt;&gt;UIPA*",All!E:E,"&lt;&gt;*TRNG*", All!E:E,"&lt;&gt;ADMIN",All!E:E,"&lt;&gt;RULES",All!E:E,"&lt;&gt;RR*",All!E:E,"&lt;&gt;RSCH",All!F:F,"=*dcr*"),AVERAGEIFS(All!R:R, All!E:E,"&lt;&gt;LIT", All!E:E,"&lt;&gt;LEG",All!E:E,"&lt;&gt;UIPA*",All!E:E,"&lt;&gt;*TRNG*", All!E:E,"&lt;&gt;ADMIN",All!E:E,"&lt;&gt;RULES",All!E:E,"&lt;&gt;RR*",All!E:E,"&lt;&gt;RSCH",All!F:F,"=hpa*", All!B:B, "&gt;=1/1/2024")), 0)</f>
        <v>#DIV/0!</v>
      </c>
      <c r="Z102">
        <f>SUM(COUNTIFS(All!F:F,"=psd*", All!B:B, "&gt;=1/1/2024", All!B:B, "&lt;1/1/2030", All!E:E,"&lt;&gt;LIT", All!E:E,"&lt;&gt;LEG",All!E:E,"&lt;&gt;UIPA*",All!E:E,"&lt;&gt;*TRNG*", All!E:E,"&lt;&gt;ADMIN",All!E:E,"&lt;&gt;RULES",All!E:E,"&lt;&gt;RR*",All!E:E,"&lt;&gt;RSCH"),COUNTIFS(All!F:F,"=hpa*", All!B:B, "&gt;=1/1/2024", All!B:B, "&lt;1/1/2030", All!E:E,"&lt;&gt;LIT", All!E:E,"&lt;&gt;LEG",All!E:E,"&lt;&gt;UIPA*",All!E:E,"&lt;&gt;*TRNG*", All!E:E,"&lt;&gt;ADMIN",All!E:E,"&lt;&gt;RULES",All!E:E,"&lt;&gt;RR*",All!E:E,"&lt;&gt;RSCH"),COUNTIFS(All!F:F,"=*dcr*", All!B:B, "&gt;=1/1/2024", All!B:B, "&lt;1/1/2030", All!E:E,"&lt;&gt;LIT", All!E:E,"&lt;&gt;LEG",All!E:E,"&lt;&gt;UIPA*",All!E:E,"&lt;&gt;*TRNG*", All!E:E,"&lt;&gt;ADMIN",All!E:E,"&lt;&gt;RULES",All!E:E,"&lt;&gt;RR*",All!E:E,"&lt;&gt;RSCH"))</f>
        <v>4</v>
      </c>
    </row>
    <row r="103" spans="1:26" ht="32">
      <c r="A103" s="10">
        <f t="shared" si="0"/>
        <v>102</v>
      </c>
      <c r="B103" s="111" t="s">
        <v>22136</v>
      </c>
      <c r="Q103">
        <f>ROUND(5*SUM(COUNTIFS(Major!F:F,"=dle*", Major!B:B, "&gt;=1/1/2020", Major!B:B, "&lt;1/1/2025"))/YEARFRAC("1/1/2020", "1/1/2025"),0)</f>
        <v>1</v>
      </c>
      <c r="R103">
        <f>ROUND(SUM(COUNTIFS(Major!F:F,"=dle*", Major!B:B, "&gt;=1/1/2020", Major!B:B, "&lt;1/1/2025"))/YEARFRAC("1/1/2020", "12/31/2025"),0)</f>
        <v>0</v>
      </c>
      <c r="S103">
        <f>SUM(COUNTIFS(Major!F:F,"=dle*", Major!B:B, "&gt;=1/1/2025", Major!B:B, "&lt;1/1/2030"))</f>
        <v>0</v>
      </c>
      <c r="T103">
        <f>ROUND(5*SUM(COUNTIFS(Major!F:F,"=dle*", Major!B:B, "&gt;=1/1/2025", Major!B:B, "&lt;1/1/2030"))/YEARFRAC("1/1/2025", "1/1/2026"),0)</f>
        <v>0</v>
      </c>
      <c r="U103">
        <f>SUM(COUNTIFS(All!F:F,"=dle*",All!E:E,"&lt;&gt;LIT",All!E:E,"&lt;&gt;LEG",All!E:E,"&lt;&gt;UIPA*",All!E:E,"&lt;&gt;*TRNG*",All!E:E,"&lt;&gt;ADMIN",All!E:E,"&lt;&gt;RULES",All!E:E,"&lt;&gt;RR*",All!E:E,"&lt;&gt;RSCH"))</f>
        <v>1</v>
      </c>
      <c r="V103" t="e">
        <f>ROUND(AVERAGEIFS(All!R:R, All!E:E,"&lt;&gt;LIT", All!E:E,"&lt;&gt;LEG",All!E:E,"&lt;&gt;UIPA*",All!E:E,"&lt;&gt;*TRNG*", All!E:E,"&lt;&gt;ADMIN",All!E:E,"&lt;&gt;RULES",All!E:E,"&lt;&gt;RR*",All!E:E,"&lt;&gt;RSCH",All!F:F,"=dle*"), 0)</f>
        <v>#DIV/0!</v>
      </c>
      <c r="Z103">
        <f>SUM(COUNTIFS(All!F:F,"=*dle*", All!B:B, "&gt;=1/1/2020", All!B:B, "&lt;1/1/2030", All!E:E,"&lt;&gt;LIT", All!E:E,"&lt;&gt;LEG",All!E:E,"&lt;&gt;UIPA*",All!E:E,"&lt;&gt;*TRNG*", All!E:E,"&lt;&gt;ADMIN",All!E:E,"&lt;&gt;RULES",All!E:E,"&lt;&gt;RR*",All!E:E,"&lt;&gt;RSCH"))</f>
        <v>1</v>
      </c>
    </row>
    <row r="104" spans="1:26" ht="16">
      <c r="A104" s="10">
        <f t="shared" si="0"/>
        <v>103</v>
      </c>
      <c r="B104" s="1" t="s">
        <v>17254</v>
      </c>
      <c r="C104">
        <f>SUM(COUNTIF(Major!F:F,"=Tax*"),COUNTIF(Major!F:F,"=DOTAX*"))</f>
        <v>21</v>
      </c>
      <c r="D104">
        <f>ROUND(AVERAGE(AVERAGEIF(Major!F:F,"=Tax*", Major!R:R),AVERAGEIF(Major!F:F,"=DOTAX*", Major!R:R)), 0)</f>
        <v>627</v>
      </c>
      <c r="E104">
        <f>SUM(COUNTIFS(Major!F:F,"=Tax*", Major!B:B, "&lt;1/1/1995"),COUNTIFS(Major!F:F,"=DOTAX*", Major!B:B, "&lt;1/1/1995"))</f>
        <v>3</v>
      </c>
      <c r="F104">
        <f>ROUND(SUM(COUNTIFS(Major!F:F,"=Tax*", Major!B:B, "&lt;1/1/1995"),COUNTIFS(Major!F:F,"=DOTAX*", Major!B:B, "&lt;1/1/1995"))/YEARFRAC("11/1/1988", "12/31/1994"),0)</f>
        <v>0</v>
      </c>
      <c r="G104">
        <f>SUM(COUNTIFS(Major!F:F,"=Tax*", Major!B:B, "&gt;=1/1/1995", Major!B:B, "&lt;1/1/2000"),COUNTIFS(Major!F:F,"=DOTAX*", Major!B:B, "&gt;=1/1/1995", Major!B:B, "&lt;1/1/2000"))</f>
        <v>1</v>
      </c>
      <c r="H104">
        <f>ROUND(SUM(COUNTIFS(Major!F:F,"=Tax*", Major!B:B, "&gt;=1/1/1995", Major!B:B, "&lt;1/1/2000"),COUNTIFS(Major!F:F,"=DOTAX*", Major!B:B, "&gt;=1/1/1995", Major!B:B, "&lt;1/1/2000"))/YEARFRAC("1/1/1995", "12/31/1999"),0)</f>
        <v>0</v>
      </c>
      <c r="I104">
        <f>SUM(COUNTIFS(Major!F:F,"=Tax*", Major!B:B, "&gt;=1/1/2000", Major!B:B, "&lt;1/1/2005"),COUNTIFS(Major!F:F,"=DOTAX*", Major!B:B, "&gt;=1/1/2000", Major!B:B, "&lt;1/1/2005"))</f>
        <v>0</v>
      </c>
      <c r="J104">
        <f>ROUND(SUM(COUNTIFS(Major!F:F,"=Tax*", Major!B:B, "&gt;=1/1/2000", Major!B:B, "&lt;1/1/2005"),COUNTIFS(Major!F:F,"=DOTAX*", Major!B:B, "&gt;=1/1/2000", Major!B:B, "&lt;1/1/2005"))/YEARFRAC("1/1/2000", "12/31/2004"),0)</f>
        <v>0</v>
      </c>
      <c r="K104">
        <f>SUM(COUNTIFS(Major!F:F,"=Tax*", Major!B:B, "&gt;=1/1/2005", Major!B:B, "&lt;1/1/2010"),COUNTIFS(Major!F:F,"=DOTAX*", Major!B:B, "&gt;=1/1/2005", Major!B:B, "&lt;1/1/2010"))</f>
        <v>1</v>
      </c>
      <c r="L104">
        <f>ROUND(SUM(COUNTIFS(Major!F:F,"=Tax*", Major!B:B, "&gt;=1/1/2005", Major!B:B, "&lt;1/1/2010"),COUNTIFS(Major!F:F,"=DOTAX*", Major!B:B, "&gt;=1/1/2005", Major!B:B, "&lt;1/1/2010"))/YEARFRAC("1/1/2005", "12/31/2009"),0)</f>
        <v>0</v>
      </c>
      <c r="M104">
        <f>SUM(COUNTIFS(Major!F:F,"=Tax*", Major!B:B, "&gt;=1/1/2010", Major!B:B, "&lt;1/1/2015"),COUNTIFS(Major!F:F,"=DOTAX*", Major!B:B, "&gt;=1/1/2010", Major!B:B, "&lt;1/1/2015"))</f>
        <v>4</v>
      </c>
      <c r="N104">
        <f>ROUND(SUM(COUNTIFS(Major!F:F,"=Tax*", Major!B:B, "&gt;=1/1/2010", Major!B:B, "&lt;1/1/2015"),COUNTIFS(Major!F:F,"=DOTAX*", Major!B:B, "&gt;=1/1/2010", Major!B:B, "&lt;1/1/2015"))/YEARFRAC("1/1/2010", "12/31/2014"),0)</f>
        <v>1</v>
      </c>
      <c r="O104">
        <f>SUM(COUNTIFS(Major!F:F,"=Tax*", Major!B:B, "&gt;=1/1/2015", Major!B:B, "&lt;1/1/2020"),COUNTIFS(Major!F:F,"=DOTAX*", Major!B:B, "&gt;=1/1/2015", Major!B:B, "&lt;1/1/2020"))</f>
        <v>9</v>
      </c>
      <c r="P104">
        <f>ROUND(SUM(COUNTIFS(Major!F:F,"=Tax*", Major!B:B, "&gt;=1/1/2015", Major!B:B, "&lt;1/1/2020"),COUNTIFS(Major!F:F,"=DOTAX*", Major!B:B, "&gt;=1/1/2015", Major!B:B, "&lt;1/1/2020"))/YEARFRAC("1/1/2015", "12/31/2019"),0)</f>
        <v>2</v>
      </c>
      <c r="Q104">
        <f>ROUND(5*SUM(COUNTIFS(Major!F:F,"=Tax*", Major!B:B, "&gt;=1/1/2020", Major!B:B, "&lt;1/1/2025"),COUNTIFS(Major!F:F,"=DOTAX*", Major!B:B, "&gt;=1/1/2020", Major!B:B, "&lt;1/1/2025"))/YEARFRAC("1/1/2020", "1/1/2025"),0)</f>
        <v>3</v>
      </c>
      <c r="R104">
        <f>ROUND(SUM(COUNTIFS(Major!F:F,"=Tax*", Major!B:B, "&gt;=1/1/2020", Major!B:B, "&lt;1/1/2025"),COUNTIFS(Major!F:F,"=DOTAX*", Major!B:B, "&gt;=1/1/2020", Major!B:B, "&lt;1/1/2025"))/YEARFRAC("1/1/2020", "12/31/2024"),0)</f>
        <v>1</v>
      </c>
      <c r="S104">
        <f>SUM(COUNTIFS(Major!F:F,"=Tax*", Major!B:B, "&gt;=1/1/2025", Major!B:B, "&lt;1/1/2030"),COUNTIFS(Major!F:F,"=DOTAX*", Major!B:B, "&gt;=1/1/2025", Major!B:B, "&lt;1/1/2030"))</f>
        <v>0</v>
      </c>
      <c r="T104">
        <f>ROUND(5*SUM(COUNTIFS(Major!F:F,"=Tax*", Major!B:B, "&gt;=1/1/2025", Major!B:B, "&lt;1/1/2030"),COUNTIFS(Major!F:F,"=DOTAX*", Major!B:B, "&gt;=1/1/2025", Major!B:B, "&lt;1/1/2030"))/YEARFRAC("1/1/2025", "1/1/2026"),0)</f>
        <v>0</v>
      </c>
      <c r="U104">
        <f>SUM(COUNTIFS(All!F:F,"=Tax*", All!E:E,"&lt;&gt;LIT", All!E:E,"&lt;&gt;LEG",All!E:E,"&lt;&gt;UIPA*",All!E:E,"&lt;&gt;*TRNG*", All!E:E,"&lt;&gt;ADMIN",All!E:E,"&lt;&gt;RULES",All!E:E,"&lt;&gt;RR*",All!E:E,"&lt;&gt;RSCH"),COUNTIFS(All!F:F,"=DOTAX*", All!E:E,"&lt;&gt;LIT", All!E:E,"&lt;&gt;LEG",All!E:E,"&lt;&gt;UIPA*",All!E:E,"&lt;&gt;*TRNG*", All!E:E,"&lt;&gt;ADMIN",All!E:E,"&lt;&gt;RULES",All!E:E,"&lt;&gt;RR*",All!E:E,"&lt;&gt;RSCH"))</f>
        <v>42</v>
      </c>
      <c r="V104">
        <f>ROUND(AVERAGE(AVERAGEIFS(All!R:R, All!E:E,"&lt;&gt;LIT", All!E:E,"&lt;&gt;LEG",All!E:E,"&lt;&gt;UIPA*",All!E:E,"&lt;&gt;*TRNG*", All!E:E,"&lt;&gt;ADMIN",All!E:E,"&lt;&gt;RULES",All!E:E,"&lt;&gt;RR*",All!E:E,"&lt;&gt;RSCH",All!F:F,"=Tax*"),AVERAGEIFS(All!R:R, All!E:E,"&lt;&gt;LIT", All!E:E,"&lt;&gt;LEG",All!E:E,"&lt;&gt;UIPA*",All!E:E,"&lt;&gt;*TRNG*", All!E:E,"&lt;&gt;ADMIN",All!E:E,"&lt;&gt;RULES",All!E:E,"&lt;&gt;RR*",All!E:E,"&lt;&gt;RSCH",All!F:F,"=DOTAX*")), 0)</f>
        <v>342</v>
      </c>
      <c r="W104">
        <f>SUM(COUNTIFS(All!F:F,"=Tax*", All!B:B, "&lt;1/1/2000", All!E:E,"&lt;&gt;LIT", All!E:E,"&lt;&gt;LEG",All!E:E,"&lt;&gt;UIPA*",All!E:E,"&lt;&gt;*TRNG*", All!E:E,"&lt;&gt;ADMIN",All!E:E,"&lt;&gt;RULES",All!E:E,"&lt;&gt;RR*",All!E:E,"&lt;&gt;RSCH"),COUNTIFS(All!F:F,"=DOTAX*", All!B:B, "&lt;1/1/2000", All!E:E,"&lt;&gt;LIT", All!E:E,"&lt;&gt;LEG",All!E:E,"&lt;&gt;UIPA*",All!E:E,"&lt;&gt;*TRNG*", All!E:E,"&lt;&gt;ADMIN",All!E:E,"&lt;&gt;RULES",All!E:E,"&lt;&gt;RR*",All!E:E,"&lt;&gt;RSCH"))</f>
        <v>4</v>
      </c>
      <c r="X104">
        <f>SUM(COUNTIFS(All!F:F,"=Tax*", All!B:B, "&gt;=1/1/2000", All!B:B, "&lt;1/1/2010", All!E:E,"&lt;&gt;LIT", All!E:E,"&lt;&gt;LEG",All!E:E,"&lt;&gt;UIPA*",All!E:E,"&lt;&gt;*TRNG*", All!E:E,"&lt;&gt;ADMIN",All!E:E,"&lt;&gt;RULES",All!E:E,"&lt;&gt;RR*",All!E:E,"&lt;&gt;RSCH"),COUNTIFS(All!F:F,"=DOTAX*", All!B:B, "&gt;=1/1/2000", All!B:B, "&lt;1/1/2010", All!E:E,"&lt;&gt;LIT", All!E:E,"&lt;&gt;LEG",All!E:E,"&lt;&gt;UIPA*",All!E:E,"&lt;&gt;*TRNG*", All!E:E,"&lt;&gt;ADMIN",All!E:E,"&lt;&gt;RULES",All!E:E,"&lt;&gt;RR*",All!E:E,"&lt;&gt;RSCH"))</f>
        <v>6</v>
      </c>
      <c r="Y104">
        <f>SUM(COUNTIFS(All!F:F,"=Tax*", All!B:B, "&gt;=1/1/2010", All!B:B, "&lt;1/1/2020", All!E:E,"&lt;&gt;LIT", All!E:E,"&lt;&gt;LEG",All!E:E,"&lt;&gt;UIPA*",All!E:E,"&lt;&gt;*TRNG*", All!E:E,"&lt;&gt;ADMIN",All!E:E,"&lt;&gt;RULES",All!E:E,"&lt;&gt;RR*",All!E:E,"&lt;&gt;RSCH"),COUNTIFS(All!F:F,"=DOTAX*", All!B:B, "&gt;=1/1/2010", All!B:B, "&lt;1/1/2020", All!E:E,"&lt;&gt;LIT", All!E:E,"&lt;&gt;LEG",All!E:E,"&lt;&gt;UIPA*",All!E:E,"&lt;&gt;*TRNG*", All!E:E,"&lt;&gt;ADMIN",All!E:E,"&lt;&gt;RULES",All!E:E,"&lt;&gt;RR*",All!E:E,"&lt;&gt;RSCH"))</f>
        <v>27</v>
      </c>
      <c r="Z104">
        <f>SUM(COUNTIFS(All!F:F,"=Tax*", All!B:B, "&gt;=1/1/2020", All!B:B, "&lt;1/1/2030", All!E:E,"&lt;&gt;LIT", All!E:E,"&lt;&gt;LEG",All!E:E,"&lt;&gt;UIPA*",All!E:E,"&lt;&gt;*TRNG*", All!E:E,"&lt;&gt;ADMIN",All!E:E,"&lt;&gt;RULES",All!E:E,"&lt;&gt;RR*",All!E:E,"&lt;&gt;RSCH"),COUNTIFS(All!F:F,"=DOTAX*", All!B:B, "&gt;=1/1/2020", All!B:B, "&lt;1/1/2030", All!E:E,"&lt;&gt;LIT", All!E:E,"&lt;&gt;LEG",All!E:E,"&lt;&gt;UIPA*",All!E:E,"&lt;&gt;*TRNG*", All!E:E,"&lt;&gt;ADMIN",All!E:E,"&lt;&gt;RULES",All!E:E,"&lt;&gt;RR*",All!E:E,"&lt;&gt;RSCH"))</f>
        <v>5</v>
      </c>
    </row>
    <row r="105" spans="1:26" ht="32">
      <c r="A105" s="10">
        <f t="shared" si="0"/>
        <v>104</v>
      </c>
      <c r="B105" s="1" t="s">
        <v>17255</v>
      </c>
      <c r="C105">
        <f>COUNTIFS(Major!F:F,"=DOT*",Major!F:F,"&lt;&gt;DOTAX*")</f>
        <v>69</v>
      </c>
      <c r="D105">
        <f>ROUND(AVERAGEIFS(Major!R:R, Major!F:F,"=DOT*", Major!F:F, "&lt;&gt;DOTAX*"), 0)</f>
        <v>518</v>
      </c>
      <c r="E105">
        <f>COUNTIFS(Major!F:F,"=DOT*", Major!B:B, "&lt;1/1/1995",Major!F:F,"&lt;&gt;DOTAX*")</f>
        <v>25</v>
      </c>
      <c r="F105">
        <f>ROUND(COUNTIFS(Major!F:F,"=DOT*", Major!B:B, "&lt;1/1/1995",Major!F:F,"&lt;&gt;DOTAX*")/YEARFRAC("11/1/1988", "12/31/1994"),0)</f>
        <v>4</v>
      </c>
      <c r="G105">
        <f>COUNTIFS(Major!F:F,"=DOT*", Major!B:B, "&gt;=1/1/1995", Major!B:B, "&lt;1/1/2000",Major!F:F,"&lt;&gt;DOTAX*")</f>
        <v>11</v>
      </c>
      <c r="H105">
        <f>ROUND(COUNTIFS(Major!F:F,"=DOT*", Major!B:B, "&gt;=1/1/1995", Major!B:B, "&lt;1/1/2000",Major!F:F,"&lt;&gt;DOTAX*")/YEARFRAC("1/1/1995", "12/31/1999"),0)</f>
        <v>2</v>
      </c>
      <c r="I105">
        <f>COUNTIFS(Major!F:F,"=DOT*", Major!B:B, "&gt;=1/1/2000", Major!B:B, "&lt;1/1/2005",Major!F:F,"&lt;&gt;DOTAX*")</f>
        <v>3</v>
      </c>
      <c r="J105">
        <f>ROUND(COUNTIFS(Major!F:F,"=DOT*", Major!B:B, "&gt;=1/1/2000", Major!B:B, "&lt;1/1/2005",Major!F:F,"&lt;&gt;DOTAX*")/YEARFRAC("1/1/2000", "12/31/2004"),0)</f>
        <v>1</v>
      </c>
      <c r="K105">
        <f>COUNTIFS(Major!F:F,"=DOT*", Major!B:B, "&gt;=1/1/2005", Major!B:B, "&lt;1/1/2010",Major!F:F,"&lt;&gt;DOTAX*")</f>
        <v>9</v>
      </c>
      <c r="L105">
        <f>ROUND(COUNTIFS(Major!F:F,"=DOT*", Major!B:B, "&gt;=1/1/2005", Major!B:B, "&lt;1/1/2010",Major!F:F,"&lt;&gt;DOTAX*")/YEARFRAC("1/1/2005", "12/31/2009"),0)</f>
        <v>2</v>
      </c>
      <c r="M105">
        <f>COUNTIFS(Major!F:F,"=DOT*", Major!B:B, "&gt;=1/1/2010", Major!B:B, "&lt;1/1/2015",Major!F:F,"&lt;&gt;DOTAX*")</f>
        <v>6</v>
      </c>
      <c r="N105">
        <f>ROUND(COUNTIFS(Major!F:F,"=DOT*", Major!B:B, "&gt;=1/1/2010", Major!B:B, "&lt;1/1/2015",Major!F:F,"&lt;&gt;DOTAX*")/YEARFRAC("1/1/2010", "12/31/2014"),0)</f>
        <v>1</v>
      </c>
      <c r="O105">
        <f>COUNTIFS(Major!F:F,"=DOT*", Major!B:B, "&gt;=1/1/2015", Major!B:B, "&lt;1/1/2020",Major!F:F,"&lt;&gt;DOTAX*")</f>
        <v>8</v>
      </c>
      <c r="P105">
        <f>ROUND(COUNTIFS(Major!F:F,"=DOT*", Major!B:B, "&gt;=1/1/2015", Major!B:B, "&lt;1/1/2020",Major!F:F,"&lt;&gt;DOTAX*")/YEARFRAC("1/1/2015", "12/31/2019"),0)</f>
        <v>2</v>
      </c>
      <c r="Q105">
        <f>ROUND(5*COUNTIFS(Major!F:F,"=DOT*", Major!B:B, "&gt;=1/1/2020", Major!B:B, "&lt;1/1/2025",Major!F:F,"&lt;&gt;DOTAX*")/YEARFRAC("1/1/2020", "1/1/2025"),0)</f>
        <v>7</v>
      </c>
      <c r="R105">
        <f>ROUND(COUNTIFS(Major!F:F,"=DOT*", Major!B:B, "&gt;=1/1/2020", Major!B:B, "&lt;1/1/2025",Major!F:F,"&lt;&gt;DOTAX*")/YEARFRAC("1/1/2020", "12/31/2024"),0)</f>
        <v>1</v>
      </c>
      <c r="S105">
        <f>COUNTIFS(Major!F:F,"=DOT*", Major!B:B, "&gt;=1/1/2025", Major!B:B, "&lt;1/1/2030",Major!F:F,"&lt;&gt;DOTAX*")</f>
        <v>0</v>
      </c>
      <c r="T105">
        <f>ROUND(5*COUNTIFS(Major!F:F,"=DOT*", Major!B:B, "&gt;=1/1/2025", Major!B:B, "&lt;1/1/2030",Major!F:F,"&lt;&gt;DOTAX*")/YEARFRAC("1/1/2025", "1/1/2026"),0)</f>
        <v>0</v>
      </c>
      <c r="U105">
        <f>COUNTIFS(All!F:F,"=DOT*", All!E:E,"&lt;&gt;LIT", All!E:E,"&lt;&gt;LEG",All!E:E,"&lt;&gt;UIPA*",All!E:E,"&lt;&gt;*TRNG*", All!E:E,"&lt;&gt;ADMIN",All!E:E,"&lt;&gt;RULES",All!E:E,"&lt;&gt;RR*",All!E:E,"&lt;&gt;RSCH",All!F:F,"&lt;&gt;DOTAX*")</f>
        <v>158</v>
      </c>
      <c r="V105">
        <f>ROUND(AVERAGEIFS(All!R:R, All!E:E,"&lt;&gt;LIT", All!E:E,"&lt;&gt;LEG",All!E:E,"&lt;&gt;UIPA*",All!E:E,"&lt;&gt;*TRNG*", All!E:E,"&lt;&gt;ADMIN",All!E:E,"&lt;&gt;RULES",All!E:E,"&lt;&gt;RR*",All!E:E,"&lt;&gt;RSCH", All!F:F,"=DOT*", All!F:F, "&lt;&gt;DOTAX*"), 0)</f>
        <v>330</v>
      </c>
      <c r="W105">
        <f>COUNTIFS(All!F:F,"=DOT*", All!B:B, "&lt;1/1/2000", All!E:E,"&lt;&gt;LIT", All!E:E,"&lt;&gt;LEG",All!E:E,"&lt;&gt;UIPA*",All!E:E,"&lt;&gt;*TRNG*", All!E:E,"&lt;&gt;ADMIN",All!E:E,"&lt;&gt;RULES",All!E:E,"&lt;&gt;RR*",All!E:E,"&lt;&gt;RSCH",All!F:F,"&lt;&gt;DOTAX*")</f>
        <v>58</v>
      </c>
      <c r="X105">
        <f>COUNTIFS(All!F:F,"=DOT*", All!B:B, "&gt;=1/1/2000", All!B:B, "&lt;1/1/2010", All!E:E,"&lt;&gt;LIT", All!E:E,"&lt;&gt;LEG",All!E:E,"&lt;&gt;UIPA*",All!E:E,"&lt;&gt;*TRNG*", All!E:E,"&lt;&gt;ADMIN",All!E:E,"&lt;&gt;RULES",All!E:E,"&lt;&gt;RR*",All!E:E,"&lt;&gt;RSCH",All!F:F,"&lt;&gt;DOTAX*")</f>
        <v>35</v>
      </c>
      <c r="Y105">
        <f>COUNTIFS(All!F:F,"=DOT*", All!B:B, "&gt;=1/1/2010", All!B:B, "&lt;1/1/2020", All!E:E,"&lt;&gt;LIT", All!E:E,"&lt;&gt;LEG",All!E:E,"&lt;&gt;UIPA*",All!E:E,"&lt;&gt;*TRNG*", All!E:E,"&lt;&gt;ADMIN",All!E:E,"&lt;&gt;RULES",All!E:E,"&lt;&gt;RR*",All!E:E,"&lt;&gt;RSCH",All!F:F,"&lt;&gt;DOTAX*")</f>
        <v>45</v>
      </c>
      <c r="Z105">
        <f>COUNTIFS(All!F:F,"=DOT*", All!B:B, "&gt;=1/1/2020", All!B:B, "&lt;1/1/2030", All!E:E,"&lt;&gt;LIT", All!E:E,"&lt;&gt;LEG",All!E:E,"&lt;&gt;UIPA*",All!E:E,"&lt;&gt;*TRNG*", All!E:E,"&lt;&gt;ADMIN",All!E:E,"&lt;&gt;RULES",All!E:E,"&lt;&gt;RR*",All!E:E,"&lt;&gt;RSCH",All!F:F,"&lt;&gt;DOTAX*")</f>
        <v>20</v>
      </c>
    </row>
    <row r="106" spans="1:26" ht="16">
      <c r="A106" s="10">
        <f t="shared" si="0"/>
        <v>105</v>
      </c>
      <c r="B106" s="9" t="s">
        <v>17481</v>
      </c>
    </row>
    <row r="107" spans="1:26" ht="16">
      <c r="A107" s="10">
        <f t="shared" si="0"/>
        <v>106</v>
      </c>
      <c r="B107" s="9" t="s">
        <v>17482</v>
      </c>
    </row>
    <row r="108" spans="1:26" ht="16">
      <c r="A108" s="10">
        <f t="shared" si="0"/>
        <v>107</v>
      </c>
      <c r="B108" s="1" t="s">
        <v>17238</v>
      </c>
      <c r="C108">
        <f>COUNTIF(Major!F:F,"=gov*")</f>
        <v>44</v>
      </c>
      <c r="D108">
        <f>ROUND(AVERAGEIF(Major!F:F,"=gov*", Major!R:R), 0)</f>
        <v>483</v>
      </c>
      <c r="E108">
        <f>COUNTIFS(Major!F:F,"=gov*", Major!B:B, "&lt;1/1/1995")</f>
        <v>20</v>
      </c>
      <c r="F108">
        <f>ROUND(COUNTIFS(Major!F:F,"=gov*", Major!B:B, "&lt;1/1/1995")/YEARFRAC("11/1/1988", "12/31/1994"),0)</f>
        <v>3</v>
      </c>
      <c r="G108">
        <f>COUNTIFS(Major!F:F,"=gov*", Major!B:B, "&gt;=1/1/1995", Major!B:B, "&lt;1/1/2000")</f>
        <v>3</v>
      </c>
      <c r="H108">
        <f>ROUND(COUNTIFS(Major!F:F,"=gov*", Major!B:B, "&gt;=1/1/1995", Major!B:B, "&lt;1/1/2000")/YEARFRAC("1/1/1995", "12/31/1999"),0)</f>
        <v>1</v>
      </c>
      <c r="I108">
        <f>COUNTIFS(Major!F:F,"=gov*", Major!B:B, "&gt;=1/1/2000", Major!B:B, "&lt;1/1/2005")</f>
        <v>3</v>
      </c>
      <c r="J108">
        <f>ROUND(COUNTIFS(Major!F:F,"=gov*", Major!B:B, "&gt;=1/1/2000", Major!B:B, "&lt;1/1/2005")/YEARFRAC("1/1/2000", "12/31/2004"),0)</f>
        <v>1</v>
      </c>
      <c r="K108">
        <f>COUNTIFS(Major!F:F,"=gov*", Major!B:B, "&gt;=1/1/2005", Major!B:B, "&lt;1/1/2010")</f>
        <v>6</v>
      </c>
      <c r="L108">
        <f>ROUND(COUNTIFS(Major!F:F,"=gov*", Major!B:B, "&gt;=1/1/2005", Major!B:B, "&lt;1/1/2010")/YEARFRAC("1/1/2005", "12/31/2009"),0)</f>
        <v>1</v>
      </c>
      <c r="M108">
        <f>COUNTIFS(Major!F:F,"=gov*", Major!B:B, "&gt;=1/1/2010", Major!B:B, "&lt;1/1/2015")</f>
        <v>7</v>
      </c>
      <c r="N108">
        <f>ROUND(COUNTIFS(Major!F:F,"=gov*", Major!B:B, "&gt;=1/1/2010", Major!B:B, "&lt;1/1/2015")/YEARFRAC("1/1/2010", "12/31/2014"),0)</f>
        <v>1</v>
      </c>
      <c r="O108">
        <f>COUNTIFS(Major!F:F,"=gov*", Major!B:B, "&gt;=1/1/2015", Major!B:B, "&lt;1/1/2020")</f>
        <v>1</v>
      </c>
      <c r="P108">
        <f>ROUND(COUNTIFS(Major!F:F,"=gov*", Major!B:B, "&gt;=1/1/2015", Major!B:B, "&lt;1/1/2020")/YEARFRAC("1/1/2015", "12/31/2019"),0)</f>
        <v>0</v>
      </c>
      <c r="Q108">
        <f>ROUND(5*COUNTIFS(Major!F:F,"=gov*", Major!B:B, "&gt;=1/1/2020", Major!B:B, "&lt;1/1/2025")/YEARFRAC("1/1/2020", "1/1/2025"),0)</f>
        <v>4</v>
      </c>
      <c r="R108">
        <f>ROUND(COUNTIFS(Major!F:F,"=gov*", Major!B:B, "&gt;=1/1/2020", Major!B:B, "&lt;1/1/2025")/YEARFRAC("1/1/2020", "12/31/2024"),0)</f>
        <v>1</v>
      </c>
      <c r="S108">
        <f>COUNTIFS(Major!F:F,"=gov*", Major!B:B, "&gt;=1/1/2025", Major!B:B, "&lt;1/1/2030")</f>
        <v>0</v>
      </c>
      <c r="T108">
        <f>ROUND(5*COUNTIFS(Major!F:F,"=gov*", Major!B:B, "&gt;=1/1/2025", Major!B:B, "&lt;1/1/2030")/YEARFRAC("1/1/2025", "1/1/2026"),0)</f>
        <v>0</v>
      </c>
      <c r="U108">
        <f>COUNTIFS(All!F:F,"=gov*", All!E:E,"&lt;&gt;LIT", All!E:E,"&lt;&gt;LEG",All!E:E,"&lt;&gt;UIPA*",All!E:E,"&lt;&gt;*TRNG*", All!E:E,"&lt;&gt;ADMIN",All!E:E,"&lt;&gt;RULES",All!E:E,"&lt;&gt;RR*",All!E:E,"&lt;&gt;RSCH")</f>
        <v>92</v>
      </c>
      <c r="V108">
        <f>ROUND(AVERAGEIFS(All!R:R, All!E:E,"&lt;&gt;LIT", All!E:E,"&lt;&gt;LEG",All!E:E,"&lt;&gt;UIPA*",All!E:E,"&lt;&gt;*TRNG*", All!E:E,"&lt;&gt;ADMIN",All!E:E,"&lt;&gt;RULES",All!E:E,"&lt;&gt;RR*",All!E:E,"&lt;&gt;RSCH",All!F:F,"=gov*"), 0)</f>
        <v>246</v>
      </c>
      <c r="W108">
        <f>COUNTIFS(All!F:F,"=gov*", All!B:B, "&lt;1/1/2000", All!E:E,"&lt;&gt;LIT", All!E:E,"&lt;&gt;LEG",All!E:E,"&lt;&gt;UIPA*",All!E:E,"&lt;&gt;*TRNG*", All!E:E,"&lt;&gt;ADMIN",All!E:E,"&lt;&gt;RULES",All!E:E,"&lt;&gt;RR*",All!E:E,"&lt;&gt;RSCH")</f>
        <v>29</v>
      </c>
      <c r="X108">
        <f>COUNTIFS(All!F:F,"=gov*", All!B:B, "&gt;=1/1/2000", All!B:B, "&lt;1/1/2010", All!E:E,"&lt;&gt;LIT", All!E:E,"&lt;&gt;LEG",All!E:E,"&lt;&gt;UIPA*",All!E:E,"&lt;&gt;*TRNG*", All!E:E,"&lt;&gt;ADMIN",All!E:E,"&lt;&gt;RULES",All!E:E,"&lt;&gt;RR*",All!E:E,"&lt;&gt;RSCH")</f>
        <v>35</v>
      </c>
      <c r="Y108">
        <f>COUNTIFS(All!F:F,"=gov*", All!B:B, "&gt;=1/1/2010", All!B:B, "&lt;1/1/2020", All!E:E,"&lt;&gt;LIT", All!E:E,"&lt;&gt;LEG",All!E:E,"&lt;&gt;UIPA*",All!E:E,"&lt;&gt;*TRNG*", All!E:E,"&lt;&gt;ADMIN",All!E:E,"&lt;&gt;RULES",All!E:E,"&lt;&gt;RR*",All!E:E,"&lt;&gt;RSCH")</f>
        <v>17</v>
      </c>
      <c r="Z108">
        <f>COUNTIFS(All!F:F,"=gov*", All!B:B, "&gt;=1/1/2020", All!B:B, "&lt;1/1/2030", All!E:E,"&lt;&gt;LIT", All!E:E,"&lt;&gt;LEG",All!E:E,"&lt;&gt;UIPA*",All!E:E,"&lt;&gt;*TRNG*", All!E:E,"&lt;&gt;ADMIN",All!E:E,"&lt;&gt;RULES",All!E:E,"&lt;&gt;RR*",All!E:E,"&lt;&gt;RSCH")</f>
        <v>11</v>
      </c>
    </row>
    <row r="109" spans="1:26" ht="16">
      <c r="A109" s="10">
        <f t="shared" si="0"/>
        <v>108</v>
      </c>
      <c r="B109" s="1" t="s">
        <v>17239</v>
      </c>
      <c r="C109">
        <f>COUNTIF(Major!F:F,"=jud*")</f>
        <v>52</v>
      </c>
      <c r="D109">
        <f>ROUND(AVERAGEIF(Major!F:F,"=jud*", Major!R:R), 0)</f>
        <v>592</v>
      </c>
      <c r="E109">
        <f>COUNTIFS(Major!F:F,"=jud*", Major!B:B, "&lt;1/1/1995")</f>
        <v>27</v>
      </c>
      <c r="F109">
        <f>ROUND(COUNTIFS(Major!F:F,"=jud*", Major!B:B, "&lt;1/1/1995")/YEARFRAC("11/1/1988", "12/31/1994"),0)</f>
        <v>4</v>
      </c>
      <c r="G109">
        <f>COUNTIFS(Major!F:F,"=jud*", Major!B:B, "&gt;=1/1/1995", Major!B:B, "&lt;1/1/2000")</f>
        <v>8</v>
      </c>
      <c r="H109">
        <f>ROUND(COUNTIFS(Major!F:F,"=jud*", Major!B:B, "&gt;=1/1/1995", Major!B:B, "&lt;1/1/2000")/YEARFRAC("1/1/1995", "12/31/1999"),0)</f>
        <v>2</v>
      </c>
      <c r="I109">
        <f>COUNTIFS(Major!F:F,"=jud*", Major!B:B, "&gt;=1/1/2000", Major!B:B, "&lt;1/1/2005")</f>
        <v>7</v>
      </c>
      <c r="J109">
        <f>ROUND(COUNTIFS(Major!F:F,"=jud*", Major!B:B, "&gt;=1/1/2000", Major!B:B, "&lt;1/1/2005")/YEARFRAC("1/1/2000", "12/31/2004"),0)</f>
        <v>1</v>
      </c>
      <c r="K109">
        <f>COUNTIFS(Major!F:F,"=jud*", Major!B:B, "&gt;=1/1/2005", Major!B:B, "&lt;1/1/2010")</f>
        <v>4</v>
      </c>
      <c r="L109">
        <f>ROUND(COUNTIFS(Major!F:F,"=jud*", Major!B:B, "&gt;=1/1/2005", Major!B:B, "&lt;1/1/2010")/YEARFRAC("1/1/2005", "12/31/2009"),0)</f>
        <v>1</v>
      </c>
      <c r="M109">
        <f>COUNTIFS(Major!F:F,"=jud*", Major!B:B, "&gt;=1/1/2010", Major!B:B, "&lt;1/1/2015")</f>
        <v>3</v>
      </c>
      <c r="N109">
        <f>ROUND(COUNTIFS(Major!F:F,"=jud*", Major!B:B, "&gt;=1/1/2010", Major!B:B, "&lt;1/1/2015")/YEARFRAC("1/1/2010", "12/31/2014"),0)</f>
        <v>1</v>
      </c>
      <c r="O109">
        <f>COUNTIFS(Major!F:F,"=jud*", Major!B:B, "&gt;=1/1/2015", Major!B:B, "&lt;1/1/2020")</f>
        <v>1</v>
      </c>
      <c r="P109">
        <f>ROUND(COUNTIFS(Major!F:F,"=jud*", Major!B:B, "&gt;=1/1/2015", Major!B:B, "&lt;1/1/2020")/YEARFRAC("1/1/2015", "12/31/2019"),0)</f>
        <v>0</v>
      </c>
      <c r="Q109">
        <f>ROUND(5*COUNTIFS(Major!F:F,"=jud*", Major!B:B, "&gt;=1/1/2020", Major!B:B, "&lt;1/1/2025")/YEARFRAC("1/1/2020", "1/1/2025"),0)</f>
        <v>2</v>
      </c>
      <c r="R109">
        <f>ROUND(COUNTIFS(Major!F:F,"=jud*", Major!B:B, "&gt;=1/1/2020", Major!B:B, "&lt;1/1/2025")/YEARFRAC("1/1/2020", "12/31/2024"),0)</f>
        <v>0</v>
      </c>
      <c r="S109">
        <f>COUNTIFS(Major!F:F,"=jud*", Major!B:B, "&gt;=1/1/2025", Major!B:B, "&lt;1/1/2030")</f>
        <v>0</v>
      </c>
      <c r="T109">
        <f>ROUND(5*COUNTIFS(Major!F:F,"=jud*", Major!B:B, "&gt;=1/1/2025", Major!B:B, "&lt;1/1/2030")/YEARFRAC("1/1/2025", "1/1/2026"),0)</f>
        <v>0</v>
      </c>
      <c r="U109">
        <f>COUNTIFS(All!F:F,"=jud*", All!E:E,"&lt;&gt;LIT", All!E:E,"&lt;&gt;LEG",All!E:E,"&lt;&gt;UIPA*",All!E:E,"&lt;&gt;*TRNG*", All!E:E,"&lt;&gt;ADMIN",All!E:E,"&lt;&gt;RULES",All!E:E,"&lt;&gt;RR*",All!E:E,"&lt;&gt;RSCH")</f>
        <v>119</v>
      </c>
      <c r="V109">
        <f>ROUND(AVERAGEIFS(All!R:R, All!E:E,"&lt;&gt;LIT", All!E:E,"&lt;&gt;LEG",All!E:E,"&lt;&gt;UIPA*",All!E:E,"&lt;&gt;*TRNG*", All!E:E,"&lt;&gt;ADMIN",All!E:E,"&lt;&gt;RULES",All!E:E,"&lt;&gt;RR*",All!E:E,"&lt;&gt;RSCH",All!F:F,"=jud*"), 0)</f>
        <v>302</v>
      </c>
      <c r="W109">
        <f>COUNTIFS(All!F:F,"=jud*", All!B:B, "&lt;1/1/2000", All!E:E,"&lt;&gt;LIT", All!E:E,"&lt;&gt;LEG",All!E:E,"&lt;&gt;UIPA*",All!E:E,"&lt;&gt;*TRNG*", All!E:E,"&lt;&gt;ADMIN",All!E:E,"&lt;&gt;RULES",All!E:E,"&lt;&gt;RR*",All!E:E,"&lt;&gt;RSCH")</f>
        <v>46</v>
      </c>
      <c r="X109">
        <f>COUNTIFS(All!F:F,"=jud*", All!B:B, "&gt;=1/1/2000", All!B:B, "&lt;1/1/2010", All!E:E,"&lt;&gt;LIT", All!E:E,"&lt;&gt;LEG",All!E:E,"&lt;&gt;UIPA*",All!E:E,"&lt;&gt;*TRNG*", All!E:E,"&lt;&gt;ADMIN",All!E:E,"&lt;&gt;RULES",All!E:E,"&lt;&gt;RR*",All!E:E,"&lt;&gt;RSCH")</f>
        <v>28</v>
      </c>
      <c r="Y109">
        <f>COUNTIFS(All!F:F,"=jud*", All!B:B, "&gt;=1/1/2010", All!B:B, "&lt;1/1/2020", All!E:E,"&lt;&gt;LIT", All!E:E,"&lt;&gt;LEG",All!E:E,"&lt;&gt;UIPA*",All!E:E,"&lt;&gt;*TRNG*", All!E:E,"&lt;&gt;ADMIN",All!E:E,"&lt;&gt;RULES",All!E:E,"&lt;&gt;RR*",All!E:E,"&lt;&gt;RSCH")</f>
        <v>35</v>
      </c>
      <c r="Z109">
        <f>COUNTIFS(All!F:F,"=jud*", All!B:B, "&gt;=1/1/2020", All!B:B, "&lt;1/1/2030", All!E:E,"&lt;&gt;LIT", All!E:E,"&lt;&gt;LEG",All!E:E,"&lt;&gt;UIPA*",All!E:E,"&lt;&gt;*TRNG*", All!E:E,"&lt;&gt;ADMIN",All!E:E,"&lt;&gt;RULES",All!E:E,"&lt;&gt;RR*",All!E:E,"&lt;&gt;RSCH")</f>
        <v>10</v>
      </c>
    </row>
    <row r="110" spans="1:26" ht="16">
      <c r="A110" s="10">
        <f t="shared" si="0"/>
        <v>109</v>
      </c>
      <c r="B110" s="1" t="s">
        <v>17240</v>
      </c>
      <c r="C110">
        <f>COUNTIFS(Major!F:F,"=LEG*",Major!F:F,"&lt;&gt;*ethics*")</f>
        <v>44</v>
      </c>
      <c r="D110">
        <f>ROUND(AVERAGEIFS(Major!R:R, Major!F:F,"=LEG*", Major!F:F,"&lt;&gt;*ethics*"), 0)</f>
        <v>451</v>
      </c>
      <c r="E110">
        <f>COUNTIFS(Major!F:F,"=LEG*",Major!B:B,"&lt;1/1/1995",Major!F:F,"&lt;&gt;*ethics*")</f>
        <v>13</v>
      </c>
      <c r="F110">
        <f>ROUND(COUNTIFS(Major!F:F,"=LEG*",Major!B:B,"&lt;1/1/1995",Major!F:F,"&lt;&gt;*ethics*")/YEARFRAC("11/1/1988", "12/31/1994"),0)</f>
        <v>2</v>
      </c>
      <c r="G110">
        <f>COUNTIFS(Major!F:F,"=LEG*", Major!B:B, "&gt;=1/1/1995", Major!B:B, "&lt;1/1/2000",Major!F:F,"&lt;&gt;*ethics*")</f>
        <v>6</v>
      </c>
      <c r="H110">
        <f>ROUND(COUNTIFS(Major!F:F,"=LEG*",Major!B:B, "&gt;=1/1/1995", Major!B:B, "&lt;1/1/2000",Major!F:F,"&lt;&gt;*ethics*")/YEARFRAC("1/1/1995", "12/31/1999"),0)</f>
        <v>1</v>
      </c>
      <c r="I110">
        <f>COUNTIFS(Major!F:F,"=LEG*", Major!B:B, "&gt;=1/1/2000", Major!B:B, "&lt;1/1/2005",Major!F:F,"&lt;&gt;*ethics*")</f>
        <v>9</v>
      </c>
      <c r="J110">
        <f>ROUND(COUNTIFS(Major!F:F,"=LEG*",Major!B:B, "&gt;=1/1/2000", Major!B:B, "&lt;1/1/2005",Major!F:F,"&lt;&gt;*ethics*")/YEARFRAC("1/1/2000", "12/31/2004"),0)</f>
        <v>2</v>
      </c>
      <c r="K110">
        <f>COUNTIFS(Major!F:F,"=LEG*", Major!B:B, "&gt;=1/1/2005", Major!B:B, "&lt;1/1/2010",Major!F:F,"&lt;&gt;*ethics*")</f>
        <v>8</v>
      </c>
      <c r="L110">
        <f>ROUND(COUNTIFS(Major!F:F,"=LEG*",Major!B:B, "&gt;=1/1/2005", Major!B:B, "&lt;1/1/2010",Major!F:F,"&lt;&gt;*ethics*")/YEARFRAC("1/1/2005", "12/31/2009"),0)</f>
        <v>2</v>
      </c>
      <c r="M110">
        <f>COUNTIFS(Major!F:F,"=LEG*", Major!B:B, "&gt;=1/1/2010", Major!B:B, "&lt;1/1/2015",Major!F:F,"&lt;&gt;*ethics*")</f>
        <v>3</v>
      </c>
      <c r="N110">
        <f>ROUND(COUNTIFS(Major!F:F,"=LEG*",Major!B:B, "&gt;=1/1/2010", Major!B:B, "&lt;1/1/2015",Major!F:F,"&lt;&gt;*ethics*")/YEARFRAC("1/1/2010", "12/31/2014"),0)</f>
        <v>1</v>
      </c>
      <c r="O110">
        <f>COUNTIFS(Major!F:F,"=LEG*", Major!B:B, "&gt;=1/1/2015", Major!B:B, "&lt;1/1/2020",Major!F:F,"&lt;&gt;*ethics*")</f>
        <v>4</v>
      </c>
      <c r="P110">
        <f>ROUND(COUNTIFS(Major!F:F,"=LEG*",Major!B:B, "&gt;=1/1/2015", Major!B:B, "&lt;1/1/2020",Major!F:F,"&lt;&gt;*ethics*")/YEARFRAC("1/1/2015", "12/31/2019"),0)</f>
        <v>1</v>
      </c>
      <c r="Q110">
        <f>ROUND(5*COUNTIFS(Major!F:F,"=LEG*",Major!B:B, "&gt;=1/1/2020", Major!B:B, "&lt;1/1/2025",Major!F:F,"&lt;&gt;*ethics*")/YEARFRAC("1/1/2020", "1/1/2025"),0)</f>
        <v>1</v>
      </c>
      <c r="R110">
        <f>ROUND(COUNTIFS(Major!F:F,"=LEG*",Major!B:B, "&gt;=1/1/2020", Major!B:B, "&lt;1/1/2025",Major!F:F,"&lt;&gt;*ethics*")/YEARFRAC("1/1/2020", "12/31/2024"),0)</f>
        <v>0</v>
      </c>
      <c r="S110">
        <f>COUNTIFS(Major!F:F,"=LEG*", Major!B:B, "&gt;=1/1/2025", Major!B:B, "&lt;1/1/2030",Major!F:F,"&lt;&gt;*ethics*")</f>
        <v>0</v>
      </c>
      <c r="T110">
        <f>ROUND(5*COUNTIFS(Major!F:F,"=LEG*",Major!B:B, "&gt;=1/1/2025", Major!B:B, "&lt;1/1/2030",Major!F:F,"&lt;&gt;*ethics*")/YEARFRAC("1/1/2025", "1/1/2026"),0)</f>
        <v>0</v>
      </c>
      <c r="U110">
        <f>COUNTIFS(All!F:F,"=LEG*", All!E:E,"&lt;&gt;LIT", All!E:E,"&lt;&gt;LEG",All!E:E,"&lt;&gt;UIPA*",All!E:E,"&lt;&gt;*TRNG*", All!E:E,"&lt;&gt;ADMIN",All!E:E,"&lt;&gt;RULES",All!E:E,"&lt;&gt;RR*",All!E:E,"&lt;&gt;RSCH",All!F:F,"&lt;&gt;*ethics*")</f>
        <v>114</v>
      </c>
      <c r="V110">
        <f>ROUND(AVERAGEIFS(All!R:R, All!E:E,"&lt;&gt;LIT", All!E:E,"&lt;&gt;LEG",All!E:E,"&lt;&gt;UIPA*",All!E:E,"&lt;&gt;*TRNG*", All!E:E,"&lt;&gt;ADMIN",All!E:E,"&lt;&gt;RULES",All!E:E,"&lt;&gt;RR*",All!E:E,"&lt;&gt;RSCH",All!F:F,"=LEG*", All!F:F,"&lt;&gt;*ethics*"), 0)</f>
        <v>211</v>
      </c>
      <c r="W110">
        <f>COUNTIFS(All!F:F,"=LEG*", All!B:B, "&lt;1/1/2000", All!E:E,"&lt;&gt;LIT", All!E:E,"&lt;&gt;LEG",All!E:E,"&lt;&gt;UIPA*",All!E:E,"&lt;&gt;*TRNG*", All!E:E,"&lt;&gt;ADMIN",All!E:E,"&lt;&gt;RULES",All!E:E,"&lt;&gt;RR*",All!E:E,"&lt;&gt;RSCH",All!F:F,"&lt;&gt;*ethics*")</f>
        <v>27</v>
      </c>
      <c r="X110">
        <f>COUNTIFS(All!F:F,"=LEG*", All!B:B, "&gt;=1/1/2000", All!B:B, "&lt;1/1/2010", All!E:E,"&lt;&gt;LIT", All!E:E,"&lt;&gt;LEG",All!E:E,"&lt;&gt;UIPA*",All!E:E,"&lt;&gt;*TRNG*", All!E:E,"&lt;&gt;ADMIN",All!E:E,"&lt;&gt;RULES",All!E:E,"&lt;&gt;RR*",All!E:E,"&lt;&gt;RSCH",All!F:F,"&lt;&gt;*ethics*")</f>
        <v>50</v>
      </c>
      <c r="Y110">
        <f>COUNTIFS(All!F:F,"=LEG*", All!B:B, "&gt;=1/1/2010", All!B:B, "&lt;1/1/2020", All!E:E,"&lt;&gt;LIT", All!E:E,"&lt;&gt;LEG",All!E:E,"&lt;&gt;UIPA*",All!E:E,"&lt;&gt;*TRNG*", All!E:E,"&lt;&gt;ADMIN",All!E:E,"&lt;&gt;RULES",All!E:E,"&lt;&gt;RR*",All!E:E,"&lt;&gt;RSCH",All!F:F,"&lt;&gt;*ethics*")</f>
        <v>28</v>
      </c>
      <c r="Z110">
        <f>COUNTIFS(All!F:F,"=LEG*", All!B:B, "&gt;=1/1/2020", All!B:B, "&lt;1/1/2030", All!E:E,"&lt;&gt;LIT", All!E:E,"&lt;&gt;LEG",All!E:E,"&lt;&gt;UIPA*",All!E:E,"&lt;&gt;*TRNG*", All!E:E,"&lt;&gt;ADMIN",All!E:E,"&lt;&gt;RULES",All!E:E,"&lt;&gt;RR*",All!E:E,"&lt;&gt;RSCH",All!F:F,"&lt;&gt;*ethics*")</f>
        <v>9</v>
      </c>
    </row>
    <row r="111" spans="1:26" ht="16">
      <c r="A111" s="10">
        <f t="shared" si="0"/>
        <v>110</v>
      </c>
      <c r="B111" s="9" t="s">
        <v>17483</v>
      </c>
    </row>
    <row r="112" spans="1:26" ht="16">
      <c r="A112" s="10">
        <f t="shared" si="0"/>
        <v>111</v>
      </c>
      <c r="B112" s="9" t="s">
        <v>17484</v>
      </c>
    </row>
    <row r="113" spans="1:26" ht="16">
      <c r="A113" s="10">
        <f t="shared" si="0"/>
        <v>112</v>
      </c>
      <c r="B113" s="9" t="s">
        <v>17485</v>
      </c>
    </row>
    <row r="114" spans="1:26" ht="16">
      <c r="A114" s="10">
        <f t="shared" si="0"/>
        <v>113</v>
      </c>
      <c r="B114" s="1" t="s">
        <v>16814</v>
      </c>
      <c r="C114">
        <f>COUNTIF(Major!F:F,"=oha*")</f>
        <v>39</v>
      </c>
      <c r="D114">
        <f>ROUND(AVERAGEIF(Major!F:F,"=oha*", Major!R:R), 0)</f>
        <v>351</v>
      </c>
      <c r="E114">
        <f>COUNTIFS(Major!F:F,"=oha*", Major!B:B, "&lt;1/1/1995")</f>
        <v>7</v>
      </c>
      <c r="F114">
        <f>ROUND(COUNTIFS(Major!F:F,"=oha*", Major!B:B, "&lt;1/1/1995")/YEARFRAC("11/1/1988", "12/31/1994"),0)</f>
        <v>1</v>
      </c>
      <c r="G114">
        <f>COUNTIFS(Major!F:F,"=oha*", Major!B:B, "&gt;=1/1/1995", Major!B:B, "&lt;1/1/2000")</f>
        <v>5</v>
      </c>
      <c r="H114">
        <f>ROUND(COUNTIFS(Major!F:F,"=oha*", Major!B:B, "&gt;=1/1/1995", Major!B:B, "&lt;1/1/2000")/YEARFRAC("1/1/1995", "12/31/1999"),0)</f>
        <v>1</v>
      </c>
      <c r="I114">
        <f>COUNTIFS(Major!F:F,"=oha*", Major!B:B, "&gt;=1/1/2000", Major!B:B, "&lt;1/1/2005")</f>
        <v>3</v>
      </c>
      <c r="J114">
        <f>ROUND(COUNTIFS(Major!F:F,"=oha*", Major!B:B, "&gt;=1/1/2000", Major!B:B, "&lt;1/1/2005")/YEARFRAC("1/1/2000", "12/31/2004"),0)</f>
        <v>1</v>
      </c>
      <c r="K114">
        <f>COUNTIFS(Major!F:F,"=oha*", Major!B:B, "&gt;=1/1/2005", Major!B:B, "&lt;1/1/2010")</f>
        <v>6</v>
      </c>
      <c r="L114">
        <f>ROUND(COUNTIFS(Major!F:F,"=oha*", Major!B:B, "&gt;=1/1/2005", Major!B:B, "&lt;1/1/2010")/YEARFRAC("1/1/2005", "12/31/2009"),0)</f>
        <v>1</v>
      </c>
      <c r="M114">
        <f>COUNTIFS(Major!F:F,"=oha*", Major!B:B, "&gt;=1/1/2010", Major!B:B, "&lt;1/1/2015")</f>
        <v>13</v>
      </c>
      <c r="N114">
        <f>ROUND(COUNTIFS(Major!F:F,"=oha*", Major!B:B, "&gt;=1/1/2010", Major!B:B, "&lt;1/1/2015")/YEARFRAC("1/1/2010", "12/31/2014"),0)</f>
        <v>3</v>
      </c>
      <c r="O114">
        <f>COUNTIFS(Major!F:F,"=oha*", Major!B:B, "&gt;=1/1/2015", Major!B:B, "&lt;1/1/2020")</f>
        <v>4</v>
      </c>
      <c r="P114">
        <f>ROUND(COUNTIFS(Major!F:F,"=oha*", Major!B:B, "&gt;=1/1/2015", Major!B:B, "&lt;1/1/2020")/YEARFRAC("1/1/2015", "12/31/2019"),0)</f>
        <v>1</v>
      </c>
      <c r="Q114">
        <f>ROUND(5*COUNTIFS(Major!F:F,"=oha*", Major!B:B, "&gt;=1/1/2020", Major!B:B, "&lt;1/1/2025")/YEARFRAC("1/1/2020", "1/1/2025"),0)</f>
        <v>1</v>
      </c>
      <c r="R114">
        <f>ROUND(COUNTIFS(Major!F:F,"=oha*", Major!B:B, "&gt;=1/1/2020", Major!B:B, "&lt;1/1/2025")/YEARFRAC("1/1/2020", "12/31/2024"),0)</f>
        <v>0</v>
      </c>
      <c r="S114">
        <f>COUNTIFS(Major!F:F,"=oha*", Major!B:B, "&gt;=1/1/2025", Major!B:B, "&lt;1/1/2030")</f>
        <v>0</v>
      </c>
      <c r="T114">
        <f>ROUND(5*COUNTIFS(Major!F:F,"=oha*", Major!B:B, "&gt;=1/1/2025", Major!B:B, "&lt;1/1/2030")/YEARFRAC("1/1/2025", "1/1/2026"),0)</f>
        <v>0</v>
      </c>
      <c r="U114">
        <f>COUNTIFS(All!F:F,"=oha*", All!E:E,"&lt;&gt;LIT", All!E:E,"&lt;&gt;LEG",All!E:E,"&lt;&gt;UIPA*",All!E:E,"&lt;&gt;*TRNG*", All!E:E,"&lt;&gt;ADMIN",All!E:E,"&lt;&gt;RULES",All!E:E,"&lt;&gt;RR*",All!E:E,"&lt;&gt;RSCH")</f>
        <v>88</v>
      </c>
      <c r="V114">
        <f>ROUND(AVERAGEIFS(All!R:R, All!E:E,"&lt;&gt;LIT", All!E:E,"&lt;&gt;LEG",All!E:E,"&lt;&gt;UIPA*",All!E:E,"&lt;&gt;*TRNG*", All!E:E,"&lt;&gt;ADMIN",All!E:E,"&lt;&gt;RULES",All!E:E,"&lt;&gt;RR*",All!E:E,"&lt;&gt;RSCH",All!F:F,"=oha*"), 0)</f>
        <v>243</v>
      </c>
      <c r="W114">
        <f>COUNTIFS(All!F:F,"=oha*", All!B:B, "&lt;1/1/2000", All!E:E,"&lt;&gt;LIT", All!E:E,"&lt;&gt;LEG",All!E:E,"&lt;&gt;UIPA*",All!E:E,"&lt;&gt;*TRNG*", All!E:E,"&lt;&gt;ADMIN",All!E:E,"&lt;&gt;RULES",All!E:E,"&lt;&gt;RR*",All!E:E,"&lt;&gt;RSCH")</f>
        <v>20</v>
      </c>
      <c r="X114">
        <f>COUNTIFS(All!F:F,"=oha*", All!B:B, "&gt;=1/1/2000", All!B:B, "&lt;1/1/2010", All!E:E,"&lt;&gt;LIT", All!E:E,"&lt;&gt;LEG",All!E:E,"&lt;&gt;UIPA*",All!E:E,"&lt;&gt;*TRNG*", All!E:E,"&lt;&gt;ADMIN",All!E:E,"&lt;&gt;RULES",All!E:E,"&lt;&gt;RR*",All!E:E,"&lt;&gt;RSCH")</f>
        <v>27</v>
      </c>
      <c r="Y114">
        <f>COUNTIFS(All!F:F,"=oha*", All!B:B, "&gt;=1/1/2010", All!B:B, "&lt;1/1/2020", All!E:E,"&lt;&gt;LIT", All!E:E,"&lt;&gt;LEG",All!E:E,"&lt;&gt;UIPA*",All!E:E,"&lt;&gt;*TRNG*", All!E:E,"&lt;&gt;ADMIN",All!E:E,"&lt;&gt;RULES",All!E:E,"&lt;&gt;RR*",All!E:E,"&lt;&gt;RSCH")</f>
        <v>37</v>
      </c>
      <c r="Z114">
        <f>COUNTIFS(All!F:F,"=oha*", All!B:B, "&gt;=1/1/2020", All!B:B, "&lt;1/1/2030", All!E:E,"&lt;&gt;LIT", All!E:E,"&lt;&gt;LEG",All!E:E,"&lt;&gt;UIPA*",All!E:E,"&lt;&gt;*TRNG*", All!E:E,"&lt;&gt;ADMIN",All!E:E,"&lt;&gt;RULES",All!E:E,"&lt;&gt;RR*",All!E:E,"&lt;&gt;RSCH")</f>
        <v>4</v>
      </c>
    </row>
    <row r="115" spans="1:26" ht="16">
      <c r="A115" s="10">
        <f t="shared" si="0"/>
        <v>114</v>
      </c>
      <c r="B115" s="1" t="s">
        <v>16818</v>
      </c>
      <c r="C115">
        <f>COUNTIF(Major!F:F,"=*uh*")</f>
        <v>167</v>
      </c>
      <c r="D115">
        <f>ROUND(AVERAGEIF(Major!F:F,"=*uh*", Major!R:R), 0)</f>
        <v>624</v>
      </c>
      <c r="E115">
        <f>COUNTIFS(Major!F:F,"=*uh*", Major!B:B, "&lt;1/1/1995")</f>
        <v>66</v>
      </c>
      <c r="F115">
        <f>ROUND(COUNTIFS(Major!F:F,"=*uh*", Major!B:B, "&lt;1/1/1995")/YEARFRAC("11/1/1988", "12/31/1994"),0)</f>
        <v>11</v>
      </c>
      <c r="G115">
        <f>COUNTIFS(Major!F:F,"=*uh*", Major!B:B, "&gt;=1/1/1995", Major!B:B, "&lt;1/1/2000")</f>
        <v>20</v>
      </c>
      <c r="H115">
        <f>ROUND(COUNTIFS(Major!F:F,"=*uh*", Major!B:B, "&gt;=1/1/1995", Major!B:B, "&lt;1/1/2000")/YEARFRAC("1/1/1995", "12/31/1999"),0)</f>
        <v>4</v>
      </c>
      <c r="I115">
        <f>COUNTIFS(Major!F:F,"=*uh*", Major!B:B, "&gt;=1/1/2000", Major!B:B, "&lt;1/1/2005")</f>
        <v>14</v>
      </c>
      <c r="J115">
        <f>ROUND(COUNTIFS(Major!F:F,"=*uh*", Major!B:B, "&gt;=1/1/2000", Major!B:B, "&lt;1/1/2005")/YEARFRAC("1/1/2000", "12/31/2004"),0)</f>
        <v>3</v>
      </c>
      <c r="K115">
        <f>COUNTIFS(Major!F:F,"=*uh*", Major!B:B, "&gt;=1/1/2005", Major!B:B, "&lt;1/1/2010")</f>
        <v>26</v>
      </c>
      <c r="L115">
        <f>ROUND(COUNTIFS(Major!F:F,"=*uh*", Major!B:B, "&gt;=1/1/2005", Major!B:B, "&lt;1/1/2010")/YEARFRAC("1/1/2005", "12/31/2009"),0)</f>
        <v>5</v>
      </c>
      <c r="M115">
        <f>COUNTIFS(Major!F:F,"=*uh*", Major!B:B, "&gt;=1/1/2010", Major!B:B, "&lt;1/1/2015")</f>
        <v>21</v>
      </c>
      <c r="N115">
        <f>ROUND(COUNTIFS(Major!F:F,"=*uh*", Major!B:B, "&gt;=1/1/2010", Major!B:B, "&lt;1/1/2015")/YEARFRAC("1/1/2010", "12/31/2014"),0)</f>
        <v>4</v>
      </c>
      <c r="O115">
        <f>COUNTIFS(Major!F:F,"=*uh*", Major!B:B, "&gt;=1/1/2015", Major!B:B, "&lt;1/1/2020")</f>
        <v>15</v>
      </c>
      <c r="P115">
        <f>ROUND(COUNTIFS(Major!F:F,"=*uh*", Major!B:B, "&gt;=1/1/2015", Major!B:B, "&lt;1/1/2020")/YEARFRAC("1/1/2015", "12/31/2019"),0)</f>
        <v>3</v>
      </c>
      <c r="Q115">
        <f>ROUND(5*COUNTIFS(Major!F:F,"=*uh*", Major!B:B, "&gt;=1/1/2020", Major!B:B, "&lt;1/1/2025")/YEARFRAC("1/1/2020", "1/1/2025"),0)</f>
        <v>5</v>
      </c>
      <c r="R115">
        <f>ROUND(COUNTIFS(Major!F:F,"=*uh*", Major!B:B, "&gt;=1/1/2020", Major!B:B, "&lt;1/1/2025")/YEARFRAC("1/1/2020", "12/31/2024"),0)</f>
        <v>1</v>
      </c>
      <c r="S115">
        <f>COUNTIFS(Major!F:F,"=*uh*", Major!B:B, "&gt;=1/1/2025", Major!B:B, "&lt;1/1/2030")</f>
        <v>0</v>
      </c>
      <c r="T115">
        <f>ROUND(5*COUNTIFS(Major!F:F,"=*uh*", Major!B:B, "&gt;=1/1/2025", Major!B:B, "&lt;1/1/2030")/YEARFRAC("1/1/2025", "1/1/2026"),0)</f>
        <v>0</v>
      </c>
      <c r="U115">
        <f>COUNTIFS(All!F:F,"=*uh*", All!E:E,"&lt;&gt;LIT", All!E:E,"&lt;&gt;LEG",All!E:E,"&lt;&gt;UIPA*",All!E:E,"&lt;&gt;*TRNG*", All!E:E,"&lt;&gt;ADMIN",All!E:E,"&lt;&gt;RULES",All!E:E,"&lt;&gt;RR*",All!E:E,"&lt;&gt;RSCH")</f>
        <v>321</v>
      </c>
      <c r="V115">
        <f>ROUND(AVERAGEIFS(All!R:R, All!E:E,"&lt;&gt;LIT", All!E:E,"&lt;&gt;LEG",All!E:E,"&lt;&gt;UIPA*",All!E:E,"&lt;&gt;*TRNG*", All!E:E,"&lt;&gt;ADMIN",All!E:E,"&lt;&gt;RULES",All!E:E,"&lt;&gt;RR*",All!E:E,"&lt;&gt;RSCH",All!F:F,"=*uh*"), 0)</f>
        <v>410</v>
      </c>
      <c r="W115">
        <f>COUNTIFS(All!F:F,"=*uh*", All!B:B, "&lt;1/1/2000", All!E:E,"&lt;&gt;LIT", All!E:E,"&lt;&gt;LEG",All!E:E,"&lt;&gt;UIPA*",All!E:E,"&lt;&gt;*TRNG*", All!E:E,"&lt;&gt;ADMIN",All!E:E,"&lt;&gt;RULES",All!E:E,"&lt;&gt;RR*",All!E:E,"&lt;&gt;RSCH")</f>
        <v>116</v>
      </c>
      <c r="X115">
        <f>COUNTIFS(All!F:F,"=*uh*", All!B:B, "&gt;=1/1/2000", All!B:B, "&lt;1/1/2010", All!E:E,"&lt;&gt;LIT", All!E:E,"&lt;&gt;LEG",All!E:E,"&lt;&gt;UIPA*",All!E:E,"&lt;&gt;*TRNG*", All!E:E,"&lt;&gt;ADMIN",All!E:E,"&lt;&gt;RULES",All!E:E,"&lt;&gt;RR*",All!E:E,"&lt;&gt;RSCH")</f>
        <v>108</v>
      </c>
      <c r="Y115">
        <f>COUNTIFS(All!F:F,"=*uh*", All!B:B, "&gt;=1/1/2010", All!B:B, "&lt;1/1/2020", All!E:E,"&lt;&gt;LIT", All!E:E,"&lt;&gt;LEG",All!E:E,"&lt;&gt;UIPA*",All!E:E,"&lt;&gt;*TRNG*", All!E:E,"&lt;&gt;ADMIN",All!E:E,"&lt;&gt;RULES",All!E:E,"&lt;&gt;RR*",All!E:E,"&lt;&gt;RSCH")</f>
        <v>83</v>
      </c>
      <c r="Z115">
        <f>COUNTIFS(All!F:F,"=*uh*", All!B:B, "&gt;=1/1/2020", All!B:B, "&lt;1/1/2030", All!E:E,"&lt;&gt;LIT", All!E:E,"&lt;&gt;LEG",All!E:E,"&lt;&gt;UIPA*",All!E:E,"&lt;&gt;*TRNG*", All!E:E,"&lt;&gt;ADMIN",All!E:E,"&lt;&gt;RULES",All!E:E,"&lt;&gt;RR*",All!E:E,"&lt;&gt;RSCH")</f>
        <v>14</v>
      </c>
    </row>
    <row r="116" spans="1:26">
      <c r="B116" s="111"/>
    </row>
  </sheetData>
  <sortState xmlns:xlrd2="http://schemas.microsoft.com/office/spreadsheetml/2017/richdata2" ref="A2:Y115">
    <sortCondition ref="A2:A115"/>
  </sortState>
  <pageMargins left="0.7" right="0.7" top="0.75" bottom="0.75" header="0.3" footer="0.3"/>
  <pageSetup orientation="portrait" horizontalDpi="0" verticalDpi="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2483"/>
  <sheetViews>
    <sheetView workbookViewId="0"/>
  </sheetViews>
  <sheetFormatPr baseColWidth="10" defaultColWidth="11.5" defaultRowHeight="15"/>
  <cols>
    <col min="19" max="19" width="6.1640625" customWidth="1"/>
    <col min="20" max="20" width="5.33203125" customWidth="1"/>
    <col min="24" max="24" width="6" customWidth="1"/>
    <col min="25" max="25" width="10.83203125" customWidth="1"/>
  </cols>
  <sheetData>
    <row r="1" spans="1:18">
      <c r="A1" s="70" t="s">
        <v>0</v>
      </c>
      <c r="B1" s="70" t="s">
        <v>1</v>
      </c>
      <c r="C1" s="70" t="s">
        <v>2</v>
      </c>
      <c r="D1" s="70" t="s">
        <v>3</v>
      </c>
      <c r="E1" s="70" t="s">
        <v>4</v>
      </c>
      <c r="F1" s="70" t="s">
        <v>5</v>
      </c>
      <c r="G1" s="70" t="s">
        <v>6</v>
      </c>
      <c r="H1" s="70" t="s">
        <v>7</v>
      </c>
      <c r="I1" s="70" t="s">
        <v>8</v>
      </c>
      <c r="J1" s="70" t="s">
        <v>9</v>
      </c>
      <c r="K1" s="70" t="s">
        <v>10</v>
      </c>
      <c r="L1" s="70" t="s">
        <v>11</v>
      </c>
      <c r="M1" s="70" t="s">
        <v>12</v>
      </c>
      <c r="N1" s="70" t="s">
        <v>13</v>
      </c>
      <c r="O1" s="70" t="s">
        <v>14</v>
      </c>
      <c r="P1" s="70" t="s">
        <v>15</v>
      </c>
      <c r="Q1" s="70" t="s">
        <v>20642</v>
      </c>
      <c r="R1" s="70" t="s">
        <v>16792</v>
      </c>
    </row>
    <row r="2" spans="1:18">
      <c r="A2" s="71">
        <v>2</v>
      </c>
      <c r="B2" s="72">
        <v>32972</v>
      </c>
      <c r="C2" s="71" t="s">
        <v>17</v>
      </c>
      <c r="D2" s="72">
        <v>32898</v>
      </c>
      <c r="E2" s="71" t="s">
        <v>18</v>
      </c>
      <c r="F2" s="71" t="s">
        <v>19</v>
      </c>
      <c r="G2" s="71" t="s">
        <v>20</v>
      </c>
      <c r="H2" s="71"/>
      <c r="I2" s="71"/>
      <c r="J2" s="71" t="s">
        <v>22</v>
      </c>
      <c r="K2" s="71" t="s">
        <v>23</v>
      </c>
      <c r="L2" s="71" t="s">
        <v>24</v>
      </c>
      <c r="M2" s="71"/>
      <c r="N2" s="72">
        <v>32932</v>
      </c>
      <c r="O2" s="72">
        <v>33333</v>
      </c>
      <c r="P2" s="71"/>
      <c r="Q2" s="71" t="b">
        <v>1</v>
      </c>
      <c r="R2" s="22">
        <f t="shared" ref="R2:R65" si="0">IF(O2=" ", " ", INT(YEARFRAC(O2, B2)*365))</f>
        <v>360</v>
      </c>
    </row>
    <row r="3" spans="1:18">
      <c r="A3" s="71">
        <v>3</v>
      </c>
      <c r="B3" s="72">
        <v>32972</v>
      </c>
      <c r="C3" s="71" t="s">
        <v>25</v>
      </c>
      <c r="D3" s="72">
        <v>32899</v>
      </c>
      <c r="E3" s="71" t="s">
        <v>26</v>
      </c>
      <c r="F3" s="71" t="s">
        <v>27</v>
      </c>
      <c r="G3" s="71" t="s">
        <v>20</v>
      </c>
      <c r="H3" s="71"/>
      <c r="I3" s="71"/>
      <c r="J3" s="71" t="s">
        <v>28</v>
      </c>
      <c r="K3" s="71" t="s">
        <v>29</v>
      </c>
      <c r="L3" s="71" t="s">
        <v>30</v>
      </c>
      <c r="M3" s="71"/>
      <c r="N3" s="72">
        <v>32932</v>
      </c>
      <c r="O3" s="72">
        <v>33009</v>
      </c>
      <c r="P3" s="71">
        <v>-1</v>
      </c>
      <c r="Q3" s="71" t="b">
        <v>0</v>
      </c>
      <c r="R3" s="22">
        <f t="shared" si="0"/>
        <v>37</v>
      </c>
    </row>
    <row r="4" spans="1:18">
      <c r="A4" s="71">
        <v>4</v>
      </c>
      <c r="B4" s="72">
        <v>32972</v>
      </c>
      <c r="C4" s="71" t="s">
        <v>32</v>
      </c>
      <c r="D4" s="72">
        <v>32752</v>
      </c>
      <c r="E4" s="71" t="s">
        <v>33</v>
      </c>
      <c r="F4" s="71" t="s">
        <v>34</v>
      </c>
      <c r="G4" s="71" t="s">
        <v>20</v>
      </c>
      <c r="H4" s="71"/>
      <c r="I4" s="71"/>
      <c r="J4" s="71" t="s">
        <v>35</v>
      </c>
      <c r="K4" s="71"/>
      <c r="L4" s="71" t="s">
        <v>36</v>
      </c>
      <c r="M4" s="71"/>
      <c r="N4" s="72">
        <v>32949</v>
      </c>
      <c r="O4" s="72">
        <v>33073</v>
      </c>
      <c r="P4" s="71"/>
      <c r="Q4" s="71" t="b">
        <v>0</v>
      </c>
      <c r="R4" s="22">
        <f t="shared" si="0"/>
        <v>101</v>
      </c>
    </row>
    <row r="5" spans="1:18">
      <c r="A5" s="71">
        <v>6</v>
      </c>
      <c r="B5" s="72">
        <v>32972</v>
      </c>
      <c r="C5" s="71" t="s">
        <v>41</v>
      </c>
      <c r="D5" s="72">
        <v>32904</v>
      </c>
      <c r="E5" s="71" t="s">
        <v>42</v>
      </c>
      <c r="F5" s="71" t="s">
        <v>43</v>
      </c>
      <c r="G5" s="71" t="s">
        <v>20</v>
      </c>
      <c r="H5" s="71"/>
      <c r="I5" s="71"/>
      <c r="J5" s="71" t="s">
        <v>44</v>
      </c>
      <c r="K5" s="71" t="s">
        <v>45</v>
      </c>
      <c r="L5" s="71" t="s">
        <v>24</v>
      </c>
      <c r="M5" s="71"/>
      <c r="N5" s="72">
        <v>32924</v>
      </c>
      <c r="O5" s="72">
        <v>32972</v>
      </c>
      <c r="P5" s="71"/>
      <c r="Q5" s="71" t="b">
        <v>0</v>
      </c>
      <c r="R5" s="22">
        <f t="shared" si="0"/>
        <v>0</v>
      </c>
    </row>
    <row r="6" spans="1:18">
      <c r="A6" s="71">
        <v>7</v>
      </c>
      <c r="B6" s="72">
        <v>32972</v>
      </c>
      <c r="C6" s="71" t="s">
        <v>46</v>
      </c>
      <c r="D6" s="72">
        <v>32906</v>
      </c>
      <c r="E6" s="71" t="s">
        <v>47</v>
      </c>
      <c r="F6" s="71" t="s">
        <v>27</v>
      </c>
      <c r="G6" s="71" t="s">
        <v>20</v>
      </c>
      <c r="H6" s="71"/>
      <c r="I6" s="71"/>
      <c r="J6" s="71" t="s">
        <v>48</v>
      </c>
      <c r="K6" s="71" t="s">
        <v>49</v>
      </c>
      <c r="L6" s="71" t="s">
        <v>24</v>
      </c>
      <c r="M6" s="71"/>
      <c r="N6" s="72">
        <v>32962</v>
      </c>
      <c r="O6" s="72">
        <v>33371</v>
      </c>
      <c r="P6" s="71"/>
      <c r="Q6" s="71" t="b">
        <v>0</v>
      </c>
      <c r="R6" s="22">
        <f t="shared" si="0"/>
        <v>399</v>
      </c>
    </row>
    <row r="7" spans="1:18">
      <c r="A7" s="71">
        <v>8</v>
      </c>
      <c r="B7" s="72">
        <v>32972</v>
      </c>
      <c r="C7" s="71" t="s">
        <v>50</v>
      </c>
      <c r="D7" s="72">
        <v>32906</v>
      </c>
      <c r="E7" s="71" t="s">
        <v>51</v>
      </c>
      <c r="F7" s="71" t="s">
        <v>52</v>
      </c>
      <c r="G7" s="71" t="s">
        <v>20</v>
      </c>
      <c r="H7" s="71"/>
      <c r="I7" s="71"/>
      <c r="J7" s="71" t="s">
        <v>53</v>
      </c>
      <c r="K7" s="71" t="s">
        <v>54</v>
      </c>
      <c r="L7" s="71" t="s">
        <v>24</v>
      </c>
      <c r="M7" s="71"/>
      <c r="N7" s="72">
        <v>32934</v>
      </c>
      <c r="O7" s="72">
        <v>33000</v>
      </c>
      <c r="P7" s="71"/>
      <c r="Q7" s="71" t="b">
        <v>0</v>
      </c>
      <c r="R7" s="22">
        <f t="shared" si="0"/>
        <v>28</v>
      </c>
    </row>
    <row r="8" spans="1:18">
      <c r="A8" s="71">
        <v>11</v>
      </c>
      <c r="B8" s="72">
        <v>32972</v>
      </c>
      <c r="C8" s="71" t="s">
        <v>62</v>
      </c>
      <c r="D8" s="72">
        <v>32918</v>
      </c>
      <c r="E8" s="71" t="s">
        <v>63</v>
      </c>
      <c r="F8" s="71" t="s">
        <v>27</v>
      </c>
      <c r="G8" s="71" t="s">
        <v>20</v>
      </c>
      <c r="H8" s="71"/>
      <c r="I8" s="71"/>
      <c r="J8" s="71" t="s">
        <v>64</v>
      </c>
      <c r="K8" s="71" t="s">
        <v>65</v>
      </c>
      <c r="L8" s="71" t="s">
        <v>66</v>
      </c>
      <c r="M8" s="71" t="s">
        <v>67</v>
      </c>
      <c r="N8" s="72">
        <v>32948</v>
      </c>
      <c r="O8" s="72">
        <v>36367</v>
      </c>
      <c r="P8" s="71"/>
      <c r="Q8" s="71" t="b">
        <v>0</v>
      </c>
      <c r="R8" s="22">
        <f t="shared" si="0"/>
        <v>3393</v>
      </c>
    </row>
    <row r="9" spans="1:18">
      <c r="A9" s="71">
        <v>12</v>
      </c>
      <c r="B9" s="72">
        <v>32972</v>
      </c>
      <c r="C9" s="71" t="s">
        <v>68</v>
      </c>
      <c r="D9" s="72">
        <v>32918</v>
      </c>
      <c r="E9" s="71" t="s">
        <v>69</v>
      </c>
      <c r="F9" s="71" t="s">
        <v>70</v>
      </c>
      <c r="G9" s="71" t="s">
        <v>20</v>
      </c>
      <c r="H9" s="71" t="s">
        <v>71</v>
      </c>
      <c r="I9" s="71" t="s">
        <v>72</v>
      </c>
      <c r="J9" s="71" t="s">
        <v>73</v>
      </c>
      <c r="K9" s="71" t="s">
        <v>74</v>
      </c>
      <c r="L9" s="71" t="s">
        <v>36</v>
      </c>
      <c r="M9" s="71"/>
      <c r="N9" s="72">
        <v>32925</v>
      </c>
      <c r="O9" s="72">
        <v>33066</v>
      </c>
      <c r="P9" s="71">
        <v>-1</v>
      </c>
      <c r="Q9" s="71" t="b">
        <v>0</v>
      </c>
      <c r="R9" s="22">
        <f t="shared" si="0"/>
        <v>94</v>
      </c>
    </row>
    <row r="10" spans="1:18">
      <c r="A10" s="71">
        <v>15</v>
      </c>
      <c r="B10" s="72">
        <v>32972</v>
      </c>
      <c r="C10" s="71" t="s">
        <v>78</v>
      </c>
      <c r="D10" s="72">
        <v>32919</v>
      </c>
      <c r="E10" s="71" t="s">
        <v>79</v>
      </c>
      <c r="F10" s="71" t="s">
        <v>70</v>
      </c>
      <c r="G10" s="71" t="s">
        <v>20</v>
      </c>
      <c r="H10" s="71" t="s">
        <v>71</v>
      </c>
      <c r="I10" s="71" t="s">
        <v>72</v>
      </c>
      <c r="J10" s="71" t="s">
        <v>80</v>
      </c>
      <c r="K10" s="71" t="s">
        <v>81</v>
      </c>
      <c r="L10" s="71" t="s">
        <v>82</v>
      </c>
      <c r="M10" s="71"/>
      <c r="N10" s="72">
        <v>32941</v>
      </c>
      <c r="O10" s="72">
        <v>33318</v>
      </c>
      <c r="P10" s="71"/>
      <c r="Q10" s="71" t="b">
        <v>0</v>
      </c>
      <c r="R10" s="22">
        <f t="shared" si="0"/>
        <v>346</v>
      </c>
    </row>
    <row r="11" spans="1:18">
      <c r="A11" s="71">
        <v>16</v>
      </c>
      <c r="B11" s="72">
        <v>32972</v>
      </c>
      <c r="C11" s="71" t="s">
        <v>83</v>
      </c>
      <c r="D11" s="72">
        <v>32920</v>
      </c>
      <c r="E11" s="71" t="s">
        <v>84</v>
      </c>
      <c r="F11" s="71" t="s">
        <v>85</v>
      </c>
      <c r="G11" s="71" t="s">
        <v>20</v>
      </c>
      <c r="H11" s="71"/>
      <c r="I11" s="71"/>
      <c r="J11" s="71" t="s">
        <v>86</v>
      </c>
      <c r="K11" s="71" t="s">
        <v>87</v>
      </c>
      <c r="L11" s="71" t="s">
        <v>88</v>
      </c>
      <c r="M11" s="71" t="s">
        <v>67</v>
      </c>
      <c r="O11" s="72">
        <v>36300</v>
      </c>
      <c r="P11" s="71"/>
      <c r="Q11" s="71" t="b">
        <v>0</v>
      </c>
      <c r="R11" s="22">
        <f t="shared" si="0"/>
        <v>3326</v>
      </c>
    </row>
    <row r="12" spans="1:18">
      <c r="A12" s="71">
        <v>17</v>
      </c>
      <c r="B12" s="72">
        <v>32973</v>
      </c>
      <c r="C12" s="71" t="s">
        <v>89</v>
      </c>
      <c r="D12" s="72">
        <v>32926</v>
      </c>
      <c r="E12" s="71" t="s">
        <v>90</v>
      </c>
      <c r="F12" s="71" t="s">
        <v>70</v>
      </c>
      <c r="G12" s="71" t="s">
        <v>20</v>
      </c>
      <c r="H12" s="71" t="s">
        <v>71</v>
      </c>
      <c r="I12" s="71" t="s">
        <v>72</v>
      </c>
      <c r="J12" s="71" t="s">
        <v>91</v>
      </c>
      <c r="K12" s="71" t="s">
        <v>74</v>
      </c>
      <c r="L12" s="71" t="s">
        <v>24</v>
      </c>
      <c r="M12" s="71"/>
      <c r="O12" s="72">
        <v>33319</v>
      </c>
      <c r="P12" s="71">
        <v>-1</v>
      </c>
      <c r="Q12" s="71" t="b">
        <v>0</v>
      </c>
      <c r="R12" s="22">
        <f t="shared" si="0"/>
        <v>346</v>
      </c>
    </row>
    <row r="13" spans="1:18">
      <c r="A13" s="71">
        <v>19</v>
      </c>
      <c r="B13" s="72">
        <v>32973</v>
      </c>
      <c r="C13" s="71" t="s">
        <v>92</v>
      </c>
      <c r="D13" s="72">
        <v>32930</v>
      </c>
      <c r="E13" s="71" t="s">
        <v>93</v>
      </c>
      <c r="F13" s="71" t="s">
        <v>94</v>
      </c>
      <c r="G13" s="71" t="s">
        <v>20</v>
      </c>
      <c r="H13" s="71"/>
      <c r="I13" s="71"/>
      <c r="J13" s="71" t="s">
        <v>95</v>
      </c>
      <c r="K13" s="71" t="s">
        <v>96</v>
      </c>
      <c r="L13" s="71" t="s">
        <v>24</v>
      </c>
      <c r="M13" s="71"/>
      <c r="N13" s="72">
        <v>32975</v>
      </c>
      <c r="O13" s="72">
        <v>33107</v>
      </c>
      <c r="P13" s="71"/>
      <c r="Q13" s="71" t="b">
        <v>0</v>
      </c>
      <c r="R13" s="22">
        <f t="shared" si="0"/>
        <v>133</v>
      </c>
    </row>
    <row r="14" spans="1:18">
      <c r="A14" s="71">
        <v>23</v>
      </c>
      <c r="B14" s="72">
        <v>32973</v>
      </c>
      <c r="C14" s="71" t="s">
        <v>102</v>
      </c>
      <c r="D14" s="72">
        <v>32926</v>
      </c>
      <c r="E14" s="71" t="s">
        <v>103</v>
      </c>
      <c r="F14" s="71" t="s">
        <v>104</v>
      </c>
      <c r="G14" s="71" t="s">
        <v>20</v>
      </c>
      <c r="H14" s="71"/>
      <c r="I14" s="71"/>
      <c r="J14" s="71" t="s">
        <v>105</v>
      </c>
      <c r="K14" s="71"/>
      <c r="L14" s="71" t="s">
        <v>30</v>
      </c>
      <c r="M14" s="71"/>
      <c r="N14" s="72">
        <v>32965</v>
      </c>
      <c r="O14" s="72">
        <v>35647</v>
      </c>
      <c r="P14" s="71"/>
      <c r="Q14" s="71" t="b">
        <v>0</v>
      </c>
      <c r="R14" s="22">
        <f t="shared" si="0"/>
        <v>2671</v>
      </c>
    </row>
    <row r="15" spans="1:18">
      <c r="A15" s="71">
        <v>25</v>
      </c>
      <c r="B15" s="72">
        <v>32973</v>
      </c>
      <c r="C15" s="71" t="s">
        <v>106</v>
      </c>
      <c r="D15" s="72">
        <v>32931</v>
      </c>
      <c r="E15" s="71" t="s">
        <v>107</v>
      </c>
      <c r="F15" s="71" t="s">
        <v>70</v>
      </c>
      <c r="G15" s="71" t="s">
        <v>20</v>
      </c>
      <c r="H15" s="71" t="s">
        <v>71</v>
      </c>
      <c r="I15" s="71" t="s">
        <v>72</v>
      </c>
      <c r="J15" s="71" t="s">
        <v>108</v>
      </c>
      <c r="K15" s="71" t="s">
        <v>109</v>
      </c>
      <c r="L15" s="71" t="s">
        <v>24</v>
      </c>
      <c r="M15" s="71"/>
      <c r="N15" s="72">
        <v>32983</v>
      </c>
      <c r="O15" s="72">
        <v>33003</v>
      </c>
      <c r="P15" s="71"/>
      <c r="Q15" s="71" t="b">
        <v>0</v>
      </c>
      <c r="R15" s="22">
        <f t="shared" si="0"/>
        <v>30</v>
      </c>
    </row>
    <row r="16" spans="1:18">
      <c r="A16" s="71">
        <v>26</v>
      </c>
      <c r="B16" s="72">
        <v>32973</v>
      </c>
      <c r="C16" s="71" t="s">
        <v>110</v>
      </c>
      <c r="D16" s="72">
        <v>32937</v>
      </c>
      <c r="E16" s="71" t="s">
        <v>111</v>
      </c>
      <c r="F16" s="71" t="s">
        <v>85</v>
      </c>
      <c r="G16" s="71" t="s">
        <v>20</v>
      </c>
      <c r="H16" s="71"/>
      <c r="I16" s="71"/>
      <c r="J16" s="71" t="s">
        <v>112</v>
      </c>
      <c r="K16" s="71" t="s">
        <v>113</v>
      </c>
      <c r="L16" s="71" t="s">
        <v>66</v>
      </c>
      <c r="M16" s="71"/>
      <c r="O16" s="72">
        <v>35432</v>
      </c>
      <c r="P16" s="71">
        <v>-1</v>
      </c>
      <c r="Q16" s="71" t="b">
        <v>0</v>
      </c>
      <c r="R16" s="22">
        <f t="shared" si="0"/>
        <v>2455</v>
      </c>
    </row>
    <row r="17" spans="1:18">
      <c r="A17" s="71">
        <v>27</v>
      </c>
      <c r="B17" s="72">
        <v>32973</v>
      </c>
      <c r="C17" s="71" t="s">
        <v>114</v>
      </c>
      <c r="D17" s="72">
        <v>32947</v>
      </c>
      <c r="E17" s="71" t="s">
        <v>115</v>
      </c>
      <c r="F17" s="71" t="s">
        <v>116</v>
      </c>
      <c r="G17" s="71" t="s">
        <v>20</v>
      </c>
      <c r="H17" s="71"/>
      <c r="I17" s="71"/>
      <c r="J17" s="71" t="s">
        <v>117</v>
      </c>
      <c r="K17" s="71" t="s">
        <v>118</v>
      </c>
      <c r="L17" s="71" t="s">
        <v>30</v>
      </c>
      <c r="M17" s="71"/>
      <c r="N17" s="72">
        <v>32962</v>
      </c>
      <c r="O17" s="72">
        <v>33144</v>
      </c>
      <c r="P17" s="71">
        <v>-1</v>
      </c>
      <c r="Q17" s="71" t="b">
        <v>0</v>
      </c>
      <c r="R17" s="22">
        <f t="shared" si="0"/>
        <v>170</v>
      </c>
    </row>
    <row r="18" spans="1:18">
      <c r="A18" s="71">
        <v>28</v>
      </c>
      <c r="B18" s="72">
        <v>32973</v>
      </c>
      <c r="C18" s="71" t="s">
        <v>119</v>
      </c>
      <c r="D18" s="72">
        <v>32939</v>
      </c>
      <c r="E18" s="71" t="s">
        <v>120</v>
      </c>
      <c r="F18" s="71" t="s">
        <v>70</v>
      </c>
      <c r="G18" s="71" t="s">
        <v>20</v>
      </c>
      <c r="H18" s="71" t="s">
        <v>71</v>
      </c>
      <c r="I18" s="71" t="s">
        <v>72</v>
      </c>
      <c r="J18" s="71" t="s">
        <v>121</v>
      </c>
      <c r="K18" s="71" t="s">
        <v>122</v>
      </c>
      <c r="L18" s="71" t="s">
        <v>24</v>
      </c>
      <c r="M18" s="71"/>
      <c r="O18" s="72">
        <v>33319</v>
      </c>
      <c r="P18" s="71"/>
      <c r="Q18" s="71" t="b">
        <v>0</v>
      </c>
      <c r="R18" s="22">
        <f t="shared" si="0"/>
        <v>346</v>
      </c>
    </row>
    <row r="19" spans="1:18">
      <c r="A19" s="71">
        <v>34</v>
      </c>
      <c r="B19" s="72">
        <v>32973</v>
      </c>
      <c r="C19" s="71" t="s">
        <v>127</v>
      </c>
      <c r="D19" s="72">
        <v>32968</v>
      </c>
      <c r="E19" s="71" t="s">
        <v>128</v>
      </c>
      <c r="F19" s="71" t="s">
        <v>129</v>
      </c>
      <c r="G19" s="71" t="s">
        <v>20</v>
      </c>
      <c r="H19" s="71"/>
      <c r="I19" s="71"/>
      <c r="J19" s="71" t="s">
        <v>130</v>
      </c>
      <c r="K19" s="71" t="s">
        <v>131</v>
      </c>
      <c r="L19" s="71" t="s">
        <v>30</v>
      </c>
      <c r="M19" s="71"/>
      <c r="N19" s="72">
        <v>33008</v>
      </c>
      <c r="O19" s="72">
        <v>33980</v>
      </c>
      <c r="P19" s="71"/>
      <c r="Q19" s="71" t="b">
        <v>0</v>
      </c>
      <c r="R19" s="22">
        <f t="shared" si="0"/>
        <v>1004</v>
      </c>
    </row>
    <row r="20" spans="1:18">
      <c r="A20" s="71">
        <v>38</v>
      </c>
      <c r="B20" s="72">
        <v>32973</v>
      </c>
      <c r="C20" s="71" t="s">
        <v>135</v>
      </c>
      <c r="D20" s="72">
        <v>32962</v>
      </c>
      <c r="E20" s="71" t="s">
        <v>136</v>
      </c>
      <c r="F20" s="71" t="s">
        <v>137</v>
      </c>
      <c r="G20" s="71" t="s">
        <v>20</v>
      </c>
      <c r="H20" s="71" t="s">
        <v>71</v>
      </c>
      <c r="I20" s="71" t="s">
        <v>72</v>
      </c>
      <c r="J20" s="71" t="s">
        <v>138</v>
      </c>
      <c r="K20" s="71" t="s">
        <v>139</v>
      </c>
      <c r="L20" s="71" t="s">
        <v>24</v>
      </c>
      <c r="M20" s="71"/>
      <c r="N20" s="72">
        <v>33008</v>
      </c>
      <c r="O20" s="72">
        <v>33512</v>
      </c>
      <c r="P20" s="71"/>
      <c r="Q20" s="71" t="b">
        <v>0</v>
      </c>
      <c r="R20" s="22">
        <f t="shared" si="0"/>
        <v>538</v>
      </c>
    </row>
    <row r="21" spans="1:18">
      <c r="A21" s="71">
        <v>39</v>
      </c>
      <c r="B21" s="72">
        <v>32973</v>
      </c>
      <c r="C21" s="71" t="s">
        <v>140</v>
      </c>
      <c r="D21" s="72">
        <v>32954</v>
      </c>
      <c r="E21" s="71" t="s">
        <v>141</v>
      </c>
      <c r="F21" s="71" t="s">
        <v>70</v>
      </c>
      <c r="G21" s="71" t="s">
        <v>20</v>
      </c>
      <c r="H21" s="71" t="s">
        <v>71</v>
      </c>
      <c r="I21" s="71" t="s">
        <v>72</v>
      </c>
      <c r="J21" s="71" t="s">
        <v>142</v>
      </c>
      <c r="K21" s="71" t="s">
        <v>143</v>
      </c>
      <c r="L21" s="71" t="s">
        <v>30</v>
      </c>
      <c r="M21" s="71"/>
      <c r="N21" s="72">
        <v>33024</v>
      </c>
      <c r="O21" s="72">
        <v>35716</v>
      </c>
      <c r="P21" s="71"/>
      <c r="Q21" s="71" t="b">
        <v>0</v>
      </c>
      <c r="R21" s="22">
        <f t="shared" si="0"/>
        <v>2740</v>
      </c>
    </row>
    <row r="22" spans="1:18">
      <c r="A22" s="71">
        <v>43</v>
      </c>
      <c r="B22" s="72">
        <v>32973</v>
      </c>
      <c r="C22" s="71" t="s">
        <v>152</v>
      </c>
      <c r="D22" s="72">
        <v>32951</v>
      </c>
      <c r="E22" s="71" t="s">
        <v>153</v>
      </c>
      <c r="F22" s="71" t="s">
        <v>39</v>
      </c>
      <c r="G22" s="71" t="s">
        <v>20</v>
      </c>
      <c r="H22" s="71"/>
      <c r="I22" s="71"/>
      <c r="J22" s="71" t="s">
        <v>154</v>
      </c>
      <c r="K22" s="71" t="s">
        <v>155</v>
      </c>
      <c r="L22" s="71" t="s">
        <v>30</v>
      </c>
      <c r="M22" s="71"/>
      <c r="N22" s="72">
        <v>32993</v>
      </c>
      <c r="O22" s="72">
        <v>33002</v>
      </c>
      <c r="P22" s="71">
        <v>-1</v>
      </c>
      <c r="Q22" s="71" t="b">
        <v>0</v>
      </c>
      <c r="R22" s="22">
        <f t="shared" si="0"/>
        <v>29</v>
      </c>
    </row>
    <row r="23" spans="1:18">
      <c r="A23" s="71">
        <v>45</v>
      </c>
      <c r="B23" s="72">
        <v>32973</v>
      </c>
      <c r="C23" s="71" t="s">
        <v>158</v>
      </c>
      <c r="D23" s="72">
        <v>32933</v>
      </c>
      <c r="E23" s="71" t="s">
        <v>159</v>
      </c>
      <c r="F23" s="71" t="s">
        <v>124</v>
      </c>
      <c r="G23" s="71" t="s">
        <v>20</v>
      </c>
      <c r="H23" s="71"/>
      <c r="I23" s="71"/>
      <c r="J23" s="71" t="s">
        <v>126</v>
      </c>
      <c r="K23" s="71" t="s">
        <v>160</v>
      </c>
      <c r="L23" s="71" t="s">
        <v>24</v>
      </c>
      <c r="M23" s="71"/>
      <c r="N23" s="72">
        <v>32955</v>
      </c>
      <c r="O23" s="72">
        <v>32973</v>
      </c>
      <c r="P23" s="71">
        <v>-1</v>
      </c>
      <c r="Q23" s="71" t="b">
        <v>0</v>
      </c>
      <c r="R23" s="22">
        <f t="shared" si="0"/>
        <v>0</v>
      </c>
    </row>
    <row r="24" spans="1:18">
      <c r="A24" s="71">
        <v>46</v>
      </c>
      <c r="B24" s="72">
        <v>32973</v>
      </c>
      <c r="C24" s="71" t="s">
        <v>161</v>
      </c>
      <c r="D24" s="72">
        <v>32937</v>
      </c>
      <c r="E24" s="71" t="s">
        <v>162</v>
      </c>
      <c r="F24" s="71" t="s">
        <v>104</v>
      </c>
      <c r="G24" s="71" t="s">
        <v>20</v>
      </c>
      <c r="H24" s="71"/>
      <c r="I24" s="71"/>
      <c r="J24" s="71" t="s">
        <v>163</v>
      </c>
      <c r="K24" s="71" t="s">
        <v>164</v>
      </c>
      <c r="L24" s="71" t="s">
        <v>24</v>
      </c>
      <c r="M24" s="71"/>
      <c r="O24" s="72">
        <v>33235</v>
      </c>
      <c r="P24" s="71"/>
      <c r="Q24" s="71" t="b">
        <v>0</v>
      </c>
      <c r="R24" s="22">
        <f t="shared" si="0"/>
        <v>261</v>
      </c>
    </row>
    <row r="25" spans="1:18">
      <c r="A25" s="71">
        <v>47</v>
      </c>
      <c r="B25" s="72">
        <v>32973</v>
      </c>
      <c r="C25" s="71" t="s">
        <v>165</v>
      </c>
      <c r="D25" s="72">
        <v>32938</v>
      </c>
      <c r="E25" s="71" t="s">
        <v>166</v>
      </c>
      <c r="F25" s="71" t="s">
        <v>39</v>
      </c>
      <c r="G25" s="71" t="s">
        <v>20</v>
      </c>
      <c r="H25" s="71"/>
      <c r="I25" s="71"/>
      <c r="J25" s="71" t="s">
        <v>167</v>
      </c>
      <c r="K25" s="71" t="s">
        <v>168</v>
      </c>
      <c r="L25" s="71" t="s">
        <v>30</v>
      </c>
      <c r="M25" s="71"/>
      <c r="N25" s="72">
        <v>32962</v>
      </c>
      <c r="O25" s="72">
        <v>33263</v>
      </c>
      <c r="P25" s="71">
        <v>-1</v>
      </c>
      <c r="Q25" s="71" t="b">
        <v>0</v>
      </c>
      <c r="R25" s="22">
        <f t="shared" si="0"/>
        <v>288</v>
      </c>
    </row>
    <row r="26" spans="1:18">
      <c r="A26" s="71">
        <v>49</v>
      </c>
      <c r="B26" s="72">
        <v>32973</v>
      </c>
      <c r="C26" s="71" t="s">
        <v>172</v>
      </c>
      <c r="D26" s="72">
        <v>32952</v>
      </c>
      <c r="E26" s="71" t="s">
        <v>173</v>
      </c>
      <c r="F26" s="71" t="s">
        <v>70</v>
      </c>
      <c r="G26" s="71" t="s">
        <v>20</v>
      </c>
      <c r="H26" s="71" t="s">
        <v>71</v>
      </c>
      <c r="I26" s="71" t="s">
        <v>72</v>
      </c>
      <c r="J26" s="71" t="s">
        <v>121</v>
      </c>
      <c r="K26" s="71" t="s">
        <v>174</v>
      </c>
      <c r="L26" s="71" t="s">
        <v>24</v>
      </c>
      <c r="M26" s="71"/>
      <c r="O26" s="72">
        <v>34438</v>
      </c>
      <c r="P26" s="71"/>
      <c r="Q26" s="71" t="b">
        <v>0</v>
      </c>
      <c r="R26" s="22">
        <f t="shared" si="0"/>
        <v>1464</v>
      </c>
    </row>
    <row r="27" spans="1:18">
      <c r="A27" s="71">
        <v>53</v>
      </c>
      <c r="B27" s="72">
        <v>32974</v>
      </c>
      <c r="C27" s="71" t="s">
        <v>177</v>
      </c>
      <c r="D27" s="72">
        <v>32972</v>
      </c>
      <c r="E27" s="71" t="s">
        <v>178</v>
      </c>
      <c r="F27" s="71" t="s">
        <v>179</v>
      </c>
      <c r="G27" s="71" t="s">
        <v>20</v>
      </c>
      <c r="H27" s="71" t="s">
        <v>71</v>
      </c>
      <c r="I27" s="71" t="s">
        <v>72</v>
      </c>
      <c r="J27" s="71" t="s">
        <v>180</v>
      </c>
      <c r="K27" s="71" t="s">
        <v>181</v>
      </c>
      <c r="L27" s="71" t="s">
        <v>24</v>
      </c>
      <c r="M27" s="71"/>
      <c r="N27" s="72">
        <v>33008</v>
      </c>
      <c r="O27" s="72">
        <v>33171</v>
      </c>
      <c r="P27" s="71">
        <v>0</v>
      </c>
      <c r="Q27" s="71" t="b">
        <v>0</v>
      </c>
      <c r="R27" s="22">
        <f t="shared" si="0"/>
        <v>196</v>
      </c>
    </row>
    <row r="28" spans="1:18">
      <c r="A28" s="71">
        <v>61</v>
      </c>
      <c r="B28" s="72">
        <v>32974</v>
      </c>
      <c r="C28" s="71" t="s">
        <v>186</v>
      </c>
      <c r="D28" s="72">
        <v>32905</v>
      </c>
      <c r="E28" s="71" t="s">
        <v>187</v>
      </c>
      <c r="F28" s="71" t="s">
        <v>188</v>
      </c>
      <c r="G28" s="71" t="s">
        <v>20</v>
      </c>
      <c r="H28" s="71" t="s">
        <v>189</v>
      </c>
      <c r="I28" s="71" t="s">
        <v>189</v>
      </c>
      <c r="J28" s="71" t="s">
        <v>190</v>
      </c>
      <c r="K28" s="71" t="s">
        <v>191</v>
      </c>
      <c r="L28" s="71" t="s">
        <v>30</v>
      </c>
      <c r="M28" s="71"/>
      <c r="N28" s="72">
        <v>32932</v>
      </c>
      <c r="O28" s="72">
        <v>32962</v>
      </c>
      <c r="P28" s="71"/>
      <c r="Q28" s="71" t="b">
        <v>0</v>
      </c>
      <c r="R28" s="22">
        <f t="shared" si="0"/>
        <v>11</v>
      </c>
    </row>
    <row r="29" spans="1:18">
      <c r="A29" s="71">
        <v>62</v>
      </c>
      <c r="B29" s="72">
        <v>32974</v>
      </c>
      <c r="C29" s="71" t="s">
        <v>192</v>
      </c>
      <c r="D29" s="72">
        <v>32883</v>
      </c>
      <c r="E29" s="71" t="s">
        <v>193</v>
      </c>
      <c r="F29" s="71" t="s">
        <v>194</v>
      </c>
      <c r="G29" s="71" t="s">
        <v>20</v>
      </c>
      <c r="H29" s="71" t="s">
        <v>71</v>
      </c>
      <c r="I29" s="71" t="s">
        <v>72</v>
      </c>
      <c r="J29" s="71" t="s">
        <v>195</v>
      </c>
      <c r="K29" s="71" t="s">
        <v>196</v>
      </c>
      <c r="L29" s="71" t="s">
        <v>30</v>
      </c>
      <c r="M29" s="71"/>
      <c r="N29" s="72">
        <v>32932</v>
      </c>
      <c r="O29" s="72">
        <v>33904</v>
      </c>
      <c r="P29" s="71"/>
      <c r="Q29" s="71" t="b">
        <v>0</v>
      </c>
      <c r="R29" s="22">
        <f t="shared" si="0"/>
        <v>928</v>
      </c>
    </row>
    <row r="30" spans="1:18">
      <c r="A30" s="71">
        <v>63</v>
      </c>
      <c r="B30" s="72">
        <v>32974</v>
      </c>
      <c r="C30" s="71" t="s">
        <v>197</v>
      </c>
      <c r="D30" s="72">
        <v>32892</v>
      </c>
      <c r="E30" s="71" t="s">
        <v>198</v>
      </c>
      <c r="F30" s="71" t="s">
        <v>43</v>
      </c>
      <c r="G30" s="71" t="s">
        <v>20</v>
      </c>
      <c r="H30" s="71"/>
      <c r="I30" s="71"/>
      <c r="J30" s="71" t="s">
        <v>199</v>
      </c>
      <c r="K30" s="71" t="s">
        <v>200</v>
      </c>
      <c r="L30" s="71" t="s">
        <v>30</v>
      </c>
      <c r="M30" s="71"/>
      <c r="N30" s="72">
        <v>32947</v>
      </c>
      <c r="O30" s="72">
        <v>36479</v>
      </c>
      <c r="P30" s="71"/>
      <c r="Q30" s="71" t="b">
        <v>0</v>
      </c>
      <c r="R30" s="22">
        <f t="shared" si="0"/>
        <v>3501</v>
      </c>
    </row>
    <row r="31" spans="1:18">
      <c r="A31" s="71">
        <v>69</v>
      </c>
      <c r="B31" s="72">
        <v>32974</v>
      </c>
      <c r="C31" s="71" t="s">
        <v>201</v>
      </c>
      <c r="D31" s="72">
        <v>32877</v>
      </c>
      <c r="E31" s="71" t="s">
        <v>202</v>
      </c>
      <c r="F31" s="71" t="s">
        <v>39</v>
      </c>
      <c r="G31" s="71" t="s">
        <v>20</v>
      </c>
      <c r="H31" s="71"/>
      <c r="I31" s="71"/>
      <c r="J31" s="71" t="s">
        <v>203</v>
      </c>
      <c r="K31" s="71" t="s">
        <v>204</v>
      </c>
      <c r="L31" s="71" t="s">
        <v>36</v>
      </c>
      <c r="M31" s="71"/>
      <c r="N31" s="72">
        <v>32906</v>
      </c>
      <c r="O31" s="72">
        <v>32906</v>
      </c>
      <c r="P31" s="71">
        <v>-1</v>
      </c>
      <c r="Q31" s="71" t="b">
        <v>0</v>
      </c>
      <c r="R31" s="22">
        <f t="shared" si="0"/>
        <v>69</v>
      </c>
    </row>
    <row r="32" spans="1:18">
      <c r="A32" s="71">
        <v>70</v>
      </c>
      <c r="B32" s="72">
        <v>32974</v>
      </c>
      <c r="C32" s="71" t="s">
        <v>205</v>
      </c>
      <c r="D32" s="72">
        <v>32883</v>
      </c>
      <c r="E32" s="71" t="s">
        <v>206</v>
      </c>
      <c r="F32" s="71" t="s">
        <v>70</v>
      </c>
      <c r="G32" s="71" t="s">
        <v>20</v>
      </c>
      <c r="H32" s="71" t="s">
        <v>71</v>
      </c>
      <c r="I32" s="71" t="s">
        <v>72</v>
      </c>
      <c r="J32" s="71" t="s">
        <v>207</v>
      </c>
      <c r="K32" s="71" t="s">
        <v>208</v>
      </c>
      <c r="L32" s="71" t="s">
        <v>24</v>
      </c>
      <c r="M32" s="71"/>
      <c r="N32" s="72">
        <v>32918</v>
      </c>
      <c r="O32" s="72">
        <v>33322</v>
      </c>
      <c r="P32" s="71"/>
      <c r="Q32" s="71" t="b">
        <v>0</v>
      </c>
      <c r="R32" s="22">
        <f t="shared" si="0"/>
        <v>348</v>
      </c>
    </row>
    <row r="33" spans="1:18">
      <c r="A33" s="71">
        <v>71</v>
      </c>
      <c r="B33" s="72">
        <v>32974</v>
      </c>
      <c r="C33" s="71" t="s">
        <v>209</v>
      </c>
      <c r="D33" s="72">
        <v>32884</v>
      </c>
      <c r="E33" s="71" t="s">
        <v>210</v>
      </c>
      <c r="F33" s="71" t="s">
        <v>211</v>
      </c>
      <c r="G33" s="71" t="s">
        <v>20</v>
      </c>
      <c r="H33" s="71" t="s">
        <v>212</v>
      </c>
      <c r="I33" s="71" t="s">
        <v>212</v>
      </c>
      <c r="J33" s="71" t="s">
        <v>213</v>
      </c>
      <c r="K33" s="71" t="s">
        <v>208</v>
      </c>
      <c r="L33" s="71" t="s">
        <v>24</v>
      </c>
      <c r="M33" s="71"/>
      <c r="N33" s="72">
        <v>32918</v>
      </c>
      <c r="O33" s="72">
        <v>33322</v>
      </c>
      <c r="P33" s="71"/>
      <c r="Q33" s="71" t="b">
        <v>0</v>
      </c>
      <c r="R33" s="22">
        <f t="shared" si="0"/>
        <v>348</v>
      </c>
    </row>
    <row r="34" spans="1:18">
      <c r="A34" s="71">
        <v>72</v>
      </c>
      <c r="B34" s="72">
        <v>32974</v>
      </c>
      <c r="C34" s="71" t="s">
        <v>214</v>
      </c>
      <c r="D34" s="72">
        <v>32884</v>
      </c>
      <c r="E34" s="71" t="s">
        <v>215</v>
      </c>
      <c r="F34" s="71" t="s">
        <v>216</v>
      </c>
      <c r="G34" s="71" t="s">
        <v>20</v>
      </c>
      <c r="H34" s="71"/>
      <c r="I34" s="71"/>
      <c r="J34" s="71" t="s">
        <v>217</v>
      </c>
      <c r="K34" s="71" t="s">
        <v>218</v>
      </c>
      <c r="L34" s="71" t="s">
        <v>82</v>
      </c>
      <c r="M34" s="71"/>
      <c r="N34" s="72">
        <v>32932</v>
      </c>
      <c r="O34" s="72">
        <v>33528</v>
      </c>
      <c r="P34" s="71"/>
      <c r="Q34" s="71" t="b">
        <v>0</v>
      </c>
      <c r="R34" s="22">
        <f t="shared" si="0"/>
        <v>553</v>
      </c>
    </row>
    <row r="35" spans="1:18">
      <c r="A35" s="71">
        <v>76</v>
      </c>
      <c r="B35" s="72">
        <v>32974</v>
      </c>
      <c r="C35" s="71" t="s">
        <v>219</v>
      </c>
      <c r="D35" s="72">
        <v>32903</v>
      </c>
      <c r="E35" s="71" t="s">
        <v>220</v>
      </c>
      <c r="F35" s="71" t="s">
        <v>19</v>
      </c>
      <c r="G35" s="71" t="s">
        <v>20</v>
      </c>
      <c r="H35" s="71"/>
      <c r="I35" s="71"/>
      <c r="J35" s="71" t="s">
        <v>221</v>
      </c>
      <c r="K35" s="71" t="s">
        <v>222</v>
      </c>
      <c r="L35" s="71" t="s">
        <v>30</v>
      </c>
      <c r="M35" s="71"/>
      <c r="N35" s="72">
        <v>32912</v>
      </c>
      <c r="O35" s="72">
        <v>35244</v>
      </c>
      <c r="P35" s="71"/>
      <c r="Q35" s="71" t="b">
        <v>0</v>
      </c>
      <c r="R35" s="22">
        <f t="shared" si="0"/>
        <v>2268</v>
      </c>
    </row>
    <row r="36" spans="1:18">
      <c r="A36" s="71">
        <v>77</v>
      </c>
      <c r="B36" s="72">
        <v>32974</v>
      </c>
      <c r="C36" s="71" t="s">
        <v>223</v>
      </c>
      <c r="D36" s="72">
        <v>32876</v>
      </c>
      <c r="E36" s="71" t="s">
        <v>224</v>
      </c>
      <c r="F36" s="71" t="s">
        <v>104</v>
      </c>
      <c r="G36" s="71" t="s">
        <v>20</v>
      </c>
      <c r="H36" s="71"/>
      <c r="I36" s="71"/>
      <c r="J36" s="71" t="s">
        <v>225</v>
      </c>
      <c r="K36" s="71"/>
      <c r="L36" s="71" t="s">
        <v>24</v>
      </c>
      <c r="M36" s="71"/>
      <c r="N36" s="72">
        <v>32904</v>
      </c>
      <c r="O36" s="72">
        <v>32930</v>
      </c>
      <c r="P36" s="71">
        <v>-1</v>
      </c>
      <c r="Q36" s="71" t="b">
        <v>0</v>
      </c>
      <c r="R36" s="22">
        <f t="shared" si="0"/>
        <v>45</v>
      </c>
    </row>
    <row r="37" spans="1:18">
      <c r="A37" s="71">
        <v>78</v>
      </c>
      <c r="B37" s="72">
        <v>32974</v>
      </c>
      <c r="C37" s="71" t="s">
        <v>226</v>
      </c>
      <c r="D37" s="72">
        <v>32878</v>
      </c>
      <c r="E37" s="71" t="s">
        <v>227</v>
      </c>
      <c r="F37" s="71" t="s">
        <v>228</v>
      </c>
      <c r="G37" s="71" t="s">
        <v>20</v>
      </c>
      <c r="H37" s="71"/>
      <c r="I37" s="71"/>
      <c r="J37" s="71" t="s">
        <v>229</v>
      </c>
      <c r="K37" s="71"/>
      <c r="L37" s="71" t="s">
        <v>24</v>
      </c>
      <c r="M37" s="71"/>
      <c r="N37" s="72">
        <v>32904</v>
      </c>
      <c r="O37" s="72">
        <v>32987</v>
      </c>
      <c r="P37" s="71">
        <v>-1</v>
      </c>
      <c r="Q37" s="71" t="b">
        <v>0</v>
      </c>
      <c r="R37" s="22">
        <f t="shared" si="0"/>
        <v>13</v>
      </c>
    </row>
    <row r="38" spans="1:18">
      <c r="A38" s="71">
        <v>79</v>
      </c>
      <c r="B38" s="72">
        <v>32974</v>
      </c>
      <c r="C38" s="71" t="s">
        <v>230</v>
      </c>
      <c r="D38" s="72">
        <v>32863</v>
      </c>
      <c r="E38" s="71" t="s">
        <v>231</v>
      </c>
      <c r="F38" s="71" t="s">
        <v>98</v>
      </c>
      <c r="G38" s="71" t="s">
        <v>20</v>
      </c>
      <c r="H38" s="71"/>
      <c r="I38" s="71"/>
      <c r="J38" s="71" t="s">
        <v>221</v>
      </c>
      <c r="K38" s="71" t="s">
        <v>232</v>
      </c>
      <c r="L38" s="71" t="s">
        <v>24</v>
      </c>
      <c r="M38" s="71"/>
      <c r="N38" s="72">
        <v>32906</v>
      </c>
      <c r="O38" s="72">
        <v>33308</v>
      </c>
      <c r="P38" s="71"/>
      <c r="Q38" s="71" t="b">
        <v>0</v>
      </c>
      <c r="R38" s="22">
        <f t="shared" si="0"/>
        <v>334</v>
      </c>
    </row>
    <row r="39" spans="1:18">
      <c r="A39" s="71">
        <v>80</v>
      </c>
      <c r="B39" s="72">
        <v>32974</v>
      </c>
      <c r="C39" s="71" t="s">
        <v>233</v>
      </c>
      <c r="D39" s="72">
        <v>32871</v>
      </c>
      <c r="E39" s="71" t="s">
        <v>234</v>
      </c>
      <c r="F39" s="71" t="s">
        <v>98</v>
      </c>
      <c r="G39" s="71" t="s">
        <v>20</v>
      </c>
      <c r="H39" s="71"/>
      <c r="I39" s="71"/>
      <c r="J39" s="71" t="s">
        <v>235</v>
      </c>
      <c r="K39" s="71" t="s">
        <v>236</v>
      </c>
      <c r="L39" s="71" t="s">
        <v>24</v>
      </c>
      <c r="M39" s="71"/>
      <c r="N39" s="72">
        <v>32919</v>
      </c>
      <c r="O39" s="72">
        <v>34918</v>
      </c>
      <c r="P39" s="71">
        <v>-1</v>
      </c>
      <c r="Q39" s="71" t="b">
        <v>0</v>
      </c>
      <c r="R39" s="22">
        <f t="shared" si="0"/>
        <v>1942</v>
      </c>
    </row>
    <row r="40" spans="1:18">
      <c r="A40" s="71">
        <v>81</v>
      </c>
      <c r="B40" s="72">
        <v>32974</v>
      </c>
      <c r="C40" s="71" t="s">
        <v>237</v>
      </c>
      <c r="D40" s="72">
        <v>32883</v>
      </c>
      <c r="E40" s="71" t="s">
        <v>238</v>
      </c>
      <c r="F40" s="71" t="s">
        <v>129</v>
      </c>
      <c r="G40" s="71" t="s">
        <v>20</v>
      </c>
      <c r="H40" s="71"/>
      <c r="I40" s="71"/>
      <c r="J40" s="71" t="s">
        <v>239</v>
      </c>
      <c r="K40" s="71"/>
      <c r="L40" s="71" t="s">
        <v>24</v>
      </c>
      <c r="M40" s="71"/>
      <c r="N40" s="72">
        <v>32904</v>
      </c>
      <c r="O40" s="72">
        <v>32904</v>
      </c>
      <c r="P40" s="71"/>
      <c r="Q40" s="71" t="b">
        <v>0</v>
      </c>
      <c r="R40" s="22">
        <f t="shared" si="0"/>
        <v>71</v>
      </c>
    </row>
    <row r="41" spans="1:18">
      <c r="A41" s="71">
        <v>82</v>
      </c>
      <c r="B41" s="72">
        <v>32974</v>
      </c>
      <c r="C41" s="71" t="s">
        <v>240</v>
      </c>
      <c r="D41" s="72">
        <v>32883</v>
      </c>
      <c r="E41" s="71" t="s">
        <v>241</v>
      </c>
      <c r="F41" s="71" t="s">
        <v>242</v>
      </c>
      <c r="G41" s="71" t="s">
        <v>20</v>
      </c>
      <c r="H41" s="71"/>
      <c r="I41" s="71"/>
      <c r="J41" s="71" t="s">
        <v>243</v>
      </c>
      <c r="K41" s="71" t="s">
        <v>244</v>
      </c>
      <c r="L41" s="71" t="s">
        <v>24</v>
      </c>
      <c r="M41" s="71"/>
      <c r="N41" s="72">
        <v>32906</v>
      </c>
      <c r="O41" s="72">
        <v>32912</v>
      </c>
      <c r="P41" s="71"/>
      <c r="Q41" s="71" t="b">
        <v>0</v>
      </c>
      <c r="R41" s="22">
        <f t="shared" si="0"/>
        <v>63</v>
      </c>
    </row>
    <row r="42" spans="1:18">
      <c r="A42" s="71">
        <v>83</v>
      </c>
      <c r="B42" s="72">
        <v>32974</v>
      </c>
      <c r="C42" s="71" t="s">
        <v>245</v>
      </c>
      <c r="D42" s="72">
        <v>32897</v>
      </c>
      <c r="E42" s="71" t="s">
        <v>246</v>
      </c>
      <c r="F42" s="71" t="s">
        <v>149</v>
      </c>
      <c r="G42" s="71" t="s">
        <v>20</v>
      </c>
      <c r="H42" s="71"/>
      <c r="I42" s="71"/>
      <c r="J42" s="71" t="s">
        <v>247</v>
      </c>
      <c r="K42" s="71" t="s">
        <v>248</v>
      </c>
      <c r="L42" s="71" t="s">
        <v>24</v>
      </c>
      <c r="M42" s="71"/>
      <c r="N42" s="72">
        <v>32932</v>
      </c>
      <c r="O42" s="72">
        <v>32903</v>
      </c>
      <c r="P42" s="71">
        <v>-1</v>
      </c>
      <c r="Q42" s="71" t="b">
        <v>0</v>
      </c>
      <c r="R42" s="22">
        <f t="shared" si="0"/>
        <v>71</v>
      </c>
    </row>
    <row r="43" spans="1:18">
      <c r="A43" s="71">
        <v>94</v>
      </c>
      <c r="B43" s="72">
        <v>32979</v>
      </c>
      <c r="C43" s="71" t="s">
        <v>249</v>
      </c>
      <c r="D43" s="72">
        <v>32969</v>
      </c>
      <c r="E43" s="71" t="s">
        <v>250</v>
      </c>
      <c r="F43" s="71" t="s">
        <v>98</v>
      </c>
      <c r="G43" s="71" t="s">
        <v>20</v>
      </c>
      <c r="H43" s="71"/>
      <c r="I43" s="71"/>
      <c r="J43" s="71" t="s">
        <v>251</v>
      </c>
      <c r="K43" s="71" t="s">
        <v>252</v>
      </c>
      <c r="L43" s="71" t="s">
        <v>30</v>
      </c>
      <c r="M43" s="71"/>
      <c r="N43" s="72">
        <v>33023</v>
      </c>
      <c r="O43" s="72">
        <v>35663</v>
      </c>
      <c r="P43" s="71"/>
      <c r="Q43" s="71" t="b">
        <v>0</v>
      </c>
      <c r="R43" s="22">
        <f t="shared" si="0"/>
        <v>2681</v>
      </c>
    </row>
    <row r="44" spans="1:18">
      <c r="A44" s="71">
        <v>95</v>
      </c>
      <c r="B44" s="72">
        <v>32979</v>
      </c>
      <c r="C44" s="71" t="s">
        <v>253</v>
      </c>
      <c r="D44" s="72">
        <v>32974</v>
      </c>
      <c r="E44" s="71" t="s">
        <v>254</v>
      </c>
      <c r="F44" s="71" t="s">
        <v>149</v>
      </c>
      <c r="G44" s="71" t="s">
        <v>20</v>
      </c>
      <c r="H44" s="71"/>
      <c r="I44" s="71"/>
      <c r="J44" s="71" t="s">
        <v>255</v>
      </c>
      <c r="K44" s="71" t="s">
        <v>256</v>
      </c>
      <c r="L44" s="71" t="s">
        <v>30</v>
      </c>
      <c r="M44" s="71"/>
      <c r="N44" s="72">
        <v>33024</v>
      </c>
      <c r="O44" s="72">
        <v>36445</v>
      </c>
      <c r="P44" s="71"/>
      <c r="Q44" s="71" t="b">
        <v>0</v>
      </c>
      <c r="R44" s="22">
        <f t="shared" si="0"/>
        <v>3463</v>
      </c>
    </row>
    <row r="45" spans="1:18">
      <c r="A45" s="71">
        <v>97</v>
      </c>
      <c r="B45" s="72">
        <v>32979</v>
      </c>
      <c r="C45" s="71" t="s">
        <v>257</v>
      </c>
      <c r="D45" s="72">
        <v>32863</v>
      </c>
      <c r="E45" s="71" t="s">
        <v>258</v>
      </c>
      <c r="F45" s="71" t="s">
        <v>259</v>
      </c>
      <c r="G45" s="71" t="s">
        <v>20</v>
      </c>
      <c r="H45" s="71"/>
      <c r="I45" s="71"/>
      <c r="J45" s="71" t="s">
        <v>260</v>
      </c>
      <c r="K45" s="71" t="s">
        <v>261</v>
      </c>
      <c r="L45" s="71" t="s">
        <v>24</v>
      </c>
      <c r="M45" s="71"/>
      <c r="N45" s="72">
        <v>32947</v>
      </c>
      <c r="O45" s="72">
        <v>33235</v>
      </c>
      <c r="P45" s="71"/>
      <c r="Q45" s="71" t="b">
        <v>0</v>
      </c>
      <c r="R45" s="22">
        <f t="shared" si="0"/>
        <v>255</v>
      </c>
    </row>
    <row r="46" spans="1:18">
      <c r="A46" s="71">
        <v>98</v>
      </c>
      <c r="B46" s="72">
        <v>32979</v>
      </c>
      <c r="C46" s="71" t="s">
        <v>262</v>
      </c>
      <c r="D46" s="72">
        <v>32878</v>
      </c>
      <c r="E46" s="71" t="s">
        <v>263</v>
      </c>
      <c r="F46" s="71" t="s">
        <v>98</v>
      </c>
      <c r="G46" s="71" t="s">
        <v>20</v>
      </c>
      <c r="H46" s="71"/>
      <c r="I46" s="71"/>
      <c r="J46" s="71" t="s">
        <v>221</v>
      </c>
      <c r="K46" s="71" t="s">
        <v>264</v>
      </c>
      <c r="L46" s="71" t="s">
        <v>24</v>
      </c>
      <c r="M46" s="71"/>
      <c r="O46" s="72">
        <v>33449</v>
      </c>
      <c r="P46" s="71"/>
      <c r="Q46" s="71" t="b">
        <v>0</v>
      </c>
      <c r="R46" s="22">
        <f t="shared" si="0"/>
        <v>470</v>
      </c>
    </row>
    <row r="47" spans="1:18">
      <c r="A47" s="71">
        <v>100</v>
      </c>
      <c r="B47" s="72">
        <v>32982</v>
      </c>
      <c r="C47" s="71" t="s">
        <v>267</v>
      </c>
      <c r="D47" s="72">
        <v>32981</v>
      </c>
      <c r="E47" s="71" t="s">
        <v>268</v>
      </c>
      <c r="F47" s="71" t="s">
        <v>145</v>
      </c>
      <c r="G47" s="71" t="s">
        <v>20</v>
      </c>
      <c r="H47" s="71"/>
      <c r="I47" s="71"/>
      <c r="J47" s="71" t="s">
        <v>269</v>
      </c>
      <c r="K47" s="71" t="s">
        <v>270</v>
      </c>
      <c r="L47" s="71" t="s">
        <v>24</v>
      </c>
      <c r="M47" s="71"/>
      <c r="N47" s="72">
        <v>32997</v>
      </c>
      <c r="O47" s="72">
        <v>33044</v>
      </c>
      <c r="P47" s="71"/>
      <c r="Q47" s="71" t="b">
        <v>0</v>
      </c>
      <c r="R47" s="22">
        <f t="shared" si="0"/>
        <v>61</v>
      </c>
    </row>
    <row r="48" spans="1:18">
      <c r="A48" s="71">
        <v>102</v>
      </c>
      <c r="B48" s="72">
        <v>32986</v>
      </c>
      <c r="C48" s="71" t="s">
        <v>249</v>
      </c>
      <c r="D48" s="72">
        <v>32984</v>
      </c>
      <c r="E48" s="71" t="s">
        <v>274</v>
      </c>
      <c r="F48" s="71" t="s">
        <v>275</v>
      </c>
      <c r="G48" s="71" t="s">
        <v>20</v>
      </c>
      <c r="H48" s="71"/>
      <c r="I48" s="71"/>
      <c r="J48" s="71" t="s">
        <v>276</v>
      </c>
      <c r="K48" s="71" t="s">
        <v>277</v>
      </c>
      <c r="L48" s="71" t="s">
        <v>66</v>
      </c>
      <c r="M48" s="71"/>
      <c r="N48" s="72">
        <v>33054</v>
      </c>
      <c r="O48" s="72">
        <v>35669</v>
      </c>
      <c r="P48" s="71"/>
      <c r="Q48" s="71" t="b">
        <v>0</v>
      </c>
      <c r="R48" s="22">
        <f t="shared" si="0"/>
        <v>2680</v>
      </c>
    </row>
    <row r="49" spans="1:18">
      <c r="A49" s="71">
        <v>116</v>
      </c>
      <c r="B49" s="72">
        <v>32988</v>
      </c>
      <c r="C49" s="71" t="s">
        <v>281</v>
      </c>
      <c r="D49" s="72">
        <v>32987</v>
      </c>
      <c r="E49" s="71" t="s">
        <v>282</v>
      </c>
      <c r="F49" s="71" t="s">
        <v>283</v>
      </c>
      <c r="G49" s="71" t="s">
        <v>20</v>
      </c>
      <c r="H49" s="71"/>
      <c r="I49" s="71"/>
      <c r="J49" s="71" t="s">
        <v>284</v>
      </c>
      <c r="K49" s="71" t="s">
        <v>285</v>
      </c>
      <c r="L49" s="71" t="s">
        <v>30</v>
      </c>
      <c r="M49" s="71"/>
      <c r="N49" s="72">
        <v>32997</v>
      </c>
      <c r="O49" s="72">
        <v>33016</v>
      </c>
      <c r="P49" s="71"/>
      <c r="Q49" s="71" t="b">
        <v>0</v>
      </c>
      <c r="R49" s="22">
        <f t="shared" si="0"/>
        <v>28</v>
      </c>
    </row>
    <row r="50" spans="1:18">
      <c r="A50" s="71">
        <v>118</v>
      </c>
      <c r="B50" s="72">
        <v>32994</v>
      </c>
      <c r="C50" s="71" t="s">
        <v>286</v>
      </c>
      <c r="D50" s="72">
        <v>32987</v>
      </c>
      <c r="E50" s="71" t="s">
        <v>287</v>
      </c>
      <c r="F50" s="71" t="s">
        <v>145</v>
      </c>
      <c r="G50" s="71" t="s">
        <v>20</v>
      </c>
      <c r="H50" s="71"/>
      <c r="I50" s="71"/>
      <c r="J50" s="71" t="s">
        <v>288</v>
      </c>
      <c r="K50" s="71" t="s">
        <v>289</v>
      </c>
      <c r="L50" s="71" t="s">
        <v>24</v>
      </c>
      <c r="M50" s="71"/>
      <c r="N50" s="72">
        <v>32997</v>
      </c>
      <c r="O50" s="72">
        <v>33044</v>
      </c>
      <c r="P50" s="71">
        <v>-1</v>
      </c>
      <c r="Q50" s="71" t="b">
        <v>0</v>
      </c>
      <c r="R50" s="22">
        <f t="shared" si="0"/>
        <v>49</v>
      </c>
    </row>
    <row r="51" spans="1:18">
      <c r="A51" s="71">
        <v>119</v>
      </c>
      <c r="B51" s="72">
        <v>32994</v>
      </c>
      <c r="C51" s="71" t="s">
        <v>290</v>
      </c>
      <c r="D51" s="72">
        <v>32989</v>
      </c>
      <c r="E51" s="71" t="s">
        <v>291</v>
      </c>
      <c r="F51" s="71" t="s">
        <v>149</v>
      </c>
      <c r="G51" s="71" t="s">
        <v>20</v>
      </c>
      <c r="H51" s="71"/>
      <c r="I51" s="71"/>
      <c r="J51" s="71" t="s">
        <v>292</v>
      </c>
      <c r="K51" s="71" t="s">
        <v>293</v>
      </c>
      <c r="L51" s="71" t="s">
        <v>30</v>
      </c>
      <c r="M51" s="71"/>
      <c r="N51" s="72">
        <v>32997</v>
      </c>
      <c r="O51" s="72">
        <v>33031</v>
      </c>
      <c r="P51" s="71"/>
      <c r="Q51" s="71" t="b">
        <v>0</v>
      </c>
      <c r="R51" s="22">
        <f t="shared" si="0"/>
        <v>36</v>
      </c>
    </row>
    <row r="52" spans="1:18">
      <c r="A52" s="71">
        <v>120</v>
      </c>
      <c r="B52" s="72">
        <v>32994</v>
      </c>
      <c r="C52" s="71" t="s">
        <v>294</v>
      </c>
      <c r="D52" s="72">
        <v>32987</v>
      </c>
      <c r="E52" s="71" t="s">
        <v>295</v>
      </c>
      <c r="F52" s="71" t="s">
        <v>275</v>
      </c>
      <c r="G52" s="71" t="s">
        <v>20</v>
      </c>
      <c r="H52" s="71"/>
      <c r="I52" s="71"/>
      <c r="J52" s="71" t="s">
        <v>296</v>
      </c>
      <c r="K52" s="71" t="s">
        <v>297</v>
      </c>
      <c r="L52" s="71" t="s">
        <v>30</v>
      </c>
      <c r="M52" s="71"/>
      <c r="N52" s="72">
        <v>33036</v>
      </c>
      <c r="O52" s="72">
        <v>33997</v>
      </c>
      <c r="P52" s="71"/>
      <c r="Q52" s="71" t="b">
        <v>0</v>
      </c>
      <c r="R52" s="22">
        <f t="shared" si="0"/>
        <v>1000</v>
      </c>
    </row>
    <row r="53" spans="1:18">
      <c r="A53" s="71">
        <v>122</v>
      </c>
      <c r="B53" s="72">
        <v>33001</v>
      </c>
      <c r="C53" s="71" t="s">
        <v>304</v>
      </c>
      <c r="D53" s="72">
        <v>32993</v>
      </c>
      <c r="E53" s="71" t="s">
        <v>305</v>
      </c>
      <c r="F53" s="71" t="s">
        <v>306</v>
      </c>
      <c r="G53" s="71" t="s">
        <v>20</v>
      </c>
      <c r="H53" s="71"/>
      <c r="I53" s="71"/>
      <c r="J53" s="71" t="s">
        <v>307</v>
      </c>
      <c r="K53" s="71" t="s">
        <v>308</v>
      </c>
      <c r="L53" s="71" t="s">
        <v>36</v>
      </c>
      <c r="M53" s="71"/>
      <c r="N53" s="72">
        <v>33011</v>
      </c>
      <c r="O53" s="72">
        <v>33011</v>
      </c>
      <c r="P53" s="71"/>
      <c r="Q53" s="71" t="b">
        <v>0</v>
      </c>
      <c r="R53" s="22">
        <f t="shared" si="0"/>
        <v>10</v>
      </c>
    </row>
    <row r="54" spans="1:18">
      <c r="A54" s="71">
        <v>126</v>
      </c>
      <c r="B54" s="72">
        <v>33003</v>
      </c>
      <c r="C54" s="71" t="s">
        <v>309</v>
      </c>
      <c r="D54" s="72">
        <v>33003</v>
      </c>
      <c r="E54" s="71" t="s">
        <v>310</v>
      </c>
      <c r="F54" s="71" t="s">
        <v>311</v>
      </c>
      <c r="G54" s="71" t="s">
        <v>20</v>
      </c>
      <c r="H54" s="71"/>
      <c r="I54" s="71"/>
      <c r="J54" s="71" t="s">
        <v>312</v>
      </c>
      <c r="K54" s="71" t="s">
        <v>313</v>
      </c>
      <c r="L54" s="71" t="s">
        <v>314</v>
      </c>
      <c r="M54" s="71" t="s">
        <v>315</v>
      </c>
      <c r="N54" s="71"/>
      <c r="O54" s="72">
        <v>37375</v>
      </c>
      <c r="P54" s="71"/>
      <c r="Q54" s="71" t="b">
        <v>0</v>
      </c>
      <c r="R54" s="22">
        <f t="shared" si="0"/>
        <v>4368</v>
      </c>
    </row>
    <row r="55" spans="1:18">
      <c r="A55" s="71">
        <v>127</v>
      </c>
      <c r="B55" s="72">
        <v>33007</v>
      </c>
      <c r="C55" s="71" t="s">
        <v>316</v>
      </c>
      <c r="D55" s="72">
        <v>33007</v>
      </c>
      <c r="E55" s="71" t="s">
        <v>317</v>
      </c>
      <c r="F55" s="71" t="s">
        <v>149</v>
      </c>
      <c r="G55" s="71" t="s">
        <v>20</v>
      </c>
      <c r="H55" s="71"/>
      <c r="I55" s="71"/>
      <c r="J55" s="71" t="s">
        <v>318</v>
      </c>
      <c r="K55" s="71" t="s">
        <v>319</v>
      </c>
      <c r="L55" s="71" t="s">
        <v>36</v>
      </c>
      <c r="M55" s="71"/>
      <c r="N55" s="72">
        <v>33011</v>
      </c>
      <c r="O55" s="72">
        <v>33067</v>
      </c>
      <c r="P55" s="71"/>
      <c r="Q55" s="71" t="b">
        <v>0</v>
      </c>
      <c r="R55" s="22">
        <f t="shared" si="0"/>
        <v>59</v>
      </c>
    </row>
    <row r="56" spans="1:18">
      <c r="A56" s="71">
        <v>130</v>
      </c>
      <c r="B56" s="72">
        <v>33015</v>
      </c>
      <c r="C56" s="71" t="s">
        <v>320</v>
      </c>
      <c r="D56" s="72">
        <v>33014</v>
      </c>
      <c r="E56" s="71" t="s">
        <v>321</v>
      </c>
      <c r="F56" s="71" t="s">
        <v>322</v>
      </c>
      <c r="G56" s="71" t="s">
        <v>20</v>
      </c>
      <c r="H56" s="71" t="s">
        <v>71</v>
      </c>
      <c r="I56" s="71" t="s">
        <v>72</v>
      </c>
      <c r="J56" s="71" t="s">
        <v>323</v>
      </c>
      <c r="K56" s="71" t="s">
        <v>324</v>
      </c>
      <c r="L56" s="71" t="s">
        <v>30</v>
      </c>
      <c r="M56" s="71"/>
      <c r="O56" s="72">
        <v>35649</v>
      </c>
      <c r="P56" s="71"/>
      <c r="Q56" s="71" t="b">
        <v>0</v>
      </c>
      <c r="R56" s="22">
        <f t="shared" si="0"/>
        <v>2631</v>
      </c>
    </row>
    <row r="57" spans="1:18">
      <c r="A57" s="71">
        <v>140</v>
      </c>
      <c r="B57" s="72">
        <v>33022</v>
      </c>
      <c r="C57" s="71" t="s">
        <v>325</v>
      </c>
      <c r="D57" s="72">
        <v>33016</v>
      </c>
      <c r="E57" s="71" t="s">
        <v>326</v>
      </c>
      <c r="F57" s="71" t="s">
        <v>327</v>
      </c>
      <c r="G57" s="71" t="s">
        <v>20</v>
      </c>
      <c r="H57" s="71"/>
      <c r="I57" s="71"/>
      <c r="J57" s="71" t="s">
        <v>328</v>
      </c>
      <c r="K57" s="71" t="s">
        <v>329</v>
      </c>
      <c r="L57" s="71" t="s">
        <v>30</v>
      </c>
      <c r="M57" s="71"/>
      <c r="N57" s="72">
        <v>33036</v>
      </c>
      <c r="O57" s="72">
        <v>33050</v>
      </c>
      <c r="P57" s="71">
        <v>-1</v>
      </c>
      <c r="Q57" s="71" t="b">
        <v>0</v>
      </c>
      <c r="R57" s="22">
        <f t="shared" si="0"/>
        <v>27</v>
      </c>
    </row>
    <row r="58" spans="1:18">
      <c r="A58" s="71">
        <v>153</v>
      </c>
      <c r="B58" s="72">
        <v>33031</v>
      </c>
      <c r="C58" s="71" t="s">
        <v>330</v>
      </c>
      <c r="D58" s="72">
        <v>33029</v>
      </c>
      <c r="E58" s="71" t="s">
        <v>331</v>
      </c>
      <c r="F58" s="71" t="s">
        <v>129</v>
      </c>
      <c r="G58" s="71" t="s">
        <v>20</v>
      </c>
      <c r="H58" s="71"/>
      <c r="I58" s="71"/>
      <c r="J58" s="71" t="s">
        <v>332</v>
      </c>
      <c r="K58" s="71" t="s">
        <v>333</v>
      </c>
      <c r="L58" s="71" t="s">
        <v>30</v>
      </c>
      <c r="M58" s="71"/>
      <c r="O58" s="72">
        <v>33585</v>
      </c>
      <c r="P58" s="71"/>
      <c r="Q58" s="71" t="b">
        <v>0</v>
      </c>
      <c r="R58" s="22">
        <f t="shared" si="0"/>
        <v>553</v>
      </c>
    </row>
    <row r="59" spans="1:18">
      <c r="A59" s="71">
        <v>157</v>
      </c>
      <c r="B59" s="72">
        <v>33036</v>
      </c>
      <c r="C59" s="71" t="s">
        <v>334</v>
      </c>
      <c r="D59" s="72">
        <v>33028</v>
      </c>
      <c r="E59" s="71" t="s">
        <v>335</v>
      </c>
      <c r="F59" s="71" t="s">
        <v>336</v>
      </c>
      <c r="G59" s="71" t="s">
        <v>20</v>
      </c>
      <c r="H59" s="71"/>
      <c r="I59" s="71"/>
      <c r="J59" s="71" t="s">
        <v>337</v>
      </c>
      <c r="K59" s="71" t="s">
        <v>338</v>
      </c>
      <c r="L59" s="71" t="s">
        <v>88</v>
      </c>
      <c r="M59" s="71"/>
      <c r="N59" s="72">
        <v>33101</v>
      </c>
      <c r="O59" s="72">
        <v>35542</v>
      </c>
      <c r="P59" s="71"/>
      <c r="Q59" s="71" t="b">
        <v>0</v>
      </c>
      <c r="R59" s="22">
        <f t="shared" si="0"/>
        <v>2504</v>
      </c>
    </row>
    <row r="60" spans="1:18">
      <c r="A60" s="71">
        <v>160</v>
      </c>
      <c r="B60" s="72">
        <v>33037</v>
      </c>
      <c r="C60" s="71" t="s">
        <v>339</v>
      </c>
      <c r="D60" s="72">
        <v>33036</v>
      </c>
      <c r="E60" s="71" t="s">
        <v>340</v>
      </c>
      <c r="F60" s="71" t="s">
        <v>327</v>
      </c>
      <c r="G60" s="71" t="s">
        <v>20</v>
      </c>
      <c r="H60" s="71"/>
      <c r="I60" s="71"/>
      <c r="J60" s="71" t="s">
        <v>341</v>
      </c>
      <c r="K60" s="71" t="s">
        <v>342</v>
      </c>
      <c r="L60" s="71" t="s">
        <v>24</v>
      </c>
      <c r="M60" s="71"/>
      <c r="N60" s="72">
        <v>33074</v>
      </c>
      <c r="O60" s="72">
        <v>34877</v>
      </c>
      <c r="P60" s="71">
        <v>-1</v>
      </c>
      <c r="Q60" s="71" t="b">
        <v>0</v>
      </c>
      <c r="R60" s="22">
        <f t="shared" si="0"/>
        <v>1839</v>
      </c>
    </row>
    <row r="61" spans="1:18">
      <c r="A61" s="71">
        <v>161</v>
      </c>
      <c r="B61" s="72">
        <v>33038</v>
      </c>
      <c r="C61" s="71" t="s">
        <v>343</v>
      </c>
      <c r="D61" s="72">
        <v>33036</v>
      </c>
      <c r="E61" s="71" t="s">
        <v>344</v>
      </c>
      <c r="F61" s="71" t="s">
        <v>345</v>
      </c>
      <c r="G61" s="71" t="s">
        <v>20</v>
      </c>
      <c r="H61" s="71" t="s">
        <v>71</v>
      </c>
      <c r="I61" s="71" t="s">
        <v>72</v>
      </c>
      <c r="J61" s="71" t="s">
        <v>346</v>
      </c>
      <c r="K61" s="71" t="s">
        <v>347</v>
      </c>
      <c r="L61" s="71" t="s">
        <v>24</v>
      </c>
      <c r="M61" s="71"/>
      <c r="O61" s="72">
        <v>34148</v>
      </c>
      <c r="P61" s="71"/>
      <c r="Q61" s="71" t="b">
        <v>0</v>
      </c>
      <c r="R61" s="22">
        <f t="shared" si="0"/>
        <v>1109</v>
      </c>
    </row>
    <row r="62" spans="1:18">
      <c r="A62" s="71">
        <v>165</v>
      </c>
      <c r="B62" s="72">
        <v>33044</v>
      </c>
      <c r="C62" s="71" t="s">
        <v>348</v>
      </c>
      <c r="D62" s="72">
        <v>33039</v>
      </c>
      <c r="E62" s="71" t="s">
        <v>349</v>
      </c>
      <c r="F62" s="71" t="s">
        <v>350</v>
      </c>
      <c r="G62" s="71" t="s">
        <v>20</v>
      </c>
      <c r="H62" s="71"/>
      <c r="I62" s="71"/>
      <c r="J62" s="71" t="s">
        <v>351</v>
      </c>
      <c r="K62" s="71" t="s">
        <v>352</v>
      </c>
      <c r="L62" s="71" t="s">
        <v>30</v>
      </c>
      <c r="M62" s="71"/>
      <c r="N62" s="72">
        <v>33085</v>
      </c>
      <c r="O62" s="72">
        <v>33863</v>
      </c>
      <c r="P62" s="71"/>
      <c r="Q62" s="71" t="b">
        <v>0</v>
      </c>
      <c r="R62" s="22">
        <f t="shared" si="0"/>
        <v>817</v>
      </c>
    </row>
    <row r="63" spans="1:18">
      <c r="A63" s="71">
        <v>169</v>
      </c>
      <c r="B63" s="72">
        <v>33051</v>
      </c>
      <c r="C63" s="71" t="s">
        <v>353</v>
      </c>
      <c r="D63" s="72">
        <v>33049</v>
      </c>
      <c r="E63" s="71" t="s">
        <v>354</v>
      </c>
      <c r="F63" s="71" t="s">
        <v>350</v>
      </c>
      <c r="G63" s="71" t="s">
        <v>20</v>
      </c>
      <c r="H63" s="71"/>
      <c r="I63" s="71"/>
      <c r="J63" s="71" t="s">
        <v>355</v>
      </c>
      <c r="K63" s="71" t="s">
        <v>356</v>
      </c>
      <c r="L63" s="71" t="s">
        <v>82</v>
      </c>
      <c r="M63" s="71"/>
      <c r="N63" s="72">
        <v>33067</v>
      </c>
      <c r="O63" s="72">
        <v>33407</v>
      </c>
      <c r="P63" s="71">
        <v>-1</v>
      </c>
      <c r="Q63" s="71" t="b">
        <v>0</v>
      </c>
      <c r="R63" s="22">
        <f t="shared" si="0"/>
        <v>355</v>
      </c>
    </row>
    <row r="64" spans="1:18">
      <c r="A64" s="71">
        <v>170</v>
      </c>
      <c r="B64" s="72">
        <v>33056</v>
      </c>
      <c r="C64" s="71" t="s">
        <v>357</v>
      </c>
      <c r="D64" s="72">
        <v>33052</v>
      </c>
      <c r="E64" s="71" t="s">
        <v>358</v>
      </c>
      <c r="F64" s="71" t="s">
        <v>359</v>
      </c>
      <c r="G64" s="71" t="s">
        <v>20</v>
      </c>
      <c r="H64" s="71"/>
      <c r="I64" s="71"/>
      <c r="J64" s="71" t="s">
        <v>360</v>
      </c>
      <c r="K64" s="71" t="s">
        <v>361</v>
      </c>
      <c r="L64" s="71" t="s">
        <v>36</v>
      </c>
      <c r="M64" s="71"/>
      <c r="N64" s="72">
        <v>33081</v>
      </c>
      <c r="O64" s="72">
        <v>33129</v>
      </c>
      <c r="P64" s="71">
        <v>-1</v>
      </c>
      <c r="Q64" s="71" t="b">
        <v>0</v>
      </c>
      <c r="R64" s="22">
        <f t="shared" si="0"/>
        <v>71</v>
      </c>
    </row>
    <row r="65" spans="1:18">
      <c r="A65" s="71">
        <v>172</v>
      </c>
      <c r="B65" s="72">
        <v>33057</v>
      </c>
      <c r="C65" s="71" t="s">
        <v>365</v>
      </c>
      <c r="D65" s="72">
        <v>33054</v>
      </c>
      <c r="E65" s="71" t="s">
        <v>366</v>
      </c>
      <c r="F65" s="71" t="s">
        <v>367</v>
      </c>
      <c r="G65" s="71" t="s">
        <v>20</v>
      </c>
      <c r="H65" s="71" t="s">
        <v>71</v>
      </c>
      <c r="I65" s="71" t="s">
        <v>72</v>
      </c>
      <c r="J65" s="71" t="s">
        <v>368</v>
      </c>
      <c r="K65" s="71" t="s">
        <v>369</v>
      </c>
      <c r="L65" s="71" t="s">
        <v>30</v>
      </c>
      <c r="M65" s="71"/>
      <c r="N65" s="72">
        <v>33067</v>
      </c>
      <c r="O65" s="72">
        <v>33169</v>
      </c>
      <c r="P65" s="71"/>
      <c r="Q65" s="71" t="b">
        <v>0</v>
      </c>
      <c r="R65" s="22">
        <f t="shared" si="0"/>
        <v>111</v>
      </c>
    </row>
    <row r="66" spans="1:18">
      <c r="A66" s="71">
        <v>185</v>
      </c>
      <c r="B66" s="72">
        <v>33070</v>
      </c>
      <c r="C66" s="71" t="s">
        <v>380</v>
      </c>
      <c r="D66" s="72">
        <v>33065</v>
      </c>
      <c r="E66" s="71" t="s">
        <v>381</v>
      </c>
      <c r="F66" s="71" t="s">
        <v>228</v>
      </c>
      <c r="G66" s="71" t="s">
        <v>20</v>
      </c>
      <c r="H66" s="71"/>
      <c r="I66" s="71"/>
      <c r="J66" s="71" t="s">
        <v>382</v>
      </c>
      <c r="K66" s="71" t="s">
        <v>383</v>
      </c>
      <c r="L66" s="71" t="s">
        <v>36</v>
      </c>
      <c r="M66" s="71"/>
      <c r="N66" s="72">
        <v>33074</v>
      </c>
      <c r="O66" s="72">
        <v>33073</v>
      </c>
      <c r="P66" s="71">
        <v>-1</v>
      </c>
      <c r="Q66" s="71" t="b">
        <v>0</v>
      </c>
      <c r="R66" s="22">
        <f t="shared" ref="R66:R129" si="1">IF(O66=" ", " ", INT(YEARFRAC(O66, B66)*365))</f>
        <v>3</v>
      </c>
    </row>
    <row r="67" spans="1:18">
      <c r="A67" s="71">
        <v>186</v>
      </c>
      <c r="B67" s="72">
        <v>33070</v>
      </c>
      <c r="C67" s="71" t="s">
        <v>384</v>
      </c>
      <c r="D67" s="72">
        <v>33067</v>
      </c>
      <c r="E67" s="71" t="s">
        <v>385</v>
      </c>
      <c r="F67" s="71" t="s">
        <v>85</v>
      </c>
      <c r="G67" s="71" t="s">
        <v>20</v>
      </c>
      <c r="H67" s="71"/>
      <c r="I67" s="71"/>
      <c r="J67" s="71" t="s">
        <v>386</v>
      </c>
      <c r="K67" s="71" t="s">
        <v>387</v>
      </c>
      <c r="L67" s="71" t="s">
        <v>30</v>
      </c>
      <c r="M67" s="71"/>
      <c r="N67" s="72">
        <v>33088</v>
      </c>
      <c r="O67" s="72">
        <v>36479</v>
      </c>
      <c r="P67" s="71"/>
      <c r="Q67" s="71" t="b">
        <v>0</v>
      </c>
      <c r="R67" s="22">
        <f t="shared" si="1"/>
        <v>3405</v>
      </c>
    </row>
    <row r="68" spans="1:18">
      <c r="A68" s="71">
        <v>192</v>
      </c>
      <c r="B68" s="72">
        <v>33074</v>
      </c>
      <c r="C68" s="71" t="s">
        <v>388</v>
      </c>
      <c r="D68" s="72">
        <v>33067</v>
      </c>
      <c r="E68" s="71" t="s">
        <v>389</v>
      </c>
      <c r="F68" s="71" t="s">
        <v>149</v>
      </c>
      <c r="G68" s="71" t="s">
        <v>20</v>
      </c>
      <c r="H68" s="71"/>
      <c r="I68" s="71"/>
      <c r="J68" s="71" t="s">
        <v>390</v>
      </c>
      <c r="K68" s="71" t="s">
        <v>108</v>
      </c>
      <c r="L68" s="71" t="s">
        <v>24</v>
      </c>
      <c r="M68" s="71"/>
      <c r="O68" s="72">
        <v>33269</v>
      </c>
      <c r="P68" s="71"/>
      <c r="Q68" s="71" t="b">
        <v>0</v>
      </c>
      <c r="R68" s="22">
        <f t="shared" si="1"/>
        <v>193</v>
      </c>
    </row>
    <row r="69" spans="1:18">
      <c r="A69" s="71">
        <v>196</v>
      </c>
      <c r="B69" s="72">
        <v>33077</v>
      </c>
      <c r="C69" s="71" t="s">
        <v>393</v>
      </c>
      <c r="D69" s="72">
        <v>33071</v>
      </c>
      <c r="E69" s="71" t="s">
        <v>394</v>
      </c>
      <c r="F69" s="71" t="s">
        <v>395</v>
      </c>
      <c r="G69" s="71" t="s">
        <v>20</v>
      </c>
      <c r="H69" s="71"/>
      <c r="I69" s="71"/>
      <c r="J69" s="71" t="s">
        <v>396</v>
      </c>
      <c r="K69" s="71" t="s">
        <v>397</v>
      </c>
      <c r="L69" s="71" t="s">
        <v>30</v>
      </c>
      <c r="M69" s="71"/>
      <c r="N69" s="72">
        <v>33093</v>
      </c>
      <c r="O69" s="72">
        <v>33172</v>
      </c>
      <c r="P69" s="71"/>
      <c r="Q69" s="71" t="b">
        <v>0</v>
      </c>
      <c r="R69" s="22">
        <f t="shared" si="1"/>
        <v>94</v>
      </c>
    </row>
    <row r="70" spans="1:18">
      <c r="A70" s="71">
        <v>197</v>
      </c>
      <c r="B70" s="72">
        <v>33077</v>
      </c>
      <c r="C70" s="71" t="s">
        <v>398</v>
      </c>
      <c r="D70" s="72">
        <v>33073</v>
      </c>
      <c r="E70" s="71" t="s">
        <v>399</v>
      </c>
      <c r="F70" s="71" t="s">
        <v>242</v>
      </c>
      <c r="G70" s="71" t="s">
        <v>20</v>
      </c>
      <c r="H70" s="71"/>
      <c r="I70" s="71"/>
      <c r="J70" s="71" t="s">
        <v>400</v>
      </c>
      <c r="K70" s="71" t="s">
        <v>401</v>
      </c>
      <c r="L70" s="71" t="s">
        <v>24</v>
      </c>
      <c r="M70" s="71"/>
      <c r="O70" s="72">
        <v>33375</v>
      </c>
      <c r="P70" s="71"/>
      <c r="Q70" s="71" t="b">
        <v>0</v>
      </c>
      <c r="R70" s="22">
        <f t="shared" si="1"/>
        <v>298</v>
      </c>
    </row>
    <row r="71" spans="1:18">
      <c r="A71" s="71">
        <v>200</v>
      </c>
      <c r="B71" s="72">
        <v>33079</v>
      </c>
      <c r="C71" s="71" t="s">
        <v>402</v>
      </c>
      <c r="D71" s="72">
        <v>33074</v>
      </c>
      <c r="E71" s="71" t="s">
        <v>403</v>
      </c>
      <c r="F71" s="71" t="s">
        <v>124</v>
      </c>
      <c r="G71" s="71" t="s">
        <v>20</v>
      </c>
      <c r="H71" s="71"/>
      <c r="I71" s="71"/>
      <c r="J71" s="71" t="s">
        <v>404</v>
      </c>
      <c r="K71" s="71" t="s">
        <v>405</v>
      </c>
      <c r="L71" s="71" t="s">
        <v>30</v>
      </c>
      <c r="M71" s="71"/>
      <c r="O71" s="72">
        <v>34297</v>
      </c>
      <c r="P71" s="71">
        <v>-1</v>
      </c>
      <c r="Q71" s="71" t="b">
        <v>0</v>
      </c>
      <c r="R71" s="22">
        <f t="shared" si="1"/>
        <v>1215</v>
      </c>
    </row>
    <row r="72" spans="1:18">
      <c r="A72" s="71">
        <v>201</v>
      </c>
      <c r="B72" s="72">
        <v>33079</v>
      </c>
      <c r="C72" s="71" t="s">
        <v>406</v>
      </c>
      <c r="D72" s="72">
        <v>33079</v>
      </c>
      <c r="E72" s="71" t="s">
        <v>407</v>
      </c>
      <c r="F72" s="71" t="s">
        <v>408</v>
      </c>
      <c r="G72" s="71" t="s">
        <v>20</v>
      </c>
      <c r="H72" s="71"/>
      <c r="I72" s="71"/>
      <c r="J72" s="71" t="s">
        <v>409</v>
      </c>
      <c r="K72" s="71" t="s">
        <v>410</v>
      </c>
      <c r="L72" s="71" t="s">
        <v>30</v>
      </c>
      <c r="M72" s="71"/>
      <c r="N72" s="72">
        <v>33088</v>
      </c>
      <c r="O72" s="72">
        <v>33367</v>
      </c>
      <c r="P72" s="71"/>
      <c r="Q72" s="71" t="b">
        <v>0</v>
      </c>
      <c r="R72" s="22">
        <f t="shared" si="1"/>
        <v>287</v>
      </c>
    </row>
    <row r="73" spans="1:18">
      <c r="A73" s="71">
        <v>204</v>
      </c>
      <c r="B73" s="72">
        <v>33081</v>
      </c>
      <c r="C73" s="71" t="s">
        <v>413</v>
      </c>
      <c r="D73" s="72">
        <v>33074</v>
      </c>
      <c r="E73" s="71" t="s">
        <v>414</v>
      </c>
      <c r="F73" s="71" t="s">
        <v>98</v>
      </c>
      <c r="G73" s="71" t="s">
        <v>20</v>
      </c>
      <c r="H73" s="71"/>
      <c r="I73" s="71"/>
      <c r="J73" s="71" t="s">
        <v>415</v>
      </c>
      <c r="K73" s="71" t="s">
        <v>416</v>
      </c>
      <c r="L73" s="71" t="s">
        <v>30</v>
      </c>
      <c r="M73" s="71"/>
      <c r="N73" s="72">
        <v>33109</v>
      </c>
      <c r="O73" s="72">
        <v>33284</v>
      </c>
      <c r="P73" s="71"/>
      <c r="Q73" s="71" t="b">
        <v>0</v>
      </c>
      <c r="R73" s="22">
        <f t="shared" si="1"/>
        <v>200</v>
      </c>
    </row>
    <row r="74" spans="1:18">
      <c r="A74" s="71">
        <v>206</v>
      </c>
      <c r="B74" s="72">
        <v>33084</v>
      </c>
      <c r="C74" s="71" t="s">
        <v>417</v>
      </c>
      <c r="D74" s="72">
        <v>33081</v>
      </c>
      <c r="E74" s="71" t="s">
        <v>418</v>
      </c>
      <c r="F74" s="71" t="s">
        <v>85</v>
      </c>
      <c r="G74" s="71" t="s">
        <v>20</v>
      </c>
      <c r="H74" s="71"/>
      <c r="I74" s="71"/>
      <c r="J74" s="71" t="s">
        <v>419</v>
      </c>
      <c r="K74" s="71" t="s">
        <v>420</v>
      </c>
      <c r="L74" s="71" t="s">
        <v>66</v>
      </c>
      <c r="M74" s="71"/>
      <c r="O74" s="72">
        <v>37104</v>
      </c>
      <c r="P74" s="71"/>
      <c r="Q74" s="71" t="b">
        <v>0</v>
      </c>
      <c r="R74" s="22">
        <f t="shared" si="1"/>
        <v>4016</v>
      </c>
    </row>
    <row r="75" spans="1:18">
      <c r="A75" s="71">
        <v>207</v>
      </c>
      <c r="B75" s="72">
        <v>33085</v>
      </c>
      <c r="C75" s="71" t="s">
        <v>421</v>
      </c>
      <c r="D75" s="72">
        <v>33084</v>
      </c>
      <c r="E75" s="71" t="s">
        <v>422</v>
      </c>
      <c r="F75" s="71" t="s">
        <v>70</v>
      </c>
      <c r="G75" s="71" t="s">
        <v>20</v>
      </c>
      <c r="H75" s="71" t="s">
        <v>71</v>
      </c>
      <c r="I75" s="71" t="s">
        <v>72</v>
      </c>
      <c r="J75" s="71" t="s">
        <v>423</v>
      </c>
      <c r="K75" s="71" t="s">
        <v>424</v>
      </c>
      <c r="L75" s="71" t="s">
        <v>30</v>
      </c>
      <c r="M75" s="71" t="s">
        <v>24</v>
      </c>
      <c r="O75" s="72">
        <v>35244</v>
      </c>
      <c r="P75" s="71"/>
      <c r="Q75" s="71" t="b">
        <v>0</v>
      </c>
      <c r="R75" s="22">
        <f t="shared" si="1"/>
        <v>2157</v>
      </c>
    </row>
    <row r="76" spans="1:18">
      <c r="A76" s="71">
        <v>209</v>
      </c>
      <c r="B76" s="72">
        <v>33098</v>
      </c>
      <c r="C76" s="71" t="s">
        <v>425</v>
      </c>
      <c r="D76" s="72">
        <v>33087</v>
      </c>
      <c r="E76" s="71" t="s">
        <v>426</v>
      </c>
      <c r="F76" s="71" t="s">
        <v>27</v>
      </c>
      <c r="G76" s="71" t="s">
        <v>20</v>
      </c>
      <c r="H76" s="71"/>
      <c r="I76" s="71"/>
      <c r="J76" s="71" t="s">
        <v>427</v>
      </c>
      <c r="K76" s="71" t="s">
        <v>428</v>
      </c>
      <c r="L76" s="71" t="s">
        <v>24</v>
      </c>
      <c r="M76" s="71"/>
      <c r="O76" s="72">
        <v>33224</v>
      </c>
      <c r="P76" s="71"/>
      <c r="Q76" s="71" t="b">
        <v>0</v>
      </c>
      <c r="R76" s="22">
        <f t="shared" si="1"/>
        <v>125</v>
      </c>
    </row>
    <row r="77" spans="1:18">
      <c r="A77" s="71">
        <v>215</v>
      </c>
      <c r="B77" s="72">
        <v>33098</v>
      </c>
      <c r="C77" s="71" t="s">
        <v>433</v>
      </c>
      <c r="D77" s="72">
        <v>33094</v>
      </c>
      <c r="E77" s="71" t="s">
        <v>434</v>
      </c>
      <c r="F77" s="71" t="s">
        <v>124</v>
      </c>
      <c r="G77" s="71" t="s">
        <v>20</v>
      </c>
      <c r="H77" s="71"/>
      <c r="I77" s="71"/>
      <c r="J77" s="71" t="s">
        <v>435</v>
      </c>
      <c r="K77" s="71" t="s">
        <v>436</v>
      </c>
      <c r="L77" s="71" t="s">
        <v>24</v>
      </c>
      <c r="M77" s="71"/>
      <c r="O77" s="72">
        <v>33224</v>
      </c>
      <c r="P77" s="71">
        <v>-1</v>
      </c>
      <c r="Q77" s="71" t="b">
        <v>0</v>
      </c>
      <c r="R77" s="22">
        <f t="shared" si="1"/>
        <v>125</v>
      </c>
    </row>
    <row r="78" spans="1:18">
      <c r="A78" s="71">
        <v>216</v>
      </c>
      <c r="B78" s="72">
        <v>33098</v>
      </c>
      <c r="C78" s="71" t="s">
        <v>437</v>
      </c>
      <c r="D78" s="72">
        <v>33094</v>
      </c>
      <c r="E78" s="71" t="s">
        <v>438</v>
      </c>
      <c r="F78" s="71" t="s">
        <v>439</v>
      </c>
      <c r="G78" s="71" t="s">
        <v>20</v>
      </c>
      <c r="H78" s="71" t="s">
        <v>71</v>
      </c>
      <c r="I78" s="71" t="s">
        <v>72</v>
      </c>
      <c r="J78" s="71" t="s">
        <v>440</v>
      </c>
      <c r="K78" s="71" t="s">
        <v>441</v>
      </c>
      <c r="L78" s="71" t="s">
        <v>24</v>
      </c>
      <c r="M78" s="71"/>
      <c r="O78" s="72">
        <v>33603</v>
      </c>
      <c r="P78" s="71"/>
      <c r="Q78" s="71" t="b">
        <v>0</v>
      </c>
      <c r="R78" s="22">
        <f t="shared" si="1"/>
        <v>504</v>
      </c>
    </row>
    <row r="79" spans="1:18">
      <c r="A79" s="71">
        <v>217</v>
      </c>
      <c r="B79" s="72">
        <v>33100</v>
      </c>
      <c r="C79" s="71" t="s">
        <v>442</v>
      </c>
      <c r="D79" s="72">
        <v>33098</v>
      </c>
      <c r="E79" s="71" t="s">
        <v>443</v>
      </c>
      <c r="F79" s="71" t="s">
        <v>371</v>
      </c>
      <c r="G79" s="71" t="s">
        <v>20</v>
      </c>
      <c r="H79" s="71"/>
      <c r="I79" s="71"/>
      <c r="J79" s="71" t="s">
        <v>444</v>
      </c>
      <c r="K79" s="71" t="s">
        <v>445</v>
      </c>
      <c r="L79" s="71" t="s">
        <v>24</v>
      </c>
      <c r="M79" s="71"/>
      <c r="O79" s="72">
        <v>33193</v>
      </c>
      <c r="P79" s="71">
        <v>-1</v>
      </c>
      <c r="Q79" s="71" t="b">
        <v>0</v>
      </c>
      <c r="R79" s="22">
        <f t="shared" si="1"/>
        <v>92</v>
      </c>
    </row>
    <row r="80" spans="1:18">
      <c r="A80" s="71">
        <v>218</v>
      </c>
      <c r="B80" s="72">
        <v>33105</v>
      </c>
      <c r="C80" s="71" t="s">
        <v>446</v>
      </c>
      <c r="D80" s="72">
        <v>33101</v>
      </c>
      <c r="E80" s="71" t="s">
        <v>447</v>
      </c>
      <c r="F80" s="71" t="s">
        <v>34</v>
      </c>
      <c r="G80" s="71" t="s">
        <v>20</v>
      </c>
      <c r="H80" s="71"/>
      <c r="I80" s="71"/>
      <c r="J80" s="71" t="s">
        <v>448</v>
      </c>
      <c r="K80" s="71"/>
      <c r="L80" s="71" t="s">
        <v>36</v>
      </c>
      <c r="M80" s="71"/>
      <c r="O80" s="72">
        <v>33197</v>
      </c>
      <c r="P80" s="71"/>
      <c r="Q80" s="71" t="b">
        <v>0</v>
      </c>
      <c r="R80" s="22">
        <f t="shared" si="1"/>
        <v>91</v>
      </c>
    </row>
    <row r="81" spans="1:18">
      <c r="A81" s="71">
        <v>219</v>
      </c>
      <c r="B81" s="72">
        <v>33105</v>
      </c>
      <c r="C81" s="71" t="s">
        <v>449</v>
      </c>
      <c r="D81" s="72">
        <v>33098</v>
      </c>
      <c r="E81" s="71" t="s">
        <v>450</v>
      </c>
      <c r="F81" s="71" t="s">
        <v>242</v>
      </c>
      <c r="G81" s="71" t="s">
        <v>20</v>
      </c>
      <c r="H81" s="71"/>
      <c r="I81" s="71"/>
      <c r="J81" s="71" t="s">
        <v>451</v>
      </c>
      <c r="K81" s="71" t="s">
        <v>452</v>
      </c>
      <c r="L81" s="71" t="s">
        <v>30</v>
      </c>
      <c r="M81" s="71"/>
      <c r="O81" s="72">
        <v>33926</v>
      </c>
      <c r="P81" s="71"/>
      <c r="Q81" s="71" t="b">
        <v>0</v>
      </c>
      <c r="R81" s="22">
        <f t="shared" si="1"/>
        <v>819</v>
      </c>
    </row>
    <row r="82" spans="1:18">
      <c r="A82" s="71">
        <v>221</v>
      </c>
      <c r="B82" s="72">
        <v>33107</v>
      </c>
      <c r="C82" s="71" t="s">
        <v>453</v>
      </c>
      <c r="D82" s="72">
        <v>33105</v>
      </c>
      <c r="E82" s="71" t="s">
        <v>454</v>
      </c>
      <c r="F82" s="71" t="s">
        <v>455</v>
      </c>
      <c r="G82" s="71" t="s">
        <v>20</v>
      </c>
      <c r="H82" s="71" t="s">
        <v>71</v>
      </c>
      <c r="I82" s="71" t="s">
        <v>72</v>
      </c>
      <c r="J82" s="71" t="s">
        <v>456</v>
      </c>
      <c r="K82" s="71" t="s">
        <v>457</v>
      </c>
      <c r="L82" s="71" t="s">
        <v>24</v>
      </c>
      <c r="M82" s="71"/>
      <c r="O82" s="72">
        <v>33211</v>
      </c>
      <c r="P82" s="71"/>
      <c r="Q82" s="71" t="b">
        <v>0</v>
      </c>
      <c r="R82" s="22">
        <f t="shared" si="1"/>
        <v>103</v>
      </c>
    </row>
    <row r="83" spans="1:18">
      <c r="A83" s="71">
        <v>224</v>
      </c>
      <c r="B83" s="72">
        <v>33114</v>
      </c>
      <c r="C83" s="71" t="s">
        <v>458</v>
      </c>
      <c r="D83" s="72">
        <v>33113</v>
      </c>
      <c r="E83" s="71" t="s">
        <v>459</v>
      </c>
      <c r="F83" s="71" t="s">
        <v>70</v>
      </c>
      <c r="G83" s="71" t="s">
        <v>20</v>
      </c>
      <c r="H83" s="71" t="s">
        <v>71</v>
      </c>
      <c r="I83" s="71" t="s">
        <v>72</v>
      </c>
      <c r="J83" s="71" t="s">
        <v>460</v>
      </c>
      <c r="K83" s="71" t="s">
        <v>461</v>
      </c>
      <c r="L83" s="71" t="s">
        <v>66</v>
      </c>
      <c r="M83" s="71" t="s">
        <v>24</v>
      </c>
      <c r="O83" s="72">
        <v>35542</v>
      </c>
      <c r="P83" s="71"/>
      <c r="Q83" s="71" t="b">
        <v>0</v>
      </c>
      <c r="R83" s="22">
        <f t="shared" si="1"/>
        <v>2426</v>
      </c>
    </row>
    <row r="84" spans="1:18">
      <c r="A84" s="71">
        <v>225</v>
      </c>
      <c r="B84" s="72">
        <v>33116</v>
      </c>
      <c r="C84" s="71" t="s">
        <v>462</v>
      </c>
      <c r="D84" s="72">
        <v>33115</v>
      </c>
      <c r="E84" s="71" t="s">
        <v>463</v>
      </c>
      <c r="F84" s="71" t="s">
        <v>70</v>
      </c>
      <c r="G84" s="71" t="s">
        <v>20</v>
      </c>
      <c r="H84" s="71" t="s">
        <v>71</v>
      </c>
      <c r="I84" s="71" t="s">
        <v>72</v>
      </c>
      <c r="J84" s="71" t="s">
        <v>464</v>
      </c>
      <c r="K84" s="71" t="s">
        <v>465</v>
      </c>
      <c r="L84" s="71" t="s">
        <v>30</v>
      </c>
      <c r="M84" s="71" t="s">
        <v>24</v>
      </c>
      <c r="O84" s="72">
        <v>35244</v>
      </c>
      <c r="P84" s="71"/>
      <c r="Q84" s="71" t="b">
        <v>0</v>
      </c>
      <c r="R84" s="22">
        <f t="shared" si="1"/>
        <v>2127</v>
      </c>
    </row>
    <row r="85" spans="1:18">
      <c r="A85" s="71">
        <v>226</v>
      </c>
      <c r="B85" s="72">
        <v>33120</v>
      </c>
      <c r="C85" s="71" t="s">
        <v>466</v>
      </c>
      <c r="D85" s="72">
        <v>33116</v>
      </c>
      <c r="E85" s="71" t="s">
        <v>467</v>
      </c>
      <c r="F85" s="71" t="s">
        <v>98</v>
      </c>
      <c r="G85" s="71" t="s">
        <v>20</v>
      </c>
      <c r="H85" s="71"/>
      <c r="I85" s="71"/>
      <c r="J85" s="71" t="s">
        <v>468</v>
      </c>
      <c r="K85" s="71" t="s">
        <v>469</v>
      </c>
      <c r="L85" s="71" t="s">
        <v>30</v>
      </c>
      <c r="M85" s="71"/>
      <c r="O85" s="72">
        <v>33178</v>
      </c>
      <c r="P85" s="71">
        <v>-1</v>
      </c>
      <c r="Q85" s="71" t="b">
        <v>0</v>
      </c>
      <c r="R85" s="22">
        <f t="shared" si="1"/>
        <v>57</v>
      </c>
    </row>
    <row r="86" spans="1:18">
      <c r="A86" s="71">
        <v>233</v>
      </c>
      <c r="B86" s="72">
        <v>33129</v>
      </c>
      <c r="C86" s="71" t="s">
        <v>474</v>
      </c>
      <c r="D86" s="72">
        <v>33127</v>
      </c>
      <c r="E86" s="71" t="s">
        <v>475</v>
      </c>
      <c r="F86" s="71" t="s">
        <v>327</v>
      </c>
      <c r="G86" s="71" t="s">
        <v>20</v>
      </c>
      <c r="H86" s="71"/>
      <c r="I86" s="71"/>
      <c r="J86" s="71" t="s">
        <v>476</v>
      </c>
      <c r="K86" s="71"/>
      <c r="L86" s="71" t="s">
        <v>24</v>
      </c>
      <c r="M86" s="71"/>
      <c r="O86" s="72">
        <v>33224</v>
      </c>
      <c r="P86" s="71"/>
      <c r="Q86" s="71" t="b">
        <v>0</v>
      </c>
      <c r="R86" s="22">
        <f t="shared" si="1"/>
        <v>95</v>
      </c>
    </row>
    <row r="87" spans="1:18">
      <c r="A87" s="71">
        <v>236</v>
      </c>
      <c r="B87" s="72">
        <v>33133</v>
      </c>
      <c r="C87" s="71" t="s">
        <v>480</v>
      </c>
      <c r="D87" s="72">
        <v>33128</v>
      </c>
      <c r="E87" s="71" t="s">
        <v>481</v>
      </c>
      <c r="F87" s="71" t="s">
        <v>482</v>
      </c>
      <c r="G87" s="71" t="s">
        <v>20</v>
      </c>
      <c r="H87" s="71"/>
      <c r="I87" s="71"/>
      <c r="J87" s="71" t="s">
        <v>483</v>
      </c>
      <c r="K87" s="71" t="s">
        <v>484</v>
      </c>
      <c r="L87" s="71" t="s">
        <v>82</v>
      </c>
      <c r="M87" s="71"/>
      <c r="O87" s="72">
        <v>33282</v>
      </c>
      <c r="P87" s="71"/>
      <c r="Q87" s="71" t="b">
        <v>0</v>
      </c>
      <c r="R87" s="22">
        <f t="shared" si="1"/>
        <v>148</v>
      </c>
    </row>
    <row r="88" spans="1:18">
      <c r="A88" s="71">
        <v>237</v>
      </c>
      <c r="B88" s="72">
        <v>33133</v>
      </c>
      <c r="C88" s="71" t="s">
        <v>485</v>
      </c>
      <c r="D88" s="72">
        <v>33127</v>
      </c>
      <c r="E88" s="71" t="s">
        <v>486</v>
      </c>
      <c r="F88" s="71" t="s">
        <v>104</v>
      </c>
      <c r="G88" s="71" t="s">
        <v>20</v>
      </c>
      <c r="H88" s="71"/>
      <c r="I88" s="71"/>
      <c r="J88" s="71" t="s">
        <v>487</v>
      </c>
      <c r="K88" s="71" t="s">
        <v>488</v>
      </c>
      <c r="L88" s="71" t="s">
        <v>30</v>
      </c>
      <c r="M88" s="71"/>
      <c r="N88" s="72">
        <v>33177</v>
      </c>
      <c r="O88" s="72">
        <v>35647</v>
      </c>
      <c r="P88" s="71"/>
      <c r="Q88" s="71" t="b">
        <v>0</v>
      </c>
      <c r="R88" s="22">
        <f t="shared" si="1"/>
        <v>2512</v>
      </c>
    </row>
    <row r="89" spans="1:18">
      <c r="A89" s="71">
        <v>241</v>
      </c>
      <c r="B89" s="72">
        <v>33135</v>
      </c>
      <c r="C89" s="71" t="s">
        <v>489</v>
      </c>
      <c r="D89" s="72">
        <v>33133</v>
      </c>
      <c r="E89" s="71" t="s">
        <v>490</v>
      </c>
      <c r="F89" s="71" t="s">
        <v>19</v>
      </c>
      <c r="G89" s="71" t="s">
        <v>20</v>
      </c>
      <c r="H89" s="71"/>
      <c r="I89" s="71"/>
      <c r="J89" s="71" t="s">
        <v>491</v>
      </c>
      <c r="K89" s="71"/>
      <c r="L89" s="71" t="s">
        <v>24</v>
      </c>
      <c r="M89" s="71"/>
      <c r="O89" s="72">
        <v>33437</v>
      </c>
      <c r="P89" s="71"/>
      <c r="Q89" s="71" t="b">
        <v>0</v>
      </c>
      <c r="R89" s="22">
        <f t="shared" si="1"/>
        <v>303</v>
      </c>
    </row>
    <row r="90" spans="1:18">
      <c r="A90" s="71">
        <v>242</v>
      </c>
      <c r="B90" s="72">
        <v>33136</v>
      </c>
      <c r="C90" s="71" t="s">
        <v>492</v>
      </c>
      <c r="D90" s="72">
        <v>33135</v>
      </c>
      <c r="E90" s="71" t="s">
        <v>493</v>
      </c>
      <c r="F90" s="71" t="s">
        <v>494</v>
      </c>
      <c r="G90" s="71" t="s">
        <v>20</v>
      </c>
      <c r="H90" s="71" t="s">
        <v>212</v>
      </c>
      <c r="I90" s="71" t="s">
        <v>212</v>
      </c>
      <c r="J90" s="71" t="s">
        <v>495</v>
      </c>
      <c r="K90" s="71" t="s">
        <v>496</v>
      </c>
      <c r="L90" s="71" t="s">
        <v>24</v>
      </c>
      <c r="M90" s="71"/>
      <c r="O90" s="72">
        <v>34480</v>
      </c>
      <c r="P90" s="71"/>
      <c r="Q90" s="71" t="b">
        <v>0</v>
      </c>
      <c r="R90" s="22">
        <f t="shared" si="1"/>
        <v>1344</v>
      </c>
    </row>
    <row r="91" spans="1:18">
      <c r="A91" s="71">
        <v>254</v>
      </c>
      <c r="B91" s="72">
        <v>33148</v>
      </c>
      <c r="C91" s="71" t="s">
        <v>500</v>
      </c>
      <c r="D91" s="72">
        <v>33147</v>
      </c>
      <c r="E91" s="71" t="s">
        <v>501</v>
      </c>
      <c r="F91" s="71" t="s">
        <v>327</v>
      </c>
      <c r="G91" s="71" t="s">
        <v>20</v>
      </c>
      <c r="H91" s="71"/>
      <c r="I91" s="71"/>
      <c r="J91" s="71" t="s">
        <v>502</v>
      </c>
      <c r="K91" s="71"/>
      <c r="L91" s="71" t="s">
        <v>24</v>
      </c>
      <c r="M91" s="71"/>
      <c r="O91" s="72">
        <v>33154</v>
      </c>
      <c r="P91" s="71"/>
      <c r="Q91" s="71" t="b">
        <v>0</v>
      </c>
      <c r="R91" s="22">
        <f t="shared" si="1"/>
        <v>6</v>
      </c>
    </row>
    <row r="92" spans="1:18">
      <c r="A92" s="71">
        <v>255</v>
      </c>
      <c r="B92" s="72">
        <v>33148</v>
      </c>
      <c r="C92" s="71" t="s">
        <v>503</v>
      </c>
      <c r="D92" s="72">
        <v>33143</v>
      </c>
      <c r="E92" s="71" t="s">
        <v>504</v>
      </c>
      <c r="F92" s="71" t="s">
        <v>306</v>
      </c>
      <c r="G92" s="71" t="s">
        <v>20</v>
      </c>
      <c r="H92" s="71"/>
      <c r="I92" s="71"/>
      <c r="J92" s="71" t="s">
        <v>505</v>
      </c>
      <c r="K92" s="71" t="s">
        <v>506</v>
      </c>
      <c r="L92" s="71" t="s">
        <v>30</v>
      </c>
      <c r="M92" s="71"/>
      <c r="N92" s="72">
        <v>33151</v>
      </c>
      <c r="O92" s="72">
        <v>33179</v>
      </c>
      <c r="P92" s="71">
        <v>-1</v>
      </c>
      <c r="Q92" s="71" t="b">
        <v>0</v>
      </c>
      <c r="R92" s="22">
        <f t="shared" si="1"/>
        <v>30</v>
      </c>
    </row>
    <row r="93" spans="1:18">
      <c r="A93" s="71">
        <v>258</v>
      </c>
      <c r="B93" s="72">
        <v>33149</v>
      </c>
      <c r="C93" s="71" t="s">
        <v>507</v>
      </c>
      <c r="D93" s="72">
        <v>33147</v>
      </c>
      <c r="E93" s="71" t="s">
        <v>508</v>
      </c>
      <c r="F93" s="71" t="s">
        <v>228</v>
      </c>
      <c r="G93" s="71" t="s">
        <v>20</v>
      </c>
      <c r="H93" s="71"/>
      <c r="I93" s="71"/>
      <c r="J93" s="71" t="s">
        <v>509</v>
      </c>
      <c r="K93" s="71" t="s">
        <v>510</v>
      </c>
      <c r="L93" s="71" t="s">
        <v>82</v>
      </c>
      <c r="M93" s="71"/>
      <c r="O93" s="72">
        <v>33298</v>
      </c>
      <c r="P93" s="71">
        <v>-1</v>
      </c>
      <c r="Q93" s="71" t="b">
        <v>0</v>
      </c>
      <c r="R93" s="22">
        <f t="shared" si="1"/>
        <v>150</v>
      </c>
    </row>
    <row r="94" spans="1:18">
      <c r="A94" s="71">
        <v>259</v>
      </c>
      <c r="B94" s="72">
        <v>33150</v>
      </c>
      <c r="C94" s="71" t="s">
        <v>511</v>
      </c>
      <c r="D94" s="72">
        <v>33149</v>
      </c>
      <c r="E94" s="71" t="s">
        <v>512</v>
      </c>
      <c r="F94" s="71" t="s">
        <v>513</v>
      </c>
      <c r="G94" s="71" t="s">
        <v>20</v>
      </c>
      <c r="H94" s="71"/>
      <c r="I94" s="71"/>
      <c r="J94" s="71" t="s">
        <v>514</v>
      </c>
      <c r="K94" s="71" t="s">
        <v>515</v>
      </c>
      <c r="L94" s="71" t="s">
        <v>24</v>
      </c>
      <c r="M94" s="71"/>
      <c r="N94" s="72">
        <v>33172</v>
      </c>
      <c r="O94" s="72">
        <v>33169</v>
      </c>
      <c r="P94" s="71"/>
      <c r="Q94" s="71" t="b">
        <v>0</v>
      </c>
      <c r="R94" s="22">
        <f t="shared" si="1"/>
        <v>19</v>
      </c>
    </row>
    <row r="95" spans="1:18">
      <c r="A95" s="71">
        <v>266</v>
      </c>
      <c r="B95" s="72">
        <v>33157</v>
      </c>
      <c r="C95" s="71" t="s">
        <v>520</v>
      </c>
      <c r="D95" s="72">
        <v>33155</v>
      </c>
      <c r="E95" s="71" t="s">
        <v>521</v>
      </c>
      <c r="F95" s="71" t="s">
        <v>149</v>
      </c>
      <c r="G95" s="71" t="s">
        <v>20</v>
      </c>
      <c r="H95" s="71"/>
      <c r="I95" s="71"/>
      <c r="J95" s="71" t="s">
        <v>522</v>
      </c>
      <c r="K95" s="71" t="s">
        <v>523</v>
      </c>
      <c r="L95" s="71" t="s">
        <v>24</v>
      </c>
      <c r="M95" s="71"/>
      <c r="O95" s="72">
        <v>33167</v>
      </c>
      <c r="P95" s="71"/>
      <c r="Q95" s="71" t="b">
        <v>0</v>
      </c>
      <c r="R95" s="22">
        <f t="shared" si="1"/>
        <v>10</v>
      </c>
    </row>
    <row r="96" spans="1:18">
      <c r="A96" s="71">
        <v>267</v>
      </c>
      <c r="B96" s="72">
        <v>33164</v>
      </c>
      <c r="C96" s="71" t="s">
        <v>524</v>
      </c>
      <c r="D96" s="72">
        <v>33156</v>
      </c>
      <c r="E96" s="71" t="s">
        <v>525</v>
      </c>
      <c r="F96" s="71" t="s">
        <v>98</v>
      </c>
      <c r="G96" s="71" t="s">
        <v>20</v>
      </c>
      <c r="H96" s="71"/>
      <c r="I96" s="71"/>
      <c r="J96" s="71" t="s">
        <v>526</v>
      </c>
      <c r="K96" s="71" t="s">
        <v>527</v>
      </c>
      <c r="L96" s="71" t="s">
        <v>24</v>
      </c>
      <c r="M96" s="71"/>
      <c r="O96" s="72">
        <v>33182</v>
      </c>
      <c r="P96" s="71">
        <v>-1</v>
      </c>
      <c r="Q96" s="71" t="b">
        <v>0</v>
      </c>
      <c r="R96" s="22">
        <f t="shared" si="1"/>
        <v>17</v>
      </c>
    </row>
    <row r="97" spans="1:18">
      <c r="A97" s="71">
        <v>283</v>
      </c>
      <c r="B97" s="72">
        <v>33169</v>
      </c>
      <c r="C97" s="71" t="s">
        <v>531</v>
      </c>
      <c r="D97" s="72">
        <v>33168</v>
      </c>
      <c r="E97" s="71" t="s">
        <v>532</v>
      </c>
      <c r="F97" s="71" t="s">
        <v>533</v>
      </c>
      <c r="G97" s="71" t="s">
        <v>20</v>
      </c>
      <c r="H97" s="71"/>
      <c r="I97" s="71"/>
      <c r="J97" s="71" t="s">
        <v>534</v>
      </c>
      <c r="K97" s="71" t="s">
        <v>535</v>
      </c>
      <c r="L97" s="71" t="s">
        <v>24</v>
      </c>
      <c r="M97" s="71"/>
      <c r="O97" s="72">
        <v>33567</v>
      </c>
      <c r="P97" s="71"/>
      <c r="Q97" s="71" t="b">
        <v>0</v>
      </c>
      <c r="R97" s="22">
        <f t="shared" si="1"/>
        <v>397</v>
      </c>
    </row>
    <row r="98" spans="1:18">
      <c r="A98" s="71">
        <v>285</v>
      </c>
      <c r="B98" s="72">
        <v>33171</v>
      </c>
      <c r="C98" s="71" t="s">
        <v>536</v>
      </c>
      <c r="D98" s="72">
        <v>33170</v>
      </c>
      <c r="E98" s="71" t="s">
        <v>537</v>
      </c>
      <c r="F98" s="71" t="s">
        <v>242</v>
      </c>
      <c r="G98" s="71" t="s">
        <v>20</v>
      </c>
      <c r="H98" s="71"/>
      <c r="I98" s="71"/>
      <c r="J98" s="71" t="s">
        <v>538</v>
      </c>
      <c r="K98" s="71" t="s">
        <v>539</v>
      </c>
      <c r="L98" s="71" t="s">
        <v>30</v>
      </c>
      <c r="M98" s="71"/>
      <c r="O98" s="72">
        <v>33546</v>
      </c>
      <c r="P98" s="71"/>
      <c r="Q98" s="71" t="b">
        <v>0</v>
      </c>
      <c r="R98" s="22">
        <f t="shared" si="1"/>
        <v>374</v>
      </c>
    </row>
    <row r="99" spans="1:18">
      <c r="A99" s="71">
        <v>287</v>
      </c>
      <c r="B99" s="72">
        <v>33175</v>
      </c>
      <c r="C99" s="71" t="s">
        <v>543</v>
      </c>
      <c r="D99" s="72">
        <v>33172</v>
      </c>
      <c r="E99" s="71" t="s">
        <v>544</v>
      </c>
      <c r="F99" s="71" t="s">
        <v>545</v>
      </c>
      <c r="G99" s="71" t="s">
        <v>20</v>
      </c>
      <c r="H99" s="71"/>
      <c r="I99" s="71"/>
      <c r="J99" s="71" t="s">
        <v>546</v>
      </c>
      <c r="K99" s="71" t="s">
        <v>491</v>
      </c>
      <c r="L99" s="71" t="s">
        <v>24</v>
      </c>
      <c r="M99" s="71"/>
      <c r="O99" s="72">
        <v>33437</v>
      </c>
      <c r="P99" s="71">
        <v>-1</v>
      </c>
      <c r="Q99" s="71" t="b">
        <v>0</v>
      </c>
      <c r="R99" s="22">
        <f t="shared" si="1"/>
        <v>262</v>
      </c>
    </row>
    <row r="100" spans="1:18">
      <c r="A100" s="71">
        <v>288</v>
      </c>
      <c r="B100" s="72">
        <v>33176</v>
      </c>
      <c r="C100" s="71" t="s">
        <v>547</v>
      </c>
      <c r="D100" s="72">
        <v>33175</v>
      </c>
      <c r="E100" s="71" t="s">
        <v>548</v>
      </c>
      <c r="F100" s="71" t="s">
        <v>98</v>
      </c>
      <c r="G100" s="71" t="s">
        <v>20</v>
      </c>
      <c r="H100" s="71"/>
      <c r="I100" s="71"/>
      <c r="J100" s="71" t="s">
        <v>549</v>
      </c>
      <c r="K100" s="71" t="s">
        <v>550</v>
      </c>
      <c r="L100" s="71" t="s">
        <v>24</v>
      </c>
      <c r="M100" s="71"/>
      <c r="O100" s="72">
        <v>33193</v>
      </c>
      <c r="P100" s="71"/>
      <c r="Q100" s="71" t="b">
        <v>0</v>
      </c>
      <c r="R100" s="22">
        <f t="shared" si="1"/>
        <v>16</v>
      </c>
    </row>
    <row r="101" spans="1:18">
      <c r="A101" s="71">
        <v>290</v>
      </c>
      <c r="B101" s="72">
        <v>33178</v>
      </c>
      <c r="C101" s="71" t="s">
        <v>551</v>
      </c>
      <c r="D101" s="72">
        <v>33172</v>
      </c>
      <c r="E101" s="71" t="s">
        <v>552</v>
      </c>
      <c r="F101" s="71" t="s">
        <v>322</v>
      </c>
      <c r="G101" s="71" t="s">
        <v>20</v>
      </c>
      <c r="H101" s="71" t="s">
        <v>71</v>
      </c>
      <c r="I101" s="71" t="s">
        <v>72</v>
      </c>
      <c r="J101" s="71" t="s">
        <v>553</v>
      </c>
      <c r="K101" s="71" t="s">
        <v>554</v>
      </c>
      <c r="L101" s="71" t="s">
        <v>36</v>
      </c>
      <c r="M101" s="71"/>
      <c r="O101" s="72">
        <v>33186</v>
      </c>
      <c r="P101" s="71"/>
      <c r="Q101" s="71" t="b">
        <v>0</v>
      </c>
      <c r="R101" s="22">
        <f t="shared" si="1"/>
        <v>8</v>
      </c>
    </row>
    <row r="102" spans="1:18">
      <c r="A102" s="71">
        <v>294</v>
      </c>
      <c r="B102" s="72">
        <v>33182</v>
      </c>
      <c r="C102" s="71" t="s">
        <v>555</v>
      </c>
      <c r="D102" s="72">
        <v>33182</v>
      </c>
      <c r="E102" s="71" t="s">
        <v>556</v>
      </c>
      <c r="F102" s="71" t="s">
        <v>350</v>
      </c>
      <c r="G102" s="71" t="s">
        <v>20</v>
      </c>
      <c r="H102" s="71"/>
      <c r="I102" s="71"/>
      <c r="J102" s="71" t="s">
        <v>557</v>
      </c>
      <c r="K102" s="71" t="s">
        <v>558</v>
      </c>
      <c r="L102" s="71" t="s">
        <v>30</v>
      </c>
      <c r="M102" s="71"/>
      <c r="O102" s="72">
        <v>35660</v>
      </c>
      <c r="P102" s="71"/>
      <c r="Q102" s="71" t="b">
        <v>0</v>
      </c>
      <c r="R102" s="22">
        <f t="shared" si="1"/>
        <v>2476</v>
      </c>
    </row>
    <row r="103" spans="1:18">
      <c r="A103" s="71">
        <v>300</v>
      </c>
      <c r="B103" s="72">
        <v>33190</v>
      </c>
      <c r="C103" s="71" t="s">
        <v>559</v>
      </c>
      <c r="D103" s="72">
        <v>33186</v>
      </c>
      <c r="E103" s="71" t="s">
        <v>560</v>
      </c>
      <c r="F103" s="71" t="s">
        <v>322</v>
      </c>
      <c r="G103" s="71" t="s">
        <v>20</v>
      </c>
      <c r="H103" s="71" t="s">
        <v>71</v>
      </c>
      <c r="I103" s="71" t="s">
        <v>72</v>
      </c>
      <c r="J103" s="71" t="s">
        <v>561</v>
      </c>
      <c r="K103" s="71" t="s">
        <v>562</v>
      </c>
      <c r="L103" s="71" t="s">
        <v>24</v>
      </c>
      <c r="M103" s="71"/>
      <c r="O103" s="72">
        <v>33312</v>
      </c>
      <c r="P103" s="71"/>
      <c r="Q103" s="71" t="b">
        <v>0</v>
      </c>
      <c r="R103" s="22">
        <f t="shared" si="1"/>
        <v>123</v>
      </c>
    </row>
    <row r="104" spans="1:18">
      <c r="A104" s="71">
        <v>301</v>
      </c>
      <c r="B104" s="72">
        <v>33190</v>
      </c>
      <c r="C104" s="71" t="s">
        <v>563</v>
      </c>
      <c r="D104" s="72">
        <v>33186</v>
      </c>
      <c r="E104" s="71" t="s">
        <v>564</v>
      </c>
      <c r="F104" s="71" t="s">
        <v>565</v>
      </c>
      <c r="G104" s="71" t="s">
        <v>20</v>
      </c>
      <c r="H104" s="71" t="s">
        <v>566</v>
      </c>
      <c r="I104" s="71" t="s">
        <v>566</v>
      </c>
      <c r="J104" s="71" t="s">
        <v>561</v>
      </c>
      <c r="K104" s="71" t="s">
        <v>562</v>
      </c>
      <c r="L104" s="71" t="s">
        <v>24</v>
      </c>
      <c r="M104" s="71"/>
      <c r="O104" s="72">
        <v>33312</v>
      </c>
      <c r="P104" s="71"/>
      <c r="Q104" s="71" t="b">
        <v>0</v>
      </c>
      <c r="R104" s="22">
        <f t="shared" si="1"/>
        <v>123</v>
      </c>
    </row>
    <row r="105" spans="1:18">
      <c r="A105" s="71">
        <v>302</v>
      </c>
      <c r="B105" s="72">
        <v>33190</v>
      </c>
      <c r="C105" s="71" t="s">
        <v>567</v>
      </c>
      <c r="D105" s="72">
        <v>33185</v>
      </c>
      <c r="E105" s="71" t="s">
        <v>568</v>
      </c>
      <c r="F105" s="71" t="s">
        <v>306</v>
      </c>
      <c r="G105" s="71" t="s">
        <v>20</v>
      </c>
      <c r="H105" s="71"/>
      <c r="I105" s="71"/>
      <c r="J105" s="71" t="s">
        <v>569</v>
      </c>
      <c r="K105" s="71" t="s">
        <v>570</v>
      </c>
      <c r="L105" s="71" t="s">
        <v>36</v>
      </c>
      <c r="M105" s="71"/>
      <c r="O105" s="72">
        <v>33210</v>
      </c>
      <c r="P105" s="71"/>
      <c r="Q105" s="71" t="b">
        <v>0</v>
      </c>
      <c r="R105" s="22">
        <f t="shared" si="1"/>
        <v>20</v>
      </c>
    </row>
    <row r="106" spans="1:18">
      <c r="A106" s="71">
        <v>307</v>
      </c>
      <c r="B106" s="72">
        <v>33210</v>
      </c>
      <c r="C106" s="71" t="s">
        <v>574</v>
      </c>
      <c r="D106" s="72">
        <v>33210</v>
      </c>
      <c r="E106" s="71" t="s">
        <v>575</v>
      </c>
      <c r="F106" s="71" t="s">
        <v>98</v>
      </c>
      <c r="G106" s="71" t="s">
        <v>20</v>
      </c>
      <c r="H106" s="71"/>
      <c r="I106" s="71"/>
      <c r="J106" s="71" t="s">
        <v>576</v>
      </c>
      <c r="K106" s="71" t="s">
        <v>577</v>
      </c>
      <c r="L106" s="71" t="s">
        <v>24</v>
      </c>
      <c r="M106" s="71"/>
      <c r="O106" s="72">
        <v>33343</v>
      </c>
      <c r="P106" s="71">
        <v>-1</v>
      </c>
      <c r="Q106" s="71" t="b">
        <v>0</v>
      </c>
      <c r="R106" s="22">
        <f t="shared" si="1"/>
        <v>133</v>
      </c>
    </row>
    <row r="107" spans="1:18">
      <c r="A107" s="71">
        <v>310</v>
      </c>
      <c r="B107" s="72">
        <v>33213</v>
      </c>
      <c r="C107" s="71" t="s">
        <v>581</v>
      </c>
      <c r="D107" s="72">
        <v>33211</v>
      </c>
      <c r="E107" s="71" t="s">
        <v>582</v>
      </c>
      <c r="F107" s="71" t="s">
        <v>322</v>
      </c>
      <c r="G107" s="71" t="s">
        <v>20</v>
      </c>
      <c r="H107" s="71" t="s">
        <v>71</v>
      </c>
      <c r="I107" s="71" t="s">
        <v>72</v>
      </c>
      <c r="J107" s="71" t="s">
        <v>583</v>
      </c>
      <c r="K107" s="71" t="s">
        <v>584</v>
      </c>
      <c r="L107" s="71" t="s">
        <v>66</v>
      </c>
      <c r="M107" s="71"/>
      <c r="O107" s="72">
        <v>35552</v>
      </c>
      <c r="P107" s="71"/>
      <c r="Q107" s="71" t="b">
        <v>0</v>
      </c>
      <c r="R107" s="22">
        <f t="shared" si="1"/>
        <v>2338</v>
      </c>
    </row>
    <row r="108" spans="1:18">
      <c r="A108" s="71">
        <v>313</v>
      </c>
      <c r="B108" s="72">
        <v>33219</v>
      </c>
      <c r="C108" s="71" t="s">
        <v>590</v>
      </c>
      <c r="D108" s="72">
        <v>33212</v>
      </c>
      <c r="E108" s="71" t="s">
        <v>591</v>
      </c>
      <c r="F108" s="71" t="s">
        <v>350</v>
      </c>
      <c r="G108" s="71" t="s">
        <v>20</v>
      </c>
      <c r="H108" s="71"/>
      <c r="I108" s="71"/>
      <c r="J108" s="71" t="s">
        <v>557</v>
      </c>
      <c r="K108" s="71" t="s">
        <v>592</v>
      </c>
      <c r="L108" s="71" t="s">
        <v>24</v>
      </c>
      <c r="M108" s="71"/>
      <c r="N108" s="72">
        <v>33269</v>
      </c>
      <c r="O108" s="72">
        <v>33360</v>
      </c>
      <c r="P108" s="71"/>
      <c r="Q108" s="71" t="b">
        <v>0</v>
      </c>
      <c r="R108" s="22">
        <f t="shared" si="1"/>
        <v>141</v>
      </c>
    </row>
    <row r="109" spans="1:18">
      <c r="A109" s="71">
        <v>314</v>
      </c>
      <c r="B109" s="72">
        <v>33219</v>
      </c>
      <c r="C109" s="71" t="s">
        <v>593</v>
      </c>
      <c r="D109" s="72">
        <v>33212</v>
      </c>
      <c r="E109" s="71" t="s">
        <v>594</v>
      </c>
      <c r="F109" s="71" t="s">
        <v>350</v>
      </c>
      <c r="G109" s="71" t="s">
        <v>20</v>
      </c>
      <c r="H109" s="71"/>
      <c r="I109" s="71"/>
      <c r="J109" s="71" t="s">
        <v>557</v>
      </c>
      <c r="K109" s="71" t="s">
        <v>595</v>
      </c>
      <c r="L109" s="71" t="s">
        <v>24</v>
      </c>
      <c r="M109" s="71"/>
      <c r="N109" s="72">
        <v>33269</v>
      </c>
      <c r="O109" s="72">
        <v>33360</v>
      </c>
      <c r="P109" s="71"/>
      <c r="Q109" s="71" t="b">
        <v>0</v>
      </c>
      <c r="R109" s="22">
        <f t="shared" si="1"/>
        <v>141</v>
      </c>
    </row>
    <row r="110" spans="1:18">
      <c r="A110" s="71">
        <v>315</v>
      </c>
      <c r="B110" s="72">
        <v>33221</v>
      </c>
      <c r="C110" s="71" t="s">
        <v>596</v>
      </c>
      <c r="D110" s="72">
        <v>33218</v>
      </c>
      <c r="E110" s="71" t="s">
        <v>597</v>
      </c>
      <c r="F110" s="71" t="s">
        <v>145</v>
      </c>
      <c r="G110" s="71" t="s">
        <v>20</v>
      </c>
      <c r="H110" s="71"/>
      <c r="I110" s="71"/>
      <c r="J110" s="71" t="s">
        <v>598</v>
      </c>
      <c r="K110" s="71" t="s">
        <v>599</v>
      </c>
      <c r="L110" s="71" t="s">
        <v>24</v>
      </c>
      <c r="M110" s="71"/>
      <c r="N110" s="72">
        <v>33253</v>
      </c>
      <c r="O110" s="72">
        <v>34877</v>
      </c>
      <c r="P110" s="71"/>
      <c r="Q110" s="71" t="b">
        <v>0</v>
      </c>
      <c r="R110" s="22">
        <f t="shared" si="1"/>
        <v>1655</v>
      </c>
    </row>
    <row r="111" spans="1:18">
      <c r="A111" s="71">
        <v>317</v>
      </c>
      <c r="B111" s="72">
        <v>33224</v>
      </c>
      <c r="C111" s="71" t="s">
        <v>600</v>
      </c>
      <c r="D111" s="72">
        <v>33220</v>
      </c>
      <c r="E111" s="71" t="s">
        <v>601</v>
      </c>
      <c r="F111" s="71" t="s">
        <v>327</v>
      </c>
      <c r="G111" s="71" t="s">
        <v>20</v>
      </c>
      <c r="H111" s="71"/>
      <c r="I111" s="71"/>
      <c r="J111" s="71" t="s">
        <v>602</v>
      </c>
      <c r="K111" s="71"/>
      <c r="L111" s="71" t="s">
        <v>30</v>
      </c>
      <c r="M111" s="71" t="s">
        <v>24</v>
      </c>
      <c r="O111" s="72">
        <v>35244</v>
      </c>
      <c r="P111" s="71">
        <v>-1</v>
      </c>
      <c r="Q111" s="71" t="b">
        <v>0</v>
      </c>
      <c r="R111" s="22">
        <f t="shared" si="1"/>
        <v>2018</v>
      </c>
    </row>
    <row r="112" spans="1:18">
      <c r="A112" s="71">
        <v>318</v>
      </c>
      <c r="B112" s="72">
        <v>33225</v>
      </c>
      <c r="C112" s="71" t="s">
        <v>603</v>
      </c>
      <c r="D112" s="72">
        <v>33219</v>
      </c>
      <c r="E112" s="71" t="s">
        <v>604</v>
      </c>
      <c r="F112" s="71" t="s">
        <v>27</v>
      </c>
      <c r="G112" s="71" t="s">
        <v>20</v>
      </c>
      <c r="H112" s="71"/>
      <c r="I112" s="71"/>
      <c r="J112" s="71" t="s">
        <v>605</v>
      </c>
      <c r="K112" s="71" t="s">
        <v>606</v>
      </c>
      <c r="L112" s="71" t="s">
        <v>24</v>
      </c>
      <c r="M112" s="71"/>
      <c r="O112" s="72">
        <v>33225</v>
      </c>
      <c r="P112" s="71">
        <v>-1</v>
      </c>
      <c r="Q112" s="71" t="b">
        <v>0</v>
      </c>
      <c r="R112" s="22">
        <f t="shared" si="1"/>
        <v>0</v>
      </c>
    </row>
    <row r="113" spans="1:18">
      <c r="A113" s="71">
        <v>322</v>
      </c>
      <c r="B113" s="72">
        <v>33231</v>
      </c>
      <c r="C113" s="71" t="s">
        <v>607</v>
      </c>
      <c r="D113" s="72">
        <v>33228</v>
      </c>
      <c r="E113" s="71" t="s">
        <v>608</v>
      </c>
      <c r="F113" s="71" t="s">
        <v>104</v>
      </c>
      <c r="G113" s="71" t="s">
        <v>20</v>
      </c>
      <c r="H113" s="71"/>
      <c r="I113" s="71"/>
      <c r="J113" s="71" t="s">
        <v>609</v>
      </c>
      <c r="K113" s="71" t="s">
        <v>610</v>
      </c>
      <c r="L113" s="71" t="s">
        <v>24</v>
      </c>
      <c r="M113" s="71"/>
      <c r="O113" s="72">
        <v>33241</v>
      </c>
      <c r="P113" s="71"/>
      <c r="Q113" s="71" t="b">
        <v>0</v>
      </c>
      <c r="R113" s="22">
        <f t="shared" si="1"/>
        <v>9</v>
      </c>
    </row>
    <row r="114" spans="1:18">
      <c r="A114" s="71">
        <v>325</v>
      </c>
      <c r="B114" s="72">
        <v>33240</v>
      </c>
      <c r="C114" s="71" t="s">
        <v>614</v>
      </c>
      <c r="D114" s="72">
        <v>33231</v>
      </c>
      <c r="E114" s="71" t="s">
        <v>615</v>
      </c>
      <c r="F114" s="71" t="s">
        <v>104</v>
      </c>
      <c r="G114" s="71" t="s">
        <v>20</v>
      </c>
      <c r="H114" s="71"/>
      <c r="I114" s="71"/>
      <c r="J114" s="71" t="s">
        <v>616</v>
      </c>
      <c r="K114" s="71" t="s">
        <v>617</v>
      </c>
      <c r="L114" s="71" t="s">
        <v>59</v>
      </c>
      <c r="M114" s="71"/>
      <c r="O114" s="72">
        <v>34488</v>
      </c>
      <c r="P114" s="71"/>
      <c r="Q114" s="71" t="b">
        <v>0</v>
      </c>
      <c r="R114" s="22">
        <f t="shared" si="1"/>
        <v>1248</v>
      </c>
    </row>
    <row r="115" spans="1:18">
      <c r="A115" s="71">
        <v>327</v>
      </c>
      <c r="B115" s="72">
        <v>33241</v>
      </c>
      <c r="C115" s="71" t="s">
        <v>620</v>
      </c>
      <c r="D115" s="72">
        <v>33236</v>
      </c>
      <c r="E115" s="71" t="s">
        <v>621</v>
      </c>
      <c r="F115" s="71" t="s">
        <v>124</v>
      </c>
      <c r="G115" s="71" t="s">
        <v>20</v>
      </c>
      <c r="H115" s="71"/>
      <c r="I115" s="71"/>
      <c r="J115" s="71" t="s">
        <v>622</v>
      </c>
      <c r="K115" s="71" t="s">
        <v>529</v>
      </c>
      <c r="L115" s="71" t="s">
        <v>24</v>
      </c>
      <c r="M115" s="71"/>
      <c r="O115" s="72">
        <v>33253</v>
      </c>
      <c r="P115" s="71">
        <v>-1</v>
      </c>
      <c r="Q115" s="71" t="b">
        <v>0</v>
      </c>
      <c r="R115" s="22">
        <f t="shared" si="1"/>
        <v>12</v>
      </c>
    </row>
    <row r="116" spans="1:18">
      <c r="A116" s="71">
        <v>333</v>
      </c>
      <c r="B116" s="72">
        <v>33247</v>
      </c>
      <c r="C116" s="71" t="s">
        <v>628</v>
      </c>
      <c r="D116" s="72">
        <v>33247</v>
      </c>
      <c r="E116" s="71" t="s">
        <v>629</v>
      </c>
      <c r="F116" s="71" t="s">
        <v>104</v>
      </c>
      <c r="G116" s="71" t="s">
        <v>20</v>
      </c>
      <c r="H116" s="71"/>
      <c r="I116" s="71"/>
      <c r="J116" s="71" t="s">
        <v>630</v>
      </c>
      <c r="K116" s="71" t="s">
        <v>631</v>
      </c>
      <c r="L116" s="71" t="s">
        <v>59</v>
      </c>
      <c r="M116" s="71"/>
      <c r="O116" s="72">
        <v>33765</v>
      </c>
      <c r="P116" s="71"/>
      <c r="Q116" s="71" t="b">
        <v>0</v>
      </c>
      <c r="R116" s="22">
        <f t="shared" si="1"/>
        <v>518</v>
      </c>
    </row>
    <row r="117" spans="1:18">
      <c r="A117" s="71">
        <v>334</v>
      </c>
      <c r="B117" s="72">
        <v>33247</v>
      </c>
      <c r="C117" s="71" t="s">
        <v>632</v>
      </c>
      <c r="D117" s="72">
        <v>33246</v>
      </c>
      <c r="E117" s="71" t="s">
        <v>633</v>
      </c>
      <c r="F117" s="71" t="s">
        <v>145</v>
      </c>
      <c r="G117" s="71" t="s">
        <v>20</v>
      </c>
      <c r="H117" s="71"/>
      <c r="I117" s="71"/>
      <c r="J117" s="71" t="s">
        <v>634</v>
      </c>
      <c r="K117" s="71" t="s">
        <v>635</v>
      </c>
      <c r="L117" s="71" t="s">
        <v>30</v>
      </c>
      <c r="M117" s="71"/>
      <c r="N117" s="72">
        <v>33255</v>
      </c>
      <c r="O117" s="72">
        <v>33413</v>
      </c>
      <c r="P117" s="71"/>
      <c r="Q117" s="71" t="b">
        <v>0</v>
      </c>
      <c r="R117" s="22">
        <f t="shared" si="1"/>
        <v>167</v>
      </c>
    </row>
    <row r="118" spans="1:18">
      <c r="A118" s="71">
        <v>349</v>
      </c>
      <c r="B118" s="72">
        <v>33263</v>
      </c>
      <c r="C118" s="71" t="s">
        <v>643</v>
      </c>
      <c r="D118" s="72">
        <v>33260</v>
      </c>
      <c r="E118" s="71" t="s">
        <v>644</v>
      </c>
      <c r="F118" s="71" t="s">
        <v>70</v>
      </c>
      <c r="G118" s="71" t="s">
        <v>20</v>
      </c>
      <c r="H118" s="71" t="s">
        <v>71</v>
      </c>
      <c r="I118" s="71" t="s">
        <v>72</v>
      </c>
      <c r="J118" s="71" t="s">
        <v>645</v>
      </c>
      <c r="K118" s="71"/>
      <c r="L118" s="71" t="s">
        <v>24</v>
      </c>
      <c r="M118" s="71"/>
      <c r="O118" s="72">
        <v>33294</v>
      </c>
      <c r="P118" s="71"/>
      <c r="Q118" s="71" t="b">
        <v>0</v>
      </c>
      <c r="R118" s="22">
        <f t="shared" si="1"/>
        <v>30</v>
      </c>
    </row>
    <row r="119" spans="1:18">
      <c r="A119" s="71">
        <v>354</v>
      </c>
      <c r="B119" s="72">
        <v>33270</v>
      </c>
      <c r="C119" s="71" t="s">
        <v>652</v>
      </c>
      <c r="D119" s="72">
        <v>33270</v>
      </c>
      <c r="E119" s="71" t="s">
        <v>653</v>
      </c>
      <c r="F119" s="71" t="s">
        <v>129</v>
      </c>
      <c r="G119" s="71" t="s">
        <v>20</v>
      </c>
      <c r="H119" s="71"/>
      <c r="I119" s="71"/>
      <c r="J119" s="71" t="s">
        <v>654</v>
      </c>
      <c r="K119" s="71" t="s">
        <v>655</v>
      </c>
      <c r="L119" s="71" t="s">
        <v>24</v>
      </c>
      <c r="M119" s="71"/>
      <c r="O119" s="72">
        <v>34978</v>
      </c>
      <c r="P119" s="71"/>
      <c r="Q119" s="71" t="b">
        <v>0</v>
      </c>
      <c r="R119" s="22">
        <f t="shared" si="1"/>
        <v>1708</v>
      </c>
    </row>
    <row r="120" spans="1:18">
      <c r="A120" s="71">
        <v>355</v>
      </c>
      <c r="B120" s="72">
        <v>33273</v>
      </c>
      <c r="C120" s="71" t="s">
        <v>656</v>
      </c>
      <c r="D120" s="72">
        <v>33268</v>
      </c>
      <c r="E120" s="71" t="s">
        <v>657</v>
      </c>
      <c r="F120" s="71" t="s">
        <v>39</v>
      </c>
      <c r="G120" s="71" t="s">
        <v>20</v>
      </c>
      <c r="H120" s="71"/>
      <c r="I120" s="71"/>
      <c r="J120" s="71" t="s">
        <v>658</v>
      </c>
      <c r="K120" s="71" t="s">
        <v>659</v>
      </c>
      <c r="L120" s="71" t="s">
        <v>30</v>
      </c>
      <c r="M120" s="71"/>
      <c r="N120" s="72">
        <v>33284</v>
      </c>
      <c r="O120" s="72">
        <v>33500</v>
      </c>
      <c r="P120" s="71"/>
      <c r="Q120" s="71" t="b">
        <v>0</v>
      </c>
      <c r="R120" s="22">
        <f t="shared" si="1"/>
        <v>228</v>
      </c>
    </row>
    <row r="121" spans="1:18">
      <c r="A121" s="71">
        <v>356</v>
      </c>
      <c r="B121" s="72">
        <v>33273</v>
      </c>
      <c r="C121" s="71" t="s">
        <v>660</v>
      </c>
      <c r="D121" s="72">
        <v>33269</v>
      </c>
      <c r="E121" s="71" t="s">
        <v>661</v>
      </c>
      <c r="F121" s="71" t="s">
        <v>39</v>
      </c>
      <c r="G121" s="71" t="s">
        <v>20</v>
      </c>
      <c r="H121" s="71"/>
      <c r="I121" s="71"/>
      <c r="J121" s="71" t="s">
        <v>658</v>
      </c>
      <c r="K121" s="71" t="s">
        <v>662</v>
      </c>
      <c r="L121" s="71" t="s">
        <v>30</v>
      </c>
      <c r="M121" s="71"/>
      <c r="N121" s="72">
        <v>33284</v>
      </c>
      <c r="O121" s="72">
        <v>33500</v>
      </c>
      <c r="P121" s="71"/>
      <c r="Q121" s="71" t="b">
        <v>0</v>
      </c>
      <c r="R121" s="22">
        <f t="shared" si="1"/>
        <v>228</v>
      </c>
    </row>
    <row r="122" spans="1:18">
      <c r="A122" s="71">
        <v>360</v>
      </c>
      <c r="B122" s="72">
        <v>33280</v>
      </c>
      <c r="C122" s="71" t="s">
        <v>663</v>
      </c>
      <c r="D122" s="72">
        <v>33273</v>
      </c>
      <c r="E122" s="71" t="s">
        <v>664</v>
      </c>
      <c r="F122" s="71" t="s">
        <v>665</v>
      </c>
      <c r="G122" s="71" t="s">
        <v>20</v>
      </c>
      <c r="H122" s="71"/>
      <c r="I122" s="71"/>
      <c r="J122" s="71" t="s">
        <v>666</v>
      </c>
      <c r="K122" s="71" t="s">
        <v>667</v>
      </c>
      <c r="L122" s="71" t="s">
        <v>24</v>
      </c>
      <c r="M122" s="71"/>
      <c r="O122" s="72">
        <v>33283</v>
      </c>
      <c r="P122" s="71"/>
      <c r="Q122" s="71" t="b">
        <v>0</v>
      </c>
      <c r="R122" s="22">
        <f t="shared" si="1"/>
        <v>3</v>
      </c>
    </row>
    <row r="123" spans="1:18">
      <c r="A123" s="71">
        <v>375</v>
      </c>
      <c r="B123" s="72">
        <v>33291</v>
      </c>
      <c r="C123" s="71" t="s">
        <v>682</v>
      </c>
      <c r="D123" s="72">
        <v>33275</v>
      </c>
      <c r="E123" s="71" t="s">
        <v>683</v>
      </c>
      <c r="F123" s="71" t="s">
        <v>124</v>
      </c>
      <c r="G123" s="71" t="s">
        <v>20</v>
      </c>
      <c r="H123" s="71"/>
      <c r="I123" s="71"/>
      <c r="J123" s="71" t="s">
        <v>684</v>
      </c>
      <c r="K123" s="71" t="s">
        <v>685</v>
      </c>
      <c r="L123" s="71" t="s">
        <v>686</v>
      </c>
      <c r="M123" s="71"/>
      <c r="O123" s="72">
        <v>36476</v>
      </c>
      <c r="P123" s="71"/>
      <c r="Q123" s="71" t="b">
        <v>0</v>
      </c>
      <c r="R123" s="22">
        <f t="shared" si="1"/>
        <v>3183</v>
      </c>
    </row>
    <row r="124" spans="1:18">
      <c r="A124" s="71">
        <v>379</v>
      </c>
      <c r="B124" s="72">
        <v>33294</v>
      </c>
      <c r="C124" s="71" t="s">
        <v>687</v>
      </c>
      <c r="D124" s="72">
        <v>33292</v>
      </c>
      <c r="E124" s="71" t="s">
        <v>688</v>
      </c>
      <c r="F124" s="71" t="s">
        <v>689</v>
      </c>
      <c r="G124" s="71" t="s">
        <v>20</v>
      </c>
      <c r="H124" s="71" t="s">
        <v>212</v>
      </c>
      <c r="I124" s="71" t="s">
        <v>212</v>
      </c>
      <c r="J124" s="71" t="s">
        <v>690</v>
      </c>
      <c r="K124" s="71" t="s">
        <v>328</v>
      </c>
      <c r="L124" s="71" t="s">
        <v>24</v>
      </c>
      <c r="M124" s="71"/>
      <c r="O124" s="72">
        <v>33312</v>
      </c>
      <c r="P124" s="71"/>
      <c r="Q124" s="71" t="b">
        <v>0</v>
      </c>
      <c r="R124" s="22">
        <f t="shared" si="1"/>
        <v>20</v>
      </c>
    </row>
    <row r="125" spans="1:18">
      <c r="A125" s="71">
        <v>380</v>
      </c>
      <c r="B125" s="72">
        <v>33294</v>
      </c>
      <c r="C125" s="71" t="s">
        <v>691</v>
      </c>
      <c r="D125" s="72">
        <v>33292</v>
      </c>
      <c r="E125" s="71" t="s">
        <v>692</v>
      </c>
      <c r="F125" s="71" t="s">
        <v>693</v>
      </c>
      <c r="G125" s="71" t="s">
        <v>20</v>
      </c>
      <c r="H125" s="71" t="s">
        <v>189</v>
      </c>
      <c r="I125" s="71" t="s">
        <v>189</v>
      </c>
      <c r="J125" s="71" t="s">
        <v>690</v>
      </c>
      <c r="K125" s="71" t="s">
        <v>328</v>
      </c>
      <c r="L125" s="71" t="s">
        <v>24</v>
      </c>
      <c r="M125" s="71"/>
      <c r="O125" s="72">
        <v>33312</v>
      </c>
      <c r="P125" s="71"/>
      <c r="Q125" s="71" t="b">
        <v>0</v>
      </c>
      <c r="R125" s="22">
        <f t="shared" si="1"/>
        <v>20</v>
      </c>
    </row>
    <row r="126" spans="1:18">
      <c r="A126" s="71">
        <v>383</v>
      </c>
      <c r="B126" s="72">
        <v>33294</v>
      </c>
      <c r="C126" s="71" t="s">
        <v>694</v>
      </c>
      <c r="D126" s="72">
        <v>33266</v>
      </c>
      <c r="E126" s="71" t="s">
        <v>695</v>
      </c>
      <c r="F126" s="71" t="s">
        <v>52</v>
      </c>
      <c r="G126" s="71" t="s">
        <v>20</v>
      </c>
      <c r="H126" s="71"/>
      <c r="I126" s="71"/>
      <c r="J126" s="71" t="s">
        <v>696</v>
      </c>
      <c r="K126" s="71" t="s">
        <v>697</v>
      </c>
      <c r="L126" s="71" t="s">
        <v>30</v>
      </c>
      <c r="M126" s="71"/>
      <c r="O126" s="72">
        <v>33926</v>
      </c>
      <c r="P126" s="71"/>
      <c r="Q126" s="71" t="b">
        <v>0</v>
      </c>
      <c r="R126" s="22">
        <f t="shared" si="1"/>
        <v>631</v>
      </c>
    </row>
    <row r="127" spans="1:18">
      <c r="A127" s="71">
        <v>384</v>
      </c>
      <c r="B127" s="72">
        <v>33294</v>
      </c>
      <c r="C127" s="71" t="s">
        <v>698</v>
      </c>
      <c r="D127" s="72">
        <v>33249</v>
      </c>
      <c r="E127" s="71" t="s">
        <v>699</v>
      </c>
      <c r="F127" s="71" t="s">
        <v>149</v>
      </c>
      <c r="G127" s="71" t="s">
        <v>20</v>
      </c>
      <c r="H127" s="71"/>
      <c r="I127" s="71"/>
      <c r="J127" s="71" t="s">
        <v>700</v>
      </c>
      <c r="K127" s="71" t="s">
        <v>701</v>
      </c>
      <c r="L127" s="71" t="s">
        <v>82</v>
      </c>
      <c r="M127" s="71"/>
      <c r="O127" s="72">
        <v>33771</v>
      </c>
      <c r="P127" s="71"/>
      <c r="Q127" s="71" t="b">
        <v>0</v>
      </c>
      <c r="R127" s="22">
        <f t="shared" si="1"/>
        <v>477</v>
      </c>
    </row>
    <row r="128" spans="1:18">
      <c r="A128" s="71">
        <v>385</v>
      </c>
      <c r="B128" s="72">
        <v>33294</v>
      </c>
      <c r="C128" s="71" t="s">
        <v>702</v>
      </c>
      <c r="D128" s="72">
        <v>33294</v>
      </c>
      <c r="E128" s="71" t="s">
        <v>703</v>
      </c>
      <c r="F128" s="71" t="s">
        <v>242</v>
      </c>
      <c r="G128" s="71" t="s">
        <v>20</v>
      </c>
      <c r="H128" s="71"/>
      <c r="I128" s="71"/>
      <c r="J128" s="71" t="s">
        <v>704</v>
      </c>
      <c r="K128" s="71"/>
      <c r="L128" s="71" t="s">
        <v>24</v>
      </c>
      <c r="M128" s="71"/>
      <c r="O128" s="72">
        <v>33816</v>
      </c>
      <c r="P128" s="71">
        <v>-1</v>
      </c>
      <c r="Q128" s="71" t="b">
        <v>0</v>
      </c>
      <c r="R128" s="22">
        <f t="shared" si="1"/>
        <v>523</v>
      </c>
    </row>
    <row r="129" spans="1:18">
      <c r="A129" s="71">
        <v>386</v>
      </c>
      <c r="B129" s="72">
        <v>33296</v>
      </c>
      <c r="C129" s="71" t="s">
        <v>705</v>
      </c>
      <c r="D129" s="72">
        <v>33290</v>
      </c>
      <c r="E129" s="71" t="s">
        <v>706</v>
      </c>
      <c r="F129" s="71" t="s">
        <v>104</v>
      </c>
      <c r="G129" s="71" t="s">
        <v>20</v>
      </c>
      <c r="H129" s="71"/>
      <c r="I129" s="71"/>
      <c r="J129" s="71" t="s">
        <v>707</v>
      </c>
      <c r="K129" s="71" t="s">
        <v>708</v>
      </c>
      <c r="L129" s="71" t="s">
        <v>88</v>
      </c>
      <c r="M129" s="71"/>
      <c r="O129" s="72">
        <v>35979</v>
      </c>
      <c r="P129" s="71"/>
      <c r="Q129" s="71" t="b">
        <v>0</v>
      </c>
      <c r="R129" s="22">
        <f t="shared" si="1"/>
        <v>2682</v>
      </c>
    </row>
    <row r="130" spans="1:18">
      <c r="A130" s="71">
        <v>393</v>
      </c>
      <c r="B130" s="72">
        <v>33298</v>
      </c>
      <c r="C130" s="71" t="s">
        <v>711</v>
      </c>
      <c r="D130" s="72">
        <v>33297</v>
      </c>
      <c r="E130" s="71" t="s">
        <v>712</v>
      </c>
      <c r="F130" s="71" t="s">
        <v>98</v>
      </c>
      <c r="G130" s="71" t="s">
        <v>20</v>
      </c>
      <c r="H130" s="71"/>
      <c r="I130" s="71"/>
      <c r="J130" s="71" t="s">
        <v>713</v>
      </c>
      <c r="K130" s="71"/>
      <c r="L130" s="71" t="s">
        <v>30</v>
      </c>
      <c r="M130" s="71"/>
      <c r="O130" s="72">
        <v>33449</v>
      </c>
      <c r="P130" s="71"/>
      <c r="Q130" s="71" t="b">
        <v>0</v>
      </c>
      <c r="R130" s="22">
        <f t="shared" ref="R130:R193" si="2">IF(O130=" ", " ", INT(YEARFRAC(O130, B130)*365))</f>
        <v>151</v>
      </c>
    </row>
    <row r="131" spans="1:18">
      <c r="A131" s="71">
        <v>394</v>
      </c>
      <c r="B131" s="72">
        <v>33301</v>
      </c>
      <c r="C131" s="71" t="s">
        <v>714</v>
      </c>
      <c r="D131" s="72">
        <v>33298</v>
      </c>
      <c r="E131" s="71" t="s">
        <v>715</v>
      </c>
      <c r="F131" s="71" t="s">
        <v>56</v>
      </c>
      <c r="G131" s="71" t="s">
        <v>20</v>
      </c>
      <c r="H131" s="71"/>
      <c r="I131" s="71"/>
      <c r="J131" s="71" t="s">
        <v>716</v>
      </c>
      <c r="K131" s="71"/>
      <c r="L131" s="71" t="s">
        <v>24</v>
      </c>
      <c r="M131" s="71"/>
      <c r="O131" s="72">
        <v>33315</v>
      </c>
      <c r="P131" s="71"/>
      <c r="Q131" s="71" t="b">
        <v>0</v>
      </c>
      <c r="R131" s="22">
        <f t="shared" si="2"/>
        <v>14</v>
      </c>
    </row>
    <row r="132" spans="1:18">
      <c r="A132" s="71">
        <v>395</v>
      </c>
      <c r="B132" s="72">
        <v>33301</v>
      </c>
      <c r="C132" s="71" t="s">
        <v>717</v>
      </c>
      <c r="D132" s="72">
        <v>33297</v>
      </c>
      <c r="E132" s="71" t="s">
        <v>718</v>
      </c>
      <c r="F132" s="71" t="s">
        <v>149</v>
      </c>
      <c r="G132" s="71" t="s">
        <v>20</v>
      </c>
      <c r="H132" s="71"/>
      <c r="I132" s="71"/>
      <c r="J132" s="71" t="s">
        <v>719</v>
      </c>
      <c r="K132" s="71" t="s">
        <v>720</v>
      </c>
      <c r="L132" s="71" t="s">
        <v>24</v>
      </c>
      <c r="M132" s="71"/>
      <c r="O132" s="72">
        <v>33634</v>
      </c>
      <c r="P132" s="71"/>
      <c r="Q132" s="71" t="b">
        <v>0</v>
      </c>
      <c r="R132" s="22">
        <f t="shared" si="2"/>
        <v>331</v>
      </c>
    </row>
    <row r="133" spans="1:18">
      <c r="A133" s="71">
        <v>397</v>
      </c>
      <c r="B133" s="72">
        <v>33305</v>
      </c>
      <c r="C133" s="71" t="s">
        <v>724</v>
      </c>
      <c r="D133" s="72">
        <v>33301</v>
      </c>
      <c r="E133" s="71" t="s">
        <v>725</v>
      </c>
      <c r="F133" s="71" t="s">
        <v>259</v>
      </c>
      <c r="G133" s="71" t="s">
        <v>20</v>
      </c>
      <c r="H133" s="71"/>
      <c r="I133" s="71"/>
      <c r="J133" s="71" t="s">
        <v>726</v>
      </c>
      <c r="K133" s="71" t="s">
        <v>727</v>
      </c>
      <c r="L133" s="71" t="s">
        <v>30</v>
      </c>
      <c r="M133" s="71"/>
      <c r="O133" s="72">
        <v>33563</v>
      </c>
      <c r="P133" s="71">
        <v>-1</v>
      </c>
      <c r="Q133" s="71" t="b">
        <v>0</v>
      </c>
      <c r="R133" s="22">
        <f t="shared" si="2"/>
        <v>256</v>
      </c>
    </row>
    <row r="134" spans="1:18">
      <c r="A134" s="71">
        <v>398</v>
      </c>
      <c r="B134" s="72">
        <v>33310</v>
      </c>
      <c r="C134" s="71" t="s">
        <v>728</v>
      </c>
      <c r="D134" s="72">
        <v>33304</v>
      </c>
      <c r="E134" s="71" t="s">
        <v>729</v>
      </c>
      <c r="F134" s="71" t="s">
        <v>145</v>
      </c>
      <c r="G134" s="71" t="s">
        <v>20</v>
      </c>
      <c r="H134" s="71"/>
      <c r="I134" s="71"/>
      <c r="J134" s="71" t="s">
        <v>730</v>
      </c>
      <c r="K134" s="71"/>
      <c r="L134" s="71" t="s">
        <v>24</v>
      </c>
      <c r="M134" s="71"/>
      <c r="O134" s="72">
        <v>34978</v>
      </c>
      <c r="P134" s="71"/>
      <c r="Q134" s="71" t="b">
        <v>0</v>
      </c>
      <c r="R134" s="22">
        <f t="shared" si="2"/>
        <v>1665</v>
      </c>
    </row>
    <row r="135" spans="1:18">
      <c r="A135" s="71">
        <v>399</v>
      </c>
      <c r="B135" s="72">
        <v>33310</v>
      </c>
      <c r="C135" s="71" t="s">
        <v>731</v>
      </c>
      <c r="D135" s="72">
        <v>33304</v>
      </c>
      <c r="E135" s="71" t="s">
        <v>732</v>
      </c>
      <c r="F135" s="71" t="s">
        <v>733</v>
      </c>
      <c r="G135" s="71" t="s">
        <v>20</v>
      </c>
      <c r="H135" s="71"/>
      <c r="I135" s="71"/>
      <c r="J135" s="71" t="s">
        <v>734</v>
      </c>
      <c r="K135" s="71" t="s">
        <v>735</v>
      </c>
      <c r="L135" s="71" t="s">
        <v>24</v>
      </c>
      <c r="M135" s="71"/>
      <c r="O135" s="72">
        <v>33829</v>
      </c>
      <c r="P135" s="71"/>
      <c r="Q135" s="71" t="b">
        <v>0</v>
      </c>
      <c r="R135" s="22">
        <f t="shared" si="2"/>
        <v>517</v>
      </c>
    </row>
    <row r="136" spans="1:18">
      <c r="A136" s="71">
        <v>400</v>
      </c>
      <c r="B136" s="72">
        <v>33310</v>
      </c>
      <c r="C136" s="71" t="s">
        <v>736</v>
      </c>
      <c r="D136" s="72">
        <v>33309</v>
      </c>
      <c r="E136" s="71" t="s">
        <v>737</v>
      </c>
      <c r="F136" s="71" t="s">
        <v>149</v>
      </c>
      <c r="G136" s="71" t="s">
        <v>20</v>
      </c>
      <c r="H136" s="71"/>
      <c r="I136" s="71"/>
      <c r="J136" s="71" t="s">
        <v>738</v>
      </c>
      <c r="K136" s="71" t="s">
        <v>739</v>
      </c>
      <c r="L136" s="71" t="s">
        <v>30</v>
      </c>
      <c r="M136" s="71"/>
      <c r="N136" s="72">
        <v>33343</v>
      </c>
      <c r="O136" s="72">
        <v>35780</v>
      </c>
      <c r="P136" s="71"/>
      <c r="Q136" s="71" t="b">
        <v>0</v>
      </c>
      <c r="R136" s="22">
        <f t="shared" si="2"/>
        <v>2466</v>
      </c>
    </row>
    <row r="137" spans="1:18">
      <c r="A137" s="71">
        <v>407</v>
      </c>
      <c r="B137" s="72">
        <v>33311</v>
      </c>
      <c r="C137" s="71" t="s">
        <v>746</v>
      </c>
      <c r="D137" s="72">
        <v>33310</v>
      </c>
      <c r="E137" s="71" t="s">
        <v>747</v>
      </c>
      <c r="F137" s="71" t="s">
        <v>56</v>
      </c>
      <c r="G137" s="71" t="s">
        <v>20</v>
      </c>
      <c r="H137" s="71"/>
      <c r="I137" s="71"/>
      <c r="J137" s="71" t="s">
        <v>748</v>
      </c>
      <c r="K137" s="71" t="s">
        <v>749</v>
      </c>
      <c r="L137" s="71" t="s">
        <v>24</v>
      </c>
      <c r="M137" s="71"/>
      <c r="O137" s="72">
        <v>33347</v>
      </c>
      <c r="P137" s="71"/>
      <c r="Q137" s="71" t="b">
        <v>0</v>
      </c>
      <c r="R137" s="22">
        <f t="shared" si="2"/>
        <v>35</v>
      </c>
    </row>
    <row r="138" spans="1:18">
      <c r="A138" s="71">
        <v>408</v>
      </c>
      <c r="B138" s="72">
        <v>33315</v>
      </c>
      <c r="C138" s="71" t="s">
        <v>750</v>
      </c>
      <c r="D138" s="72">
        <v>33311</v>
      </c>
      <c r="E138" s="71" t="s">
        <v>751</v>
      </c>
      <c r="F138" s="71" t="s">
        <v>752</v>
      </c>
      <c r="G138" s="71" t="s">
        <v>20</v>
      </c>
      <c r="H138" s="71" t="s">
        <v>71</v>
      </c>
      <c r="I138" s="71" t="s">
        <v>72</v>
      </c>
      <c r="J138" s="71" t="s">
        <v>753</v>
      </c>
      <c r="K138" s="71" t="s">
        <v>754</v>
      </c>
      <c r="L138" s="71" t="s">
        <v>82</v>
      </c>
      <c r="M138" s="71"/>
      <c r="O138" s="72">
        <v>33828</v>
      </c>
      <c r="P138" s="71"/>
      <c r="Q138" s="71" t="b">
        <v>0</v>
      </c>
      <c r="R138" s="22">
        <f t="shared" si="2"/>
        <v>511</v>
      </c>
    </row>
    <row r="139" spans="1:18">
      <c r="A139" s="71">
        <v>414</v>
      </c>
      <c r="B139" s="72">
        <v>33316</v>
      </c>
      <c r="C139" s="71" t="s">
        <v>758</v>
      </c>
      <c r="D139" s="72">
        <v>33312</v>
      </c>
      <c r="E139" s="71" t="s">
        <v>759</v>
      </c>
      <c r="F139" s="71" t="s">
        <v>760</v>
      </c>
      <c r="G139" s="71" t="s">
        <v>20</v>
      </c>
      <c r="H139" s="71" t="s">
        <v>212</v>
      </c>
      <c r="I139" s="71" t="s">
        <v>212</v>
      </c>
      <c r="J139" s="71" t="s">
        <v>761</v>
      </c>
      <c r="K139" s="71" t="s">
        <v>762</v>
      </c>
      <c r="L139" s="71" t="s">
        <v>24</v>
      </c>
      <c r="M139" s="71"/>
      <c r="O139" s="72">
        <v>33317</v>
      </c>
      <c r="P139" s="71"/>
      <c r="Q139" s="71" t="b">
        <v>0</v>
      </c>
      <c r="R139" s="22">
        <f t="shared" si="2"/>
        <v>1</v>
      </c>
    </row>
    <row r="140" spans="1:18">
      <c r="A140" s="71">
        <v>419</v>
      </c>
      <c r="B140" s="72">
        <v>33324</v>
      </c>
      <c r="C140" s="71" t="s">
        <v>772</v>
      </c>
      <c r="D140" s="72">
        <v>33322</v>
      </c>
      <c r="E140" s="71" t="s">
        <v>773</v>
      </c>
      <c r="F140" s="71" t="s">
        <v>149</v>
      </c>
      <c r="G140" s="71" t="s">
        <v>20</v>
      </c>
      <c r="H140" s="71"/>
      <c r="I140" s="71"/>
      <c r="J140" s="71" t="s">
        <v>774</v>
      </c>
      <c r="K140" s="71"/>
      <c r="L140" s="71" t="s">
        <v>24</v>
      </c>
      <c r="M140" s="71"/>
      <c r="O140" s="72">
        <v>33353</v>
      </c>
      <c r="P140" s="71">
        <v>-1</v>
      </c>
      <c r="Q140" s="71" t="b">
        <v>0</v>
      </c>
      <c r="R140" s="22">
        <f t="shared" si="2"/>
        <v>28</v>
      </c>
    </row>
    <row r="141" spans="1:18">
      <c r="A141" s="71">
        <v>424</v>
      </c>
      <c r="B141" s="72">
        <v>33329</v>
      </c>
      <c r="C141" s="71" t="s">
        <v>777</v>
      </c>
      <c r="D141" s="72">
        <v>33325</v>
      </c>
      <c r="E141" s="71" t="s">
        <v>778</v>
      </c>
      <c r="F141" s="71" t="s">
        <v>98</v>
      </c>
      <c r="G141" s="71" t="s">
        <v>20</v>
      </c>
      <c r="H141" s="71"/>
      <c r="I141" s="71"/>
      <c r="J141" s="71" t="s">
        <v>779</v>
      </c>
      <c r="K141" s="71" t="s">
        <v>780</v>
      </c>
      <c r="L141" s="71" t="s">
        <v>30</v>
      </c>
      <c r="M141" s="71"/>
      <c r="O141" s="72">
        <v>33449</v>
      </c>
      <c r="P141" s="71"/>
      <c r="Q141" s="71" t="b">
        <v>0</v>
      </c>
      <c r="R141" s="22">
        <f t="shared" si="2"/>
        <v>120</v>
      </c>
    </row>
    <row r="142" spans="1:18">
      <c r="A142" s="71">
        <v>425</v>
      </c>
      <c r="B142" s="72">
        <v>33329</v>
      </c>
      <c r="C142" s="71" t="s">
        <v>781</v>
      </c>
      <c r="D142" s="72">
        <v>33326</v>
      </c>
      <c r="E142" s="71" t="s">
        <v>782</v>
      </c>
      <c r="F142" s="71" t="s">
        <v>98</v>
      </c>
      <c r="G142" s="71" t="s">
        <v>20</v>
      </c>
      <c r="H142" s="71"/>
      <c r="I142" s="71"/>
      <c r="J142" s="71" t="s">
        <v>779</v>
      </c>
      <c r="K142" s="71" t="s">
        <v>780</v>
      </c>
      <c r="L142" s="71" t="s">
        <v>30</v>
      </c>
      <c r="M142" s="71"/>
      <c r="O142" s="72">
        <v>33451</v>
      </c>
      <c r="P142" s="71">
        <v>-1</v>
      </c>
      <c r="Q142" s="71" t="b">
        <v>0</v>
      </c>
      <c r="R142" s="22">
        <f t="shared" si="2"/>
        <v>121</v>
      </c>
    </row>
    <row r="143" spans="1:18">
      <c r="A143" s="71">
        <v>427</v>
      </c>
      <c r="B143" s="72">
        <v>33330</v>
      </c>
      <c r="C143" s="71" t="s">
        <v>783</v>
      </c>
      <c r="D143" s="72">
        <v>33329</v>
      </c>
      <c r="E143" s="71" t="s">
        <v>784</v>
      </c>
      <c r="F143" s="71" t="s">
        <v>545</v>
      </c>
      <c r="G143" s="71" t="s">
        <v>20</v>
      </c>
      <c r="H143" s="71"/>
      <c r="I143" s="71"/>
      <c r="J143" s="71" t="s">
        <v>785</v>
      </c>
      <c r="K143" s="71" t="s">
        <v>786</v>
      </c>
      <c r="L143" s="71" t="s">
        <v>24</v>
      </c>
      <c r="M143" s="71"/>
      <c r="O143" s="72">
        <v>33351</v>
      </c>
      <c r="P143" s="71">
        <v>-1</v>
      </c>
      <c r="Q143" s="71" t="b">
        <v>0</v>
      </c>
      <c r="R143" s="22">
        <f t="shared" si="2"/>
        <v>21</v>
      </c>
    </row>
    <row r="144" spans="1:18">
      <c r="A144" s="71">
        <v>428</v>
      </c>
      <c r="B144" s="72">
        <v>33331</v>
      </c>
      <c r="C144" s="71" t="s">
        <v>787</v>
      </c>
      <c r="D144" s="72">
        <v>33330</v>
      </c>
      <c r="E144" s="71" t="s">
        <v>788</v>
      </c>
      <c r="F144" s="71" t="s">
        <v>19</v>
      </c>
      <c r="G144" s="71" t="s">
        <v>20</v>
      </c>
      <c r="H144" s="71"/>
      <c r="I144" s="71"/>
      <c r="J144" s="71" t="s">
        <v>789</v>
      </c>
      <c r="K144" s="71" t="s">
        <v>790</v>
      </c>
      <c r="L144" s="71" t="s">
        <v>24</v>
      </c>
      <c r="M144" s="71"/>
      <c r="O144" s="72">
        <v>33470</v>
      </c>
      <c r="P144" s="71">
        <v>-1</v>
      </c>
      <c r="Q144" s="71" t="b">
        <v>0</v>
      </c>
      <c r="R144" s="22">
        <f t="shared" si="2"/>
        <v>138</v>
      </c>
    </row>
    <row r="145" spans="1:18">
      <c r="A145" s="71">
        <v>429</v>
      </c>
      <c r="B145" s="72">
        <v>33332</v>
      </c>
      <c r="C145" s="71" t="s">
        <v>791</v>
      </c>
      <c r="D145" s="72">
        <v>33330</v>
      </c>
      <c r="E145" s="71" t="s">
        <v>792</v>
      </c>
      <c r="F145" s="71" t="s">
        <v>793</v>
      </c>
      <c r="G145" s="71" t="s">
        <v>20</v>
      </c>
      <c r="H145" s="71"/>
      <c r="I145" s="71"/>
      <c r="J145" s="71" t="s">
        <v>794</v>
      </c>
      <c r="K145" s="71" t="s">
        <v>795</v>
      </c>
      <c r="L145" s="71" t="s">
        <v>30</v>
      </c>
      <c r="M145" s="71"/>
      <c r="O145" s="72">
        <v>33340</v>
      </c>
      <c r="P145" s="71"/>
      <c r="Q145" s="71" t="b">
        <v>0</v>
      </c>
      <c r="R145" s="22">
        <f t="shared" si="2"/>
        <v>8</v>
      </c>
    </row>
    <row r="146" spans="1:18">
      <c r="A146" s="71">
        <v>434</v>
      </c>
      <c r="B146" s="72">
        <v>33339</v>
      </c>
      <c r="C146" s="71" t="s">
        <v>799</v>
      </c>
      <c r="D146" s="72">
        <v>33338</v>
      </c>
      <c r="E146" s="71" t="s">
        <v>800</v>
      </c>
      <c r="F146" s="71" t="s">
        <v>98</v>
      </c>
      <c r="G146" s="71" t="s">
        <v>20</v>
      </c>
      <c r="H146" s="71"/>
      <c r="I146" s="71"/>
      <c r="J146" s="71" t="s">
        <v>801</v>
      </c>
      <c r="K146" s="71" t="s">
        <v>802</v>
      </c>
      <c r="L146" s="71" t="s">
        <v>30</v>
      </c>
      <c r="M146" s="71"/>
      <c r="O146" s="72">
        <v>33449</v>
      </c>
      <c r="P146" s="71"/>
      <c r="Q146" s="71" t="b">
        <v>0</v>
      </c>
      <c r="R146" s="22">
        <f t="shared" si="2"/>
        <v>110</v>
      </c>
    </row>
    <row r="147" spans="1:18">
      <c r="A147" s="71">
        <v>435</v>
      </c>
      <c r="B147" s="72">
        <v>33339</v>
      </c>
      <c r="C147" s="71" t="s">
        <v>803</v>
      </c>
      <c r="D147" s="72">
        <v>33336</v>
      </c>
      <c r="E147" s="71" t="s">
        <v>804</v>
      </c>
      <c r="F147" s="71" t="s">
        <v>371</v>
      </c>
      <c r="G147" s="71" t="s">
        <v>20</v>
      </c>
      <c r="H147" s="71"/>
      <c r="I147" s="71"/>
      <c r="J147" s="71" t="s">
        <v>805</v>
      </c>
      <c r="K147" s="71"/>
      <c r="L147" s="71" t="s">
        <v>24</v>
      </c>
      <c r="M147" s="71"/>
      <c r="O147" s="72">
        <v>33340</v>
      </c>
      <c r="P147" s="71">
        <v>-1</v>
      </c>
      <c r="Q147" s="71" t="b">
        <v>0</v>
      </c>
      <c r="R147" s="22">
        <f t="shared" si="2"/>
        <v>1</v>
      </c>
    </row>
    <row r="148" spans="1:18">
      <c r="A148" s="71">
        <v>436</v>
      </c>
      <c r="B148" s="72">
        <v>33339</v>
      </c>
      <c r="C148" s="71" t="s">
        <v>806</v>
      </c>
      <c r="D148" s="72">
        <v>33338</v>
      </c>
      <c r="E148" s="71" t="s">
        <v>807</v>
      </c>
      <c r="F148" s="71" t="s">
        <v>545</v>
      </c>
      <c r="G148" s="71" t="s">
        <v>20</v>
      </c>
      <c r="H148" s="71"/>
      <c r="I148" s="71"/>
      <c r="J148" s="71" t="s">
        <v>491</v>
      </c>
      <c r="K148" s="71" t="s">
        <v>808</v>
      </c>
      <c r="L148" s="71" t="s">
        <v>24</v>
      </c>
      <c r="M148" s="71"/>
      <c r="O148" s="72">
        <v>33437</v>
      </c>
      <c r="P148" s="71">
        <v>-1</v>
      </c>
      <c r="Q148" s="71" t="b">
        <v>0</v>
      </c>
      <c r="R148" s="22">
        <f t="shared" si="2"/>
        <v>98</v>
      </c>
    </row>
    <row r="149" spans="1:18">
      <c r="A149" s="71">
        <v>437</v>
      </c>
      <c r="B149" s="72">
        <v>33343</v>
      </c>
      <c r="C149" s="71" t="s">
        <v>809</v>
      </c>
      <c r="D149" s="72">
        <v>33340</v>
      </c>
      <c r="E149" s="71" t="s">
        <v>810</v>
      </c>
      <c r="F149" s="71" t="s">
        <v>359</v>
      </c>
      <c r="G149" s="71" t="s">
        <v>20</v>
      </c>
      <c r="H149" s="71"/>
      <c r="I149" s="71"/>
      <c r="J149" s="71" t="s">
        <v>811</v>
      </c>
      <c r="K149" s="71" t="s">
        <v>812</v>
      </c>
      <c r="L149" s="71" t="s">
        <v>30</v>
      </c>
      <c r="M149" s="71"/>
      <c r="N149" s="72">
        <v>33346</v>
      </c>
      <c r="O149" s="72">
        <v>33367</v>
      </c>
      <c r="P149" s="71"/>
      <c r="Q149" s="71" t="b">
        <v>0</v>
      </c>
      <c r="R149" s="22">
        <f t="shared" si="2"/>
        <v>24</v>
      </c>
    </row>
    <row r="150" spans="1:18">
      <c r="A150" s="71">
        <v>439</v>
      </c>
      <c r="B150" s="72">
        <v>33343</v>
      </c>
      <c r="C150" s="71" t="s">
        <v>813</v>
      </c>
      <c r="D150" s="72">
        <v>33338</v>
      </c>
      <c r="E150" s="71" t="s">
        <v>814</v>
      </c>
      <c r="F150" s="71" t="s">
        <v>242</v>
      </c>
      <c r="G150" s="71" t="s">
        <v>20</v>
      </c>
      <c r="H150" s="71"/>
      <c r="I150" s="71"/>
      <c r="J150" s="71" t="s">
        <v>815</v>
      </c>
      <c r="K150" s="71" t="s">
        <v>816</v>
      </c>
      <c r="L150" s="71" t="s">
        <v>30</v>
      </c>
      <c r="M150" s="71"/>
      <c r="N150" s="72">
        <v>33361</v>
      </c>
      <c r="O150" s="72">
        <v>33380</v>
      </c>
      <c r="P150" s="71"/>
      <c r="Q150" s="71" t="b">
        <v>0</v>
      </c>
      <c r="R150" s="22">
        <f t="shared" si="2"/>
        <v>37</v>
      </c>
    </row>
    <row r="151" spans="1:18">
      <c r="A151" s="71">
        <v>440</v>
      </c>
      <c r="B151" s="72">
        <v>33345</v>
      </c>
      <c r="C151" s="71" t="s">
        <v>817</v>
      </c>
      <c r="D151" s="72">
        <v>33338</v>
      </c>
      <c r="E151" s="71" t="s">
        <v>818</v>
      </c>
      <c r="F151" s="71" t="s">
        <v>149</v>
      </c>
      <c r="G151" s="71" t="s">
        <v>20</v>
      </c>
      <c r="H151" s="71"/>
      <c r="I151" s="71"/>
      <c r="J151" s="71" t="s">
        <v>819</v>
      </c>
      <c r="K151" s="71" t="s">
        <v>820</v>
      </c>
      <c r="L151" s="71" t="s">
        <v>821</v>
      </c>
      <c r="M151" s="71" t="s">
        <v>88</v>
      </c>
      <c r="O151" s="72">
        <v>36469</v>
      </c>
      <c r="P151" s="71"/>
      <c r="Q151" s="71" t="b">
        <v>0</v>
      </c>
      <c r="R151" s="22">
        <f t="shared" si="2"/>
        <v>3120</v>
      </c>
    </row>
    <row r="152" spans="1:18">
      <c r="A152" s="71">
        <v>441</v>
      </c>
      <c r="B152" s="72">
        <v>33345</v>
      </c>
      <c r="C152" s="71" t="s">
        <v>822</v>
      </c>
      <c r="D152" s="72">
        <v>33339</v>
      </c>
      <c r="E152" s="71" t="s">
        <v>823</v>
      </c>
      <c r="F152" s="71" t="s">
        <v>824</v>
      </c>
      <c r="G152" s="71" t="s">
        <v>20</v>
      </c>
      <c r="H152" s="71" t="s">
        <v>71</v>
      </c>
      <c r="I152" s="71" t="s">
        <v>72</v>
      </c>
      <c r="J152" s="71" t="s">
        <v>825</v>
      </c>
      <c r="K152" s="71" t="s">
        <v>826</v>
      </c>
      <c r="L152" s="71" t="s">
        <v>30</v>
      </c>
      <c r="M152" s="71" t="s">
        <v>24</v>
      </c>
      <c r="O152" s="72">
        <v>35244</v>
      </c>
      <c r="P152" s="71"/>
      <c r="Q152" s="71" t="b">
        <v>0</v>
      </c>
      <c r="R152" s="22">
        <f t="shared" si="2"/>
        <v>1896</v>
      </c>
    </row>
    <row r="153" spans="1:18">
      <c r="A153" s="71">
        <v>443</v>
      </c>
      <c r="B153" s="72">
        <v>33347</v>
      </c>
      <c r="C153" s="71" t="s">
        <v>827</v>
      </c>
      <c r="D153" s="72">
        <v>33344</v>
      </c>
      <c r="E153" s="71" t="s">
        <v>828</v>
      </c>
      <c r="F153" s="71" t="s">
        <v>242</v>
      </c>
      <c r="G153" s="71" t="s">
        <v>20</v>
      </c>
      <c r="H153" s="71"/>
      <c r="I153" s="71"/>
      <c r="J153" s="71" t="s">
        <v>815</v>
      </c>
      <c r="K153" s="71" t="s">
        <v>829</v>
      </c>
      <c r="L153" s="71" t="s">
        <v>24</v>
      </c>
      <c r="M153" s="71"/>
      <c r="O153" s="72">
        <v>33361</v>
      </c>
      <c r="P153" s="71"/>
      <c r="Q153" s="71" t="b">
        <v>0</v>
      </c>
      <c r="R153" s="22">
        <f t="shared" si="2"/>
        <v>14</v>
      </c>
    </row>
    <row r="154" spans="1:18">
      <c r="A154" s="71">
        <v>446</v>
      </c>
      <c r="B154" s="72">
        <v>33352</v>
      </c>
      <c r="C154" s="71" t="s">
        <v>832</v>
      </c>
      <c r="D154" s="72">
        <v>33347</v>
      </c>
      <c r="E154" s="71" t="s">
        <v>833</v>
      </c>
      <c r="F154" s="71" t="s">
        <v>104</v>
      </c>
      <c r="G154" s="71" t="s">
        <v>20</v>
      </c>
      <c r="H154" s="71"/>
      <c r="I154" s="71"/>
      <c r="J154" s="71" t="s">
        <v>834</v>
      </c>
      <c r="K154" s="71" t="s">
        <v>835</v>
      </c>
      <c r="L154" s="71" t="s">
        <v>66</v>
      </c>
      <c r="M154" s="71"/>
      <c r="O154" s="72">
        <v>36339</v>
      </c>
      <c r="P154" s="71"/>
      <c r="Q154" s="71" t="b">
        <v>0</v>
      </c>
      <c r="R154" s="22">
        <f t="shared" si="2"/>
        <v>2984</v>
      </c>
    </row>
    <row r="155" spans="1:18">
      <c r="A155" s="71">
        <v>448</v>
      </c>
      <c r="B155" s="72">
        <v>33359</v>
      </c>
      <c r="C155" s="71" t="s">
        <v>836</v>
      </c>
      <c r="D155" s="72">
        <v>33357</v>
      </c>
      <c r="E155" s="71" t="s">
        <v>837</v>
      </c>
      <c r="F155" s="71" t="s">
        <v>359</v>
      </c>
      <c r="G155" s="71" t="s">
        <v>20</v>
      </c>
      <c r="H155" s="71"/>
      <c r="I155" s="71"/>
      <c r="J155" s="71" t="s">
        <v>838</v>
      </c>
      <c r="K155" s="71" t="s">
        <v>839</v>
      </c>
      <c r="L155" s="71" t="s">
        <v>82</v>
      </c>
      <c r="M155" s="71"/>
      <c r="O155" s="72">
        <v>33422</v>
      </c>
      <c r="P155" s="71"/>
      <c r="Q155" s="71" t="b">
        <v>0</v>
      </c>
      <c r="R155" s="22">
        <f t="shared" si="2"/>
        <v>62</v>
      </c>
    </row>
    <row r="156" spans="1:18">
      <c r="A156" s="71">
        <v>450</v>
      </c>
      <c r="B156" s="72">
        <v>33361</v>
      </c>
      <c r="C156" s="71" t="s">
        <v>840</v>
      </c>
      <c r="D156" s="72">
        <v>33360</v>
      </c>
      <c r="E156" s="71" t="s">
        <v>841</v>
      </c>
      <c r="F156" s="71" t="s">
        <v>228</v>
      </c>
      <c r="G156" s="71" t="s">
        <v>20</v>
      </c>
      <c r="H156" s="71"/>
      <c r="I156" s="71"/>
      <c r="J156" s="71" t="s">
        <v>842</v>
      </c>
      <c r="K156" s="71" t="s">
        <v>843</v>
      </c>
      <c r="L156" s="71" t="s">
        <v>24</v>
      </c>
      <c r="M156" s="71"/>
      <c r="O156" s="72">
        <v>33776</v>
      </c>
      <c r="P156" s="71">
        <v>-1</v>
      </c>
      <c r="Q156" s="71" t="b">
        <v>0</v>
      </c>
      <c r="R156" s="22">
        <f t="shared" si="2"/>
        <v>413</v>
      </c>
    </row>
    <row r="157" spans="1:18">
      <c r="A157" s="71">
        <v>452</v>
      </c>
      <c r="B157" s="72">
        <v>33367</v>
      </c>
      <c r="C157" s="71" t="s">
        <v>846</v>
      </c>
      <c r="D157" s="72">
        <v>33360</v>
      </c>
      <c r="E157" s="71" t="s">
        <v>841</v>
      </c>
      <c r="F157" s="71" t="s">
        <v>228</v>
      </c>
      <c r="G157" s="71" t="s">
        <v>20</v>
      </c>
      <c r="H157" s="71"/>
      <c r="I157" s="71"/>
      <c r="J157" s="71" t="s">
        <v>847</v>
      </c>
      <c r="K157" s="71"/>
      <c r="L157" s="71" t="s">
        <v>24</v>
      </c>
      <c r="M157" s="71"/>
      <c r="O157" s="72">
        <v>33776</v>
      </c>
      <c r="P157" s="71"/>
      <c r="Q157" s="71" t="b">
        <v>0</v>
      </c>
      <c r="R157" s="22">
        <f t="shared" si="2"/>
        <v>407</v>
      </c>
    </row>
    <row r="158" spans="1:18">
      <c r="A158" s="71">
        <v>453</v>
      </c>
      <c r="B158" s="72">
        <v>33367</v>
      </c>
      <c r="C158" s="71" t="s">
        <v>848</v>
      </c>
      <c r="D158" s="72">
        <v>33364</v>
      </c>
      <c r="E158" s="71" t="s">
        <v>849</v>
      </c>
      <c r="F158" s="71" t="s">
        <v>228</v>
      </c>
      <c r="G158" s="71" t="s">
        <v>20</v>
      </c>
      <c r="H158" s="71"/>
      <c r="I158" s="71"/>
      <c r="J158" s="71" t="s">
        <v>847</v>
      </c>
      <c r="K158" s="71" t="s">
        <v>850</v>
      </c>
      <c r="L158" s="71" t="s">
        <v>24</v>
      </c>
      <c r="M158" s="71"/>
      <c r="O158" s="72">
        <v>33776</v>
      </c>
      <c r="P158" s="71">
        <v>-1</v>
      </c>
      <c r="Q158" s="71" t="b">
        <v>0</v>
      </c>
      <c r="R158" s="22">
        <f t="shared" si="2"/>
        <v>407</v>
      </c>
    </row>
    <row r="159" spans="1:18">
      <c r="A159" s="71">
        <v>455</v>
      </c>
      <c r="B159" s="72">
        <v>33367</v>
      </c>
      <c r="C159" s="71" t="s">
        <v>851</v>
      </c>
      <c r="D159" s="72">
        <v>33366</v>
      </c>
      <c r="E159" s="71" t="s">
        <v>852</v>
      </c>
      <c r="F159" s="71" t="s">
        <v>27</v>
      </c>
      <c r="G159" s="71" t="s">
        <v>20</v>
      </c>
      <c r="H159" s="71"/>
      <c r="I159" s="71"/>
      <c r="J159" s="71" t="s">
        <v>557</v>
      </c>
      <c r="K159" s="71" t="s">
        <v>853</v>
      </c>
      <c r="L159" s="71" t="s">
        <v>24</v>
      </c>
      <c r="M159" s="71"/>
      <c r="O159" s="72">
        <v>33437</v>
      </c>
      <c r="P159" s="71"/>
      <c r="Q159" s="71" t="b">
        <v>0</v>
      </c>
      <c r="R159" s="22">
        <f t="shared" si="2"/>
        <v>69</v>
      </c>
    </row>
    <row r="160" spans="1:18">
      <c r="A160" s="71">
        <v>471</v>
      </c>
      <c r="B160" s="72">
        <v>33374</v>
      </c>
      <c r="C160" s="71" t="s">
        <v>863</v>
      </c>
      <c r="D160" s="72">
        <v>33372</v>
      </c>
      <c r="E160" s="71" t="s">
        <v>864</v>
      </c>
      <c r="F160" s="71" t="s">
        <v>242</v>
      </c>
      <c r="G160" s="71" t="s">
        <v>20</v>
      </c>
      <c r="H160" s="71"/>
      <c r="I160" s="71"/>
      <c r="J160" s="71" t="s">
        <v>865</v>
      </c>
      <c r="K160" s="71" t="s">
        <v>866</v>
      </c>
      <c r="L160" s="71" t="s">
        <v>24</v>
      </c>
      <c r="M160" s="71"/>
      <c r="O160" s="72">
        <v>33478</v>
      </c>
      <c r="P160" s="71"/>
      <c r="Q160" s="71" t="b">
        <v>0</v>
      </c>
      <c r="R160" s="22">
        <f t="shared" si="2"/>
        <v>103</v>
      </c>
    </row>
    <row r="161" spans="1:18">
      <c r="A161" s="71">
        <v>472</v>
      </c>
      <c r="B161" s="72">
        <v>33374</v>
      </c>
      <c r="C161" s="71" t="s">
        <v>867</v>
      </c>
      <c r="D161" s="72">
        <v>33373</v>
      </c>
      <c r="E161" s="71" t="s">
        <v>868</v>
      </c>
      <c r="F161" s="71" t="s">
        <v>327</v>
      </c>
      <c r="G161" s="71" t="s">
        <v>20</v>
      </c>
      <c r="H161" s="71"/>
      <c r="I161" s="71"/>
      <c r="J161" s="71" t="s">
        <v>869</v>
      </c>
      <c r="K161" s="71" t="s">
        <v>870</v>
      </c>
      <c r="L161" s="71" t="s">
        <v>66</v>
      </c>
      <c r="M161" s="71"/>
      <c r="O161" s="72">
        <v>35548</v>
      </c>
      <c r="P161" s="71">
        <v>-1</v>
      </c>
      <c r="Q161" s="71" t="b">
        <v>0</v>
      </c>
      <c r="R161" s="22">
        <f t="shared" si="2"/>
        <v>2171</v>
      </c>
    </row>
    <row r="162" spans="1:18">
      <c r="A162" s="71">
        <v>475</v>
      </c>
      <c r="B162" s="72">
        <v>33379</v>
      </c>
      <c r="C162" s="71" t="s">
        <v>874</v>
      </c>
      <c r="D162" s="72">
        <v>33374</v>
      </c>
      <c r="E162" s="71" t="s">
        <v>875</v>
      </c>
      <c r="F162" s="71" t="s">
        <v>861</v>
      </c>
      <c r="G162" s="71" t="s">
        <v>20</v>
      </c>
      <c r="H162" s="71" t="s">
        <v>566</v>
      </c>
      <c r="I162" s="71" t="s">
        <v>566</v>
      </c>
      <c r="J162" s="71" t="s">
        <v>876</v>
      </c>
      <c r="K162" s="71" t="s">
        <v>877</v>
      </c>
      <c r="L162" s="71" t="s">
        <v>24</v>
      </c>
      <c r="M162" s="71"/>
      <c r="O162" s="72">
        <v>33392</v>
      </c>
      <c r="P162" s="71"/>
      <c r="Q162" s="71" t="b">
        <v>0</v>
      </c>
      <c r="R162" s="22">
        <f t="shared" si="2"/>
        <v>12</v>
      </c>
    </row>
    <row r="163" spans="1:18">
      <c r="A163" s="71">
        <v>478</v>
      </c>
      <c r="B163" s="72">
        <v>33382</v>
      </c>
      <c r="C163" s="71" t="s">
        <v>878</v>
      </c>
      <c r="D163" s="72">
        <v>33378</v>
      </c>
      <c r="E163" s="71" t="s">
        <v>879</v>
      </c>
      <c r="F163" s="71" t="s">
        <v>27</v>
      </c>
      <c r="G163" s="71" t="s">
        <v>20</v>
      </c>
      <c r="H163" s="71"/>
      <c r="I163" s="71"/>
      <c r="J163" s="71" t="s">
        <v>880</v>
      </c>
      <c r="K163" s="71" t="s">
        <v>881</v>
      </c>
      <c r="L163" s="71" t="s">
        <v>82</v>
      </c>
      <c r="M163" s="71"/>
      <c r="O163" s="72">
        <v>33777</v>
      </c>
      <c r="P163" s="71"/>
      <c r="Q163" s="71" t="b">
        <v>0</v>
      </c>
      <c r="R163" s="22">
        <f t="shared" si="2"/>
        <v>393</v>
      </c>
    </row>
    <row r="164" spans="1:18">
      <c r="A164" s="71">
        <v>483</v>
      </c>
      <c r="B164" s="72">
        <v>33387</v>
      </c>
      <c r="C164" s="71" t="s">
        <v>882</v>
      </c>
      <c r="D164" s="72">
        <v>33380</v>
      </c>
      <c r="E164" s="71" t="s">
        <v>883</v>
      </c>
      <c r="F164" s="71" t="s">
        <v>124</v>
      </c>
      <c r="G164" s="71" t="s">
        <v>20</v>
      </c>
      <c r="H164" s="71"/>
      <c r="I164" s="71"/>
      <c r="J164" s="71" t="s">
        <v>884</v>
      </c>
      <c r="K164" s="71" t="s">
        <v>885</v>
      </c>
      <c r="L164" s="71" t="s">
        <v>82</v>
      </c>
      <c r="M164" s="71"/>
      <c r="O164" s="72">
        <v>33417</v>
      </c>
      <c r="P164" s="71">
        <v>-1</v>
      </c>
      <c r="Q164" s="71" t="b">
        <v>0</v>
      </c>
      <c r="R164" s="22">
        <f t="shared" si="2"/>
        <v>29</v>
      </c>
    </row>
    <row r="165" spans="1:18">
      <c r="A165" s="71">
        <v>493</v>
      </c>
      <c r="B165" s="72">
        <v>33389</v>
      </c>
      <c r="C165" s="71" t="s">
        <v>886</v>
      </c>
      <c r="D165" s="72">
        <v>33386</v>
      </c>
      <c r="E165" s="71" t="s">
        <v>887</v>
      </c>
      <c r="F165" s="71" t="s">
        <v>228</v>
      </c>
      <c r="G165" s="71" t="s">
        <v>20</v>
      </c>
      <c r="H165" s="71"/>
      <c r="I165" s="71"/>
      <c r="J165" s="71" t="s">
        <v>888</v>
      </c>
      <c r="K165" s="71" t="s">
        <v>889</v>
      </c>
      <c r="L165" s="71" t="s">
        <v>24</v>
      </c>
      <c r="M165" s="71"/>
      <c r="N165" s="72">
        <v>33419</v>
      </c>
      <c r="O165" s="72">
        <v>33473</v>
      </c>
      <c r="P165" s="71"/>
      <c r="Q165" s="71" t="b">
        <v>0</v>
      </c>
      <c r="R165" s="22">
        <f t="shared" si="2"/>
        <v>84</v>
      </c>
    </row>
    <row r="166" spans="1:18">
      <c r="A166" s="71">
        <v>497</v>
      </c>
      <c r="B166" s="72">
        <v>33389</v>
      </c>
      <c r="C166" s="71" t="s">
        <v>890</v>
      </c>
      <c r="D166" s="72">
        <v>33389</v>
      </c>
      <c r="E166" s="71" t="s">
        <v>891</v>
      </c>
      <c r="F166" s="71" t="s">
        <v>124</v>
      </c>
      <c r="G166" s="71" t="s">
        <v>20</v>
      </c>
      <c r="H166" s="71"/>
      <c r="I166" s="71"/>
      <c r="J166" s="71" t="s">
        <v>892</v>
      </c>
      <c r="K166" s="71" t="s">
        <v>893</v>
      </c>
      <c r="L166" s="71" t="s">
        <v>82</v>
      </c>
      <c r="M166" s="71"/>
      <c r="O166" s="72">
        <v>33422</v>
      </c>
      <c r="P166" s="71">
        <v>-1</v>
      </c>
      <c r="Q166" s="71" t="b">
        <v>0</v>
      </c>
      <c r="R166" s="22">
        <f t="shared" si="2"/>
        <v>33</v>
      </c>
    </row>
    <row r="167" spans="1:18">
      <c r="A167" s="71">
        <v>502</v>
      </c>
      <c r="B167" s="72">
        <v>33395</v>
      </c>
      <c r="C167" s="71" t="s">
        <v>894</v>
      </c>
      <c r="D167" s="72">
        <v>33394</v>
      </c>
      <c r="E167" s="71" t="s">
        <v>895</v>
      </c>
      <c r="F167" s="71" t="s">
        <v>533</v>
      </c>
      <c r="G167" s="71" t="s">
        <v>20</v>
      </c>
      <c r="H167" s="71"/>
      <c r="I167" s="71"/>
      <c r="J167" s="71" t="s">
        <v>896</v>
      </c>
      <c r="K167" s="71" t="s">
        <v>897</v>
      </c>
      <c r="L167" s="71" t="s">
        <v>24</v>
      </c>
      <c r="M167" s="71"/>
      <c r="O167" s="72">
        <v>33396</v>
      </c>
      <c r="P167" s="71">
        <v>-1</v>
      </c>
      <c r="Q167" s="71" t="b">
        <v>0</v>
      </c>
      <c r="R167" s="22">
        <f t="shared" si="2"/>
        <v>1</v>
      </c>
    </row>
    <row r="168" spans="1:18">
      <c r="A168" s="71">
        <v>503</v>
      </c>
      <c r="B168" s="72">
        <v>33395</v>
      </c>
      <c r="C168" s="71" t="s">
        <v>898</v>
      </c>
      <c r="D168" s="72">
        <v>33393</v>
      </c>
      <c r="E168" s="71" t="s">
        <v>899</v>
      </c>
      <c r="F168" s="71" t="s">
        <v>85</v>
      </c>
      <c r="G168" s="71" t="s">
        <v>20</v>
      </c>
      <c r="H168" s="71"/>
      <c r="I168" s="71"/>
      <c r="J168" s="71" t="s">
        <v>900</v>
      </c>
      <c r="K168" s="71" t="s">
        <v>901</v>
      </c>
      <c r="L168" s="71" t="s">
        <v>24</v>
      </c>
      <c r="M168" s="71"/>
      <c r="O168" s="72">
        <v>33250</v>
      </c>
      <c r="P168" s="71">
        <v>-1</v>
      </c>
      <c r="Q168" s="71" t="b">
        <v>0</v>
      </c>
      <c r="R168" s="22">
        <f t="shared" si="2"/>
        <v>146</v>
      </c>
    </row>
    <row r="169" spans="1:18">
      <c r="A169" s="71">
        <v>504</v>
      </c>
      <c r="B169" s="72">
        <v>33395</v>
      </c>
      <c r="C169" s="71" t="s">
        <v>902</v>
      </c>
      <c r="D169" s="72">
        <v>33394</v>
      </c>
      <c r="E169" s="71" t="s">
        <v>903</v>
      </c>
      <c r="F169" s="71" t="s">
        <v>904</v>
      </c>
      <c r="G169" s="71" t="s">
        <v>20</v>
      </c>
      <c r="H169" s="71"/>
      <c r="I169" s="71"/>
      <c r="J169" s="71" t="s">
        <v>905</v>
      </c>
      <c r="K169" s="71" t="s">
        <v>906</v>
      </c>
      <c r="L169" s="71" t="s">
        <v>24</v>
      </c>
      <c r="M169" s="71"/>
      <c r="O169" s="72">
        <v>33715</v>
      </c>
      <c r="P169" s="71">
        <v>-1</v>
      </c>
      <c r="Q169" s="71" t="b">
        <v>0</v>
      </c>
      <c r="R169" s="22">
        <f t="shared" si="2"/>
        <v>319</v>
      </c>
    </row>
    <row r="170" spans="1:18">
      <c r="A170" s="71">
        <v>506</v>
      </c>
      <c r="B170" s="72">
        <v>33395</v>
      </c>
      <c r="C170" s="71" t="s">
        <v>907</v>
      </c>
      <c r="D170" s="72">
        <v>33393</v>
      </c>
      <c r="E170" s="71" t="s">
        <v>908</v>
      </c>
      <c r="F170" s="71" t="s">
        <v>149</v>
      </c>
      <c r="G170" s="71" t="s">
        <v>20</v>
      </c>
      <c r="H170" s="71"/>
      <c r="I170" s="71"/>
      <c r="J170" s="71" t="s">
        <v>909</v>
      </c>
      <c r="K170" s="71" t="s">
        <v>910</v>
      </c>
      <c r="L170" s="71" t="s">
        <v>82</v>
      </c>
      <c r="M170" s="71"/>
      <c r="O170" s="72">
        <v>33422</v>
      </c>
      <c r="P170" s="71"/>
      <c r="Q170" s="71" t="b">
        <v>0</v>
      </c>
      <c r="R170" s="22">
        <f t="shared" si="2"/>
        <v>27</v>
      </c>
    </row>
    <row r="171" spans="1:18">
      <c r="A171" s="71">
        <v>523</v>
      </c>
      <c r="B171" s="72">
        <v>33408</v>
      </c>
      <c r="C171" s="71" t="s">
        <v>911</v>
      </c>
      <c r="D171" s="72">
        <v>33408</v>
      </c>
      <c r="E171" s="71" t="s">
        <v>912</v>
      </c>
      <c r="F171" s="71" t="s">
        <v>145</v>
      </c>
      <c r="G171" s="71" t="s">
        <v>20</v>
      </c>
      <c r="H171" s="71"/>
      <c r="I171" s="71"/>
      <c r="J171" s="71" t="s">
        <v>913</v>
      </c>
      <c r="K171" s="71"/>
      <c r="L171" s="71" t="s">
        <v>59</v>
      </c>
      <c r="M171" s="71"/>
      <c r="O171" s="72">
        <v>33408</v>
      </c>
      <c r="P171" s="71"/>
      <c r="Q171" s="71" t="b">
        <v>0</v>
      </c>
      <c r="R171" s="22">
        <f t="shared" si="2"/>
        <v>0</v>
      </c>
    </row>
    <row r="172" spans="1:18">
      <c r="A172" s="71">
        <v>525</v>
      </c>
      <c r="B172" s="72">
        <v>33408</v>
      </c>
      <c r="C172" s="71" t="s">
        <v>914</v>
      </c>
      <c r="D172" s="72">
        <v>33406</v>
      </c>
      <c r="E172" s="71" t="s">
        <v>915</v>
      </c>
      <c r="F172" s="71" t="s">
        <v>149</v>
      </c>
      <c r="G172" s="71" t="s">
        <v>20</v>
      </c>
      <c r="H172" s="71"/>
      <c r="I172" s="71"/>
      <c r="J172" s="71" t="s">
        <v>916</v>
      </c>
      <c r="K172" s="71" t="s">
        <v>917</v>
      </c>
      <c r="L172" s="71" t="s">
        <v>651</v>
      </c>
      <c r="M172" s="71"/>
      <c r="N172" s="72">
        <v>33417</v>
      </c>
      <c r="O172" s="72">
        <v>33451</v>
      </c>
      <c r="P172" s="71"/>
      <c r="Q172" s="71" t="b">
        <v>0</v>
      </c>
      <c r="R172" s="22">
        <f t="shared" si="2"/>
        <v>42</v>
      </c>
    </row>
    <row r="173" spans="1:18">
      <c r="A173" s="71">
        <v>528</v>
      </c>
      <c r="B173" s="72">
        <v>33410</v>
      </c>
      <c r="C173" s="71" t="s">
        <v>918</v>
      </c>
      <c r="D173" s="72">
        <v>33410</v>
      </c>
      <c r="E173" s="71" t="s">
        <v>919</v>
      </c>
      <c r="F173" s="71" t="s">
        <v>56</v>
      </c>
      <c r="G173" s="71" t="s">
        <v>20</v>
      </c>
      <c r="H173" s="71"/>
      <c r="I173" s="71"/>
      <c r="J173" s="71" t="s">
        <v>920</v>
      </c>
      <c r="K173" s="71" t="s">
        <v>921</v>
      </c>
      <c r="L173" s="71" t="s">
        <v>24</v>
      </c>
      <c r="M173" s="71"/>
      <c r="O173" s="72">
        <v>33567</v>
      </c>
      <c r="P173" s="71"/>
      <c r="Q173" s="71" t="b">
        <v>0</v>
      </c>
      <c r="R173" s="22">
        <f t="shared" si="2"/>
        <v>156</v>
      </c>
    </row>
    <row r="174" spans="1:18">
      <c r="A174" s="71">
        <v>529</v>
      </c>
      <c r="B174" s="72">
        <v>33413</v>
      </c>
      <c r="C174" s="71" t="s">
        <v>922</v>
      </c>
      <c r="D174" s="72">
        <v>33410</v>
      </c>
      <c r="E174" s="71" t="s">
        <v>923</v>
      </c>
      <c r="F174" s="71" t="s">
        <v>98</v>
      </c>
      <c r="G174" s="71" t="s">
        <v>20</v>
      </c>
      <c r="H174" s="71"/>
      <c r="I174" s="71"/>
      <c r="J174" s="71" t="s">
        <v>924</v>
      </c>
      <c r="K174" s="71" t="s">
        <v>925</v>
      </c>
      <c r="L174" s="71" t="s">
        <v>24</v>
      </c>
      <c r="M174" s="71"/>
      <c r="O174" s="72">
        <v>33940</v>
      </c>
      <c r="P174" s="71"/>
      <c r="Q174" s="71" t="b">
        <v>0</v>
      </c>
      <c r="R174" s="22">
        <f t="shared" si="2"/>
        <v>525</v>
      </c>
    </row>
    <row r="175" spans="1:18">
      <c r="A175" s="71">
        <v>535</v>
      </c>
      <c r="B175" s="72">
        <v>33416</v>
      </c>
      <c r="C175" s="71" t="s">
        <v>926</v>
      </c>
      <c r="D175" s="72">
        <v>33415</v>
      </c>
      <c r="E175" s="71" t="s">
        <v>927</v>
      </c>
      <c r="F175" s="71" t="s">
        <v>145</v>
      </c>
      <c r="G175" s="71" t="s">
        <v>20</v>
      </c>
      <c r="H175" s="71"/>
      <c r="I175" s="71"/>
      <c r="J175" s="71" t="s">
        <v>928</v>
      </c>
      <c r="K175" s="71" t="s">
        <v>929</v>
      </c>
      <c r="L175" s="71" t="s">
        <v>30</v>
      </c>
      <c r="M175" s="71"/>
      <c r="N175" s="72">
        <v>33424</v>
      </c>
      <c r="O175" s="72">
        <v>33424</v>
      </c>
      <c r="P175" s="71"/>
      <c r="Q175" s="71" t="b">
        <v>0</v>
      </c>
      <c r="R175" s="22">
        <f t="shared" si="2"/>
        <v>8</v>
      </c>
    </row>
    <row r="176" spans="1:18">
      <c r="A176" s="71">
        <v>537</v>
      </c>
      <c r="B176" s="72">
        <v>33417</v>
      </c>
      <c r="C176" s="71" t="s">
        <v>930</v>
      </c>
      <c r="D176" s="72">
        <v>33416</v>
      </c>
      <c r="E176" s="71" t="s">
        <v>931</v>
      </c>
      <c r="F176" s="71" t="s">
        <v>27</v>
      </c>
      <c r="G176" s="71" t="s">
        <v>20</v>
      </c>
      <c r="H176" s="71"/>
      <c r="I176" s="71"/>
      <c r="J176" s="71" t="s">
        <v>932</v>
      </c>
      <c r="K176" s="71" t="s">
        <v>933</v>
      </c>
      <c r="L176" s="71" t="s">
        <v>24</v>
      </c>
      <c r="M176" s="71"/>
      <c r="O176" s="72">
        <v>33437</v>
      </c>
      <c r="P176" s="71"/>
      <c r="Q176" s="71" t="b">
        <v>0</v>
      </c>
      <c r="R176" s="22">
        <f t="shared" si="2"/>
        <v>20</v>
      </c>
    </row>
    <row r="177" spans="1:18">
      <c r="A177" s="71">
        <v>540</v>
      </c>
      <c r="B177" s="72">
        <v>33420</v>
      </c>
      <c r="C177" s="71" t="s">
        <v>934</v>
      </c>
      <c r="D177" s="72">
        <v>33416</v>
      </c>
      <c r="E177" s="71" t="s">
        <v>935</v>
      </c>
      <c r="F177" s="71" t="s">
        <v>259</v>
      </c>
      <c r="G177" s="71" t="s">
        <v>20</v>
      </c>
      <c r="H177" s="71"/>
      <c r="I177" s="71"/>
      <c r="J177" s="71" t="s">
        <v>936</v>
      </c>
      <c r="K177" s="71" t="s">
        <v>937</v>
      </c>
      <c r="L177" s="71" t="s">
        <v>24</v>
      </c>
      <c r="M177" s="71"/>
      <c r="O177" s="72">
        <v>33770</v>
      </c>
      <c r="P177" s="71">
        <v>-1</v>
      </c>
      <c r="Q177" s="71" t="b">
        <v>0</v>
      </c>
      <c r="R177" s="22">
        <f t="shared" si="2"/>
        <v>348</v>
      </c>
    </row>
    <row r="178" spans="1:18">
      <c r="A178" s="71">
        <v>545</v>
      </c>
      <c r="B178" s="72">
        <v>33424</v>
      </c>
      <c r="C178" s="71" t="s">
        <v>945</v>
      </c>
      <c r="D178" s="72">
        <v>33417</v>
      </c>
      <c r="E178" s="71" t="s">
        <v>946</v>
      </c>
      <c r="F178" s="71" t="s">
        <v>149</v>
      </c>
      <c r="G178" s="71" t="s">
        <v>20</v>
      </c>
      <c r="H178" s="71"/>
      <c r="I178" s="71"/>
      <c r="J178" s="71" t="s">
        <v>947</v>
      </c>
      <c r="K178" s="71" t="s">
        <v>948</v>
      </c>
      <c r="L178" s="71" t="s">
        <v>30</v>
      </c>
      <c r="M178" s="71"/>
      <c r="N178" s="72">
        <v>33450</v>
      </c>
      <c r="O178" s="72">
        <v>33585</v>
      </c>
      <c r="P178" s="71"/>
      <c r="Q178" s="71" t="b">
        <v>0</v>
      </c>
      <c r="R178" s="22">
        <f t="shared" si="2"/>
        <v>160</v>
      </c>
    </row>
    <row r="179" spans="1:18">
      <c r="A179" s="71">
        <v>548</v>
      </c>
      <c r="B179" s="72">
        <v>33424</v>
      </c>
      <c r="C179" s="71" t="s">
        <v>949</v>
      </c>
      <c r="D179" s="72">
        <v>33422</v>
      </c>
      <c r="E179" s="71" t="s">
        <v>950</v>
      </c>
      <c r="F179" s="71" t="s">
        <v>689</v>
      </c>
      <c r="G179" s="71" t="s">
        <v>20</v>
      </c>
      <c r="H179" s="71" t="s">
        <v>212</v>
      </c>
      <c r="I179" s="71" t="s">
        <v>212</v>
      </c>
      <c r="J179" s="71" t="s">
        <v>951</v>
      </c>
      <c r="K179" s="71" t="s">
        <v>952</v>
      </c>
      <c r="L179" s="71" t="s">
        <v>24</v>
      </c>
      <c r="M179" s="71"/>
      <c r="O179" s="72">
        <v>33518</v>
      </c>
      <c r="P179" s="71"/>
      <c r="Q179" s="71" t="b">
        <v>0</v>
      </c>
      <c r="R179" s="22">
        <f t="shared" si="2"/>
        <v>93</v>
      </c>
    </row>
    <row r="180" spans="1:18">
      <c r="A180" s="71">
        <v>549</v>
      </c>
      <c r="B180" s="72">
        <v>33427</v>
      </c>
      <c r="C180" s="71" t="s">
        <v>953</v>
      </c>
      <c r="D180" s="72">
        <v>33424</v>
      </c>
      <c r="E180" s="71" t="s">
        <v>954</v>
      </c>
      <c r="F180" s="71" t="s">
        <v>955</v>
      </c>
      <c r="G180" s="71" t="s">
        <v>20</v>
      </c>
      <c r="H180" s="71"/>
      <c r="I180" s="71"/>
      <c r="J180" s="71" t="s">
        <v>956</v>
      </c>
      <c r="K180" s="71" t="s">
        <v>957</v>
      </c>
      <c r="L180" s="71" t="s">
        <v>82</v>
      </c>
      <c r="M180" s="71"/>
      <c r="O180" s="72">
        <v>34841</v>
      </c>
      <c r="P180" s="71"/>
      <c r="Q180" s="71" t="b">
        <v>0</v>
      </c>
      <c r="R180" s="22">
        <f t="shared" si="2"/>
        <v>1413</v>
      </c>
    </row>
    <row r="181" spans="1:18">
      <c r="A181" s="71">
        <v>552</v>
      </c>
      <c r="B181" s="72">
        <v>33428</v>
      </c>
      <c r="C181" s="71" t="s">
        <v>958</v>
      </c>
      <c r="D181" s="72">
        <v>33421</v>
      </c>
      <c r="E181" s="71" t="s">
        <v>959</v>
      </c>
      <c r="F181" s="71" t="s">
        <v>85</v>
      </c>
      <c r="G181" s="71" t="s">
        <v>20</v>
      </c>
      <c r="H181" s="71"/>
      <c r="I181" s="71"/>
      <c r="J181" s="71" t="s">
        <v>960</v>
      </c>
      <c r="K181" s="71" t="s">
        <v>961</v>
      </c>
      <c r="L181" s="71" t="s">
        <v>24</v>
      </c>
      <c r="M181" s="71"/>
      <c r="N181" s="72">
        <v>33452</v>
      </c>
      <c r="O181" s="72">
        <v>33458</v>
      </c>
      <c r="P181" s="71"/>
      <c r="Q181" s="71" t="b">
        <v>0</v>
      </c>
      <c r="R181" s="22">
        <f t="shared" si="2"/>
        <v>29</v>
      </c>
    </row>
    <row r="182" spans="1:18">
      <c r="A182" s="71">
        <v>563</v>
      </c>
      <c r="B182" s="72">
        <v>33431</v>
      </c>
      <c r="C182" s="71" t="s">
        <v>972</v>
      </c>
      <c r="D182" s="72">
        <v>33430</v>
      </c>
      <c r="E182" s="71" t="s">
        <v>973</v>
      </c>
      <c r="F182" s="71" t="s">
        <v>974</v>
      </c>
      <c r="G182" s="71" t="s">
        <v>20</v>
      </c>
      <c r="H182" s="71" t="s">
        <v>212</v>
      </c>
      <c r="I182" s="71" t="s">
        <v>212</v>
      </c>
      <c r="J182" s="71" t="s">
        <v>975</v>
      </c>
      <c r="K182" s="71" t="s">
        <v>952</v>
      </c>
      <c r="L182" s="71" t="s">
        <v>24</v>
      </c>
      <c r="M182" s="71"/>
      <c r="O182" s="72">
        <v>33518</v>
      </c>
      <c r="P182" s="71"/>
      <c r="Q182" s="71" t="b">
        <v>0</v>
      </c>
      <c r="R182" s="22">
        <f t="shared" si="2"/>
        <v>86</v>
      </c>
    </row>
    <row r="183" spans="1:18">
      <c r="A183" s="71">
        <v>565</v>
      </c>
      <c r="B183" s="72">
        <v>33435</v>
      </c>
      <c r="C183" s="71" t="s">
        <v>976</v>
      </c>
      <c r="D183" s="72">
        <v>33435</v>
      </c>
      <c r="E183" s="71" t="s">
        <v>977</v>
      </c>
      <c r="F183" s="71" t="s">
        <v>98</v>
      </c>
      <c r="G183" s="71" t="s">
        <v>20</v>
      </c>
      <c r="H183" s="71"/>
      <c r="I183" s="71"/>
      <c r="J183" s="71" t="s">
        <v>978</v>
      </c>
      <c r="K183" s="71" t="s">
        <v>979</v>
      </c>
      <c r="L183" s="71" t="s">
        <v>24</v>
      </c>
      <c r="M183" s="71"/>
      <c r="O183" s="72">
        <v>33445</v>
      </c>
      <c r="P183" s="71">
        <v>-1</v>
      </c>
      <c r="Q183" s="71" t="b">
        <v>0</v>
      </c>
      <c r="R183" s="22">
        <f t="shared" si="2"/>
        <v>10</v>
      </c>
    </row>
    <row r="184" spans="1:18">
      <c r="A184" s="71">
        <v>569</v>
      </c>
      <c r="B184" s="72">
        <v>33437</v>
      </c>
      <c r="C184" s="71" t="s">
        <v>982</v>
      </c>
      <c r="D184" s="72">
        <v>33437</v>
      </c>
      <c r="E184" s="71" t="s">
        <v>983</v>
      </c>
      <c r="F184" s="71" t="s">
        <v>984</v>
      </c>
      <c r="G184" s="71" t="s">
        <v>20</v>
      </c>
      <c r="H184" s="71"/>
      <c r="I184" s="71"/>
      <c r="J184" s="71" t="s">
        <v>985</v>
      </c>
      <c r="K184" s="71" t="s">
        <v>986</v>
      </c>
      <c r="L184" s="71" t="s">
        <v>24</v>
      </c>
      <c r="M184" s="71"/>
      <c r="O184" s="72">
        <v>33441</v>
      </c>
      <c r="P184" s="71">
        <v>-1</v>
      </c>
      <c r="Q184" s="71" t="b">
        <v>0</v>
      </c>
      <c r="R184" s="22">
        <f t="shared" si="2"/>
        <v>4</v>
      </c>
    </row>
    <row r="185" spans="1:18">
      <c r="A185" s="71">
        <v>573</v>
      </c>
      <c r="B185" s="72">
        <v>33441</v>
      </c>
      <c r="C185" s="71" t="s">
        <v>992</v>
      </c>
      <c r="D185" s="72">
        <v>33435</v>
      </c>
      <c r="E185" s="71" t="s">
        <v>993</v>
      </c>
      <c r="F185" s="71" t="s">
        <v>124</v>
      </c>
      <c r="G185" s="71" t="s">
        <v>20</v>
      </c>
      <c r="H185" s="71"/>
      <c r="I185" s="71"/>
      <c r="J185" s="71" t="s">
        <v>126</v>
      </c>
      <c r="K185" s="71" t="s">
        <v>994</v>
      </c>
      <c r="L185" s="71" t="s">
        <v>82</v>
      </c>
      <c r="M185" s="71"/>
      <c r="O185" s="72">
        <v>33583</v>
      </c>
      <c r="P185" s="71">
        <v>-1</v>
      </c>
      <c r="Q185" s="71" t="b">
        <v>0</v>
      </c>
      <c r="R185" s="22">
        <f t="shared" si="2"/>
        <v>140</v>
      </c>
    </row>
    <row r="186" spans="1:18">
      <c r="A186" s="71">
        <v>574</v>
      </c>
      <c r="B186" s="72">
        <v>33441</v>
      </c>
      <c r="C186" s="71" t="s">
        <v>995</v>
      </c>
      <c r="D186" s="72">
        <v>33437</v>
      </c>
      <c r="E186" s="71" t="s">
        <v>996</v>
      </c>
      <c r="F186" s="71" t="s">
        <v>124</v>
      </c>
      <c r="G186" s="71" t="s">
        <v>20</v>
      </c>
      <c r="H186" s="71"/>
      <c r="I186" s="71"/>
      <c r="J186" s="71" t="s">
        <v>126</v>
      </c>
      <c r="K186" s="71" t="s">
        <v>994</v>
      </c>
      <c r="L186" s="71" t="s">
        <v>82</v>
      </c>
      <c r="M186" s="71"/>
      <c r="O186" s="72">
        <v>33476</v>
      </c>
      <c r="P186" s="71">
        <v>-1</v>
      </c>
      <c r="Q186" s="71" t="b">
        <v>0</v>
      </c>
      <c r="R186" s="22">
        <f t="shared" si="2"/>
        <v>34</v>
      </c>
    </row>
    <row r="187" spans="1:18">
      <c r="A187" s="71">
        <v>575</v>
      </c>
      <c r="B187" s="72">
        <v>33442</v>
      </c>
      <c r="C187" s="71" t="s">
        <v>997</v>
      </c>
      <c r="D187" s="72">
        <v>33442</v>
      </c>
      <c r="E187" s="71" t="s">
        <v>998</v>
      </c>
      <c r="F187" s="71" t="s">
        <v>999</v>
      </c>
      <c r="G187" s="71" t="s">
        <v>20</v>
      </c>
      <c r="H187" s="71" t="s">
        <v>71</v>
      </c>
      <c r="I187" s="71" t="s">
        <v>72</v>
      </c>
      <c r="J187" s="71" t="s">
        <v>1000</v>
      </c>
      <c r="K187" s="71" t="s">
        <v>1001</v>
      </c>
      <c r="L187" s="71" t="s">
        <v>82</v>
      </c>
      <c r="M187" s="71"/>
      <c r="O187" s="72">
        <v>33603</v>
      </c>
      <c r="P187" s="71">
        <v>-1</v>
      </c>
      <c r="Q187" s="71" t="b">
        <v>0</v>
      </c>
      <c r="R187" s="22">
        <f t="shared" si="2"/>
        <v>160</v>
      </c>
    </row>
    <row r="188" spans="1:18">
      <c r="A188" s="71">
        <v>584</v>
      </c>
      <c r="B188" s="72">
        <v>33449</v>
      </c>
      <c r="C188" s="71" t="s">
        <v>1005</v>
      </c>
      <c r="D188" s="72">
        <v>33448</v>
      </c>
      <c r="E188" s="71" t="s">
        <v>1006</v>
      </c>
      <c r="F188" s="71" t="s">
        <v>455</v>
      </c>
      <c r="G188" s="71" t="s">
        <v>20</v>
      </c>
      <c r="H188" s="71" t="s">
        <v>71</v>
      </c>
      <c r="I188" s="71" t="s">
        <v>72</v>
      </c>
      <c r="J188" s="71" t="s">
        <v>1007</v>
      </c>
      <c r="K188" s="71" t="s">
        <v>1008</v>
      </c>
      <c r="L188" s="71" t="s">
        <v>24</v>
      </c>
      <c r="M188" s="71"/>
      <c r="O188" s="72">
        <v>33800</v>
      </c>
      <c r="P188" s="71"/>
      <c r="Q188" s="71" t="b">
        <v>0</v>
      </c>
      <c r="R188" s="22">
        <f t="shared" si="2"/>
        <v>349</v>
      </c>
    </row>
    <row r="189" spans="1:18">
      <c r="A189" s="71">
        <v>585</v>
      </c>
      <c r="B189" s="72">
        <v>33449</v>
      </c>
      <c r="C189" s="71" t="s">
        <v>1009</v>
      </c>
      <c r="D189" s="72">
        <v>33449</v>
      </c>
      <c r="E189" s="71" t="s">
        <v>1010</v>
      </c>
      <c r="F189" s="71" t="s">
        <v>43</v>
      </c>
      <c r="G189" s="71" t="s">
        <v>20</v>
      </c>
      <c r="H189" s="71"/>
      <c r="I189" s="71"/>
      <c r="J189" s="71" t="s">
        <v>1011</v>
      </c>
      <c r="K189" s="71" t="s">
        <v>1012</v>
      </c>
      <c r="L189" s="71" t="s">
        <v>24</v>
      </c>
      <c r="M189" s="71"/>
      <c r="O189" s="72">
        <v>33450</v>
      </c>
      <c r="P189" s="71">
        <v>-1</v>
      </c>
      <c r="Q189" s="71" t="b">
        <v>0</v>
      </c>
      <c r="R189" s="22">
        <f t="shared" si="2"/>
        <v>0</v>
      </c>
    </row>
    <row r="190" spans="1:18">
      <c r="A190" s="71">
        <v>589</v>
      </c>
      <c r="B190" s="72">
        <v>33450</v>
      </c>
      <c r="C190" s="71" t="s">
        <v>1013</v>
      </c>
      <c r="D190" s="72">
        <v>33449</v>
      </c>
      <c r="E190" s="71" t="s">
        <v>1014</v>
      </c>
      <c r="F190" s="71" t="s">
        <v>56</v>
      </c>
      <c r="G190" s="71" t="s">
        <v>20</v>
      </c>
      <c r="H190" s="71"/>
      <c r="I190" s="71"/>
      <c r="J190" s="71" t="s">
        <v>1015</v>
      </c>
      <c r="K190" s="71" t="s">
        <v>1016</v>
      </c>
      <c r="L190" s="71" t="s">
        <v>24</v>
      </c>
      <c r="M190" s="71"/>
      <c r="O190" s="72">
        <v>33463</v>
      </c>
      <c r="P190" s="71"/>
      <c r="Q190" s="71" t="b">
        <v>0</v>
      </c>
      <c r="R190" s="22">
        <f t="shared" si="2"/>
        <v>13</v>
      </c>
    </row>
    <row r="191" spans="1:18">
      <c r="A191" s="71">
        <v>590</v>
      </c>
      <c r="B191" s="72">
        <v>33451</v>
      </c>
      <c r="C191" s="71" t="s">
        <v>1017</v>
      </c>
      <c r="D191" s="72">
        <v>33442</v>
      </c>
      <c r="E191" s="71" t="s">
        <v>1018</v>
      </c>
      <c r="F191" s="71" t="s">
        <v>1019</v>
      </c>
      <c r="G191" s="71" t="s">
        <v>20</v>
      </c>
      <c r="H191" s="71"/>
      <c r="I191" s="71"/>
      <c r="J191" s="71" t="s">
        <v>1020</v>
      </c>
      <c r="K191" s="71" t="s">
        <v>1021</v>
      </c>
      <c r="L191" s="71" t="s">
        <v>651</v>
      </c>
      <c r="M191" s="71"/>
      <c r="O191" s="72">
        <v>33526</v>
      </c>
      <c r="P191" s="71"/>
      <c r="Q191" s="71" t="b">
        <v>0</v>
      </c>
      <c r="R191" s="22">
        <f t="shared" si="2"/>
        <v>75</v>
      </c>
    </row>
    <row r="192" spans="1:18">
      <c r="A192" s="71">
        <v>592</v>
      </c>
      <c r="B192" s="72">
        <v>33452</v>
      </c>
      <c r="C192" s="71" t="s">
        <v>1022</v>
      </c>
      <c r="D192" s="72">
        <v>33452</v>
      </c>
      <c r="E192" s="71" t="s">
        <v>1023</v>
      </c>
      <c r="F192" s="71" t="s">
        <v>104</v>
      </c>
      <c r="G192" s="71" t="s">
        <v>20</v>
      </c>
      <c r="H192" s="71"/>
      <c r="I192" s="71"/>
      <c r="J192" s="71" t="s">
        <v>1024</v>
      </c>
      <c r="K192" s="71" t="s">
        <v>1025</v>
      </c>
      <c r="L192" s="71" t="s">
        <v>24</v>
      </c>
      <c r="M192" s="71"/>
      <c r="O192" s="72">
        <v>33455</v>
      </c>
      <c r="P192" s="71"/>
      <c r="Q192" s="71" t="b">
        <v>0</v>
      </c>
      <c r="R192" s="22">
        <f t="shared" si="2"/>
        <v>3</v>
      </c>
    </row>
    <row r="193" spans="1:18">
      <c r="A193" s="71">
        <v>593</v>
      </c>
      <c r="B193" s="72">
        <v>33452</v>
      </c>
      <c r="C193" s="71" t="s">
        <v>1026</v>
      </c>
      <c r="D193" s="72">
        <v>33449</v>
      </c>
      <c r="E193" s="71" t="s">
        <v>1027</v>
      </c>
      <c r="F193" s="71" t="s">
        <v>904</v>
      </c>
      <c r="G193" s="71" t="s">
        <v>20</v>
      </c>
      <c r="H193" s="71"/>
      <c r="I193" s="71"/>
      <c r="J193" s="71" t="s">
        <v>1028</v>
      </c>
      <c r="K193" s="71" t="s">
        <v>1029</v>
      </c>
      <c r="L193" s="71" t="s">
        <v>686</v>
      </c>
      <c r="M193" s="71"/>
      <c r="O193" s="72">
        <v>35857</v>
      </c>
      <c r="P193" s="71"/>
      <c r="Q193" s="71" t="b">
        <v>0</v>
      </c>
      <c r="R193" s="22">
        <f t="shared" si="2"/>
        <v>2403</v>
      </c>
    </row>
    <row r="194" spans="1:18">
      <c r="A194" s="71">
        <v>594</v>
      </c>
      <c r="B194" s="72">
        <v>33452</v>
      </c>
      <c r="C194" s="71" t="s">
        <v>1030</v>
      </c>
      <c r="D194" s="72">
        <v>33450</v>
      </c>
      <c r="E194" s="71" t="s">
        <v>1031</v>
      </c>
      <c r="F194" s="71" t="s">
        <v>124</v>
      </c>
      <c r="G194" s="71" t="s">
        <v>20</v>
      </c>
      <c r="H194" s="71"/>
      <c r="I194" s="71"/>
      <c r="J194" s="71" t="s">
        <v>126</v>
      </c>
      <c r="K194" s="71" t="s">
        <v>1032</v>
      </c>
      <c r="L194" s="71" t="s">
        <v>82</v>
      </c>
      <c r="M194" s="71"/>
      <c r="O194" s="72">
        <v>33583</v>
      </c>
      <c r="P194" s="71">
        <v>-1</v>
      </c>
      <c r="Q194" s="71" t="b">
        <v>0</v>
      </c>
      <c r="R194" s="22">
        <f t="shared" ref="R194:R257" si="3">IF(O194=" ", " ", INT(YEARFRAC(O194, B194)*365))</f>
        <v>130</v>
      </c>
    </row>
    <row r="195" spans="1:18">
      <c r="A195" s="71">
        <v>597</v>
      </c>
      <c r="B195" s="72">
        <v>33456</v>
      </c>
      <c r="C195" s="71" t="s">
        <v>1033</v>
      </c>
      <c r="D195" s="72">
        <v>33452</v>
      </c>
      <c r="E195" s="71" t="s">
        <v>1034</v>
      </c>
      <c r="F195" s="71" t="s">
        <v>455</v>
      </c>
      <c r="G195" s="71" t="s">
        <v>20</v>
      </c>
      <c r="H195" s="71" t="s">
        <v>71</v>
      </c>
      <c r="I195" s="71" t="s">
        <v>72</v>
      </c>
      <c r="J195" s="71" t="s">
        <v>1035</v>
      </c>
      <c r="K195" s="71" t="s">
        <v>1036</v>
      </c>
      <c r="L195" s="71" t="s">
        <v>24</v>
      </c>
      <c r="M195" s="71"/>
      <c r="O195" s="72">
        <v>35059</v>
      </c>
      <c r="P195" s="71"/>
      <c r="Q195" s="71" t="b">
        <v>0</v>
      </c>
      <c r="R195" s="22">
        <f t="shared" si="3"/>
        <v>1601</v>
      </c>
    </row>
    <row r="196" spans="1:18">
      <c r="A196" s="71">
        <v>602</v>
      </c>
      <c r="B196" s="72">
        <v>33459</v>
      </c>
      <c r="C196" s="71" t="s">
        <v>1037</v>
      </c>
      <c r="D196" s="72">
        <v>33457</v>
      </c>
      <c r="E196" s="71" t="s">
        <v>1038</v>
      </c>
      <c r="F196" s="71" t="s">
        <v>1039</v>
      </c>
      <c r="G196" s="71" t="s">
        <v>20</v>
      </c>
      <c r="H196" s="71"/>
      <c r="I196" s="71"/>
      <c r="J196" s="71" t="s">
        <v>920</v>
      </c>
      <c r="K196" s="71" t="s">
        <v>1040</v>
      </c>
      <c r="L196" s="71" t="s">
        <v>24</v>
      </c>
      <c r="M196" s="71"/>
      <c r="N196" s="72">
        <v>33480</v>
      </c>
      <c r="O196" s="72">
        <v>33577</v>
      </c>
      <c r="P196" s="71"/>
      <c r="Q196" s="71" t="b">
        <v>0</v>
      </c>
      <c r="R196" s="22">
        <f t="shared" si="3"/>
        <v>117</v>
      </c>
    </row>
    <row r="197" spans="1:18">
      <c r="A197" s="71">
        <v>610</v>
      </c>
      <c r="B197" s="72">
        <v>33471</v>
      </c>
      <c r="C197" s="71" t="s">
        <v>1050</v>
      </c>
      <c r="D197" s="72">
        <v>33462</v>
      </c>
      <c r="E197" s="71" t="s">
        <v>1051</v>
      </c>
      <c r="F197" s="71" t="s">
        <v>98</v>
      </c>
      <c r="G197" s="71" t="s">
        <v>20</v>
      </c>
      <c r="H197" s="71"/>
      <c r="I197" s="71"/>
      <c r="J197" s="71" t="s">
        <v>1052</v>
      </c>
      <c r="K197" s="71" t="s">
        <v>1053</v>
      </c>
      <c r="L197" s="71" t="s">
        <v>30</v>
      </c>
      <c r="M197" s="71"/>
      <c r="N197" s="72">
        <v>33501</v>
      </c>
      <c r="O197" s="72">
        <v>34974</v>
      </c>
      <c r="P197" s="71"/>
      <c r="Q197" s="71" t="b">
        <v>0</v>
      </c>
      <c r="R197" s="22">
        <f t="shared" si="3"/>
        <v>1501</v>
      </c>
    </row>
    <row r="198" spans="1:18">
      <c r="A198" s="71">
        <v>615</v>
      </c>
      <c r="B198" s="72">
        <v>33473</v>
      </c>
      <c r="C198" s="71" t="s">
        <v>1054</v>
      </c>
      <c r="D198" s="72">
        <v>33473</v>
      </c>
      <c r="E198" s="71" t="s">
        <v>1055</v>
      </c>
      <c r="F198" s="71" t="s">
        <v>149</v>
      </c>
      <c r="G198" s="71" t="s">
        <v>20</v>
      </c>
      <c r="H198" s="71"/>
      <c r="I198" s="71"/>
      <c r="J198" s="71" t="s">
        <v>1056</v>
      </c>
      <c r="K198" s="71" t="s">
        <v>1057</v>
      </c>
      <c r="L198" s="71" t="s">
        <v>651</v>
      </c>
      <c r="M198" s="71"/>
      <c r="N198" s="72">
        <v>33484</v>
      </c>
      <c r="O198" s="72">
        <v>33487</v>
      </c>
      <c r="P198" s="71"/>
      <c r="Q198" s="71" t="b">
        <v>0</v>
      </c>
      <c r="R198" s="22">
        <f t="shared" si="3"/>
        <v>13</v>
      </c>
    </row>
    <row r="199" spans="1:18">
      <c r="A199" s="71">
        <v>620</v>
      </c>
      <c r="B199" s="72">
        <v>33478</v>
      </c>
      <c r="C199" s="71" t="s">
        <v>1064</v>
      </c>
      <c r="D199" s="72">
        <v>33476</v>
      </c>
      <c r="E199" s="71" t="s">
        <v>1065</v>
      </c>
      <c r="F199" s="71" t="s">
        <v>124</v>
      </c>
      <c r="G199" s="71" t="s">
        <v>20</v>
      </c>
      <c r="H199" s="71"/>
      <c r="I199" s="71"/>
      <c r="J199" s="71" t="s">
        <v>1066</v>
      </c>
      <c r="K199" s="71" t="s">
        <v>1067</v>
      </c>
      <c r="L199" s="71" t="s">
        <v>24</v>
      </c>
      <c r="M199" s="71"/>
      <c r="O199" s="72">
        <v>33485</v>
      </c>
      <c r="P199" s="71">
        <v>-1</v>
      </c>
      <c r="Q199" s="71" t="b">
        <v>0</v>
      </c>
      <c r="R199" s="22">
        <f t="shared" si="3"/>
        <v>6</v>
      </c>
    </row>
    <row r="200" spans="1:18">
      <c r="A200" s="71">
        <v>622</v>
      </c>
      <c r="B200" s="72">
        <v>33484</v>
      </c>
      <c r="C200" s="71" t="s">
        <v>1069</v>
      </c>
      <c r="D200" s="72">
        <v>33480</v>
      </c>
      <c r="E200" s="71" t="s">
        <v>1070</v>
      </c>
      <c r="F200" s="71" t="s">
        <v>19</v>
      </c>
      <c r="G200" s="71" t="s">
        <v>20</v>
      </c>
      <c r="H200" s="71"/>
      <c r="I200" s="71"/>
      <c r="J200" s="71" t="s">
        <v>1071</v>
      </c>
      <c r="K200" s="71" t="s">
        <v>1072</v>
      </c>
      <c r="L200" s="71" t="s">
        <v>651</v>
      </c>
      <c r="M200" s="71"/>
      <c r="O200" s="72">
        <v>33506</v>
      </c>
      <c r="P200" s="71">
        <v>-1</v>
      </c>
      <c r="Q200" s="71" t="b">
        <v>0</v>
      </c>
      <c r="R200" s="22">
        <f t="shared" si="3"/>
        <v>22</v>
      </c>
    </row>
    <row r="201" spans="1:18">
      <c r="A201" s="71">
        <v>623</v>
      </c>
      <c r="B201" s="72">
        <v>33486</v>
      </c>
      <c r="C201" s="71" t="s">
        <v>1073</v>
      </c>
      <c r="D201" s="72">
        <v>33486</v>
      </c>
      <c r="E201" s="71" t="s">
        <v>1074</v>
      </c>
      <c r="F201" s="71" t="s">
        <v>242</v>
      </c>
      <c r="G201" s="71" t="s">
        <v>20</v>
      </c>
      <c r="H201" s="71"/>
      <c r="I201" s="71"/>
      <c r="J201" s="71" t="s">
        <v>1075</v>
      </c>
      <c r="K201" s="71" t="s">
        <v>1076</v>
      </c>
      <c r="L201" s="71" t="s">
        <v>651</v>
      </c>
      <c r="M201" s="71"/>
      <c r="N201" s="72">
        <v>33492</v>
      </c>
      <c r="O201" s="72">
        <v>33493</v>
      </c>
      <c r="P201" s="71"/>
      <c r="Q201" s="71" t="b">
        <v>0</v>
      </c>
      <c r="R201" s="22">
        <f t="shared" si="3"/>
        <v>7</v>
      </c>
    </row>
    <row r="202" spans="1:18">
      <c r="A202" s="71">
        <v>626</v>
      </c>
      <c r="B202" s="72">
        <v>33490</v>
      </c>
      <c r="C202" s="71" t="s">
        <v>1077</v>
      </c>
      <c r="D202" s="72">
        <v>33487</v>
      </c>
      <c r="E202" s="71" t="s">
        <v>1078</v>
      </c>
      <c r="F202" s="71" t="s">
        <v>395</v>
      </c>
      <c r="G202" s="71" t="s">
        <v>20</v>
      </c>
      <c r="H202" s="71"/>
      <c r="I202" s="71"/>
      <c r="J202" s="71" t="s">
        <v>1079</v>
      </c>
      <c r="K202" s="71" t="s">
        <v>1080</v>
      </c>
      <c r="L202" s="71" t="s">
        <v>24</v>
      </c>
      <c r="M202" s="71"/>
      <c r="O202" s="72">
        <v>33732</v>
      </c>
      <c r="P202" s="71">
        <v>-1</v>
      </c>
      <c r="Q202" s="71" t="b">
        <v>0</v>
      </c>
      <c r="R202" s="22">
        <f t="shared" si="3"/>
        <v>242</v>
      </c>
    </row>
    <row r="203" spans="1:18">
      <c r="A203" s="71">
        <v>627</v>
      </c>
      <c r="B203" s="72">
        <v>33491</v>
      </c>
      <c r="C203" s="71" t="s">
        <v>1081</v>
      </c>
      <c r="D203" s="72">
        <v>33489</v>
      </c>
      <c r="E203" s="71" t="s">
        <v>1082</v>
      </c>
      <c r="F203" s="71" t="s">
        <v>124</v>
      </c>
      <c r="G203" s="71" t="s">
        <v>20</v>
      </c>
      <c r="H203" s="71"/>
      <c r="I203" s="71"/>
      <c r="J203" s="71" t="s">
        <v>1083</v>
      </c>
      <c r="K203" s="71" t="s">
        <v>1084</v>
      </c>
      <c r="L203" s="71" t="s">
        <v>24</v>
      </c>
      <c r="M203" s="71"/>
      <c r="O203" s="72">
        <v>33590</v>
      </c>
      <c r="P203" s="71">
        <v>-1</v>
      </c>
      <c r="Q203" s="71" t="b">
        <v>0</v>
      </c>
      <c r="R203" s="22">
        <f t="shared" si="3"/>
        <v>99</v>
      </c>
    </row>
    <row r="204" spans="1:18">
      <c r="A204" s="71">
        <v>629</v>
      </c>
      <c r="B204" s="72">
        <v>33493</v>
      </c>
      <c r="C204" s="71" t="s">
        <v>1085</v>
      </c>
      <c r="D204" s="72">
        <v>33491</v>
      </c>
      <c r="E204" s="71" t="s">
        <v>1086</v>
      </c>
      <c r="F204" s="71" t="s">
        <v>395</v>
      </c>
      <c r="G204" s="71" t="s">
        <v>20</v>
      </c>
      <c r="H204" s="71"/>
      <c r="I204" s="71"/>
      <c r="J204" s="71" t="s">
        <v>1079</v>
      </c>
      <c r="K204" s="71" t="s">
        <v>1087</v>
      </c>
      <c r="L204" s="71" t="s">
        <v>24</v>
      </c>
      <c r="M204" s="71"/>
      <c r="O204" s="72">
        <v>33732</v>
      </c>
      <c r="P204" s="71">
        <v>-1</v>
      </c>
      <c r="Q204" s="71" t="b">
        <v>0</v>
      </c>
      <c r="R204" s="22">
        <f t="shared" si="3"/>
        <v>239</v>
      </c>
    </row>
    <row r="205" spans="1:18">
      <c r="A205" s="71">
        <v>631</v>
      </c>
      <c r="B205" s="72">
        <v>33497</v>
      </c>
      <c r="C205" s="71" t="s">
        <v>1088</v>
      </c>
      <c r="D205" s="72">
        <v>33493</v>
      </c>
      <c r="E205" s="71" t="s">
        <v>1089</v>
      </c>
      <c r="F205" s="71" t="s">
        <v>39</v>
      </c>
      <c r="G205" s="71" t="s">
        <v>20</v>
      </c>
      <c r="H205" s="71"/>
      <c r="I205" s="71"/>
      <c r="J205" s="71" t="s">
        <v>1090</v>
      </c>
      <c r="K205" s="71"/>
      <c r="L205" s="71" t="s">
        <v>30</v>
      </c>
      <c r="M205" s="71"/>
      <c r="N205" s="72">
        <v>33499</v>
      </c>
      <c r="O205" s="72">
        <v>34974</v>
      </c>
      <c r="P205" s="71"/>
      <c r="Q205" s="71" t="b">
        <v>0</v>
      </c>
      <c r="R205" s="22">
        <f t="shared" si="3"/>
        <v>1476</v>
      </c>
    </row>
    <row r="206" spans="1:18">
      <c r="A206" s="71">
        <v>632</v>
      </c>
      <c r="B206" s="72">
        <v>33498</v>
      </c>
      <c r="C206" s="71" t="s">
        <v>1091</v>
      </c>
      <c r="D206" s="72">
        <v>33492</v>
      </c>
      <c r="E206" s="71" t="s">
        <v>1092</v>
      </c>
      <c r="F206" s="71" t="s">
        <v>39</v>
      </c>
      <c r="G206" s="71" t="s">
        <v>20</v>
      </c>
      <c r="H206" s="71"/>
      <c r="I206" s="71"/>
      <c r="J206" s="71" t="s">
        <v>1093</v>
      </c>
      <c r="K206" s="71" t="s">
        <v>1094</v>
      </c>
      <c r="L206" s="71" t="s">
        <v>30</v>
      </c>
      <c r="M206" s="71"/>
      <c r="N206" s="72">
        <v>33505</v>
      </c>
      <c r="O206" s="72">
        <v>33505</v>
      </c>
      <c r="P206" s="71"/>
      <c r="Q206" s="71" t="b">
        <v>0</v>
      </c>
      <c r="R206" s="22">
        <f t="shared" si="3"/>
        <v>7</v>
      </c>
    </row>
    <row r="207" spans="1:18">
      <c r="A207" s="71">
        <v>634</v>
      </c>
      <c r="B207" s="72">
        <v>33499</v>
      </c>
      <c r="C207" s="71" t="s">
        <v>1098</v>
      </c>
      <c r="D207" s="72">
        <v>33495</v>
      </c>
      <c r="E207" s="71" t="s">
        <v>1099</v>
      </c>
      <c r="F207" s="71" t="s">
        <v>999</v>
      </c>
      <c r="G207" s="71" t="s">
        <v>20</v>
      </c>
      <c r="H207" s="71" t="s">
        <v>71</v>
      </c>
      <c r="I207" s="71" t="s">
        <v>72</v>
      </c>
      <c r="J207" s="71" t="s">
        <v>1100</v>
      </c>
      <c r="K207" s="71" t="s">
        <v>1101</v>
      </c>
      <c r="L207" s="71" t="s">
        <v>82</v>
      </c>
      <c r="M207" s="71"/>
      <c r="N207" s="72">
        <v>33515</v>
      </c>
      <c r="O207" s="72">
        <v>33641</v>
      </c>
      <c r="P207" s="71">
        <v>-1</v>
      </c>
      <c r="Q207" s="71" t="b">
        <v>0</v>
      </c>
      <c r="R207" s="22">
        <f t="shared" si="3"/>
        <v>140</v>
      </c>
    </row>
    <row r="208" spans="1:18">
      <c r="A208" s="71">
        <v>635</v>
      </c>
      <c r="B208" s="72">
        <v>33499</v>
      </c>
      <c r="C208" s="71" t="s">
        <v>1102</v>
      </c>
      <c r="D208" s="72">
        <v>33497</v>
      </c>
      <c r="E208" s="71" t="s">
        <v>1103</v>
      </c>
      <c r="F208" s="71" t="s">
        <v>104</v>
      </c>
      <c r="G208" s="71" t="s">
        <v>20</v>
      </c>
      <c r="H208" s="71"/>
      <c r="I208" s="71"/>
      <c r="J208" s="71" t="s">
        <v>1104</v>
      </c>
      <c r="K208" s="71" t="s">
        <v>1105</v>
      </c>
      <c r="L208" s="71" t="s">
        <v>24</v>
      </c>
      <c r="M208" s="71"/>
      <c r="O208" s="72">
        <v>33603</v>
      </c>
      <c r="P208" s="71"/>
      <c r="Q208" s="71" t="b">
        <v>0</v>
      </c>
      <c r="R208" s="22">
        <f t="shared" si="3"/>
        <v>104</v>
      </c>
    </row>
    <row r="209" spans="1:18">
      <c r="A209" s="71">
        <v>636</v>
      </c>
      <c r="B209" s="72">
        <v>33504</v>
      </c>
      <c r="C209" s="71" t="s">
        <v>1106</v>
      </c>
      <c r="D209" s="72">
        <v>32829</v>
      </c>
      <c r="E209" s="71" t="s">
        <v>1107</v>
      </c>
      <c r="F209" s="71" t="s">
        <v>85</v>
      </c>
      <c r="G209" s="71" t="s">
        <v>20</v>
      </c>
      <c r="H209" s="71"/>
      <c r="I209" s="71"/>
      <c r="J209" s="71" t="s">
        <v>1108</v>
      </c>
      <c r="K209" s="71"/>
      <c r="L209" s="71" t="s">
        <v>66</v>
      </c>
      <c r="M209" s="71" t="s">
        <v>24</v>
      </c>
      <c r="O209" s="72">
        <v>37071</v>
      </c>
      <c r="P209" s="71"/>
      <c r="Q209" s="71" t="b">
        <v>0</v>
      </c>
      <c r="R209" s="22">
        <f t="shared" si="3"/>
        <v>3564</v>
      </c>
    </row>
    <row r="210" spans="1:18">
      <c r="A210" s="71">
        <v>637</v>
      </c>
      <c r="B210" s="72">
        <v>33504</v>
      </c>
      <c r="C210" s="71" t="s">
        <v>1109</v>
      </c>
      <c r="D210" s="72">
        <v>32644</v>
      </c>
      <c r="E210" s="71" t="s">
        <v>1110</v>
      </c>
      <c r="F210" s="71" t="s">
        <v>1111</v>
      </c>
      <c r="G210" s="71" t="s">
        <v>20</v>
      </c>
      <c r="H210" s="71"/>
      <c r="I210" s="71"/>
      <c r="J210" s="71" t="s">
        <v>1112</v>
      </c>
      <c r="K210" s="71"/>
      <c r="L210" s="71" t="s">
        <v>24</v>
      </c>
      <c r="M210" s="71"/>
      <c r="N210" s="72">
        <v>33519</v>
      </c>
      <c r="O210" s="72">
        <v>33519</v>
      </c>
      <c r="P210" s="71"/>
      <c r="Q210" s="71" t="b">
        <v>0</v>
      </c>
      <c r="R210" s="22">
        <f t="shared" si="3"/>
        <v>15</v>
      </c>
    </row>
    <row r="211" spans="1:18">
      <c r="A211" s="71">
        <v>643</v>
      </c>
      <c r="B211" s="72">
        <v>33514</v>
      </c>
      <c r="C211" s="71" t="s">
        <v>1115</v>
      </c>
      <c r="D211" s="72">
        <v>33508</v>
      </c>
      <c r="E211" s="71" t="s">
        <v>1116</v>
      </c>
      <c r="F211" s="71" t="s">
        <v>27</v>
      </c>
      <c r="G211" s="71" t="s">
        <v>20</v>
      </c>
      <c r="H211" s="71"/>
      <c r="I211" s="71"/>
      <c r="J211" s="71" t="s">
        <v>1117</v>
      </c>
      <c r="K211" s="71" t="s">
        <v>58</v>
      </c>
      <c r="L211" s="71" t="s">
        <v>24</v>
      </c>
      <c r="M211" s="71"/>
      <c r="O211" s="72">
        <v>33529</v>
      </c>
      <c r="P211" s="71"/>
      <c r="Q211" s="71" t="b">
        <v>0</v>
      </c>
      <c r="R211" s="22">
        <f t="shared" si="3"/>
        <v>15</v>
      </c>
    </row>
    <row r="212" spans="1:18">
      <c r="A212" s="71">
        <v>644</v>
      </c>
      <c r="B212" s="72">
        <v>33514</v>
      </c>
      <c r="C212" s="71" t="s">
        <v>1118</v>
      </c>
      <c r="D212" s="72">
        <v>33506</v>
      </c>
      <c r="E212" s="71" t="s">
        <v>1119</v>
      </c>
      <c r="F212" s="71" t="s">
        <v>149</v>
      </c>
      <c r="G212" s="71" t="s">
        <v>20</v>
      </c>
      <c r="H212" s="71"/>
      <c r="I212" s="71"/>
      <c r="J212" s="71" t="s">
        <v>1120</v>
      </c>
      <c r="K212" s="71" t="s">
        <v>1121</v>
      </c>
      <c r="L212" s="71" t="s">
        <v>24</v>
      </c>
      <c r="M212" s="71"/>
      <c r="O212" s="72">
        <v>33645</v>
      </c>
      <c r="P212" s="71"/>
      <c r="Q212" s="71" t="b">
        <v>0</v>
      </c>
      <c r="R212" s="22">
        <f t="shared" si="3"/>
        <v>129</v>
      </c>
    </row>
    <row r="213" spans="1:18">
      <c r="A213" s="71">
        <v>648</v>
      </c>
      <c r="B213" s="72">
        <v>33518</v>
      </c>
      <c r="C213" s="71" t="s">
        <v>1128</v>
      </c>
      <c r="D213" s="72">
        <v>33513</v>
      </c>
      <c r="E213" s="71" t="s">
        <v>1129</v>
      </c>
      <c r="F213" s="71" t="s">
        <v>228</v>
      </c>
      <c r="G213" s="71" t="s">
        <v>20</v>
      </c>
      <c r="H213" s="71"/>
      <c r="I213" s="71"/>
      <c r="J213" s="71" t="s">
        <v>1130</v>
      </c>
      <c r="K213" s="71" t="s">
        <v>1131</v>
      </c>
      <c r="L213" s="71" t="s">
        <v>30</v>
      </c>
      <c r="M213" s="71"/>
      <c r="O213" s="72">
        <v>33568</v>
      </c>
      <c r="P213" s="71">
        <v>-1</v>
      </c>
      <c r="Q213" s="71" t="b">
        <v>0</v>
      </c>
      <c r="R213" s="22">
        <f t="shared" si="3"/>
        <v>49</v>
      </c>
    </row>
    <row r="214" spans="1:18">
      <c r="A214" s="71">
        <v>649</v>
      </c>
      <c r="B214" s="72">
        <v>33506</v>
      </c>
      <c r="C214" s="71" t="s">
        <v>1132</v>
      </c>
      <c r="D214" s="72">
        <v>33506</v>
      </c>
      <c r="E214" s="71" t="s">
        <v>1133</v>
      </c>
      <c r="F214" s="71" t="s">
        <v>39</v>
      </c>
      <c r="G214" s="71" t="s">
        <v>20</v>
      </c>
      <c r="H214" s="71"/>
      <c r="I214" s="71"/>
      <c r="J214" s="71" t="s">
        <v>1134</v>
      </c>
      <c r="K214" s="71" t="s">
        <v>1135</v>
      </c>
      <c r="L214" s="71" t="s">
        <v>24</v>
      </c>
      <c r="M214" s="71"/>
      <c r="O214" s="72">
        <v>33519</v>
      </c>
      <c r="P214" s="71"/>
      <c r="Q214" s="71" t="b">
        <v>0</v>
      </c>
      <c r="R214" s="22">
        <f t="shared" si="3"/>
        <v>13</v>
      </c>
    </row>
    <row r="215" spans="1:18">
      <c r="A215" s="71">
        <v>654</v>
      </c>
      <c r="B215" s="72">
        <v>33527</v>
      </c>
      <c r="C215" s="71" t="s">
        <v>1142</v>
      </c>
      <c r="D215" s="72">
        <v>33522</v>
      </c>
      <c r="E215" s="71" t="s">
        <v>1143</v>
      </c>
      <c r="F215" s="71" t="s">
        <v>104</v>
      </c>
      <c r="G215" s="71" t="s">
        <v>20</v>
      </c>
      <c r="H215" s="71"/>
      <c r="I215" s="71"/>
      <c r="J215" s="71" t="s">
        <v>1144</v>
      </c>
      <c r="K215" s="71" t="s">
        <v>1145</v>
      </c>
      <c r="L215" s="71" t="s">
        <v>88</v>
      </c>
      <c r="M215" s="71" t="s">
        <v>1146</v>
      </c>
      <c r="O215" s="72">
        <v>35978</v>
      </c>
      <c r="P215" s="71"/>
      <c r="Q215" s="71" t="b">
        <v>0</v>
      </c>
      <c r="R215" s="22">
        <f t="shared" si="3"/>
        <v>2449</v>
      </c>
    </row>
    <row r="216" spans="1:18">
      <c r="A216" s="71">
        <v>655</v>
      </c>
      <c r="B216" s="72">
        <v>33527</v>
      </c>
      <c r="C216" s="71" t="s">
        <v>1147</v>
      </c>
      <c r="D216" s="72">
        <v>33521</v>
      </c>
      <c r="E216" s="71" t="s">
        <v>1148</v>
      </c>
      <c r="F216" s="71" t="s">
        <v>1149</v>
      </c>
      <c r="G216" s="71" t="s">
        <v>20</v>
      </c>
      <c r="H216" s="71"/>
      <c r="I216" s="71"/>
      <c r="J216" s="71" t="s">
        <v>1150</v>
      </c>
      <c r="K216" s="71" t="s">
        <v>1151</v>
      </c>
      <c r="L216" s="71" t="s">
        <v>1152</v>
      </c>
      <c r="M216" s="71"/>
      <c r="O216" s="72">
        <v>33877</v>
      </c>
      <c r="P216" s="71"/>
      <c r="Q216" s="71" t="b">
        <v>0</v>
      </c>
      <c r="R216" s="22">
        <f t="shared" si="3"/>
        <v>348</v>
      </c>
    </row>
    <row r="217" spans="1:18">
      <c r="A217" s="71">
        <v>656</v>
      </c>
      <c r="B217" s="72">
        <v>33528</v>
      </c>
      <c r="C217" s="71" t="s">
        <v>1153</v>
      </c>
      <c r="D217" s="72">
        <v>33525</v>
      </c>
      <c r="E217" s="71" t="s">
        <v>1154</v>
      </c>
      <c r="F217" s="71" t="s">
        <v>275</v>
      </c>
      <c r="G217" s="71" t="s">
        <v>20</v>
      </c>
      <c r="H217" s="71"/>
      <c r="I217" s="71"/>
      <c r="J217" s="71" t="s">
        <v>1155</v>
      </c>
      <c r="K217" s="71" t="s">
        <v>1156</v>
      </c>
      <c r="L217" s="71" t="s">
        <v>30</v>
      </c>
      <c r="M217" s="71"/>
      <c r="N217" s="72">
        <v>33562</v>
      </c>
      <c r="O217" s="72">
        <v>33599</v>
      </c>
      <c r="P217" s="71"/>
      <c r="Q217" s="71" t="b">
        <v>0</v>
      </c>
      <c r="R217" s="22">
        <f t="shared" si="3"/>
        <v>70</v>
      </c>
    </row>
    <row r="218" spans="1:18">
      <c r="A218" s="71">
        <v>657</v>
      </c>
      <c r="B218" s="72">
        <v>33528</v>
      </c>
      <c r="C218" s="71" t="s">
        <v>1157</v>
      </c>
      <c r="D218" s="72">
        <v>33528</v>
      </c>
      <c r="E218" s="71" t="s">
        <v>1158</v>
      </c>
      <c r="F218" s="71" t="s">
        <v>1159</v>
      </c>
      <c r="G218" s="71" t="s">
        <v>20</v>
      </c>
      <c r="H218" s="71" t="s">
        <v>71</v>
      </c>
      <c r="I218" s="71" t="s">
        <v>72</v>
      </c>
      <c r="J218" s="71" t="s">
        <v>1160</v>
      </c>
      <c r="K218" s="71" t="s">
        <v>1161</v>
      </c>
      <c r="L218" s="71" t="s">
        <v>30</v>
      </c>
      <c r="M218" s="71"/>
      <c r="N218" s="72">
        <v>33554</v>
      </c>
      <c r="O218" s="72">
        <v>35730</v>
      </c>
      <c r="P218" s="71"/>
      <c r="Q218" s="71" t="b">
        <v>0</v>
      </c>
      <c r="R218" s="22">
        <f t="shared" si="3"/>
        <v>2200</v>
      </c>
    </row>
    <row r="219" spans="1:18">
      <c r="A219" s="71">
        <v>659</v>
      </c>
      <c r="B219" s="72">
        <v>33528</v>
      </c>
      <c r="C219" s="71" t="s">
        <v>1162</v>
      </c>
      <c r="D219" s="72">
        <v>33528</v>
      </c>
      <c r="E219" s="71" t="s">
        <v>1163</v>
      </c>
      <c r="F219" s="71" t="s">
        <v>350</v>
      </c>
      <c r="G219" s="71" t="s">
        <v>20</v>
      </c>
      <c r="H219" s="71"/>
      <c r="I219" s="71"/>
      <c r="J219" s="71" t="s">
        <v>1164</v>
      </c>
      <c r="K219" s="71" t="s">
        <v>1165</v>
      </c>
      <c r="L219" s="71" t="s">
        <v>24</v>
      </c>
      <c r="M219" s="71"/>
      <c r="O219" s="72">
        <v>33536</v>
      </c>
      <c r="P219" s="71">
        <v>-1</v>
      </c>
      <c r="Q219" s="71" t="b">
        <v>0</v>
      </c>
      <c r="R219" s="22">
        <f t="shared" si="3"/>
        <v>8</v>
      </c>
    </row>
    <row r="220" spans="1:18">
      <c r="A220" s="71">
        <v>660</v>
      </c>
      <c r="B220" s="72">
        <v>33533</v>
      </c>
      <c r="C220" s="71" t="s">
        <v>1166</v>
      </c>
      <c r="D220" s="72">
        <v>33527</v>
      </c>
      <c r="E220" s="71" t="s">
        <v>1167</v>
      </c>
      <c r="F220" s="71" t="s">
        <v>124</v>
      </c>
      <c r="G220" s="71" t="s">
        <v>20</v>
      </c>
      <c r="H220" s="71"/>
      <c r="I220" s="71"/>
      <c r="J220" s="71" t="s">
        <v>1168</v>
      </c>
      <c r="K220" s="71" t="s">
        <v>1169</v>
      </c>
      <c r="L220" s="71" t="s">
        <v>24</v>
      </c>
      <c r="M220" s="71"/>
      <c r="O220" s="72">
        <v>33590</v>
      </c>
      <c r="P220" s="71">
        <v>-1</v>
      </c>
      <c r="Q220" s="71" t="b">
        <v>0</v>
      </c>
      <c r="R220" s="22">
        <f t="shared" si="3"/>
        <v>56</v>
      </c>
    </row>
    <row r="221" spans="1:18">
      <c r="A221" s="71">
        <v>661</v>
      </c>
      <c r="B221" s="72">
        <v>33533</v>
      </c>
      <c r="C221" s="71" t="s">
        <v>1170</v>
      </c>
      <c r="D221" s="72">
        <v>33532</v>
      </c>
      <c r="E221" s="71" t="s">
        <v>1171</v>
      </c>
      <c r="F221" s="71" t="s">
        <v>104</v>
      </c>
      <c r="G221" s="71" t="s">
        <v>20</v>
      </c>
      <c r="H221" s="71"/>
      <c r="I221" s="71"/>
      <c r="J221" s="71" t="s">
        <v>1172</v>
      </c>
      <c r="K221" s="71" t="s">
        <v>1173</v>
      </c>
      <c r="L221" s="71" t="s">
        <v>66</v>
      </c>
      <c r="M221" s="71" t="s">
        <v>67</v>
      </c>
      <c r="N221" s="72">
        <v>33564</v>
      </c>
      <c r="O221" s="72">
        <v>37319</v>
      </c>
      <c r="P221" s="71">
        <v>-1</v>
      </c>
      <c r="Q221" s="71" t="b">
        <v>0</v>
      </c>
      <c r="R221" s="22">
        <f t="shared" si="3"/>
        <v>3783</v>
      </c>
    </row>
    <row r="222" spans="1:18">
      <c r="A222" s="71">
        <v>663</v>
      </c>
      <c r="B222" s="72">
        <v>33534</v>
      </c>
      <c r="C222" s="71" t="s">
        <v>1177</v>
      </c>
      <c r="D222" s="72">
        <v>33532</v>
      </c>
      <c r="E222" s="71" t="s">
        <v>1178</v>
      </c>
      <c r="F222" s="71" t="s">
        <v>1179</v>
      </c>
      <c r="G222" s="71" t="s">
        <v>20</v>
      </c>
      <c r="H222" s="71"/>
      <c r="I222" s="71"/>
      <c r="J222" s="71" t="s">
        <v>1180</v>
      </c>
      <c r="K222" s="71" t="s">
        <v>1181</v>
      </c>
      <c r="L222" s="71" t="s">
        <v>66</v>
      </c>
      <c r="M222" s="71"/>
      <c r="O222" s="72">
        <v>35496</v>
      </c>
      <c r="P222" s="71"/>
      <c r="Q222" s="71" t="b">
        <v>0</v>
      </c>
      <c r="R222" s="22">
        <f t="shared" si="3"/>
        <v>1960</v>
      </c>
    </row>
    <row r="223" spans="1:18">
      <c r="A223" s="71">
        <v>664</v>
      </c>
      <c r="B223" s="72">
        <v>33534</v>
      </c>
      <c r="C223" s="71" t="s">
        <v>1182</v>
      </c>
      <c r="D223" s="72">
        <v>33533</v>
      </c>
      <c r="E223" s="71" t="s">
        <v>1183</v>
      </c>
      <c r="F223" s="71" t="s">
        <v>1159</v>
      </c>
      <c r="G223" s="71" t="s">
        <v>20</v>
      </c>
      <c r="H223" s="71" t="s">
        <v>71</v>
      </c>
      <c r="I223" s="71" t="s">
        <v>72</v>
      </c>
      <c r="J223" s="71" t="s">
        <v>1184</v>
      </c>
      <c r="K223" s="71" t="s">
        <v>1185</v>
      </c>
      <c r="L223" s="71" t="s">
        <v>24</v>
      </c>
      <c r="M223" s="71"/>
      <c r="N223" s="72">
        <v>33536</v>
      </c>
      <c r="O223" s="72">
        <v>33539</v>
      </c>
      <c r="P223" s="71">
        <v>-1</v>
      </c>
      <c r="Q223" s="71" t="b">
        <v>0</v>
      </c>
      <c r="R223" s="22">
        <f t="shared" si="3"/>
        <v>5</v>
      </c>
    </row>
    <row r="224" spans="1:18">
      <c r="A224" s="71">
        <v>665</v>
      </c>
      <c r="B224" s="72">
        <v>33534</v>
      </c>
      <c r="C224" s="71" t="s">
        <v>1186</v>
      </c>
      <c r="D224" s="72">
        <v>33532</v>
      </c>
      <c r="E224" s="71" t="s">
        <v>1187</v>
      </c>
      <c r="F224" s="71" t="s">
        <v>104</v>
      </c>
      <c r="G224" s="71" t="s">
        <v>20</v>
      </c>
      <c r="H224" s="71"/>
      <c r="I224" s="71"/>
      <c r="J224" s="71" t="s">
        <v>1188</v>
      </c>
      <c r="K224" s="71" t="s">
        <v>1189</v>
      </c>
      <c r="L224" s="71" t="s">
        <v>24</v>
      </c>
      <c r="M224" s="71"/>
      <c r="O224" s="72">
        <v>33536</v>
      </c>
      <c r="P224" s="71">
        <v>-1</v>
      </c>
      <c r="Q224" s="71" t="b">
        <v>0</v>
      </c>
      <c r="R224" s="22">
        <f t="shared" si="3"/>
        <v>2</v>
      </c>
    </row>
    <row r="225" spans="1:18">
      <c r="A225" s="71">
        <v>667</v>
      </c>
      <c r="B225" s="72">
        <v>33536</v>
      </c>
      <c r="C225" s="71" t="s">
        <v>1193</v>
      </c>
      <c r="D225" s="72">
        <v>33533</v>
      </c>
      <c r="E225" s="71" t="s">
        <v>1194</v>
      </c>
      <c r="F225" s="71" t="s">
        <v>27</v>
      </c>
      <c r="G225" s="71" t="s">
        <v>20</v>
      </c>
      <c r="H225" s="71"/>
      <c r="I225" s="71"/>
      <c r="J225" s="71" t="s">
        <v>1195</v>
      </c>
      <c r="K225" s="71" t="s">
        <v>1196</v>
      </c>
      <c r="L225" s="71" t="s">
        <v>651</v>
      </c>
      <c r="M225" s="71"/>
      <c r="N225" s="72">
        <v>33557</v>
      </c>
      <c r="O225" s="72">
        <v>33548</v>
      </c>
      <c r="P225" s="71">
        <v>-1</v>
      </c>
      <c r="Q225" s="71" t="b">
        <v>0</v>
      </c>
      <c r="R225" s="22">
        <f t="shared" si="3"/>
        <v>11</v>
      </c>
    </row>
    <row r="226" spans="1:18">
      <c r="A226" s="71">
        <v>673</v>
      </c>
      <c r="B226" s="72">
        <v>33541</v>
      </c>
      <c r="C226" s="71" t="s">
        <v>1206</v>
      </c>
      <c r="D226" s="72">
        <v>33536</v>
      </c>
      <c r="E226" s="71" t="s">
        <v>1207</v>
      </c>
      <c r="F226" s="71" t="s">
        <v>104</v>
      </c>
      <c r="G226" s="71" t="s">
        <v>20</v>
      </c>
      <c r="H226" s="71"/>
      <c r="I226" s="71"/>
      <c r="J226" s="71" t="s">
        <v>1208</v>
      </c>
      <c r="K226" s="71" t="s">
        <v>1209</v>
      </c>
      <c r="L226" s="71" t="s">
        <v>82</v>
      </c>
      <c r="M226" s="71"/>
      <c r="O226" s="72">
        <v>33816</v>
      </c>
      <c r="P226" s="71"/>
      <c r="Q226" s="71" t="b">
        <v>0</v>
      </c>
      <c r="R226" s="22">
        <f t="shared" si="3"/>
        <v>273</v>
      </c>
    </row>
    <row r="227" spans="1:18">
      <c r="A227" s="71">
        <v>674</v>
      </c>
      <c r="B227" s="72">
        <v>33541</v>
      </c>
      <c r="C227" s="71" t="s">
        <v>1210</v>
      </c>
      <c r="D227" s="72">
        <v>33539</v>
      </c>
      <c r="E227" s="71" t="s">
        <v>1211</v>
      </c>
      <c r="F227" s="71" t="s">
        <v>1212</v>
      </c>
      <c r="G227" s="71" t="s">
        <v>20</v>
      </c>
      <c r="H227" s="71"/>
      <c r="I227" s="71"/>
      <c r="J227" s="71" t="s">
        <v>1213</v>
      </c>
      <c r="K227" s="71" t="s">
        <v>1214</v>
      </c>
      <c r="L227" s="71" t="s">
        <v>24</v>
      </c>
      <c r="M227" s="71"/>
      <c r="N227" s="72">
        <v>33557</v>
      </c>
      <c r="O227" s="72">
        <v>34096</v>
      </c>
      <c r="P227" s="71"/>
      <c r="Q227" s="71" t="b">
        <v>0</v>
      </c>
      <c r="R227" s="22">
        <f t="shared" si="3"/>
        <v>554</v>
      </c>
    </row>
    <row r="228" spans="1:18">
      <c r="A228" s="71">
        <v>676</v>
      </c>
      <c r="B228" s="72">
        <v>33542</v>
      </c>
      <c r="C228" s="71" t="s">
        <v>1215</v>
      </c>
      <c r="D228" s="72">
        <v>33540</v>
      </c>
      <c r="E228" s="71" t="s">
        <v>1216</v>
      </c>
      <c r="F228" s="71" t="s">
        <v>27</v>
      </c>
      <c r="G228" s="71" t="s">
        <v>20</v>
      </c>
      <c r="H228" s="71"/>
      <c r="I228" s="71"/>
      <c r="J228" s="71" t="s">
        <v>1217</v>
      </c>
      <c r="K228" s="71" t="s">
        <v>1218</v>
      </c>
      <c r="L228" s="71" t="s">
        <v>30</v>
      </c>
      <c r="M228" s="71"/>
      <c r="O228" s="72">
        <v>33596</v>
      </c>
      <c r="P228" s="71">
        <v>-1</v>
      </c>
      <c r="Q228" s="71" t="b">
        <v>0</v>
      </c>
      <c r="R228" s="22">
        <f t="shared" si="3"/>
        <v>54</v>
      </c>
    </row>
    <row r="229" spans="1:18">
      <c r="A229" s="71">
        <v>677</v>
      </c>
      <c r="B229" s="72">
        <v>33543</v>
      </c>
      <c r="C229" s="71" t="s">
        <v>1219</v>
      </c>
      <c r="D229" s="72">
        <v>33534</v>
      </c>
      <c r="E229" s="71" t="s">
        <v>1220</v>
      </c>
      <c r="F229" s="71" t="s">
        <v>124</v>
      </c>
      <c r="G229" s="71" t="s">
        <v>20</v>
      </c>
      <c r="H229" s="71"/>
      <c r="I229" s="71"/>
      <c r="J229" s="71" t="s">
        <v>1221</v>
      </c>
      <c r="K229" s="71" t="s">
        <v>572</v>
      </c>
      <c r="L229" s="71" t="s">
        <v>24</v>
      </c>
      <c r="M229" s="71"/>
      <c r="O229" s="72">
        <v>33574</v>
      </c>
      <c r="P229" s="71">
        <v>-1</v>
      </c>
      <c r="Q229" s="71" t="b">
        <v>0</v>
      </c>
      <c r="R229" s="22">
        <f t="shared" si="3"/>
        <v>31</v>
      </c>
    </row>
    <row r="230" spans="1:18">
      <c r="A230" s="71">
        <v>679</v>
      </c>
      <c r="B230" s="72">
        <v>33543</v>
      </c>
      <c r="C230" s="71" t="s">
        <v>1222</v>
      </c>
      <c r="D230" s="72">
        <v>33542</v>
      </c>
      <c r="E230" s="71" t="s">
        <v>1223</v>
      </c>
      <c r="F230" s="71" t="s">
        <v>70</v>
      </c>
      <c r="G230" s="71" t="s">
        <v>20</v>
      </c>
      <c r="H230" s="71" t="s">
        <v>71</v>
      </c>
      <c r="I230" s="71" t="s">
        <v>72</v>
      </c>
      <c r="J230" s="71" t="s">
        <v>1224</v>
      </c>
      <c r="K230" s="71" t="s">
        <v>1225</v>
      </c>
      <c r="L230" s="71" t="s">
        <v>24</v>
      </c>
      <c r="M230" s="71"/>
      <c r="O230" s="72">
        <v>33568</v>
      </c>
      <c r="P230" s="71"/>
      <c r="Q230" s="71" t="b">
        <v>0</v>
      </c>
      <c r="R230" s="22">
        <f t="shared" si="3"/>
        <v>25</v>
      </c>
    </row>
    <row r="231" spans="1:18">
      <c r="A231" s="71">
        <v>680</v>
      </c>
      <c r="B231" s="72">
        <v>33546</v>
      </c>
      <c r="C231" s="71" t="s">
        <v>1226</v>
      </c>
      <c r="D231" s="72">
        <v>33546</v>
      </c>
      <c r="E231" s="71" t="s">
        <v>1227</v>
      </c>
      <c r="F231" s="71" t="s">
        <v>98</v>
      </c>
      <c r="G231" s="71" t="s">
        <v>20</v>
      </c>
      <c r="H231" s="71"/>
      <c r="I231" s="71"/>
      <c r="J231" s="71" t="s">
        <v>1228</v>
      </c>
      <c r="K231" s="71" t="s">
        <v>1229</v>
      </c>
      <c r="L231" s="71" t="s">
        <v>30</v>
      </c>
      <c r="M231" s="71"/>
      <c r="O231" s="72">
        <v>33611</v>
      </c>
      <c r="P231" s="71"/>
      <c r="Q231" s="71" t="b">
        <v>0</v>
      </c>
      <c r="R231" s="22">
        <f t="shared" si="3"/>
        <v>64</v>
      </c>
    </row>
    <row r="232" spans="1:18">
      <c r="A232" s="71">
        <v>684</v>
      </c>
      <c r="B232" s="72">
        <v>33554</v>
      </c>
      <c r="C232" s="71" t="s">
        <v>1230</v>
      </c>
      <c r="D232" s="72">
        <v>33487</v>
      </c>
      <c r="E232" s="71" t="s">
        <v>1231</v>
      </c>
      <c r="F232" s="71" t="s">
        <v>1232</v>
      </c>
      <c r="G232" s="71" t="s">
        <v>20</v>
      </c>
      <c r="H232" s="71" t="s">
        <v>189</v>
      </c>
      <c r="I232" s="71" t="s">
        <v>189</v>
      </c>
      <c r="J232" s="71" t="s">
        <v>1233</v>
      </c>
      <c r="K232" s="71" t="s">
        <v>1234</v>
      </c>
      <c r="L232" s="71" t="s">
        <v>24</v>
      </c>
      <c r="M232" s="71"/>
      <c r="O232" s="72">
        <v>33578</v>
      </c>
      <c r="P232" s="71"/>
      <c r="Q232" s="71" t="b">
        <v>0</v>
      </c>
      <c r="R232" s="22">
        <f t="shared" si="3"/>
        <v>24</v>
      </c>
    </row>
    <row r="233" spans="1:18">
      <c r="A233" s="71">
        <v>687</v>
      </c>
      <c r="B233" s="72">
        <v>33555</v>
      </c>
      <c r="C233" s="71" t="s">
        <v>1238</v>
      </c>
      <c r="D233" s="72">
        <v>33553</v>
      </c>
      <c r="E233" s="71" t="s">
        <v>1239</v>
      </c>
      <c r="F233" s="71" t="s">
        <v>104</v>
      </c>
      <c r="G233" s="71" t="s">
        <v>20</v>
      </c>
      <c r="H233" s="71"/>
      <c r="I233" s="71"/>
      <c r="J233" s="71" t="s">
        <v>1240</v>
      </c>
      <c r="K233" s="71" t="s">
        <v>1241</v>
      </c>
      <c r="L233" s="71" t="s">
        <v>24</v>
      </c>
      <c r="M233" s="71"/>
      <c r="O233" s="72">
        <v>33640</v>
      </c>
      <c r="P233" s="71"/>
      <c r="Q233" s="71" t="b">
        <v>0</v>
      </c>
      <c r="R233" s="22">
        <f t="shared" si="3"/>
        <v>84</v>
      </c>
    </row>
    <row r="234" spans="1:18">
      <c r="A234" s="71">
        <v>693</v>
      </c>
      <c r="B234" s="72">
        <v>33562</v>
      </c>
      <c r="C234" s="71" t="s">
        <v>1245</v>
      </c>
      <c r="D234" s="72">
        <v>33561</v>
      </c>
      <c r="E234" s="71" t="s">
        <v>1246</v>
      </c>
      <c r="F234" s="71" t="s">
        <v>27</v>
      </c>
      <c r="G234" s="71" t="s">
        <v>20</v>
      </c>
      <c r="H234" s="71"/>
      <c r="I234" s="71"/>
      <c r="J234" s="71" t="s">
        <v>1247</v>
      </c>
      <c r="K234" s="71" t="s">
        <v>1248</v>
      </c>
      <c r="L234" s="71" t="s">
        <v>30</v>
      </c>
      <c r="M234" s="71"/>
      <c r="N234" s="72">
        <v>33585</v>
      </c>
      <c r="O234" s="72">
        <v>33596</v>
      </c>
      <c r="P234" s="71"/>
      <c r="Q234" s="71" t="b">
        <v>0</v>
      </c>
      <c r="R234" s="22">
        <f t="shared" si="3"/>
        <v>34</v>
      </c>
    </row>
    <row r="235" spans="1:18">
      <c r="A235" s="71">
        <v>694</v>
      </c>
      <c r="B235" s="72">
        <v>33563</v>
      </c>
      <c r="C235" s="71" t="s">
        <v>1249</v>
      </c>
      <c r="D235" s="72">
        <v>33560</v>
      </c>
      <c r="E235" s="71" t="s">
        <v>1250</v>
      </c>
      <c r="F235" s="71" t="s">
        <v>129</v>
      </c>
      <c r="G235" s="71" t="s">
        <v>20</v>
      </c>
      <c r="H235" s="71"/>
      <c r="I235" s="71"/>
      <c r="J235" s="71" t="s">
        <v>1251</v>
      </c>
      <c r="K235" s="71" t="s">
        <v>1252</v>
      </c>
      <c r="L235" s="71" t="s">
        <v>82</v>
      </c>
      <c r="M235" s="71"/>
      <c r="O235" s="72">
        <v>33578</v>
      </c>
      <c r="P235" s="71">
        <v>-1</v>
      </c>
      <c r="Q235" s="71" t="b">
        <v>0</v>
      </c>
      <c r="R235" s="22">
        <f t="shared" si="3"/>
        <v>15</v>
      </c>
    </row>
    <row r="236" spans="1:18">
      <c r="A236" s="71">
        <v>696</v>
      </c>
      <c r="B236" s="72">
        <v>33577</v>
      </c>
      <c r="C236" s="71" t="s">
        <v>1256</v>
      </c>
      <c r="D236" s="72">
        <v>33577</v>
      </c>
      <c r="E236" s="71" t="s">
        <v>1257</v>
      </c>
      <c r="F236" s="71" t="s">
        <v>98</v>
      </c>
      <c r="G236" s="71" t="s">
        <v>20</v>
      </c>
      <c r="H236" s="71"/>
      <c r="I236" s="71"/>
      <c r="J236" s="71" t="s">
        <v>1258</v>
      </c>
      <c r="K236" s="71" t="s">
        <v>1259</v>
      </c>
      <c r="L236" s="71" t="s">
        <v>24</v>
      </c>
      <c r="M236" s="71"/>
      <c r="N236" s="72">
        <v>33603</v>
      </c>
      <c r="O236" s="72">
        <v>33590</v>
      </c>
      <c r="P236" s="71"/>
      <c r="Q236" s="71" t="b">
        <v>0</v>
      </c>
      <c r="R236" s="22">
        <f t="shared" si="3"/>
        <v>13</v>
      </c>
    </row>
    <row r="237" spans="1:18">
      <c r="A237" s="71">
        <v>704</v>
      </c>
      <c r="B237" s="72">
        <v>33583</v>
      </c>
      <c r="C237" s="71" t="s">
        <v>1260</v>
      </c>
      <c r="D237" s="72">
        <v>33582</v>
      </c>
      <c r="E237" s="71" t="s">
        <v>1261</v>
      </c>
      <c r="F237" s="71" t="s">
        <v>52</v>
      </c>
      <c r="G237" s="71" t="s">
        <v>20</v>
      </c>
      <c r="H237" s="71"/>
      <c r="I237" s="71"/>
      <c r="J237" s="71" t="s">
        <v>1262</v>
      </c>
      <c r="K237" s="71" t="s">
        <v>121</v>
      </c>
      <c r="L237" s="71" t="s">
        <v>24</v>
      </c>
      <c r="M237" s="71"/>
      <c r="O237" s="72">
        <v>33625</v>
      </c>
      <c r="P237" s="71"/>
      <c r="Q237" s="71" t="b">
        <v>0</v>
      </c>
      <c r="R237" s="22">
        <f t="shared" si="3"/>
        <v>41</v>
      </c>
    </row>
    <row r="238" spans="1:18">
      <c r="A238" s="71">
        <v>706</v>
      </c>
      <c r="B238" s="72">
        <v>33584</v>
      </c>
      <c r="C238" s="71" t="s">
        <v>1263</v>
      </c>
      <c r="D238" s="72">
        <v>33579</v>
      </c>
      <c r="E238" s="71" t="s">
        <v>1264</v>
      </c>
      <c r="F238" s="71" t="s">
        <v>124</v>
      </c>
      <c r="G238" s="71" t="s">
        <v>20</v>
      </c>
      <c r="H238" s="71"/>
      <c r="I238" s="71"/>
      <c r="J238" s="71" t="s">
        <v>1265</v>
      </c>
      <c r="K238" s="71" t="s">
        <v>1266</v>
      </c>
      <c r="L238" s="71" t="s">
        <v>24</v>
      </c>
      <c r="M238" s="71"/>
      <c r="O238" s="72">
        <v>33732</v>
      </c>
      <c r="P238" s="71">
        <v>-1</v>
      </c>
      <c r="Q238" s="71" t="b">
        <v>0</v>
      </c>
      <c r="R238" s="22">
        <f t="shared" si="3"/>
        <v>148</v>
      </c>
    </row>
    <row r="239" spans="1:18">
      <c r="A239" s="71">
        <v>711</v>
      </c>
      <c r="B239" s="72">
        <v>33591</v>
      </c>
      <c r="C239" s="71" t="s">
        <v>1273</v>
      </c>
      <c r="D239" s="72">
        <v>33589</v>
      </c>
      <c r="E239" s="71" t="s">
        <v>1274</v>
      </c>
      <c r="F239" s="71" t="s">
        <v>327</v>
      </c>
      <c r="G239" s="71" t="s">
        <v>20</v>
      </c>
      <c r="H239" s="71"/>
      <c r="I239" s="71"/>
      <c r="J239" s="71" t="s">
        <v>1275</v>
      </c>
      <c r="K239" s="71" t="s">
        <v>1276</v>
      </c>
      <c r="L239" s="71" t="s">
        <v>314</v>
      </c>
      <c r="M239" s="71" t="s">
        <v>1277</v>
      </c>
      <c r="N239" s="71"/>
      <c r="O239" s="72">
        <v>37925</v>
      </c>
      <c r="P239" s="71">
        <v>-1</v>
      </c>
      <c r="Q239" s="71" t="b">
        <v>0</v>
      </c>
      <c r="R239" s="22">
        <f t="shared" si="3"/>
        <v>4331</v>
      </c>
    </row>
    <row r="240" spans="1:18">
      <c r="A240" s="71">
        <v>713</v>
      </c>
      <c r="B240" s="72">
        <v>33592</v>
      </c>
      <c r="C240" s="71" t="s">
        <v>1282</v>
      </c>
      <c r="D240" s="72">
        <v>33584</v>
      </c>
      <c r="E240" s="71" t="s">
        <v>1283</v>
      </c>
      <c r="F240" s="71" t="s">
        <v>149</v>
      </c>
      <c r="G240" s="71" t="s">
        <v>20</v>
      </c>
      <c r="H240" s="71"/>
      <c r="I240" s="71"/>
      <c r="J240" s="71" t="s">
        <v>1284</v>
      </c>
      <c r="K240" s="71" t="s">
        <v>1285</v>
      </c>
      <c r="L240" s="71" t="s">
        <v>30</v>
      </c>
      <c r="M240" s="71"/>
      <c r="N240" s="72">
        <v>33634</v>
      </c>
      <c r="O240" s="72">
        <v>36494</v>
      </c>
      <c r="P240" s="71"/>
      <c r="Q240" s="71" t="b">
        <v>0</v>
      </c>
      <c r="R240" s="22">
        <f t="shared" si="3"/>
        <v>2899</v>
      </c>
    </row>
    <row r="241" spans="1:18">
      <c r="A241" s="71">
        <v>714</v>
      </c>
      <c r="B241" s="72">
        <v>33592</v>
      </c>
      <c r="C241" s="71" t="s">
        <v>1286</v>
      </c>
      <c r="D241" s="72">
        <v>33590</v>
      </c>
      <c r="E241" s="71" t="s">
        <v>1287</v>
      </c>
      <c r="F241" s="71" t="s">
        <v>104</v>
      </c>
      <c r="G241" s="71" t="s">
        <v>20</v>
      </c>
      <c r="H241" s="71"/>
      <c r="I241" s="71"/>
      <c r="J241" s="71" t="s">
        <v>1172</v>
      </c>
      <c r="K241" s="71" t="s">
        <v>1288</v>
      </c>
      <c r="L241" s="71" t="s">
        <v>82</v>
      </c>
      <c r="M241" s="71"/>
      <c r="N241" s="72">
        <v>33634</v>
      </c>
      <c r="O241" s="72">
        <v>33816</v>
      </c>
      <c r="P241" s="71">
        <v>-1</v>
      </c>
      <c r="Q241" s="71" t="b">
        <v>0</v>
      </c>
      <c r="R241" s="22">
        <f t="shared" si="3"/>
        <v>224</v>
      </c>
    </row>
    <row r="242" spans="1:18">
      <c r="A242" s="71">
        <v>721</v>
      </c>
      <c r="B242" s="72">
        <v>33598</v>
      </c>
      <c r="C242" s="71" t="s">
        <v>1289</v>
      </c>
      <c r="D242" s="72">
        <v>33594</v>
      </c>
      <c r="E242" s="71" t="s">
        <v>1290</v>
      </c>
      <c r="F242" s="71" t="s">
        <v>124</v>
      </c>
      <c r="G242" s="71" t="s">
        <v>20</v>
      </c>
      <c r="H242" s="71"/>
      <c r="I242" s="71"/>
      <c r="J242" s="71" t="s">
        <v>1291</v>
      </c>
      <c r="K242" s="71" t="s">
        <v>1292</v>
      </c>
      <c r="L242" s="71" t="s">
        <v>24</v>
      </c>
      <c r="M242" s="71"/>
      <c r="O242" s="72">
        <v>33654</v>
      </c>
      <c r="P242" s="71">
        <v>-1</v>
      </c>
      <c r="Q242" s="71" t="b">
        <v>0</v>
      </c>
      <c r="R242" s="22">
        <f t="shared" si="3"/>
        <v>54</v>
      </c>
    </row>
    <row r="243" spans="1:18">
      <c r="A243" s="71">
        <v>722</v>
      </c>
      <c r="B243" s="72">
        <v>33602</v>
      </c>
      <c r="C243" s="71" t="s">
        <v>1293</v>
      </c>
      <c r="D243" s="72">
        <v>33595</v>
      </c>
      <c r="E243" s="71" t="s">
        <v>1294</v>
      </c>
      <c r="F243" s="71" t="s">
        <v>322</v>
      </c>
      <c r="G243" s="71" t="s">
        <v>20</v>
      </c>
      <c r="H243" s="71" t="s">
        <v>71</v>
      </c>
      <c r="I243" s="71" t="s">
        <v>72</v>
      </c>
      <c r="J243" s="71" t="s">
        <v>1295</v>
      </c>
      <c r="K243" s="71" t="s">
        <v>1296</v>
      </c>
      <c r="L243" s="71" t="s">
        <v>66</v>
      </c>
      <c r="M243" s="71" t="s">
        <v>1297</v>
      </c>
      <c r="O243" s="72">
        <v>37433</v>
      </c>
      <c r="P243" s="71"/>
      <c r="Q243" s="71" t="b">
        <v>0</v>
      </c>
      <c r="R243" s="22">
        <f t="shared" si="3"/>
        <v>3828</v>
      </c>
    </row>
    <row r="244" spans="1:18">
      <c r="A244" s="71">
        <v>724</v>
      </c>
      <c r="B244" s="72">
        <v>33606</v>
      </c>
      <c r="C244" s="71" t="s">
        <v>1302</v>
      </c>
      <c r="D244" s="72">
        <v>33602</v>
      </c>
      <c r="E244" s="71" t="s">
        <v>1303</v>
      </c>
      <c r="F244" s="71" t="s">
        <v>242</v>
      </c>
      <c r="G244" s="71" t="s">
        <v>20</v>
      </c>
      <c r="H244" s="71"/>
      <c r="I244" s="71"/>
      <c r="J244" s="71" t="s">
        <v>1304</v>
      </c>
      <c r="K244" s="71" t="s">
        <v>944</v>
      </c>
      <c r="L244" s="71" t="s">
        <v>82</v>
      </c>
      <c r="M244" s="71"/>
      <c r="N244" s="72">
        <v>33641</v>
      </c>
      <c r="O244" s="72">
        <v>33696</v>
      </c>
      <c r="P244" s="71">
        <v>-1</v>
      </c>
      <c r="Q244" s="71" t="b">
        <v>0</v>
      </c>
      <c r="R244" s="22">
        <f t="shared" si="3"/>
        <v>90</v>
      </c>
    </row>
    <row r="245" spans="1:18">
      <c r="A245" s="71">
        <v>735</v>
      </c>
      <c r="B245" s="72">
        <v>33618</v>
      </c>
      <c r="C245" s="71" t="s">
        <v>1310</v>
      </c>
      <c r="D245" s="72">
        <v>33617</v>
      </c>
      <c r="E245" s="71" t="s">
        <v>1311</v>
      </c>
      <c r="F245" s="71" t="s">
        <v>56</v>
      </c>
      <c r="G245" s="71" t="s">
        <v>20</v>
      </c>
      <c r="H245" s="71"/>
      <c r="I245" s="71"/>
      <c r="J245" s="71" t="s">
        <v>1312</v>
      </c>
      <c r="K245" s="71" t="s">
        <v>1313</v>
      </c>
      <c r="L245" s="71" t="s">
        <v>24</v>
      </c>
      <c r="M245" s="71"/>
      <c r="N245" s="72">
        <v>33627</v>
      </c>
      <c r="O245" s="72">
        <v>33620</v>
      </c>
      <c r="P245" s="71"/>
      <c r="Q245" s="71" t="b">
        <v>0</v>
      </c>
      <c r="R245" s="22">
        <f t="shared" si="3"/>
        <v>2</v>
      </c>
    </row>
    <row r="246" spans="1:18">
      <c r="A246" s="71">
        <v>736</v>
      </c>
      <c r="B246" s="72">
        <v>33618</v>
      </c>
      <c r="C246" s="71" t="s">
        <v>1314</v>
      </c>
      <c r="D246" s="72">
        <v>33612</v>
      </c>
      <c r="E246" s="71" t="s">
        <v>1315</v>
      </c>
      <c r="F246" s="71" t="s">
        <v>741</v>
      </c>
      <c r="G246" s="71" t="s">
        <v>20</v>
      </c>
      <c r="H246" s="71"/>
      <c r="I246" s="71"/>
      <c r="J246" s="71" t="s">
        <v>1316</v>
      </c>
      <c r="K246" s="71" t="s">
        <v>1317</v>
      </c>
      <c r="L246" s="71" t="s">
        <v>30</v>
      </c>
      <c r="M246" s="71"/>
      <c r="N246" s="72">
        <v>33634</v>
      </c>
      <c r="O246" s="72">
        <v>33830</v>
      </c>
      <c r="P246" s="71"/>
      <c r="Q246" s="71" t="b">
        <v>0</v>
      </c>
      <c r="R246" s="22">
        <f t="shared" si="3"/>
        <v>211</v>
      </c>
    </row>
    <row r="247" spans="1:18">
      <c r="A247" s="71">
        <v>749</v>
      </c>
      <c r="B247" s="72">
        <v>33624</v>
      </c>
      <c r="C247" s="71" t="s">
        <v>1318</v>
      </c>
      <c r="D247" s="72">
        <v>33620</v>
      </c>
      <c r="E247" s="71" t="s">
        <v>1319</v>
      </c>
      <c r="F247" s="71" t="s">
        <v>70</v>
      </c>
      <c r="G247" s="71" t="s">
        <v>20</v>
      </c>
      <c r="H247" s="71" t="s">
        <v>71</v>
      </c>
      <c r="I247" s="71" t="s">
        <v>72</v>
      </c>
      <c r="J247" s="71" t="s">
        <v>1320</v>
      </c>
      <c r="K247" s="71" t="s">
        <v>1321</v>
      </c>
      <c r="L247" s="71" t="s">
        <v>24</v>
      </c>
      <c r="M247" s="71"/>
      <c r="O247" s="72">
        <v>35369</v>
      </c>
      <c r="P247" s="71"/>
      <c r="Q247" s="71" t="b">
        <v>0</v>
      </c>
      <c r="R247" s="22">
        <f t="shared" si="3"/>
        <v>1743</v>
      </c>
    </row>
    <row r="248" spans="1:18">
      <c r="A248" s="71">
        <v>752</v>
      </c>
      <c r="B248" s="72">
        <v>33627</v>
      </c>
      <c r="C248" s="71" t="s">
        <v>1327</v>
      </c>
      <c r="D248" s="72">
        <v>33627</v>
      </c>
      <c r="E248" s="71" t="s">
        <v>1328</v>
      </c>
      <c r="F248" s="71" t="s">
        <v>98</v>
      </c>
      <c r="G248" s="71" t="s">
        <v>20</v>
      </c>
      <c r="H248" s="71"/>
      <c r="I248" s="71"/>
      <c r="J248" s="71" t="s">
        <v>1258</v>
      </c>
      <c r="K248" s="71" t="s">
        <v>1329</v>
      </c>
      <c r="L248" s="71" t="s">
        <v>24</v>
      </c>
      <c r="M248" s="71"/>
      <c r="N248" s="72">
        <v>33630</v>
      </c>
      <c r="O248" s="72">
        <v>33627</v>
      </c>
      <c r="P248" s="71"/>
      <c r="Q248" s="71" t="b">
        <v>0</v>
      </c>
      <c r="R248" s="22">
        <f t="shared" si="3"/>
        <v>0</v>
      </c>
    </row>
    <row r="249" spans="1:18">
      <c r="A249" s="71">
        <v>770</v>
      </c>
      <c r="B249" s="72">
        <v>33717</v>
      </c>
      <c r="C249" s="71" t="s">
        <v>1336</v>
      </c>
      <c r="D249" s="72">
        <v>33633</v>
      </c>
      <c r="E249" s="71" t="s">
        <v>1337</v>
      </c>
      <c r="F249" s="71" t="s">
        <v>1338</v>
      </c>
      <c r="G249" s="71" t="s">
        <v>20</v>
      </c>
      <c r="H249" s="71"/>
      <c r="I249" s="71"/>
      <c r="J249" s="71" t="s">
        <v>1339</v>
      </c>
      <c r="K249" s="71" t="s">
        <v>1340</v>
      </c>
      <c r="L249" s="71" t="s">
        <v>1152</v>
      </c>
      <c r="M249" s="71"/>
      <c r="N249" s="72">
        <v>33750</v>
      </c>
      <c r="O249" s="72">
        <v>33801</v>
      </c>
      <c r="P249" s="71"/>
      <c r="Q249" s="71" t="b">
        <v>0</v>
      </c>
      <c r="R249" s="22">
        <f t="shared" si="3"/>
        <v>84</v>
      </c>
    </row>
    <row r="250" spans="1:18">
      <c r="A250" s="71">
        <v>771</v>
      </c>
      <c r="B250" s="72">
        <v>33634</v>
      </c>
      <c r="C250" s="71" t="s">
        <v>1341</v>
      </c>
      <c r="D250" s="72">
        <v>33632</v>
      </c>
      <c r="E250" s="71" t="s">
        <v>1342</v>
      </c>
      <c r="F250" s="71" t="s">
        <v>104</v>
      </c>
      <c r="G250" s="71" t="s">
        <v>20</v>
      </c>
      <c r="H250" s="71"/>
      <c r="I250" s="71"/>
      <c r="J250" s="71" t="s">
        <v>1343</v>
      </c>
      <c r="K250" s="71"/>
      <c r="L250" s="71" t="s">
        <v>1152</v>
      </c>
      <c r="M250" s="71"/>
      <c r="O250" s="72">
        <v>34129</v>
      </c>
      <c r="P250" s="71"/>
      <c r="Q250" s="71" t="b">
        <v>0</v>
      </c>
      <c r="R250" s="22">
        <f t="shared" si="3"/>
        <v>495</v>
      </c>
    </row>
    <row r="251" spans="1:18">
      <c r="A251" s="71">
        <v>776</v>
      </c>
      <c r="B251" s="72">
        <v>33645</v>
      </c>
      <c r="C251" s="71" t="s">
        <v>1347</v>
      </c>
      <c r="D251" s="72">
        <v>33644</v>
      </c>
      <c r="E251" s="71" t="s">
        <v>1348</v>
      </c>
      <c r="F251" s="71" t="s">
        <v>52</v>
      </c>
      <c r="G251" s="71" t="s">
        <v>20</v>
      </c>
      <c r="H251" s="71"/>
      <c r="I251" s="71"/>
      <c r="J251" s="71" t="s">
        <v>1349</v>
      </c>
      <c r="K251" s="71" t="s">
        <v>1350</v>
      </c>
      <c r="L251" s="71" t="s">
        <v>24</v>
      </c>
      <c r="M251" s="71"/>
      <c r="O251" s="72">
        <v>33666</v>
      </c>
      <c r="P251" s="71"/>
      <c r="Q251" s="71" t="b">
        <v>0</v>
      </c>
      <c r="R251" s="22">
        <f t="shared" si="3"/>
        <v>22</v>
      </c>
    </row>
    <row r="252" spans="1:18">
      <c r="A252" s="71">
        <v>779</v>
      </c>
      <c r="B252" s="72">
        <v>33646</v>
      </c>
      <c r="C252" s="71" t="s">
        <v>1351</v>
      </c>
      <c r="D252" s="72">
        <v>33644</v>
      </c>
      <c r="E252" s="71" t="s">
        <v>1352</v>
      </c>
      <c r="F252" s="71" t="s">
        <v>39</v>
      </c>
      <c r="G252" s="71" t="s">
        <v>20</v>
      </c>
      <c r="H252" s="71"/>
      <c r="I252" s="71"/>
      <c r="J252" s="71" t="s">
        <v>1258</v>
      </c>
      <c r="K252" s="71" t="s">
        <v>44</v>
      </c>
      <c r="L252" s="71" t="s">
        <v>30</v>
      </c>
      <c r="M252" s="71"/>
      <c r="O252" s="72">
        <v>36486</v>
      </c>
      <c r="P252" s="71"/>
      <c r="Q252" s="71" t="b">
        <v>0</v>
      </c>
      <c r="R252" s="22">
        <f t="shared" si="3"/>
        <v>2838</v>
      </c>
    </row>
    <row r="253" spans="1:18">
      <c r="A253" s="71">
        <v>781</v>
      </c>
      <c r="B253" s="72">
        <v>33646</v>
      </c>
      <c r="C253" s="71" t="s">
        <v>1353</v>
      </c>
      <c r="D253" s="72">
        <v>33646</v>
      </c>
      <c r="E253" s="71" t="s">
        <v>1354</v>
      </c>
      <c r="F253" s="71" t="s">
        <v>85</v>
      </c>
      <c r="G253" s="71" t="s">
        <v>20</v>
      </c>
      <c r="H253" s="71"/>
      <c r="I253" s="71"/>
      <c r="J253" s="71" t="s">
        <v>1355</v>
      </c>
      <c r="K253" s="71" t="s">
        <v>1356</v>
      </c>
      <c r="L253" s="71" t="s">
        <v>1152</v>
      </c>
      <c r="M253" s="71"/>
      <c r="O253" s="72">
        <v>33784</v>
      </c>
      <c r="P253" s="71">
        <v>-1</v>
      </c>
      <c r="Q253" s="71" t="b">
        <v>0</v>
      </c>
      <c r="R253" s="22">
        <f t="shared" si="3"/>
        <v>138</v>
      </c>
    </row>
    <row r="254" spans="1:18">
      <c r="A254" s="71">
        <v>782</v>
      </c>
      <c r="B254" s="72">
        <v>33647</v>
      </c>
      <c r="C254" s="71" t="s">
        <v>1357</v>
      </c>
      <c r="D254" s="72">
        <v>33645</v>
      </c>
      <c r="E254" s="71" t="s">
        <v>1358</v>
      </c>
      <c r="F254" s="71" t="s">
        <v>98</v>
      </c>
      <c r="G254" s="71" t="s">
        <v>20</v>
      </c>
      <c r="H254" s="71"/>
      <c r="I254" s="71"/>
      <c r="J254" s="71" t="s">
        <v>1349</v>
      </c>
      <c r="K254" s="71" t="s">
        <v>1359</v>
      </c>
      <c r="L254" s="71" t="s">
        <v>82</v>
      </c>
      <c r="M254" s="71"/>
      <c r="O254" s="72">
        <v>33659</v>
      </c>
      <c r="P254" s="71">
        <v>-1</v>
      </c>
      <c r="Q254" s="71" t="b">
        <v>0</v>
      </c>
      <c r="R254" s="22">
        <f t="shared" si="3"/>
        <v>12</v>
      </c>
    </row>
    <row r="255" spans="1:18">
      <c r="A255" s="71">
        <v>786</v>
      </c>
      <c r="B255" s="72">
        <v>33648</v>
      </c>
      <c r="C255" s="71" t="s">
        <v>1360</v>
      </c>
      <c r="D255" s="72">
        <v>33647</v>
      </c>
      <c r="E255" s="71" t="s">
        <v>1361</v>
      </c>
      <c r="F255" s="71" t="s">
        <v>741</v>
      </c>
      <c r="G255" s="71" t="s">
        <v>20</v>
      </c>
      <c r="H255" s="71"/>
      <c r="I255" s="71"/>
      <c r="J255" s="71" t="s">
        <v>1258</v>
      </c>
      <c r="K255" s="71"/>
      <c r="L255" s="71" t="s">
        <v>24</v>
      </c>
      <c r="M255" s="71"/>
      <c r="O255" s="72">
        <v>33658</v>
      </c>
      <c r="P255" s="71"/>
      <c r="Q255" s="71" t="b">
        <v>0</v>
      </c>
      <c r="R255" s="22">
        <f t="shared" si="3"/>
        <v>10</v>
      </c>
    </row>
    <row r="256" spans="1:18">
      <c r="A256" s="71">
        <v>799</v>
      </c>
      <c r="B256" s="72">
        <v>33662</v>
      </c>
      <c r="C256" s="71" t="s">
        <v>1369</v>
      </c>
      <c r="D256" s="72">
        <v>33661</v>
      </c>
      <c r="E256" s="71" t="s">
        <v>1370</v>
      </c>
      <c r="F256" s="71" t="s">
        <v>94</v>
      </c>
      <c r="G256" s="71" t="s">
        <v>20</v>
      </c>
      <c r="H256" s="71"/>
      <c r="I256" s="71"/>
      <c r="J256" s="71" t="s">
        <v>1371</v>
      </c>
      <c r="K256" s="71" t="s">
        <v>1372</v>
      </c>
      <c r="L256" s="71" t="s">
        <v>24</v>
      </c>
      <c r="M256" s="71"/>
      <c r="N256" s="72">
        <v>33694</v>
      </c>
      <c r="O256" s="72">
        <v>33817</v>
      </c>
      <c r="P256" s="71">
        <v>-1</v>
      </c>
      <c r="Q256" s="71" t="b">
        <v>0</v>
      </c>
      <c r="R256" s="22">
        <f t="shared" si="3"/>
        <v>155</v>
      </c>
    </row>
    <row r="257" spans="1:18">
      <c r="A257" s="71">
        <v>800</v>
      </c>
      <c r="B257" s="72">
        <v>33662</v>
      </c>
      <c r="C257" s="71" t="s">
        <v>1373</v>
      </c>
      <c r="D257" s="72">
        <v>33660</v>
      </c>
      <c r="E257" s="71" t="s">
        <v>1374</v>
      </c>
      <c r="F257" s="71" t="s">
        <v>39</v>
      </c>
      <c r="G257" s="71" t="s">
        <v>20</v>
      </c>
      <c r="H257" s="71"/>
      <c r="I257" s="71"/>
      <c r="J257" s="71" t="s">
        <v>1375</v>
      </c>
      <c r="K257" s="71" t="s">
        <v>1202</v>
      </c>
      <c r="L257" s="71" t="s">
        <v>67</v>
      </c>
      <c r="M257" s="71"/>
      <c r="O257" s="72">
        <v>35496</v>
      </c>
      <c r="P257" s="71">
        <v>-1</v>
      </c>
      <c r="Q257" s="71" t="b">
        <v>0</v>
      </c>
      <c r="R257" s="22">
        <f t="shared" si="3"/>
        <v>1834</v>
      </c>
    </row>
    <row r="258" spans="1:18">
      <c r="A258" s="71">
        <v>801</v>
      </c>
      <c r="B258" s="72">
        <v>33662</v>
      </c>
      <c r="C258" s="71" t="s">
        <v>1376</v>
      </c>
      <c r="D258" s="72">
        <v>33662</v>
      </c>
      <c r="E258" s="71" t="s">
        <v>1377</v>
      </c>
      <c r="F258" s="71" t="s">
        <v>275</v>
      </c>
      <c r="G258" s="71" t="s">
        <v>20</v>
      </c>
      <c r="H258" s="71"/>
      <c r="I258" s="71"/>
      <c r="J258" s="71" t="s">
        <v>1378</v>
      </c>
      <c r="K258" s="71" t="s">
        <v>1379</v>
      </c>
      <c r="L258" s="71" t="s">
        <v>30</v>
      </c>
      <c r="M258" s="71"/>
      <c r="N258" s="72">
        <v>33673</v>
      </c>
      <c r="O258" s="72">
        <v>34827</v>
      </c>
      <c r="P258" s="71"/>
      <c r="Q258" s="71" t="b">
        <v>0</v>
      </c>
      <c r="R258" s="22">
        <f t="shared" ref="R258:R321" si="4">IF(O258=" ", " ", INT(YEARFRAC(O258, B258)*365))</f>
        <v>1165</v>
      </c>
    </row>
    <row r="259" spans="1:18">
      <c r="A259" s="71">
        <v>808</v>
      </c>
      <c r="B259" s="72">
        <v>33668</v>
      </c>
      <c r="C259" s="71" t="s">
        <v>1380</v>
      </c>
      <c r="D259" s="72">
        <v>33665</v>
      </c>
      <c r="E259" s="71" t="s">
        <v>1381</v>
      </c>
      <c r="F259" s="71" t="s">
        <v>70</v>
      </c>
      <c r="G259" s="71" t="s">
        <v>20</v>
      </c>
      <c r="H259" s="71" t="s">
        <v>71</v>
      </c>
      <c r="I259" s="71" t="s">
        <v>72</v>
      </c>
      <c r="J259" s="71" t="s">
        <v>1382</v>
      </c>
      <c r="K259" s="71" t="s">
        <v>1383</v>
      </c>
      <c r="L259" s="71" t="s">
        <v>30</v>
      </c>
      <c r="M259" s="71"/>
      <c r="N259" s="72">
        <v>33694</v>
      </c>
      <c r="O259" s="72">
        <v>34466</v>
      </c>
      <c r="P259" s="71"/>
      <c r="Q259" s="71" t="b">
        <v>0</v>
      </c>
      <c r="R259" s="22">
        <f t="shared" si="4"/>
        <v>797</v>
      </c>
    </row>
    <row r="260" spans="1:18">
      <c r="A260" s="71">
        <v>809</v>
      </c>
      <c r="B260" s="72">
        <v>33668</v>
      </c>
      <c r="C260" s="71" t="s">
        <v>1384</v>
      </c>
      <c r="D260" s="72">
        <v>33667</v>
      </c>
      <c r="E260" s="71" t="s">
        <v>1385</v>
      </c>
      <c r="F260" s="71" t="s">
        <v>85</v>
      </c>
      <c r="G260" s="71" t="s">
        <v>20</v>
      </c>
      <c r="H260" s="71"/>
      <c r="I260" s="71"/>
      <c r="J260" s="71" t="s">
        <v>1386</v>
      </c>
      <c r="K260" s="71" t="s">
        <v>1387</v>
      </c>
      <c r="L260" s="71" t="s">
        <v>1152</v>
      </c>
      <c r="M260" s="71"/>
      <c r="N260" s="72">
        <v>33709</v>
      </c>
      <c r="O260" s="72">
        <v>33784</v>
      </c>
      <c r="P260" s="71"/>
      <c r="Q260" s="71" t="b">
        <v>0</v>
      </c>
      <c r="R260" s="22">
        <f t="shared" si="4"/>
        <v>115</v>
      </c>
    </row>
    <row r="261" spans="1:18">
      <c r="A261" s="71">
        <v>819</v>
      </c>
      <c r="B261" s="72">
        <v>33674</v>
      </c>
      <c r="C261" s="71" t="s">
        <v>1391</v>
      </c>
      <c r="D261" s="72">
        <v>33673</v>
      </c>
      <c r="E261" s="71" t="s">
        <v>1392</v>
      </c>
      <c r="F261" s="71" t="s">
        <v>228</v>
      </c>
      <c r="G261" s="71" t="s">
        <v>20</v>
      </c>
      <c r="H261" s="71"/>
      <c r="I261" s="71"/>
      <c r="J261" s="71" t="s">
        <v>1393</v>
      </c>
      <c r="K261" s="71" t="s">
        <v>1394</v>
      </c>
      <c r="L261" s="71" t="s">
        <v>24</v>
      </c>
      <c r="M261" s="71"/>
      <c r="N261" s="72">
        <v>33680</v>
      </c>
      <c r="O261" s="72">
        <v>33682</v>
      </c>
      <c r="P261" s="71">
        <v>-1</v>
      </c>
      <c r="Q261" s="71" t="b">
        <v>0</v>
      </c>
      <c r="R261" s="22">
        <f t="shared" si="4"/>
        <v>8</v>
      </c>
    </row>
    <row r="262" spans="1:18">
      <c r="A262" s="71">
        <v>822</v>
      </c>
      <c r="B262" s="72">
        <v>33675</v>
      </c>
      <c r="C262" s="71" t="s">
        <v>1395</v>
      </c>
      <c r="D262" s="72">
        <v>33673</v>
      </c>
      <c r="E262" s="71" t="s">
        <v>1396</v>
      </c>
      <c r="F262" s="71" t="s">
        <v>19</v>
      </c>
      <c r="G262" s="71" t="s">
        <v>20</v>
      </c>
      <c r="H262" s="71"/>
      <c r="I262" s="71"/>
      <c r="J262" s="71" t="s">
        <v>1397</v>
      </c>
      <c r="K262" s="71" t="s">
        <v>1398</v>
      </c>
      <c r="L262" s="71" t="s">
        <v>24</v>
      </c>
      <c r="M262" s="71"/>
      <c r="N262" s="72">
        <v>33694</v>
      </c>
      <c r="O262" s="72">
        <v>33709</v>
      </c>
      <c r="P262" s="71"/>
      <c r="Q262" s="71" t="b">
        <v>0</v>
      </c>
      <c r="R262" s="22">
        <f t="shared" si="4"/>
        <v>33</v>
      </c>
    </row>
    <row r="263" spans="1:18">
      <c r="A263" s="71">
        <v>825</v>
      </c>
      <c r="B263" s="72">
        <v>33680</v>
      </c>
      <c r="C263" s="71" t="s">
        <v>1399</v>
      </c>
      <c r="D263" s="72">
        <v>33676</v>
      </c>
      <c r="E263" s="71" t="s">
        <v>1400</v>
      </c>
      <c r="F263" s="71" t="s">
        <v>104</v>
      </c>
      <c r="G263" s="71" t="s">
        <v>20</v>
      </c>
      <c r="H263" s="71"/>
      <c r="I263" s="71"/>
      <c r="J263" s="71" t="s">
        <v>1401</v>
      </c>
      <c r="K263" s="71" t="s">
        <v>1402</v>
      </c>
      <c r="L263" s="71" t="s">
        <v>24</v>
      </c>
      <c r="M263" s="71"/>
      <c r="N263" s="72">
        <v>33688</v>
      </c>
      <c r="O263" s="72">
        <v>33688</v>
      </c>
      <c r="P263" s="71"/>
      <c r="Q263" s="71" t="b">
        <v>0</v>
      </c>
      <c r="R263" s="22">
        <f t="shared" si="4"/>
        <v>8</v>
      </c>
    </row>
    <row r="264" spans="1:18">
      <c r="A264" s="71">
        <v>827</v>
      </c>
      <c r="B264" s="72">
        <v>33682</v>
      </c>
      <c r="C264" s="71" t="s">
        <v>1403</v>
      </c>
      <c r="D264" s="72">
        <v>33682</v>
      </c>
      <c r="E264" s="71" t="s">
        <v>1404</v>
      </c>
      <c r="F264" s="71" t="s">
        <v>19</v>
      </c>
      <c r="G264" s="71" t="s">
        <v>20</v>
      </c>
      <c r="H264" s="71"/>
      <c r="I264" s="71"/>
      <c r="J264" s="71" t="s">
        <v>1405</v>
      </c>
      <c r="K264" s="71" t="s">
        <v>1406</v>
      </c>
      <c r="L264" s="71" t="s">
        <v>30</v>
      </c>
      <c r="M264" s="71"/>
      <c r="O264" s="72">
        <v>34151</v>
      </c>
      <c r="P264" s="71">
        <v>-1</v>
      </c>
      <c r="Q264" s="71" t="b">
        <v>0</v>
      </c>
      <c r="R264" s="22">
        <f t="shared" si="4"/>
        <v>468</v>
      </c>
    </row>
    <row r="265" spans="1:18">
      <c r="A265" s="71">
        <v>828</v>
      </c>
      <c r="B265" s="72">
        <v>33683</v>
      </c>
      <c r="C265" s="71" t="s">
        <v>1407</v>
      </c>
      <c r="D265" s="72">
        <v>33662</v>
      </c>
      <c r="E265" s="71" t="s">
        <v>1408</v>
      </c>
      <c r="F265" s="71" t="s">
        <v>1409</v>
      </c>
      <c r="G265" s="71" t="s">
        <v>20</v>
      </c>
      <c r="H265" s="71" t="s">
        <v>189</v>
      </c>
      <c r="I265" s="71" t="s">
        <v>189</v>
      </c>
      <c r="J265" s="71" t="s">
        <v>1410</v>
      </c>
      <c r="K265" s="71" t="s">
        <v>1411</v>
      </c>
      <c r="L265" s="71" t="s">
        <v>59</v>
      </c>
      <c r="M265" s="71"/>
      <c r="O265" s="72">
        <v>33682</v>
      </c>
      <c r="P265" s="71">
        <v>-1</v>
      </c>
      <c r="Q265" s="71" t="b">
        <v>0</v>
      </c>
      <c r="R265" s="22">
        <f t="shared" si="4"/>
        <v>1</v>
      </c>
    </row>
    <row r="266" spans="1:18">
      <c r="A266" s="71">
        <v>829</v>
      </c>
      <c r="B266" s="72">
        <v>33686</v>
      </c>
      <c r="C266" s="71" t="s">
        <v>1412</v>
      </c>
      <c r="D266" s="72">
        <v>33682</v>
      </c>
      <c r="E266" s="71" t="s">
        <v>1413</v>
      </c>
      <c r="F266" s="71" t="s">
        <v>1414</v>
      </c>
      <c r="G266" s="71" t="s">
        <v>20</v>
      </c>
      <c r="H266" s="71" t="s">
        <v>71</v>
      </c>
      <c r="I266" s="71" t="s">
        <v>72</v>
      </c>
      <c r="J266" s="71" t="s">
        <v>1415</v>
      </c>
      <c r="K266" s="71" t="s">
        <v>1416</v>
      </c>
      <c r="L266" s="71" t="s">
        <v>30</v>
      </c>
      <c r="M266" s="71"/>
      <c r="N266" s="72">
        <v>33724</v>
      </c>
      <c r="O266" s="72">
        <v>33793</v>
      </c>
      <c r="P266" s="71"/>
      <c r="Q266" s="71" t="b">
        <v>0</v>
      </c>
      <c r="R266" s="22">
        <f t="shared" si="4"/>
        <v>106</v>
      </c>
    </row>
    <row r="267" spans="1:18">
      <c r="A267" s="71">
        <v>835</v>
      </c>
      <c r="B267" s="72">
        <v>33694</v>
      </c>
      <c r="C267" s="71" t="s">
        <v>1420</v>
      </c>
      <c r="D267" s="72">
        <v>33688</v>
      </c>
      <c r="E267" s="71" t="s">
        <v>1421</v>
      </c>
      <c r="F267" s="71" t="s">
        <v>39</v>
      </c>
      <c r="G267" s="71" t="s">
        <v>20</v>
      </c>
      <c r="H267" s="71"/>
      <c r="I267" s="71"/>
      <c r="J267" s="71" t="s">
        <v>1422</v>
      </c>
      <c r="K267" s="71" t="s">
        <v>1423</v>
      </c>
      <c r="L267" s="71" t="s">
        <v>24</v>
      </c>
      <c r="M267" s="71"/>
      <c r="N267" s="72">
        <v>33724</v>
      </c>
      <c r="O267" s="72">
        <v>33849</v>
      </c>
      <c r="P267" s="71"/>
      <c r="Q267" s="71" t="b">
        <v>0</v>
      </c>
      <c r="R267" s="22">
        <f t="shared" si="4"/>
        <v>154</v>
      </c>
    </row>
    <row r="268" spans="1:18">
      <c r="A268" s="71">
        <v>836</v>
      </c>
      <c r="B268" s="72">
        <v>33694</v>
      </c>
      <c r="C268" s="71" t="s">
        <v>1424</v>
      </c>
      <c r="D268" s="72">
        <v>33693</v>
      </c>
      <c r="E268" s="71" t="s">
        <v>1425</v>
      </c>
      <c r="F268" s="71" t="s">
        <v>1338</v>
      </c>
      <c r="G268" s="71" t="s">
        <v>20</v>
      </c>
      <c r="H268" s="71"/>
      <c r="I268" s="71"/>
      <c r="J268" s="71" t="s">
        <v>1426</v>
      </c>
      <c r="K268" s="71" t="s">
        <v>1427</v>
      </c>
      <c r="L268" s="71" t="s">
        <v>30</v>
      </c>
      <c r="M268" s="71"/>
      <c r="N268" s="72">
        <v>33724</v>
      </c>
      <c r="O268" s="72">
        <v>33829</v>
      </c>
      <c r="P268" s="71"/>
      <c r="Q268" s="71" t="b">
        <v>0</v>
      </c>
      <c r="R268" s="22">
        <f t="shared" si="4"/>
        <v>134</v>
      </c>
    </row>
    <row r="269" spans="1:18">
      <c r="A269" s="71">
        <v>847</v>
      </c>
      <c r="B269" s="72">
        <v>33695</v>
      </c>
      <c r="C269" s="71" t="s">
        <v>1438</v>
      </c>
      <c r="D269" s="72">
        <v>33690</v>
      </c>
      <c r="E269" s="71" t="s">
        <v>1439</v>
      </c>
      <c r="F269" s="71" t="s">
        <v>124</v>
      </c>
      <c r="G269" s="71" t="s">
        <v>20</v>
      </c>
      <c r="H269" s="71"/>
      <c r="I269" s="71"/>
      <c r="J269" s="71" t="s">
        <v>1440</v>
      </c>
      <c r="K269" s="71" t="s">
        <v>1441</v>
      </c>
      <c r="L269" s="71" t="s">
        <v>82</v>
      </c>
      <c r="M269" s="71"/>
      <c r="N269" s="72">
        <v>33702</v>
      </c>
      <c r="O269" s="72">
        <v>33697</v>
      </c>
      <c r="P269" s="71">
        <v>-1</v>
      </c>
      <c r="Q269" s="71" t="b">
        <v>0</v>
      </c>
      <c r="R269" s="22">
        <f t="shared" si="4"/>
        <v>2</v>
      </c>
    </row>
    <row r="270" spans="1:18">
      <c r="A270" s="71">
        <v>859</v>
      </c>
      <c r="B270" s="72">
        <v>33701</v>
      </c>
      <c r="C270" s="71" t="s">
        <v>1446</v>
      </c>
      <c r="D270" s="72">
        <v>33700</v>
      </c>
      <c r="E270" s="71" t="s">
        <v>1447</v>
      </c>
      <c r="F270" s="71" t="s">
        <v>149</v>
      </c>
      <c r="G270" s="71" t="s">
        <v>20</v>
      </c>
      <c r="H270" s="71"/>
      <c r="I270" s="71"/>
      <c r="J270" s="71" t="s">
        <v>1448</v>
      </c>
      <c r="K270" s="71" t="s">
        <v>1449</v>
      </c>
      <c r="L270" s="71" t="s">
        <v>24</v>
      </c>
      <c r="M270" s="71"/>
      <c r="N270" s="72">
        <v>33724</v>
      </c>
      <c r="O270" s="72">
        <v>33708</v>
      </c>
      <c r="P270" s="71"/>
      <c r="Q270" s="71" t="b">
        <v>0</v>
      </c>
      <c r="R270" s="22">
        <f t="shared" si="4"/>
        <v>7</v>
      </c>
    </row>
    <row r="271" spans="1:18">
      <c r="A271" s="71">
        <v>872</v>
      </c>
      <c r="B271" s="72">
        <v>33709</v>
      </c>
      <c r="C271" s="71" t="s">
        <v>1459</v>
      </c>
      <c r="D271" s="72">
        <v>33709</v>
      </c>
      <c r="E271" s="71" t="s">
        <v>1460</v>
      </c>
      <c r="F271" s="71" t="s">
        <v>39</v>
      </c>
      <c r="G271" s="71" t="s">
        <v>20</v>
      </c>
      <c r="H271" s="71"/>
      <c r="I271" s="71"/>
      <c r="J271" s="71" t="s">
        <v>1461</v>
      </c>
      <c r="K271" s="71" t="s">
        <v>1462</v>
      </c>
      <c r="L271" s="71" t="s">
        <v>24</v>
      </c>
      <c r="M271" s="71"/>
      <c r="O271" s="72">
        <v>33732</v>
      </c>
      <c r="P271" s="71"/>
      <c r="Q271" s="71" t="b">
        <v>0</v>
      </c>
      <c r="R271" s="22">
        <f t="shared" si="4"/>
        <v>23</v>
      </c>
    </row>
    <row r="272" spans="1:18">
      <c r="A272" s="71">
        <v>884</v>
      </c>
      <c r="B272" s="72">
        <v>33716</v>
      </c>
      <c r="C272" s="71" t="s">
        <v>1468</v>
      </c>
      <c r="D272" s="72">
        <v>33710</v>
      </c>
      <c r="E272" s="71" t="s">
        <v>1469</v>
      </c>
      <c r="F272" s="71" t="s">
        <v>984</v>
      </c>
      <c r="G272" s="71" t="s">
        <v>20</v>
      </c>
      <c r="H272" s="71"/>
      <c r="I272" s="71"/>
      <c r="J272" s="71" t="s">
        <v>1452</v>
      </c>
      <c r="K272" s="71" t="s">
        <v>1470</v>
      </c>
      <c r="L272" s="71" t="s">
        <v>24</v>
      </c>
      <c r="M272" s="71"/>
      <c r="O272" s="72">
        <v>33724</v>
      </c>
      <c r="P272" s="71"/>
      <c r="Q272" s="71" t="b">
        <v>0</v>
      </c>
      <c r="R272" s="22">
        <f t="shared" si="4"/>
        <v>8</v>
      </c>
    </row>
    <row r="273" spans="1:18">
      <c r="A273" s="71">
        <v>887</v>
      </c>
      <c r="B273" s="72">
        <v>33717</v>
      </c>
      <c r="C273" s="71" t="s">
        <v>1474</v>
      </c>
      <c r="D273" s="72">
        <v>32808</v>
      </c>
      <c r="E273" s="71" t="s">
        <v>1475</v>
      </c>
      <c r="F273" s="71" t="s">
        <v>85</v>
      </c>
      <c r="G273" s="71" t="s">
        <v>20</v>
      </c>
      <c r="H273" s="71"/>
      <c r="I273" s="71"/>
      <c r="J273" s="71" t="s">
        <v>1476</v>
      </c>
      <c r="K273" s="71" t="s">
        <v>1477</v>
      </c>
      <c r="L273" s="71" t="s">
        <v>1152</v>
      </c>
      <c r="M273" s="71"/>
      <c r="N273" s="72">
        <v>33739</v>
      </c>
      <c r="O273" s="72">
        <v>33890</v>
      </c>
      <c r="P273" s="71"/>
      <c r="Q273" s="71" t="b">
        <v>0</v>
      </c>
      <c r="R273" s="22">
        <f t="shared" si="4"/>
        <v>172</v>
      </c>
    </row>
    <row r="274" spans="1:18">
      <c r="A274" s="71">
        <v>900</v>
      </c>
      <c r="B274" s="72">
        <v>33725</v>
      </c>
      <c r="C274" s="71" t="s">
        <v>1478</v>
      </c>
      <c r="D274" s="72">
        <v>33721</v>
      </c>
      <c r="E274" s="71" t="s">
        <v>1479</v>
      </c>
      <c r="F274" s="71" t="s">
        <v>124</v>
      </c>
      <c r="G274" s="71" t="s">
        <v>20</v>
      </c>
      <c r="H274" s="71"/>
      <c r="I274" s="71"/>
      <c r="J274" s="71" t="s">
        <v>1480</v>
      </c>
      <c r="K274" s="71" t="s">
        <v>1481</v>
      </c>
      <c r="L274" s="71" t="s">
        <v>24</v>
      </c>
      <c r="M274" s="71"/>
      <c r="N274" s="72">
        <v>33770</v>
      </c>
      <c r="O274" s="72">
        <v>33729</v>
      </c>
      <c r="P274" s="71">
        <v>-1</v>
      </c>
      <c r="Q274" s="71" t="b">
        <v>0</v>
      </c>
      <c r="R274" s="22">
        <f t="shared" si="4"/>
        <v>4</v>
      </c>
    </row>
    <row r="275" spans="1:18">
      <c r="A275" s="71">
        <v>910</v>
      </c>
      <c r="B275" s="72">
        <v>33728</v>
      </c>
      <c r="C275" s="71" t="s">
        <v>1488</v>
      </c>
      <c r="D275" s="72">
        <v>33728</v>
      </c>
      <c r="E275" s="71" t="s">
        <v>1489</v>
      </c>
      <c r="F275" s="71" t="s">
        <v>306</v>
      </c>
      <c r="G275" s="71" t="s">
        <v>20</v>
      </c>
      <c r="H275" s="71"/>
      <c r="I275" s="71"/>
      <c r="J275" s="71" t="s">
        <v>1490</v>
      </c>
      <c r="K275" s="71" t="s">
        <v>1491</v>
      </c>
      <c r="L275" s="71" t="s">
        <v>1152</v>
      </c>
      <c r="M275" s="71"/>
      <c r="N275" s="72">
        <v>33739</v>
      </c>
      <c r="O275" s="72">
        <v>33744</v>
      </c>
      <c r="P275" s="71"/>
      <c r="Q275" s="71" t="b">
        <v>0</v>
      </c>
      <c r="R275" s="22">
        <f t="shared" si="4"/>
        <v>16</v>
      </c>
    </row>
    <row r="276" spans="1:18">
      <c r="A276" s="71">
        <v>920</v>
      </c>
      <c r="B276" s="72">
        <v>33735</v>
      </c>
      <c r="C276" s="71" t="s">
        <v>1492</v>
      </c>
      <c r="D276" s="72">
        <v>33731</v>
      </c>
      <c r="E276" s="71" t="s">
        <v>1493</v>
      </c>
      <c r="F276" s="71" t="s">
        <v>179</v>
      </c>
      <c r="G276" s="71" t="s">
        <v>20</v>
      </c>
      <c r="H276" s="71" t="s">
        <v>71</v>
      </c>
      <c r="I276" s="71" t="s">
        <v>72</v>
      </c>
      <c r="J276" s="71" t="s">
        <v>1494</v>
      </c>
      <c r="K276" s="71" t="s">
        <v>1495</v>
      </c>
      <c r="L276" s="71" t="s">
        <v>24</v>
      </c>
      <c r="M276" s="71"/>
      <c r="O276" s="72">
        <v>34877</v>
      </c>
      <c r="P276" s="71">
        <v>-1</v>
      </c>
      <c r="Q276" s="71" t="b">
        <v>0</v>
      </c>
      <c r="R276" s="22">
        <f t="shared" si="4"/>
        <v>1141</v>
      </c>
    </row>
    <row r="277" spans="1:18">
      <c r="A277" s="71">
        <v>928</v>
      </c>
      <c r="B277" s="72">
        <v>33739</v>
      </c>
      <c r="C277" s="71" t="s">
        <v>1496</v>
      </c>
      <c r="D277" s="72">
        <v>33738</v>
      </c>
      <c r="E277" s="71" t="s">
        <v>1497</v>
      </c>
      <c r="F277" s="71" t="s">
        <v>124</v>
      </c>
      <c r="G277" s="71" t="s">
        <v>20</v>
      </c>
      <c r="H277" s="71"/>
      <c r="I277" s="71"/>
      <c r="J277" s="71" t="s">
        <v>1498</v>
      </c>
      <c r="K277" s="71" t="s">
        <v>1499</v>
      </c>
      <c r="L277" s="71" t="s">
        <v>1152</v>
      </c>
      <c r="M277" s="71"/>
      <c r="N277" s="72">
        <v>33770</v>
      </c>
      <c r="O277" s="72">
        <v>34071</v>
      </c>
      <c r="P277" s="71"/>
      <c r="Q277" s="71" t="b">
        <v>0</v>
      </c>
      <c r="R277" s="22">
        <f t="shared" si="4"/>
        <v>331</v>
      </c>
    </row>
    <row r="278" spans="1:18">
      <c r="A278" s="71">
        <v>951</v>
      </c>
      <c r="B278" s="72">
        <v>33743</v>
      </c>
      <c r="C278" s="71" t="s">
        <v>1500</v>
      </c>
      <c r="D278" s="72">
        <v>33736</v>
      </c>
      <c r="E278" s="71" t="s">
        <v>1501</v>
      </c>
      <c r="F278" s="71" t="s">
        <v>56</v>
      </c>
      <c r="G278" s="71" t="s">
        <v>20</v>
      </c>
      <c r="H278" s="71"/>
      <c r="I278" s="71"/>
      <c r="J278" s="71" t="s">
        <v>1502</v>
      </c>
      <c r="K278" s="71" t="s">
        <v>1503</v>
      </c>
      <c r="L278" s="71" t="s">
        <v>30</v>
      </c>
      <c r="M278" s="71"/>
      <c r="N278" s="72">
        <v>33785</v>
      </c>
      <c r="O278" s="72">
        <v>33833</v>
      </c>
      <c r="P278" s="71"/>
      <c r="Q278" s="71" t="b">
        <v>0</v>
      </c>
      <c r="R278" s="22">
        <f t="shared" si="4"/>
        <v>89</v>
      </c>
    </row>
    <row r="279" spans="1:18">
      <c r="A279" s="71">
        <v>969</v>
      </c>
      <c r="B279" s="72">
        <v>33744</v>
      </c>
      <c r="C279" s="71" t="s">
        <v>1504</v>
      </c>
      <c r="D279" s="72">
        <v>33744</v>
      </c>
      <c r="E279" s="71" t="s">
        <v>1505</v>
      </c>
      <c r="F279" s="71" t="s">
        <v>104</v>
      </c>
      <c r="G279" s="71" t="s">
        <v>20</v>
      </c>
      <c r="H279" s="71"/>
      <c r="I279" s="71"/>
      <c r="J279" s="71" t="s">
        <v>1506</v>
      </c>
      <c r="K279" s="71" t="s">
        <v>1507</v>
      </c>
      <c r="L279" s="71" t="s">
        <v>30</v>
      </c>
      <c r="M279" s="71"/>
      <c r="O279" s="72">
        <v>33793</v>
      </c>
      <c r="P279" s="71"/>
      <c r="Q279" s="71" t="b">
        <v>0</v>
      </c>
      <c r="R279" s="22">
        <f t="shared" si="4"/>
        <v>48</v>
      </c>
    </row>
    <row r="280" spans="1:18">
      <c r="A280" s="71">
        <v>981</v>
      </c>
      <c r="B280" s="72">
        <v>33751</v>
      </c>
      <c r="C280" s="71" t="s">
        <v>1511</v>
      </c>
      <c r="D280" s="72">
        <v>33751</v>
      </c>
      <c r="E280" s="71" t="s">
        <v>1512</v>
      </c>
      <c r="F280" s="71" t="s">
        <v>149</v>
      </c>
      <c r="G280" s="71" t="s">
        <v>20</v>
      </c>
      <c r="H280" s="71"/>
      <c r="I280" s="71"/>
      <c r="J280" s="71" t="s">
        <v>1258</v>
      </c>
      <c r="K280" s="71" t="s">
        <v>1513</v>
      </c>
      <c r="L280" s="71" t="s">
        <v>30</v>
      </c>
      <c r="M280" s="71"/>
      <c r="N280" s="72">
        <v>33767</v>
      </c>
      <c r="O280" s="72">
        <v>33967</v>
      </c>
      <c r="P280" s="71"/>
      <c r="Q280" s="71" t="b">
        <v>0</v>
      </c>
      <c r="R280" s="22">
        <f t="shared" si="4"/>
        <v>214</v>
      </c>
    </row>
    <row r="281" spans="1:18">
      <c r="A281" s="71">
        <v>999</v>
      </c>
      <c r="B281" s="72">
        <v>33760</v>
      </c>
      <c r="C281" s="71" t="s">
        <v>1522</v>
      </c>
      <c r="D281" s="72">
        <v>33759</v>
      </c>
      <c r="E281" s="71" t="s">
        <v>1523</v>
      </c>
      <c r="F281" s="71" t="s">
        <v>27</v>
      </c>
      <c r="G281" s="71" t="s">
        <v>20</v>
      </c>
      <c r="H281" s="71"/>
      <c r="I281" s="71"/>
      <c r="J281" s="71" t="s">
        <v>1524</v>
      </c>
      <c r="K281" s="71"/>
      <c r="L281" s="71" t="s">
        <v>24</v>
      </c>
      <c r="M281" s="71"/>
      <c r="O281" s="72">
        <v>34942</v>
      </c>
      <c r="P281" s="71"/>
      <c r="Q281" s="71" t="b">
        <v>0</v>
      </c>
      <c r="R281" s="22">
        <f t="shared" si="4"/>
        <v>1182</v>
      </c>
    </row>
    <row r="282" spans="1:18">
      <c r="A282" s="71">
        <v>1003</v>
      </c>
      <c r="B282" s="72">
        <v>33771</v>
      </c>
      <c r="C282" s="71" t="s">
        <v>1525</v>
      </c>
      <c r="D282" s="72">
        <v>33765</v>
      </c>
      <c r="E282" s="71" t="s">
        <v>1526</v>
      </c>
      <c r="F282" s="71" t="s">
        <v>52</v>
      </c>
      <c r="G282" s="71" t="s">
        <v>20</v>
      </c>
      <c r="H282" s="71"/>
      <c r="I282" s="71"/>
      <c r="J282" s="71" t="s">
        <v>1340</v>
      </c>
      <c r="K282" s="71" t="s">
        <v>1527</v>
      </c>
      <c r="L282" s="71" t="s">
        <v>66</v>
      </c>
      <c r="M282" s="71"/>
      <c r="O282" s="72">
        <v>35482</v>
      </c>
      <c r="P282" s="71"/>
      <c r="Q282" s="71" t="b">
        <v>0</v>
      </c>
      <c r="R282" s="22">
        <f t="shared" si="4"/>
        <v>1708</v>
      </c>
    </row>
    <row r="283" spans="1:18">
      <c r="A283" s="71">
        <v>1007</v>
      </c>
      <c r="B283" s="72">
        <v>33774</v>
      </c>
      <c r="C283" s="71" t="s">
        <v>1528</v>
      </c>
      <c r="D283" s="72">
        <v>33773</v>
      </c>
      <c r="E283" s="71" t="s">
        <v>1529</v>
      </c>
      <c r="F283" s="71" t="s">
        <v>984</v>
      </c>
      <c r="G283" s="71" t="s">
        <v>20</v>
      </c>
      <c r="H283" s="71"/>
      <c r="I283" s="71"/>
      <c r="J283" s="71" t="s">
        <v>1530</v>
      </c>
      <c r="K283" s="71" t="s">
        <v>1531</v>
      </c>
      <c r="L283" s="71" t="s">
        <v>1152</v>
      </c>
      <c r="M283" s="71"/>
      <c r="O283" s="72">
        <v>34101</v>
      </c>
      <c r="P283" s="71">
        <v>-1</v>
      </c>
      <c r="Q283" s="71" t="b">
        <v>0</v>
      </c>
      <c r="R283" s="22">
        <f t="shared" si="4"/>
        <v>327</v>
      </c>
    </row>
    <row r="284" spans="1:18">
      <c r="A284" s="71">
        <v>1010</v>
      </c>
      <c r="B284" s="72">
        <v>33778</v>
      </c>
      <c r="C284" s="71" t="s">
        <v>1532</v>
      </c>
      <c r="D284" s="72">
        <v>33772</v>
      </c>
      <c r="E284" s="71" t="s">
        <v>1533</v>
      </c>
      <c r="F284" s="71" t="s">
        <v>124</v>
      </c>
      <c r="G284" s="71" t="s">
        <v>20</v>
      </c>
      <c r="H284" s="71"/>
      <c r="I284" s="71"/>
      <c r="J284" s="71" t="s">
        <v>1534</v>
      </c>
      <c r="K284" s="71"/>
      <c r="L284" s="71" t="s">
        <v>82</v>
      </c>
      <c r="M284" s="71"/>
      <c r="N284" s="72">
        <v>33795</v>
      </c>
      <c r="O284" s="72">
        <v>33821</v>
      </c>
      <c r="P284" s="71">
        <v>-1</v>
      </c>
      <c r="Q284" s="71" t="b">
        <v>0</v>
      </c>
      <c r="R284" s="22">
        <f t="shared" si="4"/>
        <v>42</v>
      </c>
    </row>
    <row r="285" spans="1:18">
      <c r="A285" s="71">
        <v>1013</v>
      </c>
      <c r="B285" s="72">
        <v>33784</v>
      </c>
      <c r="C285" s="71" t="s">
        <v>1535</v>
      </c>
      <c r="D285" s="72">
        <v>33784</v>
      </c>
      <c r="E285" s="71" t="s">
        <v>1536</v>
      </c>
      <c r="F285" s="71" t="s">
        <v>1537</v>
      </c>
      <c r="G285" s="71" t="s">
        <v>20</v>
      </c>
      <c r="H285" s="71"/>
      <c r="I285" s="71"/>
      <c r="J285" s="71" t="s">
        <v>1258</v>
      </c>
      <c r="K285" s="71" t="s">
        <v>1538</v>
      </c>
      <c r="L285" s="71" t="s">
        <v>82</v>
      </c>
      <c r="M285" s="71"/>
      <c r="N285" s="72">
        <v>33788</v>
      </c>
      <c r="O285" s="72">
        <v>33802</v>
      </c>
      <c r="P285" s="71">
        <v>-1</v>
      </c>
      <c r="Q285" s="71" t="b">
        <v>0</v>
      </c>
      <c r="R285" s="22">
        <f t="shared" si="4"/>
        <v>18</v>
      </c>
    </row>
    <row r="286" spans="1:18">
      <c r="A286" s="71">
        <v>1026</v>
      </c>
      <c r="B286" s="72">
        <v>33793</v>
      </c>
      <c r="C286" s="71" t="s">
        <v>1539</v>
      </c>
      <c r="D286" s="72">
        <v>33793</v>
      </c>
      <c r="E286" s="71" t="s">
        <v>1540</v>
      </c>
      <c r="F286" s="71" t="s">
        <v>124</v>
      </c>
      <c r="G286" s="71" t="s">
        <v>20</v>
      </c>
      <c r="H286" s="71"/>
      <c r="I286" s="71"/>
      <c r="J286" s="71" t="s">
        <v>1541</v>
      </c>
      <c r="K286" s="71"/>
      <c r="L286" s="71" t="s">
        <v>24</v>
      </c>
      <c r="M286" s="71"/>
      <c r="N286" s="72">
        <v>33815</v>
      </c>
      <c r="O286" s="72">
        <v>33794</v>
      </c>
      <c r="P286" s="71"/>
      <c r="Q286" s="71" t="b">
        <v>0</v>
      </c>
      <c r="R286" s="22">
        <f t="shared" si="4"/>
        <v>1</v>
      </c>
    </row>
    <row r="287" spans="1:18">
      <c r="A287" s="71">
        <v>1032</v>
      </c>
      <c r="B287" s="72">
        <v>33798</v>
      </c>
      <c r="C287" s="71" t="s">
        <v>1547</v>
      </c>
      <c r="D287" s="72">
        <v>33794</v>
      </c>
      <c r="E287" s="71" t="s">
        <v>1548</v>
      </c>
      <c r="F287" s="71" t="s">
        <v>149</v>
      </c>
      <c r="G287" s="71" t="s">
        <v>20</v>
      </c>
      <c r="H287" s="71"/>
      <c r="I287" s="71"/>
      <c r="J287" s="71" t="s">
        <v>1549</v>
      </c>
      <c r="K287" s="71" t="s">
        <v>1550</v>
      </c>
      <c r="L287" s="71" t="s">
        <v>1152</v>
      </c>
      <c r="M287" s="71"/>
      <c r="N287" s="72">
        <v>33805</v>
      </c>
      <c r="O287" s="72">
        <v>33822</v>
      </c>
      <c r="P287" s="71"/>
      <c r="Q287" s="71" t="b">
        <v>0</v>
      </c>
      <c r="R287" s="22">
        <f t="shared" si="4"/>
        <v>23</v>
      </c>
    </row>
    <row r="288" spans="1:18">
      <c r="A288" s="71">
        <v>1038</v>
      </c>
      <c r="B288" s="72">
        <v>33816</v>
      </c>
      <c r="C288" s="71" t="s">
        <v>1554</v>
      </c>
      <c r="D288" s="72">
        <v>33814</v>
      </c>
      <c r="E288" s="71" t="s">
        <v>1555</v>
      </c>
      <c r="F288" s="71" t="s">
        <v>1537</v>
      </c>
      <c r="G288" s="71" t="s">
        <v>20</v>
      </c>
      <c r="H288" s="71"/>
      <c r="I288" s="71"/>
      <c r="J288" s="71" t="s">
        <v>1556</v>
      </c>
      <c r="K288" s="71"/>
      <c r="L288" s="71" t="s">
        <v>82</v>
      </c>
      <c r="M288" s="71"/>
      <c r="O288" s="72">
        <v>33851</v>
      </c>
      <c r="P288" s="71"/>
      <c r="Q288" s="71" t="b">
        <v>0</v>
      </c>
      <c r="R288" s="22">
        <f t="shared" si="4"/>
        <v>34</v>
      </c>
    </row>
    <row r="289" spans="1:18">
      <c r="A289" s="71">
        <v>1039</v>
      </c>
      <c r="B289" s="72">
        <v>33805</v>
      </c>
      <c r="C289" s="71" t="s">
        <v>1557</v>
      </c>
      <c r="D289" s="72">
        <v>33805</v>
      </c>
      <c r="E289" s="71" t="s">
        <v>1558</v>
      </c>
      <c r="F289" s="71" t="s">
        <v>228</v>
      </c>
      <c r="G289" s="71" t="s">
        <v>20</v>
      </c>
      <c r="H289" s="71"/>
      <c r="I289" s="71"/>
      <c r="J289" s="71" t="s">
        <v>1559</v>
      </c>
      <c r="K289" s="71"/>
      <c r="L289" s="71" t="s">
        <v>30</v>
      </c>
      <c r="M289" s="71"/>
      <c r="N289" s="72">
        <v>33813</v>
      </c>
      <c r="O289" s="72">
        <v>33841</v>
      </c>
      <c r="P289" s="71"/>
      <c r="Q289" s="71" t="b">
        <v>0</v>
      </c>
      <c r="R289" s="22">
        <f t="shared" si="4"/>
        <v>35</v>
      </c>
    </row>
    <row r="290" spans="1:18">
      <c r="A290" s="71">
        <v>1052</v>
      </c>
      <c r="B290" s="72">
        <v>33815</v>
      </c>
      <c r="C290" s="71" t="s">
        <v>1562</v>
      </c>
      <c r="D290" s="72">
        <v>33815</v>
      </c>
      <c r="E290" s="71" t="s">
        <v>1563</v>
      </c>
      <c r="F290" s="71" t="s">
        <v>306</v>
      </c>
      <c r="G290" s="71" t="s">
        <v>20</v>
      </c>
      <c r="H290" s="71"/>
      <c r="I290" s="71"/>
      <c r="J290" s="71" t="s">
        <v>754</v>
      </c>
      <c r="K290" s="71" t="s">
        <v>1564</v>
      </c>
      <c r="L290" s="71" t="s">
        <v>82</v>
      </c>
      <c r="M290" s="71"/>
      <c r="O290" s="72">
        <v>33833</v>
      </c>
      <c r="P290" s="71"/>
      <c r="Q290" s="71" t="b">
        <v>0</v>
      </c>
      <c r="R290" s="22">
        <f t="shared" si="4"/>
        <v>17</v>
      </c>
    </row>
    <row r="291" spans="1:18">
      <c r="A291" s="71">
        <v>1055</v>
      </c>
      <c r="B291" s="72">
        <v>33833</v>
      </c>
      <c r="C291" s="71" t="s">
        <v>1565</v>
      </c>
      <c r="D291" s="72">
        <v>33833</v>
      </c>
      <c r="E291" s="71" t="s">
        <v>1566</v>
      </c>
      <c r="F291" s="71" t="s">
        <v>228</v>
      </c>
      <c r="G291" s="71" t="s">
        <v>20</v>
      </c>
      <c r="H291" s="71"/>
      <c r="I291" s="71"/>
      <c r="J291" s="71" t="s">
        <v>1567</v>
      </c>
      <c r="K291" s="71" t="s">
        <v>1568</v>
      </c>
      <c r="L291" s="71" t="s">
        <v>1152</v>
      </c>
      <c r="M291" s="71"/>
      <c r="O291" s="72">
        <v>34183</v>
      </c>
      <c r="P291" s="71">
        <v>-1</v>
      </c>
      <c r="Q291" s="71" t="b">
        <v>0</v>
      </c>
      <c r="R291" s="22">
        <f t="shared" si="4"/>
        <v>349</v>
      </c>
    </row>
    <row r="292" spans="1:18">
      <c r="A292" s="71">
        <v>1056</v>
      </c>
      <c r="B292" s="72">
        <v>33819</v>
      </c>
      <c r="C292" s="71" t="s">
        <v>1569</v>
      </c>
      <c r="D292" s="72">
        <v>33817</v>
      </c>
      <c r="E292" s="71" t="s">
        <v>1570</v>
      </c>
      <c r="F292" s="71" t="s">
        <v>70</v>
      </c>
      <c r="G292" s="71" t="s">
        <v>20</v>
      </c>
      <c r="H292" s="71" t="s">
        <v>71</v>
      </c>
      <c r="I292" s="71" t="s">
        <v>72</v>
      </c>
      <c r="J292" s="71" t="s">
        <v>1571</v>
      </c>
      <c r="K292" s="71" t="s">
        <v>1572</v>
      </c>
      <c r="L292" s="71" t="s">
        <v>30</v>
      </c>
      <c r="M292" s="71"/>
      <c r="O292" s="72">
        <v>33840</v>
      </c>
      <c r="P292" s="71"/>
      <c r="Q292" s="71" t="b">
        <v>0</v>
      </c>
      <c r="R292" s="22">
        <f t="shared" si="4"/>
        <v>21</v>
      </c>
    </row>
    <row r="293" spans="1:18">
      <c r="A293" s="71">
        <v>1072</v>
      </c>
      <c r="B293" s="72">
        <v>33829</v>
      </c>
      <c r="C293" s="71" t="s">
        <v>1583</v>
      </c>
      <c r="D293" s="72">
        <v>33827</v>
      </c>
      <c r="E293" s="71" t="s">
        <v>1584</v>
      </c>
      <c r="F293" s="71" t="s">
        <v>1366</v>
      </c>
      <c r="G293" s="71" t="s">
        <v>20</v>
      </c>
      <c r="H293" s="71" t="s">
        <v>212</v>
      </c>
      <c r="I293" s="71" t="s">
        <v>212</v>
      </c>
      <c r="J293" s="71" t="s">
        <v>1585</v>
      </c>
      <c r="K293" s="71" t="s">
        <v>1510</v>
      </c>
      <c r="L293" s="71" t="s">
        <v>24</v>
      </c>
      <c r="M293" s="71"/>
      <c r="O293" s="72">
        <v>33884</v>
      </c>
      <c r="P293" s="71"/>
      <c r="Q293" s="71" t="b">
        <v>0</v>
      </c>
      <c r="R293" s="22">
        <f t="shared" si="4"/>
        <v>54</v>
      </c>
    </row>
    <row r="294" spans="1:18">
      <c r="A294" s="71">
        <v>1082</v>
      </c>
      <c r="B294" s="72">
        <v>33836</v>
      </c>
      <c r="C294" s="71" t="s">
        <v>1594</v>
      </c>
      <c r="D294" s="72">
        <v>33836</v>
      </c>
      <c r="E294" s="71" t="s">
        <v>1595</v>
      </c>
      <c r="F294" s="71" t="s">
        <v>124</v>
      </c>
      <c r="G294" s="71" t="s">
        <v>20</v>
      </c>
      <c r="H294" s="71"/>
      <c r="I294" s="71"/>
      <c r="J294" s="71" t="s">
        <v>457</v>
      </c>
      <c r="K294" s="71" t="s">
        <v>1596</v>
      </c>
      <c r="L294" s="71" t="s">
        <v>24</v>
      </c>
      <c r="M294" s="71"/>
      <c r="O294" s="72">
        <v>34877</v>
      </c>
      <c r="P294" s="71">
        <v>-1</v>
      </c>
      <c r="Q294" s="71" t="b">
        <v>0</v>
      </c>
      <c r="R294" s="22">
        <f t="shared" si="4"/>
        <v>1041</v>
      </c>
    </row>
    <row r="295" spans="1:18">
      <c r="A295" s="71">
        <v>1083</v>
      </c>
      <c r="B295" s="72">
        <v>33836</v>
      </c>
      <c r="C295" s="71" t="s">
        <v>1597</v>
      </c>
      <c r="D295" s="72">
        <v>33836</v>
      </c>
      <c r="E295" s="71" t="s">
        <v>1598</v>
      </c>
      <c r="F295" s="71" t="s">
        <v>259</v>
      </c>
      <c r="G295" s="71" t="s">
        <v>20</v>
      </c>
      <c r="H295" s="71"/>
      <c r="I295" s="71"/>
      <c r="J295" s="71" t="s">
        <v>333</v>
      </c>
      <c r="K295" s="71" t="s">
        <v>754</v>
      </c>
      <c r="L295" s="71" t="s">
        <v>82</v>
      </c>
      <c r="M295" s="71"/>
      <c r="N295" s="72">
        <v>33839</v>
      </c>
      <c r="O295" s="72">
        <v>33840</v>
      </c>
      <c r="P295" s="71"/>
      <c r="Q295" s="71" t="b">
        <v>0</v>
      </c>
      <c r="R295" s="22">
        <f t="shared" si="4"/>
        <v>4</v>
      </c>
    </row>
    <row r="296" spans="1:18">
      <c r="A296" s="71">
        <v>1084</v>
      </c>
      <c r="B296" s="72">
        <v>33842</v>
      </c>
      <c r="C296" s="71" t="s">
        <v>1599</v>
      </c>
      <c r="D296" s="72">
        <v>33841</v>
      </c>
      <c r="E296" s="71" t="s">
        <v>1600</v>
      </c>
      <c r="F296" s="71" t="s">
        <v>367</v>
      </c>
      <c r="G296" s="71" t="s">
        <v>20</v>
      </c>
      <c r="H296" s="71" t="s">
        <v>71</v>
      </c>
      <c r="I296" s="71" t="s">
        <v>72</v>
      </c>
      <c r="J296" s="71" t="s">
        <v>1601</v>
      </c>
      <c r="K296" s="71" t="s">
        <v>1602</v>
      </c>
      <c r="L296" s="71" t="s">
        <v>30</v>
      </c>
      <c r="M296" s="71"/>
      <c r="O296" s="72">
        <v>35712</v>
      </c>
      <c r="P296" s="71"/>
      <c r="Q296" s="71" t="b">
        <v>0</v>
      </c>
      <c r="R296" s="22">
        <f t="shared" si="4"/>
        <v>1868</v>
      </c>
    </row>
    <row r="297" spans="1:18">
      <c r="A297" s="71">
        <v>1086</v>
      </c>
      <c r="B297" s="72">
        <v>33843</v>
      </c>
      <c r="C297" s="71" t="s">
        <v>1605</v>
      </c>
      <c r="D297" s="72">
        <v>33841</v>
      </c>
      <c r="E297" s="71" t="s">
        <v>1606</v>
      </c>
      <c r="F297" s="71" t="s">
        <v>124</v>
      </c>
      <c r="G297" s="71" t="s">
        <v>20</v>
      </c>
      <c r="H297" s="71"/>
      <c r="I297" s="71"/>
      <c r="J297" s="71" t="s">
        <v>272</v>
      </c>
      <c r="K297" s="71" t="s">
        <v>457</v>
      </c>
      <c r="L297" s="71" t="s">
        <v>30</v>
      </c>
      <c r="M297" s="71"/>
      <c r="O297" s="72">
        <v>33891</v>
      </c>
      <c r="P297" s="71">
        <v>-1</v>
      </c>
      <c r="Q297" s="71" t="b">
        <v>0</v>
      </c>
      <c r="R297" s="22">
        <f t="shared" si="4"/>
        <v>47</v>
      </c>
    </row>
    <row r="298" spans="1:18">
      <c r="A298" s="71">
        <v>1095</v>
      </c>
      <c r="B298" s="72">
        <v>33851</v>
      </c>
      <c r="C298" s="71" t="s">
        <v>1609</v>
      </c>
      <c r="D298" s="72">
        <v>33851</v>
      </c>
      <c r="E298" s="71" t="s">
        <v>1610</v>
      </c>
      <c r="F298" s="71" t="s">
        <v>19</v>
      </c>
      <c r="G298" s="71" t="s">
        <v>20</v>
      </c>
      <c r="H298" s="71"/>
      <c r="I298" s="71"/>
      <c r="J298" s="71" t="s">
        <v>1611</v>
      </c>
      <c r="K298" s="71"/>
      <c r="L298" s="71" t="s">
        <v>1152</v>
      </c>
      <c r="M298" s="71"/>
      <c r="N298" s="72">
        <v>33862</v>
      </c>
      <c r="O298" s="72">
        <v>33857</v>
      </c>
      <c r="P298" s="71">
        <v>-1</v>
      </c>
      <c r="Q298" s="71" t="b">
        <v>0</v>
      </c>
      <c r="R298" s="22">
        <f t="shared" si="4"/>
        <v>6</v>
      </c>
    </row>
    <row r="299" spans="1:18">
      <c r="A299" s="71">
        <v>1096</v>
      </c>
      <c r="B299" s="72">
        <v>33851</v>
      </c>
      <c r="C299" s="71" t="s">
        <v>1612</v>
      </c>
      <c r="D299" s="72">
        <v>33851</v>
      </c>
      <c r="E299" s="71" t="s">
        <v>1613</v>
      </c>
      <c r="F299" s="71" t="s">
        <v>27</v>
      </c>
      <c r="G299" s="71" t="s">
        <v>20</v>
      </c>
      <c r="H299" s="71"/>
      <c r="I299" s="71"/>
      <c r="J299" s="71" t="s">
        <v>1614</v>
      </c>
      <c r="K299" s="71" t="s">
        <v>1615</v>
      </c>
      <c r="L299" s="71" t="s">
        <v>82</v>
      </c>
      <c r="M299" s="71"/>
      <c r="O299" s="72">
        <v>33948</v>
      </c>
      <c r="P299" s="71">
        <v>-1</v>
      </c>
      <c r="Q299" s="71" t="b">
        <v>0</v>
      </c>
      <c r="R299" s="22">
        <f t="shared" si="4"/>
        <v>97</v>
      </c>
    </row>
    <row r="300" spans="1:18">
      <c r="A300" s="71">
        <v>1098</v>
      </c>
      <c r="B300" s="72">
        <v>33855</v>
      </c>
      <c r="C300" s="71" t="s">
        <v>1616</v>
      </c>
      <c r="D300" s="72">
        <v>33851</v>
      </c>
      <c r="E300" s="71" t="s">
        <v>1617</v>
      </c>
      <c r="F300" s="71" t="s">
        <v>216</v>
      </c>
      <c r="G300" s="71" t="s">
        <v>20</v>
      </c>
      <c r="H300" s="71"/>
      <c r="I300" s="71"/>
      <c r="J300" s="71" t="s">
        <v>1618</v>
      </c>
      <c r="K300" s="71" t="s">
        <v>1619</v>
      </c>
      <c r="L300" s="71" t="s">
        <v>82</v>
      </c>
      <c r="M300" s="71"/>
      <c r="N300" s="72">
        <v>33877</v>
      </c>
      <c r="O300" s="72">
        <v>33904</v>
      </c>
      <c r="P300" s="71">
        <v>-1</v>
      </c>
      <c r="Q300" s="71" t="b">
        <v>0</v>
      </c>
      <c r="R300" s="22">
        <f t="shared" si="4"/>
        <v>49</v>
      </c>
    </row>
    <row r="301" spans="1:18">
      <c r="A301" s="71">
        <v>1101</v>
      </c>
      <c r="B301" s="72">
        <v>33861</v>
      </c>
      <c r="C301" s="71" t="s">
        <v>1623</v>
      </c>
      <c r="D301" s="72">
        <v>33857</v>
      </c>
      <c r="E301" s="71" t="s">
        <v>1624</v>
      </c>
      <c r="F301" s="71" t="s">
        <v>149</v>
      </c>
      <c r="G301" s="71"/>
      <c r="H301" s="71"/>
      <c r="I301" s="71"/>
      <c r="J301" s="71" t="s">
        <v>1625</v>
      </c>
      <c r="K301" s="71" t="s">
        <v>1626</v>
      </c>
      <c r="L301" s="71" t="s">
        <v>82</v>
      </c>
      <c r="M301" s="71"/>
      <c r="N301" s="72">
        <v>33923</v>
      </c>
      <c r="O301" s="72">
        <v>33883</v>
      </c>
      <c r="P301" s="71"/>
      <c r="Q301" s="71" t="b">
        <v>0</v>
      </c>
      <c r="R301" s="22">
        <f t="shared" si="4"/>
        <v>22</v>
      </c>
    </row>
    <row r="302" spans="1:18">
      <c r="A302" s="71">
        <v>1102</v>
      </c>
      <c r="B302" s="72">
        <v>33861</v>
      </c>
      <c r="C302" s="71" t="s">
        <v>1627</v>
      </c>
      <c r="D302" s="72">
        <v>33861</v>
      </c>
      <c r="E302" s="71" t="s">
        <v>1628</v>
      </c>
      <c r="F302" s="71" t="s">
        <v>359</v>
      </c>
      <c r="G302" s="71" t="s">
        <v>20</v>
      </c>
      <c r="H302" s="71"/>
      <c r="I302" s="71"/>
      <c r="J302" s="71" t="s">
        <v>1629</v>
      </c>
      <c r="K302" s="71" t="s">
        <v>1630</v>
      </c>
      <c r="L302" s="71" t="s">
        <v>686</v>
      </c>
      <c r="M302" s="71"/>
      <c r="N302" s="72">
        <v>33923</v>
      </c>
      <c r="O302" s="72">
        <v>36468</v>
      </c>
      <c r="P302" s="71"/>
      <c r="Q302" s="71" t="b">
        <v>0</v>
      </c>
      <c r="R302" s="22">
        <f t="shared" si="4"/>
        <v>2605</v>
      </c>
    </row>
    <row r="303" spans="1:18">
      <c r="A303" s="71">
        <v>1105</v>
      </c>
      <c r="B303" s="72">
        <v>33864</v>
      </c>
      <c r="C303" s="71" t="s">
        <v>1634</v>
      </c>
      <c r="D303" s="72">
        <v>33862</v>
      </c>
      <c r="E303" s="71" t="s">
        <v>1635</v>
      </c>
      <c r="F303" s="71" t="s">
        <v>124</v>
      </c>
      <c r="G303" s="71" t="s">
        <v>20</v>
      </c>
      <c r="H303" s="71"/>
      <c r="I303" s="71"/>
      <c r="J303" s="71" t="s">
        <v>1636</v>
      </c>
      <c r="K303" s="71" t="s">
        <v>1596</v>
      </c>
      <c r="L303" s="71" t="s">
        <v>82</v>
      </c>
      <c r="M303" s="71"/>
      <c r="O303" s="72">
        <v>33885</v>
      </c>
      <c r="P303" s="71">
        <v>-1</v>
      </c>
      <c r="Q303" s="71" t="b">
        <v>0</v>
      </c>
      <c r="R303" s="22">
        <f t="shared" si="4"/>
        <v>21</v>
      </c>
    </row>
    <row r="304" spans="1:18">
      <c r="A304" s="71">
        <v>1114</v>
      </c>
      <c r="B304" s="72">
        <v>33877</v>
      </c>
      <c r="C304" s="71" t="s">
        <v>1637</v>
      </c>
      <c r="D304" s="72">
        <v>33877</v>
      </c>
      <c r="E304" s="71" t="s">
        <v>1638</v>
      </c>
      <c r="F304" s="71" t="s">
        <v>359</v>
      </c>
      <c r="G304" s="71" t="s">
        <v>20</v>
      </c>
      <c r="H304" s="71"/>
      <c r="I304" s="71"/>
      <c r="J304" s="71" t="s">
        <v>1639</v>
      </c>
      <c r="K304" s="71" t="s">
        <v>1640</v>
      </c>
      <c r="L304" s="71" t="s">
        <v>1152</v>
      </c>
      <c r="M304" s="71"/>
      <c r="N304" s="72">
        <v>33907</v>
      </c>
      <c r="O304" s="72">
        <v>33968</v>
      </c>
      <c r="P304" s="71">
        <v>-1</v>
      </c>
      <c r="Q304" s="71" t="b">
        <v>0</v>
      </c>
      <c r="R304" s="22">
        <f t="shared" si="4"/>
        <v>91</v>
      </c>
    </row>
    <row r="305" spans="1:18">
      <c r="A305" s="71">
        <v>1115</v>
      </c>
      <c r="B305" s="72">
        <v>33877</v>
      </c>
      <c r="C305" s="71" t="s">
        <v>1641</v>
      </c>
      <c r="D305" s="72">
        <v>33872</v>
      </c>
      <c r="E305" s="71" t="s">
        <v>1642</v>
      </c>
      <c r="F305" s="71" t="s">
        <v>741</v>
      </c>
      <c r="G305" s="71" t="s">
        <v>20</v>
      </c>
      <c r="H305" s="71"/>
      <c r="I305" s="71"/>
      <c r="J305" s="71" t="s">
        <v>742</v>
      </c>
      <c r="K305" s="71" t="s">
        <v>1643</v>
      </c>
      <c r="L305" s="71" t="s">
        <v>24</v>
      </c>
      <c r="M305" s="71"/>
      <c r="N305" s="72">
        <v>33909</v>
      </c>
      <c r="O305" s="72">
        <v>33885</v>
      </c>
      <c r="P305" s="71"/>
      <c r="Q305" s="71" t="b">
        <v>0</v>
      </c>
      <c r="R305" s="22">
        <f t="shared" si="4"/>
        <v>8</v>
      </c>
    </row>
    <row r="306" spans="1:18">
      <c r="A306" s="71">
        <v>1117</v>
      </c>
      <c r="B306" s="72">
        <v>33882</v>
      </c>
      <c r="C306" s="71" t="s">
        <v>1644</v>
      </c>
      <c r="D306" s="72">
        <v>33878</v>
      </c>
      <c r="E306" s="71" t="s">
        <v>1645</v>
      </c>
      <c r="F306" s="71" t="s">
        <v>27</v>
      </c>
      <c r="G306" s="71" t="s">
        <v>20</v>
      </c>
      <c r="H306" s="71"/>
      <c r="I306" s="71"/>
      <c r="J306" s="71" t="s">
        <v>1646</v>
      </c>
      <c r="K306" s="71" t="s">
        <v>235</v>
      </c>
      <c r="L306" s="71" t="s">
        <v>82</v>
      </c>
      <c r="M306" s="71"/>
      <c r="N306" s="72">
        <v>33897</v>
      </c>
      <c r="O306" s="72">
        <v>33948</v>
      </c>
      <c r="P306" s="71">
        <v>-1</v>
      </c>
      <c r="Q306" s="71" t="b">
        <v>0</v>
      </c>
      <c r="R306" s="22">
        <f t="shared" si="4"/>
        <v>65</v>
      </c>
    </row>
    <row r="307" spans="1:18">
      <c r="A307" s="71">
        <v>1126</v>
      </c>
      <c r="B307" s="72">
        <v>33889</v>
      </c>
      <c r="C307" s="71" t="s">
        <v>1652</v>
      </c>
      <c r="D307" s="72">
        <v>33884</v>
      </c>
      <c r="E307" s="71" t="s">
        <v>1653</v>
      </c>
      <c r="F307" s="71" t="s">
        <v>56</v>
      </c>
      <c r="G307" s="71" t="s">
        <v>20</v>
      </c>
      <c r="H307" s="71"/>
      <c r="I307" s="71"/>
      <c r="J307" s="71" t="s">
        <v>1654</v>
      </c>
      <c r="K307" s="71" t="s">
        <v>1655</v>
      </c>
      <c r="L307" s="71" t="s">
        <v>24</v>
      </c>
      <c r="M307" s="71"/>
      <c r="N307" s="72">
        <v>33907</v>
      </c>
      <c r="O307" s="72">
        <v>33904</v>
      </c>
      <c r="P307" s="71"/>
      <c r="Q307" s="71" t="b">
        <v>0</v>
      </c>
      <c r="R307" s="22">
        <f t="shared" si="4"/>
        <v>15</v>
      </c>
    </row>
    <row r="308" spans="1:18">
      <c r="A308" s="71">
        <v>1135</v>
      </c>
      <c r="B308" s="72">
        <v>33904</v>
      </c>
      <c r="C308" s="71" t="s">
        <v>1660</v>
      </c>
      <c r="D308" s="72">
        <v>33899</v>
      </c>
      <c r="E308" s="71" t="s">
        <v>1661</v>
      </c>
      <c r="F308" s="71" t="s">
        <v>1662</v>
      </c>
      <c r="G308" s="71" t="s">
        <v>20</v>
      </c>
      <c r="H308" s="71"/>
      <c r="I308" s="71"/>
      <c r="J308" s="71" t="s">
        <v>1172</v>
      </c>
      <c r="K308" s="71" t="s">
        <v>1663</v>
      </c>
      <c r="L308" s="71" t="s">
        <v>82</v>
      </c>
      <c r="M308" s="71"/>
      <c r="O308" s="72">
        <v>33888</v>
      </c>
      <c r="P308" s="71"/>
      <c r="Q308" s="71" t="b">
        <v>0</v>
      </c>
      <c r="R308" s="22">
        <f t="shared" si="4"/>
        <v>16</v>
      </c>
    </row>
    <row r="309" spans="1:18">
      <c r="A309" s="71">
        <v>1141</v>
      </c>
      <c r="B309" s="72">
        <v>33905</v>
      </c>
      <c r="C309" s="71" t="s">
        <v>1666</v>
      </c>
      <c r="D309" s="72">
        <v>33905</v>
      </c>
      <c r="E309" s="71" t="s">
        <v>1667</v>
      </c>
      <c r="F309" s="71" t="s">
        <v>367</v>
      </c>
      <c r="G309" s="71" t="s">
        <v>20</v>
      </c>
      <c r="H309" s="71" t="s">
        <v>71</v>
      </c>
      <c r="I309" s="71" t="s">
        <v>72</v>
      </c>
      <c r="J309" s="71" t="s">
        <v>332</v>
      </c>
      <c r="K309" s="71" t="s">
        <v>1572</v>
      </c>
      <c r="L309" s="71" t="s">
        <v>24</v>
      </c>
      <c r="M309" s="71"/>
      <c r="N309" s="72">
        <v>33906</v>
      </c>
      <c r="O309" s="72">
        <v>33906</v>
      </c>
      <c r="P309" s="71"/>
      <c r="Q309" s="71" t="b">
        <v>0</v>
      </c>
      <c r="R309" s="22">
        <f t="shared" si="4"/>
        <v>1</v>
      </c>
    </row>
    <row r="310" spans="1:18">
      <c r="A310" s="71">
        <v>1143</v>
      </c>
      <c r="B310" s="72">
        <v>34185</v>
      </c>
      <c r="C310" s="71" t="s">
        <v>1668</v>
      </c>
      <c r="D310" s="72">
        <v>33903</v>
      </c>
      <c r="E310" s="71" t="s">
        <v>1669</v>
      </c>
      <c r="F310" s="71" t="s">
        <v>19</v>
      </c>
      <c r="G310" s="71" t="s">
        <v>20</v>
      </c>
      <c r="H310" s="71"/>
      <c r="I310" s="71"/>
      <c r="J310" s="71" t="s">
        <v>1670</v>
      </c>
      <c r="K310" s="71" t="s">
        <v>1671</v>
      </c>
      <c r="L310" s="71" t="s">
        <v>66</v>
      </c>
      <c r="M310" s="71" t="s">
        <v>1672</v>
      </c>
      <c r="O310" s="72">
        <v>37055</v>
      </c>
      <c r="P310" s="71"/>
      <c r="Q310" s="71" t="b">
        <v>0</v>
      </c>
      <c r="R310" s="22">
        <f t="shared" si="4"/>
        <v>2868</v>
      </c>
    </row>
    <row r="311" spans="1:18">
      <c r="A311" s="71">
        <v>1145</v>
      </c>
      <c r="B311" s="72">
        <v>33913</v>
      </c>
      <c r="C311" s="71" t="s">
        <v>1676</v>
      </c>
      <c r="D311" s="72">
        <v>33913</v>
      </c>
      <c r="E311" s="71" t="s">
        <v>1677</v>
      </c>
      <c r="F311" s="71" t="s">
        <v>1678</v>
      </c>
      <c r="G311" s="71" t="s">
        <v>20</v>
      </c>
      <c r="H311" s="71" t="s">
        <v>566</v>
      </c>
      <c r="I311" s="71" t="s">
        <v>566</v>
      </c>
      <c r="J311" s="71" t="s">
        <v>1679</v>
      </c>
      <c r="K311" s="71" t="s">
        <v>1680</v>
      </c>
      <c r="L311" s="71" t="s">
        <v>24</v>
      </c>
      <c r="M311" s="71"/>
      <c r="O311" s="72">
        <v>34523</v>
      </c>
      <c r="P311" s="71"/>
      <c r="Q311" s="71" t="b">
        <v>0</v>
      </c>
      <c r="R311" s="22">
        <f t="shared" si="4"/>
        <v>611</v>
      </c>
    </row>
    <row r="312" spans="1:18">
      <c r="A312" s="71">
        <v>1150</v>
      </c>
      <c r="B312" s="72">
        <v>33920</v>
      </c>
      <c r="C312" s="71" t="s">
        <v>1684</v>
      </c>
      <c r="D312" s="72">
        <v>33918</v>
      </c>
      <c r="E312" s="71" t="s">
        <v>1685</v>
      </c>
      <c r="F312" s="71" t="s">
        <v>1686</v>
      </c>
      <c r="G312" s="71" t="s">
        <v>20</v>
      </c>
      <c r="H312" s="71"/>
      <c r="I312" s="71"/>
      <c r="J312" s="71" t="s">
        <v>1687</v>
      </c>
      <c r="K312" s="71" t="s">
        <v>96</v>
      </c>
      <c r="L312" s="71" t="s">
        <v>24</v>
      </c>
      <c r="M312" s="71"/>
      <c r="O312" s="72">
        <v>33962</v>
      </c>
      <c r="P312" s="71"/>
      <c r="Q312" s="71" t="b">
        <v>0</v>
      </c>
      <c r="R312" s="22">
        <f t="shared" si="4"/>
        <v>42</v>
      </c>
    </row>
    <row r="313" spans="1:18">
      <c r="A313" s="71">
        <v>1152</v>
      </c>
      <c r="B313" s="72">
        <v>33925</v>
      </c>
      <c r="C313" s="71" t="s">
        <v>1690</v>
      </c>
      <c r="D313" s="72">
        <v>33923</v>
      </c>
      <c r="E313" s="71" t="s">
        <v>1691</v>
      </c>
      <c r="F313" s="71" t="s">
        <v>85</v>
      </c>
      <c r="G313" s="71" t="s">
        <v>20</v>
      </c>
      <c r="H313" s="71"/>
      <c r="I313" s="71"/>
      <c r="J313" s="71" t="s">
        <v>387</v>
      </c>
      <c r="K313" s="71" t="s">
        <v>1692</v>
      </c>
      <c r="L313" s="71" t="s">
        <v>821</v>
      </c>
      <c r="M313" s="71" t="s">
        <v>30</v>
      </c>
      <c r="O313" s="72">
        <v>36950</v>
      </c>
      <c r="P313" s="71">
        <v>-1</v>
      </c>
      <c r="Q313" s="71" t="b">
        <v>0</v>
      </c>
      <c r="R313" s="22">
        <f t="shared" si="4"/>
        <v>3022</v>
      </c>
    </row>
    <row r="314" spans="1:18">
      <c r="A314" s="71">
        <v>1153</v>
      </c>
      <c r="B314" s="72">
        <v>33925</v>
      </c>
      <c r="C314" s="71" t="s">
        <v>1693</v>
      </c>
      <c r="D314" s="72">
        <v>33925</v>
      </c>
      <c r="E314" s="71" t="s">
        <v>1694</v>
      </c>
      <c r="F314" s="71" t="s">
        <v>129</v>
      </c>
      <c r="G314" s="71" t="s">
        <v>20</v>
      </c>
      <c r="H314" s="71"/>
      <c r="I314" s="71"/>
      <c r="J314" s="71" t="s">
        <v>269</v>
      </c>
      <c r="K314" s="71" t="s">
        <v>1695</v>
      </c>
      <c r="L314" s="71" t="s">
        <v>82</v>
      </c>
      <c r="M314" s="71"/>
      <c r="N314" s="72">
        <v>33953</v>
      </c>
      <c r="O314" s="72">
        <v>34806</v>
      </c>
      <c r="P314" s="71"/>
      <c r="Q314" s="71" t="b">
        <v>0</v>
      </c>
      <c r="R314" s="22">
        <f t="shared" si="4"/>
        <v>882</v>
      </c>
    </row>
    <row r="315" spans="1:18">
      <c r="A315" s="71">
        <v>1158</v>
      </c>
      <c r="B315" s="72">
        <v>33931</v>
      </c>
      <c r="C315" s="71" t="s">
        <v>1706</v>
      </c>
      <c r="D315" s="72">
        <v>33925</v>
      </c>
      <c r="E315" s="71" t="s">
        <v>1707</v>
      </c>
      <c r="F315" s="71" t="s">
        <v>1708</v>
      </c>
      <c r="G315" s="71" t="s">
        <v>20</v>
      </c>
      <c r="H315" s="71" t="s">
        <v>189</v>
      </c>
      <c r="I315" s="71" t="s">
        <v>189</v>
      </c>
      <c r="J315" s="71" t="s">
        <v>222</v>
      </c>
      <c r="K315" s="71" t="s">
        <v>1709</v>
      </c>
      <c r="L315" s="71" t="s">
        <v>30</v>
      </c>
      <c r="M315" s="71"/>
      <c r="O315" s="72">
        <v>36455</v>
      </c>
      <c r="P315" s="71"/>
      <c r="Q315" s="71" t="b">
        <v>0</v>
      </c>
      <c r="R315" s="22">
        <f t="shared" si="4"/>
        <v>2523</v>
      </c>
    </row>
    <row r="316" spans="1:18">
      <c r="A316" s="71">
        <v>1159</v>
      </c>
      <c r="B316" s="72">
        <v>33931</v>
      </c>
      <c r="C316" s="71" t="s">
        <v>1710</v>
      </c>
      <c r="D316" s="72">
        <v>33923</v>
      </c>
      <c r="E316" s="71" t="s">
        <v>1711</v>
      </c>
      <c r="F316" s="71" t="s">
        <v>104</v>
      </c>
      <c r="G316" s="71" t="s">
        <v>20</v>
      </c>
      <c r="H316" s="71"/>
      <c r="I316" s="71"/>
      <c r="J316" s="71" t="s">
        <v>1712</v>
      </c>
      <c r="K316" s="71" t="s">
        <v>1713</v>
      </c>
      <c r="L316" s="71" t="s">
        <v>82</v>
      </c>
      <c r="M316" s="71"/>
      <c r="N316" s="72">
        <v>33938</v>
      </c>
      <c r="O316" s="72">
        <v>33959</v>
      </c>
      <c r="P316" s="71">
        <v>-1</v>
      </c>
      <c r="Q316" s="71" t="b">
        <v>0</v>
      </c>
      <c r="R316" s="22">
        <f t="shared" si="4"/>
        <v>28</v>
      </c>
    </row>
    <row r="317" spans="1:18">
      <c r="A317" s="71">
        <v>1160</v>
      </c>
      <c r="B317" s="72">
        <v>33932</v>
      </c>
      <c r="C317" s="71" t="s">
        <v>1714</v>
      </c>
      <c r="D317" s="72">
        <v>33931</v>
      </c>
      <c r="E317" s="71" t="s">
        <v>1715</v>
      </c>
      <c r="F317" s="71" t="s">
        <v>228</v>
      </c>
      <c r="G317" s="71" t="s">
        <v>20</v>
      </c>
      <c r="H317" s="71"/>
      <c r="I317" s="71"/>
      <c r="J317" s="71" t="s">
        <v>1716</v>
      </c>
      <c r="K317" s="71" t="s">
        <v>1717</v>
      </c>
      <c r="L317" s="71" t="s">
        <v>30</v>
      </c>
      <c r="M317" s="71"/>
      <c r="N317" s="72">
        <v>33947</v>
      </c>
      <c r="O317" s="72">
        <v>34151</v>
      </c>
      <c r="P317" s="71">
        <v>-1</v>
      </c>
      <c r="Q317" s="71" t="b">
        <v>0</v>
      </c>
      <c r="R317" s="22">
        <f t="shared" si="4"/>
        <v>220</v>
      </c>
    </row>
    <row r="318" spans="1:18">
      <c r="A318" s="71">
        <v>1169</v>
      </c>
      <c r="B318" s="72">
        <v>33940</v>
      </c>
      <c r="C318" s="71" t="s">
        <v>1727</v>
      </c>
      <c r="D318" s="72">
        <v>33940</v>
      </c>
      <c r="E318" s="71" t="s">
        <v>1728</v>
      </c>
      <c r="F318" s="71" t="s">
        <v>98</v>
      </c>
      <c r="G318" s="71" t="s">
        <v>20</v>
      </c>
      <c r="H318" s="71"/>
      <c r="I318" s="71"/>
      <c r="J318" s="71" t="s">
        <v>1729</v>
      </c>
      <c r="K318" s="71" t="s">
        <v>1730</v>
      </c>
      <c r="L318" s="71" t="s">
        <v>66</v>
      </c>
      <c r="M318" s="71"/>
      <c r="O318" s="72">
        <v>35403</v>
      </c>
      <c r="P318" s="71">
        <v>-1</v>
      </c>
      <c r="Q318" s="71" t="b">
        <v>0</v>
      </c>
      <c r="R318" s="22">
        <f t="shared" si="4"/>
        <v>1462</v>
      </c>
    </row>
    <row r="319" spans="1:18">
      <c r="A319" s="71">
        <v>1171</v>
      </c>
      <c r="B319" s="72">
        <v>33940</v>
      </c>
      <c r="C319" s="71" t="s">
        <v>1732</v>
      </c>
      <c r="D319" s="72">
        <v>33940</v>
      </c>
      <c r="E319" s="71" t="s">
        <v>1733</v>
      </c>
      <c r="F319" s="71" t="s">
        <v>39</v>
      </c>
      <c r="G319" s="71" t="s">
        <v>20</v>
      </c>
      <c r="H319" s="71"/>
      <c r="I319" s="71"/>
      <c r="J319" s="71" t="s">
        <v>1734</v>
      </c>
      <c r="K319" s="71" t="s">
        <v>1735</v>
      </c>
      <c r="L319" s="71" t="s">
        <v>30</v>
      </c>
      <c r="M319" s="71"/>
      <c r="N319" s="72">
        <v>33948</v>
      </c>
      <c r="O319" s="72">
        <v>33961</v>
      </c>
      <c r="P319" s="71"/>
      <c r="Q319" s="71" t="b">
        <v>0</v>
      </c>
      <c r="R319" s="22">
        <f t="shared" si="4"/>
        <v>21</v>
      </c>
    </row>
    <row r="320" spans="1:18">
      <c r="A320" s="71">
        <v>1174</v>
      </c>
      <c r="B320" s="72">
        <v>33942</v>
      </c>
      <c r="C320" s="71" t="s">
        <v>1738</v>
      </c>
      <c r="D320" s="72">
        <v>33940</v>
      </c>
      <c r="E320" s="71" t="s">
        <v>1739</v>
      </c>
      <c r="F320" s="71" t="s">
        <v>129</v>
      </c>
      <c r="G320" s="71" t="s">
        <v>20</v>
      </c>
      <c r="H320" s="71"/>
      <c r="I320" s="71"/>
      <c r="J320" s="71" t="s">
        <v>1740</v>
      </c>
      <c r="K320" s="71" t="s">
        <v>1741</v>
      </c>
      <c r="L320" s="71" t="s">
        <v>82</v>
      </c>
      <c r="M320" s="71"/>
      <c r="O320" s="72">
        <v>34827</v>
      </c>
      <c r="P320" s="71"/>
      <c r="Q320" s="71" t="b">
        <v>0</v>
      </c>
      <c r="R320" s="22">
        <f t="shared" si="4"/>
        <v>886</v>
      </c>
    </row>
    <row r="321" spans="1:18">
      <c r="A321" s="71">
        <v>1177</v>
      </c>
      <c r="B321" s="72">
        <v>33946</v>
      </c>
      <c r="C321" s="71" t="s">
        <v>1744</v>
      </c>
      <c r="D321" s="72">
        <v>33942</v>
      </c>
      <c r="E321" s="71" t="s">
        <v>1745</v>
      </c>
      <c r="F321" s="71" t="s">
        <v>359</v>
      </c>
      <c r="G321" s="71" t="s">
        <v>20</v>
      </c>
      <c r="H321" s="71"/>
      <c r="I321" s="71"/>
      <c r="J321" s="71" t="s">
        <v>1746</v>
      </c>
      <c r="K321" s="71"/>
      <c r="L321" s="71" t="s">
        <v>1152</v>
      </c>
      <c r="M321" s="71"/>
      <c r="O321" s="72">
        <v>33969</v>
      </c>
      <c r="P321" s="71"/>
      <c r="Q321" s="71" t="b">
        <v>0</v>
      </c>
      <c r="R321" s="22">
        <f t="shared" si="4"/>
        <v>23</v>
      </c>
    </row>
    <row r="322" spans="1:18">
      <c r="A322" s="71">
        <v>1179</v>
      </c>
      <c r="B322" s="72">
        <v>33948</v>
      </c>
      <c r="C322" s="71" t="s">
        <v>1750</v>
      </c>
      <c r="D322" s="72">
        <v>33947</v>
      </c>
      <c r="E322" s="71" t="s">
        <v>1751</v>
      </c>
      <c r="F322" s="71" t="s">
        <v>904</v>
      </c>
      <c r="G322" s="71" t="s">
        <v>20</v>
      </c>
      <c r="H322" s="71"/>
      <c r="I322" s="71"/>
      <c r="J322" s="71" t="s">
        <v>1752</v>
      </c>
      <c r="K322" s="71" t="s">
        <v>1753</v>
      </c>
      <c r="L322" s="71" t="s">
        <v>686</v>
      </c>
      <c r="M322" s="71"/>
      <c r="O322" s="72">
        <v>35828</v>
      </c>
      <c r="P322" s="71">
        <v>-1</v>
      </c>
      <c r="Q322" s="71" t="b">
        <v>0</v>
      </c>
      <c r="R322" s="22">
        <f t="shared" ref="R322:R385" si="5">IF(O322=" ", " ", INT(YEARFRAC(O322, B322)*365))</f>
        <v>1877</v>
      </c>
    </row>
    <row r="323" spans="1:18">
      <c r="A323" s="71">
        <v>1185</v>
      </c>
      <c r="B323" s="72">
        <v>33955</v>
      </c>
      <c r="C323" s="71" t="s">
        <v>1760</v>
      </c>
      <c r="D323" s="72">
        <v>33952</v>
      </c>
      <c r="E323" s="71" t="s">
        <v>1761</v>
      </c>
      <c r="F323" s="71" t="s">
        <v>34</v>
      </c>
      <c r="G323" s="71" t="s">
        <v>20</v>
      </c>
      <c r="H323" s="71"/>
      <c r="I323" s="71"/>
      <c r="J323" s="71" t="s">
        <v>272</v>
      </c>
      <c r="K323" s="71" t="s">
        <v>1762</v>
      </c>
      <c r="L323" s="71" t="s">
        <v>82</v>
      </c>
      <c r="M323" s="71"/>
      <c r="N323" s="72">
        <v>33961</v>
      </c>
      <c r="O323" s="72">
        <v>34008</v>
      </c>
      <c r="P323" s="71">
        <v>-1</v>
      </c>
      <c r="Q323" s="71" t="b">
        <v>0</v>
      </c>
      <c r="R323" s="22">
        <f t="shared" si="5"/>
        <v>51</v>
      </c>
    </row>
    <row r="324" spans="1:18">
      <c r="A324" s="71">
        <v>1188</v>
      </c>
      <c r="B324" s="72">
        <v>33959</v>
      </c>
      <c r="C324" s="71" t="s">
        <v>1765</v>
      </c>
      <c r="D324" s="72">
        <v>33959</v>
      </c>
      <c r="E324" s="71" t="s">
        <v>1766</v>
      </c>
      <c r="F324" s="71" t="s">
        <v>984</v>
      </c>
      <c r="G324" s="71" t="s">
        <v>20</v>
      </c>
      <c r="H324" s="71"/>
      <c r="I324" s="71"/>
      <c r="J324" s="71" t="s">
        <v>1767</v>
      </c>
      <c r="K324" s="71" t="s">
        <v>1768</v>
      </c>
      <c r="L324" s="71" t="s">
        <v>30</v>
      </c>
      <c r="M324" s="71"/>
      <c r="N324" s="72">
        <v>33969</v>
      </c>
      <c r="O324" s="72">
        <v>34067</v>
      </c>
      <c r="P324" s="71">
        <v>-1</v>
      </c>
      <c r="Q324" s="71" t="b">
        <v>0</v>
      </c>
      <c r="R324" s="22">
        <f t="shared" si="5"/>
        <v>108</v>
      </c>
    </row>
    <row r="325" spans="1:18">
      <c r="A325" s="71">
        <v>1189</v>
      </c>
      <c r="B325" s="72">
        <v>33959</v>
      </c>
      <c r="C325" s="71" t="s">
        <v>1769</v>
      </c>
      <c r="D325" s="72">
        <v>33959</v>
      </c>
      <c r="E325" s="71" t="s">
        <v>1770</v>
      </c>
      <c r="F325" s="71" t="s">
        <v>1771</v>
      </c>
      <c r="G325" s="71" t="s">
        <v>20</v>
      </c>
      <c r="H325" s="71" t="s">
        <v>189</v>
      </c>
      <c r="I325" s="71" t="s">
        <v>189</v>
      </c>
      <c r="J325" s="71" t="s">
        <v>1772</v>
      </c>
      <c r="K325" s="71" t="s">
        <v>1773</v>
      </c>
      <c r="L325" s="71" t="s">
        <v>821</v>
      </c>
      <c r="M325" s="71" t="s">
        <v>1774</v>
      </c>
      <c r="O325" s="72">
        <v>35244</v>
      </c>
      <c r="P325" s="71">
        <v>-1</v>
      </c>
      <c r="Q325" s="71" t="b">
        <v>0</v>
      </c>
      <c r="R325" s="22">
        <f t="shared" si="5"/>
        <v>1284</v>
      </c>
    </row>
    <row r="326" spans="1:18">
      <c r="A326" s="71">
        <v>1195</v>
      </c>
      <c r="B326" s="72">
        <v>33961</v>
      </c>
      <c r="C326" s="71" t="s">
        <v>1775</v>
      </c>
      <c r="D326" s="72">
        <v>33955</v>
      </c>
      <c r="E326" s="71" t="s">
        <v>1776</v>
      </c>
      <c r="F326" s="71" t="s">
        <v>984</v>
      </c>
      <c r="G326" s="71" t="s">
        <v>20</v>
      </c>
      <c r="H326" s="71"/>
      <c r="I326" s="71"/>
      <c r="J326" s="71" t="s">
        <v>1767</v>
      </c>
      <c r="K326" s="71" t="s">
        <v>1777</v>
      </c>
      <c r="L326" s="71" t="s">
        <v>30</v>
      </c>
      <c r="M326" s="71"/>
      <c r="N326" s="72">
        <v>33969</v>
      </c>
      <c r="O326" s="72">
        <v>34067</v>
      </c>
      <c r="P326" s="71"/>
      <c r="Q326" s="71" t="b">
        <v>0</v>
      </c>
      <c r="R326" s="22">
        <f t="shared" si="5"/>
        <v>106</v>
      </c>
    </row>
    <row r="327" spans="1:18">
      <c r="A327" s="71">
        <v>1201</v>
      </c>
      <c r="B327" s="72">
        <v>33968</v>
      </c>
      <c r="C327" s="71" t="s">
        <v>1778</v>
      </c>
      <c r="D327" s="72">
        <v>33968</v>
      </c>
      <c r="E327" s="71" t="s">
        <v>1779</v>
      </c>
      <c r="F327" s="71" t="s">
        <v>283</v>
      </c>
      <c r="G327" s="71" t="s">
        <v>20</v>
      </c>
      <c r="H327" s="71"/>
      <c r="I327" s="71"/>
      <c r="J327" s="71" t="s">
        <v>1780</v>
      </c>
      <c r="K327" s="71" t="s">
        <v>1781</v>
      </c>
      <c r="L327" s="71" t="s">
        <v>24</v>
      </c>
      <c r="M327" s="71"/>
      <c r="O327" s="72">
        <v>33984</v>
      </c>
      <c r="P327" s="71"/>
      <c r="Q327" s="71" t="b">
        <v>0</v>
      </c>
      <c r="R327" s="22">
        <f t="shared" si="5"/>
        <v>15</v>
      </c>
    </row>
    <row r="328" spans="1:18">
      <c r="A328" s="71">
        <v>1203</v>
      </c>
      <c r="B328" s="72">
        <v>33974</v>
      </c>
      <c r="C328" s="71" t="s">
        <v>1784</v>
      </c>
      <c r="D328" s="72">
        <v>33973</v>
      </c>
      <c r="E328" s="71" t="s">
        <v>1785</v>
      </c>
      <c r="F328" s="71" t="s">
        <v>216</v>
      </c>
      <c r="G328" s="71" t="s">
        <v>20</v>
      </c>
      <c r="H328" s="71"/>
      <c r="I328" s="71"/>
      <c r="J328" s="71" t="s">
        <v>1786</v>
      </c>
      <c r="K328" s="71" t="s">
        <v>1787</v>
      </c>
      <c r="L328" s="71" t="s">
        <v>66</v>
      </c>
      <c r="M328" s="71"/>
      <c r="O328" s="72">
        <v>37370</v>
      </c>
      <c r="P328" s="71">
        <v>-1</v>
      </c>
      <c r="Q328" s="71" t="b">
        <v>0</v>
      </c>
      <c r="R328" s="22">
        <f t="shared" si="5"/>
        <v>3395</v>
      </c>
    </row>
    <row r="329" spans="1:18">
      <c r="A329" s="71">
        <v>1210</v>
      </c>
      <c r="B329" s="72">
        <v>33932</v>
      </c>
      <c r="C329" s="71" t="s">
        <v>1792</v>
      </c>
      <c r="D329" s="72">
        <v>33932</v>
      </c>
      <c r="E329" s="71" t="s">
        <v>1793</v>
      </c>
      <c r="F329" s="71" t="s">
        <v>85</v>
      </c>
      <c r="G329" s="71" t="s">
        <v>20</v>
      </c>
      <c r="H329" s="71"/>
      <c r="I329" s="71"/>
      <c r="J329" s="71" t="s">
        <v>1794</v>
      </c>
      <c r="K329" s="71" t="s">
        <v>1795</v>
      </c>
      <c r="L329" s="71" t="s">
        <v>1152</v>
      </c>
      <c r="M329" s="71"/>
      <c r="N329" s="72">
        <v>33984</v>
      </c>
      <c r="O329" s="72">
        <v>33968</v>
      </c>
      <c r="P329" s="71"/>
      <c r="Q329" s="71" t="b">
        <v>0</v>
      </c>
      <c r="R329" s="22">
        <f t="shared" si="5"/>
        <v>36</v>
      </c>
    </row>
    <row r="330" spans="1:18">
      <c r="A330" s="71">
        <v>1211</v>
      </c>
      <c r="B330" s="72">
        <v>33980</v>
      </c>
      <c r="C330" s="71" t="s">
        <v>1796</v>
      </c>
      <c r="D330" s="72">
        <v>33977</v>
      </c>
      <c r="E330" s="71" t="s">
        <v>1797</v>
      </c>
      <c r="F330" s="71" t="s">
        <v>350</v>
      </c>
      <c r="G330" s="71" t="s">
        <v>20</v>
      </c>
      <c r="H330" s="71"/>
      <c r="I330" s="71"/>
      <c r="J330" s="71" t="s">
        <v>1798</v>
      </c>
      <c r="K330" s="71" t="s">
        <v>1799</v>
      </c>
      <c r="L330" s="71" t="s">
        <v>314</v>
      </c>
      <c r="M330" s="71" t="s">
        <v>1800</v>
      </c>
      <c r="O330" s="72">
        <v>37544</v>
      </c>
      <c r="P330" s="71"/>
      <c r="Q330" s="71" t="b">
        <v>0</v>
      </c>
      <c r="R330" s="22">
        <f t="shared" si="5"/>
        <v>3562</v>
      </c>
    </row>
    <row r="331" spans="1:18">
      <c r="A331" s="71">
        <v>1216</v>
      </c>
      <c r="B331" s="72">
        <v>33982</v>
      </c>
      <c r="C331" s="71" t="s">
        <v>1809</v>
      </c>
      <c r="D331" s="72">
        <v>33977</v>
      </c>
      <c r="E331" s="71" t="s">
        <v>1810</v>
      </c>
      <c r="F331" s="71" t="s">
        <v>283</v>
      </c>
      <c r="G331" s="71" t="s">
        <v>20</v>
      </c>
      <c r="H331" s="71"/>
      <c r="I331" s="71"/>
      <c r="J331" s="71" t="s">
        <v>1811</v>
      </c>
      <c r="K331" s="71" t="s">
        <v>1812</v>
      </c>
      <c r="L331" s="71" t="s">
        <v>24</v>
      </c>
      <c r="M331" s="71"/>
      <c r="O331" s="72">
        <v>34250</v>
      </c>
      <c r="P331" s="71"/>
      <c r="Q331" s="71" t="b">
        <v>0</v>
      </c>
      <c r="R331" s="22">
        <f t="shared" si="5"/>
        <v>268</v>
      </c>
    </row>
    <row r="332" spans="1:18">
      <c r="A332" s="71">
        <v>1224</v>
      </c>
      <c r="B332" s="72">
        <v>33991</v>
      </c>
      <c r="C332" s="71" t="s">
        <v>1819</v>
      </c>
      <c r="D332" s="72">
        <v>33991</v>
      </c>
      <c r="E332" s="71" t="s">
        <v>1820</v>
      </c>
      <c r="F332" s="71" t="s">
        <v>228</v>
      </c>
      <c r="G332" s="71" t="s">
        <v>20</v>
      </c>
      <c r="H332" s="71"/>
      <c r="I332" s="71"/>
      <c r="J332" s="71" t="s">
        <v>1821</v>
      </c>
      <c r="K332" s="71" t="s">
        <v>1822</v>
      </c>
      <c r="L332" s="71" t="s">
        <v>82</v>
      </c>
      <c r="M332" s="71"/>
      <c r="O332" s="72">
        <v>34933</v>
      </c>
      <c r="P332" s="71">
        <v>-1</v>
      </c>
      <c r="Q332" s="71" t="b">
        <v>0</v>
      </c>
      <c r="R332" s="22">
        <f t="shared" si="5"/>
        <v>942</v>
      </c>
    </row>
    <row r="333" spans="1:18">
      <c r="A333" s="71">
        <v>1243</v>
      </c>
      <c r="B333" s="72">
        <v>34001</v>
      </c>
      <c r="C333" s="71" t="s">
        <v>1824</v>
      </c>
      <c r="D333" s="72">
        <v>34001</v>
      </c>
      <c r="E333" s="71" t="s">
        <v>1825</v>
      </c>
      <c r="F333" s="71" t="s">
        <v>56</v>
      </c>
      <c r="G333" s="71" t="s">
        <v>20</v>
      </c>
      <c r="H333" s="71"/>
      <c r="I333" s="71"/>
      <c r="J333" s="71" t="s">
        <v>1826</v>
      </c>
      <c r="K333" s="71" t="s">
        <v>1827</v>
      </c>
      <c r="L333" s="71" t="s">
        <v>24</v>
      </c>
      <c r="M333" s="71"/>
      <c r="N333" s="72">
        <v>34003</v>
      </c>
      <c r="O333" s="72">
        <v>34002</v>
      </c>
      <c r="P333" s="71"/>
      <c r="Q333" s="71" t="b">
        <v>0</v>
      </c>
      <c r="R333" s="22">
        <f t="shared" si="5"/>
        <v>1</v>
      </c>
    </row>
    <row r="334" spans="1:18">
      <c r="A334" s="71">
        <v>1244</v>
      </c>
      <c r="B334" s="72">
        <v>34002</v>
      </c>
      <c r="C334" s="71" t="s">
        <v>1828</v>
      </c>
      <c r="D334" s="72">
        <v>34002</v>
      </c>
      <c r="E334" s="71" t="s">
        <v>1829</v>
      </c>
      <c r="F334" s="71" t="s">
        <v>1830</v>
      </c>
      <c r="G334" s="71" t="s">
        <v>20</v>
      </c>
      <c r="H334" s="71"/>
      <c r="I334" s="71"/>
      <c r="J334" s="71" t="s">
        <v>1831</v>
      </c>
      <c r="K334" s="71" t="s">
        <v>1258</v>
      </c>
      <c r="L334" s="71" t="s">
        <v>24</v>
      </c>
      <c r="M334" s="71"/>
      <c r="N334" s="72">
        <v>34005</v>
      </c>
      <c r="O334" s="72">
        <v>34003</v>
      </c>
      <c r="P334" s="71"/>
      <c r="Q334" s="71" t="b">
        <v>0</v>
      </c>
      <c r="R334" s="22">
        <f t="shared" si="5"/>
        <v>1</v>
      </c>
    </row>
    <row r="335" spans="1:18">
      <c r="A335" s="71">
        <v>1250</v>
      </c>
      <c r="B335" s="72">
        <v>34003</v>
      </c>
      <c r="C335" s="71" t="s">
        <v>1832</v>
      </c>
      <c r="D335" s="72">
        <v>34003</v>
      </c>
      <c r="E335" s="71" t="s">
        <v>1833</v>
      </c>
      <c r="F335" s="71" t="s">
        <v>984</v>
      </c>
      <c r="G335" s="71" t="s">
        <v>20</v>
      </c>
      <c r="H335" s="71"/>
      <c r="I335" s="71"/>
      <c r="J335" s="71" t="s">
        <v>1834</v>
      </c>
      <c r="K335" s="71" t="s">
        <v>1835</v>
      </c>
      <c r="L335" s="71" t="s">
        <v>82</v>
      </c>
      <c r="M335" s="71"/>
      <c r="N335" s="72">
        <v>34015</v>
      </c>
      <c r="O335" s="72">
        <v>34005</v>
      </c>
      <c r="P335" s="71"/>
      <c r="Q335" s="71" t="b">
        <v>0</v>
      </c>
      <c r="R335" s="22">
        <f t="shared" si="5"/>
        <v>2</v>
      </c>
    </row>
    <row r="336" spans="1:18">
      <c r="A336" s="71">
        <v>1251</v>
      </c>
      <c r="B336" s="72">
        <v>34003</v>
      </c>
      <c r="C336" s="71" t="s">
        <v>1836</v>
      </c>
      <c r="D336" s="72">
        <v>34003</v>
      </c>
      <c r="E336" s="71" t="s">
        <v>1837</v>
      </c>
      <c r="F336" s="71" t="s">
        <v>104</v>
      </c>
      <c r="G336" s="71" t="s">
        <v>20</v>
      </c>
      <c r="H336" s="71"/>
      <c r="I336" s="71"/>
      <c r="J336" s="71" t="s">
        <v>1838</v>
      </c>
      <c r="K336" s="71" t="s">
        <v>1839</v>
      </c>
      <c r="L336" s="71" t="s">
        <v>30</v>
      </c>
      <c r="M336" s="71"/>
      <c r="O336" s="72">
        <v>34003</v>
      </c>
      <c r="P336" s="71"/>
      <c r="Q336" s="71" t="b">
        <v>0</v>
      </c>
      <c r="R336" s="22">
        <f t="shared" si="5"/>
        <v>0</v>
      </c>
    </row>
    <row r="337" spans="1:18">
      <c r="A337" s="71">
        <v>1255</v>
      </c>
      <c r="B337" s="72">
        <v>34008</v>
      </c>
      <c r="C337" s="71" t="s">
        <v>1842</v>
      </c>
      <c r="D337" s="72">
        <v>34008</v>
      </c>
      <c r="E337" s="71" t="s">
        <v>1843</v>
      </c>
      <c r="F337" s="71" t="s">
        <v>56</v>
      </c>
      <c r="G337" s="71" t="s">
        <v>20</v>
      </c>
      <c r="H337" s="71"/>
      <c r="I337" s="71"/>
      <c r="J337" s="71" t="s">
        <v>1844</v>
      </c>
      <c r="K337" s="71" t="s">
        <v>1845</v>
      </c>
      <c r="L337" s="71" t="s">
        <v>24</v>
      </c>
      <c r="M337" s="71"/>
      <c r="N337" s="72">
        <v>34010</v>
      </c>
      <c r="O337" s="72">
        <v>34010</v>
      </c>
      <c r="P337" s="71"/>
      <c r="Q337" s="71" t="b">
        <v>0</v>
      </c>
      <c r="R337" s="22">
        <f t="shared" si="5"/>
        <v>2</v>
      </c>
    </row>
    <row r="338" spans="1:18">
      <c r="A338" s="71">
        <v>1257</v>
      </c>
      <c r="B338" s="72">
        <v>34009</v>
      </c>
      <c r="C338" s="71" t="s">
        <v>1846</v>
      </c>
      <c r="D338" s="72">
        <v>34009</v>
      </c>
      <c r="E338" s="71" t="s">
        <v>1847</v>
      </c>
      <c r="F338" s="71" t="s">
        <v>793</v>
      </c>
      <c r="G338" s="71" t="s">
        <v>20</v>
      </c>
      <c r="H338" s="71"/>
      <c r="I338" s="71"/>
      <c r="J338" s="71" t="s">
        <v>1379</v>
      </c>
      <c r="K338" s="71" t="s">
        <v>1848</v>
      </c>
      <c r="L338" s="71" t="s">
        <v>30</v>
      </c>
      <c r="M338" s="71"/>
      <c r="O338" s="72">
        <v>34827</v>
      </c>
      <c r="P338" s="71"/>
      <c r="Q338" s="71" t="b">
        <v>0</v>
      </c>
      <c r="R338" s="22">
        <f t="shared" si="5"/>
        <v>820</v>
      </c>
    </row>
    <row r="339" spans="1:18">
      <c r="A339" s="71">
        <v>1262</v>
      </c>
      <c r="B339" s="72">
        <v>34012</v>
      </c>
      <c r="C339" s="71" t="s">
        <v>1849</v>
      </c>
      <c r="D339" s="72">
        <v>34011</v>
      </c>
      <c r="E339" s="71" t="s">
        <v>1850</v>
      </c>
      <c r="F339" s="71" t="s">
        <v>34</v>
      </c>
      <c r="G339" s="71" t="s">
        <v>20</v>
      </c>
      <c r="H339" s="71"/>
      <c r="I339" s="71"/>
      <c r="J339" s="71" t="s">
        <v>1762</v>
      </c>
      <c r="K339" s="71" t="s">
        <v>332</v>
      </c>
      <c r="L339" s="71" t="s">
        <v>82</v>
      </c>
      <c r="M339" s="71"/>
      <c r="N339" s="72">
        <v>34020</v>
      </c>
      <c r="O339" s="72">
        <v>34016</v>
      </c>
      <c r="P339" s="71">
        <v>-1</v>
      </c>
      <c r="Q339" s="71" t="b">
        <v>0</v>
      </c>
      <c r="R339" s="22">
        <f t="shared" si="5"/>
        <v>4</v>
      </c>
    </row>
    <row r="340" spans="1:18">
      <c r="A340" s="71">
        <v>1263</v>
      </c>
      <c r="B340" s="72">
        <v>33981</v>
      </c>
      <c r="C340" s="71" t="s">
        <v>1851</v>
      </c>
      <c r="D340" s="72">
        <v>34011</v>
      </c>
      <c r="E340" s="71" t="s">
        <v>1852</v>
      </c>
      <c r="F340" s="71" t="s">
        <v>98</v>
      </c>
      <c r="G340" s="71" t="s">
        <v>20</v>
      </c>
      <c r="H340" s="71"/>
      <c r="I340" s="71"/>
      <c r="J340" s="71" t="s">
        <v>255</v>
      </c>
      <c r="K340" s="71" t="s">
        <v>1853</v>
      </c>
      <c r="L340" s="71" t="s">
        <v>30</v>
      </c>
      <c r="M340" s="71"/>
      <c r="O340" s="72">
        <v>34652</v>
      </c>
      <c r="P340" s="71"/>
      <c r="Q340" s="71" t="b">
        <v>0</v>
      </c>
      <c r="R340" s="22">
        <f t="shared" si="5"/>
        <v>671</v>
      </c>
    </row>
    <row r="341" spans="1:18">
      <c r="A341" s="71">
        <v>1271</v>
      </c>
      <c r="B341" s="72">
        <v>34023</v>
      </c>
      <c r="C341" s="71" t="s">
        <v>1859</v>
      </c>
      <c r="D341" s="72">
        <v>34022</v>
      </c>
      <c r="E341" s="71" t="s">
        <v>1860</v>
      </c>
      <c r="F341" s="71" t="s">
        <v>1771</v>
      </c>
      <c r="G341" s="71" t="s">
        <v>20</v>
      </c>
      <c r="H341" s="71" t="s">
        <v>189</v>
      </c>
      <c r="I341" s="71" t="s">
        <v>189</v>
      </c>
      <c r="J341" s="71" t="s">
        <v>1861</v>
      </c>
      <c r="K341" s="71" t="s">
        <v>1862</v>
      </c>
      <c r="L341" s="71" t="s">
        <v>88</v>
      </c>
      <c r="M341" s="71" t="s">
        <v>24</v>
      </c>
      <c r="O341" s="72">
        <v>36147</v>
      </c>
      <c r="P341" s="71"/>
      <c r="Q341" s="71" t="b">
        <v>0</v>
      </c>
      <c r="R341" s="22">
        <f t="shared" si="5"/>
        <v>2124</v>
      </c>
    </row>
    <row r="342" spans="1:18">
      <c r="A342" s="71">
        <v>1276</v>
      </c>
      <c r="B342" s="72">
        <v>34025</v>
      </c>
      <c r="C342" s="71" t="s">
        <v>1863</v>
      </c>
      <c r="D342" s="72">
        <v>34025</v>
      </c>
      <c r="E342" s="71" t="s">
        <v>1864</v>
      </c>
      <c r="F342" s="71" t="s">
        <v>19</v>
      </c>
      <c r="G342" s="71" t="s">
        <v>20</v>
      </c>
      <c r="H342" s="71"/>
      <c r="I342" s="71"/>
      <c r="J342" s="71" t="s">
        <v>1865</v>
      </c>
      <c r="K342" s="71" t="s">
        <v>1866</v>
      </c>
      <c r="L342" s="71" t="s">
        <v>1152</v>
      </c>
      <c r="M342" s="71"/>
      <c r="N342" s="72">
        <v>34043</v>
      </c>
      <c r="O342" s="72">
        <v>34029</v>
      </c>
      <c r="P342" s="71"/>
      <c r="Q342" s="71" t="b">
        <v>0</v>
      </c>
      <c r="R342" s="22">
        <f t="shared" si="5"/>
        <v>6</v>
      </c>
    </row>
    <row r="343" spans="1:18">
      <c r="A343" s="71">
        <v>1277</v>
      </c>
      <c r="B343" s="72">
        <v>34025</v>
      </c>
      <c r="C343" s="71" t="s">
        <v>1867</v>
      </c>
      <c r="D343" s="72">
        <v>34025</v>
      </c>
      <c r="E343" s="71" t="s">
        <v>1868</v>
      </c>
      <c r="F343" s="71" t="s">
        <v>350</v>
      </c>
      <c r="G343" s="71" t="s">
        <v>20</v>
      </c>
      <c r="H343" s="71"/>
      <c r="I343" s="71"/>
      <c r="J343" s="71" t="s">
        <v>1869</v>
      </c>
      <c r="K343" s="71" t="s">
        <v>1870</v>
      </c>
      <c r="L343" s="71" t="s">
        <v>24</v>
      </c>
      <c r="M343" s="71"/>
      <c r="O343" s="72">
        <v>34031</v>
      </c>
      <c r="P343" s="71"/>
      <c r="Q343" s="71" t="b">
        <v>0</v>
      </c>
      <c r="R343" s="22">
        <f t="shared" si="5"/>
        <v>8</v>
      </c>
    </row>
    <row r="344" spans="1:18">
      <c r="A344" s="71">
        <v>1282</v>
      </c>
      <c r="B344" s="72">
        <v>34029</v>
      </c>
      <c r="C344" s="71" t="s">
        <v>1880</v>
      </c>
      <c r="D344" s="72">
        <v>34024</v>
      </c>
      <c r="E344" s="71" t="s">
        <v>1881</v>
      </c>
      <c r="F344" s="71" t="s">
        <v>665</v>
      </c>
      <c r="G344" s="71" t="s">
        <v>20</v>
      </c>
      <c r="H344" s="71"/>
      <c r="I344" s="71"/>
      <c r="J344" s="71" t="s">
        <v>1882</v>
      </c>
      <c r="K344" s="71" t="s">
        <v>1883</v>
      </c>
      <c r="L344" s="71" t="s">
        <v>24</v>
      </c>
      <c r="M344" s="71"/>
      <c r="N344" s="72">
        <v>34033</v>
      </c>
      <c r="O344" s="72">
        <v>34051</v>
      </c>
      <c r="P344" s="71"/>
      <c r="Q344" s="71" t="b">
        <v>0</v>
      </c>
      <c r="R344" s="22">
        <f t="shared" si="5"/>
        <v>22</v>
      </c>
    </row>
    <row r="345" spans="1:18">
      <c r="A345" s="71">
        <v>1283</v>
      </c>
      <c r="B345" s="72">
        <v>34030</v>
      </c>
      <c r="C345" s="71" t="s">
        <v>1884</v>
      </c>
      <c r="D345" s="72">
        <v>34008</v>
      </c>
      <c r="E345" s="71" t="s">
        <v>1885</v>
      </c>
      <c r="F345" s="71" t="s">
        <v>533</v>
      </c>
      <c r="G345" s="71" t="s">
        <v>20</v>
      </c>
      <c r="H345" s="71"/>
      <c r="I345" s="71"/>
      <c r="J345" s="71" t="s">
        <v>1886</v>
      </c>
      <c r="K345" s="71" t="s">
        <v>1887</v>
      </c>
      <c r="L345" s="71" t="s">
        <v>24</v>
      </c>
      <c r="M345" s="71"/>
      <c r="N345" s="72">
        <v>34038</v>
      </c>
      <c r="O345" s="72">
        <v>34043</v>
      </c>
      <c r="P345" s="71">
        <v>-1</v>
      </c>
      <c r="Q345" s="71" t="b">
        <v>0</v>
      </c>
      <c r="R345" s="22">
        <f t="shared" si="5"/>
        <v>13</v>
      </c>
    </row>
    <row r="346" spans="1:18">
      <c r="A346" s="71">
        <v>1285</v>
      </c>
      <c r="B346" s="72">
        <v>34029</v>
      </c>
      <c r="C346" s="71" t="s">
        <v>1888</v>
      </c>
      <c r="D346" s="72">
        <v>34029</v>
      </c>
      <c r="E346" s="71" t="s">
        <v>1889</v>
      </c>
      <c r="F346" s="71" t="s">
        <v>70</v>
      </c>
      <c r="G346" s="71" t="s">
        <v>20</v>
      </c>
      <c r="H346" s="71" t="s">
        <v>71</v>
      </c>
      <c r="I346" s="71" t="s">
        <v>72</v>
      </c>
      <c r="J346" s="71" t="s">
        <v>1890</v>
      </c>
      <c r="K346" s="71" t="s">
        <v>1891</v>
      </c>
      <c r="L346" s="71" t="s">
        <v>66</v>
      </c>
      <c r="M346" s="71"/>
      <c r="N346" s="72">
        <v>34064</v>
      </c>
      <c r="O346" s="72">
        <v>37439</v>
      </c>
      <c r="P346" s="71">
        <v>-1</v>
      </c>
      <c r="Q346" s="71" t="b">
        <v>0</v>
      </c>
      <c r="R346" s="22">
        <f t="shared" si="5"/>
        <v>3407</v>
      </c>
    </row>
    <row r="347" spans="1:18">
      <c r="A347" s="71">
        <v>1293</v>
      </c>
      <c r="B347" s="72">
        <v>34033</v>
      </c>
      <c r="C347" s="71" t="s">
        <v>1893</v>
      </c>
      <c r="D347" s="72">
        <v>34029</v>
      </c>
      <c r="E347" s="71" t="s">
        <v>1894</v>
      </c>
      <c r="F347" s="71" t="s">
        <v>455</v>
      </c>
      <c r="G347" s="71" t="s">
        <v>20</v>
      </c>
      <c r="H347" s="71" t="s">
        <v>71</v>
      </c>
      <c r="I347" s="71" t="s">
        <v>72</v>
      </c>
      <c r="J347" s="71" t="s">
        <v>1340</v>
      </c>
      <c r="K347" s="71" t="s">
        <v>1895</v>
      </c>
      <c r="L347" s="71" t="s">
        <v>67</v>
      </c>
      <c r="M347" s="71"/>
      <c r="N347" s="72">
        <v>34064</v>
      </c>
      <c r="O347" s="72">
        <v>35643</v>
      </c>
      <c r="P347" s="71"/>
      <c r="Q347" s="71" t="b">
        <v>0</v>
      </c>
      <c r="R347" s="22">
        <f t="shared" si="5"/>
        <v>1608</v>
      </c>
    </row>
    <row r="348" spans="1:18">
      <c r="A348" s="71">
        <v>1297</v>
      </c>
      <c r="B348" s="72">
        <v>34037</v>
      </c>
      <c r="C348" s="71" t="s">
        <v>1902</v>
      </c>
      <c r="D348" s="72">
        <v>34036</v>
      </c>
      <c r="E348" s="71" t="s">
        <v>1903</v>
      </c>
      <c r="F348" s="71" t="s">
        <v>85</v>
      </c>
      <c r="G348" s="71" t="s">
        <v>20</v>
      </c>
      <c r="H348" s="71"/>
      <c r="I348" s="71"/>
      <c r="J348" s="71" t="s">
        <v>1904</v>
      </c>
      <c r="K348" s="71" t="s">
        <v>1905</v>
      </c>
      <c r="L348" s="71" t="s">
        <v>82</v>
      </c>
      <c r="M348" s="71"/>
      <c r="N348" s="72">
        <v>34069</v>
      </c>
      <c r="O348" s="72">
        <v>34122</v>
      </c>
      <c r="P348" s="71"/>
      <c r="Q348" s="71" t="b">
        <v>0</v>
      </c>
      <c r="R348" s="22">
        <f t="shared" si="5"/>
        <v>84</v>
      </c>
    </row>
    <row r="349" spans="1:18">
      <c r="A349" s="71">
        <v>1300</v>
      </c>
      <c r="B349" s="72">
        <v>34039</v>
      </c>
      <c r="C349" s="71" t="s">
        <v>1906</v>
      </c>
      <c r="D349" s="72">
        <v>34037</v>
      </c>
      <c r="E349" s="71" t="s">
        <v>1907</v>
      </c>
      <c r="F349" s="71" t="s">
        <v>98</v>
      </c>
      <c r="G349" s="71" t="s">
        <v>20</v>
      </c>
      <c r="H349" s="71"/>
      <c r="I349" s="71"/>
      <c r="J349" s="71" t="s">
        <v>1908</v>
      </c>
      <c r="K349" s="71" t="s">
        <v>1909</v>
      </c>
      <c r="L349" s="71" t="s">
        <v>1152</v>
      </c>
      <c r="M349" s="71"/>
      <c r="N349" s="72">
        <v>34089</v>
      </c>
      <c r="O349" s="72">
        <v>35256</v>
      </c>
      <c r="P349" s="71"/>
      <c r="Q349" s="71" t="b">
        <v>0</v>
      </c>
      <c r="R349" s="22">
        <f t="shared" si="5"/>
        <v>1215</v>
      </c>
    </row>
    <row r="350" spans="1:18">
      <c r="A350" s="71">
        <v>1308</v>
      </c>
      <c r="B350" s="72">
        <v>34050</v>
      </c>
      <c r="C350" s="71" t="s">
        <v>1913</v>
      </c>
      <c r="D350" s="72">
        <v>34050</v>
      </c>
      <c r="E350" s="71" t="s">
        <v>1914</v>
      </c>
      <c r="F350" s="71" t="s">
        <v>741</v>
      </c>
      <c r="G350" s="71" t="s">
        <v>20</v>
      </c>
      <c r="H350" s="71"/>
      <c r="I350" s="71"/>
      <c r="J350" s="71" t="s">
        <v>1915</v>
      </c>
      <c r="K350" s="71" t="s">
        <v>1916</v>
      </c>
      <c r="L350" s="71" t="s">
        <v>30</v>
      </c>
      <c r="M350" s="71"/>
      <c r="N350" s="72">
        <v>34089</v>
      </c>
      <c r="O350" s="72">
        <v>34128</v>
      </c>
      <c r="P350" s="71"/>
      <c r="Q350" s="71" t="b">
        <v>0</v>
      </c>
      <c r="R350" s="22">
        <f t="shared" si="5"/>
        <v>77</v>
      </c>
    </row>
    <row r="351" spans="1:18">
      <c r="A351" s="71">
        <v>1309</v>
      </c>
      <c r="B351" s="72">
        <v>34050</v>
      </c>
      <c r="C351" s="71" t="s">
        <v>1917</v>
      </c>
      <c r="D351" s="72">
        <v>34047</v>
      </c>
      <c r="E351" s="71" t="s">
        <v>1918</v>
      </c>
      <c r="F351" s="71" t="s">
        <v>455</v>
      </c>
      <c r="G351" s="71" t="s">
        <v>20</v>
      </c>
      <c r="H351" s="71" t="s">
        <v>71</v>
      </c>
      <c r="I351" s="71" t="s">
        <v>72</v>
      </c>
      <c r="J351" s="71" t="s">
        <v>1919</v>
      </c>
      <c r="K351" s="71" t="s">
        <v>1920</v>
      </c>
      <c r="L351" s="71" t="s">
        <v>66</v>
      </c>
      <c r="M351" s="71"/>
      <c r="N351" s="72">
        <v>34104</v>
      </c>
      <c r="O351" s="72">
        <v>35926</v>
      </c>
      <c r="P351" s="71">
        <v>-1</v>
      </c>
      <c r="Q351" s="71" t="b">
        <v>0</v>
      </c>
      <c r="R351" s="22">
        <f t="shared" si="5"/>
        <v>1874</v>
      </c>
    </row>
    <row r="352" spans="1:18">
      <c r="A352" s="71">
        <v>1313</v>
      </c>
      <c r="B352" s="72">
        <v>34053</v>
      </c>
      <c r="C352" s="71" t="s">
        <v>1921</v>
      </c>
      <c r="D352" s="72">
        <v>34052</v>
      </c>
      <c r="E352" s="71" t="s">
        <v>1922</v>
      </c>
      <c r="F352" s="71" t="s">
        <v>39</v>
      </c>
      <c r="G352" s="71" t="s">
        <v>20</v>
      </c>
      <c r="H352" s="71"/>
      <c r="I352" s="71"/>
      <c r="J352" s="71" t="s">
        <v>1923</v>
      </c>
      <c r="K352" s="71" t="s">
        <v>1924</v>
      </c>
      <c r="L352" s="71" t="s">
        <v>82</v>
      </c>
      <c r="M352" s="71"/>
      <c r="N352" s="72">
        <v>34061</v>
      </c>
      <c r="O352" s="72">
        <v>34576</v>
      </c>
      <c r="P352" s="71"/>
      <c r="Q352" s="71" t="b">
        <v>0</v>
      </c>
      <c r="R352" s="22">
        <f t="shared" si="5"/>
        <v>522</v>
      </c>
    </row>
    <row r="353" spans="1:18">
      <c r="A353" s="71">
        <v>1314</v>
      </c>
      <c r="B353" s="72">
        <v>34053</v>
      </c>
      <c r="C353" s="71" t="s">
        <v>1925</v>
      </c>
      <c r="D353" s="72">
        <v>34051</v>
      </c>
      <c r="E353" s="71" t="s">
        <v>1926</v>
      </c>
      <c r="F353" s="71" t="s">
        <v>242</v>
      </c>
      <c r="G353" s="71" t="s">
        <v>20</v>
      </c>
      <c r="H353" s="71"/>
      <c r="I353" s="71"/>
      <c r="J353" s="71" t="s">
        <v>1927</v>
      </c>
      <c r="K353" s="71" t="s">
        <v>1928</v>
      </c>
      <c r="L353" s="71" t="s">
        <v>1152</v>
      </c>
      <c r="M353" s="71"/>
      <c r="O353" s="72">
        <v>34449</v>
      </c>
      <c r="P353" s="71">
        <v>-1</v>
      </c>
      <c r="Q353" s="71" t="b">
        <v>0</v>
      </c>
      <c r="R353" s="22">
        <f t="shared" si="5"/>
        <v>395</v>
      </c>
    </row>
    <row r="354" spans="1:18">
      <c r="A354" s="71">
        <v>1315</v>
      </c>
      <c r="B354" s="72">
        <v>34052</v>
      </c>
      <c r="C354" s="71" t="s">
        <v>1929</v>
      </c>
      <c r="D354" s="72">
        <v>34051</v>
      </c>
      <c r="E354" s="71" t="s">
        <v>1930</v>
      </c>
      <c r="F354" s="71" t="s">
        <v>327</v>
      </c>
      <c r="G354" s="71" t="s">
        <v>20</v>
      </c>
      <c r="H354" s="71"/>
      <c r="I354" s="71"/>
      <c r="J354" s="71" t="s">
        <v>1931</v>
      </c>
      <c r="K354" s="71" t="s">
        <v>1932</v>
      </c>
      <c r="L354" s="71" t="s">
        <v>66</v>
      </c>
      <c r="M354" s="71"/>
      <c r="N354" s="72">
        <v>34089</v>
      </c>
      <c r="O354" s="72">
        <v>35411</v>
      </c>
      <c r="P354" s="71">
        <v>-1</v>
      </c>
      <c r="Q354" s="71" t="b">
        <v>0</v>
      </c>
      <c r="R354" s="22">
        <f t="shared" si="5"/>
        <v>1356</v>
      </c>
    </row>
    <row r="355" spans="1:18">
      <c r="A355" s="71">
        <v>1319</v>
      </c>
      <c r="B355" s="72">
        <v>34057</v>
      </c>
      <c r="C355" s="71" t="s">
        <v>1933</v>
      </c>
      <c r="D355" s="72">
        <v>34051</v>
      </c>
      <c r="E355" s="71" t="s">
        <v>1934</v>
      </c>
      <c r="F355" s="71" t="s">
        <v>34</v>
      </c>
      <c r="G355" s="71" t="s">
        <v>20</v>
      </c>
      <c r="H355" s="71"/>
      <c r="I355" s="71"/>
      <c r="J355" s="71" t="s">
        <v>1935</v>
      </c>
      <c r="K355" s="71" t="s">
        <v>1936</v>
      </c>
      <c r="L355" s="71" t="s">
        <v>82</v>
      </c>
      <c r="M355" s="71"/>
      <c r="N355" s="72">
        <v>34089</v>
      </c>
      <c r="O355" s="72">
        <v>34064</v>
      </c>
      <c r="P355" s="71">
        <v>-1</v>
      </c>
      <c r="Q355" s="71" t="b">
        <v>0</v>
      </c>
      <c r="R355" s="22">
        <f t="shared" si="5"/>
        <v>6</v>
      </c>
    </row>
    <row r="356" spans="1:18">
      <c r="A356" s="71">
        <v>1328</v>
      </c>
      <c r="B356" s="72">
        <v>34059</v>
      </c>
      <c r="C356" s="71" t="s">
        <v>1937</v>
      </c>
      <c r="D356" s="72">
        <v>34058</v>
      </c>
      <c r="E356" s="71" t="s">
        <v>1938</v>
      </c>
      <c r="F356" s="71" t="s">
        <v>1939</v>
      </c>
      <c r="G356" s="71" t="s">
        <v>20</v>
      </c>
      <c r="H356" s="71"/>
      <c r="I356" s="71"/>
      <c r="J356" s="71" t="s">
        <v>1940</v>
      </c>
      <c r="K356" s="71" t="s">
        <v>1941</v>
      </c>
      <c r="L356" s="71" t="s">
        <v>24</v>
      </c>
      <c r="M356" s="71"/>
      <c r="N356" s="72">
        <v>34089</v>
      </c>
      <c r="O356" s="72">
        <v>34128</v>
      </c>
      <c r="P356" s="71"/>
      <c r="Q356" s="71" t="b">
        <v>0</v>
      </c>
      <c r="R356" s="22">
        <f t="shared" si="5"/>
        <v>68</v>
      </c>
    </row>
    <row r="357" spans="1:18">
      <c r="A357" s="71">
        <v>1329</v>
      </c>
      <c r="B357" s="72">
        <v>34059</v>
      </c>
      <c r="C357" s="71" t="s">
        <v>1942</v>
      </c>
      <c r="D357" s="72">
        <v>34058</v>
      </c>
      <c r="E357" s="71" t="s">
        <v>1943</v>
      </c>
      <c r="F357" s="71" t="s">
        <v>85</v>
      </c>
      <c r="G357" s="71" t="s">
        <v>20</v>
      </c>
      <c r="H357" s="71"/>
      <c r="I357" s="71"/>
      <c r="J357" s="71" t="s">
        <v>1944</v>
      </c>
      <c r="K357" s="71" t="s">
        <v>1945</v>
      </c>
      <c r="L357" s="71" t="s">
        <v>1946</v>
      </c>
      <c r="M357" s="71" t="s">
        <v>1947</v>
      </c>
      <c r="N357" s="72">
        <v>34089</v>
      </c>
      <c r="O357" s="72">
        <v>40556</v>
      </c>
      <c r="P357" s="71"/>
      <c r="Q357" s="71" t="b">
        <v>0</v>
      </c>
      <c r="R357" s="22">
        <f t="shared" si="5"/>
        <v>6491</v>
      </c>
    </row>
    <row r="358" spans="1:18">
      <c r="A358" s="71">
        <v>1333</v>
      </c>
      <c r="B358" s="72">
        <v>34060</v>
      </c>
      <c r="C358" s="71" t="s">
        <v>1948</v>
      </c>
      <c r="D358" s="72">
        <v>34060</v>
      </c>
      <c r="E358" s="71" t="s">
        <v>1949</v>
      </c>
      <c r="F358" s="71" t="s">
        <v>56</v>
      </c>
      <c r="G358" s="71" t="s">
        <v>20</v>
      </c>
      <c r="H358" s="71"/>
      <c r="I358" s="71"/>
      <c r="J358" s="71" t="s">
        <v>1950</v>
      </c>
      <c r="K358" s="71" t="s">
        <v>1951</v>
      </c>
      <c r="L358" s="71" t="s">
        <v>24</v>
      </c>
      <c r="M358" s="71"/>
      <c r="N358" s="72">
        <v>34068</v>
      </c>
      <c r="O358" s="72">
        <v>34066</v>
      </c>
      <c r="P358" s="71"/>
      <c r="Q358" s="71" t="b">
        <v>0</v>
      </c>
      <c r="R358" s="22">
        <f t="shared" si="5"/>
        <v>6</v>
      </c>
    </row>
    <row r="359" spans="1:18">
      <c r="A359" s="71">
        <v>1339</v>
      </c>
      <c r="B359" s="72">
        <v>34065</v>
      </c>
      <c r="C359" s="71" t="s">
        <v>1956</v>
      </c>
      <c r="D359" s="72">
        <v>34059</v>
      </c>
      <c r="E359" s="71" t="s">
        <v>1957</v>
      </c>
      <c r="F359" s="71" t="s">
        <v>98</v>
      </c>
      <c r="G359" s="71" t="s">
        <v>20</v>
      </c>
      <c r="H359" s="71"/>
      <c r="I359" s="71"/>
      <c r="J359" s="71" t="s">
        <v>1958</v>
      </c>
      <c r="K359" s="71" t="s">
        <v>1959</v>
      </c>
      <c r="L359" s="71" t="s">
        <v>1152</v>
      </c>
      <c r="M359" s="71"/>
      <c r="N359" s="72">
        <v>34096</v>
      </c>
      <c r="O359" s="72">
        <v>34243</v>
      </c>
      <c r="P359" s="71"/>
      <c r="Q359" s="71" t="b">
        <v>0</v>
      </c>
      <c r="R359" s="22">
        <f t="shared" si="5"/>
        <v>177</v>
      </c>
    </row>
    <row r="360" spans="1:18">
      <c r="A360" s="71">
        <v>1346</v>
      </c>
      <c r="B360" s="72">
        <v>34067</v>
      </c>
      <c r="C360" s="71" t="s">
        <v>1963</v>
      </c>
      <c r="D360" s="72">
        <v>34064</v>
      </c>
      <c r="E360" s="71" t="s">
        <v>1964</v>
      </c>
      <c r="F360" s="71" t="s">
        <v>98</v>
      </c>
      <c r="G360" s="71" t="s">
        <v>20</v>
      </c>
      <c r="H360" s="71"/>
      <c r="I360" s="71"/>
      <c r="J360" s="71" t="s">
        <v>1965</v>
      </c>
      <c r="K360" s="71" t="s">
        <v>1966</v>
      </c>
      <c r="L360" s="71" t="s">
        <v>82</v>
      </c>
      <c r="M360" s="71"/>
      <c r="N360" s="72">
        <v>34104</v>
      </c>
      <c r="O360" s="72">
        <v>34099</v>
      </c>
      <c r="P360" s="71">
        <v>-1</v>
      </c>
      <c r="Q360" s="71" t="b">
        <v>0</v>
      </c>
      <c r="R360" s="22">
        <f t="shared" si="5"/>
        <v>32</v>
      </c>
    </row>
    <row r="361" spans="1:18">
      <c r="A361" s="71">
        <v>1347</v>
      </c>
      <c r="B361" s="72">
        <v>34071</v>
      </c>
      <c r="C361" s="71" t="s">
        <v>1967</v>
      </c>
      <c r="D361" s="72">
        <v>34071</v>
      </c>
      <c r="E361" s="71" t="s">
        <v>1968</v>
      </c>
      <c r="F361" s="71" t="s">
        <v>70</v>
      </c>
      <c r="G361" s="71" t="s">
        <v>20</v>
      </c>
      <c r="H361" s="71" t="s">
        <v>71</v>
      </c>
      <c r="I361" s="71" t="s">
        <v>72</v>
      </c>
      <c r="J361" s="71" t="s">
        <v>1969</v>
      </c>
      <c r="K361" s="71" t="s">
        <v>1970</v>
      </c>
      <c r="L361" s="71" t="s">
        <v>82</v>
      </c>
      <c r="M361" s="71"/>
      <c r="N361" s="72">
        <v>34084</v>
      </c>
      <c r="O361" s="72">
        <v>34176</v>
      </c>
      <c r="P361" s="71"/>
      <c r="Q361" s="71" t="b">
        <v>0</v>
      </c>
      <c r="R361" s="22">
        <f t="shared" si="5"/>
        <v>105</v>
      </c>
    </row>
    <row r="362" spans="1:18">
      <c r="A362" s="71">
        <v>1348</v>
      </c>
      <c r="B362" s="72">
        <v>34071</v>
      </c>
      <c r="C362" s="71" t="s">
        <v>1971</v>
      </c>
      <c r="D362" s="72">
        <v>34071</v>
      </c>
      <c r="E362" s="71" t="s">
        <v>1972</v>
      </c>
      <c r="F362" s="71" t="s">
        <v>188</v>
      </c>
      <c r="G362" s="71" t="s">
        <v>20</v>
      </c>
      <c r="H362" s="71" t="s">
        <v>189</v>
      </c>
      <c r="I362" s="71" t="s">
        <v>189</v>
      </c>
      <c r="J362" s="71" t="s">
        <v>1973</v>
      </c>
      <c r="K362" s="71" t="s">
        <v>1974</v>
      </c>
      <c r="L362" s="71" t="s">
        <v>82</v>
      </c>
      <c r="M362" s="71"/>
      <c r="N362" s="72">
        <v>34104</v>
      </c>
      <c r="O362" s="72">
        <v>34718</v>
      </c>
      <c r="P362" s="71">
        <v>-1</v>
      </c>
      <c r="Q362" s="71" t="b">
        <v>0</v>
      </c>
      <c r="R362" s="22">
        <f t="shared" si="5"/>
        <v>645</v>
      </c>
    </row>
    <row r="363" spans="1:18">
      <c r="A363" s="71">
        <v>1354</v>
      </c>
      <c r="B363" s="72">
        <v>34074</v>
      </c>
      <c r="C363" s="71" t="s">
        <v>1975</v>
      </c>
      <c r="D363" s="72">
        <v>34065</v>
      </c>
      <c r="E363" s="71" t="s">
        <v>1976</v>
      </c>
      <c r="F363" s="71" t="s">
        <v>513</v>
      </c>
      <c r="G363" s="71" t="s">
        <v>20</v>
      </c>
      <c r="H363" s="71"/>
      <c r="I363" s="71"/>
      <c r="J363" s="71" t="s">
        <v>1977</v>
      </c>
      <c r="K363" s="71" t="s">
        <v>1978</v>
      </c>
      <c r="L363" s="71" t="s">
        <v>30</v>
      </c>
      <c r="M363" s="71"/>
      <c r="N363" s="72">
        <v>34104</v>
      </c>
      <c r="O363" s="72">
        <v>34103</v>
      </c>
      <c r="P363" s="71"/>
      <c r="Q363" s="71" t="b">
        <v>0</v>
      </c>
      <c r="R363" s="22">
        <f t="shared" si="5"/>
        <v>29</v>
      </c>
    </row>
    <row r="364" spans="1:18">
      <c r="A364" s="71">
        <v>1362</v>
      </c>
      <c r="B364" s="72">
        <v>34080</v>
      </c>
      <c r="C364" s="71" t="s">
        <v>1985</v>
      </c>
      <c r="D364" s="72">
        <v>34074</v>
      </c>
      <c r="E364" s="71" t="s">
        <v>1986</v>
      </c>
      <c r="F364" s="71" t="s">
        <v>104</v>
      </c>
      <c r="G364" s="71" t="s">
        <v>20</v>
      </c>
      <c r="H364" s="71"/>
      <c r="I364" s="71"/>
      <c r="J364" s="71" t="s">
        <v>1987</v>
      </c>
      <c r="K364" s="71" t="s">
        <v>1988</v>
      </c>
      <c r="L364" s="71" t="s">
        <v>67</v>
      </c>
      <c r="M364" s="71"/>
      <c r="N364" s="72">
        <v>34120</v>
      </c>
      <c r="O364" s="72">
        <v>35495</v>
      </c>
      <c r="P364" s="71"/>
      <c r="Q364" s="71" t="b">
        <v>0</v>
      </c>
      <c r="R364" s="22">
        <f t="shared" si="5"/>
        <v>1414</v>
      </c>
    </row>
    <row r="365" spans="1:18">
      <c r="A365" s="71">
        <v>1366</v>
      </c>
      <c r="B365" s="72">
        <v>34081</v>
      </c>
      <c r="C365" s="71" t="s">
        <v>1995</v>
      </c>
      <c r="D365" s="72">
        <v>34079</v>
      </c>
      <c r="E365" s="71" t="s">
        <v>1996</v>
      </c>
      <c r="F365" s="71" t="s">
        <v>70</v>
      </c>
      <c r="G365" s="71" t="s">
        <v>20</v>
      </c>
      <c r="H365" s="71" t="s">
        <v>71</v>
      </c>
      <c r="I365" s="71" t="s">
        <v>72</v>
      </c>
      <c r="J365" s="71" t="s">
        <v>1997</v>
      </c>
      <c r="K365" s="71" t="s">
        <v>1998</v>
      </c>
      <c r="L365" s="71" t="s">
        <v>24</v>
      </c>
      <c r="M365" s="71"/>
      <c r="N365" s="72">
        <v>34120</v>
      </c>
      <c r="O365" s="72">
        <v>34113</v>
      </c>
      <c r="P365" s="71"/>
      <c r="Q365" s="71" t="b">
        <v>0</v>
      </c>
      <c r="R365" s="22">
        <f t="shared" si="5"/>
        <v>32</v>
      </c>
    </row>
    <row r="366" spans="1:18">
      <c r="A366" s="71">
        <v>1376</v>
      </c>
      <c r="B366" s="72">
        <v>34088</v>
      </c>
      <c r="C366" s="71" t="s">
        <v>1999</v>
      </c>
      <c r="D366" s="72">
        <v>34075</v>
      </c>
      <c r="E366" s="71" t="s">
        <v>2000</v>
      </c>
      <c r="F366" s="71" t="s">
        <v>27</v>
      </c>
      <c r="G366" s="71" t="s">
        <v>20</v>
      </c>
      <c r="H366" s="71"/>
      <c r="I366" s="71"/>
      <c r="J366" s="71" t="s">
        <v>2001</v>
      </c>
      <c r="K366" s="71" t="s">
        <v>2002</v>
      </c>
      <c r="L366" s="71" t="s">
        <v>1152</v>
      </c>
      <c r="M366" s="71"/>
      <c r="N366" s="72">
        <v>34103</v>
      </c>
      <c r="O366" s="72">
        <v>34134</v>
      </c>
      <c r="P366" s="71"/>
      <c r="Q366" s="71" t="b">
        <v>0</v>
      </c>
      <c r="R366" s="22">
        <f t="shared" si="5"/>
        <v>45</v>
      </c>
    </row>
    <row r="367" spans="1:18">
      <c r="A367" s="71">
        <v>1377</v>
      </c>
      <c r="B367" s="72">
        <v>34086</v>
      </c>
      <c r="C367" s="71" t="s">
        <v>2003</v>
      </c>
      <c r="D367" s="72">
        <v>34085</v>
      </c>
      <c r="E367" s="71" t="s">
        <v>2004</v>
      </c>
      <c r="F367" s="71" t="s">
        <v>27</v>
      </c>
      <c r="G367" s="71" t="s">
        <v>20</v>
      </c>
      <c r="H367" s="71"/>
      <c r="I367" s="71"/>
      <c r="J367" s="71" t="s">
        <v>2005</v>
      </c>
      <c r="K367" s="71" t="s">
        <v>2006</v>
      </c>
      <c r="L367" s="71" t="s">
        <v>24</v>
      </c>
      <c r="M367" s="71"/>
      <c r="N367" s="72">
        <v>34119</v>
      </c>
      <c r="O367" s="72">
        <v>34480</v>
      </c>
      <c r="P367" s="71"/>
      <c r="Q367" s="71" t="b">
        <v>0</v>
      </c>
      <c r="R367" s="22">
        <f t="shared" si="5"/>
        <v>394</v>
      </c>
    </row>
    <row r="368" spans="1:18">
      <c r="A368" s="71">
        <v>1378</v>
      </c>
      <c r="B368" s="72">
        <v>34086</v>
      </c>
      <c r="C368" s="71" t="s">
        <v>17263</v>
      </c>
      <c r="D368" s="72">
        <v>34080</v>
      </c>
      <c r="E368" s="71" t="s">
        <v>17264</v>
      </c>
      <c r="F368" s="71"/>
      <c r="G368" s="71" t="s">
        <v>20</v>
      </c>
      <c r="H368" s="71"/>
      <c r="I368" s="71"/>
      <c r="J368" s="71" t="s">
        <v>2868</v>
      </c>
      <c r="K368" s="71" t="s">
        <v>17265</v>
      </c>
      <c r="L368" s="71" t="s">
        <v>24</v>
      </c>
      <c r="M368" s="71"/>
      <c r="N368" s="72">
        <v>34119</v>
      </c>
      <c r="O368" s="72">
        <v>34093</v>
      </c>
      <c r="P368" s="71">
        <v>-1</v>
      </c>
      <c r="Q368" s="71" t="b">
        <v>0</v>
      </c>
      <c r="R368" s="22">
        <f t="shared" si="5"/>
        <v>7</v>
      </c>
    </row>
    <row r="369" spans="1:18">
      <c r="A369" s="71">
        <v>1379</v>
      </c>
      <c r="B369" s="72">
        <v>34087</v>
      </c>
      <c r="C369" s="71" t="s">
        <v>2007</v>
      </c>
      <c r="D369" s="72">
        <v>34082</v>
      </c>
      <c r="E369" s="71" t="s">
        <v>2008</v>
      </c>
      <c r="F369" s="71" t="s">
        <v>129</v>
      </c>
      <c r="G369" s="71" t="s">
        <v>20</v>
      </c>
      <c r="H369" s="71"/>
      <c r="I369" s="71"/>
      <c r="J369" s="71" t="s">
        <v>2009</v>
      </c>
      <c r="K369" s="71" t="s">
        <v>2010</v>
      </c>
      <c r="L369" s="71" t="s">
        <v>24</v>
      </c>
      <c r="M369" s="71"/>
      <c r="N369" s="72">
        <v>34119</v>
      </c>
      <c r="O369" s="72">
        <v>34978</v>
      </c>
      <c r="P369" s="71"/>
      <c r="Q369" s="71" t="b">
        <v>0</v>
      </c>
      <c r="R369" s="22">
        <f t="shared" si="5"/>
        <v>890</v>
      </c>
    </row>
    <row r="370" spans="1:18">
      <c r="A370" s="71">
        <v>1403</v>
      </c>
      <c r="B370" s="72">
        <v>34092</v>
      </c>
      <c r="C370" s="71" t="s">
        <v>2017</v>
      </c>
      <c r="D370" s="72">
        <v>34092</v>
      </c>
      <c r="E370" s="71" t="s">
        <v>2018</v>
      </c>
      <c r="F370" s="71" t="s">
        <v>98</v>
      </c>
      <c r="G370" s="71" t="s">
        <v>20</v>
      </c>
      <c r="H370" s="71"/>
      <c r="I370" s="71"/>
      <c r="J370" s="71" t="s">
        <v>2019</v>
      </c>
      <c r="K370" s="71" t="s">
        <v>2020</v>
      </c>
      <c r="L370" s="71" t="s">
        <v>24</v>
      </c>
      <c r="M370" s="71"/>
      <c r="N370" s="72">
        <v>34096</v>
      </c>
      <c r="O370" s="72">
        <v>34134</v>
      </c>
      <c r="P370" s="71">
        <v>-1</v>
      </c>
      <c r="Q370" s="71" t="b">
        <v>0</v>
      </c>
      <c r="R370" s="22">
        <f t="shared" si="5"/>
        <v>41</v>
      </c>
    </row>
    <row r="371" spans="1:18">
      <c r="A371" s="71">
        <v>1415</v>
      </c>
      <c r="B371" s="72">
        <v>34096</v>
      </c>
      <c r="C371" s="71" t="s">
        <v>2031</v>
      </c>
      <c r="D371" s="72">
        <v>34086</v>
      </c>
      <c r="E371" s="71" t="s">
        <v>2032</v>
      </c>
      <c r="F371" s="71" t="s">
        <v>104</v>
      </c>
      <c r="G371" s="71" t="s">
        <v>20</v>
      </c>
      <c r="H371" s="71"/>
      <c r="I371" s="71"/>
      <c r="J371" s="71" t="s">
        <v>2033</v>
      </c>
      <c r="K371" s="71" t="s">
        <v>2034</v>
      </c>
      <c r="L371" s="71" t="s">
        <v>24</v>
      </c>
      <c r="M371" s="71"/>
      <c r="N371" s="72">
        <v>34150</v>
      </c>
      <c r="O371" s="72">
        <v>35235</v>
      </c>
      <c r="P371" s="71"/>
      <c r="Q371" s="71" t="b">
        <v>0</v>
      </c>
      <c r="R371" s="22">
        <f t="shared" si="5"/>
        <v>1137</v>
      </c>
    </row>
    <row r="372" spans="1:18">
      <c r="A372" s="71">
        <v>1417</v>
      </c>
      <c r="B372" s="72">
        <v>34096</v>
      </c>
      <c r="C372" s="71" t="s">
        <v>2038</v>
      </c>
      <c r="D372" s="72">
        <v>34096</v>
      </c>
      <c r="E372" s="71" t="s">
        <v>2039</v>
      </c>
      <c r="F372" s="71" t="s">
        <v>52</v>
      </c>
      <c r="G372" s="71" t="s">
        <v>20</v>
      </c>
      <c r="H372" s="71"/>
      <c r="I372" s="71"/>
      <c r="J372" s="71" t="s">
        <v>2040</v>
      </c>
      <c r="K372" s="71" t="s">
        <v>2041</v>
      </c>
      <c r="L372" s="71" t="s">
        <v>82</v>
      </c>
      <c r="M372" s="71"/>
      <c r="O372" s="72">
        <v>34267</v>
      </c>
      <c r="P372" s="71"/>
      <c r="Q372" s="71" t="b">
        <v>0</v>
      </c>
      <c r="R372" s="22">
        <f t="shared" si="5"/>
        <v>170</v>
      </c>
    </row>
    <row r="373" spans="1:18">
      <c r="A373" s="71">
        <v>1428</v>
      </c>
      <c r="B373" s="72">
        <v>34111</v>
      </c>
      <c r="C373" s="71" t="s">
        <v>2042</v>
      </c>
      <c r="D373" s="72">
        <v>34111</v>
      </c>
      <c r="E373" s="71" t="s">
        <v>2043</v>
      </c>
      <c r="F373" s="71" t="s">
        <v>1179</v>
      </c>
      <c r="G373" s="71" t="s">
        <v>20</v>
      </c>
      <c r="H373" s="71"/>
      <c r="I373" s="71"/>
      <c r="J373" s="71" t="s">
        <v>2044</v>
      </c>
      <c r="K373" s="71" t="s">
        <v>1831</v>
      </c>
      <c r="L373" s="71" t="s">
        <v>24</v>
      </c>
      <c r="M373" s="71"/>
      <c r="N373" s="72">
        <v>34119</v>
      </c>
      <c r="O373" s="72">
        <v>34115</v>
      </c>
      <c r="P373" s="71"/>
      <c r="Q373" s="71" t="b">
        <v>0</v>
      </c>
      <c r="R373" s="22">
        <f t="shared" si="5"/>
        <v>4</v>
      </c>
    </row>
    <row r="374" spans="1:18">
      <c r="A374" s="71">
        <v>1431</v>
      </c>
      <c r="B374" s="72">
        <v>34101</v>
      </c>
      <c r="C374" s="71" t="s">
        <v>2048</v>
      </c>
      <c r="D374" s="72">
        <v>34099</v>
      </c>
      <c r="E374" s="71" t="s">
        <v>2049</v>
      </c>
      <c r="F374" s="71" t="s">
        <v>741</v>
      </c>
      <c r="G374" s="71" t="s">
        <v>20</v>
      </c>
      <c r="H374" s="71"/>
      <c r="I374" s="71"/>
      <c r="J374" s="71" t="s">
        <v>2050</v>
      </c>
      <c r="K374" s="71" t="s">
        <v>2051</v>
      </c>
      <c r="L374" s="71" t="s">
        <v>30</v>
      </c>
      <c r="M374" s="71"/>
      <c r="N374" s="72">
        <v>34132</v>
      </c>
      <c r="O374" s="72">
        <v>36452</v>
      </c>
      <c r="P374" s="71"/>
      <c r="Q374" s="71" t="b">
        <v>0</v>
      </c>
      <c r="R374" s="22">
        <f t="shared" si="5"/>
        <v>2349</v>
      </c>
    </row>
    <row r="375" spans="1:18">
      <c r="A375" s="71">
        <v>1433</v>
      </c>
      <c r="B375" s="72">
        <v>34101</v>
      </c>
      <c r="C375" s="71" t="s">
        <v>2054</v>
      </c>
      <c r="D375" s="72">
        <v>34099</v>
      </c>
      <c r="E375" s="71" t="s">
        <v>2055</v>
      </c>
      <c r="F375" s="71" t="s">
        <v>124</v>
      </c>
      <c r="G375" s="71" t="s">
        <v>20</v>
      </c>
      <c r="H375" s="71"/>
      <c r="I375" s="71"/>
      <c r="J375" s="71" t="s">
        <v>2056</v>
      </c>
      <c r="K375" s="71" t="s">
        <v>2057</v>
      </c>
      <c r="L375" s="71" t="s">
        <v>24</v>
      </c>
      <c r="M375" s="71"/>
      <c r="N375" s="72">
        <v>34135</v>
      </c>
      <c r="O375" s="72">
        <v>34177</v>
      </c>
      <c r="P375" s="71">
        <v>-1</v>
      </c>
      <c r="Q375" s="71" t="b">
        <v>0</v>
      </c>
      <c r="R375" s="22">
        <f t="shared" si="5"/>
        <v>76</v>
      </c>
    </row>
    <row r="376" spans="1:18">
      <c r="A376" s="71">
        <v>1446</v>
      </c>
      <c r="B376" s="72">
        <v>34106</v>
      </c>
      <c r="C376" s="71" t="s">
        <v>2058</v>
      </c>
      <c r="D376" s="72">
        <v>34102</v>
      </c>
      <c r="E376" s="71" t="s">
        <v>2059</v>
      </c>
      <c r="F376" s="71" t="s">
        <v>367</v>
      </c>
      <c r="G376" s="71" t="s">
        <v>20</v>
      </c>
      <c r="H376" s="71" t="s">
        <v>71</v>
      </c>
      <c r="I376" s="71" t="s">
        <v>72</v>
      </c>
      <c r="J376" s="71" t="s">
        <v>2060</v>
      </c>
      <c r="K376" s="71" t="s">
        <v>2061</v>
      </c>
      <c r="L376" s="71" t="s">
        <v>88</v>
      </c>
      <c r="M376" s="71"/>
      <c r="N376" s="72">
        <v>34150</v>
      </c>
      <c r="O376" s="72">
        <v>36033</v>
      </c>
      <c r="P376" s="71"/>
      <c r="Q376" s="71" t="b">
        <v>0</v>
      </c>
      <c r="R376" s="22">
        <f t="shared" si="5"/>
        <v>1925</v>
      </c>
    </row>
    <row r="377" spans="1:18">
      <c r="A377" s="71">
        <v>1447</v>
      </c>
      <c r="B377" s="72">
        <v>34103</v>
      </c>
      <c r="C377" s="71" t="s">
        <v>2062</v>
      </c>
      <c r="D377" s="72">
        <v>34095</v>
      </c>
      <c r="E377" s="71" t="s">
        <v>2063</v>
      </c>
      <c r="F377" s="71" t="s">
        <v>56</v>
      </c>
      <c r="G377" s="71" t="s">
        <v>20</v>
      </c>
      <c r="H377" s="71"/>
      <c r="I377" s="71"/>
      <c r="J377" s="71" t="s">
        <v>2064</v>
      </c>
      <c r="K377" s="71" t="s">
        <v>2065</v>
      </c>
      <c r="L377" s="71" t="s">
        <v>82</v>
      </c>
      <c r="M377" s="71"/>
      <c r="N377" s="72">
        <v>34135</v>
      </c>
      <c r="O377" s="72">
        <v>34227</v>
      </c>
      <c r="P377" s="71"/>
      <c r="Q377" s="71" t="b">
        <v>0</v>
      </c>
      <c r="R377" s="22">
        <f t="shared" si="5"/>
        <v>122</v>
      </c>
    </row>
    <row r="378" spans="1:18">
      <c r="A378" s="71">
        <v>1448</v>
      </c>
      <c r="B378" s="72">
        <v>34106</v>
      </c>
      <c r="C378" s="71" t="s">
        <v>2066</v>
      </c>
      <c r="D378" s="72">
        <v>34100</v>
      </c>
      <c r="E378" s="71" t="s">
        <v>2067</v>
      </c>
      <c r="F378" s="71" t="s">
        <v>104</v>
      </c>
      <c r="G378" s="71" t="s">
        <v>20</v>
      </c>
      <c r="H378" s="71"/>
      <c r="I378" s="71"/>
      <c r="J378" s="71" t="s">
        <v>2068</v>
      </c>
      <c r="K378" s="71" t="s">
        <v>2069</v>
      </c>
      <c r="L378" s="71" t="s">
        <v>24</v>
      </c>
      <c r="M378" s="71"/>
      <c r="N378" s="72">
        <v>34150</v>
      </c>
      <c r="O378" s="72">
        <v>34115</v>
      </c>
      <c r="P378" s="71"/>
      <c r="Q378" s="71" t="b">
        <v>0</v>
      </c>
      <c r="R378" s="22">
        <f t="shared" si="5"/>
        <v>9</v>
      </c>
    </row>
    <row r="379" spans="1:18">
      <c r="A379" s="71">
        <v>1449</v>
      </c>
      <c r="B379" s="72">
        <v>34107</v>
      </c>
      <c r="C379" s="71" t="s">
        <v>2070</v>
      </c>
      <c r="D379" s="72">
        <v>34107</v>
      </c>
      <c r="E379" s="71" t="s">
        <v>2071</v>
      </c>
      <c r="F379" s="71" t="s">
        <v>56</v>
      </c>
      <c r="G379" s="71" t="s">
        <v>20</v>
      </c>
      <c r="H379" s="71"/>
      <c r="I379" s="71"/>
      <c r="J379" s="71" t="s">
        <v>2072</v>
      </c>
      <c r="K379" s="71" t="s">
        <v>2073</v>
      </c>
      <c r="L379" s="71" t="s">
        <v>24</v>
      </c>
      <c r="M379" s="71"/>
      <c r="N379" s="72">
        <v>34138</v>
      </c>
      <c r="O379" s="72">
        <v>34113</v>
      </c>
      <c r="P379" s="71"/>
      <c r="Q379" s="71" t="b">
        <v>0</v>
      </c>
      <c r="R379" s="22">
        <f t="shared" si="5"/>
        <v>6</v>
      </c>
    </row>
    <row r="380" spans="1:18">
      <c r="A380" s="71">
        <v>1451</v>
      </c>
      <c r="B380" s="72">
        <v>34107</v>
      </c>
      <c r="C380" s="71" t="s">
        <v>2074</v>
      </c>
      <c r="D380" s="72">
        <v>34106</v>
      </c>
      <c r="E380" s="71" t="s">
        <v>2075</v>
      </c>
      <c r="F380" s="71" t="s">
        <v>56</v>
      </c>
      <c r="G380" s="71" t="s">
        <v>20</v>
      </c>
      <c r="H380" s="71"/>
      <c r="I380" s="71"/>
      <c r="J380" s="71" t="s">
        <v>2076</v>
      </c>
      <c r="K380" s="71" t="s">
        <v>2077</v>
      </c>
      <c r="L380" s="71" t="s">
        <v>1152</v>
      </c>
      <c r="M380" s="71"/>
      <c r="N380" s="72">
        <v>34117</v>
      </c>
      <c r="O380" s="72">
        <v>34116</v>
      </c>
      <c r="P380" s="71"/>
      <c r="Q380" s="71" t="b">
        <v>0</v>
      </c>
      <c r="R380" s="22">
        <f t="shared" si="5"/>
        <v>9</v>
      </c>
    </row>
    <row r="381" spans="1:18">
      <c r="A381" s="71">
        <v>1453</v>
      </c>
      <c r="B381" s="72">
        <v>34108</v>
      </c>
      <c r="C381" s="71" t="s">
        <v>2078</v>
      </c>
      <c r="D381" s="72">
        <v>34107</v>
      </c>
      <c r="E381" s="71" t="s">
        <v>2079</v>
      </c>
      <c r="F381" s="71" t="s">
        <v>104</v>
      </c>
      <c r="G381" s="71" t="s">
        <v>20</v>
      </c>
      <c r="H381" s="71"/>
      <c r="I381" s="71"/>
      <c r="J381" s="71" t="s">
        <v>2080</v>
      </c>
      <c r="K381" s="71" t="s">
        <v>2081</v>
      </c>
      <c r="L381" s="71" t="s">
        <v>82</v>
      </c>
      <c r="M381" s="71"/>
      <c r="N381" s="72">
        <v>34130</v>
      </c>
      <c r="O381" s="72">
        <v>34121</v>
      </c>
      <c r="P381" s="71">
        <v>-1</v>
      </c>
      <c r="Q381" s="71" t="b">
        <v>0</v>
      </c>
      <c r="R381" s="22">
        <f t="shared" si="5"/>
        <v>12</v>
      </c>
    </row>
    <row r="382" spans="1:18">
      <c r="A382" s="71">
        <v>1466</v>
      </c>
      <c r="B382" s="72">
        <v>34109</v>
      </c>
      <c r="C382" s="71" t="s">
        <v>2082</v>
      </c>
      <c r="D382" s="72">
        <v>34107</v>
      </c>
      <c r="E382" s="71" t="s">
        <v>2083</v>
      </c>
      <c r="F382" s="71" t="s">
        <v>104</v>
      </c>
      <c r="G382" s="71" t="s">
        <v>20</v>
      </c>
      <c r="H382" s="71"/>
      <c r="I382" s="71"/>
      <c r="J382" s="71" t="s">
        <v>2084</v>
      </c>
      <c r="K382" s="71" t="s">
        <v>2085</v>
      </c>
      <c r="L382" s="71" t="s">
        <v>1152</v>
      </c>
      <c r="M382" s="71"/>
      <c r="N382" s="72">
        <v>34150</v>
      </c>
      <c r="O382" s="72">
        <v>34708</v>
      </c>
      <c r="P382" s="71"/>
      <c r="Q382" s="71" t="b">
        <v>0</v>
      </c>
      <c r="R382" s="22">
        <f t="shared" si="5"/>
        <v>597</v>
      </c>
    </row>
    <row r="383" spans="1:18">
      <c r="A383" s="71">
        <v>1467</v>
      </c>
      <c r="B383" s="72">
        <v>34109</v>
      </c>
      <c r="C383" s="71" t="s">
        <v>2086</v>
      </c>
      <c r="D383" s="72">
        <v>34109</v>
      </c>
      <c r="E383" s="71" t="s">
        <v>2087</v>
      </c>
      <c r="F383" s="71" t="s">
        <v>283</v>
      </c>
      <c r="G383" s="71" t="s">
        <v>20</v>
      </c>
      <c r="H383" s="71"/>
      <c r="I383" s="71"/>
      <c r="J383" s="71" t="s">
        <v>1780</v>
      </c>
      <c r="K383" s="71" t="s">
        <v>2088</v>
      </c>
      <c r="L383" s="71" t="s">
        <v>24</v>
      </c>
      <c r="M383" s="71"/>
      <c r="N383" s="72">
        <v>34150</v>
      </c>
      <c r="O383" s="72">
        <v>34914</v>
      </c>
      <c r="P383" s="71"/>
      <c r="Q383" s="71" t="b">
        <v>0</v>
      </c>
      <c r="R383" s="22">
        <f t="shared" si="5"/>
        <v>804</v>
      </c>
    </row>
    <row r="384" spans="1:18">
      <c r="A384" s="71">
        <v>1469</v>
      </c>
      <c r="B384" s="72">
        <v>34113</v>
      </c>
      <c r="C384" s="71" t="s">
        <v>2089</v>
      </c>
      <c r="D384" s="72">
        <v>34109</v>
      </c>
      <c r="E384" s="71" t="s">
        <v>2090</v>
      </c>
      <c r="F384" s="71" t="s">
        <v>283</v>
      </c>
      <c r="G384" s="71" t="s">
        <v>20</v>
      </c>
      <c r="H384" s="71"/>
      <c r="I384" s="71"/>
      <c r="J384" s="71" t="s">
        <v>2091</v>
      </c>
      <c r="K384" s="71" t="s">
        <v>2092</v>
      </c>
      <c r="L384" s="71" t="s">
        <v>24</v>
      </c>
      <c r="M384" s="71"/>
      <c r="N384" s="72">
        <v>34114</v>
      </c>
      <c r="O384" s="72">
        <v>34914</v>
      </c>
      <c r="P384" s="71"/>
      <c r="Q384" s="71" t="b">
        <v>0</v>
      </c>
      <c r="R384" s="22">
        <f t="shared" si="5"/>
        <v>799</v>
      </c>
    </row>
    <row r="385" spans="1:18">
      <c r="A385" s="71">
        <v>1470</v>
      </c>
      <c r="B385" s="72">
        <v>34113</v>
      </c>
      <c r="C385" s="71" t="s">
        <v>2093</v>
      </c>
      <c r="D385" s="72">
        <v>34109</v>
      </c>
      <c r="E385" s="71" t="s">
        <v>2094</v>
      </c>
      <c r="F385" s="71" t="s">
        <v>19</v>
      </c>
      <c r="G385" s="71" t="s">
        <v>20</v>
      </c>
      <c r="H385" s="71"/>
      <c r="I385" s="71"/>
      <c r="J385" s="71" t="s">
        <v>2095</v>
      </c>
      <c r="K385" s="71" t="s">
        <v>2096</v>
      </c>
      <c r="L385" s="71" t="s">
        <v>1152</v>
      </c>
      <c r="M385" s="71"/>
      <c r="N385" s="72">
        <v>34145</v>
      </c>
      <c r="O385" s="72">
        <v>34115</v>
      </c>
      <c r="P385" s="71">
        <v>-1</v>
      </c>
      <c r="Q385" s="71" t="b">
        <v>0</v>
      </c>
      <c r="R385" s="22">
        <f t="shared" si="5"/>
        <v>2</v>
      </c>
    </row>
    <row r="386" spans="1:18">
      <c r="A386" s="71">
        <v>1473</v>
      </c>
      <c r="B386" s="72">
        <v>34113</v>
      </c>
      <c r="C386" s="71" t="s">
        <v>2099</v>
      </c>
      <c r="D386" s="72">
        <v>34110</v>
      </c>
      <c r="E386" s="71" t="s">
        <v>2100</v>
      </c>
      <c r="F386" s="71" t="s">
        <v>149</v>
      </c>
      <c r="G386" s="71" t="s">
        <v>20</v>
      </c>
      <c r="H386" s="71"/>
      <c r="I386" s="71"/>
      <c r="J386" s="71" t="s">
        <v>2101</v>
      </c>
      <c r="K386" s="71" t="s">
        <v>2102</v>
      </c>
      <c r="L386" s="71" t="s">
        <v>24</v>
      </c>
      <c r="M386" s="71"/>
      <c r="N386" s="72">
        <v>34145</v>
      </c>
      <c r="O386" s="72">
        <v>34610</v>
      </c>
      <c r="P386" s="71"/>
      <c r="Q386" s="71" t="b">
        <v>0</v>
      </c>
      <c r="R386" s="22">
        <f t="shared" ref="R386:R449" si="6">IF(O386=" ", " ", INT(YEARFRAC(O386, B386)*365))</f>
        <v>495</v>
      </c>
    </row>
    <row r="387" spans="1:18">
      <c r="A387" s="71">
        <v>1474</v>
      </c>
      <c r="B387" s="72">
        <v>34114</v>
      </c>
      <c r="C387" s="71" t="s">
        <v>2103</v>
      </c>
      <c r="D387" s="72">
        <v>34113</v>
      </c>
      <c r="E387" s="71" t="s">
        <v>2104</v>
      </c>
      <c r="F387" s="71" t="s">
        <v>2105</v>
      </c>
      <c r="G387" s="71" t="s">
        <v>20</v>
      </c>
      <c r="H387" s="71" t="s">
        <v>189</v>
      </c>
      <c r="I387" s="71" t="s">
        <v>189</v>
      </c>
      <c r="J387" s="71" t="s">
        <v>2106</v>
      </c>
      <c r="K387" s="71" t="s">
        <v>2107</v>
      </c>
      <c r="L387" s="71" t="s">
        <v>82</v>
      </c>
      <c r="M387" s="71"/>
      <c r="N387" s="72">
        <v>34150</v>
      </c>
      <c r="O387" s="72">
        <v>34892</v>
      </c>
      <c r="P387" s="71"/>
      <c r="Q387" s="71" t="b">
        <v>0</v>
      </c>
      <c r="R387" s="22">
        <f t="shared" si="6"/>
        <v>777</v>
      </c>
    </row>
    <row r="388" spans="1:18">
      <c r="A388" s="71">
        <v>1476</v>
      </c>
      <c r="B388" s="72">
        <v>34115</v>
      </c>
      <c r="C388" s="71" t="s">
        <v>2108</v>
      </c>
      <c r="D388" s="72">
        <v>34113</v>
      </c>
      <c r="E388" s="71" t="s">
        <v>2109</v>
      </c>
      <c r="F388" s="71" t="s">
        <v>2110</v>
      </c>
      <c r="G388" s="71" t="s">
        <v>20</v>
      </c>
      <c r="H388" s="71" t="s">
        <v>189</v>
      </c>
      <c r="I388" s="71" t="s">
        <v>189</v>
      </c>
      <c r="J388" s="71" t="s">
        <v>2111</v>
      </c>
      <c r="K388" s="71" t="s">
        <v>19871</v>
      </c>
      <c r="L388" s="71" t="s">
        <v>66</v>
      </c>
      <c r="M388" s="71" t="s">
        <v>67</v>
      </c>
      <c r="N388" s="72">
        <v>34135</v>
      </c>
      <c r="O388" s="72">
        <v>37984</v>
      </c>
      <c r="P388" s="71"/>
      <c r="Q388" s="71" t="b">
        <v>0</v>
      </c>
      <c r="R388" s="22">
        <f t="shared" si="6"/>
        <v>3865</v>
      </c>
    </row>
    <row r="389" spans="1:18">
      <c r="A389" s="71">
        <v>1491</v>
      </c>
      <c r="B389" s="72">
        <v>34121</v>
      </c>
      <c r="C389" s="71" t="s">
        <v>2119</v>
      </c>
      <c r="D389" s="72">
        <v>34121</v>
      </c>
      <c r="E389" s="71" t="s">
        <v>2120</v>
      </c>
      <c r="F389" s="71" t="s">
        <v>1771</v>
      </c>
      <c r="G389" s="71" t="s">
        <v>20</v>
      </c>
      <c r="H389" s="71" t="s">
        <v>189</v>
      </c>
      <c r="I389" s="71" t="s">
        <v>189</v>
      </c>
      <c r="J389" s="71" t="s">
        <v>2121</v>
      </c>
      <c r="K389" s="71" t="s">
        <v>2122</v>
      </c>
      <c r="L389" s="71" t="s">
        <v>88</v>
      </c>
      <c r="M389" s="71"/>
      <c r="O389" s="72">
        <v>35461</v>
      </c>
      <c r="P389" s="71"/>
      <c r="Q389" s="71" t="b">
        <v>0</v>
      </c>
      <c r="R389" s="22">
        <f t="shared" si="6"/>
        <v>1338</v>
      </c>
    </row>
    <row r="390" spans="1:18">
      <c r="A390" s="71">
        <v>1492</v>
      </c>
      <c r="B390" s="72">
        <v>34122</v>
      </c>
      <c r="C390" s="71" t="s">
        <v>2123</v>
      </c>
      <c r="D390" s="72">
        <v>34122</v>
      </c>
      <c r="E390" s="71" t="s">
        <v>2124</v>
      </c>
      <c r="F390" s="71" t="s">
        <v>741</v>
      </c>
      <c r="G390" s="71" t="s">
        <v>20</v>
      </c>
      <c r="H390" s="71"/>
      <c r="I390" s="71"/>
      <c r="J390" s="71" t="s">
        <v>2125</v>
      </c>
      <c r="K390" s="71" t="s">
        <v>2126</v>
      </c>
      <c r="L390" s="71" t="s">
        <v>24</v>
      </c>
      <c r="M390" s="71"/>
      <c r="N390" s="72">
        <v>34126</v>
      </c>
      <c r="O390" s="72">
        <v>34127</v>
      </c>
      <c r="P390" s="71"/>
      <c r="Q390" s="71" t="b">
        <v>0</v>
      </c>
      <c r="R390" s="22">
        <f t="shared" si="6"/>
        <v>5</v>
      </c>
    </row>
    <row r="391" spans="1:18">
      <c r="A391" s="71">
        <v>1493</v>
      </c>
      <c r="B391" s="72">
        <v>34122</v>
      </c>
      <c r="C391" s="71" t="s">
        <v>2127</v>
      </c>
      <c r="D391" s="72">
        <v>34120</v>
      </c>
      <c r="E391" s="71" t="s">
        <v>2128</v>
      </c>
      <c r="F391" s="71" t="s">
        <v>533</v>
      </c>
      <c r="G391" s="71" t="s">
        <v>20</v>
      </c>
      <c r="H391" s="71"/>
      <c r="I391" s="71"/>
      <c r="J391" s="71" t="s">
        <v>2129</v>
      </c>
      <c r="K391" s="71" t="s">
        <v>2130</v>
      </c>
      <c r="L391" s="71" t="s">
        <v>82</v>
      </c>
      <c r="M391" s="71"/>
      <c r="N391" s="72">
        <v>34150</v>
      </c>
      <c r="O391" s="72">
        <v>34156</v>
      </c>
      <c r="P391" s="71">
        <v>-1</v>
      </c>
      <c r="Q391" s="71" t="b">
        <v>0</v>
      </c>
      <c r="R391" s="22">
        <f t="shared" si="6"/>
        <v>34</v>
      </c>
    </row>
    <row r="392" spans="1:18">
      <c r="A392" s="71">
        <v>1507</v>
      </c>
      <c r="B392" s="72">
        <v>34128</v>
      </c>
      <c r="C392" s="71" t="s">
        <v>2131</v>
      </c>
      <c r="D392" s="72">
        <v>34128</v>
      </c>
      <c r="E392" s="71" t="s">
        <v>2132</v>
      </c>
      <c r="F392" s="71" t="s">
        <v>741</v>
      </c>
      <c r="G392" s="71" t="s">
        <v>20</v>
      </c>
      <c r="H392" s="71"/>
      <c r="I392" s="71"/>
      <c r="J392" s="71" t="s">
        <v>2133</v>
      </c>
      <c r="K392" s="71" t="s">
        <v>2134</v>
      </c>
      <c r="L392" s="71" t="s">
        <v>24</v>
      </c>
      <c r="M392" s="71"/>
      <c r="N392" s="72">
        <v>34136</v>
      </c>
      <c r="O392" s="72">
        <v>34134</v>
      </c>
      <c r="P392" s="71"/>
      <c r="Q392" s="71" t="b">
        <v>0</v>
      </c>
      <c r="R392" s="22">
        <f t="shared" si="6"/>
        <v>6</v>
      </c>
    </row>
    <row r="393" spans="1:18">
      <c r="A393" s="71">
        <v>1513</v>
      </c>
      <c r="B393" s="72">
        <v>34130</v>
      </c>
      <c r="C393" s="71" t="s">
        <v>2140</v>
      </c>
      <c r="D393" s="72">
        <v>34129</v>
      </c>
      <c r="E393" s="71" t="s">
        <v>2141</v>
      </c>
      <c r="F393" s="71" t="s">
        <v>34</v>
      </c>
      <c r="G393" s="71" t="s">
        <v>20</v>
      </c>
      <c r="H393" s="71"/>
      <c r="I393" s="71"/>
      <c r="J393" s="71" t="s">
        <v>2142</v>
      </c>
      <c r="K393" s="71" t="s">
        <v>2143</v>
      </c>
      <c r="L393" s="71" t="s">
        <v>88</v>
      </c>
      <c r="M393" s="71"/>
      <c r="N393" s="72">
        <v>34150</v>
      </c>
      <c r="O393" s="72">
        <v>35451</v>
      </c>
      <c r="P393" s="71"/>
      <c r="Q393" s="71" t="b">
        <v>0</v>
      </c>
      <c r="R393" s="22">
        <f t="shared" si="6"/>
        <v>1319</v>
      </c>
    </row>
    <row r="394" spans="1:18">
      <c r="A394" s="71">
        <v>1514</v>
      </c>
      <c r="B394" s="72">
        <v>34134</v>
      </c>
      <c r="C394" s="71" t="s">
        <v>2144</v>
      </c>
      <c r="D394" s="72">
        <v>34130</v>
      </c>
      <c r="E394" s="71" t="s">
        <v>2145</v>
      </c>
      <c r="F394" s="71" t="s">
        <v>2146</v>
      </c>
      <c r="G394" s="71" t="s">
        <v>20</v>
      </c>
      <c r="H394" s="71" t="s">
        <v>189</v>
      </c>
      <c r="I394" s="71" t="s">
        <v>189</v>
      </c>
      <c r="J394" s="71" t="s">
        <v>2147</v>
      </c>
      <c r="K394" s="71" t="s">
        <v>2148</v>
      </c>
      <c r="L394" s="71" t="s">
        <v>1152</v>
      </c>
      <c r="M394" s="71"/>
      <c r="N394" s="72">
        <v>34150</v>
      </c>
      <c r="O394" s="72">
        <v>34267</v>
      </c>
      <c r="P394" s="71"/>
      <c r="Q394" s="71" t="b">
        <v>0</v>
      </c>
      <c r="R394" s="22">
        <f t="shared" si="6"/>
        <v>132</v>
      </c>
    </row>
    <row r="395" spans="1:18">
      <c r="A395" s="71">
        <v>1516</v>
      </c>
      <c r="B395" s="72">
        <v>34135</v>
      </c>
      <c r="C395" s="71" t="s">
        <v>2149</v>
      </c>
      <c r="D395" s="72">
        <v>34134</v>
      </c>
      <c r="E395" s="71" t="s">
        <v>2150</v>
      </c>
      <c r="F395" s="71" t="s">
        <v>359</v>
      </c>
      <c r="G395" s="71" t="s">
        <v>20</v>
      </c>
      <c r="H395" s="71"/>
      <c r="I395" s="71"/>
      <c r="J395" s="71" t="s">
        <v>2151</v>
      </c>
      <c r="K395" s="71" t="s">
        <v>2152</v>
      </c>
      <c r="L395" s="71" t="s">
        <v>1152</v>
      </c>
      <c r="M395" s="71"/>
      <c r="O395" s="72">
        <v>34466</v>
      </c>
      <c r="P395" s="71">
        <v>-1</v>
      </c>
      <c r="Q395" s="71" t="b">
        <v>0</v>
      </c>
      <c r="R395" s="22">
        <f t="shared" si="6"/>
        <v>331</v>
      </c>
    </row>
    <row r="396" spans="1:18">
      <c r="A396" s="71">
        <v>1526</v>
      </c>
      <c r="B396" s="72">
        <v>34137</v>
      </c>
      <c r="C396" s="71" t="s">
        <v>2156</v>
      </c>
      <c r="D396" s="72">
        <v>34137</v>
      </c>
      <c r="E396" s="71" t="s">
        <v>2157</v>
      </c>
      <c r="F396" s="71" t="s">
        <v>741</v>
      </c>
      <c r="G396" s="71" t="s">
        <v>20</v>
      </c>
      <c r="H396" s="71"/>
      <c r="I396" s="71"/>
      <c r="J396" s="71" t="s">
        <v>2133</v>
      </c>
      <c r="K396" s="71" t="s">
        <v>2158</v>
      </c>
      <c r="L396" s="71" t="s">
        <v>30</v>
      </c>
      <c r="M396" s="71"/>
      <c r="N396" s="72">
        <v>34150</v>
      </c>
      <c r="O396" s="72">
        <v>36452</v>
      </c>
      <c r="P396" s="71"/>
      <c r="Q396" s="71" t="b">
        <v>0</v>
      </c>
      <c r="R396" s="22">
        <f t="shared" si="6"/>
        <v>2313</v>
      </c>
    </row>
    <row r="397" spans="1:18">
      <c r="A397" s="71">
        <v>1530</v>
      </c>
      <c r="B397" s="72">
        <v>34143</v>
      </c>
      <c r="C397" s="71" t="s">
        <v>2164</v>
      </c>
      <c r="D397" s="72">
        <v>34136</v>
      </c>
      <c r="E397" s="71" t="s">
        <v>2165</v>
      </c>
      <c r="F397" s="71" t="s">
        <v>733</v>
      </c>
      <c r="G397" s="71" t="s">
        <v>20</v>
      </c>
      <c r="H397" s="71"/>
      <c r="I397" s="71"/>
      <c r="J397" s="71" t="s">
        <v>2166</v>
      </c>
      <c r="K397" s="71" t="s">
        <v>2167</v>
      </c>
      <c r="L397" s="71" t="s">
        <v>82</v>
      </c>
      <c r="M397" s="71"/>
      <c r="N397" s="72">
        <v>34150</v>
      </c>
      <c r="O397" s="72">
        <v>34229</v>
      </c>
      <c r="P397" s="71">
        <v>-1</v>
      </c>
      <c r="Q397" s="71" t="b">
        <v>0</v>
      </c>
      <c r="R397" s="22">
        <f t="shared" si="6"/>
        <v>85</v>
      </c>
    </row>
    <row r="398" spans="1:18">
      <c r="A398" s="71">
        <v>1533</v>
      </c>
      <c r="B398" s="72">
        <v>34143</v>
      </c>
      <c r="C398" s="71" t="s">
        <v>2171</v>
      </c>
      <c r="D398" s="72">
        <v>34141</v>
      </c>
      <c r="E398" s="71" t="s">
        <v>2172</v>
      </c>
      <c r="F398" s="71" t="s">
        <v>124</v>
      </c>
      <c r="G398" s="71" t="s">
        <v>20</v>
      </c>
      <c r="H398" s="71"/>
      <c r="I398" s="71"/>
      <c r="J398" s="71" t="s">
        <v>2173</v>
      </c>
      <c r="K398" s="71" t="s">
        <v>2174</v>
      </c>
      <c r="L398" s="71" t="s">
        <v>821</v>
      </c>
      <c r="M398" s="71" t="s">
        <v>88</v>
      </c>
      <c r="N398" s="72">
        <v>34181</v>
      </c>
      <c r="O398" s="72">
        <v>36372</v>
      </c>
      <c r="P398" s="71">
        <v>-1</v>
      </c>
      <c r="Q398" s="71" t="b">
        <v>0</v>
      </c>
      <c r="R398" s="22">
        <f t="shared" si="6"/>
        <v>2228</v>
      </c>
    </row>
    <row r="399" spans="1:18">
      <c r="A399" s="71">
        <v>1536</v>
      </c>
      <c r="B399" s="72">
        <v>34145</v>
      </c>
      <c r="C399" s="71" t="s">
        <v>2175</v>
      </c>
      <c r="D399" s="72">
        <v>34141</v>
      </c>
      <c r="E399" s="71" t="s">
        <v>2176</v>
      </c>
      <c r="F399" s="71" t="s">
        <v>124</v>
      </c>
      <c r="G399" s="71" t="s">
        <v>20</v>
      </c>
      <c r="H399" s="71"/>
      <c r="I399" s="71"/>
      <c r="J399" s="71" t="s">
        <v>2177</v>
      </c>
      <c r="K399" s="71" t="s">
        <v>2178</v>
      </c>
      <c r="L399" s="71" t="s">
        <v>1152</v>
      </c>
      <c r="M399" s="71"/>
      <c r="N399" s="72">
        <v>34181</v>
      </c>
      <c r="O399" s="72">
        <v>34458</v>
      </c>
      <c r="P399" s="71">
        <v>-1</v>
      </c>
      <c r="Q399" s="71" t="b">
        <v>0</v>
      </c>
      <c r="R399" s="22">
        <f t="shared" si="6"/>
        <v>313</v>
      </c>
    </row>
    <row r="400" spans="1:18">
      <c r="A400" s="71">
        <v>1537</v>
      </c>
      <c r="B400" s="72">
        <v>34145</v>
      </c>
      <c r="C400" s="71" t="s">
        <v>2179</v>
      </c>
      <c r="D400" s="72">
        <v>34143</v>
      </c>
      <c r="E400" s="71" t="s">
        <v>2180</v>
      </c>
      <c r="F400" s="71" t="s">
        <v>228</v>
      </c>
      <c r="G400" s="71" t="s">
        <v>20</v>
      </c>
      <c r="H400" s="71"/>
      <c r="I400" s="71"/>
      <c r="J400" s="71" t="s">
        <v>2166</v>
      </c>
      <c r="K400" s="71" t="s">
        <v>2181</v>
      </c>
      <c r="L400" s="71" t="s">
        <v>82</v>
      </c>
      <c r="M400" s="71"/>
      <c r="O400" s="72">
        <v>34229</v>
      </c>
      <c r="P400" s="71"/>
      <c r="Q400" s="71" t="b">
        <v>0</v>
      </c>
      <c r="R400" s="22">
        <f t="shared" si="6"/>
        <v>83</v>
      </c>
    </row>
    <row r="401" spans="1:18">
      <c r="A401" s="71">
        <v>1538</v>
      </c>
      <c r="B401" s="72">
        <v>34149</v>
      </c>
      <c r="C401" s="71" t="s">
        <v>2182</v>
      </c>
      <c r="D401" s="72">
        <v>34144</v>
      </c>
      <c r="E401" s="71" t="s">
        <v>2183</v>
      </c>
      <c r="F401" s="71" t="s">
        <v>104</v>
      </c>
      <c r="G401" s="71" t="s">
        <v>20</v>
      </c>
      <c r="H401" s="71"/>
      <c r="I401" s="71"/>
      <c r="J401" s="71" t="s">
        <v>2184</v>
      </c>
      <c r="K401" s="71" t="s">
        <v>2185</v>
      </c>
      <c r="L401" s="71" t="s">
        <v>66</v>
      </c>
      <c r="M401" s="71"/>
      <c r="N401" s="72">
        <v>34196</v>
      </c>
      <c r="O401" s="72">
        <v>37840</v>
      </c>
      <c r="P401" s="71"/>
      <c r="Q401" s="71" t="b">
        <v>0</v>
      </c>
      <c r="R401" s="22">
        <f t="shared" si="6"/>
        <v>3688</v>
      </c>
    </row>
    <row r="402" spans="1:18">
      <c r="A402" s="71">
        <v>1539</v>
      </c>
      <c r="B402" s="72">
        <v>34151</v>
      </c>
      <c r="C402" s="71" t="s">
        <v>2186</v>
      </c>
      <c r="D402" s="72">
        <v>34149</v>
      </c>
      <c r="E402" s="71" t="s">
        <v>2187</v>
      </c>
      <c r="F402" s="71" t="s">
        <v>124</v>
      </c>
      <c r="G402" s="71" t="s">
        <v>20</v>
      </c>
      <c r="H402" s="71"/>
      <c r="I402" s="71"/>
      <c r="J402" s="71" t="s">
        <v>2188</v>
      </c>
      <c r="K402" s="71" t="s">
        <v>2189</v>
      </c>
      <c r="L402" s="71" t="s">
        <v>82</v>
      </c>
      <c r="M402" s="71"/>
      <c r="N402" s="72">
        <v>34181</v>
      </c>
      <c r="O402" s="72">
        <v>34180</v>
      </c>
      <c r="P402" s="71">
        <v>-1</v>
      </c>
      <c r="Q402" s="71" t="b">
        <v>0</v>
      </c>
      <c r="R402" s="22">
        <f t="shared" si="6"/>
        <v>29</v>
      </c>
    </row>
    <row r="403" spans="1:18">
      <c r="A403" s="71">
        <v>1540</v>
      </c>
      <c r="B403" s="72">
        <v>34151</v>
      </c>
      <c r="C403" s="71" t="s">
        <v>2190</v>
      </c>
      <c r="D403" s="72">
        <v>34149</v>
      </c>
      <c r="E403" s="71" t="s">
        <v>2191</v>
      </c>
      <c r="F403" s="71" t="s">
        <v>70</v>
      </c>
      <c r="G403" s="71" t="s">
        <v>20</v>
      </c>
      <c r="H403" s="71" t="s">
        <v>71</v>
      </c>
      <c r="I403" s="71" t="s">
        <v>72</v>
      </c>
      <c r="J403" s="71" t="s">
        <v>2192</v>
      </c>
      <c r="K403" s="71" t="s">
        <v>2193</v>
      </c>
      <c r="L403" s="71" t="s">
        <v>1152</v>
      </c>
      <c r="M403" s="71"/>
      <c r="N403" s="72">
        <v>34165</v>
      </c>
      <c r="O403" s="72">
        <v>34458</v>
      </c>
      <c r="P403" s="71"/>
      <c r="Q403" s="71" t="b">
        <v>0</v>
      </c>
      <c r="R403" s="22">
        <f t="shared" si="6"/>
        <v>307</v>
      </c>
    </row>
    <row r="404" spans="1:18">
      <c r="A404" s="71">
        <v>1541</v>
      </c>
      <c r="B404" s="72">
        <v>34151</v>
      </c>
      <c r="C404" s="71" t="s">
        <v>2194</v>
      </c>
      <c r="D404" s="72">
        <v>34145</v>
      </c>
      <c r="E404" s="71" t="s">
        <v>2195</v>
      </c>
      <c r="F404" s="71" t="s">
        <v>104</v>
      </c>
      <c r="G404" s="71" t="s">
        <v>20</v>
      </c>
      <c r="H404" s="71"/>
      <c r="I404" s="71"/>
      <c r="J404" s="71" t="s">
        <v>121</v>
      </c>
      <c r="K404" s="71" t="s">
        <v>2196</v>
      </c>
      <c r="L404" s="71" t="s">
        <v>88</v>
      </c>
      <c r="M404" s="71"/>
      <c r="N404" s="72">
        <v>34181</v>
      </c>
      <c r="O404" s="72">
        <v>35451</v>
      </c>
      <c r="P404" s="71"/>
      <c r="Q404" s="71" t="b">
        <v>0</v>
      </c>
      <c r="R404" s="22">
        <f t="shared" si="6"/>
        <v>1297</v>
      </c>
    </row>
    <row r="405" spans="1:18">
      <c r="A405" s="71">
        <v>1543</v>
      </c>
      <c r="B405" s="72">
        <v>34151</v>
      </c>
      <c r="C405" s="71" t="s">
        <v>2197</v>
      </c>
      <c r="D405" s="72">
        <v>34151</v>
      </c>
      <c r="E405" s="71" t="s">
        <v>2198</v>
      </c>
      <c r="F405" s="71" t="s">
        <v>228</v>
      </c>
      <c r="G405" s="71" t="s">
        <v>20</v>
      </c>
      <c r="H405" s="71"/>
      <c r="I405" s="71"/>
      <c r="J405" s="71" t="s">
        <v>2181</v>
      </c>
      <c r="K405" s="71" t="s">
        <v>2199</v>
      </c>
      <c r="L405" s="71" t="s">
        <v>82</v>
      </c>
      <c r="M405" s="71"/>
      <c r="N405" s="72">
        <v>34181</v>
      </c>
      <c r="O405" s="72">
        <v>34235</v>
      </c>
      <c r="P405" s="71"/>
      <c r="Q405" s="71" t="b">
        <v>0</v>
      </c>
      <c r="R405" s="22">
        <f t="shared" si="6"/>
        <v>83</v>
      </c>
    </row>
    <row r="406" spans="1:18">
      <c r="A406" s="71">
        <v>1548</v>
      </c>
      <c r="B406" s="72">
        <v>34156</v>
      </c>
      <c r="C406" s="71" t="s">
        <v>2200</v>
      </c>
      <c r="D406" s="72">
        <v>34150</v>
      </c>
      <c r="E406" s="71" t="s">
        <v>2201</v>
      </c>
      <c r="F406" s="71" t="s">
        <v>2202</v>
      </c>
      <c r="G406" s="71" t="s">
        <v>20</v>
      </c>
      <c r="H406" s="71" t="s">
        <v>189</v>
      </c>
      <c r="I406" s="71" t="s">
        <v>189</v>
      </c>
      <c r="J406" s="71" t="s">
        <v>2203</v>
      </c>
      <c r="K406" s="71" t="s">
        <v>2204</v>
      </c>
      <c r="L406" s="71" t="s">
        <v>2205</v>
      </c>
      <c r="M406" s="71" t="s">
        <v>2206</v>
      </c>
      <c r="N406" s="72">
        <v>34212</v>
      </c>
      <c r="O406" s="72">
        <v>38407</v>
      </c>
      <c r="P406" s="71"/>
      <c r="Q406" s="71" t="b">
        <v>0</v>
      </c>
      <c r="R406" s="22">
        <f t="shared" si="6"/>
        <v>4246</v>
      </c>
    </row>
    <row r="407" spans="1:18">
      <c r="A407" s="71">
        <v>1549</v>
      </c>
      <c r="B407" s="72">
        <v>34158</v>
      </c>
      <c r="C407" s="71" t="s">
        <v>2207</v>
      </c>
      <c r="D407" s="72">
        <v>34156</v>
      </c>
      <c r="E407" s="71" t="s">
        <v>2208</v>
      </c>
      <c r="F407" s="71" t="s">
        <v>149</v>
      </c>
      <c r="G407" s="71" t="s">
        <v>20</v>
      </c>
      <c r="H407" s="71"/>
      <c r="I407" s="71"/>
      <c r="J407" s="71" t="s">
        <v>2209</v>
      </c>
      <c r="K407" s="71" t="s">
        <v>2210</v>
      </c>
      <c r="L407" s="71" t="s">
        <v>82</v>
      </c>
      <c r="M407" s="71"/>
      <c r="N407" s="72">
        <v>34166</v>
      </c>
      <c r="O407" s="72">
        <v>34172</v>
      </c>
      <c r="P407" s="71"/>
      <c r="Q407" s="71" t="b">
        <v>0</v>
      </c>
      <c r="R407" s="22">
        <f t="shared" si="6"/>
        <v>14</v>
      </c>
    </row>
    <row r="408" spans="1:18">
      <c r="A408" s="71">
        <v>1566</v>
      </c>
      <c r="B408" s="72">
        <v>34162</v>
      </c>
      <c r="C408" s="71" t="s">
        <v>2211</v>
      </c>
      <c r="D408" s="72">
        <v>34162</v>
      </c>
      <c r="E408" s="71" t="s">
        <v>2212</v>
      </c>
      <c r="F408" s="71" t="s">
        <v>1039</v>
      </c>
      <c r="G408" s="71" t="s">
        <v>20</v>
      </c>
      <c r="H408" s="71"/>
      <c r="I408" s="71"/>
      <c r="J408" s="71" t="s">
        <v>2213</v>
      </c>
      <c r="K408" s="71" t="s">
        <v>2181</v>
      </c>
      <c r="L408" s="71" t="s">
        <v>66</v>
      </c>
      <c r="M408" s="71"/>
      <c r="N408" s="72">
        <v>34212</v>
      </c>
      <c r="O408" s="72">
        <v>35373</v>
      </c>
      <c r="P408" s="71">
        <v>-1</v>
      </c>
      <c r="Q408" s="71" t="b">
        <v>0</v>
      </c>
      <c r="R408" s="22">
        <f t="shared" si="6"/>
        <v>1208</v>
      </c>
    </row>
    <row r="409" spans="1:18">
      <c r="A409" s="71">
        <v>1575</v>
      </c>
      <c r="B409" s="72">
        <v>34170</v>
      </c>
      <c r="C409" s="71" t="s">
        <v>2214</v>
      </c>
      <c r="D409" s="72">
        <v>34170</v>
      </c>
      <c r="E409" s="71" t="s">
        <v>2215</v>
      </c>
      <c r="F409" s="71" t="s">
        <v>145</v>
      </c>
      <c r="G409" s="71" t="s">
        <v>20</v>
      </c>
      <c r="H409" s="71"/>
      <c r="I409" s="71"/>
      <c r="J409" s="71" t="s">
        <v>2216</v>
      </c>
      <c r="K409" s="71" t="s">
        <v>2217</v>
      </c>
      <c r="L409" s="71" t="s">
        <v>1152</v>
      </c>
      <c r="M409" s="71"/>
      <c r="N409" s="72">
        <v>34181</v>
      </c>
      <c r="O409" s="72">
        <v>34183</v>
      </c>
      <c r="P409" s="71">
        <v>-1</v>
      </c>
      <c r="Q409" s="71" t="b">
        <v>0</v>
      </c>
      <c r="R409" s="22">
        <f t="shared" si="6"/>
        <v>12</v>
      </c>
    </row>
    <row r="410" spans="1:18">
      <c r="A410" s="71">
        <v>1580</v>
      </c>
      <c r="B410" s="72">
        <v>34170</v>
      </c>
      <c r="C410" s="71" t="s">
        <v>2218</v>
      </c>
      <c r="D410" s="72">
        <v>34169</v>
      </c>
      <c r="E410" s="71" t="s">
        <v>2219</v>
      </c>
      <c r="F410" s="71" t="s">
        <v>359</v>
      </c>
      <c r="G410" s="71" t="s">
        <v>20</v>
      </c>
      <c r="H410" s="71"/>
      <c r="I410" s="71"/>
      <c r="J410" s="71" t="s">
        <v>2220</v>
      </c>
      <c r="K410" s="71" t="s">
        <v>2221</v>
      </c>
      <c r="L410" s="71" t="s">
        <v>821</v>
      </c>
      <c r="M410" s="71" t="s">
        <v>2222</v>
      </c>
      <c r="N410" s="72">
        <v>34212</v>
      </c>
      <c r="O410" s="72">
        <v>36620</v>
      </c>
      <c r="P410" s="71">
        <v>-1</v>
      </c>
      <c r="Q410" s="71" t="b">
        <v>0</v>
      </c>
      <c r="R410" s="22">
        <f t="shared" si="6"/>
        <v>2447</v>
      </c>
    </row>
    <row r="411" spans="1:18">
      <c r="A411" s="71">
        <v>1582</v>
      </c>
      <c r="B411" s="72">
        <v>34171</v>
      </c>
      <c r="C411" s="71" t="s">
        <v>2227</v>
      </c>
      <c r="D411" s="72">
        <v>34169</v>
      </c>
      <c r="E411" s="71" t="s">
        <v>2228</v>
      </c>
      <c r="F411" s="71" t="s">
        <v>98</v>
      </c>
      <c r="G411" s="71" t="s">
        <v>20</v>
      </c>
      <c r="H411" s="71"/>
      <c r="I411" s="71"/>
      <c r="J411" s="71" t="s">
        <v>2229</v>
      </c>
      <c r="K411" s="71" t="s">
        <v>2230</v>
      </c>
      <c r="L411" s="71" t="s">
        <v>67</v>
      </c>
      <c r="M411" s="71"/>
      <c r="N411" s="72">
        <v>34227</v>
      </c>
      <c r="O411" s="72">
        <v>35691</v>
      </c>
      <c r="P411" s="71">
        <v>-1</v>
      </c>
      <c r="Q411" s="71" t="b">
        <v>0</v>
      </c>
      <c r="R411" s="22">
        <f t="shared" si="6"/>
        <v>1517</v>
      </c>
    </row>
    <row r="412" spans="1:18">
      <c r="A412" s="71">
        <v>1601</v>
      </c>
      <c r="B412" s="72">
        <v>34171</v>
      </c>
      <c r="C412" s="71" t="s">
        <v>2242</v>
      </c>
      <c r="D412" s="72">
        <v>34163</v>
      </c>
      <c r="E412" s="71" t="s">
        <v>2243</v>
      </c>
      <c r="F412" s="71" t="s">
        <v>98</v>
      </c>
      <c r="G412" s="71" t="s">
        <v>20</v>
      </c>
      <c r="H412" s="71"/>
      <c r="I412" s="71"/>
      <c r="J412" s="71" t="s">
        <v>2244</v>
      </c>
      <c r="K412" s="71" t="s">
        <v>2245</v>
      </c>
      <c r="L412" s="71" t="s">
        <v>82</v>
      </c>
      <c r="M412" s="71"/>
      <c r="N412" s="72">
        <v>34187</v>
      </c>
      <c r="O412" s="72">
        <v>34186</v>
      </c>
      <c r="P412" s="71">
        <v>-1</v>
      </c>
      <c r="Q412" s="71" t="b">
        <v>0</v>
      </c>
      <c r="R412" s="22">
        <f t="shared" si="6"/>
        <v>14</v>
      </c>
    </row>
    <row r="413" spans="1:18">
      <c r="A413" s="71">
        <v>1605</v>
      </c>
      <c r="B413" s="72">
        <v>34180</v>
      </c>
      <c r="C413" s="71" t="s">
        <v>2249</v>
      </c>
      <c r="D413" s="72">
        <v>34178</v>
      </c>
      <c r="E413" s="71" t="s">
        <v>2250</v>
      </c>
      <c r="F413" s="71" t="s">
        <v>259</v>
      </c>
      <c r="G413" s="71" t="s">
        <v>20</v>
      </c>
      <c r="H413" s="71"/>
      <c r="I413" s="71"/>
      <c r="J413" s="71" t="s">
        <v>2251</v>
      </c>
      <c r="K413" s="71" t="s">
        <v>2252</v>
      </c>
      <c r="L413" s="71" t="s">
        <v>24</v>
      </c>
      <c r="M413" s="71"/>
      <c r="N413" s="72">
        <v>34212</v>
      </c>
      <c r="O413" s="72">
        <v>34479</v>
      </c>
      <c r="P413" s="71"/>
      <c r="Q413" s="71" t="b">
        <v>0</v>
      </c>
      <c r="R413" s="22">
        <f t="shared" si="6"/>
        <v>299</v>
      </c>
    </row>
    <row r="414" spans="1:18">
      <c r="A414" s="71">
        <v>1606</v>
      </c>
      <c r="B414" s="72">
        <v>34183</v>
      </c>
      <c r="C414" s="71" t="s">
        <v>2253</v>
      </c>
      <c r="D414" s="72">
        <v>34180</v>
      </c>
      <c r="E414" s="71" t="s">
        <v>2254</v>
      </c>
      <c r="F414" s="71" t="s">
        <v>1414</v>
      </c>
      <c r="G414" s="71" t="s">
        <v>20</v>
      </c>
      <c r="H414" s="71" t="s">
        <v>71</v>
      </c>
      <c r="I414" s="71" t="s">
        <v>72</v>
      </c>
      <c r="J414" s="71" t="s">
        <v>2255</v>
      </c>
      <c r="K414" s="71" t="s">
        <v>2256</v>
      </c>
      <c r="L414" s="71" t="s">
        <v>24</v>
      </c>
      <c r="M414" s="71"/>
      <c r="N414" s="72">
        <v>34242</v>
      </c>
      <c r="O414" s="72">
        <v>34186</v>
      </c>
      <c r="P414" s="71">
        <v>-1</v>
      </c>
      <c r="Q414" s="71" t="b">
        <v>0</v>
      </c>
      <c r="R414" s="22">
        <f t="shared" si="6"/>
        <v>3</v>
      </c>
    </row>
    <row r="415" spans="1:18">
      <c r="A415" s="71">
        <v>1608</v>
      </c>
      <c r="B415" s="72">
        <v>34194</v>
      </c>
      <c r="C415" s="71" t="s">
        <v>2257</v>
      </c>
      <c r="D415" s="72">
        <v>34190</v>
      </c>
      <c r="E415" s="71" t="s">
        <v>2258</v>
      </c>
      <c r="F415" s="71" t="s">
        <v>228</v>
      </c>
      <c r="G415" s="71" t="s">
        <v>20</v>
      </c>
      <c r="H415" s="71"/>
      <c r="I415" s="71"/>
      <c r="J415" s="71" t="s">
        <v>2259</v>
      </c>
      <c r="K415" s="71" t="s">
        <v>2260</v>
      </c>
      <c r="L415" s="71" t="s">
        <v>24</v>
      </c>
      <c r="M415" s="71"/>
      <c r="O415" s="72">
        <v>34226</v>
      </c>
      <c r="P415" s="71">
        <v>-1</v>
      </c>
      <c r="Q415" s="71" t="b">
        <v>0</v>
      </c>
      <c r="R415" s="22">
        <f t="shared" si="6"/>
        <v>31</v>
      </c>
    </row>
    <row r="416" spans="1:18">
      <c r="A416" s="71">
        <v>1618</v>
      </c>
      <c r="B416" s="72">
        <v>34186</v>
      </c>
      <c r="C416" s="71" t="s">
        <v>2261</v>
      </c>
      <c r="D416" s="72">
        <v>34171</v>
      </c>
      <c r="E416" s="71" t="s">
        <v>2262</v>
      </c>
      <c r="F416" s="71" t="s">
        <v>34</v>
      </c>
      <c r="G416" s="71" t="s">
        <v>20</v>
      </c>
      <c r="H416" s="71"/>
      <c r="I416" s="71"/>
      <c r="J416" s="71" t="s">
        <v>2263</v>
      </c>
      <c r="K416" s="71" t="s">
        <v>2264</v>
      </c>
      <c r="L416" s="71" t="s">
        <v>24</v>
      </c>
      <c r="M416" s="71" t="s">
        <v>1152</v>
      </c>
      <c r="O416" s="72">
        <v>34243</v>
      </c>
      <c r="P416" s="71"/>
      <c r="Q416" s="71" t="b">
        <v>0</v>
      </c>
      <c r="R416" s="22">
        <f t="shared" si="6"/>
        <v>56</v>
      </c>
    </row>
    <row r="417" spans="1:18">
      <c r="A417" s="71">
        <v>1632</v>
      </c>
      <c r="B417" s="72">
        <v>34192</v>
      </c>
      <c r="C417" s="71" t="s">
        <v>2268</v>
      </c>
      <c r="D417" s="72">
        <v>34191</v>
      </c>
      <c r="E417" s="71" t="s">
        <v>2269</v>
      </c>
      <c r="F417" s="71" t="s">
        <v>56</v>
      </c>
      <c r="G417" s="71" t="s">
        <v>20</v>
      </c>
      <c r="H417" s="71"/>
      <c r="I417" s="71"/>
      <c r="J417" s="71" t="s">
        <v>2270</v>
      </c>
      <c r="K417" s="71" t="s">
        <v>2271</v>
      </c>
      <c r="L417" s="71" t="s">
        <v>24</v>
      </c>
      <c r="M417" s="71"/>
      <c r="O417" s="72">
        <v>34233</v>
      </c>
      <c r="P417" s="71"/>
      <c r="Q417" s="71" t="b">
        <v>0</v>
      </c>
      <c r="R417" s="22">
        <f t="shared" si="6"/>
        <v>40</v>
      </c>
    </row>
    <row r="418" spans="1:18">
      <c r="A418" s="71">
        <v>1652</v>
      </c>
      <c r="B418" s="72">
        <v>34204</v>
      </c>
      <c r="C418" s="71" t="s">
        <v>2275</v>
      </c>
      <c r="D418" s="72">
        <v>34167</v>
      </c>
      <c r="E418" s="71" t="s">
        <v>2276</v>
      </c>
      <c r="F418" s="71" t="s">
        <v>793</v>
      </c>
      <c r="G418" s="71" t="s">
        <v>20</v>
      </c>
      <c r="H418" s="71"/>
      <c r="I418" s="71"/>
      <c r="J418" s="71" t="s">
        <v>2277</v>
      </c>
      <c r="K418" s="71" t="s">
        <v>2278</v>
      </c>
      <c r="L418" s="71" t="s">
        <v>24</v>
      </c>
      <c r="M418" s="71"/>
      <c r="O418" s="72">
        <v>34914</v>
      </c>
      <c r="P418" s="71"/>
      <c r="Q418" s="71" t="b">
        <v>0</v>
      </c>
      <c r="R418" s="22">
        <f t="shared" si="6"/>
        <v>709</v>
      </c>
    </row>
    <row r="419" spans="1:18">
      <c r="A419" s="71">
        <v>1657</v>
      </c>
      <c r="B419" s="72">
        <v>34205</v>
      </c>
      <c r="C419" s="71" t="s">
        <v>2285</v>
      </c>
      <c r="D419" s="72">
        <v>34199</v>
      </c>
      <c r="E419" s="71" t="s">
        <v>2286</v>
      </c>
      <c r="F419" s="71" t="s">
        <v>124</v>
      </c>
      <c r="G419" s="71" t="s">
        <v>20</v>
      </c>
      <c r="H419" s="71"/>
      <c r="I419" s="71"/>
      <c r="J419" s="71" t="s">
        <v>2287</v>
      </c>
      <c r="K419" s="71" t="s">
        <v>273</v>
      </c>
      <c r="L419" s="71" t="s">
        <v>24</v>
      </c>
      <c r="M419" s="71"/>
      <c r="O419" s="72">
        <v>34620</v>
      </c>
      <c r="P419" s="71">
        <v>-1</v>
      </c>
      <c r="Q419" s="71" t="b">
        <v>0</v>
      </c>
      <c r="R419" s="22">
        <f t="shared" si="6"/>
        <v>414</v>
      </c>
    </row>
    <row r="420" spans="1:18">
      <c r="A420" s="71">
        <v>1659</v>
      </c>
      <c r="B420" s="72">
        <v>34211</v>
      </c>
      <c r="C420" s="71" t="s">
        <v>2290</v>
      </c>
      <c r="D420" s="72">
        <v>34207</v>
      </c>
      <c r="E420" s="71" t="s">
        <v>2291</v>
      </c>
      <c r="F420" s="71" t="s">
        <v>56</v>
      </c>
      <c r="G420" s="71" t="s">
        <v>20</v>
      </c>
      <c r="H420" s="71"/>
      <c r="I420" s="71"/>
      <c r="J420" s="71" t="s">
        <v>2292</v>
      </c>
      <c r="K420" s="71" t="s">
        <v>2293</v>
      </c>
      <c r="L420" s="71" t="s">
        <v>24</v>
      </c>
      <c r="M420" s="71"/>
      <c r="O420" s="72">
        <v>35289</v>
      </c>
      <c r="P420" s="71">
        <v>-1</v>
      </c>
      <c r="Q420" s="71" t="b">
        <v>0</v>
      </c>
      <c r="R420" s="22">
        <f t="shared" si="6"/>
        <v>1076</v>
      </c>
    </row>
    <row r="421" spans="1:18">
      <c r="A421" s="71">
        <v>1664</v>
      </c>
      <c r="B421" s="72">
        <v>34213</v>
      </c>
      <c r="C421" s="71" t="s">
        <v>2294</v>
      </c>
      <c r="D421" s="72">
        <v>34213</v>
      </c>
      <c r="E421" s="71" t="s">
        <v>2295</v>
      </c>
      <c r="F421" s="71" t="s">
        <v>2296</v>
      </c>
      <c r="G421" s="71" t="s">
        <v>20</v>
      </c>
      <c r="H421" s="71" t="s">
        <v>566</v>
      </c>
      <c r="I421" s="71" t="s">
        <v>566</v>
      </c>
      <c r="J421" s="71" t="s">
        <v>2297</v>
      </c>
      <c r="K421" s="71" t="s">
        <v>2298</v>
      </c>
      <c r="L421" s="71" t="s">
        <v>88</v>
      </c>
      <c r="M421" s="71"/>
      <c r="O421" s="72">
        <v>35451</v>
      </c>
      <c r="P421" s="71"/>
      <c r="Q421" s="71" t="b">
        <v>0</v>
      </c>
      <c r="R421" s="22">
        <f t="shared" si="6"/>
        <v>1236</v>
      </c>
    </row>
    <row r="422" spans="1:18">
      <c r="A422" s="71">
        <v>1681</v>
      </c>
      <c r="B422" s="72">
        <v>34221</v>
      </c>
      <c r="C422" s="71" t="s">
        <v>2304</v>
      </c>
      <c r="D422" s="72">
        <v>34215</v>
      </c>
      <c r="E422" s="71" t="s">
        <v>2305</v>
      </c>
      <c r="F422" s="71" t="s">
        <v>228</v>
      </c>
      <c r="G422" s="71" t="s">
        <v>20</v>
      </c>
      <c r="H422" s="71"/>
      <c r="I422" s="71"/>
      <c r="J422" s="71" t="s">
        <v>2284</v>
      </c>
      <c r="K422" s="71" t="s">
        <v>2306</v>
      </c>
      <c r="L422" s="71" t="s">
        <v>1152</v>
      </c>
      <c r="M422" s="71"/>
      <c r="O422" s="72">
        <v>34353</v>
      </c>
      <c r="P422" s="71">
        <v>-1</v>
      </c>
      <c r="Q422" s="71" t="b">
        <v>0</v>
      </c>
      <c r="R422" s="22">
        <f t="shared" si="6"/>
        <v>131</v>
      </c>
    </row>
    <row r="423" spans="1:18">
      <c r="A423" s="71">
        <v>1682</v>
      </c>
      <c r="B423" s="72">
        <v>34221</v>
      </c>
      <c r="C423" s="71" t="s">
        <v>2307</v>
      </c>
      <c r="D423" s="72">
        <v>34221</v>
      </c>
      <c r="E423" s="71" t="s">
        <v>2308</v>
      </c>
      <c r="F423" s="71" t="s">
        <v>194</v>
      </c>
      <c r="G423" s="71" t="s">
        <v>20</v>
      </c>
      <c r="H423" s="71" t="s">
        <v>71</v>
      </c>
      <c r="I423" s="71" t="s">
        <v>72</v>
      </c>
      <c r="J423" s="71" t="s">
        <v>2309</v>
      </c>
      <c r="K423" s="71" t="s">
        <v>2310</v>
      </c>
      <c r="L423" s="71" t="s">
        <v>66</v>
      </c>
      <c r="M423" s="71" t="s">
        <v>24</v>
      </c>
      <c r="O423" s="72">
        <v>35828</v>
      </c>
      <c r="P423" s="71"/>
      <c r="Q423" s="71" t="b">
        <v>0</v>
      </c>
      <c r="R423" s="22">
        <f t="shared" si="6"/>
        <v>1604</v>
      </c>
    </row>
    <row r="424" spans="1:18">
      <c r="A424" s="71">
        <v>1684</v>
      </c>
      <c r="B424" s="72">
        <v>34222</v>
      </c>
      <c r="C424" s="71" t="s">
        <v>2314</v>
      </c>
      <c r="D424" s="72">
        <v>34219</v>
      </c>
      <c r="E424" s="71" t="s">
        <v>2315</v>
      </c>
      <c r="F424" s="71" t="s">
        <v>39</v>
      </c>
      <c r="G424" s="71" t="s">
        <v>20</v>
      </c>
      <c r="H424" s="71" t="s">
        <v>189</v>
      </c>
      <c r="I424" s="71" t="s">
        <v>189</v>
      </c>
      <c r="J424" s="71" t="s">
        <v>2316</v>
      </c>
      <c r="K424" s="71" t="s">
        <v>2317</v>
      </c>
      <c r="L424" s="71" t="s">
        <v>24</v>
      </c>
      <c r="M424" s="71"/>
      <c r="O424" s="72">
        <v>34239</v>
      </c>
      <c r="P424" s="71"/>
      <c r="Q424" s="71" t="b">
        <v>0</v>
      </c>
      <c r="R424" s="22">
        <f t="shared" si="6"/>
        <v>17</v>
      </c>
    </row>
    <row r="425" spans="1:18">
      <c r="A425" s="71">
        <v>1701</v>
      </c>
      <c r="B425" s="72">
        <v>34227</v>
      </c>
      <c r="C425" s="71" t="s">
        <v>2324</v>
      </c>
      <c r="D425" s="72">
        <v>34225</v>
      </c>
      <c r="E425" s="71" t="s">
        <v>2325</v>
      </c>
      <c r="F425" s="71" t="s">
        <v>124</v>
      </c>
      <c r="G425" s="71" t="s">
        <v>20</v>
      </c>
      <c r="H425" s="71"/>
      <c r="I425" s="71"/>
      <c r="J425" s="71" t="s">
        <v>2326</v>
      </c>
      <c r="K425" s="71" t="s">
        <v>2327</v>
      </c>
      <c r="L425" s="71" t="s">
        <v>314</v>
      </c>
      <c r="M425" s="71" t="s">
        <v>1800</v>
      </c>
      <c r="O425" s="72">
        <v>37686</v>
      </c>
      <c r="P425" s="71">
        <v>-1</v>
      </c>
      <c r="Q425" s="71" t="b">
        <v>0</v>
      </c>
      <c r="R425" s="22">
        <f t="shared" si="6"/>
        <v>3458</v>
      </c>
    </row>
    <row r="426" spans="1:18">
      <c r="A426" s="71">
        <v>1705</v>
      </c>
      <c r="B426" s="72">
        <v>34229</v>
      </c>
      <c r="C426" s="71" t="s">
        <v>2331</v>
      </c>
      <c r="D426" s="72">
        <v>34227</v>
      </c>
      <c r="E426" s="71" t="s">
        <v>2332</v>
      </c>
      <c r="F426" s="71" t="s">
        <v>211</v>
      </c>
      <c r="G426" s="71" t="s">
        <v>20</v>
      </c>
      <c r="H426" s="71" t="s">
        <v>212</v>
      </c>
      <c r="I426" s="71" t="s">
        <v>212</v>
      </c>
      <c r="J426" s="71" t="s">
        <v>2333</v>
      </c>
      <c r="K426" s="71" t="s">
        <v>2334</v>
      </c>
      <c r="L426" s="71" t="s">
        <v>67</v>
      </c>
      <c r="M426" s="71"/>
      <c r="O426" s="72">
        <v>35444</v>
      </c>
      <c r="P426" s="71"/>
      <c r="Q426" s="71" t="b">
        <v>0</v>
      </c>
      <c r="R426" s="22">
        <f t="shared" si="6"/>
        <v>1213</v>
      </c>
    </row>
    <row r="427" spans="1:18">
      <c r="A427" s="71">
        <v>1706</v>
      </c>
      <c r="B427" s="72">
        <v>34229</v>
      </c>
      <c r="C427" s="71" t="s">
        <v>2335</v>
      </c>
      <c r="D427" s="72">
        <v>34228</v>
      </c>
      <c r="E427" s="71" t="s">
        <v>2336</v>
      </c>
      <c r="F427" s="71" t="s">
        <v>228</v>
      </c>
      <c r="G427" s="71" t="s">
        <v>20</v>
      </c>
      <c r="H427" s="71"/>
      <c r="I427" s="71"/>
      <c r="J427" s="71" t="s">
        <v>2337</v>
      </c>
      <c r="K427" s="71" t="s">
        <v>2338</v>
      </c>
      <c r="L427" s="71" t="s">
        <v>24</v>
      </c>
      <c r="M427" s="71"/>
      <c r="O427" s="72">
        <v>34239</v>
      </c>
      <c r="P427" s="71">
        <v>-1</v>
      </c>
      <c r="Q427" s="71" t="b">
        <v>0</v>
      </c>
      <c r="R427" s="22">
        <f t="shared" si="6"/>
        <v>10</v>
      </c>
    </row>
    <row r="428" spans="1:18">
      <c r="A428" s="71">
        <v>1715</v>
      </c>
      <c r="B428" s="72">
        <v>34235</v>
      </c>
      <c r="C428" s="71" t="s">
        <v>2339</v>
      </c>
      <c r="D428" s="72">
        <v>34232</v>
      </c>
      <c r="E428" s="71" t="s">
        <v>2340</v>
      </c>
      <c r="F428" s="71" t="s">
        <v>70</v>
      </c>
      <c r="G428" s="71" t="s">
        <v>20</v>
      </c>
      <c r="H428" s="71" t="s">
        <v>71</v>
      </c>
      <c r="I428" s="71" t="s">
        <v>72</v>
      </c>
      <c r="J428" s="71" t="s">
        <v>2341</v>
      </c>
      <c r="K428" s="71" t="s">
        <v>1891</v>
      </c>
      <c r="L428" s="71" t="s">
        <v>66</v>
      </c>
      <c r="M428" s="71"/>
      <c r="O428" s="72">
        <v>37439</v>
      </c>
      <c r="P428" s="71">
        <v>-1</v>
      </c>
      <c r="Q428" s="71" t="b">
        <v>0</v>
      </c>
      <c r="R428" s="22">
        <f t="shared" si="6"/>
        <v>3202</v>
      </c>
    </row>
    <row r="429" spans="1:18">
      <c r="A429" s="71">
        <v>1716</v>
      </c>
      <c r="B429" s="72">
        <v>34193</v>
      </c>
      <c r="C429" s="71" t="s">
        <v>2342</v>
      </c>
      <c r="D429" s="72">
        <v>34187</v>
      </c>
      <c r="E429" s="71" t="s">
        <v>2343</v>
      </c>
      <c r="F429" s="71" t="s">
        <v>216</v>
      </c>
      <c r="G429" s="71" t="s">
        <v>20</v>
      </c>
      <c r="H429" s="71"/>
      <c r="I429" s="71"/>
      <c r="J429" s="71" t="s">
        <v>2344</v>
      </c>
      <c r="K429" s="71" t="s">
        <v>2345</v>
      </c>
      <c r="L429" s="71" t="s">
        <v>82</v>
      </c>
      <c r="M429" s="71"/>
      <c r="O429" s="72">
        <v>34208</v>
      </c>
      <c r="P429" s="71">
        <v>-1</v>
      </c>
      <c r="Q429" s="71" t="b">
        <v>0</v>
      </c>
      <c r="R429" s="22">
        <f t="shared" si="6"/>
        <v>15</v>
      </c>
    </row>
    <row r="430" spans="1:18">
      <c r="A430" s="71">
        <v>1717</v>
      </c>
      <c r="B430" s="72">
        <v>34232</v>
      </c>
      <c r="C430" s="71" t="s">
        <v>2346</v>
      </c>
      <c r="D430" s="72">
        <v>34232</v>
      </c>
      <c r="E430" s="71" t="s">
        <v>2347</v>
      </c>
      <c r="F430" s="71" t="s">
        <v>359</v>
      </c>
      <c r="G430" s="71" t="s">
        <v>20</v>
      </c>
      <c r="H430" s="71"/>
      <c r="I430" s="71"/>
      <c r="J430" s="71" t="s">
        <v>2348</v>
      </c>
      <c r="K430" s="71" t="s">
        <v>2349</v>
      </c>
      <c r="L430" s="71" t="s">
        <v>1152</v>
      </c>
      <c r="M430" s="71"/>
      <c r="O430" s="72">
        <v>34477</v>
      </c>
      <c r="P430" s="71">
        <v>-1</v>
      </c>
      <c r="Q430" s="71" t="b">
        <v>0</v>
      </c>
      <c r="R430" s="22">
        <f t="shared" si="6"/>
        <v>246</v>
      </c>
    </row>
    <row r="431" spans="1:18">
      <c r="A431" s="71">
        <v>1721</v>
      </c>
      <c r="B431" s="72">
        <v>34235</v>
      </c>
      <c r="C431" s="71" t="s">
        <v>2350</v>
      </c>
      <c r="D431" s="72">
        <v>34232</v>
      </c>
      <c r="E431" s="71" t="s">
        <v>2351</v>
      </c>
      <c r="F431" s="71" t="s">
        <v>124</v>
      </c>
      <c r="G431" s="71" t="s">
        <v>20</v>
      </c>
      <c r="H431" s="71"/>
      <c r="I431" s="71"/>
      <c r="J431" s="71" t="s">
        <v>2352</v>
      </c>
      <c r="K431" s="71" t="s">
        <v>2353</v>
      </c>
      <c r="L431" s="71" t="s">
        <v>1152</v>
      </c>
      <c r="M431" s="71"/>
      <c r="O431" s="72">
        <v>34443</v>
      </c>
      <c r="P431" s="71">
        <v>-1</v>
      </c>
      <c r="Q431" s="71" t="b">
        <v>0</v>
      </c>
      <c r="R431" s="22">
        <f t="shared" si="6"/>
        <v>208</v>
      </c>
    </row>
    <row r="432" spans="1:18">
      <c r="A432" s="71">
        <v>1722</v>
      </c>
      <c r="B432" s="72">
        <v>34235</v>
      </c>
      <c r="C432" s="71" t="s">
        <v>17266</v>
      </c>
      <c r="D432" s="72">
        <v>34235</v>
      </c>
      <c r="E432" s="71" t="s">
        <v>17267</v>
      </c>
      <c r="F432" s="71"/>
      <c r="G432" s="71"/>
      <c r="H432" s="71"/>
      <c r="I432" s="71"/>
      <c r="J432" s="71" t="s">
        <v>17268</v>
      </c>
      <c r="K432" s="71" t="s">
        <v>17269</v>
      </c>
      <c r="L432" s="71" t="s">
        <v>82</v>
      </c>
      <c r="M432" s="71"/>
      <c r="O432" s="72">
        <v>34239</v>
      </c>
      <c r="P432" s="71"/>
      <c r="Q432" s="71" t="b">
        <v>0</v>
      </c>
      <c r="R432" s="22">
        <f t="shared" si="6"/>
        <v>4</v>
      </c>
    </row>
    <row r="433" spans="1:18">
      <c r="A433" s="71">
        <v>1723</v>
      </c>
      <c r="B433" s="72">
        <v>34236</v>
      </c>
      <c r="C433" s="71" t="s">
        <v>2354</v>
      </c>
      <c r="D433" s="72">
        <v>34236</v>
      </c>
      <c r="E433" s="71" t="s">
        <v>2355</v>
      </c>
      <c r="F433" s="71" t="s">
        <v>228</v>
      </c>
      <c r="G433" s="71" t="s">
        <v>20</v>
      </c>
      <c r="H433" s="71"/>
      <c r="I433" s="71"/>
      <c r="J433" s="71" t="s">
        <v>2356</v>
      </c>
      <c r="K433" s="71" t="s">
        <v>2357</v>
      </c>
      <c r="L433" s="71" t="s">
        <v>24</v>
      </c>
      <c r="M433" s="71"/>
      <c r="O433" s="72">
        <v>34243</v>
      </c>
      <c r="P433" s="71">
        <v>-1</v>
      </c>
      <c r="Q433" s="71" t="b">
        <v>0</v>
      </c>
      <c r="R433" s="22">
        <f t="shared" si="6"/>
        <v>7</v>
      </c>
    </row>
    <row r="434" spans="1:18">
      <c r="A434" s="71">
        <v>1724</v>
      </c>
      <c r="B434" s="72">
        <v>34207</v>
      </c>
      <c r="C434" s="71" t="s">
        <v>2290</v>
      </c>
      <c r="E434" s="71" t="s">
        <v>2358</v>
      </c>
      <c r="F434" s="71" t="s">
        <v>2359</v>
      </c>
      <c r="G434" s="71" t="s">
        <v>20</v>
      </c>
      <c r="H434" s="71" t="s">
        <v>71</v>
      </c>
      <c r="I434" s="71" t="s">
        <v>72</v>
      </c>
      <c r="J434" s="71" t="s">
        <v>448</v>
      </c>
      <c r="K434" s="71" t="s">
        <v>2360</v>
      </c>
      <c r="L434" s="71" t="s">
        <v>24</v>
      </c>
      <c r="M434" s="71"/>
      <c r="N434" s="72">
        <v>34222</v>
      </c>
      <c r="O434" s="72">
        <v>34214</v>
      </c>
      <c r="P434" s="71"/>
      <c r="Q434" s="71" t="b">
        <v>0</v>
      </c>
      <c r="R434" s="22">
        <f t="shared" si="6"/>
        <v>6</v>
      </c>
    </row>
    <row r="435" spans="1:18">
      <c r="A435" s="71">
        <v>1730</v>
      </c>
      <c r="B435" s="72">
        <v>34239</v>
      </c>
      <c r="C435" s="71" t="s">
        <v>2367</v>
      </c>
      <c r="D435" s="72">
        <v>34235</v>
      </c>
      <c r="E435" s="71" t="s">
        <v>2368</v>
      </c>
      <c r="F435" s="71" t="s">
        <v>70</v>
      </c>
      <c r="G435" s="71" t="s">
        <v>20</v>
      </c>
      <c r="H435" s="71" t="s">
        <v>71</v>
      </c>
      <c r="I435" s="71" t="s">
        <v>72</v>
      </c>
      <c r="J435" s="71" t="s">
        <v>2369</v>
      </c>
      <c r="K435" s="71" t="s">
        <v>2370</v>
      </c>
      <c r="L435" s="71" t="s">
        <v>24</v>
      </c>
      <c r="M435" s="71"/>
      <c r="O435" s="72">
        <v>34939</v>
      </c>
      <c r="P435" s="71"/>
      <c r="Q435" s="71" t="b">
        <v>0</v>
      </c>
      <c r="R435" s="22">
        <f t="shared" si="6"/>
        <v>700</v>
      </c>
    </row>
    <row r="436" spans="1:18">
      <c r="A436" s="71">
        <v>1731</v>
      </c>
      <c r="B436" s="72">
        <v>34239</v>
      </c>
      <c r="C436" s="71" t="s">
        <v>2371</v>
      </c>
      <c r="D436" s="72">
        <v>34239</v>
      </c>
      <c r="E436" s="71" t="s">
        <v>2372</v>
      </c>
      <c r="F436" s="71" t="s">
        <v>124</v>
      </c>
      <c r="G436" s="71" t="s">
        <v>20</v>
      </c>
      <c r="H436" s="71"/>
      <c r="I436" s="71"/>
      <c r="J436" s="71" t="s">
        <v>2373</v>
      </c>
      <c r="K436" s="71" t="s">
        <v>2374</v>
      </c>
      <c r="L436" s="71" t="s">
        <v>82</v>
      </c>
      <c r="M436" s="71"/>
      <c r="O436" s="72">
        <v>34827</v>
      </c>
      <c r="P436" s="71"/>
      <c r="Q436" s="71" t="b">
        <v>0</v>
      </c>
      <c r="R436" s="22">
        <f t="shared" si="6"/>
        <v>589</v>
      </c>
    </row>
    <row r="437" spans="1:18">
      <c r="A437" s="71">
        <v>1738</v>
      </c>
      <c r="B437" s="72">
        <v>34241</v>
      </c>
      <c r="C437" s="71" t="s">
        <v>2375</v>
      </c>
      <c r="D437" s="72">
        <v>34239</v>
      </c>
      <c r="E437" s="71" t="s">
        <v>2376</v>
      </c>
      <c r="F437" s="71" t="s">
        <v>228</v>
      </c>
      <c r="G437" s="71" t="s">
        <v>20</v>
      </c>
      <c r="H437" s="71"/>
      <c r="I437" s="71"/>
      <c r="J437" s="71" t="s">
        <v>2377</v>
      </c>
      <c r="K437" s="71" t="s">
        <v>2378</v>
      </c>
      <c r="L437" s="71" t="s">
        <v>82</v>
      </c>
      <c r="M437" s="71"/>
      <c r="O437" s="72">
        <v>34277</v>
      </c>
      <c r="P437" s="71"/>
      <c r="Q437" s="71" t="b">
        <v>0</v>
      </c>
      <c r="R437" s="22">
        <f t="shared" si="6"/>
        <v>35</v>
      </c>
    </row>
    <row r="438" spans="1:18">
      <c r="A438" s="71">
        <v>1740</v>
      </c>
      <c r="B438" s="72">
        <v>34242</v>
      </c>
      <c r="C438" s="71" t="s">
        <v>2379</v>
      </c>
      <c r="D438" s="72">
        <v>34238</v>
      </c>
      <c r="E438" s="71" t="s">
        <v>2380</v>
      </c>
      <c r="F438" s="71" t="s">
        <v>306</v>
      </c>
      <c r="G438" s="71" t="s">
        <v>20</v>
      </c>
      <c r="H438" s="71"/>
      <c r="I438" s="71"/>
      <c r="J438" s="71" t="s">
        <v>2381</v>
      </c>
      <c r="K438" s="71" t="s">
        <v>2382</v>
      </c>
      <c r="L438" s="71" t="s">
        <v>67</v>
      </c>
      <c r="M438" s="71"/>
      <c r="O438" s="72">
        <v>35495</v>
      </c>
      <c r="P438" s="71">
        <v>-1</v>
      </c>
      <c r="Q438" s="71" t="b">
        <v>0</v>
      </c>
      <c r="R438" s="22">
        <f t="shared" si="6"/>
        <v>1253</v>
      </c>
    </row>
    <row r="439" spans="1:18">
      <c r="A439" s="71">
        <v>1742</v>
      </c>
      <c r="B439" s="72">
        <v>34241</v>
      </c>
      <c r="C439" s="71" t="s">
        <v>2383</v>
      </c>
      <c r="D439" s="72">
        <v>34238</v>
      </c>
      <c r="E439" s="71" t="s">
        <v>2384</v>
      </c>
      <c r="F439" s="71" t="s">
        <v>306</v>
      </c>
      <c r="G439" s="71" t="s">
        <v>20</v>
      </c>
      <c r="H439" s="71"/>
      <c r="I439" s="71"/>
      <c r="J439" s="71" t="s">
        <v>2385</v>
      </c>
      <c r="K439" s="71" t="s">
        <v>2386</v>
      </c>
      <c r="L439" s="71" t="s">
        <v>30</v>
      </c>
      <c r="M439" s="71"/>
      <c r="O439" s="72">
        <v>34297</v>
      </c>
      <c r="P439" s="71">
        <v>-1</v>
      </c>
      <c r="Q439" s="71" t="b">
        <v>0</v>
      </c>
      <c r="R439" s="22">
        <f t="shared" si="6"/>
        <v>55</v>
      </c>
    </row>
    <row r="440" spans="1:18">
      <c r="A440" s="71">
        <v>1743</v>
      </c>
      <c r="B440" s="72">
        <v>34242</v>
      </c>
      <c r="C440" s="71" t="s">
        <v>2387</v>
      </c>
      <c r="D440" s="72">
        <v>34242</v>
      </c>
      <c r="E440" s="71" t="s">
        <v>2388</v>
      </c>
      <c r="F440" s="71" t="s">
        <v>149</v>
      </c>
      <c r="G440" s="71" t="s">
        <v>20</v>
      </c>
      <c r="H440" s="71"/>
      <c r="I440" s="71"/>
      <c r="J440" s="71" t="s">
        <v>2389</v>
      </c>
      <c r="K440" s="71" t="s">
        <v>2390</v>
      </c>
      <c r="L440" s="71" t="s">
        <v>24</v>
      </c>
      <c r="M440" s="71"/>
      <c r="O440" s="72">
        <v>34270</v>
      </c>
      <c r="P440" s="71">
        <v>-1</v>
      </c>
      <c r="Q440" s="71" t="b">
        <v>0</v>
      </c>
      <c r="R440" s="22">
        <f t="shared" si="6"/>
        <v>28</v>
      </c>
    </row>
    <row r="441" spans="1:18">
      <c r="A441" s="71">
        <v>1744</v>
      </c>
      <c r="B441" s="72">
        <v>34242</v>
      </c>
      <c r="C441" s="71" t="s">
        <v>2391</v>
      </c>
      <c r="D441" s="72">
        <v>34242</v>
      </c>
      <c r="E441" s="71" t="s">
        <v>2392</v>
      </c>
      <c r="F441" s="71" t="s">
        <v>904</v>
      </c>
      <c r="G441" s="71" t="s">
        <v>20</v>
      </c>
      <c r="H441" s="71"/>
      <c r="I441" s="71"/>
      <c r="J441" s="71" t="s">
        <v>2393</v>
      </c>
      <c r="K441" s="71" t="s">
        <v>2394</v>
      </c>
      <c r="L441" s="71" t="s">
        <v>82</v>
      </c>
      <c r="M441" s="71"/>
      <c r="O441" s="72">
        <v>34470</v>
      </c>
      <c r="P441" s="71">
        <v>-1</v>
      </c>
      <c r="Q441" s="71" t="b">
        <v>0</v>
      </c>
      <c r="R441" s="22">
        <f t="shared" si="6"/>
        <v>229</v>
      </c>
    </row>
    <row r="442" spans="1:18">
      <c r="A442" s="71">
        <v>1746</v>
      </c>
      <c r="B442" s="72">
        <v>34243</v>
      </c>
      <c r="C442" s="71" t="s">
        <v>2399</v>
      </c>
      <c r="D442" s="72">
        <v>34242</v>
      </c>
      <c r="E442" s="71" t="s">
        <v>2400</v>
      </c>
      <c r="F442" s="71" t="s">
        <v>19</v>
      </c>
      <c r="G442" s="71" t="s">
        <v>20</v>
      </c>
      <c r="H442" s="71"/>
      <c r="I442" s="71"/>
      <c r="J442" s="71" t="s">
        <v>2401</v>
      </c>
      <c r="K442" s="71" t="s">
        <v>2402</v>
      </c>
      <c r="L442" s="71" t="s">
        <v>1152</v>
      </c>
      <c r="M442" s="71"/>
      <c r="O442" s="72">
        <v>34263</v>
      </c>
      <c r="P442" s="71">
        <v>-1</v>
      </c>
      <c r="Q442" s="71" t="b">
        <v>0</v>
      </c>
      <c r="R442" s="22">
        <f t="shared" si="6"/>
        <v>20</v>
      </c>
    </row>
    <row r="443" spans="1:18">
      <c r="A443" s="71">
        <v>1747</v>
      </c>
      <c r="B443" s="72">
        <v>34243</v>
      </c>
      <c r="C443" s="71" t="s">
        <v>2403</v>
      </c>
      <c r="D443" s="72">
        <v>34243</v>
      </c>
      <c r="E443" s="71" t="s">
        <v>2404</v>
      </c>
      <c r="F443" s="71" t="s">
        <v>104</v>
      </c>
      <c r="G443" s="71" t="s">
        <v>20</v>
      </c>
      <c r="H443" s="71"/>
      <c r="I443" s="71"/>
      <c r="J443" s="71" t="s">
        <v>2405</v>
      </c>
      <c r="K443" s="71" t="s">
        <v>2406</v>
      </c>
      <c r="L443" s="71" t="s">
        <v>59</v>
      </c>
      <c r="M443" s="71"/>
      <c r="N443" s="72">
        <v>34247</v>
      </c>
      <c r="O443" s="72">
        <v>34295</v>
      </c>
      <c r="P443" s="71">
        <v>-1</v>
      </c>
      <c r="Q443" s="71" t="b">
        <v>0</v>
      </c>
      <c r="R443" s="22">
        <f t="shared" si="6"/>
        <v>51</v>
      </c>
    </row>
    <row r="444" spans="1:18">
      <c r="A444" s="71">
        <v>1751</v>
      </c>
      <c r="B444" s="72">
        <v>34248</v>
      </c>
      <c r="C444" s="71" t="s">
        <v>2407</v>
      </c>
      <c r="D444" s="72">
        <v>34243</v>
      </c>
      <c r="E444" s="71" t="s">
        <v>2408</v>
      </c>
      <c r="F444" s="71" t="s">
        <v>904</v>
      </c>
      <c r="G444" s="71" t="s">
        <v>20</v>
      </c>
      <c r="H444" s="71"/>
      <c r="I444" s="71"/>
      <c r="J444" s="71" t="s">
        <v>2409</v>
      </c>
      <c r="K444" s="71" t="s">
        <v>2410</v>
      </c>
      <c r="L444" s="71" t="s">
        <v>82</v>
      </c>
      <c r="M444" s="71"/>
      <c r="O444" s="72">
        <v>34470</v>
      </c>
      <c r="P444" s="71">
        <v>-1</v>
      </c>
      <c r="Q444" s="71" t="b">
        <v>0</v>
      </c>
      <c r="R444" s="22">
        <f t="shared" si="6"/>
        <v>223</v>
      </c>
    </row>
    <row r="445" spans="1:18">
      <c r="A445" s="71">
        <v>1752</v>
      </c>
      <c r="B445" s="72">
        <v>34248</v>
      </c>
      <c r="C445" s="71" t="s">
        <v>2411</v>
      </c>
      <c r="D445" s="72">
        <v>34239</v>
      </c>
      <c r="E445" s="71" t="s">
        <v>2412</v>
      </c>
      <c r="F445" s="71" t="s">
        <v>2413</v>
      </c>
      <c r="G445" s="71" t="s">
        <v>20</v>
      </c>
      <c r="H445" s="71" t="s">
        <v>566</v>
      </c>
      <c r="I445" s="71" t="s">
        <v>566</v>
      </c>
      <c r="J445" s="71" t="s">
        <v>2414</v>
      </c>
      <c r="K445" s="71" t="s">
        <v>2415</v>
      </c>
      <c r="L445" s="71" t="s">
        <v>82</v>
      </c>
      <c r="M445" s="71"/>
      <c r="O445" s="72">
        <v>34262</v>
      </c>
      <c r="P445" s="71">
        <v>-1</v>
      </c>
      <c r="Q445" s="71" t="b">
        <v>0</v>
      </c>
      <c r="R445" s="22">
        <f t="shared" si="6"/>
        <v>14</v>
      </c>
    </row>
    <row r="446" spans="1:18">
      <c r="A446" s="71">
        <v>1767</v>
      </c>
      <c r="B446" s="72">
        <v>34255</v>
      </c>
      <c r="C446" s="71" t="s">
        <v>2416</v>
      </c>
      <c r="D446" s="72">
        <v>34248</v>
      </c>
      <c r="E446" s="71" t="s">
        <v>2417</v>
      </c>
      <c r="F446" s="71" t="s">
        <v>228</v>
      </c>
      <c r="G446" s="71" t="s">
        <v>20</v>
      </c>
      <c r="H446" s="71"/>
      <c r="I446" s="71"/>
      <c r="J446" s="71" t="s">
        <v>2418</v>
      </c>
      <c r="K446" s="71" t="s">
        <v>2419</v>
      </c>
      <c r="L446" s="71" t="s">
        <v>30</v>
      </c>
      <c r="M446" s="71"/>
      <c r="O446" s="72">
        <v>34352</v>
      </c>
      <c r="P446" s="71">
        <v>-1</v>
      </c>
      <c r="Q446" s="71" t="b">
        <v>0</v>
      </c>
      <c r="R446" s="22">
        <f t="shared" si="6"/>
        <v>96</v>
      </c>
    </row>
    <row r="447" spans="1:18">
      <c r="A447" s="71">
        <v>1768</v>
      </c>
      <c r="B447" s="72">
        <v>34255</v>
      </c>
      <c r="C447" s="71" t="s">
        <v>2420</v>
      </c>
      <c r="D447" s="72">
        <v>34248</v>
      </c>
      <c r="E447" s="71" t="s">
        <v>2421</v>
      </c>
      <c r="F447" s="71" t="s">
        <v>98</v>
      </c>
      <c r="G447" s="71" t="s">
        <v>20</v>
      </c>
      <c r="H447" s="71"/>
      <c r="I447" s="71"/>
      <c r="J447" s="71" t="s">
        <v>2422</v>
      </c>
      <c r="K447" s="71" t="s">
        <v>2423</v>
      </c>
      <c r="L447" s="71" t="s">
        <v>24</v>
      </c>
      <c r="M447" s="71"/>
      <c r="O447" s="72">
        <v>34684</v>
      </c>
      <c r="P447" s="71">
        <v>-1</v>
      </c>
      <c r="Q447" s="71" t="b">
        <v>0</v>
      </c>
      <c r="R447" s="22">
        <f t="shared" si="6"/>
        <v>428</v>
      </c>
    </row>
    <row r="448" spans="1:18">
      <c r="A448" s="71">
        <v>1774</v>
      </c>
      <c r="B448" s="72">
        <v>34256</v>
      </c>
      <c r="C448" s="71" t="s">
        <v>2427</v>
      </c>
      <c r="D448" s="72">
        <v>34255</v>
      </c>
      <c r="E448" s="71" t="s">
        <v>2428</v>
      </c>
      <c r="F448" s="71" t="s">
        <v>85</v>
      </c>
      <c r="G448" s="71" t="s">
        <v>20</v>
      </c>
      <c r="H448" s="71"/>
      <c r="I448" s="71"/>
      <c r="J448" s="71" t="s">
        <v>2429</v>
      </c>
      <c r="K448" s="71" t="s">
        <v>2430</v>
      </c>
      <c r="L448" s="71" t="s">
        <v>24</v>
      </c>
      <c r="M448" s="71"/>
      <c r="O448" s="72">
        <v>34767</v>
      </c>
      <c r="P448" s="71">
        <v>-1</v>
      </c>
      <c r="Q448" s="71" t="b">
        <v>0</v>
      </c>
      <c r="R448" s="22">
        <f t="shared" si="6"/>
        <v>512</v>
      </c>
    </row>
    <row r="449" spans="1:18">
      <c r="A449" s="71">
        <v>1779</v>
      </c>
      <c r="B449" s="72">
        <v>34257</v>
      </c>
      <c r="C449" s="71" t="s">
        <v>2431</v>
      </c>
      <c r="D449" s="72">
        <v>34257</v>
      </c>
      <c r="E449" s="71" t="s">
        <v>2432</v>
      </c>
      <c r="F449" s="71" t="s">
        <v>1159</v>
      </c>
      <c r="G449" s="71" t="s">
        <v>20</v>
      </c>
      <c r="H449" s="71" t="s">
        <v>71</v>
      </c>
      <c r="I449" s="71" t="s">
        <v>72</v>
      </c>
      <c r="J449" s="71" t="s">
        <v>2433</v>
      </c>
      <c r="K449" s="71" t="s">
        <v>2434</v>
      </c>
      <c r="L449" s="71" t="s">
        <v>24</v>
      </c>
      <c r="M449" s="71"/>
      <c r="O449" s="72">
        <v>34589</v>
      </c>
      <c r="P449" s="71"/>
      <c r="Q449" s="71" t="b">
        <v>0</v>
      </c>
      <c r="R449" s="22">
        <f t="shared" si="6"/>
        <v>331</v>
      </c>
    </row>
    <row r="450" spans="1:18">
      <c r="A450" s="71">
        <v>1788</v>
      </c>
      <c r="B450" s="72">
        <v>34263</v>
      </c>
      <c r="C450" s="71" t="s">
        <v>2444</v>
      </c>
      <c r="D450" s="72">
        <v>34259</v>
      </c>
      <c r="E450" s="71" t="s">
        <v>2445</v>
      </c>
      <c r="F450" s="71" t="s">
        <v>124</v>
      </c>
      <c r="G450" s="71"/>
      <c r="H450" s="71"/>
      <c r="I450" s="71"/>
      <c r="J450" s="71" t="s">
        <v>2446</v>
      </c>
      <c r="K450" s="71" t="s">
        <v>2447</v>
      </c>
      <c r="L450" s="71" t="s">
        <v>30</v>
      </c>
      <c r="M450" s="71"/>
      <c r="O450" s="72">
        <v>35730</v>
      </c>
      <c r="P450" s="71"/>
      <c r="Q450" s="71" t="b">
        <v>0</v>
      </c>
      <c r="R450" s="22">
        <f t="shared" ref="R450:R513" si="7">IF(O450=" ", " ", INT(YEARFRAC(O450, B450)*365))</f>
        <v>1466</v>
      </c>
    </row>
    <row r="451" spans="1:18">
      <c r="A451" s="71">
        <v>1793</v>
      </c>
      <c r="B451" s="72">
        <v>34264</v>
      </c>
      <c r="C451" s="71" t="s">
        <v>2451</v>
      </c>
      <c r="D451" s="72">
        <v>34260</v>
      </c>
      <c r="E451" s="71" t="s">
        <v>2452</v>
      </c>
      <c r="F451" s="71" t="s">
        <v>990</v>
      </c>
      <c r="G451" s="71" t="s">
        <v>20</v>
      </c>
      <c r="H451" s="71"/>
      <c r="I451" s="71"/>
      <c r="J451" s="71" t="s">
        <v>2453</v>
      </c>
      <c r="K451" s="71" t="s">
        <v>2454</v>
      </c>
      <c r="L451" s="71" t="s">
        <v>24</v>
      </c>
      <c r="M451" s="71"/>
      <c r="O451" s="72">
        <v>34296</v>
      </c>
      <c r="P451" s="71"/>
      <c r="Q451" s="71" t="b">
        <v>0</v>
      </c>
      <c r="R451" s="22">
        <f t="shared" si="7"/>
        <v>31</v>
      </c>
    </row>
    <row r="452" spans="1:18">
      <c r="A452" s="71">
        <v>1794</v>
      </c>
      <c r="B452" s="72">
        <v>34264</v>
      </c>
      <c r="C452" s="71" t="s">
        <v>2455</v>
      </c>
      <c r="D452" s="72">
        <v>34264</v>
      </c>
      <c r="E452" s="71" t="s">
        <v>2456</v>
      </c>
      <c r="F452" s="71" t="s">
        <v>359</v>
      </c>
      <c r="G452" s="71" t="s">
        <v>20</v>
      </c>
      <c r="H452" s="71"/>
      <c r="I452" s="71"/>
      <c r="J452" s="71" t="s">
        <v>2457</v>
      </c>
      <c r="K452" s="71" t="s">
        <v>2458</v>
      </c>
      <c r="L452" s="71" t="s">
        <v>88</v>
      </c>
      <c r="M452" s="71"/>
      <c r="N452" s="72">
        <v>34278</v>
      </c>
      <c r="O452" s="72">
        <v>35641</v>
      </c>
      <c r="P452" s="71">
        <v>-1</v>
      </c>
      <c r="Q452" s="71" t="b">
        <v>0</v>
      </c>
      <c r="R452" s="22">
        <f t="shared" si="7"/>
        <v>1376</v>
      </c>
    </row>
    <row r="453" spans="1:18">
      <c r="A453" s="71">
        <v>1795</v>
      </c>
      <c r="B453" s="72">
        <v>34267</v>
      </c>
      <c r="C453" s="71" t="s">
        <v>17270</v>
      </c>
      <c r="D453" s="72">
        <v>34262</v>
      </c>
      <c r="E453" s="71" t="s">
        <v>17271</v>
      </c>
      <c r="F453" s="71"/>
      <c r="G453" s="71"/>
      <c r="H453" s="71"/>
      <c r="I453" s="71"/>
      <c r="J453" s="71" t="s">
        <v>17272</v>
      </c>
      <c r="K453" s="71"/>
      <c r="L453" s="71" t="s">
        <v>82</v>
      </c>
      <c r="M453" s="71"/>
      <c r="O453" s="72">
        <v>34283</v>
      </c>
      <c r="P453" s="71"/>
      <c r="Q453" s="71" t="b">
        <v>0</v>
      </c>
      <c r="R453" s="22">
        <f t="shared" si="7"/>
        <v>15</v>
      </c>
    </row>
    <row r="454" spans="1:18">
      <c r="A454" s="71">
        <v>1798</v>
      </c>
      <c r="B454" s="72">
        <v>34268</v>
      </c>
      <c r="C454" s="71" t="s">
        <v>2459</v>
      </c>
      <c r="D454" s="72">
        <v>34264</v>
      </c>
      <c r="E454" s="71" t="s">
        <v>2460</v>
      </c>
      <c r="F454" s="71" t="s">
        <v>211</v>
      </c>
      <c r="G454" s="71" t="s">
        <v>20</v>
      </c>
      <c r="H454" s="71" t="s">
        <v>212</v>
      </c>
      <c r="I454" s="71" t="s">
        <v>212</v>
      </c>
      <c r="J454" s="71" t="s">
        <v>2461</v>
      </c>
      <c r="K454" s="71" t="s">
        <v>2462</v>
      </c>
      <c r="L454" s="71" t="s">
        <v>24</v>
      </c>
      <c r="M454" s="71"/>
      <c r="O454" s="72">
        <v>34296</v>
      </c>
      <c r="P454" s="71"/>
      <c r="Q454" s="71" t="b">
        <v>0</v>
      </c>
      <c r="R454" s="22">
        <f t="shared" si="7"/>
        <v>27</v>
      </c>
    </row>
    <row r="455" spans="1:18">
      <c r="A455" s="71">
        <v>1800</v>
      </c>
      <c r="B455" s="72">
        <v>34269</v>
      </c>
      <c r="C455" s="71" t="s">
        <v>2466</v>
      </c>
      <c r="D455" s="72">
        <v>34267</v>
      </c>
      <c r="E455" s="71" t="s">
        <v>2467</v>
      </c>
      <c r="F455" s="71" t="s">
        <v>85</v>
      </c>
      <c r="G455" s="71" t="s">
        <v>20</v>
      </c>
      <c r="H455" s="71"/>
      <c r="I455" s="71"/>
      <c r="J455" s="71" t="s">
        <v>2468</v>
      </c>
      <c r="K455" s="71" t="s">
        <v>2469</v>
      </c>
      <c r="L455" s="71" t="s">
        <v>30</v>
      </c>
      <c r="M455" s="71"/>
      <c r="O455" s="72">
        <v>36466</v>
      </c>
      <c r="P455" s="71"/>
      <c r="Q455" s="71" t="b">
        <v>0</v>
      </c>
      <c r="R455" s="22">
        <f t="shared" si="7"/>
        <v>2195</v>
      </c>
    </row>
    <row r="456" spans="1:18">
      <c r="A456" s="71">
        <v>1801</v>
      </c>
      <c r="B456" s="72">
        <v>34269</v>
      </c>
      <c r="C456" s="71" t="s">
        <v>2470</v>
      </c>
      <c r="D456" s="72">
        <v>34268</v>
      </c>
      <c r="E456" s="71" t="s">
        <v>2471</v>
      </c>
      <c r="F456" s="71" t="s">
        <v>104</v>
      </c>
      <c r="G456" s="71" t="s">
        <v>20</v>
      </c>
      <c r="H456" s="71"/>
      <c r="I456" s="71"/>
      <c r="J456" s="71" t="s">
        <v>2472</v>
      </c>
      <c r="K456" s="71" t="s">
        <v>2473</v>
      </c>
      <c r="L456" s="71" t="s">
        <v>24</v>
      </c>
      <c r="M456" s="71"/>
      <c r="O456" s="72">
        <v>34954</v>
      </c>
      <c r="P456" s="71"/>
      <c r="Q456" s="71" t="b">
        <v>0</v>
      </c>
      <c r="R456" s="22">
        <f t="shared" si="7"/>
        <v>684</v>
      </c>
    </row>
    <row r="457" spans="1:18">
      <c r="A457" s="71">
        <v>1808</v>
      </c>
      <c r="B457" s="72">
        <v>34271</v>
      </c>
      <c r="C457" s="71" t="s">
        <v>2477</v>
      </c>
      <c r="D457" s="72">
        <v>34271</v>
      </c>
      <c r="E457" s="71" t="s">
        <v>2478</v>
      </c>
      <c r="F457" s="71" t="s">
        <v>359</v>
      </c>
      <c r="G457" s="71" t="s">
        <v>20</v>
      </c>
      <c r="H457" s="71"/>
      <c r="I457" s="71"/>
      <c r="J457" s="71" t="s">
        <v>2479</v>
      </c>
      <c r="K457" s="71" t="s">
        <v>2480</v>
      </c>
      <c r="L457" s="71" t="s">
        <v>1152</v>
      </c>
      <c r="M457" s="71"/>
      <c r="O457" s="72">
        <v>34477</v>
      </c>
      <c r="P457" s="71">
        <v>-1</v>
      </c>
      <c r="Q457" s="71" t="b">
        <v>0</v>
      </c>
      <c r="R457" s="22">
        <f t="shared" si="7"/>
        <v>206</v>
      </c>
    </row>
    <row r="458" spans="1:18">
      <c r="A458" s="71">
        <v>1814</v>
      </c>
      <c r="B458" s="72">
        <v>34275</v>
      </c>
      <c r="C458" s="71" t="s">
        <v>2481</v>
      </c>
      <c r="D458" s="72">
        <v>34274</v>
      </c>
      <c r="E458" s="71" t="s">
        <v>2482</v>
      </c>
      <c r="F458" s="71" t="s">
        <v>56</v>
      </c>
      <c r="G458" s="71" t="s">
        <v>20</v>
      </c>
      <c r="H458" s="71"/>
      <c r="I458" s="71"/>
      <c r="J458" s="71" t="s">
        <v>2483</v>
      </c>
      <c r="K458" s="71" t="s">
        <v>2484</v>
      </c>
      <c r="L458" s="71" t="s">
        <v>24</v>
      </c>
      <c r="M458" s="71"/>
      <c r="O458" s="72">
        <v>34296</v>
      </c>
      <c r="P458" s="71"/>
      <c r="Q458" s="71" t="b">
        <v>0</v>
      </c>
      <c r="R458" s="22">
        <f t="shared" si="7"/>
        <v>21</v>
      </c>
    </row>
    <row r="459" spans="1:18">
      <c r="A459" s="71">
        <v>1817</v>
      </c>
      <c r="B459" s="72">
        <v>34276</v>
      </c>
      <c r="C459" s="71" t="s">
        <v>2485</v>
      </c>
      <c r="D459" s="72">
        <v>34270</v>
      </c>
      <c r="E459" s="71" t="s">
        <v>2486</v>
      </c>
      <c r="F459" s="71" t="s">
        <v>70</v>
      </c>
      <c r="G459" s="71" t="s">
        <v>20</v>
      </c>
      <c r="H459" s="71" t="s">
        <v>71</v>
      </c>
      <c r="I459" s="71" t="s">
        <v>72</v>
      </c>
      <c r="J459" s="71" t="s">
        <v>2487</v>
      </c>
      <c r="K459" s="71" t="s">
        <v>2488</v>
      </c>
      <c r="L459" s="71" t="s">
        <v>24</v>
      </c>
      <c r="M459" s="71"/>
      <c r="O459" s="72">
        <v>34451</v>
      </c>
      <c r="P459" s="71"/>
      <c r="Q459" s="71" t="b">
        <v>0</v>
      </c>
      <c r="R459" s="22">
        <f t="shared" si="7"/>
        <v>176</v>
      </c>
    </row>
    <row r="460" spans="1:18">
      <c r="A460" s="71">
        <v>1820</v>
      </c>
      <c r="B460" s="72">
        <v>34276</v>
      </c>
      <c r="C460" s="71" t="s">
        <v>2489</v>
      </c>
      <c r="D460" s="72">
        <v>34269</v>
      </c>
      <c r="E460" s="71" t="s">
        <v>2490</v>
      </c>
      <c r="F460" s="71" t="s">
        <v>306</v>
      </c>
      <c r="G460" s="71" t="s">
        <v>20</v>
      </c>
      <c r="H460" s="71"/>
      <c r="I460" s="71"/>
      <c r="J460" s="71" t="s">
        <v>2491</v>
      </c>
      <c r="K460" s="71" t="s">
        <v>2492</v>
      </c>
      <c r="L460" s="71" t="s">
        <v>30</v>
      </c>
      <c r="M460" s="71"/>
      <c r="O460" s="72">
        <v>34359</v>
      </c>
      <c r="P460" s="71"/>
      <c r="Q460" s="71" t="b">
        <v>0</v>
      </c>
      <c r="R460" s="22">
        <f t="shared" si="7"/>
        <v>83</v>
      </c>
    </row>
    <row r="461" spans="1:18">
      <c r="A461" s="71">
        <v>1845</v>
      </c>
      <c r="B461" s="72">
        <v>34281</v>
      </c>
      <c r="C461" s="71" t="s">
        <v>2493</v>
      </c>
      <c r="D461" s="72">
        <v>34278</v>
      </c>
      <c r="E461" s="71" t="s">
        <v>2494</v>
      </c>
      <c r="F461" s="71" t="s">
        <v>124</v>
      </c>
      <c r="G461" s="71" t="s">
        <v>20</v>
      </c>
      <c r="H461" s="71"/>
      <c r="I461" s="71"/>
      <c r="J461" s="71" t="s">
        <v>2266</v>
      </c>
      <c r="K461" s="71" t="s">
        <v>2495</v>
      </c>
      <c r="L461" s="71" t="s">
        <v>24</v>
      </c>
      <c r="M461" s="71"/>
      <c r="N461" s="72">
        <v>34290</v>
      </c>
      <c r="O461" s="72">
        <v>34620</v>
      </c>
      <c r="P461" s="71">
        <v>-1</v>
      </c>
      <c r="Q461" s="71" t="b">
        <v>0</v>
      </c>
      <c r="R461" s="22">
        <f t="shared" si="7"/>
        <v>339</v>
      </c>
    </row>
    <row r="462" spans="1:18">
      <c r="A462" s="71">
        <v>1846</v>
      </c>
      <c r="B462" s="72">
        <v>34281</v>
      </c>
      <c r="C462" s="71" t="s">
        <v>2496</v>
      </c>
      <c r="D462" s="72">
        <v>34274</v>
      </c>
      <c r="E462" s="71" t="s">
        <v>2497</v>
      </c>
      <c r="F462" s="71" t="s">
        <v>104</v>
      </c>
      <c r="G462" s="71" t="s">
        <v>20</v>
      </c>
      <c r="H462" s="71" t="s">
        <v>189</v>
      </c>
      <c r="I462" s="71" t="s">
        <v>189</v>
      </c>
      <c r="J462" s="71" t="s">
        <v>2498</v>
      </c>
      <c r="K462" s="71" t="s">
        <v>2499</v>
      </c>
      <c r="L462" s="71" t="s">
        <v>24</v>
      </c>
      <c r="M462" s="71"/>
      <c r="O462" s="72">
        <v>34416</v>
      </c>
      <c r="P462" s="71"/>
      <c r="Q462" s="71" t="b">
        <v>0</v>
      </c>
      <c r="R462" s="22">
        <f t="shared" si="7"/>
        <v>136</v>
      </c>
    </row>
    <row r="463" spans="1:18">
      <c r="A463" s="71">
        <v>1857</v>
      </c>
      <c r="B463" s="72">
        <v>34288</v>
      </c>
      <c r="C463" s="71" t="s">
        <v>2503</v>
      </c>
      <c r="D463" s="72">
        <v>34288</v>
      </c>
      <c r="E463" s="71" t="s">
        <v>2504</v>
      </c>
      <c r="F463" s="71" t="s">
        <v>228</v>
      </c>
      <c r="G463" s="71" t="s">
        <v>20</v>
      </c>
      <c r="H463" s="71"/>
      <c r="I463" s="71"/>
      <c r="J463" s="71" t="s">
        <v>2505</v>
      </c>
      <c r="K463" s="71" t="s">
        <v>2506</v>
      </c>
      <c r="L463" s="71" t="s">
        <v>67</v>
      </c>
      <c r="M463" s="71"/>
      <c r="O463" s="72">
        <v>35639</v>
      </c>
      <c r="P463" s="71">
        <v>-1</v>
      </c>
      <c r="Q463" s="71" t="b">
        <v>0</v>
      </c>
      <c r="R463" s="22">
        <f t="shared" si="7"/>
        <v>1351</v>
      </c>
    </row>
    <row r="464" spans="1:18">
      <c r="A464" s="71">
        <v>1860</v>
      </c>
      <c r="B464" s="72">
        <v>34289</v>
      </c>
      <c r="C464" s="71" t="s">
        <v>2507</v>
      </c>
      <c r="D464" s="72">
        <v>34289</v>
      </c>
      <c r="E464" s="71" t="s">
        <v>2508</v>
      </c>
      <c r="F464" s="71" t="s">
        <v>104</v>
      </c>
      <c r="G464" s="71" t="s">
        <v>20</v>
      </c>
      <c r="H464" s="71"/>
      <c r="I464" s="71"/>
      <c r="J464" s="71" t="s">
        <v>2509</v>
      </c>
      <c r="K464" s="71" t="s">
        <v>2510</v>
      </c>
      <c r="L464" s="71" t="s">
        <v>24</v>
      </c>
      <c r="M464" s="71"/>
      <c r="O464" s="72">
        <v>34292</v>
      </c>
      <c r="P464" s="71"/>
      <c r="Q464" s="71" t="b">
        <v>0</v>
      </c>
      <c r="R464" s="22">
        <f t="shared" si="7"/>
        <v>3</v>
      </c>
    </row>
    <row r="465" spans="1:18">
      <c r="A465" s="71">
        <v>1861</v>
      </c>
      <c r="B465" s="72">
        <v>34289</v>
      </c>
      <c r="C465" s="71" t="s">
        <v>2511</v>
      </c>
      <c r="D465" s="72">
        <v>34286</v>
      </c>
      <c r="E465" s="71" t="s">
        <v>2512</v>
      </c>
      <c r="F465" s="71" t="s">
        <v>104</v>
      </c>
      <c r="G465" s="71" t="s">
        <v>20</v>
      </c>
      <c r="H465" s="71"/>
      <c r="I465" s="71"/>
      <c r="J465" s="71" t="s">
        <v>2513</v>
      </c>
      <c r="K465" s="71" t="s">
        <v>2514</v>
      </c>
      <c r="L465" s="71" t="s">
        <v>24</v>
      </c>
      <c r="M465" s="71"/>
      <c r="O465" s="72">
        <v>34954</v>
      </c>
      <c r="P465" s="71"/>
      <c r="Q465" s="71" t="b">
        <v>0</v>
      </c>
      <c r="R465" s="22">
        <f t="shared" si="7"/>
        <v>665</v>
      </c>
    </row>
    <row r="466" spans="1:18">
      <c r="A466" s="71">
        <v>1862</v>
      </c>
      <c r="B466" s="72">
        <v>34289</v>
      </c>
      <c r="C466" s="71" t="s">
        <v>2515</v>
      </c>
      <c r="D466" s="72">
        <v>34289</v>
      </c>
      <c r="E466" s="71" t="s">
        <v>2516</v>
      </c>
      <c r="F466" s="71" t="s">
        <v>1804</v>
      </c>
      <c r="G466" s="71" t="s">
        <v>20</v>
      </c>
      <c r="H466" s="71" t="s">
        <v>566</v>
      </c>
      <c r="I466" s="71" t="s">
        <v>566</v>
      </c>
      <c r="J466" s="71" t="s">
        <v>2517</v>
      </c>
      <c r="K466" s="71" t="s">
        <v>2518</v>
      </c>
      <c r="L466" s="71" t="s">
        <v>88</v>
      </c>
      <c r="M466" s="71"/>
      <c r="N466" s="72">
        <v>34289</v>
      </c>
      <c r="O466" s="72">
        <v>35578</v>
      </c>
      <c r="P466" s="71"/>
      <c r="Q466" s="71" t="b">
        <v>0</v>
      </c>
      <c r="R466" s="22">
        <f t="shared" si="7"/>
        <v>1289</v>
      </c>
    </row>
    <row r="467" spans="1:18">
      <c r="A467" s="71">
        <v>1864</v>
      </c>
      <c r="B467" s="72">
        <v>34290</v>
      </c>
      <c r="C467" s="71" t="s">
        <v>2519</v>
      </c>
      <c r="D467" s="72">
        <v>34288</v>
      </c>
      <c r="E467" s="71" t="s">
        <v>2520</v>
      </c>
      <c r="F467" s="71" t="s">
        <v>2521</v>
      </c>
      <c r="G467" s="71" t="s">
        <v>20</v>
      </c>
      <c r="H467" s="71" t="s">
        <v>566</v>
      </c>
      <c r="I467" s="71" t="s">
        <v>566</v>
      </c>
      <c r="J467" s="71" t="s">
        <v>2522</v>
      </c>
      <c r="K467" s="71" t="s">
        <v>2523</v>
      </c>
      <c r="L467" s="71" t="s">
        <v>82</v>
      </c>
      <c r="M467" s="71"/>
      <c r="O467" s="72">
        <v>34827</v>
      </c>
      <c r="P467" s="71"/>
      <c r="Q467" s="71" t="b">
        <v>0</v>
      </c>
      <c r="R467" s="22">
        <f t="shared" si="7"/>
        <v>538</v>
      </c>
    </row>
    <row r="468" spans="1:18">
      <c r="A468" s="71">
        <v>1865</v>
      </c>
      <c r="B468" s="72">
        <v>34291</v>
      </c>
      <c r="C468" s="71" t="s">
        <v>2524</v>
      </c>
      <c r="D468" s="72">
        <v>34290</v>
      </c>
      <c r="E468" s="71" t="s">
        <v>2525</v>
      </c>
      <c r="F468" s="71" t="s">
        <v>39</v>
      </c>
      <c r="G468" s="71" t="s">
        <v>20</v>
      </c>
      <c r="H468" s="71"/>
      <c r="I468" s="71"/>
      <c r="J468" s="71" t="s">
        <v>2526</v>
      </c>
      <c r="K468" s="71" t="s">
        <v>2527</v>
      </c>
      <c r="L468" s="71" t="s">
        <v>24</v>
      </c>
      <c r="M468" s="71"/>
      <c r="O468" s="72">
        <v>34309</v>
      </c>
      <c r="P468" s="71"/>
      <c r="Q468" s="71" t="b">
        <v>0</v>
      </c>
      <c r="R468" s="22">
        <f t="shared" si="7"/>
        <v>18</v>
      </c>
    </row>
    <row r="469" spans="1:18">
      <c r="A469" s="71">
        <v>1866</v>
      </c>
      <c r="B469" s="72">
        <v>34291</v>
      </c>
      <c r="C469" s="71" t="s">
        <v>2528</v>
      </c>
      <c r="D469" s="72">
        <v>34291</v>
      </c>
      <c r="E469" s="71" t="s">
        <v>2529</v>
      </c>
      <c r="F469" s="71" t="s">
        <v>228</v>
      </c>
      <c r="G469" s="71"/>
      <c r="H469" s="71"/>
      <c r="I469" s="71"/>
      <c r="J469" s="71" t="s">
        <v>2530</v>
      </c>
      <c r="K469" s="71" t="s">
        <v>2531</v>
      </c>
      <c r="L469" s="71" t="s">
        <v>82</v>
      </c>
      <c r="M469" s="71"/>
      <c r="O469" s="72">
        <v>35373</v>
      </c>
      <c r="P469" s="71"/>
      <c r="Q469" s="71" t="b">
        <v>0</v>
      </c>
      <c r="R469" s="22">
        <f t="shared" si="7"/>
        <v>1080</v>
      </c>
    </row>
    <row r="470" spans="1:18">
      <c r="A470" s="71">
        <v>1871</v>
      </c>
      <c r="B470" s="72">
        <v>34292</v>
      </c>
      <c r="C470" s="71" t="s">
        <v>2532</v>
      </c>
      <c r="D470" s="72">
        <v>34292</v>
      </c>
      <c r="E470" s="71" t="s">
        <v>2533</v>
      </c>
      <c r="F470" s="71" t="s">
        <v>124</v>
      </c>
      <c r="G470" s="71" t="s">
        <v>20</v>
      </c>
      <c r="H470" s="71"/>
      <c r="I470" s="71"/>
      <c r="J470" s="71" t="s">
        <v>2534</v>
      </c>
      <c r="K470" s="71" t="s">
        <v>2535</v>
      </c>
      <c r="L470" s="71" t="s">
        <v>314</v>
      </c>
      <c r="M470" s="71" t="s">
        <v>2536</v>
      </c>
      <c r="O470" s="72">
        <v>37937</v>
      </c>
      <c r="P470" s="71">
        <v>-1</v>
      </c>
      <c r="Q470" s="71" t="b">
        <v>0</v>
      </c>
      <c r="R470" s="22">
        <f t="shared" si="7"/>
        <v>3642</v>
      </c>
    </row>
    <row r="471" spans="1:18">
      <c r="A471" s="71">
        <v>1877</v>
      </c>
      <c r="B471" s="72">
        <v>34292</v>
      </c>
      <c r="C471" s="71" t="s">
        <v>2539</v>
      </c>
      <c r="D471" s="72">
        <v>34290</v>
      </c>
      <c r="E471" s="71" t="s">
        <v>2540</v>
      </c>
      <c r="F471" s="71" t="s">
        <v>85</v>
      </c>
      <c r="G471" s="71" t="s">
        <v>20</v>
      </c>
      <c r="H471" s="71"/>
      <c r="I471" s="71"/>
      <c r="J471" s="71" t="s">
        <v>2541</v>
      </c>
      <c r="K471" s="71" t="s">
        <v>2542</v>
      </c>
      <c r="L471" s="71" t="s">
        <v>24</v>
      </c>
      <c r="M471" s="71"/>
      <c r="O471" s="72">
        <v>34954</v>
      </c>
      <c r="P471" s="71">
        <v>-1</v>
      </c>
      <c r="Q471" s="71" t="b">
        <v>0</v>
      </c>
      <c r="R471" s="22">
        <f t="shared" si="7"/>
        <v>662</v>
      </c>
    </row>
    <row r="472" spans="1:18">
      <c r="A472" s="71">
        <v>1878</v>
      </c>
      <c r="B472" s="72">
        <v>34295</v>
      </c>
      <c r="C472" s="71" t="s">
        <v>2543</v>
      </c>
      <c r="D472" s="72">
        <v>34292</v>
      </c>
      <c r="E472" s="71" t="s">
        <v>2544</v>
      </c>
      <c r="F472" s="71" t="s">
        <v>85</v>
      </c>
      <c r="G472" s="71" t="s">
        <v>20</v>
      </c>
      <c r="H472" s="71"/>
      <c r="I472" s="71"/>
      <c r="J472" s="71" t="s">
        <v>2541</v>
      </c>
      <c r="K472" s="71" t="s">
        <v>2542</v>
      </c>
      <c r="L472" s="71" t="s">
        <v>24</v>
      </c>
      <c r="M472" s="71"/>
      <c r="O472" s="72">
        <v>34954</v>
      </c>
      <c r="P472" s="71"/>
      <c r="Q472" s="71" t="b">
        <v>0</v>
      </c>
      <c r="R472" s="22">
        <f t="shared" si="7"/>
        <v>659</v>
      </c>
    </row>
    <row r="473" spans="1:18">
      <c r="A473" s="71">
        <v>1879</v>
      </c>
      <c r="B473" s="72">
        <v>34289</v>
      </c>
      <c r="C473" s="71" t="s">
        <v>2545</v>
      </c>
      <c r="D473" s="72">
        <v>34295</v>
      </c>
      <c r="E473" s="71" t="s">
        <v>2546</v>
      </c>
      <c r="F473" s="71" t="s">
        <v>124</v>
      </c>
      <c r="G473" s="71" t="s">
        <v>20</v>
      </c>
      <c r="H473" s="71"/>
      <c r="I473" s="71"/>
      <c r="J473" s="71" t="s">
        <v>2547</v>
      </c>
      <c r="K473" s="71" t="s">
        <v>1510</v>
      </c>
      <c r="L473" s="71" t="s">
        <v>314</v>
      </c>
      <c r="M473" s="71" t="s">
        <v>2548</v>
      </c>
      <c r="N473" s="71"/>
      <c r="O473" s="72">
        <v>37545</v>
      </c>
      <c r="P473" s="71"/>
      <c r="Q473" s="71" t="b">
        <v>0</v>
      </c>
      <c r="R473" s="22">
        <f t="shared" si="7"/>
        <v>3254</v>
      </c>
    </row>
    <row r="474" spans="1:18">
      <c r="A474" s="71">
        <v>1897</v>
      </c>
      <c r="B474" s="72">
        <v>34311</v>
      </c>
      <c r="C474" s="71" t="s">
        <v>2549</v>
      </c>
      <c r="D474" s="72">
        <v>34311</v>
      </c>
      <c r="E474" s="71" t="s">
        <v>2550</v>
      </c>
      <c r="F474" s="71" t="s">
        <v>752</v>
      </c>
      <c r="G474" s="71" t="s">
        <v>20</v>
      </c>
      <c r="H474" s="71" t="s">
        <v>71</v>
      </c>
      <c r="I474" s="71" t="s">
        <v>72</v>
      </c>
      <c r="J474" s="71" t="s">
        <v>2551</v>
      </c>
      <c r="K474" s="71" t="s">
        <v>2552</v>
      </c>
      <c r="L474" s="71" t="s">
        <v>24</v>
      </c>
      <c r="M474" s="71"/>
      <c r="O474" s="72">
        <v>34451</v>
      </c>
      <c r="P474" s="71">
        <v>-1</v>
      </c>
      <c r="Q474" s="71" t="b">
        <v>0</v>
      </c>
      <c r="R474" s="22">
        <f t="shared" si="7"/>
        <v>140</v>
      </c>
    </row>
    <row r="475" spans="1:18">
      <c r="A475" s="71">
        <v>1903</v>
      </c>
      <c r="B475" s="72">
        <v>34317</v>
      </c>
      <c r="C475" s="71" t="s">
        <v>2556</v>
      </c>
      <c r="D475" s="72">
        <v>34316</v>
      </c>
      <c r="E475" s="71" t="s">
        <v>2557</v>
      </c>
      <c r="F475" s="71" t="s">
        <v>104</v>
      </c>
      <c r="G475" s="71" t="s">
        <v>20</v>
      </c>
      <c r="H475" s="71"/>
      <c r="I475" s="71"/>
      <c r="J475" s="71" t="s">
        <v>1812</v>
      </c>
      <c r="K475" s="71" t="s">
        <v>2558</v>
      </c>
      <c r="L475" s="71" t="s">
        <v>30</v>
      </c>
      <c r="M475" s="71"/>
      <c r="O475" s="72">
        <v>34348</v>
      </c>
      <c r="P475" s="71">
        <v>-1</v>
      </c>
      <c r="Q475" s="71" t="b">
        <v>0</v>
      </c>
      <c r="R475" s="22">
        <f t="shared" si="7"/>
        <v>30</v>
      </c>
    </row>
    <row r="476" spans="1:18">
      <c r="A476" s="71">
        <v>1904</v>
      </c>
      <c r="B476" s="72">
        <v>34317</v>
      </c>
      <c r="C476" s="71" t="s">
        <v>2559</v>
      </c>
      <c r="D476" s="72">
        <v>34317</v>
      </c>
      <c r="E476" s="71" t="s">
        <v>2560</v>
      </c>
      <c r="F476" s="71" t="s">
        <v>228</v>
      </c>
      <c r="G476" s="71" t="s">
        <v>20</v>
      </c>
      <c r="H476" s="71"/>
      <c r="I476" s="71"/>
      <c r="J476" s="71" t="s">
        <v>2561</v>
      </c>
      <c r="K476" s="71" t="s">
        <v>2562</v>
      </c>
      <c r="L476" s="71" t="s">
        <v>66</v>
      </c>
      <c r="M476" s="71"/>
      <c r="O476" s="72">
        <v>37712</v>
      </c>
      <c r="P476" s="71">
        <v>-1</v>
      </c>
      <c r="Q476" s="71" t="b">
        <v>0</v>
      </c>
      <c r="R476" s="22">
        <f t="shared" si="7"/>
        <v>3393</v>
      </c>
    </row>
    <row r="477" spans="1:18">
      <c r="A477" s="71">
        <v>1909</v>
      </c>
      <c r="B477" s="72">
        <v>34323</v>
      </c>
      <c r="C477" s="71" t="s">
        <v>2563</v>
      </c>
      <c r="D477" s="72">
        <v>34317</v>
      </c>
      <c r="E477" s="71" t="s">
        <v>2564</v>
      </c>
      <c r="F477" s="71" t="s">
        <v>2565</v>
      </c>
      <c r="G477" s="71" t="s">
        <v>20</v>
      </c>
      <c r="H477" s="71" t="s">
        <v>189</v>
      </c>
      <c r="I477" s="71" t="s">
        <v>189</v>
      </c>
      <c r="J477" s="71" t="s">
        <v>2566</v>
      </c>
      <c r="K477" s="71" t="s">
        <v>2567</v>
      </c>
      <c r="L477" s="71" t="s">
        <v>314</v>
      </c>
      <c r="M477" s="71" t="s">
        <v>1800</v>
      </c>
      <c r="O477" s="72">
        <v>37524</v>
      </c>
      <c r="P477" s="71"/>
      <c r="Q477" s="71" t="b">
        <v>0</v>
      </c>
      <c r="R477" s="22">
        <f t="shared" si="7"/>
        <v>3198</v>
      </c>
    </row>
    <row r="478" spans="1:18">
      <c r="A478" s="71">
        <v>1910</v>
      </c>
      <c r="B478" s="72">
        <v>34323</v>
      </c>
      <c r="C478" s="71" t="s">
        <v>2568</v>
      </c>
      <c r="D478" s="72">
        <v>34320</v>
      </c>
      <c r="E478" s="71" t="s">
        <v>2569</v>
      </c>
      <c r="F478" s="71" t="s">
        <v>85</v>
      </c>
      <c r="G478" s="71" t="s">
        <v>20</v>
      </c>
      <c r="H478" s="71"/>
      <c r="I478" s="71"/>
      <c r="J478" s="71" t="s">
        <v>2570</v>
      </c>
      <c r="K478" s="71" t="s">
        <v>2571</v>
      </c>
      <c r="L478" s="71" t="s">
        <v>66</v>
      </c>
      <c r="M478" s="71"/>
      <c r="O478" s="72">
        <v>35671</v>
      </c>
      <c r="P478" s="71">
        <v>-1</v>
      </c>
      <c r="Q478" s="71" t="b">
        <v>0</v>
      </c>
      <c r="R478" s="22">
        <f t="shared" si="7"/>
        <v>1347</v>
      </c>
    </row>
    <row r="479" spans="1:18">
      <c r="A479" s="71">
        <v>1913</v>
      </c>
      <c r="B479" s="72">
        <v>34325</v>
      </c>
      <c r="C479" s="71" t="s">
        <v>2574</v>
      </c>
      <c r="D479" s="72">
        <v>34323</v>
      </c>
      <c r="E479" s="71" t="s">
        <v>2575</v>
      </c>
      <c r="F479" s="71" t="s">
        <v>2521</v>
      </c>
      <c r="G479" s="71" t="s">
        <v>189</v>
      </c>
      <c r="H479" s="71" t="s">
        <v>566</v>
      </c>
      <c r="I479" s="71" t="s">
        <v>566</v>
      </c>
      <c r="J479" s="71" t="s">
        <v>2576</v>
      </c>
      <c r="K479" s="71" t="s">
        <v>2577</v>
      </c>
      <c r="L479" s="71" t="s">
        <v>82</v>
      </c>
      <c r="M479" s="71"/>
      <c r="O479" s="72">
        <v>34827</v>
      </c>
      <c r="P479" s="71"/>
      <c r="Q479" s="71" t="b">
        <v>0</v>
      </c>
      <c r="R479" s="22">
        <f t="shared" si="7"/>
        <v>502</v>
      </c>
    </row>
    <row r="480" spans="1:18">
      <c r="A480" s="71">
        <v>1914</v>
      </c>
      <c r="B480" s="72">
        <v>34325</v>
      </c>
      <c r="C480" s="71" t="s">
        <v>2578</v>
      </c>
      <c r="D480" s="72">
        <v>34324</v>
      </c>
      <c r="E480" s="71" t="s">
        <v>2579</v>
      </c>
      <c r="F480" s="71" t="s">
        <v>2580</v>
      </c>
      <c r="G480" s="71" t="s">
        <v>20</v>
      </c>
      <c r="H480" s="71" t="s">
        <v>71</v>
      </c>
      <c r="I480" s="71" t="s">
        <v>72</v>
      </c>
      <c r="J480" s="71" t="s">
        <v>2581</v>
      </c>
      <c r="K480" s="71" t="s">
        <v>2582</v>
      </c>
      <c r="L480" s="71" t="s">
        <v>24</v>
      </c>
      <c r="M480" s="71"/>
      <c r="O480" s="72">
        <v>34394</v>
      </c>
      <c r="P480" s="71">
        <v>-1</v>
      </c>
      <c r="Q480" s="71" t="b">
        <v>0</v>
      </c>
      <c r="R480" s="22">
        <f t="shared" si="7"/>
        <v>69</v>
      </c>
    </row>
    <row r="481" spans="1:18">
      <c r="A481" s="71">
        <v>1919</v>
      </c>
      <c r="B481" s="72">
        <v>34331</v>
      </c>
      <c r="C481" s="71" t="s">
        <v>2583</v>
      </c>
      <c r="D481" s="72">
        <v>34330</v>
      </c>
      <c r="E481" s="71" t="s">
        <v>2584</v>
      </c>
      <c r="F481" s="71" t="s">
        <v>43</v>
      </c>
      <c r="G481" s="71" t="s">
        <v>20</v>
      </c>
      <c r="H481" s="71"/>
      <c r="I481" s="71"/>
      <c r="J481" s="71" t="s">
        <v>2585</v>
      </c>
      <c r="K481" s="71" t="s">
        <v>2586</v>
      </c>
      <c r="L481" s="71" t="s">
        <v>24</v>
      </c>
      <c r="M481" s="71"/>
      <c r="O481" s="72">
        <v>34347</v>
      </c>
      <c r="P481" s="71">
        <v>-1</v>
      </c>
      <c r="Q481" s="71" t="b">
        <v>0</v>
      </c>
      <c r="R481" s="22">
        <f t="shared" si="7"/>
        <v>15</v>
      </c>
    </row>
    <row r="482" spans="1:18">
      <c r="A482" s="71">
        <v>1920</v>
      </c>
      <c r="B482" s="72">
        <v>34331</v>
      </c>
      <c r="C482" s="71" t="s">
        <v>2587</v>
      </c>
      <c r="D482" s="72">
        <v>34326</v>
      </c>
      <c r="E482" s="71" t="s">
        <v>2588</v>
      </c>
      <c r="F482" s="71" t="s">
        <v>124</v>
      </c>
      <c r="G482" s="71" t="s">
        <v>20</v>
      </c>
      <c r="H482" s="71"/>
      <c r="I482" s="71"/>
      <c r="J482" s="71" t="s">
        <v>2589</v>
      </c>
      <c r="K482" s="71" t="s">
        <v>2590</v>
      </c>
      <c r="L482" s="71" t="s">
        <v>24</v>
      </c>
      <c r="M482" s="71"/>
      <c r="O482" s="72">
        <v>34354</v>
      </c>
      <c r="P482" s="71">
        <v>-1</v>
      </c>
      <c r="Q482" s="71" t="b">
        <v>0</v>
      </c>
      <c r="R482" s="22">
        <f t="shared" si="7"/>
        <v>22</v>
      </c>
    </row>
    <row r="483" spans="1:18">
      <c r="A483" s="71">
        <v>1932</v>
      </c>
      <c r="B483" s="72">
        <v>34333</v>
      </c>
      <c r="C483" s="71" t="s">
        <v>2591</v>
      </c>
      <c r="D483" s="72">
        <v>34333</v>
      </c>
      <c r="E483" s="71" t="s">
        <v>2592</v>
      </c>
      <c r="F483" s="71" t="s">
        <v>56</v>
      </c>
      <c r="G483" s="71" t="s">
        <v>20</v>
      </c>
      <c r="H483" s="71"/>
      <c r="I483" s="71"/>
      <c r="J483" s="71" t="s">
        <v>2593</v>
      </c>
      <c r="K483" s="71" t="s">
        <v>2594</v>
      </c>
      <c r="L483" s="71" t="s">
        <v>82</v>
      </c>
      <c r="M483" s="71"/>
      <c r="O483" s="72">
        <v>34358</v>
      </c>
      <c r="P483" s="71"/>
      <c r="Q483" s="71" t="b">
        <v>0</v>
      </c>
      <c r="R483" s="22">
        <f t="shared" si="7"/>
        <v>24</v>
      </c>
    </row>
    <row r="484" spans="1:18">
      <c r="A484" s="71">
        <v>2033</v>
      </c>
      <c r="B484" s="72">
        <v>34340</v>
      </c>
      <c r="C484" s="71" t="s">
        <v>17273</v>
      </c>
      <c r="D484" s="72">
        <v>34333</v>
      </c>
      <c r="E484" s="71" t="s">
        <v>17274</v>
      </c>
      <c r="F484" s="71"/>
      <c r="G484" s="71"/>
      <c r="H484" s="71"/>
      <c r="I484" s="71"/>
      <c r="J484" s="71" t="s">
        <v>17275</v>
      </c>
      <c r="K484" s="71" t="s">
        <v>17276</v>
      </c>
      <c r="L484" s="71" t="s">
        <v>82</v>
      </c>
      <c r="M484" s="71"/>
      <c r="O484" s="72">
        <v>34347</v>
      </c>
      <c r="P484" s="71"/>
      <c r="Q484" s="71" t="b">
        <v>0</v>
      </c>
      <c r="R484" s="22">
        <f t="shared" si="7"/>
        <v>7</v>
      </c>
    </row>
    <row r="485" spans="1:18">
      <c r="A485" s="71">
        <v>2052</v>
      </c>
      <c r="B485" s="72">
        <v>34344</v>
      </c>
      <c r="C485" s="71" t="s">
        <v>2595</v>
      </c>
      <c r="D485" s="72">
        <v>34344</v>
      </c>
      <c r="E485" s="71" t="s">
        <v>2596</v>
      </c>
      <c r="F485" s="71" t="s">
        <v>2597</v>
      </c>
      <c r="G485" s="71" t="s">
        <v>20</v>
      </c>
      <c r="H485" s="71"/>
      <c r="I485" s="71"/>
      <c r="J485" s="71" t="s">
        <v>2598</v>
      </c>
      <c r="K485" s="71" t="s">
        <v>2599</v>
      </c>
      <c r="L485" s="71" t="s">
        <v>821</v>
      </c>
      <c r="M485" s="71" t="s">
        <v>88</v>
      </c>
      <c r="O485" s="72">
        <v>36350</v>
      </c>
      <c r="P485" s="71">
        <v>-1</v>
      </c>
      <c r="Q485" s="71" t="b">
        <v>0</v>
      </c>
      <c r="R485" s="22">
        <f t="shared" si="7"/>
        <v>2006</v>
      </c>
    </row>
    <row r="486" spans="1:18">
      <c r="A486" s="71">
        <v>2053</v>
      </c>
      <c r="B486" s="72">
        <v>34344</v>
      </c>
      <c r="C486" s="71" t="s">
        <v>2600</v>
      </c>
      <c r="D486" s="72">
        <v>34344</v>
      </c>
      <c r="E486" s="71" t="s">
        <v>2601</v>
      </c>
      <c r="F486" s="71" t="s">
        <v>259</v>
      </c>
      <c r="G486" s="71" t="s">
        <v>20</v>
      </c>
      <c r="H486" s="71"/>
      <c r="I486" s="71"/>
      <c r="J486" s="71" t="s">
        <v>2602</v>
      </c>
      <c r="K486" s="71" t="s">
        <v>2415</v>
      </c>
      <c r="L486" s="71" t="s">
        <v>24</v>
      </c>
      <c r="M486" s="71"/>
      <c r="O486" s="72">
        <v>34450</v>
      </c>
      <c r="P486" s="71">
        <v>-1</v>
      </c>
      <c r="Q486" s="71" t="b">
        <v>0</v>
      </c>
      <c r="R486" s="22">
        <f t="shared" si="7"/>
        <v>107</v>
      </c>
    </row>
    <row r="487" spans="1:18">
      <c r="A487" s="71">
        <v>2054</v>
      </c>
      <c r="B487" s="72">
        <v>34346</v>
      </c>
      <c r="C487" s="71" t="s">
        <v>2603</v>
      </c>
      <c r="D487" s="72">
        <v>34345</v>
      </c>
      <c r="E487" s="71" t="s">
        <v>2604</v>
      </c>
      <c r="F487" s="71" t="s">
        <v>367</v>
      </c>
      <c r="G487" s="71" t="s">
        <v>20</v>
      </c>
      <c r="H487" s="71" t="s">
        <v>71</v>
      </c>
      <c r="I487" s="71" t="s">
        <v>72</v>
      </c>
      <c r="J487" s="71" t="s">
        <v>2605</v>
      </c>
      <c r="K487" s="71" t="s">
        <v>2363</v>
      </c>
      <c r="L487" s="71" t="s">
        <v>24</v>
      </c>
      <c r="M487" s="71"/>
      <c r="O487" s="72">
        <v>34493</v>
      </c>
      <c r="P487" s="71"/>
      <c r="Q487" s="71" t="b">
        <v>0</v>
      </c>
      <c r="R487" s="22">
        <f t="shared" si="7"/>
        <v>148</v>
      </c>
    </row>
    <row r="488" spans="1:18">
      <c r="A488" s="71">
        <v>2059</v>
      </c>
      <c r="B488" s="72">
        <v>34346</v>
      </c>
      <c r="C488" s="71" t="s">
        <v>2610</v>
      </c>
      <c r="D488" s="72">
        <v>34346</v>
      </c>
      <c r="E488" s="71" t="s">
        <v>2611</v>
      </c>
      <c r="F488" s="71" t="s">
        <v>533</v>
      </c>
      <c r="G488" s="71" t="s">
        <v>20</v>
      </c>
      <c r="H488" s="71"/>
      <c r="I488" s="71"/>
      <c r="J488" s="71" t="s">
        <v>2612</v>
      </c>
      <c r="K488" s="71" t="s">
        <v>2613</v>
      </c>
      <c r="L488" s="71" t="s">
        <v>24</v>
      </c>
      <c r="M488" s="71"/>
      <c r="O488" s="72">
        <v>34505</v>
      </c>
      <c r="P488" s="71"/>
      <c r="Q488" s="71" t="b">
        <v>0</v>
      </c>
      <c r="R488" s="22">
        <f t="shared" si="7"/>
        <v>160</v>
      </c>
    </row>
    <row r="489" spans="1:18">
      <c r="A489" s="71">
        <v>2067</v>
      </c>
      <c r="B489" s="72">
        <v>34353</v>
      </c>
      <c r="C489" s="71" t="s">
        <v>2621</v>
      </c>
      <c r="D489" s="72">
        <v>34347</v>
      </c>
      <c r="E489" s="71" t="s">
        <v>2622</v>
      </c>
      <c r="F489" s="71" t="s">
        <v>70</v>
      </c>
      <c r="G489" s="71" t="s">
        <v>20</v>
      </c>
      <c r="H489" s="71" t="s">
        <v>71</v>
      </c>
      <c r="I489" s="71" t="s">
        <v>72</v>
      </c>
      <c r="J489" s="71" t="s">
        <v>2623</v>
      </c>
      <c r="K489" s="71" t="s">
        <v>2624</v>
      </c>
      <c r="L489" s="71" t="s">
        <v>30</v>
      </c>
      <c r="M489" s="71"/>
      <c r="O489" s="72">
        <v>35244</v>
      </c>
      <c r="P489" s="71"/>
      <c r="Q489" s="71" t="b">
        <v>0</v>
      </c>
      <c r="R489" s="22">
        <f t="shared" si="7"/>
        <v>891</v>
      </c>
    </row>
    <row r="490" spans="1:18">
      <c r="A490" s="71">
        <v>2072</v>
      </c>
      <c r="B490" s="72">
        <v>34355</v>
      </c>
      <c r="C490" s="71" t="s">
        <v>2625</v>
      </c>
      <c r="D490" s="72">
        <v>34353</v>
      </c>
      <c r="E490" s="71" t="s">
        <v>2626</v>
      </c>
      <c r="F490" s="71" t="s">
        <v>19</v>
      </c>
      <c r="G490" s="71" t="s">
        <v>20</v>
      </c>
      <c r="H490" s="71"/>
      <c r="I490" s="71"/>
      <c r="J490" s="71" t="s">
        <v>2627</v>
      </c>
      <c r="K490" s="71" t="s">
        <v>2628</v>
      </c>
      <c r="L490" s="71" t="s">
        <v>88</v>
      </c>
      <c r="M490" s="71"/>
      <c r="O490" s="72">
        <v>35867</v>
      </c>
      <c r="P490" s="71">
        <v>-1</v>
      </c>
      <c r="Q490" s="71" t="b">
        <v>0</v>
      </c>
      <c r="R490" s="22">
        <f t="shared" si="7"/>
        <v>1512</v>
      </c>
    </row>
    <row r="491" spans="1:18">
      <c r="A491" s="71">
        <v>2145</v>
      </c>
      <c r="B491" s="72">
        <v>34367</v>
      </c>
      <c r="C491" s="71" t="s">
        <v>2635</v>
      </c>
      <c r="D491" s="72">
        <v>34367</v>
      </c>
      <c r="E491" s="71" t="s">
        <v>2636</v>
      </c>
      <c r="F491" s="71" t="s">
        <v>984</v>
      </c>
      <c r="G491" s="71" t="s">
        <v>20</v>
      </c>
      <c r="H491" s="71"/>
      <c r="I491" s="71"/>
      <c r="J491" s="71" t="s">
        <v>2637</v>
      </c>
      <c r="K491" s="71" t="s">
        <v>2638</v>
      </c>
      <c r="L491" s="71" t="s">
        <v>82</v>
      </c>
      <c r="M491" s="71"/>
      <c r="O491" s="72">
        <v>34407</v>
      </c>
      <c r="P491" s="71"/>
      <c r="Q491" s="71" t="b">
        <v>0</v>
      </c>
      <c r="R491" s="22">
        <f t="shared" si="7"/>
        <v>42</v>
      </c>
    </row>
    <row r="492" spans="1:18">
      <c r="A492" s="71">
        <v>2155</v>
      </c>
      <c r="B492" s="72">
        <v>34367</v>
      </c>
      <c r="C492" s="71" t="s">
        <v>2639</v>
      </c>
      <c r="D492" s="72">
        <v>34347</v>
      </c>
      <c r="E492" s="71" t="s">
        <v>2640</v>
      </c>
      <c r="F492" s="71" t="s">
        <v>104</v>
      </c>
      <c r="G492" s="71" t="s">
        <v>20</v>
      </c>
      <c r="H492" s="71"/>
      <c r="I492" s="71"/>
      <c r="J492" s="71" t="s">
        <v>2641</v>
      </c>
      <c r="K492" s="71" t="s">
        <v>2642</v>
      </c>
      <c r="L492" s="71" t="s">
        <v>24</v>
      </c>
      <c r="M492" s="71"/>
      <c r="O492" s="72">
        <v>34698</v>
      </c>
      <c r="P492" s="71"/>
      <c r="Q492" s="71" t="b">
        <v>0</v>
      </c>
      <c r="R492" s="22">
        <f t="shared" si="7"/>
        <v>332</v>
      </c>
    </row>
    <row r="493" spans="1:18">
      <c r="A493" s="71">
        <v>2156</v>
      </c>
      <c r="B493" s="72">
        <v>34367</v>
      </c>
      <c r="C493" s="71" t="s">
        <v>2643</v>
      </c>
      <c r="D493" s="72">
        <v>34365</v>
      </c>
      <c r="E493" s="71" t="s">
        <v>2644</v>
      </c>
      <c r="F493" s="71" t="s">
        <v>741</v>
      </c>
      <c r="G493" s="71" t="s">
        <v>20</v>
      </c>
      <c r="H493" s="71"/>
      <c r="I493" s="71"/>
      <c r="J493" s="71" t="s">
        <v>2645</v>
      </c>
      <c r="K493" s="71" t="s">
        <v>2646</v>
      </c>
      <c r="L493" s="71" t="s">
        <v>66</v>
      </c>
      <c r="M493" s="71"/>
      <c r="O493" s="72">
        <v>36459</v>
      </c>
      <c r="P493" s="71">
        <v>-1</v>
      </c>
      <c r="Q493" s="71" t="b">
        <v>0</v>
      </c>
      <c r="R493" s="22">
        <f t="shared" si="7"/>
        <v>2092</v>
      </c>
    </row>
    <row r="494" spans="1:18">
      <c r="A494" s="71">
        <v>2157</v>
      </c>
      <c r="B494" s="72">
        <v>34367</v>
      </c>
      <c r="C494" s="71" t="s">
        <v>2647</v>
      </c>
      <c r="D494" s="72">
        <v>34366</v>
      </c>
      <c r="E494" s="71" t="s">
        <v>2648</v>
      </c>
      <c r="F494" s="71" t="s">
        <v>741</v>
      </c>
      <c r="G494" s="71" t="s">
        <v>20</v>
      </c>
      <c r="H494" s="71"/>
      <c r="I494" s="71"/>
      <c r="J494" s="71" t="s">
        <v>2649</v>
      </c>
      <c r="K494" s="71" t="s">
        <v>2650</v>
      </c>
      <c r="L494" s="71" t="s">
        <v>821</v>
      </c>
      <c r="M494" s="71" t="s">
        <v>88</v>
      </c>
      <c r="O494" s="72">
        <v>36459</v>
      </c>
      <c r="P494" s="71"/>
      <c r="Q494" s="71" t="b">
        <v>0</v>
      </c>
      <c r="R494" s="22">
        <f t="shared" si="7"/>
        <v>2092</v>
      </c>
    </row>
    <row r="495" spans="1:18">
      <c r="A495" s="71">
        <v>2228</v>
      </c>
      <c r="B495" s="72">
        <v>34373</v>
      </c>
      <c r="C495" s="71" t="s">
        <v>2654</v>
      </c>
      <c r="D495" s="72">
        <v>34369</v>
      </c>
      <c r="E495" s="71" t="s">
        <v>2655</v>
      </c>
      <c r="F495" s="71" t="s">
        <v>2521</v>
      </c>
      <c r="G495" s="71" t="s">
        <v>20</v>
      </c>
      <c r="H495" s="71" t="s">
        <v>566</v>
      </c>
      <c r="I495" s="71" t="s">
        <v>566</v>
      </c>
      <c r="J495" s="71" t="s">
        <v>2656</v>
      </c>
      <c r="K495" s="71" t="s">
        <v>2657</v>
      </c>
      <c r="L495" s="71" t="s">
        <v>82</v>
      </c>
      <c r="M495" s="71"/>
      <c r="O495" s="72">
        <v>34827</v>
      </c>
      <c r="P495" s="71"/>
      <c r="Q495" s="71" t="b">
        <v>0</v>
      </c>
      <c r="R495" s="22">
        <f t="shared" si="7"/>
        <v>456</v>
      </c>
    </row>
    <row r="496" spans="1:18">
      <c r="A496" s="71">
        <v>2229</v>
      </c>
      <c r="B496" s="72">
        <v>34380</v>
      </c>
      <c r="C496" s="71" t="s">
        <v>2658</v>
      </c>
      <c r="D496" s="72">
        <v>34379</v>
      </c>
      <c r="E496" s="71" t="s">
        <v>2659</v>
      </c>
      <c r="F496" s="71" t="s">
        <v>2597</v>
      </c>
      <c r="G496" s="71" t="s">
        <v>20</v>
      </c>
      <c r="H496" s="71"/>
      <c r="I496" s="71"/>
      <c r="J496" s="71" t="s">
        <v>2660</v>
      </c>
      <c r="K496" s="71" t="s">
        <v>2661</v>
      </c>
      <c r="L496" s="71" t="s">
        <v>82</v>
      </c>
      <c r="M496" s="71"/>
      <c r="N496" s="72">
        <v>34408</v>
      </c>
      <c r="O496" s="72">
        <v>34414</v>
      </c>
      <c r="P496" s="71"/>
      <c r="Q496" s="71" t="b">
        <v>0</v>
      </c>
      <c r="R496" s="22">
        <f t="shared" si="7"/>
        <v>36</v>
      </c>
    </row>
    <row r="497" spans="1:18">
      <c r="A497" s="71">
        <v>2230</v>
      </c>
      <c r="B497" s="72">
        <v>34379</v>
      </c>
      <c r="C497" s="71" t="s">
        <v>2662</v>
      </c>
      <c r="D497" s="72">
        <v>34352</v>
      </c>
      <c r="E497" s="71" t="s">
        <v>2663</v>
      </c>
      <c r="F497" s="71" t="s">
        <v>149</v>
      </c>
      <c r="G497" s="71" t="s">
        <v>20</v>
      </c>
      <c r="H497" s="71"/>
      <c r="I497" s="71"/>
      <c r="J497" s="71" t="s">
        <v>2664</v>
      </c>
      <c r="K497" s="71" t="s">
        <v>2665</v>
      </c>
      <c r="L497" s="71" t="s">
        <v>24</v>
      </c>
      <c r="M497" s="71"/>
      <c r="O497" s="72">
        <v>34394</v>
      </c>
      <c r="P497" s="71">
        <v>-1</v>
      </c>
      <c r="Q497" s="71" t="b">
        <v>0</v>
      </c>
      <c r="R497" s="22">
        <f t="shared" si="7"/>
        <v>17</v>
      </c>
    </row>
    <row r="498" spans="1:18">
      <c r="A498" s="71">
        <v>2236</v>
      </c>
      <c r="B498" s="72">
        <v>34382</v>
      </c>
      <c r="C498" s="71" t="s">
        <v>2666</v>
      </c>
      <c r="D498" s="72">
        <v>34379</v>
      </c>
      <c r="E498" s="71" t="s">
        <v>2667</v>
      </c>
      <c r="F498" s="71" t="s">
        <v>124</v>
      </c>
      <c r="G498" s="71" t="s">
        <v>20</v>
      </c>
      <c r="H498" s="71"/>
      <c r="I498" s="71"/>
      <c r="J498" s="71" t="s">
        <v>2668</v>
      </c>
      <c r="K498" s="71" t="s">
        <v>2547</v>
      </c>
      <c r="L498" s="71" t="s">
        <v>82</v>
      </c>
      <c r="M498" s="71"/>
      <c r="O498" s="72">
        <v>34761</v>
      </c>
      <c r="P498" s="71">
        <v>-1</v>
      </c>
      <c r="Q498" s="71" t="b">
        <v>0</v>
      </c>
      <c r="R498" s="22">
        <f t="shared" si="7"/>
        <v>381</v>
      </c>
    </row>
    <row r="499" spans="1:18">
      <c r="A499" s="71">
        <v>2238</v>
      </c>
      <c r="B499" s="72">
        <v>34387</v>
      </c>
      <c r="C499" s="71" t="s">
        <v>2669</v>
      </c>
      <c r="D499" s="72">
        <v>34383</v>
      </c>
      <c r="E499" s="71" t="s">
        <v>2670</v>
      </c>
      <c r="F499" s="71" t="s">
        <v>56</v>
      </c>
      <c r="G499" s="71" t="s">
        <v>20</v>
      </c>
      <c r="H499" s="71"/>
      <c r="I499" s="71"/>
      <c r="J499" s="71" t="s">
        <v>2671</v>
      </c>
      <c r="K499" s="71" t="s">
        <v>2672</v>
      </c>
      <c r="L499" s="71" t="s">
        <v>82</v>
      </c>
      <c r="M499" s="71"/>
      <c r="N499" s="72">
        <v>34404</v>
      </c>
      <c r="O499" s="72">
        <v>34404</v>
      </c>
      <c r="P499" s="71"/>
      <c r="Q499" s="71" t="b">
        <v>0</v>
      </c>
      <c r="R499" s="22">
        <f t="shared" si="7"/>
        <v>19</v>
      </c>
    </row>
    <row r="500" spans="1:18">
      <c r="A500" s="71">
        <v>2243</v>
      </c>
      <c r="B500" s="72">
        <v>34387</v>
      </c>
      <c r="C500" s="71" t="s">
        <v>2673</v>
      </c>
      <c r="D500" s="72">
        <v>34380</v>
      </c>
      <c r="E500" s="71" t="s">
        <v>2674</v>
      </c>
      <c r="F500" s="71" t="s">
        <v>104</v>
      </c>
      <c r="G500" s="71" t="s">
        <v>20</v>
      </c>
      <c r="H500" s="71"/>
      <c r="I500" s="71"/>
      <c r="J500" s="71" t="s">
        <v>2675</v>
      </c>
      <c r="K500" s="71" t="s">
        <v>2676</v>
      </c>
      <c r="L500" s="71" t="s">
        <v>82</v>
      </c>
      <c r="M500" s="71"/>
      <c r="N500" s="72">
        <v>34403</v>
      </c>
      <c r="O500" s="72">
        <v>34401</v>
      </c>
      <c r="P500" s="71">
        <v>-1</v>
      </c>
      <c r="Q500" s="71" t="b">
        <v>0</v>
      </c>
      <c r="R500" s="22">
        <f t="shared" si="7"/>
        <v>16</v>
      </c>
    </row>
    <row r="501" spans="1:18">
      <c r="A501" s="71">
        <v>2257</v>
      </c>
      <c r="B501" s="72">
        <v>34390</v>
      </c>
      <c r="C501" s="71" t="s">
        <v>2677</v>
      </c>
      <c r="D501" s="72">
        <v>34387</v>
      </c>
      <c r="E501" s="71" t="s">
        <v>2678</v>
      </c>
      <c r="F501" s="71" t="s">
        <v>56</v>
      </c>
      <c r="G501" s="71" t="s">
        <v>20</v>
      </c>
      <c r="H501" s="71"/>
      <c r="I501" s="71"/>
      <c r="J501" s="71" t="s">
        <v>2679</v>
      </c>
      <c r="K501" s="71" t="s">
        <v>2680</v>
      </c>
      <c r="L501" s="71" t="s">
        <v>82</v>
      </c>
      <c r="M501" s="71"/>
      <c r="O501" s="72">
        <v>34428</v>
      </c>
      <c r="P501" s="71"/>
      <c r="Q501" s="71" t="b">
        <v>0</v>
      </c>
      <c r="R501" s="22">
        <f t="shared" si="7"/>
        <v>39</v>
      </c>
    </row>
    <row r="502" spans="1:18">
      <c r="A502" s="71">
        <v>2270</v>
      </c>
      <c r="B502" s="72">
        <v>34402</v>
      </c>
      <c r="C502" s="71" t="s">
        <v>2681</v>
      </c>
      <c r="D502" s="72">
        <v>34396</v>
      </c>
      <c r="E502" s="71" t="s">
        <v>2682</v>
      </c>
      <c r="F502" s="71" t="s">
        <v>70</v>
      </c>
      <c r="G502" s="71" t="s">
        <v>20</v>
      </c>
      <c r="H502" s="71" t="s">
        <v>71</v>
      </c>
      <c r="I502" s="71" t="s">
        <v>72</v>
      </c>
      <c r="J502" s="71" t="s">
        <v>2683</v>
      </c>
      <c r="K502" s="71" t="s">
        <v>2684</v>
      </c>
      <c r="L502" s="71" t="s">
        <v>66</v>
      </c>
      <c r="M502" s="71"/>
      <c r="O502" s="72">
        <v>35403</v>
      </c>
      <c r="P502" s="71"/>
      <c r="Q502" s="71" t="b">
        <v>0</v>
      </c>
      <c r="R502" s="22">
        <f t="shared" si="7"/>
        <v>998</v>
      </c>
    </row>
    <row r="503" spans="1:18">
      <c r="A503" s="71">
        <v>2272</v>
      </c>
      <c r="B503" s="72">
        <v>34394</v>
      </c>
      <c r="C503" s="71" t="s">
        <v>2688</v>
      </c>
      <c r="D503" s="72">
        <v>34394</v>
      </c>
      <c r="E503" s="71" t="s">
        <v>2689</v>
      </c>
      <c r="F503" s="71" t="s">
        <v>43</v>
      </c>
      <c r="G503" s="71" t="s">
        <v>20</v>
      </c>
      <c r="H503" s="71"/>
      <c r="I503" s="71"/>
      <c r="J503" s="71" t="s">
        <v>2690</v>
      </c>
      <c r="K503" s="71" t="s">
        <v>2691</v>
      </c>
      <c r="L503" s="71" t="s">
        <v>1152</v>
      </c>
      <c r="M503" s="71"/>
      <c r="O503" s="72">
        <v>34829</v>
      </c>
      <c r="P503" s="71">
        <v>-1</v>
      </c>
      <c r="Q503" s="71" t="b">
        <v>0</v>
      </c>
      <c r="R503" s="22">
        <f t="shared" si="7"/>
        <v>434</v>
      </c>
    </row>
    <row r="504" spans="1:18">
      <c r="A504" s="71">
        <v>2277</v>
      </c>
      <c r="B504" s="72">
        <v>34395</v>
      </c>
      <c r="C504" s="71" t="s">
        <v>2692</v>
      </c>
      <c r="D504" s="72">
        <v>34390</v>
      </c>
      <c r="E504" s="71" t="s">
        <v>2693</v>
      </c>
      <c r="F504" s="71" t="s">
        <v>56</v>
      </c>
      <c r="G504" s="71" t="s">
        <v>20</v>
      </c>
      <c r="H504" s="71"/>
      <c r="I504" s="71"/>
      <c r="J504" s="71" t="s">
        <v>2694</v>
      </c>
      <c r="K504" s="71" t="s">
        <v>2695</v>
      </c>
      <c r="L504" s="71" t="s">
        <v>24</v>
      </c>
      <c r="M504" s="71"/>
      <c r="O504" s="72">
        <v>34740</v>
      </c>
      <c r="P504" s="71"/>
      <c r="Q504" s="71" t="b">
        <v>0</v>
      </c>
      <c r="R504" s="22">
        <f t="shared" si="7"/>
        <v>342</v>
      </c>
    </row>
    <row r="505" spans="1:18">
      <c r="A505" s="71">
        <v>2280</v>
      </c>
      <c r="B505" s="72">
        <v>34395</v>
      </c>
      <c r="C505" s="71" t="s">
        <v>2696</v>
      </c>
      <c r="D505" s="72">
        <v>34395</v>
      </c>
      <c r="E505" s="71" t="s">
        <v>2697</v>
      </c>
      <c r="F505" s="71" t="s">
        <v>104</v>
      </c>
      <c r="G505" s="71" t="s">
        <v>20</v>
      </c>
      <c r="H505" s="71"/>
      <c r="I505" s="71"/>
      <c r="J505" s="71" t="s">
        <v>2698</v>
      </c>
      <c r="K505" s="71" t="s">
        <v>2699</v>
      </c>
      <c r="L505" s="71" t="s">
        <v>30</v>
      </c>
      <c r="M505" s="71"/>
      <c r="N505" s="72">
        <v>34402</v>
      </c>
      <c r="O505" s="72">
        <v>35594</v>
      </c>
      <c r="P505" s="71"/>
      <c r="Q505" s="71" t="b">
        <v>0</v>
      </c>
      <c r="R505" s="22">
        <f t="shared" si="7"/>
        <v>1197</v>
      </c>
    </row>
    <row r="506" spans="1:18">
      <c r="A506" s="71">
        <v>2283</v>
      </c>
      <c r="B506" s="72">
        <v>34403</v>
      </c>
      <c r="C506" s="71" t="s">
        <v>2700</v>
      </c>
      <c r="D506" s="72">
        <v>34401</v>
      </c>
      <c r="E506" s="71" t="s">
        <v>2701</v>
      </c>
      <c r="F506" s="71" t="s">
        <v>1830</v>
      </c>
      <c r="G506" s="71" t="s">
        <v>20</v>
      </c>
      <c r="H506" s="71"/>
      <c r="I506" s="71"/>
      <c r="J506" s="71" t="s">
        <v>2702</v>
      </c>
      <c r="K506" s="71" t="s">
        <v>2703</v>
      </c>
      <c r="L506" s="71" t="s">
        <v>30</v>
      </c>
      <c r="M506" s="71"/>
      <c r="O506" s="72">
        <v>34409</v>
      </c>
      <c r="P506" s="71"/>
      <c r="Q506" s="71" t="b">
        <v>0</v>
      </c>
      <c r="R506" s="22">
        <f t="shared" si="7"/>
        <v>6</v>
      </c>
    </row>
    <row r="507" spans="1:18">
      <c r="A507" s="71">
        <v>2286</v>
      </c>
      <c r="B507" s="72">
        <v>34403</v>
      </c>
      <c r="C507" s="71" t="s">
        <v>2707</v>
      </c>
      <c r="D507" s="72">
        <v>34402</v>
      </c>
      <c r="E507" s="71" t="s">
        <v>2708</v>
      </c>
      <c r="F507" s="71" t="s">
        <v>104</v>
      </c>
      <c r="G507" s="71" t="s">
        <v>20</v>
      </c>
      <c r="H507" s="71"/>
      <c r="I507" s="71"/>
      <c r="J507" s="71" t="s">
        <v>2709</v>
      </c>
      <c r="K507" s="71" t="s">
        <v>2710</v>
      </c>
      <c r="L507" s="71" t="s">
        <v>24</v>
      </c>
      <c r="M507" s="71"/>
      <c r="O507" s="72">
        <v>34757</v>
      </c>
      <c r="P507" s="71"/>
      <c r="Q507" s="71" t="b">
        <v>0</v>
      </c>
      <c r="R507" s="22">
        <f t="shared" si="7"/>
        <v>351</v>
      </c>
    </row>
    <row r="508" spans="1:18">
      <c r="A508" s="71">
        <v>2287</v>
      </c>
      <c r="B508" s="72">
        <v>34407</v>
      </c>
      <c r="C508" s="71" t="s">
        <v>2711</v>
      </c>
      <c r="D508" s="72">
        <v>34388</v>
      </c>
      <c r="E508" s="71" t="s">
        <v>2712</v>
      </c>
      <c r="F508" s="71" t="s">
        <v>350</v>
      </c>
      <c r="G508" s="71" t="s">
        <v>20</v>
      </c>
      <c r="H508" s="71"/>
      <c r="I508" s="71"/>
      <c r="J508" s="71" t="s">
        <v>2713</v>
      </c>
      <c r="K508" s="71" t="s">
        <v>2714</v>
      </c>
      <c r="L508" s="71" t="s">
        <v>82</v>
      </c>
      <c r="M508" s="71"/>
      <c r="N508" s="72">
        <v>34426</v>
      </c>
      <c r="O508" s="72">
        <v>34556</v>
      </c>
      <c r="P508" s="71">
        <v>-1</v>
      </c>
      <c r="Q508" s="71" t="b">
        <v>0</v>
      </c>
      <c r="R508" s="22">
        <f t="shared" si="7"/>
        <v>148</v>
      </c>
    </row>
    <row r="509" spans="1:18">
      <c r="A509" s="71">
        <v>2299</v>
      </c>
      <c r="B509" s="72">
        <v>34424</v>
      </c>
      <c r="C509" s="71" t="s">
        <v>2715</v>
      </c>
      <c r="D509" s="72">
        <v>34422</v>
      </c>
      <c r="E509" s="71" t="s">
        <v>2716</v>
      </c>
      <c r="F509" s="71" t="s">
        <v>124</v>
      </c>
      <c r="G509" s="71" t="s">
        <v>20</v>
      </c>
      <c r="H509" s="71"/>
      <c r="I509" s="71"/>
      <c r="J509" s="71" t="s">
        <v>2717</v>
      </c>
      <c r="K509" s="71" t="s">
        <v>1452</v>
      </c>
      <c r="L509" s="71" t="s">
        <v>1152</v>
      </c>
      <c r="M509" s="71"/>
      <c r="O509" s="72">
        <v>34479</v>
      </c>
      <c r="P509" s="71">
        <v>-1</v>
      </c>
      <c r="Q509" s="71" t="b">
        <v>0</v>
      </c>
      <c r="R509" s="22">
        <f t="shared" si="7"/>
        <v>55</v>
      </c>
    </row>
    <row r="510" spans="1:18">
      <c r="A510" s="71">
        <v>2307</v>
      </c>
      <c r="B510" s="72">
        <v>34421</v>
      </c>
      <c r="C510" s="71" t="s">
        <v>2718</v>
      </c>
      <c r="D510" s="72">
        <v>34416</v>
      </c>
      <c r="E510" s="71" t="s">
        <v>2719</v>
      </c>
      <c r="F510" s="71" t="s">
        <v>85</v>
      </c>
      <c r="G510" s="71" t="s">
        <v>20</v>
      </c>
      <c r="H510" s="71"/>
      <c r="I510" s="71"/>
      <c r="J510" s="71" t="s">
        <v>2720</v>
      </c>
      <c r="K510" s="71" t="s">
        <v>2721</v>
      </c>
      <c r="L510" s="71" t="s">
        <v>1946</v>
      </c>
      <c r="M510" s="71" t="s">
        <v>1947</v>
      </c>
      <c r="N510" s="71"/>
      <c r="O510" s="72">
        <v>40556</v>
      </c>
      <c r="P510" s="71"/>
      <c r="Q510" s="71" t="b">
        <v>0</v>
      </c>
      <c r="R510" s="22">
        <f t="shared" si="7"/>
        <v>6128</v>
      </c>
    </row>
    <row r="511" spans="1:18">
      <c r="A511" s="71">
        <v>2308</v>
      </c>
      <c r="B511" s="72">
        <v>34421</v>
      </c>
      <c r="C511" s="71" t="s">
        <v>2722</v>
      </c>
      <c r="D511" s="72">
        <v>34416</v>
      </c>
      <c r="E511" s="71" t="s">
        <v>2723</v>
      </c>
      <c r="F511" s="71" t="s">
        <v>27</v>
      </c>
      <c r="G511" s="71" t="s">
        <v>20</v>
      </c>
      <c r="H511" s="71"/>
      <c r="I511" s="71"/>
      <c r="J511" s="71" t="s">
        <v>2724</v>
      </c>
      <c r="K511" s="71" t="s">
        <v>2725</v>
      </c>
      <c r="L511" s="71" t="s">
        <v>30</v>
      </c>
      <c r="M511" s="71"/>
      <c r="O511" s="72">
        <v>36474</v>
      </c>
      <c r="P511" s="71">
        <v>-1</v>
      </c>
      <c r="Q511" s="71" t="b">
        <v>0</v>
      </c>
      <c r="R511" s="22">
        <f t="shared" si="7"/>
        <v>2050</v>
      </c>
    </row>
    <row r="512" spans="1:18">
      <c r="A512" s="71">
        <v>2352</v>
      </c>
      <c r="B512" s="72">
        <v>34432</v>
      </c>
      <c r="C512" s="71" t="s">
        <v>2735</v>
      </c>
      <c r="D512" s="72">
        <v>34414</v>
      </c>
      <c r="E512" s="71" t="s">
        <v>2736</v>
      </c>
      <c r="F512" s="71" t="s">
        <v>124</v>
      </c>
      <c r="G512" s="71" t="s">
        <v>20</v>
      </c>
      <c r="H512" s="71"/>
      <c r="I512" s="71"/>
      <c r="J512" s="71" t="s">
        <v>2737</v>
      </c>
      <c r="K512" s="71" t="s">
        <v>2738</v>
      </c>
      <c r="L512" s="71" t="s">
        <v>24</v>
      </c>
      <c r="M512" s="71"/>
      <c r="O512" s="72">
        <v>34722</v>
      </c>
      <c r="P512" s="71">
        <v>-1</v>
      </c>
      <c r="Q512" s="71" t="b">
        <v>0</v>
      </c>
      <c r="R512" s="22">
        <f t="shared" si="7"/>
        <v>288</v>
      </c>
    </row>
    <row r="513" spans="1:18">
      <c r="A513" s="71">
        <v>2366</v>
      </c>
      <c r="B513" s="72">
        <v>34436</v>
      </c>
      <c r="C513" s="71" t="s">
        <v>2742</v>
      </c>
      <c r="D513" s="72">
        <v>32556</v>
      </c>
      <c r="E513" s="71" t="s">
        <v>2743</v>
      </c>
      <c r="F513" s="71" t="s">
        <v>133</v>
      </c>
      <c r="G513" s="71" t="s">
        <v>20</v>
      </c>
      <c r="H513" s="71"/>
      <c r="I513" s="71"/>
      <c r="J513" s="71" t="s">
        <v>2744</v>
      </c>
      <c r="K513" s="71" t="s">
        <v>2745</v>
      </c>
      <c r="L513" s="71" t="s">
        <v>82</v>
      </c>
      <c r="M513" s="71"/>
      <c r="O513" s="72">
        <v>34452</v>
      </c>
      <c r="P513" s="71"/>
      <c r="Q513" s="71" t="b">
        <v>0</v>
      </c>
      <c r="R513" s="22">
        <f t="shared" si="7"/>
        <v>16</v>
      </c>
    </row>
    <row r="514" spans="1:18">
      <c r="A514" s="71">
        <v>2367</v>
      </c>
      <c r="B514" s="72">
        <v>34432</v>
      </c>
      <c r="C514" s="71" t="s">
        <v>2746</v>
      </c>
      <c r="D514" s="72">
        <v>34430</v>
      </c>
      <c r="E514" s="71" t="s">
        <v>2747</v>
      </c>
      <c r="F514" s="71" t="s">
        <v>371</v>
      </c>
      <c r="G514" s="71" t="s">
        <v>20</v>
      </c>
      <c r="H514" s="71"/>
      <c r="I514" s="71"/>
      <c r="J514" s="71" t="s">
        <v>2748</v>
      </c>
      <c r="K514" s="71" t="s">
        <v>1480</v>
      </c>
      <c r="L514" s="71" t="s">
        <v>66</v>
      </c>
      <c r="M514" s="71"/>
      <c r="O514" s="72">
        <v>35487</v>
      </c>
      <c r="P514" s="71"/>
      <c r="Q514" s="71" t="b">
        <v>0</v>
      </c>
      <c r="R514" s="22">
        <f t="shared" ref="R514:R577" si="8">IF(O514=" ", " ", INT(YEARFRAC(O514, B514)*365))</f>
        <v>1052</v>
      </c>
    </row>
    <row r="515" spans="1:18">
      <c r="A515" s="71">
        <v>2368</v>
      </c>
      <c r="B515" s="72">
        <v>34432</v>
      </c>
      <c r="C515" s="71" t="s">
        <v>2749</v>
      </c>
      <c r="D515" s="72">
        <v>34431</v>
      </c>
      <c r="E515" s="71" t="s">
        <v>2750</v>
      </c>
      <c r="F515" s="71" t="s">
        <v>52</v>
      </c>
      <c r="G515" s="71" t="s">
        <v>20</v>
      </c>
      <c r="H515" s="71"/>
      <c r="I515" s="71"/>
      <c r="J515" s="71" t="s">
        <v>2751</v>
      </c>
      <c r="K515" s="71" t="s">
        <v>2752</v>
      </c>
      <c r="L515" s="71" t="s">
        <v>24</v>
      </c>
      <c r="M515" s="71"/>
      <c r="O515" s="72">
        <v>34549</v>
      </c>
      <c r="P515" s="71">
        <v>-1</v>
      </c>
      <c r="Q515" s="71" t="b">
        <v>0</v>
      </c>
      <c r="R515" s="22">
        <f t="shared" si="8"/>
        <v>116</v>
      </c>
    </row>
    <row r="516" spans="1:18">
      <c r="A516" s="71">
        <v>2369</v>
      </c>
      <c r="B516" s="72">
        <v>34436</v>
      </c>
      <c r="C516" s="71" t="s">
        <v>2753</v>
      </c>
      <c r="D516" s="72">
        <v>34431</v>
      </c>
      <c r="E516" s="71" t="s">
        <v>2754</v>
      </c>
      <c r="F516" s="71" t="s">
        <v>70</v>
      </c>
      <c r="G516" s="71" t="s">
        <v>20</v>
      </c>
      <c r="H516" s="71" t="s">
        <v>71</v>
      </c>
      <c r="I516" s="71" t="s">
        <v>72</v>
      </c>
      <c r="J516" s="71" t="s">
        <v>2755</v>
      </c>
      <c r="K516" s="71" t="s">
        <v>2756</v>
      </c>
      <c r="L516" s="71" t="s">
        <v>24</v>
      </c>
      <c r="M516" s="71"/>
      <c r="N516" s="72">
        <v>34446</v>
      </c>
      <c r="O516" s="72">
        <v>34437</v>
      </c>
      <c r="P516" s="71"/>
      <c r="Q516" s="71" t="b">
        <v>0</v>
      </c>
      <c r="R516" s="22">
        <f t="shared" si="8"/>
        <v>1</v>
      </c>
    </row>
    <row r="517" spans="1:18">
      <c r="A517" s="71">
        <v>2370</v>
      </c>
      <c r="B517" s="72">
        <v>34437</v>
      </c>
      <c r="C517" s="71" t="s">
        <v>2757</v>
      </c>
      <c r="D517" s="72">
        <v>32688</v>
      </c>
      <c r="E517" s="71" t="s">
        <v>2758</v>
      </c>
      <c r="F517" s="71" t="s">
        <v>85</v>
      </c>
      <c r="G517" s="71" t="s">
        <v>20</v>
      </c>
      <c r="H517" s="71"/>
      <c r="I517" s="71"/>
      <c r="J517" s="71" t="s">
        <v>2759</v>
      </c>
      <c r="K517" s="71" t="s">
        <v>2760</v>
      </c>
      <c r="L517" s="71" t="s">
        <v>24</v>
      </c>
      <c r="M517" s="71"/>
      <c r="O517" s="72">
        <v>34918</v>
      </c>
      <c r="P517" s="71"/>
      <c r="Q517" s="71" t="b">
        <v>0</v>
      </c>
      <c r="R517" s="22">
        <f t="shared" si="8"/>
        <v>480</v>
      </c>
    </row>
    <row r="518" spans="1:18">
      <c r="A518" s="71">
        <v>2371</v>
      </c>
      <c r="B518" s="72">
        <v>34437</v>
      </c>
      <c r="C518" s="71" t="s">
        <v>2761</v>
      </c>
      <c r="D518" s="72">
        <v>32737</v>
      </c>
      <c r="E518" s="71" t="s">
        <v>2762</v>
      </c>
      <c r="F518" s="71" t="s">
        <v>350</v>
      </c>
      <c r="G518" s="71" t="s">
        <v>20</v>
      </c>
      <c r="H518" s="71"/>
      <c r="I518" s="71"/>
      <c r="J518" s="71" t="s">
        <v>2763</v>
      </c>
      <c r="K518" s="71" t="s">
        <v>2764</v>
      </c>
      <c r="L518" s="71" t="s">
        <v>30</v>
      </c>
      <c r="M518" s="71"/>
      <c r="O518" s="72">
        <v>36501</v>
      </c>
      <c r="P518" s="71"/>
      <c r="Q518" s="71" t="b">
        <v>0</v>
      </c>
      <c r="R518" s="22">
        <f t="shared" si="8"/>
        <v>2062</v>
      </c>
    </row>
    <row r="519" spans="1:18">
      <c r="A519" s="71">
        <v>2372</v>
      </c>
      <c r="B519" s="72">
        <v>34437</v>
      </c>
      <c r="C519" s="71" t="s">
        <v>2765</v>
      </c>
      <c r="D519" s="72">
        <v>32757</v>
      </c>
      <c r="E519" s="71" t="s">
        <v>2766</v>
      </c>
      <c r="F519" s="71" t="s">
        <v>1771</v>
      </c>
      <c r="G519" s="71" t="s">
        <v>20</v>
      </c>
      <c r="H519" s="71" t="s">
        <v>189</v>
      </c>
      <c r="I519" s="71" t="s">
        <v>189</v>
      </c>
      <c r="J519" s="71" t="s">
        <v>222</v>
      </c>
      <c r="K519" s="71" t="s">
        <v>2767</v>
      </c>
      <c r="L519" s="71" t="s">
        <v>30</v>
      </c>
      <c r="M519" s="71" t="s">
        <v>24</v>
      </c>
      <c r="O519" s="72">
        <v>35244</v>
      </c>
      <c r="P519" s="71"/>
      <c r="Q519" s="71" t="b">
        <v>0</v>
      </c>
      <c r="R519" s="22">
        <f t="shared" si="8"/>
        <v>806</v>
      </c>
    </row>
    <row r="520" spans="1:18">
      <c r="A520" s="71">
        <v>2373</v>
      </c>
      <c r="B520" s="72">
        <v>34437</v>
      </c>
      <c r="C520" s="71" t="s">
        <v>2768</v>
      </c>
      <c r="D520" s="72">
        <v>32893</v>
      </c>
      <c r="E520" s="71" t="s">
        <v>2769</v>
      </c>
      <c r="F520" s="71" t="s">
        <v>98</v>
      </c>
      <c r="G520" s="71" t="s">
        <v>20</v>
      </c>
      <c r="H520" s="71"/>
      <c r="I520" s="71"/>
      <c r="J520" s="71" t="s">
        <v>2770</v>
      </c>
      <c r="K520" s="71" t="s">
        <v>98</v>
      </c>
      <c r="L520" s="71" t="s">
        <v>24</v>
      </c>
      <c r="M520" s="71"/>
      <c r="O520" s="72">
        <v>34918</v>
      </c>
      <c r="P520" s="71">
        <v>-1</v>
      </c>
      <c r="Q520" s="71" t="b">
        <v>0</v>
      </c>
      <c r="R520" s="22">
        <f t="shared" si="8"/>
        <v>480</v>
      </c>
    </row>
    <row r="521" spans="1:18">
      <c r="A521" s="71">
        <v>2374</v>
      </c>
      <c r="B521" s="72">
        <v>34437</v>
      </c>
      <c r="C521" s="71" t="s">
        <v>2771</v>
      </c>
      <c r="D521" s="72">
        <v>32727</v>
      </c>
      <c r="E521" s="71" t="s">
        <v>2772</v>
      </c>
      <c r="F521" s="71" t="s">
        <v>242</v>
      </c>
      <c r="G521" s="71" t="s">
        <v>20</v>
      </c>
      <c r="H521" s="71"/>
      <c r="I521" s="71"/>
      <c r="J521" s="71" t="s">
        <v>2773</v>
      </c>
      <c r="K521" s="71"/>
      <c r="L521" s="71" t="s">
        <v>24</v>
      </c>
      <c r="M521" s="71"/>
      <c r="O521" s="72">
        <v>34918</v>
      </c>
      <c r="P521" s="71"/>
      <c r="Q521" s="71" t="b">
        <v>0</v>
      </c>
      <c r="R521" s="22">
        <f t="shared" si="8"/>
        <v>480</v>
      </c>
    </row>
    <row r="522" spans="1:18">
      <c r="A522" s="71">
        <v>2375</v>
      </c>
      <c r="B522" s="72">
        <v>34437</v>
      </c>
      <c r="C522" s="71" t="s">
        <v>2774</v>
      </c>
      <c r="D522" s="72">
        <v>32796</v>
      </c>
      <c r="E522" s="71" t="s">
        <v>2775</v>
      </c>
      <c r="F522" s="71" t="s">
        <v>327</v>
      </c>
      <c r="G522" s="71" t="s">
        <v>20</v>
      </c>
      <c r="H522" s="71"/>
      <c r="I522" s="71"/>
      <c r="J522" s="71" t="s">
        <v>2776</v>
      </c>
      <c r="K522" s="71" t="s">
        <v>1524</v>
      </c>
      <c r="L522" s="71" t="s">
        <v>30</v>
      </c>
      <c r="M522" s="71" t="s">
        <v>24</v>
      </c>
      <c r="O522" s="72">
        <v>35244</v>
      </c>
      <c r="P522" s="71"/>
      <c r="Q522" s="71" t="b">
        <v>0</v>
      </c>
      <c r="R522" s="22">
        <f t="shared" si="8"/>
        <v>806</v>
      </c>
    </row>
    <row r="523" spans="1:18">
      <c r="A523" s="71">
        <v>2376</v>
      </c>
      <c r="B523" s="72">
        <v>34437</v>
      </c>
      <c r="C523" s="71" t="s">
        <v>2777</v>
      </c>
      <c r="D523" s="72">
        <v>32771</v>
      </c>
      <c r="E523" s="71" t="s">
        <v>2778</v>
      </c>
      <c r="F523" s="71" t="s">
        <v>1771</v>
      </c>
      <c r="G523" s="71" t="s">
        <v>20</v>
      </c>
      <c r="H523" s="71" t="s">
        <v>189</v>
      </c>
      <c r="I523" s="71" t="s">
        <v>189</v>
      </c>
      <c r="J523" s="71" t="s">
        <v>2779</v>
      </c>
      <c r="K523" s="71" t="s">
        <v>1300</v>
      </c>
      <c r="L523" s="71" t="s">
        <v>30</v>
      </c>
      <c r="M523" s="71" t="s">
        <v>24</v>
      </c>
      <c r="O523" s="72">
        <v>35244</v>
      </c>
      <c r="P523" s="71"/>
      <c r="Q523" s="71" t="b">
        <v>0</v>
      </c>
      <c r="R523" s="22">
        <f t="shared" si="8"/>
        <v>806</v>
      </c>
    </row>
    <row r="524" spans="1:18">
      <c r="A524" s="71">
        <v>2377</v>
      </c>
      <c r="B524" s="72">
        <v>34437</v>
      </c>
      <c r="C524" s="71" t="s">
        <v>2780</v>
      </c>
      <c r="D524" s="72">
        <v>32772</v>
      </c>
      <c r="E524" s="71" t="s">
        <v>2781</v>
      </c>
      <c r="F524" s="71" t="s">
        <v>2782</v>
      </c>
      <c r="G524" s="71" t="s">
        <v>20</v>
      </c>
      <c r="H524" s="71" t="s">
        <v>71</v>
      </c>
      <c r="I524" s="71" t="s">
        <v>72</v>
      </c>
      <c r="J524" s="71" t="s">
        <v>2783</v>
      </c>
      <c r="K524" s="71" t="s">
        <v>2784</v>
      </c>
      <c r="L524" s="71" t="s">
        <v>24</v>
      </c>
      <c r="M524" s="71"/>
      <c r="O524" s="72">
        <v>34918</v>
      </c>
      <c r="P524" s="71"/>
      <c r="Q524" s="71" t="b">
        <v>0</v>
      </c>
      <c r="R524" s="22">
        <f t="shared" si="8"/>
        <v>480</v>
      </c>
    </row>
    <row r="525" spans="1:18">
      <c r="A525" s="71">
        <v>2378</v>
      </c>
      <c r="B525" s="72">
        <v>34437</v>
      </c>
      <c r="C525" s="71" t="s">
        <v>2785</v>
      </c>
      <c r="D525" s="72">
        <v>32821</v>
      </c>
      <c r="E525" s="71" t="s">
        <v>2786</v>
      </c>
      <c r="F525" s="71" t="s">
        <v>242</v>
      </c>
      <c r="G525" s="71" t="s">
        <v>20</v>
      </c>
      <c r="H525" s="71"/>
      <c r="I525" s="71"/>
      <c r="J525" s="71" t="s">
        <v>242</v>
      </c>
      <c r="K525" s="71" t="s">
        <v>2787</v>
      </c>
      <c r="L525" s="71" t="s">
        <v>24</v>
      </c>
      <c r="M525" s="71"/>
      <c r="O525" s="72">
        <v>34918</v>
      </c>
      <c r="P525" s="71">
        <v>-1</v>
      </c>
      <c r="Q525" s="71" t="b">
        <v>0</v>
      </c>
      <c r="R525" s="22">
        <f t="shared" si="8"/>
        <v>480</v>
      </c>
    </row>
    <row r="526" spans="1:18">
      <c r="A526" s="71">
        <v>2379</v>
      </c>
      <c r="B526" s="72">
        <v>34437</v>
      </c>
      <c r="C526" s="71" t="s">
        <v>2788</v>
      </c>
      <c r="D526" s="72">
        <v>34436</v>
      </c>
      <c r="E526" s="71" t="s">
        <v>2789</v>
      </c>
      <c r="F526" s="71" t="s">
        <v>56</v>
      </c>
      <c r="G526" s="71" t="s">
        <v>20</v>
      </c>
      <c r="H526" s="71"/>
      <c r="I526" s="71"/>
      <c r="J526" s="71" t="s">
        <v>2790</v>
      </c>
      <c r="K526" s="71" t="s">
        <v>2791</v>
      </c>
      <c r="L526" s="71" t="s">
        <v>24</v>
      </c>
      <c r="M526" s="71"/>
      <c r="O526" s="72">
        <v>34509</v>
      </c>
      <c r="P526" s="71"/>
      <c r="Q526" s="71" t="b">
        <v>0</v>
      </c>
      <c r="R526" s="22">
        <f t="shared" si="8"/>
        <v>71</v>
      </c>
    </row>
    <row r="527" spans="1:18">
      <c r="A527" s="71">
        <v>2381</v>
      </c>
      <c r="B527" s="72">
        <v>34437</v>
      </c>
      <c r="C527" s="71" t="s">
        <v>2792</v>
      </c>
      <c r="D527" s="72">
        <v>34437</v>
      </c>
      <c r="E527" s="71" t="s">
        <v>2793</v>
      </c>
      <c r="F527" s="71" t="s">
        <v>70</v>
      </c>
      <c r="G527" s="71" t="s">
        <v>20</v>
      </c>
      <c r="H527" s="71" t="s">
        <v>71</v>
      </c>
      <c r="I527" s="71" t="s">
        <v>72</v>
      </c>
      <c r="J527" s="71" t="s">
        <v>2794</v>
      </c>
      <c r="K527" s="71" t="s">
        <v>2795</v>
      </c>
      <c r="L527" s="71" t="s">
        <v>24</v>
      </c>
      <c r="M527" s="71"/>
      <c r="O527" s="72">
        <v>34478</v>
      </c>
      <c r="P527" s="71"/>
      <c r="Q527" s="71" t="b">
        <v>0</v>
      </c>
      <c r="R527" s="22">
        <f t="shared" si="8"/>
        <v>41</v>
      </c>
    </row>
    <row r="528" spans="1:18">
      <c r="A528" s="71">
        <v>2382</v>
      </c>
      <c r="B528" s="72">
        <v>34438</v>
      </c>
      <c r="C528" s="71" t="s">
        <v>2796</v>
      </c>
      <c r="D528" s="72">
        <v>34437</v>
      </c>
      <c r="E528" s="71" t="s">
        <v>2797</v>
      </c>
      <c r="F528" s="71" t="s">
        <v>70</v>
      </c>
      <c r="G528" s="71" t="s">
        <v>20</v>
      </c>
      <c r="H528" s="71" t="s">
        <v>71</v>
      </c>
      <c r="I528" s="71" t="s">
        <v>72</v>
      </c>
      <c r="J528" s="71" t="s">
        <v>2798</v>
      </c>
      <c r="K528" s="71" t="s">
        <v>2799</v>
      </c>
      <c r="L528" s="71" t="s">
        <v>82</v>
      </c>
      <c r="M528" s="71"/>
      <c r="O528" s="72">
        <v>34444</v>
      </c>
      <c r="P528" s="71"/>
      <c r="Q528" s="71" t="b">
        <v>0</v>
      </c>
      <c r="R528" s="22">
        <f t="shared" si="8"/>
        <v>6</v>
      </c>
    </row>
    <row r="529" spans="1:18">
      <c r="A529" s="71">
        <v>2385</v>
      </c>
      <c r="B529" s="72">
        <v>34438</v>
      </c>
      <c r="C529" s="71" t="s">
        <v>2800</v>
      </c>
      <c r="D529" s="72">
        <v>34437</v>
      </c>
      <c r="E529" s="71" t="s">
        <v>2801</v>
      </c>
      <c r="F529" s="71" t="s">
        <v>149</v>
      </c>
      <c r="G529" s="71" t="s">
        <v>20</v>
      </c>
      <c r="H529" s="71"/>
      <c r="I529" s="71"/>
      <c r="J529" s="71" t="s">
        <v>2802</v>
      </c>
      <c r="K529" s="71" t="s">
        <v>2803</v>
      </c>
      <c r="L529" s="71" t="s">
        <v>24</v>
      </c>
      <c r="M529" s="71"/>
      <c r="O529" s="72">
        <v>35235</v>
      </c>
      <c r="P529" s="71"/>
      <c r="Q529" s="71" t="b">
        <v>0</v>
      </c>
      <c r="R529" s="22">
        <f t="shared" si="8"/>
        <v>795</v>
      </c>
    </row>
    <row r="530" spans="1:18">
      <c r="A530" s="71">
        <v>2386</v>
      </c>
      <c r="B530" s="72">
        <v>34438</v>
      </c>
      <c r="C530" s="71" t="s">
        <v>2804</v>
      </c>
      <c r="D530" s="72">
        <v>34438</v>
      </c>
      <c r="E530" s="71" t="s">
        <v>2805</v>
      </c>
      <c r="F530" s="71" t="s">
        <v>85</v>
      </c>
      <c r="G530" s="71" t="s">
        <v>20</v>
      </c>
      <c r="H530" s="71"/>
      <c r="I530" s="71"/>
      <c r="J530" s="71" t="s">
        <v>2806</v>
      </c>
      <c r="K530" s="71" t="s">
        <v>2807</v>
      </c>
      <c r="L530" s="71" t="s">
        <v>66</v>
      </c>
      <c r="M530" s="71"/>
      <c r="O530" s="72">
        <v>35702</v>
      </c>
      <c r="P530" s="71"/>
      <c r="Q530" s="71" t="b">
        <v>0</v>
      </c>
      <c r="R530" s="22">
        <f t="shared" si="8"/>
        <v>1262</v>
      </c>
    </row>
    <row r="531" spans="1:18">
      <c r="A531" s="71">
        <v>2387</v>
      </c>
      <c r="B531" s="72">
        <v>34430</v>
      </c>
      <c r="C531" s="71" t="s">
        <v>2808</v>
      </c>
      <c r="D531" s="72">
        <v>34423</v>
      </c>
      <c r="E531" s="71" t="s">
        <v>2809</v>
      </c>
      <c r="F531" s="71" t="s">
        <v>98</v>
      </c>
      <c r="G531" s="71" t="s">
        <v>20</v>
      </c>
      <c r="H531" s="71"/>
      <c r="I531" s="71"/>
      <c r="J531" s="71" t="s">
        <v>2810</v>
      </c>
      <c r="K531" s="71" t="s">
        <v>2811</v>
      </c>
      <c r="L531" s="71" t="s">
        <v>1152</v>
      </c>
      <c r="M531" s="71"/>
      <c r="N531" s="72">
        <v>34444</v>
      </c>
      <c r="O531" s="72">
        <v>34435</v>
      </c>
      <c r="P531" s="71">
        <v>-1</v>
      </c>
      <c r="Q531" s="71" t="b">
        <v>0</v>
      </c>
      <c r="R531" s="22">
        <f t="shared" si="8"/>
        <v>5</v>
      </c>
    </row>
    <row r="532" spans="1:18">
      <c r="A532" s="71">
        <v>2391</v>
      </c>
      <c r="B532" s="72">
        <v>34442</v>
      </c>
      <c r="C532" s="71" t="s">
        <v>2812</v>
      </c>
      <c r="D532" s="72">
        <v>34439</v>
      </c>
      <c r="E532" s="71" t="s">
        <v>2813</v>
      </c>
      <c r="F532" s="71" t="s">
        <v>793</v>
      </c>
      <c r="G532" s="71" t="s">
        <v>20</v>
      </c>
      <c r="H532" s="71"/>
      <c r="I532" s="71"/>
      <c r="J532" s="71" t="s">
        <v>2814</v>
      </c>
      <c r="K532" s="71" t="s">
        <v>2815</v>
      </c>
      <c r="L532" s="71" t="s">
        <v>24</v>
      </c>
      <c r="M532" s="71"/>
      <c r="O532" s="72">
        <v>34534</v>
      </c>
      <c r="P532" s="71"/>
      <c r="Q532" s="71" t="b">
        <v>0</v>
      </c>
      <c r="R532" s="22">
        <f t="shared" si="8"/>
        <v>92</v>
      </c>
    </row>
    <row r="533" spans="1:18">
      <c r="A533" s="71">
        <v>2392</v>
      </c>
      <c r="B533" s="72">
        <v>34138</v>
      </c>
      <c r="C533" s="71" t="s">
        <v>2816</v>
      </c>
      <c r="D533" s="72">
        <v>34138</v>
      </c>
      <c r="E533" s="71" t="s">
        <v>2817</v>
      </c>
      <c r="F533" s="71" t="s">
        <v>359</v>
      </c>
      <c r="G533" s="71" t="s">
        <v>20</v>
      </c>
      <c r="H533" s="71"/>
      <c r="I533" s="71"/>
      <c r="J533" s="71" t="s">
        <v>2348</v>
      </c>
      <c r="K533" s="71" t="s">
        <v>2818</v>
      </c>
      <c r="L533" s="71" t="s">
        <v>66</v>
      </c>
      <c r="M533" s="71"/>
      <c r="N533" s="72">
        <v>34181</v>
      </c>
      <c r="O533" s="72">
        <v>35509</v>
      </c>
      <c r="P533" s="71">
        <v>-1</v>
      </c>
      <c r="Q533" s="71" t="b">
        <v>0</v>
      </c>
      <c r="R533" s="22">
        <f t="shared" si="8"/>
        <v>1370</v>
      </c>
    </row>
    <row r="534" spans="1:18">
      <c r="A534" s="71">
        <v>2393</v>
      </c>
      <c r="B534" s="72">
        <v>34185</v>
      </c>
      <c r="C534" s="71" t="s">
        <v>2819</v>
      </c>
      <c r="D534" s="72">
        <v>34180</v>
      </c>
      <c r="E534" s="71" t="s">
        <v>2820</v>
      </c>
      <c r="F534" s="71" t="s">
        <v>533</v>
      </c>
      <c r="G534" s="71" t="s">
        <v>20</v>
      </c>
      <c r="H534" s="71"/>
      <c r="I534" s="71"/>
      <c r="J534" s="71" t="s">
        <v>2821</v>
      </c>
      <c r="K534" s="71" t="s">
        <v>2822</v>
      </c>
      <c r="L534" s="71" t="s">
        <v>686</v>
      </c>
      <c r="M534" s="71" t="s">
        <v>67</v>
      </c>
      <c r="O534" s="72">
        <v>36472</v>
      </c>
      <c r="P534" s="71"/>
      <c r="Q534" s="71" t="b">
        <v>0</v>
      </c>
      <c r="R534" s="22">
        <f t="shared" si="8"/>
        <v>2285</v>
      </c>
    </row>
    <row r="535" spans="1:18">
      <c r="A535" s="71">
        <v>2395</v>
      </c>
      <c r="B535" s="72">
        <v>34446</v>
      </c>
      <c r="C535" s="71" t="s">
        <v>2823</v>
      </c>
      <c r="D535" s="72">
        <v>34446</v>
      </c>
      <c r="E535" s="71" t="s">
        <v>2824</v>
      </c>
      <c r="F535" s="71" t="s">
        <v>104</v>
      </c>
      <c r="G535" s="71" t="s">
        <v>20</v>
      </c>
      <c r="H535" s="71"/>
      <c r="I535" s="71"/>
      <c r="J535" s="71" t="s">
        <v>2825</v>
      </c>
      <c r="K535" s="71" t="s">
        <v>2826</v>
      </c>
      <c r="L535" s="71" t="s">
        <v>24</v>
      </c>
      <c r="M535" s="71"/>
      <c r="O535" s="72">
        <v>34452</v>
      </c>
      <c r="P535" s="71"/>
      <c r="Q535" s="71" t="b">
        <v>0</v>
      </c>
      <c r="R535" s="22">
        <f t="shared" si="8"/>
        <v>6</v>
      </c>
    </row>
    <row r="536" spans="1:18">
      <c r="A536" s="71">
        <v>2396</v>
      </c>
      <c r="B536" s="72">
        <v>32737</v>
      </c>
      <c r="C536" s="71" t="s">
        <v>2827</v>
      </c>
      <c r="D536" s="72">
        <v>32631</v>
      </c>
      <c r="E536" s="71" t="s">
        <v>2828</v>
      </c>
      <c r="F536" s="71" t="s">
        <v>306</v>
      </c>
      <c r="G536" s="71" t="s">
        <v>20</v>
      </c>
      <c r="H536" s="71"/>
      <c r="I536" s="71"/>
      <c r="J536" s="71" t="s">
        <v>2829</v>
      </c>
      <c r="K536" s="71" t="s">
        <v>2830</v>
      </c>
      <c r="L536" s="71" t="s">
        <v>24</v>
      </c>
      <c r="M536" s="71"/>
      <c r="O536" s="72">
        <v>34446</v>
      </c>
      <c r="P536" s="71"/>
      <c r="Q536" s="71" t="b">
        <v>0</v>
      </c>
      <c r="R536" s="22">
        <f t="shared" si="8"/>
        <v>1708</v>
      </c>
    </row>
    <row r="537" spans="1:18">
      <c r="A537" s="71">
        <v>2397</v>
      </c>
      <c r="B537" s="72">
        <v>32764</v>
      </c>
      <c r="C537" s="71" t="s">
        <v>2831</v>
      </c>
      <c r="D537" s="72">
        <v>32806</v>
      </c>
      <c r="E537" s="71" t="s">
        <v>2832</v>
      </c>
      <c r="F537" s="71" t="s">
        <v>39</v>
      </c>
      <c r="G537" s="71" t="s">
        <v>20</v>
      </c>
      <c r="H537" s="71"/>
      <c r="I537" s="71"/>
      <c r="J537" s="71" t="s">
        <v>2833</v>
      </c>
      <c r="K537" s="71" t="s">
        <v>2830</v>
      </c>
      <c r="L537" s="71" t="s">
        <v>24</v>
      </c>
      <c r="M537" s="71"/>
      <c r="O537" s="72">
        <v>34479</v>
      </c>
      <c r="P537" s="71">
        <v>0</v>
      </c>
      <c r="Q537" s="71" t="b">
        <v>0</v>
      </c>
      <c r="R537" s="22">
        <f t="shared" si="8"/>
        <v>1715</v>
      </c>
    </row>
    <row r="538" spans="1:18">
      <c r="A538" s="71">
        <v>2398</v>
      </c>
      <c r="B538" s="72">
        <v>32828</v>
      </c>
      <c r="C538" s="71" t="s">
        <v>2834</v>
      </c>
      <c r="D538" s="72">
        <v>32828</v>
      </c>
      <c r="E538" s="71" t="s">
        <v>2835</v>
      </c>
      <c r="F538" s="71" t="s">
        <v>306</v>
      </c>
      <c r="G538" s="71" t="s">
        <v>20</v>
      </c>
      <c r="H538" s="71"/>
      <c r="I538" s="71"/>
      <c r="J538" s="71" t="s">
        <v>2836</v>
      </c>
      <c r="K538" s="71" t="s">
        <v>2830</v>
      </c>
      <c r="L538" s="71" t="s">
        <v>24</v>
      </c>
      <c r="M538" s="71"/>
      <c r="O538" s="72">
        <v>34479</v>
      </c>
      <c r="P538" s="71"/>
      <c r="Q538" s="71" t="b">
        <v>0</v>
      </c>
      <c r="R538" s="22">
        <f t="shared" si="8"/>
        <v>1651</v>
      </c>
    </row>
    <row r="539" spans="1:18">
      <c r="A539" s="71">
        <v>2401</v>
      </c>
      <c r="B539" s="72">
        <v>34449</v>
      </c>
      <c r="C539" s="71" t="s">
        <v>2841</v>
      </c>
      <c r="D539" s="72">
        <v>34445</v>
      </c>
      <c r="E539" s="71" t="s">
        <v>2842</v>
      </c>
      <c r="F539" s="71" t="s">
        <v>124</v>
      </c>
      <c r="G539" s="71" t="s">
        <v>20</v>
      </c>
      <c r="H539" s="71"/>
      <c r="I539" s="71"/>
      <c r="J539" s="71" t="s">
        <v>2843</v>
      </c>
      <c r="K539" s="71" t="s">
        <v>2844</v>
      </c>
      <c r="L539" s="71" t="s">
        <v>24</v>
      </c>
      <c r="M539" s="71"/>
      <c r="O539" s="72">
        <v>34682</v>
      </c>
      <c r="P539" s="71">
        <v>-1</v>
      </c>
      <c r="Q539" s="71" t="b">
        <v>0</v>
      </c>
      <c r="R539" s="22">
        <f t="shared" si="8"/>
        <v>232</v>
      </c>
    </row>
    <row r="540" spans="1:18">
      <c r="A540" s="71">
        <v>2411</v>
      </c>
      <c r="B540" s="72">
        <v>34452</v>
      </c>
      <c r="C540" s="71" t="s">
        <v>2845</v>
      </c>
      <c r="D540" s="72">
        <v>34451</v>
      </c>
      <c r="E540" s="71" t="s">
        <v>2846</v>
      </c>
      <c r="F540" s="71" t="s">
        <v>70</v>
      </c>
      <c r="G540" s="71" t="s">
        <v>20</v>
      </c>
      <c r="H540" s="71" t="s">
        <v>71</v>
      </c>
      <c r="I540" s="71" t="s">
        <v>72</v>
      </c>
      <c r="J540" s="71" t="s">
        <v>2847</v>
      </c>
      <c r="K540" s="71" t="s">
        <v>2848</v>
      </c>
      <c r="L540" s="71" t="s">
        <v>67</v>
      </c>
      <c r="M540" s="71"/>
      <c r="O540" s="72">
        <v>35500</v>
      </c>
      <c r="P540" s="71"/>
      <c r="Q540" s="71" t="b">
        <v>0</v>
      </c>
      <c r="R540" s="22">
        <f t="shared" si="8"/>
        <v>1047</v>
      </c>
    </row>
    <row r="541" spans="1:18">
      <c r="A541" s="71">
        <v>2413</v>
      </c>
      <c r="B541" s="72">
        <v>34452</v>
      </c>
      <c r="C541" s="71" t="s">
        <v>2852</v>
      </c>
      <c r="D541" s="72">
        <v>34449</v>
      </c>
      <c r="E541" s="71" t="s">
        <v>2853</v>
      </c>
      <c r="F541" s="71" t="s">
        <v>104</v>
      </c>
      <c r="G541" s="71" t="s">
        <v>20</v>
      </c>
      <c r="H541" s="71"/>
      <c r="I541" s="71"/>
      <c r="J541" s="71" t="s">
        <v>2854</v>
      </c>
      <c r="K541" s="71" t="s">
        <v>104</v>
      </c>
      <c r="L541" s="71" t="s">
        <v>24</v>
      </c>
      <c r="M541" s="71"/>
      <c r="O541" s="72">
        <v>34786</v>
      </c>
      <c r="P541" s="71"/>
      <c r="Q541" s="71" t="b">
        <v>0</v>
      </c>
      <c r="R541" s="22">
        <f t="shared" si="8"/>
        <v>334</v>
      </c>
    </row>
    <row r="542" spans="1:18">
      <c r="A542" s="71">
        <v>2414</v>
      </c>
      <c r="B542" s="72">
        <v>34456</v>
      </c>
      <c r="C542" s="71" t="s">
        <v>2855</v>
      </c>
      <c r="D542" s="72">
        <v>34451</v>
      </c>
      <c r="E542" s="71" t="s">
        <v>2856</v>
      </c>
      <c r="F542" s="71" t="s">
        <v>861</v>
      </c>
      <c r="G542" s="71" t="s">
        <v>20</v>
      </c>
      <c r="H542" s="71" t="s">
        <v>566</v>
      </c>
      <c r="I542" s="71" t="s">
        <v>566</v>
      </c>
      <c r="J542" s="71" t="s">
        <v>2857</v>
      </c>
      <c r="K542" s="71" t="s">
        <v>1149</v>
      </c>
      <c r="L542" s="71" t="s">
        <v>82</v>
      </c>
      <c r="M542" s="71"/>
      <c r="O542" s="72">
        <v>34500</v>
      </c>
      <c r="P542" s="71"/>
      <c r="Q542" s="71" t="b">
        <v>0</v>
      </c>
      <c r="R542" s="22">
        <f t="shared" si="8"/>
        <v>43</v>
      </c>
    </row>
    <row r="543" spans="1:18">
      <c r="A543" s="71">
        <v>2416</v>
      </c>
      <c r="B543" s="72">
        <v>34460</v>
      </c>
      <c r="C543" s="71" t="s">
        <v>2861</v>
      </c>
      <c r="D543" s="72">
        <v>34459</v>
      </c>
      <c r="E543" s="71" t="s">
        <v>2862</v>
      </c>
      <c r="F543" s="71" t="s">
        <v>242</v>
      </c>
      <c r="G543" s="71" t="s">
        <v>20</v>
      </c>
      <c r="H543" s="71"/>
      <c r="I543" s="71"/>
      <c r="J543" s="71" t="s">
        <v>2863</v>
      </c>
      <c r="K543" s="71" t="s">
        <v>2864</v>
      </c>
      <c r="L543" s="71" t="s">
        <v>66</v>
      </c>
      <c r="M543" s="71" t="s">
        <v>67</v>
      </c>
      <c r="O543" s="72">
        <v>36417</v>
      </c>
      <c r="P543" s="71"/>
      <c r="Q543" s="71" t="b">
        <v>0</v>
      </c>
      <c r="R543" s="22">
        <f t="shared" si="8"/>
        <v>1954</v>
      </c>
    </row>
    <row r="544" spans="1:18">
      <c r="A544" s="71">
        <v>2418</v>
      </c>
      <c r="B544" s="72">
        <v>34463</v>
      </c>
      <c r="C544" s="71" t="s">
        <v>2865</v>
      </c>
      <c r="D544" s="72">
        <v>34459</v>
      </c>
      <c r="E544" s="71" t="s">
        <v>2866</v>
      </c>
      <c r="F544" s="71" t="s">
        <v>124</v>
      </c>
      <c r="G544" s="71" t="s">
        <v>20</v>
      </c>
      <c r="H544" s="71"/>
      <c r="I544" s="71"/>
      <c r="J544" s="71" t="s">
        <v>2867</v>
      </c>
      <c r="K544" s="71" t="s">
        <v>2868</v>
      </c>
      <c r="L544" s="71" t="s">
        <v>66</v>
      </c>
      <c r="M544" s="71" t="s">
        <v>2869</v>
      </c>
      <c r="O544" s="72">
        <v>36774</v>
      </c>
      <c r="P544" s="71">
        <v>-1</v>
      </c>
      <c r="Q544" s="71" t="b">
        <v>0</v>
      </c>
      <c r="R544" s="22">
        <f t="shared" si="8"/>
        <v>2307</v>
      </c>
    </row>
    <row r="545" spans="1:18">
      <c r="A545" s="71">
        <v>2419</v>
      </c>
      <c r="B545" s="72">
        <v>34464</v>
      </c>
      <c r="C545" s="71" t="s">
        <v>2870</v>
      </c>
      <c r="D545" s="72">
        <v>34460</v>
      </c>
      <c r="E545" s="71" t="s">
        <v>2871</v>
      </c>
      <c r="F545" s="71" t="s">
        <v>1771</v>
      </c>
      <c r="G545" s="71" t="s">
        <v>20</v>
      </c>
      <c r="H545" s="71" t="s">
        <v>189</v>
      </c>
      <c r="I545" s="71" t="s">
        <v>189</v>
      </c>
      <c r="J545" s="71" t="s">
        <v>1149</v>
      </c>
      <c r="K545" s="71" t="s">
        <v>2872</v>
      </c>
      <c r="L545" s="71" t="s">
        <v>24</v>
      </c>
      <c r="M545" s="71"/>
      <c r="O545" s="72">
        <v>34827</v>
      </c>
      <c r="P545" s="71"/>
      <c r="Q545" s="71" t="b">
        <v>0</v>
      </c>
      <c r="R545" s="22">
        <f t="shared" si="8"/>
        <v>362</v>
      </c>
    </row>
    <row r="546" spans="1:18">
      <c r="A546" s="71">
        <v>2439</v>
      </c>
      <c r="B546" s="72">
        <v>34473</v>
      </c>
      <c r="C546" s="71" t="s">
        <v>2880</v>
      </c>
      <c r="D546" s="72">
        <v>34471</v>
      </c>
      <c r="E546" s="71" t="s">
        <v>2881</v>
      </c>
      <c r="F546" s="71" t="s">
        <v>2882</v>
      </c>
      <c r="G546" s="71" t="s">
        <v>20</v>
      </c>
      <c r="H546" s="71" t="s">
        <v>566</v>
      </c>
      <c r="I546" s="71" t="s">
        <v>566</v>
      </c>
      <c r="J546" s="71" t="s">
        <v>2883</v>
      </c>
      <c r="K546" s="71" t="s">
        <v>2884</v>
      </c>
      <c r="L546" s="71" t="s">
        <v>67</v>
      </c>
      <c r="M546" s="71"/>
      <c r="N546" s="72">
        <v>34500</v>
      </c>
      <c r="O546" s="72">
        <v>35496</v>
      </c>
      <c r="P546" s="71"/>
      <c r="Q546" s="71" t="b">
        <v>0</v>
      </c>
      <c r="R546" s="22">
        <f t="shared" si="8"/>
        <v>1022</v>
      </c>
    </row>
    <row r="547" spans="1:18">
      <c r="A547" s="71">
        <v>2449</v>
      </c>
      <c r="B547" s="72">
        <v>34481</v>
      </c>
      <c r="C547" s="71" t="s">
        <v>2888</v>
      </c>
      <c r="D547" s="72">
        <v>34481</v>
      </c>
      <c r="E547" s="71" t="s">
        <v>2889</v>
      </c>
      <c r="F547" s="71" t="s">
        <v>70</v>
      </c>
      <c r="G547" s="71" t="s">
        <v>20</v>
      </c>
      <c r="H547" s="71" t="s">
        <v>71</v>
      </c>
      <c r="I547" s="71" t="s">
        <v>72</v>
      </c>
      <c r="J547" s="71" t="s">
        <v>2890</v>
      </c>
      <c r="K547" s="71" t="s">
        <v>2891</v>
      </c>
      <c r="L547" s="71" t="s">
        <v>88</v>
      </c>
      <c r="M547" s="71"/>
      <c r="O547" s="72">
        <v>36216</v>
      </c>
      <c r="P547" s="71"/>
      <c r="Q547" s="71" t="b">
        <v>0</v>
      </c>
      <c r="R547" s="22">
        <f t="shared" si="8"/>
        <v>1731</v>
      </c>
    </row>
    <row r="548" spans="1:18">
      <c r="A548" s="71">
        <v>2450</v>
      </c>
      <c r="B548" s="72">
        <v>34480</v>
      </c>
      <c r="C548" s="71" t="s">
        <v>2892</v>
      </c>
      <c r="D548" s="72">
        <v>34477</v>
      </c>
      <c r="E548" s="71" t="s">
        <v>2893</v>
      </c>
      <c r="F548" s="71" t="s">
        <v>1830</v>
      </c>
      <c r="G548" s="71" t="s">
        <v>20</v>
      </c>
      <c r="H548" s="71"/>
      <c r="I548" s="71"/>
      <c r="J548" s="71" t="s">
        <v>2894</v>
      </c>
      <c r="K548" s="71" t="s">
        <v>2895</v>
      </c>
      <c r="L548" s="71" t="s">
        <v>1152</v>
      </c>
      <c r="M548" s="71"/>
      <c r="N548" s="72">
        <v>34491</v>
      </c>
      <c r="O548" s="72">
        <v>34487</v>
      </c>
      <c r="P548" s="71"/>
      <c r="Q548" s="71" t="b">
        <v>0</v>
      </c>
      <c r="R548" s="22">
        <f t="shared" si="8"/>
        <v>6</v>
      </c>
    </row>
    <row r="549" spans="1:18">
      <c r="A549" s="71">
        <v>2451</v>
      </c>
      <c r="B549" s="72">
        <v>34480</v>
      </c>
      <c r="C549" s="71" t="s">
        <v>2896</v>
      </c>
      <c r="D549" s="72">
        <v>34479</v>
      </c>
      <c r="E549" s="71" t="s">
        <v>2897</v>
      </c>
      <c r="F549" s="71" t="s">
        <v>129</v>
      </c>
      <c r="G549" s="71" t="s">
        <v>20</v>
      </c>
      <c r="H549" s="71"/>
      <c r="I549" s="71"/>
      <c r="J549" s="71" t="s">
        <v>2898</v>
      </c>
      <c r="K549" s="71" t="s">
        <v>2899</v>
      </c>
      <c r="L549" s="71" t="s">
        <v>24</v>
      </c>
      <c r="M549" s="71"/>
      <c r="O549" s="72">
        <v>34487</v>
      </c>
      <c r="P549" s="71">
        <v>-1</v>
      </c>
      <c r="Q549" s="71" t="b">
        <v>0</v>
      </c>
      <c r="R549" s="22">
        <f t="shared" si="8"/>
        <v>6</v>
      </c>
    </row>
    <row r="550" spans="1:18">
      <c r="A550" s="71">
        <v>2452</v>
      </c>
      <c r="B550" s="72">
        <v>34480</v>
      </c>
      <c r="C550" s="71" t="s">
        <v>2900</v>
      </c>
      <c r="D550" s="72">
        <v>34477</v>
      </c>
      <c r="E550" s="71" t="s">
        <v>2901</v>
      </c>
      <c r="F550" s="71" t="s">
        <v>2580</v>
      </c>
      <c r="G550" s="71" t="s">
        <v>20</v>
      </c>
      <c r="H550" s="71" t="s">
        <v>71</v>
      </c>
      <c r="I550" s="71" t="s">
        <v>72</v>
      </c>
      <c r="J550" s="71" t="s">
        <v>2902</v>
      </c>
      <c r="K550" s="71" t="s">
        <v>2903</v>
      </c>
      <c r="L550" s="71" t="s">
        <v>24</v>
      </c>
      <c r="M550" s="71"/>
      <c r="O550" s="72">
        <v>34500</v>
      </c>
      <c r="P550" s="71">
        <v>-1</v>
      </c>
      <c r="Q550" s="71" t="b">
        <v>0</v>
      </c>
      <c r="R550" s="22">
        <f t="shared" si="8"/>
        <v>19</v>
      </c>
    </row>
    <row r="551" spans="1:18">
      <c r="A551" s="71">
        <v>2454</v>
      </c>
      <c r="B551" s="72">
        <v>34480</v>
      </c>
      <c r="C551" s="71" t="s">
        <v>2906</v>
      </c>
      <c r="D551" s="72">
        <v>34472</v>
      </c>
      <c r="E551" s="71" t="s">
        <v>2907</v>
      </c>
      <c r="F551" s="71" t="s">
        <v>124</v>
      </c>
      <c r="G551" s="71" t="s">
        <v>20</v>
      </c>
      <c r="H551" s="71"/>
      <c r="I551" s="71"/>
      <c r="J551" s="71" t="s">
        <v>2327</v>
      </c>
      <c r="K551" s="71" t="s">
        <v>2908</v>
      </c>
      <c r="L551" s="71" t="s">
        <v>66</v>
      </c>
      <c r="M551" s="71"/>
      <c r="O551" s="72">
        <v>35689</v>
      </c>
      <c r="P551" s="71">
        <v>-1</v>
      </c>
      <c r="Q551" s="71" t="b">
        <v>0</v>
      </c>
      <c r="R551" s="22">
        <f t="shared" si="8"/>
        <v>1206</v>
      </c>
    </row>
    <row r="552" spans="1:18">
      <c r="A552" s="71">
        <v>2455</v>
      </c>
      <c r="B552" s="72">
        <v>34481</v>
      </c>
      <c r="C552" s="71" t="s">
        <v>2909</v>
      </c>
      <c r="D552" s="72">
        <v>34481</v>
      </c>
      <c r="E552" s="71" t="s">
        <v>2910</v>
      </c>
      <c r="F552" s="71" t="s">
        <v>1159</v>
      </c>
      <c r="G552" s="71" t="s">
        <v>20</v>
      </c>
      <c r="H552" s="71" t="s">
        <v>71</v>
      </c>
      <c r="I552" s="71" t="s">
        <v>72</v>
      </c>
      <c r="J552" s="71" t="s">
        <v>2911</v>
      </c>
      <c r="K552" s="71" t="s">
        <v>2912</v>
      </c>
      <c r="L552" s="71" t="s">
        <v>30</v>
      </c>
      <c r="M552" s="71"/>
      <c r="N552" s="72">
        <v>34515</v>
      </c>
      <c r="O552" s="72">
        <v>34541</v>
      </c>
      <c r="P552" s="71"/>
      <c r="Q552" s="71" t="b">
        <v>0</v>
      </c>
      <c r="R552" s="22">
        <f t="shared" si="8"/>
        <v>59</v>
      </c>
    </row>
    <row r="553" spans="1:18">
      <c r="A553" s="71">
        <v>2487</v>
      </c>
      <c r="B553" s="72">
        <v>34485</v>
      </c>
      <c r="C553" s="71" t="s">
        <v>2913</v>
      </c>
      <c r="D553" s="72">
        <v>34484</v>
      </c>
      <c r="E553" s="71" t="s">
        <v>2914</v>
      </c>
      <c r="F553" s="71" t="s">
        <v>70</v>
      </c>
      <c r="G553" s="71" t="s">
        <v>20</v>
      </c>
      <c r="H553" s="71" t="s">
        <v>71</v>
      </c>
      <c r="I553" s="71" t="s">
        <v>72</v>
      </c>
      <c r="J553" s="71" t="s">
        <v>2915</v>
      </c>
      <c r="K553" s="71" t="s">
        <v>2916</v>
      </c>
      <c r="L553" s="71" t="s">
        <v>67</v>
      </c>
      <c r="M553" s="71"/>
      <c r="O553" s="72">
        <v>35440</v>
      </c>
      <c r="P553" s="71"/>
      <c r="Q553" s="71" t="b">
        <v>0</v>
      </c>
      <c r="R553" s="22">
        <f t="shared" si="8"/>
        <v>953</v>
      </c>
    </row>
    <row r="554" spans="1:18">
      <c r="A554" s="71">
        <v>2488</v>
      </c>
      <c r="B554" s="72">
        <v>34486</v>
      </c>
      <c r="C554" s="71" t="s">
        <v>2917</v>
      </c>
      <c r="D554" s="72">
        <v>34479</v>
      </c>
      <c r="E554" s="71" t="s">
        <v>2918</v>
      </c>
      <c r="F554" s="71" t="s">
        <v>371</v>
      </c>
      <c r="G554" s="71" t="s">
        <v>20</v>
      </c>
      <c r="H554" s="71"/>
      <c r="I554" s="71"/>
      <c r="J554" s="71" t="s">
        <v>2919</v>
      </c>
      <c r="K554" s="71" t="s">
        <v>2920</v>
      </c>
      <c r="L554" s="71" t="s">
        <v>30</v>
      </c>
      <c r="M554" s="71"/>
      <c r="N554" s="72">
        <v>34515</v>
      </c>
      <c r="O554" s="72">
        <v>35384</v>
      </c>
      <c r="P554" s="71"/>
      <c r="Q554" s="71" t="b">
        <v>0</v>
      </c>
      <c r="R554" s="22">
        <f t="shared" si="8"/>
        <v>896</v>
      </c>
    </row>
    <row r="555" spans="1:18">
      <c r="A555" s="71">
        <v>2495</v>
      </c>
      <c r="B555" s="72">
        <v>34488</v>
      </c>
      <c r="C555" s="71" t="s">
        <v>2928</v>
      </c>
      <c r="D555" s="72">
        <v>34488</v>
      </c>
      <c r="E555" s="71" t="s">
        <v>2929</v>
      </c>
      <c r="F555" s="71" t="s">
        <v>98</v>
      </c>
      <c r="G555" s="71" t="s">
        <v>20</v>
      </c>
      <c r="H555" s="71"/>
      <c r="I555" s="71"/>
      <c r="J555" s="71" t="s">
        <v>2930</v>
      </c>
      <c r="K555" s="71" t="s">
        <v>2931</v>
      </c>
      <c r="L555" s="71" t="s">
        <v>821</v>
      </c>
      <c r="M555" s="71" t="s">
        <v>88</v>
      </c>
      <c r="O555" s="72">
        <v>36459</v>
      </c>
      <c r="P555" s="71">
        <v>-1</v>
      </c>
      <c r="Q555" s="71" t="b">
        <v>0</v>
      </c>
      <c r="R555" s="22">
        <f t="shared" si="8"/>
        <v>1969</v>
      </c>
    </row>
    <row r="556" spans="1:18">
      <c r="A556" s="71">
        <v>2504</v>
      </c>
      <c r="B556" s="72">
        <v>34487</v>
      </c>
      <c r="C556" s="71" t="s">
        <v>2932</v>
      </c>
      <c r="D556" s="72">
        <v>34467</v>
      </c>
      <c r="E556" s="71" t="s">
        <v>2933</v>
      </c>
      <c r="F556" s="71" t="s">
        <v>665</v>
      </c>
      <c r="G556" s="71" t="s">
        <v>20</v>
      </c>
      <c r="H556" s="71"/>
      <c r="I556" s="71"/>
      <c r="J556" s="71" t="s">
        <v>2934</v>
      </c>
      <c r="K556" s="71" t="s">
        <v>2935</v>
      </c>
      <c r="L556" s="71" t="s">
        <v>30</v>
      </c>
      <c r="M556" s="71"/>
      <c r="O556" s="72">
        <v>34844</v>
      </c>
      <c r="P556" s="71">
        <v>-1</v>
      </c>
      <c r="Q556" s="71" t="b">
        <v>0</v>
      </c>
      <c r="R556" s="22">
        <f t="shared" si="8"/>
        <v>357</v>
      </c>
    </row>
    <row r="557" spans="1:18">
      <c r="A557" s="71">
        <v>2505</v>
      </c>
      <c r="B557" s="72">
        <v>34488</v>
      </c>
      <c r="C557" s="71" t="s">
        <v>2936</v>
      </c>
      <c r="D557" s="72">
        <v>34486</v>
      </c>
      <c r="E557" s="71" t="s">
        <v>2937</v>
      </c>
      <c r="F557" s="71" t="s">
        <v>124</v>
      </c>
      <c r="G557" s="71" t="s">
        <v>20</v>
      </c>
      <c r="H557" s="71"/>
      <c r="I557" s="71"/>
      <c r="J557" s="71" t="s">
        <v>2938</v>
      </c>
      <c r="K557" s="71" t="s">
        <v>2939</v>
      </c>
      <c r="L557" s="71" t="s">
        <v>88</v>
      </c>
      <c r="M557" s="71"/>
      <c r="O557" s="72">
        <v>35578</v>
      </c>
      <c r="P557" s="71">
        <v>-1</v>
      </c>
      <c r="Q557" s="71" t="b">
        <v>0</v>
      </c>
      <c r="R557" s="22">
        <f t="shared" si="8"/>
        <v>1089</v>
      </c>
    </row>
    <row r="558" spans="1:18">
      <c r="A558" s="71">
        <v>2512</v>
      </c>
      <c r="B558" s="72">
        <v>34491</v>
      </c>
      <c r="C558" s="71" t="s">
        <v>2941</v>
      </c>
      <c r="D558" s="72">
        <v>34448</v>
      </c>
      <c r="E558" s="71" t="s">
        <v>2942</v>
      </c>
      <c r="F558" s="71" t="s">
        <v>2943</v>
      </c>
      <c r="G558" s="71" t="s">
        <v>20</v>
      </c>
      <c r="H558" s="71"/>
      <c r="I558" s="71"/>
      <c r="J558" s="71" t="s">
        <v>199</v>
      </c>
      <c r="K558" s="71" t="s">
        <v>2944</v>
      </c>
      <c r="L558" s="71" t="s">
        <v>30</v>
      </c>
      <c r="M558" s="71"/>
      <c r="O558" s="72">
        <v>36510</v>
      </c>
      <c r="P558" s="71"/>
      <c r="Q558" s="71" t="b">
        <v>0</v>
      </c>
      <c r="R558" s="22">
        <f t="shared" si="8"/>
        <v>2017</v>
      </c>
    </row>
    <row r="559" spans="1:18">
      <c r="A559" s="71">
        <v>2513</v>
      </c>
      <c r="B559" s="72">
        <v>34491</v>
      </c>
      <c r="C559" s="71" t="s">
        <v>2945</v>
      </c>
      <c r="D559" s="72">
        <v>32772</v>
      </c>
      <c r="E559" s="71" t="s">
        <v>2946</v>
      </c>
      <c r="F559" s="71" t="s">
        <v>98</v>
      </c>
      <c r="G559" s="71" t="s">
        <v>20</v>
      </c>
      <c r="H559" s="71"/>
      <c r="I559" s="71"/>
      <c r="J559" s="71" t="s">
        <v>2947</v>
      </c>
      <c r="K559" s="71" t="s">
        <v>2948</v>
      </c>
      <c r="L559" s="71" t="s">
        <v>30</v>
      </c>
      <c r="M559" s="71"/>
      <c r="N559" s="72">
        <v>32537</v>
      </c>
      <c r="O559" s="72">
        <v>34975</v>
      </c>
      <c r="P559" s="71">
        <v>-1</v>
      </c>
      <c r="Q559" s="71" t="b">
        <v>0</v>
      </c>
      <c r="R559" s="22">
        <f t="shared" si="8"/>
        <v>483</v>
      </c>
    </row>
    <row r="560" spans="1:18">
      <c r="A560" s="71">
        <v>2514</v>
      </c>
      <c r="B560" s="72">
        <v>34491</v>
      </c>
      <c r="C560" s="71" t="s">
        <v>2949</v>
      </c>
      <c r="D560" s="72">
        <v>32716</v>
      </c>
      <c r="E560" s="71" t="s">
        <v>2950</v>
      </c>
      <c r="F560" s="71" t="s">
        <v>104</v>
      </c>
      <c r="G560" s="71" t="s">
        <v>20</v>
      </c>
      <c r="H560" s="71"/>
      <c r="I560" s="71"/>
      <c r="J560" s="71" t="s">
        <v>332</v>
      </c>
      <c r="K560" s="71" t="s">
        <v>2951</v>
      </c>
      <c r="L560" s="71" t="s">
        <v>30</v>
      </c>
      <c r="M560" s="71"/>
      <c r="O560" s="72">
        <v>36467</v>
      </c>
      <c r="P560" s="71"/>
      <c r="Q560" s="71" t="b">
        <v>0</v>
      </c>
      <c r="R560" s="22">
        <f t="shared" si="8"/>
        <v>1974</v>
      </c>
    </row>
    <row r="561" spans="1:18">
      <c r="A561" s="71">
        <v>2515</v>
      </c>
      <c r="B561" s="72">
        <v>34491</v>
      </c>
      <c r="C561" s="71" t="s">
        <v>2952</v>
      </c>
      <c r="D561" s="72">
        <v>32730</v>
      </c>
      <c r="E561" s="71" t="s">
        <v>2953</v>
      </c>
      <c r="F561" s="71" t="s">
        <v>104</v>
      </c>
      <c r="G561" s="71" t="s">
        <v>20</v>
      </c>
      <c r="H561" s="71"/>
      <c r="I561" s="71"/>
      <c r="J561" s="71" t="s">
        <v>2954</v>
      </c>
      <c r="K561" s="71" t="s">
        <v>1241</v>
      </c>
      <c r="L561" s="71" t="s">
        <v>30</v>
      </c>
      <c r="M561" s="71"/>
      <c r="O561" s="72">
        <v>36434</v>
      </c>
      <c r="P561" s="71"/>
      <c r="Q561" s="71" t="b">
        <v>0</v>
      </c>
      <c r="R561" s="22">
        <f t="shared" si="8"/>
        <v>1941</v>
      </c>
    </row>
    <row r="562" spans="1:18">
      <c r="A562" s="71">
        <v>2516</v>
      </c>
      <c r="B562" s="72">
        <v>34491</v>
      </c>
      <c r="C562" s="71" t="s">
        <v>2955</v>
      </c>
      <c r="D562" s="72">
        <v>32818</v>
      </c>
      <c r="E562" s="71" t="s">
        <v>2956</v>
      </c>
      <c r="F562" s="71" t="s">
        <v>149</v>
      </c>
      <c r="G562" s="71" t="s">
        <v>20</v>
      </c>
      <c r="H562" s="71"/>
      <c r="I562" s="71"/>
      <c r="J562" s="71" t="s">
        <v>2957</v>
      </c>
      <c r="K562" s="71" t="s">
        <v>2958</v>
      </c>
      <c r="L562" s="71" t="s">
        <v>30</v>
      </c>
      <c r="M562" s="71"/>
      <c r="O562" s="72">
        <v>36494</v>
      </c>
      <c r="P562" s="71"/>
      <c r="Q562" s="71" t="b">
        <v>0</v>
      </c>
      <c r="R562" s="22">
        <f t="shared" si="8"/>
        <v>2001</v>
      </c>
    </row>
    <row r="563" spans="1:18">
      <c r="A563" s="71">
        <v>2518</v>
      </c>
      <c r="B563" s="72">
        <v>34492</v>
      </c>
      <c r="C563" s="71" t="s">
        <v>2959</v>
      </c>
      <c r="D563" s="72">
        <v>34492</v>
      </c>
      <c r="E563" s="71" t="s">
        <v>2960</v>
      </c>
      <c r="F563" s="71" t="s">
        <v>741</v>
      </c>
      <c r="G563" s="71" t="s">
        <v>20</v>
      </c>
      <c r="H563" s="71"/>
      <c r="I563" s="71"/>
      <c r="J563" s="71" t="s">
        <v>2961</v>
      </c>
      <c r="K563" s="71" t="s">
        <v>2962</v>
      </c>
      <c r="L563" s="71" t="s">
        <v>24</v>
      </c>
      <c r="M563" s="71"/>
      <c r="O563" s="72">
        <v>34530</v>
      </c>
      <c r="P563" s="71"/>
      <c r="Q563" s="71" t="b">
        <v>0</v>
      </c>
      <c r="R563" s="22">
        <f t="shared" si="8"/>
        <v>38</v>
      </c>
    </row>
    <row r="564" spans="1:18">
      <c r="A564" s="71">
        <v>2519</v>
      </c>
      <c r="B564" s="72">
        <v>34492</v>
      </c>
      <c r="C564" s="71" t="s">
        <v>2963</v>
      </c>
      <c r="D564" s="72">
        <v>34490</v>
      </c>
      <c r="E564" s="71" t="s">
        <v>2964</v>
      </c>
      <c r="F564" s="71" t="s">
        <v>70</v>
      </c>
      <c r="G564" s="71" t="s">
        <v>20</v>
      </c>
      <c r="H564" s="71" t="s">
        <v>71</v>
      </c>
      <c r="I564" s="71" t="s">
        <v>72</v>
      </c>
      <c r="J564" s="71" t="s">
        <v>2965</v>
      </c>
      <c r="K564" s="71" t="s">
        <v>221</v>
      </c>
      <c r="L564" s="71" t="s">
        <v>67</v>
      </c>
      <c r="M564" s="71"/>
      <c r="O564" s="72">
        <v>35695</v>
      </c>
      <c r="P564" s="71"/>
      <c r="Q564" s="71" t="b">
        <v>0</v>
      </c>
      <c r="R564" s="22">
        <f t="shared" si="8"/>
        <v>1201</v>
      </c>
    </row>
    <row r="565" spans="1:18">
      <c r="A565" s="71">
        <v>2527</v>
      </c>
      <c r="B565" s="72">
        <v>34492</v>
      </c>
      <c r="C565" s="71" t="s">
        <v>2974</v>
      </c>
      <c r="D565" s="72">
        <v>34492</v>
      </c>
      <c r="E565" s="71" t="s">
        <v>2975</v>
      </c>
      <c r="F565" s="71" t="s">
        <v>85</v>
      </c>
      <c r="G565" s="71" t="s">
        <v>20</v>
      </c>
      <c r="H565" s="71"/>
      <c r="I565" s="71"/>
      <c r="J565" s="71" t="s">
        <v>2976</v>
      </c>
      <c r="K565" s="71" t="s">
        <v>2977</v>
      </c>
      <c r="L565" s="71" t="s">
        <v>66</v>
      </c>
      <c r="M565" s="71"/>
      <c r="N565" s="72">
        <v>34523</v>
      </c>
      <c r="O565" s="72">
        <v>36367</v>
      </c>
      <c r="P565" s="71"/>
      <c r="Q565" s="71" t="b">
        <v>0</v>
      </c>
      <c r="R565" s="22">
        <f t="shared" si="8"/>
        <v>1874</v>
      </c>
    </row>
    <row r="566" spans="1:18">
      <c r="A566" s="71">
        <v>2530</v>
      </c>
      <c r="B566" s="72">
        <v>34493</v>
      </c>
      <c r="C566" s="71" t="s">
        <v>2981</v>
      </c>
      <c r="D566" s="72">
        <v>34492</v>
      </c>
      <c r="E566" s="71" t="s">
        <v>2982</v>
      </c>
      <c r="F566" s="71" t="s">
        <v>70</v>
      </c>
      <c r="G566" s="71" t="s">
        <v>20</v>
      </c>
      <c r="H566" s="71" t="s">
        <v>71</v>
      </c>
      <c r="I566" s="71" t="s">
        <v>72</v>
      </c>
      <c r="J566" s="71" t="s">
        <v>2983</v>
      </c>
      <c r="K566" s="71" t="s">
        <v>2984</v>
      </c>
      <c r="L566" s="71" t="s">
        <v>82</v>
      </c>
      <c r="M566" s="71"/>
      <c r="O566" s="72">
        <v>35240</v>
      </c>
      <c r="P566" s="71"/>
      <c r="Q566" s="71" t="b">
        <v>0</v>
      </c>
      <c r="R566" s="22">
        <f t="shared" si="8"/>
        <v>746</v>
      </c>
    </row>
    <row r="567" spans="1:18">
      <c r="A567" s="71">
        <v>2536</v>
      </c>
      <c r="B567" s="72">
        <v>34499</v>
      </c>
      <c r="C567" s="71" t="s">
        <v>2989</v>
      </c>
      <c r="D567" s="72">
        <v>34498</v>
      </c>
      <c r="E567" s="71" t="s">
        <v>2990</v>
      </c>
      <c r="F567" s="71" t="s">
        <v>741</v>
      </c>
      <c r="G567" s="71" t="s">
        <v>20</v>
      </c>
      <c r="H567" s="71"/>
      <c r="I567" s="71"/>
      <c r="J567" s="71" t="s">
        <v>2991</v>
      </c>
      <c r="K567" s="71" t="s">
        <v>2992</v>
      </c>
      <c r="L567" s="71" t="s">
        <v>30</v>
      </c>
      <c r="M567" s="71"/>
      <c r="N567" s="72">
        <v>34530</v>
      </c>
      <c r="O567" s="72">
        <v>36438</v>
      </c>
      <c r="P567" s="71"/>
      <c r="Q567" s="71" t="b">
        <v>0</v>
      </c>
      <c r="R567" s="22">
        <f t="shared" si="8"/>
        <v>1937</v>
      </c>
    </row>
    <row r="568" spans="1:18">
      <c r="A568" s="71">
        <v>2542</v>
      </c>
      <c r="B568" s="72">
        <v>34494</v>
      </c>
      <c r="C568" s="71" t="s">
        <v>2996</v>
      </c>
      <c r="D568" s="72">
        <v>34493</v>
      </c>
      <c r="E568" s="71" t="s">
        <v>2997</v>
      </c>
      <c r="F568" s="71" t="s">
        <v>39</v>
      </c>
      <c r="G568" s="71" t="s">
        <v>20</v>
      </c>
      <c r="H568" s="71"/>
      <c r="I568" s="71"/>
      <c r="J568" s="71" t="s">
        <v>2998</v>
      </c>
      <c r="K568" s="71" t="s">
        <v>2999</v>
      </c>
      <c r="L568" s="71" t="s">
        <v>24</v>
      </c>
      <c r="M568" s="71"/>
      <c r="O568" s="72">
        <v>34502</v>
      </c>
      <c r="P568" s="71"/>
      <c r="Q568" s="71" t="b">
        <v>0</v>
      </c>
      <c r="R568" s="22">
        <f t="shared" si="8"/>
        <v>8</v>
      </c>
    </row>
    <row r="569" spans="1:18">
      <c r="A569" s="71">
        <v>2544</v>
      </c>
      <c r="B569" s="72">
        <v>34501</v>
      </c>
      <c r="C569" s="71" t="s">
        <v>3000</v>
      </c>
      <c r="D569" s="72">
        <v>34501</v>
      </c>
      <c r="E569" s="71" t="s">
        <v>3001</v>
      </c>
      <c r="F569" s="71" t="s">
        <v>545</v>
      </c>
      <c r="G569" s="71" t="s">
        <v>20</v>
      </c>
      <c r="H569" s="71"/>
      <c r="I569" s="71"/>
      <c r="J569" s="71" t="s">
        <v>3002</v>
      </c>
      <c r="K569" s="71" t="s">
        <v>3003</v>
      </c>
      <c r="L569" s="71" t="s">
        <v>24</v>
      </c>
      <c r="M569" s="71"/>
      <c r="O569" s="72">
        <v>34507</v>
      </c>
      <c r="P569" s="71"/>
      <c r="Q569" s="71" t="b">
        <v>0</v>
      </c>
      <c r="R569" s="22">
        <f t="shared" si="8"/>
        <v>6</v>
      </c>
    </row>
    <row r="570" spans="1:18">
      <c r="A570" s="71">
        <v>2546</v>
      </c>
      <c r="B570" s="72">
        <v>34507</v>
      </c>
      <c r="C570" s="71" t="s">
        <v>3004</v>
      </c>
      <c r="D570" s="72">
        <v>34498</v>
      </c>
      <c r="E570" s="71" t="s">
        <v>3005</v>
      </c>
      <c r="F570" s="71" t="s">
        <v>371</v>
      </c>
      <c r="G570" s="71" t="s">
        <v>20</v>
      </c>
      <c r="H570" s="71"/>
      <c r="I570" s="71"/>
      <c r="J570" s="71" t="s">
        <v>3006</v>
      </c>
      <c r="K570" s="71" t="s">
        <v>748</v>
      </c>
      <c r="L570" s="71" t="s">
        <v>24</v>
      </c>
      <c r="M570" s="71"/>
      <c r="O570" s="72">
        <v>34508</v>
      </c>
      <c r="P570" s="71">
        <v>-1</v>
      </c>
      <c r="Q570" s="71" t="b">
        <v>0</v>
      </c>
      <c r="R570" s="22">
        <f t="shared" si="8"/>
        <v>1</v>
      </c>
    </row>
    <row r="571" spans="1:18">
      <c r="A571" s="71">
        <v>2551</v>
      </c>
      <c r="B571" s="72">
        <v>34508</v>
      </c>
      <c r="C571" s="71" t="s">
        <v>3007</v>
      </c>
      <c r="D571" s="72">
        <v>34502</v>
      </c>
      <c r="E571" s="71" t="s">
        <v>3008</v>
      </c>
      <c r="F571" s="71" t="s">
        <v>104</v>
      </c>
      <c r="G571" s="71" t="s">
        <v>20</v>
      </c>
      <c r="H571" s="71"/>
      <c r="I571" s="71"/>
      <c r="J571" s="71" t="s">
        <v>3009</v>
      </c>
      <c r="K571" s="71" t="s">
        <v>3010</v>
      </c>
      <c r="L571" s="71" t="s">
        <v>82</v>
      </c>
      <c r="M571" s="71"/>
      <c r="O571" s="72">
        <v>34698</v>
      </c>
      <c r="P571" s="71"/>
      <c r="Q571" s="71" t="b">
        <v>0</v>
      </c>
      <c r="R571" s="22">
        <f t="shared" si="8"/>
        <v>189</v>
      </c>
    </row>
    <row r="572" spans="1:18">
      <c r="A572" s="71">
        <v>2569</v>
      </c>
      <c r="B572" s="72">
        <v>34509</v>
      </c>
      <c r="C572" s="71" t="s">
        <v>3014</v>
      </c>
      <c r="D572" s="72">
        <v>34506</v>
      </c>
      <c r="E572" s="71" t="s">
        <v>3015</v>
      </c>
      <c r="F572" s="71" t="s">
        <v>52</v>
      </c>
      <c r="G572" s="71" t="s">
        <v>20</v>
      </c>
      <c r="H572" s="71"/>
      <c r="I572" s="71"/>
      <c r="J572" s="71" t="s">
        <v>3016</v>
      </c>
      <c r="K572" s="71" t="s">
        <v>1639</v>
      </c>
      <c r="L572" s="71" t="s">
        <v>24</v>
      </c>
      <c r="M572" s="71"/>
      <c r="O572" s="72">
        <v>34514</v>
      </c>
      <c r="P572" s="71"/>
      <c r="Q572" s="71" t="b">
        <v>0</v>
      </c>
      <c r="R572" s="22">
        <f t="shared" si="8"/>
        <v>5</v>
      </c>
    </row>
    <row r="573" spans="1:18">
      <c r="A573" s="71">
        <v>2570</v>
      </c>
      <c r="B573" s="72">
        <v>34509</v>
      </c>
      <c r="C573" s="71" t="s">
        <v>3017</v>
      </c>
      <c r="D573" s="72">
        <v>34507</v>
      </c>
      <c r="E573" s="71" t="s">
        <v>3018</v>
      </c>
      <c r="F573" s="71" t="s">
        <v>104</v>
      </c>
      <c r="G573" s="71" t="s">
        <v>20</v>
      </c>
      <c r="H573" s="71"/>
      <c r="I573" s="71"/>
      <c r="J573" s="71" t="s">
        <v>3019</v>
      </c>
      <c r="K573" s="71" t="s">
        <v>3020</v>
      </c>
      <c r="L573" s="71" t="s">
        <v>30</v>
      </c>
      <c r="M573" s="71"/>
      <c r="O573" s="72">
        <v>34698</v>
      </c>
      <c r="P573" s="71"/>
      <c r="Q573" s="71" t="b">
        <v>0</v>
      </c>
      <c r="R573" s="22">
        <f t="shared" si="8"/>
        <v>188</v>
      </c>
    </row>
    <row r="574" spans="1:18">
      <c r="A574" s="71">
        <v>2571</v>
      </c>
      <c r="B574" s="72">
        <v>34512</v>
      </c>
      <c r="C574" s="71" t="s">
        <v>3021</v>
      </c>
      <c r="D574" s="72">
        <v>34512</v>
      </c>
      <c r="E574" s="71" t="s">
        <v>3022</v>
      </c>
      <c r="F574" s="71" t="s">
        <v>1771</v>
      </c>
      <c r="G574" s="71" t="s">
        <v>20</v>
      </c>
      <c r="H574" s="71" t="s">
        <v>189</v>
      </c>
      <c r="I574" s="71" t="s">
        <v>189</v>
      </c>
      <c r="J574" s="71" t="s">
        <v>3023</v>
      </c>
      <c r="K574" s="71" t="s">
        <v>3024</v>
      </c>
      <c r="L574" s="71" t="s">
        <v>24</v>
      </c>
      <c r="M574" s="71"/>
      <c r="O574" s="72">
        <v>34513</v>
      </c>
      <c r="P574" s="71"/>
      <c r="Q574" s="71" t="b">
        <v>0</v>
      </c>
      <c r="R574" s="22">
        <f t="shared" si="8"/>
        <v>1</v>
      </c>
    </row>
    <row r="575" spans="1:18">
      <c r="A575" s="71">
        <v>2575</v>
      </c>
      <c r="B575" s="72">
        <v>34513</v>
      </c>
      <c r="C575" s="71" t="s">
        <v>3025</v>
      </c>
      <c r="D575" s="72">
        <v>34502</v>
      </c>
      <c r="E575" s="71" t="s">
        <v>3026</v>
      </c>
      <c r="F575" s="71" t="s">
        <v>52</v>
      </c>
      <c r="G575" s="71" t="s">
        <v>20</v>
      </c>
      <c r="H575" s="71"/>
      <c r="I575" s="71"/>
      <c r="J575" s="71" t="s">
        <v>3027</v>
      </c>
      <c r="K575" s="71" t="s">
        <v>3028</v>
      </c>
      <c r="L575" s="71" t="s">
        <v>24</v>
      </c>
      <c r="M575" s="71"/>
      <c r="O575" s="72">
        <v>34543</v>
      </c>
      <c r="P575" s="71"/>
      <c r="Q575" s="71" t="b">
        <v>0</v>
      </c>
      <c r="R575" s="22">
        <f t="shared" si="8"/>
        <v>30</v>
      </c>
    </row>
    <row r="576" spans="1:18">
      <c r="A576" s="71">
        <v>2593</v>
      </c>
      <c r="B576" s="72">
        <v>34516</v>
      </c>
      <c r="C576" s="71" t="s">
        <v>3032</v>
      </c>
      <c r="D576" s="72">
        <v>34514</v>
      </c>
      <c r="E576" s="71" t="s">
        <v>3033</v>
      </c>
      <c r="F576" s="71" t="s">
        <v>149</v>
      </c>
      <c r="G576" s="71" t="s">
        <v>20</v>
      </c>
      <c r="H576" s="71"/>
      <c r="I576" s="71"/>
      <c r="J576" s="71" t="s">
        <v>3034</v>
      </c>
      <c r="K576" s="71" t="s">
        <v>3035</v>
      </c>
      <c r="L576" s="71" t="s">
        <v>66</v>
      </c>
      <c r="M576" s="71" t="s">
        <v>88</v>
      </c>
      <c r="O576" s="72">
        <v>36487</v>
      </c>
      <c r="P576" s="71"/>
      <c r="Q576" s="71" t="b">
        <v>0</v>
      </c>
      <c r="R576" s="22">
        <f t="shared" si="8"/>
        <v>1968</v>
      </c>
    </row>
    <row r="577" spans="1:18">
      <c r="A577" s="71">
        <v>2598</v>
      </c>
      <c r="B577" s="72">
        <v>34520</v>
      </c>
      <c r="C577" s="71" t="s">
        <v>3040</v>
      </c>
      <c r="D577" s="72">
        <v>34517</v>
      </c>
      <c r="E577" s="71" t="s">
        <v>3041</v>
      </c>
      <c r="F577" s="71" t="s">
        <v>104</v>
      </c>
      <c r="G577" s="71" t="s">
        <v>20</v>
      </c>
      <c r="H577" s="71"/>
      <c r="I577" s="71"/>
      <c r="J577" s="71" t="s">
        <v>3042</v>
      </c>
      <c r="K577" s="71" t="s">
        <v>3043</v>
      </c>
      <c r="L577" s="71" t="s">
        <v>24</v>
      </c>
      <c r="M577" s="71"/>
      <c r="O577" s="72">
        <v>34345</v>
      </c>
      <c r="P577" s="71">
        <v>-1</v>
      </c>
      <c r="Q577" s="71" t="b">
        <v>0</v>
      </c>
      <c r="R577" s="22">
        <f t="shared" si="8"/>
        <v>176</v>
      </c>
    </row>
    <row r="578" spans="1:18">
      <c r="A578" s="71">
        <v>2609</v>
      </c>
      <c r="B578" s="72">
        <v>34522</v>
      </c>
      <c r="C578" s="71" t="s">
        <v>3049</v>
      </c>
      <c r="D578" s="72">
        <v>34520</v>
      </c>
      <c r="E578" s="71" t="s">
        <v>3050</v>
      </c>
      <c r="F578" s="71" t="s">
        <v>228</v>
      </c>
      <c r="G578" s="71" t="s">
        <v>20</v>
      </c>
      <c r="H578" s="71"/>
      <c r="I578" s="71"/>
      <c r="J578" s="71" t="s">
        <v>3051</v>
      </c>
      <c r="K578" s="71" t="s">
        <v>3052</v>
      </c>
      <c r="L578" s="71" t="s">
        <v>30</v>
      </c>
      <c r="M578" s="71"/>
      <c r="N578" s="72">
        <v>34546</v>
      </c>
      <c r="O578" s="72">
        <v>34761</v>
      </c>
      <c r="P578" s="71">
        <v>-1</v>
      </c>
      <c r="Q578" s="71" t="b">
        <v>0</v>
      </c>
      <c r="R578" s="22">
        <f t="shared" ref="R578:R641" si="9">IF(O578=" ", " ", INT(YEARFRAC(O578, B578)*365))</f>
        <v>239</v>
      </c>
    </row>
    <row r="579" spans="1:18">
      <c r="A579" s="71">
        <v>2610</v>
      </c>
      <c r="B579" s="72">
        <v>34522</v>
      </c>
      <c r="C579" s="71" t="s">
        <v>3053</v>
      </c>
      <c r="D579" s="72">
        <v>34514</v>
      </c>
      <c r="E579" s="71" t="s">
        <v>3054</v>
      </c>
      <c r="F579" s="71" t="s">
        <v>1771</v>
      </c>
      <c r="G579" s="71" t="s">
        <v>20</v>
      </c>
      <c r="H579" s="71" t="s">
        <v>189</v>
      </c>
      <c r="I579" s="71" t="s">
        <v>189</v>
      </c>
      <c r="J579" s="71" t="s">
        <v>3055</v>
      </c>
      <c r="K579" s="71" t="s">
        <v>3056</v>
      </c>
      <c r="L579" s="71" t="s">
        <v>24</v>
      </c>
      <c r="M579" s="71"/>
      <c r="O579" s="72">
        <v>34535</v>
      </c>
      <c r="P579" s="71"/>
      <c r="Q579" s="71" t="b">
        <v>0</v>
      </c>
      <c r="R579" s="22">
        <f t="shared" si="9"/>
        <v>13</v>
      </c>
    </row>
    <row r="580" spans="1:18">
      <c r="A580" s="71">
        <v>2618</v>
      </c>
      <c r="B580" s="72">
        <v>34526</v>
      </c>
      <c r="C580" s="71" t="s">
        <v>3057</v>
      </c>
      <c r="D580" s="72">
        <v>34522</v>
      </c>
      <c r="E580" s="71" t="s">
        <v>3058</v>
      </c>
      <c r="F580" s="71" t="s">
        <v>56</v>
      </c>
      <c r="G580" s="71" t="s">
        <v>20</v>
      </c>
      <c r="H580" s="71"/>
      <c r="I580" s="71"/>
      <c r="J580" s="71" t="s">
        <v>3059</v>
      </c>
      <c r="K580" s="71" t="s">
        <v>3060</v>
      </c>
      <c r="L580" s="71" t="s">
        <v>66</v>
      </c>
      <c r="M580" s="71" t="s">
        <v>30</v>
      </c>
      <c r="O580" s="72">
        <v>36500</v>
      </c>
      <c r="P580" s="71"/>
      <c r="Q580" s="71" t="b">
        <v>0</v>
      </c>
      <c r="R580" s="22">
        <f t="shared" si="9"/>
        <v>1972</v>
      </c>
    </row>
    <row r="581" spans="1:18">
      <c r="A581" s="71">
        <v>2620</v>
      </c>
      <c r="B581" s="72">
        <v>34526</v>
      </c>
      <c r="C581" s="71" t="s">
        <v>3065</v>
      </c>
      <c r="D581" s="72">
        <v>34521</v>
      </c>
      <c r="E581" s="71" t="s">
        <v>3066</v>
      </c>
      <c r="F581" s="71" t="s">
        <v>188</v>
      </c>
      <c r="G581" s="71" t="s">
        <v>20</v>
      </c>
      <c r="H581" s="71" t="s">
        <v>189</v>
      </c>
      <c r="I581" s="71" t="s">
        <v>189</v>
      </c>
      <c r="J581" s="71" t="s">
        <v>3067</v>
      </c>
      <c r="K581" s="71" t="s">
        <v>3068</v>
      </c>
      <c r="L581" s="71" t="s">
        <v>24</v>
      </c>
      <c r="M581" s="71"/>
      <c r="O581" s="72">
        <v>34684</v>
      </c>
      <c r="P581" s="71"/>
      <c r="Q581" s="71" t="b">
        <v>0</v>
      </c>
      <c r="R581" s="22">
        <f t="shared" si="9"/>
        <v>157</v>
      </c>
    </row>
    <row r="582" spans="1:18">
      <c r="A582" s="71">
        <v>2632</v>
      </c>
      <c r="B582" s="72">
        <v>34528</v>
      </c>
      <c r="C582" s="71" t="s">
        <v>3071</v>
      </c>
      <c r="D582" s="72">
        <v>34528</v>
      </c>
      <c r="E582" s="71" t="s">
        <v>3072</v>
      </c>
      <c r="F582" s="71" t="s">
        <v>1939</v>
      </c>
      <c r="G582" s="71" t="s">
        <v>20</v>
      </c>
      <c r="H582" s="71"/>
      <c r="I582" s="71"/>
      <c r="J582" s="71" t="s">
        <v>3073</v>
      </c>
      <c r="K582" s="71" t="s">
        <v>3074</v>
      </c>
      <c r="L582" s="71" t="s">
        <v>24</v>
      </c>
      <c r="M582" s="71"/>
      <c r="O582" s="72">
        <v>34541</v>
      </c>
      <c r="P582" s="71"/>
      <c r="Q582" s="71" t="b">
        <v>0</v>
      </c>
      <c r="R582" s="22">
        <f t="shared" si="9"/>
        <v>13</v>
      </c>
    </row>
    <row r="583" spans="1:18">
      <c r="A583" s="71">
        <v>2656</v>
      </c>
      <c r="B583" s="72">
        <v>34530</v>
      </c>
      <c r="C583" s="71" t="s">
        <v>3080</v>
      </c>
      <c r="D583" s="72">
        <v>34527</v>
      </c>
      <c r="E583" s="71" t="s">
        <v>3081</v>
      </c>
      <c r="F583" s="71" t="s">
        <v>70</v>
      </c>
      <c r="G583" s="71" t="s">
        <v>20</v>
      </c>
      <c r="H583" s="71" t="s">
        <v>71</v>
      </c>
      <c r="I583" s="71" t="s">
        <v>72</v>
      </c>
      <c r="J583" s="71" t="s">
        <v>3082</v>
      </c>
      <c r="K583" s="71" t="s">
        <v>3083</v>
      </c>
      <c r="L583" s="71" t="s">
        <v>314</v>
      </c>
      <c r="M583" s="71" t="s">
        <v>1800</v>
      </c>
      <c r="O583" s="72">
        <v>37798</v>
      </c>
      <c r="P583" s="71"/>
      <c r="Q583" s="71" t="b">
        <v>0</v>
      </c>
      <c r="R583" s="22">
        <f t="shared" si="9"/>
        <v>3265</v>
      </c>
    </row>
    <row r="584" spans="1:18">
      <c r="A584" s="71">
        <v>2663</v>
      </c>
      <c r="B584" s="72">
        <v>34529</v>
      </c>
      <c r="C584" s="71" t="s">
        <v>3084</v>
      </c>
      <c r="D584" s="72">
        <v>34526</v>
      </c>
      <c r="E584" s="71" t="s">
        <v>3085</v>
      </c>
      <c r="F584" s="71" t="s">
        <v>27</v>
      </c>
      <c r="G584" s="71" t="s">
        <v>20</v>
      </c>
      <c r="H584" s="71"/>
      <c r="I584" s="71"/>
      <c r="J584" s="71" t="s">
        <v>3086</v>
      </c>
      <c r="K584" s="71" t="s">
        <v>3087</v>
      </c>
      <c r="L584" s="71" t="s">
        <v>66</v>
      </c>
      <c r="M584" s="71"/>
      <c r="O584" s="72">
        <v>35506</v>
      </c>
      <c r="P584" s="71">
        <v>-1</v>
      </c>
      <c r="Q584" s="71" t="b">
        <v>0</v>
      </c>
      <c r="R584" s="22">
        <f t="shared" si="9"/>
        <v>976</v>
      </c>
    </row>
    <row r="585" spans="1:18">
      <c r="A585" s="71">
        <v>2675</v>
      </c>
      <c r="B585" s="72">
        <v>34535</v>
      </c>
      <c r="C585" s="71" t="s">
        <v>3102</v>
      </c>
      <c r="D585" s="72">
        <v>34534</v>
      </c>
      <c r="E585" s="71" t="s">
        <v>3103</v>
      </c>
      <c r="F585" s="71" t="s">
        <v>98</v>
      </c>
      <c r="G585" s="71" t="s">
        <v>20</v>
      </c>
      <c r="H585" s="71"/>
      <c r="I585" s="71"/>
      <c r="J585" s="71" t="s">
        <v>3104</v>
      </c>
      <c r="K585" s="71" t="s">
        <v>3105</v>
      </c>
      <c r="L585" s="71" t="s">
        <v>686</v>
      </c>
      <c r="M585" s="71"/>
      <c r="N585" s="72">
        <v>35835</v>
      </c>
      <c r="O585" s="72">
        <v>35828</v>
      </c>
      <c r="P585" s="71">
        <v>-1</v>
      </c>
      <c r="Q585" s="71" t="b">
        <v>0</v>
      </c>
      <c r="R585" s="22">
        <f t="shared" si="9"/>
        <v>1289</v>
      </c>
    </row>
    <row r="586" spans="1:18">
      <c r="A586" s="71">
        <v>2730</v>
      </c>
      <c r="B586" s="72">
        <v>34543</v>
      </c>
      <c r="C586" s="71" t="s">
        <v>3125</v>
      </c>
      <c r="D586" s="72">
        <v>34540</v>
      </c>
      <c r="E586" s="71" t="s">
        <v>3126</v>
      </c>
      <c r="F586" s="71" t="s">
        <v>124</v>
      </c>
      <c r="G586" s="71"/>
      <c r="H586" s="71"/>
      <c r="I586" s="71"/>
      <c r="J586" s="71" t="s">
        <v>3127</v>
      </c>
      <c r="K586" s="71" t="s">
        <v>3128</v>
      </c>
      <c r="L586" s="71" t="s">
        <v>24</v>
      </c>
      <c r="M586" s="71"/>
      <c r="N586" s="72">
        <v>34554</v>
      </c>
      <c r="O586" s="72">
        <v>34548</v>
      </c>
      <c r="P586" s="71">
        <v>-1</v>
      </c>
      <c r="Q586" s="71" t="b">
        <v>0</v>
      </c>
      <c r="R586" s="22">
        <f t="shared" si="9"/>
        <v>4</v>
      </c>
    </row>
    <row r="587" spans="1:18">
      <c r="A587" s="71">
        <v>2734</v>
      </c>
      <c r="B587" s="72">
        <v>34547</v>
      </c>
      <c r="C587" s="71" t="s">
        <v>3129</v>
      </c>
      <c r="D587" s="72">
        <v>34544</v>
      </c>
      <c r="E587" s="71" t="s">
        <v>3130</v>
      </c>
      <c r="F587" s="71" t="s">
        <v>85</v>
      </c>
      <c r="G587" s="71" t="s">
        <v>20</v>
      </c>
      <c r="H587" s="71"/>
      <c r="I587" s="71"/>
      <c r="J587" s="71" t="s">
        <v>3131</v>
      </c>
      <c r="K587" s="71" t="s">
        <v>3132</v>
      </c>
      <c r="L587" s="71" t="s">
        <v>30</v>
      </c>
      <c r="M587" s="71"/>
      <c r="N587" s="72">
        <v>34577</v>
      </c>
      <c r="O587" s="72">
        <v>34698</v>
      </c>
      <c r="P587" s="71">
        <v>-1</v>
      </c>
      <c r="Q587" s="71" t="b">
        <v>0</v>
      </c>
      <c r="R587" s="22">
        <f t="shared" si="9"/>
        <v>151</v>
      </c>
    </row>
    <row r="588" spans="1:18">
      <c r="A588" s="71">
        <v>2749</v>
      </c>
      <c r="B588" s="72">
        <v>34554</v>
      </c>
      <c r="C588" s="71" t="s">
        <v>3135</v>
      </c>
      <c r="D588" s="72">
        <v>34549</v>
      </c>
      <c r="E588" s="71" t="s">
        <v>3136</v>
      </c>
      <c r="F588" s="71" t="s">
        <v>27</v>
      </c>
      <c r="G588" s="71" t="s">
        <v>20</v>
      </c>
      <c r="H588" s="71"/>
      <c r="I588" s="71"/>
      <c r="J588" s="71" t="s">
        <v>3137</v>
      </c>
      <c r="K588" s="71" t="s">
        <v>3138</v>
      </c>
      <c r="L588" s="71" t="s">
        <v>24</v>
      </c>
      <c r="M588" s="71"/>
      <c r="O588" s="72">
        <v>34589</v>
      </c>
      <c r="P588" s="71">
        <v>-1</v>
      </c>
      <c r="Q588" s="71" t="b">
        <v>0</v>
      </c>
      <c r="R588" s="22">
        <f t="shared" si="9"/>
        <v>34</v>
      </c>
    </row>
    <row r="589" spans="1:18">
      <c r="A589" s="71">
        <v>2756</v>
      </c>
      <c r="B589" s="72">
        <v>34557</v>
      </c>
      <c r="C589" s="71" t="s">
        <v>3142</v>
      </c>
      <c r="D589" s="72">
        <v>34556</v>
      </c>
      <c r="E589" s="71" t="s">
        <v>3143</v>
      </c>
      <c r="F589" s="71" t="s">
        <v>124</v>
      </c>
      <c r="G589" s="71" t="s">
        <v>20</v>
      </c>
      <c r="H589" s="71"/>
      <c r="I589" s="71"/>
      <c r="J589" s="71" t="s">
        <v>3144</v>
      </c>
      <c r="K589" s="71" t="s">
        <v>3145</v>
      </c>
      <c r="L589" s="71" t="s">
        <v>30</v>
      </c>
      <c r="M589" s="71"/>
      <c r="O589" s="72">
        <v>34652</v>
      </c>
      <c r="P589" s="71"/>
      <c r="Q589" s="71" t="b">
        <v>0</v>
      </c>
      <c r="R589" s="22">
        <f t="shared" si="9"/>
        <v>94</v>
      </c>
    </row>
    <row r="590" spans="1:18">
      <c r="A590" s="71">
        <v>2762</v>
      </c>
      <c r="B590" s="72">
        <v>34561</v>
      </c>
      <c r="C590" s="71" t="s">
        <v>3149</v>
      </c>
      <c r="D590" s="72">
        <v>34557</v>
      </c>
      <c r="E590" s="71" t="s">
        <v>3150</v>
      </c>
      <c r="F590" s="71" t="s">
        <v>533</v>
      </c>
      <c r="G590" s="71" t="s">
        <v>20</v>
      </c>
      <c r="H590" s="71"/>
      <c r="I590" s="71"/>
      <c r="J590" s="71" t="s">
        <v>3151</v>
      </c>
      <c r="K590" s="71" t="s">
        <v>3152</v>
      </c>
      <c r="L590" s="71" t="s">
        <v>66</v>
      </c>
      <c r="M590" s="71"/>
      <c r="O590" s="72">
        <v>36444</v>
      </c>
      <c r="P590" s="71"/>
      <c r="Q590" s="71" t="b">
        <v>0</v>
      </c>
      <c r="R590" s="22">
        <f t="shared" si="9"/>
        <v>1881</v>
      </c>
    </row>
    <row r="591" spans="1:18">
      <c r="A591" s="71">
        <v>2763</v>
      </c>
      <c r="B591" s="72">
        <v>34568</v>
      </c>
      <c r="C591" s="71" t="s">
        <v>3153</v>
      </c>
      <c r="D591" s="72">
        <v>34568</v>
      </c>
      <c r="E591" s="71" t="s">
        <v>3154</v>
      </c>
      <c r="F591" s="71" t="s">
        <v>19</v>
      </c>
      <c r="G591" s="71" t="s">
        <v>20</v>
      </c>
      <c r="H591" s="71"/>
      <c r="I591" s="71"/>
      <c r="J591" s="71" t="s">
        <v>3155</v>
      </c>
      <c r="K591" s="71" t="s">
        <v>3156</v>
      </c>
      <c r="L591" s="71" t="s">
        <v>24</v>
      </c>
      <c r="M591" s="71"/>
      <c r="O591" s="72">
        <v>34645</v>
      </c>
      <c r="P591" s="71">
        <v>-1</v>
      </c>
      <c r="Q591" s="71" t="b">
        <v>0</v>
      </c>
      <c r="R591" s="22">
        <f t="shared" si="9"/>
        <v>76</v>
      </c>
    </row>
    <row r="592" spans="1:18">
      <c r="A592" s="71">
        <v>2764</v>
      </c>
      <c r="B592" s="72">
        <v>34568</v>
      </c>
      <c r="C592" s="71" t="s">
        <v>3157</v>
      </c>
      <c r="D592" s="72">
        <v>34568</v>
      </c>
      <c r="E592" s="71" t="s">
        <v>3158</v>
      </c>
      <c r="F592" s="71" t="s">
        <v>19</v>
      </c>
      <c r="G592" s="71" t="s">
        <v>20</v>
      </c>
      <c r="H592" s="71"/>
      <c r="I592" s="71"/>
      <c r="J592" s="71" t="s">
        <v>3159</v>
      </c>
      <c r="K592" s="71" t="s">
        <v>3156</v>
      </c>
      <c r="L592" s="71" t="s">
        <v>24</v>
      </c>
      <c r="M592" s="71"/>
      <c r="O592" s="72">
        <v>34645</v>
      </c>
      <c r="P592" s="71">
        <v>-1</v>
      </c>
      <c r="Q592" s="71" t="b">
        <v>0</v>
      </c>
      <c r="R592" s="22">
        <f t="shared" si="9"/>
        <v>76</v>
      </c>
    </row>
    <row r="593" spans="1:18">
      <c r="A593" s="71">
        <v>2765</v>
      </c>
      <c r="B593" s="72">
        <v>34568</v>
      </c>
      <c r="C593" s="71" t="s">
        <v>3160</v>
      </c>
      <c r="D593" s="72">
        <v>34564</v>
      </c>
      <c r="E593" s="71" t="s">
        <v>3161</v>
      </c>
      <c r="F593" s="71" t="s">
        <v>367</v>
      </c>
      <c r="G593" s="71" t="s">
        <v>20</v>
      </c>
      <c r="H593" s="71" t="s">
        <v>71</v>
      </c>
      <c r="I593" s="71" t="s">
        <v>72</v>
      </c>
      <c r="J593" s="71" t="s">
        <v>3162</v>
      </c>
      <c r="K593" s="71" t="s">
        <v>95</v>
      </c>
      <c r="L593" s="71" t="s">
        <v>314</v>
      </c>
      <c r="M593" s="71" t="s">
        <v>3163</v>
      </c>
      <c r="N593" s="72">
        <v>34607</v>
      </c>
      <c r="O593" s="72">
        <v>37572</v>
      </c>
      <c r="P593" s="71">
        <v>-1</v>
      </c>
      <c r="Q593" s="71" t="b">
        <v>0</v>
      </c>
      <c r="R593" s="22">
        <f t="shared" si="9"/>
        <v>3001</v>
      </c>
    </row>
    <row r="594" spans="1:18">
      <c r="A594" s="71">
        <v>2766</v>
      </c>
      <c r="B594" s="72">
        <v>34564</v>
      </c>
      <c r="C594" s="71" t="s">
        <v>3164</v>
      </c>
      <c r="D594" s="72">
        <v>34556</v>
      </c>
      <c r="E594" s="71" t="s">
        <v>3165</v>
      </c>
      <c r="F594" s="71" t="s">
        <v>3166</v>
      </c>
      <c r="G594" s="71"/>
      <c r="H594" s="71"/>
      <c r="I594" s="71"/>
      <c r="J594" s="71" t="s">
        <v>3167</v>
      </c>
      <c r="K594" s="71" t="s">
        <v>3168</v>
      </c>
      <c r="L594" s="71" t="s">
        <v>82</v>
      </c>
      <c r="M594" s="71"/>
      <c r="N594" s="72">
        <v>34579</v>
      </c>
      <c r="O594" s="72">
        <v>34591</v>
      </c>
      <c r="P594" s="71">
        <v>-1</v>
      </c>
      <c r="Q594" s="71" t="b">
        <v>0</v>
      </c>
      <c r="R594" s="22">
        <f t="shared" si="9"/>
        <v>26</v>
      </c>
    </row>
    <row r="595" spans="1:18">
      <c r="A595" s="71">
        <v>2767</v>
      </c>
      <c r="B595" s="72">
        <v>34564</v>
      </c>
      <c r="C595" s="71" t="s">
        <v>3169</v>
      </c>
      <c r="D595" s="72">
        <v>34562</v>
      </c>
      <c r="E595" s="71" t="s">
        <v>3170</v>
      </c>
      <c r="F595" s="71" t="s">
        <v>3171</v>
      </c>
      <c r="G595" s="71" t="s">
        <v>20</v>
      </c>
      <c r="H595" s="71" t="s">
        <v>566</v>
      </c>
      <c r="I595" s="71" t="s">
        <v>566</v>
      </c>
      <c r="J595" s="71" t="s">
        <v>3172</v>
      </c>
      <c r="K595" s="71" t="s">
        <v>3173</v>
      </c>
      <c r="L595" s="71" t="s">
        <v>24</v>
      </c>
      <c r="M595" s="71"/>
      <c r="N595" s="72">
        <v>34596</v>
      </c>
      <c r="O595" s="72">
        <v>34579</v>
      </c>
      <c r="P595" s="71"/>
      <c r="Q595" s="71" t="b">
        <v>0</v>
      </c>
      <c r="R595" s="22">
        <f t="shared" si="9"/>
        <v>14</v>
      </c>
    </row>
    <row r="596" spans="1:18">
      <c r="A596" s="71">
        <v>2781</v>
      </c>
      <c r="B596" s="72">
        <v>34571</v>
      </c>
      <c r="C596" s="71" t="s">
        <v>3181</v>
      </c>
      <c r="D596" s="72">
        <v>34570</v>
      </c>
      <c r="E596" s="71" t="s">
        <v>3182</v>
      </c>
      <c r="F596" s="71" t="s">
        <v>39</v>
      </c>
      <c r="G596" s="71" t="s">
        <v>20</v>
      </c>
      <c r="H596" s="71"/>
      <c r="I596" s="71"/>
      <c r="J596" s="71" t="s">
        <v>2905</v>
      </c>
      <c r="K596" s="71" t="s">
        <v>3183</v>
      </c>
      <c r="L596" s="71" t="s">
        <v>30</v>
      </c>
      <c r="M596" s="71"/>
      <c r="O596" s="72">
        <v>34659</v>
      </c>
      <c r="P596" s="71"/>
      <c r="Q596" s="71" t="b">
        <v>0</v>
      </c>
      <c r="R596" s="22">
        <f t="shared" si="9"/>
        <v>87</v>
      </c>
    </row>
    <row r="597" spans="1:18">
      <c r="A597" s="71">
        <v>2797</v>
      </c>
      <c r="B597" s="72">
        <v>34584</v>
      </c>
      <c r="C597" s="71" t="s">
        <v>3187</v>
      </c>
      <c r="D597" s="72">
        <v>34583</v>
      </c>
      <c r="E597" s="71" t="s">
        <v>3188</v>
      </c>
      <c r="F597" s="71" t="s">
        <v>39</v>
      </c>
      <c r="G597" s="71" t="s">
        <v>20</v>
      </c>
      <c r="H597" s="71"/>
      <c r="I597" s="71"/>
      <c r="J597" s="71" t="s">
        <v>1735</v>
      </c>
      <c r="K597" s="71" t="s">
        <v>3189</v>
      </c>
      <c r="L597" s="71" t="s">
        <v>24</v>
      </c>
      <c r="M597" s="71"/>
      <c r="O597" s="72">
        <v>34597</v>
      </c>
      <c r="P597" s="71"/>
      <c r="Q597" s="71" t="b">
        <v>0</v>
      </c>
      <c r="R597" s="22">
        <f t="shared" si="9"/>
        <v>13</v>
      </c>
    </row>
    <row r="598" spans="1:18">
      <c r="A598" s="71">
        <v>2799</v>
      </c>
      <c r="B598" s="72">
        <v>34584</v>
      </c>
      <c r="C598" s="71" t="s">
        <v>3190</v>
      </c>
      <c r="D598" s="72">
        <v>34583</v>
      </c>
      <c r="E598" s="71" t="s">
        <v>3191</v>
      </c>
      <c r="F598" s="71" t="s">
        <v>1830</v>
      </c>
      <c r="G598" s="71" t="s">
        <v>20</v>
      </c>
      <c r="H598" s="71"/>
      <c r="I598" s="71"/>
      <c r="J598" s="71" t="s">
        <v>3192</v>
      </c>
      <c r="K598" s="71" t="s">
        <v>3193</v>
      </c>
      <c r="L598" s="71" t="s">
        <v>30</v>
      </c>
      <c r="M598" s="71"/>
      <c r="N598" s="72">
        <v>34607</v>
      </c>
      <c r="O598" s="72">
        <v>34849</v>
      </c>
      <c r="P598" s="71"/>
      <c r="Q598" s="71" t="b">
        <v>0</v>
      </c>
      <c r="R598" s="22">
        <f t="shared" si="9"/>
        <v>266</v>
      </c>
    </row>
    <row r="599" spans="1:18">
      <c r="A599" s="71">
        <v>2800</v>
      </c>
      <c r="B599" s="72">
        <v>34584</v>
      </c>
      <c r="C599" s="71" t="s">
        <v>3194</v>
      </c>
      <c r="D599" s="72">
        <v>34583</v>
      </c>
      <c r="E599" s="71" t="s">
        <v>3195</v>
      </c>
      <c r="F599" s="71" t="s">
        <v>145</v>
      </c>
      <c r="G599" s="71" t="s">
        <v>20</v>
      </c>
      <c r="H599" s="71"/>
      <c r="I599" s="71"/>
      <c r="J599" s="71" t="s">
        <v>3196</v>
      </c>
      <c r="K599" s="71" t="s">
        <v>3197</v>
      </c>
      <c r="L599" s="71" t="s">
        <v>30</v>
      </c>
      <c r="M599" s="71"/>
      <c r="N599" s="72">
        <v>34607</v>
      </c>
      <c r="O599" s="72">
        <v>34625</v>
      </c>
      <c r="P599" s="71">
        <v>-1</v>
      </c>
      <c r="Q599" s="71" t="b">
        <v>0</v>
      </c>
      <c r="R599" s="22">
        <f t="shared" si="9"/>
        <v>41</v>
      </c>
    </row>
    <row r="600" spans="1:18">
      <c r="A600" s="71">
        <v>2801</v>
      </c>
      <c r="B600" s="72">
        <v>34584</v>
      </c>
      <c r="C600" s="71" t="s">
        <v>3198</v>
      </c>
      <c r="D600" s="72">
        <v>34578</v>
      </c>
      <c r="E600" s="71" t="s">
        <v>3199</v>
      </c>
      <c r="F600" s="71" t="s">
        <v>39</v>
      </c>
      <c r="G600" s="71" t="s">
        <v>20</v>
      </c>
      <c r="H600" s="71"/>
      <c r="I600" s="71"/>
      <c r="J600" s="71" t="s">
        <v>1735</v>
      </c>
      <c r="K600" s="71" t="s">
        <v>3200</v>
      </c>
      <c r="L600" s="71" t="s">
        <v>24</v>
      </c>
      <c r="M600" s="71"/>
      <c r="O600" s="72">
        <v>34597</v>
      </c>
      <c r="P600" s="71">
        <v>-1</v>
      </c>
      <c r="Q600" s="71" t="b">
        <v>0</v>
      </c>
      <c r="R600" s="22">
        <f t="shared" si="9"/>
        <v>13</v>
      </c>
    </row>
    <row r="601" spans="1:18">
      <c r="A601" s="71">
        <v>2828</v>
      </c>
      <c r="B601" s="72">
        <v>34593</v>
      </c>
      <c r="C601" s="71" t="s">
        <v>3219</v>
      </c>
      <c r="D601" s="72">
        <v>34592</v>
      </c>
      <c r="E601" s="71" t="s">
        <v>3220</v>
      </c>
      <c r="F601" s="71" t="s">
        <v>124</v>
      </c>
      <c r="G601" s="71" t="s">
        <v>20</v>
      </c>
      <c r="H601" s="71"/>
      <c r="I601" s="71"/>
      <c r="J601" s="71" t="s">
        <v>3221</v>
      </c>
      <c r="K601" s="71" t="s">
        <v>3222</v>
      </c>
      <c r="L601" s="71" t="s">
        <v>30</v>
      </c>
      <c r="M601" s="71"/>
      <c r="N601" s="72">
        <v>34638</v>
      </c>
      <c r="O601" s="72">
        <v>34652</v>
      </c>
      <c r="P601" s="71">
        <v>-1</v>
      </c>
      <c r="Q601" s="71" t="b">
        <v>0</v>
      </c>
      <c r="R601" s="22">
        <f t="shared" si="9"/>
        <v>58</v>
      </c>
    </row>
    <row r="602" spans="1:18">
      <c r="A602" s="71">
        <v>2829</v>
      </c>
      <c r="B602" s="72">
        <v>34593</v>
      </c>
      <c r="C602" s="71" t="s">
        <v>3223</v>
      </c>
      <c r="D602" s="72">
        <v>34590</v>
      </c>
      <c r="E602" s="71" t="s">
        <v>3224</v>
      </c>
      <c r="F602" s="71" t="s">
        <v>149</v>
      </c>
      <c r="G602" s="71" t="s">
        <v>20</v>
      </c>
      <c r="H602" s="71"/>
      <c r="I602" s="71"/>
      <c r="J602" s="71" t="s">
        <v>3225</v>
      </c>
      <c r="K602" s="71" t="s">
        <v>3226</v>
      </c>
      <c r="L602" s="71" t="s">
        <v>314</v>
      </c>
      <c r="M602" s="71" t="s">
        <v>3163</v>
      </c>
      <c r="N602" s="72">
        <v>34638</v>
      </c>
      <c r="O602" s="72">
        <v>37890</v>
      </c>
      <c r="P602" s="71"/>
      <c r="Q602" s="71" t="b">
        <v>0</v>
      </c>
      <c r="R602" s="22">
        <f t="shared" si="9"/>
        <v>3295</v>
      </c>
    </row>
    <row r="603" spans="1:18">
      <c r="A603" s="71">
        <v>2830</v>
      </c>
      <c r="B603" s="72">
        <v>34596</v>
      </c>
      <c r="C603" s="71" t="s">
        <v>3227</v>
      </c>
      <c r="D603" s="72">
        <v>34591</v>
      </c>
      <c r="E603" s="71" t="s">
        <v>3228</v>
      </c>
      <c r="F603" s="71" t="s">
        <v>741</v>
      </c>
      <c r="G603" s="71" t="s">
        <v>20</v>
      </c>
      <c r="H603" s="71"/>
      <c r="I603" s="71"/>
      <c r="J603" s="71" t="s">
        <v>3229</v>
      </c>
      <c r="K603" s="71" t="s">
        <v>3230</v>
      </c>
      <c r="L603" s="71" t="s">
        <v>24</v>
      </c>
      <c r="M603" s="71"/>
      <c r="O603" s="72">
        <v>34683</v>
      </c>
      <c r="P603" s="71"/>
      <c r="Q603" s="71" t="b">
        <v>0</v>
      </c>
      <c r="R603" s="22">
        <f t="shared" si="9"/>
        <v>87</v>
      </c>
    </row>
    <row r="604" spans="1:18">
      <c r="A604" s="71">
        <v>2835</v>
      </c>
      <c r="B604" s="72">
        <v>34598</v>
      </c>
      <c r="C604" s="71" t="s">
        <v>3234</v>
      </c>
      <c r="D604" s="72">
        <v>34593</v>
      </c>
      <c r="E604" s="71" t="s">
        <v>3235</v>
      </c>
      <c r="F604" s="71" t="s">
        <v>3236</v>
      </c>
      <c r="G604" s="71" t="s">
        <v>20</v>
      </c>
      <c r="H604" s="71"/>
      <c r="I604" s="71"/>
      <c r="J604" s="71" t="s">
        <v>3237</v>
      </c>
      <c r="K604" s="71" t="s">
        <v>3238</v>
      </c>
      <c r="L604" s="71" t="s">
        <v>82</v>
      </c>
      <c r="M604" s="71"/>
      <c r="O604" s="72">
        <v>34681</v>
      </c>
      <c r="P604" s="71">
        <v>-1</v>
      </c>
      <c r="Q604" s="71" t="b">
        <v>0</v>
      </c>
      <c r="R604" s="22">
        <f t="shared" si="9"/>
        <v>83</v>
      </c>
    </row>
    <row r="605" spans="1:18">
      <c r="A605" s="71">
        <v>2849</v>
      </c>
      <c r="B605" s="72">
        <v>34603</v>
      </c>
      <c r="C605" s="71" t="s">
        <v>3242</v>
      </c>
      <c r="D605" s="72">
        <v>34599</v>
      </c>
      <c r="E605" s="71" t="s">
        <v>3243</v>
      </c>
      <c r="F605" s="71" t="s">
        <v>513</v>
      </c>
      <c r="G605" s="71" t="s">
        <v>20</v>
      </c>
      <c r="H605" s="71"/>
      <c r="I605" s="71"/>
      <c r="J605" s="71" t="s">
        <v>3244</v>
      </c>
      <c r="K605" s="71" t="s">
        <v>3245</v>
      </c>
      <c r="L605" s="71" t="s">
        <v>24</v>
      </c>
      <c r="M605" s="71"/>
      <c r="N605" s="72">
        <v>34633</v>
      </c>
      <c r="O605" s="72">
        <v>34774</v>
      </c>
      <c r="P605" s="71">
        <v>-1</v>
      </c>
      <c r="Q605" s="71" t="b">
        <v>0</v>
      </c>
      <c r="R605" s="22">
        <f t="shared" si="9"/>
        <v>172</v>
      </c>
    </row>
    <row r="606" spans="1:18">
      <c r="A606" s="71">
        <v>2864</v>
      </c>
      <c r="B606" s="72">
        <v>34606</v>
      </c>
      <c r="C606" s="71" t="s">
        <v>3253</v>
      </c>
      <c r="D606" s="72">
        <v>34605</v>
      </c>
      <c r="E606" s="71" t="s">
        <v>3254</v>
      </c>
      <c r="F606" s="71" t="s">
        <v>1804</v>
      </c>
      <c r="G606" s="71" t="s">
        <v>20</v>
      </c>
      <c r="H606" s="71" t="s">
        <v>566</v>
      </c>
      <c r="I606" s="71" t="s">
        <v>566</v>
      </c>
      <c r="J606" s="71" t="s">
        <v>3255</v>
      </c>
      <c r="K606" s="71" t="s">
        <v>3256</v>
      </c>
      <c r="L606" s="71" t="s">
        <v>82</v>
      </c>
      <c r="M606" s="71"/>
      <c r="N606" s="72">
        <v>34622</v>
      </c>
      <c r="O606" s="72">
        <v>34614</v>
      </c>
      <c r="P606" s="71">
        <v>-1</v>
      </c>
      <c r="Q606" s="71" t="b">
        <v>0</v>
      </c>
      <c r="R606" s="22">
        <f t="shared" si="9"/>
        <v>8</v>
      </c>
    </row>
    <row r="607" spans="1:18">
      <c r="A607" s="71">
        <v>2866</v>
      </c>
      <c r="B607" s="72">
        <v>34606</v>
      </c>
      <c r="C607" s="71" t="s">
        <v>3257</v>
      </c>
      <c r="D607" s="72">
        <v>34603</v>
      </c>
      <c r="E607" s="71" t="s">
        <v>3258</v>
      </c>
      <c r="F607" s="71" t="s">
        <v>39</v>
      </c>
      <c r="G607" s="71" t="s">
        <v>20</v>
      </c>
      <c r="H607" s="71"/>
      <c r="I607" s="71"/>
      <c r="J607" s="71" t="s">
        <v>3259</v>
      </c>
      <c r="K607" s="71" t="s">
        <v>3260</v>
      </c>
      <c r="L607" s="71" t="s">
        <v>24</v>
      </c>
      <c r="M607" s="71"/>
      <c r="O607" s="72">
        <v>34620</v>
      </c>
      <c r="P607" s="71"/>
      <c r="Q607" s="71" t="b">
        <v>0</v>
      </c>
      <c r="R607" s="22">
        <f t="shared" si="9"/>
        <v>14</v>
      </c>
    </row>
    <row r="608" spans="1:18">
      <c r="A608" s="71">
        <v>2886</v>
      </c>
      <c r="B608" s="72">
        <v>34618</v>
      </c>
      <c r="C608" s="71" t="s">
        <v>3272</v>
      </c>
      <c r="D608" s="72">
        <v>34610</v>
      </c>
      <c r="E608" s="71" t="s">
        <v>3273</v>
      </c>
      <c r="F608" s="71" t="s">
        <v>2521</v>
      </c>
      <c r="G608" s="71" t="s">
        <v>20</v>
      </c>
      <c r="H608" s="71" t="s">
        <v>3274</v>
      </c>
      <c r="I608" s="71" t="s">
        <v>566</v>
      </c>
      <c r="J608" s="71" t="s">
        <v>3275</v>
      </c>
      <c r="K608" s="71" t="s">
        <v>3276</v>
      </c>
      <c r="L608" s="71" t="s">
        <v>82</v>
      </c>
      <c r="M608" s="71"/>
      <c r="O608" s="72">
        <v>34827</v>
      </c>
      <c r="P608" s="71"/>
      <c r="Q608" s="71" t="b">
        <v>0</v>
      </c>
      <c r="R608" s="22">
        <f t="shared" si="9"/>
        <v>209</v>
      </c>
    </row>
    <row r="609" spans="1:18">
      <c r="A609" s="71">
        <v>2887</v>
      </c>
      <c r="B609" s="72">
        <v>34618</v>
      </c>
      <c r="C609" s="71" t="s">
        <v>3277</v>
      </c>
      <c r="D609" s="72">
        <v>34614</v>
      </c>
      <c r="E609" s="71" t="s">
        <v>3278</v>
      </c>
      <c r="F609" s="71" t="s">
        <v>1414</v>
      </c>
      <c r="G609" s="71" t="s">
        <v>20</v>
      </c>
      <c r="H609" s="71" t="s">
        <v>71</v>
      </c>
      <c r="I609" s="71" t="s">
        <v>72</v>
      </c>
      <c r="J609" s="71" t="s">
        <v>3279</v>
      </c>
      <c r="K609" s="71" t="s">
        <v>3280</v>
      </c>
      <c r="L609" s="71" t="s">
        <v>24</v>
      </c>
      <c r="M609" s="71"/>
      <c r="O609" s="72">
        <v>34681</v>
      </c>
      <c r="P609" s="71"/>
      <c r="Q609" s="71" t="b">
        <v>0</v>
      </c>
      <c r="R609" s="22">
        <f t="shared" si="9"/>
        <v>62</v>
      </c>
    </row>
    <row r="610" spans="1:18">
      <c r="A610" s="71">
        <v>2890</v>
      </c>
      <c r="B610" s="72">
        <v>34619</v>
      </c>
      <c r="C610" s="71" t="s">
        <v>3281</v>
      </c>
      <c r="D610" s="72">
        <v>34618</v>
      </c>
      <c r="E610" s="71" t="s">
        <v>3282</v>
      </c>
      <c r="F610" s="71" t="s">
        <v>3283</v>
      </c>
      <c r="G610" s="71" t="s">
        <v>20</v>
      </c>
      <c r="H610" s="71"/>
      <c r="I610" s="71"/>
      <c r="J610" s="71" t="s">
        <v>3284</v>
      </c>
      <c r="K610" s="71" t="s">
        <v>3285</v>
      </c>
      <c r="L610" s="71" t="s">
        <v>24</v>
      </c>
      <c r="M610" s="71"/>
      <c r="O610" s="72">
        <v>34716</v>
      </c>
      <c r="P610" s="71"/>
      <c r="Q610" s="71" t="b">
        <v>0</v>
      </c>
      <c r="R610" s="22">
        <f t="shared" si="9"/>
        <v>96</v>
      </c>
    </row>
    <row r="611" spans="1:18">
      <c r="A611" s="71">
        <v>2891</v>
      </c>
      <c r="B611" s="72">
        <v>34619</v>
      </c>
      <c r="C611" s="71" t="s">
        <v>3286</v>
      </c>
      <c r="D611" s="72">
        <v>34608</v>
      </c>
      <c r="E611" s="71" t="s">
        <v>3287</v>
      </c>
      <c r="F611" s="71" t="s">
        <v>1251</v>
      </c>
      <c r="G611" s="71"/>
      <c r="H611" s="71"/>
      <c r="I611" s="71"/>
      <c r="J611" s="71" t="s">
        <v>3288</v>
      </c>
      <c r="K611" s="71" t="s">
        <v>3289</v>
      </c>
      <c r="L611" s="71" t="s">
        <v>24</v>
      </c>
      <c r="M611" s="71"/>
      <c r="O611" s="72">
        <v>34716</v>
      </c>
      <c r="P611" s="71">
        <v>-1</v>
      </c>
      <c r="Q611" s="71" t="b">
        <v>0</v>
      </c>
      <c r="R611" s="22">
        <f t="shared" si="9"/>
        <v>96</v>
      </c>
    </row>
    <row r="612" spans="1:18">
      <c r="A612" s="71">
        <v>2898</v>
      </c>
      <c r="B612" s="72">
        <v>34621</v>
      </c>
      <c r="C612" s="71" t="s">
        <v>3290</v>
      </c>
      <c r="D612" s="72">
        <v>34620</v>
      </c>
      <c r="E612" s="71" t="s">
        <v>3291</v>
      </c>
      <c r="F612" s="71" t="s">
        <v>3292</v>
      </c>
      <c r="G612" s="71" t="s">
        <v>20</v>
      </c>
      <c r="H612" s="71" t="s">
        <v>189</v>
      </c>
      <c r="I612" s="71" t="s">
        <v>189</v>
      </c>
      <c r="J612" s="71" t="s">
        <v>3293</v>
      </c>
      <c r="K612" s="71" t="s">
        <v>3294</v>
      </c>
      <c r="L612" s="71" t="s">
        <v>24</v>
      </c>
      <c r="M612" s="71"/>
      <c r="O612" s="72">
        <v>34683</v>
      </c>
      <c r="P612" s="71"/>
      <c r="Q612" s="71" t="b">
        <v>0</v>
      </c>
      <c r="R612" s="22">
        <f t="shared" si="9"/>
        <v>61</v>
      </c>
    </row>
    <row r="613" spans="1:18">
      <c r="A613" s="71">
        <v>2899</v>
      </c>
      <c r="B613" s="72">
        <v>34624</v>
      </c>
      <c r="C613" s="71" t="s">
        <v>3295</v>
      </c>
      <c r="D613" s="72">
        <v>34624</v>
      </c>
      <c r="E613" s="71" t="s">
        <v>3296</v>
      </c>
      <c r="F613" s="71" t="s">
        <v>124</v>
      </c>
      <c r="G613" s="71" t="s">
        <v>20</v>
      </c>
      <c r="H613" s="71"/>
      <c r="I613" s="71"/>
      <c r="J613" s="71" t="s">
        <v>3297</v>
      </c>
      <c r="K613" s="71" t="s">
        <v>3298</v>
      </c>
      <c r="L613" s="71" t="s">
        <v>82</v>
      </c>
      <c r="M613" s="71"/>
      <c r="N613" s="72">
        <v>34627</v>
      </c>
      <c r="O613" s="72">
        <v>34627</v>
      </c>
      <c r="P613" s="71">
        <v>-1</v>
      </c>
      <c r="Q613" s="71" t="b">
        <v>0</v>
      </c>
      <c r="R613" s="22">
        <f t="shared" si="9"/>
        <v>3</v>
      </c>
    </row>
    <row r="614" spans="1:18">
      <c r="A614" s="71">
        <v>2913</v>
      </c>
      <c r="B614" s="72">
        <v>34627</v>
      </c>
      <c r="C614" s="71" t="s">
        <v>3302</v>
      </c>
      <c r="D614" s="72">
        <v>34627</v>
      </c>
      <c r="E614" s="71" t="s">
        <v>3303</v>
      </c>
      <c r="F614" s="71" t="s">
        <v>149</v>
      </c>
      <c r="G614" s="71" t="s">
        <v>20</v>
      </c>
      <c r="H614" s="71"/>
      <c r="I614" s="71"/>
      <c r="J614" s="71" t="s">
        <v>3304</v>
      </c>
      <c r="K614" s="71" t="s">
        <v>3305</v>
      </c>
      <c r="L614" s="71" t="s">
        <v>82</v>
      </c>
      <c r="M614" s="71"/>
      <c r="O614" s="72">
        <v>34716</v>
      </c>
      <c r="P614" s="71">
        <v>-1</v>
      </c>
      <c r="Q614" s="71" t="b">
        <v>0</v>
      </c>
      <c r="R614" s="22">
        <f t="shared" si="9"/>
        <v>88</v>
      </c>
    </row>
    <row r="615" spans="1:18">
      <c r="A615" s="71">
        <v>2965</v>
      </c>
      <c r="B615" s="72">
        <v>34641</v>
      </c>
      <c r="C615" s="71" t="s">
        <v>3315</v>
      </c>
      <c r="D615" s="72">
        <v>34641</v>
      </c>
      <c r="E615" s="71" t="s">
        <v>3316</v>
      </c>
      <c r="F615" s="71" t="s">
        <v>116</v>
      </c>
      <c r="G615" s="71" t="s">
        <v>20</v>
      </c>
      <c r="H615" s="71"/>
      <c r="I615" s="71"/>
      <c r="J615" s="71" t="s">
        <v>3317</v>
      </c>
      <c r="K615" s="71" t="s">
        <v>3318</v>
      </c>
      <c r="L615" s="71" t="s">
        <v>30</v>
      </c>
      <c r="M615" s="71"/>
      <c r="O615" s="72">
        <v>34653</v>
      </c>
      <c r="P615" s="71"/>
      <c r="Q615" s="71" t="b">
        <v>0</v>
      </c>
      <c r="R615" s="22">
        <f t="shared" si="9"/>
        <v>12</v>
      </c>
    </row>
    <row r="616" spans="1:18">
      <c r="A616" s="71">
        <v>2996</v>
      </c>
      <c r="B616" s="72">
        <v>34656</v>
      </c>
      <c r="C616" s="71" t="s">
        <v>3322</v>
      </c>
      <c r="D616" s="72">
        <v>34653</v>
      </c>
      <c r="E616" s="71" t="s">
        <v>3323</v>
      </c>
      <c r="F616" s="71" t="s">
        <v>27</v>
      </c>
      <c r="G616" s="71" t="s">
        <v>20</v>
      </c>
      <c r="H616" s="71" t="s">
        <v>212</v>
      </c>
      <c r="I616" s="71" t="s">
        <v>212</v>
      </c>
      <c r="J616" s="71" t="s">
        <v>3324</v>
      </c>
      <c r="K616" s="71" t="s">
        <v>3325</v>
      </c>
      <c r="L616" s="71" t="s">
        <v>88</v>
      </c>
      <c r="M616" s="71"/>
      <c r="O616" s="72">
        <v>35860</v>
      </c>
      <c r="P616" s="71"/>
      <c r="Q616" s="71" t="b">
        <v>0</v>
      </c>
      <c r="R616" s="22">
        <f t="shared" si="9"/>
        <v>1204</v>
      </c>
    </row>
    <row r="617" spans="1:18">
      <c r="A617" s="71">
        <v>3003</v>
      </c>
      <c r="B617" s="72">
        <v>34661</v>
      </c>
      <c r="C617" s="71" t="s">
        <v>3331</v>
      </c>
      <c r="D617" s="72">
        <v>34661</v>
      </c>
      <c r="E617" s="71" t="s">
        <v>3332</v>
      </c>
      <c r="F617" s="71" t="s">
        <v>3333</v>
      </c>
      <c r="G617" s="71" t="s">
        <v>20</v>
      </c>
      <c r="H617" s="71"/>
      <c r="I617" s="71"/>
      <c r="J617" s="71" t="s">
        <v>3334</v>
      </c>
      <c r="K617" s="71" t="s">
        <v>3335</v>
      </c>
      <c r="L617" s="71" t="s">
        <v>82</v>
      </c>
      <c r="M617" s="71"/>
      <c r="O617" s="72">
        <v>34681</v>
      </c>
      <c r="P617" s="71">
        <v>-1</v>
      </c>
      <c r="Q617" s="71" t="b">
        <v>0</v>
      </c>
      <c r="R617" s="22">
        <f t="shared" si="9"/>
        <v>20</v>
      </c>
    </row>
    <row r="618" spans="1:18">
      <c r="A618" s="71">
        <v>3004</v>
      </c>
      <c r="B618" s="72">
        <v>34661</v>
      </c>
      <c r="C618" s="71" t="s">
        <v>3336</v>
      </c>
      <c r="D618" s="72">
        <v>34661</v>
      </c>
      <c r="E618" s="71" t="s">
        <v>3337</v>
      </c>
      <c r="F618" s="71" t="s">
        <v>149</v>
      </c>
      <c r="G618" s="71" t="s">
        <v>20</v>
      </c>
      <c r="H618" s="71"/>
      <c r="I618" s="71"/>
      <c r="J618" s="71" t="s">
        <v>3338</v>
      </c>
      <c r="K618" s="71" t="s">
        <v>3339</v>
      </c>
      <c r="L618" s="71" t="s">
        <v>24</v>
      </c>
      <c r="M618" s="71"/>
      <c r="O618" s="72">
        <v>34851</v>
      </c>
      <c r="P618" s="71"/>
      <c r="Q618" s="71" t="b">
        <v>0</v>
      </c>
      <c r="R618" s="22">
        <f t="shared" si="9"/>
        <v>190</v>
      </c>
    </row>
    <row r="619" spans="1:18">
      <c r="A619" s="71">
        <v>3008</v>
      </c>
      <c r="B619" s="72">
        <v>34669</v>
      </c>
      <c r="C619" s="71" t="s">
        <v>3340</v>
      </c>
      <c r="D619" s="72">
        <v>34666</v>
      </c>
      <c r="E619" s="71" t="s">
        <v>3341</v>
      </c>
      <c r="F619" s="71" t="s">
        <v>665</v>
      </c>
      <c r="G619" s="71" t="s">
        <v>20</v>
      </c>
      <c r="H619" s="71"/>
      <c r="I619" s="71"/>
      <c r="J619" s="71" t="s">
        <v>3342</v>
      </c>
      <c r="K619" s="71" t="s">
        <v>3343</v>
      </c>
      <c r="L619" s="71" t="s">
        <v>24</v>
      </c>
      <c r="M619" s="71"/>
      <c r="O619" s="72">
        <v>34823</v>
      </c>
      <c r="P619" s="71"/>
      <c r="Q619" s="71" t="b">
        <v>0</v>
      </c>
      <c r="R619" s="22">
        <f t="shared" si="9"/>
        <v>155</v>
      </c>
    </row>
    <row r="620" spans="1:18">
      <c r="A620" s="71">
        <v>3024</v>
      </c>
      <c r="B620" s="72">
        <v>34682</v>
      </c>
      <c r="C620" s="71" t="s">
        <v>3347</v>
      </c>
      <c r="D620" s="72">
        <v>34681</v>
      </c>
      <c r="E620" s="71" t="s">
        <v>3348</v>
      </c>
      <c r="F620" s="71" t="s">
        <v>359</v>
      </c>
      <c r="G620" s="71" t="s">
        <v>20</v>
      </c>
      <c r="H620" s="71"/>
      <c r="I620" s="71"/>
      <c r="J620" s="71" t="s">
        <v>3349</v>
      </c>
      <c r="K620" s="71" t="s">
        <v>3350</v>
      </c>
      <c r="L620" s="71" t="s">
        <v>66</v>
      </c>
      <c r="M620" s="71"/>
      <c r="N620" s="72">
        <v>34349</v>
      </c>
      <c r="O620" s="72">
        <v>35774</v>
      </c>
      <c r="P620" s="71">
        <v>-1</v>
      </c>
      <c r="Q620" s="71" t="b">
        <v>0</v>
      </c>
      <c r="R620" s="22">
        <f t="shared" si="9"/>
        <v>1090</v>
      </c>
    </row>
    <row r="621" spans="1:18">
      <c r="A621" s="71">
        <v>3027</v>
      </c>
      <c r="B621" s="72">
        <v>34683</v>
      </c>
      <c r="C621" s="71" t="s">
        <v>3351</v>
      </c>
      <c r="D621" s="72">
        <v>34683</v>
      </c>
      <c r="E621" s="71" t="s">
        <v>3352</v>
      </c>
      <c r="F621" s="71" t="s">
        <v>70</v>
      </c>
      <c r="G621" s="71" t="s">
        <v>20</v>
      </c>
      <c r="H621" s="71" t="s">
        <v>71</v>
      </c>
      <c r="I621" s="71" t="s">
        <v>72</v>
      </c>
      <c r="J621" s="71" t="s">
        <v>3353</v>
      </c>
      <c r="K621" s="71" t="s">
        <v>3354</v>
      </c>
      <c r="L621" s="71" t="s">
        <v>82</v>
      </c>
      <c r="M621" s="71"/>
      <c r="N621" s="72">
        <v>34730</v>
      </c>
      <c r="O621" s="72">
        <v>34823</v>
      </c>
      <c r="P621" s="71">
        <v>-1</v>
      </c>
      <c r="Q621" s="71" t="b">
        <v>0</v>
      </c>
      <c r="R621" s="22">
        <f t="shared" si="9"/>
        <v>140</v>
      </c>
    </row>
    <row r="622" spans="1:18">
      <c r="A622" s="71">
        <v>3028</v>
      </c>
      <c r="B622" s="72">
        <v>34684</v>
      </c>
      <c r="C622" s="71" t="s">
        <v>3355</v>
      </c>
      <c r="D622" s="72">
        <v>34684</v>
      </c>
      <c r="E622" s="71" t="s">
        <v>3356</v>
      </c>
      <c r="F622" s="71" t="s">
        <v>359</v>
      </c>
      <c r="G622" s="71" t="s">
        <v>20</v>
      </c>
      <c r="H622" s="71"/>
      <c r="I622" s="71"/>
      <c r="J622" s="71" t="s">
        <v>3357</v>
      </c>
      <c r="K622" s="71" t="s">
        <v>3358</v>
      </c>
      <c r="L622" s="71" t="s">
        <v>30</v>
      </c>
      <c r="M622" s="71"/>
      <c r="N622" s="72">
        <v>34714</v>
      </c>
      <c r="O622" s="72">
        <v>35641</v>
      </c>
      <c r="P622" s="71">
        <v>-1</v>
      </c>
      <c r="Q622" s="71" t="b">
        <v>0</v>
      </c>
      <c r="R622" s="22">
        <f t="shared" si="9"/>
        <v>957</v>
      </c>
    </row>
    <row r="623" spans="1:18">
      <c r="A623" s="71">
        <v>3031</v>
      </c>
      <c r="B623" s="72">
        <v>34688</v>
      </c>
      <c r="C623" s="71" t="s">
        <v>3365</v>
      </c>
      <c r="D623" s="72">
        <v>34688</v>
      </c>
      <c r="E623" s="71" t="s">
        <v>3366</v>
      </c>
      <c r="F623" s="71" t="s">
        <v>2597</v>
      </c>
      <c r="G623" s="71" t="s">
        <v>20</v>
      </c>
      <c r="H623" s="71"/>
      <c r="I623" s="71"/>
      <c r="J623" s="71" t="s">
        <v>3367</v>
      </c>
      <c r="K623" s="71" t="s">
        <v>3368</v>
      </c>
      <c r="L623" s="71" t="s">
        <v>82</v>
      </c>
      <c r="M623" s="71"/>
      <c r="N623" s="72">
        <v>34714</v>
      </c>
      <c r="O623" s="72">
        <v>34708</v>
      </c>
      <c r="P623" s="71"/>
      <c r="Q623" s="71" t="b">
        <v>0</v>
      </c>
      <c r="R623" s="22">
        <f t="shared" si="9"/>
        <v>19</v>
      </c>
    </row>
    <row r="624" spans="1:18">
      <c r="A624" s="71">
        <v>3045</v>
      </c>
      <c r="B624" s="72">
        <v>34702</v>
      </c>
      <c r="C624" s="71" t="s">
        <v>3374</v>
      </c>
      <c r="D624" s="72">
        <v>34697</v>
      </c>
      <c r="E624" s="71" t="s">
        <v>3375</v>
      </c>
      <c r="F624" s="71" t="s">
        <v>3376</v>
      </c>
      <c r="G624" s="71" t="s">
        <v>20</v>
      </c>
      <c r="H624" s="71" t="s">
        <v>566</v>
      </c>
      <c r="I624" s="71" t="s">
        <v>566</v>
      </c>
      <c r="J624" s="71" t="s">
        <v>3377</v>
      </c>
      <c r="K624" s="71" t="s">
        <v>3378</v>
      </c>
      <c r="L624" s="71" t="s">
        <v>66</v>
      </c>
      <c r="M624" s="71" t="s">
        <v>30</v>
      </c>
      <c r="N624" s="72">
        <v>34730</v>
      </c>
      <c r="O624" s="72">
        <v>36452</v>
      </c>
      <c r="P624" s="71"/>
      <c r="Q624" s="71" t="b">
        <v>0</v>
      </c>
      <c r="R624" s="22">
        <f t="shared" si="9"/>
        <v>1749</v>
      </c>
    </row>
    <row r="625" spans="1:18">
      <c r="A625" s="71">
        <v>3047</v>
      </c>
      <c r="B625" s="72">
        <v>34687</v>
      </c>
      <c r="C625" s="71" t="s">
        <v>3382</v>
      </c>
      <c r="D625" s="72">
        <v>34687</v>
      </c>
      <c r="E625" s="71" t="s">
        <v>3383</v>
      </c>
      <c r="F625" s="71" t="s">
        <v>3384</v>
      </c>
      <c r="G625" s="71"/>
      <c r="H625" s="71"/>
      <c r="I625" s="71"/>
      <c r="J625" s="71" t="s">
        <v>3385</v>
      </c>
      <c r="K625" s="71" t="s">
        <v>3386</v>
      </c>
      <c r="L625" s="71" t="s">
        <v>24</v>
      </c>
      <c r="M625" s="71"/>
      <c r="N625" s="72">
        <v>34719</v>
      </c>
      <c r="O625" s="72">
        <v>34717</v>
      </c>
      <c r="P625" s="71"/>
      <c r="Q625" s="71" t="b">
        <v>0</v>
      </c>
      <c r="R625" s="22">
        <f t="shared" si="9"/>
        <v>29</v>
      </c>
    </row>
    <row r="626" spans="1:18">
      <c r="A626" s="71">
        <v>3052</v>
      </c>
      <c r="B626" s="72">
        <v>34704</v>
      </c>
      <c r="C626" s="71" t="s">
        <v>3387</v>
      </c>
      <c r="D626" s="72">
        <v>34702</v>
      </c>
      <c r="E626" s="71" t="s">
        <v>3388</v>
      </c>
      <c r="F626" s="71" t="s">
        <v>861</v>
      </c>
      <c r="G626" s="71" t="s">
        <v>20</v>
      </c>
      <c r="H626" s="71" t="s">
        <v>566</v>
      </c>
      <c r="I626" s="71" t="s">
        <v>566</v>
      </c>
      <c r="J626" s="71" t="s">
        <v>3372</v>
      </c>
      <c r="K626" s="71" t="s">
        <v>3389</v>
      </c>
      <c r="L626" s="71" t="s">
        <v>67</v>
      </c>
      <c r="M626" s="71"/>
      <c r="O626" s="72">
        <v>35440</v>
      </c>
      <c r="P626" s="71"/>
      <c r="Q626" s="71" t="b">
        <v>0</v>
      </c>
      <c r="R626" s="22">
        <f t="shared" si="9"/>
        <v>735</v>
      </c>
    </row>
    <row r="627" spans="1:18">
      <c r="A627" s="71">
        <v>3061</v>
      </c>
      <c r="B627" s="72">
        <v>34708</v>
      </c>
      <c r="C627" s="71" t="s">
        <v>3390</v>
      </c>
      <c r="D627" s="72">
        <v>34708</v>
      </c>
      <c r="E627" s="71" t="s">
        <v>3391</v>
      </c>
      <c r="F627" s="71" t="s">
        <v>70</v>
      </c>
      <c r="G627" s="71" t="s">
        <v>20</v>
      </c>
      <c r="H627" s="71" t="s">
        <v>71</v>
      </c>
      <c r="I627" s="71" t="s">
        <v>72</v>
      </c>
      <c r="J627" s="71" t="s">
        <v>3392</v>
      </c>
      <c r="K627" s="71" t="s">
        <v>3393</v>
      </c>
      <c r="L627" s="71" t="s">
        <v>30</v>
      </c>
      <c r="M627" s="71"/>
      <c r="O627" s="72">
        <v>34974</v>
      </c>
      <c r="P627" s="71"/>
      <c r="Q627" s="71" t="b">
        <v>0</v>
      </c>
      <c r="R627" s="22">
        <f t="shared" si="9"/>
        <v>266</v>
      </c>
    </row>
    <row r="628" spans="1:18">
      <c r="A628" s="71">
        <v>3076</v>
      </c>
      <c r="B628" s="72">
        <v>34712</v>
      </c>
      <c r="C628" s="71" t="s">
        <v>3396</v>
      </c>
      <c r="D628" s="72">
        <v>34712</v>
      </c>
      <c r="E628" s="71" t="s">
        <v>3397</v>
      </c>
      <c r="F628" s="71" t="s">
        <v>359</v>
      </c>
      <c r="G628" s="71" t="s">
        <v>20</v>
      </c>
      <c r="H628" s="71"/>
      <c r="I628" s="71"/>
      <c r="J628" s="71" t="s">
        <v>3398</v>
      </c>
      <c r="K628" s="71" t="s">
        <v>3399</v>
      </c>
      <c r="L628" s="71" t="s">
        <v>30</v>
      </c>
      <c r="M628" s="71"/>
      <c r="N628" s="72">
        <v>34733</v>
      </c>
      <c r="O628" s="72">
        <v>34796</v>
      </c>
      <c r="P628" s="71"/>
      <c r="Q628" s="71" t="b">
        <v>0</v>
      </c>
      <c r="R628" s="22">
        <f t="shared" si="9"/>
        <v>85</v>
      </c>
    </row>
    <row r="629" spans="1:18">
      <c r="A629" s="71">
        <v>3084</v>
      </c>
      <c r="B629" s="72">
        <v>34717</v>
      </c>
      <c r="C629" s="71" t="s">
        <v>3403</v>
      </c>
      <c r="D629" s="72">
        <v>34717</v>
      </c>
      <c r="E629" s="71" t="s">
        <v>3404</v>
      </c>
      <c r="F629" s="71" t="s">
        <v>861</v>
      </c>
      <c r="G629" s="71" t="s">
        <v>20</v>
      </c>
      <c r="H629" s="71" t="s">
        <v>566</v>
      </c>
      <c r="I629" s="71" t="s">
        <v>566</v>
      </c>
      <c r="J629" s="71" t="s">
        <v>3405</v>
      </c>
      <c r="K629" s="71" t="s">
        <v>3406</v>
      </c>
      <c r="L629" s="71" t="s">
        <v>66</v>
      </c>
      <c r="M629" s="71"/>
      <c r="O629" s="72">
        <v>35634</v>
      </c>
      <c r="P629" s="71"/>
      <c r="Q629" s="71" t="b">
        <v>0</v>
      </c>
      <c r="R629" s="22">
        <f t="shared" si="9"/>
        <v>917</v>
      </c>
    </row>
    <row r="630" spans="1:18">
      <c r="A630" s="71">
        <v>3087</v>
      </c>
      <c r="B630" s="72">
        <v>34718</v>
      </c>
      <c r="C630" s="71" t="s">
        <v>3407</v>
      </c>
      <c r="D630" s="72">
        <v>34718</v>
      </c>
      <c r="E630" s="71" t="s">
        <v>3408</v>
      </c>
      <c r="F630" s="71" t="s">
        <v>824</v>
      </c>
      <c r="G630" s="71" t="s">
        <v>20</v>
      </c>
      <c r="H630" s="71" t="s">
        <v>71</v>
      </c>
      <c r="I630" s="71" t="s">
        <v>72</v>
      </c>
      <c r="J630" s="71" t="s">
        <v>3409</v>
      </c>
      <c r="K630" s="71" t="s">
        <v>3410</v>
      </c>
      <c r="L630" s="71" t="s">
        <v>24</v>
      </c>
      <c r="M630" s="71"/>
      <c r="N630" s="72">
        <v>34731</v>
      </c>
      <c r="O630" s="72">
        <v>34719</v>
      </c>
      <c r="P630" s="71"/>
      <c r="Q630" s="71" t="b">
        <v>0</v>
      </c>
      <c r="R630" s="22">
        <f t="shared" si="9"/>
        <v>1</v>
      </c>
    </row>
    <row r="631" spans="1:18">
      <c r="A631" s="71">
        <v>3097</v>
      </c>
      <c r="B631" s="72">
        <v>34718</v>
      </c>
      <c r="C631" s="71" t="s">
        <v>3414</v>
      </c>
      <c r="D631" s="72">
        <v>34719</v>
      </c>
      <c r="E631" s="71" t="s">
        <v>3415</v>
      </c>
      <c r="F631" s="71" t="s">
        <v>52</v>
      </c>
      <c r="G631" s="71" t="s">
        <v>20</v>
      </c>
      <c r="H631" s="71"/>
      <c r="I631" s="71"/>
      <c r="J631" s="71" t="s">
        <v>3416</v>
      </c>
      <c r="K631" s="71" t="s">
        <v>3417</v>
      </c>
      <c r="L631" s="71" t="s">
        <v>82</v>
      </c>
      <c r="M631" s="71"/>
      <c r="N631" s="72">
        <v>34730</v>
      </c>
      <c r="O631" s="72">
        <v>34746</v>
      </c>
      <c r="P631" s="71">
        <v>-1</v>
      </c>
      <c r="Q631" s="71" t="b">
        <v>0</v>
      </c>
      <c r="R631" s="22">
        <f t="shared" si="9"/>
        <v>27</v>
      </c>
    </row>
    <row r="632" spans="1:18">
      <c r="A632" s="71">
        <v>3102</v>
      </c>
      <c r="B632" s="72">
        <v>34722</v>
      </c>
      <c r="C632" s="71" t="s">
        <v>3421</v>
      </c>
      <c r="D632" s="72">
        <v>34722</v>
      </c>
      <c r="E632" s="71" t="s">
        <v>3422</v>
      </c>
      <c r="F632" s="71" t="s">
        <v>741</v>
      </c>
      <c r="G632" s="71" t="s">
        <v>20</v>
      </c>
      <c r="H632" s="71"/>
      <c r="I632" s="71"/>
      <c r="J632" s="71" t="s">
        <v>3423</v>
      </c>
      <c r="K632" s="71" t="s">
        <v>3424</v>
      </c>
      <c r="L632" s="71" t="s">
        <v>82</v>
      </c>
      <c r="M632" s="71"/>
      <c r="N632" s="72">
        <v>34758</v>
      </c>
      <c r="O632" s="72">
        <v>34774</v>
      </c>
      <c r="P632" s="71"/>
      <c r="Q632" s="71" t="b">
        <v>0</v>
      </c>
      <c r="R632" s="22">
        <f t="shared" si="9"/>
        <v>53</v>
      </c>
    </row>
    <row r="633" spans="1:18">
      <c r="A633" s="71">
        <v>3108</v>
      </c>
      <c r="B633" s="72">
        <v>34724</v>
      </c>
      <c r="C633" s="71" t="s">
        <v>3428</v>
      </c>
      <c r="D633" s="72">
        <v>34724</v>
      </c>
      <c r="E633" s="71" t="s">
        <v>3429</v>
      </c>
      <c r="F633" s="71" t="s">
        <v>3430</v>
      </c>
      <c r="G633" s="71" t="s">
        <v>20</v>
      </c>
      <c r="H633" s="71" t="s">
        <v>71</v>
      </c>
      <c r="I633" s="71" t="s">
        <v>72</v>
      </c>
      <c r="J633" s="71" t="s">
        <v>3427</v>
      </c>
      <c r="K633" s="71" t="s">
        <v>3431</v>
      </c>
      <c r="L633" s="71" t="s">
        <v>686</v>
      </c>
      <c r="M633" s="71"/>
      <c r="N633" s="72">
        <v>34758</v>
      </c>
      <c r="O633" s="72">
        <v>36510</v>
      </c>
      <c r="P633" s="71"/>
      <c r="Q633" s="71" t="b">
        <v>0</v>
      </c>
      <c r="R633" s="22">
        <f t="shared" si="9"/>
        <v>1785</v>
      </c>
    </row>
    <row r="634" spans="1:18">
      <c r="A634" s="71">
        <v>3112</v>
      </c>
      <c r="B634" s="72">
        <v>34725</v>
      </c>
      <c r="C634" s="71" t="s">
        <v>3432</v>
      </c>
      <c r="D634" s="72">
        <v>34725</v>
      </c>
      <c r="E634" s="71" t="s">
        <v>3433</v>
      </c>
      <c r="F634" s="71" t="s">
        <v>3434</v>
      </c>
      <c r="G634" s="71" t="s">
        <v>20</v>
      </c>
      <c r="H634" s="71"/>
      <c r="I634" s="71"/>
      <c r="J634" s="71" t="s">
        <v>3435</v>
      </c>
      <c r="K634" s="71" t="s">
        <v>3436</v>
      </c>
      <c r="L634" s="71" t="s">
        <v>24</v>
      </c>
      <c r="M634" s="71"/>
      <c r="O634" s="72">
        <v>34744</v>
      </c>
      <c r="P634" s="71">
        <v>-1</v>
      </c>
      <c r="Q634" s="71" t="b">
        <v>0</v>
      </c>
      <c r="R634" s="22">
        <f t="shared" si="9"/>
        <v>18</v>
      </c>
    </row>
    <row r="635" spans="1:18">
      <c r="A635" s="71">
        <v>3124</v>
      </c>
      <c r="B635" s="72">
        <v>34730</v>
      </c>
      <c r="C635" s="71" t="s">
        <v>3440</v>
      </c>
      <c r="D635" s="72">
        <v>34730</v>
      </c>
      <c r="E635" s="71" t="s">
        <v>3441</v>
      </c>
      <c r="F635" s="71" t="s">
        <v>124</v>
      </c>
      <c r="G635" s="71" t="s">
        <v>20</v>
      </c>
      <c r="H635" s="71"/>
      <c r="I635" s="71"/>
      <c r="J635" s="71" t="s">
        <v>3442</v>
      </c>
      <c r="K635" s="71" t="s">
        <v>3443</v>
      </c>
      <c r="L635" s="71" t="s">
        <v>82</v>
      </c>
      <c r="M635" s="71"/>
      <c r="N635" s="72">
        <v>34758</v>
      </c>
      <c r="O635" s="72">
        <v>34773</v>
      </c>
      <c r="P635" s="71">
        <v>-1</v>
      </c>
      <c r="Q635" s="71" t="b">
        <v>0</v>
      </c>
      <c r="R635" s="22">
        <f t="shared" si="9"/>
        <v>45</v>
      </c>
    </row>
    <row r="636" spans="1:18">
      <c r="A636" s="71">
        <v>3125</v>
      </c>
      <c r="B636" s="72">
        <v>34731</v>
      </c>
      <c r="C636" s="71" t="s">
        <v>3444</v>
      </c>
      <c r="D636" s="72">
        <v>34731</v>
      </c>
      <c r="E636" s="71" t="s">
        <v>3445</v>
      </c>
      <c r="F636" s="71" t="s">
        <v>19</v>
      </c>
      <c r="G636" s="71" t="s">
        <v>20</v>
      </c>
      <c r="H636" s="71"/>
      <c r="I636" s="71"/>
      <c r="J636" s="71" t="s">
        <v>3446</v>
      </c>
      <c r="K636" s="71" t="s">
        <v>3447</v>
      </c>
      <c r="L636" s="71" t="s">
        <v>24</v>
      </c>
      <c r="M636" s="71"/>
      <c r="O636" s="72">
        <v>34823</v>
      </c>
      <c r="P636" s="71">
        <v>-1</v>
      </c>
      <c r="Q636" s="71" t="b">
        <v>0</v>
      </c>
      <c r="R636" s="22">
        <f t="shared" si="9"/>
        <v>94</v>
      </c>
    </row>
    <row r="637" spans="1:18">
      <c r="A637" s="71">
        <v>3144</v>
      </c>
      <c r="B637" s="72">
        <v>34736</v>
      </c>
      <c r="C637" s="71" t="s">
        <v>3451</v>
      </c>
      <c r="D637" s="72">
        <v>34736</v>
      </c>
      <c r="E637" s="71" t="s">
        <v>3452</v>
      </c>
      <c r="F637" s="71" t="s">
        <v>56</v>
      </c>
      <c r="G637" s="71" t="s">
        <v>20</v>
      </c>
      <c r="H637" s="71"/>
      <c r="I637" s="71"/>
      <c r="J637" s="71" t="s">
        <v>3453</v>
      </c>
      <c r="K637" s="71" t="s">
        <v>3454</v>
      </c>
      <c r="L637" s="71" t="s">
        <v>24</v>
      </c>
      <c r="M637" s="71"/>
      <c r="O637" s="72">
        <v>34737</v>
      </c>
      <c r="P637" s="71">
        <v>-1</v>
      </c>
      <c r="Q637" s="71" t="b">
        <v>0</v>
      </c>
      <c r="R637" s="22">
        <f t="shared" si="9"/>
        <v>1</v>
      </c>
    </row>
    <row r="638" spans="1:18">
      <c r="A638" s="71">
        <v>3147</v>
      </c>
      <c r="B638" s="72">
        <v>34736</v>
      </c>
      <c r="C638" s="71" t="s">
        <v>3455</v>
      </c>
      <c r="D638" s="72">
        <v>34736</v>
      </c>
      <c r="E638" s="71" t="s">
        <v>3456</v>
      </c>
      <c r="F638" s="71" t="s">
        <v>3457</v>
      </c>
      <c r="G638" s="71" t="s">
        <v>20</v>
      </c>
      <c r="H638" s="71" t="s">
        <v>212</v>
      </c>
      <c r="I638" s="71" t="s">
        <v>212</v>
      </c>
      <c r="J638" s="71" t="s">
        <v>3458</v>
      </c>
      <c r="K638" s="71" t="s">
        <v>3459</v>
      </c>
      <c r="L638" s="71" t="s">
        <v>82</v>
      </c>
      <c r="M638" s="71"/>
      <c r="O638" s="72">
        <v>34800</v>
      </c>
      <c r="P638" s="71"/>
      <c r="Q638" s="71" t="b">
        <v>0</v>
      </c>
      <c r="R638" s="22">
        <f t="shared" si="9"/>
        <v>65</v>
      </c>
    </row>
    <row r="639" spans="1:18">
      <c r="A639" s="71">
        <v>3155</v>
      </c>
      <c r="B639" s="72">
        <v>34740</v>
      </c>
      <c r="C639" s="71" t="s">
        <v>3466</v>
      </c>
      <c r="D639" s="72">
        <v>34740</v>
      </c>
      <c r="E639" s="71" t="s">
        <v>3467</v>
      </c>
      <c r="F639" s="71" t="s">
        <v>861</v>
      </c>
      <c r="G639" s="71" t="s">
        <v>20</v>
      </c>
      <c r="H639" s="71" t="s">
        <v>566</v>
      </c>
      <c r="I639" s="71" t="s">
        <v>566</v>
      </c>
      <c r="J639" s="71" t="s">
        <v>3468</v>
      </c>
      <c r="K639" s="71" t="s">
        <v>3469</v>
      </c>
      <c r="L639" s="71" t="s">
        <v>82</v>
      </c>
      <c r="M639" s="71"/>
      <c r="N639" s="72">
        <v>34758</v>
      </c>
      <c r="O639" s="72">
        <v>34814</v>
      </c>
      <c r="P639" s="71"/>
      <c r="Q639" s="71" t="b">
        <v>0</v>
      </c>
      <c r="R639" s="22">
        <f t="shared" si="9"/>
        <v>76</v>
      </c>
    </row>
    <row r="640" spans="1:18">
      <c r="A640" s="71">
        <v>3158</v>
      </c>
      <c r="B640" s="72">
        <v>34743</v>
      </c>
      <c r="C640" s="71" t="s">
        <v>3470</v>
      </c>
      <c r="D640" s="72">
        <v>34743</v>
      </c>
      <c r="E640" s="71" t="s">
        <v>3471</v>
      </c>
      <c r="F640" s="71" t="s">
        <v>145</v>
      </c>
      <c r="G640" s="71" t="s">
        <v>20</v>
      </c>
      <c r="H640" s="71"/>
      <c r="I640" s="71"/>
      <c r="J640" s="71" t="s">
        <v>3472</v>
      </c>
      <c r="K640" s="71" t="s">
        <v>3473</v>
      </c>
      <c r="L640" s="71" t="s">
        <v>82</v>
      </c>
      <c r="M640" s="71"/>
      <c r="N640" s="72">
        <v>34773</v>
      </c>
      <c r="O640" s="72">
        <v>34773</v>
      </c>
      <c r="P640" s="71">
        <v>-1</v>
      </c>
      <c r="Q640" s="71" t="b">
        <v>0</v>
      </c>
      <c r="R640" s="22">
        <f t="shared" si="9"/>
        <v>32</v>
      </c>
    </row>
    <row r="641" spans="1:18">
      <c r="A641" s="71">
        <v>3182</v>
      </c>
      <c r="B641" s="72">
        <v>34754</v>
      </c>
      <c r="C641" s="71" t="s">
        <v>3474</v>
      </c>
      <c r="D641" s="72">
        <v>34754</v>
      </c>
      <c r="E641" s="71" t="s">
        <v>3475</v>
      </c>
      <c r="F641" s="71" t="s">
        <v>124</v>
      </c>
      <c r="G641" s="71" t="s">
        <v>20</v>
      </c>
      <c r="H641" s="71"/>
      <c r="I641" s="71"/>
      <c r="J641" s="71" t="s">
        <v>2266</v>
      </c>
      <c r="K641" s="71" t="s">
        <v>3476</v>
      </c>
      <c r="L641" s="71" t="s">
        <v>1152</v>
      </c>
      <c r="M641" s="71"/>
      <c r="O641" s="72">
        <v>34969</v>
      </c>
      <c r="P641" s="71">
        <v>-1</v>
      </c>
      <c r="Q641" s="71" t="b">
        <v>0</v>
      </c>
      <c r="R641" s="22">
        <f t="shared" si="9"/>
        <v>215</v>
      </c>
    </row>
    <row r="642" spans="1:18">
      <c r="A642" s="71">
        <v>3189</v>
      </c>
      <c r="B642" s="72">
        <v>34759</v>
      </c>
      <c r="C642" s="71" t="s">
        <v>3477</v>
      </c>
      <c r="D642" s="72">
        <v>34759</v>
      </c>
      <c r="E642" s="71" t="s">
        <v>3478</v>
      </c>
      <c r="F642" s="71" t="s">
        <v>124</v>
      </c>
      <c r="G642" s="71" t="s">
        <v>20</v>
      </c>
      <c r="H642" s="71"/>
      <c r="I642" s="71"/>
      <c r="J642" s="71" t="s">
        <v>3479</v>
      </c>
      <c r="K642" s="71" t="s">
        <v>1067</v>
      </c>
      <c r="L642" s="71" t="s">
        <v>88</v>
      </c>
      <c r="M642" s="71" t="s">
        <v>1152</v>
      </c>
      <c r="O642" s="72">
        <v>36047</v>
      </c>
      <c r="P642" s="71">
        <v>-1</v>
      </c>
      <c r="Q642" s="71" t="b">
        <v>0</v>
      </c>
      <c r="R642" s="22">
        <f t="shared" ref="R642:R705" si="10">IF(O642=" ", " ", INT(YEARFRAC(O642, B642)*365))</f>
        <v>1285</v>
      </c>
    </row>
    <row r="643" spans="1:18">
      <c r="A643" s="71">
        <v>3207</v>
      </c>
      <c r="B643" s="72">
        <v>34767</v>
      </c>
      <c r="C643" s="71" t="s">
        <v>3483</v>
      </c>
      <c r="D643" s="72">
        <v>34767</v>
      </c>
      <c r="E643" s="71" t="s">
        <v>3484</v>
      </c>
      <c r="F643" s="71" t="s">
        <v>216</v>
      </c>
      <c r="G643" s="71" t="s">
        <v>20</v>
      </c>
      <c r="H643" s="71"/>
      <c r="I643" s="71"/>
      <c r="J643" s="71" t="s">
        <v>3485</v>
      </c>
      <c r="K643" s="71" t="s">
        <v>3486</v>
      </c>
      <c r="L643" s="71" t="s">
        <v>82</v>
      </c>
      <c r="M643" s="71"/>
      <c r="N643" s="72">
        <v>34789</v>
      </c>
      <c r="O643" s="72">
        <v>34773</v>
      </c>
      <c r="P643" s="71">
        <v>-1</v>
      </c>
      <c r="Q643" s="71" t="b">
        <v>0</v>
      </c>
      <c r="R643" s="22">
        <f t="shared" si="10"/>
        <v>6</v>
      </c>
    </row>
    <row r="644" spans="1:18">
      <c r="A644" s="71">
        <v>3211</v>
      </c>
      <c r="B644" s="72">
        <v>34772</v>
      </c>
      <c r="C644" s="71" t="s">
        <v>3487</v>
      </c>
      <c r="D644" s="72">
        <v>34772</v>
      </c>
      <c r="E644" s="71" t="s">
        <v>3488</v>
      </c>
      <c r="F644" s="71" t="s">
        <v>545</v>
      </c>
      <c r="G644" s="71" t="s">
        <v>20</v>
      </c>
      <c r="H644" s="71"/>
      <c r="I644" s="71"/>
      <c r="J644" s="71" t="s">
        <v>3489</v>
      </c>
      <c r="K644" s="71" t="s">
        <v>3490</v>
      </c>
      <c r="L644" s="71" t="s">
        <v>24</v>
      </c>
      <c r="M644" s="71"/>
      <c r="O644" s="72">
        <v>34792</v>
      </c>
      <c r="P644" s="71">
        <v>-1</v>
      </c>
      <c r="Q644" s="71" t="b">
        <v>0</v>
      </c>
      <c r="R644" s="22">
        <f t="shared" si="10"/>
        <v>19</v>
      </c>
    </row>
    <row r="645" spans="1:18">
      <c r="A645" s="71">
        <v>3221</v>
      </c>
      <c r="B645" s="72">
        <v>34773</v>
      </c>
      <c r="C645" s="71" t="s">
        <v>3491</v>
      </c>
      <c r="D645" s="72">
        <v>34773</v>
      </c>
      <c r="E645" s="71" t="s">
        <v>3492</v>
      </c>
      <c r="F645" s="71" t="s">
        <v>689</v>
      </c>
      <c r="G645" s="71" t="s">
        <v>20</v>
      </c>
      <c r="H645" s="71" t="s">
        <v>212</v>
      </c>
      <c r="I645" s="71" t="s">
        <v>212</v>
      </c>
      <c r="J645" s="71" t="s">
        <v>3493</v>
      </c>
      <c r="K645" s="71" t="s">
        <v>3494</v>
      </c>
      <c r="L645" s="71" t="s">
        <v>24</v>
      </c>
      <c r="M645" s="71"/>
      <c r="N645" s="72">
        <v>34789</v>
      </c>
      <c r="O645" s="72">
        <v>34858</v>
      </c>
      <c r="P645" s="71"/>
      <c r="Q645" s="71" t="b">
        <v>0</v>
      </c>
      <c r="R645" s="22">
        <f t="shared" si="10"/>
        <v>84</v>
      </c>
    </row>
    <row r="646" spans="1:18">
      <c r="A646" s="71">
        <v>3228</v>
      </c>
      <c r="B646" s="72">
        <v>34774</v>
      </c>
      <c r="C646" s="71" t="s">
        <v>3501</v>
      </c>
      <c r="D646" s="72">
        <v>34774</v>
      </c>
      <c r="E646" s="71" t="s">
        <v>3502</v>
      </c>
      <c r="F646" s="71" t="s">
        <v>3503</v>
      </c>
      <c r="G646" s="71" t="s">
        <v>20</v>
      </c>
      <c r="H646" s="71"/>
      <c r="I646" s="71"/>
      <c r="J646" s="71" t="s">
        <v>3504</v>
      </c>
      <c r="K646" s="71" t="s">
        <v>3505</v>
      </c>
      <c r="L646" s="71" t="s">
        <v>66</v>
      </c>
      <c r="M646" s="71" t="s">
        <v>1946</v>
      </c>
      <c r="N646" s="72">
        <v>34794</v>
      </c>
      <c r="O646" s="72">
        <v>37761</v>
      </c>
      <c r="P646" s="71"/>
      <c r="Q646" s="71" t="b">
        <v>0</v>
      </c>
      <c r="R646" s="22">
        <f t="shared" si="10"/>
        <v>2984</v>
      </c>
    </row>
    <row r="647" spans="1:18">
      <c r="A647" s="71">
        <v>3233</v>
      </c>
      <c r="B647" s="72">
        <v>34779</v>
      </c>
      <c r="C647" s="71" t="s">
        <v>3506</v>
      </c>
      <c r="D647" s="72">
        <v>34779</v>
      </c>
      <c r="E647" s="71" t="s">
        <v>3507</v>
      </c>
      <c r="F647" s="71" t="s">
        <v>1939</v>
      </c>
      <c r="G647" s="71" t="s">
        <v>20</v>
      </c>
      <c r="H647" s="71"/>
      <c r="I647" s="71"/>
      <c r="J647" s="71" t="s">
        <v>3508</v>
      </c>
      <c r="K647" s="71" t="s">
        <v>3509</v>
      </c>
      <c r="L647" s="71" t="s">
        <v>82</v>
      </c>
      <c r="M647" s="71"/>
      <c r="N647" s="72">
        <v>34786</v>
      </c>
      <c r="O647" s="72">
        <v>34781</v>
      </c>
      <c r="P647" s="71">
        <v>-1</v>
      </c>
      <c r="Q647" s="71" t="b">
        <v>0</v>
      </c>
      <c r="R647" s="22">
        <f t="shared" si="10"/>
        <v>2</v>
      </c>
    </row>
    <row r="648" spans="1:18">
      <c r="A648" s="71">
        <v>3239</v>
      </c>
      <c r="B648" s="72">
        <v>34780</v>
      </c>
      <c r="C648" s="71" t="s">
        <v>3510</v>
      </c>
      <c r="D648" s="72">
        <v>34780</v>
      </c>
      <c r="E648" s="71" t="s">
        <v>19866</v>
      </c>
      <c r="F648" s="71" t="s">
        <v>149</v>
      </c>
      <c r="G648" s="71" t="s">
        <v>20</v>
      </c>
      <c r="H648" s="71"/>
      <c r="I648" s="71"/>
      <c r="J648" s="71" t="s">
        <v>3512</v>
      </c>
      <c r="K648" s="71" t="s">
        <v>3513</v>
      </c>
      <c r="L648" s="71" t="s">
        <v>24</v>
      </c>
      <c r="M648" s="71"/>
      <c r="N648" s="72">
        <v>34809</v>
      </c>
      <c r="O648" s="72">
        <v>34898</v>
      </c>
      <c r="P648" s="71"/>
      <c r="Q648" s="71" t="b">
        <v>0</v>
      </c>
      <c r="R648" s="22">
        <f t="shared" si="10"/>
        <v>117</v>
      </c>
    </row>
    <row r="649" spans="1:18">
      <c r="A649" s="71">
        <v>3248</v>
      </c>
      <c r="B649" s="72">
        <v>34787</v>
      </c>
      <c r="C649" s="71" t="s">
        <v>3514</v>
      </c>
      <c r="D649" s="72">
        <v>34787</v>
      </c>
      <c r="E649" s="71" t="s">
        <v>3515</v>
      </c>
      <c r="F649" s="71" t="s">
        <v>43</v>
      </c>
      <c r="G649" s="71" t="s">
        <v>20</v>
      </c>
      <c r="H649" s="71"/>
      <c r="I649" s="71"/>
      <c r="J649" s="71" t="s">
        <v>3013</v>
      </c>
      <c r="K649" s="71" t="s">
        <v>3516</v>
      </c>
      <c r="L649" s="71" t="s">
        <v>66</v>
      </c>
      <c r="M649" s="71"/>
      <c r="N649" s="72">
        <v>34804</v>
      </c>
      <c r="O649" s="72">
        <v>36347</v>
      </c>
      <c r="P649" s="71">
        <v>-1</v>
      </c>
      <c r="Q649" s="71" t="b">
        <v>0</v>
      </c>
      <c r="R649" s="22">
        <f t="shared" si="10"/>
        <v>1558</v>
      </c>
    </row>
    <row r="650" spans="1:18">
      <c r="A650" s="71">
        <v>3249</v>
      </c>
      <c r="B650" s="72">
        <v>34787</v>
      </c>
      <c r="C650" s="71" t="s">
        <v>3517</v>
      </c>
      <c r="D650" s="72">
        <v>34787</v>
      </c>
      <c r="E650" s="71" t="s">
        <v>3518</v>
      </c>
      <c r="F650" s="71" t="s">
        <v>3519</v>
      </c>
      <c r="G650" s="71" t="s">
        <v>20</v>
      </c>
      <c r="H650" s="71" t="s">
        <v>566</v>
      </c>
      <c r="I650" s="71" t="s">
        <v>566</v>
      </c>
      <c r="J650" s="71" t="s">
        <v>3520</v>
      </c>
      <c r="K650" s="71" t="s">
        <v>3521</v>
      </c>
      <c r="L650" s="71" t="s">
        <v>82</v>
      </c>
      <c r="M650" s="71"/>
      <c r="N650" s="72">
        <v>34819</v>
      </c>
      <c r="O650" s="72">
        <v>34793</v>
      </c>
      <c r="P650" s="71">
        <v>-1</v>
      </c>
      <c r="Q650" s="71" t="b">
        <v>0</v>
      </c>
      <c r="R650" s="22">
        <f t="shared" si="10"/>
        <v>5</v>
      </c>
    </row>
    <row r="651" spans="1:18">
      <c r="A651" s="71">
        <v>3251</v>
      </c>
      <c r="B651" s="72">
        <v>34789</v>
      </c>
      <c r="C651" s="71" t="s">
        <v>3522</v>
      </c>
      <c r="D651" s="72">
        <v>34789</v>
      </c>
      <c r="E651" s="71" t="s">
        <v>3523</v>
      </c>
      <c r="F651" s="71" t="s">
        <v>990</v>
      </c>
      <c r="G651" s="71" t="s">
        <v>20</v>
      </c>
      <c r="H651" s="71"/>
      <c r="I651" s="71"/>
      <c r="J651" s="71" t="s">
        <v>3524</v>
      </c>
      <c r="K651" s="71" t="s">
        <v>3525</v>
      </c>
      <c r="L651" s="71" t="s">
        <v>3526</v>
      </c>
      <c r="M651" s="71" t="s">
        <v>3527</v>
      </c>
      <c r="O651" s="72">
        <v>36132</v>
      </c>
      <c r="P651" s="71">
        <v>-1</v>
      </c>
      <c r="Q651" s="71" t="b">
        <v>0</v>
      </c>
      <c r="R651" s="22">
        <f t="shared" si="10"/>
        <v>1341</v>
      </c>
    </row>
    <row r="652" spans="1:18">
      <c r="A652" s="71">
        <v>3254</v>
      </c>
      <c r="B652" s="72">
        <v>34792</v>
      </c>
      <c r="C652" s="71" t="s">
        <v>3528</v>
      </c>
      <c r="D652" s="72">
        <v>34792</v>
      </c>
      <c r="E652" s="71" t="s">
        <v>3529</v>
      </c>
      <c r="F652" s="71" t="s">
        <v>85</v>
      </c>
      <c r="G652" s="71" t="s">
        <v>20</v>
      </c>
      <c r="H652" s="71"/>
      <c r="I652" s="71"/>
      <c r="J652" s="71" t="s">
        <v>3530</v>
      </c>
      <c r="K652" s="71" t="s">
        <v>3531</v>
      </c>
      <c r="L652" s="71" t="s">
        <v>24</v>
      </c>
      <c r="M652" s="71"/>
      <c r="N652" s="72">
        <v>34802</v>
      </c>
      <c r="O652" s="72">
        <v>34906</v>
      </c>
      <c r="P652" s="71"/>
      <c r="Q652" s="71" t="b">
        <v>0</v>
      </c>
      <c r="R652" s="22">
        <f t="shared" si="10"/>
        <v>114</v>
      </c>
    </row>
    <row r="653" spans="1:18">
      <c r="A653" s="71">
        <v>3255</v>
      </c>
      <c r="B653" s="72">
        <v>34792</v>
      </c>
      <c r="C653" s="71" t="s">
        <v>3532</v>
      </c>
      <c r="D653" s="72">
        <v>34792</v>
      </c>
      <c r="E653" s="71" t="s">
        <v>3533</v>
      </c>
      <c r="F653" s="71" t="s">
        <v>345</v>
      </c>
      <c r="G653" s="71" t="s">
        <v>20</v>
      </c>
      <c r="H653" s="71" t="s">
        <v>71</v>
      </c>
      <c r="I653" s="71" t="s">
        <v>72</v>
      </c>
      <c r="J653" s="71" t="s">
        <v>3534</v>
      </c>
      <c r="K653" s="71" t="s">
        <v>3535</v>
      </c>
      <c r="L653" s="71" t="s">
        <v>30</v>
      </c>
      <c r="M653" s="71"/>
      <c r="O653" s="72">
        <v>35089</v>
      </c>
      <c r="P653" s="71"/>
      <c r="Q653" s="71" t="b">
        <v>0</v>
      </c>
      <c r="R653" s="22">
        <f t="shared" si="10"/>
        <v>296</v>
      </c>
    </row>
    <row r="654" spans="1:18">
      <c r="A654" s="71">
        <v>3275</v>
      </c>
      <c r="B654" s="72">
        <v>34806</v>
      </c>
      <c r="C654" s="71" t="s">
        <v>3542</v>
      </c>
      <c r="D654" s="72">
        <v>34806</v>
      </c>
      <c r="E654" s="71" t="s">
        <v>3543</v>
      </c>
      <c r="F654" s="71" t="s">
        <v>70</v>
      </c>
      <c r="G654" s="71" t="s">
        <v>20</v>
      </c>
      <c r="H654" s="71" t="s">
        <v>71</v>
      </c>
      <c r="I654" s="71" t="s">
        <v>72</v>
      </c>
      <c r="J654" s="71" t="s">
        <v>3544</v>
      </c>
      <c r="K654" s="71" t="s">
        <v>3545</v>
      </c>
      <c r="L654" s="71" t="s">
        <v>30</v>
      </c>
      <c r="M654" s="71"/>
      <c r="N654" s="72">
        <v>34817</v>
      </c>
      <c r="O654" s="72">
        <v>34908</v>
      </c>
      <c r="P654" s="71"/>
      <c r="Q654" s="71" t="b">
        <v>0</v>
      </c>
      <c r="R654" s="22">
        <f t="shared" si="10"/>
        <v>102</v>
      </c>
    </row>
    <row r="655" spans="1:18">
      <c r="A655" s="71">
        <v>3278</v>
      </c>
      <c r="B655" s="72">
        <v>34806</v>
      </c>
      <c r="C655" s="71" t="s">
        <v>3546</v>
      </c>
      <c r="D655" s="72">
        <v>34806</v>
      </c>
      <c r="E655" s="71" t="s">
        <v>3547</v>
      </c>
      <c r="F655" s="71" t="s">
        <v>359</v>
      </c>
      <c r="G655" s="71" t="s">
        <v>20</v>
      </c>
      <c r="H655" s="71"/>
      <c r="I655" s="71"/>
      <c r="J655" s="71" t="s">
        <v>3398</v>
      </c>
      <c r="K655" s="71" t="s">
        <v>3548</v>
      </c>
      <c r="L655" s="71" t="s">
        <v>66</v>
      </c>
      <c r="M655" s="71"/>
      <c r="N655" s="72">
        <v>34836</v>
      </c>
      <c r="O655" s="72">
        <v>35492</v>
      </c>
      <c r="P655" s="71"/>
      <c r="Q655" s="71" t="b">
        <v>0</v>
      </c>
      <c r="R655" s="22">
        <f t="shared" si="10"/>
        <v>685</v>
      </c>
    </row>
    <row r="656" spans="1:18">
      <c r="A656" s="71">
        <v>3285</v>
      </c>
      <c r="B656" s="72">
        <v>34813</v>
      </c>
      <c r="C656" s="71" t="s">
        <v>3549</v>
      </c>
      <c r="D656" s="72">
        <v>34813</v>
      </c>
      <c r="E656" s="71" t="s">
        <v>3550</v>
      </c>
      <c r="F656" s="71" t="s">
        <v>124</v>
      </c>
      <c r="G656" s="71" t="s">
        <v>20</v>
      </c>
      <c r="H656" s="71" t="s">
        <v>189</v>
      </c>
      <c r="I656" s="71" t="s">
        <v>189</v>
      </c>
      <c r="J656" s="71" t="s">
        <v>3551</v>
      </c>
      <c r="K656" s="71" t="s">
        <v>3552</v>
      </c>
      <c r="L656" s="71" t="s">
        <v>1152</v>
      </c>
      <c r="M656" s="71"/>
      <c r="N656" s="72">
        <v>34834</v>
      </c>
      <c r="O656" s="72">
        <v>34821</v>
      </c>
      <c r="P656" s="71">
        <v>-1</v>
      </c>
      <c r="Q656" s="71" t="b">
        <v>0</v>
      </c>
      <c r="R656" s="22">
        <f t="shared" si="10"/>
        <v>8</v>
      </c>
    </row>
    <row r="657" spans="1:18">
      <c r="A657" s="71">
        <v>3286</v>
      </c>
      <c r="B657" s="72">
        <v>34813</v>
      </c>
      <c r="C657" s="71" t="s">
        <v>3553</v>
      </c>
      <c r="D657" s="72">
        <v>34813</v>
      </c>
      <c r="E657" s="71" t="s">
        <v>3554</v>
      </c>
      <c r="F657" s="71" t="s">
        <v>984</v>
      </c>
      <c r="G657" s="71" t="s">
        <v>20</v>
      </c>
      <c r="H657" s="71"/>
      <c r="I657" s="71"/>
      <c r="J657" s="71" t="s">
        <v>3555</v>
      </c>
      <c r="K657" s="71" t="s">
        <v>3556</v>
      </c>
      <c r="L657" s="71" t="s">
        <v>82</v>
      </c>
      <c r="M657" s="71"/>
      <c r="O657" s="72">
        <v>34995</v>
      </c>
      <c r="P657" s="71"/>
      <c r="Q657" s="71" t="b">
        <v>0</v>
      </c>
      <c r="R657" s="22">
        <f t="shared" si="10"/>
        <v>181</v>
      </c>
    </row>
    <row r="658" spans="1:18">
      <c r="A658" s="71">
        <v>3287</v>
      </c>
      <c r="B658" s="72">
        <v>34813</v>
      </c>
      <c r="C658" s="71" t="s">
        <v>3557</v>
      </c>
      <c r="D658" s="72">
        <v>34813</v>
      </c>
      <c r="E658" s="71" t="s">
        <v>3558</v>
      </c>
      <c r="F658" s="71" t="s">
        <v>984</v>
      </c>
      <c r="G658" s="71" t="s">
        <v>20</v>
      </c>
      <c r="H658" s="71"/>
      <c r="I658" s="71"/>
      <c r="J658" s="71" t="s">
        <v>3559</v>
      </c>
      <c r="K658" s="71" t="s">
        <v>3560</v>
      </c>
      <c r="L658" s="71" t="s">
        <v>82</v>
      </c>
      <c r="M658" s="71"/>
      <c r="O658" s="72">
        <v>34995</v>
      </c>
      <c r="P658" s="71"/>
      <c r="Q658" s="71" t="b">
        <v>0</v>
      </c>
      <c r="R658" s="22">
        <f t="shared" si="10"/>
        <v>181</v>
      </c>
    </row>
    <row r="659" spans="1:18">
      <c r="A659" s="71">
        <v>3292</v>
      </c>
      <c r="B659" s="72">
        <v>34814</v>
      </c>
      <c r="C659" s="71" t="s">
        <v>3561</v>
      </c>
      <c r="D659" s="72">
        <v>34814</v>
      </c>
      <c r="E659" s="71" t="s">
        <v>3562</v>
      </c>
      <c r="F659" s="71" t="s">
        <v>85</v>
      </c>
      <c r="G659" s="71" t="s">
        <v>20</v>
      </c>
      <c r="H659" s="71"/>
      <c r="I659" s="71"/>
      <c r="J659" s="71" t="s">
        <v>3563</v>
      </c>
      <c r="K659" s="71" t="s">
        <v>3564</v>
      </c>
      <c r="L659" s="71" t="s">
        <v>30</v>
      </c>
      <c r="M659" s="71"/>
      <c r="O659" s="72">
        <v>34852</v>
      </c>
      <c r="P659" s="71">
        <v>-1</v>
      </c>
      <c r="Q659" s="71" t="b">
        <v>0</v>
      </c>
      <c r="R659" s="22">
        <f t="shared" si="10"/>
        <v>37</v>
      </c>
    </row>
    <row r="660" spans="1:18">
      <c r="A660" s="71">
        <v>3293</v>
      </c>
      <c r="B660" s="72">
        <v>34814</v>
      </c>
      <c r="C660" s="71" t="s">
        <v>3565</v>
      </c>
      <c r="D660" s="72">
        <v>34814</v>
      </c>
      <c r="E660" s="71" t="s">
        <v>3566</v>
      </c>
      <c r="F660" s="71" t="s">
        <v>228</v>
      </c>
      <c r="G660" s="71" t="s">
        <v>20</v>
      </c>
      <c r="H660" s="71"/>
      <c r="I660" s="71"/>
      <c r="J660" s="71" t="s">
        <v>3567</v>
      </c>
      <c r="K660" s="71" t="s">
        <v>3568</v>
      </c>
      <c r="L660" s="71" t="s">
        <v>3526</v>
      </c>
      <c r="M660" s="71" t="s">
        <v>3569</v>
      </c>
      <c r="O660" s="72">
        <v>37043</v>
      </c>
      <c r="P660" s="71"/>
      <c r="Q660" s="71" t="b">
        <v>0</v>
      </c>
      <c r="R660" s="22">
        <f t="shared" si="10"/>
        <v>2226</v>
      </c>
    </row>
    <row r="661" spans="1:18">
      <c r="A661" s="71">
        <v>3308</v>
      </c>
      <c r="B661" s="72">
        <v>34822</v>
      </c>
      <c r="C661" s="71" t="s">
        <v>3573</v>
      </c>
      <c r="D661" s="72">
        <v>34822</v>
      </c>
      <c r="E661" s="71" t="s">
        <v>3574</v>
      </c>
      <c r="F661" s="71" t="s">
        <v>39</v>
      </c>
      <c r="G661" s="71" t="s">
        <v>20</v>
      </c>
      <c r="H661" s="71"/>
      <c r="I661" s="71"/>
      <c r="J661" s="71" t="s">
        <v>3575</v>
      </c>
      <c r="K661" s="71" t="s">
        <v>3576</v>
      </c>
      <c r="L661" s="71" t="s">
        <v>82</v>
      </c>
      <c r="M661" s="71"/>
      <c r="O661" s="72">
        <v>34967</v>
      </c>
      <c r="P661" s="71"/>
      <c r="Q661" s="71" t="b">
        <v>0</v>
      </c>
      <c r="R661" s="22">
        <f t="shared" si="10"/>
        <v>143</v>
      </c>
    </row>
    <row r="662" spans="1:18">
      <c r="A662" s="71">
        <v>3310</v>
      </c>
      <c r="B662" s="72">
        <v>34824</v>
      </c>
      <c r="C662" s="71" t="s">
        <v>3577</v>
      </c>
      <c r="D662" s="72">
        <v>34824</v>
      </c>
      <c r="E662" s="71" t="s">
        <v>3578</v>
      </c>
      <c r="F662" s="71" t="s">
        <v>3579</v>
      </c>
      <c r="G662" s="71" t="s">
        <v>20</v>
      </c>
      <c r="H662" s="71"/>
      <c r="I662" s="71"/>
      <c r="J662" s="71" t="s">
        <v>3580</v>
      </c>
      <c r="K662" s="71" t="s">
        <v>3581</v>
      </c>
      <c r="L662" s="71" t="s">
        <v>24</v>
      </c>
      <c r="M662" s="71"/>
      <c r="N662" s="72">
        <v>34834</v>
      </c>
      <c r="O662" s="72">
        <v>36158</v>
      </c>
      <c r="P662" s="71">
        <v>-1</v>
      </c>
      <c r="Q662" s="71" t="b">
        <v>0</v>
      </c>
      <c r="R662" s="22">
        <f t="shared" si="10"/>
        <v>1332</v>
      </c>
    </row>
    <row r="663" spans="1:18">
      <c r="A663" s="71">
        <v>3324</v>
      </c>
      <c r="B663" s="72">
        <v>34828</v>
      </c>
      <c r="C663" s="71" t="s">
        <v>3584</v>
      </c>
      <c r="D663" s="72">
        <v>34828</v>
      </c>
      <c r="E663" s="71" t="s">
        <v>3585</v>
      </c>
      <c r="F663" s="71" t="s">
        <v>98</v>
      </c>
      <c r="G663" s="71" t="s">
        <v>20</v>
      </c>
      <c r="H663" s="71"/>
      <c r="I663" s="71"/>
      <c r="J663" s="71" t="s">
        <v>3586</v>
      </c>
      <c r="K663" s="71" t="s">
        <v>3587</v>
      </c>
      <c r="L663" s="71" t="s">
        <v>3588</v>
      </c>
      <c r="M663" s="71" t="s">
        <v>3589</v>
      </c>
      <c r="N663" s="71"/>
      <c r="O663" s="72">
        <v>39500</v>
      </c>
      <c r="P663" s="71"/>
      <c r="Q663" s="71" t="b">
        <v>0</v>
      </c>
      <c r="R663" s="22">
        <f t="shared" si="10"/>
        <v>4666</v>
      </c>
    </row>
    <row r="664" spans="1:18">
      <c r="A664" s="71">
        <v>3329</v>
      </c>
      <c r="B664" s="72">
        <v>34830</v>
      </c>
      <c r="C664" s="71" t="s">
        <v>3590</v>
      </c>
      <c r="D664" s="72">
        <v>34829</v>
      </c>
      <c r="E664" s="71" t="s">
        <v>3591</v>
      </c>
      <c r="F664" s="71" t="s">
        <v>242</v>
      </c>
      <c r="G664" s="71" t="s">
        <v>20</v>
      </c>
      <c r="H664" s="71"/>
      <c r="I664" s="71"/>
      <c r="J664" s="71" t="s">
        <v>3592</v>
      </c>
      <c r="K664" s="71" t="s">
        <v>242</v>
      </c>
      <c r="L664" s="71" t="s">
        <v>30</v>
      </c>
      <c r="M664" s="71"/>
      <c r="O664" s="72">
        <v>36455</v>
      </c>
      <c r="P664" s="71">
        <v>-1</v>
      </c>
      <c r="Q664" s="71" t="b">
        <v>0</v>
      </c>
      <c r="R664" s="22">
        <f t="shared" si="10"/>
        <v>1623</v>
      </c>
    </row>
    <row r="665" spans="1:18">
      <c r="A665" s="71">
        <v>3336</v>
      </c>
      <c r="B665" s="72">
        <v>34837</v>
      </c>
      <c r="C665" s="71" t="s">
        <v>3593</v>
      </c>
      <c r="D665" s="72">
        <v>34837</v>
      </c>
      <c r="E665" s="71" t="s">
        <v>3594</v>
      </c>
      <c r="F665" s="71" t="s">
        <v>2838</v>
      </c>
      <c r="G665" s="71" t="s">
        <v>20</v>
      </c>
      <c r="H665" s="71"/>
      <c r="I665" s="71"/>
      <c r="J665" s="71" t="s">
        <v>3595</v>
      </c>
      <c r="K665" s="71" t="s">
        <v>3596</v>
      </c>
      <c r="L665" s="71" t="s">
        <v>66</v>
      </c>
      <c r="M665" s="71" t="s">
        <v>67</v>
      </c>
      <c r="O665" s="72">
        <v>37011</v>
      </c>
      <c r="P665" s="71"/>
      <c r="Q665" s="71" t="b">
        <v>0</v>
      </c>
      <c r="R665" s="22">
        <f t="shared" si="10"/>
        <v>2171</v>
      </c>
    </row>
    <row r="666" spans="1:18">
      <c r="A666" s="71">
        <v>3340</v>
      </c>
      <c r="B666" s="72">
        <v>34844</v>
      </c>
      <c r="C666" s="71" t="s">
        <v>3597</v>
      </c>
      <c r="D666" s="72">
        <v>34844</v>
      </c>
      <c r="E666" s="71" t="s">
        <v>3598</v>
      </c>
      <c r="F666" s="71" t="s">
        <v>124</v>
      </c>
      <c r="G666" s="71" t="s">
        <v>20</v>
      </c>
      <c r="H666" s="71"/>
      <c r="I666" s="71"/>
      <c r="J666" s="71" t="s">
        <v>675</v>
      </c>
      <c r="K666" s="71" t="s">
        <v>3599</v>
      </c>
      <c r="L666" s="71" t="s">
        <v>1152</v>
      </c>
      <c r="M666" s="71"/>
      <c r="O666" s="72">
        <v>34922</v>
      </c>
      <c r="P666" s="71">
        <v>-1</v>
      </c>
      <c r="Q666" s="71" t="b">
        <v>0</v>
      </c>
      <c r="R666" s="22">
        <f t="shared" si="10"/>
        <v>77</v>
      </c>
    </row>
    <row r="667" spans="1:18">
      <c r="A667" s="71">
        <v>3341</v>
      </c>
      <c r="B667" s="72">
        <v>34828</v>
      </c>
      <c r="C667" s="71" t="s">
        <v>3600</v>
      </c>
      <c r="D667" s="72">
        <v>34828</v>
      </c>
      <c r="E667" s="71" t="s">
        <v>3601</v>
      </c>
      <c r="F667" s="71" t="s">
        <v>1019</v>
      </c>
      <c r="G667" s="71" t="s">
        <v>20</v>
      </c>
      <c r="H667" s="71"/>
      <c r="I667" s="71"/>
      <c r="J667" s="71" t="s">
        <v>3602</v>
      </c>
      <c r="K667" s="71" t="s">
        <v>3603</v>
      </c>
      <c r="L667" s="71" t="s">
        <v>24</v>
      </c>
      <c r="M667" s="71"/>
      <c r="O667" s="72">
        <v>34858</v>
      </c>
      <c r="P667" s="71"/>
      <c r="Q667" s="71" t="b">
        <v>0</v>
      </c>
      <c r="R667" s="22">
        <f t="shared" si="10"/>
        <v>29</v>
      </c>
    </row>
    <row r="668" spans="1:18">
      <c r="A668" s="71">
        <v>3342</v>
      </c>
      <c r="B668" s="72">
        <v>34842</v>
      </c>
      <c r="C668" s="71" t="s">
        <v>3604</v>
      </c>
      <c r="D668" s="72">
        <v>34842</v>
      </c>
      <c r="E668" s="71" t="s">
        <v>3605</v>
      </c>
      <c r="F668" s="71" t="s">
        <v>27</v>
      </c>
      <c r="G668" s="71" t="s">
        <v>20</v>
      </c>
      <c r="H668" s="71"/>
      <c r="I668" s="71"/>
      <c r="J668" s="71" t="s">
        <v>3606</v>
      </c>
      <c r="K668" s="71" t="s">
        <v>3607</v>
      </c>
      <c r="L668" s="71" t="s">
        <v>24</v>
      </c>
      <c r="M668" s="71"/>
      <c r="O668" s="72">
        <v>34940</v>
      </c>
      <c r="P668" s="71"/>
      <c r="Q668" s="71" t="b">
        <v>0</v>
      </c>
      <c r="R668" s="22">
        <f t="shared" si="10"/>
        <v>97</v>
      </c>
    </row>
    <row r="669" spans="1:18">
      <c r="A669" s="71">
        <v>3347</v>
      </c>
      <c r="B669" s="72">
        <v>34850</v>
      </c>
      <c r="C669" s="71" t="s">
        <v>3608</v>
      </c>
      <c r="D669" s="72">
        <v>34850</v>
      </c>
      <c r="E669" s="71" t="s">
        <v>3609</v>
      </c>
      <c r="F669" s="71" t="s">
        <v>439</v>
      </c>
      <c r="G669" s="71" t="s">
        <v>20</v>
      </c>
      <c r="H669" s="71" t="s">
        <v>71</v>
      </c>
      <c r="I669" s="71" t="s">
        <v>72</v>
      </c>
      <c r="J669" s="71" t="s">
        <v>3610</v>
      </c>
      <c r="K669" s="71" t="s">
        <v>3611</v>
      </c>
      <c r="L669" s="71" t="s">
        <v>2205</v>
      </c>
      <c r="M669" s="71" t="s">
        <v>3612</v>
      </c>
      <c r="O669" s="72">
        <v>38489</v>
      </c>
      <c r="P669" s="71"/>
      <c r="Q669" s="71" t="b">
        <v>0</v>
      </c>
      <c r="R669" s="22">
        <f t="shared" si="10"/>
        <v>3636</v>
      </c>
    </row>
    <row r="670" spans="1:18">
      <c r="A670" s="71">
        <v>3360</v>
      </c>
      <c r="B670" s="72">
        <v>34855</v>
      </c>
      <c r="C670" s="71" t="s">
        <v>3613</v>
      </c>
      <c r="D670" s="72">
        <v>34855</v>
      </c>
      <c r="E670" s="71" t="s">
        <v>3614</v>
      </c>
      <c r="F670" s="71" t="s">
        <v>3615</v>
      </c>
      <c r="G670" s="71" t="s">
        <v>20</v>
      </c>
      <c r="H670" s="71" t="s">
        <v>189</v>
      </c>
      <c r="I670" s="71" t="s">
        <v>189</v>
      </c>
      <c r="J670" s="71" t="s">
        <v>3616</v>
      </c>
      <c r="K670" s="71" t="s">
        <v>332</v>
      </c>
      <c r="L670" s="71" t="s">
        <v>82</v>
      </c>
      <c r="M670" s="71"/>
      <c r="O670" s="72">
        <v>35093</v>
      </c>
      <c r="P670" s="71"/>
      <c r="Q670" s="71" t="b">
        <v>0</v>
      </c>
      <c r="R670" s="22">
        <f t="shared" si="10"/>
        <v>237</v>
      </c>
    </row>
    <row r="671" spans="1:18">
      <c r="A671" s="71">
        <v>3361</v>
      </c>
      <c r="B671" s="72">
        <v>34856</v>
      </c>
      <c r="C671" s="71" t="s">
        <v>3617</v>
      </c>
      <c r="D671" s="72">
        <v>34856</v>
      </c>
      <c r="E671" s="71" t="s">
        <v>3618</v>
      </c>
      <c r="F671" s="71" t="s">
        <v>124</v>
      </c>
      <c r="G671" s="71" t="s">
        <v>20</v>
      </c>
      <c r="H671" s="71"/>
      <c r="I671" s="71"/>
      <c r="J671" s="71" t="s">
        <v>124</v>
      </c>
      <c r="K671" s="71" t="s">
        <v>3619</v>
      </c>
      <c r="L671" s="71" t="s">
        <v>24</v>
      </c>
      <c r="M671" s="71"/>
      <c r="O671" s="72">
        <v>34912</v>
      </c>
      <c r="P671" s="71">
        <v>-1</v>
      </c>
      <c r="Q671" s="71" t="b">
        <v>0</v>
      </c>
      <c r="R671" s="22">
        <f t="shared" si="10"/>
        <v>55</v>
      </c>
    </row>
    <row r="672" spans="1:18">
      <c r="A672" s="71">
        <v>3375</v>
      </c>
      <c r="B672" s="72">
        <v>35223</v>
      </c>
      <c r="C672" s="71" t="s">
        <v>3622</v>
      </c>
      <c r="D672" s="72">
        <v>34857</v>
      </c>
      <c r="E672" s="71" t="s">
        <v>3623</v>
      </c>
      <c r="F672" s="71" t="s">
        <v>565</v>
      </c>
      <c r="G672" s="71" t="s">
        <v>20</v>
      </c>
      <c r="H672" s="71" t="s">
        <v>566</v>
      </c>
      <c r="I672" s="71" t="s">
        <v>566</v>
      </c>
      <c r="J672" s="71" t="s">
        <v>3624</v>
      </c>
      <c r="K672" s="71" t="s">
        <v>3625</v>
      </c>
      <c r="L672" s="71" t="s">
        <v>88</v>
      </c>
      <c r="M672" s="71"/>
      <c r="O672" s="72">
        <v>35733</v>
      </c>
      <c r="P672" s="71">
        <v>-1</v>
      </c>
      <c r="Q672" s="71" t="b">
        <v>0</v>
      </c>
      <c r="R672" s="22">
        <f t="shared" si="10"/>
        <v>509</v>
      </c>
    </row>
    <row r="673" spans="1:18">
      <c r="A673" s="71">
        <v>3377</v>
      </c>
      <c r="B673" s="72">
        <v>34859</v>
      </c>
      <c r="C673" s="71" t="s">
        <v>3626</v>
      </c>
      <c r="D673" s="72">
        <v>34859</v>
      </c>
      <c r="E673" s="71" t="s">
        <v>3627</v>
      </c>
      <c r="F673" s="71" t="s">
        <v>3628</v>
      </c>
      <c r="G673" s="71" t="s">
        <v>20</v>
      </c>
      <c r="H673" s="71"/>
      <c r="I673" s="71"/>
      <c r="J673" s="71" t="s">
        <v>3629</v>
      </c>
      <c r="K673" s="71" t="s">
        <v>3630</v>
      </c>
      <c r="L673" s="71" t="s">
        <v>30</v>
      </c>
      <c r="M673" s="71"/>
      <c r="O673" s="72">
        <v>36495</v>
      </c>
      <c r="P673" s="71"/>
      <c r="Q673" s="71" t="b">
        <v>0</v>
      </c>
      <c r="R673" s="22">
        <f t="shared" si="10"/>
        <v>1634</v>
      </c>
    </row>
    <row r="674" spans="1:18">
      <c r="A674" s="71">
        <v>3383</v>
      </c>
      <c r="B674" s="72">
        <v>34871</v>
      </c>
      <c r="C674" s="71" t="s">
        <v>3634</v>
      </c>
      <c r="D674" s="72">
        <v>34871</v>
      </c>
      <c r="E674" s="71" t="s">
        <v>3635</v>
      </c>
      <c r="F674" s="71" t="s">
        <v>104</v>
      </c>
      <c r="G674" s="71" t="s">
        <v>20</v>
      </c>
      <c r="H674" s="71"/>
      <c r="I674" s="71"/>
      <c r="J674" s="71" t="s">
        <v>2472</v>
      </c>
      <c r="K674" s="71" t="s">
        <v>1887</v>
      </c>
      <c r="L674" s="71" t="s">
        <v>24</v>
      </c>
      <c r="M674" s="71"/>
      <c r="O674" s="72">
        <v>35053</v>
      </c>
      <c r="P674" s="71">
        <v>-1</v>
      </c>
      <c r="Q674" s="71" t="b">
        <v>0</v>
      </c>
      <c r="R674" s="22">
        <f t="shared" si="10"/>
        <v>181</v>
      </c>
    </row>
    <row r="675" spans="1:18">
      <c r="A675" s="71">
        <v>3384</v>
      </c>
      <c r="B675" s="72">
        <v>34871</v>
      </c>
      <c r="C675" s="71" t="s">
        <v>3636</v>
      </c>
      <c r="D675" s="72">
        <v>34871</v>
      </c>
      <c r="E675" s="71" t="s">
        <v>3637</v>
      </c>
      <c r="F675" s="71" t="s">
        <v>70</v>
      </c>
      <c r="G675" s="71" t="s">
        <v>20</v>
      </c>
      <c r="H675" s="71" t="s">
        <v>71</v>
      </c>
      <c r="I675" s="71" t="s">
        <v>72</v>
      </c>
      <c r="J675" s="71" t="s">
        <v>3638</v>
      </c>
      <c r="K675" s="71" t="s">
        <v>3639</v>
      </c>
      <c r="L675" s="71" t="s">
        <v>24</v>
      </c>
      <c r="M675" s="71"/>
      <c r="O675" s="72">
        <v>34940</v>
      </c>
      <c r="P675" s="71"/>
      <c r="Q675" s="71" t="b">
        <v>0</v>
      </c>
      <c r="R675" s="22">
        <f t="shared" si="10"/>
        <v>68</v>
      </c>
    </row>
    <row r="676" spans="1:18">
      <c r="A676" s="71">
        <v>3386</v>
      </c>
      <c r="B676" s="72">
        <v>34872</v>
      </c>
      <c r="C676" s="71" t="s">
        <v>3643</v>
      </c>
      <c r="D676" s="72">
        <v>34872</v>
      </c>
      <c r="E676" s="71" t="s">
        <v>3644</v>
      </c>
      <c r="F676" s="71" t="s">
        <v>861</v>
      </c>
      <c r="G676" s="71" t="s">
        <v>20</v>
      </c>
      <c r="H676" s="71" t="s">
        <v>566</v>
      </c>
      <c r="I676" s="71" t="s">
        <v>566</v>
      </c>
      <c r="J676" s="71" t="s">
        <v>3645</v>
      </c>
      <c r="K676" s="71" t="s">
        <v>3646</v>
      </c>
      <c r="L676" s="71" t="s">
        <v>24</v>
      </c>
      <c r="M676" s="71"/>
      <c r="O676" s="72">
        <v>34912</v>
      </c>
      <c r="P676" s="71"/>
      <c r="Q676" s="71" t="b">
        <v>0</v>
      </c>
      <c r="R676" s="22">
        <f t="shared" si="10"/>
        <v>39</v>
      </c>
    </row>
    <row r="677" spans="1:18">
      <c r="A677" s="71">
        <v>3390</v>
      </c>
      <c r="B677" s="72">
        <v>34876</v>
      </c>
      <c r="C677" s="71" t="s">
        <v>3647</v>
      </c>
      <c r="D677" s="72">
        <v>34876</v>
      </c>
      <c r="E677" s="71" t="s">
        <v>3648</v>
      </c>
      <c r="F677" s="71" t="s">
        <v>327</v>
      </c>
      <c r="G677" s="71" t="s">
        <v>20</v>
      </c>
      <c r="H677" s="71"/>
      <c r="I677" s="71"/>
      <c r="J677" s="71" t="s">
        <v>3649</v>
      </c>
      <c r="K677" s="71" t="s">
        <v>375</v>
      </c>
      <c r="L677" s="71" t="s">
        <v>24</v>
      </c>
      <c r="M677" s="71"/>
      <c r="O677" s="72">
        <v>34877</v>
      </c>
      <c r="P677" s="71"/>
      <c r="Q677" s="71" t="b">
        <v>0</v>
      </c>
      <c r="R677" s="22">
        <f t="shared" si="10"/>
        <v>1</v>
      </c>
    </row>
    <row r="678" spans="1:18">
      <c r="A678" s="71">
        <v>3402</v>
      </c>
      <c r="B678" s="72">
        <v>34890</v>
      </c>
      <c r="C678" s="71" t="s">
        <v>3653</v>
      </c>
      <c r="D678" s="72">
        <v>34887</v>
      </c>
      <c r="E678" s="71" t="s">
        <v>3654</v>
      </c>
      <c r="F678" s="71" t="s">
        <v>27</v>
      </c>
      <c r="G678" s="71" t="s">
        <v>20</v>
      </c>
      <c r="H678" s="71"/>
      <c r="I678" s="71"/>
      <c r="J678" s="71" t="s">
        <v>3655</v>
      </c>
      <c r="K678" s="71" t="s">
        <v>27</v>
      </c>
      <c r="L678" s="71" t="s">
        <v>314</v>
      </c>
      <c r="M678" s="71" t="s">
        <v>66</v>
      </c>
      <c r="O678" s="72">
        <v>37558</v>
      </c>
      <c r="P678" s="71">
        <v>-1</v>
      </c>
      <c r="Q678" s="71" t="b">
        <v>0</v>
      </c>
      <c r="R678" s="22">
        <f t="shared" si="10"/>
        <v>2665</v>
      </c>
    </row>
    <row r="679" spans="1:18">
      <c r="A679" s="71">
        <v>3403</v>
      </c>
      <c r="B679" s="72">
        <v>34891</v>
      </c>
      <c r="C679" s="71" t="s">
        <v>3656</v>
      </c>
      <c r="D679" s="72">
        <v>34891</v>
      </c>
      <c r="E679" s="71" t="s">
        <v>3657</v>
      </c>
      <c r="F679" s="71" t="s">
        <v>19</v>
      </c>
      <c r="G679" s="71" t="s">
        <v>20</v>
      </c>
      <c r="H679" s="71"/>
      <c r="I679" s="71"/>
      <c r="J679" s="71" t="s">
        <v>3658</v>
      </c>
      <c r="K679" s="71" t="s">
        <v>3659</v>
      </c>
      <c r="L679" s="71" t="s">
        <v>82</v>
      </c>
      <c r="M679" s="71"/>
      <c r="O679" s="72">
        <v>34892</v>
      </c>
      <c r="P679" s="71"/>
      <c r="Q679" s="71" t="b">
        <v>0</v>
      </c>
      <c r="R679" s="22">
        <f t="shared" si="10"/>
        <v>1</v>
      </c>
    </row>
    <row r="680" spans="1:18">
      <c r="A680" s="71">
        <v>3407</v>
      </c>
      <c r="B680" s="72">
        <v>34894</v>
      </c>
      <c r="C680" s="71" t="s">
        <v>3660</v>
      </c>
      <c r="D680" s="72">
        <v>34894</v>
      </c>
      <c r="E680" s="71" t="s">
        <v>3661</v>
      </c>
      <c r="F680" s="71" t="s">
        <v>741</v>
      </c>
      <c r="G680" s="71" t="s">
        <v>20</v>
      </c>
      <c r="H680" s="71"/>
      <c r="I680" s="71"/>
      <c r="J680" s="71" t="s">
        <v>3662</v>
      </c>
      <c r="K680" s="71" t="s">
        <v>306</v>
      </c>
      <c r="L680" s="71" t="s">
        <v>66</v>
      </c>
      <c r="M680" s="71" t="s">
        <v>1297</v>
      </c>
      <c r="O680" s="72">
        <v>37582</v>
      </c>
      <c r="P680" s="71">
        <v>0</v>
      </c>
      <c r="Q680" s="71" t="b">
        <v>0</v>
      </c>
      <c r="R680" s="22">
        <f t="shared" si="10"/>
        <v>2684</v>
      </c>
    </row>
    <row r="681" spans="1:18">
      <c r="A681" s="71">
        <v>3413</v>
      </c>
      <c r="B681" s="72">
        <v>34901</v>
      </c>
      <c r="C681" s="71" t="s">
        <v>3669</v>
      </c>
      <c r="D681" s="72">
        <v>34901</v>
      </c>
      <c r="E681" s="71" t="s">
        <v>3670</v>
      </c>
      <c r="F681" s="71" t="s">
        <v>1159</v>
      </c>
      <c r="G681" s="71" t="s">
        <v>20</v>
      </c>
      <c r="H681" s="71" t="s">
        <v>71</v>
      </c>
      <c r="I681" s="71" t="s">
        <v>72</v>
      </c>
      <c r="J681" s="71" t="s">
        <v>3671</v>
      </c>
      <c r="K681" s="71" t="s">
        <v>3672</v>
      </c>
      <c r="L681" s="71" t="s">
        <v>82</v>
      </c>
      <c r="M681" s="71"/>
      <c r="O681" s="72">
        <v>34914</v>
      </c>
      <c r="P681" s="71">
        <v>-1</v>
      </c>
      <c r="Q681" s="71" t="b">
        <v>0</v>
      </c>
      <c r="R681" s="22">
        <f t="shared" si="10"/>
        <v>12</v>
      </c>
    </row>
    <row r="682" spans="1:18">
      <c r="A682" s="71">
        <v>3415</v>
      </c>
      <c r="B682" s="72">
        <v>34904</v>
      </c>
      <c r="C682" s="71" t="s">
        <v>3673</v>
      </c>
      <c r="D682" s="72">
        <v>34901</v>
      </c>
      <c r="E682" s="71" t="s">
        <v>3674</v>
      </c>
      <c r="F682" s="71" t="s">
        <v>98</v>
      </c>
      <c r="G682" s="71" t="s">
        <v>20</v>
      </c>
      <c r="H682" s="71"/>
      <c r="I682" s="71"/>
      <c r="J682" s="71" t="s">
        <v>2763</v>
      </c>
      <c r="K682" s="71" t="s">
        <v>3675</v>
      </c>
      <c r="L682" s="71" t="s">
        <v>686</v>
      </c>
      <c r="M682" s="71" t="s">
        <v>67</v>
      </c>
      <c r="O682" s="72">
        <v>36347</v>
      </c>
      <c r="P682" s="71">
        <v>-1</v>
      </c>
      <c r="Q682" s="71" t="b">
        <v>0</v>
      </c>
      <c r="R682" s="22">
        <f t="shared" si="10"/>
        <v>1441</v>
      </c>
    </row>
    <row r="683" spans="1:18">
      <c r="A683" s="71">
        <v>3417</v>
      </c>
      <c r="B683" s="72">
        <v>34905</v>
      </c>
      <c r="C683" s="71" t="s">
        <v>3676</v>
      </c>
      <c r="D683" s="72">
        <v>34905</v>
      </c>
      <c r="E683" s="71" t="s">
        <v>3677</v>
      </c>
      <c r="F683" s="71" t="s">
        <v>56</v>
      </c>
      <c r="G683" s="71" t="s">
        <v>20</v>
      </c>
      <c r="H683" s="71"/>
      <c r="I683" s="71"/>
      <c r="J683" s="71" t="s">
        <v>3678</v>
      </c>
      <c r="K683" s="71" t="s">
        <v>3679</v>
      </c>
      <c r="L683" s="71" t="s">
        <v>82</v>
      </c>
      <c r="M683" s="71"/>
      <c r="O683" s="72">
        <v>34908</v>
      </c>
      <c r="P683" s="71"/>
      <c r="Q683" s="71" t="b">
        <v>0</v>
      </c>
      <c r="R683" s="22">
        <f t="shared" si="10"/>
        <v>3</v>
      </c>
    </row>
    <row r="684" spans="1:18">
      <c r="A684" s="71">
        <v>3418</v>
      </c>
      <c r="B684" s="72">
        <v>34906</v>
      </c>
      <c r="C684" s="71" t="s">
        <v>3680</v>
      </c>
      <c r="D684" s="72">
        <v>34906</v>
      </c>
      <c r="E684" s="71" t="s">
        <v>3677</v>
      </c>
      <c r="F684" s="71" t="s">
        <v>999</v>
      </c>
      <c r="G684" s="71" t="s">
        <v>20</v>
      </c>
      <c r="H684" s="71" t="s">
        <v>71</v>
      </c>
      <c r="I684" s="71" t="s">
        <v>72</v>
      </c>
      <c r="J684" s="71" t="s">
        <v>3681</v>
      </c>
      <c r="K684" s="71" t="s">
        <v>3682</v>
      </c>
      <c r="L684" s="71" t="s">
        <v>24</v>
      </c>
      <c r="M684" s="71"/>
      <c r="O684" s="72">
        <v>34940</v>
      </c>
      <c r="P684" s="71"/>
      <c r="Q684" s="71" t="b">
        <v>0</v>
      </c>
      <c r="R684" s="22">
        <f t="shared" si="10"/>
        <v>33</v>
      </c>
    </row>
    <row r="685" spans="1:18">
      <c r="A685" s="71">
        <v>3419</v>
      </c>
      <c r="B685" s="72">
        <v>34907</v>
      </c>
      <c r="C685" s="71" t="s">
        <v>3683</v>
      </c>
      <c r="D685" s="72">
        <v>34907</v>
      </c>
      <c r="E685" s="71" t="s">
        <v>3684</v>
      </c>
      <c r="F685" s="71" t="s">
        <v>306</v>
      </c>
      <c r="G685" s="71" t="s">
        <v>20</v>
      </c>
      <c r="H685" s="71"/>
      <c r="I685" s="71"/>
      <c r="J685" s="71" t="s">
        <v>3685</v>
      </c>
      <c r="K685" s="71"/>
      <c r="L685" s="71" t="s">
        <v>67</v>
      </c>
      <c r="M685" s="71"/>
      <c r="O685" s="72">
        <v>35828</v>
      </c>
      <c r="P685" s="71"/>
      <c r="Q685" s="71" t="b">
        <v>0</v>
      </c>
      <c r="R685" s="22">
        <f t="shared" si="10"/>
        <v>917</v>
      </c>
    </row>
    <row r="686" spans="1:18">
      <c r="A686" s="71">
        <v>3420</v>
      </c>
      <c r="B686" s="72">
        <v>34912</v>
      </c>
      <c r="C686" s="71" t="s">
        <v>3686</v>
      </c>
      <c r="D686" s="72">
        <v>34912</v>
      </c>
      <c r="E686" s="71" t="s">
        <v>3687</v>
      </c>
      <c r="F686" s="71" t="s">
        <v>98</v>
      </c>
      <c r="G686" s="71" t="s">
        <v>20</v>
      </c>
      <c r="H686" s="71"/>
      <c r="I686" s="71"/>
      <c r="J686" s="71" t="s">
        <v>3688</v>
      </c>
      <c r="K686" s="71" t="s">
        <v>3689</v>
      </c>
      <c r="L686" s="71" t="s">
        <v>82</v>
      </c>
      <c r="M686" s="71"/>
      <c r="O686" s="72">
        <v>34948</v>
      </c>
      <c r="P686" s="71">
        <v>-1</v>
      </c>
      <c r="Q686" s="71" t="b">
        <v>0</v>
      </c>
      <c r="R686" s="22">
        <f t="shared" si="10"/>
        <v>35</v>
      </c>
    </row>
    <row r="687" spans="1:18">
      <c r="A687" s="71">
        <v>3421</v>
      </c>
      <c r="B687" s="72">
        <v>34912</v>
      </c>
      <c r="C687" s="71" t="s">
        <v>3690</v>
      </c>
      <c r="D687" s="72">
        <v>34912</v>
      </c>
      <c r="E687" s="71" t="s">
        <v>3691</v>
      </c>
      <c r="F687" s="71" t="s">
        <v>194</v>
      </c>
      <c r="G687" s="71" t="s">
        <v>20</v>
      </c>
      <c r="H687" s="71" t="s">
        <v>71</v>
      </c>
      <c r="I687" s="71" t="s">
        <v>72</v>
      </c>
      <c r="J687" s="71" t="s">
        <v>3692</v>
      </c>
      <c r="K687" s="71" t="s">
        <v>1705</v>
      </c>
      <c r="L687" s="71" t="s">
        <v>686</v>
      </c>
      <c r="M687" s="71"/>
      <c r="O687" s="72">
        <v>36347</v>
      </c>
      <c r="P687" s="71">
        <v>-1</v>
      </c>
      <c r="Q687" s="71" t="b">
        <v>0</v>
      </c>
      <c r="R687" s="22">
        <f t="shared" si="10"/>
        <v>1434</v>
      </c>
    </row>
    <row r="688" spans="1:18">
      <c r="A688" s="71">
        <v>3426</v>
      </c>
      <c r="B688" s="72">
        <v>34925</v>
      </c>
      <c r="C688" s="71" t="s">
        <v>3696</v>
      </c>
      <c r="D688" s="72">
        <v>34925</v>
      </c>
      <c r="E688" s="71" t="s">
        <v>3697</v>
      </c>
      <c r="F688" s="71" t="s">
        <v>327</v>
      </c>
      <c r="G688" s="71" t="s">
        <v>20</v>
      </c>
      <c r="H688" s="71"/>
      <c r="I688" s="71"/>
      <c r="J688" s="71" t="s">
        <v>3698</v>
      </c>
      <c r="K688" s="71" t="s">
        <v>3699</v>
      </c>
      <c r="L688" s="71" t="s">
        <v>66</v>
      </c>
      <c r="M688" s="71"/>
      <c r="O688" s="72">
        <v>35432</v>
      </c>
      <c r="P688" s="71">
        <v>-1</v>
      </c>
      <c r="Q688" s="71" t="b">
        <v>0</v>
      </c>
      <c r="R688" s="22">
        <f t="shared" si="10"/>
        <v>504</v>
      </c>
    </row>
    <row r="689" spans="1:18">
      <c r="A689" s="71">
        <v>3427</v>
      </c>
      <c r="B689" s="72">
        <v>34927</v>
      </c>
      <c r="C689" s="71" t="s">
        <v>3700</v>
      </c>
      <c r="D689" s="72">
        <v>34927</v>
      </c>
      <c r="E689" s="71" t="s">
        <v>3701</v>
      </c>
      <c r="F689" s="71" t="s">
        <v>70</v>
      </c>
      <c r="G689" s="71" t="s">
        <v>20</v>
      </c>
      <c r="H689" s="71" t="s">
        <v>71</v>
      </c>
      <c r="I689" s="71" t="s">
        <v>72</v>
      </c>
      <c r="J689" s="71" t="s">
        <v>3702</v>
      </c>
      <c r="K689" s="71"/>
      <c r="L689" s="71"/>
      <c r="M689" s="71"/>
      <c r="O689" s="72">
        <v>34971</v>
      </c>
      <c r="P689" s="71"/>
      <c r="Q689" s="71" t="b">
        <v>0</v>
      </c>
      <c r="R689" s="22">
        <f t="shared" si="10"/>
        <v>43</v>
      </c>
    </row>
    <row r="690" spans="1:18">
      <c r="A690" s="71">
        <v>3430</v>
      </c>
      <c r="B690" s="72">
        <v>34933</v>
      </c>
      <c r="C690" s="71" t="s">
        <v>3703</v>
      </c>
      <c r="D690" s="72">
        <v>34933</v>
      </c>
      <c r="E690" s="71" t="s">
        <v>3704</v>
      </c>
      <c r="F690" s="71" t="s">
        <v>85</v>
      </c>
      <c r="G690" s="71" t="s">
        <v>20</v>
      </c>
      <c r="H690" s="71"/>
      <c r="I690" s="71"/>
      <c r="J690" s="71" t="s">
        <v>3705</v>
      </c>
      <c r="K690" s="71" t="s">
        <v>3706</v>
      </c>
      <c r="L690" s="71" t="s">
        <v>66</v>
      </c>
      <c r="M690" s="71" t="s">
        <v>1297</v>
      </c>
      <c r="O690" s="72">
        <v>37495</v>
      </c>
      <c r="P690" s="71"/>
      <c r="Q690" s="71" t="b">
        <v>0</v>
      </c>
      <c r="R690" s="22">
        <f t="shared" si="10"/>
        <v>2560</v>
      </c>
    </row>
    <row r="691" spans="1:18">
      <c r="A691" s="71">
        <v>3431</v>
      </c>
      <c r="B691" s="72">
        <v>34934</v>
      </c>
      <c r="C691" s="71" t="s">
        <v>3707</v>
      </c>
      <c r="D691" s="72">
        <v>34934</v>
      </c>
      <c r="E691" s="71" t="s">
        <v>3708</v>
      </c>
      <c r="F691" s="71" t="s">
        <v>124</v>
      </c>
      <c r="G691" s="71" t="s">
        <v>20</v>
      </c>
      <c r="H691" s="71"/>
      <c r="I691" s="71"/>
      <c r="J691" s="71" t="s">
        <v>3709</v>
      </c>
      <c r="K691" s="71" t="s">
        <v>3710</v>
      </c>
      <c r="L691" s="71" t="s">
        <v>314</v>
      </c>
      <c r="M691" s="71" t="s">
        <v>3163</v>
      </c>
      <c r="O691" s="72">
        <v>37909</v>
      </c>
      <c r="P691" s="71">
        <v>-1</v>
      </c>
      <c r="Q691" s="71" t="b">
        <v>0</v>
      </c>
      <c r="R691" s="22">
        <f t="shared" si="10"/>
        <v>2972</v>
      </c>
    </row>
    <row r="692" spans="1:18">
      <c r="A692" s="71">
        <v>3432</v>
      </c>
      <c r="B692" s="72">
        <v>34935</v>
      </c>
      <c r="C692" s="71" t="s">
        <v>3711</v>
      </c>
      <c r="D692" s="72">
        <v>34935</v>
      </c>
      <c r="E692" s="71" t="s">
        <v>3712</v>
      </c>
      <c r="F692" s="71" t="s">
        <v>94</v>
      </c>
      <c r="G692" s="71" t="s">
        <v>20</v>
      </c>
      <c r="H692" s="71"/>
      <c r="I692" s="71"/>
      <c r="J692" s="71" t="s">
        <v>3713</v>
      </c>
      <c r="K692" s="71" t="s">
        <v>3714</v>
      </c>
      <c r="L692" s="71" t="s">
        <v>30</v>
      </c>
      <c r="M692" s="71"/>
      <c r="N692" s="72">
        <v>34948</v>
      </c>
      <c r="O692" s="72">
        <v>35384</v>
      </c>
      <c r="P692" s="71"/>
      <c r="Q692" s="71" t="b">
        <v>0</v>
      </c>
      <c r="R692" s="22">
        <f t="shared" si="10"/>
        <v>447</v>
      </c>
    </row>
    <row r="693" spans="1:18">
      <c r="A693" s="71">
        <v>3433</v>
      </c>
      <c r="B693" s="72">
        <v>34935</v>
      </c>
      <c r="C693" s="71" t="s">
        <v>3715</v>
      </c>
      <c r="D693" s="72">
        <v>34935</v>
      </c>
      <c r="E693" s="71" t="s">
        <v>3716</v>
      </c>
      <c r="F693" s="71" t="s">
        <v>2838</v>
      </c>
      <c r="G693" s="71" t="s">
        <v>20</v>
      </c>
      <c r="H693" s="71"/>
      <c r="I693" s="71"/>
      <c r="J693" s="71" t="s">
        <v>3717</v>
      </c>
      <c r="K693" s="71" t="s">
        <v>3718</v>
      </c>
      <c r="L693" s="71" t="s">
        <v>1152</v>
      </c>
      <c r="M693" s="71"/>
      <c r="O693" s="72">
        <v>35002</v>
      </c>
      <c r="P693" s="71">
        <v>-1</v>
      </c>
      <c r="Q693" s="71" t="b">
        <v>0</v>
      </c>
      <c r="R693" s="22">
        <f t="shared" si="10"/>
        <v>66</v>
      </c>
    </row>
    <row r="694" spans="1:18">
      <c r="A694" s="71">
        <v>3435</v>
      </c>
      <c r="B694" s="72">
        <v>34939</v>
      </c>
      <c r="C694" s="71" t="s">
        <v>3719</v>
      </c>
      <c r="D694" s="72">
        <v>34939</v>
      </c>
      <c r="E694" s="71" t="s">
        <v>3720</v>
      </c>
      <c r="F694" s="71" t="s">
        <v>1771</v>
      </c>
      <c r="G694" s="71" t="s">
        <v>20</v>
      </c>
      <c r="H694" s="71" t="s">
        <v>189</v>
      </c>
      <c r="I694" s="71" t="s">
        <v>189</v>
      </c>
      <c r="J694" s="71" t="s">
        <v>3721</v>
      </c>
      <c r="K694" s="71" t="s">
        <v>3722</v>
      </c>
      <c r="L694" s="71" t="s">
        <v>24</v>
      </c>
      <c r="M694" s="71"/>
      <c r="O694" s="72">
        <v>35346</v>
      </c>
      <c r="P694" s="71"/>
      <c r="Q694" s="71" t="b">
        <v>0</v>
      </c>
      <c r="R694" s="22">
        <f t="shared" si="10"/>
        <v>405</v>
      </c>
    </row>
    <row r="695" spans="1:18">
      <c r="A695" s="71">
        <v>3436</v>
      </c>
      <c r="B695" s="72">
        <v>34940</v>
      </c>
      <c r="C695" s="71" t="s">
        <v>3723</v>
      </c>
      <c r="D695" s="72">
        <v>34940</v>
      </c>
      <c r="E695" s="71" t="s">
        <v>3724</v>
      </c>
      <c r="F695" s="71" t="s">
        <v>98</v>
      </c>
      <c r="G695" s="71" t="s">
        <v>20</v>
      </c>
      <c r="H695" s="71"/>
      <c r="I695" s="71"/>
      <c r="J695" s="71" t="s">
        <v>3725</v>
      </c>
      <c r="K695" s="71" t="s">
        <v>3726</v>
      </c>
      <c r="L695" s="71" t="s">
        <v>1152</v>
      </c>
      <c r="M695" s="71"/>
      <c r="O695" s="72">
        <v>34950</v>
      </c>
      <c r="P695" s="71">
        <v>-1</v>
      </c>
      <c r="Q695" s="71" t="b">
        <v>0</v>
      </c>
      <c r="R695" s="22">
        <f t="shared" si="10"/>
        <v>9</v>
      </c>
    </row>
    <row r="696" spans="1:18">
      <c r="A696" s="71">
        <v>3437</v>
      </c>
      <c r="B696" s="72">
        <v>34942</v>
      </c>
      <c r="C696" s="71" t="s">
        <v>3727</v>
      </c>
      <c r="D696" s="72">
        <v>34942</v>
      </c>
      <c r="E696" s="71" t="s">
        <v>3728</v>
      </c>
      <c r="F696" s="71" t="s">
        <v>124</v>
      </c>
      <c r="G696" s="71" t="s">
        <v>20</v>
      </c>
      <c r="H696" s="71"/>
      <c r="I696" s="71"/>
      <c r="J696" s="71" t="s">
        <v>3729</v>
      </c>
      <c r="K696" s="71" t="s">
        <v>3730</v>
      </c>
      <c r="L696" s="71" t="s">
        <v>24</v>
      </c>
      <c r="M696" s="71"/>
      <c r="O696" s="72">
        <v>34949</v>
      </c>
      <c r="P696" s="71"/>
      <c r="Q696" s="71" t="b">
        <v>0</v>
      </c>
      <c r="R696" s="22">
        <f t="shared" si="10"/>
        <v>7</v>
      </c>
    </row>
    <row r="697" spans="1:18">
      <c r="A697" s="71">
        <v>3438</v>
      </c>
      <c r="B697" s="72">
        <v>34943</v>
      </c>
      <c r="C697" s="71" t="s">
        <v>3731</v>
      </c>
      <c r="D697" s="72">
        <v>34943</v>
      </c>
      <c r="E697" s="71" t="s">
        <v>3732</v>
      </c>
      <c r="F697" s="71" t="s">
        <v>27</v>
      </c>
      <c r="G697" s="71" t="s">
        <v>20</v>
      </c>
      <c r="H697" s="71"/>
      <c r="I697" s="71"/>
      <c r="J697" s="71" t="s">
        <v>3733</v>
      </c>
      <c r="K697" s="71" t="s">
        <v>3734</v>
      </c>
      <c r="L697" s="71" t="s">
        <v>66</v>
      </c>
      <c r="M697" s="71"/>
      <c r="O697" s="72">
        <v>36347</v>
      </c>
      <c r="P697" s="71"/>
      <c r="Q697" s="71" t="b">
        <v>0</v>
      </c>
      <c r="R697" s="22">
        <f t="shared" si="10"/>
        <v>1404</v>
      </c>
    </row>
    <row r="698" spans="1:18">
      <c r="A698" s="71">
        <v>3439</v>
      </c>
      <c r="B698" s="72">
        <v>34943</v>
      </c>
      <c r="C698" s="71" t="s">
        <v>3735</v>
      </c>
      <c r="D698" s="72">
        <v>34943</v>
      </c>
      <c r="E698" s="71" t="s">
        <v>3736</v>
      </c>
      <c r="F698" s="71" t="s">
        <v>2838</v>
      </c>
      <c r="G698" s="71" t="s">
        <v>20</v>
      </c>
      <c r="H698" s="71"/>
      <c r="I698" s="71"/>
      <c r="J698" s="71" t="s">
        <v>3737</v>
      </c>
      <c r="K698" s="71" t="s">
        <v>3738</v>
      </c>
      <c r="L698" s="71" t="s">
        <v>30</v>
      </c>
      <c r="M698" s="71"/>
      <c r="O698" s="72">
        <v>34949</v>
      </c>
      <c r="P698" s="71"/>
      <c r="Q698" s="71" t="b">
        <v>0</v>
      </c>
      <c r="R698" s="22">
        <f t="shared" si="10"/>
        <v>6</v>
      </c>
    </row>
    <row r="699" spans="1:18">
      <c r="A699" s="71">
        <v>3440</v>
      </c>
      <c r="B699" s="72">
        <v>34947</v>
      </c>
      <c r="C699" s="71" t="s">
        <v>3739</v>
      </c>
      <c r="D699" s="72">
        <v>34947</v>
      </c>
      <c r="E699" s="71" t="s">
        <v>3740</v>
      </c>
      <c r="F699" s="71" t="s">
        <v>27</v>
      </c>
      <c r="G699" s="71" t="s">
        <v>20</v>
      </c>
      <c r="H699" s="71"/>
      <c r="I699" s="71"/>
      <c r="J699" s="71" t="s">
        <v>3741</v>
      </c>
      <c r="K699" s="71" t="s">
        <v>3742</v>
      </c>
      <c r="L699" s="71" t="s">
        <v>314</v>
      </c>
      <c r="M699" s="71" t="s">
        <v>3163</v>
      </c>
      <c r="O699" s="72">
        <v>37889</v>
      </c>
      <c r="P699" s="71"/>
      <c r="Q699" s="71" t="b">
        <v>0</v>
      </c>
      <c r="R699" s="22">
        <f t="shared" si="10"/>
        <v>2940</v>
      </c>
    </row>
    <row r="700" spans="1:18">
      <c r="A700" s="71">
        <v>3444</v>
      </c>
      <c r="B700" s="72">
        <v>34954</v>
      </c>
      <c r="C700" s="71" t="s">
        <v>3743</v>
      </c>
      <c r="D700" s="72">
        <v>34954</v>
      </c>
      <c r="E700" s="71" t="s">
        <v>3744</v>
      </c>
      <c r="F700" s="71" t="s">
        <v>3579</v>
      </c>
      <c r="G700" s="71" t="s">
        <v>20</v>
      </c>
      <c r="H700" s="71"/>
      <c r="I700" s="71"/>
      <c r="J700" s="71" t="s">
        <v>3745</v>
      </c>
      <c r="K700" s="71" t="s">
        <v>3580</v>
      </c>
      <c r="L700" s="71" t="s">
        <v>821</v>
      </c>
      <c r="M700" s="71" t="s">
        <v>3746</v>
      </c>
      <c r="O700" s="72">
        <v>36347</v>
      </c>
      <c r="P700" s="71">
        <v>-1</v>
      </c>
      <c r="Q700" s="71" t="b">
        <v>0</v>
      </c>
      <c r="R700" s="22">
        <f t="shared" si="10"/>
        <v>1393</v>
      </c>
    </row>
    <row r="701" spans="1:18">
      <c r="A701" s="71">
        <v>3445</v>
      </c>
      <c r="B701" s="72">
        <v>34954</v>
      </c>
      <c r="C701" s="71" t="s">
        <v>3747</v>
      </c>
      <c r="D701" s="72">
        <v>34954</v>
      </c>
      <c r="E701" s="71" t="s">
        <v>3748</v>
      </c>
      <c r="F701" s="71" t="s">
        <v>984</v>
      </c>
      <c r="G701" s="71" t="s">
        <v>20</v>
      </c>
      <c r="H701" s="71"/>
      <c r="I701" s="71"/>
      <c r="J701" s="71" t="s">
        <v>3749</v>
      </c>
      <c r="K701" s="71" t="s">
        <v>3750</v>
      </c>
      <c r="L701" s="71" t="s">
        <v>82</v>
      </c>
      <c r="M701" s="71"/>
      <c r="O701" s="72">
        <v>34957</v>
      </c>
      <c r="P701" s="71"/>
      <c r="Q701" s="71" t="b">
        <v>0</v>
      </c>
      <c r="R701" s="22">
        <f t="shared" si="10"/>
        <v>3</v>
      </c>
    </row>
    <row r="702" spans="1:18">
      <c r="A702" s="71">
        <v>3448</v>
      </c>
      <c r="B702" s="72">
        <v>34956</v>
      </c>
      <c r="C702" s="71" t="s">
        <v>3755</v>
      </c>
      <c r="D702" s="72">
        <v>34956</v>
      </c>
      <c r="E702" s="71" t="s">
        <v>3756</v>
      </c>
      <c r="F702" s="71" t="s">
        <v>129</v>
      </c>
      <c r="G702" s="71" t="s">
        <v>20</v>
      </c>
      <c r="H702" s="71"/>
      <c r="I702" s="71"/>
      <c r="J702" s="71" t="s">
        <v>3757</v>
      </c>
      <c r="K702" s="71"/>
      <c r="L702" s="71" t="s">
        <v>66</v>
      </c>
      <c r="M702" s="71"/>
      <c r="O702" s="72">
        <v>35926</v>
      </c>
      <c r="P702" s="71">
        <v>-1</v>
      </c>
      <c r="Q702" s="71" t="b">
        <v>0</v>
      </c>
      <c r="R702" s="22">
        <f t="shared" si="10"/>
        <v>970</v>
      </c>
    </row>
    <row r="703" spans="1:18">
      <c r="A703" s="71">
        <v>3450</v>
      </c>
      <c r="B703" s="72">
        <v>34957</v>
      </c>
      <c r="C703" s="71" t="s">
        <v>3760</v>
      </c>
      <c r="D703" s="72">
        <v>34957</v>
      </c>
      <c r="E703" s="71" t="s">
        <v>3761</v>
      </c>
      <c r="F703" s="71" t="s">
        <v>27</v>
      </c>
      <c r="G703" s="71" t="s">
        <v>20</v>
      </c>
      <c r="H703" s="71"/>
      <c r="I703" s="71"/>
      <c r="J703" s="71" t="s">
        <v>3762</v>
      </c>
      <c r="K703" s="71" t="s">
        <v>3763</v>
      </c>
      <c r="L703" s="71" t="s">
        <v>30</v>
      </c>
      <c r="M703" s="71"/>
      <c r="N703" s="72">
        <v>34963</v>
      </c>
      <c r="O703" s="72">
        <v>35774</v>
      </c>
      <c r="P703" s="71"/>
      <c r="Q703" s="71" t="b">
        <v>0</v>
      </c>
      <c r="R703" s="22">
        <f t="shared" si="10"/>
        <v>816</v>
      </c>
    </row>
    <row r="704" spans="1:18">
      <c r="A704" s="71">
        <v>3451</v>
      </c>
      <c r="B704" s="72">
        <v>34961</v>
      </c>
      <c r="C704" s="71" t="s">
        <v>3764</v>
      </c>
      <c r="D704" s="72">
        <v>34960</v>
      </c>
      <c r="E704" s="71" t="s">
        <v>3765</v>
      </c>
      <c r="F704" s="71" t="s">
        <v>455</v>
      </c>
      <c r="G704" s="71" t="s">
        <v>20</v>
      </c>
      <c r="H704" s="71" t="s">
        <v>71</v>
      </c>
      <c r="I704" s="71" t="s">
        <v>72</v>
      </c>
      <c r="J704" s="71" t="s">
        <v>2469</v>
      </c>
      <c r="K704" s="71" t="s">
        <v>3766</v>
      </c>
      <c r="L704" s="71" t="s">
        <v>24</v>
      </c>
      <c r="M704" s="71"/>
      <c r="O704" s="72">
        <v>35052</v>
      </c>
      <c r="P704" s="71"/>
      <c r="Q704" s="71" t="b">
        <v>0</v>
      </c>
      <c r="R704" s="22">
        <f t="shared" si="10"/>
        <v>91</v>
      </c>
    </row>
    <row r="705" spans="1:18">
      <c r="A705" s="71">
        <v>3452</v>
      </c>
      <c r="B705" s="72">
        <v>34962</v>
      </c>
      <c r="C705" s="71" t="s">
        <v>3767</v>
      </c>
      <c r="D705" s="72">
        <v>34962</v>
      </c>
      <c r="E705" s="71" t="s">
        <v>3768</v>
      </c>
      <c r="F705" s="71" t="s">
        <v>1771</v>
      </c>
      <c r="G705" s="71" t="s">
        <v>20</v>
      </c>
      <c r="H705" s="71" t="s">
        <v>189</v>
      </c>
      <c r="I705" s="71" t="s">
        <v>189</v>
      </c>
      <c r="J705" s="71" t="s">
        <v>3769</v>
      </c>
      <c r="K705" s="71" t="s">
        <v>3770</v>
      </c>
      <c r="L705" s="71" t="s">
        <v>30</v>
      </c>
      <c r="M705" s="71"/>
      <c r="O705" s="72">
        <v>35016</v>
      </c>
      <c r="P705" s="71">
        <v>-1</v>
      </c>
      <c r="Q705" s="71" t="b">
        <v>0</v>
      </c>
      <c r="R705" s="22">
        <f t="shared" si="10"/>
        <v>53</v>
      </c>
    </row>
    <row r="706" spans="1:18">
      <c r="A706" s="71">
        <v>3457</v>
      </c>
      <c r="B706" s="72">
        <v>34970</v>
      </c>
      <c r="C706" s="71" t="s">
        <v>3772</v>
      </c>
      <c r="D706" s="72">
        <v>34970</v>
      </c>
      <c r="E706" s="71" t="s">
        <v>3773</v>
      </c>
      <c r="F706" s="71" t="s">
        <v>2838</v>
      </c>
      <c r="G706" s="71" t="s">
        <v>20</v>
      </c>
      <c r="H706" s="71"/>
      <c r="I706" s="71"/>
      <c r="J706" s="71" t="s">
        <v>3774</v>
      </c>
      <c r="K706" s="71" t="s">
        <v>3775</v>
      </c>
      <c r="L706" s="71" t="s">
        <v>66</v>
      </c>
      <c r="M706" s="71"/>
      <c r="O706" s="72">
        <v>37018</v>
      </c>
      <c r="P706" s="71"/>
      <c r="Q706" s="71" t="b">
        <v>0</v>
      </c>
      <c r="R706" s="22">
        <f t="shared" ref="R706:R769" si="11">IF(O706=" ", " ", INT(YEARFRAC(O706, B706)*365))</f>
        <v>2047</v>
      </c>
    </row>
    <row r="707" spans="1:18">
      <c r="A707" s="71">
        <v>3459</v>
      </c>
      <c r="B707" s="72">
        <v>34970</v>
      </c>
      <c r="C707" s="71" t="s">
        <v>3779</v>
      </c>
      <c r="D707" s="72">
        <v>34970</v>
      </c>
      <c r="E707" s="71" t="s">
        <v>3780</v>
      </c>
      <c r="F707" s="71" t="s">
        <v>242</v>
      </c>
      <c r="G707" s="71" t="s">
        <v>20</v>
      </c>
      <c r="H707" s="71"/>
      <c r="I707" s="71"/>
      <c r="J707" s="71" t="s">
        <v>3781</v>
      </c>
      <c r="K707" s="71" t="s">
        <v>3782</v>
      </c>
      <c r="L707" s="71" t="s">
        <v>30</v>
      </c>
      <c r="M707" s="71"/>
      <c r="O707" s="72">
        <v>36496</v>
      </c>
      <c r="P707" s="71"/>
      <c r="Q707" s="71" t="b">
        <v>0</v>
      </c>
      <c r="R707" s="22">
        <f t="shared" si="11"/>
        <v>1524</v>
      </c>
    </row>
    <row r="708" spans="1:18">
      <c r="A708" s="71">
        <v>3460</v>
      </c>
      <c r="B708" s="72">
        <v>34844</v>
      </c>
      <c r="C708" s="71" t="s">
        <v>3783</v>
      </c>
      <c r="D708" s="72">
        <v>34844</v>
      </c>
      <c r="E708" s="71" t="s">
        <v>3784</v>
      </c>
      <c r="F708" s="71" t="s">
        <v>104</v>
      </c>
      <c r="G708" s="71" t="s">
        <v>20</v>
      </c>
      <c r="H708" s="71"/>
      <c r="I708" s="71"/>
      <c r="J708" s="71" t="s">
        <v>3785</v>
      </c>
      <c r="K708" s="71" t="s">
        <v>1241</v>
      </c>
      <c r="L708" s="71" t="s">
        <v>30</v>
      </c>
      <c r="M708" s="71"/>
      <c r="O708" s="72">
        <v>34963</v>
      </c>
      <c r="P708" s="71">
        <v>-1</v>
      </c>
      <c r="Q708" s="71" t="b">
        <v>0</v>
      </c>
      <c r="R708" s="22">
        <f t="shared" si="11"/>
        <v>117</v>
      </c>
    </row>
    <row r="709" spans="1:18">
      <c r="A709" s="71">
        <v>3463</v>
      </c>
      <c r="B709" s="72">
        <v>34990</v>
      </c>
      <c r="C709" s="71" t="s">
        <v>3786</v>
      </c>
      <c r="D709" s="72">
        <v>34990</v>
      </c>
      <c r="E709" s="71" t="s">
        <v>3787</v>
      </c>
      <c r="F709" s="71" t="s">
        <v>124</v>
      </c>
      <c r="G709" s="71" t="s">
        <v>20</v>
      </c>
      <c r="H709" s="71" t="s">
        <v>189</v>
      </c>
      <c r="I709" s="71" t="s">
        <v>189</v>
      </c>
      <c r="J709" s="71" t="s">
        <v>3788</v>
      </c>
      <c r="K709" s="71" t="s">
        <v>3789</v>
      </c>
      <c r="L709" s="71" t="s">
        <v>66</v>
      </c>
      <c r="M709" s="71"/>
      <c r="O709" s="72">
        <v>35856</v>
      </c>
      <c r="P709" s="71">
        <v>-1</v>
      </c>
      <c r="Q709" s="71" t="b">
        <v>0</v>
      </c>
      <c r="R709" s="22">
        <f t="shared" si="11"/>
        <v>865</v>
      </c>
    </row>
    <row r="710" spans="1:18">
      <c r="A710" s="71">
        <v>3471</v>
      </c>
      <c r="B710" s="72">
        <v>35002</v>
      </c>
      <c r="C710" s="71" t="s">
        <v>3800</v>
      </c>
      <c r="D710" s="72">
        <v>35002</v>
      </c>
      <c r="E710" s="71" t="s">
        <v>3801</v>
      </c>
      <c r="F710" s="71" t="s">
        <v>2580</v>
      </c>
      <c r="G710" s="71" t="s">
        <v>20</v>
      </c>
      <c r="H710" s="71" t="s">
        <v>71</v>
      </c>
      <c r="I710" s="71" t="s">
        <v>72</v>
      </c>
      <c r="J710" s="71" t="s">
        <v>3802</v>
      </c>
      <c r="K710" s="71"/>
      <c r="L710" s="71" t="s">
        <v>24</v>
      </c>
      <c r="M710" s="71"/>
      <c r="O710" s="72">
        <v>35011</v>
      </c>
      <c r="P710" s="71">
        <v>-1</v>
      </c>
      <c r="Q710" s="71" t="b">
        <v>0</v>
      </c>
      <c r="R710" s="22">
        <f t="shared" si="11"/>
        <v>8</v>
      </c>
    </row>
    <row r="711" spans="1:18">
      <c r="A711" s="71">
        <v>3472</v>
      </c>
      <c r="B711" s="72">
        <v>35002</v>
      </c>
      <c r="C711" s="71" t="s">
        <v>3803</v>
      </c>
      <c r="D711" s="72">
        <v>35002</v>
      </c>
      <c r="E711" s="71" t="s">
        <v>3804</v>
      </c>
      <c r="F711" s="71" t="s">
        <v>124</v>
      </c>
      <c r="G711" s="71" t="s">
        <v>20</v>
      </c>
      <c r="H711" s="71" t="s">
        <v>189</v>
      </c>
      <c r="I711" s="71" t="s">
        <v>189</v>
      </c>
      <c r="J711" s="71" t="s">
        <v>3805</v>
      </c>
      <c r="K711" s="71" t="s">
        <v>3806</v>
      </c>
      <c r="L711" s="71" t="s">
        <v>66</v>
      </c>
      <c r="M711" s="71"/>
      <c r="O711" s="72">
        <v>35688</v>
      </c>
      <c r="P711" s="71">
        <v>-1</v>
      </c>
      <c r="Q711" s="71" t="b">
        <v>0</v>
      </c>
      <c r="R711" s="22">
        <f t="shared" si="11"/>
        <v>684</v>
      </c>
    </row>
    <row r="712" spans="1:18">
      <c r="A712" s="71">
        <v>3473</v>
      </c>
      <c r="B712" s="72">
        <v>35003</v>
      </c>
      <c r="C712" s="71" t="s">
        <v>3807</v>
      </c>
      <c r="D712" s="72">
        <v>35003</v>
      </c>
      <c r="E712" s="71" t="s">
        <v>3808</v>
      </c>
      <c r="F712" s="71" t="s">
        <v>211</v>
      </c>
      <c r="G712" s="71" t="s">
        <v>20</v>
      </c>
      <c r="H712" s="71" t="s">
        <v>212</v>
      </c>
      <c r="I712" s="71" t="s">
        <v>212</v>
      </c>
      <c r="J712" s="71" t="s">
        <v>3809</v>
      </c>
      <c r="K712" s="71" t="s">
        <v>3810</v>
      </c>
      <c r="L712" s="71" t="s">
        <v>88</v>
      </c>
      <c r="M712" s="71"/>
      <c r="O712" s="72">
        <v>35468</v>
      </c>
      <c r="P712" s="71"/>
      <c r="Q712" s="71" t="b">
        <v>0</v>
      </c>
      <c r="R712" s="22">
        <f t="shared" si="11"/>
        <v>463</v>
      </c>
    </row>
    <row r="713" spans="1:18">
      <c r="A713" s="71">
        <v>3476</v>
      </c>
      <c r="B713" s="72">
        <v>35005</v>
      </c>
      <c r="C713" s="71" t="s">
        <v>3811</v>
      </c>
      <c r="D713" s="72">
        <v>35005</v>
      </c>
      <c r="E713" s="71" t="s">
        <v>3812</v>
      </c>
      <c r="F713" s="71" t="s">
        <v>124</v>
      </c>
      <c r="G713" s="71" t="s">
        <v>20</v>
      </c>
      <c r="H713" s="71"/>
      <c r="I713" s="71"/>
      <c r="J713" s="71" t="s">
        <v>3813</v>
      </c>
      <c r="K713" s="71" t="s">
        <v>1712</v>
      </c>
      <c r="L713" s="71" t="s">
        <v>1152</v>
      </c>
      <c r="M713" s="71"/>
      <c r="O713" s="72">
        <v>35083</v>
      </c>
      <c r="P713" s="71">
        <v>-1</v>
      </c>
      <c r="Q713" s="71" t="b">
        <v>0</v>
      </c>
      <c r="R713" s="22">
        <f t="shared" si="11"/>
        <v>78</v>
      </c>
    </row>
    <row r="714" spans="1:18">
      <c r="A714" s="71">
        <v>3477</v>
      </c>
      <c r="B714" s="72">
        <v>35005</v>
      </c>
      <c r="C714" s="71" t="s">
        <v>3811</v>
      </c>
      <c r="D714" s="72">
        <v>35005</v>
      </c>
      <c r="E714" s="71" t="s">
        <v>3812</v>
      </c>
      <c r="F714" s="71" t="s">
        <v>124</v>
      </c>
      <c r="G714" s="71" t="s">
        <v>20</v>
      </c>
      <c r="H714" s="71"/>
      <c r="I714" s="71"/>
      <c r="J714" s="71" t="s">
        <v>3813</v>
      </c>
      <c r="K714" s="71" t="s">
        <v>272</v>
      </c>
      <c r="L714" s="71" t="s">
        <v>3271</v>
      </c>
      <c r="M714" s="71"/>
      <c r="O714" s="72">
        <v>35081</v>
      </c>
      <c r="P714" s="71">
        <v>-1</v>
      </c>
      <c r="Q714" s="71" t="b">
        <v>0</v>
      </c>
      <c r="R714" s="22">
        <f t="shared" si="11"/>
        <v>76</v>
      </c>
    </row>
    <row r="715" spans="1:18">
      <c r="A715" s="71">
        <v>3478</v>
      </c>
      <c r="B715" s="72">
        <v>35005</v>
      </c>
      <c r="C715" s="71" t="s">
        <v>3814</v>
      </c>
      <c r="D715" s="72">
        <v>35005</v>
      </c>
      <c r="E715" s="71" t="s">
        <v>3815</v>
      </c>
      <c r="F715" s="71" t="s">
        <v>98</v>
      </c>
      <c r="G715" s="71" t="s">
        <v>20</v>
      </c>
      <c r="H715" s="71"/>
      <c r="I715" s="71"/>
      <c r="J715" s="71" t="s">
        <v>3595</v>
      </c>
      <c r="K715" s="71" t="s">
        <v>3816</v>
      </c>
      <c r="L715" s="71" t="s">
        <v>314</v>
      </c>
      <c r="M715" s="71" t="s">
        <v>3817</v>
      </c>
      <c r="O715" s="72">
        <v>38208</v>
      </c>
      <c r="P715" s="71">
        <v>-1</v>
      </c>
      <c r="Q715" s="71" t="b">
        <v>0</v>
      </c>
      <c r="R715" s="22">
        <f t="shared" si="11"/>
        <v>3200</v>
      </c>
    </row>
    <row r="716" spans="1:18">
      <c r="A716" s="71">
        <v>3484</v>
      </c>
      <c r="B716" s="72">
        <v>35010</v>
      </c>
      <c r="C716" s="71" t="s">
        <v>3818</v>
      </c>
      <c r="D716" s="72">
        <v>35010</v>
      </c>
      <c r="E716" s="71" t="s">
        <v>3819</v>
      </c>
      <c r="F716" s="71" t="s">
        <v>242</v>
      </c>
      <c r="G716" s="71" t="s">
        <v>20</v>
      </c>
      <c r="H716" s="71"/>
      <c r="I716" s="71"/>
      <c r="J716" s="71" t="s">
        <v>3820</v>
      </c>
      <c r="K716" s="71" t="s">
        <v>3821</v>
      </c>
      <c r="L716" s="71" t="s">
        <v>82</v>
      </c>
      <c r="M716" s="71"/>
      <c r="O716" s="72">
        <v>35093</v>
      </c>
      <c r="P716" s="71">
        <v>-1</v>
      </c>
      <c r="Q716" s="71" t="b">
        <v>0</v>
      </c>
      <c r="R716" s="22">
        <f t="shared" si="11"/>
        <v>83</v>
      </c>
    </row>
    <row r="717" spans="1:18">
      <c r="A717" s="71">
        <v>3485</v>
      </c>
      <c r="B717" s="72">
        <v>35010</v>
      </c>
      <c r="C717" s="71" t="s">
        <v>3822</v>
      </c>
      <c r="D717" s="72">
        <v>35010</v>
      </c>
      <c r="E717" s="71" t="s">
        <v>3823</v>
      </c>
      <c r="F717" s="71" t="s">
        <v>741</v>
      </c>
      <c r="G717" s="71" t="s">
        <v>20</v>
      </c>
      <c r="H717" s="71"/>
      <c r="I717" s="71"/>
      <c r="J717" s="71" t="s">
        <v>3824</v>
      </c>
      <c r="K717" s="71" t="s">
        <v>741</v>
      </c>
      <c r="L717" s="71" t="s">
        <v>30</v>
      </c>
      <c r="M717" s="71"/>
      <c r="O717" s="72">
        <v>35090</v>
      </c>
      <c r="P717" s="71"/>
      <c r="Q717" s="71" t="b">
        <v>0</v>
      </c>
      <c r="R717" s="22">
        <f t="shared" si="11"/>
        <v>80</v>
      </c>
    </row>
    <row r="718" spans="1:18">
      <c r="A718" s="71">
        <v>3487</v>
      </c>
      <c r="B718" s="72">
        <v>35011</v>
      </c>
      <c r="C718" s="71" t="s">
        <v>3825</v>
      </c>
      <c r="D718" s="72">
        <v>35011</v>
      </c>
      <c r="E718" s="71" t="s">
        <v>3826</v>
      </c>
      <c r="F718" s="71" t="s">
        <v>19</v>
      </c>
      <c r="G718" s="71" t="s">
        <v>20</v>
      </c>
      <c r="H718" s="71"/>
      <c r="I718" s="71"/>
      <c r="J718" s="71" t="s">
        <v>3827</v>
      </c>
      <c r="K718" s="71"/>
      <c r="L718" s="71" t="s">
        <v>24</v>
      </c>
      <c r="M718" s="71"/>
      <c r="O718" s="72">
        <v>35016</v>
      </c>
      <c r="P718" s="71">
        <v>-1</v>
      </c>
      <c r="Q718" s="71" t="b">
        <v>0</v>
      </c>
      <c r="R718" s="22">
        <f t="shared" si="11"/>
        <v>5</v>
      </c>
    </row>
    <row r="719" spans="1:18">
      <c r="A719" s="71">
        <v>3488</v>
      </c>
      <c r="B719" s="72">
        <v>35020</v>
      </c>
      <c r="C719" s="71" t="s">
        <v>3828</v>
      </c>
      <c r="D719" s="72">
        <v>35017</v>
      </c>
      <c r="E719" s="71" t="s">
        <v>3829</v>
      </c>
      <c r="F719" s="71" t="s">
        <v>124</v>
      </c>
      <c r="G719" s="71" t="s">
        <v>20</v>
      </c>
      <c r="H719" s="71"/>
      <c r="I719" s="71"/>
      <c r="J719" s="71" t="s">
        <v>3830</v>
      </c>
      <c r="K719" s="71" t="s">
        <v>3831</v>
      </c>
      <c r="L719" s="71" t="s">
        <v>24</v>
      </c>
      <c r="M719" s="71"/>
      <c r="O719" s="72">
        <v>35081</v>
      </c>
      <c r="P719" s="71">
        <v>-1</v>
      </c>
      <c r="Q719" s="71" t="b">
        <v>0</v>
      </c>
      <c r="R719" s="22">
        <f t="shared" si="11"/>
        <v>60</v>
      </c>
    </row>
    <row r="720" spans="1:18">
      <c r="A720" s="71">
        <v>3489</v>
      </c>
      <c r="B720" s="72">
        <v>35024</v>
      </c>
      <c r="C720" s="71" t="s">
        <v>3832</v>
      </c>
      <c r="D720" s="72">
        <v>35019</v>
      </c>
      <c r="E720" s="71" t="s">
        <v>3833</v>
      </c>
      <c r="F720" s="71" t="s">
        <v>1159</v>
      </c>
      <c r="G720" s="71" t="s">
        <v>20</v>
      </c>
      <c r="H720" s="71" t="s">
        <v>71</v>
      </c>
      <c r="I720" s="71" t="s">
        <v>72</v>
      </c>
      <c r="J720" s="71" t="s">
        <v>3834</v>
      </c>
      <c r="K720" s="71" t="s">
        <v>3835</v>
      </c>
      <c r="L720" s="71" t="s">
        <v>3526</v>
      </c>
      <c r="M720" s="71" t="s">
        <v>3569</v>
      </c>
      <c r="O720" s="72">
        <v>37048</v>
      </c>
      <c r="P720" s="71"/>
      <c r="Q720" s="71" t="b">
        <v>0</v>
      </c>
      <c r="R720" s="22">
        <f t="shared" si="11"/>
        <v>2022</v>
      </c>
    </row>
    <row r="721" spans="1:18">
      <c r="A721" s="71">
        <v>3490</v>
      </c>
      <c r="B721" s="72">
        <v>35024</v>
      </c>
      <c r="C721" s="71" t="s">
        <v>3836</v>
      </c>
      <c r="D721" s="72">
        <v>35020</v>
      </c>
      <c r="E721" s="71" t="s">
        <v>3837</v>
      </c>
      <c r="F721" s="71" t="s">
        <v>2838</v>
      </c>
      <c r="G721" s="71" t="s">
        <v>20</v>
      </c>
      <c r="H721" s="71"/>
      <c r="I721" s="71"/>
      <c r="J721" s="71" t="s">
        <v>3838</v>
      </c>
      <c r="K721" s="71" t="s">
        <v>3839</v>
      </c>
      <c r="L721" s="71" t="s">
        <v>66</v>
      </c>
      <c r="M721" s="71" t="s">
        <v>30</v>
      </c>
      <c r="O721" s="72">
        <v>37011</v>
      </c>
      <c r="P721" s="71"/>
      <c r="Q721" s="71" t="b">
        <v>0</v>
      </c>
      <c r="R721" s="22">
        <f t="shared" si="11"/>
        <v>1986</v>
      </c>
    </row>
    <row r="722" spans="1:18">
      <c r="A722" s="71">
        <v>3491</v>
      </c>
      <c r="B722" s="72">
        <v>35030</v>
      </c>
      <c r="C722" s="71" t="s">
        <v>3840</v>
      </c>
      <c r="D722" s="72">
        <v>35030</v>
      </c>
      <c r="E722" s="71" t="s">
        <v>3841</v>
      </c>
      <c r="F722" s="71" t="s">
        <v>3430</v>
      </c>
      <c r="G722" s="71" t="s">
        <v>20</v>
      </c>
      <c r="H722" s="71" t="s">
        <v>71</v>
      </c>
      <c r="I722" s="71" t="s">
        <v>72</v>
      </c>
      <c r="J722" s="71" t="s">
        <v>3842</v>
      </c>
      <c r="K722" s="71" t="s">
        <v>3843</v>
      </c>
      <c r="L722" s="71" t="s">
        <v>24</v>
      </c>
      <c r="M722" s="71"/>
      <c r="O722" s="72">
        <v>35234</v>
      </c>
      <c r="P722" s="71"/>
      <c r="Q722" s="71" t="b">
        <v>0</v>
      </c>
      <c r="R722" s="22">
        <f t="shared" si="11"/>
        <v>203</v>
      </c>
    </row>
    <row r="723" spans="1:18">
      <c r="A723" s="71">
        <v>3496</v>
      </c>
      <c r="B723" s="72">
        <v>35040</v>
      </c>
      <c r="C723" s="71" t="s">
        <v>3853</v>
      </c>
      <c r="D723" s="72">
        <v>35031</v>
      </c>
      <c r="E723" s="71" t="s">
        <v>3854</v>
      </c>
      <c r="F723" s="71" t="s">
        <v>3855</v>
      </c>
      <c r="G723" s="71" t="s">
        <v>20</v>
      </c>
      <c r="H723" s="71"/>
      <c r="I723" s="71"/>
      <c r="J723" s="71" t="s">
        <v>3856</v>
      </c>
      <c r="K723" s="71" t="s">
        <v>3857</v>
      </c>
      <c r="L723" s="71" t="s">
        <v>3526</v>
      </c>
      <c r="M723" s="71" t="s">
        <v>3569</v>
      </c>
      <c r="O723" s="72">
        <v>37245</v>
      </c>
      <c r="P723" s="71"/>
      <c r="Q723" s="71" t="b">
        <v>0</v>
      </c>
      <c r="R723" s="22">
        <f t="shared" si="11"/>
        <v>2203</v>
      </c>
    </row>
    <row r="724" spans="1:18">
      <c r="A724" s="71">
        <v>3499</v>
      </c>
      <c r="B724" s="72">
        <v>35041</v>
      </c>
      <c r="C724" s="71" t="s">
        <v>3861</v>
      </c>
      <c r="D724" s="72">
        <v>35031</v>
      </c>
      <c r="E724" s="71" t="s">
        <v>3862</v>
      </c>
      <c r="F724" s="71" t="s">
        <v>350</v>
      </c>
      <c r="G724" s="71" t="s">
        <v>20</v>
      </c>
      <c r="H724" s="71"/>
      <c r="I724" s="71"/>
      <c r="J724" s="71" t="s">
        <v>3863</v>
      </c>
      <c r="K724" s="71"/>
      <c r="L724" s="71" t="s">
        <v>24</v>
      </c>
      <c r="M724" s="71"/>
      <c r="O724" s="72">
        <v>35072</v>
      </c>
      <c r="P724" s="71">
        <v>-1</v>
      </c>
      <c r="Q724" s="71" t="b">
        <v>0</v>
      </c>
      <c r="R724" s="22">
        <f t="shared" si="11"/>
        <v>30</v>
      </c>
    </row>
    <row r="725" spans="1:18">
      <c r="A725" s="71">
        <v>3500</v>
      </c>
      <c r="B725" s="72">
        <v>35045</v>
      </c>
      <c r="C725" s="71" t="s">
        <v>3864</v>
      </c>
      <c r="D725" s="72">
        <v>35042</v>
      </c>
      <c r="E725" s="71" t="s">
        <v>3865</v>
      </c>
      <c r="F725" s="71" t="s">
        <v>124</v>
      </c>
      <c r="G725" s="71" t="s">
        <v>20</v>
      </c>
      <c r="H725" s="71"/>
      <c r="I725" s="71"/>
      <c r="J725" s="71" t="s">
        <v>3866</v>
      </c>
      <c r="K725" s="71"/>
      <c r="L725" s="71" t="s">
        <v>24</v>
      </c>
      <c r="M725" s="71"/>
      <c r="O725" s="72">
        <v>35047</v>
      </c>
      <c r="P725" s="71">
        <v>-1</v>
      </c>
      <c r="Q725" s="71" t="b">
        <v>0</v>
      </c>
      <c r="R725" s="22">
        <f t="shared" si="11"/>
        <v>2</v>
      </c>
    </row>
    <row r="726" spans="1:18">
      <c r="A726" s="71">
        <v>3502</v>
      </c>
      <c r="B726" s="72">
        <v>35051</v>
      </c>
      <c r="C726" s="71" t="s">
        <v>3870</v>
      </c>
      <c r="D726" s="72">
        <v>35051</v>
      </c>
      <c r="E726" s="71" t="s">
        <v>3871</v>
      </c>
      <c r="F726" s="71" t="s">
        <v>98</v>
      </c>
      <c r="G726" s="71" t="s">
        <v>20</v>
      </c>
      <c r="H726" s="71"/>
      <c r="I726" s="71"/>
      <c r="J726" s="71" t="s">
        <v>3872</v>
      </c>
      <c r="K726" s="71" t="s">
        <v>3873</v>
      </c>
      <c r="L726" s="71" t="s">
        <v>3271</v>
      </c>
      <c r="M726" s="71"/>
      <c r="N726" s="72">
        <v>35417</v>
      </c>
      <c r="O726" s="72">
        <v>35054</v>
      </c>
      <c r="P726" s="71"/>
      <c r="Q726" s="71" t="b">
        <v>0</v>
      </c>
      <c r="R726" s="22">
        <f t="shared" si="11"/>
        <v>3</v>
      </c>
    </row>
    <row r="727" spans="1:18">
      <c r="A727" s="71">
        <v>3505</v>
      </c>
      <c r="B727" s="72">
        <v>35033</v>
      </c>
      <c r="C727" s="71" t="s">
        <v>3874</v>
      </c>
      <c r="D727" s="72">
        <v>35023</v>
      </c>
      <c r="E727" s="71" t="s">
        <v>3875</v>
      </c>
      <c r="F727" s="71" t="s">
        <v>3579</v>
      </c>
      <c r="G727" s="71" t="s">
        <v>20</v>
      </c>
      <c r="H727" s="71"/>
      <c r="I727" s="71"/>
      <c r="J727" s="71" t="s">
        <v>3580</v>
      </c>
      <c r="K727" s="71" t="s">
        <v>3876</v>
      </c>
      <c r="L727" s="71" t="s">
        <v>88</v>
      </c>
      <c r="M727" s="71" t="s">
        <v>67</v>
      </c>
      <c r="O727" s="72">
        <v>36209</v>
      </c>
      <c r="P727" s="71"/>
      <c r="Q727" s="71" t="b">
        <v>0</v>
      </c>
      <c r="R727" s="22">
        <f t="shared" si="11"/>
        <v>1174</v>
      </c>
    </row>
    <row r="728" spans="1:18">
      <c r="A728" s="71">
        <v>3506</v>
      </c>
      <c r="B728" s="72">
        <v>35033</v>
      </c>
      <c r="C728" s="71" t="s">
        <v>3877</v>
      </c>
      <c r="D728" s="72">
        <v>35033</v>
      </c>
      <c r="E728" s="71" t="s">
        <v>3878</v>
      </c>
      <c r="F728" s="71" t="s">
        <v>1019</v>
      </c>
      <c r="G728" s="71" t="s">
        <v>20</v>
      </c>
      <c r="H728" s="71"/>
      <c r="I728" s="71"/>
      <c r="J728" s="71" t="s">
        <v>3879</v>
      </c>
      <c r="K728" s="71"/>
      <c r="L728" s="71" t="s">
        <v>24</v>
      </c>
      <c r="M728" s="71"/>
      <c r="O728" s="72">
        <v>35198</v>
      </c>
      <c r="P728" s="71"/>
      <c r="Q728" s="71" t="b">
        <v>0</v>
      </c>
      <c r="R728" s="22">
        <f t="shared" si="11"/>
        <v>165</v>
      </c>
    </row>
    <row r="729" spans="1:18">
      <c r="A729" s="71">
        <v>3507</v>
      </c>
      <c r="B729" s="72">
        <v>35033</v>
      </c>
      <c r="C729" s="71" t="s">
        <v>3880</v>
      </c>
      <c r="D729" s="72">
        <v>35033</v>
      </c>
      <c r="E729" s="71" t="s">
        <v>3881</v>
      </c>
      <c r="F729" s="71" t="s">
        <v>124</v>
      </c>
      <c r="G729" s="71" t="s">
        <v>20</v>
      </c>
      <c r="H729" s="71" t="s">
        <v>189</v>
      </c>
      <c r="I729" s="71" t="s">
        <v>189</v>
      </c>
      <c r="J729" s="71" t="s">
        <v>3882</v>
      </c>
      <c r="K729" s="71" t="s">
        <v>3883</v>
      </c>
      <c r="L729" s="71" t="s">
        <v>66</v>
      </c>
      <c r="M729" s="71"/>
      <c r="O729" s="72">
        <v>35482</v>
      </c>
      <c r="P729" s="71">
        <v>-1</v>
      </c>
      <c r="Q729" s="71" t="b">
        <v>0</v>
      </c>
      <c r="R729" s="22">
        <f t="shared" si="11"/>
        <v>447</v>
      </c>
    </row>
    <row r="730" spans="1:18">
      <c r="A730" s="71">
        <v>3509</v>
      </c>
      <c r="B730" s="72">
        <v>35068</v>
      </c>
      <c r="C730" s="71" t="s">
        <v>3884</v>
      </c>
      <c r="D730" s="72">
        <v>35061</v>
      </c>
      <c r="E730" s="71" t="s">
        <v>3885</v>
      </c>
      <c r="F730" s="71" t="s">
        <v>149</v>
      </c>
      <c r="G730" s="71" t="s">
        <v>20</v>
      </c>
      <c r="H730" s="71"/>
      <c r="I730" s="71"/>
      <c r="J730" s="71" t="s">
        <v>3886</v>
      </c>
      <c r="K730" s="71" t="s">
        <v>2905</v>
      </c>
      <c r="L730" s="71" t="s">
        <v>24</v>
      </c>
      <c r="M730" s="71"/>
      <c r="O730" s="72">
        <v>35108</v>
      </c>
      <c r="P730" s="71">
        <v>-1</v>
      </c>
      <c r="Q730" s="71" t="b">
        <v>0</v>
      </c>
      <c r="R730" s="22">
        <f t="shared" si="11"/>
        <v>39</v>
      </c>
    </row>
    <row r="731" spans="1:18">
      <c r="A731" s="71">
        <v>3571</v>
      </c>
      <c r="B731" s="72">
        <v>35108</v>
      </c>
      <c r="C731" s="71" t="s">
        <v>3901</v>
      </c>
      <c r="D731" s="72">
        <v>35108</v>
      </c>
      <c r="E731" s="71" t="s">
        <v>3902</v>
      </c>
      <c r="F731" s="71" t="s">
        <v>371</v>
      </c>
      <c r="G731" s="71" t="s">
        <v>20</v>
      </c>
      <c r="H731" s="71"/>
      <c r="I731" s="71"/>
      <c r="J731" s="71" t="s">
        <v>3903</v>
      </c>
      <c r="K731" s="71"/>
      <c r="L731" s="71" t="s">
        <v>24</v>
      </c>
      <c r="M731" s="71"/>
      <c r="O731" s="72">
        <v>35130</v>
      </c>
      <c r="P731" s="71">
        <v>-1</v>
      </c>
      <c r="Q731" s="71" t="b">
        <v>0</v>
      </c>
      <c r="R731" s="22">
        <f t="shared" si="11"/>
        <v>23</v>
      </c>
    </row>
    <row r="732" spans="1:18">
      <c r="A732" s="71">
        <v>3572</v>
      </c>
      <c r="B732" s="72">
        <v>35111</v>
      </c>
      <c r="C732" s="71" t="s">
        <v>3904</v>
      </c>
      <c r="D732" s="72">
        <v>35107</v>
      </c>
      <c r="E732" s="71" t="s">
        <v>3905</v>
      </c>
      <c r="F732" s="71" t="s">
        <v>371</v>
      </c>
      <c r="G732" s="71" t="s">
        <v>20</v>
      </c>
      <c r="H732" s="71"/>
      <c r="I732" s="71"/>
      <c r="J732" s="71" t="s">
        <v>3906</v>
      </c>
      <c r="K732" s="71"/>
      <c r="L732" s="71" t="s">
        <v>1152</v>
      </c>
      <c r="M732" s="71"/>
      <c r="O732" s="72">
        <v>35136</v>
      </c>
      <c r="P732" s="71">
        <v>-1</v>
      </c>
      <c r="Q732" s="71" t="b">
        <v>0</v>
      </c>
      <c r="R732" s="22">
        <f t="shared" si="11"/>
        <v>26</v>
      </c>
    </row>
    <row r="733" spans="1:18">
      <c r="A733" s="71">
        <v>3573</v>
      </c>
      <c r="B733" s="72">
        <v>35111</v>
      </c>
      <c r="C733" s="71" t="s">
        <v>3907</v>
      </c>
      <c r="D733" s="72">
        <v>35108</v>
      </c>
      <c r="E733" s="71" t="s">
        <v>3908</v>
      </c>
      <c r="F733" s="71" t="s">
        <v>124</v>
      </c>
      <c r="G733" s="71" t="s">
        <v>20</v>
      </c>
      <c r="H733" s="71"/>
      <c r="I733" s="71"/>
      <c r="J733" s="71" t="s">
        <v>3909</v>
      </c>
      <c r="K733" s="71" t="s">
        <v>3910</v>
      </c>
      <c r="L733" s="71" t="s">
        <v>24</v>
      </c>
      <c r="M733" s="71"/>
      <c r="O733" s="72">
        <v>35115</v>
      </c>
      <c r="P733" s="71">
        <v>-1</v>
      </c>
      <c r="Q733" s="71" t="b">
        <v>0</v>
      </c>
      <c r="R733" s="22">
        <f t="shared" si="11"/>
        <v>4</v>
      </c>
    </row>
    <row r="734" spans="1:18">
      <c r="A734" s="71">
        <v>3577</v>
      </c>
      <c r="B734" s="72">
        <v>35132</v>
      </c>
      <c r="C734" s="71" t="s">
        <v>3916</v>
      </c>
      <c r="D734" s="72">
        <v>35132</v>
      </c>
      <c r="E734" s="71" t="s">
        <v>3917</v>
      </c>
      <c r="F734" s="71" t="s">
        <v>149</v>
      </c>
      <c r="G734" s="71" t="s">
        <v>20</v>
      </c>
      <c r="H734" s="71"/>
      <c r="I734" s="71"/>
      <c r="J734" s="71" t="s">
        <v>677</v>
      </c>
      <c r="K734" s="71" t="s">
        <v>3918</v>
      </c>
      <c r="L734" s="71" t="s">
        <v>66</v>
      </c>
      <c r="M734" s="71"/>
      <c r="O734" s="72">
        <v>37851</v>
      </c>
      <c r="P734" s="71">
        <v>-1</v>
      </c>
      <c r="Q734" s="71" t="b">
        <v>0</v>
      </c>
      <c r="R734" s="22">
        <f t="shared" si="11"/>
        <v>2717</v>
      </c>
    </row>
    <row r="735" spans="1:18">
      <c r="A735" s="71">
        <v>3578</v>
      </c>
      <c r="B735" s="72">
        <v>35132</v>
      </c>
      <c r="C735" s="71" t="s">
        <v>3919</v>
      </c>
      <c r="D735" s="72">
        <v>35132</v>
      </c>
      <c r="E735" s="71" t="s">
        <v>3920</v>
      </c>
      <c r="F735" s="71" t="s">
        <v>2597</v>
      </c>
      <c r="G735" s="71" t="s">
        <v>20</v>
      </c>
      <c r="H735" s="71"/>
      <c r="I735" s="71"/>
      <c r="J735" s="71" t="s">
        <v>3921</v>
      </c>
      <c r="K735" s="71" t="s">
        <v>3922</v>
      </c>
      <c r="L735" s="71" t="s">
        <v>67</v>
      </c>
      <c r="M735" s="71"/>
      <c r="O735" s="72">
        <v>35642</v>
      </c>
      <c r="P735" s="71">
        <v>-1</v>
      </c>
      <c r="Q735" s="71" t="b">
        <v>0</v>
      </c>
      <c r="R735" s="22">
        <f t="shared" si="11"/>
        <v>509</v>
      </c>
    </row>
    <row r="736" spans="1:18">
      <c r="A736" s="71">
        <v>3579</v>
      </c>
      <c r="B736" s="72">
        <v>35178</v>
      </c>
      <c r="C736" s="71" t="s">
        <v>3923</v>
      </c>
      <c r="D736" s="72">
        <v>35171</v>
      </c>
      <c r="E736" s="71" t="s">
        <v>3924</v>
      </c>
      <c r="F736" s="71" t="s">
        <v>371</v>
      </c>
      <c r="G736" s="71" t="s">
        <v>20</v>
      </c>
      <c r="H736" s="71"/>
      <c r="I736" s="71"/>
      <c r="J736" s="71" t="s">
        <v>3925</v>
      </c>
      <c r="K736" s="71" t="s">
        <v>3926</v>
      </c>
      <c r="L736" s="71" t="s">
        <v>3927</v>
      </c>
      <c r="M736" s="71"/>
      <c r="O736" s="72">
        <v>35246</v>
      </c>
      <c r="P736" s="71">
        <v>-1</v>
      </c>
      <c r="Q736" s="71" t="b">
        <v>0</v>
      </c>
      <c r="R736" s="22">
        <f t="shared" si="11"/>
        <v>67</v>
      </c>
    </row>
    <row r="737" spans="1:18">
      <c r="A737" s="71">
        <v>3583</v>
      </c>
      <c r="B737" s="72">
        <v>35158</v>
      </c>
      <c r="C737" s="71" t="s">
        <v>3932</v>
      </c>
      <c r="D737" s="72">
        <v>35163</v>
      </c>
      <c r="E737" s="71" t="s">
        <v>3933</v>
      </c>
      <c r="F737" s="71" t="s">
        <v>104</v>
      </c>
      <c r="G737" s="71" t="s">
        <v>20</v>
      </c>
      <c r="H737" s="71"/>
      <c r="I737" s="71"/>
      <c r="J737" s="71" t="s">
        <v>3934</v>
      </c>
      <c r="K737" s="71" t="s">
        <v>3935</v>
      </c>
      <c r="L737" s="71" t="s">
        <v>24</v>
      </c>
      <c r="M737" s="71"/>
      <c r="O737" s="72">
        <v>35191</v>
      </c>
      <c r="P737" s="71"/>
      <c r="Q737" s="71" t="b">
        <v>0</v>
      </c>
      <c r="R737" s="22">
        <f t="shared" si="11"/>
        <v>33</v>
      </c>
    </row>
    <row r="738" spans="1:18">
      <c r="A738" s="71">
        <v>3588</v>
      </c>
      <c r="B738" s="72">
        <v>35191</v>
      </c>
      <c r="C738" s="71" t="s">
        <v>3942</v>
      </c>
      <c r="D738" s="72">
        <v>35184</v>
      </c>
      <c r="E738" s="71" t="s">
        <v>3943</v>
      </c>
      <c r="F738" s="71" t="s">
        <v>27</v>
      </c>
      <c r="G738" s="71" t="s">
        <v>20</v>
      </c>
      <c r="H738" s="71"/>
      <c r="I738" s="71"/>
      <c r="J738" s="71" t="s">
        <v>3944</v>
      </c>
      <c r="K738" s="71" t="s">
        <v>3945</v>
      </c>
      <c r="L738" s="71" t="s">
        <v>24</v>
      </c>
      <c r="M738" s="71"/>
      <c r="O738" s="72">
        <v>35202</v>
      </c>
      <c r="P738" s="71"/>
      <c r="Q738" s="71" t="b">
        <v>0</v>
      </c>
      <c r="R738" s="22">
        <f t="shared" si="11"/>
        <v>11</v>
      </c>
    </row>
    <row r="739" spans="1:18">
      <c r="A739" s="71">
        <v>3589</v>
      </c>
      <c r="B739" s="72">
        <v>35163</v>
      </c>
      <c r="C739" s="71" t="s">
        <v>3946</v>
      </c>
      <c r="D739" s="72">
        <v>35163</v>
      </c>
      <c r="E739" s="71" t="s">
        <v>3947</v>
      </c>
      <c r="F739" s="71" t="s">
        <v>104</v>
      </c>
      <c r="G739" s="71" t="s">
        <v>20</v>
      </c>
      <c r="H739" s="71"/>
      <c r="I739" s="71"/>
      <c r="J739" s="71" t="s">
        <v>3948</v>
      </c>
      <c r="K739" s="71"/>
      <c r="L739" s="71" t="s">
        <v>24</v>
      </c>
      <c r="M739" s="71"/>
      <c r="N739" s="72">
        <v>35170</v>
      </c>
      <c r="O739" s="72">
        <v>35246</v>
      </c>
      <c r="P739" s="71"/>
      <c r="Q739" s="71" t="b">
        <v>0</v>
      </c>
      <c r="R739" s="22">
        <f t="shared" si="11"/>
        <v>83</v>
      </c>
    </row>
    <row r="740" spans="1:18">
      <c r="A740" s="71">
        <v>3590</v>
      </c>
      <c r="B740" s="72">
        <v>35193</v>
      </c>
      <c r="C740" s="71" t="s">
        <v>3949</v>
      </c>
      <c r="D740" s="72">
        <v>35188</v>
      </c>
      <c r="E740" s="71" t="s">
        <v>3950</v>
      </c>
      <c r="F740" s="71" t="s">
        <v>52</v>
      </c>
      <c r="G740" s="71" t="s">
        <v>20</v>
      </c>
      <c r="H740" s="71"/>
      <c r="I740" s="71"/>
      <c r="J740" s="71" t="s">
        <v>52</v>
      </c>
      <c r="K740" s="71" t="s">
        <v>3951</v>
      </c>
      <c r="L740" s="71" t="s">
        <v>24</v>
      </c>
      <c r="M740" s="71"/>
      <c r="N740" s="72">
        <v>35193</v>
      </c>
      <c r="O740" s="72">
        <v>35193</v>
      </c>
      <c r="P740" s="71"/>
      <c r="Q740" s="71" t="b">
        <v>0</v>
      </c>
      <c r="R740" s="22">
        <f t="shared" si="11"/>
        <v>0</v>
      </c>
    </row>
    <row r="741" spans="1:18">
      <c r="A741" s="71">
        <v>3593</v>
      </c>
      <c r="B741" s="72">
        <v>35201</v>
      </c>
      <c r="C741" s="71" t="s">
        <v>3952</v>
      </c>
      <c r="D741" s="72">
        <v>35195</v>
      </c>
      <c r="E741" s="71" t="s">
        <v>3953</v>
      </c>
      <c r="F741" s="71" t="s">
        <v>56</v>
      </c>
      <c r="G741" s="71" t="s">
        <v>20</v>
      </c>
      <c r="H741" s="71"/>
      <c r="I741" s="71"/>
      <c r="J741" s="71" t="s">
        <v>3954</v>
      </c>
      <c r="K741" s="71"/>
      <c r="L741" s="71" t="s">
        <v>3927</v>
      </c>
      <c r="M741" s="71"/>
      <c r="O741" s="72">
        <v>35284</v>
      </c>
      <c r="P741" s="71">
        <v>-1</v>
      </c>
      <c r="Q741" s="71" t="b">
        <v>0</v>
      </c>
      <c r="R741" s="22">
        <f t="shared" si="11"/>
        <v>82</v>
      </c>
    </row>
    <row r="742" spans="1:18">
      <c r="A742" s="71">
        <v>3595</v>
      </c>
      <c r="B742" s="72">
        <v>35202</v>
      </c>
      <c r="C742" s="71" t="s">
        <v>3958</v>
      </c>
      <c r="D742" s="72">
        <v>35199</v>
      </c>
      <c r="E742" s="71" t="s">
        <v>3959</v>
      </c>
      <c r="F742" s="71" t="s">
        <v>70</v>
      </c>
      <c r="G742" s="71" t="s">
        <v>20</v>
      </c>
      <c r="H742" s="71" t="s">
        <v>71</v>
      </c>
      <c r="I742" s="71" t="s">
        <v>72</v>
      </c>
      <c r="J742" s="71" t="s">
        <v>3960</v>
      </c>
      <c r="K742" s="71" t="s">
        <v>3961</v>
      </c>
      <c r="L742" s="71" t="s">
        <v>3927</v>
      </c>
      <c r="M742" s="71"/>
      <c r="O742" s="72">
        <v>35244</v>
      </c>
      <c r="P742" s="71"/>
      <c r="Q742" s="71" t="b">
        <v>0</v>
      </c>
      <c r="R742" s="22">
        <f t="shared" si="11"/>
        <v>41</v>
      </c>
    </row>
    <row r="743" spans="1:18">
      <c r="A743" s="71">
        <v>3597</v>
      </c>
      <c r="B743" s="72">
        <v>35207</v>
      </c>
      <c r="C743" s="71" t="s">
        <v>3962</v>
      </c>
      <c r="D743" s="72">
        <v>35207</v>
      </c>
      <c r="E743" s="71" t="s">
        <v>3963</v>
      </c>
      <c r="F743" s="71" t="s">
        <v>741</v>
      </c>
      <c r="G743" s="71" t="s">
        <v>20</v>
      </c>
      <c r="H743" s="71"/>
      <c r="I743" s="71"/>
      <c r="J743" s="71" t="s">
        <v>3964</v>
      </c>
      <c r="K743" s="71" t="s">
        <v>3965</v>
      </c>
      <c r="L743" s="71" t="s">
        <v>686</v>
      </c>
      <c r="M743" s="71" t="s">
        <v>67</v>
      </c>
      <c r="O743" s="72">
        <v>36443</v>
      </c>
      <c r="P743" s="71"/>
      <c r="Q743" s="71" t="b">
        <v>0</v>
      </c>
      <c r="R743" s="22">
        <f t="shared" si="11"/>
        <v>1234</v>
      </c>
    </row>
    <row r="744" spans="1:18">
      <c r="A744" s="71">
        <v>3603</v>
      </c>
      <c r="B744" s="72">
        <v>35213</v>
      </c>
      <c r="C744" s="71" t="s">
        <v>3975</v>
      </c>
      <c r="D744" s="72">
        <v>35208</v>
      </c>
      <c r="E744" s="71" t="s">
        <v>3976</v>
      </c>
      <c r="F744" s="71" t="s">
        <v>533</v>
      </c>
      <c r="G744" s="71" t="s">
        <v>20</v>
      </c>
      <c r="H744" s="71"/>
      <c r="I744" s="71"/>
      <c r="J744" s="71" t="s">
        <v>3977</v>
      </c>
      <c r="K744" s="71"/>
      <c r="L744" s="71" t="s">
        <v>67</v>
      </c>
      <c r="M744" s="71"/>
      <c r="O744" s="72">
        <v>35521</v>
      </c>
      <c r="P744" s="71">
        <v>-1</v>
      </c>
      <c r="Q744" s="71" t="b">
        <v>0</v>
      </c>
      <c r="R744" s="22">
        <f t="shared" si="11"/>
        <v>307</v>
      </c>
    </row>
    <row r="745" spans="1:18">
      <c r="A745" s="71">
        <v>3611</v>
      </c>
      <c r="B745" s="72">
        <v>35247</v>
      </c>
      <c r="C745" s="71" t="s">
        <v>3983</v>
      </c>
      <c r="D745" s="72">
        <v>35125</v>
      </c>
      <c r="E745" s="71" t="s">
        <v>3984</v>
      </c>
      <c r="F745" s="71" t="s">
        <v>1047</v>
      </c>
      <c r="G745" s="71" t="s">
        <v>20</v>
      </c>
      <c r="H745" s="71" t="s">
        <v>71</v>
      </c>
      <c r="I745" s="71" t="s">
        <v>72</v>
      </c>
      <c r="J745" s="71" t="s">
        <v>3985</v>
      </c>
      <c r="K745" s="71" t="s">
        <v>3986</v>
      </c>
      <c r="L745" s="71" t="s">
        <v>1152</v>
      </c>
      <c r="M745" s="71"/>
      <c r="N745" s="72">
        <v>35174</v>
      </c>
      <c r="O745" s="72">
        <v>35248</v>
      </c>
      <c r="P745" s="71"/>
      <c r="Q745" s="71" t="b">
        <v>0</v>
      </c>
      <c r="R745" s="22">
        <f t="shared" si="11"/>
        <v>1</v>
      </c>
    </row>
    <row r="746" spans="1:18">
      <c r="A746" s="71">
        <v>3612</v>
      </c>
      <c r="B746" s="72">
        <v>35247</v>
      </c>
      <c r="C746" s="71" t="s">
        <v>3987</v>
      </c>
      <c r="D746" s="72">
        <v>35025</v>
      </c>
      <c r="E746" s="71" t="s">
        <v>3988</v>
      </c>
      <c r="F746" s="71" t="s">
        <v>149</v>
      </c>
      <c r="G746" s="71" t="s">
        <v>20</v>
      </c>
      <c r="H746" s="71"/>
      <c r="I746" s="71"/>
      <c r="J746" s="71" t="s">
        <v>3989</v>
      </c>
      <c r="K746" s="71"/>
      <c r="L746" s="71" t="s">
        <v>821</v>
      </c>
      <c r="M746" s="71" t="s">
        <v>88</v>
      </c>
      <c r="O746" s="72">
        <v>36494</v>
      </c>
      <c r="P746" s="71"/>
      <c r="Q746" s="71" t="b">
        <v>0</v>
      </c>
      <c r="R746" s="22">
        <f t="shared" si="11"/>
        <v>1246</v>
      </c>
    </row>
    <row r="747" spans="1:18">
      <c r="A747" s="71">
        <v>3613</v>
      </c>
      <c r="B747" s="72">
        <v>35251</v>
      </c>
      <c r="C747" s="71" t="s">
        <v>3990</v>
      </c>
      <c r="D747" s="72">
        <v>35244</v>
      </c>
      <c r="E747" s="71" t="s">
        <v>3991</v>
      </c>
      <c r="F747" s="71" t="s">
        <v>124</v>
      </c>
      <c r="G747" s="71" t="s">
        <v>20</v>
      </c>
      <c r="H747" s="71"/>
      <c r="I747" s="71"/>
      <c r="J747" s="71" t="s">
        <v>3992</v>
      </c>
      <c r="K747" s="71"/>
      <c r="L747" s="71" t="s">
        <v>3930</v>
      </c>
      <c r="M747" s="71"/>
      <c r="O747" s="72">
        <v>35314</v>
      </c>
      <c r="P747" s="71">
        <v>-1</v>
      </c>
      <c r="Q747" s="71" t="b">
        <v>0</v>
      </c>
      <c r="R747" s="22">
        <f t="shared" si="11"/>
        <v>61</v>
      </c>
    </row>
    <row r="748" spans="1:18">
      <c r="A748" s="71">
        <v>3615</v>
      </c>
      <c r="B748" s="72">
        <v>35255</v>
      </c>
      <c r="C748" s="71" t="s">
        <v>3996</v>
      </c>
      <c r="D748" s="72">
        <v>35143</v>
      </c>
      <c r="E748" s="71" t="s">
        <v>3997</v>
      </c>
      <c r="F748" s="71" t="s">
        <v>56</v>
      </c>
      <c r="G748" s="71" t="s">
        <v>20</v>
      </c>
      <c r="H748" s="71"/>
      <c r="I748" s="71"/>
      <c r="J748" s="71" t="s">
        <v>3998</v>
      </c>
      <c r="K748" s="71"/>
      <c r="L748" s="71" t="s">
        <v>3930</v>
      </c>
      <c r="M748" s="71"/>
      <c r="O748" s="72">
        <v>35466</v>
      </c>
      <c r="P748" s="71">
        <v>-1</v>
      </c>
      <c r="Q748" s="71" t="b">
        <v>0</v>
      </c>
      <c r="R748" s="22">
        <f t="shared" si="11"/>
        <v>208</v>
      </c>
    </row>
    <row r="749" spans="1:18">
      <c r="A749" s="71">
        <v>3617</v>
      </c>
      <c r="B749" s="72">
        <v>35270</v>
      </c>
      <c r="C749" s="71" t="s">
        <v>4002</v>
      </c>
      <c r="D749" s="72">
        <v>35184</v>
      </c>
      <c r="E749" s="71" t="s">
        <v>4003</v>
      </c>
      <c r="F749" s="71" t="s">
        <v>4004</v>
      </c>
      <c r="G749" s="71" t="s">
        <v>20</v>
      </c>
      <c r="H749" s="71" t="s">
        <v>189</v>
      </c>
      <c r="I749" s="71" t="s">
        <v>189</v>
      </c>
      <c r="J749" s="71" t="s">
        <v>4005</v>
      </c>
      <c r="K749" s="71" t="s">
        <v>4006</v>
      </c>
      <c r="L749" s="71" t="s">
        <v>3588</v>
      </c>
      <c r="M749" s="71" t="s">
        <v>4007</v>
      </c>
      <c r="N749" s="71"/>
      <c r="O749" s="72">
        <v>39573</v>
      </c>
      <c r="P749" s="71">
        <v>-1</v>
      </c>
      <c r="Q749" s="71" t="b">
        <v>0</v>
      </c>
      <c r="R749" s="22">
        <f t="shared" si="11"/>
        <v>4299</v>
      </c>
    </row>
    <row r="750" spans="1:18">
      <c r="A750" s="71">
        <v>3620</v>
      </c>
      <c r="B750" s="72">
        <v>35271</v>
      </c>
      <c r="C750" s="71" t="s">
        <v>4014</v>
      </c>
      <c r="D750" s="72">
        <v>35272</v>
      </c>
      <c r="E750" s="71" t="s">
        <v>4015</v>
      </c>
      <c r="F750" s="71" t="s">
        <v>2943</v>
      </c>
      <c r="G750" s="71" t="s">
        <v>20</v>
      </c>
      <c r="H750" s="71"/>
      <c r="I750" s="71"/>
      <c r="J750" s="71" t="s">
        <v>4016</v>
      </c>
      <c r="K750" s="71" t="s">
        <v>4017</v>
      </c>
      <c r="L750" s="71" t="s">
        <v>66</v>
      </c>
      <c r="M750" s="71" t="s">
        <v>67</v>
      </c>
      <c r="O750" s="72">
        <v>37699</v>
      </c>
      <c r="P750" s="71">
        <v>-1</v>
      </c>
      <c r="Q750" s="71" t="b">
        <v>0</v>
      </c>
      <c r="R750" s="22">
        <f t="shared" si="11"/>
        <v>2427</v>
      </c>
    </row>
    <row r="751" spans="1:18">
      <c r="A751" s="71">
        <v>3622</v>
      </c>
      <c r="B751" s="72">
        <v>35279</v>
      </c>
      <c r="C751" s="71" t="s">
        <v>4021</v>
      </c>
      <c r="D751" s="72">
        <v>35174</v>
      </c>
      <c r="E751" s="71" t="s">
        <v>4022</v>
      </c>
      <c r="F751" s="71" t="s">
        <v>85</v>
      </c>
      <c r="G751" s="71" t="s">
        <v>20</v>
      </c>
      <c r="H751" s="71"/>
      <c r="I751" s="71"/>
      <c r="J751" s="71" t="s">
        <v>4023</v>
      </c>
      <c r="K751" s="71"/>
      <c r="L751" s="71" t="s">
        <v>3930</v>
      </c>
      <c r="M751" s="71"/>
      <c r="O751" s="72">
        <v>35298</v>
      </c>
      <c r="P751" s="71">
        <v>-1</v>
      </c>
      <c r="Q751" s="71" t="b">
        <v>0</v>
      </c>
      <c r="R751" s="22">
        <f t="shared" si="11"/>
        <v>19</v>
      </c>
    </row>
    <row r="752" spans="1:18">
      <c r="A752" s="71">
        <v>3623</v>
      </c>
      <c r="B752" s="72">
        <v>35279</v>
      </c>
      <c r="C752" s="71" t="s">
        <v>4024</v>
      </c>
      <c r="D752" s="72">
        <v>35271</v>
      </c>
      <c r="E752" s="71" t="s">
        <v>4025</v>
      </c>
      <c r="F752" s="71" t="s">
        <v>3430</v>
      </c>
      <c r="G752" s="71" t="s">
        <v>20</v>
      </c>
      <c r="H752" s="71" t="s">
        <v>71</v>
      </c>
      <c r="I752" s="71" t="s">
        <v>72</v>
      </c>
      <c r="J752" s="71" t="s">
        <v>4026</v>
      </c>
      <c r="K752" s="71" t="s">
        <v>4027</v>
      </c>
      <c r="L752" s="71" t="s">
        <v>821</v>
      </c>
      <c r="M752" s="71" t="s">
        <v>88</v>
      </c>
      <c r="O752" s="72">
        <v>36349</v>
      </c>
      <c r="P752" s="71"/>
      <c r="Q752" s="71" t="b">
        <v>0</v>
      </c>
      <c r="R752" s="22">
        <f t="shared" si="11"/>
        <v>1070</v>
      </c>
    </row>
    <row r="753" spans="1:18">
      <c r="A753" s="71">
        <v>3624</v>
      </c>
      <c r="B753" s="72">
        <v>35279</v>
      </c>
      <c r="C753" s="71" t="s">
        <v>4028</v>
      </c>
      <c r="D753" s="72">
        <v>35269</v>
      </c>
      <c r="E753" s="71" t="s">
        <v>4029</v>
      </c>
      <c r="F753" s="71" t="s">
        <v>1771</v>
      </c>
      <c r="G753" s="71" t="s">
        <v>20</v>
      </c>
      <c r="H753" s="71" t="s">
        <v>189</v>
      </c>
      <c r="I753" s="71" t="s">
        <v>189</v>
      </c>
      <c r="J753" s="71" t="s">
        <v>4030</v>
      </c>
      <c r="K753" s="71"/>
      <c r="L753" s="71" t="s">
        <v>67</v>
      </c>
      <c r="M753" s="71"/>
      <c r="O753" s="72">
        <v>35808</v>
      </c>
      <c r="P753" s="71"/>
      <c r="Q753" s="71" t="b">
        <v>0</v>
      </c>
      <c r="R753" s="22">
        <f t="shared" si="11"/>
        <v>528</v>
      </c>
    </row>
    <row r="754" spans="1:18">
      <c r="A754" s="71">
        <v>3627</v>
      </c>
      <c r="B754" s="72">
        <v>35284</v>
      </c>
      <c r="C754" s="71" t="s">
        <v>4035</v>
      </c>
      <c r="D754" s="72">
        <v>35283</v>
      </c>
      <c r="E754" s="71" t="s">
        <v>4036</v>
      </c>
      <c r="F754" s="71" t="s">
        <v>545</v>
      </c>
      <c r="G754" s="71" t="s">
        <v>20</v>
      </c>
      <c r="H754" s="71"/>
      <c r="I754" s="71"/>
      <c r="J754" s="71" t="s">
        <v>4037</v>
      </c>
      <c r="K754" s="71" t="s">
        <v>4038</v>
      </c>
      <c r="L754" s="71" t="s">
        <v>67</v>
      </c>
      <c r="M754" s="71"/>
      <c r="O754" s="72">
        <v>35664</v>
      </c>
      <c r="P754" s="71"/>
      <c r="Q754" s="71" t="b">
        <v>0</v>
      </c>
      <c r="R754" s="22">
        <f t="shared" si="11"/>
        <v>380</v>
      </c>
    </row>
    <row r="755" spans="1:18">
      <c r="A755" s="71">
        <v>3628</v>
      </c>
      <c r="B755" s="72">
        <v>35290</v>
      </c>
      <c r="C755" s="71" t="s">
        <v>4039</v>
      </c>
      <c r="D755" s="72">
        <v>35283</v>
      </c>
      <c r="E755" s="71" t="s">
        <v>4040</v>
      </c>
      <c r="F755" s="71" t="s">
        <v>56</v>
      </c>
      <c r="G755" s="71" t="s">
        <v>20</v>
      </c>
      <c r="H755" s="71"/>
      <c r="I755" s="71"/>
      <c r="J755" s="71" t="s">
        <v>4041</v>
      </c>
      <c r="K755" s="71"/>
      <c r="L755" s="71" t="s">
        <v>314</v>
      </c>
      <c r="M755" s="71" t="s">
        <v>1800</v>
      </c>
      <c r="O755" s="72">
        <v>37437</v>
      </c>
      <c r="P755" s="71">
        <v>-1</v>
      </c>
      <c r="Q755" s="71" t="b">
        <v>0</v>
      </c>
      <c r="R755" s="22">
        <f t="shared" si="11"/>
        <v>2146</v>
      </c>
    </row>
    <row r="756" spans="1:18">
      <c r="A756" s="71">
        <v>3629</v>
      </c>
      <c r="B756" s="72">
        <v>35284</v>
      </c>
      <c r="C756" s="71" t="s">
        <v>4042</v>
      </c>
      <c r="D756" s="72">
        <v>35264</v>
      </c>
      <c r="E756" s="71" t="s">
        <v>4043</v>
      </c>
      <c r="F756" s="71" t="s">
        <v>793</v>
      </c>
      <c r="G756" s="71" t="s">
        <v>20</v>
      </c>
      <c r="H756" s="71"/>
      <c r="I756" s="71"/>
      <c r="J756" s="71" t="s">
        <v>4044</v>
      </c>
      <c r="K756" s="71" t="s">
        <v>4045</v>
      </c>
      <c r="L756" s="71" t="s">
        <v>66</v>
      </c>
      <c r="M756" s="71"/>
      <c r="O756" s="72">
        <v>35409</v>
      </c>
      <c r="P756" s="71">
        <v>-1</v>
      </c>
      <c r="Q756" s="71" t="b">
        <v>0</v>
      </c>
      <c r="R756" s="22">
        <f t="shared" si="11"/>
        <v>124</v>
      </c>
    </row>
    <row r="757" spans="1:18">
      <c r="A757" s="71">
        <v>3631</v>
      </c>
      <c r="B757" s="72">
        <v>35296</v>
      </c>
      <c r="C757" s="71" t="s">
        <v>4050</v>
      </c>
      <c r="D757" s="72">
        <v>35290</v>
      </c>
      <c r="E757" s="71" t="s">
        <v>4051</v>
      </c>
      <c r="F757" s="71" t="s">
        <v>34</v>
      </c>
      <c r="G757" s="71" t="s">
        <v>20</v>
      </c>
      <c r="H757" s="71"/>
      <c r="I757" s="71"/>
      <c r="J757" s="71" t="s">
        <v>4052</v>
      </c>
      <c r="K757" s="71" t="s">
        <v>4053</v>
      </c>
      <c r="L757" s="71" t="s">
        <v>821</v>
      </c>
      <c r="M757" s="71" t="s">
        <v>88</v>
      </c>
      <c r="O757" s="72">
        <v>36503</v>
      </c>
      <c r="P757" s="71"/>
      <c r="Q757" s="71" t="b">
        <v>0</v>
      </c>
      <c r="R757" s="22">
        <f t="shared" si="11"/>
        <v>1206</v>
      </c>
    </row>
    <row r="758" spans="1:18">
      <c r="A758" s="71">
        <v>3632</v>
      </c>
      <c r="B758" s="72">
        <v>35307</v>
      </c>
      <c r="C758" s="71" t="s">
        <v>4054</v>
      </c>
      <c r="D758" s="72">
        <v>35300</v>
      </c>
      <c r="E758" s="71" t="s">
        <v>4055</v>
      </c>
      <c r="F758" s="71" t="s">
        <v>327</v>
      </c>
      <c r="G758" s="71" t="s">
        <v>20</v>
      </c>
      <c r="H758" s="71"/>
      <c r="I758" s="71"/>
      <c r="J758" s="71" t="s">
        <v>4056</v>
      </c>
      <c r="K758" s="71" t="s">
        <v>4057</v>
      </c>
      <c r="L758" s="71" t="s">
        <v>821</v>
      </c>
      <c r="M758" s="71" t="s">
        <v>88</v>
      </c>
      <c r="O758" s="72">
        <v>36369</v>
      </c>
      <c r="P758" s="71">
        <v>-1</v>
      </c>
      <c r="Q758" s="71" t="b">
        <v>0</v>
      </c>
      <c r="R758" s="22">
        <f t="shared" si="11"/>
        <v>1062</v>
      </c>
    </row>
    <row r="759" spans="1:18">
      <c r="A759" s="71">
        <v>3633</v>
      </c>
      <c r="B759" s="72">
        <v>35312</v>
      </c>
      <c r="C759" s="71" t="s">
        <v>4058</v>
      </c>
      <c r="D759" s="72">
        <v>35297</v>
      </c>
      <c r="E759" s="71" t="s">
        <v>4059</v>
      </c>
      <c r="F759" s="71" t="s">
        <v>1686</v>
      </c>
      <c r="G759" s="71" t="s">
        <v>20</v>
      </c>
      <c r="H759" s="71"/>
      <c r="I759" s="71"/>
      <c r="J759" s="71" t="s">
        <v>4060</v>
      </c>
      <c r="K759" s="71" t="s">
        <v>4061</v>
      </c>
      <c r="L759" s="71" t="s">
        <v>88</v>
      </c>
      <c r="M759" s="71"/>
      <c r="O759" s="72">
        <v>35587</v>
      </c>
      <c r="P759" s="71">
        <v>0</v>
      </c>
      <c r="Q759" s="71" t="b">
        <v>0</v>
      </c>
      <c r="R759" s="22">
        <f t="shared" si="11"/>
        <v>275</v>
      </c>
    </row>
    <row r="760" spans="1:18">
      <c r="A760" s="71">
        <v>3634</v>
      </c>
      <c r="B760" s="72">
        <v>35251</v>
      </c>
      <c r="C760" s="71" t="s">
        <v>4062</v>
      </c>
      <c r="D760" s="72">
        <v>35251</v>
      </c>
      <c r="E760" s="71" t="s">
        <v>4063</v>
      </c>
      <c r="F760" s="71" t="s">
        <v>3430</v>
      </c>
      <c r="G760" s="71" t="s">
        <v>20</v>
      </c>
      <c r="H760" s="71" t="s">
        <v>71</v>
      </c>
      <c r="I760" s="71"/>
      <c r="J760" s="71" t="s">
        <v>4064</v>
      </c>
      <c r="K760" s="71" t="s">
        <v>4065</v>
      </c>
      <c r="L760" s="71" t="s">
        <v>30</v>
      </c>
      <c r="M760" s="71"/>
      <c r="O760" s="72">
        <v>35262</v>
      </c>
      <c r="P760" s="71"/>
      <c r="Q760" s="71" t="b">
        <v>0</v>
      </c>
      <c r="R760" s="22">
        <f t="shared" si="11"/>
        <v>11</v>
      </c>
    </row>
    <row r="761" spans="1:18">
      <c r="A761" s="71">
        <v>3638</v>
      </c>
      <c r="B761" s="72">
        <v>35326</v>
      </c>
      <c r="C761" s="71" t="s">
        <v>4073</v>
      </c>
      <c r="D761" s="72">
        <v>35321</v>
      </c>
      <c r="E761" s="71" t="s">
        <v>4074</v>
      </c>
      <c r="F761" s="71" t="s">
        <v>3062</v>
      </c>
      <c r="G761" s="71" t="s">
        <v>20</v>
      </c>
      <c r="H761" s="71"/>
      <c r="I761" s="71"/>
      <c r="J761" s="71" t="s">
        <v>4075</v>
      </c>
      <c r="K761" s="71" t="s">
        <v>4076</v>
      </c>
      <c r="L761" s="71" t="s">
        <v>66</v>
      </c>
      <c r="M761" s="71"/>
      <c r="O761" s="72">
        <v>36503</v>
      </c>
      <c r="P761" s="71">
        <v>0</v>
      </c>
      <c r="Q761" s="71" t="b">
        <v>0</v>
      </c>
      <c r="R761" s="22">
        <f t="shared" si="11"/>
        <v>1177</v>
      </c>
    </row>
    <row r="762" spans="1:18">
      <c r="A762" s="71">
        <v>3640</v>
      </c>
      <c r="B762" s="72">
        <v>35320</v>
      </c>
      <c r="C762" s="71" t="s">
        <v>4077</v>
      </c>
      <c r="D762" s="72">
        <v>35324</v>
      </c>
      <c r="E762" s="71" t="s">
        <v>4078</v>
      </c>
      <c r="F762" s="71" t="s">
        <v>984</v>
      </c>
      <c r="G762" s="71" t="s">
        <v>20</v>
      </c>
      <c r="H762" s="71"/>
      <c r="I762" s="71"/>
      <c r="J762" s="71" t="s">
        <v>4079</v>
      </c>
      <c r="K762" s="71"/>
      <c r="L762" s="71" t="s">
        <v>67</v>
      </c>
      <c r="M762" s="71"/>
      <c r="O762" s="72">
        <v>35348</v>
      </c>
      <c r="P762" s="71"/>
      <c r="Q762" s="71" t="b">
        <v>0</v>
      </c>
      <c r="R762" s="22">
        <f t="shared" si="11"/>
        <v>28</v>
      </c>
    </row>
    <row r="763" spans="1:18">
      <c r="A763" s="71">
        <v>3641</v>
      </c>
      <c r="B763" s="72">
        <v>35327</v>
      </c>
      <c r="C763" s="71" t="s">
        <v>4080</v>
      </c>
      <c r="D763" s="72">
        <v>35326</v>
      </c>
      <c r="E763" s="71" t="s">
        <v>4081</v>
      </c>
      <c r="F763" s="71" t="s">
        <v>211</v>
      </c>
      <c r="G763" s="71" t="s">
        <v>20</v>
      </c>
      <c r="H763" s="71" t="s">
        <v>212</v>
      </c>
      <c r="I763" s="71" t="s">
        <v>212</v>
      </c>
      <c r="J763" s="71" t="s">
        <v>4082</v>
      </c>
      <c r="K763" s="71" t="s">
        <v>4083</v>
      </c>
      <c r="L763" s="71" t="s">
        <v>67</v>
      </c>
      <c r="M763" s="71"/>
      <c r="O763" s="72">
        <v>35705</v>
      </c>
      <c r="P763" s="71"/>
      <c r="Q763" s="71" t="b">
        <v>0</v>
      </c>
      <c r="R763" s="22">
        <f t="shared" si="11"/>
        <v>378</v>
      </c>
    </row>
    <row r="764" spans="1:18">
      <c r="A764" s="71">
        <v>3642</v>
      </c>
      <c r="B764" s="72">
        <v>35276</v>
      </c>
      <c r="C764" s="71" t="s">
        <v>4084</v>
      </c>
      <c r="D764" s="72">
        <v>35276</v>
      </c>
      <c r="E764" s="71" t="s">
        <v>4085</v>
      </c>
      <c r="F764" s="71" t="s">
        <v>4086</v>
      </c>
      <c r="G764" s="71" t="s">
        <v>20</v>
      </c>
      <c r="H764" s="71"/>
      <c r="I764" s="71"/>
      <c r="J764" s="71" t="s">
        <v>4087</v>
      </c>
      <c r="K764" s="71" t="s">
        <v>4088</v>
      </c>
      <c r="L764" s="71" t="s">
        <v>66</v>
      </c>
      <c r="M764" s="71" t="s">
        <v>67</v>
      </c>
      <c r="O764" s="72">
        <v>37711</v>
      </c>
      <c r="P764" s="71">
        <v>-1</v>
      </c>
      <c r="Q764" s="71" t="b">
        <v>0</v>
      </c>
      <c r="R764" s="22">
        <f t="shared" si="11"/>
        <v>2433</v>
      </c>
    </row>
    <row r="765" spans="1:18">
      <c r="A765" s="71">
        <v>3648</v>
      </c>
      <c r="B765" s="72">
        <v>35345</v>
      </c>
      <c r="C765" s="71" t="s">
        <v>4102</v>
      </c>
      <c r="D765" s="72">
        <v>35345</v>
      </c>
      <c r="E765" s="71" t="s">
        <v>2308</v>
      </c>
      <c r="F765" s="71" t="s">
        <v>408</v>
      </c>
      <c r="G765" s="71"/>
      <c r="H765" s="71"/>
      <c r="I765" s="71" t="s">
        <v>72</v>
      </c>
      <c r="J765" s="71" t="s">
        <v>4103</v>
      </c>
      <c r="K765" s="71" t="s">
        <v>4104</v>
      </c>
      <c r="L765" s="71" t="s">
        <v>66</v>
      </c>
      <c r="M765" s="71"/>
      <c r="N765" s="72">
        <v>35349</v>
      </c>
      <c r="O765" s="72">
        <v>35348</v>
      </c>
      <c r="P765" s="71"/>
      <c r="Q765" s="71" t="b">
        <v>0</v>
      </c>
      <c r="R765" s="22">
        <f t="shared" si="11"/>
        <v>3</v>
      </c>
    </row>
    <row r="766" spans="1:18">
      <c r="A766" s="71">
        <v>3650</v>
      </c>
      <c r="B766" s="72">
        <v>35348</v>
      </c>
      <c r="C766" s="71" t="s">
        <v>4105</v>
      </c>
      <c r="D766" s="72">
        <v>35332</v>
      </c>
      <c r="E766" s="71" t="s">
        <v>4106</v>
      </c>
      <c r="F766" s="71" t="s">
        <v>34</v>
      </c>
      <c r="G766" s="71" t="s">
        <v>20</v>
      </c>
      <c r="H766" s="71"/>
      <c r="I766" s="71"/>
      <c r="J766" s="71" t="s">
        <v>4107</v>
      </c>
      <c r="K766" s="71" t="s">
        <v>4108</v>
      </c>
      <c r="L766" s="71" t="s">
        <v>67</v>
      </c>
      <c r="M766" s="71"/>
      <c r="O766" s="72">
        <v>35349</v>
      </c>
      <c r="P766" s="71">
        <v>0</v>
      </c>
      <c r="Q766" s="71" t="b">
        <v>0</v>
      </c>
      <c r="R766" s="22">
        <f t="shared" si="11"/>
        <v>1</v>
      </c>
    </row>
    <row r="767" spans="1:18">
      <c r="A767" s="71">
        <v>3652</v>
      </c>
      <c r="B767" s="72">
        <v>35354</v>
      </c>
      <c r="C767" s="71" t="s">
        <v>4113</v>
      </c>
      <c r="D767" s="72">
        <v>35348</v>
      </c>
      <c r="E767" s="71" t="s">
        <v>4114</v>
      </c>
      <c r="F767" s="71" t="s">
        <v>124</v>
      </c>
      <c r="G767" s="71" t="s">
        <v>20</v>
      </c>
      <c r="H767" s="71"/>
      <c r="I767" s="71"/>
      <c r="J767" s="71" t="s">
        <v>4115</v>
      </c>
      <c r="K767" s="71"/>
      <c r="L767" s="71" t="s">
        <v>821</v>
      </c>
      <c r="M767" s="71" t="s">
        <v>88</v>
      </c>
      <c r="O767" s="72">
        <v>36375</v>
      </c>
      <c r="P767" s="71">
        <v>-1</v>
      </c>
      <c r="Q767" s="71" t="b">
        <v>0</v>
      </c>
      <c r="R767" s="22">
        <f t="shared" si="11"/>
        <v>1020</v>
      </c>
    </row>
    <row r="768" spans="1:18">
      <c r="A768" s="71">
        <v>3653</v>
      </c>
      <c r="B768" s="72">
        <v>35361</v>
      </c>
      <c r="C768" s="71" t="s">
        <v>4116</v>
      </c>
      <c r="D768" s="72">
        <v>35335</v>
      </c>
      <c r="E768" s="71" t="s">
        <v>4117</v>
      </c>
      <c r="F768" s="71" t="s">
        <v>1537</v>
      </c>
      <c r="G768" s="71" t="s">
        <v>20</v>
      </c>
      <c r="H768" s="71"/>
      <c r="I768" s="71"/>
      <c r="J768" s="71" t="s">
        <v>4118</v>
      </c>
      <c r="K768" s="71" t="s">
        <v>4119</v>
      </c>
      <c r="L768" s="71" t="s">
        <v>2205</v>
      </c>
      <c r="M768" s="71" t="s">
        <v>4120</v>
      </c>
      <c r="N768" s="71"/>
      <c r="O768" s="72">
        <v>38386</v>
      </c>
      <c r="P768" s="71"/>
      <c r="Q768" s="71" t="b">
        <v>0</v>
      </c>
      <c r="R768" s="22">
        <f t="shared" si="11"/>
        <v>3021</v>
      </c>
    </row>
    <row r="769" spans="1:18">
      <c r="A769" s="71">
        <v>3654</v>
      </c>
      <c r="B769" s="72">
        <v>35361</v>
      </c>
      <c r="C769" s="71" t="s">
        <v>4121</v>
      </c>
      <c r="D769" s="72">
        <v>35348</v>
      </c>
      <c r="E769" s="71" t="s">
        <v>4122</v>
      </c>
      <c r="F769" s="71" t="s">
        <v>793</v>
      </c>
      <c r="G769" s="71" t="s">
        <v>20</v>
      </c>
      <c r="H769" s="71"/>
      <c r="I769" s="71"/>
      <c r="J769" s="71" t="s">
        <v>4123</v>
      </c>
      <c r="K769" s="71" t="s">
        <v>4124</v>
      </c>
      <c r="L769" s="71" t="s">
        <v>67</v>
      </c>
      <c r="M769" s="71"/>
      <c r="O769" s="72">
        <v>35621</v>
      </c>
      <c r="P769" s="71">
        <v>-1</v>
      </c>
      <c r="Q769" s="71" t="b">
        <v>0</v>
      </c>
      <c r="R769" s="22">
        <f t="shared" si="11"/>
        <v>260</v>
      </c>
    </row>
    <row r="770" spans="1:18">
      <c r="A770" s="71">
        <v>3655</v>
      </c>
      <c r="B770" s="72">
        <v>35361</v>
      </c>
      <c r="C770" s="71" t="s">
        <v>4125</v>
      </c>
      <c r="D770" s="72">
        <v>35353</v>
      </c>
      <c r="E770" s="71" t="s">
        <v>4126</v>
      </c>
      <c r="F770" s="71" t="s">
        <v>741</v>
      </c>
      <c r="G770" s="71" t="s">
        <v>20</v>
      </c>
      <c r="H770" s="71"/>
      <c r="I770" s="71"/>
      <c r="J770" s="71" t="s">
        <v>4127</v>
      </c>
      <c r="K770" s="71" t="s">
        <v>4128</v>
      </c>
      <c r="L770" s="71" t="s">
        <v>67</v>
      </c>
      <c r="M770" s="71"/>
      <c r="O770" s="72">
        <v>35647</v>
      </c>
      <c r="P770" s="71">
        <v>-1</v>
      </c>
      <c r="Q770" s="71" t="b">
        <v>0</v>
      </c>
      <c r="R770" s="22">
        <f t="shared" ref="R770:R833" si="12">IF(O770=" ", " ", INT(YEARFRAC(O770, B770)*365))</f>
        <v>285</v>
      </c>
    </row>
    <row r="771" spans="1:18">
      <c r="A771" s="71">
        <v>3658</v>
      </c>
      <c r="B771" s="72">
        <v>35361</v>
      </c>
      <c r="C771" s="71" t="s">
        <v>4131</v>
      </c>
      <c r="D771" s="72">
        <v>35359</v>
      </c>
      <c r="E771" s="71" t="s">
        <v>4132</v>
      </c>
      <c r="F771" s="71" t="s">
        <v>98</v>
      </c>
      <c r="G771" s="71" t="s">
        <v>20</v>
      </c>
      <c r="H771" s="71"/>
      <c r="I771" s="71"/>
      <c r="J771" s="71" t="s">
        <v>4133</v>
      </c>
      <c r="K771" s="71"/>
      <c r="L771" s="71" t="s">
        <v>67</v>
      </c>
      <c r="M771" s="71"/>
      <c r="O771" s="72">
        <v>35782</v>
      </c>
      <c r="P771" s="71"/>
      <c r="Q771" s="71" t="b">
        <v>0</v>
      </c>
      <c r="R771" s="22">
        <f t="shared" si="12"/>
        <v>420</v>
      </c>
    </row>
    <row r="772" spans="1:18">
      <c r="A772" s="71">
        <v>3659</v>
      </c>
      <c r="B772" s="72">
        <v>35142</v>
      </c>
      <c r="C772" s="71" t="s">
        <v>4134</v>
      </c>
      <c r="D772" s="72">
        <v>35142</v>
      </c>
      <c r="E772" s="71" t="s">
        <v>4135</v>
      </c>
      <c r="F772" s="71" t="s">
        <v>2838</v>
      </c>
      <c r="G772" s="71"/>
      <c r="H772" s="71"/>
      <c r="I772" s="71"/>
      <c r="J772" s="71" t="s">
        <v>4136</v>
      </c>
      <c r="K772" s="71" t="s">
        <v>4137</v>
      </c>
      <c r="L772" s="71" t="s">
        <v>24</v>
      </c>
      <c r="M772" s="71"/>
      <c r="O772" s="72">
        <v>35345</v>
      </c>
      <c r="P772" s="71">
        <v>-1</v>
      </c>
      <c r="Q772" s="71" t="b">
        <v>0</v>
      </c>
      <c r="R772" s="22">
        <f t="shared" si="12"/>
        <v>201</v>
      </c>
    </row>
    <row r="773" spans="1:18">
      <c r="A773" s="71">
        <v>3660</v>
      </c>
      <c r="B773" s="72">
        <v>35362</v>
      </c>
      <c r="C773" s="71" t="s">
        <v>4138</v>
      </c>
      <c r="D773" s="72">
        <v>35362</v>
      </c>
      <c r="E773" s="71" t="s">
        <v>4139</v>
      </c>
      <c r="F773" s="71" t="s">
        <v>350</v>
      </c>
      <c r="G773" s="71" t="s">
        <v>20</v>
      </c>
      <c r="H773" s="71"/>
      <c r="I773" s="71"/>
      <c r="J773" s="71" t="s">
        <v>19868</v>
      </c>
      <c r="K773" s="71" t="s">
        <v>4141</v>
      </c>
      <c r="L773" s="71" t="s">
        <v>686</v>
      </c>
      <c r="M773" s="71" t="s">
        <v>67</v>
      </c>
      <c r="O773" s="72">
        <v>36467</v>
      </c>
      <c r="P773" s="71"/>
      <c r="Q773" s="71" t="b">
        <v>0</v>
      </c>
      <c r="R773" s="22">
        <f t="shared" si="12"/>
        <v>1104</v>
      </c>
    </row>
    <row r="774" spans="1:18">
      <c r="A774" s="71">
        <v>3662</v>
      </c>
      <c r="B774" s="72">
        <v>35376</v>
      </c>
      <c r="C774" s="71" t="s">
        <v>4144</v>
      </c>
      <c r="D774" s="72">
        <v>35376</v>
      </c>
      <c r="E774" s="71" t="s">
        <v>4145</v>
      </c>
      <c r="F774" s="71" t="s">
        <v>242</v>
      </c>
      <c r="G774" s="71" t="s">
        <v>20</v>
      </c>
      <c r="H774" s="71"/>
      <c r="I774" s="71"/>
      <c r="J774" s="71" t="s">
        <v>4146</v>
      </c>
      <c r="K774" s="71" t="s">
        <v>4147</v>
      </c>
      <c r="L774" s="71" t="s">
        <v>2205</v>
      </c>
      <c r="M774" s="71" t="s">
        <v>4148</v>
      </c>
      <c r="N774" s="71"/>
      <c r="O774" s="72">
        <v>38413</v>
      </c>
      <c r="P774" s="71">
        <v>-1</v>
      </c>
      <c r="Q774" s="71" t="b">
        <v>0</v>
      </c>
      <c r="R774" s="22">
        <f t="shared" si="12"/>
        <v>3036</v>
      </c>
    </row>
    <row r="775" spans="1:18">
      <c r="A775" s="71">
        <v>3666</v>
      </c>
      <c r="B775" s="72">
        <v>35382</v>
      </c>
      <c r="C775" s="71" t="s">
        <v>4151</v>
      </c>
      <c r="D775" s="72">
        <v>35382</v>
      </c>
      <c r="E775" s="71" t="s">
        <v>4152</v>
      </c>
      <c r="F775" s="71" t="s">
        <v>741</v>
      </c>
      <c r="G775" s="71" t="s">
        <v>20</v>
      </c>
      <c r="H775" s="71"/>
      <c r="I775" s="71"/>
      <c r="J775" s="71" t="s">
        <v>4037</v>
      </c>
      <c r="K775" s="71" t="s">
        <v>4153</v>
      </c>
      <c r="L775" s="71" t="s">
        <v>30</v>
      </c>
      <c r="M775" s="71"/>
      <c r="O775" s="72">
        <v>36434</v>
      </c>
      <c r="P775" s="71"/>
      <c r="Q775" s="71" t="b">
        <v>0</v>
      </c>
      <c r="R775" s="22">
        <f t="shared" si="12"/>
        <v>1052</v>
      </c>
    </row>
    <row r="776" spans="1:18">
      <c r="A776" s="71">
        <v>3667</v>
      </c>
      <c r="B776" s="72">
        <v>35373</v>
      </c>
      <c r="C776" s="71" t="s">
        <v>4154</v>
      </c>
      <c r="D776" s="72">
        <v>35373</v>
      </c>
      <c r="E776" s="71" t="s">
        <v>4155</v>
      </c>
      <c r="F776" s="71" t="s">
        <v>984</v>
      </c>
      <c r="G776" s="71" t="s">
        <v>20</v>
      </c>
      <c r="H776" s="71"/>
      <c r="I776" s="71"/>
      <c r="J776" s="71" t="s">
        <v>4156</v>
      </c>
      <c r="K776" s="71" t="s">
        <v>4157</v>
      </c>
      <c r="L776" s="71" t="s">
        <v>67</v>
      </c>
      <c r="M776" s="71"/>
      <c r="O776" s="72">
        <v>35881</v>
      </c>
      <c r="P776" s="71"/>
      <c r="Q776" s="71" t="b">
        <v>0</v>
      </c>
      <c r="R776" s="22">
        <f t="shared" si="12"/>
        <v>509</v>
      </c>
    </row>
    <row r="777" spans="1:18">
      <c r="A777" s="71">
        <v>3668</v>
      </c>
      <c r="B777" s="72">
        <v>35387</v>
      </c>
      <c r="C777" s="71" t="s">
        <v>4158</v>
      </c>
      <c r="D777" s="72">
        <v>35332</v>
      </c>
      <c r="E777" s="71" t="s">
        <v>4159</v>
      </c>
      <c r="F777" s="71" t="s">
        <v>104</v>
      </c>
      <c r="G777" s="71" t="s">
        <v>20</v>
      </c>
      <c r="H777" s="71"/>
      <c r="I777" s="71"/>
      <c r="J777" s="71" t="s">
        <v>4160</v>
      </c>
      <c r="K777" s="71"/>
      <c r="L777" s="71" t="s">
        <v>66</v>
      </c>
      <c r="M777" s="71" t="s">
        <v>67</v>
      </c>
      <c r="O777" s="72">
        <v>36500</v>
      </c>
      <c r="P777" s="71"/>
      <c r="Q777" s="71" t="b">
        <v>0</v>
      </c>
      <c r="R777" s="22">
        <f t="shared" si="12"/>
        <v>1113</v>
      </c>
    </row>
    <row r="778" spans="1:18">
      <c r="A778" s="71">
        <v>3670</v>
      </c>
      <c r="B778" s="72">
        <v>35384</v>
      </c>
      <c r="C778" s="71" t="s">
        <v>4161</v>
      </c>
      <c r="D778" s="72">
        <v>35384</v>
      </c>
      <c r="E778" s="71" t="s">
        <v>4162</v>
      </c>
      <c r="F778" s="71" t="s">
        <v>733</v>
      </c>
      <c r="G778" s="71" t="s">
        <v>20</v>
      </c>
      <c r="H778" s="71"/>
      <c r="I778" s="71"/>
      <c r="J778" s="71" t="s">
        <v>4163</v>
      </c>
      <c r="K778" s="71"/>
      <c r="L778" s="71" t="s">
        <v>66</v>
      </c>
      <c r="M778" s="71"/>
      <c r="O778" s="72">
        <v>36481</v>
      </c>
      <c r="P778" s="71">
        <v>-1</v>
      </c>
      <c r="Q778" s="71" t="b">
        <v>0</v>
      </c>
      <c r="R778" s="22">
        <f t="shared" si="12"/>
        <v>1097</v>
      </c>
    </row>
    <row r="779" spans="1:18">
      <c r="A779" s="71">
        <v>3671</v>
      </c>
      <c r="B779" s="72">
        <v>35384</v>
      </c>
      <c r="C779" s="71" t="s">
        <v>4164</v>
      </c>
      <c r="D779" s="72">
        <v>35384</v>
      </c>
      <c r="E779" s="71" t="s">
        <v>4165</v>
      </c>
      <c r="F779" s="71" t="s">
        <v>149</v>
      </c>
      <c r="G779" s="71" t="s">
        <v>20</v>
      </c>
      <c r="H779" s="71"/>
      <c r="I779" s="71"/>
      <c r="J779" s="71" t="s">
        <v>4166</v>
      </c>
      <c r="K779" s="71" t="s">
        <v>4167</v>
      </c>
      <c r="L779" s="71" t="s">
        <v>67</v>
      </c>
      <c r="M779" s="71"/>
      <c r="O779" s="72">
        <v>35440</v>
      </c>
      <c r="P779" s="71"/>
      <c r="Q779" s="71" t="b">
        <v>0</v>
      </c>
      <c r="R779" s="22">
        <f t="shared" si="12"/>
        <v>55</v>
      </c>
    </row>
    <row r="780" spans="1:18">
      <c r="A780" s="71">
        <v>3676</v>
      </c>
      <c r="B780" s="72">
        <v>35395</v>
      </c>
      <c r="C780" s="71" t="s">
        <v>4171</v>
      </c>
      <c r="D780" s="72">
        <v>35394</v>
      </c>
      <c r="E780" s="71" t="s">
        <v>4172</v>
      </c>
      <c r="F780" s="71" t="s">
        <v>371</v>
      </c>
      <c r="G780" s="71" t="s">
        <v>20</v>
      </c>
      <c r="H780" s="71"/>
      <c r="I780" s="71"/>
      <c r="J780" s="71" t="s">
        <v>4173</v>
      </c>
      <c r="K780" s="71" t="s">
        <v>4174</v>
      </c>
      <c r="L780" s="71" t="s">
        <v>1946</v>
      </c>
      <c r="M780" s="71" t="s">
        <v>4175</v>
      </c>
      <c r="O780" s="72">
        <v>35611</v>
      </c>
      <c r="P780" s="71">
        <v>-1</v>
      </c>
      <c r="Q780" s="71" t="b">
        <v>0</v>
      </c>
      <c r="R780" s="22">
        <f t="shared" si="12"/>
        <v>216</v>
      </c>
    </row>
    <row r="781" spans="1:18">
      <c r="A781" s="71">
        <v>3677</v>
      </c>
      <c r="B781" s="72">
        <v>35395</v>
      </c>
      <c r="C781" s="71" t="s">
        <v>4176</v>
      </c>
      <c r="D781" s="72">
        <v>35395</v>
      </c>
      <c r="E781" s="71" t="s">
        <v>4177</v>
      </c>
      <c r="F781" s="71" t="s">
        <v>149</v>
      </c>
      <c r="G781" s="71" t="s">
        <v>20</v>
      </c>
      <c r="H781" s="71"/>
      <c r="I781" s="71"/>
      <c r="J781" s="71" t="s">
        <v>4178</v>
      </c>
      <c r="K781" s="71" t="s">
        <v>4179</v>
      </c>
      <c r="L781" s="71" t="s">
        <v>686</v>
      </c>
      <c r="M781" s="71" t="s">
        <v>67</v>
      </c>
      <c r="O781" s="72">
        <v>36495</v>
      </c>
      <c r="P781" s="71"/>
      <c r="Q781" s="71" t="b">
        <v>0</v>
      </c>
      <c r="R781" s="22">
        <f t="shared" si="12"/>
        <v>1100</v>
      </c>
    </row>
    <row r="782" spans="1:18">
      <c r="A782" s="71">
        <v>3684</v>
      </c>
      <c r="B782" s="72">
        <v>35409</v>
      </c>
      <c r="C782" s="71" t="s">
        <v>4190</v>
      </c>
      <c r="D782" s="72">
        <v>35409</v>
      </c>
      <c r="E782" s="71" t="s">
        <v>4191</v>
      </c>
      <c r="F782" s="71" t="s">
        <v>216</v>
      </c>
      <c r="G782" s="71" t="s">
        <v>20</v>
      </c>
      <c r="H782" s="71"/>
      <c r="I782" s="71"/>
      <c r="J782" s="71" t="s">
        <v>4192</v>
      </c>
      <c r="K782" s="71" t="s">
        <v>4193</v>
      </c>
      <c r="L782" s="71" t="s">
        <v>686</v>
      </c>
      <c r="M782" s="71" t="s">
        <v>67</v>
      </c>
      <c r="O782" s="72">
        <v>36458</v>
      </c>
      <c r="P782" s="71"/>
      <c r="Q782" s="71" t="b">
        <v>0</v>
      </c>
      <c r="R782" s="22">
        <f t="shared" si="12"/>
        <v>1049</v>
      </c>
    </row>
    <row r="783" spans="1:18">
      <c r="A783" s="71">
        <v>3685</v>
      </c>
      <c r="B783" s="72">
        <v>35419</v>
      </c>
      <c r="C783" s="71" t="s">
        <v>4194</v>
      </c>
      <c r="D783" s="72">
        <v>35419</v>
      </c>
      <c r="E783" s="71" t="s">
        <v>4195</v>
      </c>
      <c r="F783" s="71" t="s">
        <v>70</v>
      </c>
      <c r="G783" s="71" t="s">
        <v>20</v>
      </c>
      <c r="H783" s="71" t="s">
        <v>71</v>
      </c>
      <c r="I783" s="71" t="s">
        <v>71</v>
      </c>
      <c r="J783" s="71" t="s">
        <v>4196</v>
      </c>
      <c r="K783" s="71"/>
      <c r="L783" s="71" t="s">
        <v>30</v>
      </c>
      <c r="M783" s="71"/>
      <c r="O783" s="72">
        <v>35482</v>
      </c>
      <c r="P783" s="71"/>
      <c r="Q783" s="71" t="b">
        <v>0</v>
      </c>
      <c r="R783" s="22">
        <f t="shared" si="12"/>
        <v>61</v>
      </c>
    </row>
    <row r="784" spans="1:18">
      <c r="A784" s="71">
        <v>3686</v>
      </c>
      <c r="B784" s="72">
        <v>35418</v>
      </c>
      <c r="C784" s="71" t="s">
        <v>4197</v>
      </c>
      <c r="D784" s="72">
        <v>35312</v>
      </c>
      <c r="E784" s="71" t="s">
        <v>4198</v>
      </c>
      <c r="F784" s="71" t="s">
        <v>211</v>
      </c>
      <c r="G784" s="71" t="s">
        <v>20</v>
      </c>
      <c r="H784" s="71" t="s">
        <v>212</v>
      </c>
      <c r="I784" s="71" t="s">
        <v>212</v>
      </c>
      <c r="J784" s="71" t="s">
        <v>4199</v>
      </c>
      <c r="K784" s="71"/>
      <c r="L784" s="71" t="s">
        <v>88</v>
      </c>
      <c r="M784" s="71"/>
      <c r="O784" s="72">
        <v>35828</v>
      </c>
      <c r="P784" s="71"/>
      <c r="Q784" s="71" t="b">
        <v>0</v>
      </c>
      <c r="R784" s="22">
        <f t="shared" si="12"/>
        <v>408</v>
      </c>
    </row>
    <row r="785" spans="1:18">
      <c r="A785" s="71">
        <v>3688</v>
      </c>
      <c r="B785" s="72">
        <v>35419</v>
      </c>
      <c r="C785" s="71" t="s">
        <v>4203</v>
      </c>
      <c r="D785" s="72">
        <v>35291</v>
      </c>
      <c r="E785" s="71" t="s">
        <v>4204</v>
      </c>
      <c r="F785" s="71" t="s">
        <v>228</v>
      </c>
      <c r="G785" s="71" t="s">
        <v>20</v>
      </c>
      <c r="H785" s="71"/>
      <c r="I785" s="71"/>
      <c r="J785" s="71" t="s">
        <v>4205</v>
      </c>
      <c r="K785" s="71" t="s">
        <v>4206</v>
      </c>
      <c r="L785" s="71" t="s">
        <v>88</v>
      </c>
      <c r="M785" s="71"/>
      <c r="O785" s="72">
        <v>35572</v>
      </c>
      <c r="P785" s="71"/>
      <c r="Q785" s="71" t="b">
        <v>0</v>
      </c>
      <c r="R785" s="22">
        <f t="shared" si="12"/>
        <v>154</v>
      </c>
    </row>
    <row r="786" spans="1:18">
      <c r="A786" s="71">
        <v>3689</v>
      </c>
      <c r="B786" s="72">
        <v>35429</v>
      </c>
      <c r="C786" s="71" t="s">
        <v>4207</v>
      </c>
      <c r="D786" s="72">
        <v>35425</v>
      </c>
      <c r="E786" s="71" t="s">
        <v>4208</v>
      </c>
      <c r="F786" s="71" t="s">
        <v>4209</v>
      </c>
      <c r="G786" s="71" t="s">
        <v>20</v>
      </c>
      <c r="H786" s="71" t="s">
        <v>71</v>
      </c>
      <c r="I786" s="71" t="s">
        <v>72</v>
      </c>
      <c r="J786" s="71" t="s">
        <v>4210</v>
      </c>
      <c r="K786" s="71" t="s">
        <v>4211</v>
      </c>
      <c r="L786" s="71" t="s">
        <v>314</v>
      </c>
      <c r="M786" s="71" t="s">
        <v>3163</v>
      </c>
      <c r="O786" s="72">
        <v>37902</v>
      </c>
      <c r="P786" s="71">
        <v>-1</v>
      </c>
      <c r="Q786" s="71" t="b">
        <v>0</v>
      </c>
      <c r="R786" s="22">
        <f t="shared" si="12"/>
        <v>2471</v>
      </c>
    </row>
    <row r="787" spans="1:18">
      <c r="A787" s="71">
        <v>3691</v>
      </c>
      <c r="B787" s="72">
        <v>35432</v>
      </c>
      <c r="C787" s="71" t="s">
        <v>4212</v>
      </c>
      <c r="D787" s="72">
        <v>35373</v>
      </c>
      <c r="E787" s="71" t="s">
        <v>4213</v>
      </c>
      <c r="F787" s="71" t="s">
        <v>545</v>
      </c>
      <c r="G787" s="71" t="s">
        <v>20</v>
      </c>
      <c r="H787" s="71" t="s">
        <v>566</v>
      </c>
      <c r="I787" s="71" t="s">
        <v>566</v>
      </c>
      <c r="J787" s="71" t="s">
        <v>4214</v>
      </c>
      <c r="K787" s="71"/>
      <c r="L787" s="71" t="s">
        <v>88</v>
      </c>
      <c r="M787" s="71"/>
      <c r="O787" s="72">
        <v>35885</v>
      </c>
      <c r="P787" s="71">
        <v>-1</v>
      </c>
      <c r="Q787" s="71" t="b">
        <v>0</v>
      </c>
      <c r="R787" s="22">
        <f t="shared" si="12"/>
        <v>455</v>
      </c>
    </row>
    <row r="788" spans="1:18">
      <c r="A788" s="71">
        <v>3693</v>
      </c>
      <c r="B788" s="72">
        <v>35438</v>
      </c>
      <c r="C788" s="71" t="s">
        <v>4218</v>
      </c>
      <c r="D788" s="72">
        <v>35438</v>
      </c>
      <c r="E788" s="71" t="s">
        <v>4219</v>
      </c>
      <c r="F788" s="71" t="s">
        <v>149</v>
      </c>
      <c r="G788" s="71" t="s">
        <v>20</v>
      </c>
      <c r="H788" s="71"/>
      <c r="I788" s="71"/>
      <c r="J788" s="71" t="s">
        <v>4220</v>
      </c>
      <c r="K788" s="71" t="s">
        <v>4221</v>
      </c>
      <c r="L788" s="71" t="s">
        <v>67</v>
      </c>
      <c r="M788" s="71"/>
      <c r="O788" s="72">
        <v>35863</v>
      </c>
      <c r="P788" s="71"/>
      <c r="Q788" s="71" t="b">
        <v>0</v>
      </c>
      <c r="R788" s="22">
        <f t="shared" si="12"/>
        <v>426</v>
      </c>
    </row>
    <row r="789" spans="1:18">
      <c r="A789" s="71">
        <v>3700</v>
      </c>
      <c r="B789" s="72">
        <v>35452</v>
      </c>
      <c r="C789" s="71" t="s">
        <v>4231</v>
      </c>
      <c r="D789" s="72">
        <v>35446</v>
      </c>
      <c r="E789" s="71" t="s">
        <v>4232</v>
      </c>
      <c r="F789" s="71" t="s">
        <v>4233</v>
      </c>
      <c r="G789" s="71" t="s">
        <v>20</v>
      </c>
      <c r="H789" s="71"/>
      <c r="I789" s="71"/>
      <c r="J789" s="71" t="s">
        <v>4234</v>
      </c>
      <c r="K789" s="71" t="s">
        <v>4235</v>
      </c>
      <c r="L789" s="71" t="s">
        <v>67</v>
      </c>
      <c r="M789" s="71"/>
      <c r="O789" s="72">
        <v>35716</v>
      </c>
      <c r="P789" s="71">
        <v>-1</v>
      </c>
      <c r="Q789" s="71" t="b">
        <v>0</v>
      </c>
      <c r="R789" s="22">
        <f t="shared" si="12"/>
        <v>264</v>
      </c>
    </row>
    <row r="790" spans="1:18">
      <c r="A790" s="71">
        <v>3712</v>
      </c>
      <c r="B790" s="72">
        <v>35454</v>
      </c>
      <c r="C790" s="71" t="s">
        <v>4236</v>
      </c>
      <c r="D790" s="72">
        <v>35453</v>
      </c>
      <c r="E790" s="71" t="s">
        <v>4237</v>
      </c>
      <c r="F790" s="71" t="s">
        <v>242</v>
      </c>
      <c r="G790" s="71" t="s">
        <v>20</v>
      </c>
      <c r="H790" s="71"/>
      <c r="I790" s="71"/>
      <c r="J790" s="71" t="s">
        <v>272</v>
      </c>
      <c r="K790" s="71" t="s">
        <v>2547</v>
      </c>
      <c r="L790" s="71" t="s">
        <v>66</v>
      </c>
      <c r="M790" s="71"/>
      <c r="O790" s="72">
        <v>35495</v>
      </c>
      <c r="P790" s="71">
        <v>-1</v>
      </c>
      <c r="Q790" s="71" t="b">
        <v>0</v>
      </c>
      <c r="R790" s="22">
        <f t="shared" si="12"/>
        <v>42</v>
      </c>
    </row>
    <row r="791" spans="1:18">
      <c r="A791" s="71">
        <v>3723</v>
      </c>
      <c r="B791" s="72">
        <v>35454</v>
      </c>
      <c r="C791" s="71" t="s">
        <v>4238</v>
      </c>
      <c r="D791" s="72">
        <v>35453</v>
      </c>
      <c r="E791" s="71" t="s">
        <v>4239</v>
      </c>
      <c r="F791" s="71" t="s">
        <v>27</v>
      </c>
      <c r="G791" s="71" t="s">
        <v>20</v>
      </c>
      <c r="H791" s="71"/>
      <c r="I791" s="71"/>
      <c r="J791" s="71" t="s">
        <v>272</v>
      </c>
      <c r="K791" s="71"/>
      <c r="L791" s="71" t="s">
        <v>66</v>
      </c>
      <c r="M791" s="71"/>
      <c r="O791" s="72">
        <v>35493</v>
      </c>
      <c r="P791" s="71">
        <v>-1</v>
      </c>
      <c r="Q791" s="71" t="b">
        <v>0</v>
      </c>
      <c r="R791" s="22">
        <f t="shared" si="12"/>
        <v>40</v>
      </c>
    </row>
    <row r="792" spans="1:18">
      <c r="A792" s="71">
        <v>3740</v>
      </c>
      <c r="B792" s="72">
        <v>35454</v>
      </c>
      <c r="C792" s="71" t="s">
        <v>4240</v>
      </c>
      <c r="D792" s="72">
        <v>35453</v>
      </c>
      <c r="E792" s="71" t="s">
        <v>4241</v>
      </c>
      <c r="F792" s="71" t="s">
        <v>4242</v>
      </c>
      <c r="G792" s="71" t="s">
        <v>20</v>
      </c>
      <c r="H792" s="71" t="s">
        <v>189</v>
      </c>
      <c r="I792" s="71" t="s">
        <v>189</v>
      </c>
      <c r="J792" s="71" t="s">
        <v>4243</v>
      </c>
      <c r="K792" s="71" t="s">
        <v>4244</v>
      </c>
      <c r="L792" s="71" t="s">
        <v>66</v>
      </c>
      <c r="M792" s="71"/>
      <c r="O792" s="72">
        <v>36452</v>
      </c>
      <c r="P792" s="71"/>
      <c r="Q792" s="71" t="b">
        <v>0</v>
      </c>
      <c r="R792" s="22">
        <f t="shared" si="12"/>
        <v>998</v>
      </c>
    </row>
    <row r="793" spans="1:18">
      <c r="A793" s="71">
        <v>3784</v>
      </c>
      <c r="B793" s="72">
        <v>35459</v>
      </c>
      <c r="C793" s="71" t="s">
        <v>4245</v>
      </c>
      <c r="D793" s="72">
        <v>35459</v>
      </c>
      <c r="E793" s="71" t="s">
        <v>4246</v>
      </c>
      <c r="F793" s="71" t="s">
        <v>149</v>
      </c>
      <c r="G793" s="71" t="s">
        <v>20</v>
      </c>
      <c r="H793" s="71"/>
      <c r="I793" s="71"/>
      <c r="J793" s="71" t="s">
        <v>4247</v>
      </c>
      <c r="K793" s="71" t="s">
        <v>4248</v>
      </c>
      <c r="L793" s="71" t="s">
        <v>686</v>
      </c>
      <c r="M793" s="71" t="s">
        <v>67</v>
      </c>
      <c r="O793" s="72">
        <v>36487</v>
      </c>
      <c r="P793" s="71"/>
      <c r="Q793" s="71" t="b">
        <v>0</v>
      </c>
      <c r="R793" s="22">
        <f t="shared" si="12"/>
        <v>1028</v>
      </c>
    </row>
    <row r="794" spans="1:18">
      <c r="A794" s="71">
        <v>3786</v>
      </c>
      <c r="B794" s="72">
        <v>35460</v>
      </c>
      <c r="C794" s="71" t="s">
        <v>4249</v>
      </c>
      <c r="D794" s="72">
        <v>35460</v>
      </c>
      <c r="E794" s="71" t="s">
        <v>4250</v>
      </c>
      <c r="F794" s="71" t="s">
        <v>56</v>
      </c>
      <c r="G794" s="71" t="s">
        <v>20</v>
      </c>
      <c r="H794" s="71"/>
      <c r="I794" s="71"/>
      <c r="J794" s="71" t="s">
        <v>4251</v>
      </c>
      <c r="K794" s="71"/>
      <c r="L794" s="71" t="s">
        <v>88</v>
      </c>
      <c r="M794" s="71"/>
      <c r="O794" s="72">
        <v>35549</v>
      </c>
      <c r="P794" s="71"/>
      <c r="Q794" s="71" t="b">
        <v>0</v>
      </c>
      <c r="R794" s="22">
        <f t="shared" si="12"/>
        <v>90</v>
      </c>
    </row>
    <row r="795" spans="1:18">
      <c r="A795" s="71">
        <v>3790</v>
      </c>
      <c r="B795" s="72">
        <v>35464</v>
      </c>
      <c r="C795" s="71" t="s">
        <v>4252</v>
      </c>
      <c r="D795" s="72">
        <v>35457</v>
      </c>
      <c r="E795" s="71" t="s">
        <v>4253</v>
      </c>
      <c r="F795" s="71" t="s">
        <v>104</v>
      </c>
      <c r="G795" s="71" t="s">
        <v>20</v>
      </c>
      <c r="H795" s="71"/>
      <c r="I795" s="71"/>
      <c r="J795" s="71" t="s">
        <v>4254</v>
      </c>
      <c r="K795" s="71" t="s">
        <v>4255</v>
      </c>
      <c r="L795" s="71" t="s">
        <v>314</v>
      </c>
      <c r="M795" s="71" t="s">
        <v>3817</v>
      </c>
      <c r="O795" s="72">
        <v>37957</v>
      </c>
      <c r="P795" s="71"/>
      <c r="Q795" s="71" t="b">
        <v>0</v>
      </c>
      <c r="R795" s="22">
        <f t="shared" si="12"/>
        <v>2493</v>
      </c>
    </row>
    <row r="796" spans="1:18">
      <c r="A796" s="71">
        <v>3791</v>
      </c>
      <c r="B796" s="72">
        <v>35465</v>
      </c>
      <c r="C796" s="71" t="s">
        <v>4256</v>
      </c>
      <c r="D796" s="72">
        <v>35460</v>
      </c>
      <c r="E796" s="71" t="s">
        <v>4257</v>
      </c>
      <c r="F796" s="71" t="s">
        <v>149</v>
      </c>
      <c r="G796" s="71" t="s">
        <v>20</v>
      </c>
      <c r="H796" s="71"/>
      <c r="I796" s="71"/>
      <c r="J796" s="71" t="s">
        <v>4258</v>
      </c>
      <c r="K796" s="71"/>
      <c r="L796" s="71" t="s">
        <v>67</v>
      </c>
      <c r="M796" s="71"/>
      <c r="O796" s="72">
        <v>35976</v>
      </c>
      <c r="P796" s="71">
        <v>-1</v>
      </c>
      <c r="Q796" s="71" t="b">
        <v>0</v>
      </c>
      <c r="R796" s="22">
        <f t="shared" si="12"/>
        <v>513</v>
      </c>
    </row>
    <row r="797" spans="1:18">
      <c r="A797" s="71">
        <v>3792</v>
      </c>
      <c r="B797" s="72">
        <v>35464</v>
      </c>
      <c r="C797" s="71" t="s">
        <v>4259</v>
      </c>
      <c r="D797" s="72">
        <v>35465</v>
      </c>
      <c r="E797" s="71" t="s">
        <v>4260</v>
      </c>
      <c r="F797" s="71" t="s">
        <v>85</v>
      </c>
      <c r="G797" s="71" t="s">
        <v>20</v>
      </c>
      <c r="H797" s="71"/>
      <c r="I797" s="71"/>
      <c r="J797" s="71" t="s">
        <v>4261</v>
      </c>
      <c r="K797" s="71" t="s">
        <v>4262</v>
      </c>
      <c r="L797" s="71" t="s">
        <v>88</v>
      </c>
      <c r="M797" s="71"/>
      <c r="O797" s="72">
        <v>35774</v>
      </c>
      <c r="P797" s="71">
        <v>-1</v>
      </c>
      <c r="Q797" s="71" t="b">
        <v>0</v>
      </c>
      <c r="R797" s="22">
        <f t="shared" si="12"/>
        <v>311</v>
      </c>
    </row>
    <row r="798" spans="1:18">
      <c r="A798" s="71">
        <v>3794</v>
      </c>
      <c r="B798" s="72">
        <v>35465</v>
      </c>
      <c r="C798" s="71" t="s">
        <v>4263</v>
      </c>
      <c r="D798" s="72">
        <v>35457</v>
      </c>
      <c r="E798" s="71" t="s">
        <v>4264</v>
      </c>
      <c r="F798" s="71" t="s">
        <v>70</v>
      </c>
      <c r="G798" s="71" t="s">
        <v>20</v>
      </c>
      <c r="H798" s="71" t="s">
        <v>71</v>
      </c>
      <c r="I798" s="71" t="s">
        <v>72</v>
      </c>
      <c r="J798" s="71" t="s">
        <v>4265</v>
      </c>
      <c r="K798" s="71" t="s">
        <v>4266</v>
      </c>
      <c r="L798" s="71" t="s">
        <v>88</v>
      </c>
      <c r="M798" s="71"/>
      <c r="O798" s="72">
        <v>35670</v>
      </c>
      <c r="P798" s="71"/>
      <c r="Q798" s="71" t="b">
        <v>0</v>
      </c>
      <c r="R798" s="22">
        <f t="shared" si="12"/>
        <v>206</v>
      </c>
    </row>
    <row r="799" spans="1:18">
      <c r="A799" s="71">
        <v>3795</v>
      </c>
      <c r="B799" s="72">
        <v>35465</v>
      </c>
      <c r="C799" s="71" t="s">
        <v>4267</v>
      </c>
      <c r="D799" s="72">
        <v>35388</v>
      </c>
      <c r="E799" s="71" t="s">
        <v>4268</v>
      </c>
      <c r="F799" s="71" t="s">
        <v>124</v>
      </c>
      <c r="G799" s="71" t="s">
        <v>20</v>
      </c>
      <c r="H799" s="71"/>
      <c r="I799" s="71"/>
      <c r="J799" s="71" t="s">
        <v>4269</v>
      </c>
      <c r="K799" s="71"/>
      <c r="L799" s="71" t="s">
        <v>821</v>
      </c>
      <c r="M799" s="71" t="s">
        <v>88</v>
      </c>
      <c r="O799" s="72">
        <v>36355</v>
      </c>
      <c r="P799" s="71"/>
      <c r="Q799" s="71" t="b">
        <v>0</v>
      </c>
      <c r="R799" s="22">
        <f t="shared" si="12"/>
        <v>892</v>
      </c>
    </row>
    <row r="800" spans="1:18">
      <c r="A800" s="71">
        <v>3798</v>
      </c>
      <c r="B800" s="72">
        <v>35466</v>
      </c>
      <c r="C800" s="71" t="s">
        <v>4270</v>
      </c>
      <c r="D800" s="72">
        <v>35465</v>
      </c>
      <c r="E800" s="71" t="s">
        <v>4271</v>
      </c>
      <c r="F800" s="71" t="s">
        <v>124</v>
      </c>
      <c r="G800" s="71" t="s">
        <v>20</v>
      </c>
      <c r="H800" s="71"/>
      <c r="I800" s="71"/>
      <c r="J800" s="71" t="s">
        <v>4272</v>
      </c>
      <c r="K800" s="71" t="s">
        <v>572</v>
      </c>
      <c r="L800" s="71" t="s">
        <v>88</v>
      </c>
      <c r="M800" s="71"/>
      <c r="O800" s="72">
        <v>35697</v>
      </c>
      <c r="P800" s="71">
        <v>-1</v>
      </c>
      <c r="Q800" s="71" t="b">
        <v>0</v>
      </c>
      <c r="R800" s="22">
        <f t="shared" si="12"/>
        <v>232</v>
      </c>
    </row>
    <row r="801" spans="1:18">
      <c r="A801" s="71">
        <v>3807</v>
      </c>
      <c r="B801" s="72">
        <v>35468</v>
      </c>
      <c r="C801" s="71" t="s">
        <v>4273</v>
      </c>
      <c r="D801" s="72">
        <v>35452</v>
      </c>
      <c r="E801" s="71" t="s">
        <v>4274</v>
      </c>
      <c r="F801" s="71" t="s">
        <v>149</v>
      </c>
      <c r="G801" s="71" t="s">
        <v>20</v>
      </c>
      <c r="H801" s="71"/>
      <c r="I801" s="71"/>
      <c r="J801" s="71" t="s">
        <v>4275</v>
      </c>
      <c r="K801" s="71" t="s">
        <v>4276</v>
      </c>
      <c r="L801" s="71" t="s">
        <v>88</v>
      </c>
      <c r="M801" s="71"/>
      <c r="O801" s="72">
        <v>35601</v>
      </c>
      <c r="P801" s="71"/>
      <c r="Q801" s="71" t="b">
        <v>0</v>
      </c>
      <c r="R801" s="22">
        <f t="shared" si="12"/>
        <v>134</v>
      </c>
    </row>
    <row r="802" spans="1:18">
      <c r="A802" s="71">
        <v>3811</v>
      </c>
      <c r="B802" s="72">
        <v>35471</v>
      </c>
      <c r="C802" s="71" t="s">
        <v>4277</v>
      </c>
      <c r="D802" s="72">
        <v>35471</v>
      </c>
      <c r="E802" s="71" t="s">
        <v>4278</v>
      </c>
      <c r="F802" s="71" t="s">
        <v>4279</v>
      </c>
      <c r="G802" s="71" t="s">
        <v>20</v>
      </c>
      <c r="H802" s="71" t="s">
        <v>189</v>
      </c>
      <c r="I802" s="71" t="s">
        <v>189</v>
      </c>
      <c r="J802" s="71" t="s">
        <v>4280</v>
      </c>
      <c r="K802" s="71" t="s">
        <v>19867</v>
      </c>
      <c r="L802" s="71" t="s">
        <v>4282</v>
      </c>
      <c r="M802" s="71" t="s">
        <v>4283</v>
      </c>
      <c r="O802" s="72">
        <v>36179</v>
      </c>
      <c r="P802" s="71">
        <v>-1</v>
      </c>
      <c r="Q802" s="71" t="b">
        <v>0</v>
      </c>
      <c r="R802" s="22">
        <f t="shared" si="12"/>
        <v>708</v>
      </c>
    </row>
    <row r="803" spans="1:18">
      <c r="A803" s="71">
        <v>3812</v>
      </c>
      <c r="B803" s="72">
        <v>35472</v>
      </c>
      <c r="C803" s="71" t="s">
        <v>4284</v>
      </c>
      <c r="D803" s="72">
        <v>35467</v>
      </c>
      <c r="E803" s="71" t="s">
        <v>4285</v>
      </c>
      <c r="F803" s="71" t="s">
        <v>1771</v>
      </c>
      <c r="G803" s="71" t="s">
        <v>20</v>
      </c>
      <c r="H803" s="71" t="s">
        <v>189</v>
      </c>
      <c r="I803" s="71" t="s">
        <v>189</v>
      </c>
      <c r="J803" s="71" t="s">
        <v>4286</v>
      </c>
      <c r="K803" s="71" t="s">
        <v>4287</v>
      </c>
      <c r="L803" s="71" t="s">
        <v>66</v>
      </c>
      <c r="M803" s="71"/>
      <c r="O803" s="72">
        <v>35717</v>
      </c>
      <c r="P803" s="71"/>
      <c r="Q803" s="71" t="b">
        <v>0</v>
      </c>
      <c r="R803" s="22">
        <f t="shared" si="12"/>
        <v>246</v>
      </c>
    </row>
    <row r="804" spans="1:18">
      <c r="A804" s="71">
        <v>3816</v>
      </c>
      <c r="B804" s="72">
        <v>35474</v>
      </c>
      <c r="C804" s="71" t="s">
        <v>4288</v>
      </c>
      <c r="D804" s="72">
        <v>35474</v>
      </c>
      <c r="E804" s="71" t="s">
        <v>4289</v>
      </c>
      <c r="F804" s="71" t="s">
        <v>145</v>
      </c>
      <c r="G804" s="71" t="s">
        <v>20</v>
      </c>
      <c r="H804" s="71"/>
      <c r="I804" s="71"/>
      <c r="J804" s="71" t="s">
        <v>4290</v>
      </c>
      <c r="K804" s="71" t="s">
        <v>4291</v>
      </c>
      <c r="L804" s="71" t="s">
        <v>314</v>
      </c>
      <c r="M804" s="71" t="s">
        <v>4292</v>
      </c>
      <c r="N804" s="71"/>
      <c r="O804" s="72">
        <v>37917</v>
      </c>
      <c r="P804" s="71">
        <v>-1</v>
      </c>
      <c r="Q804" s="71" t="b">
        <v>0</v>
      </c>
      <c r="R804" s="22">
        <f t="shared" si="12"/>
        <v>2443</v>
      </c>
    </row>
    <row r="805" spans="1:18">
      <c r="A805" s="71">
        <v>3817</v>
      </c>
      <c r="B805" s="72">
        <v>35475</v>
      </c>
      <c r="C805" s="71" t="s">
        <v>4293</v>
      </c>
      <c r="D805" s="72">
        <v>35474</v>
      </c>
      <c r="E805" s="71" t="s">
        <v>4294</v>
      </c>
      <c r="F805" s="71" t="s">
        <v>1771</v>
      </c>
      <c r="G805" s="71" t="s">
        <v>20</v>
      </c>
      <c r="H805" s="71" t="s">
        <v>189</v>
      </c>
      <c r="I805" s="71" t="s">
        <v>189</v>
      </c>
      <c r="J805" s="71" t="s">
        <v>4295</v>
      </c>
      <c r="K805" s="71" t="s">
        <v>4296</v>
      </c>
      <c r="L805" s="71" t="s">
        <v>2205</v>
      </c>
      <c r="M805" s="71" t="s">
        <v>4297</v>
      </c>
      <c r="N805" s="71"/>
      <c r="O805" s="72">
        <v>38412</v>
      </c>
      <c r="P805" s="71"/>
      <c r="Q805" s="71" t="b">
        <v>0</v>
      </c>
      <c r="R805" s="22">
        <f t="shared" si="12"/>
        <v>2937</v>
      </c>
    </row>
    <row r="806" spans="1:18">
      <c r="A806" s="71">
        <v>3818</v>
      </c>
      <c r="B806" s="72">
        <v>35479</v>
      </c>
      <c r="C806" s="71" t="s">
        <v>4298</v>
      </c>
      <c r="D806" s="72">
        <v>35443</v>
      </c>
      <c r="E806" s="71" t="s">
        <v>4299</v>
      </c>
      <c r="F806" s="71" t="s">
        <v>3519</v>
      </c>
      <c r="G806" s="71" t="s">
        <v>20</v>
      </c>
      <c r="H806" s="71" t="s">
        <v>566</v>
      </c>
      <c r="I806" s="71" t="s">
        <v>566</v>
      </c>
      <c r="J806" s="71" t="s">
        <v>4300</v>
      </c>
      <c r="K806" s="71" t="s">
        <v>4301</v>
      </c>
      <c r="L806" s="71" t="s">
        <v>66</v>
      </c>
      <c r="M806" s="71" t="s">
        <v>1297</v>
      </c>
      <c r="O806" s="72">
        <v>37732</v>
      </c>
      <c r="P806" s="71"/>
      <c r="Q806" s="71" t="b">
        <v>0</v>
      </c>
      <c r="R806" s="22">
        <f t="shared" si="12"/>
        <v>2253</v>
      </c>
    </row>
    <row r="807" spans="1:18">
      <c r="A807" s="71">
        <v>3819</v>
      </c>
      <c r="B807" s="72">
        <v>35487</v>
      </c>
      <c r="C807" s="71" t="s">
        <v>4302</v>
      </c>
      <c r="D807" s="72">
        <v>35468</v>
      </c>
      <c r="E807" s="71" t="s">
        <v>4303</v>
      </c>
      <c r="F807" s="71" t="s">
        <v>359</v>
      </c>
      <c r="G807" s="71" t="s">
        <v>20</v>
      </c>
      <c r="H807" s="71"/>
      <c r="I807" s="71"/>
      <c r="J807" s="71" t="s">
        <v>4304</v>
      </c>
      <c r="K807" s="71" t="s">
        <v>4305</v>
      </c>
      <c r="L807" s="71" t="s">
        <v>66</v>
      </c>
      <c r="M807" s="71"/>
      <c r="O807" s="72">
        <v>35639</v>
      </c>
      <c r="P807" s="71">
        <v>-1</v>
      </c>
      <c r="Q807" s="71" t="b">
        <v>0</v>
      </c>
      <c r="R807" s="22">
        <f t="shared" si="12"/>
        <v>154</v>
      </c>
    </row>
    <row r="808" spans="1:18">
      <c r="A808" s="71">
        <v>3820</v>
      </c>
      <c r="B808" s="72">
        <v>35487</v>
      </c>
      <c r="C808" s="71" t="s">
        <v>4306</v>
      </c>
      <c r="D808" s="72">
        <v>35486</v>
      </c>
      <c r="E808" s="71" t="s">
        <v>4307</v>
      </c>
      <c r="F808" s="71" t="s">
        <v>149</v>
      </c>
      <c r="G808" s="71" t="s">
        <v>20</v>
      </c>
      <c r="H808" s="71"/>
      <c r="I808" s="71"/>
      <c r="J808" s="71" t="s">
        <v>2547</v>
      </c>
      <c r="K808" s="71" t="s">
        <v>4308</v>
      </c>
      <c r="L808" s="71" t="s">
        <v>88</v>
      </c>
      <c r="M808" s="71"/>
      <c r="O808" s="72">
        <v>35946</v>
      </c>
      <c r="P808" s="71">
        <v>-1</v>
      </c>
      <c r="Q808" s="71" t="b">
        <v>0</v>
      </c>
      <c r="R808" s="22">
        <f t="shared" si="12"/>
        <v>461</v>
      </c>
    </row>
    <row r="809" spans="1:18">
      <c r="A809" s="71">
        <v>3821</v>
      </c>
      <c r="B809" s="72">
        <v>35487</v>
      </c>
      <c r="C809" s="71" t="s">
        <v>4309</v>
      </c>
      <c r="D809" s="72">
        <v>35486</v>
      </c>
      <c r="E809" s="71" t="s">
        <v>4310</v>
      </c>
      <c r="F809" s="71" t="s">
        <v>2296</v>
      </c>
      <c r="G809" s="71" t="s">
        <v>20</v>
      </c>
      <c r="H809" s="71" t="s">
        <v>566</v>
      </c>
      <c r="I809" s="71" t="s">
        <v>566</v>
      </c>
      <c r="J809" s="71" t="s">
        <v>4311</v>
      </c>
      <c r="K809" s="71" t="s">
        <v>4312</v>
      </c>
      <c r="L809" s="71" t="s">
        <v>66</v>
      </c>
      <c r="M809" s="71"/>
      <c r="O809" s="72">
        <v>35682</v>
      </c>
      <c r="P809" s="71">
        <v>-1</v>
      </c>
      <c r="Q809" s="71" t="b">
        <v>0</v>
      </c>
      <c r="R809" s="22">
        <f t="shared" si="12"/>
        <v>195</v>
      </c>
    </row>
    <row r="810" spans="1:18">
      <c r="A810" s="71">
        <v>3822</v>
      </c>
      <c r="B810" s="72">
        <v>35489</v>
      </c>
      <c r="C810" s="71" t="s">
        <v>4313</v>
      </c>
      <c r="D810" s="72">
        <v>35494</v>
      </c>
      <c r="E810" s="71" t="s">
        <v>4314</v>
      </c>
      <c r="F810" s="71" t="s">
        <v>39</v>
      </c>
      <c r="G810" s="71" t="s">
        <v>20</v>
      </c>
      <c r="H810" s="71"/>
      <c r="I810" s="71"/>
      <c r="J810" s="71" t="s">
        <v>4315</v>
      </c>
      <c r="K810" s="71" t="s">
        <v>4316</v>
      </c>
      <c r="L810" s="71" t="s">
        <v>30</v>
      </c>
      <c r="M810" s="71"/>
      <c r="O810" s="72">
        <v>35542</v>
      </c>
      <c r="P810" s="71"/>
      <c r="Q810" s="71" t="b">
        <v>0</v>
      </c>
      <c r="R810" s="22">
        <f t="shared" si="12"/>
        <v>52</v>
      </c>
    </row>
    <row r="811" spans="1:18">
      <c r="A811" s="71">
        <v>3824</v>
      </c>
      <c r="B811" s="72">
        <v>35489</v>
      </c>
      <c r="C811" s="71" t="s">
        <v>4320</v>
      </c>
      <c r="D811" s="72">
        <v>35489</v>
      </c>
      <c r="E811" s="71" t="s">
        <v>4321</v>
      </c>
      <c r="F811" s="71" t="s">
        <v>124</v>
      </c>
      <c r="G811" s="71" t="s">
        <v>20</v>
      </c>
      <c r="H811" s="71"/>
      <c r="I811" s="71"/>
      <c r="J811" s="71" t="s">
        <v>572</v>
      </c>
      <c r="K811" s="71" t="s">
        <v>4322</v>
      </c>
      <c r="L811" s="71" t="s">
        <v>88</v>
      </c>
      <c r="M811" s="71"/>
      <c r="O811" s="72">
        <v>35496</v>
      </c>
      <c r="P811" s="71">
        <v>-1</v>
      </c>
      <c r="Q811" s="71" t="b">
        <v>0</v>
      </c>
      <c r="R811" s="22">
        <f t="shared" si="12"/>
        <v>7</v>
      </c>
    </row>
    <row r="812" spans="1:18">
      <c r="A812" s="71">
        <v>3825</v>
      </c>
      <c r="B812" s="72">
        <v>35496</v>
      </c>
      <c r="C812" s="71" t="s">
        <v>4323</v>
      </c>
      <c r="D812" s="72">
        <v>35496</v>
      </c>
      <c r="E812" s="71" t="s">
        <v>4324</v>
      </c>
      <c r="F812" s="71" t="s">
        <v>242</v>
      </c>
      <c r="G812" s="71" t="s">
        <v>20</v>
      </c>
      <c r="H812" s="71"/>
      <c r="I812" s="71"/>
      <c r="J812" s="71" t="s">
        <v>4325</v>
      </c>
      <c r="K812" s="71"/>
      <c r="L812" s="71" t="s">
        <v>66</v>
      </c>
      <c r="M812" s="71"/>
      <c r="O812" s="72">
        <v>35522</v>
      </c>
      <c r="P812" s="71">
        <v>-1</v>
      </c>
      <c r="Q812" s="71" t="b">
        <v>0</v>
      </c>
      <c r="R812" s="22">
        <f t="shared" si="12"/>
        <v>25</v>
      </c>
    </row>
    <row r="813" spans="1:18">
      <c r="A813" s="71">
        <v>3826</v>
      </c>
      <c r="B813" s="72">
        <v>35499</v>
      </c>
      <c r="C813" s="71" t="s">
        <v>4326</v>
      </c>
      <c r="D813" s="72">
        <v>35725</v>
      </c>
      <c r="E813" s="71" t="s">
        <v>4327</v>
      </c>
      <c r="F813" s="71" t="s">
        <v>98</v>
      </c>
      <c r="G813" s="71" t="s">
        <v>20</v>
      </c>
      <c r="H813" s="71"/>
      <c r="I813" s="71"/>
      <c r="J813" s="71" t="s">
        <v>4328</v>
      </c>
      <c r="K813" s="71" t="s">
        <v>4329</v>
      </c>
      <c r="L813" s="71" t="s">
        <v>66</v>
      </c>
      <c r="M813" s="71" t="s">
        <v>67</v>
      </c>
      <c r="O813" s="72">
        <v>36482</v>
      </c>
      <c r="P813" s="71"/>
      <c r="Q813" s="71" t="b">
        <v>0</v>
      </c>
      <c r="R813" s="22">
        <f t="shared" si="12"/>
        <v>981</v>
      </c>
    </row>
    <row r="814" spans="1:18">
      <c r="A814" s="71">
        <v>3827</v>
      </c>
      <c r="B814" s="72">
        <v>35499</v>
      </c>
      <c r="C814" s="71" t="s">
        <v>4330</v>
      </c>
      <c r="D814" s="72">
        <v>35362</v>
      </c>
      <c r="E814" s="71" t="s">
        <v>4331</v>
      </c>
      <c r="F814" s="71" t="s">
        <v>216</v>
      </c>
      <c r="G814" s="71" t="s">
        <v>20</v>
      </c>
      <c r="H814" s="71"/>
      <c r="I814" s="71"/>
      <c r="J814" s="71" t="s">
        <v>4332</v>
      </c>
      <c r="K814" s="71" t="s">
        <v>4333</v>
      </c>
      <c r="L814" s="71" t="s">
        <v>686</v>
      </c>
      <c r="M814" s="71" t="s">
        <v>67</v>
      </c>
      <c r="O814" s="72">
        <v>36318</v>
      </c>
      <c r="P814" s="71">
        <v>-1</v>
      </c>
      <c r="Q814" s="71" t="b">
        <v>0</v>
      </c>
      <c r="R814" s="22">
        <f t="shared" si="12"/>
        <v>818</v>
      </c>
    </row>
    <row r="815" spans="1:18">
      <c r="A815" s="71">
        <v>3828</v>
      </c>
      <c r="B815" s="72">
        <v>35501</v>
      </c>
      <c r="C815" s="71" t="s">
        <v>4334</v>
      </c>
      <c r="D815" s="72">
        <v>35500</v>
      </c>
      <c r="E815" s="71" t="s">
        <v>4335</v>
      </c>
      <c r="F815" s="71" t="s">
        <v>124</v>
      </c>
      <c r="G815" s="71" t="s">
        <v>20</v>
      </c>
      <c r="H815" s="71"/>
      <c r="I815" s="71"/>
      <c r="J815" s="71" t="s">
        <v>4336</v>
      </c>
      <c r="K815" s="71" t="s">
        <v>4337</v>
      </c>
      <c r="L815" s="71" t="s">
        <v>314</v>
      </c>
      <c r="M815" s="71" t="s">
        <v>1800</v>
      </c>
      <c r="O815" s="72">
        <v>37914</v>
      </c>
      <c r="P815" s="71">
        <v>-1</v>
      </c>
      <c r="Q815" s="71" t="b">
        <v>0</v>
      </c>
      <c r="R815" s="22">
        <f t="shared" si="12"/>
        <v>2411</v>
      </c>
    </row>
    <row r="816" spans="1:18">
      <c r="A816" s="71">
        <v>3829</v>
      </c>
      <c r="B816" s="72">
        <v>35506</v>
      </c>
      <c r="C816" s="71" t="s">
        <v>4338</v>
      </c>
      <c r="D816" s="72">
        <v>35506</v>
      </c>
      <c r="E816" s="71" t="s">
        <v>4339</v>
      </c>
      <c r="F816" s="71" t="s">
        <v>56</v>
      </c>
      <c r="G816" s="71" t="s">
        <v>20</v>
      </c>
      <c r="H816" s="71"/>
      <c r="I816" s="71"/>
      <c r="J816" s="71" t="s">
        <v>4340</v>
      </c>
      <c r="K816" s="71" t="s">
        <v>4341</v>
      </c>
      <c r="L816" s="71" t="s">
        <v>3930</v>
      </c>
      <c r="M816" s="71"/>
      <c r="O816" s="72">
        <v>35544</v>
      </c>
      <c r="P816" s="71"/>
      <c r="Q816" s="71" t="b">
        <v>0</v>
      </c>
      <c r="R816" s="22">
        <f t="shared" si="12"/>
        <v>37</v>
      </c>
    </row>
    <row r="817" spans="1:18">
      <c r="A817" s="71">
        <v>3830</v>
      </c>
      <c r="B817" s="72">
        <v>35509</v>
      </c>
      <c r="C817" s="71" t="s">
        <v>4342</v>
      </c>
      <c r="D817" s="72">
        <v>35500</v>
      </c>
      <c r="E817" s="71" t="s">
        <v>4343</v>
      </c>
      <c r="F817" s="71" t="s">
        <v>4344</v>
      </c>
      <c r="G817" s="71" t="s">
        <v>20</v>
      </c>
      <c r="H817" s="71" t="s">
        <v>212</v>
      </c>
      <c r="I817" s="71" t="s">
        <v>212</v>
      </c>
      <c r="J817" s="71" t="s">
        <v>4345</v>
      </c>
      <c r="K817" s="71" t="s">
        <v>4346</v>
      </c>
      <c r="L817" s="71" t="s">
        <v>67</v>
      </c>
      <c r="M817" s="71"/>
      <c r="O817" s="72">
        <v>35865</v>
      </c>
      <c r="P817" s="71"/>
      <c r="Q817" s="71" t="b">
        <v>0</v>
      </c>
      <c r="R817" s="22">
        <f t="shared" si="12"/>
        <v>355</v>
      </c>
    </row>
    <row r="818" spans="1:18">
      <c r="A818" s="71">
        <v>3833</v>
      </c>
      <c r="B818" s="72">
        <v>35520</v>
      </c>
      <c r="C818" s="71" t="s">
        <v>4349</v>
      </c>
      <c r="D818" s="72">
        <v>35516</v>
      </c>
      <c r="E818" s="71" t="s">
        <v>4350</v>
      </c>
      <c r="F818" s="71" t="s">
        <v>129</v>
      </c>
      <c r="G818" s="71" t="s">
        <v>20</v>
      </c>
      <c r="H818" s="71"/>
      <c r="I818" s="71"/>
      <c r="J818" s="71" t="s">
        <v>4351</v>
      </c>
      <c r="K818" s="71" t="s">
        <v>4352</v>
      </c>
      <c r="L818" s="71" t="s">
        <v>30</v>
      </c>
      <c r="M818" s="71"/>
      <c r="O818" s="72">
        <v>36461</v>
      </c>
      <c r="P818" s="71"/>
      <c r="Q818" s="71" t="b">
        <v>0</v>
      </c>
      <c r="R818" s="22">
        <f t="shared" si="12"/>
        <v>940</v>
      </c>
    </row>
    <row r="819" spans="1:18">
      <c r="A819" s="71">
        <v>3834</v>
      </c>
      <c r="B819" s="72">
        <v>35523</v>
      </c>
      <c r="C819" s="71" t="s">
        <v>4353</v>
      </c>
      <c r="D819" s="72">
        <v>35501</v>
      </c>
      <c r="E819" s="71" t="s">
        <v>4354</v>
      </c>
      <c r="F819" s="71" t="s">
        <v>124</v>
      </c>
      <c r="G819" s="71" t="s">
        <v>20</v>
      </c>
      <c r="H819" s="71"/>
      <c r="I819" s="71"/>
      <c r="J819" s="71" t="s">
        <v>4355</v>
      </c>
      <c r="K819" s="71"/>
      <c r="L819" s="71" t="s">
        <v>88</v>
      </c>
      <c r="M819" s="71"/>
      <c r="O819" s="72">
        <v>35970</v>
      </c>
      <c r="P819" s="71">
        <v>-1</v>
      </c>
      <c r="Q819" s="71" t="b">
        <v>0</v>
      </c>
      <c r="R819" s="22">
        <f t="shared" si="12"/>
        <v>447</v>
      </c>
    </row>
    <row r="820" spans="1:18">
      <c r="A820" s="71">
        <v>3835</v>
      </c>
      <c r="B820" s="72">
        <v>35523</v>
      </c>
      <c r="C820" s="71" t="s">
        <v>4356</v>
      </c>
      <c r="D820" s="72">
        <v>35501</v>
      </c>
      <c r="E820" s="71" t="s">
        <v>4357</v>
      </c>
      <c r="F820" s="71" t="s">
        <v>129</v>
      </c>
      <c r="G820" s="71" t="s">
        <v>20</v>
      </c>
      <c r="H820" s="71"/>
      <c r="I820" s="71"/>
      <c r="J820" s="71" t="s">
        <v>4358</v>
      </c>
      <c r="K820" s="71" t="s">
        <v>272</v>
      </c>
      <c r="L820" s="71" t="s">
        <v>4282</v>
      </c>
      <c r="M820" s="71" t="s">
        <v>3569</v>
      </c>
      <c r="O820" s="72">
        <v>38405</v>
      </c>
      <c r="P820" s="71">
        <v>-1</v>
      </c>
      <c r="Q820" s="71" t="b">
        <v>0</v>
      </c>
      <c r="R820" s="22">
        <f t="shared" si="12"/>
        <v>2878</v>
      </c>
    </row>
    <row r="821" spans="1:18">
      <c r="A821" s="71">
        <v>3837</v>
      </c>
      <c r="B821" s="72">
        <v>35524</v>
      </c>
      <c r="C821" s="71" t="s">
        <v>4361</v>
      </c>
      <c r="D821" s="72">
        <v>35522</v>
      </c>
      <c r="E821" s="71" t="s">
        <v>4362</v>
      </c>
      <c r="F821" s="71" t="s">
        <v>124</v>
      </c>
      <c r="G821" s="71" t="s">
        <v>20</v>
      </c>
      <c r="H821" s="71"/>
      <c r="I821" s="71"/>
      <c r="J821" s="71" t="s">
        <v>4363</v>
      </c>
      <c r="K821" s="71"/>
      <c r="L821" s="71" t="s">
        <v>66</v>
      </c>
      <c r="M821" s="71"/>
      <c r="O821" s="72">
        <v>35810</v>
      </c>
      <c r="P821" s="71">
        <v>-1</v>
      </c>
      <c r="Q821" s="71" t="b">
        <v>0</v>
      </c>
      <c r="R821" s="22">
        <f t="shared" si="12"/>
        <v>284</v>
      </c>
    </row>
    <row r="822" spans="1:18">
      <c r="A822" s="71">
        <v>3839</v>
      </c>
      <c r="B822" s="72">
        <v>35528</v>
      </c>
      <c r="C822" s="71" t="s">
        <v>4366</v>
      </c>
      <c r="D822" s="72">
        <v>35528</v>
      </c>
      <c r="E822" s="71" t="s">
        <v>4367</v>
      </c>
      <c r="F822" s="71" t="s">
        <v>1662</v>
      </c>
      <c r="G822" s="71" t="s">
        <v>20</v>
      </c>
      <c r="H822" s="71"/>
      <c r="I822" s="71"/>
      <c r="J822" s="71" t="s">
        <v>4368</v>
      </c>
      <c r="K822" s="71" t="s">
        <v>4369</v>
      </c>
      <c r="L822" s="71" t="s">
        <v>66</v>
      </c>
      <c r="M822" s="71"/>
      <c r="N822" s="72">
        <v>35537</v>
      </c>
      <c r="O822" s="72">
        <v>35537</v>
      </c>
      <c r="P822" s="71"/>
      <c r="Q822" s="71" t="b">
        <v>0</v>
      </c>
      <c r="R822" s="22">
        <f t="shared" si="12"/>
        <v>9</v>
      </c>
    </row>
    <row r="823" spans="1:18">
      <c r="A823" s="71">
        <v>3840</v>
      </c>
      <c r="B823" s="72">
        <v>35529</v>
      </c>
      <c r="C823" s="71" t="s">
        <v>4370</v>
      </c>
      <c r="D823" s="72">
        <v>35528</v>
      </c>
      <c r="E823" s="71" t="s">
        <v>4371</v>
      </c>
      <c r="F823" s="71" t="s">
        <v>70</v>
      </c>
      <c r="G823" s="71" t="s">
        <v>20</v>
      </c>
      <c r="H823" s="71" t="s">
        <v>71</v>
      </c>
      <c r="I823" s="71" t="s">
        <v>72</v>
      </c>
      <c r="J823" s="71" t="s">
        <v>4372</v>
      </c>
      <c r="K823" s="71" t="s">
        <v>4373</v>
      </c>
      <c r="L823" s="71" t="s">
        <v>686</v>
      </c>
      <c r="M823" s="71"/>
      <c r="O823" s="72">
        <v>36332</v>
      </c>
      <c r="P823" s="71"/>
      <c r="Q823" s="71" t="b">
        <v>0</v>
      </c>
      <c r="R823" s="22">
        <f t="shared" si="12"/>
        <v>803</v>
      </c>
    </row>
    <row r="824" spans="1:18">
      <c r="A824" s="71">
        <v>3841</v>
      </c>
      <c r="B824" s="72">
        <v>35530</v>
      </c>
      <c r="C824" s="71" t="s">
        <v>4374</v>
      </c>
      <c r="D824" s="72">
        <v>35529</v>
      </c>
      <c r="E824" s="71" t="s">
        <v>4375</v>
      </c>
      <c r="F824" s="71" t="s">
        <v>27</v>
      </c>
      <c r="G824" s="71" t="s">
        <v>20</v>
      </c>
      <c r="H824" s="71"/>
      <c r="I824" s="71"/>
      <c r="J824" s="71" t="s">
        <v>4376</v>
      </c>
      <c r="K824" s="71"/>
      <c r="L824" s="71" t="s">
        <v>88</v>
      </c>
      <c r="M824" s="71"/>
      <c r="O824" s="72">
        <v>35737</v>
      </c>
      <c r="P824" s="71"/>
      <c r="Q824" s="71" t="b">
        <v>0</v>
      </c>
      <c r="R824" s="22">
        <f t="shared" si="12"/>
        <v>205</v>
      </c>
    </row>
    <row r="825" spans="1:18">
      <c r="A825" s="71">
        <v>3842</v>
      </c>
      <c r="B825" s="72">
        <v>35530</v>
      </c>
      <c r="C825" s="71" t="s">
        <v>4377</v>
      </c>
      <c r="D825" s="72">
        <v>35530</v>
      </c>
      <c r="E825" s="71" t="s">
        <v>4378</v>
      </c>
      <c r="F825" s="71" t="s">
        <v>371</v>
      </c>
      <c r="G825" s="71" t="s">
        <v>20</v>
      </c>
      <c r="H825" s="71"/>
      <c r="I825" s="71"/>
      <c r="J825" s="71" t="s">
        <v>4379</v>
      </c>
      <c r="K825" s="71"/>
      <c r="L825" s="71" t="s">
        <v>88</v>
      </c>
      <c r="M825" s="71"/>
      <c r="O825" s="72">
        <v>35669</v>
      </c>
      <c r="P825" s="71">
        <v>-1</v>
      </c>
      <c r="Q825" s="71" t="b">
        <v>0</v>
      </c>
      <c r="R825" s="22">
        <f t="shared" si="12"/>
        <v>138</v>
      </c>
    </row>
    <row r="826" spans="1:18">
      <c r="A826" s="71">
        <v>3843</v>
      </c>
      <c r="B826" s="72">
        <v>35534</v>
      </c>
      <c r="C826" s="71" t="s">
        <v>4380</v>
      </c>
      <c r="D826" s="72">
        <v>35534</v>
      </c>
      <c r="E826" s="71" t="s">
        <v>4381</v>
      </c>
      <c r="F826" s="71" t="s">
        <v>4382</v>
      </c>
      <c r="G826" s="71" t="s">
        <v>20</v>
      </c>
      <c r="H826" s="71" t="s">
        <v>212</v>
      </c>
      <c r="I826" s="71" t="s">
        <v>212</v>
      </c>
      <c r="J826" s="71" t="s">
        <v>4383</v>
      </c>
      <c r="K826" s="71" t="s">
        <v>4384</v>
      </c>
      <c r="L826" s="71" t="s">
        <v>66</v>
      </c>
      <c r="M826" s="71" t="s">
        <v>686</v>
      </c>
      <c r="O826" s="72">
        <v>37666</v>
      </c>
      <c r="P826" s="71"/>
      <c r="Q826" s="71" t="b">
        <v>0</v>
      </c>
      <c r="R826" s="22">
        <f t="shared" si="12"/>
        <v>2129</v>
      </c>
    </row>
    <row r="827" spans="1:18">
      <c r="A827" s="71">
        <v>3844</v>
      </c>
      <c r="B827" s="72">
        <v>35535</v>
      </c>
      <c r="C827" s="71" t="s">
        <v>4385</v>
      </c>
      <c r="D827" s="72">
        <v>35535</v>
      </c>
      <c r="E827" s="71" t="s">
        <v>4386</v>
      </c>
      <c r="F827" s="71" t="s">
        <v>124</v>
      </c>
      <c r="G827" s="71" t="s">
        <v>20</v>
      </c>
      <c r="H827" s="71"/>
      <c r="I827" s="71"/>
      <c r="J827" s="71" t="s">
        <v>4387</v>
      </c>
      <c r="K827" s="71"/>
      <c r="L827" s="71" t="s">
        <v>66</v>
      </c>
      <c r="M827" s="71"/>
      <c r="O827" s="72">
        <v>35740</v>
      </c>
      <c r="P827" s="71">
        <v>-1</v>
      </c>
      <c r="Q827" s="71" t="b">
        <v>0</v>
      </c>
      <c r="R827" s="22">
        <f t="shared" si="12"/>
        <v>203</v>
      </c>
    </row>
    <row r="828" spans="1:18">
      <c r="A828" s="71">
        <v>3845</v>
      </c>
      <c r="B828" s="72">
        <v>35537</v>
      </c>
      <c r="C828" s="71" t="s">
        <v>4388</v>
      </c>
      <c r="D828" s="72">
        <v>35536</v>
      </c>
      <c r="E828" s="71" t="s">
        <v>4389</v>
      </c>
      <c r="F828" s="71" t="s">
        <v>545</v>
      </c>
      <c r="G828" s="71" t="s">
        <v>20</v>
      </c>
      <c r="H828" s="71"/>
      <c r="I828" s="71"/>
      <c r="J828" s="71" t="s">
        <v>4390</v>
      </c>
      <c r="K828" s="71"/>
      <c r="L828" s="71" t="s">
        <v>88</v>
      </c>
      <c r="M828" s="71"/>
      <c r="O828" s="72">
        <v>36007</v>
      </c>
      <c r="P828" s="71"/>
      <c r="Q828" s="71" t="b">
        <v>0</v>
      </c>
      <c r="R828" s="22">
        <f t="shared" si="12"/>
        <v>470</v>
      </c>
    </row>
    <row r="829" spans="1:18">
      <c r="A829" s="71">
        <v>3846</v>
      </c>
      <c r="B829" s="72">
        <v>35537</v>
      </c>
      <c r="C829" s="71" t="s">
        <v>4391</v>
      </c>
      <c r="D829" s="72">
        <v>35537</v>
      </c>
      <c r="E829" s="71" t="s">
        <v>4392</v>
      </c>
      <c r="F829" s="71" t="s">
        <v>4233</v>
      </c>
      <c r="G829" s="71" t="s">
        <v>20</v>
      </c>
      <c r="H829" s="71"/>
      <c r="I829" s="71"/>
      <c r="J829" s="71" t="s">
        <v>4393</v>
      </c>
      <c r="K829" s="71" t="s">
        <v>4394</v>
      </c>
      <c r="L829" s="71" t="s">
        <v>66</v>
      </c>
      <c r="M829" s="71" t="s">
        <v>67</v>
      </c>
      <c r="O829" s="72">
        <v>38020</v>
      </c>
      <c r="P829" s="71">
        <v>-1</v>
      </c>
      <c r="Q829" s="71" t="b">
        <v>0</v>
      </c>
      <c r="R829" s="22">
        <f t="shared" si="12"/>
        <v>2479</v>
      </c>
    </row>
    <row r="830" spans="1:18">
      <c r="A830" s="71">
        <v>3848</v>
      </c>
      <c r="B830" s="72">
        <v>35541</v>
      </c>
      <c r="C830" s="71" t="s">
        <v>4397</v>
      </c>
      <c r="D830" s="72">
        <v>35538</v>
      </c>
      <c r="E830" s="71" t="s">
        <v>4398</v>
      </c>
      <c r="F830" s="71" t="s">
        <v>27</v>
      </c>
      <c r="G830" s="71" t="s">
        <v>20</v>
      </c>
      <c r="H830" s="71"/>
      <c r="I830" s="71"/>
      <c r="J830" s="71" t="s">
        <v>4399</v>
      </c>
      <c r="K830" s="71" t="s">
        <v>4400</v>
      </c>
      <c r="L830" s="71" t="s">
        <v>4282</v>
      </c>
      <c r="M830" s="71" t="s">
        <v>3527</v>
      </c>
      <c r="O830" s="72">
        <v>38330</v>
      </c>
      <c r="P830" s="71"/>
      <c r="Q830" s="71" t="b">
        <v>0</v>
      </c>
      <c r="R830" s="22">
        <f t="shared" si="12"/>
        <v>2786</v>
      </c>
    </row>
    <row r="831" spans="1:18">
      <c r="A831" s="71">
        <v>3852</v>
      </c>
      <c r="B831" s="72">
        <v>35555</v>
      </c>
      <c r="C831" s="71" t="s">
        <v>4404</v>
      </c>
      <c r="D831" s="72">
        <v>35552</v>
      </c>
      <c r="E831" s="71" t="s">
        <v>4405</v>
      </c>
      <c r="F831" s="71" t="s">
        <v>85</v>
      </c>
      <c r="G831" s="71" t="s">
        <v>20</v>
      </c>
      <c r="H831" s="71"/>
      <c r="I831" s="71"/>
      <c r="J831" s="71" t="s">
        <v>4406</v>
      </c>
      <c r="K831" s="71"/>
      <c r="L831" s="71" t="s">
        <v>4282</v>
      </c>
      <c r="M831" s="71" t="s">
        <v>4407</v>
      </c>
      <c r="O831" s="72">
        <v>38377</v>
      </c>
      <c r="P831" s="71">
        <v>-1</v>
      </c>
      <c r="Q831" s="71" t="b">
        <v>0</v>
      </c>
      <c r="R831" s="22">
        <f t="shared" si="12"/>
        <v>2818</v>
      </c>
    </row>
    <row r="832" spans="1:18">
      <c r="A832" s="71">
        <v>3853</v>
      </c>
      <c r="B832" s="72">
        <v>35552</v>
      </c>
      <c r="C832" s="71" t="s">
        <v>4408</v>
      </c>
      <c r="D832" s="72">
        <v>35552</v>
      </c>
      <c r="E832" s="71" t="s">
        <v>4409</v>
      </c>
      <c r="F832" s="71" t="s">
        <v>350</v>
      </c>
      <c r="G832" s="71" t="s">
        <v>20</v>
      </c>
      <c r="H832" s="71"/>
      <c r="I832" s="71"/>
      <c r="J832" s="71" t="s">
        <v>4410</v>
      </c>
      <c r="K832" s="71" t="s">
        <v>4411</v>
      </c>
      <c r="L832" s="71" t="s">
        <v>66</v>
      </c>
      <c r="M832" s="71"/>
      <c r="O832" s="72">
        <v>36487</v>
      </c>
      <c r="P832" s="71"/>
      <c r="Q832" s="71" t="b">
        <v>0</v>
      </c>
      <c r="R832" s="22">
        <f t="shared" si="12"/>
        <v>933</v>
      </c>
    </row>
    <row r="833" spans="1:18">
      <c r="A833" s="71">
        <v>3855</v>
      </c>
      <c r="B833" s="72">
        <v>35560</v>
      </c>
      <c r="C833" s="71" t="s">
        <v>4414</v>
      </c>
      <c r="D833" s="72">
        <v>35545</v>
      </c>
      <c r="E833" s="71" t="s">
        <v>4415</v>
      </c>
      <c r="F833" s="71" t="s">
        <v>327</v>
      </c>
      <c r="G833" s="71" t="s">
        <v>20</v>
      </c>
      <c r="H833" s="71"/>
      <c r="I833" s="71"/>
      <c r="J833" s="71" t="s">
        <v>4416</v>
      </c>
      <c r="K833" s="71"/>
      <c r="L833" s="71" t="s">
        <v>66</v>
      </c>
      <c r="M833" s="71"/>
      <c r="O833" s="72">
        <v>35821</v>
      </c>
      <c r="P833" s="71">
        <v>-1</v>
      </c>
      <c r="Q833" s="71" t="b">
        <v>0</v>
      </c>
      <c r="R833" s="22">
        <f t="shared" si="12"/>
        <v>259</v>
      </c>
    </row>
    <row r="834" spans="1:18">
      <c r="A834" s="71">
        <v>3856</v>
      </c>
      <c r="B834" s="72">
        <v>35560</v>
      </c>
      <c r="C834" s="71" t="s">
        <v>4417</v>
      </c>
      <c r="D834" s="72">
        <v>35544</v>
      </c>
      <c r="E834" s="71" t="s">
        <v>4418</v>
      </c>
      <c r="F834" s="71" t="s">
        <v>124</v>
      </c>
      <c r="G834" s="71" t="s">
        <v>20</v>
      </c>
      <c r="H834" s="71"/>
      <c r="I834" s="71"/>
      <c r="J834" s="71" t="s">
        <v>4419</v>
      </c>
      <c r="K834" s="71" t="s">
        <v>4420</v>
      </c>
      <c r="L834" s="71" t="s">
        <v>4282</v>
      </c>
      <c r="M834" s="71" t="s">
        <v>4421</v>
      </c>
      <c r="O834" s="72">
        <v>37496</v>
      </c>
      <c r="P834" s="71">
        <v>-1</v>
      </c>
      <c r="Q834" s="71" t="b">
        <v>0</v>
      </c>
      <c r="R834" s="22">
        <f t="shared" ref="R834:R897" si="13">IF(O834=" ", " ", INT(YEARFRAC(O834, B834)*365))</f>
        <v>1934</v>
      </c>
    </row>
    <row r="835" spans="1:18">
      <c r="A835" s="71">
        <v>3862</v>
      </c>
      <c r="B835" s="72">
        <v>35577</v>
      </c>
      <c r="C835" s="71" t="s">
        <v>4422</v>
      </c>
      <c r="D835" s="72">
        <v>35570</v>
      </c>
      <c r="E835" s="71" t="s">
        <v>4423</v>
      </c>
      <c r="F835" s="71" t="s">
        <v>85</v>
      </c>
      <c r="G835" s="71" t="s">
        <v>20</v>
      </c>
      <c r="H835" s="71"/>
      <c r="I835" s="71"/>
      <c r="J835" s="71" t="s">
        <v>4424</v>
      </c>
      <c r="K835" s="71" t="s">
        <v>272</v>
      </c>
      <c r="L835" s="71" t="s">
        <v>66</v>
      </c>
      <c r="M835" s="71"/>
      <c r="O835" s="72">
        <v>37657</v>
      </c>
      <c r="P835" s="71">
        <v>-1</v>
      </c>
      <c r="Q835" s="71" t="b">
        <v>0</v>
      </c>
      <c r="R835" s="22">
        <f t="shared" si="13"/>
        <v>2076</v>
      </c>
    </row>
    <row r="836" spans="1:18">
      <c r="A836" s="71">
        <v>3867</v>
      </c>
      <c r="B836" s="72">
        <v>35585</v>
      </c>
      <c r="C836" s="71" t="s">
        <v>4425</v>
      </c>
      <c r="D836" s="72">
        <v>35585</v>
      </c>
      <c r="E836" s="71" t="s">
        <v>4426</v>
      </c>
      <c r="F836" s="71" t="s">
        <v>124</v>
      </c>
      <c r="G836" s="71" t="s">
        <v>20</v>
      </c>
      <c r="H836" s="71"/>
      <c r="I836" s="71"/>
      <c r="J836" s="71" t="s">
        <v>4427</v>
      </c>
      <c r="K836" s="71" t="s">
        <v>4428</v>
      </c>
      <c r="L836" s="71" t="s">
        <v>66</v>
      </c>
      <c r="M836" s="71"/>
      <c r="O836" s="72">
        <v>35853</v>
      </c>
      <c r="P836" s="71">
        <v>-1</v>
      </c>
      <c r="Q836" s="71" t="b">
        <v>0</v>
      </c>
      <c r="R836" s="22">
        <f t="shared" si="13"/>
        <v>266</v>
      </c>
    </row>
    <row r="837" spans="1:18">
      <c r="A837" s="71">
        <v>3868</v>
      </c>
      <c r="B837" s="72">
        <v>35586</v>
      </c>
      <c r="C837" s="71" t="s">
        <v>4429</v>
      </c>
      <c r="D837" s="72">
        <v>35545</v>
      </c>
      <c r="E837" s="71" t="s">
        <v>4430</v>
      </c>
      <c r="F837" s="71" t="s">
        <v>52</v>
      </c>
      <c r="G837" s="71" t="s">
        <v>20</v>
      </c>
      <c r="H837" s="71"/>
      <c r="I837" s="71"/>
      <c r="J837" s="71" t="s">
        <v>4431</v>
      </c>
      <c r="K837" s="71" t="s">
        <v>4432</v>
      </c>
      <c r="L837" s="71" t="s">
        <v>821</v>
      </c>
      <c r="M837" s="71" t="s">
        <v>2222</v>
      </c>
      <c r="O837" s="72">
        <v>36349</v>
      </c>
      <c r="P837" s="71"/>
      <c r="Q837" s="71" t="b">
        <v>0</v>
      </c>
      <c r="R837" s="22">
        <f t="shared" si="13"/>
        <v>763</v>
      </c>
    </row>
    <row r="838" spans="1:18">
      <c r="A838" s="71">
        <v>3870</v>
      </c>
      <c r="B838" s="72">
        <v>35600</v>
      </c>
      <c r="C838" s="71" t="s">
        <v>4433</v>
      </c>
      <c r="D838" s="72">
        <v>35600</v>
      </c>
      <c r="E838" s="71" t="s">
        <v>4434</v>
      </c>
      <c r="F838" s="71" t="s">
        <v>70</v>
      </c>
      <c r="G838" s="71" t="s">
        <v>20</v>
      </c>
      <c r="H838" s="71" t="s">
        <v>71</v>
      </c>
      <c r="I838" s="71" t="s">
        <v>72</v>
      </c>
      <c r="J838" s="71" t="s">
        <v>4435</v>
      </c>
      <c r="K838" s="71"/>
      <c r="L838" s="71" t="s">
        <v>66</v>
      </c>
      <c r="M838" s="71"/>
      <c r="O838" s="72">
        <v>35993</v>
      </c>
      <c r="P838" s="71">
        <v>-1</v>
      </c>
      <c r="Q838" s="71" t="b">
        <v>0</v>
      </c>
      <c r="R838" s="22">
        <f t="shared" si="13"/>
        <v>393</v>
      </c>
    </row>
    <row r="839" spans="1:18">
      <c r="A839" s="71">
        <v>3871</v>
      </c>
      <c r="B839" s="72">
        <v>35600</v>
      </c>
      <c r="C839" s="71" t="s">
        <v>4436</v>
      </c>
      <c r="D839" s="72">
        <v>35600</v>
      </c>
      <c r="E839" s="71" t="s">
        <v>4437</v>
      </c>
      <c r="F839" s="71" t="s">
        <v>1047</v>
      </c>
      <c r="G839" s="71" t="s">
        <v>20</v>
      </c>
      <c r="H839" s="71" t="s">
        <v>71</v>
      </c>
      <c r="I839" s="71" t="s">
        <v>72</v>
      </c>
      <c r="J839" s="71" t="s">
        <v>4438</v>
      </c>
      <c r="K839" s="71"/>
      <c r="L839" s="71" t="s">
        <v>4282</v>
      </c>
      <c r="M839" s="71" t="s">
        <v>3569</v>
      </c>
      <c r="O839" s="72">
        <v>37021</v>
      </c>
      <c r="P839" s="71"/>
      <c r="Q839" s="71" t="b">
        <v>0</v>
      </c>
      <c r="R839" s="22">
        <f t="shared" si="13"/>
        <v>1420</v>
      </c>
    </row>
    <row r="840" spans="1:18">
      <c r="A840" s="71">
        <v>3872</v>
      </c>
      <c r="B840" s="72">
        <v>35604</v>
      </c>
      <c r="C840" s="71" t="s">
        <v>4439</v>
      </c>
      <c r="D840" s="72">
        <v>35601</v>
      </c>
      <c r="E840" s="71" t="s">
        <v>4440</v>
      </c>
      <c r="F840" s="71" t="s">
        <v>665</v>
      </c>
      <c r="G840" s="71" t="s">
        <v>20</v>
      </c>
      <c r="H840" s="71"/>
      <c r="I840" s="71"/>
      <c r="J840" s="71" t="s">
        <v>4441</v>
      </c>
      <c r="K840" s="71" t="s">
        <v>4442</v>
      </c>
      <c r="L840" s="71" t="s">
        <v>66</v>
      </c>
      <c r="M840" s="71"/>
      <c r="O840" s="72">
        <v>35968</v>
      </c>
      <c r="P840" s="71"/>
      <c r="Q840" s="71" t="b">
        <v>0</v>
      </c>
      <c r="R840" s="22">
        <f t="shared" si="13"/>
        <v>363</v>
      </c>
    </row>
    <row r="841" spans="1:18">
      <c r="A841" s="71">
        <v>3877</v>
      </c>
      <c r="B841" s="72">
        <v>35608</v>
      </c>
      <c r="C841" s="71" t="s">
        <v>4445</v>
      </c>
      <c r="D841" s="72">
        <v>35606</v>
      </c>
      <c r="E841" s="71" t="s">
        <v>4446</v>
      </c>
      <c r="F841" s="71" t="s">
        <v>242</v>
      </c>
      <c r="G841" s="71" t="s">
        <v>20</v>
      </c>
      <c r="H841" s="71"/>
      <c r="I841" s="71"/>
      <c r="J841" s="71" t="s">
        <v>4447</v>
      </c>
      <c r="K841" s="71"/>
      <c r="L841" s="71" t="s">
        <v>30</v>
      </c>
      <c r="M841" s="71"/>
      <c r="O841" s="72">
        <v>36468</v>
      </c>
      <c r="P841" s="71"/>
      <c r="Q841" s="71" t="b">
        <v>0</v>
      </c>
      <c r="R841" s="22">
        <f t="shared" si="13"/>
        <v>858</v>
      </c>
    </row>
    <row r="842" spans="1:18">
      <c r="A842" s="71">
        <v>3888</v>
      </c>
      <c r="B842" s="72">
        <v>35608</v>
      </c>
      <c r="C842" s="71" t="s">
        <v>4457</v>
      </c>
      <c r="D842" s="72">
        <v>35608</v>
      </c>
      <c r="E842" s="71" t="s">
        <v>4458</v>
      </c>
      <c r="F842" s="71" t="s">
        <v>70</v>
      </c>
      <c r="G842" s="71" t="s">
        <v>20</v>
      </c>
      <c r="H842" s="71" t="s">
        <v>71</v>
      </c>
      <c r="I842" s="71" t="s">
        <v>72</v>
      </c>
      <c r="J842" s="71" t="s">
        <v>4459</v>
      </c>
      <c r="K842" s="71"/>
      <c r="L842" s="71" t="s">
        <v>88</v>
      </c>
      <c r="M842" s="71"/>
      <c r="O842" s="72">
        <v>35731</v>
      </c>
      <c r="P842" s="71">
        <v>-1</v>
      </c>
      <c r="Q842" s="71" t="b">
        <v>0</v>
      </c>
      <c r="R842" s="22">
        <f t="shared" si="13"/>
        <v>122</v>
      </c>
    </row>
    <row r="843" spans="1:18">
      <c r="A843" s="71">
        <v>3899</v>
      </c>
      <c r="B843" s="72">
        <v>35629</v>
      </c>
      <c r="C843" s="71" t="s">
        <v>4470</v>
      </c>
      <c r="D843" s="72">
        <v>35612</v>
      </c>
      <c r="E843" s="71" t="s">
        <v>4471</v>
      </c>
      <c r="F843" s="71" t="s">
        <v>56</v>
      </c>
      <c r="G843" s="71" t="s">
        <v>20</v>
      </c>
      <c r="H843" s="71"/>
      <c r="I843" s="71"/>
      <c r="J843" s="71" t="s">
        <v>272</v>
      </c>
      <c r="K843" s="71"/>
      <c r="L843" s="71" t="s">
        <v>88</v>
      </c>
      <c r="M843" s="71"/>
      <c r="O843" s="72">
        <v>35765</v>
      </c>
      <c r="P843" s="71">
        <v>-1</v>
      </c>
      <c r="Q843" s="71" t="b">
        <v>0</v>
      </c>
      <c r="R843" s="22">
        <f t="shared" si="13"/>
        <v>134</v>
      </c>
    </row>
    <row r="844" spans="1:18">
      <c r="A844" s="71">
        <v>3903</v>
      </c>
      <c r="B844" s="72">
        <v>35633</v>
      </c>
      <c r="C844" s="71" t="s">
        <v>4474</v>
      </c>
      <c r="D844" s="72">
        <v>35633</v>
      </c>
      <c r="E844" s="71" t="s">
        <v>4475</v>
      </c>
      <c r="F844" s="71" t="s">
        <v>1047</v>
      </c>
      <c r="G844" s="71" t="s">
        <v>20</v>
      </c>
      <c r="H844" s="71" t="s">
        <v>71</v>
      </c>
      <c r="I844" s="71" t="s">
        <v>72</v>
      </c>
      <c r="J844" s="71" t="s">
        <v>4476</v>
      </c>
      <c r="K844" s="71" t="s">
        <v>4477</v>
      </c>
      <c r="L844" s="71" t="s">
        <v>66</v>
      </c>
      <c r="M844" s="71"/>
      <c r="O844" s="72">
        <v>37656</v>
      </c>
      <c r="P844" s="71"/>
      <c r="Q844" s="71" t="b">
        <v>0</v>
      </c>
      <c r="R844" s="22">
        <f t="shared" si="13"/>
        <v>2019</v>
      </c>
    </row>
    <row r="845" spans="1:18">
      <c r="A845" s="71">
        <v>3904</v>
      </c>
      <c r="B845" s="72">
        <v>35636</v>
      </c>
      <c r="C845" s="71" t="s">
        <v>4478</v>
      </c>
      <c r="D845" s="72">
        <v>35635</v>
      </c>
      <c r="E845" s="71" t="s">
        <v>4479</v>
      </c>
      <c r="F845" s="71" t="s">
        <v>741</v>
      </c>
      <c r="G845" s="71" t="s">
        <v>20</v>
      </c>
      <c r="H845" s="71"/>
      <c r="I845" s="71"/>
      <c r="J845" s="71" t="s">
        <v>4480</v>
      </c>
      <c r="K845" s="71" t="s">
        <v>4481</v>
      </c>
      <c r="L845" s="71" t="s">
        <v>686</v>
      </c>
      <c r="M845" s="71"/>
      <c r="O845" s="72">
        <v>35885</v>
      </c>
      <c r="P845" s="71">
        <v>-1</v>
      </c>
      <c r="Q845" s="71" t="b">
        <v>0</v>
      </c>
      <c r="R845" s="22">
        <f t="shared" si="13"/>
        <v>249</v>
      </c>
    </row>
    <row r="846" spans="1:18">
      <c r="A846" s="71">
        <v>3905</v>
      </c>
      <c r="B846" s="72">
        <v>35639</v>
      </c>
      <c r="C846" s="71" t="s">
        <v>4482</v>
      </c>
      <c r="D846" s="72">
        <v>35636</v>
      </c>
      <c r="E846" s="71" t="s">
        <v>4483</v>
      </c>
      <c r="F846" s="71" t="s">
        <v>275</v>
      </c>
      <c r="G846" s="71" t="s">
        <v>20</v>
      </c>
      <c r="H846" s="71"/>
      <c r="I846" s="71"/>
      <c r="J846" s="71" t="s">
        <v>4484</v>
      </c>
      <c r="K846" s="71" t="s">
        <v>4485</v>
      </c>
      <c r="L846" s="71" t="s">
        <v>66</v>
      </c>
      <c r="M846" s="71"/>
      <c r="O846" s="72">
        <v>35716</v>
      </c>
      <c r="P846" s="71">
        <v>-1</v>
      </c>
      <c r="Q846" s="71" t="b">
        <v>0</v>
      </c>
      <c r="R846" s="22">
        <f t="shared" si="13"/>
        <v>76</v>
      </c>
    </row>
    <row r="847" spans="1:18">
      <c r="A847" s="71">
        <v>3906</v>
      </c>
      <c r="B847" s="72">
        <v>35641</v>
      </c>
      <c r="C847" s="71" t="s">
        <v>4486</v>
      </c>
      <c r="D847" s="72">
        <v>35639</v>
      </c>
      <c r="E847" s="71" t="s">
        <v>4487</v>
      </c>
      <c r="F847" s="71" t="s">
        <v>2782</v>
      </c>
      <c r="G847" s="71" t="s">
        <v>20</v>
      </c>
      <c r="H847" s="71" t="s">
        <v>71</v>
      </c>
      <c r="I847" s="71" t="s">
        <v>72</v>
      </c>
      <c r="J847" s="71" t="s">
        <v>4488</v>
      </c>
      <c r="K847" s="71" t="s">
        <v>1712</v>
      </c>
      <c r="L847" s="71" t="s">
        <v>66</v>
      </c>
      <c r="M847" s="71"/>
      <c r="O847" s="72">
        <v>36343</v>
      </c>
      <c r="P847" s="71">
        <v>-1</v>
      </c>
      <c r="Q847" s="71" t="b">
        <v>0</v>
      </c>
      <c r="R847" s="22">
        <f t="shared" si="13"/>
        <v>701</v>
      </c>
    </row>
    <row r="848" spans="1:18">
      <c r="A848" s="71">
        <v>3907</v>
      </c>
      <c r="B848" s="72">
        <v>35563</v>
      </c>
      <c r="C848" s="71" t="s">
        <v>4489</v>
      </c>
      <c r="D848" s="72">
        <v>35563</v>
      </c>
      <c r="E848" s="71" t="s">
        <v>4490</v>
      </c>
      <c r="F848" s="71" t="s">
        <v>350</v>
      </c>
      <c r="G848" s="71" t="s">
        <v>20</v>
      </c>
      <c r="H848" s="71"/>
      <c r="I848" s="71"/>
      <c r="J848" s="71" t="s">
        <v>4041</v>
      </c>
      <c r="K848" s="71"/>
      <c r="L848" s="71" t="s">
        <v>67</v>
      </c>
      <c r="M848" s="71"/>
      <c r="O848" s="72">
        <v>35634</v>
      </c>
      <c r="P848" s="71">
        <v>0</v>
      </c>
      <c r="Q848" s="71" t="b">
        <v>0</v>
      </c>
      <c r="R848" s="22">
        <f t="shared" si="13"/>
        <v>70</v>
      </c>
    </row>
    <row r="849" spans="1:18">
      <c r="A849" s="71">
        <v>3911</v>
      </c>
      <c r="B849" s="72">
        <v>35655</v>
      </c>
      <c r="C849" s="71" t="s">
        <v>4500</v>
      </c>
      <c r="D849" s="72">
        <v>35642</v>
      </c>
      <c r="E849" s="71" t="s">
        <v>4501</v>
      </c>
      <c r="F849" s="71" t="s">
        <v>371</v>
      </c>
      <c r="G849" s="71" t="s">
        <v>20</v>
      </c>
      <c r="H849" s="71"/>
      <c r="I849" s="71"/>
      <c r="J849" s="71" t="s">
        <v>4502</v>
      </c>
      <c r="K849" s="71"/>
      <c r="L849" s="71" t="s">
        <v>66</v>
      </c>
      <c r="M849" s="71" t="s">
        <v>4503</v>
      </c>
      <c r="O849" s="72">
        <v>36628</v>
      </c>
      <c r="P849" s="71">
        <v>-1</v>
      </c>
      <c r="Q849" s="71" t="b">
        <v>0</v>
      </c>
      <c r="R849" s="22">
        <f t="shared" si="13"/>
        <v>972</v>
      </c>
    </row>
    <row r="850" spans="1:18">
      <c r="A850" s="71">
        <v>3917</v>
      </c>
      <c r="B850" s="72">
        <v>35663</v>
      </c>
      <c r="C850" s="71" t="s">
        <v>4518</v>
      </c>
      <c r="D850" s="72">
        <v>35444</v>
      </c>
      <c r="E850" s="71" t="s">
        <v>4519</v>
      </c>
      <c r="F850" s="71" t="s">
        <v>27</v>
      </c>
      <c r="G850" s="71" t="s">
        <v>20</v>
      </c>
      <c r="H850" s="71"/>
      <c r="I850" s="71"/>
      <c r="J850" s="71" t="s">
        <v>3606</v>
      </c>
      <c r="K850" s="71" t="s">
        <v>4520</v>
      </c>
      <c r="L850" s="71" t="s">
        <v>88</v>
      </c>
      <c r="M850" s="71"/>
      <c r="O850" s="72">
        <v>35709</v>
      </c>
      <c r="P850" s="71">
        <v>-1</v>
      </c>
      <c r="Q850" s="71" t="b">
        <v>0</v>
      </c>
      <c r="R850" s="22">
        <f t="shared" si="13"/>
        <v>45</v>
      </c>
    </row>
    <row r="851" spans="1:18">
      <c r="A851" s="71">
        <v>3920</v>
      </c>
      <c r="B851" s="72">
        <v>35689</v>
      </c>
      <c r="C851" s="71" t="s">
        <v>4526</v>
      </c>
      <c r="D851" s="72">
        <v>35688</v>
      </c>
      <c r="E851" s="71" t="s">
        <v>4527</v>
      </c>
      <c r="F851" s="71" t="s">
        <v>4233</v>
      </c>
      <c r="G851" s="71" t="s">
        <v>20</v>
      </c>
      <c r="H851" s="71"/>
      <c r="I851" s="71"/>
      <c r="J851" s="71" t="s">
        <v>4528</v>
      </c>
      <c r="K851" s="71" t="s">
        <v>4394</v>
      </c>
      <c r="L851" s="71" t="s">
        <v>66</v>
      </c>
      <c r="M851" s="71" t="s">
        <v>67</v>
      </c>
      <c r="O851" s="72">
        <v>38020</v>
      </c>
      <c r="P851" s="71">
        <v>-1</v>
      </c>
      <c r="Q851" s="71" t="b">
        <v>0</v>
      </c>
      <c r="R851" s="22">
        <f t="shared" si="13"/>
        <v>2328</v>
      </c>
    </row>
    <row r="852" spans="1:18">
      <c r="A852" s="71">
        <v>3921</v>
      </c>
      <c r="B852" s="72">
        <v>35689</v>
      </c>
      <c r="C852" s="71" t="s">
        <v>4529</v>
      </c>
      <c r="D852" s="72">
        <v>35688</v>
      </c>
      <c r="E852" s="71" t="s">
        <v>4530</v>
      </c>
      <c r="F852" s="71" t="s">
        <v>2782</v>
      </c>
      <c r="G852" s="71" t="s">
        <v>20</v>
      </c>
      <c r="H852" s="71" t="s">
        <v>71</v>
      </c>
      <c r="I852" s="71" t="s">
        <v>72</v>
      </c>
      <c r="J852" s="71" t="s">
        <v>2783</v>
      </c>
      <c r="K852" s="71" t="s">
        <v>4531</v>
      </c>
      <c r="L852" s="71" t="s">
        <v>66</v>
      </c>
      <c r="M852" s="71"/>
      <c r="O852" s="72">
        <v>38040</v>
      </c>
      <c r="P852" s="71">
        <v>-1</v>
      </c>
      <c r="Q852" s="71" t="b">
        <v>0</v>
      </c>
      <c r="R852" s="22">
        <f t="shared" si="13"/>
        <v>2349</v>
      </c>
    </row>
    <row r="853" spans="1:18">
      <c r="A853" s="71">
        <v>3922</v>
      </c>
      <c r="B853" s="72">
        <v>35691</v>
      </c>
      <c r="C853" s="71" t="s">
        <v>4532</v>
      </c>
      <c r="D853" s="72">
        <v>35691</v>
      </c>
      <c r="E853" s="71" t="s">
        <v>4533</v>
      </c>
      <c r="F853" s="71" t="s">
        <v>4534</v>
      </c>
      <c r="G853" s="71" t="s">
        <v>20</v>
      </c>
      <c r="H853" s="71" t="s">
        <v>71</v>
      </c>
      <c r="I853" s="71" t="s">
        <v>72</v>
      </c>
      <c r="J853" s="71" t="s">
        <v>4535</v>
      </c>
      <c r="K853" s="71" t="s">
        <v>4536</v>
      </c>
      <c r="L853" s="71" t="s">
        <v>88</v>
      </c>
      <c r="M853" s="71"/>
      <c r="O853" s="72">
        <v>36157</v>
      </c>
      <c r="P853" s="71"/>
      <c r="Q853" s="71" t="b">
        <v>0</v>
      </c>
      <c r="R853" s="22">
        <f t="shared" si="13"/>
        <v>466</v>
      </c>
    </row>
    <row r="854" spans="1:18">
      <c r="A854" s="71">
        <v>3927</v>
      </c>
      <c r="B854" s="72">
        <v>35681</v>
      </c>
      <c r="C854" s="71" t="s">
        <v>4544</v>
      </c>
      <c r="D854" s="72">
        <v>35681</v>
      </c>
      <c r="E854" s="71" t="s">
        <v>4545</v>
      </c>
      <c r="F854" s="71" t="s">
        <v>19</v>
      </c>
      <c r="G854" s="71" t="s">
        <v>20</v>
      </c>
      <c r="H854" s="71"/>
      <c r="I854" s="71"/>
      <c r="J854" s="71" t="s">
        <v>4546</v>
      </c>
      <c r="K854" s="71" t="s">
        <v>4547</v>
      </c>
      <c r="L854" s="71" t="s">
        <v>686</v>
      </c>
      <c r="M854" s="71"/>
      <c r="O854" s="72">
        <v>35857</v>
      </c>
      <c r="P854" s="71"/>
      <c r="Q854" s="71" t="b">
        <v>0</v>
      </c>
      <c r="R854" s="22">
        <f t="shared" si="13"/>
        <v>177</v>
      </c>
    </row>
    <row r="855" spans="1:18">
      <c r="A855" s="71">
        <v>3932</v>
      </c>
      <c r="B855" s="72">
        <v>35698</v>
      </c>
      <c r="C855" s="71" t="s">
        <v>4553</v>
      </c>
      <c r="D855" s="72">
        <v>35698</v>
      </c>
      <c r="E855" s="71" t="s">
        <v>4554</v>
      </c>
      <c r="F855" s="71" t="s">
        <v>149</v>
      </c>
      <c r="G855" s="71" t="s">
        <v>20</v>
      </c>
      <c r="H855" s="71"/>
      <c r="I855" s="71"/>
      <c r="J855" s="71" t="s">
        <v>4555</v>
      </c>
      <c r="K855" s="71"/>
      <c r="L855" s="71" t="s">
        <v>686</v>
      </c>
      <c r="M855" s="71"/>
      <c r="O855" s="72">
        <v>36297</v>
      </c>
      <c r="P855" s="71">
        <v>-1</v>
      </c>
      <c r="Q855" s="71" t="b">
        <v>0</v>
      </c>
      <c r="R855" s="22">
        <f t="shared" si="13"/>
        <v>600</v>
      </c>
    </row>
    <row r="856" spans="1:18">
      <c r="A856" s="71">
        <v>3934</v>
      </c>
      <c r="B856" s="72">
        <v>35702</v>
      </c>
      <c r="C856" s="71" t="s">
        <v>4558</v>
      </c>
      <c r="D856" s="72">
        <v>35702</v>
      </c>
      <c r="E856" s="71" t="s">
        <v>4559</v>
      </c>
      <c r="F856" s="71" t="s">
        <v>104</v>
      </c>
      <c r="G856" s="71" t="s">
        <v>20</v>
      </c>
      <c r="H856" s="71"/>
      <c r="I856" s="71"/>
      <c r="J856" s="71" t="s">
        <v>4560</v>
      </c>
      <c r="K856" s="71"/>
      <c r="L856" s="71" t="s">
        <v>66</v>
      </c>
      <c r="M856" s="71"/>
      <c r="O856" s="72">
        <v>35909</v>
      </c>
      <c r="P856" s="71">
        <v>0</v>
      </c>
      <c r="Q856" s="71" t="b">
        <v>0</v>
      </c>
      <c r="R856" s="22">
        <f t="shared" si="13"/>
        <v>207</v>
      </c>
    </row>
    <row r="857" spans="1:18">
      <c r="A857" s="71">
        <v>3937</v>
      </c>
      <c r="B857" s="72">
        <v>35675</v>
      </c>
      <c r="C857" s="71" t="s">
        <v>4568</v>
      </c>
      <c r="D857" s="72">
        <v>35676</v>
      </c>
      <c r="E857" s="71" t="s">
        <v>4569</v>
      </c>
      <c r="F857" s="71" t="s">
        <v>2359</v>
      </c>
      <c r="G857" s="71" t="s">
        <v>20</v>
      </c>
      <c r="H857" s="71" t="s">
        <v>71</v>
      </c>
      <c r="I857" s="71" t="s">
        <v>72</v>
      </c>
      <c r="J857" s="71" t="s">
        <v>4570</v>
      </c>
      <c r="K857" s="71" t="s">
        <v>1510</v>
      </c>
      <c r="L857" s="71" t="s">
        <v>3930</v>
      </c>
      <c r="M857" s="71"/>
      <c r="O857" s="72">
        <v>35680</v>
      </c>
      <c r="P857" s="71">
        <v>-1</v>
      </c>
      <c r="Q857" s="71" t="b">
        <v>0</v>
      </c>
      <c r="R857" s="22">
        <f t="shared" si="13"/>
        <v>5</v>
      </c>
    </row>
    <row r="858" spans="1:18">
      <c r="A858" s="71">
        <v>3940</v>
      </c>
      <c r="B858" s="72">
        <v>35720</v>
      </c>
      <c r="C858" s="71" t="s">
        <v>4575</v>
      </c>
      <c r="D858" s="72">
        <v>35668</v>
      </c>
      <c r="E858" s="71" t="s">
        <v>4576</v>
      </c>
      <c r="F858" s="71" t="s">
        <v>741</v>
      </c>
      <c r="G858" s="71" t="s">
        <v>20</v>
      </c>
      <c r="H858" s="71"/>
      <c r="I858" s="71"/>
      <c r="J858" s="71" t="s">
        <v>4577</v>
      </c>
      <c r="K858" s="71" t="s">
        <v>4578</v>
      </c>
      <c r="L858" s="71" t="s">
        <v>4579</v>
      </c>
      <c r="M858" s="71" t="s">
        <v>66</v>
      </c>
      <c r="O858" s="72">
        <v>38222</v>
      </c>
      <c r="P858" s="71"/>
      <c r="Q858" s="71" t="b">
        <v>0</v>
      </c>
      <c r="R858" s="22">
        <f t="shared" si="13"/>
        <v>2500</v>
      </c>
    </row>
    <row r="859" spans="1:18">
      <c r="A859" s="71">
        <v>3944</v>
      </c>
      <c r="B859" s="72">
        <v>35713</v>
      </c>
      <c r="C859" s="71" t="s">
        <v>4585</v>
      </c>
      <c r="D859" s="72">
        <v>35706</v>
      </c>
      <c r="E859" s="71" t="s">
        <v>4586</v>
      </c>
      <c r="F859" s="71" t="s">
        <v>371</v>
      </c>
      <c r="G859" s="71" t="s">
        <v>20</v>
      </c>
      <c r="H859" s="71"/>
      <c r="I859" s="71"/>
      <c r="J859" s="71" t="s">
        <v>272</v>
      </c>
      <c r="K859" s="71" t="s">
        <v>4587</v>
      </c>
      <c r="L859" s="71" t="s">
        <v>66</v>
      </c>
      <c r="M859" s="71"/>
      <c r="O859" s="72">
        <v>36628</v>
      </c>
      <c r="P859" s="71">
        <v>-1</v>
      </c>
      <c r="Q859" s="71" t="b">
        <v>0</v>
      </c>
      <c r="R859" s="22">
        <f t="shared" si="13"/>
        <v>914</v>
      </c>
    </row>
    <row r="860" spans="1:18">
      <c r="A860" s="71">
        <v>3947</v>
      </c>
      <c r="B860" s="72">
        <v>35720</v>
      </c>
      <c r="C860" s="71" t="s">
        <v>4594</v>
      </c>
      <c r="D860" s="72">
        <v>35717</v>
      </c>
      <c r="E860" s="71" t="s">
        <v>4595</v>
      </c>
      <c r="F860" s="71" t="s">
        <v>4596</v>
      </c>
      <c r="G860" s="71" t="s">
        <v>20</v>
      </c>
      <c r="H860" s="71"/>
      <c r="I860" s="71"/>
      <c r="J860" s="71" t="s">
        <v>4597</v>
      </c>
      <c r="K860" s="71" t="s">
        <v>1258</v>
      </c>
      <c r="L860" s="71" t="s">
        <v>686</v>
      </c>
      <c r="M860" s="71"/>
      <c r="O860" s="72">
        <v>36501</v>
      </c>
      <c r="P860" s="71"/>
      <c r="Q860" s="71" t="b">
        <v>0</v>
      </c>
      <c r="R860" s="22">
        <f t="shared" si="13"/>
        <v>780</v>
      </c>
    </row>
    <row r="861" spans="1:18">
      <c r="A861" s="71">
        <v>3962</v>
      </c>
      <c r="B861" s="72">
        <v>35747</v>
      </c>
      <c r="C861" s="71" t="s">
        <v>4635</v>
      </c>
      <c r="D861" s="72">
        <v>35744</v>
      </c>
      <c r="E861" s="71" t="s">
        <v>4636</v>
      </c>
      <c r="F861" s="71" t="s">
        <v>211</v>
      </c>
      <c r="G861" s="71" t="s">
        <v>20</v>
      </c>
      <c r="H861" s="71" t="s">
        <v>212</v>
      </c>
      <c r="I861" s="71" t="s">
        <v>212</v>
      </c>
      <c r="J861" s="71" t="s">
        <v>2867</v>
      </c>
      <c r="K861" s="71" t="s">
        <v>1149</v>
      </c>
      <c r="L861" s="71" t="s">
        <v>66</v>
      </c>
      <c r="M861" s="71" t="s">
        <v>686</v>
      </c>
      <c r="O861" s="72">
        <v>37679</v>
      </c>
      <c r="P861" s="71"/>
      <c r="Q861" s="71" t="b">
        <v>0</v>
      </c>
      <c r="R861" s="22">
        <f t="shared" si="13"/>
        <v>1930</v>
      </c>
    </row>
    <row r="862" spans="1:18">
      <c r="A862" s="71">
        <v>3967</v>
      </c>
      <c r="B862" s="72">
        <v>35767</v>
      </c>
      <c r="C862" s="71" t="s">
        <v>4649</v>
      </c>
      <c r="D862" s="72">
        <v>35759</v>
      </c>
      <c r="E862" s="71" t="s">
        <v>4650</v>
      </c>
      <c r="F862" s="71" t="s">
        <v>70</v>
      </c>
      <c r="G862" s="71" t="s">
        <v>20</v>
      </c>
      <c r="H862" s="71" t="s">
        <v>71</v>
      </c>
      <c r="I862" s="71" t="s">
        <v>72</v>
      </c>
      <c r="J862" s="71" t="s">
        <v>4651</v>
      </c>
      <c r="K862" s="71"/>
      <c r="L862" s="71" t="s">
        <v>4579</v>
      </c>
      <c r="M862" s="71" t="s">
        <v>4652</v>
      </c>
      <c r="O862" s="72">
        <v>38469</v>
      </c>
      <c r="P862" s="71">
        <v>-1</v>
      </c>
      <c r="Q862" s="71" t="b">
        <v>0</v>
      </c>
      <c r="R862" s="22">
        <f t="shared" si="13"/>
        <v>2701</v>
      </c>
    </row>
    <row r="863" spans="1:18">
      <c r="A863" s="71">
        <v>3968</v>
      </c>
      <c r="B863" s="72">
        <v>35769</v>
      </c>
      <c r="C863" s="71" t="s">
        <v>4653</v>
      </c>
      <c r="D863" s="72">
        <v>35754</v>
      </c>
      <c r="E863" s="71" t="s">
        <v>4654</v>
      </c>
      <c r="F863" s="71" t="s">
        <v>741</v>
      </c>
      <c r="G863" s="71" t="s">
        <v>20</v>
      </c>
      <c r="H863" s="71"/>
      <c r="I863" s="71"/>
      <c r="J863" s="71" t="s">
        <v>4655</v>
      </c>
      <c r="K863" s="71" t="s">
        <v>4656</v>
      </c>
      <c r="L863" s="71" t="s">
        <v>686</v>
      </c>
      <c r="M863" s="71"/>
      <c r="O863" s="72">
        <v>35965</v>
      </c>
      <c r="P863" s="71"/>
      <c r="Q863" s="71" t="b">
        <v>0</v>
      </c>
      <c r="R863" s="22">
        <f t="shared" si="13"/>
        <v>196</v>
      </c>
    </row>
    <row r="864" spans="1:18">
      <c r="A864" s="71">
        <v>3969</v>
      </c>
      <c r="B864" s="72">
        <v>35769</v>
      </c>
      <c r="C864" s="71" t="s">
        <v>4657</v>
      </c>
      <c r="D864" s="72">
        <v>35758</v>
      </c>
      <c r="E864" s="71" t="s">
        <v>4658</v>
      </c>
      <c r="F864" s="71" t="s">
        <v>4659</v>
      </c>
      <c r="G864" s="71" t="s">
        <v>20</v>
      </c>
      <c r="H864" s="71" t="s">
        <v>566</v>
      </c>
      <c r="I864" s="71" t="s">
        <v>566</v>
      </c>
      <c r="J864" s="71" t="s">
        <v>4660</v>
      </c>
      <c r="K864" s="71"/>
      <c r="L864" s="71" t="s">
        <v>66</v>
      </c>
      <c r="M864" s="71" t="s">
        <v>686</v>
      </c>
      <c r="O864" s="72">
        <v>37256</v>
      </c>
      <c r="P864" s="71">
        <v>0</v>
      </c>
      <c r="Q864" s="71" t="b">
        <v>0</v>
      </c>
      <c r="R864" s="22">
        <f t="shared" si="13"/>
        <v>1486</v>
      </c>
    </row>
    <row r="865" spans="1:18">
      <c r="A865" s="71">
        <v>3976</v>
      </c>
      <c r="B865" s="72">
        <v>35772</v>
      </c>
      <c r="C865" s="71" t="s">
        <v>4671</v>
      </c>
      <c r="D865" s="72">
        <v>35768</v>
      </c>
      <c r="E865" s="71" t="s">
        <v>4672</v>
      </c>
      <c r="F865" s="71" t="s">
        <v>2359</v>
      </c>
      <c r="G865" s="71" t="s">
        <v>20</v>
      </c>
      <c r="H865" s="71" t="s">
        <v>71</v>
      </c>
      <c r="I865" s="71" t="s">
        <v>72</v>
      </c>
      <c r="J865" s="71" t="s">
        <v>4673</v>
      </c>
      <c r="K865" s="71"/>
      <c r="L865" s="71" t="s">
        <v>686</v>
      </c>
      <c r="M865" s="71"/>
      <c r="O865" s="72">
        <v>35857</v>
      </c>
      <c r="P865" s="71"/>
      <c r="Q865" s="71" t="b">
        <v>0</v>
      </c>
      <c r="R865" s="22">
        <f t="shared" si="13"/>
        <v>86</v>
      </c>
    </row>
    <row r="866" spans="1:18">
      <c r="A866" s="71">
        <v>3981</v>
      </c>
      <c r="B866" s="72">
        <v>35776</v>
      </c>
      <c r="C866" s="71" t="s">
        <v>4679</v>
      </c>
      <c r="D866" s="72">
        <v>35653</v>
      </c>
      <c r="E866" s="71" t="s">
        <v>4680</v>
      </c>
      <c r="F866" s="71" t="s">
        <v>4596</v>
      </c>
      <c r="G866" s="71" t="s">
        <v>20</v>
      </c>
      <c r="H866" s="71"/>
      <c r="I866" s="71"/>
      <c r="J866" s="71" t="s">
        <v>4681</v>
      </c>
      <c r="K866" s="71" t="s">
        <v>3869</v>
      </c>
      <c r="L866" s="71" t="s">
        <v>66</v>
      </c>
      <c r="M866" s="71" t="s">
        <v>67</v>
      </c>
      <c r="O866" s="72">
        <v>36444</v>
      </c>
      <c r="P866" s="71">
        <v>-1</v>
      </c>
      <c r="Q866" s="71" t="b">
        <v>0</v>
      </c>
      <c r="R866" s="22">
        <f t="shared" si="13"/>
        <v>668</v>
      </c>
    </row>
    <row r="867" spans="1:18">
      <c r="A867" s="71">
        <v>3989</v>
      </c>
      <c r="B867" s="72">
        <v>35801</v>
      </c>
      <c r="C867" s="71" t="s">
        <v>4694</v>
      </c>
      <c r="D867" s="72">
        <v>35783</v>
      </c>
      <c r="E867" s="71" t="s">
        <v>4695</v>
      </c>
      <c r="F867" s="71" t="s">
        <v>27</v>
      </c>
      <c r="G867" s="71" t="s">
        <v>20</v>
      </c>
      <c r="H867" s="71"/>
      <c r="I867" s="71"/>
      <c r="J867" s="71" t="s">
        <v>4693</v>
      </c>
      <c r="K867" s="71"/>
      <c r="L867" s="71" t="s">
        <v>66</v>
      </c>
      <c r="M867" s="71" t="s">
        <v>4696</v>
      </c>
      <c r="O867" s="72">
        <v>36459</v>
      </c>
      <c r="P867" s="71">
        <v>-1</v>
      </c>
      <c r="Q867" s="71" t="b">
        <v>0</v>
      </c>
      <c r="R867" s="22">
        <f t="shared" si="13"/>
        <v>659</v>
      </c>
    </row>
    <row r="868" spans="1:18">
      <c r="A868" s="71">
        <v>3997</v>
      </c>
      <c r="B868" s="72">
        <v>35808</v>
      </c>
      <c r="C868" s="71" t="s">
        <v>4709</v>
      </c>
      <c r="D868" s="72">
        <v>35615</v>
      </c>
      <c r="E868" s="71" t="s">
        <v>4710</v>
      </c>
      <c r="F868" s="71" t="s">
        <v>137</v>
      </c>
      <c r="G868" s="71" t="s">
        <v>20</v>
      </c>
      <c r="H868" s="71" t="s">
        <v>71</v>
      </c>
      <c r="I868" s="71" t="s">
        <v>72</v>
      </c>
      <c r="J868" s="71" t="s">
        <v>4711</v>
      </c>
      <c r="K868" s="71" t="s">
        <v>4712</v>
      </c>
      <c r="L868" s="71" t="s">
        <v>4713</v>
      </c>
      <c r="M868" s="71"/>
      <c r="O868" s="72">
        <v>35859</v>
      </c>
      <c r="P868" s="71">
        <v>-1</v>
      </c>
      <c r="Q868" s="71" t="b">
        <v>0</v>
      </c>
      <c r="R868" s="22">
        <f t="shared" si="13"/>
        <v>52</v>
      </c>
    </row>
    <row r="869" spans="1:18">
      <c r="A869" s="71">
        <v>4107</v>
      </c>
      <c r="B869" s="72">
        <v>35831</v>
      </c>
      <c r="C869" s="71" t="s">
        <v>4862</v>
      </c>
      <c r="D869" s="72">
        <v>35825</v>
      </c>
      <c r="E869" s="71" t="s">
        <v>4863</v>
      </c>
      <c r="F869" s="71" t="s">
        <v>98</v>
      </c>
      <c r="G869" s="71" t="s">
        <v>20</v>
      </c>
      <c r="H869" s="71"/>
      <c r="I869" s="71"/>
      <c r="J869" s="71" t="s">
        <v>4864</v>
      </c>
      <c r="K869" s="71"/>
      <c r="L869" s="71" t="s">
        <v>4282</v>
      </c>
      <c r="M869" s="71" t="s">
        <v>4652</v>
      </c>
      <c r="O869" s="72">
        <v>37505</v>
      </c>
      <c r="P869" s="71">
        <v>-1</v>
      </c>
      <c r="Q869" s="71" t="b">
        <v>0</v>
      </c>
      <c r="R869" s="22">
        <f t="shared" si="13"/>
        <v>1673</v>
      </c>
    </row>
    <row r="870" spans="1:18">
      <c r="A870" s="71">
        <v>4169</v>
      </c>
      <c r="B870" s="72">
        <v>35852</v>
      </c>
      <c r="C870" s="71" t="s">
        <v>4930</v>
      </c>
      <c r="D870" s="72">
        <v>35837</v>
      </c>
      <c r="E870" s="71" t="s">
        <v>4931</v>
      </c>
      <c r="F870" s="71" t="s">
        <v>149</v>
      </c>
      <c r="G870" s="71" t="s">
        <v>20</v>
      </c>
      <c r="H870" s="71"/>
      <c r="I870" s="71"/>
      <c r="J870" s="71" t="s">
        <v>4932</v>
      </c>
      <c r="K870" s="71"/>
      <c r="L870" s="71" t="s">
        <v>66</v>
      </c>
      <c r="M870" s="71" t="s">
        <v>686</v>
      </c>
      <c r="O870" s="72">
        <v>36782</v>
      </c>
      <c r="P870" s="71">
        <v>0</v>
      </c>
      <c r="Q870" s="71" t="b">
        <v>0</v>
      </c>
      <c r="R870" s="22">
        <f t="shared" si="13"/>
        <v>929</v>
      </c>
    </row>
    <row r="871" spans="1:18">
      <c r="A871" s="71">
        <v>4170</v>
      </c>
      <c r="B871" s="72">
        <v>35852</v>
      </c>
      <c r="C871" s="71" t="s">
        <v>4933</v>
      </c>
      <c r="D871" s="72">
        <v>35839</v>
      </c>
      <c r="E871" s="71" t="s">
        <v>4934</v>
      </c>
      <c r="F871" s="71" t="s">
        <v>70</v>
      </c>
      <c r="G871" s="71" t="s">
        <v>20</v>
      </c>
      <c r="H871" s="71" t="s">
        <v>71</v>
      </c>
      <c r="I871" s="71" t="s">
        <v>72</v>
      </c>
      <c r="J871" s="71" t="s">
        <v>4935</v>
      </c>
      <c r="K871" s="71" t="s">
        <v>4936</v>
      </c>
      <c r="L871" s="71" t="s">
        <v>686</v>
      </c>
      <c r="M871" s="71"/>
      <c r="O871" s="72">
        <v>36320</v>
      </c>
      <c r="P871" s="71"/>
      <c r="Q871" s="71" t="b">
        <v>0</v>
      </c>
      <c r="R871" s="22">
        <f t="shared" si="13"/>
        <v>469</v>
      </c>
    </row>
    <row r="872" spans="1:18">
      <c r="A872" s="71">
        <v>4171</v>
      </c>
      <c r="B872" s="72">
        <v>35852</v>
      </c>
      <c r="C872" s="71" t="s">
        <v>4937</v>
      </c>
      <c r="D872" s="72">
        <v>35853</v>
      </c>
      <c r="E872" s="71" t="s">
        <v>4938</v>
      </c>
      <c r="F872" s="71" t="s">
        <v>70</v>
      </c>
      <c r="G872" s="71" t="s">
        <v>20</v>
      </c>
      <c r="H872" s="71" t="s">
        <v>71</v>
      </c>
      <c r="I872" s="71" t="s">
        <v>72</v>
      </c>
      <c r="J872" s="71" t="s">
        <v>4939</v>
      </c>
      <c r="K872" s="71" t="s">
        <v>4940</v>
      </c>
      <c r="L872" s="71" t="s">
        <v>66</v>
      </c>
      <c r="M872" s="71" t="s">
        <v>1946</v>
      </c>
      <c r="O872" s="72">
        <v>37678</v>
      </c>
      <c r="P872" s="71">
        <v>-1</v>
      </c>
      <c r="Q872" s="71" t="b">
        <v>0</v>
      </c>
      <c r="R872" s="22">
        <f t="shared" si="13"/>
        <v>1825</v>
      </c>
    </row>
    <row r="873" spans="1:18">
      <c r="A873" s="71">
        <v>4200</v>
      </c>
      <c r="B873" s="72">
        <v>35888</v>
      </c>
      <c r="C873" s="71" t="s">
        <v>4977</v>
      </c>
      <c r="D873" s="72">
        <v>35888</v>
      </c>
      <c r="E873" s="71" t="s">
        <v>4978</v>
      </c>
      <c r="F873" s="71" t="s">
        <v>39</v>
      </c>
      <c r="G873" s="71" t="s">
        <v>20</v>
      </c>
      <c r="H873" s="71"/>
      <c r="I873" s="71"/>
      <c r="J873" s="71" t="s">
        <v>4979</v>
      </c>
      <c r="K873" s="71"/>
      <c r="L873" s="71" t="s">
        <v>4748</v>
      </c>
      <c r="M873" s="71"/>
      <c r="O873" s="72">
        <v>36320</v>
      </c>
      <c r="P873" s="71"/>
      <c r="Q873" s="71" t="b">
        <v>0</v>
      </c>
      <c r="R873" s="22">
        <f t="shared" si="13"/>
        <v>431</v>
      </c>
    </row>
    <row r="874" spans="1:18">
      <c r="A874" s="71">
        <v>4217</v>
      </c>
      <c r="B874" s="72">
        <v>35907</v>
      </c>
      <c r="C874" s="71" t="s">
        <v>5017</v>
      </c>
      <c r="D874" s="72">
        <v>35902</v>
      </c>
      <c r="E874" s="71" t="s">
        <v>5018</v>
      </c>
      <c r="F874" s="71" t="s">
        <v>228</v>
      </c>
      <c r="G874" s="71" t="s">
        <v>20</v>
      </c>
      <c r="H874" s="71"/>
      <c r="I874" s="71"/>
      <c r="J874" s="71" t="s">
        <v>5019</v>
      </c>
      <c r="K874" s="71"/>
      <c r="L874" s="71" t="s">
        <v>66</v>
      </c>
      <c r="M874" s="71"/>
      <c r="O874" s="72">
        <v>37659</v>
      </c>
      <c r="P874" s="71"/>
      <c r="Q874" s="71" t="b">
        <v>0</v>
      </c>
      <c r="R874" s="22">
        <f t="shared" si="13"/>
        <v>1748</v>
      </c>
    </row>
    <row r="875" spans="1:18">
      <c r="A875" s="71">
        <v>4219</v>
      </c>
      <c r="B875" s="72">
        <v>35912</v>
      </c>
      <c r="C875" s="71" t="s">
        <v>5023</v>
      </c>
      <c r="D875" s="72">
        <v>35893</v>
      </c>
      <c r="E875" s="71" t="s">
        <v>5024</v>
      </c>
      <c r="F875" s="71" t="s">
        <v>211</v>
      </c>
      <c r="G875" s="71" t="s">
        <v>20</v>
      </c>
      <c r="H875" s="71" t="s">
        <v>212</v>
      </c>
      <c r="I875" s="71" t="s">
        <v>212</v>
      </c>
      <c r="J875" s="71" t="s">
        <v>5025</v>
      </c>
      <c r="K875" s="71"/>
      <c r="L875" s="71" t="s">
        <v>686</v>
      </c>
      <c r="M875" s="71"/>
      <c r="O875" s="72">
        <v>36276</v>
      </c>
      <c r="P875" s="71"/>
      <c r="Q875" s="71" t="b">
        <v>0</v>
      </c>
      <c r="R875" s="22">
        <f t="shared" si="13"/>
        <v>363</v>
      </c>
    </row>
    <row r="876" spans="1:18">
      <c r="A876" s="71">
        <v>4244</v>
      </c>
      <c r="B876" s="72">
        <v>35962</v>
      </c>
      <c r="C876" s="71" t="s">
        <v>5074</v>
      </c>
      <c r="D876" s="72">
        <v>35958</v>
      </c>
      <c r="E876" s="71" t="s">
        <v>5075</v>
      </c>
      <c r="F876" s="71" t="s">
        <v>4004</v>
      </c>
      <c r="G876" s="71" t="s">
        <v>20</v>
      </c>
      <c r="H876" s="71" t="s">
        <v>189</v>
      </c>
      <c r="I876" s="71" t="s">
        <v>189</v>
      </c>
      <c r="J876" s="71" t="s">
        <v>5076</v>
      </c>
      <c r="K876" s="71" t="s">
        <v>5077</v>
      </c>
      <c r="L876" s="71" t="s">
        <v>66</v>
      </c>
      <c r="M876" s="71" t="s">
        <v>5078</v>
      </c>
      <c r="O876" s="72">
        <v>37662</v>
      </c>
      <c r="P876" s="71"/>
      <c r="Q876" s="71" t="b">
        <v>0</v>
      </c>
      <c r="R876" s="22">
        <f t="shared" si="13"/>
        <v>1697</v>
      </c>
    </row>
    <row r="877" spans="1:18">
      <c r="A877" s="71">
        <v>4246</v>
      </c>
      <c r="B877" s="72">
        <v>35963</v>
      </c>
      <c r="C877" s="71" t="s">
        <v>5079</v>
      </c>
      <c r="D877" s="72">
        <v>35958</v>
      </c>
      <c r="E877" s="71" t="s">
        <v>5080</v>
      </c>
      <c r="F877" s="71" t="s">
        <v>104</v>
      </c>
      <c r="G877" s="71" t="s">
        <v>20</v>
      </c>
      <c r="H877" s="71"/>
      <c r="I877" s="71"/>
      <c r="J877" s="71" t="s">
        <v>5081</v>
      </c>
      <c r="K877" s="71" t="s">
        <v>5082</v>
      </c>
      <c r="L877" s="71" t="s">
        <v>686</v>
      </c>
      <c r="M877" s="71" t="s">
        <v>88</v>
      </c>
      <c r="N877" s="72">
        <v>36008</v>
      </c>
      <c r="O877" s="72">
        <v>36320</v>
      </c>
      <c r="P877" s="71">
        <v>-1</v>
      </c>
      <c r="Q877" s="71" t="b">
        <v>0</v>
      </c>
      <c r="R877" s="22">
        <f t="shared" si="13"/>
        <v>356</v>
      </c>
    </row>
    <row r="878" spans="1:18">
      <c r="A878" s="71">
        <v>4248</v>
      </c>
      <c r="B878" s="72">
        <v>35963</v>
      </c>
      <c r="C878" s="71" t="s">
        <v>5085</v>
      </c>
      <c r="D878" s="72">
        <v>35961</v>
      </c>
      <c r="E878" s="71" t="s">
        <v>5086</v>
      </c>
      <c r="F878" s="71" t="s">
        <v>104</v>
      </c>
      <c r="G878" s="71" t="s">
        <v>20</v>
      </c>
      <c r="H878" s="71"/>
      <c r="I878" s="71"/>
      <c r="J878" s="71" t="s">
        <v>5087</v>
      </c>
      <c r="K878" s="71" t="s">
        <v>5088</v>
      </c>
      <c r="L878" s="71" t="s">
        <v>821</v>
      </c>
      <c r="M878" s="71" t="s">
        <v>66</v>
      </c>
      <c r="O878" s="72">
        <v>36502</v>
      </c>
      <c r="P878" s="71">
        <v>-1</v>
      </c>
      <c r="Q878" s="71" t="b">
        <v>0</v>
      </c>
      <c r="R878" s="22">
        <f t="shared" si="13"/>
        <v>538</v>
      </c>
    </row>
    <row r="879" spans="1:18">
      <c r="A879" s="71">
        <v>4249</v>
      </c>
      <c r="B879" s="72">
        <v>35965</v>
      </c>
      <c r="C879" s="71" t="s">
        <v>5089</v>
      </c>
      <c r="D879" s="72">
        <v>35937</v>
      </c>
      <c r="E879" s="71" t="s">
        <v>5090</v>
      </c>
      <c r="F879" s="71" t="s">
        <v>5091</v>
      </c>
      <c r="G879" s="71" t="s">
        <v>20</v>
      </c>
      <c r="H879" s="71" t="s">
        <v>189</v>
      </c>
      <c r="I879" s="71" t="s">
        <v>189</v>
      </c>
      <c r="J879" s="71" t="s">
        <v>5092</v>
      </c>
      <c r="K879" s="71" t="s">
        <v>5046</v>
      </c>
      <c r="L879" s="71" t="s">
        <v>4282</v>
      </c>
      <c r="M879" s="71" t="s">
        <v>3527</v>
      </c>
      <c r="O879" s="72">
        <v>38168</v>
      </c>
      <c r="P879" s="71"/>
      <c r="Q879" s="71" t="b">
        <v>0</v>
      </c>
      <c r="R879" s="22">
        <f t="shared" si="13"/>
        <v>2201</v>
      </c>
    </row>
    <row r="880" spans="1:18">
      <c r="A880" s="71">
        <v>4258</v>
      </c>
      <c r="B880" s="72">
        <v>35993</v>
      </c>
      <c r="C880" s="71" t="s">
        <v>5105</v>
      </c>
      <c r="D880" s="72">
        <v>35990</v>
      </c>
      <c r="E880" s="71" t="s">
        <v>5106</v>
      </c>
      <c r="F880" s="71" t="s">
        <v>1771</v>
      </c>
      <c r="G880" s="71" t="s">
        <v>20</v>
      </c>
      <c r="H880" s="71" t="s">
        <v>189</v>
      </c>
      <c r="I880" s="71" t="s">
        <v>189</v>
      </c>
      <c r="J880" s="71" t="s">
        <v>5107</v>
      </c>
      <c r="K880" s="71" t="s">
        <v>5108</v>
      </c>
      <c r="L880" s="71" t="s">
        <v>66</v>
      </c>
      <c r="M880" s="71"/>
      <c r="O880" s="72">
        <v>37852</v>
      </c>
      <c r="P880" s="71">
        <v>-1</v>
      </c>
      <c r="Q880" s="71" t="b">
        <v>0</v>
      </c>
      <c r="R880" s="22">
        <f t="shared" si="13"/>
        <v>1857</v>
      </c>
    </row>
    <row r="881" spans="1:18">
      <c r="A881" s="71">
        <v>4270</v>
      </c>
      <c r="B881" s="72">
        <v>36024</v>
      </c>
      <c r="C881" s="71" t="s">
        <v>5131</v>
      </c>
      <c r="D881" s="72">
        <v>36018</v>
      </c>
      <c r="E881" s="71" t="s">
        <v>5132</v>
      </c>
      <c r="F881" s="71" t="s">
        <v>70</v>
      </c>
      <c r="G881" s="71" t="s">
        <v>20</v>
      </c>
      <c r="H881" s="71" t="s">
        <v>71</v>
      </c>
      <c r="I881" s="71" t="s">
        <v>72</v>
      </c>
      <c r="J881" s="71" t="s">
        <v>5133</v>
      </c>
      <c r="K881" s="71"/>
      <c r="L881" s="71" t="s">
        <v>821</v>
      </c>
      <c r="M881" s="71" t="s">
        <v>1946</v>
      </c>
      <c r="O881" s="72">
        <v>36469</v>
      </c>
      <c r="P881" s="71"/>
      <c r="Q881" s="71" t="b">
        <v>0</v>
      </c>
      <c r="R881" s="22">
        <f t="shared" si="13"/>
        <v>444</v>
      </c>
    </row>
    <row r="882" spans="1:18">
      <c r="A882" s="71">
        <v>4278</v>
      </c>
      <c r="B882" s="72">
        <v>36039</v>
      </c>
      <c r="C882" s="71" t="s">
        <v>5151</v>
      </c>
      <c r="D882" s="72">
        <v>36034</v>
      </c>
      <c r="E882" s="71" t="s">
        <v>5152</v>
      </c>
      <c r="F882" s="71" t="s">
        <v>85</v>
      </c>
      <c r="G882" s="71" t="s">
        <v>20</v>
      </c>
      <c r="H882" s="71"/>
      <c r="I882" s="71"/>
      <c r="J882" s="71" t="s">
        <v>5153</v>
      </c>
      <c r="K882" s="71" t="s">
        <v>5154</v>
      </c>
      <c r="L882" s="71" t="s">
        <v>1946</v>
      </c>
      <c r="M882" s="71"/>
      <c r="O882" s="72">
        <v>36469</v>
      </c>
      <c r="P882" s="71"/>
      <c r="Q882" s="71" t="b">
        <v>0</v>
      </c>
      <c r="R882" s="22">
        <f t="shared" si="13"/>
        <v>429</v>
      </c>
    </row>
    <row r="883" spans="1:18">
      <c r="A883" s="71">
        <v>4280</v>
      </c>
      <c r="B883" s="72">
        <v>36041</v>
      </c>
      <c r="C883" s="71" t="s">
        <v>5155</v>
      </c>
      <c r="D883" s="72">
        <v>36040</v>
      </c>
      <c r="E883" s="71" t="s">
        <v>5156</v>
      </c>
      <c r="F883" s="71" t="s">
        <v>5157</v>
      </c>
      <c r="G883" s="71" t="s">
        <v>20</v>
      </c>
      <c r="H883" s="71" t="s">
        <v>566</v>
      </c>
      <c r="I883" s="71" t="s">
        <v>566</v>
      </c>
      <c r="J883" s="71" t="s">
        <v>5158</v>
      </c>
      <c r="K883" s="71" t="s">
        <v>5159</v>
      </c>
      <c r="L883" s="71" t="s">
        <v>66</v>
      </c>
      <c r="M883" s="71" t="s">
        <v>686</v>
      </c>
      <c r="O883" s="72">
        <v>37664</v>
      </c>
      <c r="P883" s="71"/>
      <c r="Q883" s="71" t="b">
        <v>0</v>
      </c>
      <c r="R883" s="22">
        <f t="shared" si="13"/>
        <v>1621</v>
      </c>
    </row>
    <row r="884" spans="1:18">
      <c r="A884" s="71">
        <v>4282</v>
      </c>
      <c r="B884" s="72">
        <v>36047</v>
      </c>
      <c r="C884" s="71" t="s">
        <v>5165</v>
      </c>
      <c r="D884" s="72">
        <v>36011</v>
      </c>
      <c r="E884" s="71" t="s">
        <v>5166</v>
      </c>
      <c r="F884" s="71" t="s">
        <v>70</v>
      </c>
      <c r="G884" s="71" t="s">
        <v>20</v>
      </c>
      <c r="H884" s="71" t="s">
        <v>71</v>
      </c>
      <c r="I884" s="71" t="s">
        <v>72</v>
      </c>
      <c r="J884" s="71" t="s">
        <v>5167</v>
      </c>
      <c r="K884" s="71" t="s">
        <v>5168</v>
      </c>
      <c r="L884" s="71" t="s">
        <v>686</v>
      </c>
      <c r="M884" s="71"/>
      <c r="O884" s="72">
        <v>36332</v>
      </c>
      <c r="P884" s="71"/>
      <c r="Q884" s="71" t="b">
        <v>0</v>
      </c>
      <c r="R884" s="22">
        <f t="shared" si="13"/>
        <v>285</v>
      </c>
    </row>
    <row r="885" spans="1:18">
      <c r="A885" s="71">
        <v>4283</v>
      </c>
      <c r="B885" s="72">
        <v>36056</v>
      </c>
      <c r="C885" s="71" t="s">
        <v>5169</v>
      </c>
      <c r="D885" s="72">
        <v>36048</v>
      </c>
      <c r="E885" s="71" t="s">
        <v>5170</v>
      </c>
      <c r="F885" s="71" t="s">
        <v>228</v>
      </c>
      <c r="G885" s="71" t="s">
        <v>20</v>
      </c>
      <c r="H885" s="71"/>
      <c r="I885" s="71"/>
      <c r="J885" s="71" t="s">
        <v>5171</v>
      </c>
      <c r="K885" s="71" t="s">
        <v>739</v>
      </c>
      <c r="L885" s="71" t="s">
        <v>66</v>
      </c>
      <c r="M885" s="71"/>
      <c r="O885" s="72">
        <v>36481</v>
      </c>
      <c r="P885" s="71"/>
      <c r="Q885" s="71" t="b">
        <v>0</v>
      </c>
      <c r="R885" s="22">
        <f t="shared" si="13"/>
        <v>424</v>
      </c>
    </row>
    <row r="886" spans="1:18">
      <c r="A886" s="71">
        <v>4308</v>
      </c>
      <c r="B886" s="72">
        <v>36111</v>
      </c>
      <c r="C886" s="71" t="s">
        <v>5211</v>
      </c>
      <c r="D886" s="72">
        <v>36108</v>
      </c>
      <c r="E886" s="71" t="s">
        <v>5212</v>
      </c>
      <c r="F886" s="71" t="s">
        <v>345</v>
      </c>
      <c r="G886" s="71" t="s">
        <v>20</v>
      </c>
      <c r="H886" s="71" t="s">
        <v>71</v>
      </c>
      <c r="I886" s="71" t="s">
        <v>71</v>
      </c>
      <c r="J886" s="71" t="s">
        <v>5213</v>
      </c>
      <c r="K886" s="71" t="s">
        <v>5214</v>
      </c>
      <c r="L886" s="71" t="s">
        <v>2205</v>
      </c>
      <c r="M886" s="71" t="s">
        <v>5215</v>
      </c>
      <c r="N886" s="71"/>
      <c r="O886" s="72">
        <v>38489</v>
      </c>
      <c r="P886" s="71"/>
      <c r="Q886" s="71" t="b">
        <v>0</v>
      </c>
      <c r="R886" s="22">
        <f t="shared" si="13"/>
        <v>2377</v>
      </c>
    </row>
    <row r="887" spans="1:18">
      <c r="A887" s="71">
        <v>4311</v>
      </c>
      <c r="B887" s="72">
        <v>36120</v>
      </c>
      <c r="C887" s="71" t="s">
        <v>5219</v>
      </c>
      <c r="D887" s="72">
        <v>36115</v>
      </c>
      <c r="E887" s="71" t="s">
        <v>5220</v>
      </c>
      <c r="F887" s="71" t="s">
        <v>39</v>
      </c>
      <c r="G887" s="71" t="s">
        <v>20</v>
      </c>
      <c r="H887" s="71"/>
      <c r="I887" s="71"/>
      <c r="J887" s="71" t="s">
        <v>5221</v>
      </c>
      <c r="K887" s="71" t="s">
        <v>5222</v>
      </c>
      <c r="L887" s="71" t="s">
        <v>1946</v>
      </c>
      <c r="M887" s="71"/>
      <c r="O887" s="72">
        <v>36486</v>
      </c>
      <c r="P887" s="71"/>
      <c r="Q887" s="71" t="b">
        <v>0</v>
      </c>
      <c r="R887" s="22">
        <f t="shared" si="13"/>
        <v>366</v>
      </c>
    </row>
    <row r="888" spans="1:18">
      <c r="A888" s="71">
        <v>4312</v>
      </c>
      <c r="B888" s="72">
        <v>36122</v>
      </c>
      <c r="C888" s="71" t="s">
        <v>5223</v>
      </c>
      <c r="D888" s="72">
        <v>36112</v>
      </c>
      <c r="E888" s="71" t="s">
        <v>5224</v>
      </c>
      <c r="F888" s="71" t="s">
        <v>4596</v>
      </c>
      <c r="G888" s="71" t="s">
        <v>20</v>
      </c>
      <c r="H888" s="71"/>
      <c r="I888" s="71"/>
      <c r="J888" s="71" t="s">
        <v>5225</v>
      </c>
      <c r="K888" s="71" t="s">
        <v>5226</v>
      </c>
      <c r="L888" s="71" t="s">
        <v>686</v>
      </c>
      <c r="M888" s="71"/>
      <c r="O888" s="72">
        <v>36495</v>
      </c>
      <c r="P888" s="71"/>
      <c r="Q888" s="71" t="b">
        <v>0</v>
      </c>
      <c r="R888" s="22">
        <f t="shared" si="13"/>
        <v>373</v>
      </c>
    </row>
    <row r="889" spans="1:18">
      <c r="A889" s="71">
        <v>4321</v>
      </c>
      <c r="B889" s="72">
        <v>36122</v>
      </c>
      <c r="C889" s="71" t="s">
        <v>5239</v>
      </c>
      <c r="D889" s="72">
        <v>36117</v>
      </c>
      <c r="E889" s="71" t="s">
        <v>5224</v>
      </c>
      <c r="F889" s="71" t="s">
        <v>974</v>
      </c>
      <c r="G889" s="71" t="s">
        <v>20</v>
      </c>
      <c r="H889" s="71" t="s">
        <v>212</v>
      </c>
      <c r="I889" s="71" t="s">
        <v>212</v>
      </c>
      <c r="J889" s="71" t="s">
        <v>5240</v>
      </c>
      <c r="K889" s="71"/>
      <c r="L889" s="71" t="s">
        <v>66</v>
      </c>
      <c r="M889" s="71" t="s">
        <v>1946</v>
      </c>
      <c r="O889" s="72">
        <v>37578</v>
      </c>
      <c r="P889" s="71">
        <v>-1</v>
      </c>
      <c r="Q889" s="71" t="b">
        <v>0</v>
      </c>
      <c r="R889" s="22">
        <f t="shared" si="13"/>
        <v>1454</v>
      </c>
    </row>
    <row r="890" spans="1:18">
      <c r="A890" s="71">
        <v>4322</v>
      </c>
      <c r="B890" s="72">
        <v>36122</v>
      </c>
      <c r="C890" s="71" t="s">
        <v>5241</v>
      </c>
      <c r="D890" s="72">
        <v>36117</v>
      </c>
      <c r="E890" s="71" t="s">
        <v>5242</v>
      </c>
      <c r="F890" s="71" t="s">
        <v>70</v>
      </c>
      <c r="G890" s="71" t="s">
        <v>20</v>
      </c>
      <c r="H890" s="71" t="s">
        <v>71</v>
      </c>
      <c r="I890" s="71" t="s">
        <v>72</v>
      </c>
      <c r="J890" s="71" t="s">
        <v>5243</v>
      </c>
      <c r="K890" s="71" t="s">
        <v>5244</v>
      </c>
      <c r="L890" s="71" t="s">
        <v>686</v>
      </c>
      <c r="M890" s="71"/>
      <c r="O890" s="72">
        <v>36234</v>
      </c>
      <c r="P890" s="71"/>
      <c r="Q890" s="71" t="b">
        <v>0</v>
      </c>
      <c r="R890" s="22">
        <f t="shared" si="13"/>
        <v>113</v>
      </c>
    </row>
    <row r="891" spans="1:18">
      <c r="A891" s="71">
        <v>4329</v>
      </c>
      <c r="B891" s="72">
        <v>36150</v>
      </c>
      <c r="C891" s="71" t="s">
        <v>5261</v>
      </c>
      <c r="D891" s="72">
        <v>36140</v>
      </c>
      <c r="E891" s="71" t="s">
        <v>5262</v>
      </c>
      <c r="F891" s="71" t="s">
        <v>104</v>
      </c>
      <c r="G891" s="71" t="s">
        <v>20</v>
      </c>
      <c r="H891" s="71"/>
      <c r="I891" s="71"/>
      <c r="J891" s="71" t="s">
        <v>269</v>
      </c>
      <c r="K891" s="71" t="s">
        <v>4358</v>
      </c>
      <c r="L891" s="71" t="s">
        <v>4579</v>
      </c>
      <c r="M891" s="71" t="s">
        <v>4652</v>
      </c>
      <c r="O891" s="72">
        <v>38644</v>
      </c>
      <c r="P891" s="71"/>
      <c r="Q891" s="71" t="b">
        <v>0</v>
      </c>
      <c r="R891" s="22">
        <f t="shared" si="13"/>
        <v>2492</v>
      </c>
    </row>
    <row r="892" spans="1:18">
      <c r="A892" s="71">
        <v>4330</v>
      </c>
      <c r="B892" s="72">
        <v>36145</v>
      </c>
      <c r="C892" s="71" t="s">
        <v>5263</v>
      </c>
      <c r="D892" s="72">
        <v>36140</v>
      </c>
      <c r="E892" s="71" t="s">
        <v>5264</v>
      </c>
      <c r="F892" s="71" t="s">
        <v>5265</v>
      </c>
      <c r="G892" s="71" t="s">
        <v>20</v>
      </c>
      <c r="H892" s="71"/>
      <c r="I892" s="71"/>
      <c r="J892" s="71" t="s">
        <v>5266</v>
      </c>
      <c r="K892" s="71" t="s">
        <v>5267</v>
      </c>
      <c r="L892" s="71" t="s">
        <v>66</v>
      </c>
      <c r="M892" s="71" t="s">
        <v>1946</v>
      </c>
      <c r="O892" s="72">
        <v>36713</v>
      </c>
      <c r="P892" s="71">
        <v>-1</v>
      </c>
      <c r="Q892" s="71" t="b">
        <v>0</v>
      </c>
      <c r="R892" s="22">
        <f t="shared" si="13"/>
        <v>567</v>
      </c>
    </row>
    <row r="893" spans="1:18">
      <c r="A893" s="71">
        <v>4332</v>
      </c>
      <c r="B893" s="72">
        <v>36157</v>
      </c>
      <c r="C893" s="71" t="s">
        <v>5268</v>
      </c>
      <c r="D893" s="72">
        <v>36151</v>
      </c>
      <c r="E893" s="71" t="s">
        <v>5269</v>
      </c>
      <c r="F893" s="71" t="s">
        <v>5270</v>
      </c>
      <c r="G893" s="71" t="s">
        <v>20</v>
      </c>
      <c r="H893" s="71"/>
      <c r="I893" s="71"/>
      <c r="J893" s="71" t="s">
        <v>448</v>
      </c>
      <c r="K893" s="71" t="s">
        <v>5271</v>
      </c>
      <c r="L893" s="71" t="s">
        <v>66</v>
      </c>
      <c r="M893" s="71" t="s">
        <v>1946</v>
      </c>
      <c r="O893" s="72">
        <v>37851</v>
      </c>
      <c r="P893" s="71">
        <v>-1</v>
      </c>
      <c r="Q893" s="71" t="b">
        <v>0</v>
      </c>
      <c r="R893" s="22">
        <f t="shared" si="13"/>
        <v>1693</v>
      </c>
    </row>
    <row r="894" spans="1:18">
      <c r="A894" s="71">
        <v>4335</v>
      </c>
      <c r="B894" s="72">
        <v>36160</v>
      </c>
      <c r="C894" s="71" t="s">
        <v>5275</v>
      </c>
      <c r="D894" s="72">
        <v>36159</v>
      </c>
      <c r="E894" s="71" t="s">
        <v>5276</v>
      </c>
      <c r="F894" s="71" t="s">
        <v>149</v>
      </c>
      <c r="G894" s="71" t="s">
        <v>20</v>
      </c>
      <c r="H894" s="71"/>
      <c r="I894" s="71"/>
      <c r="J894" s="71" t="s">
        <v>5277</v>
      </c>
      <c r="K894" s="71" t="s">
        <v>5278</v>
      </c>
      <c r="L894" s="71" t="s">
        <v>686</v>
      </c>
      <c r="M894" s="71"/>
      <c r="O894" s="72">
        <v>36276</v>
      </c>
      <c r="P894" s="71"/>
      <c r="Q894" s="71" t="b">
        <v>0</v>
      </c>
      <c r="R894" s="22">
        <f t="shared" si="13"/>
        <v>117</v>
      </c>
    </row>
    <row r="895" spans="1:18">
      <c r="A895" s="71">
        <v>4340</v>
      </c>
      <c r="B895" s="72">
        <v>36164</v>
      </c>
      <c r="C895" s="71" t="s">
        <v>5291</v>
      </c>
      <c r="D895" s="72">
        <v>36164</v>
      </c>
      <c r="E895" s="71" t="s">
        <v>5292</v>
      </c>
      <c r="F895" s="71" t="s">
        <v>4004</v>
      </c>
      <c r="G895" s="71" t="s">
        <v>20</v>
      </c>
      <c r="H895" s="71" t="s">
        <v>189</v>
      </c>
      <c r="I895" s="71" t="s">
        <v>189</v>
      </c>
      <c r="J895" s="71" t="s">
        <v>3639</v>
      </c>
      <c r="K895" s="71" t="s">
        <v>5293</v>
      </c>
      <c r="L895" s="71" t="s">
        <v>66</v>
      </c>
      <c r="M895" s="71"/>
      <c r="O895" s="72">
        <v>37733</v>
      </c>
      <c r="P895" s="71">
        <v>-1</v>
      </c>
      <c r="Q895" s="71" t="b">
        <v>0</v>
      </c>
      <c r="R895" s="22">
        <f t="shared" si="13"/>
        <v>1569</v>
      </c>
    </row>
    <row r="896" spans="1:18">
      <c r="A896" s="71">
        <v>4342</v>
      </c>
      <c r="B896" s="72">
        <v>36182</v>
      </c>
      <c r="C896" s="71" t="s">
        <v>5298</v>
      </c>
      <c r="D896" s="72">
        <v>36163</v>
      </c>
      <c r="E896" s="71" t="s">
        <v>5299</v>
      </c>
      <c r="F896" s="71" t="s">
        <v>27</v>
      </c>
      <c r="G896" s="71" t="s">
        <v>20</v>
      </c>
      <c r="H896" s="71"/>
      <c r="I896" s="71"/>
      <c r="J896" s="71" t="s">
        <v>5300</v>
      </c>
      <c r="K896" s="71"/>
      <c r="L896" s="71" t="s">
        <v>66</v>
      </c>
      <c r="M896" s="71" t="s">
        <v>686</v>
      </c>
      <c r="O896" s="72">
        <v>36497</v>
      </c>
      <c r="P896" s="71">
        <v>-1</v>
      </c>
      <c r="Q896" s="71" t="b">
        <v>0</v>
      </c>
      <c r="R896" s="22">
        <f t="shared" si="13"/>
        <v>315</v>
      </c>
    </row>
    <row r="897" spans="1:18">
      <c r="A897" s="71">
        <v>4343</v>
      </c>
      <c r="B897" s="72">
        <v>36185</v>
      </c>
      <c r="C897" s="71" t="s">
        <v>5301</v>
      </c>
      <c r="D897" s="72">
        <v>36180</v>
      </c>
      <c r="E897" s="71" t="s">
        <v>5302</v>
      </c>
      <c r="F897" s="71" t="s">
        <v>228</v>
      </c>
      <c r="G897" s="71" t="s">
        <v>20</v>
      </c>
      <c r="H897" s="71"/>
      <c r="I897" s="71"/>
      <c r="J897" s="71" t="s">
        <v>5303</v>
      </c>
      <c r="K897" s="71" t="s">
        <v>5304</v>
      </c>
      <c r="L897" s="71" t="s">
        <v>4282</v>
      </c>
      <c r="M897" s="71" t="s">
        <v>4283</v>
      </c>
      <c r="O897" s="72">
        <v>38069</v>
      </c>
      <c r="P897" s="71"/>
      <c r="Q897" s="71" t="b">
        <v>0</v>
      </c>
      <c r="R897" s="22">
        <f t="shared" si="13"/>
        <v>1883</v>
      </c>
    </row>
    <row r="898" spans="1:18">
      <c r="A898" s="71">
        <v>4461</v>
      </c>
      <c r="B898" s="72">
        <v>36189</v>
      </c>
      <c r="C898" s="71" t="s">
        <v>5419</v>
      </c>
      <c r="D898" s="72">
        <v>36192</v>
      </c>
      <c r="E898" s="71" t="s">
        <v>5420</v>
      </c>
      <c r="F898" s="71" t="s">
        <v>56</v>
      </c>
      <c r="G898" s="71" t="s">
        <v>20</v>
      </c>
      <c r="H898" s="71"/>
      <c r="I898" s="71"/>
      <c r="J898" s="71" t="s">
        <v>5421</v>
      </c>
      <c r="K898" s="71"/>
      <c r="L898" s="71" t="s">
        <v>686</v>
      </c>
      <c r="M898" s="71"/>
      <c r="O898" s="72">
        <v>36265</v>
      </c>
      <c r="P898" s="71"/>
      <c r="Q898" s="71" t="b">
        <v>0</v>
      </c>
      <c r="R898" s="22">
        <f t="shared" ref="R898:R961" si="14">IF(O898=" ", " ", INT(YEARFRAC(O898, B898)*365))</f>
        <v>77</v>
      </c>
    </row>
    <row r="899" spans="1:18">
      <c r="A899" s="71">
        <v>4486</v>
      </c>
      <c r="B899" s="72">
        <v>36326</v>
      </c>
      <c r="C899" s="71" t="s">
        <v>5425</v>
      </c>
      <c r="D899" s="72">
        <v>36319</v>
      </c>
      <c r="E899" s="71" t="s">
        <v>5426</v>
      </c>
      <c r="F899" s="71" t="s">
        <v>5427</v>
      </c>
      <c r="G899" s="71" t="s">
        <v>20</v>
      </c>
      <c r="H899" s="71" t="s">
        <v>189</v>
      </c>
      <c r="I899" s="71" t="s">
        <v>189</v>
      </c>
      <c r="J899" s="71" t="s">
        <v>5428</v>
      </c>
      <c r="K899" s="71" t="s">
        <v>5429</v>
      </c>
      <c r="L899" s="71" t="s">
        <v>4282</v>
      </c>
      <c r="M899" s="71" t="s">
        <v>4283</v>
      </c>
      <c r="O899" s="72">
        <v>38504</v>
      </c>
      <c r="P899" s="71">
        <v>-1</v>
      </c>
      <c r="Q899" s="71" t="b">
        <v>0</v>
      </c>
      <c r="R899" s="22">
        <f t="shared" si="14"/>
        <v>2175</v>
      </c>
    </row>
    <row r="900" spans="1:18">
      <c r="A900" s="71">
        <v>4602</v>
      </c>
      <c r="B900" s="72">
        <v>36196</v>
      </c>
      <c r="C900" s="71" t="s">
        <v>5599</v>
      </c>
      <c r="D900" s="72">
        <v>36192</v>
      </c>
      <c r="E900" s="71" t="s">
        <v>5600</v>
      </c>
      <c r="F900" s="71" t="s">
        <v>5270</v>
      </c>
      <c r="G900" s="71" t="s">
        <v>20</v>
      </c>
      <c r="H900" s="71"/>
      <c r="I900" s="71"/>
      <c r="J900" s="71" t="s">
        <v>5601</v>
      </c>
      <c r="K900" s="71" t="s">
        <v>5602</v>
      </c>
      <c r="L900" s="71" t="s">
        <v>66</v>
      </c>
      <c r="M900" s="71" t="s">
        <v>686</v>
      </c>
      <c r="O900" s="72">
        <v>37908</v>
      </c>
      <c r="P900" s="71"/>
      <c r="Q900" s="71" t="b">
        <v>0</v>
      </c>
      <c r="R900" s="22">
        <f t="shared" si="14"/>
        <v>1712</v>
      </c>
    </row>
    <row r="901" spans="1:18">
      <c r="A901" s="71">
        <v>4642</v>
      </c>
      <c r="B901" s="72">
        <v>36217</v>
      </c>
      <c r="C901" s="71" t="s">
        <v>5654</v>
      </c>
      <c r="D901" s="72">
        <v>36214</v>
      </c>
      <c r="E901" s="71" t="s">
        <v>5655</v>
      </c>
      <c r="F901" s="71" t="s">
        <v>27</v>
      </c>
      <c r="G901" s="71" t="s">
        <v>20</v>
      </c>
      <c r="H901" s="71"/>
      <c r="I901" s="71"/>
      <c r="J901" s="71" t="s">
        <v>5656</v>
      </c>
      <c r="K901" s="71" t="s">
        <v>5657</v>
      </c>
      <c r="L901" s="71" t="s">
        <v>686</v>
      </c>
      <c r="M901" s="71"/>
      <c r="O901" s="72">
        <v>36297</v>
      </c>
      <c r="P901" s="71"/>
      <c r="Q901" s="71" t="b">
        <v>0</v>
      </c>
      <c r="R901" s="22">
        <f t="shared" si="14"/>
        <v>82</v>
      </c>
    </row>
    <row r="902" spans="1:18">
      <c r="A902" s="71">
        <v>4646</v>
      </c>
      <c r="B902" s="72">
        <v>35499</v>
      </c>
      <c r="C902" s="71" t="s">
        <v>5661</v>
      </c>
      <c r="D902" s="72">
        <v>35499</v>
      </c>
      <c r="E902" s="71" t="s">
        <v>4331</v>
      </c>
      <c r="F902" s="71" t="s">
        <v>216</v>
      </c>
      <c r="G902" s="71" t="s">
        <v>20</v>
      </c>
      <c r="H902" s="71"/>
      <c r="I902" s="71"/>
      <c r="J902" s="71" t="s">
        <v>4332</v>
      </c>
      <c r="K902" s="71" t="s">
        <v>5662</v>
      </c>
      <c r="L902" s="71" t="s">
        <v>686</v>
      </c>
      <c r="M902" s="71"/>
      <c r="O902" s="72">
        <v>36220</v>
      </c>
      <c r="P902" s="71"/>
      <c r="Q902" s="71" t="b">
        <v>0</v>
      </c>
      <c r="R902" s="22">
        <f t="shared" si="14"/>
        <v>720</v>
      </c>
    </row>
    <row r="903" spans="1:18">
      <c r="A903" s="71">
        <v>4666</v>
      </c>
      <c r="B903" s="72">
        <v>36241</v>
      </c>
      <c r="C903" s="71" t="s">
        <v>5688</v>
      </c>
      <c r="D903" s="72">
        <v>36241</v>
      </c>
      <c r="E903" s="71" t="s">
        <v>5689</v>
      </c>
      <c r="F903" s="71" t="s">
        <v>5690</v>
      </c>
      <c r="G903" s="71" t="s">
        <v>20</v>
      </c>
      <c r="H903" s="71" t="s">
        <v>71</v>
      </c>
      <c r="I903" s="71" t="s">
        <v>72</v>
      </c>
      <c r="J903" s="71" t="s">
        <v>5691</v>
      </c>
      <c r="K903" s="71" t="s">
        <v>5692</v>
      </c>
      <c r="L903" s="71" t="s">
        <v>66</v>
      </c>
      <c r="M903" s="71"/>
      <c r="O903" s="72">
        <v>37033</v>
      </c>
      <c r="P903" s="71"/>
      <c r="Q903" s="71" t="b">
        <v>0</v>
      </c>
      <c r="R903" s="22">
        <f t="shared" si="14"/>
        <v>790</v>
      </c>
    </row>
    <row r="904" spans="1:18">
      <c r="A904" s="71">
        <v>4668</v>
      </c>
      <c r="B904" s="72">
        <v>35890</v>
      </c>
      <c r="C904" s="71" t="s">
        <v>5697</v>
      </c>
      <c r="D904" s="72">
        <v>36255</v>
      </c>
      <c r="E904" s="71" t="s">
        <v>5698</v>
      </c>
      <c r="F904" s="71" t="s">
        <v>283</v>
      </c>
      <c r="G904" s="71" t="s">
        <v>20</v>
      </c>
      <c r="H904" s="71"/>
      <c r="I904" s="71"/>
      <c r="J904" s="71" t="s">
        <v>5699</v>
      </c>
      <c r="K904" s="71"/>
      <c r="L904" s="71" t="s">
        <v>66</v>
      </c>
      <c r="M904" s="71"/>
      <c r="O904" s="72">
        <v>36448</v>
      </c>
      <c r="P904" s="71">
        <v>-1</v>
      </c>
      <c r="Q904" s="71" t="b">
        <v>0</v>
      </c>
      <c r="R904" s="22">
        <f t="shared" si="14"/>
        <v>557</v>
      </c>
    </row>
    <row r="905" spans="1:18">
      <c r="A905" s="71">
        <v>4670</v>
      </c>
      <c r="B905" s="72">
        <v>36257</v>
      </c>
      <c r="C905" s="71" t="s">
        <v>5702</v>
      </c>
      <c r="D905" s="72">
        <v>36255</v>
      </c>
      <c r="E905" s="71" t="s">
        <v>5703</v>
      </c>
      <c r="F905" s="71" t="s">
        <v>5704</v>
      </c>
      <c r="G905" s="71" t="s">
        <v>20</v>
      </c>
      <c r="H905" s="71"/>
      <c r="I905" s="71"/>
      <c r="J905" s="71" t="s">
        <v>5705</v>
      </c>
      <c r="K905" s="71" t="s">
        <v>5706</v>
      </c>
      <c r="L905" s="71" t="s">
        <v>66</v>
      </c>
      <c r="M905" s="71" t="s">
        <v>686</v>
      </c>
      <c r="O905" s="72">
        <v>37719</v>
      </c>
      <c r="P905" s="71"/>
      <c r="Q905" s="71" t="b">
        <v>0</v>
      </c>
      <c r="R905" s="22">
        <f t="shared" si="14"/>
        <v>1461</v>
      </c>
    </row>
    <row r="906" spans="1:18">
      <c r="A906" s="71">
        <v>4676</v>
      </c>
      <c r="B906" s="72">
        <v>36269</v>
      </c>
      <c r="C906" s="71" t="s">
        <v>5713</v>
      </c>
      <c r="D906" s="72">
        <v>36269</v>
      </c>
      <c r="E906" s="71" t="s">
        <v>5714</v>
      </c>
      <c r="F906" s="71" t="s">
        <v>4004</v>
      </c>
      <c r="G906" s="71" t="s">
        <v>20</v>
      </c>
      <c r="H906" s="71" t="s">
        <v>189</v>
      </c>
      <c r="I906" s="71" t="s">
        <v>189</v>
      </c>
      <c r="J906" s="71" t="s">
        <v>1248</v>
      </c>
      <c r="K906" s="71" t="s">
        <v>5715</v>
      </c>
      <c r="L906" s="71" t="s">
        <v>66</v>
      </c>
      <c r="M906" s="71"/>
      <c r="O906" s="72">
        <v>37824</v>
      </c>
      <c r="P906" s="71">
        <v>-1</v>
      </c>
      <c r="Q906" s="71" t="b">
        <v>0</v>
      </c>
      <c r="R906" s="22">
        <f t="shared" si="14"/>
        <v>1554</v>
      </c>
    </row>
    <row r="907" spans="1:18">
      <c r="A907" s="71">
        <v>4684</v>
      </c>
      <c r="B907" s="72">
        <v>36292</v>
      </c>
      <c r="C907" s="71" t="s">
        <v>5724</v>
      </c>
      <c r="D907" s="72">
        <v>36283</v>
      </c>
      <c r="E907" s="71" t="s">
        <v>5725</v>
      </c>
      <c r="F907" s="71" t="s">
        <v>974</v>
      </c>
      <c r="G907" s="71" t="s">
        <v>20</v>
      </c>
      <c r="H907" s="71" t="s">
        <v>5726</v>
      </c>
      <c r="I907" s="71" t="s">
        <v>212</v>
      </c>
      <c r="J907" s="71" t="s">
        <v>5727</v>
      </c>
      <c r="K907" s="71" t="s">
        <v>5728</v>
      </c>
      <c r="L907" s="71" t="s">
        <v>66</v>
      </c>
      <c r="M907" s="71"/>
      <c r="O907" s="72">
        <v>36312</v>
      </c>
      <c r="P907" s="71"/>
      <c r="Q907" s="71" t="b">
        <v>0</v>
      </c>
      <c r="R907" s="22">
        <f t="shared" si="14"/>
        <v>19</v>
      </c>
    </row>
    <row r="908" spans="1:18">
      <c r="A908" s="71">
        <v>4685</v>
      </c>
      <c r="B908" s="72">
        <v>36292</v>
      </c>
      <c r="C908" s="71" t="s">
        <v>5729</v>
      </c>
      <c r="D908" s="72">
        <v>36283</v>
      </c>
      <c r="E908" s="71" t="s">
        <v>5730</v>
      </c>
      <c r="F908" s="71" t="s">
        <v>974</v>
      </c>
      <c r="G908" s="71" t="s">
        <v>20</v>
      </c>
      <c r="H908" s="71" t="s">
        <v>212</v>
      </c>
      <c r="I908" s="71" t="s">
        <v>212</v>
      </c>
      <c r="J908" s="71" t="s">
        <v>5731</v>
      </c>
      <c r="K908" s="71"/>
      <c r="L908" s="71" t="s">
        <v>66</v>
      </c>
      <c r="M908" s="71"/>
      <c r="O908" s="72">
        <v>36312</v>
      </c>
      <c r="P908" s="71"/>
      <c r="Q908" s="71" t="b">
        <v>0</v>
      </c>
      <c r="R908" s="22">
        <f t="shared" si="14"/>
        <v>19</v>
      </c>
    </row>
    <row r="909" spans="1:18">
      <c r="A909" s="71">
        <v>4686</v>
      </c>
      <c r="B909" s="72">
        <v>36292</v>
      </c>
      <c r="C909" s="71" t="s">
        <v>5732</v>
      </c>
      <c r="D909" s="72">
        <v>36285</v>
      </c>
      <c r="E909" s="71" t="s">
        <v>5733</v>
      </c>
      <c r="F909" s="71" t="s">
        <v>70</v>
      </c>
      <c r="G909" s="71" t="s">
        <v>20</v>
      </c>
      <c r="H909" s="71" t="s">
        <v>71</v>
      </c>
      <c r="I909" s="71" t="s">
        <v>72</v>
      </c>
      <c r="J909" s="71" t="s">
        <v>3083</v>
      </c>
      <c r="K909" s="71"/>
      <c r="L909" s="71" t="s">
        <v>4282</v>
      </c>
      <c r="M909" s="71" t="s">
        <v>5734</v>
      </c>
      <c r="O909" s="72">
        <v>37127</v>
      </c>
      <c r="P909" s="71"/>
      <c r="Q909" s="71" t="b">
        <v>0</v>
      </c>
      <c r="R909" s="22">
        <f t="shared" si="14"/>
        <v>833</v>
      </c>
    </row>
    <row r="910" spans="1:18">
      <c r="A910" s="71">
        <v>4690</v>
      </c>
      <c r="B910" s="72">
        <v>36304</v>
      </c>
      <c r="C910" s="71" t="s">
        <v>5741</v>
      </c>
      <c r="D910" s="72">
        <v>36300</v>
      </c>
      <c r="E910" s="71" t="s">
        <v>5742</v>
      </c>
      <c r="F910" s="71" t="s">
        <v>104</v>
      </c>
      <c r="G910" s="71" t="s">
        <v>20</v>
      </c>
      <c r="H910" s="71"/>
      <c r="I910" s="71"/>
      <c r="J910" s="71" t="s">
        <v>5743</v>
      </c>
      <c r="K910" s="71" t="s">
        <v>5744</v>
      </c>
      <c r="L910" s="71" t="s">
        <v>3588</v>
      </c>
      <c r="M910" s="71" t="s">
        <v>5745</v>
      </c>
      <c r="O910" s="72">
        <v>40883</v>
      </c>
      <c r="P910" s="71"/>
      <c r="Q910" s="71" t="b">
        <v>0</v>
      </c>
      <c r="R910" s="22">
        <f t="shared" si="14"/>
        <v>4574</v>
      </c>
    </row>
    <row r="911" spans="1:18">
      <c r="A911" s="71">
        <v>4698</v>
      </c>
      <c r="B911" s="72">
        <v>36315</v>
      </c>
      <c r="C911" s="71" t="s">
        <v>5764</v>
      </c>
      <c r="D911" s="72">
        <v>36306</v>
      </c>
      <c r="E911" s="71" t="s">
        <v>5765</v>
      </c>
      <c r="F911" s="71" t="s">
        <v>5766</v>
      </c>
      <c r="G911" s="71" t="s">
        <v>20</v>
      </c>
      <c r="H911" s="71" t="s">
        <v>212</v>
      </c>
      <c r="I911" s="71" t="s">
        <v>212</v>
      </c>
      <c r="J911" s="71" t="s">
        <v>5767</v>
      </c>
      <c r="K911" s="71" t="s">
        <v>5768</v>
      </c>
      <c r="L911" s="71" t="s">
        <v>66</v>
      </c>
      <c r="M911" s="71"/>
      <c r="O911" s="72">
        <v>36458</v>
      </c>
      <c r="P911" s="71"/>
      <c r="Q911" s="71" t="b">
        <v>0</v>
      </c>
      <c r="R911" s="22">
        <f t="shared" si="14"/>
        <v>142</v>
      </c>
    </row>
    <row r="912" spans="1:18">
      <c r="A912" s="71">
        <v>4699</v>
      </c>
      <c r="B912" s="72">
        <v>36318</v>
      </c>
      <c r="C912" s="71" t="s">
        <v>5769</v>
      </c>
      <c r="D912" s="72">
        <v>36313</v>
      </c>
      <c r="E912" s="71" t="s">
        <v>5770</v>
      </c>
      <c r="F912" s="71" t="s">
        <v>367</v>
      </c>
      <c r="G912" s="71" t="s">
        <v>20</v>
      </c>
      <c r="H912" s="71" t="s">
        <v>71</v>
      </c>
      <c r="I912" s="71" t="s">
        <v>72</v>
      </c>
      <c r="J912" s="71" t="s">
        <v>5771</v>
      </c>
      <c r="K912" s="71" t="s">
        <v>5772</v>
      </c>
      <c r="L912" s="71" t="s">
        <v>4282</v>
      </c>
      <c r="M912" s="71" t="s">
        <v>4283</v>
      </c>
      <c r="O912" s="72">
        <v>37256</v>
      </c>
      <c r="P912" s="71"/>
      <c r="Q912" s="71" t="b">
        <v>0</v>
      </c>
      <c r="R912" s="22">
        <f t="shared" si="14"/>
        <v>936</v>
      </c>
    </row>
    <row r="913" spans="1:18">
      <c r="A913" s="71">
        <v>4701</v>
      </c>
      <c r="B913" s="72">
        <v>36326</v>
      </c>
      <c r="C913" s="71" t="s">
        <v>5777</v>
      </c>
      <c r="D913" s="72">
        <v>36319</v>
      </c>
      <c r="E913" s="71" t="s">
        <v>5778</v>
      </c>
      <c r="F913" s="71" t="s">
        <v>455</v>
      </c>
      <c r="G913" s="71" t="s">
        <v>20</v>
      </c>
      <c r="H913" s="71" t="s">
        <v>71</v>
      </c>
      <c r="I913" s="71" t="s">
        <v>72</v>
      </c>
      <c r="J913" s="71" t="s">
        <v>5779</v>
      </c>
      <c r="K913" s="71" t="s">
        <v>5780</v>
      </c>
      <c r="L913" s="71" t="s">
        <v>66</v>
      </c>
      <c r="M913" s="71" t="s">
        <v>821</v>
      </c>
      <c r="O913" s="72">
        <v>36927</v>
      </c>
      <c r="P913" s="71"/>
      <c r="Q913" s="71" t="b">
        <v>0</v>
      </c>
      <c r="R913" s="22">
        <f t="shared" si="14"/>
        <v>598</v>
      </c>
    </row>
    <row r="914" spans="1:18">
      <c r="A914" s="71">
        <v>4702</v>
      </c>
      <c r="B914" s="72">
        <v>36326</v>
      </c>
      <c r="C914" s="71" t="s">
        <v>5781</v>
      </c>
      <c r="D914" s="72">
        <v>36317</v>
      </c>
      <c r="E914" s="71" t="s">
        <v>5782</v>
      </c>
      <c r="F914" s="71" t="s">
        <v>124</v>
      </c>
      <c r="G914" s="71" t="s">
        <v>20</v>
      </c>
      <c r="H914" s="71"/>
      <c r="I914" s="71"/>
      <c r="J914" s="71" t="s">
        <v>5783</v>
      </c>
      <c r="K914" s="71" t="s">
        <v>5784</v>
      </c>
      <c r="L914" s="71" t="s">
        <v>66</v>
      </c>
      <c r="M914" s="71"/>
      <c r="O914" s="72">
        <v>36892</v>
      </c>
      <c r="P914" s="71">
        <v>-1</v>
      </c>
      <c r="Q914" s="71" t="b">
        <v>0</v>
      </c>
      <c r="R914" s="22">
        <f t="shared" si="14"/>
        <v>563</v>
      </c>
    </row>
    <row r="915" spans="1:18">
      <c r="A915" s="71">
        <v>4708</v>
      </c>
      <c r="B915" s="72">
        <v>35296</v>
      </c>
      <c r="C915" s="71" t="s">
        <v>4050</v>
      </c>
      <c r="D915" s="72">
        <v>35290</v>
      </c>
      <c r="E915" s="71" t="s">
        <v>4051</v>
      </c>
      <c r="F915" s="71" t="s">
        <v>104</v>
      </c>
      <c r="G915" s="71" t="s">
        <v>20</v>
      </c>
      <c r="H915" s="71"/>
      <c r="I915" s="71"/>
      <c r="J915" s="71" t="s">
        <v>5796</v>
      </c>
      <c r="K915" s="71" t="s">
        <v>5797</v>
      </c>
      <c r="L915" s="71" t="s">
        <v>314</v>
      </c>
      <c r="M915" s="71" t="s">
        <v>3817</v>
      </c>
      <c r="O915" s="72">
        <v>37957</v>
      </c>
      <c r="P915" s="71"/>
      <c r="Q915" s="71" t="b">
        <v>0</v>
      </c>
      <c r="R915" s="22">
        <f t="shared" si="14"/>
        <v>2659</v>
      </c>
    </row>
    <row r="916" spans="1:18">
      <c r="A916" s="71">
        <v>4715</v>
      </c>
      <c r="B916" s="72">
        <v>36336</v>
      </c>
      <c r="C916" s="71" t="s">
        <v>5815</v>
      </c>
      <c r="D916" s="72">
        <v>36336</v>
      </c>
      <c r="E916" s="71" t="s">
        <v>5816</v>
      </c>
      <c r="F916" s="71" t="s">
        <v>104</v>
      </c>
      <c r="G916" s="71" t="s">
        <v>20</v>
      </c>
      <c r="H916" s="71"/>
      <c r="I916" s="71"/>
      <c r="J916" s="71" t="s">
        <v>5817</v>
      </c>
      <c r="K916" s="71"/>
      <c r="L916" s="71" t="s">
        <v>66</v>
      </c>
      <c r="M916" s="71"/>
      <c r="O916" s="72">
        <v>37704</v>
      </c>
      <c r="P916" s="71"/>
      <c r="Q916" s="71" t="b">
        <v>0</v>
      </c>
      <c r="R916" s="22">
        <f t="shared" si="14"/>
        <v>1367</v>
      </c>
    </row>
    <row r="917" spans="1:18">
      <c r="A917" s="71">
        <v>5134</v>
      </c>
      <c r="B917" s="72">
        <v>36411</v>
      </c>
      <c r="C917" s="71" t="s">
        <v>5891</v>
      </c>
      <c r="D917" s="72">
        <v>36406</v>
      </c>
      <c r="E917" s="71" t="s">
        <v>5892</v>
      </c>
      <c r="F917" s="71" t="s">
        <v>70</v>
      </c>
      <c r="G917" s="71" t="s">
        <v>20</v>
      </c>
      <c r="H917" s="71" t="s">
        <v>71</v>
      </c>
      <c r="I917" s="71" t="s">
        <v>72</v>
      </c>
      <c r="J917" s="71" t="s">
        <v>5893</v>
      </c>
      <c r="K917" s="71" t="s">
        <v>5894</v>
      </c>
      <c r="L917" s="71" t="s">
        <v>66</v>
      </c>
      <c r="M917" s="71"/>
      <c r="O917" s="72">
        <v>37678</v>
      </c>
      <c r="P917" s="71"/>
      <c r="Q917" s="71" t="b">
        <v>0</v>
      </c>
      <c r="R917" s="22">
        <f t="shared" si="14"/>
        <v>1265</v>
      </c>
    </row>
    <row r="918" spans="1:18">
      <c r="A918" s="71">
        <v>5141</v>
      </c>
      <c r="B918" s="72">
        <v>36418</v>
      </c>
      <c r="C918" s="71" t="s">
        <v>5913</v>
      </c>
      <c r="D918" s="72">
        <v>36416</v>
      </c>
      <c r="E918" s="71" t="s">
        <v>5914</v>
      </c>
      <c r="F918" s="71" t="s">
        <v>5915</v>
      </c>
      <c r="G918" s="71" t="s">
        <v>20</v>
      </c>
      <c r="H918" s="71" t="s">
        <v>566</v>
      </c>
      <c r="I918" s="71" t="s">
        <v>566</v>
      </c>
      <c r="J918" s="71" t="s">
        <v>5916</v>
      </c>
      <c r="K918" s="71" t="s">
        <v>5917</v>
      </c>
      <c r="L918" s="71" t="s">
        <v>66</v>
      </c>
      <c r="M918" s="71"/>
      <c r="O918" s="72">
        <v>37697</v>
      </c>
      <c r="P918" s="71"/>
      <c r="Q918" s="71" t="b">
        <v>0</v>
      </c>
      <c r="R918" s="22">
        <f t="shared" si="14"/>
        <v>1279</v>
      </c>
    </row>
    <row r="919" spans="1:18">
      <c r="A919" s="71">
        <v>5150</v>
      </c>
      <c r="B919" s="72">
        <v>36437</v>
      </c>
      <c r="C919" s="71" t="s">
        <v>5934</v>
      </c>
      <c r="D919" s="72">
        <v>35454</v>
      </c>
      <c r="E919" s="71" t="s">
        <v>5935</v>
      </c>
      <c r="F919" s="71" t="s">
        <v>494</v>
      </c>
      <c r="G919" s="71" t="s">
        <v>20</v>
      </c>
      <c r="H919" s="71" t="s">
        <v>212</v>
      </c>
      <c r="I919" s="71" t="s">
        <v>212</v>
      </c>
      <c r="J919" s="71" t="s">
        <v>5936</v>
      </c>
      <c r="K919" s="71" t="s">
        <v>5937</v>
      </c>
      <c r="L919" s="71" t="s">
        <v>821</v>
      </c>
      <c r="M919" s="71"/>
      <c r="O919" s="72">
        <v>36794</v>
      </c>
      <c r="P919" s="71">
        <v>-1</v>
      </c>
      <c r="Q919" s="71" t="b">
        <v>0</v>
      </c>
      <c r="R919" s="22">
        <f t="shared" si="14"/>
        <v>355</v>
      </c>
    </row>
    <row r="920" spans="1:18">
      <c r="A920" s="71">
        <v>5154</v>
      </c>
      <c r="B920" s="72">
        <v>36444</v>
      </c>
      <c r="C920" s="71" t="s">
        <v>5938</v>
      </c>
      <c r="D920" s="72">
        <v>36436</v>
      </c>
      <c r="E920" s="71" t="s">
        <v>5914</v>
      </c>
      <c r="F920" s="71" t="s">
        <v>149</v>
      </c>
      <c r="G920" s="71" t="s">
        <v>20</v>
      </c>
      <c r="H920" s="71"/>
      <c r="I920" s="71"/>
      <c r="J920" s="71" t="s">
        <v>5939</v>
      </c>
      <c r="K920" s="71" t="s">
        <v>5940</v>
      </c>
      <c r="L920" s="71" t="s">
        <v>3930</v>
      </c>
      <c r="M920" s="71"/>
      <c r="O920" s="72">
        <v>36445</v>
      </c>
      <c r="P920" s="71"/>
      <c r="Q920" s="71" t="b">
        <v>0</v>
      </c>
      <c r="R920" s="22">
        <f t="shared" si="14"/>
        <v>1</v>
      </c>
    </row>
    <row r="921" spans="1:18">
      <c r="A921" s="71">
        <v>5161</v>
      </c>
      <c r="B921" s="72">
        <v>36448</v>
      </c>
      <c r="C921" s="71" t="s">
        <v>5948</v>
      </c>
      <c r="D921" s="72">
        <v>36089</v>
      </c>
      <c r="E921" s="71" t="s">
        <v>5949</v>
      </c>
      <c r="F921" s="71" t="s">
        <v>3171</v>
      </c>
      <c r="G921" s="71" t="s">
        <v>20</v>
      </c>
      <c r="H921" s="71" t="s">
        <v>566</v>
      </c>
      <c r="I921" s="71" t="s">
        <v>566</v>
      </c>
      <c r="J921" s="71" t="s">
        <v>5950</v>
      </c>
      <c r="K921" s="71"/>
      <c r="L921" s="71" t="s">
        <v>66</v>
      </c>
      <c r="M921" s="71"/>
      <c r="O921" s="72">
        <v>36453</v>
      </c>
      <c r="P921" s="71"/>
      <c r="Q921" s="71" t="b">
        <v>0</v>
      </c>
      <c r="R921" s="22">
        <f t="shared" si="14"/>
        <v>5</v>
      </c>
    </row>
    <row r="922" spans="1:18">
      <c r="A922" s="71">
        <v>5173</v>
      </c>
      <c r="B922" s="72">
        <v>36476</v>
      </c>
      <c r="C922" s="71" t="s">
        <v>5979</v>
      </c>
      <c r="D922" s="72">
        <v>36473</v>
      </c>
      <c r="E922" s="71" t="s">
        <v>5980</v>
      </c>
      <c r="F922" s="71" t="s">
        <v>39</v>
      </c>
      <c r="G922" s="71" t="s">
        <v>20</v>
      </c>
      <c r="H922" s="71"/>
      <c r="I922" s="71"/>
      <c r="J922" s="71" t="s">
        <v>5981</v>
      </c>
      <c r="K922" s="71" t="s">
        <v>5982</v>
      </c>
      <c r="L922" s="71" t="s">
        <v>4282</v>
      </c>
      <c r="M922" s="71" t="s">
        <v>3930</v>
      </c>
      <c r="O922" s="72">
        <v>38026</v>
      </c>
      <c r="P922" s="71"/>
      <c r="Q922" s="71" t="b">
        <v>0</v>
      </c>
      <c r="R922" s="22">
        <f t="shared" si="14"/>
        <v>1548</v>
      </c>
    </row>
    <row r="923" spans="1:18">
      <c r="A923" s="71">
        <v>5174</v>
      </c>
      <c r="B923" s="72">
        <v>36478</v>
      </c>
      <c r="C923" s="71" t="s">
        <v>5983</v>
      </c>
      <c r="D923" s="72">
        <v>36462</v>
      </c>
      <c r="E923" s="71" t="s">
        <v>5984</v>
      </c>
      <c r="F923" s="71" t="s">
        <v>2296</v>
      </c>
      <c r="G923" s="71" t="s">
        <v>20</v>
      </c>
      <c r="H923" s="71" t="s">
        <v>566</v>
      </c>
      <c r="I923" s="71" t="s">
        <v>566</v>
      </c>
      <c r="J923" s="71" t="s">
        <v>5985</v>
      </c>
      <c r="K923" s="71" t="s">
        <v>5986</v>
      </c>
      <c r="L923" s="71" t="s">
        <v>4282</v>
      </c>
      <c r="M923" s="71" t="s">
        <v>821</v>
      </c>
      <c r="O923" s="72">
        <v>38538</v>
      </c>
      <c r="P923" s="71"/>
      <c r="Q923" s="71" t="b">
        <v>0</v>
      </c>
      <c r="R923" s="22">
        <f t="shared" si="14"/>
        <v>2059</v>
      </c>
    </row>
    <row r="924" spans="1:18">
      <c r="A924" s="71">
        <v>5176</v>
      </c>
      <c r="B924" s="72">
        <v>36483</v>
      </c>
      <c r="C924" s="71" t="s">
        <v>5650</v>
      </c>
      <c r="D924" s="72">
        <v>36217</v>
      </c>
      <c r="E924" s="71" t="s">
        <v>5987</v>
      </c>
      <c r="F924" s="71" t="s">
        <v>5988</v>
      </c>
      <c r="G924" s="71" t="s">
        <v>20</v>
      </c>
      <c r="H924" s="71"/>
      <c r="I924" s="71"/>
      <c r="J924" s="71" t="s">
        <v>5652</v>
      </c>
      <c r="K924" s="71" t="s">
        <v>5989</v>
      </c>
      <c r="L924" s="71" t="s">
        <v>3588</v>
      </c>
      <c r="M924" s="71" t="s">
        <v>5990</v>
      </c>
      <c r="N924" s="71"/>
      <c r="O924" s="72">
        <v>39521</v>
      </c>
      <c r="P924" s="71"/>
      <c r="Q924" s="71" t="b">
        <v>0</v>
      </c>
      <c r="R924" s="22">
        <f t="shared" si="14"/>
        <v>3036</v>
      </c>
    </row>
    <row r="925" spans="1:18">
      <c r="A925" s="71">
        <v>5181</v>
      </c>
      <c r="B925" s="72">
        <v>36482</v>
      </c>
      <c r="C925" s="71" t="s">
        <v>6001</v>
      </c>
      <c r="D925" s="72">
        <v>36479</v>
      </c>
      <c r="E925" s="71" t="s">
        <v>6002</v>
      </c>
      <c r="F925" s="71" t="s">
        <v>70</v>
      </c>
      <c r="G925" s="71" t="s">
        <v>20</v>
      </c>
      <c r="H925" s="71" t="s">
        <v>71</v>
      </c>
      <c r="I925" s="71" t="s">
        <v>72</v>
      </c>
      <c r="J925" s="71" t="s">
        <v>6003</v>
      </c>
      <c r="K925" s="71"/>
      <c r="L925" s="71" t="s">
        <v>4579</v>
      </c>
      <c r="M925" s="71" t="s">
        <v>6004</v>
      </c>
      <c r="N925" s="71"/>
      <c r="O925" s="72">
        <v>39114</v>
      </c>
      <c r="P925" s="71"/>
      <c r="Q925" s="71" t="b">
        <v>0</v>
      </c>
      <c r="R925" s="22">
        <f t="shared" si="14"/>
        <v>2629</v>
      </c>
    </row>
    <row r="926" spans="1:18">
      <c r="A926" s="71">
        <v>5200</v>
      </c>
      <c r="B926" s="72">
        <v>36545</v>
      </c>
      <c r="C926" s="71" t="s">
        <v>6047</v>
      </c>
      <c r="D926" s="72">
        <v>36545</v>
      </c>
      <c r="E926" s="71" t="s">
        <v>6048</v>
      </c>
      <c r="F926" s="71" t="s">
        <v>6049</v>
      </c>
      <c r="G926" s="71" t="s">
        <v>20</v>
      </c>
      <c r="H926" s="71"/>
      <c r="I926" s="71"/>
      <c r="J926" s="71" t="s">
        <v>6050</v>
      </c>
      <c r="K926" s="71" t="s">
        <v>6051</v>
      </c>
      <c r="L926" s="71" t="s">
        <v>66</v>
      </c>
      <c r="M926" s="71"/>
      <c r="O926" s="72">
        <v>36732</v>
      </c>
      <c r="P926" s="71"/>
      <c r="Q926" s="71" t="b">
        <v>0</v>
      </c>
      <c r="R926" s="22">
        <f t="shared" si="14"/>
        <v>187</v>
      </c>
    </row>
    <row r="927" spans="1:18">
      <c r="A927" s="71">
        <v>5267</v>
      </c>
      <c r="B927" s="72">
        <v>36537</v>
      </c>
      <c r="C927" s="71" t="s">
        <v>6061</v>
      </c>
      <c r="D927" s="72">
        <v>36536</v>
      </c>
      <c r="E927" s="71" t="s">
        <v>6062</v>
      </c>
      <c r="F927" s="71" t="s">
        <v>98</v>
      </c>
      <c r="G927" s="71" t="s">
        <v>20</v>
      </c>
      <c r="H927" s="71"/>
      <c r="I927" s="71"/>
      <c r="J927" s="71" t="s">
        <v>6063</v>
      </c>
      <c r="K927" s="71"/>
      <c r="L927" s="71" t="s">
        <v>3526</v>
      </c>
      <c r="M927" s="71" t="s">
        <v>821</v>
      </c>
      <c r="O927" s="72">
        <v>37116</v>
      </c>
      <c r="P927" s="71">
        <v>-1</v>
      </c>
      <c r="Q927" s="71" t="b">
        <v>0</v>
      </c>
      <c r="R927" s="22">
        <f t="shared" si="14"/>
        <v>578</v>
      </c>
    </row>
    <row r="928" spans="1:18">
      <c r="A928" s="71">
        <v>5390</v>
      </c>
      <c r="B928" s="72">
        <v>36564</v>
      </c>
      <c r="C928" s="71" t="s">
        <v>6095</v>
      </c>
      <c r="D928" s="72">
        <v>36564</v>
      </c>
      <c r="E928" s="71" t="s">
        <v>6096</v>
      </c>
      <c r="F928" s="71" t="s">
        <v>990</v>
      </c>
      <c r="G928" s="71" t="s">
        <v>20</v>
      </c>
      <c r="H928" s="71"/>
      <c r="I928" s="71"/>
      <c r="J928" s="71" t="s">
        <v>6097</v>
      </c>
      <c r="K928" s="71" t="s">
        <v>6067</v>
      </c>
      <c r="L928" s="71" t="s">
        <v>314</v>
      </c>
      <c r="M928" s="71" t="s">
        <v>5749</v>
      </c>
      <c r="O928" s="72">
        <v>37845</v>
      </c>
      <c r="P928" s="71">
        <v>-1</v>
      </c>
      <c r="Q928" s="71" t="b">
        <v>0</v>
      </c>
      <c r="R928" s="22">
        <f t="shared" si="14"/>
        <v>1281</v>
      </c>
    </row>
    <row r="929" spans="1:18">
      <c r="A929" s="71">
        <v>5424</v>
      </c>
      <c r="B929" s="72">
        <v>36584</v>
      </c>
      <c r="C929" s="71" t="s">
        <v>6127</v>
      </c>
      <c r="D929" s="72">
        <v>36581</v>
      </c>
      <c r="E929" s="71" t="s">
        <v>6128</v>
      </c>
      <c r="F929" s="71" t="s">
        <v>1232</v>
      </c>
      <c r="G929" s="71" t="s">
        <v>20</v>
      </c>
      <c r="H929" s="71" t="s">
        <v>189</v>
      </c>
      <c r="I929" s="71" t="s">
        <v>189</v>
      </c>
      <c r="J929" s="71" t="s">
        <v>6129</v>
      </c>
      <c r="K929" s="71" t="s">
        <v>6130</v>
      </c>
      <c r="L929" s="71" t="s">
        <v>4282</v>
      </c>
      <c r="M929" s="71" t="s">
        <v>821</v>
      </c>
      <c r="O929" s="72">
        <v>38371</v>
      </c>
      <c r="P929" s="71"/>
      <c r="Q929" s="71" t="b">
        <v>0</v>
      </c>
      <c r="R929" s="22">
        <f t="shared" si="14"/>
        <v>1785</v>
      </c>
    </row>
    <row r="930" spans="1:18">
      <c r="A930" s="71">
        <v>5475</v>
      </c>
      <c r="B930" s="72">
        <v>36642</v>
      </c>
      <c r="C930" s="71" t="s">
        <v>6205</v>
      </c>
      <c r="D930" s="72">
        <v>36639</v>
      </c>
      <c r="E930" s="71" t="s">
        <v>6206</v>
      </c>
      <c r="F930" s="71" t="s">
        <v>228</v>
      </c>
      <c r="G930" s="71" t="s">
        <v>20</v>
      </c>
      <c r="H930" s="71"/>
      <c r="I930" s="71"/>
      <c r="J930" s="71" t="s">
        <v>6207</v>
      </c>
      <c r="K930" s="71" t="s">
        <v>6208</v>
      </c>
      <c r="L930" s="71" t="s">
        <v>4282</v>
      </c>
      <c r="M930" s="71" t="s">
        <v>821</v>
      </c>
      <c r="O930" s="72">
        <v>38310</v>
      </c>
      <c r="P930" s="71">
        <v>-1</v>
      </c>
      <c r="Q930" s="71" t="b">
        <v>0</v>
      </c>
      <c r="R930" s="22">
        <f t="shared" si="14"/>
        <v>1665</v>
      </c>
    </row>
    <row r="931" spans="1:18">
      <c r="A931" s="71">
        <v>5476</v>
      </c>
      <c r="B931" s="72">
        <v>36655</v>
      </c>
      <c r="C931" s="71" t="s">
        <v>6209</v>
      </c>
      <c r="D931" s="72">
        <v>36649</v>
      </c>
      <c r="E931" s="71" t="s">
        <v>6210</v>
      </c>
      <c r="F931" s="71" t="s">
        <v>2359</v>
      </c>
      <c r="G931" s="71" t="s">
        <v>20</v>
      </c>
      <c r="H931" s="71" t="s">
        <v>71</v>
      </c>
      <c r="I931" s="71" t="s">
        <v>72</v>
      </c>
      <c r="J931" s="71" t="s">
        <v>6211</v>
      </c>
      <c r="K931" s="71" t="s">
        <v>6212</v>
      </c>
      <c r="L931" s="71" t="s">
        <v>66</v>
      </c>
      <c r="M931" s="71"/>
      <c r="O931" s="72">
        <v>36690</v>
      </c>
      <c r="P931" s="71"/>
      <c r="Q931" s="71" t="b">
        <v>0</v>
      </c>
      <c r="R931" s="22">
        <f t="shared" si="14"/>
        <v>34</v>
      </c>
    </row>
    <row r="932" spans="1:18">
      <c r="A932" s="71">
        <v>5477</v>
      </c>
      <c r="B932" s="72">
        <v>36623</v>
      </c>
      <c r="C932" s="71" t="s">
        <v>6213</v>
      </c>
      <c r="D932" s="72">
        <v>36622</v>
      </c>
      <c r="E932" s="71" t="s">
        <v>6214</v>
      </c>
      <c r="F932" s="71" t="s">
        <v>34</v>
      </c>
      <c r="G932" s="71" t="s">
        <v>20</v>
      </c>
      <c r="H932" s="71" t="s">
        <v>71</v>
      </c>
      <c r="I932" s="71" t="s">
        <v>72</v>
      </c>
      <c r="J932" s="71" t="s">
        <v>6215</v>
      </c>
      <c r="K932" s="71" t="s">
        <v>6216</v>
      </c>
      <c r="L932" s="71" t="s">
        <v>1946</v>
      </c>
      <c r="M932" s="71" t="s">
        <v>6217</v>
      </c>
      <c r="O932" s="72">
        <v>38386</v>
      </c>
      <c r="P932" s="71"/>
      <c r="Q932" s="71" t="b">
        <v>0</v>
      </c>
      <c r="R932" s="22">
        <f t="shared" si="14"/>
        <v>1760</v>
      </c>
    </row>
    <row r="933" spans="1:18">
      <c r="A933" s="71">
        <v>5491</v>
      </c>
      <c r="B933" s="72">
        <v>36775</v>
      </c>
      <c r="C933" s="71" t="s">
        <v>6246</v>
      </c>
      <c r="D933" s="72">
        <v>36713</v>
      </c>
      <c r="E933" s="71" t="s">
        <v>6247</v>
      </c>
      <c r="F933" s="71" t="s">
        <v>3171</v>
      </c>
      <c r="G933" s="71" t="s">
        <v>20</v>
      </c>
      <c r="H933" s="71" t="s">
        <v>566</v>
      </c>
      <c r="I933" s="71" t="s">
        <v>566</v>
      </c>
      <c r="J933" s="71" t="s">
        <v>6248</v>
      </c>
      <c r="K933" s="71" t="s">
        <v>405</v>
      </c>
      <c r="L933" s="71" t="s">
        <v>66</v>
      </c>
      <c r="M933" s="71"/>
      <c r="O933" s="72">
        <v>37697</v>
      </c>
      <c r="P933" s="71"/>
      <c r="Q933" s="71" t="b">
        <v>0</v>
      </c>
      <c r="R933" s="22">
        <f t="shared" si="14"/>
        <v>923</v>
      </c>
    </row>
    <row r="934" spans="1:18">
      <c r="A934" s="71">
        <v>5495</v>
      </c>
      <c r="B934" s="72">
        <v>36703</v>
      </c>
      <c r="C934" s="71" t="s">
        <v>6256</v>
      </c>
      <c r="D934" s="72">
        <v>36703</v>
      </c>
      <c r="E934" s="71" t="s">
        <v>6257</v>
      </c>
      <c r="F934" s="71" t="s">
        <v>2359</v>
      </c>
      <c r="G934" s="71" t="s">
        <v>20</v>
      </c>
      <c r="H934" s="71" t="s">
        <v>71</v>
      </c>
      <c r="I934" s="71" t="s">
        <v>72</v>
      </c>
      <c r="J934" s="71" t="s">
        <v>6258</v>
      </c>
      <c r="K934" s="71" t="s">
        <v>5369</v>
      </c>
      <c r="L934" s="71" t="s">
        <v>4282</v>
      </c>
      <c r="M934" s="71" t="s">
        <v>66</v>
      </c>
      <c r="O934" s="72">
        <v>37055</v>
      </c>
      <c r="P934" s="71">
        <v>-1</v>
      </c>
      <c r="Q934" s="71" t="b">
        <v>0</v>
      </c>
      <c r="R934" s="22">
        <f t="shared" si="14"/>
        <v>351</v>
      </c>
    </row>
    <row r="935" spans="1:18">
      <c r="A935" s="71">
        <v>5503</v>
      </c>
      <c r="B935" s="72">
        <v>36706</v>
      </c>
      <c r="C935" s="71" t="s">
        <v>6275</v>
      </c>
      <c r="D935" s="72">
        <v>36690</v>
      </c>
      <c r="E935" s="71" t="s">
        <v>6276</v>
      </c>
      <c r="F935" s="71" t="s">
        <v>6277</v>
      </c>
      <c r="G935" s="71" t="s">
        <v>20</v>
      </c>
      <c r="H935" s="71" t="s">
        <v>212</v>
      </c>
      <c r="I935" s="71" t="s">
        <v>212</v>
      </c>
      <c r="J935" s="71" t="s">
        <v>28</v>
      </c>
      <c r="K935" s="71" t="s">
        <v>6278</v>
      </c>
      <c r="L935" s="71" t="s">
        <v>3930</v>
      </c>
      <c r="M935" s="71"/>
      <c r="O935" s="72">
        <v>37072</v>
      </c>
      <c r="P935" s="71"/>
      <c r="Q935" s="71" t="b">
        <v>0</v>
      </c>
      <c r="R935" s="22">
        <f t="shared" si="14"/>
        <v>366</v>
      </c>
    </row>
    <row r="936" spans="1:18">
      <c r="A936" s="71">
        <v>5506</v>
      </c>
      <c r="B936" s="72">
        <v>36705</v>
      </c>
      <c r="C936" s="71" t="s">
        <v>6279</v>
      </c>
      <c r="D936" s="72">
        <v>36704</v>
      </c>
      <c r="E936" s="71" t="s">
        <v>6280</v>
      </c>
      <c r="F936" s="71" t="s">
        <v>85</v>
      </c>
      <c r="G936" s="71" t="s">
        <v>20</v>
      </c>
      <c r="H936" s="71"/>
      <c r="I936" s="71"/>
      <c r="J936" s="71" t="s">
        <v>6281</v>
      </c>
      <c r="K936" s="71" t="s">
        <v>6282</v>
      </c>
      <c r="L936" s="71" t="s">
        <v>66</v>
      </c>
      <c r="M936" s="71"/>
      <c r="O936" s="72">
        <v>36777</v>
      </c>
      <c r="P936" s="71"/>
      <c r="Q936" s="71" t="b">
        <v>0</v>
      </c>
      <c r="R936" s="22">
        <f t="shared" si="14"/>
        <v>70</v>
      </c>
    </row>
    <row r="937" spans="1:18">
      <c r="A937" s="71">
        <v>5508</v>
      </c>
      <c r="B937" s="72">
        <v>36713</v>
      </c>
      <c r="C937" s="71" t="s">
        <v>6286</v>
      </c>
      <c r="D937" s="72">
        <v>36713</v>
      </c>
      <c r="E937" s="71" t="s">
        <v>4172</v>
      </c>
      <c r="F937" s="71" t="s">
        <v>70</v>
      </c>
      <c r="G937" s="71" t="s">
        <v>20</v>
      </c>
      <c r="H937" s="71" t="s">
        <v>71</v>
      </c>
      <c r="I937" s="71" t="s">
        <v>72</v>
      </c>
      <c r="J937" s="71" t="s">
        <v>5369</v>
      </c>
      <c r="K937" s="71" t="s">
        <v>328</v>
      </c>
      <c r="L937" s="71" t="s">
        <v>821</v>
      </c>
      <c r="M937" s="71"/>
      <c r="O937" s="72">
        <v>36915</v>
      </c>
      <c r="P937" s="71"/>
      <c r="Q937" s="71" t="b">
        <v>0</v>
      </c>
      <c r="R937" s="22">
        <f t="shared" si="14"/>
        <v>200</v>
      </c>
    </row>
    <row r="938" spans="1:18">
      <c r="A938" s="71">
        <v>5518</v>
      </c>
      <c r="B938" s="72">
        <v>36734</v>
      </c>
      <c r="C938" s="71" t="s">
        <v>6297</v>
      </c>
      <c r="D938" s="72">
        <v>36690</v>
      </c>
      <c r="E938" s="71" t="s">
        <v>6276</v>
      </c>
      <c r="F938" s="71" t="s">
        <v>6298</v>
      </c>
      <c r="G938" s="71" t="s">
        <v>20</v>
      </c>
      <c r="H938" s="71" t="s">
        <v>71</v>
      </c>
      <c r="I938" s="71" t="s">
        <v>72</v>
      </c>
      <c r="J938" s="71" t="s">
        <v>6299</v>
      </c>
      <c r="K938" s="71" t="s">
        <v>6300</v>
      </c>
      <c r="L938" s="71" t="s">
        <v>314</v>
      </c>
      <c r="M938" s="71" t="s">
        <v>5749</v>
      </c>
      <c r="O938" s="72">
        <v>37708</v>
      </c>
      <c r="P938" s="71"/>
      <c r="Q938" s="71" t="b">
        <v>0</v>
      </c>
      <c r="R938" s="22">
        <f t="shared" si="14"/>
        <v>974</v>
      </c>
    </row>
    <row r="939" spans="1:18">
      <c r="A939" s="71">
        <v>5536</v>
      </c>
      <c r="B939" s="72">
        <v>36755</v>
      </c>
      <c r="C939" s="71" t="s">
        <v>6326</v>
      </c>
      <c r="D939" s="72">
        <v>36755</v>
      </c>
      <c r="E939" s="71" t="s">
        <v>4172</v>
      </c>
      <c r="F939" s="71" t="s">
        <v>3062</v>
      </c>
      <c r="G939" s="71" t="s">
        <v>20</v>
      </c>
      <c r="H939" s="71"/>
      <c r="I939" s="71"/>
      <c r="J939" s="71" t="s">
        <v>6328</v>
      </c>
      <c r="K939" s="71"/>
      <c r="L939" s="71" t="s">
        <v>3526</v>
      </c>
      <c r="M939" s="71" t="s">
        <v>821</v>
      </c>
      <c r="O939" s="72">
        <v>37015</v>
      </c>
      <c r="P939" s="71">
        <v>-1</v>
      </c>
      <c r="Q939" s="71" t="b">
        <v>0</v>
      </c>
      <c r="R939" s="22">
        <f t="shared" si="14"/>
        <v>260</v>
      </c>
    </row>
    <row r="940" spans="1:18">
      <c r="A940" s="71">
        <v>5567</v>
      </c>
      <c r="B940" s="72">
        <v>36843</v>
      </c>
      <c r="C940" s="71" t="s">
        <v>6384</v>
      </c>
      <c r="D940" s="72">
        <v>36843</v>
      </c>
      <c r="E940" s="71" t="s">
        <v>6385</v>
      </c>
      <c r="F940" s="71" t="s">
        <v>70</v>
      </c>
      <c r="G940" s="71" t="s">
        <v>20</v>
      </c>
      <c r="H940" s="71" t="s">
        <v>71</v>
      </c>
      <c r="I940" s="71" t="s">
        <v>72</v>
      </c>
      <c r="J940" s="71" t="s">
        <v>6386</v>
      </c>
      <c r="K940" s="71" t="s">
        <v>6387</v>
      </c>
      <c r="L940" s="71" t="s">
        <v>314</v>
      </c>
      <c r="M940" s="71" t="s">
        <v>6388</v>
      </c>
      <c r="O940" s="72">
        <v>37405</v>
      </c>
      <c r="P940" s="71">
        <v>-1</v>
      </c>
      <c r="Q940" s="71" t="b">
        <v>0</v>
      </c>
      <c r="R940" s="22">
        <f t="shared" si="14"/>
        <v>563</v>
      </c>
    </row>
    <row r="941" spans="1:18">
      <c r="A941" s="71">
        <v>5574</v>
      </c>
      <c r="B941" s="72">
        <v>36871</v>
      </c>
      <c r="C941" s="71" t="s">
        <v>6397</v>
      </c>
      <c r="D941" s="72">
        <v>36865</v>
      </c>
      <c r="E941" s="71" t="s">
        <v>6398</v>
      </c>
      <c r="F941" s="71" t="s">
        <v>1771</v>
      </c>
      <c r="G941" s="71" t="s">
        <v>20</v>
      </c>
      <c r="H941" s="71" t="s">
        <v>189</v>
      </c>
      <c r="I941" s="71" t="s">
        <v>189</v>
      </c>
      <c r="J941" s="71" t="s">
        <v>6399</v>
      </c>
      <c r="K941" s="71" t="s">
        <v>3616</v>
      </c>
      <c r="L941" s="71" t="s">
        <v>66</v>
      </c>
      <c r="M941" s="71"/>
      <c r="O941" s="72">
        <v>37685</v>
      </c>
      <c r="P941" s="71">
        <v>-1</v>
      </c>
      <c r="Q941" s="71" t="b">
        <v>0</v>
      </c>
      <c r="R941" s="22">
        <f t="shared" si="14"/>
        <v>815</v>
      </c>
    </row>
    <row r="942" spans="1:18">
      <c r="A942" s="71">
        <v>5654</v>
      </c>
      <c r="B942" s="72">
        <v>36915</v>
      </c>
      <c r="C942" s="71" t="s">
        <v>6425</v>
      </c>
      <c r="D942" s="72">
        <v>36915</v>
      </c>
      <c r="E942" s="71" t="s">
        <v>4172</v>
      </c>
      <c r="F942" s="71" t="s">
        <v>3434</v>
      </c>
      <c r="G942" s="71" t="s">
        <v>20</v>
      </c>
      <c r="H942" s="71" t="s">
        <v>71</v>
      </c>
      <c r="I942" s="71"/>
      <c r="J942" s="71" t="s">
        <v>6426</v>
      </c>
      <c r="K942" s="71" t="s">
        <v>20645</v>
      </c>
      <c r="L942" s="71" t="s">
        <v>4282</v>
      </c>
      <c r="M942" s="71"/>
      <c r="O942" s="72">
        <v>38471</v>
      </c>
      <c r="P942" s="71"/>
      <c r="Q942" s="71" t="b">
        <v>0</v>
      </c>
      <c r="R942" s="22">
        <f t="shared" si="14"/>
        <v>1556</v>
      </c>
    </row>
    <row r="943" spans="1:18">
      <c r="A943" s="71">
        <v>5801</v>
      </c>
      <c r="B943" s="72">
        <v>36928</v>
      </c>
      <c r="C943" s="71" t="s">
        <v>6448</v>
      </c>
      <c r="D943" s="72">
        <v>36928</v>
      </c>
      <c r="E943" s="71" t="s">
        <v>4172</v>
      </c>
      <c r="F943" s="71" t="s">
        <v>5259</v>
      </c>
      <c r="G943" s="71" t="s">
        <v>20</v>
      </c>
      <c r="H943" s="71" t="s">
        <v>71</v>
      </c>
      <c r="I943" s="71" t="s">
        <v>72</v>
      </c>
      <c r="J943" s="71" t="s">
        <v>6449</v>
      </c>
      <c r="K943" s="71" t="s">
        <v>6450</v>
      </c>
      <c r="L943" s="71" t="s">
        <v>66</v>
      </c>
      <c r="M943" s="71" t="s">
        <v>3930</v>
      </c>
      <c r="O943" s="72">
        <v>37659</v>
      </c>
      <c r="P943" s="71">
        <v>-1</v>
      </c>
      <c r="Q943" s="71" t="b">
        <v>0</v>
      </c>
      <c r="R943" s="22">
        <f t="shared" si="14"/>
        <v>731</v>
      </c>
    </row>
    <row r="944" spans="1:18">
      <c r="A944" s="71">
        <v>5826</v>
      </c>
      <c r="B944" s="72">
        <v>36943</v>
      </c>
      <c r="C944" s="71" t="s">
        <v>6486</v>
      </c>
      <c r="D944" s="72">
        <v>36943</v>
      </c>
      <c r="E944" s="71" t="s">
        <v>6487</v>
      </c>
      <c r="F944" s="71" t="s">
        <v>228</v>
      </c>
      <c r="G944" s="71" t="s">
        <v>20</v>
      </c>
      <c r="H944" s="71"/>
      <c r="I944" s="71"/>
      <c r="J944" s="71" t="s">
        <v>6488</v>
      </c>
      <c r="K944" s="71"/>
      <c r="L944" s="71" t="s">
        <v>314</v>
      </c>
      <c r="M944" s="71" t="s">
        <v>3526</v>
      </c>
      <c r="O944" s="72">
        <v>37552</v>
      </c>
      <c r="P944" s="71"/>
      <c r="Q944" s="71" t="b">
        <v>0</v>
      </c>
      <c r="R944" s="22">
        <f t="shared" si="14"/>
        <v>610</v>
      </c>
    </row>
    <row r="945" spans="1:18">
      <c r="A945" s="71">
        <v>5848</v>
      </c>
      <c r="B945" s="72">
        <v>36970</v>
      </c>
      <c r="C945" s="71" t="s">
        <v>6521</v>
      </c>
      <c r="D945" s="72">
        <v>36966</v>
      </c>
      <c r="E945" s="71" t="s">
        <v>6522</v>
      </c>
      <c r="F945" s="71" t="s">
        <v>4209</v>
      </c>
      <c r="G945" s="71" t="s">
        <v>20</v>
      </c>
      <c r="H945" s="71" t="s">
        <v>71</v>
      </c>
      <c r="I945" s="71" t="s">
        <v>72</v>
      </c>
      <c r="J945" s="71" t="s">
        <v>6523</v>
      </c>
      <c r="K945" s="71" t="s">
        <v>6524</v>
      </c>
      <c r="L945" s="71" t="s">
        <v>4579</v>
      </c>
      <c r="M945" s="71" t="s">
        <v>66</v>
      </c>
      <c r="O945" s="72">
        <v>38883</v>
      </c>
      <c r="P945" s="71"/>
      <c r="Q945" s="71" t="b">
        <v>0</v>
      </c>
      <c r="R945" s="22">
        <f t="shared" si="14"/>
        <v>1911</v>
      </c>
    </row>
    <row r="946" spans="1:18">
      <c r="A946" s="71">
        <v>5857</v>
      </c>
      <c r="B946" s="72">
        <v>36986</v>
      </c>
      <c r="C946" s="71" t="s">
        <v>6528</v>
      </c>
      <c r="D946" s="72">
        <v>36980</v>
      </c>
      <c r="E946" s="71" t="s">
        <v>4172</v>
      </c>
      <c r="F946" s="71" t="s">
        <v>984</v>
      </c>
      <c r="G946" s="71" t="s">
        <v>20</v>
      </c>
      <c r="H946" s="71"/>
      <c r="I946" s="71"/>
      <c r="J946" s="71" t="s">
        <v>1629</v>
      </c>
      <c r="K946" s="71" t="s">
        <v>6529</v>
      </c>
      <c r="L946" s="71" t="s">
        <v>4282</v>
      </c>
      <c r="M946" s="71"/>
      <c r="O946" s="72">
        <v>37032</v>
      </c>
      <c r="P946" s="71"/>
      <c r="Q946" s="71" t="b">
        <v>0</v>
      </c>
      <c r="R946" s="22">
        <f t="shared" si="14"/>
        <v>46</v>
      </c>
    </row>
    <row r="947" spans="1:18">
      <c r="A947" s="71">
        <v>5863</v>
      </c>
      <c r="B947" s="72">
        <v>36992</v>
      </c>
      <c r="C947" s="71" t="s">
        <v>6538</v>
      </c>
      <c r="D947" s="72">
        <v>36972</v>
      </c>
      <c r="E947" s="71" t="s">
        <v>6539</v>
      </c>
      <c r="F947" s="71" t="s">
        <v>124</v>
      </c>
      <c r="G947" s="71" t="s">
        <v>20</v>
      </c>
      <c r="H947" s="71"/>
      <c r="I947" s="71"/>
      <c r="J947" s="71" t="s">
        <v>6540</v>
      </c>
      <c r="K947" s="71"/>
      <c r="L947" s="71" t="s">
        <v>314</v>
      </c>
      <c r="M947" s="71" t="s">
        <v>3526</v>
      </c>
      <c r="O947" s="72">
        <v>37351</v>
      </c>
      <c r="P947" s="71"/>
      <c r="Q947" s="71" t="b">
        <v>0</v>
      </c>
      <c r="R947" s="22">
        <f t="shared" si="14"/>
        <v>358</v>
      </c>
    </row>
    <row r="948" spans="1:18">
      <c r="A948" s="71">
        <v>5864</v>
      </c>
      <c r="B948" s="72">
        <v>36992</v>
      </c>
      <c r="C948" s="71" t="s">
        <v>6541</v>
      </c>
      <c r="D948" s="72">
        <v>36978</v>
      </c>
      <c r="E948" s="71" t="s">
        <v>4172</v>
      </c>
      <c r="F948" s="71" t="s">
        <v>124</v>
      </c>
      <c r="G948" s="71" t="s">
        <v>20</v>
      </c>
      <c r="H948" s="71"/>
      <c r="I948" s="71"/>
      <c r="J948" s="71" t="s">
        <v>6542</v>
      </c>
      <c r="K948" s="71" t="s">
        <v>6543</v>
      </c>
      <c r="L948" s="71" t="s">
        <v>4282</v>
      </c>
      <c r="M948" s="71"/>
      <c r="O948" s="72">
        <v>37496</v>
      </c>
      <c r="P948" s="71">
        <v>-1</v>
      </c>
      <c r="Q948" s="71" t="b">
        <v>0</v>
      </c>
      <c r="R948" s="22">
        <f t="shared" si="14"/>
        <v>503</v>
      </c>
    </row>
    <row r="949" spans="1:18">
      <c r="A949" s="71">
        <v>5869</v>
      </c>
      <c r="B949" s="72">
        <v>36993</v>
      </c>
      <c r="C949" s="71" t="s">
        <v>6553</v>
      </c>
      <c r="D949" s="72">
        <v>36989</v>
      </c>
      <c r="E949" s="71" t="s">
        <v>4172</v>
      </c>
      <c r="F949" s="71" t="s">
        <v>5659</v>
      </c>
      <c r="G949" s="71" t="s">
        <v>20</v>
      </c>
      <c r="H949" s="71" t="s">
        <v>566</v>
      </c>
      <c r="I949" s="71" t="s">
        <v>566</v>
      </c>
      <c r="J949" s="71" t="s">
        <v>5598</v>
      </c>
      <c r="K949" s="71"/>
      <c r="L949" s="71" t="s">
        <v>66</v>
      </c>
      <c r="M949" s="71"/>
      <c r="O949" s="72">
        <v>37356</v>
      </c>
      <c r="P949" s="71">
        <v>-1</v>
      </c>
      <c r="Q949" s="71" t="b">
        <v>0</v>
      </c>
      <c r="R949" s="22">
        <f t="shared" si="14"/>
        <v>362</v>
      </c>
    </row>
    <row r="950" spans="1:18">
      <c r="A950" s="71">
        <v>5875</v>
      </c>
      <c r="B950" s="72">
        <v>37012</v>
      </c>
      <c r="C950" s="71" t="s">
        <v>6563</v>
      </c>
      <c r="D950" s="72">
        <v>37004</v>
      </c>
      <c r="E950" s="71" t="s">
        <v>6564</v>
      </c>
      <c r="F950" s="71" t="s">
        <v>6565</v>
      </c>
      <c r="G950" s="71" t="s">
        <v>20</v>
      </c>
      <c r="H950" s="71"/>
      <c r="I950" s="71"/>
      <c r="J950" s="71" t="s">
        <v>6566</v>
      </c>
      <c r="K950" s="71" t="s">
        <v>6567</v>
      </c>
      <c r="L950" s="71" t="s">
        <v>314</v>
      </c>
      <c r="M950" s="71" t="s">
        <v>3526</v>
      </c>
      <c r="O950" s="72">
        <v>38252</v>
      </c>
      <c r="P950" s="71"/>
      <c r="Q950" s="71" t="b">
        <v>0</v>
      </c>
      <c r="R950" s="22">
        <f t="shared" si="14"/>
        <v>1237</v>
      </c>
    </row>
    <row r="951" spans="1:18">
      <c r="A951" s="71">
        <v>5876</v>
      </c>
      <c r="B951" s="72">
        <v>37008</v>
      </c>
      <c r="C951" s="71" t="s">
        <v>6568</v>
      </c>
      <c r="D951" s="72">
        <v>37008</v>
      </c>
      <c r="E951" s="71" t="s">
        <v>6569</v>
      </c>
      <c r="F951" s="71" t="s">
        <v>4242</v>
      </c>
      <c r="G951" s="71" t="s">
        <v>20</v>
      </c>
      <c r="H951" s="71" t="s">
        <v>189</v>
      </c>
      <c r="I951" s="71" t="s">
        <v>189</v>
      </c>
      <c r="J951" s="71" t="s">
        <v>6570</v>
      </c>
      <c r="K951" s="71"/>
      <c r="L951" s="71" t="s">
        <v>66</v>
      </c>
      <c r="M951" s="71"/>
      <c r="O951" s="72">
        <v>37824</v>
      </c>
      <c r="P951" s="71"/>
      <c r="Q951" s="71" t="b">
        <v>0</v>
      </c>
      <c r="R951" s="22">
        <f t="shared" si="14"/>
        <v>816</v>
      </c>
    </row>
    <row r="952" spans="1:18">
      <c r="A952" s="71">
        <v>5884</v>
      </c>
      <c r="B952" s="72">
        <v>37026</v>
      </c>
      <c r="C952" s="71" t="s">
        <v>6586</v>
      </c>
      <c r="D952" s="72">
        <v>37021</v>
      </c>
      <c r="E952" s="71" t="s">
        <v>6587</v>
      </c>
      <c r="F952" s="71" t="s">
        <v>3171</v>
      </c>
      <c r="G952" s="71" t="s">
        <v>20</v>
      </c>
      <c r="H952" s="71" t="s">
        <v>566</v>
      </c>
      <c r="I952" s="71" t="s">
        <v>566</v>
      </c>
      <c r="J952" s="71" t="s">
        <v>6588</v>
      </c>
      <c r="K952" s="71" t="s">
        <v>6589</v>
      </c>
      <c r="L952" s="71" t="s">
        <v>66</v>
      </c>
      <c r="M952" s="71"/>
      <c r="O952" s="72">
        <v>38110</v>
      </c>
      <c r="P952" s="71"/>
      <c r="Q952" s="71" t="b">
        <v>0</v>
      </c>
      <c r="R952" s="22">
        <f t="shared" si="14"/>
        <v>1082</v>
      </c>
    </row>
    <row r="953" spans="1:18">
      <c r="A953" s="71">
        <v>5887</v>
      </c>
      <c r="B953" s="72">
        <v>37032</v>
      </c>
      <c r="C953" s="71" t="s">
        <v>6592</v>
      </c>
      <c r="D953" s="72">
        <v>37026</v>
      </c>
      <c r="E953" s="71" t="s">
        <v>6593</v>
      </c>
      <c r="F953" s="71" t="s">
        <v>124</v>
      </c>
      <c r="G953" s="71" t="s">
        <v>20</v>
      </c>
      <c r="H953" s="71"/>
      <c r="I953" s="71"/>
      <c r="J953" s="71" t="s">
        <v>6594</v>
      </c>
      <c r="K953" s="71"/>
      <c r="L953" s="71" t="s">
        <v>66</v>
      </c>
      <c r="M953" s="71"/>
      <c r="O953" s="72">
        <v>37855</v>
      </c>
      <c r="P953" s="71">
        <v>-1</v>
      </c>
      <c r="Q953" s="71" t="b">
        <v>0</v>
      </c>
      <c r="R953" s="22">
        <f t="shared" si="14"/>
        <v>822</v>
      </c>
    </row>
    <row r="954" spans="1:18">
      <c r="A954" s="71">
        <v>5892</v>
      </c>
      <c r="B954" s="72">
        <v>37033</v>
      </c>
      <c r="C954" s="71" t="s">
        <v>6602</v>
      </c>
      <c r="D954" s="72">
        <v>37028</v>
      </c>
      <c r="E954" s="71" t="s">
        <v>6603</v>
      </c>
      <c r="F954" s="71" t="s">
        <v>861</v>
      </c>
      <c r="G954" s="71" t="s">
        <v>20</v>
      </c>
      <c r="H954" s="71" t="s">
        <v>566</v>
      </c>
      <c r="I954" s="71" t="s">
        <v>566</v>
      </c>
      <c r="J954" s="71" t="s">
        <v>222</v>
      </c>
      <c r="K954" s="71" t="s">
        <v>2988</v>
      </c>
      <c r="L954" s="71" t="s">
        <v>4579</v>
      </c>
      <c r="M954" s="71" t="s">
        <v>6604</v>
      </c>
      <c r="O954" s="72">
        <v>38469</v>
      </c>
      <c r="P954" s="71"/>
      <c r="Q954" s="71" t="b">
        <v>0</v>
      </c>
      <c r="R954" s="22">
        <f t="shared" si="14"/>
        <v>1434</v>
      </c>
    </row>
    <row r="955" spans="1:18">
      <c r="A955" s="71">
        <v>5910</v>
      </c>
      <c r="B955" s="72">
        <v>37062</v>
      </c>
      <c r="C955" s="71" t="s">
        <v>6633</v>
      </c>
      <c r="D955" s="72">
        <v>37061</v>
      </c>
      <c r="E955" s="71" t="s">
        <v>6634</v>
      </c>
      <c r="F955" s="71" t="s">
        <v>52</v>
      </c>
      <c r="G955" s="71" t="s">
        <v>20</v>
      </c>
      <c r="H955" s="71" t="s">
        <v>71</v>
      </c>
      <c r="I955" s="71"/>
      <c r="J955" s="71" t="s">
        <v>6635</v>
      </c>
      <c r="K955" s="71" t="s">
        <v>20647</v>
      </c>
      <c r="L955" s="71" t="s">
        <v>4282</v>
      </c>
      <c r="M955" s="71"/>
      <c r="O955" s="72">
        <v>38558</v>
      </c>
      <c r="P955" s="71"/>
      <c r="Q955" s="71" t="b">
        <v>0</v>
      </c>
      <c r="R955" s="22">
        <f t="shared" si="14"/>
        <v>1495</v>
      </c>
    </row>
    <row r="956" spans="1:18">
      <c r="A956" s="71">
        <v>5912</v>
      </c>
      <c r="B956" s="72">
        <v>37070</v>
      </c>
      <c r="C956" s="71" t="s">
        <v>6641</v>
      </c>
      <c r="D956" s="72">
        <v>37061</v>
      </c>
      <c r="E956" s="71" t="s">
        <v>6642</v>
      </c>
      <c r="F956" s="71" t="s">
        <v>6643</v>
      </c>
      <c r="G956" s="71" t="s">
        <v>20</v>
      </c>
      <c r="H956" s="71" t="s">
        <v>189</v>
      </c>
      <c r="I956" s="71" t="s">
        <v>189</v>
      </c>
      <c r="J956" s="71" t="s">
        <v>6644</v>
      </c>
      <c r="K956" s="71" t="s">
        <v>6645</v>
      </c>
      <c r="L956" s="71" t="s">
        <v>4282</v>
      </c>
      <c r="M956" s="71"/>
      <c r="O956" s="72">
        <v>37922</v>
      </c>
      <c r="P956" s="71"/>
      <c r="Q956" s="71" t="b">
        <v>0</v>
      </c>
      <c r="R956" s="22">
        <f t="shared" si="14"/>
        <v>851</v>
      </c>
    </row>
    <row r="957" spans="1:18">
      <c r="A957" s="71">
        <v>5915</v>
      </c>
      <c r="B957" s="72">
        <v>37083</v>
      </c>
      <c r="C957" s="71" t="s">
        <v>6650</v>
      </c>
      <c r="D957" s="72">
        <v>37083</v>
      </c>
      <c r="E957" s="71" t="s">
        <v>6651</v>
      </c>
      <c r="F957" s="71" t="s">
        <v>4242</v>
      </c>
      <c r="G957" s="71" t="s">
        <v>20</v>
      </c>
      <c r="H957" s="71" t="s">
        <v>189</v>
      </c>
      <c r="I957" s="71" t="s">
        <v>189</v>
      </c>
      <c r="J957" s="71" t="s">
        <v>6652</v>
      </c>
      <c r="K957" s="71" t="s">
        <v>6653</v>
      </c>
      <c r="L957" s="71" t="s">
        <v>66</v>
      </c>
      <c r="M957" s="71"/>
      <c r="O957" s="72">
        <v>37180</v>
      </c>
      <c r="P957" s="71"/>
      <c r="Q957" s="71" t="b">
        <v>0</v>
      </c>
      <c r="R957" s="22">
        <f t="shared" si="14"/>
        <v>96</v>
      </c>
    </row>
    <row r="958" spans="1:18">
      <c r="A958" s="71">
        <v>5917</v>
      </c>
      <c r="B958" s="72">
        <v>37083</v>
      </c>
      <c r="C958" s="71" t="s">
        <v>6657</v>
      </c>
      <c r="D958" s="72">
        <v>37082</v>
      </c>
      <c r="E958" s="71" t="s">
        <v>6658</v>
      </c>
      <c r="F958" s="71" t="s">
        <v>6659</v>
      </c>
      <c r="G958" s="71" t="s">
        <v>20</v>
      </c>
      <c r="H958" s="71" t="s">
        <v>566</v>
      </c>
      <c r="I958" s="71" t="s">
        <v>566</v>
      </c>
      <c r="J958" s="71" t="s">
        <v>6660</v>
      </c>
      <c r="K958" s="71" t="s">
        <v>6661</v>
      </c>
      <c r="L958" s="71" t="s">
        <v>66</v>
      </c>
      <c r="M958" s="71"/>
      <c r="O958" s="72">
        <v>37697</v>
      </c>
      <c r="P958" s="71"/>
      <c r="Q958" s="71" t="b">
        <v>0</v>
      </c>
      <c r="R958" s="22">
        <f t="shared" si="14"/>
        <v>614</v>
      </c>
    </row>
    <row r="959" spans="1:18">
      <c r="A959" s="71">
        <v>5940</v>
      </c>
      <c r="B959" s="72">
        <v>37133</v>
      </c>
      <c r="C959" s="71" t="s">
        <v>6703</v>
      </c>
      <c r="D959" s="72">
        <v>37131</v>
      </c>
      <c r="E959" s="71" t="s">
        <v>6704</v>
      </c>
      <c r="F959" s="71" t="s">
        <v>85</v>
      </c>
      <c r="G959" s="71" t="s">
        <v>20</v>
      </c>
      <c r="H959" s="71" t="s">
        <v>71</v>
      </c>
      <c r="I959" s="71"/>
      <c r="J959" s="71" t="s">
        <v>6705</v>
      </c>
      <c r="K959" s="71" t="s">
        <v>272</v>
      </c>
      <c r="L959" s="71" t="s">
        <v>4282</v>
      </c>
      <c r="M959" s="71"/>
      <c r="O959" s="72">
        <v>38422</v>
      </c>
      <c r="P959" s="71">
        <v>-1</v>
      </c>
      <c r="Q959" s="71" t="b">
        <v>0</v>
      </c>
      <c r="R959" s="22">
        <f t="shared" si="14"/>
        <v>1288</v>
      </c>
    </row>
    <row r="960" spans="1:18">
      <c r="A960" s="71">
        <v>5945</v>
      </c>
      <c r="B960" s="72">
        <v>37147</v>
      </c>
      <c r="C960" s="71" t="s">
        <v>6708</v>
      </c>
      <c r="D960" s="72">
        <v>37147</v>
      </c>
      <c r="E960" s="71" t="s">
        <v>6709</v>
      </c>
      <c r="F960" s="71" t="s">
        <v>98</v>
      </c>
      <c r="G960" s="71" t="s">
        <v>20</v>
      </c>
      <c r="H960" s="71" t="s">
        <v>71</v>
      </c>
      <c r="I960" s="71"/>
      <c r="J960" s="71" t="s">
        <v>6710</v>
      </c>
      <c r="K960" s="71" t="s">
        <v>6711</v>
      </c>
      <c r="L960" s="71" t="s">
        <v>4282</v>
      </c>
      <c r="M960" s="71"/>
      <c r="O960" s="72">
        <v>38555</v>
      </c>
      <c r="P960" s="71">
        <v>-1</v>
      </c>
      <c r="Q960" s="71" t="b">
        <v>0</v>
      </c>
      <c r="R960" s="22">
        <f t="shared" si="14"/>
        <v>1408</v>
      </c>
    </row>
    <row r="961" spans="1:18">
      <c r="A961" s="71">
        <v>5958</v>
      </c>
      <c r="B961" s="72">
        <v>37179</v>
      </c>
      <c r="C961" s="71" t="s">
        <v>6746</v>
      </c>
      <c r="D961" s="72">
        <v>37176</v>
      </c>
      <c r="E961" s="71" t="s">
        <v>6747</v>
      </c>
      <c r="F961" s="71" t="s">
        <v>34</v>
      </c>
      <c r="G961" s="71" t="s">
        <v>20</v>
      </c>
      <c r="H961" s="71"/>
      <c r="I961" s="71"/>
      <c r="J961" s="71" t="s">
        <v>6748</v>
      </c>
      <c r="K961" s="71" t="s">
        <v>6749</v>
      </c>
      <c r="L961" s="71" t="s">
        <v>4282</v>
      </c>
      <c r="M961" s="71"/>
      <c r="O961" s="72">
        <v>38008</v>
      </c>
      <c r="P961" s="71"/>
      <c r="Q961" s="71" t="b">
        <v>0</v>
      </c>
      <c r="R961" s="22">
        <f t="shared" si="14"/>
        <v>828</v>
      </c>
    </row>
    <row r="962" spans="1:18">
      <c r="A962" s="71">
        <v>6013</v>
      </c>
      <c r="B962" s="72">
        <v>37193</v>
      </c>
      <c r="C962" s="71" t="s">
        <v>6759</v>
      </c>
      <c r="D962" s="72">
        <v>37193</v>
      </c>
      <c r="E962" s="71" t="s">
        <v>6760</v>
      </c>
      <c r="F962" s="71" t="s">
        <v>984</v>
      </c>
      <c r="G962" s="71" t="s">
        <v>20</v>
      </c>
      <c r="H962" s="71"/>
      <c r="I962" s="71"/>
      <c r="J962" s="71" t="s">
        <v>6761</v>
      </c>
      <c r="K962" s="71" t="s">
        <v>6762</v>
      </c>
      <c r="L962" s="71" t="s">
        <v>66</v>
      </c>
      <c r="M962" s="71"/>
      <c r="O962" s="72">
        <v>37202</v>
      </c>
      <c r="P962" s="71"/>
      <c r="Q962" s="71" t="b">
        <v>0</v>
      </c>
      <c r="R962" s="22">
        <f t="shared" ref="R962:R1025" si="15">IF(O962=" ", " ", INT(YEARFRAC(O962, B962)*365))</f>
        <v>8</v>
      </c>
    </row>
    <row r="963" spans="1:18">
      <c r="A963" s="71">
        <v>6021</v>
      </c>
      <c r="B963" s="72">
        <v>37203</v>
      </c>
      <c r="C963" s="71" t="s">
        <v>6779</v>
      </c>
      <c r="D963" s="72">
        <v>37203</v>
      </c>
      <c r="E963" s="71" t="s">
        <v>6780</v>
      </c>
      <c r="F963" s="71" t="s">
        <v>56</v>
      </c>
      <c r="G963" s="71" t="s">
        <v>20</v>
      </c>
      <c r="H963" s="71"/>
      <c r="I963" s="71"/>
      <c r="J963" s="71" t="s">
        <v>6781</v>
      </c>
      <c r="K963" s="71" t="s">
        <v>6782</v>
      </c>
      <c r="L963" s="71" t="s">
        <v>66</v>
      </c>
      <c r="M963" s="71"/>
      <c r="O963" s="72">
        <v>37546</v>
      </c>
      <c r="P963" s="71">
        <v>-1</v>
      </c>
      <c r="Q963" s="71" t="b">
        <v>0</v>
      </c>
      <c r="R963" s="22">
        <f t="shared" si="15"/>
        <v>343</v>
      </c>
    </row>
    <row r="964" spans="1:18">
      <c r="A964" s="71">
        <v>6029</v>
      </c>
      <c r="B964" s="72">
        <v>37223</v>
      </c>
      <c r="C964" s="71" t="s">
        <v>6793</v>
      </c>
      <c r="D964" s="72">
        <v>37223</v>
      </c>
      <c r="E964" s="71" t="s">
        <v>6794</v>
      </c>
      <c r="F964" s="71" t="s">
        <v>104</v>
      </c>
      <c r="G964" s="71" t="s">
        <v>20</v>
      </c>
      <c r="H964" s="71"/>
      <c r="I964" s="71"/>
      <c r="J964" s="71" t="s">
        <v>5630</v>
      </c>
      <c r="K964" s="71" t="s">
        <v>6795</v>
      </c>
      <c r="L964" s="71" t="s">
        <v>314</v>
      </c>
      <c r="M964" s="71"/>
      <c r="O964" s="72">
        <v>37302</v>
      </c>
      <c r="P964" s="71">
        <v>-1</v>
      </c>
      <c r="Q964" s="71" t="b">
        <v>0</v>
      </c>
      <c r="R964" s="22">
        <f t="shared" si="15"/>
        <v>78</v>
      </c>
    </row>
    <row r="965" spans="1:18">
      <c r="A965" s="71">
        <v>6057</v>
      </c>
      <c r="B965" s="72">
        <v>37267</v>
      </c>
      <c r="C965" s="71" t="s">
        <v>6855</v>
      </c>
      <c r="D965" s="72">
        <v>37264</v>
      </c>
      <c r="E965" s="71" t="s">
        <v>6856</v>
      </c>
      <c r="F965" s="71" t="s">
        <v>124</v>
      </c>
      <c r="G965" s="71" t="s">
        <v>20</v>
      </c>
      <c r="H965" s="71"/>
      <c r="I965" s="71"/>
      <c r="J965" s="71" t="s">
        <v>6857</v>
      </c>
      <c r="K965" s="71" t="s">
        <v>6858</v>
      </c>
      <c r="L965" s="71" t="s">
        <v>66</v>
      </c>
      <c r="M965" s="71"/>
      <c r="O965" s="72">
        <v>37467</v>
      </c>
      <c r="P965" s="71">
        <v>-1</v>
      </c>
      <c r="Q965" s="71" t="b">
        <v>0</v>
      </c>
      <c r="R965" s="22">
        <f t="shared" si="15"/>
        <v>201</v>
      </c>
    </row>
    <row r="966" spans="1:18">
      <c r="A966" s="71">
        <v>6060</v>
      </c>
      <c r="B966" s="72">
        <v>37271</v>
      </c>
      <c r="C966" s="71" t="s">
        <v>6863</v>
      </c>
      <c r="D966" s="72">
        <v>37270</v>
      </c>
      <c r="E966" s="71" t="s">
        <v>4172</v>
      </c>
      <c r="F966" s="71" t="s">
        <v>1039</v>
      </c>
      <c r="G966" s="71" t="s">
        <v>20</v>
      </c>
      <c r="H966" s="71"/>
      <c r="I966" s="71"/>
      <c r="J966" s="71" t="s">
        <v>6864</v>
      </c>
      <c r="K966" s="71"/>
      <c r="L966" s="71" t="s">
        <v>3930</v>
      </c>
      <c r="M966" s="71"/>
      <c r="O966" s="72">
        <v>37288</v>
      </c>
      <c r="P966" s="71">
        <v>-1</v>
      </c>
      <c r="Q966" s="71" t="b">
        <v>0</v>
      </c>
      <c r="R966" s="22">
        <f t="shared" si="15"/>
        <v>16</v>
      </c>
    </row>
    <row r="967" spans="1:18">
      <c r="A967" s="71">
        <v>6289</v>
      </c>
      <c r="B967" s="72">
        <v>37343</v>
      </c>
      <c r="C967" s="71" t="s">
        <v>6988</v>
      </c>
      <c r="D967" s="72">
        <v>37340</v>
      </c>
      <c r="E967" s="71" t="s">
        <v>4172</v>
      </c>
      <c r="F967" s="71" t="s">
        <v>3062</v>
      </c>
      <c r="G967" s="71" t="s">
        <v>20</v>
      </c>
      <c r="H967" s="71"/>
      <c r="I967" s="71"/>
      <c r="J967" s="71" t="s">
        <v>6989</v>
      </c>
      <c r="K967" s="71"/>
      <c r="L967" s="71" t="s">
        <v>66</v>
      </c>
      <c r="M967" s="71"/>
      <c r="O967" s="72">
        <v>37659</v>
      </c>
      <c r="P967" s="71"/>
      <c r="Q967" s="71" t="b">
        <v>0</v>
      </c>
      <c r="R967" s="22">
        <f t="shared" si="15"/>
        <v>313</v>
      </c>
    </row>
    <row r="968" spans="1:18">
      <c r="A968" s="71">
        <v>6299</v>
      </c>
      <c r="B968" s="72">
        <v>37354</v>
      </c>
      <c r="C968" s="71" t="s">
        <v>7009</v>
      </c>
      <c r="D968" s="72">
        <v>36439</v>
      </c>
      <c r="E968" s="71" t="s">
        <v>4172</v>
      </c>
      <c r="F968" s="71" t="s">
        <v>1830</v>
      </c>
      <c r="G968" s="71" t="s">
        <v>20</v>
      </c>
      <c r="H968" s="71"/>
      <c r="I968" s="71"/>
      <c r="J968" s="71" t="s">
        <v>7010</v>
      </c>
      <c r="K968" s="71"/>
      <c r="L968" s="71" t="s">
        <v>314</v>
      </c>
      <c r="M968" s="71" t="s">
        <v>5749</v>
      </c>
      <c r="O968" s="72">
        <v>37572</v>
      </c>
      <c r="P968" s="71">
        <v>-1</v>
      </c>
      <c r="Q968" s="71" t="b">
        <v>0</v>
      </c>
      <c r="R968" s="22">
        <f t="shared" si="15"/>
        <v>216</v>
      </c>
    </row>
    <row r="969" spans="1:18">
      <c r="A969" s="71">
        <v>6301</v>
      </c>
      <c r="B969" s="72">
        <v>37354</v>
      </c>
      <c r="C969" s="71" t="s">
        <v>7011</v>
      </c>
      <c r="D969" s="72">
        <v>36579</v>
      </c>
      <c r="E969" s="71" t="s">
        <v>4172</v>
      </c>
      <c r="F969" s="71" t="s">
        <v>6643</v>
      </c>
      <c r="G969" s="71" t="s">
        <v>20</v>
      </c>
      <c r="H969" s="71" t="s">
        <v>189</v>
      </c>
      <c r="I969" s="71" t="s">
        <v>189</v>
      </c>
      <c r="J969" s="71" t="s">
        <v>7012</v>
      </c>
      <c r="K969" s="71"/>
      <c r="L969" s="71" t="s">
        <v>314</v>
      </c>
      <c r="M969" s="71" t="s">
        <v>5749</v>
      </c>
      <c r="O969" s="72">
        <v>37845</v>
      </c>
      <c r="P969" s="71">
        <v>-1</v>
      </c>
      <c r="Q969" s="71" t="b">
        <v>0</v>
      </c>
      <c r="R969" s="22">
        <f t="shared" si="15"/>
        <v>490</v>
      </c>
    </row>
    <row r="970" spans="1:18">
      <c r="A970" s="71">
        <v>6302</v>
      </c>
      <c r="B970" s="72">
        <v>37354</v>
      </c>
      <c r="C970" s="71" t="s">
        <v>7013</v>
      </c>
      <c r="D970" s="72">
        <v>36579</v>
      </c>
      <c r="E970" s="71" t="s">
        <v>4172</v>
      </c>
      <c r="F970" s="71" t="s">
        <v>1771</v>
      </c>
      <c r="G970" s="71" t="s">
        <v>20</v>
      </c>
      <c r="H970" s="71" t="s">
        <v>189</v>
      </c>
      <c r="I970" s="71" t="s">
        <v>189</v>
      </c>
      <c r="J970" s="71" t="s">
        <v>7014</v>
      </c>
      <c r="K970" s="71" t="s">
        <v>7015</v>
      </c>
      <c r="L970" s="71" t="s">
        <v>314</v>
      </c>
      <c r="M970" s="71" t="s">
        <v>5749</v>
      </c>
      <c r="O970" s="72">
        <v>37845</v>
      </c>
      <c r="P970" s="71">
        <v>-1</v>
      </c>
      <c r="Q970" s="71" t="b">
        <v>0</v>
      </c>
      <c r="R970" s="22">
        <f t="shared" si="15"/>
        <v>490</v>
      </c>
    </row>
    <row r="971" spans="1:18">
      <c r="A971" s="71">
        <v>6303</v>
      </c>
      <c r="B971" s="72">
        <v>37354</v>
      </c>
      <c r="C971" s="71" t="s">
        <v>7016</v>
      </c>
      <c r="D971" s="72">
        <v>36579</v>
      </c>
      <c r="E971" s="71" t="s">
        <v>4172</v>
      </c>
      <c r="F971" s="71" t="s">
        <v>56</v>
      </c>
      <c r="G971" s="71" t="s">
        <v>20</v>
      </c>
      <c r="H971" s="71"/>
      <c r="I971" s="71"/>
      <c r="J971" s="71" t="s">
        <v>5369</v>
      </c>
      <c r="K971" s="71" t="s">
        <v>7017</v>
      </c>
      <c r="L971" s="71" t="s">
        <v>314</v>
      </c>
      <c r="M971" s="71" t="s">
        <v>5749</v>
      </c>
      <c r="O971" s="72">
        <v>37845</v>
      </c>
      <c r="P971" s="71">
        <v>-1</v>
      </c>
      <c r="Q971" s="71" t="b">
        <v>0</v>
      </c>
      <c r="R971" s="22">
        <f t="shared" si="15"/>
        <v>490</v>
      </c>
    </row>
    <row r="972" spans="1:18">
      <c r="A972" s="71">
        <v>6304</v>
      </c>
      <c r="B972" s="72">
        <v>37355</v>
      </c>
      <c r="C972" s="71" t="s">
        <v>7018</v>
      </c>
      <c r="D972" s="72">
        <v>36579</v>
      </c>
      <c r="E972" s="71" t="s">
        <v>4172</v>
      </c>
      <c r="F972" s="71" t="s">
        <v>5988</v>
      </c>
      <c r="G972" s="71" t="s">
        <v>20</v>
      </c>
      <c r="H972" s="71"/>
      <c r="I972" s="71"/>
      <c r="J972" s="71" t="s">
        <v>7019</v>
      </c>
      <c r="K972" s="71" t="s">
        <v>7020</v>
      </c>
      <c r="L972" s="71" t="s">
        <v>314</v>
      </c>
      <c r="M972" s="71" t="s">
        <v>5749</v>
      </c>
      <c r="O972" s="72">
        <v>37845</v>
      </c>
      <c r="P972" s="71">
        <v>-1</v>
      </c>
      <c r="Q972" s="71" t="b">
        <v>0</v>
      </c>
      <c r="R972" s="22">
        <f t="shared" si="15"/>
        <v>489</v>
      </c>
    </row>
    <row r="973" spans="1:18">
      <c r="A973" s="71">
        <v>6305</v>
      </c>
      <c r="B973" s="72">
        <v>37355</v>
      </c>
      <c r="C973" s="71" t="s">
        <v>7021</v>
      </c>
      <c r="D973" s="72">
        <v>37089</v>
      </c>
      <c r="E973" s="71" t="s">
        <v>4172</v>
      </c>
      <c r="F973" s="71" t="s">
        <v>984</v>
      </c>
      <c r="G973" s="71" t="s">
        <v>20</v>
      </c>
      <c r="H973" s="71"/>
      <c r="I973" s="71"/>
      <c r="J973" s="71" t="s">
        <v>572</v>
      </c>
      <c r="K973" s="71" t="s">
        <v>7022</v>
      </c>
      <c r="L973" s="71" t="s">
        <v>314</v>
      </c>
      <c r="M973" s="71" t="s">
        <v>3526</v>
      </c>
      <c r="O973" s="72">
        <v>38321</v>
      </c>
      <c r="P973" s="71"/>
      <c r="Q973" s="71" t="b">
        <v>0</v>
      </c>
      <c r="R973" s="22">
        <f t="shared" si="15"/>
        <v>964</v>
      </c>
    </row>
    <row r="974" spans="1:18">
      <c r="A974" s="71">
        <v>6306</v>
      </c>
      <c r="B974" s="72">
        <v>37355</v>
      </c>
      <c r="C974" s="71" t="s">
        <v>7023</v>
      </c>
      <c r="D974" s="72">
        <v>36546</v>
      </c>
      <c r="E974" s="71" t="s">
        <v>4172</v>
      </c>
      <c r="F974" s="71" t="s">
        <v>7024</v>
      </c>
      <c r="G974" s="71" t="s">
        <v>20</v>
      </c>
      <c r="H974" s="71"/>
      <c r="I974" s="71" t="s">
        <v>1061</v>
      </c>
      <c r="J974" s="71" t="s">
        <v>7025</v>
      </c>
      <c r="K974" s="71"/>
      <c r="L974" s="71" t="s">
        <v>66</v>
      </c>
      <c r="M974" s="71"/>
      <c r="O974" s="72">
        <v>37580</v>
      </c>
      <c r="P974" s="71">
        <v>-1</v>
      </c>
      <c r="Q974" s="71" t="b">
        <v>0</v>
      </c>
      <c r="R974" s="22">
        <f t="shared" si="15"/>
        <v>224</v>
      </c>
    </row>
    <row r="975" spans="1:18">
      <c r="A975" s="71">
        <v>6307</v>
      </c>
      <c r="B975" s="72">
        <v>37355</v>
      </c>
      <c r="C975" s="71" t="s">
        <v>7026</v>
      </c>
      <c r="D975" s="72">
        <v>37238</v>
      </c>
      <c r="E975" s="71" t="s">
        <v>4172</v>
      </c>
      <c r="F975" s="71" t="s">
        <v>3062</v>
      </c>
      <c r="G975" s="71" t="s">
        <v>20</v>
      </c>
      <c r="H975" s="71"/>
      <c r="I975" s="71"/>
      <c r="J975" s="71" t="s">
        <v>3064</v>
      </c>
      <c r="K975" s="71"/>
      <c r="L975" s="71" t="s">
        <v>66</v>
      </c>
      <c r="M975" s="71"/>
      <c r="O975" s="72">
        <v>37670</v>
      </c>
      <c r="P975" s="71"/>
      <c r="Q975" s="71" t="b">
        <v>0</v>
      </c>
      <c r="R975" s="22">
        <f t="shared" si="15"/>
        <v>313</v>
      </c>
    </row>
    <row r="976" spans="1:18">
      <c r="A976" s="71">
        <v>6308</v>
      </c>
      <c r="B976" s="72">
        <v>37355</v>
      </c>
      <c r="C976" s="71" t="s">
        <v>7027</v>
      </c>
      <c r="D976" s="72">
        <v>36563</v>
      </c>
      <c r="E976" s="71" t="s">
        <v>4172</v>
      </c>
      <c r="F976" s="71" t="s">
        <v>3434</v>
      </c>
      <c r="G976" s="71" t="s">
        <v>20</v>
      </c>
      <c r="H976" s="71"/>
      <c r="I976" s="71"/>
      <c r="J976" s="71" t="s">
        <v>7028</v>
      </c>
      <c r="K976" s="71"/>
      <c r="L976" s="71" t="s">
        <v>66</v>
      </c>
      <c r="M976" s="71"/>
      <c r="O976" s="72">
        <v>37424</v>
      </c>
      <c r="P976" s="71">
        <v>-1</v>
      </c>
      <c r="Q976" s="71" t="b">
        <v>0</v>
      </c>
      <c r="R976" s="22">
        <f t="shared" si="15"/>
        <v>68</v>
      </c>
    </row>
    <row r="977" spans="1:18">
      <c r="A977" s="71">
        <v>6309</v>
      </c>
      <c r="B977" s="72">
        <v>37355</v>
      </c>
      <c r="C977" s="71" t="s">
        <v>7029</v>
      </c>
      <c r="D977" s="72">
        <v>35901</v>
      </c>
      <c r="E977" s="71" t="s">
        <v>4172</v>
      </c>
      <c r="F977" s="71" t="s">
        <v>7030</v>
      </c>
      <c r="G977" s="71" t="s">
        <v>20</v>
      </c>
      <c r="H977" s="71" t="s">
        <v>71</v>
      </c>
      <c r="I977" s="71" t="s">
        <v>72</v>
      </c>
      <c r="J977" s="71" t="s">
        <v>7031</v>
      </c>
      <c r="K977" s="71" t="s">
        <v>7032</v>
      </c>
      <c r="L977" s="71" t="s">
        <v>66</v>
      </c>
      <c r="M977" s="71" t="s">
        <v>686</v>
      </c>
      <c r="O977" s="72">
        <v>37426</v>
      </c>
      <c r="P977" s="71"/>
      <c r="Q977" s="71" t="b">
        <v>0</v>
      </c>
      <c r="R977" s="22">
        <f t="shared" si="15"/>
        <v>70</v>
      </c>
    </row>
    <row r="978" spans="1:18">
      <c r="A978" s="71">
        <v>6315</v>
      </c>
      <c r="B978" s="72">
        <v>36707</v>
      </c>
      <c r="C978" s="71" t="s">
        <v>7041</v>
      </c>
      <c r="D978" s="72">
        <v>36707</v>
      </c>
      <c r="E978" s="71" t="s">
        <v>4172</v>
      </c>
      <c r="F978" s="71" t="s">
        <v>7042</v>
      </c>
      <c r="G978" s="71" t="s">
        <v>20</v>
      </c>
      <c r="H978" s="71" t="s">
        <v>189</v>
      </c>
      <c r="I978" s="71" t="s">
        <v>189</v>
      </c>
      <c r="J978" s="71" t="s">
        <v>7034</v>
      </c>
      <c r="K978" s="71" t="s">
        <v>7043</v>
      </c>
      <c r="L978" s="71" t="s">
        <v>4282</v>
      </c>
      <c r="M978" s="71" t="s">
        <v>7044</v>
      </c>
      <c r="O978" s="72">
        <v>38505</v>
      </c>
      <c r="P978" s="71">
        <v>-1</v>
      </c>
      <c r="Q978" s="71" t="b">
        <v>0</v>
      </c>
      <c r="R978" s="22">
        <f t="shared" si="15"/>
        <v>1796</v>
      </c>
    </row>
    <row r="979" spans="1:18">
      <c r="A979" s="71">
        <v>6316</v>
      </c>
      <c r="B979" s="72">
        <v>36579</v>
      </c>
      <c r="C979" s="71" t="s">
        <v>7045</v>
      </c>
      <c r="D979" s="72">
        <v>36579</v>
      </c>
      <c r="E979" s="71" t="s">
        <v>4172</v>
      </c>
      <c r="F979" s="71" t="s">
        <v>228</v>
      </c>
      <c r="G979" s="71" t="s">
        <v>20</v>
      </c>
      <c r="H979" s="71"/>
      <c r="I979" s="71"/>
      <c r="J979" s="71" t="s">
        <v>5281</v>
      </c>
      <c r="K979" s="71" t="s">
        <v>7046</v>
      </c>
      <c r="L979" s="71" t="s">
        <v>4282</v>
      </c>
      <c r="M979" s="71" t="s">
        <v>821</v>
      </c>
      <c r="O979" s="72">
        <v>37845</v>
      </c>
      <c r="P979" s="71">
        <v>-1</v>
      </c>
      <c r="Q979" s="71" t="b">
        <v>0</v>
      </c>
      <c r="R979" s="22">
        <f t="shared" si="15"/>
        <v>1266</v>
      </c>
    </row>
    <row r="980" spans="1:18">
      <c r="A980" s="71">
        <v>6317</v>
      </c>
      <c r="B980" s="72">
        <v>36579</v>
      </c>
      <c r="C980" s="71" t="s">
        <v>7047</v>
      </c>
      <c r="D980" s="72">
        <v>36579</v>
      </c>
      <c r="E980" s="71" t="s">
        <v>4172</v>
      </c>
      <c r="F980" s="71" t="s">
        <v>4242</v>
      </c>
      <c r="G980" s="71" t="s">
        <v>20</v>
      </c>
      <c r="H980" s="71" t="s">
        <v>189</v>
      </c>
      <c r="I980" s="71"/>
      <c r="J980" s="71" t="s">
        <v>7012</v>
      </c>
      <c r="K980" s="71"/>
      <c r="L980" s="71" t="s">
        <v>4282</v>
      </c>
      <c r="M980" s="71" t="s">
        <v>821</v>
      </c>
      <c r="O980" s="72">
        <v>37845</v>
      </c>
      <c r="P980" s="71">
        <v>-1</v>
      </c>
      <c r="Q980" s="71" t="b">
        <v>0</v>
      </c>
      <c r="R980" s="22">
        <f t="shared" si="15"/>
        <v>1266</v>
      </c>
    </row>
    <row r="981" spans="1:18">
      <c r="A981" s="71">
        <v>6318</v>
      </c>
      <c r="B981" s="72">
        <v>36382</v>
      </c>
      <c r="C981" s="71" t="s">
        <v>7048</v>
      </c>
      <c r="D981" s="72">
        <v>36382</v>
      </c>
      <c r="E981" s="71" t="s">
        <v>4172</v>
      </c>
      <c r="F981" s="71" t="s">
        <v>149</v>
      </c>
      <c r="G981" s="71" t="s">
        <v>20</v>
      </c>
      <c r="H981" s="71"/>
      <c r="I981" s="71"/>
      <c r="J981" s="71" t="s">
        <v>7049</v>
      </c>
      <c r="K981" s="71" t="s">
        <v>7050</v>
      </c>
      <c r="L981" s="71" t="s">
        <v>4282</v>
      </c>
      <c r="M981" s="71" t="s">
        <v>821</v>
      </c>
      <c r="O981" s="72">
        <v>37845</v>
      </c>
      <c r="P981" s="71">
        <v>-1</v>
      </c>
      <c r="Q981" s="71" t="b">
        <v>0</v>
      </c>
      <c r="R981" s="22">
        <f t="shared" si="15"/>
        <v>1462</v>
      </c>
    </row>
    <row r="982" spans="1:18">
      <c r="A982" s="71">
        <v>6319</v>
      </c>
      <c r="B982" s="72">
        <v>37090</v>
      </c>
      <c r="C982" s="71" t="s">
        <v>7051</v>
      </c>
      <c r="D982" s="72">
        <v>37090</v>
      </c>
      <c r="E982" s="71" t="s">
        <v>4172</v>
      </c>
      <c r="F982" s="71" t="s">
        <v>39</v>
      </c>
      <c r="G982" s="71" t="s">
        <v>20</v>
      </c>
      <c r="H982" s="71"/>
      <c r="I982" s="71"/>
      <c r="J982" s="71" t="s">
        <v>7052</v>
      </c>
      <c r="K982" s="71" t="s">
        <v>7034</v>
      </c>
      <c r="L982" s="71" t="s">
        <v>4282</v>
      </c>
      <c r="M982" s="71"/>
      <c r="O982" s="72">
        <v>38336</v>
      </c>
      <c r="P982" s="71">
        <v>-1</v>
      </c>
      <c r="Q982" s="71" t="b">
        <v>0</v>
      </c>
      <c r="R982" s="22">
        <f t="shared" si="15"/>
        <v>1244</v>
      </c>
    </row>
    <row r="983" spans="1:18">
      <c r="A983" s="71">
        <v>6320</v>
      </c>
      <c r="B983" s="72">
        <v>37225</v>
      </c>
      <c r="C983" s="71" t="s">
        <v>7053</v>
      </c>
      <c r="D983" s="72">
        <v>37225</v>
      </c>
      <c r="E983" s="71" t="s">
        <v>4172</v>
      </c>
      <c r="F983" s="71" t="s">
        <v>7054</v>
      </c>
      <c r="G983" s="71" t="s">
        <v>20</v>
      </c>
      <c r="H983" s="71" t="s">
        <v>212</v>
      </c>
      <c r="I983" s="71" t="s">
        <v>212</v>
      </c>
      <c r="J983" s="71" t="s">
        <v>5598</v>
      </c>
      <c r="K983" s="71"/>
      <c r="L983" s="71" t="s">
        <v>7055</v>
      </c>
      <c r="M983" s="71" t="s">
        <v>4282</v>
      </c>
      <c r="O983" s="72">
        <v>38489</v>
      </c>
      <c r="P983" s="71">
        <v>-1</v>
      </c>
      <c r="Q983" s="71" t="b">
        <v>0</v>
      </c>
      <c r="R983" s="22">
        <f t="shared" si="15"/>
        <v>1264</v>
      </c>
    </row>
    <row r="984" spans="1:18">
      <c r="A984" s="71">
        <v>6321</v>
      </c>
      <c r="B984" s="72">
        <v>37365</v>
      </c>
      <c r="C984" s="71" t="s">
        <v>7056</v>
      </c>
      <c r="D984" s="72">
        <v>37342</v>
      </c>
      <c r="E984" s="71" t="s">
        <v>4172</v>
      </c>
      <c r="F984" s="71" t="s">
        <v>149</v>
      </c>
      <c r="G984" s="71" t="s">
        <v>20</v>
      </c>
      <c r="H984" s="71"/>
      <c r="I984" s="71"/>
      <c r="J984" s="71" t="s">
        <v>7057</v>
      </c>
      <c r="K984" s="71" t="s">
        <v>7058</v>
      </c>
      <c r="L984" s="71" t="s">
        <v>314</v>
      </c>
      <c r="M984" s="71"/>
      <c r="O984" s="72">
        <v>37396</v>
      </c>
      <c r="P984" s="71">
        <v>-1</v>
      </c>
      <c r="Q984" s="71" t="b">
        <v>0</v>
      </c>
      <c r="R984" s="22">
        <f t="shared" si="15"/>
        <v>31</v>
      </c>
    </row>
    <row r="985" spans="1:18">
      <c r="A985" s="71">
        <v>6323</v>
      </c>
      <c r="B985" s="72">
        <v>37370</v>
      </c>
      <c r="C985" s="71" t="s">
        <v>7059</v>
      </c>
      <c r="D985" s="72">
        <v>36563</v>
      </c>
      <c r="E985" s="71" t="s">
        <v>4172</v>
      </c>
      <c r="F985" s="71" t="s">
        <v>741</v>
      </c>
      <c r="G985" s="71" t="s">
        <v>20</v>
      </c>
      <c r="H985" s="71"/>
      <c r="I985" s="71"/>
      <c r="J985" s="71" t="s">
        <v>7060</v>
      </c>
      <c r="K985" s="71"/>
      <c r="L985" s="71" t="s">
        <v>66</v>
      </c>
      <c r="M985" s="71"/>
      <c r="O985" s="72">
        <v>37370</v>
      </c>
      <c r="P985" s="71">
        <v>-1</v>
      </c>
      <c r="Q985" s="71" t="b">
        <v>0</v>
      </c>
      <c r="R985" s="22">
        <f t="shared" si="15"/>
        <v>0</v>
      </c>
    </row>
    <row r="986" spans="1:18">
      <c r="A986" s="71">
        <v>6324</v>
      </c>
      <c r="B986" s="72">
        <v>37370</v>
      </c>
      <c r="C986" s="71" t="s">
        <v>7061</v>
      </c>
      <c r="D986" s="72">
        <v>37189</v>
      </c>
      <c r="E986" s="71" t="s">
        <v>4172</v>
      </c>
      <c r="F986" s="71" t="s">
        <v>3430</v>
      </c>
      <c r="G986" s="71" t="s">
        <v>20</v>
      </c>
      <c r="H986" s="71" t="s">
        <v>71</v>
      </c>
      <c r="I986" s="71" t="s">
        <v>72</v>
      </c>
      <c r="J986" s="71" t="s">
        <v>7062</v>
      </c>
      <c r="K986" s="71" t="s">
        <v>4690</v>
      </c>
      <c r="L986" s="71" t="s">
        <v>66</v>
      </c>
      <c r="M986" s="71"/>
      <c r="O986" s="72">
        <v>37377</v>
      </c>
      <c r="P986" s="71">
        <v>-1</v>
      </c>
      <c r="Q986" s="71" t="b">
        <v>0</v>
      </c>
      <c r="R986" s="22">
        <f t="shared" si="15"/>
        <v>7</v>
      </c>
    </row>
    <row r="987" spans="1:18">
      <c r="A987" s="71">
        <v>6334</v>
      </c>
      <c r="B987" s="72">
        <v>37383</v>
      </c>
      <c r="C987" s="71" t="s">
        <v>7076</v>
      </c>
      <c r="D987" s="72">
        <v>37376</v>
      </c>
      <c r="E987" s="71" t="s">
        <v>7077</v>
      </c>
      <c r="F987" s="71" t="s">
        <v>124</v>
      </c>
      <c r="G987" s="71" t="s">
        <v>20</v>
      </c>
      <c r="H987" s="71"/>
      <c r="I987" s="71"/>
      <c r="J987" s="71" t="s">
        <v>7078</v>
      </c>
      <c r="K987" s="71" t="s">
        <v>1513</v>
      </c>
      <c r="L987" s="71" t="s">
        <v>3588</v>
      </c>
      <c r="M987" s="71" t="s">
        <v>7079</v>
      </c>
      <c r="O987" s="72">
        <v>39499</v>
      </c>
      <c r="P987" s="71"/>
      <c r="Q987" s="71" t="b">
        <v>0</v>
      </c>
      <c r="R987" s="22">
        <f t="shared" si="15"/>
        <v>2112</v>
      </c>
    </row>
    <row r="988" spans="1:18">
      <c r="A988" s="71">
        <v>6337</v>
      </c>
      <c r="B988" s="72">
        <v>37385</v>
      </c>
      <c r="C988" s="71" t="s">
        <v>7084</v>
      </c>
      <c r="D988" s="72">
        <v>37385</v>
      </c>
      <c r="E988" s="71" t="s">
        <v>4172</v>
      </c>
      <c r="F988" s="71" t="s">
        <v>2359</v>
      </c>
      <c r="G988" s="71" t="s">
        <v>20</v>
      </c>
      <c r="H988" s="71" t="s">
        <v>71</v>
      </c>
      <c r="I988" s="71" t="s">
        <v>72</v>
      </c>
      <c r="J988" s="71" t="s">
        <v>7085</v>
      </c>
      <c r="K988" s="71" t="s">
        <v>6258</v>
      </c>
      <c r="L988" s="71" t="s">
        <v>314</v>
      </c>
      <c r="M988" s="71"/>
      <c r="O988" s="72">
        <v>37683</v>
      </c>
      <c r="P988" s="71">
        <v>-1</v>
      </c>
      <c r="Q988" s="71" t="b">
        <v>0</v>
      </c>
      <c r="R988" s="22">
        <f t="shared" si="15"/>
        <v>298</v>
      </c>
    </row>
    <row r="989" spans="1:18">
      <c r="A989" s="71">
        <v>6347</v>
      </c>
      <c r="B989" s="72">
        <v>37397</v>
      </c>
      <c r="C989" s="71" t="s">
        <v>7094</v>
      </c>
      <c r="D989" s="72">
        <v>37393</v>
      </c>
      <c r="E989" s="71" t="s">
        <v>7095</v>
      </c>
      <c r="F989" s="71" t="s">
        <v>19</v>
      </c>
      <c r="G989" s="71" t="s">
        <v>20</v>
      </c>
      <c r="H989" s="71"/>
      <c r="I989" s="71"/>
      <c r="J989" s="71" t="s">
        <v>7096</v>
      </c>
      <c r="K989" s="71" t="s">
        <v>7097</v>
      </c>
      <c r="L989" s="71" t="s">
        <v>314</v>
      </c>
      <c r="M989" s="71"/>
      <c r="O989" s="72">
        <v>38100</v>
      </c>
      <c r="P989" s="71"/>
      <c r="Q989" s="71" t="b">
        <v>0</v>
      </c>
      <c r="R989" s="22">
        <f t="shared" si="15"/>
        <v>701</v>
      </c>
    </row>
    <row r="990" spans="1:18">
      <c r="A990" s="71">
        <v>6362</v>
      </c>
      <c r="B990" s="72">
        <v>37420</v>
      </c>
      <c r="C990" s="71" t="s">
        <v>7130</v>
      </c>
      <c r="D990" s="72">
        <v>37420</v>
      </c>
      <c r="E990" s="71" t="s">
        <v>4172</v>
      </c>
      <c r="F990" s="71" t="s">
        <v>5690</v>
      </c>
      <c r="G990" s="71" t="s">
        <v>20</v>
      </c>
      <c r="H990" s="71" t="s">
        <v>71</v>
      </c>
      <c r="I990" s="71" t="s">
        <v>72</v>
      </c>
      <c r="J990" s="71" t="s">
        <v>7131</v>
      </c>
      <c r="K990" s="71" t="s">
        <v>7034</v>
      </c>
      <c r="L990" s="71" t="s">
        <v>314</v>
      </c>
      <c r="M990" s="71"/>
      <c r="O990" s="72">
        <v>37749</v>
      </c>
      <c r="P990" s="71">
        <v>-1</v>
      </c>
      <c r="Q990" s="71" t="b">
        <v>0</v>
      </c>
      <c r="R990" s="22">
        <f t="shared" si="15"/>
        <v>329</v>
      </c>
    </row>
    <row r="991" spans="1:18">
      <c r="A991" s="71">
        <v>6364</v>
      </c>
      <c r="B991" s="72">
        <v>37426</v>
      </c>
      <c r="C991" s="71" t="s">
        <v>7132</v>
      </c>
      <c r="D991" s="72">
        <v>37426</v>
      </c>
      <c r="E991" s="71" t="s">
        <v>4172</v>
      </c>
      <c r="F991" s="71" t="s">
        <v>6084</v>
      </c>
      <c r="G991" s="71" t="s">
        <v>20</v>
      </c>
      <c r="H991" s="71"/>
      <c r="I991" s="71"/>
      <c r="J991" s="71" t="s">
        <v>7133</v>
      </c>
      <c r="K991" s="71" t="s">
        <v>7134</v>
      </c>
      <c r="L991" s="71" t="s">
        <v>66</v>
      </c>
      <c r="M991" s="71"/>
      <c r="O991" s="72">
        <v>37572</v>
      </c>
      <c r="P991" s="71"/>
      <c r="Q991" s="71" t="b">
        <v>0</v>
      </c>
      <c r="R991" s="22">
        <f t="shared" si="15"/>
        <v>144</v>
      </c>
    </row>
    <row r="992" spans="1:18">
      <c r="A992" s="71">
        <v>6370</v>
      </c>
      <c r="B992" s="72">
        <v>37439</v>
      </c>
      <c r="C992" s="71" t="s">
        <v>7148</v>
      </c>
      <c r="D992" s="72">
        <v>37439</v>
      </c>
      <c r="E992" s="71" t="s">
        <v>7149</v>
      </c>
      <c r="F992" s="71" t="s">
        <v>974</v>
      </c>
      <c r="G992" s="71" t="s">
        <v>20</v>
      </c>
      <c r="H992" s="71" t="s">
        <v>212</v>
      </c>
      <c r="I992" s="71" t="s">
        <v>212</v>
      </c>
      <c r="J992" s="71" t="s">
        <v>7150</v>
      </c>
      <c r="K992" s="71" t="s">
        <v>7151</v>
      </c>
      <c r="L992" s="71" t="s">
        <v>66</v>
      </c>
      <c r="M992" s="71"/>
      <c r="O992" s="72">
        <v>37644</v>
      </c>
      <c r="P992" s="71"/>
      <c r="Q992" s="71" t="b">
        <v>0</v>
      </c>
      <c r="R992" s="22">
        <f t="shared" si="15"/>
        <v>203</v>
      </c>
    </row>
    <row r="993" spans="1:18">
      <c r="A993" s="71">
        <v>6371</v>
      </c>
      <c r="B993" s="72">
        <v>37440</v>
      </c>
      <c r="C993" s="71" t="s">
        <v>7152</v>
      </c>
      <c r="D993" s="72">
        <v>37434</v>
      </c>
      <c r="E993" s="71" t="s">
        <v>7153</v>
      </c>
      <c r="F993" s="71" t="s">
        <v>149</v>
      </c>
      <c r="G993" s="71" t="s">
        <v>20</v>
      </c>
      <c r="H993" s="71"/>
      <c r="I993" s="71"/>
      <c r="J993" s="71" t="s">
        <v>272</v>
      </c>
      <c r="K993" s="71" t="s">
        <v>7154</v>
      </c>
      <c r="L993" s="71" t="s">
        <v>314</v>
      </c>
      <c r="M993" s="71"/>
      <c r="O993" s="72">
        <v>38139</v>
      </c>
      <c r="P993" s="71">
        <v>-1</v>
      </c>
      <c r="Q993" s="71" t="b">
        <v>0</v>
      </c>
      <c r="R993" s="22">
        <f t="shared" si="15"/>
        <v>697</v>
      </c>
    </row>
    <row r="994" spans="1:18">
      <c r="A994" s="71">
        <v>6386</v>
      </c>
      <c r="B994" s="72">
        <v>37460</v>
      </c>
      <c r="C994" s="71" t="s">
        <v>7184</v>
      </c>
      <c r="D994" s="72">
        <v>37460</v>
      </c>
      <c r="E994" s="71" t="s">
        <v>7185</v>
      </c>
      <c r="F994" s="71" t="s">
        <v>56</v>
      </c>
      <c r="G994" s="71" t="s">
        <v>20</v>
      </c>
      <c r="H994" s="71"/>
      <c r="I994" s="71"/>
      <c r="J994" s="71" t="s">
        <v>7186</v>
      </c>
      <c r="K994" s="71"/>
      <c r="L994" s="71" t="s">
        <v>66</v>
      </c>
      <c r="M994" s="71"/>
      <c r="O994" s="72">
        <v>37937</v>
      </c>
      <c r="P994" s="71">
        <v>-1</v>
      </c>
      <c r="Q994" s="71" t="b">
        <v>0</v>
      </c>
      <c r="R994" s="22">
        <f t="shared" si="15"/>
        <v>475</v>
      </c>
    </row>
    <row r="995" spans="1:18">
      <c r="A995" s="71">
        <v>6391</v>
      </c>
      <c r="B995" s="72">
        <v>37473</v>
      </c>
      <c r="C995" s="71" t="s">
        <v>7194</v>
      </c>
      <c r="D995" s="72">
        <v>37473</v>
      </c>
      <c r="E995" s="71" t="s">
        <v>4172</v>
      </c>
      <c r="F995" s="71" t="s">
        <v>19</v>
      </c>
      <c r="G995" s="71" t="s">
        <v>20</v>
      </c>
      <c r="H995" s="71"/>
      <c r="I995" s="71"/>
      <c r="J995" s="71" t="s">
        <v>7195</v>
      </c>
      <c r="K995" s="71" t="s">
        <v>7196</v>
      </c>
      <c r="L995" s="71" t="s">
        <v>66</v>
      </c>
      <c r="M995" s="71"/>
      <c r="O995" s="72">
        <v>37497</v>
      </c>
      <c r="P995" s="71">
        <v>-1</v>
      </c>
      <c r="Q995" s="71" t="b">
        <v>0</v>
      </c>
      <c r="R995" s="22">
        <f t="shared" si="15"/>
        <v>24</v>
      </c>
    </row>
    <row r="996" spans="1:18">
      <c r="A996" s="71">
        <v>6392</v>
      </c>
      <c r="B996" s="72">
        <v>37475</v>
      </c>
      <c r="C996" s="71" t="s">
        <v>7197</v>
      </c>
      <c r="D996" s="72">
        <v>37474</v>
      </c>
      <c r="E996" s="71" t="s">
        <v>4172</v>
      </c>
      <c r="F996" s="71" t="s">
        <v>3434</v>
      </c>
      <c r="G996" s="71" t="s">
        <v>20</v>
      </c>
      <c r="H996" s="71"/>
      <c r="I996" s="71"/>
      <c r="J996" s="71" t="s">
        <v>7198</v>
      </c>
      <c r="K996" s="71" t="s">
        <v>7199</v>
      </c>
      <c r="L996" s="71" t="s">
        <v>314</v>
      </c>
      <c r="M996" s="71"/>
      <c r="O996" s="72">
        <v>37977</v>
      </c>
      <c r="P996" s="71">
        <v>-1</v>
      </c>
      <c r="Q996" s="71" t="b">
        <v>0</v>
      </c>
      <c r="R996" s="22">
        <f t="shared" si="15"/>
        <v>501</v>
      </c>
    </row>
    <row r="997" spans="1:18">
      <c r="A997" s="71">
        <v>6396</v>
      </c>
      <c r="B997" s="72">
        <v>37480</v>
      </c>
      <c r="C997" s="71" t="s">
        <v>7207</v>
      </c>
      <c r="D997" s="72">
        <v>37480</v>
      </c>
      <c r="E997" s="71" t="s">
        <v>7208</v>
      </c>
      <c r="F997" s="71" t="s">
        <v>2782</v>
      </c>
      <c r="G997" s="71" t="s">
        <v>20</v>
      </c>
      <c r="H997" s="71" t="s">
        <v>71</v>
      </c>
      <c r="I997" s="71" t="s">
        <v>72</v>
      </c>
      <c r="J997" s="71" t="s">
        <v>7209</v>
      </c>
      <c r="K997" s="71" t="s">
        <v>2783</v>
      </c>
      <c r="L997" s="71" t="s">
        <v>66</v>
      </c>
      <c r="M997" s="71"/>
      <c r="O997" s="72">
        <v>37770</v>
      </c>
      <c r="P997" s="71">
        <v>-1</v>
      </c>
      <c r="Q997" s="71" t="b">
        <v>0</v>
      </c>
      <c r="R997" s="22">
        <f t="shared" si="15"/>
        <v>290</v>
      </c>
    </row>
    <row r="998" spans="1:18">
      <c r="A998" s="71">
        <v>6403</v>
      </c>
      <c r="B998" s="72">
        <v>37494</v>
      </c>
      <c r="C998" s="71" t="s">
        <v>7218</v>
      </c>
      <c r="D998" s="72">
        <v>37491</v>
      </c>
      <c r="E998" s="71" t="s">
        <v>7219</v>
      </c>
      <c r="F998" s="71" t="s">
        <v>3171</v>
      </c>
      <c r="G998" s="71" t="s">
        <v>20</v>
      </c>
      <c r="H998" s="71" t="s">
        <v>566</v>
      </c>
      <c r="I998" s="71" t="s">
        <v>566</v>
      </c>
      <c r="J998" s="71" t="s">
        <v>7220</v>
      </c>
      <c r="K998" s="71"/>
      <c r="L998" s="71" t="s">
        <v>66</v>
      </c>
      <c r="M998" s="71"/>
      <c r="O998" s="72">
        <v>37621</v>
      </c>
      <c r="P998" s="71"/>
      <c r="Q998" s="71" t="b">
        <v>0</v>
      </c>
      <c r="R998" s="22">
        <f t="shared" si="15"/>
        <v>126</v>
      </c>
    </row>
    <row r="999" spans="1:18">
      <c r="A999" s="71">
        <v>6404</v>
      </c>
      <c r="B999" s="72">
        <v>37496</v>
      </c>
      <c r="C999" s="71" t="s">
        <v>7221</v>
      </c>
      <c r="D999" s="72">
        <v>37496</v>
      </c>
      <c r="E999" s="71" t="s">
        <v>7222</v>
      </c>
      <c r="F999" s="71" t="s">
        <v>27</v>
      </c>
      <c r="G999" s="71" t="s">
        <v>20</v>
      </c>
      <c r="H999" s="71"/>
      <c r="I999" s="71"/>
      <c r="J999" s="71" t="s">
        <v>7223</v>
      </c>
      <c r="K999" s="71" t="s">
        <v>7224</v>
      </c>
      <c r="L999" s="71" t="s">
        <v>66</v>
      </c>
      <c r="M999" s="71"/>
      <c r="O999" s="72">
        <v>37685</v>
      </c>
      <c r="P999" s="71"/>
      <c r="Q999" s="71" t="b">
        <v>0</v>
      </c>
      <c r="R999" s="22">
        <f t="shared" si="15"/>
        <v>189</v>
      </c>
    </row>
    <row r="1000" spans="1:18">
      <c r="A1000" s="71">
        <v>6406</v>
      </c>
      <c r="B1000" s="72">
        <v>37502</v>
      </c>
      <c r="C1000" s="71" t="s">
        <v>7228</v>
      </c>
      <c r="D1000" s="72">
        <v>37502</v>
      </c>
      <c r="E1000" s="71" t="s">
        <v>7229</v>
      </c>
      <c r="F1000" s="71" t="s">
        <v>974</v>
      </c>
      <c r="G1000" s="71" t="s">
        <v>20</v>
      </c>
      <c r="H1000" s="71" t="s">
        <v>212</v>
      </c>
      <c r="I1000" s="71" t="s">
        <v>212</v>
      </c>
      <c r="J1000" s="71" t="s">
        <v>7150</v>
      </c>
      <c r="K1000" s="71" t="s">
        <v>7230</v>
      </c>
      <c r="L1000" s="71" t="s">
        <v>314</v>
      </c>
      <c r="M1000" s="71"/>
      <c r="O1000" s="72">
        <v>37879</v>
      </c>
      <c r="P1000" s="71">
        <v>-1</v>
      </c>
      <c r="Q1000" s="71" t="b">
        <v>0</v>
      </c>
      <c r="R1000" s="22">
        <f t="shared" si="15"/>
        <v>377</v>
      </c>
    </row>
    <row r="1001" spans="1:18">
      <c r="A1001" s="71">
        <v>6409</v>
      </c>
      <c r="B1001" s="72">
        <v>37504</v>
      </c>
      <c r="C1001" s="71" t="s">
        <v>7235</v>
      </c>
      <c r="D1001" s="72">
        <v>37489</v>
      </c>
      <c r="E1001" s="71" t="s">
        <v>7236</v>
      </c>
      <c r="F1001" s="71" t="s">
        <v>3430</v>
      </c>
      <c r="G1001" s="71" t="s">
        <v>20</v>
      </c>
      <c r="H1001" s="71" t="s">
        <v>71</v>
      </c>
      <c r="I1001" s="71" t="s">
        <v>72</v>
      </c>
      <c r="J1001" s="71" t="s">
        <v>7237</v>
      </c>
      <c r="K1001" s="71" t="s">
        <v>7238</v>
      </c>
      <c r="L1001" s="71" t="s">
        <v>66</v>
      </c>
      <c r="M1001" s="71"/>
      <c r="O1001" s="72">
        <v>37817</v>
      </c>
      <c r="P1001" s="71"/>
      <c r="Q1001" s="71" t="b">
        <v>0</v>
      </c>
      <c r="R1001" s="22">
        <f t="shared" si="15"/>
        <v>314</v>
      </c>
    </row>
    <row r="1002" spans="1:18">
      <c r="A1002" s="71">
        <v>6414</v>
      </c>
      <c r="B1002" s="72">
        <v>37512</v>
      </c>
      <c r="C1002" s="71" t="s">
        <v>7249</v>
      </c>
      <c r="D1002" s="72">
        <v>37512</v>
      </c>
      <c r="E1002" s="71" t="s">
        <v>4172</v>
      </c>
      <c r="F1002" s="71" t="s">
        <v>3434</v>
      </c>
      <c r="G1002" s="71" t="s">
        <v>20</v>
      </c>
      <c r="H1002" s="71"/>
      <c r="I1002" s="71"/>
      <c r="J1002" s="71" t="s">
        <v>7192</v>
      </c>
      <c r="K1002" s="71"/>
      <c r="L1002" s="71" t="s">
        <v>314</v>
      </c>
      <c r="M1002" s="71"/>
      <c r="O1002" s="72">
        <v>37544</v>
      </c>
      <c r="P1002" s="71"/>
      <c r="Q1002" s="71" t="b">
        <v>0</v>
      </c>
      <c r="R1002" s="22">
        <f t="shared" si="15"/>
        <v>32</v>
      </c>
    </row>
    <row r="1003" spans="1:18">
      <c r="A1003" s="71">
        <v>6416</v>
      </c>
      <c r="B1003" s="72">
        <v>37515</v>
      </c>
      <c r="C1003" s="71" t="s">
        <v>7253</v>
      </c>
      <c r="D1003" s="72">
        <v>37515</v>
      </c>
      <c r="E1003" s="71" t="s">
        <v>7254</v>
      </c>
      <c r="F1003" s="71" t="s">
        <v>98</v>
      </c>
      <c r="G1003" s="71" t="s">
        <v>20</v>
      </c>
      <c r="H1003" s="71"/>
      <c r="I1003" s="71"/>
      <c r="J1003" s="71" t="s">
        <v>3334</v>
      </c>
      <c r="K1003" s="71" t="s">
        <v>3335</v>
      </c>
      <c r="L1003" s="71" t="s">
        <v>4282</v>
      </c>
      <c r="M1003" s="71"/>
      <c r="O1003" s="72">
        <v>37741</v>
      </c>
      <c r="P1003" s="71">
        <v>-1</v>
      </c>
      <c r="Q1003" s="71" t="b">
        <v>0</v>
      </c>
      <c r="R1003" s="22">
        <f t="shared" si="15"/>
        <v>227</v>
      </c>
    </row>
    <row r="1004" spans="1:18">
      <c r="A1004" s="71">
        <v>6427</v>
      </c>
      <c r="B1004" s="72">
        <v>37522</v>
      </c>
      <c r="C1004" s="71" t="s">
        <v>7281</v>
      </c>
      <c r="D1004" s="72">
        <v>37519</v>
      </c>
      <c r="E1004" s="71" t="s">
        <v>7282</v>
      </c>
      <c r="F1004" s="71" t="s">
        <v>3171</v>
      </c>
      <c r="G1004" s="71" t="s">
        <v>20</v>
      </c>
      <c r="H1004" s="71" t="s">
        <v>566</v>
      </c>
      <c r="I1004" s="71" t="s">
        <v>566</v>
      </c>
      <c r="J1004" s="71" t="s">
        <v>7283</v>
      </c>
      <c r="K1004" s="71"/>
      <c r="L1004" s="71" t="s">
        <v>4282</v>
      </c>
      <c r="M1004" s="71"/>
      <c r="O1004" s="72">
        <v>38167</v>
      </c>
      <c r="P1004" s="71"/>
      <c r="Q1004" s="71" t="b">
        <v>0</v>
      </c>
      <c r="R1004" s="22">
        <f t="shared" si="15"/>
        <v>644</v>
      </c>
    </row>
    <row r="1005" spans="1:18">
      <c r="A1005" s="71">
        <v>6434</v>
      </c>
      <c r="B1005" s="72">
        <v>36496</v>
      </c>
      <c r="C1005" s="71" t="s">
        <v>7301</v>
      </c>
      <c r="D1005" s="72">
        <v>36494</v>
      </c>
      <c r="E1005" s="71" t="s">
        <v>4172</v>
      </c>
      <c r="F1005" s="71" t="s">
        <v>5659</v>
      </c>
      <c r="G1005" s="71" t="s">
        <v>20</v>
      </c>
      <c r="H1005" s="71" t="s">
        <v>566</v>
      </c>
      <c r="I1005" s="71" t="s">
        <v>566</v>
      </c>
      <c r="J1005" s="71" t="s">
        <v>7302</v>
      </c>
      <c r="K1005" s="71" t="s">
        <v>7303</v>
      </c>
      <c r="L1005" s="71" t="s">
        <v>66</v>
      </c>
      <c r="M1005" s="71"/>
      <c r="O1005" s="72">
        <v>36560</v>
      </c>
      <c r="P1005" s="71"/>
      <c r="Q1005" s="71" t="b">
        <v>0</v>
      </c>
      <c r="R1005" s="22">
        <f t="shared" si="15"/>
        <v>62</v>
      </c>
    </row>
    <row r="1006" spans="1:18">
      <c r="A1006" s="71">
        <v>6435</v>
      </c>
      <c r="B1006" s="72">
        <v>36410</v>
      </c>
      <c r="C1006" s="71" t="s">
        <v>7304</v>
      </c>
      <c r="D1006" s="72">
        <v>36410</v>
      </c>
      <c r="E1006" s="71" t="s">
        <v>4172</v>
      </c>
      <c r="F1006" s="71" t="s">
        <v>367</v>
      </c>
      <c r="G1006" s="71" t="s">
        <v>20</v>
      </c>
      <c r="H1006" s="71" t="s">
        <v>71</v>
      </c>
      <c r="I1006" s="71" t="s">
        <v>72</v>
      </c>
      <c r="J1006" s="71" t="s">
        <v>7305</v>
      </c>
      <c r="K1006" s="71"/>
      <c r="L1006" s="71" t="s">
        <v>821</v>
      </c>
      <c r="M1006" s="71"/>
      <c r="O1006" s="72">
        <v>36433</v>
      </c>
      <c r="P1006" s="71"/>
      <c r="Q1006" s="71" t="b">
        <v>0</v>
      </c>
      <c r="R1006" s="22">
        <f t="shared" si="15"/>
        <v>23</v>
      </c>
    </row>
    <row r="1007" spans="1:18">
      <c r="A1007" s="71">
        <v>6436</v>
      </c>
      <c r="B1007" s="72">
        <v>37207</v>
      </c>
      <c r="C1007" s="71" t="s">
        <v>7306</v>
      </c>
      <c r="D1007" s="72">
        <v>37207</v>
      </c>
      <c r="E1007" s="71" t="s">
        <v>4172</v>
      </c>
      <c r="F1007" s="71" t="s">
        <v>5690</v>
      </c>
      <c r="G1007" s="71" t="s">
        <v>20</v>
      </c>
      <c r="H1007" s="71" t="s">
        <v>71</v>
      </c>
      <c r="I1007" s="71" t="s">
        <v>72</v>
      </c>
      <c r="J1007" s="71" t="s">
        <v>7307</v>
      </c>
      <c r="K1007" s="71"/>
      <c r="L1007" s="71" t="s">
        <v>66</v>
      </c>
      <c r="M1007" s="71"/>
      <c r="O1007" s="72">
        <v>37245</v>
      </c>
      <c r="P1007" s="71"/>
      <c r="Q1007" s="71" t="b">
        <v>0</v>
      </c>
      <c r="R1007" s="22">
        <f t="shared" si="15"/>
        <v>38</v>
      </c>
    </row>
    <row r="1008" spans="1:18">
      <c r="A1008" s="71">
        <v>6437</v>
      </c>
      <c r="B1008" s="72">
        <v>36374</v>
      </c>
      <c r="C1008" s="71" t="s">
        <v>7308</v>
      </c>
      <c r="D1008" s="72">
        <v>36374</v>
      </c>
      <c r="E1008" s="71" t="s">
        <v>4172</v>
      </c>
      <c r="F1008" s="71" t="s">
        <v>2359</v>
      </c>
      <c r="G1008" s="71" t="s">
        <v>20</v>
      </c>
      <c r="H1008" s="71" t="s">
        <v>71</v>
      </c>
      <c r="I1008" s="71" t="s">
        <v>72</v>
      </c>
      <c r="J1008" s="71" t="s">
        <v>5369</v>
      </c>
      <c r="K1008" s="71"/>
      <c r="L1008" s="71" t="s">
        <v>4282</v>
      </c>
      <c r="M1008" s="71" t="s">
        <v>821</v>
      </c>
      <c r="O1008" s="72">
        <v>36990</v>
      </c>
      <c r="P1008" s="71"/>
      <c r="Q1008" s="71" t="b">
        <v>0</v>
      </c>
      <c r="R1008" s="22">
        <f t="shared" si="15"/>
        <v>615</v>
      </c>
    </row>
    <row r="1009" spans="1:18">
      <c r="A1009" s="71">
        <v>6438</v>
      </c>
      <c r="B1009" s="72">
        <v>36374</v>
      </c>
      <c r="C1009" s="71" t="s">
        <v>7309</v>
      </c>
      <c r="D1009" s="72">
        <v>36374</v>
      </c>
      <c r="E1009" s="71" t="s">
        <v>4172</v>
      </c>
      <c r="F1009" s="71" t="s">
        <v>2359</v>
      </c>
      <c r="G1009" s="71" t="s">
        <v>20</v>
      </c>
      <c r="H1009" s="71" t="s">
        <v>71</v>
      </c>
      <c r="I1009" s="71" t="s">
        <v>72</v>
      </c>
      <c r="J1009" s="71" t="s">
        <v>5240</v>
      </c>
      <c r="K1009" s="71"/>
      <c r="L1009" s="71" t="s">
        <v>4282</v>
      </c>
      <c r="M1009" s="71" t="s">
        <v>3526</v>
      </c>
      <c r="O1009" s="72">
        <v>37201</v>
      </c>
      <c r="P1009" s="71"/>
      <c r="Q1009" s="71" t="b">
        <v>0</v>
      </c>
      <c r="R1009" s="22">
        <f t="shared" si="15"/>
        <v>825</v>
      </c>
    </row>
    <row r="1010" spans="1:18">
      <c r="A1010" s="71">
        <v>6441</v>
      </c>
      <c r="B1010" s="72">
        <v>37537</v>
      </c>
      <c r="C1010" s="71" t="s">
        <v>7313</v>
      </c>
      <c r="D1010" s="72">
        <v>37533</v>
      </c>
      <c r="E1010" s="71" t="s">
        <v>4172</v>
      </c>
      <c r="F1010" s="71" t="s">
        <v>52</v>
      </c>
      <c r="G1010" s="71" t="s">
        <v>20</v>
      </c>
      <c r="H1010" s="71"/>
      <c r="I1010" s="71"/>
      <c r="J1010" s="71" t="s">
        <v>7314</v>
      </c>
      <c r="K1010" s="71" t="s">
        <v>7315</v>
      </c>
      <c r="L1010" s="71" t="s">
        <v>66</v>
      </c>
      <c r="M1010" s="71"/>
      <c r="O1010" s="72">
        <v>37659</v>
      </c>
      <c r="P1010" s="71">
        <v>-1</v>
      </c>
      <c r="Q1010" s="71" t="b">
        <v>0</v>
      </c>
      <c r="R1010" s="22">
        <f t="shared" si="15"/>
        <v>120</v>
      </c>
    </row>
    <row r="1011" spans="1:18">
      <c r="A1011" s="71">
        <v>6442</v>
      </c>
      <c r="B1011" s="72">
        <v>36479</v>
      </c>
      <c r="C1011" s="71" t="s">
        <v>7316</v>
      </c>
      <c r="D1011" s="72">
        <v>36479</v>
      </c>
      <c r="E1011" s="71" t="s">
        <v>4172</v>
      </c>
      <c r="F1011" s="71" t="s">
        <v>70</v>
      </c>
      <c r="G1011" s="71" t="s">
        <v>20</v>
      </c>
      <c r="H1011" s="71" t="s">
        <v>71</v>
      </c>
      <c r="I1011" s="71" t="s">
        <v>72</v>
      </c>
      <c r="J1011" s="71" t="s">
        <v>7317</v>
      </c>
      <c r="K1011" s="71" t="s">
        <v>7318</v>
      </c>
      <c r="L1011" s="71" t="s">
        <v>66</v>
      </c>
      <c r="M1011" s="71"/>
      <c r="O1011" s="72">
        <v>36486</v>
      </c>
      <c r="P1011" s="71"/>
      <c r="Q1011" s="71" t="b">
        <v>0</v>
      </c>
      <c r="R1011" s="22">
        <f t="shared" si="15"/>
        <v>7</v>
      </c>
    </row>
    <row r="1012" spans="1:18">
      <c r="A1012" s="71">
        <v>6443</v>
      </c>
      <c r="B1012" s="72">
        <v>37538</v>
      </c>
      <c r="C1012" s="71" t="s">
        <v>7319</v>
      </c>
      <c r="D1012" s="72">
        <v>37534</v>
      </c>
      <c r="E1012" s="71" t="s">
        <v>7320</v>
      </c>
      <c r="F1012" s="71" t="s">
        <v>2413</v>
      </c>
      <c r="G1012" s="71" t="s">
        <v>20</v>
      </c>
      <c r="H1012" s="71"/>
      <c r="I1012" s="71"/>
      <c r="J1012" s="71" t="s">
        <v>7321</v>
      </c>
      <c r="K1012" s="71"/>
      <c r="L1012" s="71" t="s">
        <v>4282</v>
      </c>
      <c r="M1012" s="71"/>
      <c r="O1012" s="72">
        <v>38555</v>
      </c>
      <c r="P1012" s="71">
        <v>-1</v>
      </c>
      <c r="Q1012" s="71" t="b">
        <v>0</v>
      </c>
      <c r="R1012" s="22">
        <f t="shared" si="15"/>
        <v>1016</v>
      </c>
    </row>
    <row r="1013" spans="1:18">
      <c r="A1013" s="71">
        <v>6444</v>
      </c>
      <c r="B1013" s="72">
        <v>36539</v>
      </c>
      <c r="C1013" s="71" t="s">
        <v>7322</v>
      </c>
      <c r="D1013" s="72">
        <v>36539</v>
      </c>
      <c r="E1013" s="71" t="s">
        <v>4172</v>
      </c>
      <c r="F1013" s="71" t="s">
        <v>211</v>
      </c>
      <c r="G1013" s="71" t="s">
        <v>20</v>
      </c>
      <c r="H1013" s="71" t="s">
        <v>212</v>
      </c>
      <c r="I1013" s="71" t="s">
        <v>212</v>
      </c>
      <c r="J1013" s="71" t="s">
        <v>7323</v>
      </c>
      <c r="K1013" s="71" t="s">
        <v>7324</v>
      </c>
      <c r="L1013" s="71" t="s">
        <v>821</v>
      </c>
      <c r="M1013" s="71"/>
      <c r="O1013" s="72">
        <v>36899</v>
      </c>
      <c r="P1013" s="71">
        <v>-1</v>
      </c>
      <c r="Q1013" s="71" t="b">
        <v>0</v>
      </c>
      <c r="R1013" s="22">
        <f t="shared" si="15"/>
        <v>358</v>
      </c>
    </row>
    <row r="1014" spans="1:18">
      <c r="A1014" s="71">
        <v>6445</v>
      </c>
      <c r="B1014" s="72">
        <v>37539</v>
      </c>
      <c r="C1014" s="71" t="s">
        <v>7325</v>
      </c>
      <c r="D1014" s="72">
        <v>37539</v>
      </c>
      <c r="E1014" s="71" t="s">
        <v>7326</v>
      </c>
      <c r="F1014" s="71" t="s">
        <v>2727</v>
      </c>
      <c r="G1014" s="71" t="s">
        <v>20</v>
      </c>
      <c r="H1014" s="71" t="s">
        <v>71</v>
      </c>
      <c r="I1014" s="71" t="s">
        <v>72</v>
      </c>
      <c r="J1014" s="71" t="s">
        <v>5162</v>
      </c>
      <c r="K1014" s="71" t="s">
        <v>7327</v>
      </c>
      <c r="L1014" s="71" t="s">
        <v>4579</v>
      </c>
      <c r="M1014" s="71" t="s">
        <v>66</v>
      </c>
      <c r="O1014" s="72">
        <v>38287</v>
      </c>
      <c r="P1014" s="71">
        <v>-1</v>
      </c>
      <c r="Q1014" s="71" t="b">
        <v>0</v>
      </c>
      <c r="R1014" s="22">
        <f t="shared" si="15"/>
        <v>747</v>
      </c>
    </row>
    <row r="1015" spans="1:18">
      <c r="A1015" s="71">
        <v>6447</v>
      </c>
      <c r="B1015" s="72">
        <v>32860</v>
      </c>
      <c r="C1015" s="71" t="s">
        <v>7328</v>
      </c>
      <c r="D1015" s="72">
        <v>32860</v>
      </c>
      <c r="E1015" s="71" t="s">
        <v>7329</v>
      </c>
      <c r="F1015" s="71" t="s">
        <v>741</v>
      </c>
      <c r="G1015" s="71" t="s">
        <v>20</v>
      </c>
      <c r="H1015" s="71"/>
      <c r="I1015" s="71"/>
      <c r="J1015" s="71" t="s">
        <v>7330</v>
      </c>
      <c r="K1015" s="71"/>
      <c r="L1015" s="71" t="s">
        <v>36</v>
      </c>
      <c r="M1015" s="71"/>
      <c r="O1015" s="72">
        <v>33219</v>
      </c>
      <c r="P1015" s="71"/>
      <c r="Q1015" s="71" t="b">
        <v>0</v>
      </c>
      <c r="R1015" s="22">
        <f t="shared" si="15"/>
        <v>358</v>
      </c>
    </row>
    <row r="1016" spans="1:18">
      <c r="A1016" s="71">
        <v>6448</v>
      </c>
      <c r="B1016" s="72">
        <v>32721</v>
      </c>
      <c r="C1016" s="71" t="s">
        <v>7331</v>
      </c>
      <c r="D1016" s="72">
        <v>32731</v>
      </c>
      <c r="E1016" s="71" t="s">
        <v>7332</v>
      </c>
      <c r="F1016" s="71" t="s">
        <v>741</v>
      </c>
      <c r="G1016" s="71" t="s">
        <v>20</v>
      </c>
      <c r="H1016" s="71"/>
      <c r="I1016" s="71"/>
      <c r="J1016" s="71" t="s">
        <v>7333</v>
      </c>
      <c r="K1016" s="71"/>
      <c r="L1016" s="71" t="s">
        <v>24</v>
      </c>
      <c r="M1016" s="71" t="s">
        <v>30</v>
      </c>
      <c r="O1016" s="72">
        <v>32832</v>
      </c>
      <c r="P1016" s="71"/>
      <c r="Q1016" s="71" t="b">
        <v>0</v>
      </c>
      <c r="R1016" s="22">
        <f t="shared" si="15"/>
        <v>110</v>
      </c>
    </row>
    <row r="1017" spans="1:18">
      <c r="A1017" s="71">
        <v>6449</v>
      </c>
      <c r="B1017" s="72">
        <v>32792</v>
      </c>
      <c r="C1017" s="71" t="s">
        <v>7334</v>
      </c>
      <c r="D1017" s="72">
        <v>32792</v>
      </c>
      <c r="E1017" s="71" t="s">
        <v>7335</v>
      </c>
      <c r="F1017" s="71" t="s">
        <v>741</v>
      </c>
      <c r="G1017" s="71" t="s">
        <v>20</v>
      </c>
      <c r="H1017" s="71"/>
      <c r="I1017" s="71"/>
      <c r="J1017" s="71" t="s">
        <v>2009</v>
      </c>
      <c r="K1017" s="71" t="s">
        <v>7336</v>
      </c>
      <c r="L1017" s="71" t="s">
        <v>24</v>
      </c>
      <c r="M1017" s="71"/>
      <c r="O1017" s="72">
        <v>32794</v>
      </c>
      <c r="P1017" s="71"/>
      <c r="Q1017" s="71" t="b">
        <v>0</v>
      </c>
      <c r="R1017" s="22">
        <f t="shared" si="15"/>
        <v>2</v>
      </c>
    </row>
    <row r="1018" spans="1:18">
      <c r="A1018" s="71">
        <v>6450</v>
      </c>
      <c r="B1018" s="72">
        <v>37543</v>
      </c>
      <c r="C1018" s="71" t="s">
        <v>7337</v>
      </c>
      <c r="D1018" s="72">
        <v>37543</v>
      </c>
      <c r="E1018" s="71" t="s">
        <v>4172</v>
      </c>
      <c r="F1018" s="71" t="s">
        <v>2943</v>
      </c>
      <c r="G1018" s="71" t="s">
        <v>20</v>
      </c>
      <c r="H1018" s="71"/>
      <c r="I1018" s="71"/>
      <c r="J1018" s="71" t="s">
        <v>7338</v>
      </c>
      <c r="K1018" s="71"/>
      <c r="L1018" s="71" t="s">
        <v>66</v>
      </c>
      <c r="M1018" s="71"/>
      <c r="O1018" s="72">
        <v>37762</v>
      </c>
      <c r="P1018" s="71">
        <v>-1</v>
      </c>
      <c r="Q1018" s="71" t="b">
        <v>0</v>
      </c>
      <c r="R1018" s="22">
        <f t="shared" si="15"/>
        <v>220</v>
      </c>
    </row>
    <row r="1019" spans="1:18">
      <c r="A1019" s="71">
        <v>6451</v>
      </c>
      <c r="B1019" s="72">
        <v>37544</v>
      </c>
      <c r="C1019" s="71" t="s">
        <v>7339</v>
      </c>
      <c r="D1019" s="72">
        <v>37544</v>
      </c>
      <c r="E1019" s="71" t="s">
        <v>4172</v>
      </c>
      <c r="F1019" s="71" t="s">
        <v>693</v>
      </c>
      <c r="G1019" s="71" t="s">
        <v>20</v>
      </c>
      <c r="H1019" s="71" t="s">
        <v>189</v>
      </c>
      <c r="I1019" s="71" t="s">
        <v>189</v>
      </c>
      <c r="J1019" s="71" t="s">
        <v>7340</v>
      </c>
      <c r="K1019" s="71"/>
      <c r="L1019" s="71" t="s">
        <v>66</v>
      </c>
      <c r="M1019" s="71"/>
      <c r="O1019" s="72">
        <v>37593</v>
      </c>
      <c r="P1019" s="71"/>
      <c r="Q1019" s="71" t="b">
        <v>0</v>
      </c>
      <c r="R1019" s="22">
        <f t="shared" si="15"/>
        <v>48</v>
      </c>
    </row>
    <row r="1020" spans="1:18">
      <c r="A1020" s="71">
        <v>6455</v>
      </c>
      <c r="B1020" s="72">
        <v>37546</v>
      </c>
      <c r="C1020" s="71" t="s">
        <v>7345</v>
      </c>
      <c r="D1020" s="72">
        <v>37542</v>
      </c>
      <c r="E1020" s="71" t="s">
        <v>4172</v>
      </c>
      <c r="F1020" s="71" t="s">
        <v>124</v>
      </c>
      <c r="G1020" s="71" t="s">
        <v>20</v>
      </c>
      <c r="H1020" s="71"/>
      <c r="I1020" s="71"/>
      <c r="J1020" s="71" t="s">
        <v>7346</v>
      </c>
      <c r="K1020" s="71"/>
      <c r="L1020" s="71" t="s">
        <v>4282</v>
      </c>
      <c r="M1020" s="71"/>
      <c r="O1020" s="72">
        <v>37951</v>
      </c>
      <c r="P1020" s="71">
        <v>-1</v>
      </c>
      <c r="Q1020" s="71" t="b">
        <v>0</v>
      </c>
      <c r="R1020" s="22">
        <f t="shared" si="15"/>
        <v>404</v>
      </c>
    </row>
    <row r="1021" spans="1:18">
      <c r="A1021" s="71">
        <v>6462</v>
      </c>
      <c r="B1021" s="72">
        <v>37554</v>
      </c>
      <c r="C1021" s="71" t="s">
        <v>7353</v>
      </c>
      <c r="D1021" s="72">
        <v>37554</v>
      </c>
      <c r="E1021" s="71" t="s">
        <v>7354</v>
      </c>
      <c r="F1021" s="71" t="s">
        <v>98</v>
      </c>
      <c r="G1021" s="71" t="s">
        <v>20</v>
      </c>
      <c r="H1021" s="71"/>
      <c r="I1021" s="71"/>
      <c r="J1021" s="71" t="s">
        <v>7355</v>
      </c>
      <c r="K1021" s="71"/>
      <c r="L1021" s="71" t="s">
        <v>4282</v>
      </c>
      <c r="M1021" s="71"/>
      <c r="O1021" s="72">
        <v>38555</v>
      </c>
      <c r="P1021" s="71">
        <v>-1</v>
      </c>
      <c r="Q1021" s="71" t="b">
        <v>0</v>
      </c>
      <c r="R1021" s="22">
        <f t="shared" si="15"/>
        <v>1000</v>
      </c>
    </row>
    <row r="1022" spans="1:18">
      <c r="A1022" s="71">
        <v>6464</v>
      </c>
      <c r="B1022" s="72">
        <v>32805</v>
      </c>
      <c r="C1022" s="71" t="s">
        <v>7356</v>
      </c>
      <c r="D1022" s="72">
        <v>32800</v>
      </c>
      <c r="E1022" s="71" t="s">
        <v>7357</v>
      </c>
      <c r="F1022" s="71" t="s">
        <v>3062</v>
      </c>
      <c r="G1022" s="71" t="s">
        <v>20</v>
      </c>
      <c r="H1022" s="71"/>
      <c r="I1022" s="71"/>
      <c r="J1022" s="71" t="s">
        <v>7358</v>
      </c>
      <c r="K1022" s="71" t="s">
        <v>7359</v>
      </c>
      <c r="L1022" s="71" t="s">
        <v>30</v>
      </c>
      <c r="M1022" s="71"/>
      <c r="O1022" s="72">
        <v>33995</v>
      </c>
      <c r="P1022" s="71"/>
      <c r="Q1022" s="71" t="b">
        <v>0</v>
      </c>
      <c r="R1022" s="22">
        <f t="shared" si="15"/>
        <v>1188</v>
      </c>
    </row>
    <row r="1023" spans="1:18">
      <c r="A1023" s="71">
        <v>6465</v>
      </c>
      <c r="B1023" s="72">
        <v>32808</v>
      </c>
      <c r="C1023" s="71" t="s">
        <v>7360</v>
      </c>
      <c r="D1023" s="72">
        <v>32807</v>
      </c>
      <c r="E1023" s="71" t="s">
        <v>7361</v>
      </c>
      <c r="F1023" s="71" t="s">
        <v>350</v>
      </c>
      <c r="G1023" s="71" t="s">
        <v>20</v>
      </c>
      <c r="H1023" s="71"/>
      <c r="I1023" s="71"/>
      <c r="J1023" s="71" t="s">
        <v>7362</v>
      </c>
      <c r="K1023" s="71"/>
      <c r="L1023" s="71" t="s">
        <v>24</v>
      </c>
      <c r="M1023" s="71"/>
      <c r="O1023" s="72">
        <v>32832</v>
      </c>
      <c r="P1023" s="71"/>
      <c r="Q1023" s="71" t="b">
        <v>0</v>
      </c>
      <c r="R1023" s="22">
        <f t="shared" si="15"/>
        <v>23</v>
      </c>
    </row>
    <row r="1024" spans="1:18">
      <c r="A1024" s="71">
        <v>6466</v>
      </c>
      <c r="B1024" s="72">
        <v>32785</v>
      </c>
      <c r="C1024" s="71" t="s">
        <v>7363</v>
      </c>
      <c r="D1024" s="72">
        <v>32784</v>
      </c>
      <c r="E1024" s="71" t="s">
        <v>7364</v>
      </c>
      <c r="F1024" s="71" t="s">
        <v>56</v>
      </c>
      <c r="G1024" s="71" t="s">
        <v>20</v>
      </c>
      <c r="H1024" s="71"/>
      <c r="I1024" s="71"/>
      <c r="J1024" s="71" t="s">
        <v>7365</v>
      </c>
      <c r="K1024" s="71" t="s">
        <v>7366</v>
      </c>
      <c r="L1024" s="71" t="s">
        <v>24</v>
      </c>
      <c r="M1024" s="71"/>
      <c r="O1024" s="72">
        <v>32869</v>
      </c>
      <c r="P1024" s="71"/>
      <c r="Q1024" s="71" t="b">
        <v>0</v>
      </c>
      <c r="R1024" s="22">
        <f t="shared" si="15"/>
        <v>84</v>
      </c>
    </row>
    <row r="1025" spans="1:18">
      <c r="A1025" s="71">
        <v>6468</v>
      </c>
      <c r="B1025" s="72">
        <v>32840</v>
      </c>
      <c r="C1025" s="71" t="s">
        <v>7370</v>
      </c>
      <c r="D1025" s="72">
        <v>32839</v>
      </c>
      <c r="E1025" s="71" t="s">
        <v>7371</v>
      </c>
      <c r="F1025" s="71" t="s">
        <v>56</v>
      </c>
      <c r="G1025" s="71" t="s">
        <v>20</v>
      </c>
      <c r="H1025" s="71"/>
      <c r="I1025" s="71"/>
      <c r="J1025" s="71" t="s">
        <v>7372</v>
      </c>
      <c r="K1025" s="71"/>
      <c r="L1025" s="71" t="s">
        <v>24</v>
      </c>
      <c r="M1025" s="71"/>
      <c r="O1025" s="72">
        <v>32854</v>
      </c>
      <c r="P1025" s="71"/>
      <c r="Q1025" s="71" t="b">
        <v>0</v>
      </c>
      <c r="R1025" s="22">
        <f t="shared" si="15"/>
        <v>14</v>
      </c>
    </row>
    <row r="1026" spans="1:18">
      <c r="A1026" s="71">
        <v>6475</v>
      </c>
      <c r="B1026" s="72">
        <v>37572</v>
      </c>
      <c r="C1026" s="71" t="s">
        <v>7377</v>
      </c>
      <c r="D1026" s="72">
        <v>37568</v>
      </c>
      <c r="E1026" s="71" t="s">
        <v>7378</v>
      </c>
      <c r="F1026" s="71" t="s">
        <v>6643</v>
      </c>
      <c r="G1026" s="71" t="s">
        <v>20</v>
      </c>
      <c r="H1026" s="71" t="s">
        <v>189</v>
      </c>
      <c r="I1026" s="71" t="s">
        <v>189</v>
      </c>
      <c r="J1026" s="71" t="s">
        <v>7379</v>
      </c>
      <c r="K1026" s="71" t="s">
        <v>7380</v>
      </c>
      <c r="L1026" s="71" t="s">
        <v>66</v>
      </c>
      <c r="M1026" s="71"/>
      <c r="O1026" s="72">
        <v>37728</v>
      </c>
      <c r="P1026" s="71">
        <v>-1</v>
      </c>
      <c r="Q1026" s="71" t="b">
        <v>0</v>
      </c>
      <c r="R1026" s="22">
        <f t="shared" ref="R1026:R1089" si="16">IF(O1026=" ", " ", INT(YEARFRAC(O1026, B1026)*365))</f>
        <v>157</v>
      </c>
    </row>
    <row r="1027" spans="1:18">
      <c r="A1027" s="71">
        <v>6479</v>
      </c>
      <c r="B1027" s="72">
        <v>32678</v>
      </c>
      <c r="C1027" s="71" t="s">
        <v>7383</v>
      </c>
      <c r="D1027" s="72">
        <v>32678</v>
      </c>
      <c r="E1027" s="71" t="s">
        <v>7384</v>
      </c>
      <c r="F1027" s="71" t="s">
        <v>306</v>
      </c>
      <c r="G1027" s="71" t="s">
        <v>20</v>
      </c>
      <c r="H1027" s="71"/>
      <c r="I1027" s="71"/>
      <c r="J1027" s="71" t="s">
        <v>7385</v>
      </c>
      <c r="K1027" s="71"/>
      <c r="L1027" s="71" t="s">
        <v>30</v>
      </c>
      <c r="M1027" s="71"/>
      <c r="O1027" s="72">
        <v>33477</v>
      </c>
      <c r="P1027" s="71"/>
      <c r="Q1027" s="71" t="b">
        <v>0</v>
      </c>
      <c r="R1027" s="22">
        <f t="shared" si="16"/>
        <v>798</v>
      </c>
    </row>
    <row r="1028" spans="1:18">
      <c r="A1028" s="71">
        <v>6480</v>
      </c>
      <c r="B1028" s="72">
        <v>32692</v>
      </c>
      <c r="C1028" s="71" t="s">
        <v>7386</v>
      </c>
      <c r="D1028" s="72">
        <v>32688</v>
      </c>
      <c r="E1028" s="71" t="s">
        <v>7387</v>
      </c>
      <c r="F1028" s="71" t="s">
        <v>306</v>
      </c>
      <c r="G1028" s="71" t="s">
        <v>20</v>
      </c>
      <c r="H1028" s="71"/>
      <c r="I1028" s="71"/>
      <c r="J1028" s="71" t="s">
        <v>7388</v>
      </c>
      <c r="K1028" s="71" t="s">
        <v>7389</v>
      </c>
      <c r="L1028" s="71" t="s">
        <v>36</v>
      </c>
      <c r="M1028" s="71"/>
      <c r="O1028" s="72">
        <v>32962</v>
      </c>
      <c r="P1028" s="71">
        <v>-1</v>
      </c>
      <c r="Q1028" s="71" t="b">
        <v>0</v>
      </c>
      <c r="R1028" s="22">
        <f t="shared" si="16"/>
        <v>270</v>
      </c>
    </row>
    <row r="1029" spans="1:18">
      <c r="A1029" s="71">
        <v>6481</v>
      </c>
      <c r="B1029" s="72">
        <v>32749</v>
      </c>
      <c r="C1029" s="71" t="s">
        <v>7390</v>
      </c>
      <c r="D1029" s="72">
        <v>32749</v>
      </c>
      <c r="E1029" s="71" t="s">
        <v>7391</v>
      </c>
      <c r="F1029" s="71" t="s">
        <v>359</v>
      </c>
      <c r="G1029" s="71" t="s">
        <v>20</v>
      </c>
      <c r="H1029" s="71"/>
      <c r="I1029" s="71"/>
      <c r="J1029" s="71" t="s">
        <v>7392</v>
      </c>
      <c r="K1029" s="71"/>
      <c r="L1029" s="71" t="s">
        <v>24</v>
      </c>
      <c r="M1029" s="71"/>
      <c r="O1029" s="72">
        <v>32881</v>
      </c>
      <c r="P1029" s="71"/>
      <c r="Q1029" s="71" t="b">
        <v>0</v>
      </c>
      <c r="R1029" s="22">
        <f t="shared" si="16"/>
        <v>130</v>
      </c>
    </row>
    <row r="1030" spans="1:18">
      <c r="A1030" s="71">
        <v>6486</v>
      </c>
      <c r="B1030" s="72">
        <v>32622</v>
      </c>
      <c r="C1030" s="71" t="s">
        <v>7395</v>
      </c>
      <c r="D1030" s="72">
        <v>32619</v>
      </c>
      <c r="E1030" s="71" t="s">
        <v>7396</v>
      </c>
      <c r="F1030" s="71" t="s">
        <v>39</v>
      </c>
      <c r="G1030" s="71" t="s">
        <v>20</v>
      </c>
      <c r="H1030" s="71"/>
      <c r="I1030" s="71"/>
      <c r="J1030" s="71" t="s">
        <v>7397</v>
      </c>
      <c r="K1030" s="71"/>
      <c r="L1030" s="71" t="s">
        <v>36</v>
      </c>
      <c r="M1030" s="71"/>
      <c r="O1030" s="72">
        <v>32832</v>
      </c>
      <c r="P1030" s="71"/>
      <c r="Q1030" s="71" t="b">
        <v>0</v>
      </c>
      <c r="R1030" s="22">
        <f t="shared" si="16"/>
        <v>208</v>
      </c>
    </row>
    <row r="1031" spans="1:18">
      <c r="A1031" s="71">
        <v>6487</v>
      </c>
      <c r="B1031" s="72">
        <v>32787</v>
      </c>
      <c r="C1031" s="71" t="s">
        <v>7398</v>
      </c>
      <c r="D1031" s="72">
        <v>32786</v>
      </c>
      <c r="E1031" s="71" t="s">
        <v>7399</v>
      </c>
      <c r="F1031" s="71" t="s">
        <v>3579</v>
      </c>
      <c r="G1031" s="71" t="s">
        <v>20</v>
      </c>
      <c r="H1031" s="71"/>
      <c r="I1031" s="71"/>
      <c r="J1031" s="71" t="s">
        <v>7400</v>
      </c>
      <c r="K1031" s="71"/>
      <c r="L1031" s="71" t="s">
        <v>36</v>
      </c>
      <c r="M1031" s="71"/>
      <c r="O1031" s="72">
        <v>32862</v>
      </c>
      <c r="P1031" s="71">
        <v>-1</v>
      </c>
      <c r="Q1031" s="71" t="b">
        <v>0</v>
      </c>
      <c r="R1031" s="22">
        <f t="shared" si="16"/>
        <v>75</v>
      </c>
    </row>
    <row r="1032" spans="1:18">
      <c r="A1032" s="71">
        <v>6488</v>
      </c>
      <c r="B1032" s="72">
        <v>32868</v>
      </c>
      <c r="C1032" s="71" t="s">
        <v>7401</v>
      </c>
      <c r="D1032" s="72">
        <v>32862</v>
      </c>
      <c r="E1032" s="71" t="s">
        <v>7402</v>
      </c>
      <c r="F1032" s="71" t="s">
        <v>39</v>
      </c>
      <c r="G1032" s="71" t="s">
        <v>20</v>
      </c>
      <c r="H1032" s="71"/>
      <c r="I1032" s="71"/>
      <c r="J1032" s="71" t="s">
        <v>7403</v>
      </c>
      <c r="K1032" s="71"/>
      <c r="L1032" s="71" t="s">
        <v>36</v>
      </c>
      <c r="M1032" s="71"/>
      <c r="O1032" s="72">
        <v>32891</v>
      </c>
      <c r="P1032" s="71"/>
      <c r="Q1032" s="71" t="b">
        <v>0</v>
      </c>
      <c r="R1032" s="22">
        <f t="shared" si="16"/>
        <v>22</v>
      </c>
    </row>
    <row r="1033" spans="1:18">
      <c r="A1033" s="71">
        <v>6491</v>
      </c>
      <c r="B1033" s="72">
        <v>32868</v>
      </c>
      <c r="C1033" s="71" t="s">
        <v>7401</v>
      </c>
      <c r="D1033" s="72">
        <v>32868</v>
      </c>
      <c r="E1033" s="71" t="s">
        <v>7409</v>
      </c>
      <c r="F1033" s="71" t="s">
        <v>98</v>
      </c>
      <c r="G1033" s="71" t="s">
        <v>20</v>
      </c>
      <c r="H1033" s="71"/>
      <c r="I1033" s="71"/>
      <c r="J1033" s="71" t="s">
        <v>221</v>
      </c>
      <c r="K1033" s="71" t="s">
        <v>232</v>
      </c>
      <c r="L1033" s="71" t="s">
        <v>24</v>
      </c>
      <c r="M1033" s="71"/>
      <c r="O1033" s="72">
        <v>33308</v>
      </c>
      <c r="P1033" s="71">
        <v>-1</v>
      </c>
      <c r="Q1033" s="71" t="b">
        <v>0</v>
      </c>
      <c r="R1033" s="22">
        <f t="shared" si="16"/>
        <v>441</v>
      </c>
    </row>
    <row r="1034" spans="1:18">
      <c r="A1034" s="71">
        <v>6492</v>
      </c>
      <c r="B1034" s="72">
        <v>32843</v>
      </c>
      <c r="C1034" s="71" t="s">
        <v>7410</v>
      </c>
      <c r="D1034" s="72">
        <v>32839</v>
      </c>
      <c r="E1034" s="71" t="s">
        <v>7411</v>
      </c>
      <c r="F1034" s="71" t="s">
        <v>98</v>
      </c>
      <c r="G1034" s="71" t="s">
        <v>20</v>
      </c>
      <c r="H1034" s="71"/>
      <c r="I1034" s="71"/>
      <c r="J1034" s="71" t="s">
        <v>7412</v>
      </c>
      <c r="K1034" s="71" t="s">
        <v>7413</v>
      </c>
      <c r="L1034" s="71" t="s">
        <v>36</v>
      </c>
      <c r="M1034" s="71"/>
      <c r="O1034" s="72">
        <v>33294</v>
      </c>
      <c r="P1034" s="71">
        <v>-1</v>
      </c>
      <c r="Q1034" s="71" t="b">
        <v>0</v>
      </c>
      <c r="R1034" s="22">
        <f t="shared" si="16"/>
        <v>450</v>
      </c>
    </row>
    <row r="1035" spans="1:18">
      <c r="A1035" s="71">
        <v>6493</v>
      </c>
      <c r="B1035" s="72">
        <v>32850</v>
      </c>
      <c r="C1035" s="71" t="s">
        <v>7414</v>
      </c>
      <c r="D1035" s="72">
        <v>32847</v>
      </c>
      <c r="E1035" s="71" t="s">
        <v>7415</v>
      </c>
      <c r="F1035" s="71" t="s">
        <v>98</v>
      </c>
      <c r="G1035" s="71" t="s">
        <v>20</v>
      </c>
      <c r="H1035" s="71"/>
      <c r="I1035" s="71"/>
      <c r="J1035" s="71" t="s">
        <v>3538</v>
      </c>
      <c r="K1035" s="71" t="s">
        <v>7416</v>
      </c>
      <c r="L1035" s="71" t="s">
        <v>30</v>
      </c>
      <c r="M1035" s="71"/>
      <c r="O1035" s="72">
        <v>33108</v>
      </c>
      <c r="P1035" s="71"/>
      <c r="Q1035" s="71" t="b">
        <v>0</v>
      </c>
      <c r="R1035" s="22">
        <f t="shared" si="16"/>
        <v>258</v>
      </c>
    </row>
    <row r="1036" spans="1:18">
      <c r="A1036" s="71">
        <v>6494</v>
      </c>
      <c r="B1036" s="72">
        <v>32841</v>
      </c>
      <c r="C1036" s="71" t="s">
        <v>7417</v>
      </c>
      <c r="D1036" s="72">
        <v>32833</v>
      </c>
      <c r="E1036" s="71" t="s">
        <v>7418</v>
      </c>
      <c r="F1036" s="71" t="s">
        <v>98</v>
      </c>
      <c r="G1036" s="71" t="s">
        <v>20</v>
      </c>
      <c r="H1036" s="71"/>
      <c r="I1036" s="71"/>
      <c r="J1036" s="71" t="s">
        <v>7419</v>
      </c>
      <c r="K1036" s="71" t="s">
        <v>7420</v>
      </c>
      <c r="L1036" s="71" t="s">
        <v>24</v>
      </c>
      <c r="M1036" s="71"/>
      <c r="O1036" s="72">
        <v>32930</v>
      </c>
      <c r="P1036" s="71"/>
      <c r="Q1036" s="71" t="b">
        <v>0</v>
      </c>
      <c r="R1036" s="22">
        <f t="shared" si="16"/>
        <v>88</v>
      </c>
    </row>
    <row r="1037" spans="1:18">
      <c r="A1037" s="71">
        <v>6495</v>
      </c>
      <c r="B1037" s="72">
        <v>32729</v>
      </c>
      <c r="C1037" s="71" t="s">
        <v>7421</v>
      </c>
      <c r="D1037" s="72">
        <v>32728</v>
      </c>
      <c r="E1037" s="71" t="s">
        <v>7422</v>
      </c>
      <c r="F1037" s="71" t="s">
        <v>98</v>
      </c>
      <c r="G1037" s="71" t="s">
        <v>20</v>
      </c>
      <c r="H1037" s="71"/>
      <c r="I1037" s="71"/>
      <c r="J1037" s="71" t="s">
        <v>7423</v>
      </c>
      <c r="K1037" s="71" t="s">
        <v>7424</v>
      </c>
      <c r="L1037" s="71" t="s">
        <v>30</v>
      </c>
      <c r="M1037" s="71"/>
      <c r="O1037" s="72">
        <v>33317</v>
      </c>
      <c r="P1037" s="71">
        <v>-1</v>
      </c>
      <c r="Q1037" s="71" t="b">
        <v>0</v>
      </c>
      <c r="R1037" s="22">
        <f t="shared" si="16"/>
        <v>589</v>
      </c>
    </row>
    <row r="1038" spans="1:18">
      <c r="A1038" s="71">
        <v>6497</v>
      </c>
      <c r="B1038" s="72">
        <v>32828</v>
      </c>
      <c r="C1038" s="71" t="s">
        <v>2834</v>
      </c>
      <c r="D1038" s="72">
        <v>32826</v>
      </c>
      <c r="E1038" s="71" t="s">
        <v>7429</v>
      </c>
      <c r="F1038" s="71" t="s">
        <v>38</v>
      </c>
      <c r="G1038" s="71" t="s">
        <v>20</v>
      </c>
      <c r="H1038" s="71"/>
      <c r="I1038" s="71"/>
      <c r="J1038" s="71" t="s">
        <v>7430</v>
      </c>
      <c r="K1038" s="71" t="s">
        <v>7431</v>
      </c>
      <c r="L1038" s="71" t="s">
        <v>24</v>
      </c>
      <c r="M1038" s="71"/>
      <c r="O1038" s="72">
        <v>32857</v>
      </c>
      <c r="P1038" s="71">
        <v>-1</v>
      </c>
      <c r="Q1038" s="71" t="b">
        <v>0</v>
      </c>
      <c r="R1038" s="22">
        <f t="shared" si="16"/>
        <v>29</v>
      </c>
    </row>
    <row r="1039" spans="1:18">
      <c r="A1039" s="71">
        <v>6498</v>
      </c>
      <c r="B1039" s="72">
        <v>32855</v>
      </c>
      <c r="C1039" s="71" t="s">
        <v>1106</v>
      </c>
      <c r="D1039" s="72">
        <v>32853</v>
      </c>
      <c r="E1039" s="71" t="s">
        <v>7432</v>
      </c>
      <c r="F1039" s="71" t="s">
        <v>1338</v>
      </c>
      <c r="G1039" s="71" t="s">
        <v>20</v>
      </c>
      <c r="H1039" s="71"/>
      <c r="I1039" s="71"/>
      <c r="J1039" s="71" t="s">
        <v>7433</v>
      </c>
      <c r="K1039" s="71"/>
      <c r="L1039" s="71" t="s">
        <v>24</v>
      </c>
      <c r="M1039" s="71"/>
      <c r="O1039" s="72">
        <v>32884</v>
      </c>
      <c r="P1039" s="71"/>
      <c r="Q1039" s="71" t="b">
        <v>0</v>
      </c>
      <c r="R1039" s="22">
        <f t="shared" si="16"/>
        <v>28</v>
      </c>
    </row>
    <row r="1040" spans="1:18">
      <c r="A1040" s="71">
        <v>6499</v>
      </c>
      <c r="B1040" s="72">
        <v>32765</v>
      </c>
      <c r="C1040" s="71" t="s">
        <v>7434</v>
      </c>
      <c r="D1040" s="72">
        <v>32762</v>
      </c>
      <c r="E1040" s="71" t="s">
        <v>7435</v>
      </c>
      <c r="F1040" s="71" t="s">
        <v>52</v>
      </c>
      <c r="G1040" s="71" t="s">
        <v>20</v>
      </c>
      <c r="H1040" s="71"/>
      <c r="I1040" s="71"/>
      <c r="J1040" s="71" t="s">
        <v>7436</v>
      </c>
      <c r="K1040" s="71" t="s">
        <v>7437</v>
      </c>
      <c r="L1040" s="71" t="s">
        <v>24</v>
      </c>
      <c r="M1040" s="71"/>
      <c r="O1040" s="72">
        <v>33374</v>
      </c>
      <c r="P1040" s="71"/>
      <c r="Q1040" s="71" t="b">
        <v>0</v>
      </c>
      <c r="R1040" s="22">
        <f t="shared" si="16"/>
        <v>610</v>
      </c>
    </row>
    <row r="1041" spans="1:18">
      <c r="A1041" s="71">
        <v>6500</v>
      </c>
      <c r="B1041" s="72">
        <v>32783</v>
      </c>
      <c r="C1041" s="71" t="s">
        <v>7438</v>
      </c>
      <c r="D1041" s="72">
        <v>32763</v>
      </c>
      <c r="E1041" s="71" t="s">
        <v>7439</v>
      </c>
      <c r="F1041" s="71" t="s">
        <v>52</v>
      </c>
      <c r="G1041" s="71" t="s">
        <v>20</v>
      </c>
      <c r="H1041" s="71"/>
      <c r="I1041" s="71"/>
      <c r="J1041" s="71" t="s">
        <v>7440</v>
      </c>
      <c r="K1041" s="71"/>
      <c r="L1041" s="71" t="s">
        <v>24</v>
      </c>
      <c r="M1041" s="71"/>
      <c r="O1041" s="72">
        <v>33308</v>
      </c>
      <c r="P1041" s="71"/>
      <c r="Q1041" s="71" t="b">
        <v>0</v>
      </c>
      <c r="R1041" s="22">
        <f t="shared" si="16"/>
        <v>526</v>
      </c>
    </row>
    <row r="1042" spans="1:18">
      <c r="A1042" s="71">
        <v>6501</v>
      </c>
      <c r="B1042" s="72">
        <v>36385</v>
      </c>
      <c r="C1042" s="71" t="s">
        <v>7441</v>
      </c>
      <c r="D1042" s="72">
        <v>36385</v>
      </c>
      <c r="E1042" s="71" t="s">
        <v>4172</v>
      </c>
      <c r="F1042" s="71" t="s">
        <v>52</v>
      </c>
      <c r="G1042" s="71" t="s">
        <v>20</v>
      </c>
      <c r="H1042" s="71"/>
      <c r="I1042" s="71"/>
      <c r="J1042" s="71" t="s">
        <v>7442</v>
      </c>
      <c r="K1042" s="71"/>
      <c r="L1042" s="71" t="s">
        <v>66</v>
      </c>
      <c r="M1042" s="71"/>
      <c r="O1042" s="72">
        <v>36523</v>
      </c>
      <c r="P1042" s="71"/>
      <c r="Q1042" s="71" t="b">
        <v>0</v>
      </c>
      <c r="R1042" s="22">
        <f t="shared" si="16"/>
        <v>137</v>
      </c>
    </row>
    <row r="1043" spans="1:18">
      <c r="A1043" s="71">
        <v>6504</v>
      </c>
      <c r="B1043" s="72">
        <v>36063</v>
      </c>
      <c r="C1043" s="71" t="s">
        <v>7449</v>
      </c>
      <c r="D1043" s="72">
        <v>36032</v>
      </c>
      <c r="E1043" s="71" t="s">
        <v>4172</v>
      </c>
      <c r="F1043" s="71" t="s">
        <v>52</v>
      </c>
      <c r="G1043" s="71" t="s">
        <v>20</v>
      </c>
      <c r="H1043" s="71"/>
      <c r="I1043" s="71"/>
      <c r="J1043" s="71" t="s">
        <v>7450</v>
      </c>
      <c r="K1043" s="71"/>
      <c r="L1043" s="71" t="s">
        <v>686</v>
      </c>
      <c r="M1043" s="71"/>
      <c r="O1043" s="72">
        <v>36315</v>
      </c>
      <c r="P1043" s="71">
        <v>-1</v>
      </c>
      <c r="Q1043" s="71" t="b">
        <v>0</v>
      </c>
      <c r="R1043" s="22">
        <f t="shared" si="16"/>
        <v>252</v>
      </c>
    </row>
    <row r="1044" spans="1:18">
      <c r="A1044" s="71">
        <v>6505</v>
      </c>
      <c r="B1044" s="72">
        <v>32678</v>
      </c>
      <c r="C1044" s="71" t="s">
        <v>7383</v>
      </c>
      <c r="D1044" s="72">
        <v>32678</v>
      </c>
      <c r="E1044" s="71" t="s">
        <v>7451</v>
      </c>
      <c r="F1044" s="71" t="s">
        <v>216</v>
      </c>
      <c r="G1044" s="71" t="s">
        <v>20</v>
      </c>
      <c r="H1044" s="71"/>
      <c r="I1044" s="71"/>
      <c r="J1044" s="71" t="s">
        <v>7452</v>
      </c>
      <c r="K1044" s="71"/>
      <c r="L1044" s="71" t="s">
        <v>24</v>
      </c>
      <c r="M1044" s="71"/>
      <c r="O1044" s="72">
        <v>32821</v>
      </c>
      <c r="P1044" s="71"/>
      <c r="Q1044" s="71" t="b">
        <v>0</v>
      </c>
      <c r="R1044" s="22">
        <f t="shared" si="16"/>
        <v>141</v>
      </c>
    </row>
    <row r="1045" spans="1:18">
      <c r="A1045" s="71">
        <v>6506</v>
      </c>
      <c r="B1045" s="72">
        <v>32841</v>
      </c>
      <c r="C1045" s="71" t="s">
        <v>7417</v>
      </c>
      <c r="D1045" s="72">
        <v>32834</v>
      </c>
      <c r="E1045" s="71" t="s">
        <v>7453</v>
      </c>
      <c r="F1045" s="71" t="s">
        <v>149</v>
      </c>
      <c r="G1045" s="71" t="s">
        <v>20</v>
      </c>
      <c r="H1045" s="71"/>
      <c r="I1045" s="71"/>
      <c r="J1045" s="71" t="s">
        <v>7454</v>
      </c>
      <c r="K1045" s="71"/>
      <c r="L1045" s="71" t="s">
        <v>30</v>
      </c>
      <c r="M1045" s="71"/>
      <c r="O1045" s="72">
        <v>33541</v>
      </c>
      <c r="P1045" s="71"/>
      <c r="Q1045" s="71" t="b">
        <v>0</v>
      </c>
      <c r="R1045" s="22">
        <f t="shared" si="16"/>
        <v>700</v>
      </c>
    </row>
    <row r="1046" spans="1:18">
      <c r="A1046" s="71">
        <v>6507</v>
      </c>
      <c r="B1046" s="72">
        <v>32801</v>
      </c>
      <c r="C1046" s="71" t="s">
        <v>7455</v>
      </c>
      <c r="D1046" s="72">
        <v>32799</v>
      </c>
      <c r="E1046" s="71" t="s">
        <v>7456</v>
      </c>
      <c r="F1046" s="71" t="s">
        <v>149</v>
      </c>
      <c r="G1046" s="71" t="s">
        <v>20</v>
      </c>
      <c r="H1046" s="71"/>
      <c r="I1046" s="71"/>
      <c r="J1046" s="71" t="s">
        <v>7457</v>
      </c>
      <c r="K1046" s="71" t="s">
        <v>7458</v>
      </c>
      <c r="L1046" s="71" t="s">
        <v>24</v>
      </c>
      <c r="M1046" s="71"/>
      <c r="O1046" s="72">
        <v>33052</v>
      </c>
      <c r="P1046" s="71">
        <v>-1</v>
      </c>
      <c r="Q1046" s="71" t="b">
        <v>0</v>
      </c>
      <c r="R1046" s="22">
        <f t="shared" si="16"/>
        <v>251</v>
      </c>
    </row>
    <row r="1047" spans="1:18">
      <c r="A1047" s="71">
        <v>6508</v>
      </c>
      <c r="B1047" s="72">
        <v>32780</v>
      </c>
      <c r="C1047" s="71" t="s">
        <v>7459</v>
      </c>
      <c r="D1047" s="72">
        <v>32778</v>
      </c>
      <c r="E1047" s="71" t="s">
        <v>7460</v>
      </c>
      <c r="F1047" s="71" t="s">
        <v>149</v>
      </c>
      <c r="G1047" s="71" t="s">
        <v>20</v>
      </c>
      <c r="H1047" s="71"/>
      <c r="I1047" s="71"/>
      <c r="J1047" s="71" t="s">
        <v>7461</v>
      </c>
      <c r="K1047" s="71" t="s">
        <v>7462</v>
      </c>
      <c r="L1047" s="71" t="s">
        <v>24</v>
      </c>
      <c r="M1047" s="71"/>
      <c r="O1047" s="72">
        <v>32869</v>
      </c>
      <c r="P1047" s="71"/>
      <c r="Q1047" s="71" t="b">
        <v>0</v>
      </c>
      <c r="R1047" s="22">
        <f t="shared" si="16"/>
        <v>89</v>
      </c>
    </row>
    <row r="1048" spans="1:18">
      <c r="A1048" s="71">
        <v>6509</v>
      </c>
      <c r="B1048" s="72">
        <v>32778</v>
      </c>
      <c r="C1048" s="71" t="s">
        <v>7463</v>
      </c>
      <c r="D1048" s="72">
        <v>32777</v>
      </c>
      <c r="E1048" s="71" t="s">
        <v>7464</v>
      </c>
      <c r="F1048" s="71" t="s">
        <v>149</v>
      </c>
      <c r="G1048" s="71" t="s">
        <v>20</v>
      </c>
      <c r="H1048" s="71"/>
      <c r="I1048" s="71"/>
      <c r="J1048" s="71" t="s">
        <v>7465</v>
      </c>
      <c r="K1048" s="71" t="s">
        <v>7466</v>
      </c>
      <c r="L1048" s="71" t="s">
        <v>24</v>
      </c>
      <c r="M1048" s="71"/>
      <c r="O1048" s="72">
        <v>32854</v>
      </c>
      <c r="P1048" s="71"/>
      <c r="Q1048" s="71" t="b">
        <v>0</v>
      </c>
      <c r="R1048" s="22">
        <f t="shared" si="16"/>
        <v>76</v>
      </c>
    </row>
    <row r="1049" spans="1:18">
      <c r="A1049" s="71">
        <v>6510</v>
      </c>
      <c r="B1049" s="72">
        <v>32758</v>
      </c>
      <c r="C1049" s="71" t="s">
        <v>7467</v>
      </c>
      <c r="D1049" s="72">
        <v>32750</v>
      </c>
      <c r="E1049" s="71" t="s">
        <v>7468</v>
      </c>
      <c r="F1049" s="71" t="s">
        <v>149</v>
      </c>
      <c r="G1049" s="71" t="s">
        <v>20</v>
      </c>
      <c r="H1049" s="71"/>
      <c r="I1049" s="71"/>
      <c r="J1049" s="71" t="s">
        <v>7469</v>
      </c>
      <c r="K1049" s="71" t="s">
        <v>7470</v>
      </c>
      <c r="L1049" s="71" t="s">
        <v>24</v>
      </c>
      <c r="M1049" s="71"/>
      <c r="O1049" s="72">
        <v>32827</v>
      </c>
      <c r="P1049" s="71">
        <v>-1</v>
      </c>
      <c r="Q1049" s="71" t="b">
        <v>0</v>
      </c>
      <c r="R1049" s="22">
        <f t="shared" si="16"/>
        <v>68</v>
      </c>
    </row>
    <row r="1050" spans="1:18">
      <c r="A1050" s="71">
        <v>6515</v>
      </c>
      <c r="B1050" s="72">
        <v>32720</v>
      </c>
      <c r="C1050" s="71" t="s">
        <v>7483</v>
      </c>
      <c r="D1050" s="72">
        <v>32703</v>
      </c>
      <c r="E1050" s="71" t="s">
        <v>7484</v>
      </c>
      <c r="F1050" s="71" t="s">
        <v>129</v>
      </c>
      <c r="G1050" s="71" t="s">
        <v>20</v>
      </c>
      <c r="H1050" s="71"/>
      <c r="I1050" s="71"/>
      <c r="J1050" s="71" t="s">
        <v>7485</v>
      </c>
      <c r="K1050" s="71"/>
      <c r="L1050" s="71" t="s">
        <v>30</v>
      </c>
      <c r="M1050" s="71"/>
      <c r="O1050" s="72">
        <v>33913</v>
      </c>
      <c r="P1050" s="71"/>
      <c r="Q1050" s="71" t="b">
        <v>0</v>
      </c>
      <c r="R1050" s="22">
        <f t="shared" si="16"/>
        <v>1191</v>
      </c>
    </row>
    <row r="1051" spans="1:18">
      <c r="A1051" s="71">
        <v>6516</v>
      </c>
      <c r="B1051" s="72">
        <v>32869</v>
      </c>
      <c r="C1051" s="71" t="s">
        <v>7486</v>
      </c>
      <c r="D1051" s="72">
        <v>32869</v>
      </c>
      <c r="E1051" s="71" t="s">
        <v>7487</v>
      </c>
      <c r="F1051" s="71" t="s">
        <v>129</v>
      </c>
      <c r="G1051" s="71" t="s">
        <v>20</v>
      </c>
      <c r="H1051" s="71"/>
      <c r="I1051" s="71"/>
      <c r="J1051" s="71" t="s">
        <v>7488</v>
      </c>
      <c r="K1051" s="71"/>
      <c r="L1051" s="71" t="s">
        <v>30</v>
      </c>
      <c r="M1051" s="71"/>
      <c r="O1051" s="72">
        <v>32854</v>
      </c>
      <c r="P1051" s="71"/>
      <c r="Q1051" s="71" t="b">
        <v>0</v>
      </c>
      <c r="R1051" s="22">
        <f t="shared" si="16"/>
        <v>15</v>
      </c>
    </row>
    <row r="1052" spans="1:18">
      <c r="A1052" s="71">
        <v>6519</v>
      </c>
      <c r="B1052" s="72">
        <v>37600</v>
      </c>
      <c r="C1052" s="71" t="s">
        <v>7493</v>
      </c>
      <c r="D1052" s="72">
        <v>37599</v>
      </c>
      <c r="E1052" s="71" t="s">
        <v>4172</v>
      </c>
      <c r="F1052" s="71" t="s">
        <v>283</v>
      </c>
      <c r="G1052" s="71" t="s">
        <v>20</v>
      </c>
      <c r="H1052" s="71"/>
      <c r="I1052" s="71"/>
      <c r="J1052" s="71" t="s">
        <v>7494</v>
      </c>
      <c r="K1052" s="71"/>
      <c r="L1052" s="71" t="s">
        <v>314</v>
      </c>
      <c r="M1052" s="71"/>
      <c r="O1052" s="72">
        <v>37749</v>
      </c>
      <c r="P1052" s="71">
        <v>-1</v>
      </c>
      <c r="Q1052" s="71" t="b">
        <v>0</v>
      </c>
      <c r="R1052" s="22">
        <f t="shared" si="16"/>
        <v>150</v>
      </c>
    </row>
    <row r="1053" spans="1:18">
      <c r="A1053" s="71">
        <v>6521</v>
      </c>
      <c r="B1053" s="72">
        <v>32771</v>
      </c>
      <c r="C1053" s="71" t="s">
        <v>7498</v>
      </c>
      <c r="D1053" s="72">
        <v>32769</v>
      </c>
      <c r="E1053" s="71" t="s">
        <v>7499</v>
      </c>
      <c r="F1053" s="71" t="s">
        <v>242</v>
      </c>
      <c r="G1053" s="71" t="s">
        <v>20</v>
      </c>
      <c r="H1053" s="71"/>
      <c r="I1053" s="71"/>
      <c r="J1053" s="71" t="s">
        <v>7500</v>
      </c>
      <c r="K1053" s="71"/>
      <c r="L1053" s="71" t="s">
        <v>36</v>
      </c>
      <c r="M1053" s="71"/>
      <c r="O1053" s="72">
        <v>33361</v>
      </c>
      <c r="P1053" s="71"/>
      <c r="Q1053" s="71" t="b">
        <v>0</v>
      </c>
      <c r="R1053" s="22">
        <f t="shared" si="16"/>
        <v>591</v>
      </c>
    </row>
    <row r="1054" spans="1:18">
      <c r="A1054" s="71">
        <v>6522</v>
      </c>
      <c r="B1054" s="72">
        <v>32716</v>
      </c>
      <c r="C1054" s="71" t="s">
        <v>7501</v>
      </c>
      <c r="D1054" s="72">
        <v>32715</v>
      </c>
      <c r="E1054" s="71" t="s">
        <v>7502</v>
      </c>
      <c r="F1054" s="71" t="s">
        <v>242</v>
      </c>
      <c r="G1054" s="71" t="s">
        <v>20</v>
      </c>
      <c r="H1054" s="71"/>
      <c r="I1054" s="71"/>
      <c r="J1054" s="71" t="s">
        <v>7503</v>
      </c>
      <c r="K1054" s="71"/>
      <c r="L1054" s="71" t="s">
        <v>30</v>
      </c>
      <c r="M1054" s="71"/>
      <c r="O1054" s="72">
        <v>33073</v>
      </c>
      <c r="P1054" s="71">
        <v>-1</v>
      </c>
      <c r="Q1054" s="71" t="b">
        <v>0</v>
      </c>
      <c r="R1054" s="22">
        <f t="shared" si="16"/>
        <v>356</v>
      </c>
    </row>
    <row r="1055" spans="1:18">
      <c r="A1055" s="71">
        <v>6523</v>
      </c>
      <c r="B1055" s="72">
        <v>32785</v>
      </c>
      <c r="C1055" s="71" t="s">
        <v>7363</v>
      </c>
      <c r="D1055" s="72">
        <v>32771</v>
      </c>
      <c r="E1055" s="71" t="s">
        <v>7504</v>
      </c>
      <c r="F1055" s="71" t="s">
        <v>242</v>
      </c>
      <c r="G1055" s="71" t="s">
        <v>20</v>
      </c>
      <c r="H1055" s="71"/>
      <c r="I1055" s="71"/>
      <c r="J1055" s="71" t="s">
        <v>7505</v>
      </c>
      <c r="K1055" s="71" t="s">
        <v>7506</v>
      </c>
      <c r="L1055" s="71" t="s">
        <v>24</v>
      </c>
      <c r="M1055" s="71"/>
      <c r="O1055" s="72">
        <v>32904</v>
      </c>
      <c r="P1055" s="71">
        <v>-1</v>
      </c>
      <c r="Q1055" s="71" t="b">
        <v>0</v>
      </c>
      <c r="R1055" s="22">
        <f t="shared" si="16"/>
        <v>118</v>
      </c>
    </row>
    <row r="1056" spans="1:18">
      <c r="A1056" s="71">
        <v>6524</v>
      </c>
      <c r="B1056" s="72">
        <v>32792</v>
      </c>
      <c r="C1056" s="71" t="s">
        <v>7334</v>
      </c>
      <c r="D1056" s="72">
        <v>32786</v>
      </c>
      <c r="E1056" s="71" t="s">
        <v>7507</v>
      </c>
      <c r="F1056" s="71" t="s">
        <v>242</v>
      </c>
      <c r="G1056" s="71" t="s">
        <v>20</v>
      </c>
      <c r="H1056" s="71"/>
      <c r="I1056" s="71"/>
      <c r="J1056" s="71" t="s">
        <v>7508</v>
      </c>
      <c r="K1056" s="71" t="s">
        <v>7509</v>
      </c>
      <c r="L1056" s="71" t="s">
        <v>24</v>
      </c>
      <c r="M1056" s="71"/>
      <c r="O1056" s="72">
        <v>34053</v>
      </c>
      <c r="P1056" s="71"/>
      <c r="Q1056" s="71" t="b">
        <v>0</v>
      </c>
      <c r="R1056" s="22">
        <f t="shared" si="16"/>
        <v>1261</v>
      </c>
    </row>
    <row r="1057" spans="1:18">
      <c r="A1057" s="71">
        <v>6525</v>
      </c>
      <c r="B1057" s="72">
        <v>32692</v>
      </c>
      <c r="C1057" s="71" t="s">
        <v>7510</v>
      </c>
      <c r="D1057" s="72">
        <v>32689</v>
      </c>
      <c r="E1057" s="71" t="s">
        <v>7511</v>
      </c>
      <c r="F1057" s="71" t="s">
        <v>85</v>
      </c>
      <c r="G1057" s="71" t="s">
        <v>20</v>
      </c>
      <c r="H1057" s="71"/>
      <c r="I1057" s="71"/>
      <c r="J1057" s="71" t="s">
        <v>7512</v>
      </c>
      <c r="K1057" s="71"/>
      <c r="L1057" s="71" t="s">
        <v>82</v>
      </c>
      <c r="M1057" s="71"/>
      <c r="O1057" s="72">
        <v>33277</v>
      </c>
      <c r="P1057" s="71">
        <v>-1</v>
      </c>
      <c r="Q1057" s="71" t="b">
        <v>0</v>
      </c>
      <c r="R1057" s="22">
        <f t="shared" si="16"/>
        <v>582</v>
      </c>
    </row>
    <row r="1058" spans="1:18">
      <c r="A1058" s="71">
        <v>6526</v>
      </c>
      <c r="B1058" s="72">
        <v>32840</v>
      </c>
      <c r="C1058" s="71" t="s">
        <v>7370</v>
      </c>
      <c r="D1058" s="72">
        <v>32836</v>
      </c>
      <c r="E1058" s="71" t="s">
        <v>7513</v>
      </c>
      <c r="F1058" s="71" t="s">
        <v>85</v>
      </c>
      <c r="G1058" s="71" t="s">
        <v>20</v>
      </c>
      <c r="H1058" s="71"/>
      <c r="I1058" s="71"/>
      <c r="J1058" s="71" t="s">
        <v>7514</v>
      </c>
      <c r="K1058" s="71" t="s">
        <v>1783</v>
      </c>
      <c r="L1058" s="71" t="s">
        <v>24</v>
      </c>
      <c r="M1058" s="71"/>
      <c r="O1058" s="72">
        <v>33063</v>
      </c>
      <c r="P1058" s="71"/>
      <c r="Q1058" s="71" t="b">
        <v>0</v>
      </c>
      <c r="R1058" s="22">
        <f t="shared" si="16"/>
        <v>224</v>
      </c>
    </row>
    <row r="1059" spans="1:18">
      <c r="A1059" s="71">
        <v>6527</v>
      </c>
      <c r="B1059" s="72">
        <v>32692</v>
      </c>
      <c r="C1059" s="71" t="s">
        <v>7515</v>
      </c>
      <c r="D1059" s="72">
        <v>32689</v>
      </c>
      <c r="E1059" s="71" t="s">
        <v>7516</v>
      </c>
      <c r="F1059" s="71" t="s">
        <v>85</v>
      </c>
      <c r="G1059" s="71" t="s">
        <v>20</v>
      </c>
      <c r="H1059" s="71"/>
      <c r="I1059" s="71"/>
      <c r="J1059" s="71" t="s">
        <v>7517</v>
      </c>
      <c r="K1059" s="71"/>
      <c r="L1059" s="71" t="s">
        <v>36</v>
      </c>
      <c r="M1059" s="71"/>
      <c r="O1059" s="72">
        <v>32762</v>
      </c>
      <c r="P1059" s="71"/>
      <c r="Q1059" s="71" t="b">
        <v>0</v>
      </c>
      <c r="R1059" s="22">
        <f t="shared" si="16"/>
        <v>68</v>
      </c>
    </row>
    <row r="1060" spans="1:18">
      <c r="A1060" s="71">
        <v>6528</v>
      </c>
      <c r="B1060" s="72">
        <v>32743</v>
      </c>
      <c r="C1060" s="71" t="s">
        <v>7518</v>
      </c>
      <c r="D1060" s="72">
        <v>32742</v>
      </c>
      <c r="E1060" s="71" t="s">
        <v>7519</v>
      </c>
      <c r="F1060" s="71" t="s">
        <v>85</v>
      </c>
      <c r="G1060" s="71" t="s">
        <v>20</v>
      </c>
      <c r="H1060" s="71"/>
      <c r="I1060" s="71"/>
      <c r="J1060" s="71" t="s">
        <v>7520</v>
      </c>
      <c r="K1060" s="71" t="s">
        <v>7521</v>
      </c>
      <c r="L1060" s="71" t="s">
        <v>36</v>
      </c>
      <c r="M1060" s="71"/>
      <c r="O1060" s="72">
        <v>33702</v>
      </c>
      <c r="P1060" s="71"/>
      <c r="Q1060" s="71" t="b">
        <v>0</v>
      </c>
      <c r="R1060" s="22">
        <f t="shared" si="16"/>
        <v>958</v>
      </c>
    </row>
    <row r="1061" spans="1:18">
      <c r="A1061" s="71">
        <v>6530</v>
      </c>
      <c r="B1061" s="72">
        <v>36059</v>
      </c>
      <c r="C1061" s="71" t="s">
        <v>7525</v>
      </c>
      <c r="D1061" s="72">
        <v>36059</v>
      </c>
      <c r="E1061" s="71" t="s">
        <v>4172</v>
      </c>
      <c r="F1061" s="71" t="s">
        <v>27</v>
      </c>
      <c r="G1061" s="71" t="s">
        <v>20</v>
      </c>
      <c r="H1061" s="71"/>
      <c r="I1061" s="71"/>
      <c r="J1061" s="71" t="s">
        <v>7216</v>
      </c>
      <c r="K1061" s="71" t="s">
        <v>7526</v>
      </c>
      <c r="L1061" s="71" t="s">
        <v>66</v>
      </c>
      <c r="M1061" s="71" t="s">
        <v>686</v>
      </c>
      <c r="O1061" s="72">
        <v>36749</v>
      </c>
      <c r="P1061" s="71">
        <v>-1</v>
      </c>
      <c r="Q1061" s="71" t="b">
        <v>0</v>
      </c>
      <c r="R1061" s="22">
        <f t="shared" si="16"/>
        <v>689</v>
      </c>
    </row>
    <row r="1062" spans="1:18">
      <c r="A1062" s="71">
        <v>6531</v>
      </c>
      <c r="B1062" s="72">
        <v>32853</v>
      </c>
      <c r="C1062" s="71" t="s">
        <v>7527</v>
      </c>
      <c r="D1062" s="72">
        <v>32849</v>
      </c>
      <c r="E1062" s="71" t="s">
        <v>7528</v>
      </c>
      <c r="F1062" s="71" t="s">
        <v>124</v>
      </c>
      <c r="G1062" s="71" t="s">
        <v>20</v>
      </c>
      <c r="H1062" s="71"/>
      <c r="I1062" s="71"/>
      <c r="J1062" s="71" t="s">
        <v>7529</v>
      </c>
      <c r="K1062" s="71" t="s">
        <v>6406</v>
      </c>
      <c r="L1062" s="71" t="s">
        <v>82</v>
      </c>
      <c r="M1062" s="71"/>
      <c r="O1062" s="72">
        <v>33333</v>
      </c>
      <c r="P1062" s="71">
        <v>-1</v>
      </c>
      <c r="Q1062" s="71" t="b">
        <v>0</v>
      </c>
      <c r="R1062" s="22">
        <f t="shared" si="16"/>
        <v>480</v>
      </c>
    </row>
    <row r="1063" spans="1:18">
      <c r="A1063" s="71">
        <v>6532</v>
      </c>
      <c r="B1063" s="72">
        <v>32855</v>
      </c>
      <c r="C1063" s="71" t="s">
        <v>1106</v>
      </c>
      <c r="D1063" s="72">
        <v>32841</v>
      </c>
      <c r="E1063" s="71" t="s">
        <v>7530</v>
      </c>
      <c r="F1063" s="71" t="s">
        <v>124</v>
      </c>
      <c r="G1063" s="71" t="s">
        <v>20</v>
      </c>
      <c r="H1063" s="71"/>
      <c r="I1063" s="71"/>
      <c r="J1063" s="71" t="s">
        <v>7531</v>
      </c>
      <c r="K1063" s="71"/>
      <c r="L1063" s="71" t="s">
        <v>24</v>
      </c>
      <c r="M1063" s="71"/>
      <c r="O1063" s="72">
        <v>33217</v>
      </c>
      <c r="P1063" s="71"/>
      <c r="Q1063" s="71" t="b">
        <v>0</v>
      </c>
      <c r="R1063" s="22">
        <f t="shared" si="16"/>
        <v>361</v>
      </c>
    </row>
    <row r="1064" spans="1:18">
      <c r="A1064" s="71">
        <v>6533</v>
      </c>
      <c r="B1064" s="72">
        <v>32748</v>
      </c>
      <c r="C1064" s="71" t="s">
        <v>7532</v>
      </c>
      <c r="D1064" s="72">
        <v>32745</v>
      </c>
      <c r="E1064" s="71" t="s">
        <v>7533</v>
      </c>
      <c r="F1064" s="71" t="s">
        <v>94</v>
      </c>
      <c r="G1064" s="71" t="s">
        <v>20</v>
      </c>
      <c r="H1064" s="71"/>
      <c r="I1064" s="71"/>
      <c r="J1064" s="71" t="s">
        <v>7534</v>
      </c>
      <c r="K1064" s="71"/>
      <c r="L1064" s="71" t="s">
        <v>24</v>
      </c>
      <c r="M1064" s="71"/>
      <c r="O1064" s="72">
        <v>32815</v>
      </c>
      <c r="P1064" s="71">
        <v>-1</v>
      </c>
      <c r="Q1064" s="71" t="b">
        <v>0</v>
      </c>
      <c r="R1064" s="22">
        <f t="shared" si="16"/>
        <v>65</v>
      </c>
    </row>
    <row r="1065" spans="1:18">
      <c r="A1065" s="71">
        <v>6534</v>
      </c>
      <c r="B1065" s="72">
        <v>32848</v>
      </c>
      <c r="C1065" s="71" t="s">
        <v>7535</v>
      </c>
      <c r="D1065" s="72">
        <v>32841</v>
      </c>
      <c r="E1065" s="71" t="s">
        <v>7536</v>
      </c>
      <c r="F1065" s="71" t="s">
        <v>19</v>
      </c>
      <c r="G1065" s="71" t="s">
        <v>20</v>
      </c>
      <c r="H1065" s="71"/>
      <c r="I1065" s="71"/>
      <c r="J1065" s="71" t="s">
        <v>7537</v>
      </c>
      <c r="K1065" s="71"/>
      <c r="L1065" s="71" t="s">
        <v>30</v>
      </c>
      <c r="M1065" s="71"/>
      <c r="O1065" s="72">
        <v>33254</v>
      </c>
      <c r="P1065" s="71">
        <v>-1</v>
      </c>
      <c r="Q1065" s="71" t="b">
        <v>0</v>
      </c>
      <c r="R1065" s="22">
        <f t="shared" si="16"/>
        <v>405</v>
      </c>
    </row>
    <row r="1066" spans="1:18">
      <c r="A1066" s="71">
        <v>6535</v>
      </c>
      <c r="B1066" s="72">
        <v>32737</v>
      </c>
      <c r="C1066" s="71" t="s">
        <v>2827</v>
      </c>
      <c r="D1066" s="72">
        <v>32735</v>
      </c>
      <c r="E1066" s="71" t="s">
        <v>7538</v>
      </c>
      <c r="F1066" s="71" t="s">
        <v>545</v>
      </c>
      <c r="G1066" s="71" t="s">
        <v>20</v>
      </c>
      <c r="H1066" s="71"/>
      <c r="I1066" s="71"/>
      <c r="J1066" s="71" t="s">
        <v>7539</v>
      </c>
      <c r="K1066" s="71"/>
      <c r="L1066" s="71" t="s">
        <v>24</v>
      </c>
      <c r="M1066" s="71" t="s">
        <v>36</v>
      </c>
      <c r="O1066" s="72">
        <v>32891</v>
      </c>
      <c r="P1066" s="71"/>
      <c r="Q1066" s="71" t="b">
        <v>0</v>
      </c>
      <c r="R1066" s="22">
        <f t="shared" si="16"/>
        <v>153</v>
      </c>
    </row>
    <row r="1067" spans="1:18">
      <c r="A1067" s="71">
        <v>6536</v>
      </c>
      <c r="B1067" s="72">
        <v>35977</v>
      </c>
      <c r="C1067" s="71" t="s">
        <v>7540</v>
      </c>
      <c r="D1067" s="72">
        <v>35972</v>
      </c>
      <c r="E1067" s="71" t="s">
        <v>4172</v>
      </c>
      <c r="F1067" s="71" t="s">
        <v>19</v>
      </c>
      <c r="G1067" s="71" t="s">
        <v>20</v>
      </c>
      <c r="H1067" s="71"/>
      <c r="I1067" s="71"/>
      <c r="J1067" s="71" t="s">
        <v>7541</v>
      </c>
      <c r="K1067" s="71"/>
      <c r="L1067" s="71" t="s">
        <v>88</v>
      </c>
      <c r="M1067" s="71"/>
      <c r="O1067" s="72">
        <v>36004</v>
      </c>
      <c r="P1067" s="71"/>
      <c r="Q1067" s="71" t="b">
        <v>0</v>
      </c>
      <c r="R1067" s="22">
        <f t="shared" si="16"/>
        <v>27</v>
      </c>
    </row>
    <row r="1068" spans="1:18">
      <c r="A1068" s="71">
        <v>6537</v>
      </c>
      <c r="B1068" s="72">
        <v>32864</v>
      </c>
      <c r="C1068" s="71" t="s">
        <v>7542</v>
      </c>
      <c r="D1068" s="72">
        <v>32861</v>
      </c>
      <c r="E1068" s="71" t="s">
        <v>7543</v>
      </c>
      <c r="F1068" s="71" t="s">
        <v>1537</v>
      </c>
      <c r="G1068" s="71" t="s">
        <v>20</v>
      </c>
      <c r="H1068" s="71"/>
      <c r="I1068" s="71"/>
      <c r="J1068" s="71" t="s">
        <v>7544</v>
      </c>
      <c r="K1068" s="71"/>
      <c r="L1068" s="71" t="s">
        <v>24</v>
      </c>
      <c r="M1068" s="71"/>
      <c r="O1068" s="72">
        <v>33268</v>
      </c>
      <c r="P1068" s="71">
        <v>-1</v>
      </c>
      <c r="Q1068" s="71" t="b">
        <v>0</v>
      </c>
      <c r="R1068" s="22">
        <f t="shared" si="16"/>
        <v>403</v>
      </c>
    </row>
    <row r="1069" spans="1:18">
      <c r="A1069" s="71">
        <v>6538</v>
      </c>
      <c r="B1069" s="72">
        <v>32849</v>
      </c>
      <c r="C1069" s="71" t="s">
        <v>7545</v>
      </c>
      <c r="D1069" s="72">
        <v>32849</v>
      </c>
      <c r="E1069" s="71" t="s">
        <v>7546</v>
      </c>
      <c r="F1069" s="71" t="s">
        <v>3503</v>
      </c>
      <c r="G1069" s="71" t="s">
        <v>20</v>
      </c>
      <c r="H1069" s="71"/>
      <c r="I1069" s="71"/>
      <c r="J1069" s="71" t="s">
        <v>7547</v>
      </c>
      <c r="K1069" s="71" t="s">
        <v>7548</v>
      </c>
      <c r="L1069" s="71" t="s">
        <v>30</v>
      </c>
      <c r="M1069" s="71"/>
      <c r="O1069" s="72">
        <v>33267</v>
      </c>
      <c r="P1069" s="71"/>
      <c r="Q1069" s="71" t="b">
        <v>0</v>
      </c>
      <c r="R1069" s="22">
        <f t="shared" si="16"/>
        <v>417</v>
      </c>
    </row>
    <row r="1070" spans="1:18">
      <c r="A1070" s="71">
        <v>6539</v>
      </c>
      <c r="B1070" s="72">
        <v>32772</v>
      </c>
      <c r="C1070" s="71" t="s">
        <v>7549</v>
      </c>
      <c r="D1070" s="72">
        <v>32771</v>
      </c>
      <c r="E1070" s="71" t="s">
        <v>7550</v>
      </c>
      <c r="F1070" s="71" t="s">
        <v>228</v>
      </c>
      <c r="G1070" s="71" t="s">
        <v>20</v>
      </c>
      <c r="H1070" s="71"/>
      <c r="I1070" s="71"/>
      <c r="J1070" s="71" t="s">
        <v>7551</v>
      </c>
      <c r="K1070" s="71"/>
      <c r="L1070" s="71" t="s">
        <v>30</v>
      </c>
      <c r="M1070" s="71"/>
      <c r="O1070" s="72">
        <v>33542</v>
      </c>
      <c r="P1070" s="71"/>
      <c r="Q1070" s="71" t="b">
        <v>0</v>
      </c>
      <c r="R1070" s="22">
        <f t="shared" si="16"/>
        <v>770</v>
      </c>
    </row>
    <row r="1071" spans="1:18">
      <c r="A1071" s="71">
        <v>6540</v>
      </c>
      <c r="B1071" s="72">
        <v>32731</v>
      </c>
      <c r="C1071" s="71" t="s">
        <v>7552</v>
      </c>
      <c r="D1071" s="72">
        <v>32727</v>
      </c>
      <c r="E1071" s="71" t="s">
        <v>7553</v>
      </c>
      <c r="F1071" s="71" t="s">
        <v>228</v>
      </c>
      <c r="G1071" s="71" t="s">
        <v>20</v>
      </c>
      <c r="H1071" s="71"/>
      <c r="I1071" s="71"/>
      <c r="J1071" s="71" t="s">
        <v>7465</v>
      </c>
      <c r="K1071" s="71" t="s">
        <v>7554</v>
      </c>
      <c r="L1071" s="71" t="s">
        <v>24</v>
      </c>
      <c r="M1071" s="71"/>
      <c r="O1071" s="72">
        <v>32902</v>
      </c>
      <c r="P1071" s="71">
        <v>-1</v>
      </c>
      <c r="Q1071" s="71" t="b">
        <v>0</v>
      </c>
      <c r="R1071" s="22">
        <f t="shared" si="16"/>
        <v>170</v>
      </c>
    </row>
    <row r="1072" spans="1:18">
      <c r="A1072" s="71">
        <v>6541</v>
      </c>
      <c r="B1072" s="72">
        <v>37608</v>
      </c>
      <c r="C1072" s="71" t="s">
        <v>7555</v>
      </c>
      <c r="D1072" s="72">
        <v>37608</v>
      </c>
      <c r="E1072" s="71" t="s">
        <v>4172</v>
      </c>
      <c r="F1072" s="71" t="s">
        <v>6084</v>
      </c>
      <c r="G1072" s="71" t="s">
        <v>20</v>
      </c>
      <c r="H1072" s="71"/>
      <c r="I1072" s="71"/>
      <c r="J1072" s="71" t="s">
        <v>6242</v>
      </c>
      <c r="K1072" s="71"/>
      <c r="L1072" s="71" t="s">
        <v>66</v>
      </c>
      <c r="M1072" s="71"/>
      <c r="O1072" s="72">
        <v>37691</v>
      </c>
      <c r="P1072" s="71">
        <v>-1</v>
      </c>
      <c r="Q1072" s="71" t="b">
        <v>0</v>
      </c>
      <c r="R1072" s="22">
        <f t="shared" si="16"/>
        <v>84</v>
      </c>
    </row>
    <row r="1073" spans="1:18">
      <c r="A1073" s="71">
        <v>6542</v>
      </c>
      <c r="B1073" s="72">
        <v>32864</v>
      </c>
      <c r="C1073" s="71" t="s">
        <v>7542</v>
      </c>
      <c r="D1073" s="72">
        <v>32864</v>
      </c>
      <c r="E1073" s="71" t="s">
        <v>7556</v>
      </c>
      <c r="F1073" s="71" t="s">
        <v>283</v>
      </c>
      <c r="G1073" s="71" t="s">
        <v>20</v>
      </c>
      <c r="H1073" s="71"/>
      <c r="I1073" s="71"/>
      <c r="J1073" s="71" t="s">
        <v>7557</v>
      </c>
      <c r="K1073" s="71"/>
      <c r="L1073" s="71" t="s">
        <v>24</v>
      </c>
      <c r="M1073" s="71"/>
      <c r="O1073" s="72">
        <v>32925</v>
      </c>
      <c r="P1073" s="71"/>
      <c r="Q1073" s="71" t="b">
        <v>0</v>
      </c>
      <c r="R1073" s="22">
        <f t="shared" si="16"/>
        <v>59</v>
      </c>
    </row>
    <row r="1074" spans="1:18">
      <c r="A1074" s="71">
        <v>6543</v>
      </c>
      <c r="B1074" s="72">
        <v>36563</v>
      </c>
      <c r="C1074" s="71" t="s">
        <v>7558</v>
      </c>
      <c r="D1074" s="72">
        <v>36563</v>
      </c>
      <c r="E1074" s="71" t="s">
        <v>4172</v>
      </c>
      <c r="F1074" s="71" t="s">
        <v>3434</v>
      </c>
      <c r="G1074" s="71" t="s">
        <v>20</v>
      </c>
      <c r="H1074" s="71"/>
      <c r="I1074" s="71"/>
      <c r="J1074" s="71" t="s">
        <v>7559</v>
      </c>
      <c r="K1074" s="71"/>
      <c r="L1074" s="71" t="s">
        <v>66</v>
      </c>
      <c r="M1074" s="71"/>
      <c r="O1074" s="72">
        <v>36980</v>
      </c>
      <c r="P1074" s="71">
        <v>-1</v>
      </c>
      <c r="Q1074" s="71" t="b">
        <v>0</v>
      </c>
      <c r="R1074" s="22">
        <f t="shared" si="16"/>
        <v>418</v>
      </c>
    </row>
    <row r="1075" spans="1:18">
      <c r="A1075" s="71">
        <v>6544</v>
      </c>
      <c r="B1075" s="72">
        <v>32779</v>
      </c>
      <c r="C1075" s="71" t="s">
        <v>7560</v>
      </c>
      <c r="D1075" s="72">
        <v>32778</v>
      </c>
      <c r="E1075" s="71" t="s">
        <v>7561</v>
      </c>
      <c r="F1075" s="71" t="s">
        <v>145</v>
      </c>
      <c r="G1075" s="71" t="s">
        <v>20</v>
      </c>
      <c r="H1075" s="71"/>
      <c r="I1075" s="71"/>
      <c r="J1075" s="71" t="s">
        <v>7562</v>
      </c>
      <c r="K1075" s="71" t="s">
        <v>7563</v>
      </c>
      <c r="L1075" s="71" t="s">
        <v>24</v>
      </c>
      <c r="M1075" s="71"/>
      <c r="O1075" s="72">
        <v>32832</v>
      </c>
      <c r="P1075" s="71">
        <v>-1</v>
      </c>
      <c r="Q1075" s="71" t="b">
        <v>0</v>
      </c>
      <c r="R1075" s="22">
        <f t="shared" si="16"/>
        <v>52</v>
      </c>
    </row>
    <row r="1076" spans="1:18">
      <c r="A1076" s="71">
        <v>6547</v>
      </c>
      <c r="B1076" s="72">
        <v>37610</v>
      </c>
      <c r="C1076" s="71" t="s">
        <v>7564</v>
      </c>
      <c r="D1076" s="72">
        <v>37610</v>
      </c>
      <c r="E1076" s="71" t="s">
        <v>7565</v>
      </c>
      <c r="F1076" s="71" t="s">
        <v>242</v>
      </c>
      <c r="G1076" s="71" t="s">
        <v>20</v>
      </c>
      <c r="H1076" s="71"/>
      <c r="I1076" s="71"/>
      <c r="J1076" s="71" t="s">
        <v>7566</v>
      </c>
      <c r="K1076" s="71" t="s">
        <v>7567</v>
      </c>
      <c r="L1076" s="71" t="s">
        <v>4282</v>
      </c>
      <c r="M1076" s="71"/>
      <c r="O1076" s="72">
        <v>37722</v>
      </c>
      <c r="P1076" s="71"/>
      <c r="Q1076" s="71" t="b">
        <v>0</v>
      </c>
      <c r="R1076" s="22">
        <f t="shared" si="16"/>
        <v>112</v>
      </c>
    </row>
    <row r="1077" spans="1:18">
      <c r="A1077" s="71">
        <v>6548</v>
      </c>
      <c r="B1077" s="72">
        <v>32849</v>
      </c>
      <c r="C1077" s="71" t="s">
        <v>7545</v>
      </c>
      <c r="D1077" s="72">
        <v>32836</v>
      </c>
      <c r="E1077" s="71" t="s">
        <v>7568</v>
      </c>
      <c r="F1077" s="71" t="s">
        <v>145</v>
      </c>
      <c r="G1077" s="71" t="s">
        <v>20</v>
      </c>
      <c r="H1077" s="71"/>
      <c r="I1077" s="71"/>
      <c r="J1077" s="71" t="s">
        <v>7569</v>
      </c>
      <c r="K1077" s="71"/>
      <c r="L1077" s="71" t="s">
        <v>24</v>
      </c>
      <c r="M1077" s="71"/>
      <c r="O1077" s="72">
        <v>32876</v>
      </c>
      <c r="P1077" s="71">
        <v>-1</v>
      </c>
      <c r="Q1077" s="71" t="b">
        <v>0</v>
      </c>
      <c r="R1077" s="22">
        <f t="shared" si="16"/>
        <v>26</v>
      </c>
    </row>
    <row r="1078" spans="1:18">
      <c r="A1078" s="71">
        <v>6551</v>
      </c>
      <c r="B1078" s="72">
        <v>32839</v>
      </c>
      <c r="C1078" s="71" t="s">
        <v>7578</v>
      </c>
      <c r="D1078" s="72">
        <v>32834</v>
      </c>
      <c r="E1078" s="71" t="s">
        <v>7579</v>
      </c>
      <c r="F1078" s="71" t="s">
        <v>7580</v>
      </c>
      <c r="G1078" s="71" t="s">
        <v>20</v>
      </c>
      <c r="H1078" s="71"/>
      <c r="I1078" s="71"/>
      <c r="J1078" s="71" t="s">
        <v>7581</v>
      </c>
      <c r="K1078" s="71" t="s">
        <v>7582</v>
      </c>
      <c r="L1078" s="71" t="s">
        <v>82</v>
      </c>
      <c r="M1078" s="71"/>
      <c r="O1078" s="72">
        <v>33361</v>
      </c>
      <c r="P1078" s="71"/>
      <c r="Q1078" s="71" t="b">
        <v>0</v>
      </c>
      <c r="R1078" s="22">
        <f t="shared" si="16"/>
        <v>523</v>
      </c>
    </row>
    <row r="1079" spans="1:18">
      <c r="A1079" s="71">
        <v>6552</v>
      </c>
      <c r="B1079" s="72">
        <v>32612</v>
      </c>
      <c r="C1079" s="71" t="s">
        <v>7583</v>
      </c>
      <c r="D1079" s="72">
        <v>32611</v>
      </c>
      <c r="E1079" s="71" t="s">
        <v>7584</v>
      </c>
      <c r="F1079" s="71" t="s">
        <v>7580</v>
      </c>
      <c r="G1079" s="71" t="s">
        <v>20</v>
      </c>
      <c r="H1079" s="71"/>
      <c r="I1079" s="71"/>
      <c r="J1079" s="71" t="s">
        <v>7585</v>
      </c>
      <c r="K1079" s="71"/>
      <c r="L1079" s="71" t="s">
        <v>30</v>
      </c>
      <c r="M1079" s="71"/>
      <c r="O1079" s="72">
        <v>32925</v>
      </c>
      <c r="P1079" s="71"/>
      <c r="Q1079" s="71" t="b">
        <v>0</v>
      </c>
      <c r="R1079" s="22">
        <f t="shared" si="16"/>
        <v>311</v>
      </c>
    </row>
    <row r="1080" spans="1:18">
      <c r="A1080" s="71">
        <v>6553</v>
      </c>
      <c r="B1080" s="72">
        <v>32674</v>
      </c>
      <c r="C1080" s="71" t="s">
        <v>7586</v>
      </c>
      <c r="D1080" s="72">
        <v>32674</v>
      </c>
      <c r="E1080" s="71" t="s">
        <v>7587</v>
      </c>
      <c r="F1080" s="71" t="s">
        <v>7580</v>
      </c>
      <c r="G1080" s="71" t="s">
        <v>20</v>
      </c>
      <c r="H1080" s="71"/>
      <c r="I1080" s="71"/>
      <c r="J1080" s="71" t="s">
        <v>7585</v>
      </c>
      <c r="K1080" s="71"/>
      <c r="L1080" s="71" t="s">
        <v>30</v>
      </c>
      <c r="M1080" s="71"/>
      <c r="O1080" s="72">
        <v>32925</v>
      </c>
      <c r="P1080" s="71"/>
      <c r="Q1080" s="71" t="b">
        <v>0</v>
      </c>
      <c r="R1080" s="22">
        <f t="shared" si="16"/>
        <v>249</v>
      </c>
    </row>
    <row r="1081" spans="1:18">
      <c r="A1081" s="71">
        <v>6554</v>
      </c>
      <c r="B1081" s="72">
        <v>32496</v>
      </c>
      <c r="C1081" s="71" t="s">
        <v>7588</v>
      </c>
      <c r="D1081" s="72">
        <v>32496</v>
      </c>
      <c r="E1081" s="71" t="s">
        <v>7589</v>
      </c>
      <c r="F1081" s="71" t="s">
        <v>7580</v>
      </c>
      <c r="G1081" s="71" t="s">
        <v>20</v>
      </c>
      <c r="H1081" s="71"/>
      <c r="I1081" s="71"/>
      <c r="J1081" s="71" t="s">
        <v>7590</v>
      </c>
      <c r="K1081" s="71" t="s">
        <v>7591</v>
      </c>
      <c r="L1081" s="71" t="s">
        <v>30</v>
      </c>
      <c r="M1081" s="71"/>
      <c r="O1081" s="72">
        <v>32806</v>
      </c>
      <c r="P1081" s="71"/>
      <c r="Q1081" s="71" t="b">
        <v>0</v>
      </c>
      <c r="R1081" s="22">
        <f t="shared" si="16"/>
        <v>310</v>
      </c>
    </row>
    <row r="1082" spans="1:18">
      <c r="A1082" s="71">
        <v>6555</v>
      </c>
      <c r="B1082" s="72">
        <v>37614</v>
      </c>
      <c r="C1082" s="71" t="s">
        <v>7592</v>
      </c>
      <c r="D1082" s="72">
        <v>37614</v>
      </c>
      <c r="E1082" s="71" t="s">
        <v>4172</v>
      </c>
      <c r="F1082" s="71" t="s">
        <v>129</v>
      </c>
      <c r="G1082" s="71" t="s">
        <v>20</v>
      </c>
      <c r="H1082" s="71"/>
      <c r="I1082" s="71"/>
      <c r="J1082" s="71" t="s">
        <v>7593</v>
      </c>
      <c r="K1082" s="71" t="s">
        <v>7494</v>
      </c>
      <c r="L1082" s="71" t="s">
        <v>66</v>
      </c>
      <c r="M1082" s="71"/>
      <c r="O1082" s="72">
        <v>37728</v>
      </c>
      <c r="P1082" s="71">
        <v>-1</v>
      </c>
      <c r="Q1082" s="71" t="b">
        <v>0</v>
      </c>
      <c r="R1082" s="22">
        <f t="shared" si="16"/>
        <v>114</v>
      </c>
    </row>
    <row r="1083" spans="1:18">
      <c r="A1083" s="71">
        <v>6557</v>
      </c>
      <c r="B1083" s="72">
        <v>37621</v>
      </c>
      <c r="C1083" s="71" t="s">
        <v>7597</v>
      </c>
      <c r="D1083" s="72">
        <v>37618</v>
      </c>
      <c r="E1083" s="71" t="s">
        <v>7598</v>
      </c>
      <c r="F1083" s="71" t="s">
        <v>228</v>
      </c>
      <c r="G1083" s="71" t="s">
        <v>20</v>
      </c>
      <c r="H1083" s="71"/>
      <c r="I1083" s="71"/>
      <c r="J1083" s="71" t="s">
        <v>5162</v>
      </c>
      <c r="K1083" s="71" t="s">
        <v>7599</v>
      </c>
      <c r="L1083" s="71" t="s">
        <v>4282</v>
      </c>
      <c r="M1083" s="71"/>
      <c r="O1083" s="72">
        <v>37972</v>
      </c>
      <c r="P1083" s="71">
        <v>-1</v>
      </c>
      <c r="Q1083" s="71" t="b">
        <v>0</v>
      </c>
      <c r="R1083" s="22">
        <f t="shared" si="16"/>
        <v>351</v>
      </c>
    </row>
    <row r="1084" spans="1:18">
      <c r="A1084" s="71">
        <v>6598</v>
      </c>
      <c r="B1084" s="72">
        <v>32709</v>
      </c>
      <c r="C1084" s="71" t="s">
        <v>7654</v>
      </c>
      <c r="D1084" s="72">
        <v>32708</v>
      </c>
      <c r="E1084" s="71" t="s">
        <v>7655</v>
      </c>
      <c r="F1084" s="71" t="s">
        <v>1111</v>
      </c>
      <c r="G1084" s="71" t="s">
        <v>20</v>
      </c>
      <c r="H1084" s="71"/>
      <c r="I1084" s="71"/>
      <c r="J1084" s="71" t="s">
        <v>7656</v>
      </c>
      <c r="K1084" s="71"/>
      <c r="L1084" s="71" t="s">
        <v>7657</v>
      </c>
      <c r="M1084" s="71"/>
      <c r="O1084" s="72">
        <v>33765</v>
      </c>
      <c r="P1084" s="71"/>
      <c r="Q1084" s="71" t="b">
        <v>0</v>
      </c>
      <c r="R1084" s="22">
        <f t="shared" si="16"/>
        <v>1054</v>
      </c>
    </row>
    <row r="1085" spans="1:18">
      <c r="A1085" s="71">
        <v>6599</v>
      </c>
      <c r="B1085" s="72">
        <v>32758</v>
      </c>
      <c r="C1085" s="71" t="s">
        <v>7467</v>
      </c>
      <c r="D1085" s="72">
        <v>32750</v>
      </c>
      <c r="E1085" s="71" t="s">
        <v>7658</v>
      </c>
      <c r="F1085" s="71" t="s">
        <v>104</v>
      </c>
      <c r="G1085" s="71" t="s">
        <v>20</v>
      </c>
      <c r="H1085" s="71"/>
      <c r="I1085" s="71"/>
      <c r="J1085" s="71"/>
      <c r="K1085" s="71"/>
      <c r="L1085" s="71" t="s">
        <v>30</v>
      </c>
      <c r="M1085" s="71"/>
      <c r="O1085" s="72">
        <v>33073</v>
      </c>
      <c r="P1085" s="71"/>
      <c r="Q1085" s="71" t="b">
        <v>0</v>
      </c>
      <c r="R1085" s="22">
        <f t="shared" si="16"/>
        <v>316</v>
      </c>
    </row>
    <row r="1086" spans="1:18">
      <c r="A1086" s="71">
        <v>6600</v>
      </c>
      <c r="B1086" s="72">
        <v>32713</v>
      </c>
      <c r="C1086" s="71" t="s">
        <v>7659</v>
      </c>
      <c r="D1086" s="72">
        <v>32708</v>
      </c>
      <c r="E1086" s="71" t="s">
        <v>7660</v>
      </c>
      <c r="F1086" s="71" t="s">
        <v>104</v>
      </c>
      <c r="G1086" s="71" t="s">
        <v>20</v>
      </c>
      <c r="H1086" s="71"/>
      <c r="I1086" s="71"/>
      <c r="J1086" s="71" t="s">
        <v>7661</v>
      </c>
      <c r="K1086" s="71" t="s">
        <v>7662</v>
      </c>
      <c r="L1086" s="71" t="s">
        <v>7663</v>
      </c>
      <c r="M1086" s="71"/>
      <c r="O1086" s="72">
        <v>32987</v>
      </c>
      <c r="P1086" s="71"/>
      <c r="Q1086" s="71" t="b">
        <v>0</v>
      </c>
      <c r="R1086" s="22">
        <f t="shared" si="16"/>
        <v>273</v>
      </c>
    </row>
    <row r="1087" spans="1:18">
      <c r="A1087" s="71">
        <v>6601</v>
      </c>
      <c r="B1087" s="72">
        <v>32792</v>
      </c>
      <c r="C1087" s="71" t="s">
        <v>7334</v>
      </c>
      <c r="D1087" s="72">
        <v>32790</v>
      </c>
      <c r="E1087" s="71" t="s">
        <v>7664</v>
      </c>
      <c r="F1087" s="71" t="s">
        <v>104</v>
      </c>
      <c r="G1087" s="71" t="s">
        <v>20</v>
      </c>
      <c r="H1087" s="71"/>
      <c r="I1087" s="71"/>
      <c r="J1087" s="71" t="s">
        <v>7665</v>
      </c>
      <c r="K1087" s="71" t="s">
        <v>7666</v>
      </c>
      <c r="L1087" s="71" t="s">
        <v>24</v>
      </c>
      <c r="M1087" s="71"/>
      <c r="O1087" s="72">
        <v>32930</v>
      </c>
      <c r="P1087" s="71"/>
      <c r="Q1087" s="71" t="b">
        <v>0</v>
      </c>
      <c r="R1087" s="22">
        <f t="shared" si="16"/>
        <v>136</v>
      </c>
    </row>
    <row r="1088" spans="1:18">
      <c r="A1088" s="71">
        <v>6602</v>
      </c>
      <c r="B1088" s="72">
        <v>32785</v>
      </c>
      <c r="C1088" s="71" t="s">
        <v>7363</v>
      </c>
      <c r="D1088" s="72">
        <v>32780</v>
      </c>
      <c r="E1088" s="71" t="s">
        <v>7667</v>
      </c>
      <c r="F1088" s="71" t="s">
        <v>104</v>
      </c>
      <c r="G1088" s="71" t="s">
        <v>20</v>
      </c>
      <c r="H1088" s="71"/>
      <c r="I1088" s="71"/>
      <c r="J1088" s="71" t="s">
        <v>7668</v>
      </c>
      <c r="K1088" s="71"/>
      <c r="L1088" s="71" t="s">
        <v>24</v>
      </c>
      <c r="M1088" s="71"/>
      <c r="O1088" s="72">
        <v>32930</v>
      </c>
      <c r="P1088" s="71"/>
      <c r="Q1088" s="71" t="b">
        <v>0</v>
      </c>
      <c r="R1088" s="22">
        <f t="shared" si="16"/>
        <v>143</v>
      </c>
    </row>
    <row r="1089" spans="1:18">
      <c r="A1089" s="71">
        <v>6908</v>
      </c>
      <c r="B1089" s="72">
        <v>37676</v>
      </c>
      <c r="C1089" s="71" t="s">
        <v>8327</v>
      </c>
      <c r="D1089" s="72">
        <v>37671</v>
      </c>
      <c r="E1089" s="71" t="s">
        <v>8328</v>
      </c>
      <c r="F1089" s="71" t="s">
        <v>39</v>
      </c>
      <c r="G1089" s="71" t="s">
        <v>20</v>
      </c>
      <c r="H1089" s="71"/>
      <c r="I1089" s="71"/>
      <c r="J1089" s="71" t="s">
        <v>8329</v>
      </c>
      <c r="K1089" s="71" t="s">
        <v>1639</v>
      </c>
      <c r="L1089" s="71" t="s">
        <v>66</v>
      </c>
      <c r="M1089" s="71"/>
      <c r="O1089" s="72">
        <v>37816</v>
      </c>
      <c r="P1089" s="71">
        <v>-1</v>
      </c>
      <c r="Q1089" s="71" t="b">
        <v>0</v>
      </c>
      <c r="R1089" s="22">
        <f t="shared" si="16"/>
        <v>141</v>
      </c>
    </row>
    <row r="1090" spans="1:18">
      <c r="A1090" s="71">
        <v>6915</v>
      </c>
      <c r="B1090" s="72">
        <v>37687</v>
      </c>
      <c r="C1090" s="71" t="s">
        <v>8342</v>
      </c>
      <c r="D1090" s="72">
        <v>37687</v>
      </c>
      <c r="E1090" s="71" t="s">
        <v>8343</v>
      </c>
      <c r="F1090" s="71" t="s">
        <v>98</v>
      </c>
      <c r="G1090" s="71" t="s">
        <v>20</v>
      </c>
      <c r="H1090" s="71"/>
      <c r="I1090" s="71"/>
      <c r="J1090" s="71" t="s">
        <v>8344</v>
      </c>
      <c r="K1090" s="71" t="s">
        <v>8345</v>
      </c>
      <c r="L1090" s="71" t="s">
        <v>4282</v>
      </c>
      <c r="M1090" s="71"/>
      <c r="O1090" s="72">
        <v>38555</v>
      </c>
      <c r="P1090" s="71">
        <v>-1</v>
      </c>
      <c r="Q1090" s="71" t="b">
        <v>0</v>
      </c>
      <c r="R1090" s="22">
        <f t="shared" ref="R1090:R1153" si="17">IF(O1090=" ", " ", INT(YEARFRAC(O1090, B1090)*365))</f>
        <v>866</v>
      </c>
    </row>
    <row r="1091" spans="1:18">
      <c r="A1091" s="71">
        <v>6916</v>
      </c>
      <c r="B1091" s="72">
        <v>37687</v>
      </c>
      <c r="C1091" s="71" t="s">
        <v>8346</v>
      </c>
      <c r="D1091" s="72">
        <v>37687</v>
      </c>
      <c r="E1091" s="71" t="s">
        <v>8347</v>
      </c>
      <c r="F1091" s="71" t="s">
        <v>3847</v>
      </c>
      <c r="G1091" s="71" t="s">
        <v>20</v>
      </c>
      <c r="H1091" s="71"/>
      <c r="I1091" s="71"/>
      <c r="J1091" s="71" t="s">
        <v>5668</v>
      </c>
      <c r="K1091" s="71"/>
      <c r="L1091" s="71" t="s">
        <v>4282</v>
      </c>
      <c r="M1091" s="71"/>
      <c r="O1091" s="72">
        <v>38371</v>
      </c>
      <c r="P1091" s="71">
        <v>-1</v>
      </c>
      <c r="Q1091" s="71" t="b">
        <v>0</v>
      </c>
      <c r="R1091" s="22">
        <f t="shared" si="17"/>
        <v>681</v>
      </c>
    </row>
    <row r="1092" spans="1:18">
      <c r="A1092" s="71">
        <v>6923</v>
      </c>
      <c r="B1092" s="72">
        <v>32744</v>
      </c>
      <c r="C1092" s="71" t="s">
        <v>8365</v>
      </c>
      <c r="D1092" s="72">
        <v>32741</v>
      </c>
      <c r="E1092" s="71" t="s">
        <v>8366</v>
      </c>
      <c r="F1092" s="71" t="s">
        <v>665</v>
      </c>
      <c r="G1092" s="71" t="s">
        <v>20</v>
      </c>
      <c r="H1092" s="71"/>
      <c r="I1092" s="71"/>
      <c r="J1092" s="71" t="s">
        <v>8367</v>
      </c>
      <c r="K1092" s="71"/>
      <c r="L1092" s="71" t="s">
        <v>24</v>
      </c>
      <c r="M1092" s="71"/>
      <c r="O1092" s="72">
        <v>32832</v>
      </c>
      <c r="P1092" s="71"/>
      <c r="Q1092" s="71" t="b">
        <v>0</v>
      </c>
      <c r="R1092" s="22">
        <f t="shared" si="17"/>
        <v>87</v>
      </c>
    </row>
    <row r="1093" spans="1:18">
      <c r="A1093" s="71">
        <v>6924</v>
      </c>
      <c r="B1093" s="72">
        <v>32751</v>
      </c>
      <c r="C1093" s="71" t="s">
        <v>8368</v>
      </c>
      <c r="D1093" s="72">
        <v>32749</v>
      </c>
      <c r="E1093" s="71" t="s">
        <v>8369</v>
      </c>
      <c r="F1093" s="71" t="s">
        <v>665</v>
      </c>
      <c r="G1093" s="71" t="s">
        <v>20</v>
      </c>
      <c r="H1093" s="71"/>
      <c r="I1093" s="71"/>
      <c r="J1093" s="71" t="s">
        <v>6111</v>
      </c>
      <c r="K1093" s="71" t="s">
        <v>19864</v>
      </c>
      <c r="L1093" s="71" t="s">
        <v>24</v>
      </c>
      <c r="M1093" s="71"/>
      <c r="O1093" s="72">
        <v>32832</v>
      </c>
      <c r="P1093" s="71">
        <v>-1</v>
      </c>
      <c r="Q1093" s="71" t="b">
        <v>0</v>
      </c>
      <c r="R1093" s="22">
        <f t="shared" si="17"/>
        <v>81</v>
      </c>
    </row>
    <row r="1094" spans="1:18">
      <c r="A1094" s="71">
        <v>6925</v>
      </c>
      <c r="B1094" s="72">
        <v>32861</v>
      </c>
      <c r="C1094" s="71" t="s">
        <v>8371</v>
      </c>
      <c r="D1094" s="72">
        <v>32856</v>
      </c>
      <c r="E1094" s="71" t="s">
        <v>8372</v>
      </c>
      <c r="F1094" s="71" t="s">
        <v>665</v>
      </c>
      <c r="G1094" s="71" t="s">
        <v>20</v>
      </c>
      <c r="H1094" s="71"/>
      <c r="I1094" s="71"/>
      <c r="J1094" s="71" t="s">
        <v>8373</v>
      </c>
      <c r="K1094" s="71"/>
      <c r="L1094" s="71" t="s">
        <v>24</v>
      </c>
      <c r="M1094" s="71"/>
      <c r="O1094" s="72">
        <v>33491</v>
      </c>
      <c r="P1094" s="71"/>
      <c r="Q1094" s="71" t="b">
        <v>0</v>
      </c>
      <c r="R1094" s="22">
        <f t="shared" si="17"/>
        <v>629</v>
      </c>
    </row>
    <row r="1095" spans="1:18">
      <c r="A1095" s="71">
        <v>6926</v>
      </c>
      <c r="B1095" s="72">
        <v>32808</v>
      </c>
      <c r="C1095" s="71" t="s">
        <v>7360</v>
      </c>
      <c r="D1095" s="72">
        <v>32806</v>
      </c>
      <c r="E1095" s="71" t="s">
        <v>8374</v>
      </c>
      <c r="F1095" s="71" t="s">
        <v>665</v>
      </c>
      <c r="G1095" s="71" t="s">
        <v>20</v>
      </c>
      <c r="H1095" s="71"/>
      <c r="I1095" s="71"/>
      <c r="J1095" s="71" t="s">
        <v>8375</v>
      </c>
      <c r="K1095" s="71"/>
      <c r="L1095" s="71" t="s">
        <v>24</v>
      </c>
      <c r="M1095" s="71"/>
      <c r="O1095" s="72">
        <v>33491</v>
      </c>
      <c r="P1095" s="71"/>
      <c r="Q1095" s="71" t="b">
        <v>0</v>
      </c>
      <c r="R1095" s="22">
        <f t="shared" si="17"/>
        <v>682</v>
      </c>
    </row>
    <row r="1096" spans="1:18">
      <c r="A1096" s="71">
        <v>6928</v>
      </c>
      <c r="B1096" s="72">
        <v>32848</v>
      </c>
      <c r="C1096" s="71" t="s">
        <v>7535</v>
      </c>
      <c r="D1096" s="72">
        <v>32858</v>
      </c>
      <c r="E1096" s="71" t="s">
        <v>8376</v>
      </c>
      <c r="F1096" s="71" t="s">
        <v>1232</v>
      </c>
      <c r="G1096" s="71" t="s">
        <v>20</v>
      </c>
      <c r="H1096" s="71" t="s">
        <v>189</v>
      </c>
      <c r="I1096" s="71" t="s">
        <v>189</v>
      </c>
      <c r="J1096" s="71" t="s">
        <v>8377</v>
      </c>
      <c r="K1096" s="71" t="s">
        <v>8378</v>
      </c>
      <c r="L1096" s="71" t="s">
        <v>24</v>
      </c>
      <c r="M1096" s="71"/>
      <c r="O1096" s="72">
        <v>33045</v>
      </c>
      <c r="P1096" s="71">
        <v>-1</v>
      </c>
      <c r="Q1096" s="71" t="b">
        <v>0</v>
      </c>
      <c r="R1096" s="22">
        <f t="shared" si="17"/>
        <v>197</v>
      </c>
    </row>
    <row r="1097" spans="1:18">
      <c r="A1097" s="71">
        <v>6929</v>
      </c>
      <c r="B1097" s="72">
        <v>32843</v>
      </c>
      <c r="C1097" s="71" t="s">
        <v>7410</v>
      </c>
      <c r="D1097" s="72">
        <v>32842</v>
      </c>
      <c r="E1097" s="71" t="s">
        <v>8379</v>
      </c>
      <c r="F1097" s="71" t="s">
        <v>6456</v>
      </c>
      <c r="G1097" s="71" t="s">
        <v>20</v>
      </c>
      <c r="H1097" s="71" t="s">
        <v>189</v>
      </c>
      <c r="I1097" s="71" t="s">
        <v>189</v>
      </c>
      <c r="J1097" s="71" t="s">
        <v>19865</v>
      </c>
      <c r="K1097" s="71" t="s">
        <v>8381</v>
      </c>
      <c r="L1097" s="71" t="s">
        <v>24</v>
      </c>
      <c r="M1097" s="71"/>
      <c r="O1097" s="72">
        <v>33011</v>
      </c>
      <c r="P1097" s="71">
        <v>-1</v>
      </c>
      <c r="Q1097" s="71" t="b">
        <v>0</v>
      </c>
      <c r="R1097" s="22">
        <f t="shared" si="17"/>
        <v>169</v>
      </c>
    </row>
    <row r="1098" spans="1:18">
      <c r="A1098" s="71">
        <v>6930</v>
      </c>
      <c r="B1098" s="72">
        <v>32717</v>
      </c>
      <c r="C1098" s="71" t="s">
        <v>2949</v>
      </c>
      <c r="D1098" s="72">
        <v>32714</v>
      </c>
      <c r="E1098" s="71" t="s">
        <v>8382</v>
      </c>
      <c r="F1098" s="71" t="s">
        <v>2146</v>
      </c>
      <c r="G1098" s="71" t="s">
        <v>20</v>
      </c>
      <c r="H1098" s="71" t="s">
        <v>189</v>
      </c>
      <c r="I1098" s="71" t="s">
        <v>189</v>
      </c>
      <c r="J1098" s="71" t="s">
        <v>8383</v>
      </c>
      <c r="K1098" s="71"/>
      <c r="L1098" s="71" t="s">
        <v>30</v>
      </c>
      <c r="M1098" s="71"/>
      <c r="O1098" s="72">
        <v>32916</v>
      </c>
      <c r="P1098" s="71"/>
      <c r="Q1098" s="71" t="b">
        <v>0</v>
      </c>
      <c r="R1098" s="22">
        <f t="shared" si="17"/>
        <v>196</v>
      </c>
    </row>
    <row r="1099" spans="1:18">
      <c r="A1099" s="71">
        <v>6931</v>
      </c>
      <c r="B1099" s="72">
        <v>32486</v>
      </c>
      <c r="C1099" s="71" t="s">
        <v>8384</v>
      </c>
      <c r="D1099" s="72">
        <v>32483</v>
      </c>
      <c r="E1099" s="71" t="s">
        <v>8385</v>
      </c>
      <c r="F1099" s="71" t="s">
        <v>2146</v>
      </c>
      <c r="G1099" s="71" t="s">
        <v>20</v>
      </c>
      <c r="H1099" s="71" t="s">
        <v>189</v>
      </c>
      <c r="I1099" s="71" t="s">
        <v>189</v>
      </c>
      <c r="J1099" s="71" t="s">
        <v>8386</v>
      </c>
      <c r="K1099" s="71"/>
      <c r="L1099" s="71" t="s">
        <v>30</v>
      </c>
      <c r="M1099" s="71"/>
      <c r="O1099" s="72">
        <v>32854</v>
      </c>
      <c r="P1099" s="71"/>
      <c r="Q1099" s="71" t="b">
        <v>0</v>
      </c>
      <c r="R1099" s="22">
        <f t="shared" si="17"/>
        <v>368</v>
      </c>
    </row>
    <row r="1100" spans="1:18">
      <c r="A1100" s="71">
        <v>6932</v>
      </c>
      <c r="B1100" s="72">
        <v>32675</v>
      </c>
      <c r="C1100" s="71" t="s">
        <v>8387</v>
      </c>
      <c r="D1100" s="72">
        <v>32672</v>
      </c>
      <c r="E1100" s="71" t="s">
        <v>8388</v>
      </c>
      <c r="F1100" s="71" t="s">
        <v>689</v>
      </c>
      <c r="G1100" s="71" t="s">
        <v>20</v>
      </c>
      <c r="H1100" s="71" t="s">
        <v>212</v>
      </c>
      <c r="I1100" s="71" t="s">
        <v>212</v>
      </c>
      <c r="J1100" s="71" t="s">
        <v>8389</v>
      </c>
      <c r="K1100" s="71" t="s">
        <v>8390</v>
      </c>
      <c r="L1100" s="71" t="s">
        <v>24</v>
      </c>
      <c r="M1100" s="71"/>
      <c r="O1100" s="72">
        <v>33830</v>
      </c>
      <c r="P1100" s="71"/>
      <c r="Q1100" s="71" t="b">
        <v>0</v>
      </c>
      <c r="R1100" s="22">
        <f t="shared" si="17"/>
        <v>1153</v>
      </c>
    </row>
    <row r="1101" spans="1:18">
      <c r="A1101" s="71">
        <v>6933</v>
      </c>
      <c r="B1101" s="72">
        <v>32646</v>
      </c>
      <c r="C1101" s="71" t="s">
        <v>8391</v>
      </c>
      <c r="D1101" s="72">
        <v>32644</v>
      </c>
      <c r="E1101" s="71" t="s">
        <v>1110</v>
      </c>
      <c r="F1101" s="71" t="s">
        <v>3171</v>
      </c>
      <c r="G1101" s="71" t="s">
        <v>20</v>
      </c>
      <c r="H1101" s="71" t="s">
        <v>566</v>
      </c>
      <c r="I1101" s="71" t="s">
        <v>566</v>
      </c>
      <c r="J1101" s="71" t="s">
        <v>8392</v>
      </c>
      <c r="K1101" s="71"/>
      <c r="L1101" s="71" t="s">
        <v>24</v>
      </c>
      <c r="M1101" s="71"/>
      <c r="O1101" s="72">
        <v>33519</v>
      </c>
      <c r="P1101" s="71"/>
      <c r="Q1101" s="71" t="b">
        <v>0</v>
      </c>
      <c r="R1101" s="22">
        <f t="shared" si="17"/>
        <v>871</v>
      </c>
    </row>
    <row r="1102" spans="1:18">
      <c r="A1102" s="71">
        <v>6934</v>
      </c>
      <c r="B1102" s="72">
        <v>32863</v>
      </c>
      <c r="C1102" s="71" t="s">
        <v>8393</v>
      </c>
      <c r="D1102" s="72">
        <v>32860</v>
      </c>
      <c r="E1102" s="71" t="s">
        <v>8394</v>
      </c>
      <c r="F1102" s="71" t="s">
        <v>8395</v>
      </c>
      <c r="G1102" s="71" t="s">
        <v>20</v>
      </c>
      <c r="H1102" s="71" t="s">
        <v>566</v>
      </c>
      <c r="I1102" s="71" t="s">
        <v>566</v>
      </c>
      <c r="J1102" s="71" t="s">
        <v>8396</v>
      </c>
      <c r="K1102" s="71"/>
      <c r="L1102" s="71" t="s">
        <v>24</v>
      </c>
      <c r="M1102" s="71"/>
      <c r="O1102" s="72">
        <v>33224</v>
      </c>
      <c r="P1102" s="71"/>
      <c r="Q1102" s="71" t="b">
        <v>0</v>
      </c>
      <c r="R1102" s="22">
        <f t="shared" si="17"/>
        <v>360</v>
      </c>
    </row>
    <row r="1103" spans="1:18">
      <c r="A1103" s="71">
        <v>6935</v>
      </c>
      <c r="B1103" s="72">
        <v>32864</v>
      </c>
      <c r="C1103" s="71" t="s">
        <v>7542</v>
      </c>
      <c r="D1103" s="72">
        <v>32861</v>
      </c>
      <c r="E1103" s="71" t="s">
        <v>8397</v>
      </c>
      <c r="F1103" s="71" t="s">
        <v>1047</v>
      </c>
      <c r="G1103" s="71" t="s">
        <v>20</v>
      </c>
      <c r="H1103" s="71" t="s">
        <v>71</v>
      </c>
      <c r="I1103" s="71" t="s">
        <v>72</v>
      </c>
      <c r="J1103" s="71" t="s">
        <v>7465</v>
      </c>
      <c r="K1103" s="71" t="s">
        <v>8398</v>
      </c>
      <c r="L1103" s="71" t="s">
        <v>24</v>
      </c>
      <c r="M1103" s="71"/>
      <c r="O1103" s="72">
        <v>33151</v>
      </c>
      <c r="P1103" s="71"/>
      <c r="Q1103" s="71" t="b">
        <v>0</v>
      </c>
      <c r="R1103" s="22">
        <f t="shared" si="17"/>
        <v>286</v>
      </c>
    </row>
    <row r="1104" spans="1:18">
      <c r="A1104" s="71">
        <v>6936</v>
      </c>
      <c r="B1104" s="72">
        <v>32743</v>
      </c>
      <c r="C1104" s="71" t="s">
        <v>7518</v>
      </c>
      <c r="D1104" s="72">
        <v>32741</v>
      </c>
      <c r="E1104" s="71" t="s">
        <v>8399</v>
      </c>
      <c r="F1104" s="71" t="s">
        <v>1047</v>
      </c>
      <c r="G1104" s="71" t="s">
        <v>20</v>
      </c>
      <c r="H1104" s="71" t="s">
        <v>71</v>
      </c>
      <c r="I1104" s="71" t="s">
        <v>72</v>
      </c>
      <c r="J1104" s="71" t="s">
        <v>8400</v>
      </c>
      <c r="K1104" s="71"/>
      <c r="L1104" s="71" t="s">
        <v>24</v>
      </c>
      <c r="M1104" s="71"/>
      <c r="O1104" s="72">
        <v>32930</v>
      </c>
      <c r="P1104" s="71"/>
      <c r="Q1104" s="71" t="b">
        <v>0</v>
      </c>
      <c r="R1104" s="22">
        <f t="shared" si="17"/>
        <v>185</v>
      </c>
    </row>
    <row r="1105" spans="1:18">
      <c r="A1105" s="71">
        <v>6937</v>
      </c>
      <c r="B1105" s="72">
        <v>32871</v>
      </c>
      <c r="C1105" s="71" t="s">
        <v>8401</v>
      </c>
      <c r="D1105" s="72">
        <v>32869</v>
      </c>
      <c r="E1105" s="71" t="s">
        <v>8402</v>
      </c>
      <c r="F1105" s="71" t="s">
        <v>2580</v>
      </c>
      <c r="G1105" s="71" t="s">
        <v>20</v>
      </c>
      <c r="H1105" s="71" t="s">
        <v>71</v>
      </c>
      <c r="I1105" s="71" t="s">
        <v>72</v>
      </c>
      <c r="J1105" s="71" t="s">
        <v>8403</v>
      </c>
      <c r="K1105" s="71"/>
      <c r="L1105" s="71" t="s">
        <v>24</v>
      </c>
      <c r="M1105" s="71"/>
      <c r="O1105" s="72">
        <v>33036</v>
      </c>
      <c r="P1105" s="71">
        <v>0</v>
      </c>
      <c r="Q1105" s="71" t="b">
        <v>0</v>
      </c>
      <c r="R1105" s="22">
        <f t="shared" si="17"/>
        <v>165</v>
      </c>
    </row>
    <row r="1106" spans="1:18">
      <c r="A1106" s="71">
        <v>6946</v>
      </c>
      <c r="B1106" s="72">
        <v>32744</v>
      </c>
      <c r="C1106" s="71" t="s">
        <v>8365</v>
      </c>
      <c r="D1106" s="72">
        <v>32741</v>
      </c>
      <c r="E1106" s="71" t="s">
        <v>8427</v>
      </c>
      <c r="F1106" s="71" t="s">
        <v>8428</v>
      </c>
      <c r="G1106" s="71" t="s">
        <v>20</v>
      </c>
      <c r="H1106" s="71" t="s">
        <v>71</v>
      </c>
      <c r="I1106" s="71" t="s">
        <v>72</v>
      </c>
      <c r="J1106" s="71" t="s">
        <v>8429</v>
      </c>
      <c r="K1106" s="71" t="s">
        <v>8430</v>
      </c>
      <c r="L1106" s="71" t="s">
        <v>24</v>
      </c>
      <c r="M1106" s="71"/>
      <c r="O1106" s="72">
        <v>32854</v>
      </c>
      <c r="P1106" s="71"/>
      <c r="Q1106" s="71" t="b">
        <v>0</v>
      </c>
      <c r="R1106" s="22">
        <f t="shared" si="17"/>
        <v>109</v>
      </c>
    </row>
    <row r="1107" spans="1:18">
      <c r="A1107" s="71">
        <v>6950</v>
      </c>
      <c r="B1107" s="72">
        <v>37700</v>
      </c>
      <c r="C1107" s="71" t="s">
        <v>8431</v>
      </c>
      <c r="D1107" s="72">
        <v>37700</v>
      </c>
      <c r="E1107" s="71" t="s">
        <v>8432</v>
      </c>
      <c r="F1107" s="71" t="s">
        <v>1771</v>
      </c>
      <c r="G1107" s="71" t="s">
        <v>20</v>
      </c>
      <c r="H1107" s="71" t="s">
        <v>189</v>
      </c>
      <c r="I1107" s="71" t="s">
        <v>189</v>
      </c>
      <c r="J1107" s="71" t="s">
        <v>19869</v>
      </c>
      <c r="K1107" s="71" t="s">
        <v>8434</v>
      </c>
      <c r="L1107" s="71" t="s">
        <v>66</v>
      </c>
      <c r="M1107" s="71"/>
      <c r="O1107" s="72">
        <v>37736</v>
      </c>
      <c r="P1107" s="71">
        <v>-1</v>
      </c>
      <c r="Q1107" s="71" t="b">
        <v>0</v>
      </c>
      <c r="R1107" s="22">
        <f t="shared" si="17"/>
        <v>35</v>
      </c>
    </row>
    <row r="1108" spans="1:18">
      <c r="A1108" s="71">
        <v>6951</v>
      </c>
      <c r="B1108" s="72">
        <v>32696</v>
      </c>
      <c r="C1108" s="71" t="s">
        <v>8435</v>
      </c>
      <c r="D1108" s="72">
        <v>32694</v>
      </c>
      <c r="E1108" s="71" t="s">
        <v>8436</v>
      </c>
      <c r="F1108" s="71" t="s">
        <v>999</v>
      </c>
      <c r="G1108" s="71" t="s">
        <v>20</v>
      </c>
      <c r="H1108" s="71" t="s">
        <v>71</v>
      </c>
      <c r="I1108" s="71" t="s">
        <v>72</v>
      </c>
      <c r="J1108" s="71" t="s">
        <v>8437</v>
      </c>
      <c r="K1108" s="71"/>
      <c r="L1108" s="71" t="s">
        <v>30</v>
      </c>
      <c r="M1108" s="71"/>
      <c r="O1108" s="72">
        <v>33603</v>
      </c>
      <c r="P1108" s="71"/>
      <c r="Q1108" s="71" t="b">
        <v>0</v>
      </c>
      <c r="R1108" s="22">
        <f t="shared" si="17"/>
        <v>906</v>
      </c>
    </row>
    <row r="1109" spans="1:18">
      <c r="A1109" s="71">
        <v>6952</v>
      </c>
      <c r="B1109" s="72">
        <v>32703</v>
      </c>
      <c r="C1109" s="71" t="s">
        <v>8438</v>
      </c>
      <c r="D1109" s="72">
        <v>32700</v>
      </c>
      <c r="E1109" s="71" t="s">
        <v>8439</v>
      </c>
      <c r="F1109" s="71" t="s">
        <v>8440</v>
      </c>
      <c r="G1109" s="71" t="s">
        <v>20</v>
      </c>
      <c r="H1109" s="71" t="s">
        <v>71</v>
      </c>
      <c r="I1109" s="71" t="s">
        <v>72</v>
      </c>
      <c r="J1109" s="71" t="s">
        <v>8441</v>
      </c>
      <c r="K1109" s="71"/>
      <c r="L1109" s="71" t="s">
        <v>30</v>
      </c>
      <c r="M1109" s="71"/>
      <c r="O1109" s="72">
        <v>33603</v>
      </c>
      <c r="P1109" s="71"/>
      <c r="Q1109" s="71" t="b">
        <v>0</v>
      </c>
      <c r="R1109" s="22">
        <f t="shared" si="17"/>
        <v>899</v>
      </c>
    </row>
    <row r="1110" spans="1:18">
      <c r="A1110" s="71">
        <v>6953</v>
      </c>
      <c r="B1110" s="72">
        <v>32696</v>
      </c>
      <c r="C1110" s="71" t="s">
        <v>8442</v>
      </c>
      <c r="D1110" s="72">
        <v>32695</v>
      </c>
      <c r="E1110" s="71" t="s">
        <v>8443</v>
      </c>
      <c r="F1110" s="71" t="s">
        <v>1414</v>
      </c>
      <c r="G1110" s="71" t="s">
        <v>20</v>
      </c>
      <c r="H1110" s="71" t="s">
        <v>71</v>
      </c>
      <c r="I1110" s="71" t="s">
        <v>72</v>
      </c>
      <c r="J1110" s="71" t="s">
        <v>8444</v>
      </c>
      <c r="K1110" s="71" t="s">
        <v>8445</v>
      </c>
      <c r="L1110" s="71" t="s">
        <v>30</v>
      </c>
      <c r="M1110" s="71"/>
      <c r="O1110" s="72">
        <v>32876</v>
      </c>
      <c r="P1110" s="71"/>
      <c r="Q1110" s="71" t="b">
        <v>0</v>
      </c>
      <c r="R1110" s="22">
        <f t="shared" si="17"/>
        <v>178</v>
      </c>
    </row>
    <row r="1111" spans="1:18">
      <c r="A1111" s="71">
        <v>6954</v>
      </c>
      <c r="B1111" s="72">
        <v>32811</v>
      </c>
      <c r="C1111" s="71" t="s">
        <v>8446</v>
      </c>
      <c r="D1111" s="72">
        <v>32807</v>
      </c>
      <c r="E1111" s="71" t="s">
        <v>8447</v>
      </c>
      <c r="F1111" s="71" t="s">
        <v>70</v>
      </c>
      <c r="G1111" s="71" t="s">
        <v>20</v>
      </c>
      <c r="H1111" s="71" t="s">
        <v>71</v>
      </c>
      <c r="I1111" s="71" t="s">
        <v>72</v>
      </c>
      <c r="J1111" s="71" t="s">
        <v>8448</v>
      </c>
      <c r="K1111" s="71"/>
      <c r="L1111" s="71" t="s">
        <v>24</v>
      </c>
      <c r="M1111" s="71"/>
      <c r="O1111" s="72">
        <v>33585</v>
      </c>
      <c r="P1111" s="71">
        <v>-1</v>
      </c>
      <c r="Q1111" s="71" t="b">
        <v>0</v>
      </c>
      <c r="R1111" s="22">
        <f t="shared" si="17"/>
        <v>773</v>
      </c>
    </row>
    <row r="1112" spans="1:18">
      <c r="A1112" s="71">
        <v>6955</v>
      </c>
      <c r="B1112" s="72">
        <v>32707</v>
      </c>
      <c r="C1112" s="71" t="s">
        <v>8449</v>
      </c>
      <c r="D1112" s="72">
        <v>32706</v>
      </c>
      <c r="E1112" s="71" t="s">
        <v>8450</v>
      </c>
      <c r="F1112" s="71" t="s">
        <v>70</v>
      </c>
      <c r="G1112" s="71" t="s">
        <v>20</v>
      </c>
      <c r="H1112" s="71" t="s">
        <v>71</v>
      </c>
      <c r="I1112" s="71" t="s">
        <v>72</v>
      </c>
      <c r="J1112" s="71" t="s">
        <v>8451</v>
      </c>
      <c r="K1112" s="71" t="s">
        <v>8452</v>
      </c>
      <c r="L1112" s="71" t="s">
        <v>24</v>
      </c>
      <c r="M1112" s="71"/>
      <c r="O1112" s="72">
        <v>33261</v>
      </c>
      <c r="P1112" s="71">
        <v>-1</v>
      </c>
      <c r="Q1112" s="71" t="b">
        <v>0</v>
      </c>
      <c r="R1112" s="22">
        <f t="shared" si="17"/>
        <v>552</v>
      </c>
    </row>
    <row r="1113" spans="1:18">
      <c r="A1113" s="71">
        <v>6956</v>
      </c>
      <c r="B1113" s="72">
        <v>32695</v>
      </c>
      <c r="C1113" s="71" t="s">
        <v>8453</v>
      </c>
      <c r="D1113" s="72">
        <v>32694</v>
      </c>
      <c r="E1113" s="71" t="s">
        <v>8454</v>
      </c>
      <c r="F1113" s="71" t="s">
        <v>70</v>
      </c>
      <c r="G1113" s="71" t="s">
        <v>20</v>
      </c>
      <c r="H1113" s="71" t="s">
        <v>71</v>
      </c>
      <c r="I1113" s="71" t="s">
        <v>72</v>
      </c>
      <c r="J1113" s="71" t="s">
        <v>8455</v>
      </c>
      <c r="K1113" s="71"/>
      <c r="L1113" s="71" t="s">
        <v>36</v>
      </c>
      <c r="M1113" s="71"/>
      <c r="O1113" s="72">
        <v>33149</v>
      </c>
      <c r="P1113" s="71">
        <v>-1</v>
      </c>
      <c r="Q1113" s="71" t="b">
        <v>0</v>
      </c>
      <c r="R1113" s="22">
        <f t="shared" si="17"/>
        <v>453</v>
      </c>
    </row>
    <row r="1114" spans="1:18">
      <c r="A1114" s="71">
        <v>6957</v>
      </c>
      <c r="B1114" s="72">
        <v>32682</v>
      </c>
      <c r="C1114" s="71" t="s">
        <v>8456</v>
      </c>
      <c r="D1114" s="72">
        <v>32682</v>
      </c>
      <c r="E1114" s="71" t="s">
        <v>8457</v>
      </c>
      <c r="F1114" s="71" t="s">
        <v>70</v>
      </c>
      <c r="G1114" s="71" t="s">
        <v>20</v>
      </c>
      <c r="H1114" s="71" t="s">
        <v>71</v>
      </c>
      <c r="I1114" s="71" t="s">
        <v>72</v>
      </c>
      <c r="J1114" s="71" t="s">
        <v>8458</v>
      </c>
      <c r="K1114" s="71"/>
      <c r="L1114" s="71" t="s">
        <v>36</v>
      </c>
      <c r="M1114" s="71"/>
      <c r="O1114" s="72">
        <v>33144</v>
      </c>
      <c r="P1114" s="71"/>
      <c r="Q1114" s="71" t="b">
        <v>0</v>
      </c>
      <c r="R1114" s="22">
        <f t="shared" si="17"/>
        <v>461</v>
      </c>
    </row>
    <row r="1115" spans="1:18">
      <c r="A1115" s="71">
        <v>6958</v>
      </c>
      <c r="B1115" s="72">
        <v>32666</v>
      </c>
      <c r="C1115" s="71" t="s">
        <v>8459</v>
      </c>
      <c r="D1115" s="72">
        <v>32666</v>
      </c>
      <c r="E1115" s="71" t="s">
        <v>8460</v>
      </c>
      <c r="F1115" s="71" t="s">
        <v>70</v>
      </c>
      <c r="G1115" s="71" t="s">
        <v>20</v>
      </c>
      <c r="H1115" s="71" t="s">
        <v>71</v>
      </c>
      <c r="I1115" s="71" t="s">
        <v>72</v>
      </c>
      <c r="J1115" s="71" t="s">
        <v>8461</v>
      </c>
      <c r="K1115" s="71"/>
      <c r="L1115" s="71" t="s">
        <v>30</v>
      </c>
      <c r="M1115" s="71"/>
      <c r="O1115" s="72">
        <v>32869</v>
      </c>
      <c r="P1115" s="71">
        <v>-1</v>
      </c>
      <c r="Q1115" s="71" t="b">
        <v>0</v>
      </c>
      <c r="R1115" s="22">
        <f t="shared" si="17"/>
        <v>202</v>
      </c>
    </row>
    <row r="1116" spans="1:18">
      <c r="A1116" s="71">
        <v>6959</v>
      </c>
      <c r="B1116" s="72">
        <v>37701</v>
      </c>
      <c r="C1116" s="71" t="s">
        <v>8462</v>
      </c>
      <c r="D1116" s="72">
        <v>37701</v>
      </c>
      <c r="E1116" s="71" t="s">
        <v>4172</v>
      </c>
      <c r="F1116" s="71" t="s">
        <v>129</v>
      </c>
      <c r="G1116" s="71" t="s">
        <v>20</v>
      </c>
      <c r="H1116" s="71"/>
      <c r="I1116" s="71"/>
      <c r="J1116" s="71" t="s">
        <v>7085</v>
      </c>
      <c r="K1116" s="71" t="s">
        <v>8463</v>
      </c>
      <c r="L1116" s="71" t="s">
        <v>66</v>
      </c>
      <c r="M1116" s="71"/>
      <c r="O1116" s="72">
        <v>37747</v>
      </c>
      <c r="P1116" s="71">
        <v>-1</v>
      </c>
      <c r="Q1116" s="71" t="b">
        <v>0</v>
      </c>
      <c r="R1116" s="22">
        <f t="shared" si="17"/>
        <v>45</v>
      </c>
    </row>
    <row r="1117" spans="1:18">
      <c r="A1117" s="71">
        <v>6960</v>
      </c>
      <c r="B1117" s="72">
        <v>37701</v>
      </c>
      <c r="C1117" s="71" t="s">
        <v>8464</v>
      </c>
      <c r="D1117" s="72">
        <v>37700</v>
      </c>
      <c r="E1117" s="71" t="s">
        <v>8465</v>
      </c>
      <c r="F1117" s="71" t="s">
        <v>6643</v>
      </c>
      <c r="G1117" s="71" t="s">
        <v>20</v>
      </c>
      <c r="H1117" s="71" t="s">
        <v>189</v>
      </c>
      <c r="I1117" s="71" t="s">
        <v>189</v>
      </c>
      <c r="J1117" s="71" t="s">
        <v>8466</v>
      </c>
      <c r="K1117" s="71" t="s">
        <v>8467</v>
      </c>
      <c r="L1117" s="71" t="s">
        <v>314</v>
      </c>
      <c r="M1117" s="71"/>
      <c r="O1117" s="72">
        <v>37719</v>
      </c>
      <c r="P1117" s="71"/>
      <c r="Q1117" s="71" t="b">
        <v>0</v>
      </c>
      <c r="R1117" s="22">
        <f t="shared" si="17"/>
        <v>17</v>
      </c>
    </row>
    <row r="1118" spans="1:18">
      <c r="A1118" s="71">
        <v>6961</v>
      </c>
      <c r="B1118" s="72">
        <v>37705</v>
      </c>
      <c r="C1118" s="71" t="s">
        <v>8468</v>
      </c>
      <c r="D1118" s="72">
        <v>37702</v>
      </c>
      <c r="E1118" s="71" t="s">
        <v>4172</v>
      </c>
      <c r="F1118" s="71" t="s">
        <v>350</v>
      </c>
      <c r="G1118" s="71" t="s">
        <v>20</v>
      </c>
      <c r="H1118" s="71"/>
      <c r="I1118" s="71"/>
      <c r="J1118" s="71" t="s">
        <v>7085</v>
      </c>
      <c r="K1118" s="71" t="s">
        <v>1817</v>
      </c>
      <c r="L1118" s="71" t="s">
        <v>8318</v>
      </c>
      <c r="M1118" s="71" t="s">
        <v>314</v>
      </c>
      <c r="O1118" s="72">
        <v>37743</v>
      </c>
      <c r="P1118" s="71">
        <v>-1</v>
      </c>
      <c r="Q1118" s="71" t="b">
        <v>0</v>
      </c>
      <c r="R1118" s="22">
        <f t="shared" si="17"/>
        <v>37</v>
      </c>
    </row>
    <row r="1119" spans="1:18">
      <c r="A1119" s="71">
        <v>6962</v>
      </c>
      <c r="B1119" s="72">
        <v>37705</v>
      </c>
      <c r="C1119" s="71" t="s">
        <v>8469</v>
      </c>
      <c r="D1119" s="72">
        <v>37704</v>
      </c>
      <c r="E1119" s="71" t="s">
        <v>8470</v>
      </c>
      <c r="F1119" s="71" t="s">
        <v>145</v>
      </c>
      <c r="G1119" s="71" t="s">
        <v>20</v>
      </c>
      <c r="H1119" s="71"/>
      <c r="I1119" s="71"/>
      <c r="J1119" s="71" t="s">
        <v>8471</v>
      </c>
      <c r="K1119" s="71" t="s">
        <v>8472</v>
      </c>
      <c r="L1119" s="71" t="s">
        <v>4282</v>
      </c>
      <c r="M1119" s="71"/>
      <c r="O1119" s="72">
        <v>37809</v>
      </c>
      <c r="P1119" s="71">
        <v>-1</v>
      </c>
      <c r="Q1119" s="71" t="b">
        <v>0</v>
      </c>
      <c r="R1119" s="22">
        <f t="shared" si="17"/>
        <v>103</v>
      </c>
    </row>
    <row r="1120" spans="1:18">
      <c r="A1120" s="71">
        <v>6977</v>
      </c>
      <c r="B1120" s="72">
        <v>37712</v>
      </c>
      <c r="C1120" s="71" t="s">
        <v>8482</v>
      </c>
      <c r="D1120" s="72">
        <v>37712</v>
      </c>
      <c r="E1120" s="71" t="s">
        <v>8483</v>
      </c>
      <c r="F1120" s="71" t="s">
        <v>974</v>
      </c>
      <c r="G1120" s="71" t="s">
        <v>20</v>
      </c>
      <c r="H1120" s="71" t="s">
        <v>212</v>
      </c>
      <c r="I1120" s="71" t="s">
        <v>212</v>
      </c>
      <c r="J1120" s="71" t="s">
        <v>8484</v>
      </c>
      <c r="K1120" s="71" t="s">
        <v>1928</v>
      </c>
      <c r="L1120" s="71" t="s">
        <v>7167</v>
      </c>
      <c r="M1120" s="71" t="s">
        <v>7168</v>
      </c>
      <c r="O1120" s="72">
        <v>41064</v>
      </c>
      <c r="P1120" s="71">
        <v>-1</v>
      </c>
      <c r="Q1120" s="71" t="b">
        <v>0</v>
      </c>
      <c r="R1120" s="22">
        <f t="shared" si="17"/>
        <v>3348</v>
      </c>
    </row>
    <row r="1121" spans="1:18">
      <c r="A1121" s="71">
        <v>6981</v>
      </c>
      <c r="B1121" s="72">
        <v>37718</v>
      </c>
      <c r="C1121" s="71" t="s">
        <v>8490</v>
      </c>
      <c r="D1121" s="72">
        <v>37719</v>
      </c>
      <c r="E1121" s="71" t="s">
        <v>8491</v>
      </c>
      <c r="F1121" s="71" t="s">
        <v>3430</v>
      </c>
      <c r="G1121" s="71" t="s">
        <v>20</v>
      </c>
      <c r="H1121" s="71" t="s">
        <v>71</v>
      </c>
      <c r="I1121" s="71" t="s">
        <v>72</v>
      </c>
      <c r="J1121" s="71" t="s">
        <v>8492</v>
      </c>
      <c r="K1121" s="71" t="s">
        <v>5668</v>
      </c>
      <c r="L1121" s="71" t="s">
        <v>8318</v>
      </c>
      <c r="M1121" s="71"/>
      <c r="O1121" s="72">
        <v>37719</v>
      </c>
      <c r="P1121" s="71"/>
      <c r="Q1121" s="71" t="b">
        <v>0</v>
      </c>
      <c r="R1121" s="22">
        <f t="shared" si="17"/>
        <v>1</v>
      </c>
    </row>
    <row r="1122" spans="1:18">
      <c r="A1122" s="71">
        <v>6990</v>
      </c>
      <c r="B1122" s="72">
        <v>36563</v>
      </c>
      <c r="C1122" s="71" t="s">
        <v>8493</v>
      </c>
      <c r="D1122" s="72">
        <v>36563</v>
      </c>
      <c r="E1122" s="71" t="s">
        <v>4172</v>
      </c>
      <c r="F1122" s="71" t="s">
        <v>990</v>
      </c>
      <c r="G1122" s="71" t="s">
        <v>20</v>
      </c>
      <c r="H1122" s="71"/>
      <c r="I1122" s="71"/>
      <c r="J1122" s="71" t="s">
        <v>8494</v>
      </c>
      <c r="K1122" s="71" t="s">
        <v>6097</v>
      </c>
      <c r="L1122" s="71" t="s">
        <v>66</v>
      </c>
      <c r="M1122" s="71"/>
      <c r="O1122" s="72">
        <v>37014</v>
      </c>
      <c r="P1122" s="71">
        <v>-1</v>
      </c>
      <c r="Q1122" s="71" t="b">
        <v>0</v>
      </c>
      <c r="R1122" s="22">
        <f t="shared" si="17"/>
        <v>452</v>
      </c>
    </row>
    <row r="1123" spans="1:18">
      <c r="A1123" s="71">
        <v>6991</v>
      </c>
      <c r="B1123" s="72">
        <v>37721</v>
      </c>
      <c r="C1123" s="71" t="s">
        <v>8495</v>
      </c>
      <c r="D1123" s="72">
        <v>37721</v>
      </c>
      <c r="E1123" s="71" t="s">
        <v>8496</v>
      </c>
      <c r="F1123" s="71" t="s">
        <v>3430</v>
      </c>
      <c r="G1123" s="71" t="s">
        <v>20</v>
      </c>
      <c r="H1123" s="71" t="s">
        <v>71</v>
      </c>
      <c r="I1123" s="71" t="s">
        <v>72</v>
      </c>
      <c r="J1123" s="71" t="s">
        <v>5240</v>
      </c>
      <c r="K1123" s="71" t="s">
        <v>8497</v>
      </c>
      <c r="L1123" s="71" t="s">
        <v>314</v>
      </c>
      <c r="M1123" s="71"/>
      <c r="O1123" s="72">
        <v>37722</v>
      </c>
      <c r="P1123" s="71"/>
      <c r="Q1123" s="71" t="b">
        <v>0</v>
      </c>
      <c r="R1123" s="22">
        <f t="shared" si="17"/>
        <v>1</v>
      </c>
    </row>
    <row r="1124" spans="1:18">
      <c r="A1124" s="71">
        <v>6998</v>
      </c>
      <c r="B1124" s="72">
        <v>37725</v>
      </c>
      <c r="C1124" s="71" t="s">
        <v>8508</v>
      </c>
      <c r="D1124" s="72">
        <v>37719</v>
      </c>
      <c r="E1124" s="71" t="s">
        <v>8509</v>
      </c>
      <c r="F1124" s="71" t="s">
        <v>3430</v>
      </c>
      <c r="G1124" s="71" t="s">
        <v>20</v>
      </c>
      <c r="H1124" s="71" t="s">
        <v>71</v>
      </c>
      <c r="I1124" s="71" t="s">
        <v>72</v>
      </c>
      <c r="J1124" s="71" t="s">
        <v>5668</v>
      </c>
      <c r="K1124" s="71" t="s">
        <v>8510</v>
      </c>
      <c r="L1124" s="71" t="s">
        <v>8511</v>
      </c>
      <c r="M1124" s="71"/>
      <c r="O1124" s="72">
        <v>37742</v>
      </c>
      <c r="P1124" s="71"/>
      <c r="Q1124" s="71" t="b">
        <v>0</v>
      </c>
      <c r="R1124" s="22">
        <f t="shared" si="17"/>
        <v>17</v>
      </c>
    </row>
    <row r="1125" spans="1:18">
      <c r="A1125" s="71">
        <v>7016</v>
      </c>
      <c r="B1125" s="72">
        <v>32667</v>
      </c>
      <c r="C1125" s="71" t="s">
        <v>8524</v>
      </c>
      <c r="D1125" s="72">
        <v>32666</v>
      </c>
      <c r="E1125" s="71" t="s">
        <v>8525</v>
      </c>
      <c r="F1125" s="71" t="s">
        <v>52</v>
      </c>
      <c r="G1125" s="71" t="s">
        <v>20</v>
      </c>
      <c r="H1125" s="71"/>
      <c r="I1125" s="71"/>
      <c r="J1125" s="71" t="s">
        <v>8526</v>
      </c>
      <c r="K1125" s="71" t="s">
        <v>8527</v>
      </c>
      <c r="L1125" s="71" t="s">
        <v>30</v>
      </c>
      <c r="M1125" s="71"/>
      <c r="O1125" s="72">
        <v>32913</v>
      </c>
      <c r="P1125" s="71"/>
      <c r="Q1125" s="71" t="b">
        <v>0</v>
      </c>
      <c r="R1125" s="22">
        <f t="shared" si="17"/>
        <v>244</v>
      </c>
    </row>
    <row r="1126" spans="1:18">
      <c r="A1126" s="71">
        <v>7017</v>
      </c>
      <c r="B1126" s="72">
        <v>32654</v>
      </c>
      <c r="C1126" s="71" t="s">
        <v>8528</v>
      </c>
      <c r="D1126" s="72">
        <v>32654</v>
      </c>
      <c r="E1126" s="71" t="s">
        <v>8529</v>
      </c>
      <c r="F1126" s="71" t="s">
        <v>359</v>
      </c>
      <c r="G1126" s="71" t="s">
        <v>20</v>
      </c>
      <c r="H1126" s="71"/>
      <c r="I1126" s="71"/>
      <c r="J1126" s="71" t="s">
        <v>8530</v>
      </c>
      <c r="K1126" s="71" t="s">
        <v>8531</v>
      </c>
      <c r="L1126" s="71" t="s">
        <v>8532</v>
      </c>
      <c r="M1126" s="71"/>
      <c r="O1126" s="72">
        <v>32702</v>
      </c>
      <c r="P1126" s="71"/>
      <c r="Q1126" s="71" t="b">
        <v>0</v>
      </c>
      <c r="R1126" s="22">
        <f t="shared" si="17"/>
        <v>47</v>
      </c>
    </row>
    <row r="1127" spans="1:18">
      <c r="A1127" s="71">
        <v>7018</v>
      </c>
      <c r="B1127" s="72">
        <v>36563</v>
      </c>
      <c r="C1127" s="71" t="s">
        <v>8533</v>
      </c>
      <c r="D1127" s="72">
        <v>36563</v>
      </c>
      <c r="E1127" s="71" t="s">
        <v>4172</v>
      </c>
      <c r="F1127" s="71" t="s">
        <v>3434</v>
      </c>
      <c r="G1127" s="71" t="s">
        <v>20</v>
      </c>
      <c r="H1127" s="71"/>
      <c r="I1127" s="71"/>
      <c r="J1127" s="71" t="s">
        <v>8534</v>
      </c>
      <c r="K1127" s="71" t="s">
        <v>8535</v>
      </c>
      <c r="L1127" s="71" t="s">
        <v>66</v>
      </c>
      <c r="M1127" s="71"/>
      <c r="O1127" s="72">
        <v>36601</v>
      </c>
      <c r="P1127" s="71">
        <v>-1</v>
      </c>
      <c r="Q1127" s="71" t="b">
        <v>0</v>
      </c>
      <c r="R1127" s="22">
        <f t="shared" si="17"/>
        <v>39</v>
      </c>
    </row>
    <row r="1128" spans="1:18">
      <c r="A1128" s="71">
        <v>7019</v>
      </c>
      <c r="B1128" s="72">
        <v>32749</v>
      </c>
      <c r="C1128" s="71" t="s">
        <v>8536</v>
      </c>
      <c r="D1128" s="72">
        <v>32748</v>
      </c>
      <c r="E1128" s="71" t="s">
        <v>8537</v>
      </c>
      <c r="F1128" s="71" t="s">
        <v>70</v>
      </c>
      <c r="G1128" s="71" t="s">
        <v>20</v>
      </c>
      <c r="H1128" s="71" t="s">
        <v>71</v>
      </c>
      <c r="I1128" s="71" t="s">
        <v>72</v>
      </c>
      <c r="J1128" s="71" t="s">
        <v>8538</v>
      </c>
      <c r="K1128" s="71"/>
      <c r="L1128" s="71" t="s">
        <v>30</v>
      </c>
      <c r="M1128" s="71"/>
      <c r="O1128" s="72">
        <v>33011</v>
      </c>
      <c r="P1128" s="71"/>
      <c r="Q1128" s="71" t="b">
        <v>0</v>
      </c>
      <c r="R1128" s="22">
        <f t="shared" si="17"/>
        <v>262</v>
      </c>
    </row>
    <row r="1129" spans="1:18">
      <c r="A1129" s="71">
        <v>7020</v>
      </c>
      <c r="B1129" s="72">
        <v>37736</v>
      </c>
      <c r="C1129" s="71" t="s">
        <v>8539</v>
      </c>
      <c r="D1129" s="72">
        <v>37734</v>
      </c>
      <c r="E1129" s="71" t="s">
        <v>4172</v>
      </c>
      <c r="F1129" s="71" t="s">
        <v>52</v>
      </c>
      <c r="G1129" s="71" t="s">
        <v>20</v>
      </c>
      <c r="H1129" s="71"/>
      <c r="I1129" s="71"/>
      <c r="J1129" s="71" t="s">
        <v>1510</v>
      </c>
      <c r="K1129" s="71" t="s">
        <v>3538</v>
      </c>
      <c r="L1129" s="71" t="s">
        <v>314</v>
      </c>
      <c r="M1129" s="71"/>
      <c r="O1129" s="72">
        <v>37804</v>
      </c>
      <c r="P1129" s="71">
        <v>-1</v>
      </c>
      <c r="Q1129" s="71" t="b">
        <v>0</v>
      </c>
      <c r="R1129" s="22">
        <f t="shared" si="17"/>
        <v>67</v>
      </c>
    </row>
    <row r="1130" spans="1:18">
      <c r="A1130" s="71">
        <v>7022</v>
      </c>
      <c r="B1130" s="72">
        <v>37733</v>
      </c>
      <c r="C1130" s="71" t="s">
        <v>8540</v>
      </c>
      <c r="D1130" s="72">
        <v>37733</v>
      </c>
      <c r="E1130" s="71" t="s">
        <v>8541</v>
      </c>
      <c r="F1130" s="71" t="s">
        <v>3430</v>
      </c>
      <c r="G1130" s="71" t="s">
        <v>20</v>
      </c>
      <c r="H1130" s="71" t="s">
        <v>71</v>
      </c>
      <c r="I1130" s="71" t="s">
        <v>72</v>
      </c>
      <c r="J1130" s="71" t="s">
        <v>5668</v>
      </c>
      <c r="K1130" s="71" t="s">
        <v>8542</v>
      </c>
      <c r="L1130" s="71" t="s">
        <v>8318</v>
      </c>
      <c r="M1130" s="71"/>
      <c r="O1130" s="72">
        <v>37739</v>
      </c>
      <c r="P1130" s="71"/>
      <c r="Q1130" s="71" t="b">
        <v>0</v>
      </c>
      <c r="R1130" s="22">
        <f t="shared" si="17"/>
        <v>6</v>
      </c>
    </row>
    <row r="1131" spans="1:18">
      <c r="A1131" s="71">
        <v>7031</v>
      </c>
      <c r="B1131" s="72">
        <v>37739</v>
      </c>
      <c r="C1131" s="71" t="s">
        <v>8565</v>
      </c>
      <c r="D1131" s="72">
        <v>37734</v>
      </c>
      <c r="E1131" s="71" t="s">
        <v>8566</v>
      </c>
      <c r="F1131" s="71" t="s">
        <v>1771</v>
      </c>
      <c r="G1131" s="71" t="s">
        <v>20</v>
      </c>
      <c r="H1131" s="71" t="s">
        <v>189</v>
      </c>
      <c r="I1131" s="71" t="s">
        <v>189</v>
      </c>
      <c r="J1131" s="71" t="s">
        <v>8567</v>
      </c>
      <c r="K1131" s="71"/>
      <c r="L1131" s="71" t="s">
        <v>66</v>
      </c>
      <c r="M1131" s="71"/>
      <c r="O1131" s="72">
        <v>37810</v>
      </c>
      <c r="P1131" s="71"/>
      <c r="Q1131" s="71" t="b">
        <v>0</v>
      </c>
      <c r="R1131" s="22">
        <f t="shared" si="17"/>
        <v>70</v>
      </c>
    </row>
    <row r="1132" spans="1:18">
      <c r="A1132" s="71">
        <v>7034</v>
      </c>
      <c r="B1132" s="72">
        <v>37746</v>
      </c>
      <c r="C1132" s="71" t="s">
        <v>8571</v>
      </c>
      <c r="D1132" s="72">
        <v>37736</v>
      </c>
      <c r="E1132" s="71" t="s">
        <v>8572</v>
      </c>
      <c r="F1132" s="71" t="s">
        <v>8522</v>
      </c>
      <c r="G1132" s="71" t="s">
        <v>20</v>
      </c>
      <c r="H1132" s="71"/>
      <c r="I1132" s="71"/>
      <c r="J1132" s="71" t="s">
        <v>8573</v>
      </c>
      <c r="K1132" s="71" t="s">
        <v>8574</v>
      </c>
      <c r="L1132" s="71" t="s">
        <v>66</v>
      </c>
      <c r="M1132" s="71"/>
      <c r="O1132" s="72">
        <v>37768</v>
      </c>
      <c r="P1132" s="71"/>
      <c r="Q1132" s="71" t="b">
        <v>0</v>
      </c>
      <c r="R1132" s="22">
        <f t="shared" si="17"/>
        <v>22</v>
      </c>
    </row>
    <row r="1133" spans="1:18">
      <c r="A1133" s="71">
        <v>7051</v>
      </c>
      <c r="B1133" s="72">
        <v>37740</v>
      </c>
      <c r="C1133" s="71" t="s">
        <v>8596</v>
      </c>
      <c r="D1133" s="72">
        <v>37736</v>
      </c>
      <c r="E1133" s="71" t="s">
        <v>8597</v>
      </c>
      <c r="F1133" s="71" t="s">
        <v>5690</v>
      </c>
      <c r="G1133" s="71" t="s">
        <v>20</v>
      </c>
      <c r="H1133" s="71" t="s">
        <v>71</v>
      </c>
      <c r="I1133" s="71" t="s">
        <v>72</v>
      </c>
      <c r="J1133" s="71" t="s">
        <v>8598</v>
      </c>
      <c r="K1133" s="71" t="s">
        <v>8599</v>
      </c>
      <c r="L1133" s="71" t="s">
        <v>314</v>
      </c>
      <c r="M1133" s="71"/>
      <c r="O1133" s="72">
        <v>37789</v>
      </c>
      <c r="P1133" s="71"/>
      <c r="Q1133" s="71" t="b">
        <v>0</v>
      </c>
      <c r="R1133" s="22">
        <f t="shared" si="17"/>
        <v>48</v>
      </c>
    </row>
    <row r="1134" spans="1:18">
      <c r="A1134" s="71">
        <v>7053</v>
      </c>
      <c r="B1134" s="72">
        <v>37755</v>
      </c>
      <c r="C1134" s="71" t="s">
        <v>8603</v>
      </c>
      <c r="D1134" s="72">
        <v>37748</v>
      </c>
      <c r="E1134" s="71" t="s">
        <v>8604</v>
      </c>
      <c r="F1134" s="71" t="s">
        <v>8605</v>
      </c>
      <c r="G1134" s="71" t="s">
        <v>20</v>
      </c>
      <c r="H1134" s="71" t="s">
        <v>212</v>
      </c>
      <c r="I1134" s="71" t="s">
        <v>212</v>
      </c>
      <c r="J1134" s="71" t="s">
        <v>8606</v>
      </c>
      <c r="K1134" s="71" t="s">
        <v>5668</v>
      </c>
      <c r="L1134" s="71" t="s">
        <v>66</v>
      </c>
      <c r="M1134" s="71"/>
      <c r="O1134" s="72">
        <v>37790</v>
      </c>
      <c r="P1134" s="71"/>
      <c r="Q1134" s="71" t="b">
        <v>0</v>
      </c>
      <c r="R1134" s="22">
        <f t="shared" si="17"/>
        <v>34</v>
      </c>
    </row>
    <row r="1135" spans="1:18">
      <c r="A1135" s="71">
        <v>7058</v>
      </c>
      <c r="B1135" s="72">
        <v>37756</v>
      </c>
      <c r="C1135" s="71" t="s">
        <v>8613</v>
      </c>
      <c r="D1135" s="72">
        <v>37756</v>
      </c>
      <c r="E1135" s="71" t="s">
        <v>8614</v>
      </c>
      <c r="F1135" s="71" t="s">
        <v>8615</v>
      </c>
      <c r="G1135" s="71" t="s">
        <v>20</v>
      </c>
      <c r="H1135" s="71"/>
      <c r="I1135" s="71"/>
      <c r="J1135" s="71" t="s">
        <v>8616</v>
      </c>
      <c r="K1135" s="71" t="s">
        <v>8617</v>
      </c>
      <c r="L1135" s="71" t="s">
        <v>4282</v>
      </c>
      <c r="M1135" s="71" t="s">
        <v>314</v>
      </c>
      <c r="O1135" s="72">
        <v>37937</v>
      </c>
      <c r="P1135" s="71"/>
      <c r="Q1135" s="71" t="b">
        <v>0</v>
      </c>
      <c r="R1135" s="22">
        <f t="shared" si="17"/>
        <v>179</v>
      </c>
    </row>
    <row r="1136" spans="1:18">
      <c r="A1136" s="71">
        <v>7059</v>
      </c>
      <c r="B1136" s="72">
        <v>37756</v>
      </c>
      <c r="C1136" s="71" t="s">
        <v>8618</v>
      </c>
      <c r="D1136" s="72">
        <v>37756</v>
      </c>
      <c r="E1136" s="71" t="s">
        <v>8619</v>
      </c>
      <c r="F1136" s="71" t="s">
        <v>8615</v>
      </c>
      <c r="G1136" s="71" t="s">
        <v>20</v>
      </c>
      <c r="H1136" s="71"/>
      <c r="I1136" s="71"/>
      <c r="J1136" s="71" t="s">
        <v>8620</v>
      </c>
      <c r="K1136" s="71" t="s">
        <v>8621</v>
      </c>
      <c r="L1136" s="71" t="s">
        <v>4282</v>
      </c>
      <c r="M1136" s="71" t="s">
        <v>314</v>
      </c>
      <c r="O1136" s="72">
        <v>37937</v>
      </c>
      <c r="P1136" s="71"/>
      <c r="Q1136" s="71" t="b">
        <v>0</v>
      </c>
      <c r="R1136" s="22">
        <f t="shared" si="17"/>
        <v>179</v>
      </c>
    </row>
    <row r="1137" spans="1:18">
      <c r="A1137" s="71">
        <v>7060</v>
      </c>
      <c r="B1137" s="72">
        <v>37756</v>
      </c>
      <c r="C1137" s="71" t="s">
        <v>8622</v>
      </c>
      <c r="D1137" s="72">
        <v>37756</v>
      </c>
      <c r="E1137" s="71" t="s">
        <v>8623</v>
      </c>
      <c r="F1137" s="71" t="s">
        <v>3430</v>
      </c>
      <c r="G1137" s="71" t="s">
        <v>20</v>
      </c>
      <c r="H1137" s="71" t="s">
        <v>71</v>
      </c>
      <c r="I1137" s="71" t="s">
        <v>72</v>
      </c>
      <c r="J1137" s="71" t="s">
        <v>8624</v>
      </c>
      <c r="K1137" s="71" t="s">
        <v>5668</v>
      </c>
      <c r="L1137" s="71" t="s">
        <v>314</v>
      </c>
      <c r="M1137" s="71"/>
      <c r="O1137" s="72">
        <v>37902</v>
      </c>
      <c r="P1137" s="71"/>
      <c r="Q1137" s="71" t="b">
        <v>0</v>
      </c>
      <c r="R1137" s="22">
        <f t="shared" si="17"/>
        <v>144</v>
      </c>
    </row>
    <row r="1138" spans="1:18">
      <c r="A1138" s="71">
        <v>7061</v>
      </c>
      <c r="B1138" s="72">
        <v>37762</v>
      </c>
      <c r="C1138" s="71" t="s">
        <v>8625</v>
      </c>
      <c r="D1138" s="72">
        <v>37761</v>
      </c>
      <c r="E1138" s="71" t="s">
        <v>4172</v>
      </c>
      <c r="F1138" s="71" t="s">
        <v>8615</v>
      </c>
      <c r="G1138" s="71" t="s">
        <v>20</v>
      </c>
      <c r="H1138" s="71"/>
      <c r="I1138" s="71"/>
      <c r="J1138" s="71" t="s">
        <v>8626</v>
      </c>
      <c r="K1138" s="71" t="s">
        <v>8627</v>
      </c>
      <c r="L1138" s="71" t="s">
        <v>4282</v>
      </c>
      <c r="M1138" s="71"/>
      <c r="O1138" s="72">
        <v>38176</v>
      </c>
      <c r="P1138" s="71">
        <v>-1</v>
      </c>
      <c r="Q1138" s="71" t="b">
        <v>0</v>
      </c>
      <c r="R1138" s="22">
        <f t="shared" si="17"/>
        <v>412</v>
      </c>
    </row>
    <row r="1139" spans="1:18">
      <c r="A1139" s="71">
        <v>7065</v>
      </c>
      <c r="B1139" s="72">
        <v>37761</v>
      </c>
      <c r="C1139" s="71" t="s">
        <v>8635</v>
      </c>
      <c r="D1139" s="72">
        <v>37757</v>
      </c>
      <c r="E1139" s="71" t="s">
        <v>8636</v>
      </c>
      <c r="F1139" s="71" t="s">
        <v>8637</v>
      </c>
      <c r="G1139" s="71" t="s">
        <v>20</v>
      </c>
      <c r="H1139" s="71" t="s">
        <v>71</v>
      </c>
      <c r="I1139" s="71" t="s">
        <v>72</v>
      </c>
      <c r="J1139" s="71" t="s">
        <v>8638</v>
      </c>
      <c r="K1139" s="71" t="s">
        <v>8639</v>
      </c>
      <c r="L1139" s="71" t="s">
        <v>314</v>
      </c>
      <c r="M1139" s="71"/>
      <c r="O1139" s="72">
        <v>37796</v>
      </c>
      <c r="P1139" s="71">
        <v>-1</v>
      </c>
      <c r="Q1139" s="71" t="b">
        <v>0</v>
      </c>
      <c r="R1139" s="22">
        <f t="shared" si="17"/>
        <v>34</v>
      </c>
    </row>
    <row r="1140" spans="1:18">
      <c r="A1140" s="71">
        <v>7084</v>
      </c>
      <c r="B1140" s="72">
        <v>37778</v>
      </c>
      <c r="C1140" s="71" t="s">
        <v>8667</v>
      </c>
      <c r="D1140" s="72">
        <v>37781</v>
      </c>
      <c r="E1140" s="71" t="s">
        <v>8668</v>
      </c>
      <c r="F1140" s="71" t="s">
        <v>4242</v>
      </c>
      <c r="G1140" s="71" t="s">
        <v>20</v>
      </c>
      <c r="H1140" s="71" t="s">
        <v>189</v>
      </c>
      <c r="I1140" s="71" t="s">
        <v>189</v>
      </c>
      <c r="J1140" s="71" t="s">
        <v>8669</v>
      </c>
      <c r="K1140" s="71"/>
      <c r="L1140" s="71" t="s">
        <v>4282</v>
      </c>
      <c r="M1140" s="71"/>
      <c r="O1140" s="72">
        <v>37790</v>
      </c>
      <c r="P1140" s="71">
        <v>-1</v>
      </c>
      <c r="Q1140" s="71" t="b">
        <v>0</v>
      </c>
      <c r="R1140" s="22">
        <f t="shared" si="17"/>
        <v>12</v>
      </c>
    </row>
    <row r="1141" spans="1:18">
      <c r="A1141" s="71">
        <v>7085</v>
      </c>
      <c r="B1141" s="72">
        <v>37781</v>
      </c>
      <c r="C1141" s="71" t="s">
        <v>8670</v>
      </c>
      <c r="D1141" s="72">
        <v>37776</v>
      </c>
      <c r="E1141" s="71" t="s">
        <v>8671</v>
      </c>
      <c r="F1141" s="71" t="s">
        <v>3430</v>
      </c>
      <c r="G1141" s="71" t="s">
        <v>20</v>
      </c>
      <c r="H1141" s="71" t="s">
        <v>71</v>
      </c>
      <c r="I1141" s="71" t="s">
        <v>72</v>
      </c>
      <c r="J1141" s="71" t="s">
        <v>8672</v>
      </c>
      <c r="K1141" s="71"/>
      <c r="L1141" s="71" t="s">
        <v>8511</v>
      </c>
      <c r="M1141" s="71"/>
      <c r="N1141" s="72">
        <v>38147</v>
      </c>
      <c r="O1141" s="72">
        <v>37875</v>
      </c>
      <c r="P1141" s="71"/>
      <c r="Q1141" s="71" t="b">
        <v>0</v>
      </c>
      <c r="R1141" s="22">
        <f t="shared" si="17"/>
        <v>93</v>
      </c>
    </row>
    <row r="1142" spans="1:18">
      <c r="A1142" s="71">
        <v>7086</v>
      </c>
      <c r="B1142" s="72">
        <v>37781</v>
      </c>
      <c r="C1142" s="71" t="s">
        <v>8673</v>
      </c>
      <c r="D1142" s="72">
        <v>37777</v>
      </c>
      <c r="E1142" s="71" t="s">
        <v>4172</v>
      </c>
      <c r="F1142" s="71" t="s">
        <v>124</v>
      </c>
      <c r="G1142" s="71" t="s">
        <v>20</v>
      </c>
      <c r="H1142" s="71"/>
      <c r="I1142" s="71"/>
      <c r="J1142" s="71" t="s">
        <v>8674</v>
      </c>
      <c r="K1142" s="71"/>
      <c r="L1142" s="71" t="s">
        <v>8675</v>
      </c>
      <c r="M1142" s="71"/>
      <c r="O1142" s="72">
        <v>37851</v>
      </c>
      <c r="P1142" s="71">
        <v>-1</v>
      </c>
      <c r="Q1142" s="71" t="b">
        <v>0</v>
      </c>
      <c r="R1142" s="22">
        <f t="shared" si="17"/>
        <v>69</v>
      </c>
    </row>
    <row r="1143" spans="1:18">
      <c r="A1143" s="71">
        <v>7095</v>
      </c>
      <c r="B1143" s="72">
        <v>37788</v>
      </c>
      <c r="C1143" s="71" t="s">
        <v>8688</v>
      </c>
      <c r="D1143" s="72">
        <v>37778</v>
      </c>
      <c r="E1143" s="71" t="s">
        <v>8689</v>
      </c>
      <c r="F1143" s="71" t="s">
        <v>350</v>
      </c>
      <c r="G1143" s="71" t="s">
        <v>20</v>
      </c>
      <c r="H1143" s="71"/>
      <c r="I1143" s="71"/>
      <c r="J1143" s="71" t="s">
        <v>8690</v>
      </c>
      <c r="K1143" s="71" t="s">
        <v>8691</v>
      </c>
      <c r="L1143" s="71" t="s">
        <v>4579</v>
      </c>
      <c r="M1143" s="71" t="s">
        <v>6955</v>
      </c>
      <c r="N1143" s="72">
        <v>38154</v>
      </c>
      <c r="O1143" s="72">
        <v>39765</v>
      </c>
      <c r="P1143" s="71"/>
      <c r="Q1143" s="71" t="b">
        <v>0</v>
      </c>
      <c r="R1143" s="22">
        <f t="shared" si="17"/>
        <v>1974</v>
      </c>
    </row>
    <row r="1144" spans="1:18">
      <c r="A1144" s="71">
        <v>7108</v>
      </c>
      <c r="B1144" s="72">
        <v>37798</v>
      </c>
      <c r="C1144" s="71" t="s">
        <v>8710</v>
      </c>
      <c r="D1144" s="72">
        <v>37797</v>
      </c>
      <c r="E1144" s="71" t="s">
        <v>8711</v>
      </c>
      <c r="F1144" s="71" t="s">
        <v>6298</v>
      </c>
      <c r="G1144" s="71" t="s">
        <v>20</v>
      </c>
      <c r="H1144" s="71" t="s">
        <v>71</v>
      </c>
      <c r="I1144" s="71" t="s">
        <v>72</v>
      </c>
      <c r="J1144" s="71" t="s">
        <v>8712</v>
      </c>
      <c r="K1144" s="71"/>
      <c r="L1144" s="71" t="s">
        <v>8318</v>
      </c>
      <c r="M1144" s="71"/>
      <c r="N1144" s="72">
        <v>38164</v>
      </c>
      <c r="O1144" s="72">
        <v>38607</v>
      </c>
      <c r="P1144" s="71"/>
      <c r="Q1144" s="71" t="b">
        <v>0</v>
      </c>
      <c r="R1144" s="22">
        <f t="shared" si="17"/>
        <v>807</v>
      </c>
    </row>
    <row r="1145" spans="1:18">
      <c r="A1145" s="71">
        <v>7110</v>
      </c>
      <c r="B1145" s="72">
        <v>37802</v>
      </c>
      <c r="C1145" s="71" t="s">
        <v>8713</v>
      </c>
      <c r="D1145" s="72">
        <v>37796</v>
      </c>
      <c r="E1145" s="71" t="s">
        <v>8714</v>
      </c>
      <c r="F1145" s="71" t="s">
        <v>98</v>
      </c>
      <c r="G1145" s="71" t="s">
        <v>20</v>
      </c>
      <c r="H1145" s="71"/>
      <c r="I1145" s="71"/>
      <c r="J1145" s="71" t="s">
        <v>8715</v>
      </c>
      <c r="K1145" s="71" t="s">
        <v>8716</v>
      </c>
      <c r="L1145" s="71" t="s">
        <v>314</v>
      </c>
      <c r="M1145" s="71"/>
      <c r="N1145" s="72">
        <v>38168</v>
      </c>
      <c r="O1145" s="72">
        <v>38035</v>
      </c>
      <c r="P1145" s="71">
        <v>-1</v>
      </c>
      <c r="Q1145" s="71" t="b">
        <v>0</v>
      </c>
      <c r="R1145" s="22">
        <f t="shared" si="17"/>
        <v>231</v>
      </c>
    </row>
    <row r="1146" spans="1:18">
      <c r="A1146" s="71">
        <v>7131</v>
      </c>
      <c r="B1146" s="72">
        <v>37811</v>
      </c>
      <c r="C1146" s="71" t="s">
        <v>8738</v>
      </c>
      <c r="D1146" s="72">
        <v>37811</v>
      </c>
      <c r="E1146" s="71" t="s">
        <v>8739</v>
      </c>
      <c r="F1146" s="71" t="s">
        <v>359</v>
      </c>
      <c r="G1146" s="71" t="s">
        <v>20</v>
      </c>
      <c r="H1146" s="71"/>
      <c r="I1146" s="71"/>
      <c r="J1146" s="71" t="s">
        <v>8740</v>
      </c>
      <c r="K1146" s="71" t="s">
        <v>8741</v>
      </c>
      <c r="L1146" s="71" t="s">
        <v>4282</v>
      </c>
      <c r="M1146" s="71"/>
      <c r="N1146" s="72">
        <v>37990</v>
      </c>
      <c r="O1146" s="72">
        <v>37998</v>
      </c>
      <c r="P1146" s="71"/>
      <c r="Q1146" s="71" t="b">
        <v>0</v>
      </c>
      <c r="R1146" s="22">
        <f t="shared" si="17"/>
        <v>185</v>
      </c>
    </row>
    <row r="1147" spans="1:18">
      <c r="A1147" s="71">
        <v>7137</v>
      </c>
      <c r="B1147" s="72">
        <v>37816</v>
      </c>
      <c r="C1147" s="71" t="s">
        <v>8748</v>
      </c>
      <c r="D1147" s="72">
        <v>37813</v>
      </c>
      <c r="E1147" s="71" t="s">
        <v>8749</v>
      </c>
      <c r="F1147" s="71" t="s">
        <v>1232</v>
      </c>
      <c r="G1147" s="71" t="s">
        <v>20</v>
      </c>
      <c r="H1147" s="71" t="s">
        <v>189</v>
      </c>
      <c r="I1147" s="71" t="s">
        <v>189</v>
      </c>
      <c r="J1147" s="71" t="s">
        <v>8750</v>
      </c>
      <c r="K1147" s="71" t="s">
        <v>8751</v>
      </c>
      <c r="L1147" s="71" t="s">
        <v>4282</v>
      </c>
      <c r="M1147" s="71"/>
      <c r="N1147" s="72">
        <v>38182</v>
      </c>
      <c r="O1147" s="72">
        <v>37922</v>
      </c>
      <c r="P1147" s="71"/>
      <c r="Q1147" s="71" t="b">
        <v>0</v>
      </c>
      <c r="R1147" s="22">
        <f t="shared" si="17"/>
        <v>105</v>
      </c>
    </row>
    <row r="1148" spans="1:18">
      <c r="A1148" s="71">
        <v>7162</v>
      </c>
      <c r="B1148" s="72">
        <v>37823</v>
      </c>
      <c r="C1148" s="71" t="s">
        <v>8768</v>
      </c>
      <c r="D1148" s="72">
        <v>37822</v>
      </c>
      <c r="E1148" s="71" t="s">
        <v>4172</v>
      </c>
      <c r="F1148" s="71" t="s">
        <v>56</v>
      </c>
      <c r="G1148" s="71" t="s">
        <v>20</v>
      </c>
      <c r="H1148" s="71"/>
      <c r="I1148" s="71"/>
      <c r="J1148" s="71" t="s">
        <v>8769</v>
      </c>
      <c r="K1148" s="71" t="s">
        <v>8770</v>
      </c>
      <c r="L1148" s="71" t="s">
        <v>8318</v>
      </c>
      <c r="M1148" s="71"/>
      <c r="O1148" s="72">
        <v>37910</v>
      </c>
      <c r="P1148" s="71">
        <v>-1</v>
      </c>
      <c r="Q1148" s="71" t="b">
        <v>0</v>
      </c>
      <c r="R1148" s="22">
        <f t="shared" si="17"/>
        <v>86</v>
      </c>
    </row>
    <row r="1149" spans="1:18">
      <c r="A1149" s="71">
        <v>7205</v>
      </c>
      <c r="B1149" s="72">
        <v>37853</v>
      </c>
      <c r="C1149" s="71" t="s">
        <v>8790</v>
      </c>
      <c r="D1149" s="72">
        <v>37846</v>
      </c>
      <c r="E1149" s="71" t="s">
        <v>4172</v>
      </c>
      <c r="F1149" s="71" t="s">
        <v>2521</v>
      </c>
      <c r="G1149" s="71" t="s">
        <v>20</v>
      </c>
      <c r="H1149" s="71"/>
      <c r="I1149" s="71"/>
      <c r="J1149" s="71" t="s">
        <v>7085</v>
      </c>
      <c r="K1149" s="71" t="s">
        <v>8791</v>
      </c>
      <c r="L1149" s="71" t="s">
        <v>66</v>
      </c>
      <c r="M1149" s="71"/>
      <c r="N1149" s="72">
        <v>37945</v>
      </c>
      <c r="O1149" s="72">
        <v>37859</v>
      </c>
      <c r="P1149" s="71"/>
      <c r="Q1149" s="71" t="b">
        <v>0</v>
      </c>
      <c r="R1149" s="22">
        <f t="shared" si="17"/>
        <v>6</v>
      </c>
    </row>
    <row r="1150" spans="1:18">
      <c r="A1150" s="71">
        <v>7209</v>
      </c>
      <c r="B1150" s="72">
        <v>37858</v>
      </c>
      <c r="C1150" s="71" t="s">
        <v>8795</v>
      </c>
      <c r="D1150" s="72">
        <v>37855</v>
      </c>
      <c r="E1150" s="71" t="s">
        <v>8796</v>
      </c>
      <c r="F1150" s="71" t="s">
        <v>974</v>
      </c>
      <c r="G1150" s="71" t="s">
        <v>20</v>
      </c>
      <c r="H1150" s="71" t="s">
        <v>212</v>
      </c>
      <c r="I1150" s="71" t="s">
        <v>212</v>
      </c>
      <c r="J1150" s="71" t="s">
        <v>8797</v>
      </c>
      <c r="K1150" s="71" t="s">
        <v>7034</v>
      </c>
      <c r="L1150" s="71" t="s">
        <v>66</v>
      </c>
      <c r="M1150" s="71"/>
      <c r="N1150" s="72">
        <v>38224</v>
      </c>
      <c r="O1150" s="72">
        <v>37923</v>
      </c>
      <c r="P1150" s="71">
        <v>-1</v>
      </c>
      <c r="Q1150" s="71" t="b">
        <v>0</v>
      </c>
      <c r="R1150" s="22">
        <f t="shared" si="17"/>
        <v>64</v>
      </c>
    </row>
    <row r="1151" spans="1:18">
      <c r="A1151" s="71">
        <v>7216</v>
      </c>
      <c r="B1151" s="72">
        <v>37860</v>
      </c>
      <c r="C1151" s="71" t="s">
        <v>8798</v>
      </c>
      <c r="D1151" s="72">
        <v>37853</v>
      </c>
      <c r="E1151" s="71" t="s">
        <v>8799</v>
      </c>
      <c r="F1151" s="71" t="s">
        <v>242</v>
      </c>
      <c r="G1151" s="71" t="s">
        <v>20</v>
      </c>
      <c r="H1151" s="71"/>
      <c r="I1151" s="71"/>
      <c r="J1151" s="71" t="s">
        <v>8800</v>
      </c>
      <c r="K1151" s="71" t="s">
        <v>8801</v>
      </c>
      <c r="L1151" s="71" t="s">
        <v>4282</v>
      </c>
      <c r="M1151" s="71"/>
      <c r="N1151" s="72">
        <v>38226</v>
      </c>
      <c r="O1151" s="72">
        <v>38226</v>
      </c>
      <c r="P1151" s="71">
        <v>-1</v>
      </c>
      <c r="Q1151" s="71" t="b">
        <v>0</v>
      </c>
      <c r="R1151" s="22">
        <f t="shared" si="17"/>
        <v>365</v>
      </c>
    </row>
    <row r="1152" spans="1:18">
      <c r="A1152" s="71">
        <v>7217</v>
      </c>
      <c r="B1152" s="72">
        <v>37853</v>
      </c>
      <c r="C1152" s="71" t="s">
        <v>8802</v>
      </c>
      <c r="D1152" s="72">
        <v>37851</v>
      </c>
      <c r="E1152" s="71" t="s">
        <v>8803</v>
      </c>
      <c r="F1152" s="71" t="s">
        <v>3430</v>
      </c>
      <c r="G1152" s="71" t="s">
        <v>20</v>
      </c>
      <c r="H1152" s="71" t="s">
        <v>71</v>
      </c>
      <c r="I1152" s="71" t="s">
        <v>72</v>
      </c>
      <c r="J1152" s="71" t="s">
        <v>8804</v>
      </c>
      <c r="K1152" s="71" t="s">
        <v>5668</v>
      </c>
      <c r="L1152" s="71" t="s">
        <v>8318</v>
      </c>
      <c r="M1152" s="71"/>
      <c r="N1152" s="72">
        <v>37874</v>
      </c>
      <c r="O1152" s="72">
        <v>37866</v>
      </c>
      <c r="P1152" s="71"/>
      <c r="Q1152" s="71" t="b">
        <v>0</v>
      </c>
      <c r="R1152" s="22">
        <f t="shared" si="17"/>
        <v>12</v>
      </c>
    </row>
    <row r="1153" spans="1:18">
      <c r="A1153" s="71">
        <v>7228</v>
      </c>
      <c r="B1153" s="72">
        <v>37876</v>
      </c>
      <c r="C1153" s="71" t="s">
        <v>8821</v>
      </c>
      <c r="D1153" s="72">
        <v>37869</v>
      </c>
      <c r="E1153" s="71" t="s">
        <v>8822</v>
      </c>
      <c r="F1153" s="71" t="s">
        <v>149</v>
      </c>
      <c r="G1153" s="71" t="s">
        <v>20</v>
      </c>
      <c r="H1153" s="71"/>
      <c r="I1153" s="71"/>
      <c r="J1153" s="71" t="s">
        <v>8823</v>
      </c>
      <c r="K1153" s="71" t="s">
        <v>8824</v>
      </c>
      <c r="L1153" s="71" t="s">
        <v>4282</v>
      </c>
      <c r="M1153" s="71"/>
      <c r="N1153" s="72">
        <v>38242</v>
      </c>
      <c r="O1153" s="72">
        <v>37971</v>
      </c>
      <c r="P1153" s="71"/>
      <c r="Q1153" s="71" t="b">
        <v>0</v>
      </c>
      <c r="R1153" s="22">
        <f t="shared" si="17"/>
        <v>95</v>
      </c>
    </row>
    <row r="1154" spans="1:18">
      <c r="A1154" s="71">
        <v>7229</v>
      </c>
      <c r="B1154" s="72">
        <v>37876</v>
      </c>
      <c r="C1154" s="71" t="s">
        <v>8825</v>
      </c>
      <c r="D1154" s="72">
        <v>37875</v>
      </c>
      <c r="E1154" s="71" t="s">
        <v>8826</v>
      </c>
      <c r="F1154" s="71" t="s">
        <v>3430</v>
      </c>
      <c r="G1154" s="71" t="s">
        <v>20</v>
      </c>
      <c r="H1154" s="71" t="s">
        <v>71</v>
      </c>
      <c r="I1154" s="71" t="s">
        <v>72</v>
      </c>
      <c r="J1154" s="71" t="s">
        <v>8827</v>
      </c>
      <c r="K1154" s="71" t="s">
        <v>8828</v>
      </c>
      <c r="L1154" s="71" t="s">
        <v>8511</v>
      </c>
      <c r="M1154" s="71"/>
      <c r="N1154" s="72">
        <v>37884</v>
      </c>
      <c r="O1154" s="72">
        <v>37938</v>
      </c>
      <c r="P1154" s="71"/>
      <c r="Q1154" s="71" t="b">
        <v>0</v>
      </c>
      <c r="R1154" s="22">
        <f t="shared" ref="R1154:R1217" si="18">IF(O1154=" ", " ", INT(YEARFRAC(O1154, B1154)*365))</f>
        <v>61</v>
      </c>
    </row>
    <row r="1155" spans="1:18">
      <c r="A1155" s="71">
        <v>7230</v>
      </c>
      <c r="B1155" s="72">
        <v>37882</v>
      </c>
      <c r="C1155" s="71" t="s">
        <v>8829</v>
      </c>
      <c r="D1155" s="72">
        <v>37881</v>
      </c>
      <c r="E1155" s="71" t="s">
        <v>8830</v>
      </c>
      <c r="F1155" s="71" t="s">
        <v>104</v>
      </c>
      <c r="G1155" s="71" t="s">
        <v>20</v>
      </c>
      <c r="H1155" s="71"/>
      <c r="I1155" s="71"/>
      <c r="J1155" s="71" t="s">
        <v>2184</v>
      </c>
      <c r="K1155" s="71" t="s">
        <v>8828</v>
      </c>
      <c r="L1155" s="71" t="s">
        <v>4579</v>
      </c>
      <c r="M1155" s="71" t="s">
        <v>66</v>
      </c>
      <c r="N1155" s="72">
        <v>37911</v>
      </c>
      <c r="O1155" s="72">
        <v>38303</v>
      </c>
      <c r="P1155" s="71">
        <v>-1</v>
      </c>
      <c r="Q1155" s="71" t="b">
        <v>0</v>
      </c>
      <c r="R1155" s="22">
        <f t="shared" si="18"/>
        <v>419</v>
      </c>
    </row>
    <row r="1156" spans="1:18">
      <c r="A1156" s="71">
        <v>7237</v>
      </c>
      <c r="B1156" s="72">
        <v>37896</v>
      </c>
      <c r="C1156" s="71" t="s">
        <v>8847</v>
      </c>
      <c r="D1156" s="72">
        <v>37895</v>
      </c>
      <c r="E1156" s="71" t="s">
        <v>8848</v>
      </c>
      <c r="F1156" s="71" t="s">
        <v>3430</v>
      </c>
      <c r="G1156" s="71" t="s">
        <v>20</v>
      </c>
      <c r="H1156" s="71" t="s">
        <v>71</v>
      </c>
      <c r="I1156" s="71" t="s">
        <v>72</v>
      </c>
      <c r="J1156" s="71" t="s">
        <v>8849</v>
      </c>
      <c r="K1156" s="71" t="s">
        <v>5668</v>
      </c>
      <c r="L1156" s="71" t="s">
        <v>8318</v>
      </c>
      <c r="M1156" s="71"/>
      <c r="N1156" s="72">
        <v>38262</v>
      </c>
      <c r="O1156" s="72">
        <v>37902</v>
      </c>
      <c r="P1156" s="71"/>
      <c r="Q1156" s="71" t="b">
        <v>0</v>
      </c>
      <c r="R1156" s="22">
        <f t="shared" si="18"/>
        <v>6</v>
      </c>
    </row>
    <row r="1157" spans="1:18">
      <c r="A1157" s="71">
        <v>7245</v>
      </c>
      <c r="B1157" s="72">
        <v>37902</v>
      </c>
      <c r="C1157" s="71" t="s">
        <v>8865</v>
      </c>
      <c r="D1157" s="72">
        <v>37901</v>
      </c>
      <c r="E1157" s="71" t="s">
        <v>8866</v>
      </c>
      <c r="F1157" s="71" t="s">
        <v>3503</v>
      </c>
      <c r="G1157" s="71" t="s">
        <v>20</v>
      </c>
      <c r="H1157" s="71"/>
      <c r="I1157" s="71"/>
      <c r="J1157" s="71" t="s">
        <v>8867</v>
      </c>
      <c r="K1157" s="71" t="s">
        <v>7321</v>
      </c>
      <c r="L1157" s="71" t="s">
        <v>66</v>
      </c>
      <c r="M1157" s="71"/>
      <c r="N1157" s="72">
        <v>38268</v>
      </c>
      <c r="O1157" s="72">
        <v>37916</v>
      </c>
      <c r="P1157" s="71"/>
      <c r="Q1157" s="71" t="b">
        <v>0</v>
      </c>
      <c r="R1157" s="22">
        <f t="shared" si="18"/>
        <v>14</v>
      </c>
    </row>
    <row r="1158" spans="1:18">
      <c r="A1158" s="71">
        <v>7246</v>
      </c>
      <c r="B1158" s="72">
        <v>37902</v>
      </c>
      <c r="C1158" s="71" t="s">
        <v>8868</v>
      </c>
      <c r="D1158" s="72">
        <v>37900</v>
      </c>
      <c r="E1158" s="71" t="s">
        <v>8869</v>
      </c>
      <c r="F1158" s="71" t="s">
        <v>70</v>
      </c>
      <c r="G1158" s="71" t="s">
        <v>20</v>
      </c>
      <c r="H1158" s="71" t="s">
        <v>71</v>
      </c>
      <c r="I1158" s="71" t="s">
        <v>72</v>
      </c>
      <c r="J1158" s="71" t="s">
        <v>8870</v>
      </c>
      <c r="K1158" s="71"/>
      <c r="L1158" s="71" t="s">
        <v>4282</v>
      </c>
      <c r="M1158" s="71"/>
      <c r="N1158" s="72">
        <v>38268</v>
      </c>
      <c r="O1158" s="72">
        <v>37971</v>
      </c>
      <c r="P1158" s="71"/>
      <c r="Q1158" s="71" t="b">
        <v>0</v>
      </c>
      <c r="R1158" s="22">
        <f t="shared" si="18"/>
        <v>68</v>
      </c>
    </row>
    <row r="1159" spans="1:18">
      <c r="A1159" s="71">
        <v>7249</v>
      </c>
      <c r="B1159" s="72">
        <v>37907</v>
      </c>
      <c r="C1159" s="71" t="s">
        <v>8874</v>
      </c>
      <c r="D1159" s="72">
        <v>37907</v>
      </c>
      <c r="E1159" s="71" t="s">
        <v>8875</v>
      </c>
      <c r="F1159" s="71" t="s">
        <v>8615</v>
      </c>
      <c r="G1159" s="71" t="s">
        <v>20</v>
      </c>
      <c r="H1159" s="71"/>
      <c r="I1159" s="71"/>
      <c r="J1159" s="71" t="s">
        <v>6316</v>
      </c>
      <c r="K1159" s="71" t="s">
        <v>8876</v>
      </c>
      <c r="L1159" s="71" t="s">
        <v>8318</v>
      </c>
      <c r="M1159" s="71"/>
      <c r="N1159" s="72">
        <v>38273</v>
      </c>
      <c r="O1159" s="72">
        <v>37921</v>
      </c>
      <c r="P1159" s="71"/>
      <c r="Q1159" s="71" t="b">
        <v>0</v>
      </c>
      <c r="R1159" s="22">
        <f t="shared" si="18"/>
        <v>14</v>
      </c>
    </row>
    <row r="1160" spans="1:18">
      <c r="A1160" s="71">
        <v>7254</v>
      </c>
      <c r="B1160" s="72">
        <v>37910</v>
      </c>
      <c r="C1160" s="71" t="s">
        <v>8887</v>
      </c>
      <c r="D1160" s="72">
        <v>37910</v>
      </c>
      <c r="E1160" s="71" t="s">
        <v>8888</v>
      </c>
      <c r="F1160" s="71" t="s">
        <v>56</v>
      </c>
      <c r="G1160" s="71" t="s">
        <v>20</v>
      </c>
      <c r="H1160" s="71"/>
      <c r="I1160" s="71"/>
      <c r="J1160" s="71" t="s">
        <v>8889</v>
      </c>
      <c r="K1160" s="71" t="s">
        <v>129</v>
      </c>
      <c r="L1160" s="71" t="s">
        <v>8318</v>
      </c>
      <c r="M1160" s="71"/>
      <c r="N1160" s="72">
        <v>38002</v>
      </c>
      <c r="O1160" s="72">
        <v>37910</v>
      </c>
      <c r="P1160" s="71">
        <v>-1</v>
      </c>
      <c r="Q1160" s="71" t="b">
        <v>0</v>
      </c>
      <c r="R1160" s="22">
        <f t="shared" si="18"/>
        <v>0</v>
      </c>
    </row>
    <row r="1161" spans="1:18">
      <c r="A1161" s="71">
        <v>7255</v>
      </c>
      <c r="B1161" s="72">
        <v>37910</v>
      </c>
      <c r="C1161" s="71" t="s">
        <v>8890</v>
      </c>
      <c r="D1161" s="72">
        <v>37909</v>
      </c>
      <c r="E1161" s="71" t="s">
        <v>8891</v>
      </c>
      <c r="F1161" s="71" t="s">
        <v>3430</v>
      </c>
      <c r="G1161" s="71" t="s">
        <v>20</v>
      </c>
      <c r="H1161" s="71" t="s">
        <v>71</v>
      </c>
      <c r="I1161" s="71" t="s">
        <v>72</v>
      </c>
      <c r="J1161" s="71" t="s">
        <v>8892</v>
      </c>
      <c r="K1161" s="71" t="s">
        <v>5668</v>
      </c>
      <c r="L1161" s="71" t="s">
        <v>8318</v>
      </c>
      <c r="M1161" s="71"/>
      <c r="N1161" s="72">
        <v>38002</v>
      </c>
      <c r="O1161" s="72">
        <v>38600</v>
      </c>
      <c r="P1161" s="71"/>
      <c r="Q1161" s="71" t="b">
        <v>0</v>
      </c>
      <c r="R1161" s="22">
        <f t="shared" si="18"/>
        <v>688</v>
      </c>
    </row>
    <row r="1162" spans="1:18">
      <c r="A1162" s="71">
        <v>7256</v>
      </c>
      <c r="B1162" s="72">
        <v>37910</v>
      </c>
      <c r="C1162" s="71" t="s">
        <v>8893</v>
      </c>
      <c r="D1162" s="72">
        <v>37909</v>
      </c>
      <c r="E1162" s="71" t="s">
        <v>8894</v>
      </c>
      <c r="F1162" s="71" t="s">
        <v>733</v>
      </c>
      <c r="G1162" s="71" t="s">
        <v>20</v>
      </c>
      <c r="H1162" s="71"/>
      <c r="I1162" s="71"/>
      <c r="J1162" s="71" t="s">
        <v>8895</v>
      </c>
      <c r="K1162" s="71" t="s">
        <v>5668</v>
      </c>
      <c r="L1162" s="71" t="s">
        <v>8318</v>
      </c>
      <c r="M1162" s="71"/>
      <c r="N1162" s="72">
        <v>38002</v>
      </c>
      <c r="O1162" s="72">
        <v>37923</v>
      </c>
      <c r="P1162" s="71"/>
      <c r="Q1162" s="71" t="b">
        <v>0</v>
      </c>
      <c r="R1162" s="22">
        <f t="shared" si="18"/>
        <v>13</v>
      </c>
    </row>
    <row r="1163" spans="1:18">
      <c r="A1163" s="71">
        <v>7276</v>
      </c>
      <c r="B1163" s="72">
        <v>37923</v>
      </c>
      <c r="C1163" s="71" t="s">
        <v>8935</v>
      </c>
      <c r="D1163" s="72">
        <v>37914</v>
      </c>
      <c r="E1163" s="71" t="s">
        <v>8936</v>
      </c>
      <c r="F1163" s="71" t="s">
        <v>27</v>
      </c>
      <c r="G1163" s="71" t="s">
        <v>20</v>
      </c>
      <c r="H1163" s="71"/>
      <c r="I1163" s="71"/>
      <c r="J1163" s="71" t="s">
        <v>8937</v>
      </c>
      <c r="K1163" s="71" t="s">
        <v>7085</v>
      </c>
      <c r="L1163" s="71" t="s">
        <v>66</v>
      </c>
      <c r="M1163" s="71"/>
      <c r="N1163" s="72">
        <v>38289</v>
      </c>
      <c r="O1163" s="72">
        <v>37986</v>
      </c>
      <c r="P1163" s="71">
        <v>-1</v>
      </c>
      <c r="Q1163" s="71" t="b">
        <v>0</v>
      </c>
      <c r="R1163" s="22">
        <f t="shared" si="18"/>
        <v>62</v>
      </c>
    </row>
    <row r="1164" spans="1:18">
      <c r="A1164" s="71">
        <v>7281</v>
      </c>
      <c r="B1164" s="72">
        <v>37923</v>
      </c>
      <c r="C1164" s="71" t="s">
        <v>8945</v>
      </c>
      <c r="D1164" s="72">
        <v>37921</v>
      </c>
      <c r="E1164" s="71" t="s">
        <v>8946</v>
      </c>
      <c r="F1164" s="71" t="s">
        <v>4242</v>
      </c>
      <c r="G1164" s="71" t="s">
        <v>20</v>
      </c>
      <c r="H1164" s="71" t="s">
        <v>189</v>
      </c>
      <c r="I1164" s="71" t="s">
        <v>189</v>
      </c>
      <c r="J1164" s="71" t="s">
        <v>8947</v>
      </c>
      <c r="K1164" s="71"/>
      <c r="L1164" s="71" t="s">
        <v>7167</v>
      </c>
      <c r="M1164" s="71" t="s">
        <v>7168</v>
      </c>
      <c r="N1164" s="72">
        <v>38287</v>
      </c>
      <c r="O1164" s="72">
        <v>41089</v>
      </c>
      <c r="P1164" s="71"/>
      <c r="Q1164" s="71" t="b">
        <v>0</v>
      </c>
      <c r="R1164" s="22">
        <f t="shared" si="18"/>
        <v>3163</v>
      </c>
    </row>
    <row r="1165" spans="1:18">
      <c r="A1165" s="71">
        <v>7282</v>
      </c>
      <c r="B1165" s="72">
        <v>37924</v>
      </c>
      <c r="C1165" s="71" t="s">
        <v>8948</v>
      </c>
      <c r="D1165" s="72">
        <v>37923</v>
      </c>
      <c r="E1165" s="71" t="s">
        <v>8949</v>
      </c>
      <c r="F1165" s="71" t="s">
        <v>27</v>
      </c>
      <c r="G1165" s="71" t="s">
        <v>20</v>
      </c>
      <c r="H1165" s="71"/>
      <c r="I1165" s="71"/>
      <c r="J1165" s="71" t="s">
        <v>8950</v>
      </c>
      <c r="K1165" s="71" t="s">
        <v>8951</v>
      </c>
      <c r="L1165" s="71" t="s">
        <v>4282</v>
      </c>
      <c r="M1165" s="71"/>
      <c r="N1165" s="72">
        <v>38289</v>
      </c>
      <c r="O1165" s="72">
        <v>37925</v>
      </c>
      <c r="P1165" s="71"/>
      <c r="Q1165" s="71" t="b">
        <v>0</v>
      </c>
      <c r="R1165" s="22">
        <f t="shared" si="18"/>
        <v>0</v>
      </c>
    </row>
    <row r="1166" spans="1:18">
      <c r="A1166" s="71">
        <v>7287</v>
      </c>
      <c r="B1166" s="72">
        <v>37928</v>
      </c>
      <c r="C1166" s="71" t="s">
        <v>8963</v>
      </c>
      <c r="D1166" s="72">
        <v>37923</v>
      </c>
      <c r="E1166" s="71" t="s">
        <v>8964</v>
      </c>
      <c r="F1166" s="71" t="s">
        <v>104</v>
      </c>
      <c r="G1166" s="71" t="s">
        <v>20</v>
      </c>
      <c r="H1166" s="71"/>
      <c r="I1166" s="71"/>
      <c r="J1166" s="71" t="s">
        <v>8965</v>
      </c>
      <c r="K1166" s="71" t="s">
        <v>8966</v>
      </c>
      <c r="L1166" s="71" t="s">
        <v>2205</v>
      </c>
      <c r="M1166" s="71" t="s">
        <v>314</v>
      </c>
      <c r="N1166" s="72">
        <v>38294</v>
      </c>
      <c r="O1166" s="72">
        <v>38695</v>
      </c>
      <c r="P1166" s="71"/>
      <c r="Q1166" s="71" t="b">
        <v>0</v>
      </c>
      <c r="R1166" s="22">
        <f t="shared" si="18"/>
        <v>766</v>
      </c>
    </row>
    <row r="1167" spans="1:18">
      <c r="A1167" s="71">
        <v>7296</v>
      </c>
      <c r="B1167" s="72">
        <v>37930</v>
      </c>
      <c r="C1167" s="71" t="s">
        <v>8982</v>
      </c>
      <c r="D1167" s="72">
        <v>37925</v>
      </c>
      <c r="E1167" s="71" t="s">
        <v>8983</v>
      </c>
      <c r="F1167" s="71" t="s">
        <v>1771</v>
      </c>
      <c r="G1167" s="71" t="s">
        <v>20</v>
      </c>
      <c r="H1167" s="71" t="s">
        <v>189</v>
      </c>
      <c r="I1167" s="71" t="s">
        <v>189</v>
      </c>
      <c r="J1167" s="71" t="s">
        <v>8984</v>
      </c>
      <c r="K1167" s="71" t="s">
        <v>8985</v>
      </c>
      <c r="L1167" s="71" t="s">
        <v>4282</v>
      </c>
      <c r="M1167" s="71"/>
      <c r="N1167" s="72">
        <v>37955</v>
      </c>
      <c r="O1167" s="72">
        <v>37970</v>
      </c>
      <c r="P1167" s="71"/>
      <c r="Q1167" s="71" t="b">
        <v>0</v>
      </c>
      <c r="R1167" s="22">
        <f t="shared" si="18"/>
        <v>40</v>
      </c>
    </row>
    <row r="1168" spans="1:18">
      <c r="A1168" s="71">
        <v>7310</v>
      </c>
      <c r="B1168" s="72">
        <v>37935</v>
      </c>
      <c r="C1168" s="71" t="s">
        <v>8989</v>
      </c>
      <c r="D1168" s="72">
        <v>37935</v>
      </c>
      <c r="E1168" s="71" t="s">
        <v>8990</v>
      </c>
      <c r="F1168" s="71" t="s">
        <v>6643</v>
      </c>
      <c r="G1168" s="71" t="s">
        <v>20</v>
      </c>
      <c r="H1168" s="71" t="s">
        <v>189</v>
      </c>
      <c r="I1168" s="71" t="s">
        <v>189</v>
      </c>
      <c r="J1168" s="71" t="s">
        <v>8991</v>
      </c>
      <c r="K1168" s="71" t="s">
        <v>8992</v>
      </c>
      <c r="L1168" s="71" t="s">
        <v>66</v>
      </c>
      <c r="M1168" s="71"/>
      <c r="N1168" s="72">
        <v>37955</v>
      </c>
      <c r="O1168" s="72">
        <v>37951</v>
      </c>
      <c r="P1168" s="71"/>
      <c r="Q1168" s="71" t="b">
        <v>0</v>
      </c>
      <c r="R1168" s="22">
        <f t="shared" si="18"/>
        <v>16</v>
      </c>
    </row>
    <row r="1169" spans="1:18">
      <c r="A1169" s="71">
        <v>7322</v>
      </c>
      <c r="B1169" s="72">
        <v>37937</v>
      </c>
      <c r="C1169" s="71" t="s">
        <v>9000</v>
      </c>
      <c r="D1169" s="72">
        <v>37932</v>
      </c>
      <c r="E1169" s="71" t="s">
        <v>9001</v>
      </c>
      <c r="F1169" s="71" t="s">
        <v>6084</v>
      </c>
      <c r="G1169" s="71" t="s">
        <v>20</v>
      </c>
      <c r="H1169" s="71"/>
      <c r="I1169" s="71"/>
      <c r="J1169" s="71" t="s">
        <v>9002</v>
      </c>
      <c r="K1169" s="71" t="s">
        <v>9003</v>
      </c>
      <c r="L1169" s="71" t="s">
        <v>4282</v>
      </c>
      <c r="M1169" s="71"/>
      <c r="N1169" s="72">
        <v>38303</v>
      </c>
      <c r="O1169" s="72">
        <v>38292</v>
      </c>
      <c r="P1169" s="71"/>
      <c r="Q1169" s="71" t="b">
        <v>0</v>
      </c>
      <c r="R1169" s="22">
        <f t="shared" si="18"/>
        <v>353</v>
      </c>
    </row>
    <row r="1170" spans="1:18">
      <c r="A1170" s="71">
        <v>7324</v>
      </c>
      <c r="B1170" s="72">
        <v>37938</v>
      </c>
      <c r="C1170" s="71" t="s">
        <v>9004</v>
      </c>
      <c r="D1170" s="72">
        <v>37938</v>
      </c>
      <c r="E1170" s="71" t="s">
        <v>9005</v>
      </c>
      <c r="F1170" s="71" t="s">
        <v>27</v>
      </c>
      <c r="G1170" s="71" t="s">
        <v>20</v>
      </c>
      <c r="H1170" s="71"/>
      <c r="I1170" s="71"/>
      <c r="J1170" s="71" t="s">
        <v>9006</v>
      </c>
      <c r="K1170" s="71" t="s">
        <v>9007</v>
      </c>
      <c r="L1170" s="71" t="s">
        <v>314</v>
      </c>
      <c r="M1170" s="71"/>
      <c r="N1170" s="72">
        <v>38304</v>
      </c>
      <c r="O1170" s="72">
        <v>37973</v>
      </c>
      <c r="P1170" s="71"/>
      <c r="Q1170" s="71" t="b">
        <v>0</v>
      </c>
      <c r="R1170" s="22">
        <f t="shared" si="18"/>
        <v>35</v>
      </c>
    </row>
    <row r="1171" spans="1:18">
      <c r="A1171" s="71">
        <v>7334</v>
      </c>
      <c r="B1171" s="72">
        <v>37944</v>
      </c>
      <c r="C1171" s="71" t="s">
        <v>9036</v>
      </c>
      <c r="D1171" s="72">
        <v>37938</v>
      </c>
      <c r="E1171" s="71" t="s">
        <v>4172</v>
      </c>
      <c r="F1171" s="71" t="s">
        <v>5659</v>
      </c>
      <c r="G1171" s="71" t="s">
        <v>20</v>
      </c>
      <c r="H1171" s="71" t="s">
        <v>566</v>
      </c>
      <c r="I1171" s="71" t="s">
        <v>566</v>
      </c>
      <c r="J1171" s="71" t="s">
        <v>9037</v>
      </c>
      <c r="K1171" s="71" t="s">
        <v>5668</v>
      </c>
      <c r="L1171" s="71" t="s">
        <v>314</v>
      </c>
      <c r="M1171" s="71"/>
      <c r="O1171" s="72">
        <v>38022</v>
      </c>
      <c r="P1171" s="71"/>
      <c r="Q1171" s="71" t="b">
        <v>0</v>
      </c>
      <c r="R1171" s="22">
        <f t="shared" si="18"/>
        <v>77</v>
      </c>
    </row>
    <row r="1172" spans="1:18">
      <c r="A1172" s="71">
        <v>7338</v>
      </c>
      <c r="B1172" s="72">
        <v>37950</v>
      </c>
      <c r="C1172" s="71" t="s">
        <v>9046</v>
      </c>
      <c r="D1172" s="72">
        <v>37950</v>
      </c>
      <c r="E1172" s="71" t="s">
        <v>4172</v>
      </c>
      <c r="F1172" s="71" t="s">
        <v>9047</v>
      </c>
      <c r="G1172" s="71" t="s">
        <v>20</v>
      </c>
      <c r="H1172" s="71" t="s">
        <v>71</v>
      </c>
      <c r="I1172" s="71" t="s">
        <v>72</v>
      </c>
      <c r="J1172" s="71" t="s">
        <v>7085</v>
      </c>
      <c r="K1172" s="71" t="s">
        <v>9048</v>
      </c>
      <c r="L1172" s="71" t="s">
        <v>314</v>
      </c>
      <c r="M1172" s="71"/>
      <c r="O1172" s="72">
        <v>37999</v>
      </c>
      <c r="P1172" s="71"/>
      <c r="Q1172" s="71" t="b">
        <v>0</v>
      </c>
      <c r="R1172" s="22">
        <f t="shared" si="18"/>
        <v>48</v>
      </c>
    </row>
    <row r="1173" spans="1:18">
      <c r="A1173" s="71">
        <v>7354</v>
      </c>
      <c r="B1173" s="72">
        <v>37963</v>
      </c>
      <c r="C1173" s="71" t="s">
        <v>9086</v>
      </c>
      <c r="D1173" s="72">
        <v>37963</v>
      </c>
      <c r="E1173" s="71" t="s">
        <v>9087</v>
      </c>
      <c r="F1173" s="71" t="s">
        <v>8615</v>
      </c>
      <c r="G1173" s="71" t="s">
        <v>20</v>
      </c>
      <c r="H1173" s="71"/>
      <c r="I1173" s="71"/>
      <c r="J1173" s="71" t="s">
        <v>9088</v>
      </c>
      <c r="K1173" s="71"/>
      <c r="L1173" s="71" t="s">
        <v>66</v>
      </c>
      <c r="M1173" s="71"/>
      <c r="N1173" s="72">
        <v>38329</v>
      </c>
      <c r="O1173" s="72">
        <v>38089</v>
      </c>
      <c r="P1173" s="71"/>
      <c r="Q1173" s="71" t="b">
        <v>0</v>
      </c>
      <c r="R1173" s="22">
        <f t="shared" si="18"/>
        <v>125</v>
      </c>
    </row>
    <row r="1174" spans="1:18">
      <c r="A1174" s="71">
        <v>7363</v>
      </c>
      <c r="B1174" s="72">
        <v>37967</v>
      </c>
      <c r="C1174" s="71" t="s">
        <v>9104</v>
      </c>
      <c r="D1174" s="72">
        <v>37964</v>
      </c>
      <c r="E1174" s="71" t="s">
        <v>9105</v>
      </c>
      <c r="F1174" s="71" t="s">
        <v>3430</v>
      </c>
      <c r="G1174" s="71" t="s">
        <v>20</v>
      </c>
      <c r="H1174" s="71" t="s">
        <v>71</v>
      </c>
      <c r="I1174" s="71" t="s">
        <v>72</v>
      </c>
      <c r="J1174" s="71" t="s">
        <v>9106</v>
      </c>
      <c r="K1174" s="71" t="s">
        <v>5668</v>
      </c>
      <c r="L1174" s="71" t="s">
        <v>8318</v>
      </c>
      <c r="M1174" s="71"/>
      <c r="O1174" s="72">
        <v>37977</v>
      </c>
      <c r="P1174" s="71"/>
      <c r="Q1174" s="71" t="b">
        <v>0</v>
      </c>
      <c r="R1174" s="22">
        <f t="shared" si="18"/>
        <v>10</v>
      </c>
    </row>
    <row r="1175" spans="1:18">
      <c r="A1175" s="71">
        <v>7365</v>
      </c>
      <c r="B1175" s="72">
        <v>37970</v>
      </c>
      <c r="C1175" s="71" t="s">
        <v>9107</v>
      </c>
      <c r="D1175" s="72">
        <v>37970</v>
      </c>
      <c r="E1175" s="71" t="s">
        <v>9108</v>
      </c>
      <c r="F1175" s="71" t="s">
        <v>8615</v>
      </c>
      <c r="G1175" s="71" t="s">
        <v>20</v>
      </c>
      <c r="H1175" s="71"/>
      <c r="I1175" s="71"/>
      <c r="J1175" s="71" t="s">
        <v>5686</v>
      </c>
      <c r="K1175" s="71" t="s">
        <v>9109</v>
      </c>
      <c r="L1175" s="71" t="s">
        <v>9110</v>
      </c>
      <c r="M1175" s="71"/>
      <c r="N1175" s="72">
        <v>38001</v>
      </c>
      <c r="O1175" s="72">
        <v>38026</v>
      </c>
      <c r="P1175" s="71"/>
      <c r="Q1175" s="71" t="b">
        <v>0</v>
      </c>
      <c r="R1175" s="22">
        <f t="shared" si="18"/>
        <v>54</v>
      </c>
    </row>
    <row r="1176" spans="1:18">
      <c r="A1176" s="71">
        <v>7367</v>
      </c>
      <c r="B1176" s="72">
        <v>37971</v>
      </c>
      <c r="C1176" s="71" t="s">
        <v>9113</v>
      </c>
      <c r="D1176" s="72">
        <v>37966</v>
      </c>
      <c r="E1176" s="71" t="s">
        <v>9114</v>
      </c>
      <c r="F1176" s="71" t="s">
        <v>455</v>
      </c>
      <c r="G1176" s="71" t="s">
        <v>20</v>
      </c>
      <c r="H1176" s="71"/>
      <c r="I1176" s="71"/>
      <c r="J1176" s="71" t="s">
        <v>9115</v>
      </c>
      <c r="K1176" s="71" t="s">
        <v>9116</v>
      </c>
      <c r="L1176" s="71" t="s">
        <v>314</v>
      </c>
      <c r="M1176" s="71"/>
      <c r="O1176" s="72">
        <v>37979</v>
      </c>
      <c r="P1176" s="71"/>
      <c r="Q1176" s="71" t="b">
        <v>0</v>
      </c>
      <c r="R1176" s="22">
        <f t="shared" si="18"/>
        <v>8</v>
      </c>
    </row>
    <row r="1177" spans="1:18">
      <c r="A1177" s="71">
        <v>7369</v>
      </c>
      <c r="B1177" s="72">
        <v>37972</v>
      </c>
      <c r="C1177" s="71" t="s">
        <v>9121</v>
      </c>
      <c r="D1177" s="72">
        <v>37972</v>
      </c>
      <c r="E1177" s="71" t="s">
        <v>9122</v>
      </c>
      <c r="F1177" s="71" t="s">
        <v>3430</v>
      </c>
      <c r="G1177" s="71" t="s">
        <v>20</v>
      </c>
      <c r="H1177" s="71" t="s">
        <v>71</v>
      </c>
      <c r="I1177" s="71" t="s">
        <v>72</v>
      </c>
      <c r="J1177" s="71" t="s">
        <v>19870</v>
      </c>
      <c r="K1177" s="71" t="s">
        <v>9124</v>
      </c>
      <c r="L1177" s="71" t="s">
        <v>8318</v>
      </c>
      <c r="M1177" s="71"/>
      <c r="O1177" s="72">
        <v>37973</v>
      </c>
      <c r="P1177" s="71"/>
      <c r="Q1177" s="71" t="b">
        <v>0</v>
      </c>
      <c r="R1177" s="22">
        <f t="shared" si="18"/>
        <v>1</v>
      </c>
    </row>
    <row r="1178" spans="1:18">
      <c r="A1178" s="71">
        <v>7374</v>
      </c>
      <c r="B1178" s="72">
        <v>37974</v>
      </c>
      <c r="C1178" s="71" t="s">
        <v>9130</v>
      </c>
      <c r="D1178" s="72">
        <v>37974</v>
      </c>
      <c r="E1178" s="71" t="s">
        <v>9131</v>
      </c>
      <c r="F1178" s="71" t="s">
        <v>327</v>
      </c>
      <c r="G1178" s="71" t="s">
        <v>20</v>
      </c>
      <c r="H1178" s="71"/>
      <c r="I1178" s="71"/>
      <c r="J1178" s="71" t="s">
        <v>3538</v>
      </c>
      <c r="K1178" s="71" t="s">
        <v>7104</v>
      </c>
      <c r="L1178" s="71" t="s">
        <v>3588</v>
      </c>
      <c r="M1178" s="71" t="s">
        <v>9132</v>
      </c>
      <c r="N1178" s="72">
        <v>38340</v>
      </c>
      <c r="O1178" s="72">
        <v>39638</v>
      </c>
      <c r="P1178" s="71"/>
      <c r="Q1178" s="71" t="b">
        <v>0</v>
      </c>
      <c r="R1178" s="22">
        <f t="shared" si="18"/>
        <v>1662</v>
      </c>
    </row>
    <row r="1179" spans="1:18">
      <c r="A1179" s="71">
        <v>7376</v>
      </c>
      <c r="B1179" s="72">
        <v>37973</v>
      </c>
      <c r="C1179" s="71" t="s">
        <v>9136</v>
      </c>
      <c r="D1179" s="72">
        <v>37966</v>
      </c>
      <c r="E1179" s="71" t="s">
        <v>9137</v>
      </c>
      <c r="F1179" s="71" t="s">
        <v>5091</v>
      </c>
      <c r="G1179" s="71" t="s">
        <v>20</v>
      </c>
      <c r="H1179" s="71" t="s">
        <v>189</v>
      </c>
      <c r="I1179" s="71" t="s">
        <v>189</v>
      </c>
      <c r="J1179" s="71" t="s">
        <v>9138</v>
      </c>
      <c r="K1179" s="71" t="s">
        <v>9139</v>
      </c>
      <c r="L1179" s="71" t="s">
        <v>66</v>
      </c>
      <c r="M1179" s="71"/>
      <c r="N1179" s="72">
        <v>38339</v>
      </c>
      <c r="O1179" s="72">
        <v>38079</v>
      </c>
      <c r="P1179" s="71"/>
      <c r="Q1179" s="71" t="b">
        <v>0</v>
      </c>
      <c r="R1179" s="22">
        <f t="shared" si="18"/>
        <v>105</v>
      </c>
    </row>
    <row r="1180" spans="1:18">
      <c r="A1180" s="71">
        <v>7383</v>
      </c>
      <c r="B1180" s="72">
        <v>37984</v>
      </c>
      <c r="C1180" s="71" t="s">
        <v>9157</v>
      </c>
      <c r="D1180" s="72">
        <v>37981</v>
      </c>
      <c r="E1180" s="71" t="s">
        <v>9158</v>
      </c>
      <c r="F1180" s="71" t="s">
        <v>8615</v>
      </c>
      <c r="G1180" s="71" t="s">
        <v>20</v>
      </c>
      <c r="H1180" s="71"/>
      <c r="I1180" s="71"/>
      <c r="J1180" s="71" t="s">
        <v>9159</v>
      </c>
      <c r="K1180" s="71" t="s">
        <v>9160</v>
      </c>
      <c r="L1180" s="71" t="s">
        <v>8318</v>
      </c>
      <c r="M1180" s="71"/>
      <c r="N1180" s="72">
        <v>38350</v>
      </c>
      <c r="O1180" s="72">
        <v>38035</v>
      </c>
      <c r="P1180" s="71"/>
      <c r="Q1180" s="71" t="b">
        <v>0</v>
      </c>
      <c r="R1180" s="22">
        <f t="shared" si="18"/>
        <v>49</v>
      </c>
    </row>
    <row r="1181" spans="1:18">
      <c r="A1181" s="71">
        <v>7385</v>
      </c>
      <c r="B1181" s="72">
        <v>37988</v>
      </c>
      <c r="C1181" s="71" t="s">
        <v>9161</v>
      </c>
      <c r="D1181" s="72">
        <v>37985</v>
      </c>
      <c r="E1181" s="71" t="s">
        <v>9162</v>
      </c>
      <c r="F1181" s="71" t="s">
        <v>371</v>
      </c>
      <c r="G1181" s="71" t="s">
        <v>20</v>
      </c>
      <c r="H1181" s="71"/>
      <c r="I1181" s="71"/>
      <c r="J1181" s="71" t="s">
        <v>8836</v>
      </c>
      <c r="K1181" s="71" t="s">
        <v>9163</v>
      </c>
      <c r="L1181" s="71" t="s">
        <v>66</v>
      </c>
      <c r="M1181" s="71"/>
      <c r="N1181" s="72">
        <v>38354</v>
      </c>
      <c r="O1181" s="72">
        <v>38028</v>
      </c>
      <c r="P1181" s="71">
        <v>-1</v>
      </c>
      <c r="Q1181" s="71" t="b">
        <v>0</v>
      </c>
      <c r="R1181" s="22">
        <f t="shared" si="18"/>
        <v>39</v>
      </c>
    </row>
    <row r="1182" spans="1:18">
      <c r="A1182" s="71">
        <v>7392</v>
      </c>
      <c r="B1182" s="72">
        <v>37992</v>
      </c>
      <c r="C1182" s="71" t="s">
        <v>9182</v>
      </c>
      <c r="D1182" s="72">
        <v>37991</v>
      </c>
      <c r="E1182" s="71" t="s">
        <v>9183</v>
      </c>
      <c r="F1182" s="71" t="s">
        <v>1232</v>
      </c>
      <c r="G1182" s="71" t="s">
        <v>20</v>
      </c>
      <c r="H1182" s="71" t="s">
        <v>189</v>
      </c>
      <c r="I1182" s="71" t="s">
        <v>189</v>
      </c>
      <c r="J1182" s="71" t="s">
        <v>9184</v>
      </c>
      <c r="K1182" s="71" t="s">
        <v>5369</v>
      </c>
      <c r="L1182" s="71" t="s">
        <v>4282</v>
      </c>
      <c r="M1182" s="71"/>
      <c r="N1182" s="72">
        <v>38358</v>
      </c>
      <c r="O1182" s="72">
        <v>38008</v>
      </c>
      <c r="P1182" s="71"/>
      <c r="Q1182" s="71" t="b">
        <v>0</v>
      </c>
      <c r="R1182" s="22">
        <f t="shared" si="18"/>
        <v>16</v>
      </c>
    </row>
    <row r="1183" spans="1:18">
      <c r="A1183" s="71">
        <v>7407</v>
      </c>
      <c r="B1183" s="72">
        <v>38001</v>
      </c>
      <c r="C1183" s="71" t="s">
        <v>9228</v>
      </c>
      <c r="D1183" s="72">
        <v>38000</v>
      </c>
      <c r="E1183" s="71" t="s">
        <v>4172</v>
      </c>
      <c r="F1183" s="71" t="s">
        <v>6953</v>
      </c>
      <c r="G1183" s="71" t="s">
        <v>20</v>
      </c>
      <c r="H1183" s="71"/>
      <c r="I1183" s="71"/>
      <c r="J1183" s="71" t="s">
        <v>9229</v>
      </c>
      <c r="K1183" s="71" t="s">
        <v>9230</v>
      </c>
      <c r="L1183" s="71" t="s">
        <v>314</v>
      </c>
      <c r="M1183" s="71"/>
      <c r="O1183" s="72">
        <v>38061</v>
      </c>
      <c r="P1183" s="71">
        <v>-1</v>
      </c>
      <c r="Q1183" s="71" t="b">
        <v>0</v>
      </c>
      <c r="R1183" s="22">
        <f t="shared" si="18"/>
        <v>60</v>
      </c>
    </row>
    <row r="1184" spans="1:18">
      <c r="A1184" s="71">
        <v>7408</v>
      </c>
      <c r="B1184" s="72">
        <v>38001</v>
      </c>
      <c r="C1184" s="71" t="s">
        <v>9231</v>
      </c>
      <c r="D1184" s="72">
        <v>38000</v>
      </c>
      <c r="E1184" s="71" t="s">
        <v>4172</v>
      </c>
      <c r="F1184" s="71" t="s">
        <v>27</v>
      </c>
      <c r="G1184" s="71" t="s">
        <v>20</v>
      </c>
      <c r="H1184" s="71"/>
      <c r="I1184" s="71"/>
      <c r="J1184" s="71" t="s">
        <v>4690</v>
      </c>
      <c r="K1184" s="71" t="s">
        <v>9232</v>
      </c>
      <c r="L1184" s="71" t="s">
        <v>4282</v>
      </c>
      <c r="M1184" s="71"/>
      <c r="O1184" s="72">
        <v>38226</v>
      </c>
      <c r="P1184" s="71"/>
      <c r="Q1184" s="71" t="b">
        <v>0</v>
      </c>
      <c r="R1184" s="22">
        <f t="shared" si="18"/>
        <v>225</v>
      </c>
    </row>
    <row r="1185" spans="1:18">
      <c r="A1185" s="71">
        <v>7410</v>
      </c>
      <c r="B1185" s="72">
        <v>38006</v>
      </c>
      <c r="C1185" s="71" t="s">
        <v>9233</v>
      </c>
      <c r="D1185" s="72">
        <v>38002</v>
      </c>
      <c r="E1185" s="71" t="s">
        <v>9234</v>
      </c>
      <c r="F1185" s="71" t="s">
        <v>5704</v>
      </c>
      <c r="G1185" s="71" t="s">
        <v>20</v>
      </c>
      <c r="H1185" s="71"/>
      <c r="I1185" s="71"/>
      <c r="J1185" s="71" t="s">
        <v>9235</v>
      </c>
      <c r="K1185" s="71" t="s">
        <v>9236</v>
      </c>
      <c r="L1185" s="71" t="s">
        <v>314</v>
      </c>
      <c r="M1185" s="71"/>
      <c r="O1185" s="72">
        <v>38174</v>
      </c>
      <c r="P1185" s="71"/>
      <c r="Q1185" s="71" t="b">
        <v>0</v>
      </c>
      <c r="R1185" s="22">
        <f t="shared" si="18"/>
        <v>168</v>
      </c>
    </row>
    <row r="1186" spans="1:18">
      <c r="A1186" s="71">
        <v>7431</v>
      </c>
      <c r="B1186" s="72">
        <v>38012</v>
      </c>
      <c r="C1186" s="71" t="s">
        <v>9270</v>
      </c>
      <c r="D1186" s="72">
        <v>38007</v>
      </c>
      <c r="E1186" s="71" t="s">
        <v>9271</v>
      </c>
      <c r="F1186" s="71" t="s">
        <v>350</v>
      </c>
      <c r="G1186" s="71" t="s">
        <v>20</v>
      </c>
      <c r="H1186" s="71"/>
      <c r="I1186" s="71"/>
      <c r="J1186" s="71" t="s">
        <v>9272</v>
      </c>
      <c r="K1186" s="71" t="s">
        <v>9273</v>
      </c>
      <c r="L1186" s="71" t="s">
        <v>66</v>
      </c>
      <c r="M1186" s="71"/>
      <c r="N1186" s="72">
        <v>38103</v>
      </c>
      <c r="O1186" s="72">
        <v>38022</v>
      </c>
      <c r="P1186" s="71"/>
      <c r="Q1186" s="71" t="b">
        <v>0</v>
      </c>
      <c r="R1186" s="22">
        <f t="shared" si="18"/>
        <v>9</v>
      </c>
    </row>
    <row r="1187" spans="1:18">
      <c r="A1187" s="71">
        <v>7461</v>
      </c>
      <c r="B1187" s="72">
        <v>38013</v>
      </c>
      <c r="C1187" s="71" t="s">
        <v>9345</v>
      </c>
      <c r="D1187" s="72">
        <v>38013</v>
      </c>
      <c r="E1187" s="71" t="s">
        <v>4172</v>
      </c>
      <c r="F1187" s="71" t="s">
        <v>1047</v>
      </c>
      <c r="G1187" s="71" t="s">
        <v>20</v>
      </c>
      <c r="H1187" s="71" t="s">
        <v>71</v>
      </c>
      <c r="I1187" s="71" t="s">
        <v>72</v>
      </c>
      <c r="J1187" s="71" t="s">
        <v>7150</v>
      </c>
      <c r="K1187" s="71" t="s">
        <v>5369</v>
      </c>
      <c r="L1187" s="71" t="s">
        <v>8318</v>
      </c>
      <c r="M1187" s="71"/>
      <c r="O1187" s="72">
        <v>38022</v>
      </c>
      <c r="P1187" s="71">
        <v>-1</v>
      </c>
      <c r="Q1187" s="71" t="b">
        <v>0</v>
      </c>
      <c r="R1187" s="22">
        <f t="shared" si="18"/>
        <v>8</v>
      </c>
    </row>
    <row r="1188" spans="1:18">
      <c r="A1188" s="71">
        <v>7517</v>
      </c>
      <c r="B1188" s="72">
        <v>38016</v>
      </c>
      <c r="C1188" s="71" t="s">
        <v>9475</v>
      </c>
      <c r="D1188" s="72">
        <v>38016</v>
      </c>
      <c r="E1188" s="71" t="s">
        <v>9476</v>
      </c>
      <c r="F1188" s="71" t="s">
        <v>194</v>
      </c>
      <c r="G1188" s="71" t="s">
        <v>20</v>
      </c>
      <c r="H1188" s="71" t="s">
        <v>71</v>
      </c>
      <c r="I1188" s="71" t="s">
        <v>72</v>
      </c>
      <c r="J1188" s="71" t="s">
        <v>9477</v>
      </c>
      <c r="K1188" s="71" t="s">
        <v>1675</v>
      </c>
      <c r="L1188" s="71" t="s">
        <v>4579</v>
      </c>
      <c r="M1188" s="71" t="s">
        <v>66</v>
      </c>
      <c r="O1188" s="72">
        <v>38296</v>
      </c>
      <c r="P1188" s="71"/>
      <c r="Q1188" s="71" t="b">
        <v>0</v>
      </c>
      <c r="R1188" s="22">
        <f t="shared" si="18"/>
        <v>278</v>
      </c>
    </row>
    <row r="1189" spans="1:18">
      <c r="A1189" s="71">
        <v>7538</v>
      </c>
      <c r="B1189" s="72">
        <v>38019</v>
      </c>
      <c r="C1189" s="71" t="s">
        <v>9529</v>
      </c>
      <c r="D1189" s="72">
        <v>38019</v>
      </c>
      <c r="E1189" s="71" t="s">
        <v>9530</v>
      </c>
      <c r="F1189" s="71" t="s">
        <v>6953</v>
      </c>
      <c r="G1189" s="71" t="s">
        <v>20</v>
      </c>
      <c r="H1189" s="71"/>
      <c r="I1189" s="71"/>
      <c r="J1189" s="71" t="s">
        <v>9531</v>
      </c>
      <c r="K1189" s="71"/>
      <c r="L1189" s="71" t="s">
        <v>4282</v>
      </c>
      <c r="M1189" s="71"/>
      <c r="N1189" s="72">
        <v>38046</v>
      </c>
      <c r="O1189" s="72">
        <v>38030</v>
      </c>
      <c r="P1189" s="71"/>
      <c r="Q1189" s="71" t="b">
        <v>0</v>
      </c>
      <c r="R1189" s="22">
        <f t="shared" si="18"/>
        <v>11</v>
      </c>
    </row>
    <row r="1190" spans="1:18">
      <c r="A1190" s="71">
        <v>7539</v>
      </c>
      <c r="B1190" s="72">
        <v>38019</v>
      </c>
      <c r="C1190" s="71" t="s">
        <v>9532</v>
      </c>
      <c r="D1190" s="72">
        <v>38019</v>
      </c>
      <c r="E1190" s="71" t="s">
        <v>9533</v>
      </c>
      <c r="F1190" s="71" t="s">
        <v>533</v>
      </c>
      <c r="G1190" s="71" t="s">
        <v>20</v>
      </c>
      <c r="H1190" s="71"/>
      <c r="I1190" s="71"/>
      <c r="J1190" s="71" t="s">
        <v>9534</v>
      </c>
      <c r="K1190" s="71" t="s">
        <v>9535</v>
      </c>
      <c r="L1190" s="71" t="s">
        <v>314</v>
      </c>
      <c r="M1190" s="71"/>
      <c r="N1190" s="72">
        <v>38385</v>
      </c>
      <c r="O1190" s="72">
        <v>38037</v>
      </c>
      <c r="P1190" s="71"/>
      <c r="Q1190" s="71" t="b">
        <v>0</v>
      </c>
      <c r="R1190" s="22">
        <f t="shared" si="18"/>
        <v>18</v>
      </c>
    </row>
    <row r="1191" spans="1:18">
      <c r="A1191" s="71">
        <v>7571</v>
      </c>
      <c r="B1191" s="72">
        <v>38020</v>
      </c>
      <c r="C1191" s="71" t="s">
        <v>9573</v>
      </c>
      <c r="D1191" s="72">
        <v>38020</v>
      </c>
      <c r="E1191" s="71" t="s">
        <v>9574</v>
      </c>
      <c r="F1191" s="71" t="s">
        <v>56</v>
      </c>
      <c r="G1191" s="71" t="s">
        <v>20</v>
      </c>
      <c r="H1191" s="71"/>
      <c r="I1191" s="71"/>
      <c r="J1191" s="71" t="s">
        <v>9575</v>
      </c>
      <c r="K1191" s="71" t="s">
        <v>9576</v>
      </c>
      <c r="L1191" s="71" t="s">
        <v>66</v>
      </c>
      <c r="M1191" s="71"/>
      <c r="O1191" s="72">
        <v>38160</v>
      </c>
      <c r="P1191" s="71">
        <v>-1</v>
      </c>
      <c r="Q1191" s="71" t="b">
        <v>0</v>
      </c>
      <c r="R1191" s="22">
        <f t="shared" si="18"/>
        <v>140</v>
      </c>
    </row>
    <row r="1192" spans="1:18">
      <c r="A1192" s="71">
        <v>7580</v>
      </c>
      <c r="B1192" s="72">
        <v>38028</v>
      </c>
      <c r="C1192" s="71" t="s">
        <v>9586</v>
      </c>
      <c r="D1192" s="72">
        <v>38028</v>
      </c>
      <c r="E1192" s="71" t="s">
        <v>4172</v>
      </c>
      <c r="F1192" s="71" t="s">
        <v>145</v>
      </c>
      <c r="G1192" s="71" t="s">
        <v>20</v>
      </c>
      <c r="H1192" s="71"/>
      <c r="I1192" s="71"/>
      <c r="J1192" s="71" t="s">
        <v>9587</v>
      </c>
      <c r="K1192" s="71" t="s">
        <v>9588</v>
      </c>
      <c r="L1192" s="71" t="s">
        <v>8318</v>
      </c>
      <c r="M1192" s="71"/>
      <c r="O1192" s="72">
        <v>39253</v>
      </c>
      <c r="P1192" s="71">
        <v>-1</v>
      </c>
      <c r="Q1192" s="71" t="b">
        <v>0</v>
      </c>
      <c r="R1192" s="22">
        <f t="shared" si="18"/>
        <v>1225</v>
      </c>
    </row>
    <row r="1193" spans="1:18">
      <c r="A1193" s="71">
        <v>7589</v>
      </c>
      <c r="B1193" s="72">
        <v>38037</v>
      </c>
      <c r="C1193" s="71" t="s">
        <v>9604</v>
      </c>
      <c r="D1193" s="72">
        <v>38037</v>
      </c>
      <c r="E1193" s="71" t="s">
        <v>9605</v>
      </c>
      <c r="F1193" s="71" t="s">
        <v>5704</v>
      </c>
      <c r="G1193" s="71" t="s">
        <v>20</v>
      </c>
      <c r="H1193" s="71"/>
      <c r="I1193" s="71"/>
      <c r="J1193" s="71" t="s">
        <v>9606</v>
      </c>
      <c r="K1193" s="71" t="s">
        <v>9607</v>
      </c>
      <c r="L1193" s="71" t="s">
        <v>8318</v>
      </c>
      <c r="M1193" s="71"/>
      <c r="O1193" s="72">
        <v>38037</v>
      </c>
      <c r="P1193" s="71">
        <v>-1</v>
      </c>
      <c r="Q1193" s="71" t="b">
        <v>0</v>
      </c>
      <c r="R1193" s="22">
        <f t="shared" si="18"/>
        <v>0</v>
      </c>
    </row>
    <row r="1194" spans="1:18">
      <c r="A1194" s="71">
        <v>7590</v>
      </c>
      <c r="B1194" s="72">
        <v>38037</v>
      </c>
      <c r="C1194" s="71" t="s">
        <v>9608</v>
      </c>
      <c r="D1194" s="72">
        <v>38033</v>
      </c>
      <c r="E1194" s="71" t="s">
        <v>4172</v>
      </c>
      <c r="F1194" s="71" t="s">
        <v>5690</v>
      </c>
      <c r="G1194" s="71" t="s">
        <v>20</v>
      </c>
      <c r="H1194" s="71" t="s">
        <v>71</v>
      </c>
      <c r="I1194" s="71" t="s">
        <v>72</v>
      </c>
      <c r="J1194" s="71" t="s">
        <v>9609</v>
      </c>
      <c r="K1194" s="71" t="s">
        <v>5668</v>
      </c>
      <c r="L1194" s="71" t="s">
        <v>314</v>
      </c>
      <c r="M1194" s="71"/>
      <c r="O1194" s="72">
        <v>38078</v>
      </c>
      <c r="P1194" s="71">
        <v>-1</v>
      </c>
      <c r="Q1194" s="71" t="b">
        <v>0</v>
      </c>
      <c r="R1194" s="22">
        <f t="shared" si="18"/>
        <v>41</v>
      </c>
    </row>
    <row r="1195" spans="1:18">
      <c r="A1195" s="71">
        <v>7602</v>
      </c>
      <c r="B1195" s="72">
        <v>38042</v>
      </c>
      <c r="C1195" s="71" t="s">
        <v>9631</v>
      </c>
      <c r="D1195" s="72">
        <v>38042</v>
      </c>
      <c r="E1195" s="71" t="s">
        <v>9632</v>
      </c>
      <c r="F1195" s="71" t="s">
        <v>1047</v>
      </c>
      <c r="G1195" s="71" t="s">
        <v>20</v>
      </c>
      <c r="H1195" s="71" t="s">
        <v>71</v>
      </c>
      <c r="I1195" s="71" t="s">
        <v>72</v>
      </c>
      <c r="J1195" s="71" t="s">
        <v>9633</v>
      </c>
      <c r="K1195" s="71" t="s">
        <v>9634</v>
      </c>
      <c r="L1195" s="71" t="s">
        <v>66</v>
      </c>
      <c r="M1195" s="71"/>
      <c r="N1195" s="72">
        <v>38047</v>
      </c>
      <c r="O1195" s="72">
        <v>38047</v>
      </c>
      <c r="P1195" s="71"/>
      <c r="Q1195" s="71" t="b">
        <v>0</v>
      </c>
      <c r="R1195" s="22">
        <f t="shared" si="18"/>
        <v>6</v>
      </c>
    </row>
    <row r="1196" spans="1:18">
      <c r="A1196" s="71">
        <v>7612</v>
      </c>
      <c r="B1196" s="72">
        <v>38042</v>
      </c>
      <c r="C1196" s="71" t="s">
        <v>9658</v>
      </c>
      <c r="D1196" s="72">
        <v>38040</v>
      </c>
      <c r="E1196" s="71" t="s">
        <v>9659</v>
      </c>
      <c r="F1196" s="71" t="s">
        <v>350</v>
      </c>
      <c r="G1196" s="71" t="s">
        <v>20</v>
      </c>
      <c r="H1196" s="71"/>
      <c r="I1196" s="71"/>
      <c r="J1196" s="71" t="s">
        <v>9660</v>
      </c>
      <c r="K1196" s="71" t="s">
        <v>9661</v>
      </c>
      <c r="L1196" s="71" t="s">
        <v>4282</v>
      </c>
      <c r="M1196" s="71"/>
      <c r="O1196" s="72">
        <v>38057</v>
      </c>
      <c r="P1196" s="71">
        <v>-1</v>
      </c>
      <c r="Q1196" s="71" t="b">
        <v>0</v>
      </c>
      <c r="R1196" s="22">
        <f t="shared" si="18"/>
        <v>16</v>
      </c>
    </row>
    <row r="1197" spans="1:18">
      <c r="A1197" s="71">
        <v>7622</v>
      </c>
      <c r="B1197" s="72">
        <v>38056</v>
      </c>
      <c r="C1197" s="71" t="s">
        <v>9684</v>
      </c>
      <c r="D1197" s="72">
        <v>38044</v>
      </c>
      <c r="E1197" s="71" t="s">
        <v>9685</v>
      </c>
      <c r="F1197" s="71" t="s">
        <v>8939</v>
      </c>
      <c r="G1197" s="71" t="s">
        <v>20</v>
      </c>
      <c r="H1197" s="71" t="s">
        <v>566</v>
      </c>
      <c r="I1197" s="71" t="s">
        <v>566</v>
      </c>
      <c r="J1197" s="71" t="s">
        <v>9686</v>
      </c>
      <c r="K1197" s="71" t="s">
        <v>4693</v>
      </c>
      <c r="L1197" s="71" t="s">
        <v>4579</v>
      </c>
      <c r="M1197" s="71" t="s">
        <v>66</v>
      </c>
      <c r="O1197" s="72">
        <v>38882</v>
      </c>
      <c r="P1197" s="71"/>
      <c r="Q1197" s="71" t="b">
        <v>0</v>
      </c>
      <c r="R1197" s="22">
        <f t="shared" si="18"/>
        <v>825</v>
      </c>
    </row>
    <row r="1198" spans="1:18">
      <c r="A1198" s="71">
        <v>7625</v>
      </c>
      <c r="B1198" s="72">
        <v>38061</v>
      </c>
      <c r="C1198" s="71" t="s">
        <v>9690</v>
      </c>
      <c r="D1198" s="72">
        <v>38061</v>
      </c>
      <c r="E1198" s="71" t="s">
        <v>4172</v>
      </c>
      <c r="F1198" s="71" t="s">
        <v>5704</v>
      </c>
      <c r="G1198" s="71" t="s">
        <v>20</v>
      </c>
      <c r="H1198" s="71"/>
      <c r="I1198" s="71"/>
      <c r="J1198" s="71" t="s">
        <v>9691</v>
      </c>
      <c r="K1198" s="71" t="s">
        <v>9692</v>
      </c>
      <c r="L1198" s="71" t="s">
        <v>8318</v>
      </c>
      <c r="M1198" s="71"/>
      <c r="O1198" s="72">
        <v>38062</v>
      </c>
      <c r="P1198" s="71">
        <v>-1</v>
      </c>
      <c r="Q1198" s="71" t="b">
        <v>0</v>
      </c>
      <c r="R1198" s="22">
        <f t="shared" si="18"/>
        <v>1</v>
      </c>
    </row>
    <row r="1199" spans="1:18">
      <c r="A1199" s="71">
        <v>7656</v>
      </c>
      <c r="B1199" s="72">
        <v>38075</v>
      </c>
      <c r="C1199" s="71" t="s">
        <v>9729</v>
      </c>
      <c r="D1199" s="72">
        <v>38071</v>
      </c>
      <c r="E1199" s="71" t="s">
        <v>9730</v>
      </c>
      <c r="F1199" s="71" t="s">
        <v>345</v>
      </c>
      <c r="G1199" s="71" t="s">
        <v>20</v>
      </c>
      <c r="H1199" s="71" t="s">
        <v>71</v>
      </c>
      <c r="I1199" s="71" t="s">
        <v>72</v>
      </c>
      <c r="J1199" s="71" t="s">
        <v>9731</v>
      </c>
      <c r="K1199" s="71" t="s">
        <v>9732</v>
      </c>
      <c r="L1199" s="71" t="s">
        <v>314</v>
      </c>
      <c r="M1199" s="71"/>
      <c r="O1199" s="72">
        <v>38131</v>
      </c>
      <c r="P1199" s="71"/>
      <c r="Q1199" s="71" t="b">
        <v>0</v>
      </c>
      <c r="R1199" s="22">
        <f t="shared" si="18"/>
        <v>55</v>
      </c>
    </row>
    <row r="1200" spans="1:18">
      <c r="A1200" s="71">
        <v>7659</v>
      </c>
      <c r="B1200" s="72">
        <v>38075</v>
      </c>
      <c r="C1200" s="71" t="s">
        <v>9737</v>
      </c>
      <c r="D1200" s="72">
        <v>38072</v>
      </c>
      <c r="E1200" s="71" t="s">
        <v>9738</v>
      </c>
      <c r="F1200" s="71" t="s">
        <v>27</v>
      </c>
      <c r="G1200" s="71" t="s">
        <v>20</v>
      </c>
      <c r="H1200" s="71"/>
      <c r="I1200" s="71"/>
      <c r="J1200" s="71" t="s">
        <v>6752</v>
      </c>
      <c r="K1200" s="71" t="s">
        <v>9739</v>
      </c>
      <c r="L1200" s="71" t="s">
        <v>8318</v>
      </c>
      <c r="M1200" s="71"/>
      <c r="O1200" s="72">
        <v>38076</v>
      </c>
      <c r="P1200" s="71"/>
      <c r="Q1200" s="71" t="b">
        <v>0</v>
      </c>
      <c r="R1200" s="22">
        <f t="shared" si="18"/>
        <v>1</v>
      </c>
    </row>
    <row r="1201" spans="1:18">
      <c r="A1201" s="71">
        <v>7666</v>
      </c>
      <c r="B1201" s="72">
        <v>38079</v>
      </c>
      <c r="C1201" s="71" t="s">
        <v>9743</v>
      </c>
      <c r="D1201" s="72">
        <v>38078</v>
      </c>
      <c r="E1201" s="71" t="s">
        <v>9744</v>
      </c>
      <c r="F1201" s="71" t="s">
        <v>3430</v>
      </c>
      <c r="G1201" s="71" t="s">
        <v>20</v>
      </c>
      <c r="H1201" s="71" t="s">
        <v>71</v>
      </c>
      <c r="I1201" s="71" t="s">
        <v>72</v>
      </c>
      <c r="J1201" s="71" t="s">
        <v>9745</v>
      </c>
      <c r="K1201" s="71" t="s">
        <v>9746</v>
      </c>
      <c r="L1201" s="71" t="s">
        <v>4282</v>
      </c>
      <c r="M1201" s="71"/>
      <c r="O1201" s="72">
        <v>38455</v>
      </c>
      <c r="P1201" s="71"/>
      <c r="Q1201" s="71" t="b">
        <v>0</v>
      </c>
      <c r="R1201" s="22">
        <f t="shared" si="18"/>
        <v>376</v>
      </c>
    </row>
    <row r="1202" spans="1:18">
      <c r="A1202" s="71">
        <v>7669</v>
      </c>
      <c r="B1202" s="72">
        <v>38084</v>
      </c>
      <c r="C1202" s="71" t="s">
        <v>9754</v>
      </c>
      <c r="D1202" s="72">
        <v>38084</v>
      </c>
      <c r="E1202" s="71" t="s">
        <v>9755</v>
      </c>
      <c r="F1202" s="71" t="s">
        <v>8406</v>
      </c>
      <c r="G1202" s="71" t="s">
        <v>20</v>
      </c>
      <c r="H1202" s="71" t="s">
        <v>71</v>
      </c>
      <c r="I1202" s="71" t="s">
        <v>72</v>
      </c>
      <c r="J1202" s="71" t="s">
        <v>8828</v>
      </c>
      <c r="K1202" s="71" t="s">
        <v>9756</v>
      </c>
      <c r="L1202" s="71" t="s">
        <v>4282</v>
      </c>
      <c r="M1202" s="71"/>
      <c r="O1202" s="72">
        <v>38371</v>
      </c>
      <c r="P1202" s="71">
        <v>-1</v>
      </c>
      <c r="Q1202" s="71" t="b">
        <v>0</v>
      </c>
      <c r="R1202" s="22">
        <f t="shared" si="18"/>
        <v>285</v>
      </c>
    </row>
    <row r="1203" spans="1:18">
      <c r="A1203" s="71">
        <v>7671</v>
      </c>
      <c r="B1203" s="72">
        <v>38085</v>
      </c>
      <c r="C1203" s="71" t="s">
        <v>9760</v>
      </c>
      <c r="D1203" s="72">
        <v>38085</v>
      </c>
      <c r="E1203" s="71" t="s">
        <v>9761</v>
      </c>
      <c r="F1203" s="71" t="s">
        <v>3333</v>
      </c>
      <c r="G1203" s="71" t="s">
        <v>189</v>
      </c>
      <c r="H1203" s="71" t="s">
        <v>189</v>
      </c>
      <c r="I1203" s="71" t="s">
        <v>189</v>
      </c>
      <c r="J1203" s="71" t="s">
        <v>9762</v>
      </c>
      <c r="K1203" s="71" t="s">
        <v>9763</v>
      </c>
      <c r="L1203" s="71" t="s">
        <v>314</v>
      </c>
      <c r="M1203" s="71"/>
      <c r="O1203" s="72">
        <v>38128</v>
      </c>
      <c r="P1203" s="71">
        <v>-1</v>
      </c>
      <c r="Q1203" s="71" t="b">
        <v>0</v>
      </c>
      <c r="R1203" s="22">
        <f t="shared" si="18"/>
        <v>43</v>
      </c>
    </row>
    <row r="1204" spans="1:18">
      <c r="A1204" s="71">
        <v>7672</v>
      </c>
      <c r="B1204" s="72">
        <v>38085</v>
      </c>
      <c r="C1204" s="71" t="s">
        <v>9764</v>
      </c>
      <c r="D1204" s="72">
        <v>38085</v>
      </c>
      <c r="E1204" s="71" t="s">
        <v>9765</v>
      </c>
      <c r="F1204" s="71" t="s">
        <v>39</v>
      </c>
      <c r="G1204" s="71" t="s">
        <v>20</v>
      </c>
      <c r="H1204" s="71"/>
      <c r="I1204" s="71"/>
      <c r="J1204" s="71" t="s">
        <v>9766</v>
      </c>
      <c r="K1204" s="71" t="s">
        <v>9767</v>
      </c>
      <c r="L1204" s="71" t="s">
        <v>66</v>
      </c>
      <c r="M1204" s="71"/>
      <c r="O1204" s="72">
        <v>38147</v>
      </c>
      <c r="P1204" s="71"/>
      <c r="Q1204" s="71" t="b">
        <v>0</v>
      </c>
      <c r="R1204" s="22">
        <f t="shared" si="18"/>
        <v>61</v>
      </c>
    </row>
    <row r="1205" spans="1:18">
      <c r="A1205" s="71">
        <v>7676</v>
      </c>
      <c r="B1205" s="72">
        <v>38076</v>
      </c>
      <c r="C1205" s="71" t="s">
        <v>9768</v>
      </c>
      <c r="D1205" s="72">
        <v>38071</v>
      </c>
      <c r="E1205" s="71" t="s">
        <v>9769</v>
      </c>
      <c r="F1205" s="71" t="s">
        <v>52</v>
      </c>
      <c r="G1205" s="71" t="s">
        <v>20</v>
      </c>
      <c r="H1205" s="71"/>
      <c r="I1205" s="71"/>
      <c r="J1205" s="71" t="s">
        <v>7457</v>
      </c>
      <c r="K1205" s="71" t="s">
        <v>9770</v>
      </c>
      <c r="L1205" s="71" t="s">
        <v>4282</v>
      </c>
      <c r="M1205" s="71"/>
      <c r="O1205" s="72">
        <v>39685</v>
      </c>
      <c r="P1205" s="71"/>
      <c r="Q1205" s="71" t="b">
        <v>0</v>
      </c>
      <c r="R1205" s="22">
        <f t="shared" si="18"/>
        <v>1607</v>
      </c>
    </row>
    <row r="1206" spans="1:18">
      <c r="A1206" s="71">
        <v>7677</v>
      </c>
      <c r="B1206" s="72">
        <v>38089</v>
      </c>
      <c r="C1206" s="71" t="s">
        <v>9771</v>
      </c>
      <c r="D1206" s="72">
        <v>38089</v>
      </c>
      <c r="E1206" s="71" t="s">
        <v>9772</v>
      </c>
      <c r="F1206" s="71" t="s">
        <v>9773</v>
      </c>
      <c r="G1206" s="71" t="s">
        <v>20</v>
      </c>
      <c r="H1206" s="71" t="s">
        <v>189</v>
      </c>
      <c r="I1206" s="71" t="s">
        <v>189</v>
      </c>
      <c r="J1206" s="71" t="s">
        <v>4570</v>
      </c>
      <c r="K1206" s="71"/>
      <c r="L1206" s="71" t="s">
        <v>3588</v>
      </c>
      <c r="M1206" s="71" t="s">
        <v>9774</v>
      </c>
      <c r="N1206" s="71"/>
      <c r="O1206" s="72">
        <v>39602</v>
      </c>
      <c r="P1206" s="71"/>
      <c r="Q1206" s="71" t="b">
        <v>0</v>
      </c>
      <c r="R1206" s="22">
        <f t="shared" si="18"/>
        <v>1511</v>
      </c>
    </row>
    <row r="1207" spans="1:18">
      <c r="A1207" s="71">
        <v>7681</v>
      </c>
      <c r="B1207" s="72">
        <v>38093</v>
      </c>
      <c r="C1207" s="71" t="s">
        <v>9785</v>
      </c>
      <c r="D1207" s="72">
        <v>38092</v>
      </c>
      <c r="E1207" s="71" t="s">
        <v>9786</v>
      </c>
      <c r="F1207" s="71" t="s">
        <v>9787</v>
      </c>
      <c r="G1207" s="71" t="s">
        <v>20</v>
      </c>
      <c r="H1207" s="71" t="s">
        <v>189</v>
      </c>
      <c r="I1207" s="71" t="s">
        <v>189</v>
      </c>
      <c r="J1207" s="71" t="s">
        <v>8828</v>
      </c>
      <c r="K1207" s="71" t="s">
        <v>9788</v>
      </c>
      <c r="L1207" s="71" t="s">
        <v>314</v>
      </c>
      <c r="M1207" s="71"/>
      <c r="O1207" s="72">
        <v>38182</v>
      </c>
      <c r="P1207" s="71">
        <v>0</v>
      </c>
      <c r="Q1207" s="71" t="b">
        <v>0</v>
      </c>
      <c r="R1207" s="22">
        <f t="shared" si="18"/>
        <v>89</v>
      </c>
    </row>
    <row r="1208" spans="1:18">
      <c r="A1208" s="71">
        <v>7682</v>
      </c>
      <c r="B1208" s="72">
        <v>38096</v>
      </c>
      <c r="C1208" s="71" t="s">
        <v>9789</v>
      </c>
      <c r="D1208" s="72">
        <v>38096</v>
      </c>
      <c r="E1208" s="71" t="s">
        <v>9790</v>
      </c>
      <c r="F1208" s="71" t="s">
        <v>359</v>
      </c>
      <c r="G1208" s="71" t="s">
        <v>20</v>
      </c>
      <c r="H1208" s="71"/>
      <c r="I1208" s="71"/>
      <c r="J1208" s="71" t="s">
        <v>20644</v>
      </c>
      <c r="K1208" s="71" t="s">
        <v>9792</v>
      </c>
      <c r="L1208" s="71" t="s">
        <v>2205</v>
      </c>
      <c r="M1208" s="71" t="s">
        <v>4282</v>
      </c>
      <c r="O1208" s="72">
        <v>38454</v>
      </c>
      <c r="P1208" s="71">
        <v>-1</v>
      </c>
      <c r="Q1208" s="71" t="b">
        <v>0</v>
      </c>
      <c r="R1208" s="22">
        <f t="shared" si="18"/>
        <v>357</v>
      </c>
    </row>
    <row r="1209" spans="1:18">
      <c r="A1209" s="71">
        <v>7689</v>
      </c>
      <c r="B1209" s="72">
        <v>38103</v>
      </c>
      <c r="C1209" s="71" t="s">
        <v>9813</v>
      </c>
      <c r="D1209" s="72">
        <v>38100</v>
      </c>
      <c r="E1209" s="71" t="s">
        <v>9814</v>
      </c>
      <c r="F1209" s="71" t="s">
        <v>359</v>
      </c>
      <c r="G1209" s="71" t="s">
        <v>20</v>
      </c>
      <c r="H1209" s="71"/>
      <c r="I1209" s="71"/>
      <c r="J1209" s="71" t="s">
        <v>9815</v>
      </c>
      <c r="K1209" s="71" t="s">
        <v>9816</v>
      </c>
      <c r="L1209" s="71" t="s">
        <v>2205</v>
      </c>
      <c r="M1209" s="71" t="s">
        <v>4282</v>
      </c>
      <c r="O1209" s="72">
        <v>38454</v>
      </c>
      <c r="P1209" s="71"/>
      <c r="Q1209" s="71" t="b">
        <v>0</v>
      </c>
      <c r="R1209" s="22">
        <f t="shared" si="18"/>
        <v>350</v>
      </c>
    </row>
    <row r="1210" spans="1:18">
      <c r="A1210" s="71">
        <v>7691</v>
      </c>
      <c r="B1210" s="72">
        <v>38107</v>
      </c>
      <c r="C1210" s="71" t="s">
        <v>9819</v>
      </c>
      <c r="D1210" s="72">
        <v>38107</v>
      </c>
      <c r="E1210" s="71" t="s">
        <v>9820</v>
      </c>
      <c r="F1210" s="71" t="s">
        <v>6084</v>
      </c>
      <c r="G1210" s="71" t="s">
        <v>20</v>
      </c>
      <c r="H1210" s="71"/>
      <c r="I1210" s="71"/>
      <c r="J1210" s="71" t="s">
        <v>9292</v>
      </c>
      <c r="K1210" s="71" t="s">
        <v>9821</v>
      </c>
      <c r="L1210" s="71" t="s">
        <v>8318</v>
      </c>
      <c r="M1210" s="71"/>
      <c r="O1210" s="72">
        <v>38107</v>
      </c>
      <c r="P1210" s="71"/>
      <c r="Q1210" s="71" t="b">
        <v>0</v>
      </c>
      <c r="R1210" s="22">
        <f t="shared" si="18"/>
        <v>0</v>
      </c>
    </row>
    <row r="1211" spans="1:18">
      <c r="A1211" s="71">
        <v>7692</v>
      </c>
      <c r="B1211" s="72">
        <v>38112</v>
      </c>
      <c r="C1211" s="71" t="s">
        <v>9822</v>
      </c>
      <c r="D1211" s="72">
        <v>38112</v>
      </c>
      <c r="E1211" s="71" t="s">
        <v>9823</v>
      </c>
      <c r="F1211" s="71" t="s">
        <v>1111</v>
      </c>
      <c r="G1211" s="71" t="s">
        <v>20</v>
      </c>
      <c r="H1211" s="71"/>
      <c r="I1211" s="71"/>
      <c r="J1211" s="71" t="s">
        <v>9824</v>
      </c>
      <c r="K1211" s="71" t="s">
        <v>8828</v>
      </c>
      <c r="L1211" s="71" t="s">
        <v>8318</v>
      </c>
      <c r="M1211" s="71"/>
      <c r="O1211" s="72">
        <v>38112</v>
      </c>
      <c r="P1211" s="71"/>
      <c r="Q1211" s="71" t="b">
        <v>0</v>
      </c>
      <c r="R1211" s="22">
        <f t="shared" si="18"/>
        <v>0</v>
      </c>
    </row>
    <row r="1212" spans="1:18">
      <c r="A1212" s="71">
        <v>7694</v>
      </c>
      <c r="B1212" s="72">
        <v>38113</v>
      </c>
      <c r="C1212" s="71" t="s">
        <v>9829</v>
      </c>
      <c r="D1212" s="72">
        <v>38109</v>
      </c>
      <c r="E1212" s="71" t="s">
        <v>9830</v>
      </c>
      <c r="F1212" s="71" t="s">
        <v>8522</v>
      </c>
      <c r="G1212" s="71" t="s">
        <v>20</v>
      </c>
      <c r="H1212" s="71"/>
      <c r="I1212" s="71"/>
      <c r="J1212" s="71" t="s">
        <v>9831</v>
      </c>
      <c r="K1212" s="71" t="s">
        <v>9832</v>
      </c>
      <c r="L1212" s="71" t="s">
        <v>314</v>
      </c>
      <c r="M1212" s="71"/>
      <c r="O1212" s="72">
        <v>38131</v>
      </c>
      <c r="P1212" s="71"/>
      <c r="Q1212" s="71" t="b">
        <v>0</v>
      </c>
      <c r="R1212" s="22">
        <f t="shared" si="18"/>
        <v>18</v>
      </c>
    </row>
    <row r="1213" spans="1:18">
      <c r="A1213" s="71">
        <v>7698</v>
      </c>
      <c r="B1213" s="72">
        <v>38120</v>
      </c>
      <c r="C1213" s="71" t="s">
        <v>9839</v>
      </c>
      <c r="D1213" s="72">
        <v>38119</v>
      </c>
      <c r="E1213" s="71" t="s">
        <v>9840</v>
      </c>
      <c r="F1213" s="71" t="s">
        <v>1678</v>
      </c>
      <c r="G1213" s="71" t="s">
        <v>20</v>
      </c>
      <c r="H1213" s="71" t="s">
        <v>566</v>
      </c>
      <c r="I1213" s="71" t="s">
        <v>566</v>
      </c>
      <c r="J1213" s="71" t="s">
        <v>9841</v>
      </c>
      <c r="K1213" s="71" t="s">
        <v>9842</v>
      </c>
      <c r="L1213" s="71" t="s">
        <v>314</v>
      </c>
      <c r="M1213" s="71"/>
      <c r="O1213" s="72">
        <v>38273</v>
      </c>
      <c r="P1213" s="71"/>
      <c r="Q1213" s="71" t="b">
        <v>0</v>
      </c>
      <c r="R1213" s="22">
        <f t="shared" si="18"/>
        <v>152</v>
      </c>
    </row>
    <row r="1214" spans="1:18">
      <c r="A1214" s="71">
        <v>7707</v>
      </c>
      <c r="B1214" s="72">
        <v>38133</v>
      </c>
      <c r="C1214" s="71" t="s">
        <v>9869</v>
      </c>
      <c r="D1214" s="72">
        <v>38133</v>
      </c>
      <c r="E1214" s="71" t="s">
        <v>9870</v>
      </c>
      <c r="F1214" s="71" t="s">
        <v>5704</v>
      </c>
      <c r="G1214" s="71" t="s">
        <v>20</v>
      </c>
      <c r="H1214" s="71"/>
      <c r="I1214" s="71"/>
      <c r="J1214" s="71" t="s">
        <v>9871</v>
      </c>
      <c r="K1214" s="71" t="s">
        <v>9872</v>
      </c>
      <c r="L1214" s="71" t="s">
        <v>8318</v>
      </c>
      <c r="M1214" s="71"/>
      <c r="O1214" s="72">
        <v>38133</v>
      </c>
      <c r="P1214" s="71">
        <v>-1</v>
      </c>
      <c r="Q1214" s="71" t="b">
        <v>0</v>
      </c>
      <c r="R1214" s="22">
        <f t="shared" si="18"/>
        <v>0</v>
      </c>
    </row>
    <row r="1215" spans="1:18">
      <c r="A1215" s="71">
        <v>7708</v>
      </c>
      <c r="B1215" s="72">
        <v>38133</v>
      </c>
      <c r="C1215" s="71" t="s">
        <v>9873</v>
      </c>
      <c r="D1215" s="72">
        <v>38133</v>
      </c>
      <c r="E1215" s="71" t="s">
        <v>9874</v>
      </c>
      <c r="F1215" s="71" t="s">
        <v>8615</v>
      </c>
      <c r="G1215" s="71" t="s">
        <v>20</v>
      </c>
      <c r="H1215" s="71"/>
      <c r="I1215" s="71"/>
      <c r="J1215" s="71" t="s">
        <v>9875</v>
      </c>
      <c r="K1215" s="71" t="s">
        <v>9876</v>
      </c>
      <c r="L1215" s="71" t="s">
        <v>8318</v>
      </c>
      <c r="M1215" s="71"/>
      <c r="O1215" s="72">
        <v>38133</v>
      </c>
      <c r="P1215" s="71"/>
      <c r="Q1215" s="71" t="b">
        <v>0</v>
      </c>
      <c r="R1215" s="22">
        <f t="shared" si="18"/>
        <v>0</v>
      </c>
    </row>
    <row r="1216" spans="1:18">
      <c r="A1216" s="71">
        <v>7709</v>
      </c>
      <c r="B1216" s="72">
        <v>38134</v>
      </c>
      <c r="C1216" s="71" t="s">
        <v>9877</v>
      </c>
      <c r="D1216" s="72">
        <v>38134</v>
      </c>
      <c r="E1216" s="71" t="s">
        <v>9878</v>
      </c>
      <c r="F1216" s="71" t="s">
        <v>3430</v>
      </c>
      <c r="G1216" s="71" t="s">
        <v>20</v>
      </c>
      <c r="H1216" s="71" t="s">
        <v>71</v>
      </c>
      <c r="I1216" s="71" t="s">
        <v>72</v>
      </c>
      <c r="J1216" s="71" t="s">
        <v>9879</v>
      </c>
      <c r="K1216" s="71" t="s">
        <v>9880</v>
      </c>
      <c r="L1216" s="71" t="s">
        <v>4282</v>
      </c>
      <c r="M1216" s="71"/>
      <c r="O1216" s="72">
        <v>38140</v>
      </c>
      <c r="P1216" s="71">
        <v>-1</v>
      </c>
      <c r="Q1216" s="71" t="b">
        <v>0</v>
      </c>
      <c r="R1216" s="22">
        <f t="shared" si="18"/>
        <v>5</v>
      </c>
    </row>
    <row r="1217" spans="1:18">
      <c r="A1217" s="71">
        <v>7715</v>
      </c>
      <c r="B1217" s="72">
        <v>38140</v>
      </c>
      <c r="C1217" s="71" t="s">
        <v>9896</v>
      </c>
      <c r="D1217" s="72">
        <v>38140</v>
      </c>
      <c r="E1217" s="71" t="s">
        <v>9897</v>
      </c>
      <c r="F1217" s="71" t="s">
        <v>5704</v>
      </c>
      <c r="G1217" s="71" t="s">
        <v>20</v>
      </c>
      <c r="H1217" s="71"/>
      <c r="I1217" s="71"/>
      <c r="J1217" s="71" t="s">
        <v>9898</v>
      </c>
      <c r="K1217" s="71" t="s">
        <v>9899</v>
      </c>
      <c r="L1217" s="71" t="s">
        <v>4282</v>
      </c>
      <c r="M1217" s="71"/>
      <c r="O1217" s="72">
        <v>38166</v>
      </c>
      <c r="P1217" s="71"/>
      <c r="Q1217" s="71" t="b">
        <v>0</v>
      </c>
      <c r="R1217" s="22">
        <f t="shared" si="18"/>
        <v>26</v>
      </c>
    </row>
    <row r="1218" spans="1:18">
      <c r="A1218" s="71">
        <v>7723</v>
      </c>
      <c r="B1218" s="72">
        <v>38153</v>
      </c>
      <c r="C1218" s="71" t="s">
        <v>9922</v>
      </c>
      <c r="D1218" s="72">
        <v>38150</v>
      </c>
      <c r="E1218" s="71" t="s">
        <v>4172</v>
      </c>
      <c r="F1218" s="71" t="s">
        <v>5690</v>
      </c>
      <c r="G1218" s="71" t="s">
        <v>20</v>
      </c>
      <c r="H1218" s="71" t="s">
        <v>71</v>
      </c>
      <c r="I1218" s="71" t="s">
        <v>72</v>
      </c>
      <c r="J1218" s="71" t="s">
        <v>7369</v>
      </c>
      <c r="K1218" s="71" t="s">
        <v>9923</v>
      </c>
      <c r="L1218" s="71" t="s">
        <v>4282</v>
      </c>
      <c r="M1218" s="71"/>
      <c r="O1218" s="72">
        <v>38209</v>
      </c>
      <c r="P1218" s="71">
        <v>-1</v>
      </c>
      <c r="Q1218" s="71" t="b">
        <v>0</v>
      </c>
      <c r="R1218" s="22">
        <f t="shared" ref="R1218:R1281" si="19">IF(O1218=" ", " ", INT(YEARFRAC(O1218, B1218)*365))</f>
        <v>55</v>
      </c>
    </row>
    <row r="1219" spans="1:18">
      <c r="A1219" s="71">
        <v>7738</v>
      </c>
      <c r="B1219" s="72">
        <v>38175</v>
      </c>
      <c r="C1219" s="71" t="s">
        <v>9956</v>
      </c>
      <c r="D1219" s="72">
        <v>38175</v>
      </c>
      <c r="E1219" s="71" t="s">
        <v>9957</v>
      </c>
      <c r="F1219" s="71" t="s">
        <v>3430</v>
      </c>
      <c r="G1219" s="71" t="s">
        <v>20</v>
      </c>
      <c r="H1219" s="71" t="s">
        <v>71</v>
      </c>
      <c r="I1219" s="71" t="s">
        <v>72</v>
      </c>
      <c r="J1219" s="71" t="s">
        <v>9958</v>
      </c>
      <c r="K1219" s="71" t="s">
        <v>9959</v>
      </c>
      <c r="L1219" s="71" t="s">
        <v>8318</v>
      </c>
      <c r="M1219" s="71"/>
      <c r="O1219" s="72">
        <v>38175</v>
      </c>
      <c r="P1219" s="71"/>
      <c r="Q1219" s="71" t="b">
        <v>0</v>
      </c>
      <c r="R1219" s="22">
        <f t="shared" si="19"/>
        <v>0</v>
      </c>
    </row>
    <row r="1220" spans="1:18">
      <c r="A1220" s="71">
        <v>7750</v>
      </c>
      <c r="B1220" s="72">
        <v>38191</v>
      </c>
      <c r="C1220" s="71" t="s">
        <v>9991</v>
      </c>
      <c r="D1220" s="72">
        <v>38188</v>
      </c>
      <c r="E1220" s="71" t="s">
        <v>9992</v>
      </c>
      <c r="F1220" s="71" t="s">
        <v>228</v>
      </c>
      <c r="G1220" s="71" t="s">
        <v>20</v>
      </c>
      <c r="H1220" s="71"/>
      <c r="I1220" s="71"/>
      <c r="J1220" s="71" t="s">
        <v>9993</v>
      </c>
      <c r="K1220" s="71" t="s">
        <v>9994</v>
      </c>
      <c r="L1220" s="71" t="s">
        <v>4282</v>
      </c>
      <c r="M1220" s="71"/>
      <c r="O1220" s="72">
        <v>38209</v>
      </c>
      <c r="P1220" s="71"/>
      <c r="Q1220" s="71" t="b">
        <v>0</v>
      </c>
      <c r="R1220" s="22">
        <f t="shared" si="19"/>
        <v>17</v>
      </c>
    </row>
    <row r="1221" spans="1:18">
      <c r="A1221" s="71">
        <v>7757</v>
      </c>
      <c r="B1221" s="72">
        <v>38204</v>
      </c>
      <c r="C1221" s="71" t="s">
        <v>10014</v>
      </c>
      <c r="D1221" s="72">
        <v>38204</v>
      </c>
      <c r="E1221" s="71" t="s">
        <v>10015</v>
      </c>
      <c r="F1221" s="71" t="s">
        <v>52</v>
      </c>
      <c r="G1221" s="71" t="s">
        <v>20</v>
      </c>
      <c r="H1221" s="71"/>
      <c r="I1221" s="71"/>
      <c r="J1221" s="71" t="s">
        <v>10016</v>
      </c>
      <c r="K1221" s="71" t="s">
        <v>10017</v>
      </c>
      <c r="L1221" s="71" t="s">
        <v>8318</v>
      </c>
      <c r="M1221" s="71"/>
      <c r="O1221" s="72">
        <v>38246</v>
      </c>
      <c r="P1221" s="71"/>
      <c r="Q1221" s="71" t="b">
        <v>0</v>
      </c>
      <c r="R1221" s="22">
        <f t="shared" si="19"/>
        <v>41</v>
      </c>
    </row>
    <row r="1222" spans="1:18">
      <c r="A1222" s="71">
        <v>7766</v>
      </c>
      <c r="B1222" s="72">
        <v>38217</v>
      </c>
      <c r="C1222" s="71" t="s">
        <v>10035</v>
      </c>
      <c r="D1222" s="72">
        <v>38217</v>
      </c>
      <c r="E1222" s="71" t="s">
        <v>4172</v>
      </c>
      <c r="F1222" s="71" t="s">
        <v>52</v>
      </c>
      <c r="G1222" s="71" t="s">
        <v>20</v>
      </c>
      <c r="H1222" s="71"/>
      <c r="I1222" s="71"/>
      <c r="J1222" s="71" t="s">
        <v>10036</v>
      </c>
      <c r="K1222" s="71" t="s">
        <v>10037</v>
      </c>
      <c r="L1222" s="71" t="s">
        <v>8318</v>
      </c>
      <c r="M1222" s="71"/>
      <c r="O1222" s="72">
        <v>38217</v>
      </c>
      <c r="P1222" s="71"/>
      <c r="Q1222" s="71" t="b">
        <v>0</v>
      </c>
      <c r="R1222" s="22">
        <f t="shared" si="19"/>
        <v>0</v>
      </c>
    </row>
    <row r="1223" spans="1:18">
      <c r="A1223" s="71">
        <v>7774</v>
      </c>
      <c r="B1223" s="72">
        <v>38226</v>
      </c>
      <c r="C1223" s="71" t="s">
        <v>10045</v>
      </c>
      <c r="D1223" s="72">
        <v>38226</v>
      </c>
      <c r="E1223" s="71" t="s">
        <v>10046</v>
      </c>
      <c r="F1223" s="71" t="s">
        <v>1409</v>
      </c>
      <c r="G1223" s="71" t="s">
        <v>20</v>
      </c>
      <c r="H1223" s="71"/>
      <c r="I1223" s="71"/>
      <c r="J1223" s="71" t="s">
        <v>2695</v>
      </c>
      <c r="K1223" s="71" t="s">
        <v>10047</v>
      </c>
      <c r="L1223" s="71" t="s">
        <v>8318</v>
      </c>
      <c r="M1223" s="71"/>
      <c r="O1223" s="72">
        <v>38226</v>
      </c>
      <c r="P1223" s="71">
        <v>-1</v>
      </c>
      <c r="Q1223" s="71" t="b">
        <v>0</v>
      </c>
      <c r="R1223" s="22">
        <f t="shared" si="19"/>
        <v>0</v>
      </c>
    </row>
    <row r="1224" spans="1:18">
      <c r="A1224" s="71">
        <v>7775</v>
      </c>
      <c r="B1224" s="72">
        <v>38225</v>
      </c>
      <c r="C1224" s="71" t="s">
        <v>10048</v>
      </c>
      <c r="D1224" s="72">
        <v>38224</v>
      </c>
      <c r="E1224" s="71" t="s">
        <v>10049</v>
      </c>
      <c r="F1224" s="71" t="s">
        <v>149</v>
      </c>
      <c r="G1224" s="71" t="s">
        <v>20</v>
      </c>
      <c r="H1224" s="71"/>
      <c r="I1224" s="71"/>
      <c r="J1224" s="71" t="s">
        <v>10050</v>
      </c>
      <c r="K1224" s="71" t="s">
        <v>10051</v>
      </c>
      <c r="L1224" s="71" t="s">
        <v>4282</v>
      </c>
      <c r="M1224" s="71"/>
      <c r="N1224" s="72">
        <v>38409</v>
      </c>
      <c r="O1224" s="72">
        <v>38310</v>
      </c>
      <c r="P1224" s="71">
        <v>-1</v>
      </c>
      <c r="Q1224" s="71" t="b">
        <v>0</v>
      </c>
      <c r="R1224" s="22">
        <f t="shared" si="19"/>
        <v>84</v>
      </c>
    </row>
    <row r="1225" spans="1:18">
      <c r="A1225" s="71">
        <v>7776</v>
      </c>
      <c r="B1225" s="72">
        <v>38229</v>
      </c>
      <c r="C1225" s="71" t="s">
        <v>10052</v>
      </c>
      <c r="D1225" s="72">
        <v>38226</v>
      </c>
      <c r="E1225" s="71" t="s">
        <v>10053</v>
      </c>
      <c r="F1225" s="71" t="s">
        <v>228</v>
      </c>
      <c r="G1225" s="71" t="s">
        <v>20</v>
      </c>
      <c r="H1225" s="71"/>
      <c r="I1225" s="71"/>
      <c r="J1225" s="71" t="s">
        <v>10054</v>
      </c>
      <c r="K1225" s="71" t="s">
        <v>10055</v>
      </c>
      <c r="L1225" s="71" t="s">
        <v>4579</v>
      </c>
      <c r="M1225" s="71"/>
      <c r="N1225" s="72">
        <v>38412</v>
      </c>
      <c r="O1225" s="72">
        <v>38258</v>
      </c>
      <c r="P1225" s="71">
        <v>-1</v>
      </c>
      <c r="Q1225" s="71" t="b">
        <v>0</v>
      </c>
      <c r="R1225" s="22">
        <f t="shared" si="19"/>
        <v>28</v>
      </c>
    </row>
    <row r="1226" spans="1:18">
      <c r="A1226" s="71">
        <v>7777</v>
      </c>
      <c r="B1226" s="72">
        <v>38229</v>
      </c>
      <c r="C1226" s="71" t="s">
        <v>10056</v>
      </c>
      <c r="D1226" s="72">
        <v>38229</v>
      </c>
      <c r="E1226" s="71" t="s">
        <v>10057</v>
      </c>
      <c r="F1226" s="71" t="s">
        <v>228</v>
      </c>
      <c r="G1226" s="71" t="s">
        <v>20</v>
      </c>
      <c r="H1226" s="71"/>
      <c r="I1226" s="71"/>
      <c r="J1226" s="71" t="s">
        <v>10054</v>
      </c>
      <c r="K1226" s="71" t="s">
        <v>10055</v>
      </c>
      <c r="L1226" s="71" t="s">
        <v>4579</v>
      </c>
      <c r="M1226" s="71"/>
      <c r="N1226" s="72">
        <v>38412</v>
      </c>
      <c r="O1226" s="72">
        <v>38258</v>
      </c>
      <c r="P1226" s="71">
        <v>-1</v>
      </c>
      <c r="Q1226" s="71" t="b">
        <v>0</v>
      </c>
      <c r="R1226" s="22">
        <f t="shared" si="19"/>
        <v>28</v>
      </c>
    </row>
    <row r="1227" spans="1:18">
      <c r="A1227" s="71">
        <v>7781</v>
      </c>
      <c r="B1227" s="72">
        <v>38246</v>
      </c>
      <c r="C1227" s="71" t="s">
        <v>10067</v>
      </c>
      <c r="D1227" s="72">
        <v>38229</v>
      </c>
      <c r="E1227" s="71" t="s">
        <v>10068</v>
      </c>
      <c r="F1227" s="71" t="s">
        <v>10069</v>
      </c>
      <c r="G1227" s="71" t="s">
        <v>20</v>
      </c>
      <c r="H1227" s="71"/>
      <c r="I1227" s="71" t="s">
        <v>10070</v>
      </c>
      <c r="J1227" s="71" t="s">
        <v>10071</v>
      </c>
      <c r="K1227" s="71" t="s">
        <v>10072</v>
      </c>
      <c r="L1227" s="71" t="s">
        <v>314</v>
      </c>
      <c r="M1227" s="71"/>
      <c r="O1227" s="72">
        <v>38273</v>
      </c>
      <c r="P1227" s="71">
        <v>-1</v>
      </c>
      <c r="Q1227" s="71" t="b">
        <v>0</v>
      </c>
      <c r="R1227" s="22">
        <f t="shared" si="19"/>
        <v>27</v>
      </c>
    </row>
    <row r="1228" spans="1:18">
      <c r="A1228" s="71">
        <v>7784</v>
      </c>
      <c r="B1228" s="72">
        <v>38246</v>
      </c>
      <c r="C1228" s="71" t="s">
        <v>10077</v>
      </c>
      <c r="D1228" s="72">
        <v>38230</v>
      </c>
      <c r="E1228" s="71" t="s">
        <v>10078</v>
      </c>
      <c r="F1228" s="71" t="s">
        <v>10079</v>
      </c>
      <c r="G1228" s="71" t="s">
        <v>20</v>
      </c>
      <c r="H1228" s="71"/>
      <c r="I1228" s="71"/>
      <c r="J1228" s="71" t="s">
        <v>5240</v>
      </c>
      <c r="K1228" s="71" t="s">
        <v>10080</v>
      </c>
      <c r="L1228" s="71" t="s">
        <v>8318</v>
      </c>
      <c r="M1228" s="71"/>
      <c r="O1228" s="72">
        <v>38246</v>
      </c>
      <c r="P1228" s="71">
        <v>-1</v>
      </c>
      <c r="Q1228" s="71" t="b">
        <v>0</v>
      </c>
      <c r="R1228" s="22">
        <f t="shared" si="19"/>
        <v>0</v>
      </c>
    </row>
    <row r="1229" spans="1:18">
      <c r="A1229" s="71">
        <v>7788</v>
      </c>
      <c r="B1229" s="72">
        <v>38264</v>
      </c>
      <c r="C1229" s="71" t="s">
        <v>10091</v>
      </c>
      <c r="D1229" s="72">
        <v>38261</v>
      </c>
      <c r="E1229" s="71" t="s">
        <v>10092</v>
      </c>
      <c r="F1229" s="71" t="s">
        <v>3430</v>
      </c>
      <c r="G1229" s="71" t="s">
        <v>20</v>
      </c>
      <c r="H1229" s="71"/>
      <c r="I1229" s="71"/>
      <c r="J1229" s="71" t="s">
        <v>10093</v>
      </c>
      <c r="K1229" s="71" t="s">
        <v>10094</v>
      </c>
      <c r="L1229" s="71" t="s">
        <v>4282</v>
      </c>
      <c r="M1229" s="71"/>
      <c r="O1229" s="72">
        <v>38287</v>
      </c>
      <c r="P1229" s="71">
        <v>0</v>
      </c>
      <c r="Q1229" s="71" t="b">
        <v>0</v>
      </c>
      <c r="R1229" s="22">
        <f t="shared" si="19"/>
        <v>23</v>
      </c>
    </row>
    <row r="1230" spans="1:18">
      <c r="A1230" s="71">
        <v>7795</v>
      </c>
      <c r="B1230" s="72">
        <v>38286</v>
      </c>
      <c r="C1230" s="71" t="s">
        <v>10118</v>
      </c>
      <c r="D1230" s="72">
        <v>38282</v>
      </c>
      <c r="E1230" s="71" t="s">
        <v>10119</v>
      </c>
      <c r="F1230" s="71" t="s">
        <v>974</v>
      </c>
      <c r="G1230" s="71" t="s">
        <v>20</v>
      </c>
      <c r="H1230" s="71" t="s">
        <v>212</v>
      </c>
      <c r="I1230" s="71" t="s">
        <v>10120</v>
      </c>
      <c r="J1230" s="71" t="s">
        <v>10121</v>
      </c>
      <c r="K1230" s="71" t="s">
        <v>4690</v>
      </c>
      <c r="L1230" s="71" t="s">
        <v>4579</v>
      </c>
      <c r="M1230" s="71"/>
      <c r="O1230" s="72">
        <v>38413</v>
      </c>
      <c r="P1230" s="71">
        <v>-1</v>
      </c>
      <c r="Q1230" s="71" t="b">
        <v>0</v>
      </c>
      <c r="R1230" s="22">
        <f t="shared" si="19"/>
        <v>127</v>
      </c>
    </row>
    <row r="1231" spans="1:18">
      <c r="A1231" s="71">
        <v>7796</v>
      </c>
      <c r="B1231" s="72">
        <v>38292</v>
      </c>
      <c r="C1231" s="71" t="s">
        <v>10122</v>
      </c>
      <c r="D1231" s="72">
        <v>38268</v>
      </c>
      <c r="E1231" s="71" t="s">
        <v>10123</v>
      </c>
      <c r="F1231" s="71" t="s">
        <v>56</v>
      </c>
      <c r="G1231" s="71" t="s">
        <v>20</v>
      </c>
      <c r="H1231" s="71"/>
      <c r="I1231" s="71"/>
      <c r="J1231" s="71" t="s">
        <v>10124</v>
      </c>
      <c r="K1231" s="71" t="s">
        <v>10125</v>
      </c>
      <c r="L1231" s="71" t="s">
        <v>4579</v>
      </c>
      <c r="M1231" s="71"/>
      <c r="O1231" s="72">
        <v>38372</v>
      </c>
      <c r="P1231" s="71">
        <v>0</v>
      </c>
      <c r="Q1231" s="71" t="b">
        <v>0</v>
      </c>
      <c r="R1231" s="22">
        <f t="shared" si="19"/>
        <v>80</v>
      </c>
    </row>
    <row r="1232" spans="1:18">
      <c r="A1232" s="71">
        <v>7798</v>
      </c>
      <c r="B1232" s="72">
        <v>38292</v>
      </c>
      <c r="C1232" s="71" t="s">
        <v>10130</v>
      </c>
      <c r="D1232" s="72">
        <v>38282</v>
      </c>
      <c r="E1232" s="71" t="s">
        <v>10131</v>
      </c>
      <c r="F1232" s="71" t="s">
        <v>10132</v>
      </c>
      <c r="G1232" s="71" t="s">
        <v>20</v>
      </c>
      <c r="H1232" s="71" t="s">
        <v>212</v>
      </c>
      <c r="I1232" s="71" t="s">
        <v>10120</v>
      </c>
      <c r="J1232" s="71" t="s">
        <v>10133</v>
      </c>
      <c r="K1232" s="71" t="s">
        <v>10134</v>
      </c>
      <c r="L1232" s="71" t="s">
        <v>4579</v>
      </c>
      <c r="M1232" s="71"/>
      <c r="O1232" s="72">
        <v>38310</v>
      </c>
      <c r="P1232" s="71">
        <v>-1</v>
      </c>
      <c r="Q1232" s="71" t="b">
        <v>0</v>
      </c>
      <c r="R1232" s="22">
        <f t="shared" si="19"/>
        <v>18</v>
      </c>
    </row>
    <row r="1233" spans="1:18">
      <c r="A1233" s="71">
        <v>7802</v>
      </c>
      <c r="B1233" s="72">
        <v>38292</v>
      </c>
      <c r="C1233" s="71" t="s">
        <v>10145</v>
      </c>
      <c r="D1233" s="72">
        <v>38247</v>
      </c>
      <c r="E1233" s="71" t="s">
        <v>10146</v>
      </c>
      <c r="F1233" s="71" t="s">
        <v>6643</v>
      </c>
      <c r="G1233" s="71" t="s">
        <v>20</v>
      </c>
      <c r="H1233" s="71" t="s">
        <v>189</v>
      </c>
      <c r="I1233" s="71" t="s">
        <v>10147</v>
      </c>
      <c r="J1233" s="71" t="s">
        <v>10148</v>
      </c>
      <c r="K1233" s="71" t="s">
        <v>10149</v>
      </c>
      <c r="L1233" s="71" t="s">
        <v>1946</v>
      </c>
      <c r="M1233" s="71"/>
      <c r="O1233" s="72">
        <v>38252</v>
      </c>
      <c r="P1233" s="71"/>
      <c r="Q1233" s="71" t="b">
        <v>0</v>
      </c>
      <c r="R1233" s="22">
        <f t="shared" si="19"/>
        <v>39</v>
      </c>
    </row>
    <row r="1234" spans="1:18">
      <c r="A1234" s="71">
        <v>7803</v>
      </c>
      <c r="B1234" s="72">
        <v>38292</v>
      </c>
      <c r="C1234" s="71" t="s">
        <v>10150</v>
      </c>
      <c r="D1234" s="72">
        <v>38247</v>
      </c>
      <c r="E1234" s="71" t="s">
        <v>10151</v>
      </c>
      <c r="F1234" s="71" t="s">
        <v>10152</v>
      </c>
      <c r="G1234" s="71" t="s">
        <v>20</v>
      </c>
      <c r="H1234" s="71"/>
      <c r="I1234" s="71"/>
      <c r="J1234" s="71" t="s">
        <v>10153</v>
      </c>
      <c r="K1234" s="71" t="s">
        <v>10154</v>
      </c>
      <c r="L1234" s="71" t="s">
        <v>314</v>
      </c>
      <c r="M1234" s="71"/>
      <c r="O1234" s="72">
        <v>38253</v>
      </c>
      <c r="P1234" s="71"/>
      <c r="Q1234" s="71" t="b">
        <v>0</v>
      </c>
      <c r="R1234" s="22">
        <f t="shared" si="19"/>
        <v>38</v>
      </c>
    </row>
    <row r="1235" spans="1:18">
      <c r="A1235" s="71">
        <v>7818</v>
      </c>
      <c r="B1235" s="72">
        <v>38301</v>
      </c>
      <c r="C1235" s="71" t="s">
        <v>10193</v>
      </c>
      <c r="D1235" s="72">
        <v>38287</v>
      </c>
      <c r="E1235" s="71" t="s">
        <v>10194</v>
      </c>
      <c r="F1235" s="71" t="s">
        <v>10195</v>
      </c>
      <c r="G1235" s="71" t="s">
        <v>20</v>
      </c>
      <c r="H1235" s="71"/>
      <c r="I1235" s="71"/>
      <c r="J1235" s="71" t="s">
        <v>10196</v>
      </c>
      <c r="K1235" s="71" t="s">
        <v>10197</v>
      </c>
      <c r="L1235" s="71" t="s">
        <v>1946</v>
      </c>
      <c r="M1235" s="71"/>
      <c r="O1235" s="72">
        <v>38301</v>
      </c>
      <c r="P1235" s="71"/>
      <c r="Q1235" s="71" t="b">
        <v>0</v>
      </c>
      <c r="R1235" s="22">
        <f t="shared" si="19"/>
        <v>0</v>
      </c>
    </row>
    <row r="1236" spans="1:18">
      <c r="A1236" s="71">
        <v>7831</v>
      </c>
      <c r="B1236" s="72">
        <v>38327</v>
      </c>
      <c r="C1236" s="71" t="s">
        <v>10233</v>
      </c>
      <c r="D1236" s="72">
        <v>38321</v>
      </c>
      <c r="E1236" s="71" t="s">
        <v>10234</v>
      </c>
      <c r="F1236" s="71" t="s">
        <v>70</v>
      </c>
      <c r="G1236" s="71" t="s">
        <v>20</v>
      </c>
      <c r="H1236" s="71"/>
      <c r="I1236" s="71"/>
      <c r="J1236" s="71" t="s">
        <v>6147</v>
      </c>
      <c r="K1236" s="71" t="s">
        <v>10235</v>
      </c>
      <c r="L1236" s="71" t="s">
        <v>4282</v>
      </c>
      <c r="M1236" s="71"/>
      <c r="O1236" s="72">
        <v>38642</v>
      </c>
      <c r="P1236" s="71"/>
      <c r="Q1236" s="71" t="b">
        <v>0</v>
      </c>
      <c r="R1236" s="22">
        <f t="shared" si="19"/>
        <v>315</v>
      </c>
    </row>
    <row r="1237" spans="1:18">
      <c r="A1237" s="71">
        <v>7833</v>
      </c>
      <c r="B1237" s="72">
        <v>38328</v>
      </c>
      <c r="C1237" s="71" t="s">
        <v>10239</v>
      </c>
      <c r="D1237" s="72">
        <v>38327</v>
      </c>
      <c r="E1237" s="71" t="s">
        <v>10240</v>
      </c>
      <c r="F1237" s="71" t="s">
        <v>1232</v>
      </c>
      <c r="G1237" s="71" t="s">
        <v>20</v>
      </c>
      <c r="H1237" s="71" t="s">
        <v>189</v>
      </c>
      <c r="I1237" s="71" t="s">
        <v>10147</v>
      </c>
      <c r="J1237" s="71" t="s">
        <v>10241</v>
      </c>
      <c r="K1237" s="71" t="s">
        <v>10242</v>
      </c>
      <c r="L1237" s="71" t="s">
        <v>8318</v>
      </c>
      <c r="M1237" s="71"/>
      <c r="O1237" s="72">
        <v>38331</v>
      </c>
      <c r="P1237" s="71"/>
      <c r="Q1237" s="71" t="b">
        <v>0</v>
      </c>
      <c r="R1237" s="22">
        <f t="shared" si="19"/>
        <v>3</v>
      </c>
    </row>
    <row r="1238" spans="1:18">
      <c r="A1238" s="71">
        <v>7834</v>
      </c>
      <c r="B1238" s="72">
        <v>38334</v>
      </c>
      <c r="C1238" s="71" t="s">
        <v>10243</v>
      </c>
      <c r="D1238" s="72">
        <v>38329</v>
      </c>
      <c r="E1238" s="71" t="s">
        <v>10244</v>
      </c>
      <c r="F1238" s="71" t="s">
        <v>10132</v>
      </c>
      <c r="G1238" s="71" t="s">
        <v>20</v>
      </c>
      <c r="H1238" s="71" t="s">
        <v>212</v>
      </c>
      <c r="I1238" s="71" t="s">
        <v>10120</v>
      </c>
      <c r="J1238" s="71" t="s">
        <v>10245</v>
      </c>
      <c r="K1238" s="71" t="s">
        <v>10246</v>
      </c>
      <c r="L1238" s="71" t="s">
        <v>4579</v>
      </c>
      <c r="M1238" s="71"/>
      <c r="O1238" s="72">
        <v>38364</v>
      </c>
      <c r="P1238" s="71"/>
      <c r="Q1238" s="71" t="b">
        <v>0</v>
      </c>
      <c r="R1238" s="22">
        <f t="shared" si="19"/>
        <v>29</v>
      </c>
    </row>
    <row r="1239" spans="1:18">
      <c r="A1239" s="71">
        <v>7835</v>
      </c>
      <c r="B1239" s="72">
        <v>38334</v>
      </c>
      <c r="C1239" s="71" t="s">
        <v>10247</v>
      </c>
      <c r="D1239" s="72">
        <v>38334</v>
      </c>
      <c r="E1239" s="71" t="s">
        <v>4172</v>
      </c>
      <c r="F1239" s="71" t="s">
        <v>741</v>
      </c>
      <c r="G1239" s="71" t="s">
        <v>20</v>
      </c>
      <c r="H1239" s="71"/>
      <c r="I1239" s="71"/>
      <c r="J1239" s="71" t="s">
        <v>10248</v>
      </c>
      <c r="K1239" s="71" t="s">
        <v>10249</v>
      </c>
      <c r="L1239" s="71" t="s">
        <v>4282</v>
      </c>
      <c r="M1239" s="71"/>
      <c r="O1239" s="72">
        <v>38378</v>
      </c>
      <c r="P1239" s="71"/>
      <c r="Q1239" s="71" t="b">
        <v>0</v>
      </c>
      <c r="R1239" s="22">
        <f t="shared" si="19"/>
        <v>43</v>
      </c>
    </row>
    <row r="1240" spans="1:18">
      <c r="A1240" s="71">
        <v>7839</v>
      </c>
      <c r="B1240" s="72">
        <v>38341</v>
      </c>
      <c r="C1240" s="71" t="s">
        <v>10257</v>
      </c>
      <c r="D1240" s="72">
        <v>38333</v>
      </c>
      <c r="E1240" s="71" t="s">
        <v>10258</v>
      </c>
      <c r="F1240" s="71" t="s">
        <v>1232</v>
      </c>
      <c r="G1240" s="71" t="s">
        <v>20</v>
      </c>
      <c r="H1240" s="71" t="s">
        <v>189</v>
      </c>
      <c r="I1240" s="71" t="s">
        <v>189</v>
      </c>
      <c r="J1240" s="71" t="s">
        <v>9218</v>
      </c>
      <c r="K1240" s="71" t="s">
        <v>10259</v>
      </c>
      <c r="L1240" s="71" t="s">
        <v>4282</v>
      </c>
      <c r="M1240" s="71"/>
      <c r="O1240" s="72">
        <v>38378</v>
      </c>
      <c r="P1240" s="71">
        <v>-1</v>
      </c>
      <c r="Q1240" s="71" t="b">
        <v>0</v>
      </c>
      <c r="R1240" s="22">
        <f t="shared" si="19"/>
        <v>36</v>
      </c>
    </row>
    <row r="1241" spans="1:18">
      <c r="A1241" s="71">
        <v>7841</v>
      </c>
      <c r="B1241" s="72">
        <v>38341</v>
      </c>
      <c r="C1241" s="71" t="s">
        <v>10264</v>
      </c>
      <c r="D1241" s="72">
        <v>38341</v>
      </c>
      <c r="E1241" s="71" t="s">
        <v>10265</v>
      </c>
      <c r="F1241" s="71" t="s">
        <v>8615</v>
      </c>
      <c r="G1241" s="71" t="s">
        <v>20</v>
      </c>
      <c r="H1241" s="71"/>
      <c r="I1241" s="71"/>
      <c r="J1241" s="71" t="s">
        <v>10266</v>
      </c>
      <c r="K1241" s="71"/>
      <c r="L1241" s="71" t="s">
        <v>4579</v>
      </c>
      <c r="M1241" s="71"/>
      <c r="O1241" s="72">
        <v>38364</v>
      </c>
      <c r="P1241" s="71"/>
      <c r="Q1241" s="71" t="b">
        <v>0</v>
      </c>
      <c r="R1241" s="22">
        <f t="shared" si="19"/>
        <v>22</v>
      </c>
    </row>
    <row r="1242" spans="1:18">
      <c r="A1242" s="71">
        <v>7842</v>
      </c>
      <c r="B1242" s="72">
        <v>38351</v>
      </c>
      <c r="C1242" s="71" t="s">
        <v>17277</v>
      </c>
      <c r="D1242" s="71"/>
      <c r="E1242" s="71" t="s">
        <v>17278</v>
      </c>
      <c r="F1242" s="71" t="s">
        <v>974</v>
      </c>
      <c r="G1242" s="71" t="s">
        <v>20</v>
      </c>
      <c r="H1242" s="71"/>
      <c r="I1242" s="71"/>
      <c r="J1242" s="71" t="s">
        <v>17279</v>
      </c>
      <c r="K1242" s="71" t="s">
        <v>17280</v>
      </c>
      <c r="L1242" s="71" t="s">
        <v>1946</v>
      </c>
      <c r="M1242" s="71"/>
      <c r="O1242" s="72">
        <v>38457</v>
      </c>
      <c r="P1242" s="71"/>
      <c r="Q1242" s="71" t="b">
        <v>0</v>
      </c>
      <c r="R1242" s="22">
        <f t="shared" si="19"/>
        <v>106</v>
      </c>
    </row>
    <row r="1243" spans="1:18">
      <c r="A1243" s="71">
        <v>7843</v>
      </c>
      <c r="B1243" s="72">
        <v>38351</v>
      </c>
      <c r="C1243" s="71" t="s">
        <v>17281</v>
      </c>
      <c r="E1243" s="71" t="s">
        <v>17282</v>
      </c>
      <c r="F1243" s="71" t="s">
        <v>1232</v>
      </c>
      <c r="G1243" s="71" t="s">
        <v>20</v>
      </c>
      <c r="H1243" s="71"/>
      <c r="I1243" s="71"/>
      <c r="J1243" s="71" t="s">
        <v>17283</v>
      </c>
      <c r="K1243" s="71" t="s">
        <v>17284</v>
      </c>
      <c r="L1243" s="71" t="s">
        <v>4579</v>
      </c>
      <c r="M1243" s="71"/>
      <c r="O1243" s="72">
        <v>38427</v>
      </c>
      <c r="P1243" s="71"/>
      <c r="Q1243" s="71" t="b">
        <v>0</v>
      </c>
      <c r="R1243" s="22">
        <f t="shared" si="19"/>
        <v>77</v>
      </c>
    </row>
    <row r="1244" spans="1:18">
      <c r="A1244" s="71">
        <v>7844</v>
      </c>
      <c r="B1244" s="72">
        <v>38351</v>
      </c>
      <c r="C1244" s="71" t="s">
        <v>10267</v>
      </c>
      <c r="D1244" s="72">
        <v>38343</v>
      </c>
      <c r="E1244" s="71" t="s">
        <v>10268</v>
      </c>
      <c r="F1244" s="71" t="s">
        <v>1232</v>
      </c>
      <c r="G1244" s="71" t="s">
        <v>20</v>
      </c>
      <c r="H1244" s="71" t="s">
        <v>189</v>
      </c>
      <c r="I1244" s="71" t="s">
        <v>189</v>
      </c>
      <c r="J1244" s="71" t="s">
        <v>10269</v>
      </c>
      <c r="K1244" s="71" t="s">
        <v>10270</v>
      </c>
      <c r="L1244" s="71" t="s">
        <v>4579</v>
      </c>
      <c r="M1244" s="71"/>
      <c r="O1244" s="72">
        <v>38429</v>
      </c>
      <c r="P1244" s="71">
        <v>-1</v>
      </c>
      <c r="Q1244" s="71" t="b">
        <v>0</v>
      </c>
      <c r="R1244" s="22">
        <f t="shared" si="19"/>
        <v>79</v>
      </c>
    </row>
    <row r="1245" spans="1:18">
      <c r="A1245" s="71">
        <v>7845</v>
      </c>
      <c r="B1245" s="72">
        <v>38351</v>
      </c>
      <c r="C1245" s="71" t="s">
        <v>10271</v>
      </c>
      <c r="D1245" s="72">
        <v>38344</v>
      </c>
      <c r="E1245" s="71" t="s">
        <v>10272</v>
      </c>
      <c r="F1245" s="71" t="s">
        <v>1409</v>
      </c>
      <c r="G1245" s="71" t="s">
        <v>20</v>
      </c>
      <c r="H1245" s="71" t="s">
        <v>189</v>
      </c>
      <c r="I1245" s="71" t="s">
        <v>10147</v>
      </c>
      <c r="J1245" s="71" t="s">
        <v>10273</v>
      </c>
      <c r="K1245" s="71" t="s">
        <v>10274</v>
      </c>
      <c r="L1245" s="71" t="s">
        <v>7167</v>
      </c>
      <c r="M1245" s="71" t="s">
        <v>10275</v>
      </c>
      <c r="N1245" s="71"/>
      <c r="O1245" s="72">
        <v>41089</v>
      </c>
      <c r="P1245" s="71">
        <v>-1</v>
      </c>
      <c r="Q1245" s="71" t="b">
        <v>0</v>
      </c>
      <c r="R1245" s="22">
        <f t="shared" si="19"/>
        <v>2736</v>
      </c>
    </row>
    <row r="1246" spans="1:18">
      <c r="A1246" s="71">
        <v>7849</v>
      </c>
      <c r="B1246" s="72">
        <v>38359</v>
      </c>
      <c r="C1246" s="71" t="s">
        <v>10281</v>
      </c>
      <c r="D1246" s="72">
        <v>38357</v>
      </c>
      <c r="E1246" s="71" t="s">
        <v>10282</v>
      </c>
      <c r="F1246" s="71" t="s">
        <v>27</v>
      </c>
      <c r="G1246" s="71" t="s">
        <v>20</v>
      </c>
      <c r="H1246" s="71"/>
      <c r="I1246" s="71"/>
      <c r="J1246" s="71" t="s">
        <v>10283</v>
      </c>
      <c r="K1246" s="71" t="s">
        <v>8828</v>
      </c>
      <c r="L1246" s="71" t="s">
        <v>4579</v>
      </c>
      <c r="M1246" s="71"/>
      <c r="O1246" s="72">
        <v>38357</v>
      </c>
      <c r="P1246" s="71">
        <v>-1</v>
      </c>
      <c r="Q1246" s="71" t="b">
        <v>0</v>
      </c>
      <c r="R1246" s="22">
        <f t="shared" si="19"/>
        <v>2</v>
      </c>
    </row>
    <row r="1247" spans="1:18">
      <c r="A1247" s="71">
        <v>7855</v>
      </c>
      <c r="B1247" s="72">
        <v>38365</v>
      </c>
      <c r="C1247" s="71" t="s">
        <v>10294</v>
      </c>
      <c r="D1247" s="72">
        <v>38358</v>
      </c>
      <c r="E1247" s="71" t="s">
        <v>10295</v>
      </c>
      <c r="F1247" s="71" t="s">
        <v>974</v>
      </c>
      <c r="G1247" s="71" t="s">
        <v>20</v>
      </c>
      <c r="H1247" s="71"/>
      <c r="I1247" s="71"/>
      <c r="J1247" s="71" t="s">
        <v>5668</v>
      </c>
      <c r="K1247" s="71" t="s">
        <v>4690</v>
      </c>
      <c r="L1247" s="71" t="s">
        <v>4579</v>
      </c>
      <c r="M1247" s="71"/>
      <c r="O1247" s="72">
        <v>38469</v>
      </c>
      <c r="P1247" s="71">
        <v>-1</v>
      </c>
      <c r="Q1247" s="71" t="b">
        <v>0</v>
      </c>
      <c r="R1247" s="22">
        <f t="shared" si="19"/>
        <v>105</v>
      </c>
    </row>
    <row r="1248" spans="1:18">
      <c r="A1248" s="71">
        <v>7859</v>
      </c>
      <c r="B1248" s="72">
        <v>38377</v>
      </c>
      <c r="C1248" s="71" t="s">
        <v>10306</v>
      </c>
      <c r="D1248" s="72">
        <v>38373</v>
      </c>
      <c r="E1248" s="71" t="s">
        <v>10307</v>
      </c>
      <c r="F1248" s="71" t="s">
        <v>367</v>
      </c>
      <c r="G1248" s="71" t="s">
        <v>20</v>
      </c>
      <c r="H1248" s="71"/>
      <c r="I1248" s="71"/>
      <c r="J1248" s="71" t="s">
        <v>10308</v>
      </c>
      <c r="K1248" s="71" t="s">
        <v>9027</v>
      </c>
      <c r="L1248" s="71" t="s">
        <v>8318</v>
      </c>
      <c r="M1248" s="71"/>
      <c r="O1248" s="72">
        <v>38376</v>
      </c>
      <c r="P1248" s="71"/>
      <c r="Q1248" s="71" t="b">
        <v>0</v>
      </c>
      <c r="R1248" s="22">
        <f t="shared" si="19"/>
        <v>1</v>
      </c>
    </row>
    <row r="1249" spans="1:18">
      <c r="A1249" s="71">
        <v>7863</v>
      </c>
      <c r="B1249" s="72">
        <v>38377</v>
      </c>
      <c r="C1249" s="71" t="s">
        <v>10318</v>
      </c>
      <c r="D1249" s="72">
        <v>38370</v>
      </c>
      <c r="E1249" s="71" t="s">
        <v>10319</v>
      </c>
      <c r="F1249" s="71" t="s">
        <v>2296</v>
      </c>
      <c r="G1249" s="71" t="s">
        <v>20</v>
      </c>
      <c r="H1249" s="71" t="s">
        <v>566</v>
      </c>
      <c r="I1249" s="71" t="s">
        <v>10070</v>
      </c>
      <c r="J1249" s="71" t="s">
        <v>10320</v>
      </c>
      <c r="K1249" s="71" t="s">
        <v>10321</v>
      </c>
      <c r="L1249" s="71" t="s">
        <v>4282</v>
      </c>
      <c r="M1249" s="71"/>
      <c r="O1249" s="72">
        <v>38408</v>
      </c>
      <c r="P1249" s="71"/>
      <c r="Q1249" s="71" t="b">
        <v>0</v>
      </c>
      <c r="R1249" s="22">
        <f t="shared" si="19"/>
        <v>30</v>
      </c>
    </row>
    <row r="1250" spans="1:18">
      <c r="A1250" s="71">
        <v>7900</v>
      </c>
      <c r="B1250" s="72">
        <v>38380</v>
      </c>
      <c r="C1250" s="71" t="s">
        <v>10390</v>
      </c>
      <c r="D1250" s="72">
        <v>38378</v>
      </c>
      <c r="E1250" s="71" t="s">
        <v>4172</v>
      </c>
      <c r="F1250" s="71" t="s">
        <v>974</v>
      </c>
      <c r="G1250" s="71" t="s">
        <v>20</v>
      </c>
      <c r="H1250" s="71" t="s">
        <v>212</v>
      </c>
      <c r="I1250" s="71" t="s">
        <v>10120</v>
      </c>
      <c r="J1250" s="71" t="s">
        <v>10391</v>
      </c>
      <c r="K1250" s="71" t="s">
        <v>10392</v>
      </c>
      <c r="L1250" s="71" t="s">
        <v>2205</v>
      </c>
      <c r="M1250" s="71" t="s">
        <v>4579</v>
      </c>
      <c r="O1250" s="72">
        <v>38457</v>
      </c>
      <c r="P1250" s="71">
        <v>-1</v>
      </c>
      <c r="Q1250" s="71" t="b">
        <v>0</v>
      </c>
      <c r="R1250" s="22">
        <f t="shared" si="19"/>
        <v>78</v>
      </c>
    </row>
    <row r="1251" spans="1:18">
      <c r="A1251" s="71">
        <v>7909</v>
      </c>
      <c r="B1251" s="72">
        <v>38380</v>
      </c>
      <c r="C1251" s="71" t="s">
        <v>10412</v>
      </c>
      <c r="E1251" s="71" t="s">
        <v>10413</v>
      </c>
      <c r="F1251" s="71" t="s">
        <v>10414</v>
      </c>
      <c r="G1251" s="71" t="s">
        <v>20</v>
      </c>
      <c r="H1251" s="71" t="s">
        <v>189</v>
      </c>
      <c r="I1251" s="71" t="s">
        <v>10147</v>
      </c>
      <c r="J1251" s="71" t="s">
        <v>10415</v>
      </c>
      <c r="K1251" s="71" t="s">
        <v>10416</v>
      </c>
      <c r="L1251" s="71" t="s">
        <v>4579</v>
      </c>
      <c r="M1251" s="71"/>
      <c r="O1251" s="72">
        <v>38429</v>
      </c>
      <c r="P1251" s="71"/>
      <c r="Q1251" s="71" t="b">
        <v>0</v>
      </c>
      <c r="R1251" s="22">
        <f t="shared" si="19"/>
        <v>50</v>
      </c>
    </row>
    <row r="1252" spans="1:18">
      <c r="A1252" s="71">
        <v>7910</v>
      </c>
      <c r="B1252" s="72">
        <v>38383</v>
      </c>
      <c r="C1252" s="71" t="s">
        <v>10417</v>
      </c>
      <c r="D1252" s="72">
        <v>38377</v>
      </c>
      <c r="E1252" s="71" t="s">
        <v>10418</v>
      </c>
      <c r="F1252" s="71" t="s">
        <v>974</v>
      </c>
      <c r="G1252" s="71" t="s">
        <v>20</v>
      </c>
      <c r="H1252" s="71" t="s">
        <v>212</v>
      </c>
      <c r="I1252" s="71" t="s">
        <v>10120</v>
      </c>
      <c r="J1252" s="71" t="s">
        <v>10419</v>
      </c>
      <c r="K1252" s="71"/>
      <c r="L1252" s="71" t="s">
        <v>2205</v>
      </c>
      <c r="M1252" s="71" t="s">
        <v>4579</v>
      </c>
      <c r="O1252" s="72">
        <v>38414</v>
      </c>
      <c r="P1252" s="71">
        <v>-1</v>
      </c>
      <c r="Q1252" s="71" t="b">
        <v>0</v>
      </c>
      <c r="R1252" s="22">
        <f t="shared" si="19"/>
        <v>33</v>
      </c>
    </row>
    <row r="1253" spans="1:18">
      <c r="A1253" s="71">
        <v>8005</v>
      </c>
      <c r="B1253" s="72">
        <v>38392</v>
      </c>
      <c r="C1253" s="71" t="s">
        <v>10604</v>
      </c>
      <c r="E1253" s="71" t="s">
        <v>10605</v>
      </c>
      <c r="F1253" s="71" t="s">
        <v>974</v>
      </c>
      <c r="G1253" s="71" t="s">
        <v>20</v>
      </c>
      <c r="H1253" s="71" t="s">
        <v>212</v>
      </c>
      <c r="I1253" s="71" t="s">
        <v>10120</v>
      </c>
      <c r="J1253" s="71" t="s">
        <v>10606</v>
      </c>
      <c r="K1253" s="71" t="s">
        <v>8621</v>
      </c>
      <c r="L1253" s="71" t="s">
        <v>8318</v>
      </c>
      <c r="M1253" s="71"/>
      <c r="O1253" s="72">
        <v>38391</v>
      </c>
      <c r="P1253" s="71"/>
      <c r="Q1253" s="71" t="b">
        <v>0</v>
      </c>
      <c r="R1253" s="22">
        <f t="shared" si="19"/>
        <v>1</v>
      </c>
    </row>
    <row r="1254" spans="1:18">
      <c r="A1254" s="71">
        <v>8008</v>
      </c>
      <c r="B1254" s="72">
        <v>38393</v>
      </c>
      <c r="C1254" s="71" t="s">
        <v>10614</v>
      </c>
      <c r="D1254" s="72">
        <v>38387</v>
      </c>
      <c r="E1254" s="71" t="s">
        <v>10615</v>
      </c>
      <c r="F1254" s="71" t="s">
        <v>19</v>
      </c>
      <c r="G1254" s="71" t="s">
        <v>20</v>
      </c>
      <c r="H1254" s="71"/>
      <c r="I1254" s="71"/>
      <c r="J1254" s="71" t="s">
        <v>10616</v>
      </c>
      <c r="K1254" s="71" t="s">
        <v>2916</v>
      </c>
      <c r="L1254" s="71" t="s">
        <v>2205</v>
      </c>
      <c r="M1254" s="71"/>
      <c r="O1254" s="72">
        <v>38440</v>
      </c>
      <c r="P1254" s="71"/>
      <c r="Q1254" s="71" t="b">
        <v>0</v>
      </c>
      <c r="R1254" s="22">
        <f t="shared" si="19"/>
        <v>49</v>
      </c>
    </row>
    <row r="1255" spans="1:18">
      <c r="A1255" s="71">
        <v>8015</v>
      </c>
      <c r="B1255" s="72">
        <v>38397</v>
      </c>
      <c r="C1255" s="71" t="s">
        <v>10633</v>
      </c>
      <c r="E1255" s="71" t="s">
        <v>10634</v>
      </c>
      <c r="F1255" s="71" t="s">
        <v>974</v>
      </c>
      <c r="G1255" s="71" t="s">
        <v>20</v>
      </c>
      <c r="H1255" s="71" t="s">
        <v>212</v>
      </c>
      <c r="I1255" s="71" t="s">
        <v>10120</v>
      </c>
      <c r="J1255" s="71" t="s">
        <v>10635</v>
      </c>
      <c r="K1255" s="71" t="s">
        <v>10636</v>
      </c>
      <c r="L1255" s="71" t="s">
        <v>8318</v>
      </c>
      <c r="M1255" s="71"/>
      <c r="O1255" s="72">
        <v>38393</v>
      </c>
      <c r="P1255" s="71"/>
      <c r="Q1255" s="71" t="b">
        <v>0</v>
      </c>
      <c r="R1255" s="22">
        <f t="shared" si="19"/>
        <v>4</v>
      </c>
    </row>
    <row r="1256" spans="1:18">
      <c r="A1256" s="71">
        <v>8020</v>
      </c>
      <c r="B1256" s="72">
        <v>38398</v>
      </c>
      <c r="C1256" s="71" t="s">
        <v>10649</v>
      </c>
      <c r="D1256" s="72">
        <v>38394</v>
      </c>
      <c r="E1256" s="71" t="s">
        <v>10650</v>
      </c>
      <c r="F1256" s="71" t="s">
        <v>52</v>
      </c>
      <c r="G1256" s="71" t="s">
        <v>20</v>
      </c>
      <c r="H1256" s="71"/>
      <c r="I1256" s="71"/>
      <c r="J1256" s="71" t="s">
        <v>8074</v>
      </c>
      <c r="K1256" s="71" t="s">
        <v>10651</v>
      </c>
      <c r="L1256" s="71" t="s">
        <v>1946</v>
      </c>
      <c r="M1256" s="71"/>
      <c r="O1256" s="72">
        <v>38512</v>
      </c>
      <c r="P1256" s="71"/>
      <c r="Q1256" s="71" t="b">
        <v>0</v>
      </c>
      <c r="R1256" s="22">
        <f t="shared" si="19"/>
        <v>115</v>
      </c>
    </row>
    <row r="1257" spans="1:18">
      <c r="A1257" s="71">
        <v>8024</v>
      </c>
      <c r="B1257" s="72">
        <v>38413</v>
      </c>
      <c r="C1257" s="71" t="s">
        <v>10659</v>
      </c>
      <c r="D1257" s="72">
        <v>38400</v>
      </c>
      <c r="E1257" s="71" t="s">
        <v>10660</v>
      </c>
      <c r="F1257" s="71" t="s">
        <v>124</v>
      </c>
      <c r="G1257" s="71" t="s">
        <v>20</v>
      </c>
      <c r="H1257" s="71"/>
      <c r="I1257" s="71"/>
      <c r="J1257" s="71" t="s">
        <v>10661</v>
      </c>
      <c r="K1257" s="71"/>
      <c r="L1257" s="71" t="s">
        <v>4579</v>
      </c>
      <c r="M1257" s="71"/>
      <c r="O1257" s="72">
        <v>38504</v>
      </c>
      <c r="P1257" s="71"/>
      <c r="Q1257" s="71" t="b">
        <v>0</v>
      </c>
      <c r="R1257" s="22">
        <f t="shared" si="19"/>
        <v>90</v>
      </c>
    </row>
    <row r="1258" spans="1:18">
      <c r="A1258" s="71">
        <v>8029</v>
      </c>
      <c r="B1258" s="72">
        <v>38415</v>
      </c>
      <c r="C1258" s="71" t="s">
        <v>10675</v>
      </c>
      <c r="D1258" s="72">
        <v>38401</v>
      </c>
      <c r="E1258" s="71" t="s">
        <v>10676</v>
      </c>
      <c r="F1258" s="71" t="s">
        <v>990</v>
      </c>
      <c r="G1258" s="71" t="s">
        <v>20</v>
      </c>
      <c r="H1258" s="71"/>
      <c r="I1258" s="71"/>
      <c r="J1258" s="71" t="s">
        <v>10677</v>
      </c>
      <c r="K1258" s="71"/>
      <c r="L1258" s="71" t="s">
        <v>4282</v>
      </c>
      <c r="M1258" s="71"/>
      <c r="O1258" s="72">
        <v>38420</v>
      </c>
      <c r="P1258" s="71">
        <v>-1</v>
      </c>
      <c r="Q1258" s="71" t="b">
        <v>0</v>
      </c>
      <c r="R1258" s="22">
        <f t="shared" si="19"/>
        <v>5</v>
      </c>
    </row>
    <row r="1259" spans="1:18">
      <c r="A1259" s="71">
        <v>8030</v>
      </c>
      <c r="B1259" s="72">
        <v>38418</v>
      </c>
      <c r="C1259" s="71" t="s">
        <v>10678</v>
      </c>
      <c r="D1259" s="72">
        <v>38412</v>
      </c>
      <c r="E1259" s="71" t="s">
        <v>10679</v>
      </c>
      <c r="F1259" s="71" t="s">
        <v>10680</v>
      </c>
      <c r="G1259" s="71" t="s">
        <v>20</v>
      </c>
      <c r="H1259" s="71"/>
      <c r="I1259" s="71"/>
      <c r="J1259" s="71" t="s">
        <v>10681</v>
      </c>
      <c r="K1259" s="71" t="s">
        <v>10682</v>
      </c>
      <c r="L1259" s="71" t="s">
        <v>2205</v>
      </c>
      <c r="M1259" s="71"/>
      <c r="O1259" s="72">
        <v>38421</v>
      </c>
      <c r="P1259" s="71"/>
      <c r="Q1259" s="71" t="b">
        <v>0</v>
      </c>
      <c r="R1259" s="22">
        <f t="shared" si="19"/>
        <v>3</v>
      </c>
    </row>
    <row r="1260" spans="1:18">
      <c r="A1260" s="71">
        <v>8032</v>
      </c>
      <c r="B1260" s="72">
        <v>38419</v>
      </c>
      <c r="C1260" s="71" t="s">
        <v>10686</v>
      </c>
      <c r="D1260" s="72">
        <v>38405</v>
      </c>
      <c r="E1260" s="71" t="s">
        <v>4172</v>
      </c>
      <c r="F1260" s="71" t="s">
        <v>367</v>
      </c>
      <c r="G1260" s="71" t="s">
        <v>20</v>
      </c>
      <c r="H1260" s="71"/>
      <c r="I1260" s="71"/>
      <c r="J1260" s="71" t="s">
        <v>10687</v>
      </c>
      <c r="K1260" s="71" t="s">
        <v>4690</v>
      </c>
      <c r="L1260" s="71" t="s">
        <v>8318</v>
      </c>
      <c r="M1260" s="71"/>
      <c r="O1260" s="72">
        <v>38471</v>
      </c>
      <c r="P1260" s="71"/>
      <c r="Q1260" s="71" t="b">
        <v>0</v>
      </c>
      <c r="R1260" s="22">
        <f t="shared" si="19"/>
        <v>51</v>
      </c>
    </row>
    <row r="1261" spans="1:18">
      <c r="A1261" s="71">
        <v>8036</v>
      </c>
      <c r="B1261" s="72">
        <v>38422</v>
      </c>
      <c r="C1261" s="71" t="s">
        <v>10695</v>
      </c>
      <c r="E1261" s="71" t="s">
        <v>10696</v>
      </c>
      <c r="F1261" s="71" t="s">
        <v>124</v>
      </c>
      <c r="G1261" s="71" t="s">
        <v>20</v>
      </c>
      <c r="H1261" s="71"/>
      <c r="I1261" s="71"/>
      <c r="J1261" s="71" t="s">
        <v>10697</v>
      </c>
      <c r="K1261" s="71"/>
      <c r="L1261" s="71" t="s">
        <v>4282</v>
      </c>
      <c r="M1261" s="71"/>
      <c r="O1261" s="72">
        <v>38489</v>
      </c>
      <c r="P1261" s="71">
        <v>-1</v>
      </c>
      <c r="Q1261" s="71" t="b">
        <v>0</v>
      </c>
      <c r="R1261" s="22">
        <f t="shared" si="19"/>
        <v>66</v>
      </c>
    </row>
    <row r="1262" spans="1:18">
      <c r="A1262" s="71">
        <v>8037</v>
      </c>
      <c r="B1262" s="72">
        <v>38421</v>
      </c>
      <c r="C1262" s="71" t="s">
        <v>10698</v>
      </c>
      <c r="D1262" s="72">
        <v>38419</v>
      </c>
      <c r="E1262" s="71" t="s">
        <v>10699</v>
      </c>
      <c r="F1262" s="71" t="s">
        <v>39</v>
      </c>
      <c r="G1262" s="71" t="s">
        <v>20</v>
      </c>
      <c r="H1262" s="71"/>
      <c r="I1262" s="71"/>
      <c r="J1262" s="71" t="s">
        <v>10700</v>
      </c>
      <c r="K1262" s="71" t="s">
        <v>10701</v>
      </c>
      <c r="L1262" s="71" t="s">
        <v>2205</v>
      </c>
      <c r="M1262" s="71"/>
      <c r="O1262" s="72">
        <v>38442</v>
      </c>
      <c r="P1262" s="71"/>
      <c r="Q1262" s="71" t="b">
        <v>0</v>
      </c>
      <c r="R1262" s="22">
        <f t="shared" si="19"/>
        <v>21</v>
      </c>
    </row>
    <row r="1263" spans="1:18">
      <c r="A1263" s="71">
        <v>8039</v>
      </c>
      <c r="B1263" s="72">
        <v>38425</v>
      </c>
      <c r="C1263" s="71" t="s">
        <v>10702</v>
      </c>
      <c r="D1263" s="72">
        <v>38421</v>
      </c>
      <c r="E1263" s="71" t="s">
        <v>10703</v>
      </c>
      <c r="F1263" s="71" t="s">
        <v>1232</v>
      </c>
      <c r="G1263" s="71" t="s">
        <v>20</v>
      </c>
      <c r="H1263" s="71" t="s">
        <v>189</v>
      </c>
      <c r="I1263" s="71" t="s">
        <v>10147</v>
      </c>
      <c r="J1263" s="71" t="s">
        <v>10704</v>
      </c>
      <c r="K1263" s="71" t="s">
        <v>10705</v>
      </c>
      <c r="L1263" s="71" t="s">
        <v>8318</v>
      </c>
      <c r="M1263" s="71"/>
      <c r="O1263" s="72">
        <v>38597</v>
      </c>
      <c r="P1263" s="71"/>
      <c r="Q1263" s="71" t="b">
        <v>0</v>
      </c>
      <c r="R1263" s="22">
        <f t="shared" si="19"/>
        <v>170</v>
      </c>
    </row>
    <row r="1264" spans="1:18">
      <c r="A1264" s="71">
        <v>8049</v>
      </c>
      <c r="B1264" s="72">
        <v>38432</v>
      </c>
      <c r="C1264" s="71" t="s">
        <v>10723</v>
      </c>
      <c r="D1264" s="72">
        <v>38432</v>
      </c>
      <c r="E1264" s="71" t="s">
        <v>10724</v>
      </c>
      <c r="F1264" s="71" t="s">
        <v>10725</v>
      </c>
      <c r="G1264" s="71" t="s">
        <v>20</v>
      </c>
      <c r="H1264" s="71"/>
      <c r="I1264" s="71"/>
      <c r="J1264" s="71" t="s">
        <v>10726</v>
      </c>
      <c r="K1264" s="71" t="s">
        <v>10727</v>
      </c>
      <c r="L1264" s="71" t="s">
        <v>4282</v>
      </c>
      <c r="M1264" s="71"/>
      <c r="O1264" s="72">
        <v>38504</v>
      </c>
      <c r="P1264" s="71"/>
      <c r="Q1264" s="71" t="b">
        <v>0</v>
      </c>
      <c r="R1264" s="22">
        <f t="shared" si="19"/>
        <v>70</v>
      </c>
    </row>
    <row r="1265" spans="1:18">
      <c r="A1265" s="71">
        <v>8050</v>
      </c>
      <c r="B1265" s="72">
        <v>38434</v>
      </c>
      <c r="C1265" s="71" t="s">
        <v>10728</v>
      </c>
      <c r="D1265" s="72">
        <v>38434</v>
      </c>
      <c r="E1265" s="71" t="s">
        <v>10729</v>
      </c>
      <c r="F1265" s="71" t="s">
        <v>10730</v>
      </c>
      <c r="G1265" s="71" t="s">
        <v>20</v>
      </c>
      <c r="H1265" s="71"/>
      <c r="I1265" s="71"/>
      <c r="J1265" s="71" t="s">
        <v>10731</v>
      </c>
      <c r="K1265" s="71"/>
      <c r="L1265" s="71" t="s">
        <v>1946</v>
      </c>
      <c r="M1265" s="71"/>
      <c r="O1265" s="72">
        <v>38885</v>
      </c>
      <c r="P1265" s="71"/>
      <c r="Q1265" s="71" t="b">
        <v>0</v>
      </c>
      <c r="R1265" s="22">
        <f t="shared" si="19"/>
        <v>450</v>
      </c>
    </row>
    <row r="1266" spans="1:18">
      <c r="A1266" s="71">
        <v>8053</v>
      </c>
      <c r="B1266" s="72">
        <v>38441</v>
      </c>
      <c r="C1266" s="71" t="s">
        <v>10739</v>
      </c>
      <c r="D1266" s="72">
        <v>38441</v>
      </c>
      <c r="E1266" s="71" t="s">
        <v>10740</v>
      </c>
      <c r="F1266" s="71" t="s">
        <v>5690</v>
      </c>
      <c r="G1266" s="71" t="s">
        <v>20</v>
      </c>
      <c r="H1266" s="71"/>
      <c r="I1266" s="71"/>
      <c r="J1266" s="71" t="s">
        <v>10741</v>
      </c>
      <c r="K1266" s="71"/>
      <c r="L1266" s="71" t="s">
        <v>2205</v>
      </c>
      <c r="M1266" s="71"/>
      <c r="O1266" s="72">
        <v>38447</v>
      </c>
      <c r="P1266" s="71"/>
      <c r="Q1266" s="71" t="b">
        <v>0</v>
      </c>
      <c r="R1266" s="22">
        <f t="shared" si="19"/>
        <v>5</v>
      </c>
    </row>
    <row r="1267" spans="1:18">
      <c r="A1267" s="71">
        <v>8055</v>
      </c>
      <c r="B1267" s="72">
        <v>38442</v>
      </c>
      <c r="C1267" s="71" t="s">
        <v>10746</v>
      </c>
      <c r="D1267" s="72">
        <v>38442</v>
      </c>
      <c r="E1267" s="71" t="s">
        <v>10747</v>
      </c>
      <c r="F1267" s="71" t="s">
        <v>149</v>
      </c>
      <c r="G1267" s="71" t="s">
        <v>20</v>
      </c>
      <c r="H1267" s="71"/>
      <c r="I1267" s="71"/>
      <c r="J1267" s="71" t="s">
        <v>10748</v>
      </c>
      <c r="K1267" s="71" t="s">
        <v>10741</v>
      </c>
      <c r="L1267" s="71" t="s">
        <v>1946</v>
      </c>
      <c r="M1267" s="71"/>
      <c r="O1267" s="72">
        <v>38558</v>
      </c>
      <c r="P1267" s="71"/>
      <c r="Q1267" s="71" t="b">
        <v>0</v>
      </c>
      <c r="R1267" s="22">
        <f t="shared" si="19"/>
        <v>116</v>
      </c>
    </row>
    <row r="1268" spans="1:18">
      <c r="A1268" s="71">
        <v>8056</v>
      </c>
      <c r="B1268" s="72">
        <v>38441</v>
      </c>
      <c r="C1268" s="71" t="s">
        <v>10749</v>
      </c>
      <c r="D1268" s="72">
        <v>38441</v>
      </c>
      <c r="E1268" s="71" t="s">
        <v>10750</v>
      </c>
      <c r="F1268" s="71" t="s">
        <v>5259</v>
      </c>
      <c r="G1268" s="71" t="s">
        <v>20</v>
      </c>
      <c r="H1268" s="71"/>
      <c r="I1268" s="71"/>
      <c r="J1268" s="71" t="s">
        <v>10751</v>
      </c>
      <c r="K1268" s="71" t="s">
        <v>10741</v>
      </c>
      <c r="L1268" s="71" t="s">
        <v>2205</v>
      </c>
      <c r="M1268" s="71"/>
      <c r="O1268" s="72">
        <v>38455</v>
      </c>
      <c r="P1268" s="71">
        <v>-1</v>
      </c>
      <c r="Q1268" s="71" t="b">
        <v>0</v>
      </c>
      <c r="R1268" s="22">
        <f t="shared" si="19"/>
        <v>13</v>
      </c>
    </row>
    <row r="1269" spans="1:18">
      <c r="A1269" s="71">
        <v>8063</v>
      </c>
      <c r="B1269" s="72">
        <v>38450</v>
      </c>
      <c r="C1269" s="71" t="s">
        <v>10764</v>
      </c>
      <c r="D1269" s="72">
        <v>38450</v>
      </c>
      <c r="E1269" s="71" t="s">
        <v>10765</v>
      </c>
      <c r="F1269" s="71" t="s">
        <v>7054</v>
      </c>
      <c r="G1269" s="71" t="s">
        <v>20</v>
      </c>
      <c r="H1269" s="71" t="s">
        <v>212</v>
      </c>
      <c r="I1269" s="71"/>
      <c r="J1269" s="71" t="s">
        <v>9014</v>
      </c>
      <c r="K1269" s="71" t="s">
        <v>10766</v>
      </c>
      <c r="L1269" s="71" t="s">
        <v>2205</v>
      </c>
      <c r="M1269" s="71"/>
      <c r="O1269" s="72">
        <v>38454</v>
      </c>
      <c r="P1269" s="71">
        <v>0</v>
      </c>
      <c r="Q1269" s="71" t="b">
        <v>0</v>
      </c>
      <c r="R1269" s="22">
        <f t="shared" si="19"/>
        <v>4</v>
      </c>
    </row>
    <row r="1270" spans="1:18">
      <c r="A1270" s="71">
        <v>8065</v>
      </c>
      <c r="B1270" s="72">
        <v>38448</v>
      </c>
      <c r="C1270" s="71" t="s">
        <v>10771</v>
      </c>
      <c r="D1270" s="72">
        <v>38448</v>
      </c>
      <c r="E1270" s="71" t="s">
        <v>10772</v>
      </c>
      <c r="F1270" s="71" t="s">
        <v>283</v>
      </c>
      <c r="G1270" s="71" t="s">
        <v>20</v>
      </c>
      <c r="H1270" s="71"/>
      <c r="I1270" s="71"/>
      <c r="J1270" s="71" t="s">
        <v>10773</v>
      </c>
      <c r="K1270" s="71" t="s">
        <v>10774</v>
      </c>
      <c r="L1270" s="71" t="s">
        <v>8318</v>
      </c>
      <c r="M1270" s="71"/>
      <c r="O1270" s="72">
        <v>38448</v>
      </c>
      <c r="P1270" s="71"/>
      <c r="Q1270" s="71" t="b">
        <v>0</v>
      </c>
      <c r="R1270" s="22">
        <f t="shared" si="19"/>
        <v>0</v>
      </c>
    </row>
    <row r="1271" spans="1:18">
      <c r="A1271" s="71">
        <v>8067</v>
      </c>
      <c r="B1271" s="72">
        <v>38449</v>
      </c>
      <c r="C1271" s="71" t="s">
        <v>10778</v>
      </c>
      <c r="D1271" s="72">
        <v>38441</v>
      </c>
      <c r="E1271" s="71" t="s">
        <v>10779</v>
      </c>
      <c r="F1271" s="71" t="s">
        <v>242</v>
      </c>
      <c r="G1271" s="71" t="s">
        <v>20</v>
      </c>
      <c r="H1271" s="71"/>
      <c r="I1271" s="71"/>
      <c r="J1271" s="71" t="s">
        <v>10780</v>
      </c>
      <c r="K1271" s="71" t="s">
        <v>8828</v>
      </c>
      <c r="L1271" s="71" t="s">
        <v>1946</v>
      </c>
      <c r="M1271" s="71"/>
      <c r="O1271" s="72">
        <v>38558</v>
      </c>
      <c r="P1271" s="71"/>
      <c r="Q1271" s="71" t="b">
        <v>0</v>
      </c>
      <c r="R1271" s="22">
        <f t="shared" si="19"/>
        <v>109</v>
      </c>
    </row>
    <row r="1272" spans="1:18">
      <c r="A1272" s="71">
        <v>8070</v>
      </c>
      <c r="B1272" s="72">
        <v>38449</v>
      </c>
      <c r="C1272" s="71" t="s">
        <v>10790</v>
      </c>
      <c r="D1272" s="72">
        <v>38449</v>
      </c>
      <c r="E1272" s="71" t="s">
        <v>10791</v>
      </c>
      <c r="F1272" s="71" t="s">
        <v>1232</v>
      </c>
      <c r="G1272" s="71" t="s">
        <v>20</v>
      </c>
      <c r="H1272" s="71" t="s">
        <v>189</v>
      </c>
      <c r="I1272" s="71"/>
      <c r="J1272" s="71" t="s">
        <v>10792</v>
      </c>
      <c r="K1272" s="71" t="s">
        <v>10793</v>
      </c>
      <c r="L1272" s="71" t="s">
        <v>4579</v>
      </c>
      <c r="M1272" s="71"/>
      <c r="O1272" s="72">
        <v>38469</v>
      </c>
      <c r="P1272" s="71">
        <v>-1</v>
      </c>
      <c r="Q1272" s="71" t="b">
        <v>0</v>
      </c>
      <c r="R1272" s="22">
        <f t="shared" si="19"/>
        <v>20</v>
      </c>
    </row>
    <row r="1273" spans="1:18">
      <c r="A1273" s="71">
        <v>8074</v>
      </c>
      <c r="B1273" s="72">
        <v>38455</v>
      </c>
      <c r="C1273" s="71" t="s">
        <v>10804</v>
      </c>
      <c r="D1273" s="72">
        <v>38447</v>
      </c>
      <c r="E1273" s="71" t="s">
        <v>10805</v>
      </c>
      <c r="F1273" s="71" t="s">
        <v>974</v>
      </c>
      <c r="G1273" s="71" t="s">
        <v>20</v>
      </c>
      <c r="H1273" s="71" t="s">
        <v>212</v>
      </c>
      <c r="I1273" s="71" t="s">
        <v>212</v>
      </c>
      <c r="J1273" s="71" t="s">
        <v>6523</v>
      </c>
      <c r="K1273" s="71" t="s">
        <v>10806</v>
      </c>
      <c r="L1273" s="71" t="s">
        <v>2205</v>
      </c>
      <c r="M1273" s="71"/>
      <c r="O1273" s="72">
        <v>38455</v>
      </c>
      <c r="P1273" s="71">
        <v>-1</v>
      </c>
      <c r="Q1273" s="71" t="b">
        <v>0</v>
      </c>
      <c r="R1273" s="22">
        <f t="shared" si="19"/>
        <v>0</v>
      </c>
    </row>
    <row r="1274" spans="1:18">
      <c r="A1274" s="71">
        <v>8075</v>
      </c>
      <c r="B1274" s="72">
        <v>38455</v>
      </c>
      <c r="C1274" s="71" t="s">
        <v>10807</v>
      </c>
      <c r="D1274" s="72">
        <v>38455</v>
      </c>
      <c r="E1274" s="71" t="s">
        <v>10808</v>
      </c>
      <c r="F1274" s="71" t="s">
        <v>974</v>
      </c>
      <c r="G1274" s="71" t="s">
        <v>20</v>
      </c>
      <c r="H1274" s="71" t="s">
        <v>212</v>
      </c>
      <c r="I1274" s="71" t="s">
        <v>212</v>
      </c>
      <c r="J1274" s="71" t="s">
        <v>10809</v>
      </c>
      <c r="K1274" s="71"/>
      <c r="L1274" s="71" t="s">
        <v>8318</v>
      </c>
      <c r="M1274" s="71"/>
      <c r="O1274" s="72">
        <v>38455</v>
      </c>
      <c r="P1274" s="71"/>
      <c r="Q1274" s="71" t="b">
        <v>0</v>
      </c>
      <c r="R1274" s="22">
        <f t="shared" si="19"/>
        <v>0</v>
      </c>
    </row>
    <row r="1275" spans="1:18">
      <c r="A1275" s="71">
        <v>8076</v>
      </c>
      <c r="B1275" s="72">
        <v>38456</v>
      </c>
      <c r="C1275" s="71" t="s">
        <v>10810</v>
      </c>
      <c r="D1275" s="72">
        <v>38454</v>
      </c>
      <c r="E1275" s="71" t="s">
        <v>10811</v>
      </c>
      <c r="F1275" s="71" t="s">
        <v>1232</v>
      </c>
      <c r="G1275" s="71" t="s">
        <v>20</v>
      </c>
      <c r="H1275" s="71" t="s">
        <v>189</v>
      </c>
      <c r="I1275" s="71" t="s">
        <v>189</v>
      </c>
      <c r="J1275" s="71" t="s">
        <v>10812</v>
      </c>
      <c r="K1275" s="71" t="s">
        <v>8621</v>
      </c>
      <c r="L1275" s="71" t="s">
        <v>4579</v>
      </c>
      <c r="M1275" s="71"/>
      <c r="O1275" s="72">
        <v>38469</v>
      </c>
      <c r="P1275" s="71"/>
      <c r="Q1275" s="71" t="b">
        <v>0</v>
      </c>
      <c r="R1275" s="22">
        <f t="shared" si="19"/>
        <v>13</v>
      </c>
    </row>
    <row r="1276" spans="1:18">
      <c r="A1276" s="71">
        <v>8080</v>
      </c>
      <c r="B1276" s="72">
        <v>38464</v>
      </c>
      <c r="C1276" s="71" t="s">
        <v>10817</v>
      </c>
      <c r="D1276" s="72">
        <v>38462</v>
      </c>
      <c r="E1276" s="71" t="s">
        <v>10818</v>
      </c>
      <c r="F1276" s="71" t="s">
        <v>1830</v>
      </c>
      <c r="G1276" s="71" t="s">
        <v>20</v>
      </c>
      <c r="H1276" s="71"/>
      <c r="I1276" s="71"/>
      <c r="J1276" s="71" t="s">
        <v>10819</v>
      </c>
      <c r="K1276" s="71" t="s">
        <v>10820</v>
      </c>
      <c r="L1276" s="71" t="s">
        <v>1946</v>
      </c>
      <c r="M1276" s="71"/>
      <c r="O1276" s="72">
        <v>38512</v>
      </c>
      <c r="P1276" s="71"/>
      <c r="Q1276" s="71" t="b">
        <v>0</v>
      </c>
      <c r="R1276" s="22">
        <f t="shared" si="19"/>
        <v>47</v>
      </c>
    </row>
    <row r="1277" spans="1:18">
      <c r="A1277" s="71">
        <v>8082</v>
      </c>
      <c r="B1277" s="72">
        <v>38468</v>
      </c>
      <c r="C1277" s="71" t="s">
        <v>10817</v>
      </c>
      <c r="D1277" s="72">
        <v>38464</v>
      </c>
      <c r="E1277" s="71" t="s">
        <v>10821</v>
      </c>
      <c r="F1277" s="71" t="s">
        <v>10755</v>
      </c>
      <c r="G1277" s="71" t="s">
        <v>20</v>
      </c>
      <c r="H1277" s="71" t="s">
        <v>189</v>
      </c>
      <c r="I1277" s="71"/>
      <c r="J1277" s="71" t="s">
        <v>1411</v>
      </c>
      <c r="K1277" s="71" t="s">
        <v>2694</v>
      </c>
      <c r="L1277" s="71" t="s">
        <v>4282</v>
      </c>
      <c r="M1277" s="71"/>
      <c r="O1277" s="72">
        <v>38470</v>
      </c>
      <c r="P1277" s="71"/>
      <c r="Q1277" s="71" t="b">
        <v>0</v>
      </c>
      <c r="R1277" s="22">
        <f t="shared" si="19"/>
        <v>2</v>
      </c>
    </row>
    <row r="1278" spans="1:18">
      <c r="A1278" s="71">
        <v>8083</v>
      </c>
      <c r="B1278" s="72">
        <v>38470</v>
      </c>
      <c r="C1278" s="71" t="s">
        <v>10822</v>
      </c>
      <c r="D1278" s="72">
        <v>38455</v>
      </c>
      <c r="E1278" s="71" t="s">
        <v>10823</v>
      </c>
      <c r="F1278" s="71" t="s">
        <v>1232</v>
      </c>
      <c r="G1278" s="71" t="s">
        <v>20</v>
      </c>
      <c r="H1278" s="71" t="s">
        <v>189</v>
      </c>
      <c r="I1278" s="71"/>
      <c r="J1278" s="71" t="s">
        <v>10824</v>
      </c>
      <c r="K1278" s="71"/>
      <c r="L1278" s="71" t="s">
        <v>2205</v>
      </c>
      <c r="M1278" s="71"/>
      <c r="O1278" s="72">
        <v>38596</v>
      </c>
      <c r="P1278" s="71"/>
      <c r="Q1278" s="71" t="b">
        <v>0</v>
      </c>
      <c r="R1278" s="22">
        <f t="shared" si="19"/>
        <v>124</v>
      </c>
    </row>
    <row r="1279" spans="1:18">
      <c r="A1279" s="71">
        <v>8084</v>
      </c>
      <c r="B1279" s="72">
        <v>38469</v>
      </c>
      <c r="C1279" s="71" t="s">
        <v>10825</v>
      </c>
      <c r="D1279" s="72">
        <v>38468</v>
      </c>
      <c r="E1279" s="71" t="s">
        <v>10826</v>
      </c>
      <c r="F1279" s="71" t="s">
        <v>149</v>
      </c>
      <c r="G1279" s="71" t="s">
        <v>20</v>
      </c>
      <c r="H1279" s="71"/>
      <c r="I1279" s="71"/>
      <c r="J1279" s="71" t="s">
        <v>10827</v>
      </c>
      <c r="K1279" s="71" t="s">
        <v>10828</v>
      </c>
      <c r="L1279" s="71" t="s">
        <v>4579</v>
      </c>
      <c r="M1279" s="71"/>
      <c r="N1279" s="72">
        <v>38560</v>
      </c>
      <c r="O1279" s="72">
        <v>38489</v>
      </c>
      <c r="P1279" s="71"/>
      <c r="Q1279" s="71" t="b">
        <v>0</v>
      </c>
      <c r="R1279" s="22">
        <f t="shared" si="19"/>
        <v>20</v>
      </c>
    </row>
    <row r="1280" spans="1:18">
      <c r="A1280" s="71">
        <v>8086</v>
      </c>
      <c r="B1280" s="72">
        <v>38471</v>
      </c>
      <c r="C1280" s="71" t="s">
        <v>10829</v>
      </c>
      <c r="D1280" s="72">
        <v>38471</v>
      </c>
      <c r="E1280" s="71" t="s">
        <v>10830</v>
      </c>
      <c r="F1280" s="71" t="s">
        <v>6351</v>
      </c>
      <c r="G1280" s="71" t="s">
        <v>20</v>
      </c>
      <c r="H1280" s="71"/>
      <c r="I1280" s="71"/>
      <c r="J1280" s="71" t="s">
        <v>10831</v>
      </c>
      <c r="K1280" s="71" t="s">
        <v>10832</v>
      </c>
      <c r="L1280" s="71" t="s">
        <v>4579</v>
      </c>
      <c r="M1280" s="71"/>
      <c r="O1280" s="72">
        <v>38504</v>
      </c>
      <c r="P1280" s="71"/>
      <c r="Q1280" s="71" t="b">
        <v>0</v>
      </c>
      <c r="R1280" s="22">
        <f t="shared" si="19"/>
        <v>32</v>
      </c>
    </row>
    <row r="1281" spans="1:18">
      <c r="A1281" s="71">
        <v>8087</v>
      </c>
      <c r="B1281" s="72">
        <v>38471</v>
      </c>
      <c r="C1281" s="71" t="s">
        <v>10833</v>
      </c>
      <c r="D1281" s="72">
        <v>38471</v>
      </c>
      <c r="E1281" s="71" t="s">
        <v>10834</v>
      </c>
      <c r="F1281" s="71" t="s">
        <v>52</v>
      </c>
      <c r="G1281" s="71" t="s">
        <v>20</v>
      </c>
      <c r="H1281" s="71" t="s">
        <v>71</v>
      </c>
      <c r="I1281" s="71"/>
      <c r="J1281" s="71" t="s">
        <v>6426</v>
      </c>
      <c r="K1281" s="71" t="s">
        <v>20648</v>
      </c>
      <c r="L1281" s="71" t="s">
        <v>4282</v>
      </c>
      <c r="M1281" s="71"/>
      <c r="O1281" s="72">
        <v>38572</v>
      </c>
      <c r="P1281" s="71"/>
      <c r="Q1281" s="71" t="b">
        <v>0</v>
      </c>
      <c r="R1281" s="22">
        <f t="shared" si="19"/>
        <v>100</v>
      </c>
    </row>
    <row r="1282" spans="1:18">
      <c r="A1282" s="71">
        <v>8088</v>
      </c>
      <c r="B1282" s="72">
        <v>38471</v>
      </c>
      <c r="C1282" s="71" t="s">
        <v>10836</v>
      </c>
      <c r="D1282" s="72">
        <v>38471</v>
      </c>
      <c r="E1282" s="71" t="s">
        <v>10837</v>
      </c>
      <c r="F1282" s="71" t="s">
        <v>10838</v>
      </c>
      <c r="G1282" s="71" t="s">
        <v>20</v>
      </c>
      <c r="H1282" s="71"/>
      <c r="I1282" s="71"/>
      <c r="J1282" s="71" t="s">
        <v>10170</v>
      </c>
      <c r="K1282" s="71" t="s">
        <v>10839</v>
      </c>
      <c r="L1282" s="71" t="s">
        <v>4282</v>
      </c>
      <c r="M1282" s="71"/>
      <c r="O1282" s="72">
        <v>40666</v>
      </c>
      <c r="P1282" s="71">
        <v>-1</v>
      </c>
      <c r="Q1282" s="71" t="b">
        <v>0</v>
      </c>
      <c r="R1282" s="22">
        <f t="shared" ref="R1282:R1345" si="20">IF(O1282=" ", " ", INT(YEARFRAC(O1282, B1282)*365))</f>
        <v>2194</v>
      </c>
    </row>
    <row r="1283" spans="1:18">
      <c r="A1283" s="71">
        <v>8092</v>
      </c>
      <c r="B1283" s="72">
        <v>38471</v>
      </c>
      <c r="C1283" s="71" t="s">
        <v>10842</v>
      </c>
      <c r="D1283" s="72">
        <v>38471</v>
      </c>
      <c r="E1283" s="71" t="s">
        <v>10843</v>
      </c>
      <c r="F1283" s="71" t="s">
        <v>39</v>
      </c>
      <c r="G1283" s="71" t="s">
        <v>20</v>
      </c>
      <c r="H1283" s="71"/>
      <c r="I1283" s="71"/>
      <c r="J1283" s="71" t="s">
        <v>10844</v>
      </c>
      <c r="K1283" s="71" t="s">
        <v>10845</v>
      </c>
      <c r="L1283" s="71" t="s">
        <v>4282</v>
      </c>
      <c r="M1283" s="71"/>
      <c r="N1283" s="72">
        <v>38487</v>
      </c>
      <c r="O1283" s="72">
        <v>38504</v>
      </c>
      <c r="P1283" s="71"/>
      <c r="Q1283" s="71" t="b">
        <v>0</v>
      </c>
      <c r="R1283" s="22">
        <f t="shared" si="20"/>
        <v>32</v>
      </c>
    </row>
    <row r="1284" spans="1:18">
      <c r="A1284" s="71">
        <v>8095</v>
      </c>
      <c r="B1284" s="72">
        <v>38475</v>
      </c>
      <c r="C1284" s="71" t="s">
        <v>10852</v>
      </c>
      <c r="D1284" s="72">
        <v>38475</v>
      </c>
      <c r="E1284" s="71" t="s">
        <v>10853</v>
      </c>
      <c r="F1284" s="71" t="s">
        <v>104</v>
      </c>
      <c r="G1284" s="71" t="s">
        <v>20</v>
      </c>
      <c r="H1284" s="71" t="s">
        <v>71</v>
      </c>
      <c r="I1284" s="71" t="s">
        <v>71</v>
      </c>
      <c r="J1284" s="71" t="s">
        <v>10744</v>
      </c>
      <c r="K1284" s="71" t="s">
        <v>20646</v>
      </c>
      <c r="L1284" s="71" t="s">
        <v>4579</v>
      </c>
      <c r="M1284" s="71"/>
      <c r="O1284" s="72">
        <v>38475</v>
      </c>
      <c r="P1284" s="71"/>
      <c r="Q1284" s="71" t="b">
        <v>0</v>
      </c>
      <c r="R1284" s="22">
        <f t="shared" si="20"/>
        <v>0</v>
      </c>
    </row>
    <row r="1285" spans="1:18">
      <c r="A1285" s="71">
        <v>8096</v>
      </c>
      <c r="B1285" s="72">
        <v>38477</v>
      </c>
      <c r="C1285" s="71" t="s">
        <v>10855</v>
      </c>
      <c r="D1285" s="72">
        <v>38473</v>
      </c>
      <c r="E1285" s="71" t="s">
        <v>10856</v>
      </c>
      <c r="F1285" s="71" t="s">
        <v>10725</v>
      </c>
      <c r="G1285" s="71" t="s">
        <v>20</v>
      </c>
      <c r="H1285" s="71" t="s">
        <v>566</v>
      </c>
      <c r="I1285" s="71" t="s">
        <v>566</v>
      </c>
      <c r="J1285" s="71" t="s">
        <v>5513</v>
      </c>
      <c r="K1285" s="71" t="s">
        <v>10857</v>
      </c>
      <c r="L1285" s="71" t="s">
        <v>4282</v>
      </c>
      <c r="M1285" s="71"/>
      <c r="O1285" s="72">
        <v>38555</v>
      </c>
      <c r="P1285" s="71"/>
      <c r="Q1285" s="71" t="b">
        <v>0</v>
      </c>
      <c r="R1285" s="22">
        <f t="shared" si="20"/>
        <v>78</v>
      </c>
    </row>
    <row r="1286" spans="1:18">
      <c r="A1286" s="71">
        <v>8098</v>
      </c>
      <c r="B1286" s="72">
        <v>38478</v>
      </c>
      <c r="C1286" s="71" t="s">
        <v>10860</v>
      </c>
      <c r="D1286" s="72">
        <v>38478</v>
      </c>
      <c r="E1286" s="71" t="s">
        <v>10861</v>
      </c>
      <c r="F1286" s="71" t="s">
        <v>6298</v>
      </c>
      <c r="G1286" s="71" t="s">
        <v>20</v>
      </c>
      <c r="H1286" s="71" t="s">
        <v>71</v>
      </c>
      <c r="I1286" s="71"/>
      <c r="J1286" s="71" t="s">
        <v>10862</v>
      </c>
      <c r="K1286" s="71" t="s">
        <v>10863</v>
      </c>
      <c r="L1286" s="71" t="s">
        <v>8318</v>
      </c>
      <c r="M1286" s="71"/>
      <c r="O1286" s="72">
        <v>38573</v>
      </c>
      <c r="P1286" s="71">
        <v>-1</v>
      </c>
      <c r="Q1286" s="71" t="b">
        <v>0</v>
      </c>
      <c r="R1286" s="22">
        <f t="shared" si="20"/>
        <v>94</v>
      </c>
    </row>
    <row r="1287" spans="1:18">
      <c r="A1287" s="71">
        <v>8101</v>
      </c>
      <c r="B1287" s="72">
        <v>38484</v>
      </c>
      <c r="C1287" s="71" t="s">
        <v>10864</v>
      </c>
      <c r="D1287" s="72">
        <v>38481</v>
      </c>
      <c r="E1287" s="71" t="s">
        <v>10865</v>
      </c>
      <c r="F1287" s="71" t="s">
        <v>104</v>
      </c>
      <c r="G1287" s="71" t="s">
        <v>20</v>
      </c>
      <c r="H1287" s="71" t="s">
        <v>71</v>
      </c>
      <c r="I1287" s="71"/>
      <c r="J1287" s="71" t="s">
        <v>5601</v>
      </c>
      <c r="K1287" s="71" t="s">
        <v>10866</v>
      </c>
      <c r="L1287" s="71" t="s">
        <v>4579</v>
      </c>
      <c r="M1287" s="71" t="s">
        <v>1946</v>
      </c>
      <c r="O1287" s="72">
        <v>39905</v>
      </c>
      <c r="P1287" s="71"/>
      <c r="Q1287" s="71" t="b">
        <v>0</v>
      </c>
      <c r="R1287" s="22">
        <f t="shared" si="20"/>
        <v>1419</v>
      </c>
    </row>
    <row r="1288" spans="1:18">
      <c r="A1288" s="71">
        <v>8102</v>
      </c>
      <c r="B1288" s="72">
        <v>38489</v>
      </c>
      <c r="C1288" s="71" t="s">
        <v>10867</v>
      </c>
      <c r="D1288" s="72">
        <v>38483</v>
      </c>
      <c r="E1288" s="71" t="s">
        <v>10868</v>
      </c>
      <c r="F1288" s="71" t="s">
        <v>974</v>
      </c>
      <c r="G1288" s="71" t="s">
        <v>20</v>
      </c>
      <c r="H1288" s="71" t="s">
        <v>212</v>
      </c>
      <c r="I1288" s="71" t="s">
        <v>212</v>
      </c>
      <c r="J1288" s="71" t="s">
        <v>10869</v>
      </c>
      <c r="K1288" s="71" t="s">
        <v>10870</v>
      </c>
      <c r="L1288" s="71" t="s">
        <v>10871</v>
      </c>
      <c r="M1288" s="71" t="s">
        <v>2205</v>
      </c>
      <c r="O1288" s="72">
        <v>38898</v>
      </c>
      <c r="P1288" s="71"/>
      <c r="Q1288" s="71" t="b">
        <v>0</v>
      </c>
      <c r="R1288" s="22">
        <f t="shared" si="20"/>
        <v>408</v>
      </c>
    </row>
    <row r="1289" spans="1:18">
      <c r="A1289" s="71">
        <v>8104</v>
      </c>
      <c r="B1289" s="72">
        <v>38488</v>
      </c>
      <c r="C1289" s="71" t="s">
        <v>10874</v>
      </c>
      <c r="D1289" s="72">
        <v>38484</v>
      </c>
      <c r="E1289" s="71" t="s">
        <v>10875</v>
      </c>
      <c r="F1289" s="71" t="s">
        <v>760</v>
      </c>
      <c r="G1289" s="71" t="s">
        <v>20</v>
      </c>
      <c r="H1289" s="71" t="s">
        <v>212</v>
      </c>
      <c r="I1289" s="71" t="s">
        <v>10120</v>
      </c>
      <c r="J1289" s="71" t="s">
        <v>10876</v>
      </c>
      <c r="K1289" s="71" t="s">
        <v>10877</v>
      </c>
      <c r="L1289" s="71" t="s">
        <v>4579</v>
      </c>
      <c r="M1289" s="71"/>
      <c r="O1289" s="72">
        <v>38520</v>
      </c>
      <c r="P1289" s="71"/>
      <c r="Q1289" s="71" t="b">
        <v>0</v>
      </c>
      <c r="R1289" s="22">
        <f t="shared" si="20"/>
        <v>31</v>
      </c>
    </row>
    <row r="1290" spans="1:18">
      <c r="A1290" s="71">
        <v>8107</v>
      </c>
      <c r="B1290" s="72">
        <v>38495</v>
      </c>
      <c r="C1290" s="71" t="s">
        <v>10880</v>
      </c>
      <c r="D1290" s="72">
        <v>38486</v>
      </c>
      <c r="E1290" s="71" t="s">
        <v>10881</v>
      </c>
      <c r="F1290" s="71" t="s">
        <v>98</v>
      </c>
      <c r="G1290" s="71" t="s">
        <v>20</v>
      </c>
      <c r="H1290" s="71"/>
      <c r="I1290" s="71"/>
      <c r="J1290" s="71" t="s">
        <v>10882</v>
      </c>
      <c r="K1290" s="71" t="s">
        <v>10883</v>
      </c>
      <c r="L1290" s="71" t="s">
        <v>4282</v>
      </c>
      <c r="M1290" s="71"/>
      <c r="O1290" s="72">
        <v>38555</v>
      </c>
      <c r="P1290" s="71"/>
      <c r="Q1290" s="71" t="b">
        <v>0</v>
      </c>
      <c r="R1290" s="22">
        <f t="shared" si="20"/>
        <v>59</v>
      </c>
    </row>
    <row r="1291" spans="1:18">
      <c r="A1291" s="71">
        <v>8108</v>
      </c>
      <c r="B1291" s="72">
        <v>38497</v>
      </c>
      <c r="C1291" s="71" t="s">
        <v>10884</v>
      </c>
      <c r="D1291" s="72">
        <v>38498</v>
      </c>
      <c r="E1291" s="71" t="s">
        <v>10885</v>
      </c>
      <c r="F1291" s="71" t="s">
        <v>104</v>
      </c>
      <c r="G1291" s="71" t="s">
        <v>20</v>
      </c>
      <c r="H1291" s="71" t="s">
        <v>71</v>
      </c>
      <c r="I1291" s="71" t="s">
        <v>72</v>
      </c>
      <c r="J1291" s="71" t="s">
        <v>10886</v>
      </c>
      <c r="K1291" s="71"/>
      <c r="L1291" s="71" t="s">
        <v>4579</v>
      </c>
      <c r="M1291" s="71"/>
      <c r="O1291" s="72">
        <v>38593</v>
      </c>
      <c r="P1291" s="71"/>
      <c r="Q1291" s="71" t="b">
        <v>0</v>
      </c>
      <c r="R1291" s="22">
        <f t="shared" si="20"/>
        <v>95</v>
      </c>
    </row>
    <row r="1292" spans="1:18">
      <c r="A1292" s="71">
        <v>8116</v>
      </c>
      <c r="B1292" s="72">
        <v>38510</v>
      </c>
      <c r="C1292" s="71" t="s">
        <v>10903</v>
      </c>
      <c r="D1292" s="72">
        <v>38412</v>
      </c>
      <c r="E1292" s="71" t="s">
        <v>10904</v>
      </c>
      <c r="F1292" s="71" t="s">
        <v>211</v>
      </c>
      <c r="G1292" s="71" t="s">
        <v>20</v>
      </c>
      <c r="H1292" s="71" t="s">
        <v>212</v>
      </c>
      <c r="I1292" s="71" t="s">
        <v>212</v>
      </c>
      <c r="J1292" s="71" t="s">
        <v>10693</v>
      </c>
      <c r="K1292" s="71" t="s">
        <v>10905</v>
      </c>
      <c r="L1292" s="71" t="s">
        <v>4579</v>
      </c>
      <c r="M1292" s="71"/>
      <c r="O1292" s="72">
        <v>38883</v>
      </c>
      <c r="P1292" s="71">
        <v>-1</v>
      </c>
      <c r="Q1292" s="71" t="b">
        <v>0</v>
      </c>
      <c r="R1292" s="22">
        <f t="shared" si="20"/>
        <v>373</v>
      </c>
    </row>
    <row r="1293" spans="1:18">
      <c r="A1293" s="71">
        <v>8121</v>
      </c>
      <c r="B1293" s="72">
        <v>38518</v>
      </c>
      <c r="C1293" s="71" t="s">
        <v>10914</v>
      </c>
      <c r="D1293" s="72">
        <v>38517</v>
      </c>
      <c r="E1293" s="71" t="s">
        <v>4172</v>
      </c>
      <c r="F1293" s="71" t="s">
        <v>7054</v>
      </c>
      <c r="G1293" s="71" t="s">
        <v>20</v>
      </c>
      <c r="H1293" s="71" t="s">
        <v>212</v>
      </c>
      <c r="I1293" s="71" t="s">
        <v>212</v>
      </c>
      <c r="J1293" s="71" t="s">
        <v>10915</v>
      </c>
      <c r="K1293" s="71" t="s">
        <v>7150</v>
      </c>
      <c r="L1293" s="71" t="s">
        <v>4282</v>
      </c>
      <c r="M1293" s="71"/>
      <c r="N1293" s="72">
        <v>38609</v>
      </c>
      <c r="O1293" s="72">
        <v>38685</v>
      </c>
      <c r="P1293" s="71"/>
      <c r="Q1293" s="71" t="b">
        <v>0</v>
      </c>
      <c r="R1293" s="22">
        <f t="shared" si="20"/>
        <v>166</v>
      </c>
    </row>
    <row r="1294" spans="1:18">
      <c r="A1294" s="71">
        <v>8123</v>
      </c>
      <c r="B1294" s="72">
        <v>38519</v>
      </c>
      <c r="C1294" s="71" t="s">
        <v>10914</v>
      </c>
      <c r="D1294" s="72">
        <v>38517</v>
      </c>
      <c r="E1294" s="71" t="s">
        <v>10918</v>
      </c>
      <c r="F1294" s="71" t="s">
        <v>124</v>
      </c>
      <c r="G1294" s="71" t="s">
        <v>20</v>
      </c>
      <c r="H1294" s="71" t="s">
        <v>189</v>
      </c>
      <c r="I1294" s="71" t="s">
        <v>189</v>
      </c>
      <c r="J1294" s="71" t="s">
        <v>3883</v>
      </c>
      <c r="K1294" s="71" t="s">
        <v>10919</v>
      </c>
      <c r="L1294" s="71" t="s">
        <v>4579</v>
      </c>
      <c r="M1294" s="71"/>
      <c r="N1294" s="72">
        <v>38609</v>
      </c>
      <c r="O1294" s="72">
        <v>38552</v>
      </c>
      <c r="P1294" s="71">
        <v>0</v>
      </c>
      <c r="Q1294" s="71" t="b">
        <v>0</v>
      </c>
      <c r="R1294" s="22">
        <f t="shared" si="20"/>
        <v>33</v>
      </c>
    </row>
    <row r="1295" spans="1:18">
      <c r="A1295" s="71">
        <v>8126</v>
      </c>
      <c r="B1295" s="72">
        <v>38523</v>
      </c>
      <c r="C1295" s="71" t="s">
        <v>10926</v>
      </c>
      <c r="E1295" s="71" t="s">
        <v>10927</v>
      </c>
      <c r="F1295" s="71" t="s">
        <v>10928</v>
      </c>
      <c r="G1295" s="71" t="s">
        <v>20</v>
      </c>
      <c r="H1295" s="71"/>
      <c r="I1295" s="71"/>
      <c r="J1295" s="71" t="s">
        <v>10929</v>
      </c>
      <c r="K1295" s="71" t="s">
        <v>10930</v>
      </c>
      <c r="L1295" s="71" t="s">
        <v>4579</v>
      </c>
      <c r="M1295" s="71"/>
      <c r="N1295" s="72">
        <v>38615</v>
      </c>
      <c r="O1295" s="72">
        <v>38590</v>
      </c>
      <c r="P1295" s="71">
        <v>-1</v>
      </c>
      <c r="Q1295" s="71" t="b">
        <v>0</v>
      </c>
      <c r="R1295" s="22">
        <f t="shared" si="20"/>
        <v>66</v>
      </c>
    </row>
    <row r="1296" spans="1:18">
      <c r="A1296" s="71">
        <v>8131</v>
      </c>
      <c r="B1296" s="72">
        <v>38526</v>
      </c>
      <c r="C1296" s="71" t="s">
        <v>10945</v>
      </c>
      <c r="D1296" s="72">
        <v>38526</v>
      </c>
      <c r="E1296" s="71" t="s">
        <v>10942</v>
      </c>
      <c r="F1296" s="71" t="s">
        <v>8615</v>
      </c>
      <c r="G1296" s="71" t="s">
        <v>20</v>
      </c>
      <c r="H1296" s="71" t="s">
        <v>71</v>
      </c>
      <c r="I1296" s="71" t="s">
        <v>72</v>
      </c>
      <c r="J1296" s="71" t="s">
        <v>10946</v>
      </c>
      <c r="K1296" s="71" t="s">
        <v>10947</v>
      </c>
      <c r="L1296" s="71" t="s">
        <v>4579</v>
      </c>
      <c r="M1296" s="71"/>
      <c r="O1296" s="72">
        <v>40297</v>
      </c>
      <c r="P1296" s="71">
        <v>-1</v>
      </c>
      <c r="Q1296" s="71" t="b">
        <v>0</v>
      </c>
      <c r="R1296" s="22">
        <f t="shared" si="20"/>
        <v>1770</v>
      </c>
    </row>
    <row r="1297" spans="1:18">
      <c r="A1297" s="71">
        <v>8136</v>
      </c>
      <c r="B1297" s="72">
        <v>38532</v>
      </c>
      <c r="C1297" s="71" t="s">
        <v>10962</v>
      </c>
      <c r="D1297" s="72">
        <v>38524</v>
      </c>
      <c r="E1297" s="71" t="s">
        <v>10963</v>
      </c>
      <c r="F1297" s="71" t="s">
        <v>3430</v>
      </c>
      <c r="G1297" s="71" t="s">
        <v>20</v>
      </c>
      <c r="H1297" s="71" t="s">
        <v>71</v>
      </c>
      <c r="I1297" s="71" t="s">
        <v>72</v>
      </c>
      <c r="J1297" s="71" t="s">
        <v>10964</v>
      </c>
      <c r="K1297" s="71"/>
      <c r="L1297" s="71" t="s">
        <v>1946</v>
      </c>
      <c r="M1297" s="71"/>
      <c r="N1297" s="72">
        <v>38623</v>
      </c>
      <c r="O1297" s="72">
        <v>38558</v>
      </c>
      <c r="P1297" s="71"/>
      <c r="Q1297" s="71" t="b">
        <v>0</v>
      </c>
      <c r="R1297" s="22">
        <f t="shared" si="20"/>
        <v>26</v>
      </c>
    </row>
    <row r="1298" spans="1:18">
      <c r="A1298" s="71">
        <v>8137</v>
      </c>
      <c r="B1298" s="72">
        <v>38533</v>
      </c>
      <c r="C1298" s="71" t="s">
        <v>10965</v>
      </c>
      <c r="D1298" s="72">
        <v>38532</v>
      </c>
      <c r="E1298" s="71" t="s">
        <v>10966</v>
      </c>
      <c r="F1298" s="71" t="s">
        <v>10967</v>
      </c>
      <c r="G1298" s="71" t="s">
        <v>20</v>
      </c>
      <c r="H1298" s="71" t="s">
        <v>71</v>
      </c>
      <c r="I1298" s="71" t="s">
        <v>72</v>
      </c>
      <c r="J1298" s="71" t="s">
        <v>10968</v>
      </c>
      <c r="K1298" s="71" t="s">
        <v>10969</v>
      </c>
      <c r="L1298" s="71" t="s">
        <v>2205</v>
      </c>
      <c r="M1298" s="71"/>
      <c r="N1298" s="72">
        <v>38624</v>
      </c>
      <c r="O1298" s="72">
        <v>38533</v>
      </c>
      <c r="P1298" s="71"/>
      <c r="Q1298" s="71" t="b">
        <v>0</v>
      </c>
      <c r="R1298" s="22">
        <f t="shared" si="20"/>
        <v>0</v>
      </c>
    </row>
    <row r="1299" spans="1:18">
      <c r="A1299" s="71">
        <v>8138</v>
      </c>
      <c r="B1299" s="72">
        <v>38533</v>
      </c>
      <c r="C1299" s="71" t="s">
        <v>10970</v>
      </c>
      <c r="D1299" s="72">
        <v>38530</v>
      </c>
      <c r="E1299" s="71" t="s">
        <v>10971</v>
      </c>
      <c r="F1299" s="71" t="s">
        <v>984</v>
      </c>
      <c r="G1299" s="71" t="s">
        <v>20</v>
      </c>
      <c r="H1299" s="71" t="s">
        <v>71</v>
      </c>
      <c r="I1299" s="71" t="s">
        <v>72</v>
      </c>
      <c r="J1299" s="71" t="s">
        <v>7025</v>
      </c>
      <c r="K1299" s="73">
        <v>38407</v>
      </c>
      <c r="L1299" s="71" t="s">
        <v>3588</v>
      </c>
      <c r="M1299" s="71" t="s">
        <v>10973</v>
      </c>
      <c r="N1299" s="72">
        <v>38625</v>
      </c>
      <c r="O1299" s="72">
        <v>39611</v>
      </c>
      <c r="P1299" s="71"/>
      <c r="Q1299" s="71" t="b">
        <v>0</v>
      </c>
      <c r="R1299" s="22">
        <f t="shared" si="20"/>
        <v>1076</v>
      </c>
    </row>
    <row r="1300" spans="1:18">
      <c r="A1300" s="71">
        <v>8139</v>
      </c>
      <c r="B1300" s="72">
        <v>38538</v>
      </c>
      <c r="C1300" s="71" t="s">
        <v>10974</v>
      </c>
      <c r="D1300" s="72">
        <v>38532</v>
      </c>
      <c r="E1300" s="71" t="s">
        <v>10975</v>
      </c>
      <c r="F1300" s="71" t="s">
        <v>10976</v>
      </c>
      <c r="G1300" s="71" t="s">
        <v>20</v>
      </c>
      <c r="H1300" s="71" t="s">
        <v>71</v>
      </c>
      <c r="I1300" s="71" t="s">
        <v>72</v>
      </c>
      <c r="J1300" s="71" t="s">
        <v>10977</v>
      </c>
      <c r="K1300" s="71" t="s">
        <v>6242</v>
      </c>
      <c r="L1300" s="71" t="s">
        <v>4282</v>
      </c>
      <c r="M1300" s="71"/>
      <c r="N1300" s="72">
        <v>38630</v>
      </c>
      <c r="O1300" s="72">
        <v>38586</v>
      </c>
      <c r="P1300" s="71"/>
      <c r="Q1300" s="71" t="b">
        <v>0</v>
      </c>
      <c r="R1300" s="22">
        <f t="shared" si="20"/>
        <v>47</v>
      </c>
    </row>
    <row r="1301" spans="1:18">
      <c r="A1301" s="71">
        <v>8143</v>
      </c>
      <c r="B1301" s="72">
        <v>38545</v>
      </c>
      <c r="C1301" s="71" t="s">
        <v>10987</v>
      </c>
      <c r="D1301" s="72">
        <v>38541</v>
      </c>
      <c r="E1301" s="71" t="s">
        <v>10988</v>
      </c>
      <c r="F1301" s="71" t="s">
        <v>124</v>
      </c>
      <c r="G1301" s="71" t="s">
        <v>20</v>
      </c>
      <c r="H1301" s="71" t="s">
        <v>71</v>
      </c>
      <c r="I1301" s="71" t="s">
        <v>72</v>
      </c>
      <c r="J1301" s="71" t="s">
        <v>7245</v>
      </c>
      <c r="K1301" s="71" t="s">
        <v>10989</v>
      </c>
      <c r="L1301" s="71" t="s">
        <v>4579</v>
      </c>
      <c r="M1301" s="71" t="s">
        <v>2205</v>
      </c>
      <c r="N1301" s="72">
        <v>38635</v>
      </c>
      <c r="O1301" s="72">
        <v>40555</v>
      </c>
      <c r="P1301" s="71">
        <v>-1</v>
      </c>
      <c r="Q1301" s="71" t="b">
        <v>0</v>
      </c>
      <c r="R1301" s="22">
        <f t="shared" si="20"/>
        <v>2007</v>
      </c>
    </row>
    <row r="1302" spans="1:18">
      <c r="A1302" s="71">
        <v>8145</v>
      </c>
      <c r="B1302" s="72">
        <v>38546</v>
      </c>
      <c r="C1302" s="71" t="s">
        <v>10993</v>
      </c>
      <c r="D1302" s="72">
        <v>38539</v>
      </c>
      <c r="E1302" s="71" t="s">
        <v>10994</v>
      </c>
      <c r="F1302" s="71" t="s">
        <v>39</v>
      </c>
      <c r="G1302" s="71" t="s">
        <v>20</v>
      </c>
      <c r="H1302" s="71" t="s">
        <v>71</v>
      </c>
      <c r="I1302" s="71" t="s">
        <v>72</v>
      </c>
      <c r="J1302" s="71" t="s">
        <v>10995</v>
      </c>
      <c r="K1302" s="71" t="s">
        <v>10996</v>
      </c>
      <c r="L1302" s="71" t="s">
        <v>4282</v>
      </c>
      <c r="M1302" s="71"/>
      <c r="N1302" s="72">
        <v>38638</v>
      </c>
      <c r="O1302" s="72">
        <v>38861</v>
      </c>
      <c r="P1302" s="71">
        <v>-1</v>
      </c>
      <c r="Q1302" s="71" t="b">
        <v>0</v>
      </c>
      <c r="R1302" s="22">
        <f t="shared" si="20"/>
        <v>315</v>
      </c>
    </row>
    <row r="1303" spans="1:18">
      <c r="A1303" s="71">
        <v>8148</v>
      </c>
      <c r="B1303" s="72">
        <v>38552</v>
      </c>
      <c r="C1303" s="71" t="s">
        <v>11002</v>
      </c>
      <c r="D1303" s="72">
        <v>38544</v>
      </c>
      <c r="E1303" s="71" t="s">
        <v>11003</v>
      </c>
      <c r="F1303" s="71" t="s">
        <v>5690</v>
      </c>
      <c r="G1303" s="71" t="s">
        <v>20</v>
      </c>
      <c r="H1303" s="71" t="s">
        <v>71</v>
      </c>
      <c r="I1303" s="71" t="s">
        <v>72</v>
      </c>
      <c r="J1303" s="71" t="s">
        <v>11004</v>
      </c>
      <c r="K1303" s="71" t="s">
        <v>11005</v>
      </c>
      <c r="L1303" s="71" t="s">
        <v>8318</v>
      </c>
      <c r="M1303" s="71"/>
      <c r="N1303" s="72">
        <v>38636</v>
      </c>
      <c r="O1303" s="72">
        <v>38567</v>
      </c>
      <c r="P1303" s="71"/>
      <c r="Q1303" s="71" t="b">
        <v>0</v>
      </c>
      <c r="R1303" s="22">
        <f t="shared" si="20"/>
        <v>14</v>
      </c>
    </row>
    <row r="1304" spans="1:18">
      <c r="A1304" s="71">
        <v>8149</v>
      </c>
      <c r="B1304" s="72">
        <v>38552</v>
      </c>
      <c r="C1304" s="71" t="s">
        <v>11006</v>
      </c>
      <c r="D1304" s="72">
        <v>38546</v>
      </c>
      <c r="E1304" s="71" t="s">
        <v>11007</v>
      </c>
      <c r="F1304" s="71" t="s">
        <v>5690</v>
      </c>
      <c r="G1304" s="71" t="s">
        <v>20</v>
      </c>
      <c r="H1304" s="71" t="s">
        <v>71</v>
      </c>
      <c r="I1304" s="71" t="s">
        <v>72</v>
      </c>
      <c r="J1304" s="71" t="s">
        <v>11008</v>
      </c>
      <c r="K1304" s="71" t="s">
        <v>11009</v>
      </c>
      <c r="L1304" s="71" t="s">
        <v>2205</v>
      </c>
      <c r="M1304" s="71"/>
      <c r="N1304" s="72">
        <v>38642</v>
      </c>
      <c r="O1304" s="72">
        <v>38559</v>
      </c>
      <c r="P1304" s="71"/>
      <c r="Q1304" s="71" t="b">
        <v>0</v>
      </c>
      <c r="R1304" s="22">
        <f t="shared" si="20"/>
        <v>7</v>
      </c>
    </row>
    <row r="1305" spans="1:18">
      <c r="A1305" s="71">
        <v>8150</v>
      </c>
      <c r="B1305" s="72">
        <v>38552</v>
      </c>
      <c r="C1305" s="71" t="s">
        <v>11010</v>
      </c>
      <c r="D1305" s="72">
        <v>38551</v>
      </c>
      <c r="E1305" s="71" t="s">
        <v>11011</v>
      </c>
      <c r="F1305" s="71" t="s">
        <v>5690</v>
      </c>
      <c r="G1305" s="71" t="s">
        <v>20</v>
      </c>
      <c r="H1305" s="71" t="s">
        <v>71</v>
      </c>
      <c r="I1305" s="71" t="s">
        <v>72</v>
      </c>
      <c r="J1305" s="71" t="s">
        <v>11012</v>
      </c>
      <c r="K1305" s="71" t="s">
        <v>1629</v>
      </c>
      <c r="L1305" s="71" t="s">
        <v>8318</v>
      </c>
      <c r="M1305" s="71"/>
      <c r="N1305" s="72">
        <v>38643</v>
      </c>
      <c r="O1305" s="72">
        <v>38609</v>
      </c>
      <c r="P1305" s="71"/>
      <c r="Q1305" s="71" t="b">
        <v>0</v>
      </c>
      <c r="R1305" s="22">
        <f t="shared" si="20"/>
        <v>55</v>
      </c>
    </row>
    <row r="1306" spans="1:18">
      <c r="A1306" s="71">
        <v>8151</v>
      </c>
      <c r="B1306" s="72">
        <v>38553</v>
      </c>
      <c r="C1306" s="71" t="s">
        <v>11013</v>
      </c>
      <c r="D1306" s="72">
        <v>38545</v>
      </c>
      <c r="E1306" s="71" t="s">
        <v>11014</v>
      </c>
      <c r="F1306" s="71" t="s">
        <v>3430</v>
      </c>
      <c r="G1306" s="71" t="s">
        <v>20</v>
      </c>
      <c r="H1306" s="71" t="s">
        <v>71</v>
      </c>
      <c r="I1306" s="71" t="s">
        <v>72</v>
      </c>
      <c r="J1306" s="71" t="s">
        <v>20643</v>
      </c>
      <c r="K1306" s="71" t="s">
        <v>11016</v>
      </c>
      <c r="L1306" s="71" t="s">
        <v>8318</v>
      </c>
      <c r="M1306" s="71"/>
      <c r="N1306" s="72">
        <v>38637</v>
      </c>
      <c r="O1306" s="72">
        <v>38572</v>
      </c>
      <c r="P1306" s="71"/>
      <c r="Q1306" s="71" t="b">
        <v>0</v>
      </c>
      <c r="R1306" s="22">
        <f t="shared" si="20"/>
        <v>18</v>
      </c>
    </row>
    <row r="1307" spans="1:18">
      <c r="A1307" s="71">
        <v>8154</v>
      </c>
      <c r="B1307" s="72">
        <v>38559</v>
      </c>
      <c r="C1307" s="71" t="s">
        <v>11017</v>
      </c>
      <c r="D1307" s="72">
        <v>38558</v>
      </c>
      <c r="E1307" s="71" t="s">
        <v>11018</v>
      </c>
      <c r="F1307" s="71" t="s">
        <v>283</v>
      </c>
      <c r="G1307" s="71" t="s">
        <v>20</v>
      </c>
      <c r="H1307" s="71" t="s">
        <v>71</v>
      </c>
      <c r="I1307" s="71" t="s">
        <v>72</v>
      </c>
      <c r="J1307" s="71" t="s">
        <v>11019</v>
      </c>
      <c r="K1307" s="71" t="s">
        <v>11020</v>
      </c>
      <c r="L1307" s="71" t="s">
        <v>1946</v>
      </c>
      <c r="M1307" s="71"/>
      <c r="N1307" s="72">
        <v>38651</v>
      </c>
      <c r="O1307" s="72">
        <v>38588</v>
      </c>
      <c r="P1307" s="71"/>
      <c r="Q1307" s="71" t="b">
        <v>0</v>
      </c>
      <c r="R1307" s="22">
        <f t="shared" si="20"/>
        <v>28</v>
      </c>
    </row>
    <row r="1308" spans="1:18">
      <c r="A1308" s="71">
        <v>8156</v>
      </c>
      <c r="B1308" s="72">
        <v>38559</v>
      </c>
      <c r="C1308" s="71" t="s">
        <v>11026</v>
      </c>
      <c r="D1308" s="72">
        <v>38554</v>
      </c>
      <c r="E1308" s="71" t="s">
        <v>10942</v>
      </c>
      <c r="F1308" s="71" t="s">
        <v>5690</v>
      </c>
      <c r="G1308" s="71" t="s">
        <v>20</v>
      </c>
      <c r="H1308" s="71" t="s">
        <v>71</v>
      </c>
      <c r="I1308" s="71" t="s">
        <v>72</v>
      </c>
      <c r="J1308" s="71" t="s">
        <v>11027</v>
      </c>
      <c r="K1308" s="71" t="s">
        <v>11028</v>
      </c>
      <c r="L1308" s="71" t="s">
        <v>2205</v>
      </c>
      <c r="M1308" s="71"/>
      <c r="N1308" s="72">
        <v>38646</v>
      </c>
      <c r="O1308" s="72">
        <v>38566</v>
      </c>
      <c r="P1308" s="71"/>
      <c r="Q1308" s="71" t="b">
        <v>0</v>
      </c>
      <c r="R1308" s="22">
        <f t="shared" si="20"/>
        <v>6</v>
      </c>
    </row>
    <row r="1309" spans="1:18">
      <c r="A1309" s="71">
        <v>8165</v>
      </c>
      <c r="B1309" s="72">
        <v>38567</v>
      </c>
      <c r="C1309" s="71" t="s">
        <v>11048</v>
      </c>
      <c r="D1309" s="72">
        <v>38567</v>
      </c>
      <c r="E1309" s="71" t="s">
        <v>11049</v>
      </c>
      <c r="F1309" s="71" t="s">
        <v>11050</v>
      </c>
      <c r="G1309" s="71" t="s">
        <v>20</v>
      </c>
      <c r="H1309" s="71" t="s">
        <v>71</v>
      </c>
      <c r="I1309" s="71" t="s">
        <v>72</v>
      </c>
      <c r="J1309" s="71" t="s">
        <v>11051</v>
      </c>
      <c r="K1309" s="71" t="s">
        <v>11052</v>
      </c>
      <c r="L1309" s="71" t="s">
        <v>4579</v>
      </c>
      <c r="M1309" s="71" t="s">
        <v>2205</v>
      </c>
      <c r="N1309" s="72">
        <v>38659</v>
      </c>
      <c r="O1309" s="72">
        <v>38754</v>
      </c>
      <c r="P1309" s="71"/>
      <c r="Q1309" s="71" t="b">
        <v>0</v>
      </c>
      <c r="R1309" s="22">
        <f t="shared" si="20"/>
        <v>185</v>
      </c>
    </row>
    <row r="1310" spans="1:18">
      <c r="A1310" s="71">
        <v>8166</v>
      </c>
      <c r="B1310" s="72">
        <v>38568</v>
      </c>
      <c r="C1310" s="71" t="s">
        <v>11053</v>
      </c>
      <c r="D1310" s="72">
        <v>38562</v>
      </c>
      <c r="E1310" s="71" t="s">
        <v>11054</v>
      </c>
      <c r="F1310" s="71" t="s">
        <v>5690</v>
      </c>
      <c r="G1310" s="71" t="s">
        <v>20</v>
      </c>
      <c r="H1310" s="71" t="s">
        <v>71</v>
      </c>
      <c r="I1310" s="71" t="s">
        <v>72</v>
      </c>
      <c r="J1310" s="71" t="s">
        <v>11004</v>
      </c>
      <c r="K1310" s="71" t="s">
        <v>19872</v>
      </c>
      <c r="L1310" s="71" t="s">
        <v>8318</v>
      </c>
      <c r="M1310" s="71"/>
      <c r="O1310" s="72">
        <v>38567</v>
      </c>
      <c r="P1310" s="71"/>
      <c r="Q1310" s="71" t="b">
        <v>0</v>
      </c>
      <c r="R1310" s="22">
        <f t="shared" si="20"/>
        <v>1</v>
      </c>
    </row>
    <row r="1311" spans="1:18">
      <c r="A1311" s="71">
        <v>8169</v>
      </c>
      <c r="B1311" s="72">
        <v>38579</v>
      </c>
      <c r="C1311" s="71" t="s">
        <v>11062</v>
      </c>
      <c r="D1311" s="72">
        <v>38573</v>
      </c>
      <c r="E1311" s="71" t="s">
        <v>11063</v>
      </c>
      <c r="F1311" s="71" t="s">
        <v>5690</v>
      </c>
      <c r="G1311" s="71" t="s">
        <v>20</v>
      </c>
      <c r="H1311" s="71" t="s">
        <v>71</v>
      </c>
      <c r="I1311" s="71" t="s">
        <v>72</v>
      </c>
      <c r="J1311" s="71" t="s">
        <v>11064</v>
      </c>
      <c r="K1311" s="71" t="s">
        <v>11065</v>
      </c>
      <c r="L1311" s="71" t="s">
        <v>1946</v>
      </c>
      <c r="M1311" s="71"/>
      <c r="N1311" s="72">
        <v>38665</v>
      </c>
      <c r="O1311" s="72">
        <v>38588</v>
      </c>
      <c r="P1311" s="71"/>
      <c r="Q1311" s="71" t="b">
        <v>0</v>
      </c>
      <c r="R1311" s="22">
        <f t="shared" si="20"/>
        <v>9</v>
      </c>
    </row>
    <row r="1312" spans="1:18">
      <c r="A1312" s="71">
        <v>8171</v>
      </c>
      <c r="B1312" s="72">
        <v>38579</v>
      </c>
      <c r="C1312" s="71" t="s">
        <v>11068</v>
      </c>
      <c r="D1312" s="72">
        <v>38554</v>
      </c>
      <c r="E1312" s="71" t="s">
        <v>10942</v>
      </c>
      <c r="F1312" s="71" t="s">
        <v>11069</v>
      </c>
      <c r="G1312" s="71" t="s">
        <v>20</v>
      </c>
      <c r="H1312" s="71" t="s">
        <v>71</v>
      </c>
      <c r="I1312" s="71" t="s">
        <v>72</v>
      </c>
      <c r="J1312" s="71" t="s">
        <v>11070</v>
      </c>
      <c r="K1312" s="71"/>
      <c r="L1312" s="71" t="s">
        <v>4282</v>
      </c>
      <c r="M1312" s="71"/>
      <c r="N1312" s="72">
        <v>38669</v>
      </c>
      <c r="O1312" s="72">
        <v>40260</v>
      </c>
      <c r="P1312" s="71">
        <v>-1</v>
      </c>
      <c r="Q1312" s="71" t="b">
        <v>0</v>
      </c>
      <c r="R1312" s="22">
        <f t="shared" si="20"/>
        <v>1681</v>
      </c>
    </row>
    <row r="1313" spans="1:18">
      <c r="A1313" s="71">
        <v>8172</v>
      </c>
      <c r="B1313" s="72">
        <v>38579</v>
      </c>
      <c r="C1313" s="71" t="s">
        <v>11071</v>
      </c>
      <c r="D1313" s="72">
        <v>38562</v>
      </c>
      <c r="E1313" s="71" t="s">
        <v>11072</v>
      </c>
      <c r="F1313" s="71" t="s">
        <v>8605</v>
      </c>
      <c r="G1313" s="71" t="s">
        <v>20</v>
      </c>
      <c r="H1313" s="71" t="s">
        <v>212</v>
      </c>
      <c r="I1313" s="71" t="s">
        <v>212</v>
      </c>
      <c r="J1313" s="71" t="s">
        <v>11073</v>
      </c>
      <c r="K1313" s="71"/>
      <c r="L1313" s="71" t="s">
        <v>4579</v>
      </c>
      <c r="M1313" s="71"/>
      <c r="N1313" s="72">
        <v>38656</v>
      </c>
      <c r="O1313" s="72">
        <v>38713</v>
      </c>
      <c r="P1313" s="71"/>
      <c r="Q1313" s="71" t="b">
        <v>0</v>
      </c>
      <c r="R1313" s="22">
        <f t="shared" si="20"/>
        <v>133</v>
      </c>
    </row>
    <row r="1314" spans="1:18">
      <c r="A1314" s="71">
        <v>8175</v>
      </c>
      <c r="B1314" s="72">
        <v>38581</v>
      </c>
      <c r="C1314" s="71" t="s">
        <v>11081</v>
      </c>
      <c r="D1314" s="72">
        <v>38580</v>
      </c>
      <c r="E1314" s="71" t="s">
        <v>11082</v>
      </c>
      <c r="F1314" s="71" t="s">
        <v>5690</v>
      </c>
      <c r="G1314" s="71" t="s">
        <v>20</v>
      </c>
      <c r="H1314" s="71" t="s">
        <v>71</v>
      </c>
      <c r="I1314" s="71" t="s">
        <v>72</v>
      </c>
      <c r="J1314" s="71" t="s">
        <v>11083</v>
      </c>
      <c r="K1314" s="71" t="s">
        <v>11084</v>
      </c>
      <c r="L1314" s="71" t="s">
        <v>8318</v>
      </c>
      <c r="M1314" s="71"/>
      <c r="N1314" s="72">
        <v>38672</v>
      </c>
      <c r="O1314" s="72">
        <v>38663</v>
      </c>
      <c r="P1314" s="71"/>
      <c r="Q1314" s="71" t="b">
        <v>0</v>
      </c>
      <c r="R1314" s="22">
        <f t="shared" si="20"/>
        <v>81</v>
      </c>
    </row>
    <row r="1315" spans="1:18">
      <c r="A1315" s="71">
        <v>8177</v>
      </c>
      <c r="B1315" s="72">
        <v>38586</v>
      </c>
      <c r="C1315" s="71" t="s">
        <v>11090</v>
      </c>
      <c r="D1315" s="72">
        <v>38581</v>
      </c>
      <c r="E1315" s="71" t="s">
        <v>11091</v>
      </c>
      <c r="F1315" s="71" t="s">
        <v>4242</v>
      </c>
      <c r="G1315" s="71" t="s">
        <v>20</v>
      </c>
      <c r="H1315" s="71" t="s">
        <v>189</v>
      </c>
      <c r="I1315" s="71" t="s">
        <v>189</v>
      </c>
      <c r="J1315" s="71" t="s">
        <v>11092</v>
      </c>
      <c r="K1315" s="71"/>
      <c r="L1315" s="71" t="s">
        <v>4579</v>
      </c>
      <c r="M1315" s="71"/>
      <c r="N1315" s="72">
        <v>38612</v>
      </c>
      <c r="O1315" s="72">
        <v>38596</v>
      </c>
      <c r="P1315" s="71"/>
      <c r="Q1315" s="71" t="b">
        <v>0</v>
      </c>
      <c r="R1315" s="22">
        <f t="shared" si="20"/>
        <v>9</v>
      </c>
    </row>
    <row r="1316" spans="1:18">
      <c r="A1316" s="71">
        <v>8178</v>
      </c>
      <c r="B1316" s="72">
        <v>38586</v>
      </c>
      <c r="C1316" s="71" t="s">
        <v>11093</v>
      </c>
      <c r="D1316" s="72">
        <v>38586</v>
      </c>
      <c r="E1316" s="71" t="s">
        <v>11094</v>
      </c>
      <c r="F1316" s="71" t="s">
        <v>5690</v>
      </c>
      <c r="G1316" s="71" t="s">
        <v>20</v>
      </c>
      <c r="H1316" s="71" t="s">
        <v>71</v>
      </c>
      <c r="I1316" s="71" t="s">
        <v>72</v>
      </c>
      <c r="J1316" s="71" t="s">
        <v>11095</v>
      </c>
      <c r="K1316" s="71" t="s">
        <v>11096</v>
      </c>
      <c r="L1316" s="71" t="s">
        <v>4282</v>
      </c>
      <c r="M1316" s="71"/>
      <c r="N1316" s="72">
        <v>38678</v>
      </c>
      <c r="O1316" s="72">
        <v>38604</v>
      </c>
      <c r="P1316" s="71"/>
      <c r="Q1316" s="71" t="b">
        <v>0</v>
      </c>
      <c r="R1316" s="22">
        <f t="shared" si="20"/>
        <v>17</v>
      </c>
    </row>
    <row r="1317" spans="1:18">
      <c r="A1317" s="71">
        <v>8180</v>
      </c>
      <c r="B1317" s="72">
        <v>38587</v>
      </c>
      <c r="C1317" s="71" t="s">
        <v>11099</v>
      </c>
      <c r="D1317" s="72">
        <v>38586</v>
      </c>
      <c r="E1317" s="71" t="s">
        <v>4172</v>
      </c>
      <c r="F1317" s="71" t="s">
        <v>4596</v>
      </c>
      <c r="G1317" s="71" t="s">
        <v>20</v>
      </c>
      <c r="H1317" s="71" t="s">
        <v>189</v>
      </c>
      <c r="I1317" s="71" t="s">
        <v>189</v>
      </c>
      <c r="J1317" s="71" t="s">
        <v>7019</v>
      </c>
      <c r="K1317" s="71" t="s">
        <v>11100</v>
      </c>
      <c r="L1317" s="71" t="s">
        <v>4579</v>
      </c>
      <c r="M1317" s="71"/>
      <c r="N1317" s="72">
        <v>38678</v>
      </c>
      <c r="O1317" s="72">
        <v>38596</v>
      </c>
      <c r="P1317" s="71">
        <v>-1</v>
      </c>
      <c r="Q1317" s="71" t="b">
        <v>0</v>
      </c>
      <c r="R1317" s="22">
        <f t="shared" si="20"/>
        <v>8</v>
      </c>
    </row>
    <row r="1318" spans="1:18">
      <c r="A1318" s="71">
        <v>8183</v>
      </c>
      <c r="B1318" s="72">
        <v>38593</v>
      </c>
      <c r="C1318" s="71" t="s">
        <v>11108</v>
      </c>
      <c r="D1318" s="72">
        <v>38588</v>
      </c>
      <c r="E1318" s="71" t="s">
        <v>11109</v>
      </c>
      <c r="F1318" s="71" t="s">
        <v>10912</v>
      </c>
      <c r="G1318" s="71" t="s">
        <v>20</v>
      </c>
      <c r="H1318" s="71" t="s">
        <v>71</v>
      </c>
      <c r="I1318" s="71" t="s">
        <v>72</v>
      </c>
      <c r="J1318" s="71" t="s">
        <v>11110</v>
      </c>
      <c r="K1318" s="71"/>
      <c r="L1318" s="71" t="s">
        <v>1946</v>
      </c>
      <c r="M1318" s="71"/>
      <c r="O1318" s="72">
        <v>38589</v>
      </c>
      <c r="P1318" s="71"/>
      <c r="Q1318" s="71" t="b">
        <v>0</v>
      </c>
      <c r="R1318" s="22">
        <f t="shared" si="20"/>
        <v>4</v>
      </c>
    </row>
    <row r="1319" spans="1:18">
      <c r="A1319" s="71">
        <v>8185</v>
      </c>
      <c r="B1319" s="72">
        <v>38604</v>
      </c>
      <c r="C1319" s="71" t="s">
        <v>11114</v>
      </c>
      <c r="D1319" s="72">
        <v>38603</v>
      </c>
      <c r="E1319" s="71" t="s">
        <v>10942</v>
      </c>
      <c r="F1319" s="71" t="s">
        <v>8522</v>
      </c>
      <c r="G1319" s="71" t="s">
        <v>20</v>
      </c>
      <c r="H1319" s="71" t="s">
        <v>71</v>
      </c>
      <c r="I1319" s="71" t="s">
        <v>72</v>
      </c>
      <c r="J1319" s="71" t="s">
        <v>11115</v>
      </c>
      <c r="K1319" s="71" t="s">
        <v>11116</v>
      </c>
      <c r="L1319" s="71" t="s">
        <v>4282</v>
      </c>
      <c r="M1319" s="71"/>
      <c r="N1319" s="72">
        <v>38695</v>
      </c>
      <c r="O1319" s="72">
        <v>38835</v>
      </c>
      <c r="P1319" s="71">
        <v>-1</v>
      </c>
      <c r="Q1319" s="71" t="b">
        <v>0</v>
      </c>
      <c r="R1319" s="22">
        <f t="shared" si="20"/>
        <v>232</v>
      </c>
    </row>
    <row r="1320" spans="1:18">
      <c r="A1320" s="71">
        <v>8192</v>
      </c>
      <c r="B1320" s="72">
        <v>38617</v>
      </c>
      <c r="C1320" s="71" t="s">
        <v>11135</v>
      </c>
      <c r="D1320" s="72">
        <v>38616</v>
      </c>
      <c r="E1320" s="71" t="s">
        <v>11136</v>
      </c>
      <c r="F1320" s="71" t="s">
        <v>98</v>
      </c>
      <c r="G1320" s="71" t="s">
        <v>20</v>
      </c>
      <c r="H1320" s="71" t="s">
        <v>71</v>
      </c>
      <c r="I1320" s="71" t="s">
        <v>72</v>
      </c>
      <c r="J1320" s="71" t="s">
        <v>11137</v>
      </c>
      <c r="K1320" s="71" t="s">
        <v>5668</v>
      </c>
      <c r="L1320" s="71" t="s">
        <v>2205</v>
      </c>
      <c r="M1320" s="71"/>
      <c r="N1320" s="72">
        <v>38707</v>
      </c>
      <c r="O1320" s="72">
        <v>38631</v>
      </c>
      <c r="P1320" s="71">
        <v>-1</v>
      </c>
      <c r="Q1320" s="71" t="b">
        <v>0</v>
      </c>
      <c r="R1320" s="22">
        <f t="shared" si="20"/>
        <v>14</v>
      </c>
    </row>
    <row r="1321" spans="1:18">
      <c r="A1321" s="71">
        <v>8193</v>
      </c>
      <c r="B1321" s="72">
        <v>38617</v>
      </c>
      <c r="C1321" s="71" t="s">
        <v>11138</v>
      </c>
      <c r="D1321" s="72">
        <v>38616</v>
      </c>
      <c r="E1321" s="71" t="s">
        <v>11139</v>
      </c>
      <c r="F1321" s="71" t="s">
        <v>216</v>
      </c>
      <c r="G1321" s="71" t="s">
        <v>20</v>
      </c>
      <c r="H1321" s="71" t="s">
        <v>71</v>
      </c>
      <c r="I1321" s="71" t="s">
        <v>72</v>
      </c>
      <c r="J1321" s="71" t="s">
        <v>11140</v>
      </c>
      <c r="K1321" s="71" t="s">
        <v>11141</v>
      </c>
      <c r="L1321" s="71" t="s">
        <v>4579</v>
      </c>
      <c r="M1321" s="71"/>
      <c r="N1321" s="72">
        <v>38707</v>
      </c>
      <c r="O1321" s="72">
        <v>38631</v>
      </c>
      <c r="P1321" s="71">
        <v>-1</v>
      </c>
      <c r="Q1321" s="71" t="b">
        <v>0</v>
      </c>
      <c r="R1321" s="22">
        <f t="shared" si="20"/>
        <v>14</v>
      </c>
    </row>
    <row r="1322" spans="1:18">
      <c r="A1322" s="71">
        <v>8194</v>
      </c>
      <c r="B1322" s="72">
        <v>38617</v>
      </c>
      <c r="C1322" s="71" t="s">
        <v>11142</v>
      </c>
      <c r="D1322" s="72">
        <v>38615</v>
      </c>
      <c r="E1322" s="71" t="s">
        <v>11143</v>
      </c>
      <c r="F1322" s="71" t="s">
        <v>11144</v>
      </c>
      <c r="G1322" s="71" t="s">
        <v>20</v>
      </c>
      <c r="H1322" s="71" t="s">
        <v>189</v>
      </c>
      <c r="I1322" s="71" t="s">
        <v>189</v>
      </c>
      <c r="J1322" s="71" t="s">
        <v>11145</v>
      </c>
      <c r="K1322" s="71"/>
      <c r="L1322" s="71" t="s">
        <v>4282</v>
      </c>
      <c r="M1322" s="71"/>
      <c r="N1322" s="72">
        <v>38706</v>
      </c>
      <c r="O1322" s="72">
        <v>38666</v>
      </c>
      <c r="P1322" s="71">
        <v>-1</v>
      </c>
      <c r="Q1322" s="71" t="b">
        <v>0</v>
      </c>
      <c r="R1322" s="22">
        <f t="shared" si="20"/>
        <v>48</v>
      </c>
    </row>
    <row r="1323" spans="1:18">
      <c r="A1323" s="71">
        <v>8195</v>
      </c>
      <c r="B1323" s="72">
        <v>38618</v>
      </c>
      <c r="C1323" s="71" t="s">
        <v>11146</v>
      </c>
      <c r="D1323" s="72">
        <v>38611</v>
      </c>
      <c r="E1323" s="71" t="s">
        <v>11147</v>
      </c>
      <c r="F1323" s="71" t="s">
        <v>984</v>
      </c>
      <c r="G1323" s="71" t="s">
        <v>20</v>
      </c>
      <c r="H1323" s="71" t="s">
        <v>71</v>
      </c>
      <c r="I1323" s="71" t="s">
        <v>72</v>
      </c>
      <c r="J1323" s="71" t="s">
        <v>11140</v>
      </c>
      <c r="K1323" s="71"/>
      <c r="L1323" s="71" t="s">
        <v>1946</v>
      </c>
      <c r="M1323" s="71"/>
      <c r="N1323" s="72">
        <v>38707</v>
      </c>
      <c r="O1323" s="72">
        <v>38784</v>
      </c>
      <c r="P1323" s="71">
        <v>-1</v>
      </c>
      <c r="Q1323" s="71" t="b">
        <v>0</v>
      </c>
      <c r="R1323" s="22">
        <f t="shared" si="20"/>
        <v>167</v>
      </c>
    </row>
    <row r="1324" spans="1:18">
      <c r="A1324" s="71">
        <v>8197</v>
      </c>
      <c r="B1324" s="72">
        <v>38621</v>
      </c>
      <c r="C1324" s="71" t="s">
        <v>11152</v>
      </c>
      <c r="D1324" s="72">
        <v>38621</v>
      </c>
      <c r="E1324" s="71" t="s">
        <v>11153</v>
      </c>
      <c r="F1324" s="71" t="s">
        <v>124</v>
      </c>
      <c r="G1324" s="71" t="s">
        <v>20</v>
      </c>
      <c r="H1324" s="71" t="s">
        <v>71</v>
      </c>
      <c r="I1324" s="71" t="s">
        <v>72</v>
      </c>
      <c r="J1324" s="71" t="s">
        <v>11154</v>
      </c>
      <c r="K1324" s="71" t="s">
        <v>900</v>
      </c>
      <c r="L1324" s="71" t="s">
        <v>11155</v>
      </c>
      <c r="M1324" s="71" t="s">
        <v>4579</v>
      </c>
      <c r="N1324" s="72">
        <v>38651</v>
      </c>
      <c r="O1324" s="72">
        <v>40666</v>
      </c>
      <c r="P1324" s="71"/>
      <c r="Q1324" s="71" t="b">
        <v>0</v>
      </c>
      <c r="R1324" s="22">
        <f t="shared" si="20"/>
        <v>2045</v>
      </c>
    </row>
    <row r="1325" spans="1:18">
      <c r="A1325" s="71">
        <v>8198</v>
      </c>
      <c r="B1325" s="72">
        <v>38622</v>
      </c>
      <c r="C1325" s="71" t="s">
        <v>11156</v>
      </c>
      <c r="D1325" s="72">
        <v>38618</v>
      </c>
      <c r="E1325" s="71" t="s">
        <v>11157</v>
      </c>
      <c r="F1325" s="71" t="s">
        <v>52</v>
      </c>
      <c r="G1325" s="71" t="s">
        <v>20</v>
      </c>
      <c r="H1325" s="71" t="s">
        <v>71</v>
      </c>
      <c r="I1325" s="71" t="s">
        <v>72</v>
      </c>
      <c r="J1325" s="71" t="s">
        <v>11158</v>
      </c>
      <c r="K1325" s="71"/>
      <c r="L1325" s="71" t="s">
        <v>2205</v>
      </c>
      <c r="M1325" s="71"/>
      <c r="N1325" s="72">
        <v>38713</v>
      </c>
      <c r="O1325" s="72">
        <v>38624</v>
      </c>
      <c r="P1325" s="71">
        <v>-1</v>
      </c>
      <c r="Q1325" s="71" t="b">
        <v>0</v>
      </c>
      <c r="R1325" s="22">
        <f t="shared" si="20"/>
        <v>2</v>
      </c>
    </row>
    <row r="1326" spans="1:18">
      <c r="A1326" s="71">
        <v>8199</v>
      </c>
      <c r="B1326" s="72">
        <v>38623</v>
      </c>
      <c r="C1326" s="71" t="s">
        <v>11159</v>
      </c>
      <c r="D1326" s="72">
        <v>38622</v>
      </c>
      <c r="E1326" s="71" t="s">
        <v>11160</v>
      </c>
      <c r="F1326" s="71" t="s">
        <v>11161</v>
      </c>
      <c r="G1326" s="71" t="s">
        <v>20</v>
      </c>
      <c r="H1326" s="71" t="s">
        <v>71</v>
      </c>
      <c r="I1326" s="71" t="s">
        <v>72</v>
      </c>
      <c r="J1326" s="71" t="s">
        <v>11162</v>
      </c>
      <c r="K1326" s="71"/>
      <c r="L1326" s="71" t="s">
        <v>1946</v>
      </c>
      <c r="M1326" s="71"/>
      <c r="N1326" s="72">
        <v>38713</v>
      </c>
      <c r="O1326" s="72">
        <v>38790</v>
      </c>
      <c r="P1326" s="71">
        <v>-1</v>
      </c>
      <c r="Q1326" s="71" t="b">
        <v>0</v>
      </c>
      <c r="R1326" s="22">
        <f t="shared" si="20"/>
        <v>168</v>
      </c>
    </row>
    <row r="1327" spans="1:18">
      <c r="A1327" s="71">
        <v>8200</v>
      </c>
      <c r="B1327" s="72">
        <v>38623</v>
      </c>
      <c r="C1327" s="71" t="s">
        <v>11163</v>
      </c>
      <c r="D1327" s="72">
        <v>38617</v>
      </c>
      <c r="E1327" s="71" t="s">
        <v>11164</v>
      </c>
      <c r="F1327" s="71" t="s">
        <v>11069</v>
      </c>
      <c r="G1327" s="71" t="s">
        <v>20</v>
      </c>
      <c r="H1327" s="71" t="s">
        <v>71</v>
      </c>
      <c r="I1327" s="71" t="s">
        <v>72</v>
      </c>
      <c r="J1327" s="71" t="s">
        <v>11165</v>
      </c>
      <c r="K1327" s="71"/>
      <c r="L1327" s="71" t="s">
        <v>4579</v>
      </c>
      <c r="M1327" s="71"/>
      <c r="N1327" s="72">
        <v>38713</v>
      </c>
      <c r="O1327" s="72">
        <v>38688</v>
      </c>
      <c r="P1327" s="71"/>
      <c r="Q1327" s="71" t="b">
        <v>0</v>
      </c>
      <c r="R1327" s="22">
        <f t="shared" si="20"/>
        <v>64</v>
      </c>
    </row>
    <row r="1328" spans="1:18">
      <c r="A1328" s="71">
        <v>8213</v>
      </c>
      <c r="B1328" s="72">
        <v>38630</v>
      </c>
      <c r="C1328" s="71" t="s">
        <v>11183</v>
      </c>
      <c r="D1328" s="72">
        <v>38623</v>
      </c>
      <c r="E1328" s="71" t="s">
        <v>11184</v>
      </c>
      <c r="F1328" s="71" t="s">
        <v>5690</v>
      </c>
      <c r="G1328" s="71" t="s">
        <v>20</v>
      </c>
      <c r="H1328" s="71" t="s">
        <v>71</v>
      </c>
      <c r="I1328" s="71" t="s">
        <v>72</v>
      </c>
      <c r="J1328" s="71" t="s">
        <v>11185</v>
      </c>
      <c r="K1328" s="71" t="s">
        <v>11008</v>
      </c>
      <c r="L1328" s="71" t="s">
        <v>8318</v>
      </c>
      <c r="M1328" s="71"/>
      <c r="O1328" s="72">
        <v>38628</v>
      </c>
      <c r="P1328" s="71"/>
      <c r="Q1328" s="71" t="b">
        <v>0</v>
      </c>
      <c r="R1328" s="22">
        <f t="shared" si="20"/>
        <v>2</v>
      </c>
    </row>
    <row r="1329" spans="1:18">
      <c r="A1329" s="71">
        <v>8216</v>
      </c>
      <c r="B1329" s="72">
        <v>38631</v>
      </c>
      <c r="C1329" s="71" t="s">
        <v>11186</v>
      </c>
      <c r="D1329" s="72">
        <v>38630</v>
      </c>
      <c r="E1329" s="71" t="s">
        <v>11187</v>
      </c>
      <c r="F1329" s="71" t="s">
        <v>10912</v>
      </c>
      <c r="G1329" s="71" t="s">
        <v>20</v>
      </c>
      <c r="H1329" s="71" t="s">
        <v>71</v>
      </c>
      <c r="I1329" s="71" t="s">
        <v>72</v>
      </c>
      <c r="J1329" s="71" t="s">
        <v>11188</v>
      </c>
      <c r="K1329" s="71" t="s">
        <v>11189</v>
      </c>
      <c r="L1329" s="71" t="s">
        <v>8318</v>
      </c>
      <c r="M1329" s="71"/>
      <c r="N1329" s="72">
        <v>38723</v>
      </c>
      <c r="O1329" s="72">
        <v>38632</v>
      </c>
      <c r="P1329" s="71"/>
      <c r="Q1329" s="71" t="b">
        <v>0</v>
      </c>
      <c r="R1329" s="22">
        <f t="shared" si="20"/>
        <v>1</v>
      </c>
    </row>
    <row r="1330" spans="1:18">
      <c r="A1330" s="71">
        <v>8229</v>
      </c>
      <c r="B1330" s="72">
        <v>38649</v>
      </c>
      <c r="C1330" s="71" t="s">
        <v>11201</v>
      </c>
      <c r="D1330" s="72">
        <v>38642</v>
      </c>
      <c r="E1330" s="71" t="s">
        <v>11202</v>
      </c>
      <c r="F1330" s="71" t="s">
        <v>1771</v>
      </c>
      <c r="G1330" s="71" t="s">
        <v>20</v>
      </c>
      <c r="H1330" s="71" t="s">
        <v>189</v>
      </c>
      <c r="I1330" s="71" t="s">
        <v>189</v>
      </c>
      <c r="J1330" s="71" t="s">
        <v>11203</v>
      </c>
      <c r="K1330" s="71" t="s">
        <v>11204</v>
      </c>
      <c r="L1330" s="71" t="s">
        <v>4282</v>
      </c>
      <c r="M1330" s="71"/>
      <c r="N1330" s="72">
        <v>38741</v>
      </c>
      <c r="O1330" s="72">
        <v>40275</v>
      </c>
      <c r="P1330" s="71"/>
      <c r="Q1330" s="71" t="b">
        <v>0</v>
      </c>
      <c r="R1330" s="22">
        <f t="shared" si="20"/>
        <v>1625</v>
      </c>
    </row>
    <row r="1331" spans="1:18">
      <c r="A1331" s="71">
        <v>8235</v>
      </c>
      <c r="B1331" s="72">
        <v>38646</v>
      </c>
      <c r="C1331" s="71" t="s">
        <v>11220</v>
      </c>
      <c r="D1331" s="72">
        <v>38645</v>
      </c>
      <c r="E1331" s="71" t="s">
        <v>11221</v>
      </c>
      <c r="F1331" s="71" t="s">
        <v>4242</v>
      </c>
      <c r="G1331" s="71" t="s">
        <v>20</v>
      </c>
      <c r="H1331" s="71" t="s">
        <v>189</v>
      </c>
      <c r="I1331" s="71" t="s">
        <v>189</v>
      </c>
      <c r="J1331" s="71" t="s">
        <v>11222</v>
      </c>
      <c r="K1331" s="71" t="s">
        <v>11189</v>
      </c>
      <c r="L1331" s="71" t="s">
        <v>8318</v>
      </c>
      <c r="M1331" s="71"/>
      <c r="O1331" s="72">
        <v>38651</v>
      </c>
      <c r="P1331" s="71"/>
      <c r="Q1331" s="71" t="b">
        <v>0</v>
      </c>
      <c r="R1331" s="22">
        <f t="shared" si="20"/>
        <v>5</v>
      </c>
    </row>
    <row r="1332" spans="1:18">
      <c r="A1332" s="71">
        <v>8239</v>
      </c>
      <c r="B1332" s="72">
        <v>38652</v>
      </c>
      <c r="C1332" s="71" t="s">
        <v>11231</v>
      </c>
      <c r="D1332" s="72">
        <v>38649</v>
      </c>
      <c r="E1332" s="71" t="s">
        <v>11232</v>
      </c>
      <c r="F1332" s="71" t="s">
        <v>3430</v>
      </c>
      <c r="G1332" s="71" t="s">
        <v>20</v>
      </c>
      <c r="H1332" s="71" t="s">
        <v>71</v>
      </c>
      <c r="I1332" s="71" t="s">
        <v>72</v>
      </c>
      <c r="J1332" s="71" t="s">
        <v>11233</v>
      </c>
      <c r="K1332" s="71" t="s">
        <v>11234</v>
      </c>
      <c r="L1332" s="71" t="s">
        <v>8318</v>
      </c>
      <c r="M1332" s="71"/>
      <c r="N1332" s="72">
        <v>38741</v>
      </c>
      <c r="O1332" s="72">
        <v>38656</v>
      </c>
      <c r="P1332" s="71"/>
      <c r="Q1332" s="71" t="b">
        <v>0</v>
      </c>
      <c r="R1332" s="22">
        <f t="shared" si="20"/>
        <v>4</v>
      </c>
    </row>
    <row r="1333" spans="1:18">
      <c r="A1333" s="71">
        <v>8241</v>
      </c>
      <c r="B1333" s="72">
        <v>38663</v>
      </c>
      <c r="C1333" s="71" t="s">
        <v>11238</v>
      </c>
      <c r="D1333" s="72">
        <v>38657</v>
      </c>
      <c r="E1333" s="71" t="s">
        <v>11239</v>
      </c>
      <c r="F1333" s="71" t="s">
        <v>5690</v>
      </c>
      <c r="G1333" s="71" t="s">
        <v>20</v>
      </c>
      <c r="H1333" s="71" t="s">
        <v>71</v>
      </c>
      <c r="I1333" s="71" t="s">
        <v>72</v>
      </c>
      <c r="J1333" s="71" t="s">
        <v>11065</v>
      </c>
      <c r="K1333" s="71" t="s">
        <v>9199</v>
      </c>
      <c r="L1333" s="71" t="s">
        <v>4282</v>
      </c>
      <c r="M1333" s="71"/>
      <c r="N1333" s="72">
        <v>38719</v>
      </c>
      <c r="O1333" s="72">
        <v>38737</v>
      </c>
      <c r="P1333" s="71">
        <v>-1</v>
      </c>
      <c r="Q1333" s="71" t="b">
        <v>1</v>
      </c>
      <c r="R1333" s="22">
        <f t="shared" si="20"/>
        <v>74</v>
      </c>
    </row>
    <row r="1334" spans="1:18">
      <c r="A1334" s="71">
        <v>8243</v>
      </c>
      <c r="B1334" s="72">
        <v>38664</v>
      </c>
      <c r="C1334" s="71" t="s">
        <v>11244</v>
      </c>
      <c r="D1334" s="72">
        <v>38637</v>
      </c>
      <c r="E1334" s="71" t="s">
        <v>10942</v>
      </c>
      <c r="F1334" s="71" t="s">
        <v>11245</v>
      </c>
      <c r="G1334" s="71" t="s">
        <v>20</v>
      </c>
      <c r="H1334" s="71" t="s">
        <v>71</v>
      </c>
      <c r="I1334" s="71" t="s">
        <v>72</v>
      </c>
      <c r="J1334" s="71" t="s">
        <v>11246</v>
      </c>
      <c r="K1334" s="71" t="s">
        <v>11004</v>
      </c>
      <c r="L1334" s="71" t="s">
        <v>8318</v>
      </c>
      <c r="M1334" s="71"/>
      <c r="O1334" s="72">
        <v>38657</v>
      </c>
      <c r="P1334" s="71"/>
      <c r="Q1334" s="71" t="b">
        <v>0</v>
      </c>
      <c r="R1334" s="22">
        <f t="shared" si="20"/>
        <v>7</v>
      </c>
    </row>
    <row r="1335" spans="1:18">
      <c r="A1335" s="71">
        <v>8250</v>
      </c>
      <c r="B1335" s="72">
        <v>38670</v>
      </c>
      <c r="C1335" s="71" t="s">
        <v>11256</v>
      </c>
      <c r="D1335" s="72">
        <v>38666</v>
      </c>
      <c r="E1335" s="71" t="s">
        <v>11257</v>
      </c>
      <c r="F1335" s="71" t="s">
        <v>5690</v>
      </c>
      <c r="G1335" s="71" t="s">
        <v>20</v>
      </c>
      <c r="H1335" s="71" t="s">
        <v>71</v>
      </c>
      <c r="I1335" s="71" t="s">
        <v>72</v>
      </c>
      <c r="J1335" s="71" t="s">
        <v>11258</v>
      </c>
      <c r="K1335" s="71" t="s">
        <v>5513</v>
      </c>
      <c r="L1335" s="71" t="s">
        <v>8318</v>
      </c>
      <c r="M1335" s="71"/>
      <c r="N1335" s="72">
        <v>38758</v>
      </c>
      <c r="O1335" s="72">
        <v>39264</v>
      </c>
      <c r="P1335" s="71"/>
      <c r="Q1335" s="71" t="b">
        <v>0</v>
      </c>
      <c r="R1335" s="22">
        <f t="shared" si="20"/>
        <v>595</v>
      </c>
    </row>
    <row r="1336" spans="1:18">
      <c r="A1336" s="71">
        <v>8251</v>
      </c>
      <c r="B1336" s="72">
        <v>38670</v>
      </c>
      <c r="C1336" s="71" t="s">
        <v>11259</v>
      </c>
      <c r="D1336" s="72">
        <v>38666</v>
      </c>
      <c r="E1336" s="71" t="s">
        <v>11260</v>
      </c>
      <c r="F1336" s="71" t="s">
        <v>974</v>
      </c>
      <c r="G1336" s="71" t="s">
        <v>20</v>
      </c>
      <c r="H1336" s="71" t="s">
        <v>212</v>
      </c>
      <c r="I1336" s="71" t="s">
        <v>11261</v>
      </c>
      <c r="J1336" s="71" t="s">
        <v>11262</v>
      </c>
      <c r="K1336" s="71" t="s">
        <v>11263</v>
      </c>
      <c r="L1336" s="71" t="s">
        <v>8318</v>
      </c>
      <c r="M1336" s="71"/>
      <c r="N1336" s="72">
        <v>38758</v>
      </c>
      <c r="O1336" s="72">
        <v>39264</v>
      </c>
      <c r="P1336" s="71">
        <v>-1</v>
      </c>
      <c r="Q1336" s="71" t="b">
        <v>0</v>
      </c>
      <c r="R1336" s="22">
        <f t="shared" si="20"/>
        <v>595</v>
      </c>
    </row>
    <row r="1337" spans="1:18">
      <c r="A1337" s="71">
        <v>8252</v>
      </c>
      <c r="B1337" s="72">
        <v>38670</v>
      </c>
      <c r="C1337" s="71" t="s">
        <v>11264</v>
      </c>
      <c r="D1337" s="72">
        <v>38666</v>
      </c>
      <c r="E1337" s="71" t="s">
        <v>11265</v>
      </c>
      <c r="F1337" s="71" t="s">
        <v>974</v>
      </c>
      <c r="G1337" s="71" t="s">
        <v>20</v>
      </c>
      <c r="H1337" s="71" t="s">
        <v>212</v>
      </c>
      <c r="I1337" s="71" t="s">
        <v>11261</v>
      </c>
      <c r="J1337" s="71" t="s">
        <v>11262</v>
      </c>
      <c r="K1337" s="73">
        <v>38670</v>
      </c>
      <c r="L1337" s="71" t="s">
        <v>8318</v>
      </c>
      <c r="M1337" s="71"/>
      <c r="N1337" s="72">
        <v>38758</v>
      </c>
      <c r="O1337" s="72">
        <v>39264</v>
      </c>
      <c r="P1337" s="71">
        <v>-1</v>
      </c>
      <c r="Q1337" s="71" t="b">
        <v>0</v>
      </c>
      <c r="R1337" s="22">
        <f t="shared" si="20"/>
        <v>595</v>
      </c>
    </row>
    <row r="1338" spans="1:18">
      <c r="A1338" s="71">
        <v>8254</v>
      </c>
      <c r="B1338" s="72">
        <v>38670</v>
      </c>
      <c r="C1338" s="71" t="s">
        <v>11267</v>
      </c>
      <c r="D1338" s="72">
        <v>38658</v>
      </c>
      <c r="E1338" s="71" t="s">
        <v>11268</v>
      </c>
      <c r="F1338" s="71" t="s">
        <v>974</v>
      </c>
      <c r="G1338" s="71" t="s">
        <v>20</v>
      </c>
      <c r="H1338" s="71" t="s">
        <v>212</v>
      </c>
      <c r="I1338" s="71" t="s">
        <v>11261</v>
      </c>
      <c r="J1338" s="71" t="s">
        <v>11269</v>
      </c>
      <c r="K1338" s="71" t="s">
        <v>11270</v>
      </c>
      <c r="L1338" s="71" t="s">
        <v>8318</v>
      </c>
      <c r="M1338" s="71" t="s">
        <v>11271</v>
      </c>
      <c r="N1338" s="72">
        <v>38758</v>
      </c>
      <c r="O1338" s="72">
        <v>39199</v>
      </c>
      <c r="P1338" s="71">
        <v>-1</v>
      </c>
      <c r="Q1338" s="71" t="b">
        <v>0</v>
      </c>
      <c r="R1338" s="22">
        <f t="shared" si="20"/>
        <v>530</v>
      </c>
    </row>
    <row r="1339" spans="1:18">
      <c r="A1339" s="71">
        <v>8258</v>
      </c>
      <c r="B1339" s="72">
        <v>38672</v>
      </c>
      <c r="C1339" s="71" t="s">
        <v>11283</v>
      </c>
      <c r="D1339" s="72">
        <v>38671</v>
      </c>
      <c r="E1339" s="71" t="s">
        <v>11284</v>
      </c>
      <c r="F1339" s="71" t="s">
        <v>6953</v>
      </c>
      <c r="G1339" s="71" t="s">
        <v>20</v>
      </c>
      <c r="H1339" s="71" t="s">
        <v>71</v>
      </c>
      <c r="I1339" s="71" t="s">
        <v>72</v>
      </c>
      <c r="J1339" s="71" t="s">
        <v>11285</v>
      </c>
      <c r="K1339" s="71"/>
      <c r="L1339" s="71" t="s">
        <v>8318</v>
      </c>
      <c r="M1339" s="71"/>
      <c r="N1339" s="72">
        <v>38763</v>
      </c>
      <c r="O1339" s="72">
        <v>38678</v>
      </c>
      <c r="P1339" s="71"/>
      <c r="Q1339" s="71" t="b">
        <v>0</v>
      </c>
      <c r="R1339" s="22">
        <f t="shared" si="20"/>
        <v>6</v>
      </c>
    </row>
    <row r="1340" spans="1:18">
      <c r="A1340" s="71">
        <v>8259</v>
      </c>
      <c r="B1340" s="72">
        <v>38672</v>
      </c>
      <c r="C1340" s="71" t="s">
        <v>11286</v>
      </c>
      <c r="D1340" s="72">
        <v>38671</v>
      </c>
      <c r="E1340" s="71" t="s">
        <v>11287</v>
      </c>
      <c r="F1340" s="71" t="s">
        <v>27</v>
      </c>
      <c r="G1340" s="71" t="s">
        <v>20</v>
      </c>
      <c r="H1340" s="71" t="s">
        <v>189</v>
      </c>
      <c r="I1340" s="71" t="s">
        <v>189</v>
      </c>
      <c r="J1340" s="71" t="s">
        <v>11288</v>
      </c>
      <c r="K1340" s="71" t="s">
        <v>11289</v>
      </c>
      <c r="L1340" s="71" t="s">
        <v>4282</v>
      </c>
      <c r="M1340" s="71"/>
      <c r="N1340" s="72">
        <v>38764</v>
      </c>
      <c r="O1340" s="72">
        <v>38722</v>
      </c>
      <c r="P1340" s="71"/>
      <c r="Q1340" s="71" t="b">
        <v>0</v>
      </c>
      <c r="R1340" s="22">
        <f t="shared" si="20"/>
        <v>49</v>
      </c>
    </row>
    <row r="1341" spans="1:18">
      <c r="A1341" s="71">
        <v>8260</v>
      </c>
      <c r="B1341" s="72">
        <v>38674</v>
      </c>
      <c r="C1341" s="71" t="s">
        <v>11290</v>
      </c>
      <c r="D1341" s="72">
        <v>38674</v>
      </c>
      <c r="E1341" s="71" t="s">
        <v>11291</v>
      </c>
      <c r="F1341" s="71" t="s">
        <v>1232</v>
      </c>
      <c r="G1341" s="71" t="s">
        <v>20</v>
      </c>
      <c r="H1341" s="71" t="s">
        <v>189</v>
      </c>
      <c r="I1341" s="71" t="s">
        <v>189</v>
      </c>
      <c r="J1341" s="71" t="s">
        <v>11292</v>
      </c>
      <c r="K1341" s="71"/>
      <c r="L1341" s="71" t="s">
        <v>4282</v>
      </c>
      <c r="M1341" s="71" t="s">
        <v>4579</v>
      </c>
      <c r="N1341" s="72">
        <v>38766</v>
      </c>
      <c r="O1341" s="72">
        <v>38847</v>
      </c>
      <c r="P1341" s="71">
        <v>-1</v>
      </c>
      <c r="Q1341" s="71" t="b">
        <v>0</v>
      </c>
      <c r="R1341" s="22">
        <f t="shared" si="20"/>
        <v>174</v>
      </c>
    </row>
    <row r="1342" spans="1:18">
      <c r="A1342" s="71">
        <v>8262</v>
      </c>
      <c r="B1342" s="72">
        <v>38666</v>
      </c>
      <c r="C1342" s="71" t="s">
        <v>11296</v>
      </c>
      <c r="D1342" s="72">
        <v>38666</v>
      </c>
      <c r="E1342" s="71" t="s">
        <v>11297</v>
      </c>
      <c r="F1342" s="71" t="s">
        <v>974</v>
      </c>
      <c r="G1342" s="71" t="s">
        <v>189</v>
      </c>
      <c r="H1342" s="71" t="s">
        <v>212</v>
      </c>
      <c r="I1342" s="71" t="s">
        <v>11261</v>
      </c>
      <c r="J1342" s="71" t="s">
        <v>11298</v>
      </c>
      <c r="K1342" s="71"/>
      <c r="L1342" s="71" t="s">
        <v>8318</v>
      </c>
      <c r="M1342" s="71"/>
      <c r="N1342" s="72">
        <v>38758</v>
      </c>
      <c r="O1342" s="72">
        <v>38695</v>
      </c>
      <c r="P1342" s="71">
        <v>-1</v>
      </c>
      <c r="Q1342" s="71" t="b">
        <v>0</v>
      </c>
      <c r="R1342" s="22">
        <f t="shared" si="20"/>
        <v>29</v>
      </c>
    </row>
    <row r="1343" spans="1:18">
      <c r="A1343" s="71">
        <v>8264</v>
      </c>
      <c r="B1343" s="72">
        <v>38688</v>
      </c>
      <c r="C1343" s="71" t="s">
        <v>11302</v>
      </c>
      <c r="D1343" s="72">
        <v>38685</v>
      </c>
      <c r="E1343" s="71" t="s">
        <v>11303</v>
      </c>
      <c r="F1343" s="71" t="s">
        <v>6298</v>
      </c>
      <c r="G1343" s="71" t="s">
        <v>20</v>
      </c>
      <c r="H1343" s="71" t="s">
        <v>71</v>
      </c>
      <c r="I1343" s="71" t="s">
        <v>72</v>
      </c>
      <c r="J1343" s="71" t="s">
        <v>11304</v>
      </c>
      <c r="K1343" s="71"/>
      <c r="L1343" s="71" t="s">
        <v>3588</v>
      </c>
      <c r="M1343" s="71" t="s">
        <v>11305</v>
      </c>
      <c r="N1343" s="72">
        <v>38778</v>
      </c>
      <c r="O1343" s="72">
        <v>39792</v>
      </c>
      <c r="P1343" s="71"/>
      <c r="Q1343" s="71" t="b">
        <v>1</v>
      </c>
      <c r="R1343" s="22">
        <f t="shared" si="20"/>
        <v>1103</v>
      </c>
    </row>
    <row r="1344" spans="1:18">
      <c r="A1344" s="71">
        <v>8266</v>
      </c>
      <c r="B1344" s="72">
        <v>38688</v>
      </c>
      <c r="C1344" s="71" t="s">
        <v>11308</v>
      </c>
      <c r="D1344" s="72">
        <v>38686</v>
      </c>
      <c r="E1344" s="71" t="s">
        <v>11309</v>
      </c>
      <c r="F1344" s="71" t="s">
        <v>27</v>
      </c>
      <c r="G1344" s="71" t="s">
        <v>20</v>
      </c>
      <c r="H1344" s="71" t="s">
        <v>71</v>
      </c>
      <c r="I1344" s="71" t="s">
        <v>72</v>
      </c>
      <c r="J1344" s="71" t="s">
        <v>11310</v>
      </c>
      <c r="K1344" s="71"/>
      <c r="L1344" s="71" t="s">
        <v>4579</v>
      </c>
      <c r="M1344" s="71" t="s">
        <v>4282</v>
      </c>
      <c r="N1344" s="72">
        <v>38778</v>
      </c>
      <c r="O1344" s="72">
        <v>40562</v>
      </c>
      <c r="P1344" s="71"/>
      <c r="Q1344" s="71" t="b">
        <v>0</v>
      </c>
      <c r="R1344" s="22">
        <f t="shared" si="20"/>
        <v>1872</v>
      </c>
    </row>
    <row r="1345" spans="1:18">
      <c r="A1345" s="71">
        <v>8267</v>
      </c>
      <c r="B1345" s="72">
        <v>38688</v>
      </c>
      <c r="C1345" s="71" t="s">
        <v>11311</v>
      </c>
      <c r="D1345" s="72">
        <v>38687</v>
      </c>
      <c r="E1345" s="71" t="s">
        <v>11312</v>
      </c>
      <c r="F1345" s="71" t="s">
        <v>1232</v>
      </c>
      <c r="G1345" s="71" t="s">
        <v>20</v>
      </c>
      <c r="H1345" s="71" t="s">
        <v>189</v>
      </c>
      <c r="I1345" s="71" t="s">
        <v>189</v>
      </c>
      <c r="J1345" s="71" t="s">
        <v>11313</v>
      </c>
      <c r="K1345" s="71" t="s">
        <v>9958</v>
      </c>
      <c r="L1345" s="71" t="s">
        <v>4579</v>
      </c>
      <c r="M1345" s="71"/>
      <c r="N1345" s="72">
        <v>38778</v>
      </c>
      <c r="O1345" s="72">
        <v>38695</v>
      </c>
      <c r="P1345" s="71"/>
      <c r="Q1345" s="71" t="b">
        <v>0</v>
      </c>
      <c r="R1345" s="22">
        <f t="shared" si="20"/>
        <v>7</v>
      </c>
    </row>
    <row r="1346" spans="1:18">
      <c r="A1346" s="71">
        <v>8269</v>
      </c>
      <c r="B1346" s="72">
        <v>38691</v>
      </c>
      <c r="C1346" s="71" t="s">
        <v>11317</v>
      </c>
      <c r="D1346" s="72">
        <v>38686</v>
      </c>
      <c r="E1346" s="71" t="s">
        <v>11318</v>
      </c>
      <c r="F1346" s="71" t="s">
        <v>11319</v>
      </c>
      <c r="G1346" s="71" t="s">
        <v>20</v>
      </c>
      <c r="H1346" s="71" t="s">
        <v>71</v>
      </c>
      <c r="I1346" s="71" t="s">
        <v>72</v>
      </c>
      <c r="J1346" s="71" t="s">
        <v>11320</v>
      </c>
      <c r="K1346" s="71" t="s">
        <v>11321</v>
      </c>
      <c r="L1346" s="71" t="s">
        <v>8318</v>
      </c>
      <c r="M1346" s="71"/>
      <c r="O1346" s="72">
        <v>38688</v>
      </c>
      <c r="P1346" s="71">
        <v>0</v>
      </c>
      <c r="Q1346" s="71" t="b">
        <v>0</v>
      </c>
      <c r="R1346" s="22">
        <f t="shared" ref="R1346:R1409" si="21">IF(O1346=" ", " ", INT(YEARFRAC(O1346, B1346)*365))</f>
        <v>3</v>
      </c>
    </row>
    <row r="1347" spans="1:18">
      <c r="A1347" s="71">
        <v>8271</v>
      </c>
      <c r="B1347" s="72">
        <v>38692</v>
      </c>
      <c r="C1347" s="71" t="s">
        <v>11322</v>
      </c>
      <c r="D1347" s="72">
        <v>38691</v>
      </c>
      <c r="E1347" s="71" t="s">
        <v>11323</v>
      </c>
      <c r="F1347" s="71" t="s">
        <v>5690</v>
      </c>
      <c r="G1347" s="71" t="s">
        <v>20</v>
      </c>
      <c r="H1347" s="71" t="s">
        <v>71</v>
      </c>
      <c r="I1347" s="71" t="s">
        <v>72</v>
      </c>
      <c r="J1347" s="71" t="s">
        <v>11324</v>
      </c>
      <c r="K1347" s="71"/>
      <c r="L1347" s="71" t="s">
        <v>4282</v>
      </c>
      <c r="M1347" s="71"/>
      <c r="O1347" s="72">
        <v>38695</v>
      </c>
      <c r="P1347" s="71"/>
      <c r="Q1347" s="71" t="b">
        <v>1</v>
      </c>
      <c r="R1347" s="22">
        <f t="shared" si="21"/>
        <v>3</v>
      </c>
    </row>
    <row r="1348" spans="1:18">
      <c r="A1348" s="71">
        <v>8272</v>
      </c>
      <c r="B1348" s="72">
        <v>38695</v>
      </c>
      <c r="C1348" s="71" t="s">
        <v>11325</v>
      </c>
      <c r="D1348" s="72">
        <v>38691</v>
      </c>
      <c r="E1348" s="71" t="s">
        <v>11326</v>
      </c>
      <c r="F1348" s="71" t="s">
        <v>8615</v>
      </c>
      <c r="G1348" s="71" t="s">
        <v>20</v>
      </c>
      <c r="H1348" s="71" t="s">
        <v>566</v>
      </c>
      <c r="I1348" s="71" t="s">
        <v>212</v>
      </c>
      <c r="J1348" s="71" t="s">
        <v>11327</v>
      </c>
      <c r="K1348" s="71" t="s">
        <v>11328</v>
      </c>
      <c r="L1348" s="71" t="s">
        <v>2205</v>
      </c>
      <c r="M1348" s="71"/>
      <c r="N1348" s="72">
        <v>38782</v>
      </c>
      <c r="O1348" s="72">
        <v>38700</v>
      </c>
      <c r="P1348" s="71">
        <v>-1</v>
      </c>
      <c r="Q1348" s="71" t="b">
        <v>1</v>
      </c>
      <c r="R1348" s="22">
        <f t="shared" si="21"/>
        <v>5</v>
      </c>
    </row>
    <row r="1349" spans="1:18">
      <c r="A1349" s="71">
        <v>8277</v>
      </c>
      <c r="B1349" s="72">
        <v>38699</v>
      </c>
      <c r="C1349" s="71" t="s">
        <v>11337</v>
      </c>
      <c r="D1349" s="72">
        <v>38698</v>
      </c>
      <c r="E1349" s="71" t="s">
        <v>11338</v>
      </c>
      <c r="F1349" s="71" t="s">
        <v>5690</v>
      </c>
      <c r="G1349" s="71" t="s">
        <v>20</v>
      </c>
      <c r="H1349" s="71" t="s">
        <v>71</v>
      </c>
      <c r="I1349" s="71" t="s">
        <v>72</v>
      </c>
      <c r="J1349" s="71" t="s">
        <v>11339</v>
      </c>
      <c r="K1349" s="71" t="s">
        <v>6523</v>
      </c>
      <c r="L1349" s="71" t="s">
        <v>2205</v>
      </c>
      <c r="M1349" s="71"/>
      <c r="N1349" s="72">
        <v>38789</v>
      </c>
      <c r="O1349" s="72">
        <v>38699</v>
      </c>
      <c r="P1349" s="71">
        <v>-1</v>
      </c>
      <c r="Q1349" s="71" t="b">
        <v>1</v>
      </c>
      <c r="R1349" s="22">
        <f t="shared" si="21"/>
        <v>0</v>
      </c>
    </row>
    <row r="1350" spans="1:18">
      <c r="A1350" s="71">
        <v>8280</v>
      </c>
      <c r="B1350" s="72">
        <v>38701</v>
      </c>
      <c r="C1350" s="71" t="s">
        <v>11346</v>
      </c>
      <c r="D1350" s="72">
        <v>38700</v>
      </c>
      <c r="E1350" s="71" t="s">
        <v>11347</v>
      </c>
      <c r="F1350" s="71" t="s">
        <v>8615</v>
      </c>
      <c r="G1350" s="71" t="s">
        <v>20</v>
      </c>
      <c r="H1350" s="71" t="s">
        <v>71</v>
      </c>
      <c r="I1350" s="71" t="s">
        <v>72</v>
      </c>
      <c r="J1350" s="71" t="s">
        <v>11348</v>
      </c>
      <c r="K1350" s="71"/>
      <c r="L1350" s="71" t="s">
        <v>1946</v>
      </c>
      <c r="M1350" s="71"/>
      <c r="N1350" s="72">
        <v>38790</v>
      </c>
      <c r="O1350" s="72">
        <v>38901</v>
      </c>
      <c r="P1350" s="71">
        <v>-1</v>
      </c>
      <c r="Q1350" s="71" t="b">
        <v>1</v>
      </c>
      <c r="R1350" s="22">
        <f t="shared" si="21"/>
        <v>200</v>
      </c>
    </row>
    <row r="1351" spans="1:18">
      <c r="A1351" s="71">
        <v>8283</v>
      </c>
      <c r="B1351" s="72">
        <v>38707</v>
      </c>
      <c r="C1351" s="71" t="s">
        <v>11354</v>
      </c>
      <c r="D1351" s="72">
        <v>38700</v>
      </c>
      <c r="E1351" s="71" t="s">
        <v>11347</v>
      </c>
      <c r="F1351" s="71" t="s">
        <v>98</v>
      </c>
      <c r="G1351" s="71" t="s">
        <v>20</v>
      </c>
      <c r="H1351" s="71" t="s">
        <v>71</v>
      </c>
      <c r="I1351" s="71" t="s">
        <v>72</v>
      </c>
      <c r="J1351" s="71" t="s">
        <v>5686</v>
      </c>
      <c r="K1351" s="71" t="s">
        <v>11355</v>
      </c>
      <c r="L1351" s="71" t="s">
        <v>3588</v>
      </c>
      <c r="M1351" s="71" t="s">
        <v>11356</v>
      </c>
      <c r="N1351" s="72">
        <v>38790</v>
      </c>
      <c r="O1351" s="72">
        <v>39671</v>
      </c>
      <c r="P1351" s="71">
        <v>-1</v>
      </c>
      <c r="Q1351" s="71" t="b">
        <v>1</v>
      </c>
      <c r="R1351" s="22">
        <f t="shared" si="21"/>
        <v>963</v>
      </c>
    </row>
    <row r="1352" spans="1:18">
      <c r="A1352" s="71">
        <v>8284</v>
      </c>
      <c r="B1352" s="72">
        <v>38707</v>
      </c>
      <c r="C1352" s="71" t="s">
        <v>11357</v>
      </c>
      <c r="D1352" s="72">
        <v>38706</v>
      </c>
      <c r="E1352" s="71" t="s">
        <v>11358</v>
      </c>
      <c r="F1352" s="71" t="s">
        <v>1232</v>
      </c>
      <c r="G1352" s="71" t="s">
        <v>20</v>
      </c>
      <c r="H1352" s="71" t="s">
        <v>189</v>
      </c>
      <c r="I1352" s="71" t="s">
        <v>189</v>
      </c>
      <c r="J1352" s="71" t="s">
        <v>11359</v>
      </c>
      <c r="K1352" s="71"/>
      <c r="L1352" s="71" t="s">
        <v>4579</v>
      </c>
      <c r="M1352" s="71"/>
      <c r="N1352" s="72">
        <v>38796</v>
      </c>
      <c r="O1352" s="72">
        <v>38727</v>
      </c>
      <c r="P1352" s="71">
        <v>-1</v>
      </c>
      <c r="Q1352" s="71" t="b">
        <v>1</v>
      </c>
      <c r="R1352" s="22">
        <f t="shared" si="21"/>
        <v>19</v>
      </c>
    </row>
    <row r="1353" spans="1:18">
      <c r="A1353" s="71">
        <v>8285</v>
      </c>
      <c r="B1353" s="72">
        <v>38707</v>
      </c>
      <c r="C1353" s="71" t="s">
        <v>11360</v>
      </c>
      <c r="D1353" s="72">
        <v>38699</v>
      </c>
      <c r="E1353" s="71" t="s">
        <v>11361</v>
      </c>
      <c r="F1353" s="71" t="s">
        <v>1232</v>
      </c>
      <c r="G1353" s="71" t="s">
        <v>20</v>
      </c>
      <c r="H1353" s="71" t="s">
        <v>189</v>
      </c>
      <c r="I1353" s="71" t="s">
        <v>189</v>
      </c>
      <c r="J1353" s="71" t="s">
        <v>11313</v>
      </c>
      <c r="K1353" s="71"/>
      <c r="L1353" s="71" t="s">
        <v>4579</v>
      </c>
      <c r="M1353" s="71"/>
      <c r="N1353" s="72">
        <v>38789</v>
      </c>
      <c r="O1353" s="72">
        <v>38727</v>
      </c>
      <c r="P1353" s="71"/>
      <c r="Q1353" s="71" t="b">
        <v>0</v>
      </c>
      <c r="R1353" s="22">
        <f t="shared" si="21"/>
        <v>19</v>
      </c>
    </row>
    <row r="1354" spans="1:18">
      <c r="A1354" s="71">
        <v>8287</v>
      </c>
      <c r="B1354" s="72">
        <v>38708</v>
      </c>
      <c r="C1354" s="71" t="s">
        <v>11364</v>
      </c>
      <c r="D1354" s="72">
        <v>38701</v>
      </c>
      <c r="E1354" s="71" t="s">
        <v>11365</v>
      </c>
      <c r="F1354" s="71" t="s">
        <v>5690</v>
      </c>
      <c r="G1354" s="71" t="s">
        <v>20</v>
      </c>
      <c r="H1354" s="71" t="s">
        <v>71</v>
      </c>
      <c r="I1354" s="71" t="s">
        <v>72</v>
      </c>
      <c r="J1354" s="71" t="s">
        <v>7369</v>
      </c>
      <c r="K1354" s="71" t="s">
        <v>11366</v>
      </c>
      <c r="L1354" s="71" t="s">
        <v>8318</v>
      </c>
      <c r="M1354" s="71"/>
      <c r="N1354" s="72">
        <v>38791</v>
      </c>
      <c r="O1354" s="72">
        <v>38761</v>
      </c>
      <c r="P1354" s="71"/>
      <c r="Q1354" s="71" t="b">
        <v>0</v>
      </c>
      <c r="R1354" s="22">
        <f t="shared" si="21"/>
        <v>51</v>
      </c>
    </row>
    <row r="1355" spans="1:18">
      <c r="A1355" s="71">
        <v>8290</v>
      </c>
      <c r="B1355" s="72">
        <v>38714</v>
      </c>
      <c r="C1355" s="71" t="s">
        <v>11373</v>
      </c>
      <c r="D1355" s="72">
        <v>38713</v>
      </c>
      <c r="E1355" s="71" t="s">
        <v>11374</v>
      </c>
      <c r="F1355" s="71" t="s">
        <v>11375</v>
      </c>
      <c r="G1355" s="71" t="s">
        <v>20</v>
      </c>
      <c r="H1355" s="71" t="s">
        <v>71</v>
      </c>
      <c r="I1355" s="71" t="s">
        <v>72</v>
      </c>
      <c r="J1355" s="71" t="s">
        <v>11376</v>
      </c>
      <c r="K1355" s="71" t="s">
        <v>11377</v>
      </c>
      <c r="L1355" s="71" t="s">
        <v>2205</v>
      </c>
      <c r="M1355" s="71"/>
      <c r="N1355" s="72">
        <v>38803</v>
      </c>
      <c r="O1355" s="72">
        <v>38720</v>
      </c>
      <c r="P1355" s="71"/>
      <c r="Q1355" s="71" t="b">
        <v>0</v>
      </c>
      <c r="R1355" s="22">
        <f t="shared" si="21"/>
        <v>5</v>
      </c>
    </row>
    <row r="1356" spans="1:18">
      <c r="A1356" s="71">
        <v>8291</v>
      </c>
      <c r="B1356" s="72">
        <v>38715</v>
      </c>
      <c r="C1356" s="71" t="s">
        <v>11378</v>
      </c>
      <c r="D1356" s="72">
        <v>38709</v>
      </c>
      <c r="E1356" s="71" t="s">
        <v>11379</v>
      </c>
      <c r="F1356" s="71" t="s">
        <v>5690</v>
      </c>
      <c r="G1356" s="71" t="s">
        <v>20</v>
      </c>
      <c r="H1356" s="71" t="s">
        <v>71</v>
      </c>
      <c r="I1356" s="71" t="s">
        <v>72</v>
      </c>
      <c r="J1356" s="71" t="s">
        <v>11380</v>
      </c>
      <c r="K1356" s="71" t="s">
        <v>11381</v>
      </c>
      <c r="L1356" s="71" t="s">
        <v>8318</v>
      </c>
      <c r="M1356" s="71"/>
      <c r="O1356" s="72">
        <v>38714</v>
      </c>
      <c r="P1356" s="71"/>
      <c r="Q1356" s="71" t="b">
        <v>0</v>
      </c>
      <c r="R1356" s="22">
        <f t="shared" si="21"/>
        <v>1</v>
      </c>
    </row>
    <row r="1357" spans="1:18">
      <c r="A1357" s="71">
        <v>8292</v>
      </c>
      <c r="B1357" s="72">
        <v>38727</v>
      </c>
      <c r="C1357" s="71" t="s">
        <v>11382</v>
      </c>
      <c r="D1357" s="72">
        <v>38723</v>
      </c>
      <c r="E1357" s="71" t="s">
        <v>11383</v>
      </c>
      <c r="F1357" s="71" t="s">
        <v>52</v>
      </c>
      <c r="G1357" s="71" t="s">
        <v>20</v>
      </c>
      <c r="H1357" s="71" t="s">
        <v>71</v>
      </c>
      <c r="I1357" s="71" t="s">
        <v>72</v>
      </c>
      <c r="J1357" s="71" t="s">
        <v>11384</v>
      </c>
      <c r="K1357" s="71" t="s">
        <v>11189</v>
      </c>
      <c r="L1357" s="71" t="s">
        <v>4579</v>
      </c>
      <c r="M1357" s="71" t="s">
        <v>4282</v>
      </c>
      <c r="N1357" s="72">
        <v>38824</v>
      </c>
      <c r="O1357" s="72">
        <v>40562</v>
      </c>
      <c r="P1357" s="71"/>
      <c r="Q1357" s="71" t="b">
        <v>0</v>
      </c>
      <c r="R1357" s="22">
        <f t="shared" si="21"/>
        <v>1834</v>
      </c>
    </row>
    <row r="1358" spans="1:18">
      <c r="A1358" s="71">
        <v>8295</v>
      </c>
      <c r="B1358" s="72">
        <v>38727</v>
      </c>
      <c r="C1358" s="71" t="s">
        <v>11389</v>
      </c>
      <c r="D1358" s="72">
        <v>38723</v>
      </c>
      <c r="E1358" s="71" t="s">
        <v>11390</v>
      </c>
      <c r="F1358" s="71" t="s">
        <v>7054</v>
      </c>
      <c r="G1358" s="71" t="s">
        <v>20</v>
      </c>
      <c r="H1358" s="71" t="s">
        <v>212</v>
      </c>
      <c r="I1358" s="71" t="s">
        <v>11261</v>
      </c>
      <c r="J1358" s="71" t="s">
        <v>11391</v>
      </c>
      <c r="K1358" s="71"/>
      <c r="L1358" s="71" t="s">
        <v>8318</v>
      </c>
      <c r="M1358" s="71"/>
      <c r="O1358" s="72">
        <v>38726</v>
      </c>
      <c r="P1358" s="71">
        <v>-1</v>
      </c>
      <c r="Q1358" s="71" t="b">
        <v>1</v>
      </c>
      <c r="R1358" s="22">
        <f t="shared" si="21"/>
        <v>1</v>
      </c>
    </row>
    <row r="1359" spans="1:18">
      <c r="A1359" s="71">
        <v>8298</v>
      </c>
      <c r="B1359" s="72">
        <v>38734</v>
      </c>
      <c r="C1359" s="71" t="s">
        <v>11395</v>
      </c>
      <c r="D1359" s="72">
        <v>38728</v>
      </c>
      <c r="E1359" s="71" t="s">
        <v>11396</v>
      </c>
      <c r="F1359" s="71" t="s">
        <v>2359</v>
      </c>
      <c r="G1359" s="71" t="s">
        <v>20</v>
      </c>
      <c r="H1359" s="71" t="s">
        <v>71</v>
      </c>
      <c r="I1359" s="71" t="s">
        <v>72</v>
      </c>
      <c r="J1359" s="71" t="s">
        <v>11397</v>
      </c>
      <c r="K1359" s="71" t="s">
        <v>11398</v>
      </c>
      <c r="L1359" s="71" t="s">
        <v>8318</v>
      </c>
      <c r="M1359" s="71"/>
      <c r="O1359" s="72">
        <v>38730</v>
      </c>
      <c r="P1359" s="71"/>
      <c r="Q1359" s="71" t="b">
        <v>0</v>
      </c>
      <c r="R1359" s="22">
        <f t="shared" si="21"/>
        <v>4</v>
      </c>
    </row>
    <row r="1360" spans="1:18">
      <c r="A1360" s="71">
        <v>8300</v>
      </c>
      <c r="B1360" s="72">
        <v>38735</v>
      </c>
      <c r="C1360" s="71" t="s">
        <v>11402</v>
      </c>
      <c r="D1360" s="72">
        <v>38728</v>
      </c>
      <c r="E1360" s="71" t="s">
        <v>11403</v>
      </c>
      <c r="F1360" s="71" t="s">
        <v>1771</v>
      </c>
      <c r="G1360" s="71" t="s">
        <v>20</v>
      </c>
      <c r="H1360" s="71" t="s">
        <v>189</v>
      </c>
      <c r="I1360" s="71" t="s">
        <v>189</v>
      </c>
      <c r="J1360" s="71" t="s">
        <v>11404</v>
      </c>
      <c r="K1360" s="71" t="s">
        <v>2783</v>
      </c>
      <c r="L1360" s="71" t="s">
        <v>4579</v>
      </c>
      <c r="M1360" s="71" t="s">
        <v>1946</v>
      </c>
      <c r="N1360" s="72">
        <v>38825</v>
      </c>
      <c r="O1360" s="72">
        <v>39289</v>
      </c>
      <c r="P1360" s="71"/>
      <c r="Q1360" s="71" t="b">
        <v>0</v>
      </c>
      <c r="R1360" s="22">
        <f t="shared" si="21"/>
        <v>555</v>
      </c>
    </row>
    <row r="1361" spans="1:18">
      <c r="A1361" s="71">
        <v>8364</v>
      </c>
      <c r="B1361" s="72">
        <v>38750</v>
      </c>
      <c r="C1361" s="71" t="s">
        <v>11470</v>
      </c>
      <c r="D1361" s="72">
        <v>38749</v>
      </c>
      <c r="E1361" s="71" t="s">
        <v>11471</v>
      </c>
      <c r="F1361" s="71" t="s">
        <v>211</v>
      </c>
      <c r="G1361" s="71" t="s">
        <v>20</v>
      </c>
      <c r="H1361" s="71" t="s">
        <v>212</v>
      </c>
      <c r="I1361" s="71" t="s">
        <v>11261</v>
      </c>
      <c r="J1361" s="71" t="s">
        <v>11472</v>
      </c>
      <c r="K1361" s="71"/>
      <c r="L1361" s="71" t="s">
        <v>2205</v>
      </c>
      <c r="M1361" s="71"/>
      <c r="O1361" s="72">
        <v>38749</v>
      </c>
      <c r="P1361" s="71"/>
      <c r="Q1361" s="71" t="b">
        <v>0</v>
      </c>
      <c r="R1361" s="22">
        <f t="shared" si="21"/>
        <v>1</v>
      </c>
    </row>
    <row r="1362" spans="1:18">
      <c r="A1362" s="71">
        <v>8405</v>
      </c>
      <c r="B1362" s="72">
        <v>38756</v>
      </c>
      <c r="C1362" s="71" t="s">
        <v>11498</v>
      </c>
      <c r="D1362" s="72">
        <v>38747</v>
      </c>
      <c r="E1362" s="71" t="s">
        <v>11499</v>
      </c>
      <c r="F1362" s="71" t="s">
        <v>1771</v>
      </c>
      <c r="G1362" s="71" t="s">
        <v>20</v>
      </c>
      <c r="H1362" s="71" t="s">
        <v>189</v>
      </c>
      <c r="I1362" s="71" t="s">
        <v>189</v>
      </c>
      <c r="J1362" s="71" t="s">
        <v>11500</v>
      </c>
      <c r="K1362" s="71" t="s">
        <v>11501</v>
      </c>
      <c r="L1362" s="71" t="s">
        <v>1946</v>
      </c>
      <c r="M1362" s="71"/>
      <c r="N1362" s="72">
        <v>38845</v>
      </c>
      <c r="O1362" s="72">
        <v>38966</v>
      </c>
      <c r="P1362" s="71">
        <v>-1</v>
      </c>
      <c r="Q1362" s="71" t="b">
        <v>1</v>
      </c>
      <c r="R1362" s="22">
        <f t="shared" si="21"/>
        <v>210</v>
      </c>
    </row>
    <row r="1363" spans="1:18">
      <c r="A1363" s="71">
        <v>8408</v>
      </c>
      <c r="B1363" s="72">
        <v>38756</v>
      </c>
      <c r="C1363" s="71" t="s">
        <v>11506</v>
      </c>
      <c r="D1363" s="72">
        <v>38749</v>
      </c>
      <c r="E1363" s="71" t="s">
        <v>11507</v>
      </c>
      <c r="F1363" s="71" t="s">
        <v>194</v>
      </c>
      <c r="G1363" s="71" t="s">
        <v>20</v>
      </c>
      <c r="H1363" s="71" t="s">
        <v>71</v>
      </c>
      <c r="I1363" s="71" t="s">
        <v>72</v>
      </c>
      <c r="J1363" s="71" t="s">
        <v>11508</v>
      </c>
      <c r="K1363" s="71" t="s">
        <v>11509</v>
      </c>
      <c r="L1363" s="71" t="s">
        <v>4282</v>
      </c>
      <c r="M1363" s="71"/>
      <c r="N1363" s="72">
        <v>38845</v>
      </c>
      <c r="O1363" s="72">
        <v>39213</v>
      </c>
      <c r="P1363" s="71"/>
      <c r="Q1363" s="71" t="b">
        <v>0</v>
      </c>
      <c r="R1363" s="22">
        <f t="shared" si="21"/>
        <v>459</v>
      </c>
    </row>
    <row r="1364" spans="1:18">
      <c r="A1364" s="71">
        <v>8409</v>
      </c>
      <c r="B1364" s="72">
        <v>38756</v>
      </c>
      <c r="C1364" s="71" t="s">
        <v>11510</v>
      </c>
      <c r="D1364" s="72">
        <v>38754</v>
      </c>
      <c r="E1364" s="71" t="s">
        <v>11511</v>
      </c>
      <c r="F1364" s="71" t="s">
        <v>2359</v>
      </c>
      <c r="G1364" s="71" t="s">
        <v>20</v>
      </c>
      <c r="H1364" s="71" t="s">
        <v>71</v>
      </c>
      <c r="I1364" s="71" t="s">
        <v>72</v>
      </c>
      <c r="J1364" s="71" t="s">
        <v>11512</v>
      </c>
      <c r="K1364" s="71" t="s">
        <v>11513</v>
      </c>
      <c r="L1364" s="71" t="s">
        <v>1946</v>
      </c>
      <c r="M1364" s="71"/>
      <c r="N1364" s="72">
        <v>38845</v>
      </c>
      <c r="O1364" s="72">
        <v>38777</v>
      </c>
      <c r="P1364" s="71"/>
      <c r="Q1364" s="71" t="b">
        <v>0</v>
      </c>
      <c r="R1364" s="22">
        <f t="shared" si="21"/>
        <v>23</v>
      </c>
    </row>
    <row r="1365" spans="1:18">
      <c r="A1365" s="71">
        <v>8410</v>
      </c>
      <c r="B1365" s="72">
        <v>38756</v>
      </c>
      <c r="C1365" s="71" t="s">
        <v>11514</v>
      </c>
      <c r="D1365" s="72">
        <v>38754</v>
      </c>
      <c r="E1365" s="71" t="s">
        <v>11515</v>
      </c>
      <c r="F1365" s="71" t="s">
        <v>27</v>
      </c>
      <c r="G1365" s="71" t="s">
        <v>20</v>
      </c>
      <c r="H1365" s="71" t="s">
        <v>71</v>
      </c>
      <c r="I1365" s="71" t="s">
        <v>72</v>
      </c>
      <c r="J1365" s="71" t="s">
        <v>1243</v>
      </c>
      <c r="K1365" s="71"/>
      <c r="L1365" s="71" t="s">
        <v>10871</v>
      </c>
      <c r="M1365" s="71" t="s">
        <v>2205</v>
      </c>
      <c r="N1365" s="72">
        <v>38845</v>
      </c>
      <c r="O1365" s="72">
        <v>39000</v>
      </c>
      <c r="P1365" s="71"/>
      <c r="Q1365" s="71" t="b">
        <v>0</v>
      </c>
      <c r="R1365" s="22">
        <f t="shared" si="21"/>
        <v>245</v>
      </c>
    </row>
    <row r="1366" spans="1:18">
      <c r="A1366" s="71">
        <v>8422</v>
      </c>
      <c r="B1366" s="72">
        <v>38757</v>
      </c>
      <c r="C1366" s="71" t="s">
        <v>11516</v>
      </c>
      <c r="D1366" s="72">
        <v>38755</v>
      </c>
      <c r="E1366" s="71" t="s">
        <v>11517</v>
      </c>
      <c r="F1366" s="71" t="s">
        <v>8358</v>
      </c>
      <c r="G1366" s="71" t="s">
        <v>20</v>
      </c>
      <c r="H1366" s="71" t="s">
        <v>71</v>
      </c>
      <c r="I1366" s="71" t="s">
        <v>72</v>
      </c>
      <c r="J1366" s="71" t="s">
        <v>11518</v>
      </c>
      <c r="K1366" s="71" t="s">
        <v>1817</v>
      </c>
      <c r="L1366" s="71" t="s">
        <v>4282</v>
      </c>
      <c r="M1366" s="71"/>
      <c r="N1366" s="72">
        <v>38845</v>
      </c>
      <c r="O1366" s="72">
        <v>38776</v>
      </c>
      <c r="P1366" s="71"/>
      <c r="Q1366" s="71" t="b">
        <v>0</v>
      </c>
      <c r="R1366" s="22">
        <f t="shared" si="21"/>
        <v>19</v>
      </c>
    </row>
    <row r="1367" spans="1:18">
      <c r="A1367" s="71">
        <v>8423</v>
      </c>
      <c r="B1367" s="72">
        <v>38757</v>
      </c>
      <c r="C1367" s="71" t="s">
        <v>11519</v>
      </c>
      <c r="D1367" s="72">
        <v>38755</v>
      </c>
      <c r="E1367" s="71" t="s">
        <v>11520</v>
      </c>
      <c r="F1367" s="71" t="s">
        <v>8358</v>
      </c>
      <c r="G1367" s="71" t="s">
        <v>20</v>
      </c>
      <c r="H1367" s="71" t="s">
        <v>71</v>
      </c>
      <c r="I1367" s="71" t="s">
        <v>72</v>
      </c>
      <c r="J1367" s="71" t="s">
        <v>11521</v>
      </c>
      <c r="K1367" s="71" t="s">
        <v>1817</v>
      </c>
      <c r="L1367" s="71" t="s">
        <v>4282</v>
      </c>
      <c r="M1367" s="71"/>
      <c r="N1367" s="72">
        <v>38845</v>
      </c>
      <c r="O1367" s="72">
        <v>38776</v>
      </c>
      <c r="P1367" s="71"/>
      <c r="Q1367" s="71" t="b">
        <v>0</v>
      </c>
      <c r="R1367" s="22">
        <f t="shared" si="21"/>
        <v>19</v>
      </c>
    </row>
    <row r="1368" spans="1:18">
      <c r="A1368" s="71">
        <v>8424</v>
      </c>
      <c r="B1368" s="72">
        <v>38758</v>
      </c>
      <c r="C1368" s="71" t="s">
        <v>11522</v>
      </c>
      <c r="D1368" s="72">
        <v>38756</v>
      </c>
      <c r="E1368" s="71" t="s">
        <v>11523</v>
      </c>
      <c r="F1368" s="71" t="s">
        <v>211</v>
      </c>
      <c r="G1368" s="71" t="s">
        <v>20</v>
      </c>
      <c r="H1368" s="71" t="s">
        <v>212</v>
      </c>
      <c r="I1368" s="71" t="s">
        <v>11261</v>
      </c>
      <c r="J1368" s="71" t="s">
        <v>11524</v>
      </c>
      <c r="K1368" s="71" t="s">
        <v>11525</v>
      </c>
      <c r="L1368" s="71" t="s">
        <v>4579</v>
      </c>
      <c r="M1368" s="71"/>
      <c r="N1368" s="72">
        <v>38845</v>
      </c>
      <c r="O1368" s="72">
        <v>38770</v>
      </c>
      <c r="P1368" s="71">
        <v>-1</v>
      </c>
      <c r="Q1368" s="71" t="b">
        <v>1</v>
      </c>
      <c r="R1368" s="22">
        <f t="shared" si="21"/>
        <v>12</v>
      </c>
    </row>
    <row r="1369" spans="1:18">
      <c r="A1369" s="71">
        <v>8425</v>
      </c>
      <c r="B1369" s="72">
        <v>38758</v>
      </c>
      <c r="C1369" s="71" t="s">
        <v>11526</v>
      </c>
      <c r="D1369" s="72">
        <v>38757</v>
      </c>
      <c r="E1369" s="71" t="s">
        <v>11527</v>
      </c>
      <c r="F1369" s="71" t="s">
        <v>2359</v>
      </c>
      <c r="G1369" s="71" t="s">
        <v>20</v>
      </c>
      <c r="H1369" s="71" t="s">
        <v>71</v>
      </c>
      <c r="I1369" s="71" t="s">
        <v>72</v>
      </c>
      <c r="J1369" s="71" t="s">
        <v>11528</v>
      </c>
      <c r="K1369" s="71" t="s">
        <v>11529</v>
      </c>
      <c r="L1369" s="71" t="s">
        <v>4579</v>
      </c>
      <c r="M1369" s="71"/>
      <c r="N1369" s="72">
        <v>38846</v>
      </c>
      <c r="O1369" s="72">
        <v>38765</v>
      </c>
      <c r="P1369" s="71"/>
      <c r="Q1369" s="71" t="b">
        <v>1</v>
      </c>
      <c r="R1369" s="22">
        <f t="shared" si="21"/>
        <v>7</v>
      </c>
    </row>
    <row r="1370" spans="1:18">
      <c r="A1370" s="71">
        <v>8430</v>
      </c>
      <c r="B1370" s="72">
        <v>38763</v>
      </c>
      <c r="C1370" s="71" t="s">
        <v>11534</v>
      </c>
      <c r="D1370" s="72">
        <v>38762</v>
      </c>
      <c r="E1370" s="71" t="s">
        <v>11535</v>
      </c>
      <c r="F1370" s="71" t="s">
        <v>367</v>
      </c>
      <c r="G1370" s="71" t="s">
        <v>20</v>
      </c>
      <c r="H1370" s="71" t="s">
        <v>71</v>
      </c>
      <c r="I1370" s="71" t="s">
        <v>72</v>
      </c>
      <c r="J1370" s="71" t="s">
        <v>11536</v>
      </c>
      <c r="K1370" s="71"/>
      <c r="L1370" s="71" t="s">
        <v>1946</v>
      </c>
      <c r="M1370" s="71"/>
      <c r="N1370" s="72">
        <v>38852</v>
      </c>
      <c r="O1370" s="72">
        <v>40556</v>
      </c>
      <c r="P1370" s="71">
        <v>-1</v>
      </c>
      <c r="Q1370" s="71" t="b">
        <v>0</v>
      </c>
      <c r="R1370" s="22">
        <f t="shared" si="21"/>
        <v>1792</v>
      </c>
    </row>
    <row r="1371" spans="1:18">
      <c r="A1371" s="71">
        <v>8431</v>
      </c>
      <c r="B1371" s="72">
        <v>38763</v>
      </c>
      <c r="C1371" s="71" t="s">
        <v>11537</v>
      </c>
      <c r="D1371" s="72">
        <v>38763</v>
      </c>
      <c r="E1371" s="71" t="s">
        <v>11538</v>
      </c>
      <c r="F1371" s="71" t="s">
        <v>8615</v>
      </c>
      <c r="G1371" s="71" t="s">
        <v>20</v>
      </c>
      <c r="H1371" s="71" t="s">
        <v>71</v>
      </c>
      <c r="I1371" s="71" t="s">
        <v>72</v>
      </c>
      <c r="J1371" s="71" t="s">
        <v>11539</v>
      </c>
      <c r="K1371" s="71"/>
      <c r="L1371" s="71" t="s">
        <v>4282</v>
      </c>
      <c r="M1371" s="71"/>
      <c r="N1371" s="72">
        <v>38852</v>
      </c>
      <c r="O1371" s="72">
        <v>38799</v>
      </c>
      <c r="P1371" s="71">
        <v>-1</v>
      </c>
      <c r="Q1371" s="71" t="b">
        <v>1</v>
      </c>
      <c r="R1371" s="22">
        <f t="shared" si="21"/>
        <v>38</v>
      </c>
    </row>
    <row r="1372" spans="1:18">
      <c r="A1372" s="71">
        <v>8435</v>
      </c>
      <c r="B1372" s="72">
        <v>38769</v>
      </c>
      <c r="C1372" s="71" t="s">
        <v>11545</v>
      </c>
      <c r="D1372" s="72">
        <v>38766</v>
      </c>
      <c r="E1372" s="71" t="s">
        <v>11546</v>
      </c>
      <c r="F1372" s="71" t="s">
        <v>8615</v>
      </c>
      <c r="G1372" s="71" t="s">
        <v>20</v>
      </c>
      <c r="H1372" s="71" t="s">
        <v>71</v>
      </c>
      <c r="I1372" s="71" t="s">
        <v>72</v>
      </c>
      <c r="J1372" s="71" t="s">
        <v>11547</v>
      </c>
      <c r="K1372" s="71" t="s">
        <v>11538</v>
      </c>
      <c r="L1372" s="71" t="s">
        <v>4282</v>
      </c>
      <c r="M1372" s="71"/>
      <c r="N1372" s="72">
        <v>38855</v>
      </c>
      <c r="O1372" s="72">
        <v>38799</v>
      </c>
      <c r="P1372" s="71">
        <v>-1</v>
      </c>
      <c r="Q1372" s="71" t="b">
        <v>1</v>
      </c>
      <c r="R1372" s="22">
        <f t="shared" si="21"/>
        <v>32</v>
      </c>
    </row>
    <row r="1373" spans="1:18">
      <c r="A1373" s="71">
        <v>8436</v>
      </c>
      <c r="B1373" s="72">
        <v>38769</v>
      </c>
      <c r="C1373" s="71" t="s">
        <v>11548</v>
      </c>
      <c r="D1373" s="72">
        <v>38765</v>
      </c>
      <c r="E1373" s="71" t="s">
        <v>11549</v>
      </c>
      <c r="F1373" s="71" t="s">
        <v>27</v>
      </c>
      <c r="G1373" s="71" t="s">
        <v>20</v>
      </c>
      <c r="H1373" s="71" t="s">
        <v>71</v>
      </c>
      <c r="I1373" s="71" t="s">
        <v>72</v>
      </c>
      <c r="J1373" s="71" t="s">
        <v>11550</v>
      </c>
      <c r="K1373" s="71" t="s">
        <v>11551</v>
      </c>
      <c r="L1373" s="71" t="s">
        <v>4282</v>
      </c>
      <c r="M1373" s="71"/>
      <c r="N1373" s="72">
        <v>38854</v>
      </c>
      <c r="O1373" s="72">
        <v>38988</v>
      </c>
      <c r="P1373" s="71"/>
      <c r="Q1373" s="71" t="b">
        <v>0</v>
      </c>
      <c r="R1373" s="22">
        <f t="shared" si="21"/>
        <v>220</v>
      </c>
    </row>
    <row r="1374" spans="1:18">
      <c r="A1374" s="71">
        <v>8438</v>
      </c>
      <c r="B1374" s="72">
        <v>38770</v>
      </c>
      <c r="C1374" s="71" t="s">
        <v>11552</v>
      </c>
      <c r="D1374" s="72">
        <v>38763</v>
      </c>
      <c r="E1374" s="71" t="s">
        <v>11553</v>
      </c>
      <c r="F1374" s="71" t="s">
        <v>5690</v>
      </c>
      <c r="G1374" s="71" t="s">
        <v>20</v>
      </c>
      <c r="H1374" s="71" t="s">
        <v>71</v>
      </c>
      <c r="I1374" s="71" t="s">
        <v>72</v>
      </c>
      <c r="J1374" s="71" t="s">
        <v>11554</v>
      </c>
      <c r="K1374" s="71" t="s">
        <v>11555</v>
      </c>
      <c r="L1374" s="71" t="s">
        <v>10871</v>
      </c>
      <c r="M1374" s="71" t="s">
        <v>2205</v>
      </c>
      <c r="N1374" s="72">
        <v>38859</v>
      </c>
      <c r="O1374" s="72">
        <v>38854</v>
      </c>
      <c r="P1374" s="71"/>
      <c r="Q1374" s="71" t="b">
        <v>0</v>
      </c>
      <c r="R1374" s="22">
        <f t="shared" si="21"/>
        <v>86</v>
      </c>
    </row>
    <row r="1375" spans="1:18">
      <c r="A1375" s="71">
        <v>8440</v>
      </c>
      <c r="B1375" s="72">
        <v>38771</v>
      </c>
      <c r="C1375" s="71" t="s">
        <v>11559</v>
      </c>
      <c r="D1375" s="72">
        <v>38765</v>
      </c>
      <c r="E1375" s="71" t="s">
        <v>11560</v>
      </c>
      <c r="F1375" s="71" t="s">
        <v>2146</v>
      </c>
      <c r="G1375" s="71" t="s">
        <v>20</v>
      </c>
      <c r="H1375" s="71" t="s">
        <v>71</v>
      </c>
      <c r="I1375" s="71" t="s">
        <v>72</v>
      </c>
      <c r="J1375" s="71" t="s">
        <v>11561</v>
      </c>
      <c r="K1375" s="71" t="s">
        <v>8828</v>
      </c>
      <c r="L1375" s="71" t="s">
        <v>4282</v>
      </c>
      <c r="M1375" s="71"/>
      <c r="N1375" s="72">
        <v>38860</v>
      </c>
      <c r="O1375" s="72">
        <v>38911</v>
      </c>
      <c r="P1375" s="71"/>
      <c r="Q1375" s="71" t="b">
        <v>0</v>
      </c>
      <c r="R1375" s="22">
        <f t="shared" si="21"/>
        <v>141</v>
      </c>
    </row>
    <row r="1376" spans="1:18">
      <c r="A1376" s="71">
        <v>8445</v>
      </c>
      <c r="B1376" s="72">
        <v>38775</v>
      </c>
      <c r="C1376" s="71" t="s">
        <v>11565</v>
      </c>
      <c r="D1376" s="72">
        <v>38772</v>
      </c>
      <c r="E1376" s="71" t="s">
        <v>11566</v>
      </c>
      <c r="F1376" s="71" t="s">
        <v>19</v>
      </c>
      <c r="G1376" s="71" t="s">
        <v>20</v>
      </c>
      <c r="H1376" s="71" t="s">
        <v>71</v>
      </c>
      <c r="I1376" s="71" t="s">
        <v>72</v>
      </c>
      <c r="J1376" s="71" t="s">
        <v>11567</v>
      </c>
      <c r="K1376" s="71" t="s">
        <v>11568</v>
      </c>
      <c r="L1376" s="71" t="s">
        <v>4579</v>
      </c>
      <c r="M1376" s="71"/>
      <c r="N1376" s="72">
        <v>38866</v>
      </c>
      <c r="O1376" s="72">
        <v>38901</v>
      </c>
      <c r="P1376" s="71"/>
      <c r="Q1376" s="71" t="b">
        <v>0</v>
      </c>
      <c r="R1376" s="22">
        <f t="shared" si="21"/>
        <v>127</v>
      </c>
    </row>
    <row r="1377" spans="1:18">
      <c r="A1377" s="71">
        <v>8446</v>
      </c>
      <c r="B1377" s="72">
        <v>38775</v>
      </c>
      <c r="C1377" s="71" t="s">
        <v>11569</v>
      </c>
      <c r="D1377" s="72">
        <v>38772</v>
      </c>
      <c r="E1377" s="71" t="s">
        <v>11570</v>
      </c>
      <c r="F1377" s="71" t="s">
        <v>10725</v>
      </c>
      <c r="G1377" s="71" t="s">
        <v>20</v>
      </c>
      <c r="H1377" s="71" t="s">
        <v>566</v>
      </c>
      <c r="I1377" s="71" t="s">
        <v>11571</v>
      </c>
      <c r="J1377" s="71" t="s">
        <v>11572</v>
      </c>
      <c r="K1377" s="71" t="s">
        <v>11573</v>
      </c>
      <c r="L1377" s="71" t="s">
        <v>10871</v>
      </c>
      <c r="M1377" s="71" t="s">
        <v>2205</v>
      </c>
      <c r="N1377" s="72">
        <v>38866</v>
      </c>
      <c r="O1377" s="72">
        <v>38895</v>
      </c>
      <c r="P1377" s="71">
        <v>-1</v>
      </c>
      <c r="Q1377" s="71" t="b">
        <v>1</v>
      </c>
      <c r="R1377" s="22">
        <f t="shared" si="21"/>
        <v>121</v>
      </c>
    </row>
    <row r="1378" spans="1:18">
      <c r="A1378" s="71">
        <v>8447</v>
      </c>
      <c r="B1378" s="72">
        <v>38776</v>
      </c>
      <c r="C1378" s="71" t="s">
        <v>11574</v>
      </c>
      <c r="D1378" s="72">
        <v>38775</v>
      </c>
      <c r="E1378" s="71" t="s">
        <v>11575</v>
      </c>
      <c r="F1378" s="71" t="s">
        <v>39</v>
      </c>
      <c r="G1378" s="71" t="s">
        <v>20</v>
      </c>
      <c r="H1378" s="71" t="s">
        <v>71</v>
      </c>
      <c r="I1378" s="71" t="s">
        <v>72</v>
      </c>
      <c r="J1378" s="71" t="s">
        <v>11576</v>
      </c>
      <c r="K1378" s="71" t="s">
        <v>11577</v>
      </c>
      <c r="L1378" s="71" t="s">
        <v>4282</v>
      </c>
      <c r="M1378" s="71"/>
      <c r="N1378" s="72">
        <v>38866</v>
      </c>
      <c r="O1378" s="72">
        <v>38799</v>
      </c>
      <c r="P1378" s="71"/>
      <c r="Q1378" s="71" t="b">
        <v>0</v>
      </c>
      <c r="R1378" s="22">
        <f t="shared" si="21"/>
        <v>23</v>
      </c>
    </row>
    <row r="1379" spans="1:18">
      <c r="A1379" s="71">
        <v>8453</v>
      </c>
      <c r="B1379" s="72">
        <v>38782</v>
      </c>
      <c r="C1379" s="71" t="s">
        <v>11586</v>
      </c>
      <c r="D1379" s="72">
        <v>38779</v>
      </c>
      <c r="E1379" s="71" t="s">
        <v>11587</v>
      </c>
      <c r="F1379" s="71" t="s">
        <v>7961</v>
      </c>
      <c r="G1379" s="71" t="s">
        <v>20</v>
      </c>
      <c r="H1379" s="71" t="s">
        <v>189</v>
      </c>
      <c r="I1379" s="71" t="s">
        <v>189</v>
      </c>
      <c r="J1379" s="71" t="s">
        <v>11588</v>
      </c>
      <c r="K1379" s="71" t="s">
        <v>11589</v>
      </c>
      <c r="L1379" s="71" t="s">
        <v>10871</v>
      </c>
      <c r="M1379" s="71" t="s">
        <v>2205</v>
      </c>
      <c r="N1379" s="72">
        <v>38874</v>
      </c>
      <c r="O1379" s="72">
        <v>38841</v>
      </c>
      <c r="P1379" s="71">
        <v>-1</v>
      </c>
      <c r="Q1379" s="71" t="b">
        <v>1</v>
      </c>
      <c r="R1379" s="22">
        <f t="shared" si="21"/>
        <v>58</v>
      </c>
    </row>
    <row r="1380" spans="1:18">
      <c r="A1380" s="71">
        <v>8454</v>
      </c>
      <c r="B1380" s="72">
        <v>38782</v>
      </c>
      <c r="C1380" s="71" t="s">
        <v>11590</v>
      </c>
      <c r="D1380" s="72">
        <v>38782</v>
      </c>
      <c r="E1380" s="71" t="s">
        <v>11591</v>
      </c>
      <c r="F1380" s="71" t="s">
        <v>367</v>
      </c>
      <c r="G1380" s="71" t="s">
        <v>20</v>
      </c>
      <c r="H1380" s="71" t="s">
        <v>71</v>
      </c>
      <c r="I1380" s="71" t="s">
        <v>72</v>
      </c>
      <c r="J1380" s="71" t="s">
        <v>11592</v>
      </c>
      <c r="K1380" s="71" t="s">
        <v>11593</v>
      </c>
      <c r="L1380" s="71" t="s">
        <v>4282</v>
      </c>
      <c r="M1380" s="71"/>
      <c r="O1380" s="72">
        <v>38782</v>
      </c>
      <c r="P1380" s="71"/>
      <c r="Q1380" s="71" t="b">
        <v>0</v>
      </c>
      <c r="R1380" s="22">
        <f t="shared" si="21"/>
        <v>0</v>
      </c>
    </row>
    <row r="1381" spans="1:18">
      <c r="A1381" s="71">
        <v>8457</v>
      </c>
      <c r="B1381" s="72">
        <v>38785</v>
      </c>
      <c r="C1381" s="71" t="s">
        <v>11596</v>
      </c>
      <c r="D1381" s="72">
        <v>38782</v>
      </c>
      <c r="E1381" s="71" t="s">
        <v>11597</v>
      </c>
      <c r="F1381" s="71" t="s">
        <v>7054</v>
      </c>
      <c r="G1381" s="71" t="s">
        <v>20</v>
      </c>
      <c r="H1381" s="71" t="s">
        <v>212</v>
      </c>
      <c r="I1381" s="71" t="s">
        <v>11261</v>
      </c>
      <c r="J1381" s="71" t="s">
        <v>11598</v>
      </c>
      <c r="K1381" s="71"/>
      <c r="L1381" s="71" t="s">
        <v>2205</v>
      </c>
      <c r="M1381" s="71"/>
      <c r="N1381" s="72">
        <v>38880</v>
      </c>
      <c r="O1381" s="72">
        <v>38798</v>
      </c>
      <c r="P1381" s="71"/>
      <c r="Q1381" s="71" t="b">
        <v>0</v>
      </c>
      <c r="R1381" s="22">
        <f t="shared" si="21"/>
        <v>13</v>
      </c>
    </row>
    <row r="1382" spans="1:18">
      <c r="A1382" s="71">
        <v>8469</v>
      </c>
      <c r="B1382" s="72">
        <v>38784</v>
      </c>
      <c r="C1382" s="71" t="s">
        <v>11613</v>
      </c>
      <c r="D1382" s="72">
        <v>38784</v>
      </c>
      <c r="E1382" s="71" t="s">
        <v>11614</v>
      </c>
      <c r="F1382" s="71" t="s">
        <v>1232</v>
      </c>
      <c r="G1382" s="71" t="s">
        <v>20</v>
      </c>
      <c r="H1382" s="71" t="s">
        <v>189</v>
      </c>
      <c r="I1382" s="71" t="s">
        <v>189</v>
      </c>
      <c r="J1382" s="71" t="s">
        <v>11615</v>
      </c>
      <c r="K1382" s="71" t="s">
        <v>11616</v>
      </c>
      <c r="L1382" s="71" t="s">
        <v>4579</v>
      </c>
      <c r="M1382" s="71"/>
      <c r="N1382" s="72">
        <v>38876</v>
      </c>
      <c r="O1382" s="72">
        <v>38917</v>
      </c>
      <c r="P1382" s="71">
        <v>-1</v>
      </c>
      <c r="Q1382" s="71" t="b">
        <v>0</v>
      </c>
      <c r="R1382" s="22">
        <f t="shared" si="21"/>
        <v>132</v>
      </c>
    </row>
    <row r="1383" spans="1:18">
      <c r="A1383" s="71">
        <v>8470</v>
      </c>
      <c r="B1383" s="72">
        <v>38786</v>
      </c>
      <c r="C1383" s="71" t="s">
        <v>11617</v>
      </c>
      <c r="D1383" s="72">
        <v>38783</v>
      </c>
      <c r="E1383" s="71" t="s">
        <v>11618</v>
      </c>
      <c r="F1383" s="71" t="s">
        <v>27</v>
      </c>
      <c r="G1383" s="71" t="s">
        <v>20</v>
      </c>
      <c r="H1383" s="71" t="s">
        <v>71</v>
      </c>
      <c r="I1383" s="71" t="s">
        <v>72</v>
      </c>
      <c r="J1383" s="71" t="s">
        <v>5917</v>
      </c>
      <c r="K1383" s="71" t="s">
        <v>3538</v>
      </c>
      <c r="L1383" s="71" t="s">
        <v>2205</v>
      </c>
      <c r="M1383" s="71"/>
      <c r="N1383" s="72">
        <v>38875</v>
      </c>
      <c r="O1383" s="72">
        <v>38798</v>
      </c>
      <c r="P1383" s="71">
        <v>0</v>
      </c>
      <c r="Q1383" s="71" t="b">
        <v>0</v>
      </c>
      <c r="R1383" s="22">
        <f t="shared" si="21"/>
        <v>12</v>
      </c>
    </row>
    <row r="1384" spans="1:18">
      <c r="A1384" s="71">
        <v>8472</v>
      </c>
      <c r="B1384" s="72">
        <v>38793</v>
      </c>
      <c r="C1384" s="71" t="s">
        <v>11623</v>
      </c>
      <c r="D1384" s="72">
        <v>38793</v>
      </c>
      <c r="E1384" s="71" t="s">
        <v>11624</v>
      </c>
      <c r="F1384" s="71" t="s">
        <v>11625</v>
      </c>
      <c r="G1384" s="71" t="s">
        <v>20</v>
      </c>
      <c r="H1384" s="71" t="s">
        <v>71</v>
      </c>
      <c r="I1384" s="71" t="s">
        <v>72</v>
      </c>
      <c r="J1384" s="71" t="s">
        <v>11626</v>
      </c>
      <c r="K1384" s="71" t="s">
        <v>4690</v>
      </c>
      <c r="L1384" s="71" t="s">
        <v>4579</v>
      </c>
      <c r="M1384" s="71" t="s">
        <v>1946</v>
      </c>
      <c r="N1384" s="72">
        <v>38885</v>
      </c>
      <c r="O1384" s="72">
        <v>39967</v>
      </c>
      <c r="P1384" s="71"/>
      <c r="Q1384" s="71" t="b">
        <v>0</v>
      </c>
      <c r="R1384" s="22">
        <f t="shared" si="21"/>
        <v>1172</v>
      </c>
    </row>
    <row r="1385" spans="1:18">
      <c r="A1385" s="71">
        <v>8473</v>
      </c>
      <c r="B1385" s="72">
        <v>38791</v>
      </c>
      <c r="C1385" s="71" t="s">
        <v>11627</v>
      </c>
      <c r="D1385" s="72">
        <v>38791</v>
      </c>
      <c r="E1385" s="71" t="s">
        <v>11628</v>
      </c>
      <c r="F1385" s="71" t="s">
        <v>104</v>
      </c>
      <c r="G1385" s="71" t="s">
        <v>20</v>
      </c>
      <c r="H1385" s="71" t="s">
        <v>71</v>
      </c>
      <c r="I1385" s="71" t="s">
        <v>72</v>
      </c>
      <c r="J1385" s="71" t="s">
        <v>11629</v>
      </c>
      <c r="K1385" s="71" t="s">
        <v>11630</v>
      </c>
      <c r="L1385" s="71" t="s">
        <v>4282</v>
      </c>
      <c r="M1385" s="71"/>
      <c r="N1385" s="72">
        <v>38883</v>
      </c>
      <c r="O1385" s="72">
        <v>40673</v>
      </c>
      <c r="P1385" s="71"/>
      <c r="Q1385" s="71" t="b">
        <v>0</v>
      </c>
      <c r="R1385" s="22">
        <f t="shared" si="21"/>
        <v>1880</v>
      </c>
    </row>
    <row r="1386" spans="1:18">
      <c r="A1386" s="71">
        <v>8480</v>
      </c>
      <c r="B1386" s="72">
        <v>38797</v>
      </c>
      <c r="C1386" s="71" t="s">
        <v>11650</v>
      </c>
      <c r="D1386" s="72">
        <v>38796</v>
      </c>
      <c r="E1386" s="71" t="s">
        <v>11651</v>
      </c>
      <c r="F1386" s="71" t="s">
        <v>149</v>
      </c>
      <c r="G1386" s="71" t="s">
        <v>20</v>
      </c>
      <c r="H1386" s="71" t="s">
        <v>71</v>
      </c>
      <c r="I1386" s="71" t="s">
        <v>72</v>
      </c>
      <c r="J1386" s="71" t="s">
        <v>11652</v>
      </c>
      <c r="K1386" s="71"/>
      <c r="L1386" s="71" t="s">
        <v>1946</v>
      </c>
      <c r="M1386" s="71"/>
      <c r="N1386" s="72">
        <v>38888</v>
      </c>
      <c r="O1386" s="72">
        <v>38930</v>
      </c>
      <c r="P1386" s="71"/>
      <c r="Q1386" s="71" t="b">
        <v>0</v>
      </c>
      <c r="R1386" s="22">
        <f t="shared" si="21"/>
        <v>131</v>
      </c>
    </row>
    <row r="1387" spans="1:18">
      <c r="A1387" s="71">
        <v>8483</v>
      </c>
      <c r="B1387" s="72">
        <v>38799</v>
      </c>
      <c r="C1387" s="71" t="s">
        <v>11658</v>
      </c>
      <c r="D1387" s="72">
        <v>38798</v>
      </c>
      <c r="E1387" s="71" t="s">
        <v>11659</v>
      </c>
      <c r="F1387" s="71" t="s">
        <v>2359</v>
      </c>
      <c r="G1387" s="71" t="s">
        <v>20</v>
      </c>
      <c r="H1387" s="71" t="s">
        <v>71</v>
      </c>
      <c r="I1387" s="71" t="s">
        <v>72</v>
      </c>
      <c r="J1387" s="71" t="s">
        <v>20649</v>
      </c>
      <c r="K1387" s="73">
        <v>38797</v>
      </c>
      <c r="L1387" s="71" t="s">
        <v>8318</v>
      </c>
      <c r="M1387" s="71"/>
      <c r="O1387" s="72">
        <v>38799</v>
      </c>
      <c r="P1387" s="71"/>
      <c r="Q1387" s="71" t="b">
        <v>0</v>
      </c>
      <c r="R1387" s="22">
        <f t="shared" si="21"/>
        <v>0</v>
      </c>
    </row>
    <row r="1388" spans="1:18">
      <c r="A1388" s="71">
        <v>8485</v>
      </c>
      <c r="B1388" s="72">
        <v>38805</v>
      </c>
      <c r="C1388" s="71" t="s">
        <v>11664</v>
      </c>
      <c r="D1388" s="72">
        <v>38805</v>
      </c>
      <c r="E1388" s="71" t="s">
        <v>11665</v>
      </c>
      <c r="F1388" s="71" t="s">
        <v>10901</v>
      </c>
      <c r="G1388" s="71" t="s">
        <v>20</v>
      </c>
      <c r="H1388" s="71" t="s">
        <v>71</v>
      </c>
      <c r="I1388" s="71" t="s">
        <v>72</v>
      </c>
      <c r="J1388" s="71" t="s">
        <v>11666</v>
      </c>
      <c r="K1388" s="71" t="s">
        <v>11667</v>
      </c>
      <c r="L1388" s="71" t="s">
        <v>4282</v>
      </c>
      <c r="M1388" s="71"/>
      <c r="N1388" s="72">
        <v>38892</v>
      </c>
      <c r="O1388" s="72">
        <v>38807</v>
      </c>
      <c r="P1388" s="71"/>
      <c r="Q1388" s="71" t="b">
        <v>0</v>
      </c>
      <c r="R1388" s="22">
        <f t="shared" si="21"/>
        <v>2</v>
      </c>
    </row>
    <row r="1389" spans="1:18">
      <c r="A1389" s="71">
        <v>8486</v>
      </c>
      <c r="B1389" s="72">
        <v>38805</v>
      </c>
      <c r="C1389" s="71" t="s">
        <v>11668</v>
      </c>
      <c r="D1389" s="72">
        <v>38805</v>
      </c>
      <c r="E1389" s="71" t="s">
        <v>11669</v>
      </c>
      <c r="F1389" s="71" t="s">
        <v>98</v>
      </c>
      <c r="G1389" s="71" t="s">
        <v>20</v>
      </c>
      <c r="H1389" s="71" t="s">
        <v>71</v>
      </c>
      <c r="I1389" s="71" t="s">
        <v>72</v>
      </c>
      <c r="J1389" s="71" t="s">
        <v>11670</v>
      </c>
      <c r="K1389" s="71" t="s">
        <v>11671</v>
      </c>
      <c r="L1389" s="71" t="s">
        <v>4579</v>
      </c>
      <c r="M1389" s="71"/>
      <c r="N1389" s="72">
        <v>38896</v>
      </c>
      <c r="O1389" s="72">
        <v>38819</v>
      </c>
      <c r="P1389" s="71"/>
      <c r="Q1389" s="71" t="b">
        <v>0</v>
      </c>
      <c r="R1389" s="22">
        <f t="shared" si="21"/>
        <v>13</v>
      </c>
    </row>
    <row r="1390" spans="1:18">
      <c r="A1390" s="71">
        <v>8488</v>
      </c>
      <c r="B1390" s="72">
        <v>38806</v>
      </c>
      <c r="C1390" s="71" t="s">
        <v>11676</v>
      </c>
      <c r="D1390" s="72">
        <v>38806</v>
      </c>
      <c r="E1390" s="71" t="s">
        <v>11677</v>
      </c>
      <c r="F1390" s="71" t="s">
        <v>5690</v>
      </c>
      <c r="G1390" s="71" t="s">
        <v>20</v>
      </c>
      <c r="H1390" s="71" t="s">
        <v>71</v>
      </c>
      <c r="I1390" s="71" t="s">
        <v>72</v>
      </c>
      <c r="J1390" s="71" t="s">
        <v>11083</v>
      </c>
      <c r="K1390" s="71" t="s">
        <v>11678</v>
      </c>
      <c r="L1390" s="71" t="s">
        <v>8318</v>
      </c>
      <c r="M1390" s="71"/>
      <c r="O1390" s="72">
        <v>38811</v>
      </c>
      <c r="P1390" s="71">
        <v>-1</v>
      </c>
      <c r="Q1390" s="71" t="b">
        <v>0</v>
      </c>
      <c r="R1390" s="22">
        <f t="shared" si="21"/>
        <v>4</v>
      </c>
    </row>
    <row r="1391" spans="1:18">
      <c r="A1391" s="71">
        <v>8489</v>
      </c>
      <c r="B1391" s="72">
        <v>38812</v>
      </c>
      <c r="C1391" s="71" t="s">
        <v>11679</v>
      </c>
      <c r="D1391" s="72">
        <v>38805</v>
      </c>
      <c r="E1391" s="71" t="s">
        <v>11680</v>
      </c>
      <c r="F1391" s="71" t="s">
        <v>11681</v>
      </c>
      <c r="G1391" s="71" t="s">
        <v>20</v>
      </c>
      <c r="H1391" s="71" t="s">
        <v>71</v>
      </c>
      <c r="I1391" s="71" t="s">
        <v>72</v>
      </c>
      <c r="J1391" s="71" t="s">
        <v>6523</v>
      </c>
      <c r="K1391" s="71" t="s">
        <v>11682</v>
      </c>
      <c r="L1391" s="71" t="s">
        <v>1946</v>
      </c>
      <c r="M1391" s="71"/>
      <c r="N1391" s="72">
        <v>38897</v>
      </c>
      <c r="O1391" s="72">
        <v>39126</v>
      </c>
      <c r="P1391" s="71"/>
      <c r="Q1391" s="71" t="b">
        <v>0</v>
      </c>
      <c r="R1391" s="22">
        <f t="shared" si="21"/>
        <v>312</v>
      </c>
    </row>
    <row r="1392" spans="1:18">
      <c r="A1392" s="71">
        <v>8490</v>
      </c>
      <c r="B1392" s="72">
        <v>38807</v>
      </c>
      <c r="C1392" s="71" t="s">
        <v>11683</v>
      </c>
      <c r="D1392" s="72">
        <v>38806</v>
      </c>
      <c r="E1392" s="71" t="s">
        <v>11684</v>
      </c>
      <c r="F1392" s="71" t="s">
        <v>11069</v>
      </c>
      <c r="G1392" s="71" t="s">
        <v>20</v>
      </c>
      <c r="H1392" s="71" t="s">
        <v>71</v>
      </c>
      <c r="I1392" s="71" t="s">
        <v>72</v>
      </c>
      <c r="J1392" s="71" t="s">
        <v>11685</v>
      </c>
      <c r="K1392" s="71" t="s">
        <v>4690</v>
      </c>
      <c r="L1392" s="71" t="s">
        <v>4579</v>
      </c>
      <c r="M1392" s="71" t="s">
        <v>11686</v>
      </c>
      <c r="N1392" s="72">
        <v>38898</v>
      </c>
      <c r="O1392" s="72">
        <v>39518</v>
      </c>
      <c r="P1392" s="71"/>
      <c r="Q1392" s="71" t="b">
        <v>0</v>
      </c>
      <c r="R1392" s="22">
        <f t="shared" si="21"/>
        <v>710</v>
      </c>
    </row>
    <row r="1393" spans="1:18">
      <c r="A1393" s="71">
        <v>8497</v>
      </c>
      <c r="B1393" s="72">
        <v>38824</v>
      </c>
      <c r="C1393" s="71" t="s">
        <v>11703</v>
      </c>
      <c r="D1393" s="72">
        <v>38824</v>
      </c>
      <c r="E1393" s="71" t="s">
        <v>11704</v>
      </c>
      <c r="F1393" s="71" t="s">
        <v>5690</v>
      </c>
      <c r="G1393" s="71" t="s">
        <v>20</v>
      </c>
      <c r="H1393" s="71" t="s">
        <v>71</v>
      </c>
      <c r="I1393" s="71" t="s">
        <v>72</v>
      </c>
      <c r="J1393" s="71" t="s">
        <v>11705</v>
      </c>
      <c r="K1393" s="71" t="s">
        <v>10793</v>
      </c>
      <c r="L1393" s="71" t="s">
        <v>8318</v>
      </c>
      <c r="M1393" s="71"/>
      <c r="N1393" s="72">
        <v>39007</v>
      </c>
      <c r="O1393" s="72">
        <v>38840</v>
      </c>
      <c r="P1393" s="71"/>
      <c r="Q1393" s="71" t="b">
        <v>0</v>
      </c>
      <c r="R1393" s="22">
        <f t="shared" si="21"/>
        <v>16</v>
      </c>
    </row>
    <row r="1394" spans="1:18">
      <c r="A1394" s="71">
        <v>8498</v>
      </c>
      <c r="B1394" s="72">
        <v>38824</v>
      </c>
      <c r="C1394" s="71" t="s">
        <v>11706</v>
      </c>
      <c r="D1394" s="72">
        <v>38818</v>
      </c>
      <c r="E1394" s="71" t="s">
        <v>11707</v>
      </c>
      <c r="F1394" s="71" t="s">
        <v>984</v>
      </c>
      <c r="G1394" s="71" t="s">
        <v>20</v>
      </c>
      <c r="H1394" s="71" t="s">
        <v>71</v>
      </c>
      <c r="I1394" s="71" t="s">
        <v>72</v>
      </c>
      <c r="J1394" s="71" t="s">
        <v>11708</v>
      </c>
      <c r="K1394" s="71" t="s">
        <v>7025</v>
      </c>
      <c r="L1394" s="71" t="s">
        <v>4282</v>
      </c>
      <c r="M1394" s="71"/>
      <c r="N1394" s="72">
        <v>38915</v>
      </c>
      <c r="O1394" s="72">
        <v>38912</v>
      </c>
      <c r="P1394" s="71"/>
      <c r="Q1394" s="71" t="b">
        <v>0</v>
      </c>
      <c r="R1394" s="22">
        <f t="shared" si="21"/>
        <v>88</v>
      </c>
    </row>
    <row r="1395" spans="1:18">
      <c r="A1395" s="71">
        <v>8499</v>
      </c>
      <c r="B1395" s="72">
        <v>38824</v>
      </c>
      <c r="C1395" s="71" t="s">
        <v>11709</v>
      </c>
      <c r="D1395" s="72">
        <v>38818</v>
      </c>
      <c r="E1395" s="71" t="s">
        <v>11710</v>
      </c>
      <c r="F1395" s="71" t="s">
        <v>10394</v>
      </c>
      <c r="G1395" s="71" t="s">
        <v>20</v>
      </c>
      <c r="H1395" s="71" t="s">
        <v>212</v>
      </c>
      <c r="I1395" s="71" t="s">
        <v>212</v>
      </c>
      <c r="J1395" s="71" t="s">
        <v>11711</v>
      </c>
      <c r="K1395" s="73">
        <v>38793</v>
      </c>
      <c r="L1395" s="71" t="s">
        <v>10871</v>
      </c>
      <c r="M1395" s="71" t="s">
        <v>2205</v>
      </c>
      <c r="N1395" s="72">
        <v>38915</v>
      </c>
      <c r="O1395" s="72">
        <v>39015</v>
      </c>
      <c r="P1395" s="71"/>
      <c r="Q1395" s="71" t="b">
        <v>0</v>
      </c>
      <c r="R1395" s="22">
        <f t="shared" si="21"/>
        <v>190</v>
      </c>
    </row>
    <row r="1396" spans="1:18">
      <c r="A1396" s="71">
        <v>8500</v>
      </c>
      <c r="B1396" s="72">
        <v>38826</v>
      </c>
      <c r="C1396" s="71" t="s">
        <v>11713</v>
      </c>
      <c r="D1396" s="72">
        <v>38800</v>
      </c>
      <c r="E1396" s="71" t="s">
        <v>11714</v>
      </c>
      <c r="F1396" s="71" t="s">
        <v>104</v>
      </c>
      <c r="G1396" s="71" t="s">
        <v>20</v>
      </c>
      <c r="H1396" s="71" t="s">
        <v>71</v>
      </c>
      <c r="I1396" s="71" t="s">
        <v>72</v>
      </c>
      <c r="J1396" s="71" t="s">
        <v>11715</v>
      </c>
      <c r="K1396" s="71"/>
      <c r="L1396" s="71" t="s">
        <v>8318</v>
      </c>
      <c r="M1396" s="71"/>
      <c r="N1396" s="72">
        <v>38800</v>
      </c>
      <c r="O1396" s="72">
        <v>38800</v>
      </c>
      <c r="P1396" s="71"/>
      <c r="Q1396" s="71" t="b">
        <v>0</v>
      </c>
      <c r="R1396" s="22">
        <f t="shared" si="21"/>
        <v>25</v>
      </c>
    </row>
    <row r="1397" spans="1:18">
      <c r="A1397" s="71">
        <v>8501</v>
      </c>
      <c r="B1397" s="72">
        <v>38827</v>
      </c>
      <c r="C1397" s="71" t="s">
        <v>11716</v>
      </c>
      <c r="D1397" s="72">
        <v>38826</v>
      </c>
      <c r="E1397" s="71" t="s">
        <v>11717</v>
      </c>
      <c r="F1397" s="71" t="s">
        <v>5690</v>
      </c>
      <c r="G1397" s="71" t="s">
        <v>20</v>
      </c>
      <c r="H1397" s="71" t="s">
        <v>71</v>
      </c>
      <c r="I1397" s="71" t="s">
        <v>72</v>
      </c>
      <c r="J1397" s="71" t="s">
        <v>11718</v>
      </c>
      <c r="K1397" s="71"/>
      <c r="L1397" s="71" t="s">
        <v>8318</v>
      </c>
      <c r="M1397" s="71"/>
      <c r="N1397" s="72">
        <v>38834</v>
      </c>
      <c r="O1397" s="72">
        <v>38834</v>
      </c>
      <c r="P1397" s="71"/>
      <c r="Q1397" s="71" t="b">
        <v>0</v>
      </c>
      <c r="R1397" s="22">
        <f t="shared" si="21"/>
        <v>7</v>
      </c>
    </row>
    <row r="1398" spans="1:18">
      <c r="A1398" s="71">
        <v>8502</v>
      </c>
      <c r="B1398" s="72">
        <v>38827</v>
      </c>
      <c r="C1398" s="71" t="s">
        <v>11719</v>
      </c>
      <c r="D1398" s="72">
        <v>38827</v>
      </c>
      <c r="E1398" s="71" t="s">
        <v>11720</v>
      </c>
      <c r="F1398" s="71" t="s">
        <v>6456</v>
      </c>
      <c r="G1398" s="71" t="s">
        <v>20</v>
      </c>
      <c r="H1398" s="71" t="s">
        <v>189</v>
      </c>
      <c r="I1398" s="71" t="s">
        <v>189</v>
      </c>
      <c r="J1398" s="71" t="s">
        <v>19873</v>
      </c>
      <c r="K1398" s="71" t="s">
        <v>20650</v>
      </c>
      <c r="L1398" s="71" t="s">
        <v>4579</v>
      </c>
      <c r="M1398" s="71"/>
      <c r="N1398" s="72">
        <v>38918</v>
      </c>
      <c r="O1398" s="72">
        <v>38827</v>
      </c>
      <c r="P1398" s="71"/>
      <c r="Q1398" s="71" t="b">
        <v>0</v>
      </c>
      <c r="R1398" s="22">
        <f t="shared" si="21"/>
        <v>0</v>
      </c>
    </row>
    <row r="1399" spans="1:18">
      <c r="A1399" s="71">
        <v>8503</v>
      </c>
      <c r="B1399" s="72">
        <v>38832</v>
      </c>
      <c r="C1399" s="71" t="s">
        <v>11723</v>
      </c>
      <c r="D1399" s="72">
        <v>38832</v>
      </c>
      <c r="E1399" s="71" t="s">
        <v>11724</v>
      </c>
      <c r="F1399" s="71" t="s">
        <v>149</v>
      </c>
      <c r="G1399" s="71" t="s">
        <v>20</v>
      </c>
      <c r="H1399" s="71" t="s">
        <v>71</v>
      </c>
      <c r="I1399" s="71" t="s">
        <v>72</v>
      </c>
      <c r="J1399" s="71" t="s">
        <v>11725</v>
      </c>
      <c r="K1399" s="71" t="s">
        <v>11726</v>
      </c>
      <c r="L1399" s="71" t="s">
        <v>1946</v>
      </c>
      <c r="M1399" s="71"/>
      <c r="N1399" s="72">
        <v>38923</v>
      </c>
      <c r="O1399" s="72">
        <v>38953</v>
      </c>
      <c r="P1399" s="71"/>
      <c r="Q1399" s="71" t="b">
        <v>0</v>
      </c>
      <c r="R1399" s="22">
        <f t="shared" si="21"/>
        <v>120</v>
      </c>
    </row>
    <row r="1400" spans="1:18">
      <c r="A1400" s="71">
        <v>8504</v>
      </c>
      <c r="B1400" s="72">
        <v>38835</v>
      </c>
      <c r="C1400" s="71" t="s">
        <v>11727</v>
      </c>
      <c r="D1400" s="72">
        <v>38834</v>
      </c>
      <c r="E1400" s="71" t="s">
        <v>11728</v>
      </c>
      <c r="F1400" s="71" t="s">
        <v>974</v>
      </c>
      <c r="G1400" s="71" t="s">
        <v>20</v>
      </c>
      <c r="H1400" s="71" t="s">
        <v>212</v>
      </c>
      <c r="I1400" s="71" t="s">
        <v>212</v>
      </c>
      <c r="J1400" s="71" t="s">
        <v>11729</v>
      </c>
      <c r="K1400" s="71"/>
      <c r="L1400" s="71" t="s">
        <v>1946</v>
      </c>
      <c r="M1400" s="71"/>
      <c r="N1400" s="72">
        <v>38926</v>
      </c>
      <c r="O1400" s="72">
        <v>40730</v>
      </c>
      <c r="P1400" s="71"/>
      <c r="Q1400" s="71" t="b">
        <v>0</v>
      </c>
      <c r="R1400" s="22">
        <f t="shared" si="21"/>
        <v>1893</v>
      </c>
    </row>
    <row r="1401" spans="1:18">
      <c r="A1401" s="71">
        <v>8505</v>
      </c>
      <c r="B1401" s="72">
        <v>38835</v>
      </c>
      <c r="C1401" s="71" t="s">
        <v>11730</v>
      </c>
      <c r="D1401" s="72">
        <v>38832</v>
      </c>
      <c r="E1401" s="71" t="s">
        <v>11731</v>
      </c>
      <c r="F1401" s="71" t="s">
        <v>104</v>
      </c>
      <c r="G1401" s="71" t="s">
        <v>20</v>
      </c>
      <c r="H1401" s="71" t="s">
        <v>71</v>
      </c>
      <c r="I1401" s="71" t="s">
        <v>72</v>
      </c>
      <c r="J1401" s="71" t="s">
        <v>2469</v>
      </c>
      <c r="K1401" s="71" t="s">
        <v>11732</v>
      </c>
      <c r="L1401" s="71" t="s">
        <v>4579</v>
      </c>
      <c r="M1401" s="71"/>
      <c r="N1401" s="72">
        <v>38925</v>
      </c>
      <c r="O1401" s="72">
        <v>39007</v>
      </c>
      <c r="P1401" s="71"/>
      <c r="Q1401" s="71" t="b">
        <v>0</v>
      </c>
      <c r="R1401" s="22">
        <f t="shared" si="21"/>
        <v>171</v>
      </c>
    </row>
    <row r="1402" spans="1:18">
      <c r="A1402" s="71">
        <v>8510</v>
      </c>
      <c r="B1402" s="72">
        <v>38840</v>
      </c>
      <c r="C1402" s="71" t="s">
        <v>11742</v>
      </c>
      <c r="D1402" s="72">
        <v>38840</v>
      </c>
      <c r="E1402" s="71" t="s">
        <v>11743</v>
      </c>
      <c r="F1402" s="71" t="s">
        <v>7241</v>
      </c>
      <c r="G1402" s="71" t="s">
        <v>20</v>
      </c>
      <c r="H1402" s="71" t="s">
        <v>71</v>
      </c>
      <c r="I1402" s="71" t="s">
        <v>72</v>
      </c>
      <c r="J1402" s="71" t="s">
        <v>11744</v>
      </c>
      <c r="K1402" s="71" t="s">
        <v>11745</v>
      </c>
      <c r="L1402" s="71" t="s">
        <v>4282</v>
      </c>
      <c r="M1402" s="71"/>
      <c r="N1402" s="72">
        <v>38932</v>
      </c>
      <c r="O1402" s="72">
        <v>40673</v>
      </c>
      <c r="P1402" s="71">
        <v>-1</v>
      </c>
      <c r="Q1402" s="71" t="b">
        <v>0</v>
      </c>
      <c r="R1402" s="22">
        <f t="shared" si="21"/>
        <v>1832</v>
      </c>
    </row>
    <row r="1403" spans="1:18">
      <c r="A1403" s="71">
        <v>8512</v>
      </c>
      <c r="B1403" s="72">
        <v>38847</v>
      </c>
      <c r="C1403" s="71" t="s">
        <v>11750</v>
      </c>
      <c r="D1403" s="72">
        <v>38845</v>
      </c>
      <c r="E1403" s="71" t="s">
        <v>11751</v>
      </c>
      <c r="F1403" s="71" t="s">
        <v>11752</v>
      </c>
      <c r="G1403" s="71" t="s">
        <v>20</v>
      </c>
      <c r="H1403" s="71" t="s">
        <v>71</v>
      </c>
      <c r="I1403" s="71" t="s">
        <v>72</v>
      </c>
      <c r="J1403" s="71" t="s">
        <v>11753</v>
      </c>
      <c r="K1403" s="71" t="s">
        <v>11754</v>
      </c>
      <c r="L1403" s="71" t="s">
        <v>4579</v>
      </c>
      <c r="M1403" s="71"/>
      <c r="N1403" s="72">
        <v>38939</v>
      </c>
      <c r="O1403" s="72">
        <v>38994</v>
      </c>
      <c r="P1403" s="71"/>
      <c r="Q1403" s="71" t="b">
        <v>1</v>
      </c>
      <c r="R1403" s="22">
        <f t="shared" si="21"/>
        <v>146</v>
      </c>
    </row>
    <row r="1404" spans="1:18">
      <c r="A1404" s="71">
        <v>8513</v>
      </c>
      <c r="B1404" s="72">
        <v>38852</v>
      </c>
      <c r="C1404" s="71" t="s">
        <v>11750</v>
      </c>
      <c r="D1404" s="72">
        <v>38848</v>
      </c>
      <c r="E1404" s="71" t="s">
        <v>11755</v>
      </c>
      <c r="F1404" s="71" t="s">
        <v>11069</v>
      </c>
      <c r="G1404" s="71" t="s">
        <v>20</v>
      </c>
      <c r="H1404" s="71" t="s">
        <v>71</v>
      </c>
      <c r="I1404" s="71" t="s">
        <v>72</v>
      </c>
      <c r="J1404" s="71" t="s">
        <v>11756</v>
      </c>
      <c r="K1404" s="71" t="s">
        <v>11757</v>
      </c>
      <c r="L1404" s="71" t="s">
        <v>4579</v>
      </c>
      <c r="M1404" s="71"/>
      <c r="N1404" s="72">
        <v>38941</v>
      </c>
      <c r="O1404" s="72">
        <v>38922</v>
      </c>
      <c r="P1404" s="71"/>
      <c r="Q1404" s="71" t="b">
        <v>1</v>
      </c>
      <c r="R1404" s="22">
        <f t="shared" si="21"/>
        <v>69</v>
      </c>
    </row>
    <row r="1405" spans="1:18">
      <c r="A1405" s="71">
        <v>8515</v>
      </c>
      <c r="B1405" s="72">
        <v>38855</v>
      </c>
      <c r="C1405" s="71" t="s">
        <v>11763</v>
      </c>
      <c r="D1405" s="72">
        <v>38852</v>
      </c>
      <c r="E1405" s="71" t="s">
        <v>11764</v>
      </c>
      <c r="F1405" s="71" t="s">
        <v>861</v>
      </c>
      <c r="G1405" s="71" t="s">
        <v>20</v>
      </c>
      <c r="H1405" s="71" t="s">
        <v>6501</v>
      </c>
      <c r="I1405" s="71" t="s">
        <v>566</v>
      </c>
      <c r="J1405" s="71" t="s">
        <v>5243</v>
      </c>
      <c r="K1405" s="71" t="s">
        <v>11765</v>
      </c>
      <c r="L1405" s="71" t="s">
        <v>10871</v>
      </c>
      <c r="M1405" s="71"/>
      <c r="N1405" s="72">
        <v>38944</v>
      </c>
      <c r="O1405" s="72">
        <v>38873</v>
      </c>
      <c r="P1405" s="71">
        <v>-1</v>
      </c>
      <c r="Q1405" s="71" t="b">
        <v>1</v>
      </c>
      <c r="R1405" s="22">
        <f t="shared" si="21"/>
        <v>17</v>
      </c>
    </row>
    <row r="1406" spans="1:18">
      <c r="A1406" s="71">
        <v>8516</v>
      </c>
      <c r="B1406" s="72">
        <v>38855</v>
      </c>
      <c r="C1406" s="71" t="s">
        <v>11766</v>
      </c>
      <c r="D1406" s="72">
        <v>38852</v>
      </c>
      <c r="E1406" s="71" t="s">
        <v>11767</v>
      </c>
      <c r="F1406" s="71" t="s">
        <v>56</v>
      </c>
      <c r="G1406" s="71" t="s">
        <v>20</v>
      </c>
      <c r="H1406" s="71" t="s">
        <v>71</v>
      </c>
      <c r="I1406" s="71" t="s">
        <v>72</v>
      </c>
      <c r="J1406" s="71" t="s">
        <v>11768</v>
      </c>
      <c r="K1406" s="71" t="s">
        <v>11769</v>
      </c>
      <c r="L1406" s="71" t="s">
        <v>7167</v>
      </c>
      <c r="M1406" s="71" t="s">
        <v>11770</v>
      </c>
      <c r="N1406" s="72">
        <v>38944</v>
      </c>
      <c r="O1406" s="72">
        <v>40996</v>
      </c>
      <c r="P1406" s="71">
        <v>-1</v>
      </c>
      <c r="Q1406" s="71" t="b">
        <v>1</v>
      </c>
      <c r="R1406" s="22">
        <f t="shared" si="21"/>
        <v>2139</v>
      </c>
    </row>
    <row r="1407" spans="1:18">
      <c r="A1407" s="71">
        <v>8517</v>
      </c>
      <c r="B1407" s="72">
        <v>38855</v>
      </c>
      <c r="C1407" s="71" t="s">
        <v>11771</v>
      </c>
      <c r="D1407" s="72">
        <v>38852</v>
      </c>
      <c r="E1407" s="71" t="s">
        <v>11772</v>
      </c>
      <c r="F1407" s="71" t="s">
        <v>10394</v>
      </c>
      <c r="G1407" s="71" t="s">
        <v>20</v>
      </c>
      <c r="H1407" s="71" t="s">
        <v>212</v>
      </c>
      <c r="I1407" s="71" t="s">
        <v>212</v>
      </c>
      <c r="J1407" s="71" t="s">
        <v>11773</v>
      </c>
      <c r="K1407" s="71" t="s">
        <v>11774</v>
      </c>
      <c r="L1407" s="71" t="s">
        <v>4579</v>
      </c>
      <c r="M1407" s="71" t="s">
        <v>1946</v>
      </c>
      <c r="N1407" s="72">
        <v>38944</v>
      </c>
      <c r="O1407" s="72">
        <v>39282</v>
      </c>
      <c r="P1407" s="71"/>
      <c r="Q1407" s="71" t="b">
        <v>0</v>
      </c>
      <c r="R1407" s="22">
        <f t="shared" si="21"/>
        <v>426</v>
      </c>
    </row>
    <row r="1408" spans="1:18">
      <c r="A1408" s="71">
        <v>8518</v>
      </c>
      <c r="B1408" s="72">
        <v>38859</v>
      </c>
      <c r="C1408" s="71" t="s">
        <v>11775</v>
      </c>
      <c r="D1408" s="72">
        <v>38855</v>
      </c>
      <c r="E1408" s="71" t="s">
        <v>11776</v>
      </c>
      <c r="F1408" s="71" t="s">
        <v>3171</v>
      </c>
      <c r="G1408" s="71" t="s">
        <v>20</v>
      </c>
      <c r="H1408" s="71" t="s">
        <v>566</v>
      </c>
      <c r="I1408" s="71" t="s">
        <v>566</v>
      </c>
      <c r="J1408" s="71" t="s">
        <v>11777</v>
      </c>
      <c r="K1408" s="71" t="s">
        <v>11778</v>
      </c>
      <c r="L1408" s="71" t="s">
        <v>8318</v>
      </c>
      <c r="M1408" s="71"/>
      <c r="N1408" s="72">
        <v>38947</v>
      </c>
      <c r="O1408" s="72">
        <v>38876</v>
      </c>
      <c r="P1408" s="71"/>
      <c r="Q1408" s="71" t="b">
        <v>1</v>
      </c>
      <c r="R1408" s="22">
        <f t="shared" si="21"/>
        <v>16</v>
      </c>
    </row>
    <row r="1409" spans="1:18">
      <c r="A1409" s="71">
        <v>8520</v>
      </c>
      <c r="B1409" s="72">
        <v>38859</v>
      </c>
      <c r="C1409" s="71" t="s">
        <v>11783</v>
      </c>
      <c r="D1409" s="72">
        <v>38856</v>
      </c>
      <c r="E1409" s="71" t="s">
        <v>11784</v>
      </c>
      <c r="F1409" s="71" t="s">
        <v>211</v>
      </c>
      <c r="G1409" s="71" t="s">
        <v>20</v>
      </c>
      <c r="H1409" s="71" t="s">
        <v>212</v>
      </c>
      <c r="I1409" s="71" t="s">
        <v>212</v>
      </c>
      <c r="J1409" s="71" t="s">
        <v>7318</v>
      </c>
      <c r="K1409" s="71" t="s">
        <v>11785</v>
      </c>
      <c r="L1409" s="71" t="s">
        <v>1946</v>
      </c>
      <c r="M1409" s="71"/>
      <c r="N1409" s="72">
        <v>38948</v>
      </c>
      <c r="O1409" s="72">
        <v>40631</v>
      </c>
      <c r="P1409" s="71"/>
      <c r="Q1409" s="71" t="b">
        <v>1</v>
      </c>
      <c r="R1409" s="22">
        <f t="shared" si="21"/>
        <v>1771</v>
      </c>
    </row>
    <row r="1410" spans="1:18">
      <c r="A1410" s="71">
        <v>8521</v>
      </c>
      <c r="B1410" s="72">
        <v>38856</v>
      </c>
      <c r="C1410" s="71" t="s">
        <v>11786</v>
      </c>
      <c r="D1410" s="72">
        <v>38856</v>
      </c>
      <c r="E1410" s="71" t="s">
        <v>11787</v>
      </c>
      <c r="F1410" s="71" t="s">
        <v>3430</v>
      </c>
      <c r="G1410" s="71" t="s">
        <v>20</v>
      </c>
      <c r="H1410" s="71" t="s">
        <v>71</v>
      </c>
      <c r="I1410" s="71" t="s">
        <v>72</v>
      </c>
      <c r="J1410" s="71" t="s">
        <v>11788</v>
      </c>
      <c r="K1410" s="71" t="s">
        <v>11789</v>
      </c>
      <c r="L1410" s="71" t="s">
        <v>8318</v>
      </c>
      <c r="M1410" s="71"/>
      <c r="N1410" s="72">
        <v>38948</v>
      </c>
      <c r="O1410" s="72">
        <v>39258</v>
      </c>
      <c r="P1410" s="71"/>
      <c r="Q1410" s="71" t="b">
        <v>0</v>
      </c>
      <c r="R1410" s="22">
        <f t="shared" ref="R1410:R1473" si="22">IF(O1410=" ", " ", INT(YEARFRAC(O1410, B1410)*365))</f>
        <v>401</v>
      </c>
    </row>
    <row r="1411" spans="1:18">
      <c r="A1411" s="71">
        <v>8522</v>
      </c>
      <c r="B1411" s="72">
        <v>38859</v>
      </c>
      <c r="C1411" s="71" t="s">
        <v>11790</v>
      </c>
      <c r="D1411" s="72">
        <v>38859</v>
      </c>
      <c r="E1411" s="71" t="s">
        <v>11791</v>
      </c>
      <c r="F1411" s="71" t="s">
        <v>7961</v>
      </c>
      <c r="G1411" s="71" t="s">
        <v>20</v>
      </c>
      <c r="H1411" s="71" t="s">
        <v>189</v>
      </c>
      <c r="I1411" s="71" t="s">
        <v>189</v>
      </c>
      <c r="J1411" s="71" t="s">
        <v>11792</v>
      </c>
      <c r="K1411" s="71"/>
      <c r="L1411" s="71" t="s">
        <v>10871</v>
      </c>
      <c r="M1411" s="71"/>
      <c r="N1411" s="72">
        <v>38951</v>
      </c>
      <c r="O1411" s="72">
        <v>38897</v>
      </c>
      <c r="P1411" s="71"/>
      <c r="Q1411" s="71" t="b">
        <v>1</v>
      </c>
      <c r="R1411" s="22">
        <f t="shared" si="22"/>
        <v>37</v>
      </c>
    </row>
    <row r="1412" spans="1:18">
      <c r="A1412" s="71">
        <v>8531</v>
      </c>
      <c r="B1412" s="72">
        <v>38890</v>
      </c>
      <c r="C1412" s="71" t="s">
        <v>11816</v>
      </c>
      <c r="D1412" s="72">
        <v>38890</v>
      </c>
      <c r="E1412" s="71" t="s">
        <v>11817</v>
      </c>
      <c r="F1412" s="71" t="s">
        <v>5690</v>
      </c>
      <c r="G1412" s="71" t="s">
        <v>20</v>
      </c>
      <c r="H1412" s="71" t="s">
        <v>71</v>
      </c>
      <c r="I1412" s="71" t="s">
        <v>72</v>
      </c>
      <c r="J1412" s="71" t="s">
        <v>11818</v>
      </c>
      <c r="K1412" s="71"/>
      <c r="L1412" s="71" t="s">
        <v>8318</v>
      </c>
      <c r="M1412" s="71"/>
      <c r="N1412" s="72">
        <v>38982</v>
      </c>
      <c r="O1412" s="72">
        <v>38925</v>
      </c>
      <c r="P1412" s="71"/>
      <c r="Q1412" s="71" t="b">
        <v>0</v>
      </c>
      <c r="R1412" s="22">
        <f t="shared" si="22"/>
        <v>35</v>
      </c>
    </row>
    <row r="1413" spans="1:18">
      <c r="A1413" s="71">
        <v>8532</v>
      </c>
      <c r="B1413" s="72">
        <v>38894</v>
      </c>
      <c r="C1413" s="71" t="s">
        <v>11819</v>
      </c>
      <c r="D1413" s="72">
        <v>38891</v>
      </c>
      <c r="E1413" s="71" t="s">
        <v>11820</v>
      </c>
      <c r="F1413" s="71" t="s">
        <v>8522</v>
      </c>
      <c r="G1413" s="71" t="s">
        <v>20</v>
      </c>
      <c r="H1413" s="71" t="s">
        <v>189</v>
      </c>
      <c r="I1413" s="71" t="s">
        <v>189</v>
      </c>
      <c r="J1413" s="71" t="s">
        <v>4690</v>
      </c>
      <c r="K1413" s="71" t="s">
        <v>11513</v>
      </c>
      <c r="L1413" s="71" t="s">
        <v>4282</v>
      </c>
      <c r="M1413" s="71"/>
      <c r="N1413" s="72">
        <v>38983</v>
      </c>
      <c r="O1413" s="72">
        <v>39217</v>
      </c>
      <c r="P1413" s="71"/>
      <c r="Q1413" s="71" t="b">
        <v>1</v>
      </c>
      <c r="R1413" s="22">
        <f t="shared" si="22"/>
        <v>323</v>
      </c>
    </row>
    <row r="1414" spans="1:18">
      <c r="A1414" s="71">
        <v>8533</v>
      </c>
      <c r="B1414" s="72">
        <v>38897</v>
      </c>
      <c r="C1414" s="71" t="s">
        <v>11821</v>
      </c>
      <c r="D1414" s="72">
        <v>38856</v>
      </c>
      <c r="E1414" s="71" t="s">
        <v>11822</v>
      </c>
      <c r="F1414" s="71" t="s">
        <v>70</v>
      </c>
      <c r="G1414" s="71" t="s">
        <v>20</v>
      </c>
      <c r="H1414" s="71" t="s">
        <v>71</v>
      </c>
      <c r="I1414" s="71" t="s">
        <v>72</v>
      </c>
      <c r="J1414" s="71" t="s">
        <v>11781</v>
      </c>
      <c r="K1414" s="71" t="s">
        <v>11782</v>
      </c>
      <c r="L1414" s="71" t="s">
        <v>10871</v>
      </c>
      <c r="M1414" s="71"/>
      <c r="N1414" s="72">
        <v>38887</v>
      </c>
      <c r="O1414" s="72">
        <v>38911</v>
      </c>
      <c r="P1414" s="71"/>
      <c r="Q1414" s="71" t="b">
        <v>1</v>
      </c>
      <c r="R1414" s="22">
        <f t="shared" si="22"/>
        <v>14</v>
      </c>
    </row>
    <row r="1415" spans="1:18">
      <c r="A1415" s="71">
        <v>8534</v>
      </c>
      <c r="B1415" s="72">
        <v>38897</v>
      </c>
      <c r="C1415" s="71" t="s">
        <v>11823</v>
      </c>
      <c r="D1415" s="72">
        <v>38859</v>
      </c>
      <c r="E1415" s="71" t="s">
        <v>11824</v>
      </c>
      <c r="F1415" s="71" t="s">
        <v>7961</v>
      </c>
      <c r="G1415" s="71" t="s">
        <v>20</v>
      </c>
      <c r="H1415" s="71" t="s">
        <v>189</v>
      </c>
      <c r="I1415" s="71" t="s">
        <v>189</v>
      </c>
      <c r="J1415" s="71" t="s">
        <v>11792</v>
      </c>
      <c r="K1415" s="71"/>
      <c r="L1415" s="71" t="s">
        <v>10871</v>
      </c>
      <c r="M1415" s="71"/>
      <c r="N1415" s="72">
        <v>38951</v>
      </c>
      <c r="O1415" s="72">
        <v>39003</v>
      </c>
      <c r="P1415" s="71"/>
      <c r="Q1415" s="71" t="b">
        <v>1</v>
      </c>
      <c r="R1415" s="22">
        <f t="shared" si="22"/>
        <v>105</v>
      </c>
    </row>
    <row r="1416" spans="1:18">
      <c r="A1416" s="71">
        <v>8536</v>
      </c>
      <c r="B1416" s="72">
        <v>38898</v>
      </c>
      <c r="C1416" s="71" t="s">
        <v>11827</v>
      </c>
      <c r="D1416" s="72">
        <v>38891</v>
      </c>
      <c r="E1416" s="71" t="s">
        <v>11828</v>
      </c>
      <c r="F1416" s="71" t="s">
        <v>11829</v>
      </c>
      <c r="G1416" s="71" t="s">
        <v>20</v>
      </c>
      <c r="H1416" s="71" t="s">
        <v>566</v>
      </c>
      <c r="I1416" s="71" t="s">
        <v>566</v>
      </c>
      <c r="J1416" s="71" t="s">
        <v>11830</v>
      </c>
      <c r="K1416" s="71" t="s">
        <v>11831</v>
      </c>
      <c r="L1416" s="71" t="s">
        <v>4579</v>
      </c>
      <c r="M1416" s="71"/>
      <c r="N1416" s="72">
        <v>38990</v>
      </c>
      <c r="O1416" s="72">
        <v>39013</v>
      </c>
      <c r="P1416" s="71"/>
      <c r="Q1416" s="71" t="b">
        <v>1</v>
      </c>
      <c r="R1416" s="22">
        <f t="shared" si="22"/>
        <v>114</v>
      </c>
    </row>
    <row r="1417" spans="1:18">
      <c r="A1417" s="71">
        <v>8539</v>
      </c>
      <c r="B1417" s="72">
        <v>38903</v>
      </c>
      <c r="C1417" s="71" t="s">
        <v>11836</v>
      </c>
      <c r="D1417" s="72">
        <v>38903</v>
      </c>
      <c r="E1417" s="71" t="s">
        <v>11828</v>
      </c>
      <c r="F1417" s="71" t="s">
        <v>8522</v>
      </c>
      <c r="G1417" s="71" t="s">
        <v>20</v>
      </c>
      <c r="H1417" s="71" t="s">
        <v>189</v>
      </c>
      <c r="I1417" s="71" t="s">
        <v>189</v>
      </c>
      <c r="J1417" s="71" t="s">
        <v>11837</v>
      </c>
      <c r="K1417" s="71" t="s">
        <v>11513</v>
      </c>
      <c r="L1417" s="71" t="s">
        <v>4282</v>
      </c>
      <c r="M1417" s="71"/>
      <c r="N1417" s="72">
        <v>38995</v>
      </c>
      <c r="O1417" s="72">
        <v>39969</v>
      </c>
      <c r="P1417" s="71"/>
      <c r="Q1417" s="71" t="b">
        <v>1</v>
      </c>
      <c r="R1417" s="22">
        <f t="shared" si="22"/>
        <v>1064</v>
      </c>
    </row>
    <row r="1418" spans="1:18">
      <c r="A1418" s="71">
        <v>8548</v>
      </c>
      <c r="B1418" s="72">
        <v>38916</v>
      </c>
      <c r="C1418" s="71" t="s">
        <v>11863</v>
      </c>
      <c r="D1418" s="72">
        <v>38916</v>
      </c>
      <c r="E1418" s="71" t="s">
        <v>11864</v>
      </c>
      <c r="F1418" s="71" t="s">
        <v>10184</v>
      </c>
      <c r="G1418" s="71" t="s">
        <v>20</v>
      </c>
      <c r="H1418" s="71" t="s">
        <v>71</v>
      </c>
      <c r="I1418" s="71" t="s">
        <v>72</v>
      </c>
      <c r="J1418" s="71" t="s">
        <v>6331</v>
      </c>
      <c r="K1418" s="71" t="s">
        <v>11865</v>
      </c>
      <c r="L1418" s="71" t="s">
        <v>10871</v>
      </c>
      <c r="M1418" s="71"/>
      <c r="N1418" s="72">
        <v>38964</v>
      </c>
      <c r="O1418" s="72">
        <v>39077</v>
      </c>
      <c r="P1418" s="71">
        <v>-1</v>
      </c>
      <c r="Q1418" s="71" t="b">
        <v>1</v>
      </c>
      <c r="R1418" s="22">
        <f t="shared" si="22"/>
        <v>160</v>
      </c>
    </row>
    <row r="1419" spans="1:18">
      <c r="A1419" s="71">
        <v>8550</v>
      </c>
      <c r="B1419" s="72">
        <v>38917</v>
      </c>
      <c r="C1419" s="71" t="s">
        <v>11870</v>
      </c>
      <c r="D1419" s="72">
        <v>38784</v>
      </c>
      <c r="E1419" s="71" t="s">
        <v>11871</v>
      </c>
      <c r="F1419" s="71" t="s">
        <v>1232</v>
      </c>
      <c r="G1419" s="71" t="s">
        <v>20</v>
      </c>
      <c r="H1419" s="71" t="s">
        <v>189</v>
      </c>
      <c r="I1419" s="71" t="s">
        <v>189</v>
      </c>
      <c r="J1419" s="71" t="s">
        <v>11615</v>
      </c>
      <c r="K1419" s="71" t="s">
        <v>11616</v>
      </c>
      <c r="L1419" s="71" t="s">
        <v>4579</v>
      </c>
      <c r="M1419" s="71"/>
      <c r="N1419" s="72">
        <v>38876</v>
      </c>
      <c r="O1419" s="72">
        <v>38918</v>
      </c>
      <c r="P1419" s="71">
        <v>-1</v>
      </c>
      <c r="Q1419" s="71" t="b">
        <v>0</v>
      </c>
      <c r="R1419" s="22">
        <f t="shared" si="22"/>
        <v>1</v>
      </c>
    </row>
    <row r="1420" spans="1:18">
      <c r="A1420" s="71">
        <v>8553</v>
      </c>
      <c r="B1420" s="72">
        <v>38918</v>
      </c>
      <c r="C1420" s="71" t="s">
        <v>11876</v>
      </c>
      <c r="D1420" s="72">
        <v>38917</v>
      </c>
      <c r="E1420" s="71" t="s">
        <v>11877</v>
      </c>
      <c r="F1420" s="71" t="s">
        <v>124</v>
      </c>
      <c r="G1420" s="71" t="s">
        <v>20</v>
      </c>
      <c r="H1420" s="71" t="s">
        <v>71</v>
      </c>
      <c r="I1420" s="71" t="s">
        <v>72</v>
      </c>
      <c r="J1420" s="71" t="s">
        <v>11878</v>
      </c>
      <c r="K1420" s="71" t="s">
        <v>11879</v>
      </c>
      <c r="L1420" s="71" t="s">
        <v>4579</v>
      </c>
      <c r="M1420" s="71"/>
      <c r="N1420" s="72">
        <v>38949</v>
      </c>
      <c r="O1420" s="72">
        <v>39190</v>
      </c>
      <c r="P1420" s="71">
        <v>-1</v>
      </c>
      <c r="Q1420" s="71" t="b">
        <v>1</v>
      </c>
      <c r="R1420" s="22">
        <f t="shared" si="22"/>
        <v>271</v>
      </c>
    </row>
    <row r="1421" spans="1:18">
      <c r="A1421" s="71">
        <v>8554</v>
      </c>
      <c r="B1421" s="72">
        <v>38922</v>
      </c>
      <c r="C1421" s="71" t="s">
        <v>11880</v>
      </c>
      <c r="D1421" s="72">
        <v>38849</v>
      </c>
      <c r="E1421" s="71" t="s">
        <v>11881</v>
      </c>
      <c r="F1421" s="71" t="s">
        <v>11069</v>
      </c>
      <c r="G1421" s="71" t="s">
        <v>20</v>
      </c>
      <c r="H1421" s="71" t="s">
        <v>71</v>
      </c>
      <c r="I1421" s="71" t="s">
        <v>72</v>
      </c>
      <c r="J1421" s="71" t="s">
        <v>11756</v>
      </c>
      <c r="K1421" s="71" t="s">
        <v>11757</v>
      </c>
      <c r="L1421" s="71" t="s">
        <v>4579</v>
      </c>
      <c r="M1421" s="71"/>
      <c r="N1421" s="72">
        <v>38941</v>
      </c>
      <c r="O1421" s="72">
        <v>38924</v>
      </c>
      <c r="P1421" s="71"/>
      <c r="Q1421" s="71" t="b">
        <v>1</v>
      </c>
      <c r="R1421" s="22">
        <f t="shared" si="22"/>
        <v>2</v>
      </c>
    </row>
    <row r="1422" spans="1:18">
      <c r="A1422" s="71">
        <v>8555</v>
      </c>
      <c r="B1422" s="72">
        <v>38926</v>
      </c>
      <c r="C1422" s="71" t="s">
        <v>11882</v>
      </c>
      <c r="D1422" s="72">
        <v>38905</v>
      </c>
      <c r="E1422" s="71" t="s">
        <v>11883</v>
      </c>
      <c r="F1422" s="71" t="s">
        <v>345</v>
      </c>
      <c r="G1422" s="71" t="s">
        <v>20</v>
      </c>
      <c r="H1422" s="71" t="s">
        <v>71</v>
      </c>
      <c r="I1422" s="71" t="s">
        <v>72</v>
      </c>
      <c r="J1422" s="71" t="s">
        <v>11884</v>
      </c>
      <c r="K1422" s="71" t="s">
        <v>5686</v>
      </c>
      <c r="L1422" s="71" t="s">
        <v>3588</v>
      </c>
      <c r="M1422" s="71" t="s">
        <v>11885</v>
      </c>
      <c r="N1422" s="72">
        <v>39018</v>
      </c>
      <c r="O1422" s="72">
        <v>39693</v>
      </c>
      <c r="P1422" s="71"/>
      <c r="Q1422" s="71" t="b">
        <v>1</v>
      </c>
      <c r="R1422" s="22">
        <f t="shared" si="22"/>
        <v>764</v>
      </c>
    </row>
    <row r="1423" spans="1:18">
      <c r="A1423" s="71">
        <v>8561</v>
      </c>
      <c r="B1423" s="72">
        <v>38932</v>
      </c>
      <c r="C1423" s="71" t="s">
        <v>11903</v>
      </c>
      <c r="D1423" s="72">
        <v>38921</v>
      </c>
      <c r="E1423" s="71" t="s">
        <v>11904</v>
      </c>
      <c r="F1423" s="71" t="s">
        <v>1232</v>
      </c>
      <c r="G1423" s="71" t="s">
        <v>11905</v>
      </c>
      <c r="H1423" s="71" t="s">
        <v>189</v>
      </c>
      <c r="I1423" s="71" t="s">
        <v>189</v>
      </c>
      <c r="J1423" s="71" t="s">
        <v>11906</v>
      </c>
      <c r="K1423" s="71"/>
      <c r="L1423" s="71" t="s">
        <v>4579</v>
      </c>
      <c r="M1423" s="71"/>
      <c r="N1423" s="72">
        <v>39024</v>
      </c>
      <c r="O1423" s="72">
        <v>38954</v>
      </c>
      <c r="P1423" s="71"/>
      <c r="Q1423" s="71" t="b">
        <v>0</v>
      </c>
      <c r="R1423" s="22">
        <f t="shared" si="22"/>
        <v>22</v>
      </c>
    </row>
    <row r="1424" spans="1:18">
      <c r="A1424" s="71">
        <v>8562</v>
      </c>
      <c r="B1424" s="72">
        <v>38933</v>
      </c>
      <c r="C1424" s="71" t="s">
        <v>11907</v>
      </c>
      <c r="D1424" s="72">
        <v>38933</v>
      </c>
      <c r="E1424" s="71" t="s">
        <v>11908</v>
      </c>
      <c r="F1424" s="71" t="s">
        <v>10838</v>
      </c>
      <c r="G1424" s="71" t="s">
        <v>20</v>
      </c>
      <c r="H1424" s="71" t="s">
        <v>71</v>
      </c>
      <c r="I1424" s="71" t="s">
        <v>72</v>
      </c>
      <c r="J1424" s="71" t="s">
        <v>10249</v>
      </c>
      <c r="K1424" s="71" t="s">
        <v>11909</v>
      </c>
      <c r="L1424" s="71" t="s">
        <v>8318</v>
      </c>
      <c r="M1424" s="71"/>
      <c r="O1424" s="72">
        <v>38933</v>
      </c>
      <c r="P1424" s="71"/>
      <c r="Q1424" s="71" t="b">
        <v>1</v>
      </c>
      <c r="R1424" s="22">
        <f t="shared" si="22"/>
        <v>0</v>
      </c>
    </row>
    <row r="1425" spans="1:18">
      <c r="A1425" s="71">
        <v>8563</v>
      </c>
      <c r="B1425" s="72">
        <v>38938</v>
      </c>
      <c r="C1425" s="71" t="s">
        <v>11910</v>
      </c>
      <c r="D1425" s="72">
        <v>38932</v>
      </c>
      <c r="E1425" s="71" t="s">
        <v>11911</v>
      </c>
      <c r="F1425" s="71" t="s">
        <v>984</v>
      </c>
      <c r="G1425" s="71" t="s">
        <v>20</v>
      </c>
      <c r="H1425" s="71" t="s">
        <v>71</v>
      </c>
      <c r="I1425" s="71" t="s">
        <v>72</v>
      </c>
      <c r="J1425" s="71" t="s">
        <v>11912</v>
      </c>
      <c r="K1425" s="71"/>
      <c r="L1425" s="71" t="s">
        <v>1946</v>
      </c>
      <c r="M1425" s="71"/>
      <c r="N1425" s="72">
        <v>38985</v>
      </c>
      <c r="O1425" s="72">
        <v>40361</v>
      </c>
      <c r="P1425" s="71">
        <v>-1</v>
      </c>
      <c r="Q1425" s="71" t="b">
        <v>1</v>
      </c>
      <c r="R1425" s="22">
        <f t="shared" si="22"/>
        <v>1422</v>
      </c>
    </row>
    <row r="1426" spans="1:18">
      <c r="A1426" s="71">
        <v>8566</v>
      </c>
      <c r="B1426" s="72">
        <v>38940</v>
      </c>
      <c r="C1426" s="71" t="s">
        <v>11917</v>
      </c>
      <c r="D1426" s="72">
        <v>38940</v>
      </c>
      <c r="E1426" s="71" t="s">
        <v>11918</v>
      </c>
      <c r="F1426" s="71" t="s">
        <v>8358</v>
      </c>
      <c r="G1426" s="71" t="s">
        <v>20</v>
      </c>
      <c r="H1426" s="71" t="s">
        <v>71</v>
      </c>
      <c r="I1426" s="71" t="s">
        <v>72</v>
      </c>
      <c r="J1426" s="71" t="s">
        <v>11919</v>
      </c>
      <c r="K1426" s="71" t="s">
        <v>8828</v>
      </c>
      <c r="L1426" s="71" t="s">
        <v>4282</v>
      </c>
      <c r="M1426" s="71"/>
      <c r="N1426" s="72">
        <v>39032</v>
      </c>
      <c r="O1426" s="72">
        <v>39078</v>
      </c>
      <c r="P1426" s="71"/>
      <c r="Q1426" s="71" t="b">
        <v>0</v>
      </c>
      <c r="R1426" s="22">
        <f t="shared" si="22"/>
        <v>137</v>
      </c>
    </row>
    <row r="1427" spans="1:18">
      <c r="A1427" s="71">
        <v>8569</v>
      </c>
      <c r="B1427" s="72">
        <v>38946</v>
      </c>
      <c r="C1427" s="71" t="s">
        <v>11927</v>
      </c>
      <c r="D1427" s="72">
        <v>38838</v>
      </c>
      <c r="E1427" s="71" t="s">
        <v>11928</v>
      </c>
      <c r="F1427" s="71" t="s">
        <v>974</v>
      </c>
      <c r="G1427" s="71" t="s">
        <v>20</v>
      </c>
      <c r="H1427" s="71" t="s">
        <v>212</v>
      </c>
      <c r="I1427" s="71" t="s">
        <v>212</v>
      </c>
      <c r="J1427" s="71" t="s">
        <v>11729</v>
      </c>
      <c r="K1427" s="71" t="s">
        <v>11929</v>
      </c>
      <c r="L1427" s="71" t="s">
        <v>1946</v>
      </c>
      <c r="M1427" s="71"/>
      <c r="N1427" s="72">
        <v>38992</v>
      </c>
      <c r="O1427" s="72">
        <v>40731</v>
      </c>
      <c r="P1427" s="71">
        <v>-1</v>
      </c>
      <c r="Q1427" s="71" t="b">
        <v>1</v>
      </c>
      <c r="R1427" s="22">
        <f t="shared" si="22"/>
        <v>1784</v>
      </c>
    </row>
    <row r="1428" spans="1:18">
      <c r="A1428" s="71">
        <v>8574</v>
      </c>
      <c r="B1428" s="72">
        <v>38954</v>
      </c>
      <c r="C1428" s="71" t="s">
        <v>11943</v>
      </c>
      <c r="D1428" s="72">
        <v>38954</v>
      </c>
      <c r="E1428" s="71" t="s">
        <v>11944</v>
      </c>
      <c r="F1428" s="71" t="s">
        <v>1047</v>
      </c>
      <c r="G1428" s="71" t="s">
        <v>20</v>
      </c>
      <c r="H1428" s="71" t="s">
        <v>71</v>
      </c>
      <c r="I1428" s="71" t="s">
        <v>72</v>
      </c>
      <c r="J1428" s="71" t="s">
        <v>11945</v>
      </c>
      <c r="K1428" s="71" t="s">
        <v>10416</v>
      </c>
      <c r="L1428" s="71" t="s">
        <v>1946</v>
      </c>
      <c r="M1428" s="71"/>
      <c r="N1428" s="72">
        <v>39046</v>
      </c>
      <c r="O1428" s="72">
        <v>38974</v>
      </c>
      <c r="P1428" s="71"/>
      <c r="Q1428" s="71" t="b">
        <v>0</v>
      </c>
      <c r="R1428" s="22">
        <f t="shared" si="22"/>
        <v>19</v>
      </c>
    </row>
    <row r="1429" spans="1:18">
      <c r="A1429" s="71">
        <v>8575</v>
      </c>
      <c r="B1429" s="72">
        <v>38954</v>
      </c>
      <c r="C1429" s="71" t="s">
        <v>11946</v>
      </c>
      <c r="D1429" s="72">
        <v>38954</v>
      </c>
      <c r="E1429" s="71" t="s">
        <v>11947</v>
      </c>
      <c r="F1429" s="71" t="s">
        <v>11948</v>
      </c>
      <c r="G1429" s="71" t="s">
        <v>20</v>
      </c>
      <c r="H1429" s="71" t="s">
        <v>71</v>
      </c>
      <c r="I1429" s="71" t="s">
        <v>72</v>
      </c>
      <c r="J1429" s="71" t="s">
        <v>11949</v>
      </c>
      <c r="K1429" s="71" t="s">
        <v>7150</v>
      </c>
      <c r="L1429" s="71" t="s">
        <v>4579</v>
      </c>
      <c r="M1429" s="71"/>
      <c r="N1429" s="72">
        <v>39046</v>
      </c>
      <c r="O1429" s="72">
        <v>39827</v>
      </c>
      <c r="P1429" s="71"/>
      <c r="Q1429" s="71" t="b">
        <v>0</v>
      </c>
      <c r="R1429" s="22">
        <f t="shared" si="22"/>
        <v>870</v>
      </c>
    </row>
    <row r="1430" spans="1:18">
      <c r="A1430" s="71">
        <v>8580</v>
      </c>
      <c r="B1430" s="72">
        <v>38971</v>
      </c>
      <c r="C1430" s="71" t="s">
        <v>11960</v>
      </c>
      <c r="D1430" s="72">
        <v>38969</v>
      </c>
      <c r="E1430" s="71" t="s">
        <v>11961</v>
      </c>
      <c r="F1430" s="71" t="s">
        <v>5690</v>
      </c>
      <c r="G1430" s="71" t="s">
        <v>20</v>
      </c>
      <c r="H1430" s="71" t="s">
        <v>71</v>
      </c>
      <c r="I1430" s="71" t="s">
        <v>72</v>
      </c>
      <c r="J1430" s="71" t="s">
        <v>11962</v>
      </c>
      <c r="K1430" s="71" t="s">
        <v>11963</v>
      </c>
      <c r="L1430" s="71" t="s">
        <v>10871</v>
      </c>
      <c r="M1430" s="71"/>
      <c r="O1430" s="72">
        <v>38971</v>
      </c>
      <c r="P1430" s="71">
        <v>-1</v>
      </c>
      <c r="Q1430" s="71" t="b">
        <v>1</v>
      </c>
      <c r="R1430" s="22">
        <f t="shared" si="22"/>
        <v>0</v>
      </c>
    </row>
    <row r="1431" spans="1:18">
      <c r="A1431" s="71">
        <v>8583</v>
      </c>
      <c r="B1431" s="72">
        <v>38972</v>
      </c>
      <c r="C1431" s="71" t="s">
        <v>11968</v>
      </c>
      <c r="D1431" s="72">
        <v>38959</v>
      </c>
      <c r="E1431" s="71" t="s">
        <v>11969</v>
      </c>
      <c r="F1431" s="71" t="s">
        <v>56</v>
      </c>
      <c r="G1431" s="71" t="s">
        <v>20</v>
      </c>
      <c r="H1431" s="71" t="s">
        <v>71</v>
      </c>
      <c r="I1431" s="71" t="s">
        <v>72</v>
      </c>
      <c r="J1431" s="71" t="s">
        <v>11970</v>
      </c>
      <c r="K1431" s="71" t="s">
        <v>11971</v>
      </c>
      <c r="L1431" s="71" t="s">
        <v>3588</v>
      </c>
      <c r="M1431" s="71" t="s">
        <v>4282</v>
      </c>
      <c r="N1431" s="72">
        <v>39005</v>
      </c>
      <c r="O1431" s="72">
        <v>40956</v>
      </c>
      <c r="P1431" s="71">
        <v>-1</v>
      </c>
      <c r="Q1431" s="71" t="b">
        <v>1</v>
      </c>
      <c r="R1431" s="22">
        <f t="shared" si="22"/>
        <v>1982</v>
      </c>
    </row>
    <row r="1432" spans="1:18">
      <c r="A1432" s="71">
        <v>8584</v>
      </c>
      <c r="B1432" s="72">
        <v>38973</v>
      </c>
      <c r="C1432" s="71" t="s">
        <v>11972</v>
      </c>
      <c r="D1432" s="72">
        <v>38973</v>
      </c>
      <c r="E1432" s="71" t="s">
        <v>11973</v>
      </c>
      <c r="F1432" s="71" t="s">
        <v>6953</v>
      </c>
      <c r="G1432" s="71" t="s">
        <v>20</v>
      </c>
      <c r="H1432" s="71" t="s">
        <v>71</v>
      </c>
      <c r="I1432" s="71" t="s">
        <v>189</v>
      </c>
      <c r="J1432" s="71" t="s">
        <v>11974</v>
      </c>
      <c r="K1432" s="71" t="s">
        <v>4690</v>
      </c>
      <c r="L1432" s="71" t="s">
        <v>3588</v>
      </c>
      <c r="M1432" s="71" t="s">
        <v>11975</v>
      </c>
      <c r="N1432" s="72">
        <v>39018</v>
      </c>
      <c r="O1432" s="72">
        <v>39927</v>
      </c>
      <c r="P1432" s="71"/>
      <c r="Q1432" s="71" t="b">
        <v>0</v>
      </c>
      <c r="R1432" s="22">
        <f t="shared" si="22"/>
        <v>954</v>
      </c>
    </row>
    <row r="1433" spans="1:18">
      <c r="A1433" s="71">
        <v>8590</v>
      </c>
      <c r="B1433" s="72">
        <v>38980</v>
      </c>
      <c r="C1433" s="71" t="s">
        <v>11986</v>
      </c>
      <c r="D1433" s="72">
        <v>38978</v>
      </c>
      <c r="E1433" s="71" t="s">
        <v>11987</v>
      </c>
      <c r="F1433" s="71" t="s">
        <v>39</v>
      </c>
      <c r="G1433" s="71" t="s">
        <v>20</v>
      </c>
      <c r="H1433" s="71" t="s">
        <v>71</v>
      </c>
      <c r="I1433" s="71" t="s">
        <v>72</v>
      </c>
      <c r="J1433" s="71" t="s">
        <v>11576</v>
      </c>
      <c r="K1433" s="71" t="s">
        <v>11988</v>
      </c>
      <c r="L1433" s="71" t="s">
        <v>4579</v>
      </c>
      <c r="M1433" s="71"/>
      <c r="N1433" s="72">
        <v>39070</v>
      </c>
      <c r="O1433" s="72">
        <v>39098</v>
      </c>
      <c r="P1433" s="71"/>
      <c r="Q1433" s="71" t="b">
        <v>0</v>
      </c>
      <c r="R1433" s="22">
        <f t="shared" si="22"/>
        <v>117</v>
      </c>
    </row>
    <row r="1434" spans="1:18">
      <c r="A1434" s="71">
        <v>8594</v>
      </c>
      <c r="B1434" s="72">
        <v>38982</v>
      </c>
      <c r="C1434" s="71" t="s">
        <v>11998</v>
      </c>
      <c r="D1434" s="72">
        <v>38978</v>
      </c>
      <c r="E1434" s="71" t="s">
        <v>11999</v>
      </c>
      <c r="F1434" s="71" t="s">
        <v>6953</v>
      </c>
      <c r="G1434" s="71" t="s">
        <v>20</v>
      </c>
      <c r="H1434" s="71" t="s">
        <v>71</v>
      </c>
      <c r="I1434" s="71" t="s">
        <v>72</v>
      </c>
      <c r="J1434" s="71" t="s">
        <v>12000</v>
      </c>
      <c r="K1434" s="71" t="s">
        <v>12001</v>
      </c>
      <c r="L1434" s="71" t="s">
        <v>10871</v>
      </c>
      <c r="M1434" s="71"/>
      <c r="O1434" s="72">
        <v>38982</v>
      </c>
      <c r="P1434" s="71">
        <v>-1</v>
      </c>
      <c r="Q1434" s="71" t="b">
        <v>1</v>
      </c>
      <c r="R1434" s="22">
        <f t="shared" si="22"/>
        <v>0</v>
      </c>
    </row>
    <row r="1435" spans="1:18">
      <c r="A1435" s="71">
        <v>8595</v>
      </c>
      <c r="B1435" s="72">
        <v>38985</v>
      </c>
      <c r="C1435" s="71" t="s">
        <v>12002</v>
      </c>
      <c r="D1435" s="72">
        <v>38985</v>
      </c>
      <c r="E1435" s="71" t="s">
        <v>12003</v>
      </c>
      <c r="F1435" s="71" t="s">
        <v>39</v>
      </c>
      <c r="G1435" s="71" t="s">
        <v>11905</v>
      </c>
      <c r="H1435" s="71" t="s">
        <v>71</v>
      </c>
      <c r="I1435" s="71" t="s">
        <v>72</v>
      </c>
      <c r="J1435" s="71" t="s">
        <v>12004</v>
      </c>
      <c r="K1435" s="71" t="s">
        <v>11576</v>
      </c>
      <c r="L1435" s="71" t="s">
        <v>4579</v>
      </c>
      <c r="M1435" s="71"/>
      <c r="N1435" s="72">
        <v>39031</v>
      </c>
      <c r="O1435" s="72">
        <v>39126</v>
      </c>
      <c r="P1435" s="71">
        <v>-1</v>
      </c>
      <c r="Q1435" s="71" t="b">
        <v>1</v>
      </c>
      <c r="R1435" s="22">
        <f t="shared" si="22"/>
        <v>139</v>
      </c>
    </row>
    <row r="1436" spans="1:18">
      <c r="A1436" s="71">
        <v>8596</v>
      </c>
      <c r="B1436" s="72">
        <v>38987</v>
      </c>
      <c r="C1436" s="71" t="s">
        <v>12005</v>
      </c>
      <c r="D1436" s="72">
        <v>38987</v>
      </c>
      <c r="E1436" s="71" t="s">
        <v>12006</v>
      </c>
      <c r="F1436" s="71" t="s">
        <v>5690</v>
      </c>
      <c r="G1436" s="71" t="s">
        <v>20</v>
      </c>
      <c r="H1436" s="71" t="s">
        <v>71</v>
      </c>
      <c r="I1436" s="71" t="s">
        <v>72</v>
      </c>
      <c r="J1436" s="71" t="s">
        <v>12007</v>
      </c>
      <c r="K1436" s="71" t="s">
        <v>12008</v>
      </c>
      <c r="L1436" s="71" t="s">
        <v>8318</v>
      </c>
      <c r="M1436" s="71"/>
      <c r="N1436" s="72">
        <v>39078</v>
      </c>
      <c r="O1436" s="72">
        <v>38992</v>
      </c>
      <c r="P1436" s="71"/>
      <c r="Q1436" s="71" t="b">
        <v>0</v>
      </c>
      <c r="R1436" s="22">
        <f t="shared" si="22"/>
        <v>5</v>
      </c>
    </row>
    <row r="1437" spans="1:18">
      <c r="A1437" s="71">
        <v>8597</v>
      </c>
      <c r="B1437" s="72">
        <v>38989</v>
      </c>
      <c r="C1437" s="71" t="s">
        <v>12009</v>
      </c>
      <c r="D1437" s="72">
        <v>38989</v>
      </c>
      <c r="E1437" s="71" t="s">
        <v>12010</v>
      </c>
      <c r="F1437" s="71" t="s">
        <v>39</v>
      </c>
      <c r="G1437" s="71" t="s">
        <v>20</v>
      </c>
      <c r="H1437" s="71" t="s">
        <v>71</v>
      </c>
      <c r="I1437" s="71" t="s">
        <v>72</v>
      </c>
      <c r="J1437" s="71" t="s">
        <v>12011</v>
      </c>
      <c r="K1437" s="71" t="s">
        <v>12012</v>
      </c>
      <c r="L1437" s="71" t="s">
        <v>3588</v>
      </c>
      <c r="M1437" s="71" t="s">
        <v>11975</v>
      </c>
      <c r="N1437" s="72">
        <v>39080</v>
      </c>
      <c r="O1437" s="72">
        <v>39699</v>
      </c>
      <c r="P1437" s="71"/>
      <c r="Q1437" s="71" t="b">
        <v>0</v>
      </c>
      <c r="R1437" s="22">
        <f t="shared" si="22"/>
        <v>708</v>
      </c>
    </row>
    <row r="1438" spans="1:18">
      <c r="A1438" s="71">
        <v>8599</v>
      </c>
      <c r="B1438" s="72">
        <v>38988</v>
      </c>
      <c r="C1438" s="71" t="s">
        <v>12016</v>
      </c>
      <c r="D1438" s="72">
        <v>38988</v>
      </c>
      <c r="E1438" s="71" t="s">
        <v>12017</v>
      </c>
      <c r="F1438" s="71" t="s">
        <v>283</v>
      </c>
      <c r="G1438" s="71" t="s">
        <v>20</v>
      </c>
      <c r="H1438" s="71" t="s">
        <v>71</v>
      </c>
      <c r="I1438" s="71" t="s">
        <v>72</v>
      </c>
      <c r="J1438" s="71" t="s">
        <v>11189</v>
      </c>
      <c r="K1438" s="71" t="s">
        <v>8828</v>
      </c>
      <c r="L1438" s="71" t="s">
        <v>4282</v>
      </c>
      <c r="M1438" s="71"/>
      <c r="N1438" s="72">
        <v>39079</v>
      </c>
      <c r="O1438" s="72">
        <v>39777</v>
      </c>
      <c r="P1438" s="71"/>
      <c r="Q1438" s="71" t="b">
        <v>0</v>
      </c>
      <c r="R1438" s="22">
        <f t="shared" si="22"/>
        <v>787</v>
      </c>
    </row>
    <row r="1439" spans="1:18">
      <c r="A1439" s="71">
        <v>8602</v>
      </c>
      <c r="B1439" s="72">
        <v>38994</v>
      </c>
      <c r="C1439" s="71" t="s">
        <v>12023</v>
      </c>
      <c r="D1439" s="72">
        <v>38847</v>
      </c>
      <c r="E1439" s="71" t="s">
        <v>12024</v>
      </c>
      <c r="F1439" s="71" t="s">
        <v>11752</v>
      </c>
      <c r="G1439" s="71" t="s">
        <v>20</v>
      </c>
      <c r="H1439" s="71" t="s">
        <v>71</v>
      </c>
      <c r="I1439" s="71" t="s">
        <v>72</v>
      </c>
      <c r="J1439" s="71" t="s">
        <v>11753</v>
      </c>
      <c r="K1439" s="71" t="s">
        <v>11754</v>
      </c>
      <c r="L1439" s="71" t="s">
        <v>4579</v>
      </c>
      <c r="M1439" s="71"/>
      <c r="N1439" s="72">
        <v>39040</v>
      </c>
      <c r="O1439" s="72">
        <v>38995</v>
      </c>
      <c r="P1439" s="71">
        <v>-1</v>
      </c>
      <c r="Q1439" s="71" t="b">
        <v>1</v>
      </c>
      <c r="R1439" s="22">
        <f t="shared" si="22"/>
        <v>1</v>
      </c>
    </row>
    <row r="1440" spans="1:18">
      <c r="A1440" s="71">
        <v>8603</v>
      </c>
      <c r="B1440" s="72">
        <v>38995</v>
      </c>
      <c r="C1440" s="71" t="s">
        <v>12025</v>
      </c>
      <c r="D1440" s="72">
        <v>38994</v>
      </c>
      <c r="E1440" s="71" t="s">
        <v>12026</v>
      </c>
      <c r="F1440" s="71" t="s">
        <v>3430</v>
      </c>
      <c r="G1440" s="71" t="s">
        <v>20</v>
      </c>
      <c r="H1440" s="71" t="s">
        <v>71</v>
      </c>
      <c r="I1440" s="71" t="s">
        <v>72</v>
      </c>
      <c r="J1440" s="71" t="s">
        <v>12027</v>
      </c>
      <c r="K1440" s="71" t="s">
        <v>12028</v>
      </c>
      <c r="L1440" s="71" t="s">
        <v>8318</v>
      </c>
      <c r="M1440" s="71"/>
      <c r="N1440" s="72">
        <v>39086</v>
      </c>
      <c r="O1440" s="72">
        <v>38995</v>
      </c>
      <c r="P1440" s="71"/>
      <c r="Q1440" s="71" t="b">
        <v>0</v>
      </c>
      <c r="R1440" s="22">
        <f t="shared" si="22"/>
        <v>0</v>
      </c>
    </row>
    <row r="1441" spans="1:18">
      <c r="A1441" s="71">
        <v>8604</v>
      </c>
      <c r="B1441" s="72">
        <v>38995</v>
      </c>
      <c r="C1441" s="71" t="s">
        <v>12029</v>
      </c>
      <c r="D1441" s="72">
        <v>38982</v>
      </c>
      <c r="E1441" s="71" t="s">
        <v>12030</v>
      </c>
      <c r="F1441" s="71" t="s">
        <v>1232</v>
      </c>
      <c r="G1441" s="71" t="s">
        <v>20</v>
      </c>
      <c r="H1441" s="71" t="s">
        <v>189</v>
      </c>
      <c r="I1441" s="71" t="s">
        <v>189</v>
      </c>
      <c r="J1441" s="71" t="s">
        <v>1817</v>
      </c>
      <c r="K1441" s="71" t="s">
        <v>554</v>
      </c>
      <c r="L1441" s="71" t="s">
        <v>3588</v>
      </c>
      <c r="M1441" s="71" t="s">
        <v>11885</v>
      </c>
      <c r="N1441" s="72">
        <v>39087</v>
      </c>
      <c r="O1441" s="72">
        <v>39766</v>
      </c>
      <c r="P1441" s="71"/>
      <c r="Q1441" s="71" t="b">
        <v>1</v>
      </c>
      <c r="R1441" s="22">
        <f t="shared" si="22"/>
        <v>769</v>
      </c>
    </row>
    <row r="1442" spans="1:18">
      <c r="A1442" s="71">
        <v>8605</v>
      </c>
      <c r="B1442" s="72">
        <v>38996</v>
      </c>
      <c r="C1442" s="71" t="s">
        <v>12031</v>
      </c>
      <c r="D1442" s="72">
        <v>38996</v>
      </c>
      <c r="E1442" s="71" t="s">
        <v>12032</v>
      </c>
      <c r="F1442" s="71" t="s">
        <v>6953</v>
      </c>
      <c r="G1442" s="71" t="s">
        <v>20</v>
      </c>
      <c r="H1442" s="71" t="s">
        <v>71</v>
      </c>
      <c r="I1442" s="71" t="s">
        <v>72</v>
      </c>
      <c r="J1442" s="71" t="s">
        <v>12033</v>
      </c>
      <c r="K1442" s="71" t="s">
        <v>7494</v>
      </c>
      <c r="L1442" s="71" t="s">
        <v>10871</v>
      </c>
      <c r="M1442" s="71"/>
      <c r="N1442" s="72">
        <v>39042</v>
      </c>
      <c r="O1442" s="72">
        <v>39021</v>
      </c>
      <c r="P1442" s="71">
        <v>-1</v>
      </c>
      <c r="Q1442" s="71" t="b">
        <v>1</v>
      </c>
      <c r="R1442" s="22">
        <f t="shared" si="22"/>
        <v>25</v>
      </c>
    </row>
    <row r="1443" spans="1:18">
      <c r="A1443" s="71">
        <v>8606</v>
      </c>
      <c r="B1443" s="72">
        <v>38999</v>
      </c>
      <c r="C1443" s="71" t="s">
        <v>12034</v>
      </c>
      <c r="D1443" s="72">
        <v>38982</v>
      </c>
      <c r="E1443" s="71" t="s">
        <v>12035</v>
      </c>
      <c r="F1443" s="71" t="s">
        <v>10422</v>
      </c>
      <c r="G1443" s="71" t="s">
        <v>20</v>
      </c>
      <c r="H1443" s="71" t="s">
        <v>212</v>
      </c>
      <c r="I1443" s="71" t="s">
        <v>212</v>
      </c>
      <c r="J1443" s="71" t="s">
        <v>12036</v>
      </c>
      <c r="K1443" s="71" t="s">
        <v>12037</v>
      </c>
      <c r="L1443" s="71" t="s">
        <v>8318</v>
      </c>
      <c r="M1443" s="71"/>
      <c r="N1443" s="72">
        <v>39091</v>
      </c>
      <c r="O1443" s="72">
        <v>38999</v>
      </c>
      <c r="P1443" s="71">
        <v>-1</v>
      </c>
      <c r="Q1443" s="71" t="b">
        <v>1</v>
      </c>
      <c r="R1443" s="22">
        <f t="shared" si="22"/>
        <v>0</v>
      </c>
    </row>
    <row r="1444" spans="1:18">
      <c r="A1444" s="71">
        <v>8610</v>
      </c>
      <c r="B1444" s="72">
        <v>39000</v>
      </c>
      <c r="C1444" s="71" t="s">
        <v>12046</v>
      </c>
      <c r="D1444" s="72">
        <v>38750</v>
      </c>
      <c r="E1444" s="71" t="s">
        <v>12047</v>
      </c>
      <c r="F1444" s="71" t="s">
        <v>27</v>
      </c>
      <c r="G1444" s="71" t="s">
        <v>20</v>
      </c>
      <c r="H1444" s="71" t="s">
        <v>71</v>
      </c>
      <c r="I1444" s="71" t="s">
        <v>72</v>
      </c>
      <c r="J1444" s="71" t="s">
        <v>1243</v>
      </c>
      <c r="K1444" s="71"/>
      <c r="L1444" s="71" t="s">
        <v>10871</v>
      </c>
      <c r="M1444" s="71"/>
      <c r="N1444" s="72">
        <v>38845</v>
      </c>
      <c r="O1444" s="72">
        <v>39008</v>
      </c>
      <c r="P1444" s="71"/>
      <c r="Q1444" s="71" t="b">
        <v>0</v>
      </c>
      <c r="R1444" s="22">
        <f t="shared" si="22"/>
        <v>8</v>
      </c>
    </row>
    <row r="1445" spans="1:18">
      <c r="A1445" s="71">
        <v>8611</v>
      </c>
      <c r="B1445" s="72">
        <v>39003</v>
      </c>
      <c r="C1445" s="71" t="s">
        <v>12048</v>
      </c>
      <c r="D1445" s="72">
        <v>38859</v>
      </c>
      <c r="E1445" s="71" t="s">
        <v>12049</v>
      </c>
      <c r="F1445" s="71" t="s">
        <v>7961</v>
      </c>
      <c r="G1445" s="71" t="s">
        <v>20</v>
      </c>
      <c r="H1445" s="71" t="s">
        <v>189</v>
      </c>
      <c r="I1445" s="71" t="s">
        <v>189</v>
      </c>
      <c r="J1445" s="71" t="s">
        <v>11792</v>
      </c>
      <c r="K1445" s="71"/>
      <c r="L1445" s="71" t="s">
        <v>3588</v>
      </c>
      <c r="M1445" s="71" t="s">
        <v>12050</v>
      </c>
      <c r="N1445" s="72">
        <v>39095</v>
      </c>
      <c r="O1445" s="72">
        <v>39778</v>
      </c>
      <c r="P1445" s="71">
        <v>-1</v>
      </c>
      <c r="Q1445" s="71" t="b">
        <v>1</v>
      </c>
      <c r="R1445" s="22">
        <f t="shared" si="22"/>
        <v>773</v>
      </c>
    </row>
    <row r="1446" spans="1:18">
      <c r="A1446" s="71">
        <v>8616</v>
      </c>
      <c r="B1446" s="72">
        <v>39007</v>
      </c>
      <c r="C1446" s="71" t="s">
        <v>12064</v>
      </c>
      <c r="D1446" s="72">
        <v>38834</v>
      </c>
      <c r="E1446" s="71" t="s">
        <v>12065</v>
      </c>
      <c r="F1446" s="71" t="s">
        <v>104</v>
      </c>
      <c r="G1446" s="71" t="s">
        <v>20</v>
      </c>
      <c r="H1446" s="71" t="s">
        <v>71</v>
      </c>
      <c r="I1446" s="71" t="s">
        <v>72</v>
      </c>
      <c r="J1446" s="71" t="s">
        <v>2469</v>
      </c>
      <c r="K1446" s="71" t="s">
        <v>11732</v>
      </c>
      <c r="L1446" s="71" t="s">
        <v>4579</v>
      </c>
      <c r="M1446" s="71"/>
      <c r="N1446" s="72">
        <v>38925</v>
      </c>
      <c r="O1446" s="72">
        <v>39007</v>
      </c>
      <c r="P1446" s="71"/>
      <c r="Q1446" s="71" t="b">
        <v>0</v>
      </c>
      <c r="R1446" s="22">
        <f t="shared" si="22"/>
        <v>0</v>
      </c>
    </row>
    <row r="1447" spans="1:18">
      <c r="A1447" s="71">
        <v>8618</v>
      </c>
      <c r="B1447" s="72">
        <v>39013</v>
      </c>
      <c r="C1447" s="71" t="s">
        <v>12069</v>
      </c>
      <c r="D1447" s="72">
        <v>39010</v>
      </c>
      <c r="E1447" s="71" t="s">
        <v>12070</v>
      </c>
      <c r="F1447" s="71" t="s">
        <v>52</v>
      </c>
      <c r="G1447" s="71" t="s">
        <v>11905</v>
      </c>
      <c r="H1447" s="71" t="s">
        <v>71</v>
      </c>
      <c r="I1447" s="71" t="s">
        <v>72</v>
      </c>
      <c r="J1447" s="71" t="s">
        <v>12071</v>
      </c>
      <c r="K1447" s="71"/>
      <c r="L1447" s="71" t="s">
        <v>4282</v>
      </c>
      <c r="M1447" s="71"/>
      <c r="N1447" s="72">
        <v>39087</v>
      </c>
      <c r="O1447" s="72">
        <v>39078</v>
      </c>
      <c r="P1447" s="71">
        <v>-1</v>
      </c>
      <c r="Q1447" s="71" t="b">
        <v>1</v>
      </c>
      <c r="R1447" s="22">
        <f t="shared" si="22"/>
        <v>64</v>
      </c>
    </row>
    <row r="1448" spans="1:18">
      <c r="A1448" s="71">
        <v>8619</v>
      </c>
      <c r="B1448" s="72">
        <v>39013</v>
      </c>
      <c r="C1448" s="71" t="s">
        <v>12072</v>
      </c>
      <c r="D1448" s="72">
        <v>39008</v>
      </c>
      <c r="E1448" s="71" t="s">
        <v>12073</v>
      </c>
      <c r="F1448" s="71" t="s">
        <v>8522</v>
      </c>
      <c r="G1448" s="71" t="s">
        <v>20</v>
      </c>
      <c r="H1448" s="71" t="s">
        <v>189</v>
      </c>
      <c r="I1448" s="71" t="s">
        <v>12074</v>
      </c>
      <c r="J1448" s="71" t="s">
        <v>12075</v>
      </c>
      <c r="K1448" s="71" t="s">
        <v>12076</v>
      </c>
      <c r="L1448" s="71" t="s">
        <v>8318</v>
      </c>
      <c r="M1448" s="71"/>
      <c r="O1448" s="72">
        <v>39013</v>
      </c>
      <c r="P1448" s="71">
        <v>-1</v>
      </c>
      <c r="Q1448" s="71" t="b">
        <v>1</v>
      </c>
      <c r="R1448" s="22">
        <f t="shared" si="22"/>
        <v>0</v>
      </c>
    </row>
    <row r="1449" spans="1:18">
      <c r="A1449" s="71">
        <v>8622</v>
      </c>
      <c r="B1449" s="72">
        <v>39017</v>
      </c>
      <c r="C1449" s="71" t="s">
        <v>12083</v>
      </c>
      <c r="D1449" s="72">
        <v>39003</v>
      </c>
      <c r="E1449" s="71" t="s">
        <v>12084</v>
      </c>
      <c r="F1449" s="71" t="s">
        <v>6953</v>
      </c>
      <c r="G1449" s="71" t="s">
        <v>11905</v>
      </c>
      <c r="H1449" s="71" t="s">
        <v>71</v>
      </c>
      <c r="I1449" s="71" t="s">
        <v>72</v>
      </c>
      <c r="J1449" s="71" t="s">
        <v>12085</v>
      </c>
      <c r="K1449" s="71" t="s">
        <v>6081</v>
      </c>
      <c r="L1449" s="71" t="s">
        <v>10871</v>
      </c>
      <c r="M1449" s="71"/>
      <c r="N1449" s="72">
        <v>39049</v>
      </c>
      <c r="O1449" s="72">
        <v>39021</v>
      </c>
      <c r="P1449" s="71">
        <v>-1</v>
      </c>
      <c r="Q1449" s="71" t="b">
        <v>1</v>
      </c>
      <c r="R1449" s="22">
        <f t="shared" si="22"/>
        <v>4</v>
      </c>
    </row>
    <row r="1450" spans="1:18">
      <c r="A1450" s="71">
        <v>8625</v>
      </c>
      <c r="B1450" s="72">
        <v>39027</v>
      </c>
      <c r="C1450" s="71" t="s">
        <v>12086</v>
      </c>
      <c r="D1450" s="72">
        <v>39013</v>
      </c>
      <c r="E1450" s="71" t="s">
        <v>12087</v>
      </c>
      <c r="F1450" s="71" t="s">
        <v>211</v>
      </c>
      <c r="G1450" s="71" t="s">
        <v>20</v>
      </c>
      <c r="H1450" s="71" t="s">
        <v>212</v>
      </c>
      <c r="I1450" s="71" t="s">
        <v>12088</v>
      </c>
      <c r="J1450" s="71" t="s">
        <v>12089</v>
      </c>
      <c r="K1450" s="71" t="s">
        <v>12090</v>
      </c>
      <c r="L1450" s="71" t="s">
        <v>4282</v>
      </c>
      <c r="M1450" s="71"/>
      <c r="N1450" s="72">
        <v>39113</v>
      </c>
      <c r="O1450" s="72">
        <v>39164</v>
      </c>
      <c r="P1450" s="71"/>
      <c r="Q1450" s="71" t="b">
        <v>0</v>
      </c>
      <c r="R1450" s="22">
        <f t="shared" si="22"/>
        <v>138</v>
      </c>
    </row>
    <row r="1451" spans="1:18">
      <c r="A1451" s="71">
        <v>8627</v>
      </c>
      <c r="B1451" s="72">
        <v>39030</v>
      </c>
      <c r="C1451" s="71" t="s">
        <v>12093</v>
      </c>
      <c r="D1451" s="72">
        <v>39027</v>
      </c>
      <c r="E1451" s="71" t="s">
        <v>12094</v>
      </c>
      <c r="F1451" s="71" t="s">
        <v>327</v>
      </c>
      <c r="G1451" s="71" t="s">
        <v>20</v>
      </c>
      <c r="H1451" s="71" t="s">
        <v>71</v>
      </c>
      <c r="I1451" s="71" t="s">
        <v>72</v>
      </c>
      <c r="J1451" s="71" t="s">
        <v>12095</v>
      </c>
      <c r="K1451" s="71" t="s">
        <v>12096</v>
      </c>
      <c r="L1451" s="71" t="s">
        <v>1946</v>
      </c>
      <c r="M1451" s="71" t="s">
        <v>4579</v>
      </c>
      <c r="N1451" s="72">
        <v>39072</v>
      </c>
      <c r="O1451" s="72">
        <v>39121</v>
      </c>
      <c r="P1451" s="71">
        <v>-1</v>
      </c>
      <c r="Q1451" s="71" t="b">
        <v>1</v>
      </c>
      <c r="R1451" s="22">
        <f t="shared" si="22"/>
        <v>90</v>
      </c>
    </row>
    <row r="1452" spans="1:18">
      <c r="A1452" s="71">
        <v>8628</v>
      </c>
      <c r="B1452" s="72">
        <v>39030</v>
      </c>
      <c r="C1452" s="71" t="s">
        <v>12097</v>
      </c>
      <c r="D1452" s="72">
        <v>39027</v>
      </c>
      <c r="E1452" s="71" t="s">
        <v>12098</v>
      </c>
      <c r="F1452" s="71" t="s">
        <v>211</v>
      </c>
      <c r="G1452" s="71" t="s">
        <v>20</v>
      </c>
      <c r="H1452" s="71" t="s">
        <v>212</v>
      </c>
      <c r="I1452" s="71" t="s">
        <v>12088</v>
      </c>
      <c r="J1452" s="71" t="s">
        <v>7369</v>
      </c>
      <c r="K1452" s="71"/>
      <c r="L1452" s="71" t="s">
        <v>3588</v>
      </c>
      <c r="M1452" s="71" t="s">
        <v>12099</v>
      </c>
      <c r="N1452" s="72">
        <v>39072</v>
      </c>
      <c r="O1452" s="72">
        <v>39770</v>
      </c>
      <c r="P1452" s="71">
        <v>-1</v>
      </c>
      <c r="Q1452" s="71" t="b">
        <v>1</v>
      </c>
      <c r="R1452" s="22">
        <f t="shared" si="22"/>
        <v>739</v>
      </c>
    </row>
    <row r="1453" spans="1:18">
      <c r="A1453" s="71">
        <v>8633</v>
      </c>
      <c r="B1453" s="72">
        <v>39041</v>
      </c>
      <c r="C1453" s="71" t="s">
        <v>12111</v>
      </c>
      <c r="D1453" s="72">
        <v>39038</v>
      </c>
      <c r="E1453" s="71" t="s">
        <v>12112</v>
      </c>
      <c r="F1453" s="71" t="s">
        <v>4596</v>
      </c>
      <c r="G1453" s="71" t="s">
        <v>20</v>
      </c>
      <c r="H1453" s="71" t="s">
        <v>566</v>
      </c>
      <c r="I1453" s="71" t="s">
        <v>12113</v>
      </c>
      <c r="J1453" s="71" t="s">
        <v>12114</v>
      </c>
      <c r="K1453" s="71" t="s">
        <v>12115</v>
      </c>
      <c r="L1453" s="71" t="s">
        <v>8318</v>
      </c>
      <c r="M1453" s="71"/>
      <c r="N1453" s="72">
        <v>39130</v>
      </c>
      <c r="O1453" s="72">
        <v>39049</v>
      </c>
      <c r="P1453" s="71">
        <v>-1</v>
      </c>
      <c r="Q1453" s="71" t="b">
        <v>1</v>
      </c>
      <c r="R1453" s="22">
        <f t="shared" si="22"/>
        <v>8</v>
      </c>
    </row>
    <row r="1454" spans="1:18">
      <c r="A1454" s="71">
        <v>8634</v>
      </c>
      <c r="B1454" s="72">
        <v>39041</v>
      </c>
      <c r="C1454" s="71" t="s">
        <v>12116</v>
      </c>
      <c r="D1454" s="72">
        <v>39037</v>
      </c>
      <c r="E1454" s="71" t="s">
        <v>12117</v>
      </c>
      <c r="F1454" s="71" t="s">
        <v>5690</v>
      </c>
      <c r="G1454" s="71" t="s">
        <v>20</v>
      </c>
      <c r="H1454" s="71" t="s">
        <v>71</v>
      </c>
      <c r="I1454" s="71" t="s">
        <v>72</v>
      </c>
      <c r="J1454" s="71" t="s">
        <v>12118</v>
      </c>
      <c r="K1454" s="71" t="s">
        <v>12119</v>
      </c>
      <c r="L1454" s="71" t="s">
        <v>3588</v>
      </c>
      <c r="M1454" s="71" t="s">
        <v>12120</v>
      </c>
      <c r="N1454" s="72">
        <v>39133</v>
      </c>
      <c r="O1454" s="72">
        <v>39561</v>
      </c>
      <c r="P1454" s="71"/>
      <c r="Q1454" s="71" t="b">
        <v>0</v>
      </c>
      <c r="R1454" s="22">
        <f t="shared" si="22"/>
        <v>520</v>
      </c>
    </row>
    <row r="1455" spans="1:18">
      <c r="A1455" s="71">
        <v>8638</v>
      </c>
      <c r="B1455" s="72">
        <v>39043</v>
      </c>
      <c r="C1455" s="71" t="s">
        <v>12129</v>
      </c>
      <c r="D1455" s="72">
        <v>38924</v>
      </c>
      <c r="E1455" s="71" t="s">
        <v>12130</v>
      </c>
      <c r="F1455" s="71" t="s">
        <v>7212</v>
      </c>
      <c r="G1455" s="71" t="s">
        <v>20</v>
      </c>
      <c r="H1455" s="71" t="s">
        <v>71</v>
      </c>
      <c r="I1455" s="71" t="s">
        <v>72</v>
      </c>
      <c r="J1455" s="71" t="s">
        <v>11888</v>
      </c>
      <c r="K1455" s="71" t="s">
        <v>12131</v>
      </c>
      <c r="L1455" s="71" t="s">
        <v>4282</v>
      </c>
      <c r="M1455" s="71"/>
      <c r="N1455" s="72">
        <v>38971</v>
      </c>
      <c r="O1455" s="72">
        <v>39912</v>
      </c>
      <c r="P1455" s="71"/>
      <c r="Q1455" s="71" t="b">
        <v>0</v>
      </c>
      <c r="R1455" s="22">
        <f t="shared" si="22"/>
        <v>868</v>
      </c>
    </row>
    <row r="1456" spans="1:18">
      <c r="A1456" s="71">
        <v>8640</v>
      </c>
      <c r="B1456" s="72">
        <v>39049</v>
      </c>
      <c r="C1456" s="71" t="s">
        <v>12136</v>
      </c>
      <c r="D1456" s="72">
        <v>39048</v>
      </c>
      <c r="E1456" s="71" t="s">
        <v>12137</v>
      </c>
      <c r="F1456" s="71" t="s">
        <v>1232</v>
      </c>
      <c r="G1456" s="71" t="s">
        <v>20</v>
      </c>
      <c r="H1456" s="71" t="s">
        <v>189</v>
      </c>
      <c r="I1456" s="71" t="s">
        <v>189</v>
      </c>
      <c r="J1456" s="71" t="s">
        <v>12138</v>
      </c>
      <c r="K1456" s="71" t="s">
        <v>12139</v>
      </c>
      <c r="L1456" s="71" t="s">
        <v>8318</v>
      </c>
      <c r="M1456" s="71"/>
      <c r="N1456" s="72">
        <v>38775</v>
      </c>
      <c r="O1456" s="72">
        <v>39049</v>
      </c>
      <c r="P1456" s="71">
        <v>-1</v>
      </c>
      <c r="Q1456" s="71" t="b">
        <v>1</v>
      </c>
      <c r="R1456" s="22">
        <f t="shared" si="22"/>
        <v>0</v>
      </c>
    </row>
    <row r="1457" spans="1:18">
      <c r="A1457" s="71">
        <v>8643</v>
      </c>
      <c r="B1457" s="72">
        <v>39052</v>
      </c>
      <c r="C1457" s="71" t="s">
        <v>12146</v>
      </c>
      <c r="D1457" s="72">
        <v>39049</v>
      </c>
      <c r="E1457" s="71" t="s">
        <v>12147</v>
      </c>
      <c r="F1457" s="71" t="s">
        <v>10838</v>
      </c>
      <c r="G1457" s="71" t="s">
        <v>20</v>
      </c>
      <c r="H1457" s="71" t="s">
        <v>71</v>
      </c>
      <c r="I1457" s="71" t="s">
        <v>72</v>
      </c>
      <c r="J1457" s="71" t="s">
        <v>12148</v>
      </c>
      <c r="K1457" s="71" t="s">
        <v>2916</v>
      </c>
      <c r="L1457" s="71" t="s">
        <v>4282</v>
      </c>
      <c r="M1457" s="71"/>
      <c r="N1457" s="72">
        <v>39095</v>
      </c>
      <c r="O1457" s="72">
        <v>40750</v>
      </c>
      <c r="P1457" s="71">
        <v>-1</v>
      </c>
      <c r="Q1457" s="71" t="b">
        <v>1</v>
      </c>
      <c r="R1457" s="22">
        <f t="shared" si="22"/>
        <v>1698</v>
      </c>
    </row>
    <row r="1458" spans="1:18">
      <c r="A1458" s="71">
        <v>8644</v>
      </c>
      <c r="B1458" s="72">
        <v>39052</v>
      </c>
      <c r="C1458" s="71" t="s">
        <v>12149</v>
      </c>
      <c r="D1458" s="72">
        <v>39045</v>
      </c>
      <c r="E1458" s="71" t="s">
        <v>12150</v>
      </c>
      <c r="F1458" s="71" t="s">
        <v>129</v>
      </c>
      <c r="G1458" s="71" t="s">
        <v>20</v>
      </c>
      <c r="H1458" s="71" t="s">
        <v>71</v>
      </c>
      <c r="I1458" s="71" t="s">
        <v>72</v>
      </c>
      <c r="J1458" s="71" t="s">
        <v>9679</v>
      </c>
      <c r="K1458" s="71"/>
      <c r="L1458" s="71" t="s">
        <v>8318</v>
      </c>
      <c r="M1458" s="71"/>
      <c r="N1458" s="72">
        <v>39095</v>
      </c>
      <c r="O1458" s="72">
        <v>39073</v>
      </c>
      <c r="P1458" s="71">
        <v>-1</v>
      </c>
      <c r="Q1458" s="71" t="b">
        <v>1</v>
      </c>
      <c r="R1458" s="22">
        <f t="shared" si="22"/>
        <v>21</v>
      </c>
    </row>
    <row r="1459" spans="1:18">
      <c r="A1459" s="71">
        <v>8645</v>
      </c>
      <c r="B1459" s="72">
        <v>39052</v>
      </c>
      <c r="C1459" s="71" t="s">
        <v>12151</v>
      </c>
      <c r="D1459" s="72">
        <v>39043</v>
      </c>
      <c r="E1459" s="71" t="s">
        <v>12152</v>
      </c>
      <c r="F1459" s="71" t="s">
        <v>242</v>
      </c>
      <c r="G1459" s="71" t="s">
        <v>20</v>
      </c>
      <c r="H1459" s="71" t="s">
        <v>71</v>
      </c>
      <c r="I1459" s="71" t="s">
        <v>72</v>
      </c>
      <c r="J1459" s="71" t="s">
        <v>12153</v>
      </c>
      <c r="K1459" s="71" t="s">
        <v>12154</v>
      </c>
      <c r="L1459" s="71" t="s">
        <v>10871</v>
      </c>
      <c r="M1459" s="71"/>
      <c r="N1459" s="72">
        <v>39095</v>
      </c>
      <c r="O1459" s="72">
        <v>39246</v>
      </c>
      <c r="P1459" s="71">
        <v>-1</v>
      </c>
      <c r="Q1459" s="71" t="b">
        <v>1</v>
      </c>
      <c r="R1459" s="22">
        <f t="shared" si="22"/>
        <v>194</v>
      </c>
    </row>
    <row r="1460" spans="1:18">
      <c r="A1460" s="71">
        <v>8646</v>
      </c>
      <c r="B1460" s="72">
        <v>39052</v>
      </c>
      <c r="C1460" s="71" t="s">
        <v>12155</v>
      </c>
      <c r="D1460" s="72">
        <v>39037</v>
      </c>
      <c r="E1460" s="71" t="s">
        <v>12156</v>
      </c>
      <c r="F1460" s="71" t="s">
        <v>990</v>
      </c>
      <c r="G1460" s="71" t="s">
        <v>20</v>
      </c>
      <c r="H1460" s="71" t="s">
        <v>71</v>
      </c>
      <c r="I1460" s="71" t="s">
        <v>72</v>
      </c>
      <c r="J1460" s="71" t="s">
        <v>12157</v>
      </c>
      <c r="K1460" s="71" t="s">
        <v>9597</v>
      </c>
      <c r="L1460" s="71" t="s">
        <v>3588</v>
      </c>
      <c r="M1460" s="71" t="s">
        <v>11975</v>
      </c>
      <c r="N1460" s="72">
        <v>39097</v>
      </c>
      <c r="O1460" s="72">
        <v>39708</v>
      </c>
      <c r="P1460" s="71">
        <v>-1</v>
      </c>
      <c r="Q1460" s="71" t="b">
        <v>1</v>
      </c>
      <c r="R1460" s="22">
        <f t="shared" si="22"/>
        <v>654</v>
      </c>
    </row>
    <row r="1461" spans="1:18">
      <c r="A1461" s="71">
        <v>8648</v>
      </c>
      <c r="B1461" s="72">
        <v>39056</v>
      </c>
      <c r="C1461" s="71" t="s">
        <v>12159</v>
      </c>
      <c r="D1461" s="72">
        <v>39056</v>
      </c>
      <c r="E1461" s="71" t="s">
        <v>12160</v>
      </c>
      <c r="F1461" s="71" t="s">
        <v>1232</v>
      </c>
      <c r="G1461" s="71" t="s">
        <v>20</v>
      </c>
      <c r="H1461" s="71" t="s">
        <v>189</v>
      </c>
      <c r="I1461" s="71" t="s">
        <v>189</v>
      </c>
      <c r="J1461" s="71" t="s">
        <v>12161</v>
      </c>
      <c r="K1461" s="71" t="s">
        <v>11513</v>
      </c>
      <c r="L1461" s="71" t="s">
        <v>4579</v>
      </c>
      <c r="M1461" s="71" t="s">
        <v>8318</v>
      </c>
      <c r="N1461" s="72">
        <v>39112</v>
      </c>
      <c r="O1461" s="72">
        <v>39115</v>
      </c>
      <c r="P1461" s="71">
        <v>-1</v>
      </c>
      <c r="Q1461" s="71" t="b">
        <v>1</v>
      </c>
      <c r="R1461" s="22">
        <f t="shared" si="22"/>
        <v>57</v>
      </c>
    </row>
    <row r="1462" spans="1:18">
      <c r="A1462" s="71">
        <v>8650</v>
      </c>
      <c r="B1462" s="72">
        <v>39065</v>
      </c>
      <c r="C1462" s="71" t="s">
        <v>12164</v>
      </c>
      <c r="D1462" s="72">
        <v>39058</v>
      </c>
      <c r="E1462" s="71" t="s">
        <v>12165</v>
      </c>
      <c r="F1462" s="71" t="s">
        <v>1232</v>
      </c>
      <c r="G1462" s="71" t="s">
        <v>20</v>
      </c>
      <c r="H1462" s="71" t="s">
        <v>189</v>
      </c>
      <c r="I1462" s="71" t="s">
        <v>189</v>
      </c>
      <c r="J1462" s="71" t="s">
        <v>12166</v>
      </c>
      <c r="K1462" s="71" t="s">
        <v>12167</v>
      </c>
      <c r="L1462" s="71" t="s">
        <v>4579</v>
      </c>
      <c r="M1462" s="71" t="s">
        <v>8318</v>
      </c>
      <c r="N1462" s="72">
        <v>39155</v>
      </c>
      <c r="O1462" s="72">
        <v>39115</v>
      </c>
      <c r="P1462" s="71"/>
      <c r="Q1462" s="71" t="b">
        <v>0</v>
      </c>
      <c r="R1462" s="22">
        <f t="shared" si="22"/>
        <v>48</v>
      </c>
    </row>
    <row r="1463" spans="1:18">
      <c r="A1463" s="71">
        <v>8651</v>
      </c>
      <c r="B1463" s="72">
        <v>39065</v>
      </c>
      <c r="C1463" s="71" t="s">
        <v>12168</v>
      </c>
      <c r="D1463" s="72">
        <v>39062</v>
      </c>
      <c r="E1463" s="71" t="s">
        <v>12169</v>
      </c>
      <c r="F1463" s="71" t="s">
        <v>1232</v>
      </c>
      <c r="G1463" s="71" t="s">
        <v>20</v>
      </c>
      <c r="H1463" s="71" t="s">
        <v>189</v>
      </c>
      <c r="I1463" s="71" t="s">
        <v>189</v>
      </c>
      <c r="J1463" s="71" t="s">
        <v>12170</v>
      </c>
      <c r="K1463" s="71" t="s">
        <v>11513</v>
      </c>
      <c r="L1463" s="71" t="s">
        <v>4579</v>
      </c>
      <c r="M1463" s="71" t="s">
        <v>8318</v>
      </c>
      <c r="N1463" s="72">
        <v>39152</v>
      </c>
      <c r="O1463" s="72">
        <v>39115</v>
      </c>
      <c r="P1463" s="71"/>
      <c r="Q1463" s="71" t="b">
        <v>0</v>
      </c>
      <c r="R1463" s="22">
        <f t="shared" si="22"/>
        <v>48</v>
      </c>
    </row>
    <row r="1464" spans="1:18">
      <c r="A1464" s="71">
        <v>8655</v>
      </c>
      <c r="B1464" s="72">
        <v>39079</v>
      </c>
      <c r="C1464" s="71" t="s">
        <v>12179</v>
      </c>
      <c r="D1464" s="72">
        <v>39069</v>
      </c>
      <c r="E1464" s="71" t="s">
        <v>12180</v>
      </c>
      <c r="F1464" s="71" t="s">
        <v>27</v>
      </c>
      <c r="G1464" s="71" t="s">
        <v>11905</v>
      </c>
      <c r="H1464" s="71" t="s">
        <v>71</v>
      </c>
      <c r="I1464" s="71" t="s">
        <v>72</v>
      </c>
      <c r="J1464" s="71" t="s">
        <v>12181</v>
      </c>
      <c r="K1464" s="71"/>
      <c r="L1464" s="71" t="s">
        <v>1946</v>
      </c>
      <c r="M1464" s="71"/>
      <c r="N1464" s="72">
        <v>39159</v>
      </c>
      <c r="O1464" s="72">
        <v>39111</v>
      </c>
      <c r="P1464" s="71">
        <v>-1</v>
      </c>
      <c r="Q1464" s="71" t="b">
        <v>1</v>
      </c>
      <c r="R1464" s="22">
        <f t="shared" si="22"/>
        <v>31</v>
      </c>
    </row>
    <row r="1465" spans="1:18">
      <c r="A1465" s="71">
        <v>8656</v>
      </c>
      <c r="B1465" s="72">
        <v>39080</v>
      </c>
      <c r="C1465" s="71" t="s">
        <v>12182</v>
      </c>
      <c r="D1465" s="72">
        <v>39064</v>
      </c>
      <c r="E1465" s="71" t="s">
        <v>12183</v>
      </c>
      <c r="F1465" s="71" t="s">
        <v>10838</v>
      </c>
      <c r="G1465" s="71" t="s">
        <v>20</v>
      </c>
      <c r="H1465" s="71" t="s">
        <v>71</v>
      </c>
      <c r="I1465" s="71" t="s">
        <v>72</v>
      </c>
      <c r="J1465" s="71" t="s">
        <v>9014</v>
      </c>
      <c r="K1465" s="71"/>
      <c r="L1465" s="71" t="s">
        <v>1946</v>
      </c>
      <c r="M1465" s="71" t="s">
        <v>10871</v>
      </c>
      <c r="N1465" s="72">
        <v>39128</v>
      </c>
      <c r="O1465" s="72">
        <v>39967</v>
      </c>
      <c r="P1465" s="71">
        <v>-1</v>
      </c>
      <c r="Q1465" s="71" t="b">
        <v>1</v>
      </c>
      <c r="R1465" s="22">
        <f t="shared" si="22"/>
        <v>886</v>
      </c>
    </row>
    <row r="1466" spans="1:18">
      <c r="A1466" s="71">
        <v>8657</v>
      </c>
      <c r="B1466" s="72">
        <v>39080</v>
      </c>
      <c r="C1466" s="71" t="s">
        <v>12184</v>
      </c>
      <c r="D1466" s="72">
        <v>39077</v>
      </c>
      <c r="E1466" s="71" t="s">
        <v>12185</v>
      </c>
      <c r="F1466" s="71" t="s">
        <v>10838</v>
      </c>
      <c r="G1466" s="71" t="s">
        <v>20</v>
      </c>
      <c r="H1466" s="71" t="s">
        <v>71</v>
      </c>
      <c r="I1466" s="71" t="s">
        <v>72</v>
      </c>
      <c r="J1466" s="71" t="s">
        <v>10249</v>
      </c>
      <c r="K1466" s="71" t="s">
        <v>12186</v>
      </c>
      <c r="L1466" s="71" t="s">
        <v>1946</v>
      </c>
      <c r="M1466" s="71" t="s">
        <v>10871</v>
      </c>
      <c r="N1466" s="72">
        <v>39128</v>
      </c>
      <c r="O1466" s="72">
        <v>39967</v>
      </c>
      <c r="P1466" s="71">
        <v>-1</v>
      </c>
      <c r="Q1466" s="71" t="b">
        <v>1</v>
      </c>
      <c r="R1466" s="22">
        <f t="shared" si="22"/>
        <v>886</v>
      </c>
    </row>
    <row r="1467" spans="1:18">
      <c r="A1467" s="71">
        <v>8659</v>
      </c>
      <c r="B1467" s="72">
        <v>39086</v>
      </c>
      <c r="C1467" s="71" t="s">
        <v>12190</v>
      </c>
      <c r="D1467" s="72">
        <v>39086</v>
      </c>
      <c r="E1467" s="71" t="s">
        <v>12191</v>
      </c>
      <c r="F1467" s="71" t="s">
        <v>984</v>
      </c>
      <c r="G1467" s="71" t="s">
        <v>20</v>
      </c>
      <c r="H1467" s="71" t="s">
        <v>71</v>
      </c>
      <c r="I1467" s="71" t="s">
        <v>72</v>
      </c>
      <c r="J1467" s="71" t="s">
        <v>12192</v>
      </c>
      <c r="K1467" s="71" t="s">
        <v>12193</v>
      </c>
      <c r="L1467" s="71" t="s">
        <v>4579</v>
      </c>
      <c r="M1467" s="71"/>
      <c r="N1467" s="72">
        <v>39176</v>
      </c>
      <c r="O1467" s="72">
        <v>39106</v>
      </c>
      <c r="P1467" s="71"/>
      <c r="Q1467" s="71" t="b">
        <v>1</v>
      </c>
      <c r="R1467" s="22">
        <f t="shared" si="22"/>
        <v>20</v>
      </c>
    </row>
    <row r="1468" spans="1:18">
      <c r="A1468" s="71">
        <v>8662</v>
      </c>
      <c r="B1468" s="72">
        <v>39090</v>
      </c>
      <c r="C1468" s="71" t="s">
        <v>12201</v>
      </c>
      <c r="D1468" s="72">
        <v>39090</v>
      </c>
      <c r="E1468" s="71" t="s">
        <v>12202</v>
      </c>
      <c r="F1468" s="71" t="s">
        <v>27</v>
      </c>
      <c r="G1468" s="71" t="s">
        <v>20</v>
      </c>
      <c r="H1468" s="71" t="s">
        <v>71</v>
      </c>
      <c r="I1468" s="71" t="s">
        <v>72</v>
      </c>
      <c r="J1468" s="71" t="s">
        <v>12203</v>
      </c>
      <c r="K1468" s="71" t="s">
        <v>12204</v>
      </c>
      <c r="L1468" s="71" t="s">
        <v>4282</v>
      </c>
      <c r="M1468" s="71"/>
      <c r="N1468" s="72">
        <v>39180</v>
      </c>
      <c r="O1468" s="72">
        <v>39174</v>
      </c>
      <c r="P1468" s="71">
        <v>-1</v>
      </c>
      <c r="Q1468" s="71" t="b">
        <v>1</v>
      </c>
      <c r="R1468" s="22">
        <f t="shared" si="22"/>
        <v>85</v>
      </c>
    </row>
    <row r="1469" spans="1:18">
      <c r="A1469" s="71">
        <v>8663</v>
      </c>
      <c r="B1469" s="72">
        <v>39091</v>
      </c>
      <c r="C1469" s="71" t="s">
        <v>12205</v>
      </c>
      <c r="D1469" s="72">
        <v>39091</v>
      </c>
      <c r="E1469" s="71" t="s">
        <v>12206</v>
      </c>
      <c r="F1469" s="71" t="s">
        <v>5690</v>
      </c>
      <c r="G1469" s="71" t="s">
        <v>20</v>
      </c>
      <c r="H1469" s="71" t="s">
        <v>71</v>
      </c>
      <c r="I1469" s="71" t="s">
        <v>72</v>
      </c>
      <c r="J1469" s="71" t="s">
        <v>12207</v>
      </c>
      <c r="K1469" s="71" t="s">
        <v>12167</v>
      </c>
      <c r="L1469" s="71" t="s">
        <v>8318</v>
      </c>
      <c r="M1469" s="71"/>
      <c r="N1469" s="72">
        <v>39181</v>
      </c>
      <c r="O1469" s="72">
        <v>39122</v>
      </c>
      <c r="P1469" s="71"/>
      <c r="Q1469" s="71" t="b">
        <v>0</v>
      </c>
      <c r="R1469" s="22">
        <f t="shared" si="22"/>
        <v>30</v>
      </c>
    </row>
    <row r="1470" spans="1:18">
      <c r="A1470" s="71">
        <v>8684</v>
      </c>
      <c r="B1470" s="72">
        <v>39104</v>
      </c>
      <c r="C1470" s="71" t="s">
        <v>12238</v>
      </c>
      <c r="D1470" s="72">
        <v>39101</v>
      </c>
      <c r="E1470" s="71" t="s">
        <v>12239</v>
      </c>
      <c r="F1470" s="71" t="s">
        <v>10838</v>
      </c>
      <c r="G1470" s="71" t="s">
        <v>20</v>
      </c>
      <c r="H1470" s="71" t="s">
        <v>71</v>
      </c>
      <c r="I1470" s="71" t="s">
        <v>72</v>
      </c>
      <c r="J1470" s="71" t="s">
        <v>12240</v>
      </c>
      <c r="K1470" s="71" t="s">
        <v>12241</v>
      </c>
      <c r="L1470" s="71" t="s">
        <v>3588</v>
      </c>
      <c r="M1470" s="71" t="s">
        <v>11975</v>
      </c>
      <c r="N1470" s="72">
        <v>39147</v>
      </c>
      <c r="O1470" s="72">
        <v>39864</v>
      </c>
      <c r="P1470" s="71">
        <v>-1</v>
      </c>
      <c r="Q1470" s="71" t="b">
        <v>1</v>
      </c>
      <c r="R1470" s="22">
        <f t="shared" si="22"/>
        <v>758</v>
      </c>
    </row>
    <row r="1471" spans="1:18">
      <c r="A1471" s="71">
        <v>8734</v>
      </c>
      <c r="B1471" s="72">
        <v>39108</v>
      </c>
      <c r="C1471" s="71" t="s">
        <v>12242</v>
      </c>
      <c r="D1471" s="72">
        <v>39108</v>
      </c>
      <c r="E1471" s="71" t="s">
        <v>12243</v>
      </c>
      <c r="F1471" s="71" t="s">
        <v>10184</v>
      </c>
      <c r="G1471" s="71" t="s">
        <v>20</v>
      </c>
      <c r="H1471" s="71" t="s">
        <v>189</v>
      </c>
      <c r="I1471" s="71" t="s">
        <v>12244</v>
      </c>
      <c r="J1471" s="71" t="s">
        <v>12245</v>
      </c>
      <c r="K1471" s="71"/>
      <c r="L1471" s="71" t="s">
        <v>4579</v>
      </c>
      <c r="M1471" s="71"/>
      <c r="N1471" s="72">
        <v>39154</v>
      </c>
      <c r="O1471" s="72">
        <v>39182</v>
      </c>
      <c r="P1471" s="71">
        <v>-1</v>
      </c>
      <c r="Q1471" s="71" t="b">
        <v>1</v>
      </c>
      <c r="R1471" s="22">
        <f t="shared" si="22"/>
        <v>75</v>
      </c>
    </row>
    <row r="1472" spans="1:18">
      <c r="A1472" s="71">
        <v>8735</v>
      </c>
      <c r="B1472" s="72">
        <v>39108</v>
      </c>
      <c r="C1472" s="71" t="s">
        <v>12246</v>
      </c>
      <c r="D1472" s="72">
        <v>39108</v>
      </c>
      <c r="E1472" s="71" t="s">
        <v>12247</v>
      </c>
      <c r="F1472" s="71" t="s">
        <v>5690</v>
      </c>
      <c r="G1472" s="71" t="s">
        <v>20</v>
      </c>
      <c r="H1472" s="71" t="s">
        <v>71</v>
      </c>
      <c r="I1472" s="71" t="s">
        <v>72</v>
      </c>
      <c r="J1472" s="71" t="s">
        <v>12248</v>
      </c>
      <c r="K1472" s="71" t="s">
        <v>12249</v>
      </c>
      <c r="L1472" s="71" t="s">
        <v>1946</v>
      </c>
      <c r="M1472" s="71"/>
      <c r="N1472" s="72">
        <v>39198</v>
      </c>
      <c r="O1472" s="72">
        <v>39276</v>
      </c>
      <c r="P1472" s="71"/>
      <c r="Q1472" s="71" t="b">
        <v>1</v>
      </c>
      <c r="R1472" s="22">
        <f t="shared" si="22"/>
        <v>169</v>
      </c>
    </row>
    <row r="1473" spans="1:18">
      <c r="A1473" s="71">
        <v>8780</v>
      </c>
      <c r="B1473" s="72">
        <v>39115</v>
      </c>
      <c r="C1473" s="71" t="s">
        <v>12261</v>
      </c>
      <c r="D1473" s="72">
        <v>39111</v>
      </c>
      <c r="E1473" s="71" t="s">
        <v>12262</v>
      </c>
      <c r="F1473" s="71" t="s">
        <v>27</v>
      </c>
      <c r="G1473" s="71" t="s">
        <v>20</v>
      </c>
      <c r="H1473" s="71" t="s">
        <v>71</v>
      </c>
      <c r="I1473" s="71" t="s">
        <v>72</v>
      </c>
      <c r="J1473" s="71" t="s">
        <v>12263</v>
      </c>
      <c r="K1473" s="71" t="s">
        <v>12264</v>
      </c>
      <c r="L1473" s="71" t="s">
        <v>1946</v>
      </c>
      <c r="M1473" s="71"/>
      <c r="N1473" s="72">
        <v>39201</v>
      </c>
      <c r="O1473" s="72">
        <v>39184</v>
      </c>
      <c r="P1473" s="71"/>
      <c r="Q1473" s="71" t="b">
        <v>0</v>
      </c>
      <c r="R1473" s="22">
        <f t="shared" si="22"/>
        <v>70</v>
      </c>
    </row>
    <row r="1474" spans="1:18">
      <c r="A1474" s="71">
        <v>8786</v>
      </c>
      <c r="B1474" s="72">
        <v>39115</v>
      </c>
      <c r="C1474" s="71" t="s">
        <v>12265</v>
      </c>
      <c r="D1474" s="72">
        <v>39112</v>
      </c>
      <c r="E1474" s="71" t="s">
        <v>12266</v>
      </c>
      <c r="F1474" s="71" t="s">
        <v>1686</v>
      </c>
      <c r="G1474" s="71" t="s">
        <v>20</v>
      </c>
      <c r="H1474" s="71" t="s">
        <v>71</v>
      </c>
      <c r="I1474" s="71" t="s">
        <v>72</v>
      </c>
      <c r="J1474" s="71" t="s">
        <v>12267</v>
      </c>
      <c r="K1474" s="71" t="s">
        <v>12268</v>
      </c>
      <c r="L1474" s="71" t="s">
        <v>4579</v>
      </c>
      <c r="M1474" s="71"/>
      <c r="N1474" s="72">
        <v>39202</v>
      </c>
      <c r="O1474" s="72">
        <v>39206</v>
      </c>
      <c r="P1474" s="71"/>
      <c r="Q1474" s="71" t="b">
        <v>0</v>
      </c>
      <c r="R1474" s="22">
        <f t="shared" ref="R1474:R1537" si="23">IF(O1474=" ", " ", INT(YEARFRAC(O1474, B1474)*365))</f>
        <v>93</v>
      </c>
    </row>
    <row r="1475" spans="1:18">
      <c r="A1475" s="71">
        <v>8789</v>
      </c>
      <c r="B1475" s="72">
        <v>39115</v>
      </c>
      <c r="C1475" s="71" t="s">
        <v>12272</v>
      </c>
      <c r="D1475" s="72">
        <v>39115</v>
      </c>
      <c r="E1475" s="71" t="s">
        <v>12273</v>
      </c>
      <c r="F1475" s="71" t="s">
        <v>760</v>
      </c>
      <c r="G1475" s="71" t="s">
        <v>20</v>
      </c>
      <c r="H1475" s="71" t="s">
        <v>212</v>
      </c>
      <c r="I1475" s="71" t="s">
        <v>212</v>
      </c>
      <c r="J1475" s="71" t="s">
        <v>12274</v>
      </c>
      <c r="K1475" s="71" t="s">
        <v>12275</v>
      </c>
      <c r="L1475" s="71" t="s">
        <v>1946</v>
      </c>
      <c r="M1475" s="71"/>
      <c r="N1475" s="72">
        <v>39171</v>
      </c>
      <c r="O1475" s="72">
        <v>39338</v>
      </c>
      <c r="P1475" s="71">
        <v>-1</v>
      </c>
      <c r="Q1475" s="71" t="b">
        <v>1</v>
      </c>
      <c r="R1475" s="22">
        <f t="shared" si="23"/>
        <v>224</v>
      </c>
    </row>
    <row r="1476" spans="1:18">
      <c r="A1476" s="71">
        <v>8791</v>
      </c>
      <c r="B1476" s="72">
        <v>39118</v>
      </c>
      <c r="C1476" s="71" t="s">
        <v>12279</v>
      </c>
      <c r="D1476" s="72">
        <v>39114</v>
      </c>
      <c r="E1476" s="71" t="s">
        <v>12280</v>
      </c>
      <c r="F1476" s="71" t="s">
        <v>27</v>
      </c>
      <c r="G1476" s="71" t="s">
        <v>20</v>
      </c>
      <c r="H1476" s="71" t="s">
        <v>71</v>
      </c>
      <c r="I1476" s="71" t="s">
        <v>72</v>
      </c>
      <c r="J1476" s="71" t="s">
        <v>12281</v>
      </c>
      <c r="K1476" s="71"/>
      <c r="L1476" s="71" t="s">
        <v>4579</v>
      </c>
      <c r="M1476" s="71"/>
      <c r="N1476" s="72">
        <v>39206</v>
      </c>
      <c r="O1476" s="72">
        <v>39190</v>
      </c>
      <c r="P1476" s="71"/>
      <c r="Q1476" s="71" t="b">
        <v>0</v>
      </c>
      <c r="R1476" s="22">
        <f t="shared" si="23"/>
        <v>74</v>
      </c>
    </row>
    <row r="1477" spans="1:18">
      <c r="A1477" s="71">
        <v>8793</v>
      </c>
      <c r="B1477" s="72">
        <v>39119</v>
      </c>
      <c r="C1477" s="71" t="s">
        <v>12282</v>
      </c>
      <c r="D1477" s="72">
        <v>39118</v>
      </c>
      <c r="E1477" s="71" t="s">
        <v>12283</v>
      </c>
      <c r="F1477" s="71" t="s">
        <v>6953</v>
      </c>
      <c r="G1477" s="71" t="s">
        <v>20</v>
      </c>
      <c r="H1477" s="71" t="s">
        <v>71</v>
      </c>
      <c r="I1477" s="71" t="s">
        <v>72</v>
      </c>
      <c r="J1477" s="71" t="s">
        <v>12284</v>
      </c>
      <c r="K1477" s="71" t="s">
        <v>12285</v>
      </c>
      <c r="L1477" s="71" t="s">
        <v>4579</v>
      </c>
      <c r="M1477" s="71"/>
      <c r="N1477" s="72">
        <v>39210</v>
      </c>
      <c r="O1477" s="72">
        <v>39147</v>
      </c>
      <c r="P1477" s="71"/>
      <c r="Q1477" s="71" t="b">
        <v>0</v>
      </c>
      <c r="R1477" s="22">
        <f t="shared" si="23"/>
        <v>30</v>
      </c>
    </row>
    <row r="1478" spans="1:18">
      <c r="A1478" s="71">
        <v>8805</v>
      </c>
      <c r="B1478" s="72">
        <v>39126</v>
      </c>
      <c r="C1478" s="71" t="s">
        <v>12291</v>
      </c>
      <c r="D1478" s="72">
        <v>39122</v>
      </c>
      <c r="E1478" s="71" t="s">
        <v>12292</v>
      </c>
      <c r="F1478" s="71" t="s">
        <v>39</v>
      </c>
      <c r="G1478" s="71" t="s">
        <v>20</v>
      </c>
      <c r="H1478" s="71" t="s">
        <v>71</v>
      </c>
      <c r="I1478" s="71" t="s">
        <v>72</v>
      </c>
      <c r="J1478" s="71" t="s">
        <v>12293</v>
      </c>
      <c r="K1478" s="71" t="s">
        <v>12294</v>
      </c>
      <c r="L1478" s="71" t="s">
        <v>4282</v>
      </c>
      <c r="M1478" s="71"/>
      <c r="N1478" s="72">
        <v>39213</v>
      </c>
      <c r="O1478" s="72">
        <v>39185</v>
      </c>
      <c r="P1478" s="71"/>
      <c r="Q1478" s="71" t="b">
        <v>0</v>
      </c>
      <c r="R1478" s="22">
        <f t="shared" si="23"/>
        <v>60</v>
      </c>
    </row>
    <row r="1479" spans="1:18">
      <c r="A1479" s="71">
        <v>8807</v>
      </c>
      <c r="B1479" s="72">
        <v>39127</v>
      </c>
      <c r="C1479" s="71" t="s">
        <v>12295</v>
      </c>
      <c r="D1479" s="72">
        <v>39122</v>
      </c>
      <c r="E1479" s="71" t="s">
        <v>12296</v>
      </c>
      <c r="F1479" s="71" t="s">
        <v>12297</v>
      </c>
      <c r="G1479" s="71" t="s">
        <v>20</v>
      </c>
      <c r="H1479" s="71" t="s">
        <v>71</v>
      </c>
      <c r="I1479" s="71" t="s">
        <v>72</v>
      </c>
      <c r="J1479" s="71" t="s">
        <v>12298</v>
      </c>
      <c r="K1479" s="71" t="s">
        <v>12299</v>
      </c>
      <c r="L1479" s="71" t="s">
        <v>4579</v>
      </c>
      <c r="M1479" s="71"/>
      <c r="N1479" s="72">
        <v>39167</v>
      </c>
      <c r="O1479" s="72">
        <v>39133</v>
      </c>
      <c r="P1479" s="71">
        <v>-1</v>
      </c>
      <c r="Q1479" s="71" t="b">
        <v>1</v>
      </c>
      <c r="R1479" s="22">
        <f t="shared" si="23"/>
        <v>6</v>
      </c>
    </row>
    <row r="1480" spans="1:18">
      <c r="A1480" s="71">
        <v>8809</v>
      </c>
      <c r="B1480" s="72">
        <v>39127</v>
      </c>
      <c r="C1480" s="71" t="s">
        <v>12304</v>
      </c>
      <c r="D1480" s="72">
        <v>39126</v>
      </c>
      <c r="E1480" s="71" t="s">
        <v>12305</v>
      </c>
      <c r="F1480" s="71" t="s">
        <v>5690</v>
      </c>
      <c r="G1480" s="71" t="s">
        <v>20</v>
      </c>
      <c r="H1480" s="71" t="s">
        <v>71</v>
      </c>
      <c r="I1480" s="71" t="s">
        <v>72</v>
      </c>
      <c r="J1480" s="71" t="s">
        <v>12306</v>
      </c>
      <c r="K1480" s="71" t="s">
        <v>20652</v>
      </c>
      <c r="L1480" s="71" t="s">
        <v>4579</v>
      </c>
      <c r="M1480" s="71" t="s">
        <v>8318</v>
      </c>
      <c r="N1480" s="72">
        <v>39217</v>
      </c>
      <c r="O1480" s="72">
        <v>39766</v>
      </c>
      <c r="P1480" s="71"/>
      <c r="Q1480" s="71" t="b">
        <v>0</v>
      </c>
      <c r="R1480" s="22">
        <f t="shared" si="23"/>
        <v>638</v>
      </c>
    </row>
    <row r="1481" spans="1:18">
      <c r="A1481" s="71">
        <v>8826</v>
      </c>
      <c r="B1481" s="72">
        <v>39140</v>
      </c>
      <c r="C1481" s="71" t="s">
        <v>12315</v>
      </c>
      <c r="D1481" s="72">
        <v>39135</v>
      </c>
      <c r="E1481" s="71" t="s">
        <v>12316</v>
      </c>
      <c r="F1481" s="71" t="s">
        <v>3430</v>
      </c>
      <c r="G1481" s="71" t="s">
        <v>20</v>
      </c>
      <c r="H1481" s="71" t="s">
        <v>71</v>
      </c>
      <c r="I1481" s="71" t="s">
        <v>72</v>
      </c>
      <c r="J1481" s="71" t="s">
        <v>12317</v>
      </c>
      <c r="K1481" s="71"/>
      <c r="L1481" s="71" t="s">
        <v>8318</v>
      </c>
      <c r="M1481" s="71"/>
      <c r="O1481" s="72">
        <v>39139</v>
      </c>
      <c r="P1481" s="71"/>
      <c r="Q1481" s="71" t="b">
        <v>0</v>
      </c>
      <c r="R1481" s="22">
        <f t="shared" si="23"/>
        <v>1</v>
      </c>
    </row>
    <row r="1482" spans="1:18">
      <c r="A1482" s="71">
        <v>8827</v>
      </c>
      <c r="B1482" s="72">
        <v>39142</v>
      </c>
      <c r="C1482" s="71" t="s">
        <v>12318</v>
      </c>
      <c r="D1482" s="72">
        <v>39128</v>
      </c>
      <c r="E1482" s="71" t="s">
        <v>12319</v>
      </c>
      <c r="F1482" s="71" t="s">
        <v>12320</v>
      </c>
      <c r="G1482" s="71" t="s">
        <v>20</v>
      </c>
      <c r="H1482" s="71" t="s">
        <v>71</v>
      </c>
      <c r="I1482" s="71" t="s">
        <v>72</v>
      </c>
      <c r="J1482" s="71" t="s">
        <v>9014</v>
      </c>
      <c r="K1482" s="71" t="s">
        <v>12321</v>
      </c>
      <c r="L1482" s="71" t="s">
        <v>4282</v>
      </c>
      <c r="M1482" s="71"/>
      <c r="N1482" s="72">
        <v>39181</v>
      </c>
      <c r="O1482" s="72">
        <v>39150</v>
      </c>
      <c r="P1482" s="71">
        <v>-1</v>
      </c>
      <c r="Q1482" s="71" t="b">
        <v>1</v>
      </c>
      <c r="R1482" s="22">
        <f t="shared" si="23"/>
        <v>8</v>
      </c>
    </row>
    <row r="1483" spans="1:18">
      <c r="A1483" s="71">
        <v>8828</v>
      </c>
      <c r="B1483" s="72">
        <v>39143</v>
      </c>
      <c r="C1483" s="71" t="s">
        <v>12322</v>
      </c>
      <c r="D1483" s="72">
        <v>39135</v>
      </c>
      <c r="E1483" s="71" t="s">
        <v>12323</v>
      </c>
      <c r="F1483" s="71" t="s">
        <v>242</v>
      </c>
      <c r="G1483" s="71" t="s">
        <v>20</v>
      </c>
      <c r="H1483" s="71" t="s">
        <v>71</v>
      </c>
      <c r="I1483" s="71" t="s">
        <v>72</v>
      </c>
      <c r="J1483" s="71" t="s">
        <v>12324</v>
      </c>
      <c r="K1483" s="71" t="s">
        <v>12325</v>
      </c>
      <c r="L1483" s="71" t="s">
        <v>8318</v>
      </c>
      <c r="M1483" s="71"/>
      <c r="O1483" s="72">
        <v>39143</v>
      </c>
      <c r="P1483" s="71">
        <v>-1</v>
      </c>
      <c r="Q1483" s="71" t="b">
        <v>1</v>
      </c>
      <c r="R1483" s="22">
        <f t="shared" si="23"/>
        <v>0</v>
      </c>
    </row>
    <row r="1484" spans="1:18">
      <c r="A1484" s="71">
        <v>8830</v>
      </c>
      <c r="B1484" s="72">
        <v>39147</v>
      </c>
      <c r="C1484" s="71" t="s">
        <v>12326</v>
      </c>
      <c r="D1484" s="72">
        <v>39146</v>
      </c>
      <c r="E1484" s="71" t="s">
        <v>12327</v>
      </c>
      <c r="F1484" s="71" t="s">
        <v>3171</v>
      </c>
      <c r="G1484" s="71" t="s">
        <v>20</v>
      </c>
      <c r="H1484" s="71" t="s">
        <v>566</v>
      </c>
      <c r="I1484" s="71" t="s">
        <v>566</v>
      </c>
      <c r="J1484" s="71" t="s">
        <v>12328</v>
      </c>
      <c r="K1484" s="71" t="s">
        <v>7150</v>
      </c>
      <c r="L1484" s="71" t="s">
        <v>1946</v>
      </c>
      <c r="M1484" s="71"/>
      <c r="N1484" s="72">
        <v>39238</v>
      </c>
      <c r="O1484" s="72">
        <v>39521</v>
      </c>
      <c r="P1484" s="71"/>
      <c r="Q1484" s="71" t="b">
        <v>0</v>
      </c>
      <c r="R1484" s="22">
        <f t="shared" si="23"/>
        <v>373</v>
      </c>
    </row>
    <row r="1485" spans="1:18">
      <c r="A1485" s="71">
        <v>8836</v>
      </c>
      <c r="B1485" s="72">
        <v>39156</v>
      </c>
      <c r="C1485" s="71" t="s">
        <v>12336</v>
      </c>
      <c r="D1485" s="72">
        <v>39148</v>
      </c>
      <c r="E1485" s="71" t="s">
        <v>12337</v>
      </c>
      <c r="F1485" s="71" t="s">
        <v>1678</v>
      </c>
      <c r="G1485" s="71" t="s">
        <v>20</v>
      </c>
      <c r="H1485" s="71" t="s">
        <v>566</v>
      </c>
      <c r="I1485" s="71" t="s">
        <v>566</v>
      </c>
      <c r="J1485" s="71" t="s">
        <v>12338</v>
      </c>
      <c r="K1485" s="71" t="s">
        <v>12339</v>
      </c>
      <c r="L1485" s="71" t="s">
        <v>10871</v>
      </c>
      <c r="M1485" s="71"/>
      <c r="N1485" s="72">
        <v>39241</v>
      </c>
      <c r="O1485" s="72">
        <v>39185</v>
      </c>
      <c r="P1485" s="71"/>
      <c r="Q1485" s="71" t="b">
        <v>1</v>
      </c>
      <c r="R1485" s="22">
        <f t="shared" si="23"/>
        <v>28</v>
      </c>
    </row>
    <row r="1486" spans="1:18">
      <c r="A1486" s="71">
        <v>8839</v>
      </c>
      <c r="B1486" s="72">
        <v>39156</v>
      </c>
      <c r="C1486" s="71" t="s">
        <v>12344</v>
      </c>
      <c r="D1486" s="72">
        <v>39150</v>
      </c>
      <c r="E1486" s="71" t="s">
        <v>12345</v>
      </c>
      <c r="F1486" s="71" t="s">
        <v>1232</v>
      </c>
      <c r="G1486" s="71" t="s">
        <v>20</v>
      </c>
      <c r="H1486" s="71" t="s">
        <v>189</v>
      </c>
      <c r="I1486" s="71" t="s">
        <v>189</v>
      </c>
      <c r="J1486" s="71" t="s">
        <v>12346</v>
      </c>
      <c r="K1486" s="71" t="s">
        <v>12347</v>
      </c>
      <c r="L1486" s="71" t="s">
        <v>8318</v>
      </c>
      <c r="M1486" s="71"/>
      <c r="N1486" s="72">
        <v>39248</v>
      </c>
      <c r="O1486" s="72">
        <v>39196</v>
      </c>
      <c r="P1486" s="71"/>
      <c r="Q1486" s="71" t="b">
        <v>0</v>
      </c>
      <c r="R1486" s="22">
        <f t="shared" si="23"/>
        <v>39</v>
      </c>
    </row>
    <row r="1487" spans="1:18">
      <c r="A1487" s="71">
        <v>8843</v>
      </c>
      <c r="B1487" s="72">
        <v>39164</v>
      </c>
      <c r="C1487" s="71" t="s">
        <v>12352</v>
      </c>
      <c r="D1487" s="72">
        <v>39149</v>
      </c>
      <c r="E1487" s="71" t="s">
        <v>12353</v>
      </c>
      <c r="F1487" s="71" t="s">
        <v>1232</v>
      </c>
      <c r="G1487" s="71" t="s">
        <v>20</v>
      </c>
      <c r="H1487" s="71" t="s">
        <v>71</v>
      </c>
      <c r="I1487" s="71" t="s">
        <v>72</v>
      </c>
      <c r="J1487" s="71" t="s">
        <v>6523</v>
      </c>
      <c r="K1487" s="71"/>
      <c r="L1487" s="71" t="s">
        <v>8318</v>
      </c>
      <c r="M1487" s="71"/>
      <c r="O1487" s="72">
        <v>39149</v>
      </c>
      <c r="P1487" s="71"/>
      <c r="Q1487" s="71" t="b">
        <v>0</v>
      </c>
      <c r="R1487" s="22">
        <f t="shared" si="23"/>
        <v>15</v>
      </c>
    </row>
    <row r="1488" spans="1:18">
      <c r="A1488" s="71">
        <v>8845</v>
      </c>
      <c r="B1488" s="72">
        <v>39143</v>
      </c>
      <c r="C1488" s="71" t="s">
        <v>12356</v>
      </c>
      <c r="D1488" s="72">
        <v>39141</v>
      </c>
      <c r="E1488" s="71" t="s">
        <v>12357</v>
      </c>
      <c r="F1488" s="71" t="s">
        <v>27</v>
      </c>
      <c r="G1488" s="71" t="s">
        <v>20</v>
      </c>
      <c r="H1488" s="71" t="s">
        <v>71</v>
      </c>
      <c r="I1488" s="71" t="s">
        <v>189</v>
      </c>
      <c r="J1488" s="71" t="s">
        <v>12358</v>
      </c>
      <c r="K1488" s="71"/>
      <c r="L1488" s="71" t="s">
        <v>8318</v>
      </c>
      <c r="M1488" s="71"/>
      <c r="N1488" s="72">
        <v>39235</v>
      </c>
      <c r="O1488" s="72">
        <v>39170</v>
      </c>
      <c r="P1488" s="71">
        <v>-1</v>
      </c>
      <c r="Q1488" s="71" t="b">
        <v>0</v>
      </c>
      <c r="R1488" s="22">
        <f t="shared" si="23"/>
        <v>27</v>
      </c>
    </row>
    <row r="1489" spans="1:18">
      <c r="A1489" s="71">
        <v>8848</v>
      </c>
      <c r="B1489" s="72">
        <v>39170</v>
      </c>
      <c r="C1489" s="71" t="s">
        <v>12366</v>
      </c>
      <c r="D1489" s="72">
        <v>39164</v>
      </c>
      <c r="E1489" s="71" t="s">
        <v>12367</v>
      </c>
      <c r="F1489" s="71" t="s">
        <v>5690</v>
      </c>
      <c r="G1489" s="71" t="s">
        <v>11905</v>
      </c>
      <c r="H1489" s="71" t="s">
        <v>71</v>
      </c>
      <c r="I1489" s="71" t="s">
        <v>72</v>
      </c>
      <c r="J1489" s="71" t="s">
        <v>12368</v>
      </c>
      <c r="K1489" s="71" t="s">
        <v>12369</v>
      </c>
      <c r="L1489" s="71" t="s">
        <v>4579</v>
      </c>
      <c r="M1489" s="71" t="s">
        <v>4282</v>
      </c>
      <c r="N1489" s="72">
        <v>39210</v>
      </c>
      <c r="O1489" s="72">
        <v>40261</v>
      </c>
      <c r="P1489" s="71">
        <v>-1</v>
      </c>
      <c r="Q1489" s="71" t="b">
        <v>1</v>
      </c>
      <c r="R1489" s="22">
        <f t="shared" si="23"/>
        <v>1089</v>
      </c>
    </row>
    <row r="1490" spans="1:18">
      <c r="A1490" s="71">
        <v>8851</v>
      </c>
      <c r="B1490" s="72">
        <v>39183</v>
      </c>
      <c r="C1490" s="71" t="s">
        <v>12376</v>
      </c>
      <c r="D1490" s="72">
        <v>39156</v>
      </c>
      <c r="E1490" s="71" t="s">
        <v>12377</v>
      </c>
      <c r="F1490" s="71" t="s">
        <v>12371</v>
      </c>
      <c r="G1490" s="71" t="s">
        <v>20</v>
      </c>
      <c r="H1490" s="71" t="s">
        <v>566</v>
      </c>
      <c r="I1490" s="71" t="s">
        <v>566</v>
      </c>
      <c r="J1490" s="71" t="s">
        <v>6523</v>
      </c>
      <c r="K1490" s="71" t="s">
        <v>12378</v>
      </c>
      <c r="L1490" s="71" t="s">
        <v>4282</v>
      </c>
      <c r="M1490" s="71"/>
      <c r="N1490" s="72">
        <v>39252</v>
      </c>
      <c r="O1490" s="72">
        <v>39260</v>
      </c>
      <c r="P1490" s="71">
        <v>-1</v>
      </c>
      <c r="Q1490" s="71" t="b">
        <v>1</v>
      </c>
      <c r="R1490" s="22">
        <f t="shared" si="23"/>
        <v>77</v>
      </c>
    </row>
    <row r="1491" spans="1:18">
      <c r="A1491" s="71">
        <v>8852</v>
      </c>
      <c r="B1491" s="72">
        <v>39184</v>
      </c>
      <c r="C1491" s="71" t="s">
        <v>12379</v>
      </c>
      <c r="D1491" s="72">
        <v>39170</v>
      </c>
      <c r="E1491" s="71" t="s">
        <v>12380</v>
      </c>
      <c r="F1491" s="71" t="s">
        <v>228</v>
      </c>
      <c r="G1491" s="71" t="s">
        <v>20</v>
      </c>
      <c r="H1491" s="71" t="s">
        <v>71</v>
      </c>
      <c r="I1491" s="71" t="s">
        <v>72</v>
      </c>
      <c r="J1491" s="71" t="s">
        <v>12381</v>
      </c>
      <c r="K1491" s="71"/>
      <c r="L1491" s="71" t="s">
        <v>1946</v>
      </c>
      <c r="M1491" s="71"/>
      <c r="N1491" s="72">
        <v>39222</v>
      </c>
      <c r="O1491" s="72">
        <v>39295</v>
      </c>
      <c r="P1491" s="71">
        <v>-1</v>
      </c>
      <c r="Q1491" s="71" t="b">
        <v>1</v>
      </c>
      <c r="R1491" s="22">
        <f t="shared" si="23"/>
        <v>110</v>
      </c>
    </row>
    <row r="1492" spans="1:18">
      <c r="A1492" s="71">
        <v>8853</v>
      </c>
      <c r="B1492" s="72">
        <v>39184</v>
      </c>
      <c r="C1492" s="71" t="s">
        <v>12382</v>
      </c>
      <c r="D1492" s="72">
        <v>39170</v>
      </c>
      <c r="E1492" s="71" t="s">
        <v>12383</v>
      </c>
      <c r="F1492" s="71" t="s">
        <v>327</v>
      </c>
      <c r="G1492" s="71" t="s">
        <v>20</v>
      </c>
      <c r="H1492" s="71" t="s">
        <v>71</v>
      </c>
      <c r="I1492" s="71" t="s">
        <v>72</v>
      </c>
      <c r="J1492" s="71" t="s">
        <v>12384</v>
      </c>
      <c r="K1492" s="71" t="s">
        <v>12385</v>
      </c>
      <c r="L1492" s="71" t="s">
        <v>1946</v>
      </c>
      <c r="M1492" s="71"/>
      <c r="N1492" s="72">
        <v>39222</v>
      </c>
      <c r="O1492" s="72">
        <v>40626</v>
      </c>
      <c r="P1492" s="71">
        <v>-1</v>
      </c>
      <c r="Q1492" s="71" t="b">
        <v>1</v>
      </c>
      <c r="R1492" s="22">
        <f t="shared" si="23"/>
        <v>1441</v>
      </c>
    </row>
    <row r="1493" spans="1:18">
      <c r="A1493" s="71">
        <v>8854</v>
      </c>
      <c r="B1493" s="72">
        <v>39184</v>
      </c>
      <c r="C1493" s="71" t="s">
        <v>12379</v>
      </c>
      <c r="D1493" s="72">
        <v>39174</v>
      </c>
      <c r="E1493" s="71" t="s">
        <v>12386</v>
      </c>
      <c r="F1493" s="71" t="s">
        <v>283</v>
      </c>
      <c r="G1493" s="71" t="s">
        <v>20</v>
      </c>
      <c r="H1493" s="71" t="s">
        <v>71</v>
      </c>
      <c r="I1493" s="71" t="s">
        <v>72</v>
      </c>
      <c r="J1493" s="71" t="s">
        <v>7318</v>
      </c>
      <c r="K1493" s="71"/>
      <c r="L1493" s="71" t="s">
        <v>8318</v>
      </c>
      <c r="M1493" s="71"/>
      <c r="N1493" s="72">
        <v>39267</v>
      </c>
      <c r="O1493" s="72">
        <v>39196</v>
      </c>
      <c r="P1493" s="71"/>
      <c r="Q1493" s="71" t="b">
        <v>0</v>
      </c>
      <c r="R1493" s="22">
        <f t="shared" si="23"/>
        <v>12</v>
      </c>
    </row>
    <row r="1494" spans="1:18">
      <c r="A1494" s="71">
        <v>8855</v>
      </c>
      <c r="B1494" s="72">
        <v>39184</v>
      </c>
      <c r="C1494" s="71" t="s">
        <v>12387</v>
      </c>
      <c r="D1494" s="72">
        <v>39170</v>
      </c>
      <c r="E1494" s="71" t="s">
        <v>12388</v>
      </c>
      <c r="F1494" s="71" t="s">
        <v>70</v>
      </c>
      <c r="G1494" s="71" t="s">
        <v>20</v>
      </c>
      <c r="H1494" s="71" t="s">
        <v>71</v>
      </c>
      <c r="I1494" s="71" t="s">
        <v>72</v>
      </c>
      <c r="J1494" s="71" t="s">
        <v>12389</v>
      </c>
      <c r="K1494" s="71"/>
      <c r="L1494" s="71" t="s">
        <v>4579</v>
      </c>
      <c r="M1494" s="71"/>
      <c r="N1494" s="72">
        <v>39222</v>
      </c>
      <c r="O1494" s="72">
        <v>39192</v>
      </c>
      <c r="P1494" s="71">
        <v>-1</v>
      </c>
      <c r="Q1494" s="71" t="b">
        <v>1</v>
      </c>
      <c r="R1494" s="22">
        <f t="shared" si="23"/>
        <v>8</v>
      </c>
    </row>
    <row r="1495" spans="1:18">
      <c r="A1495" s="71">
        <v>8856</v>
      </c>
      <c r="B1495" s="72">
        <v>39184</v>
      </c>
      <c r="C1495" s="71" t="s">
        <v>12390</v>
      </c>
      <c r="D1495" s="72">
        <v>39174</v>
      </c>
      <c r="E1495" s="71" t="s">
        <v>12391</v>
      </c>
      <c r="F1495" s="71" t="s">
        <v>350</v>
      </c>
      <c r="G1495" s="71" t="s">
        <v>20</v>
      </c>
      <c r="H1495" s="71" t="s">
        <v>71</v>
      </c>
      <c r="I1495" s="71" t="s">
        <v>72</v>
      </c>
      <c r="J1495" s="71" t="s">
        <v>12392</v>
      </c>
      <c r="K1495" s="71" t="s">
        <v>12393</v>
      </c>
      <c r="L1495" s="71" t="s">
        <v>4282</v>
      </c>
      <c r="M1495" s="71"/>
      <c r="N1495" s="72">
        <v>39268</v>
      </c>
      <c r="O1495" s="72">
        <v>39212</v>
      </c>
      <c r="P1495" s="71">
        <v>-1</v>
      </c>
      <c r="Q1495" s="71" t="b">
        <v>1</v>
      </c>
      <c r="R1495" s="22">
        <f t="shared" si="23"/>
        <v>28</v>
      </c>
    </row>
    <row r="1496" spans="1:18">
      <c r="A1496" s="71">
        <v>8857</v>
      </c>
      <c r="B1496" s="72">
        <v>39184</v>
      </c>
      <c r="C1496" s="71" t="s">
        <v>12394</v>
      </c>
      <c r="D1496" s="72">
        <v>39174</v>
      </c>
      <c r="E1496" s="71" t="s">
        <v>12395</v>
      </c>
      <c r="F1496" s="71" t="s">
        <v>70</v>
      </c>
      <c r="G1496" s="71" t="s">
        <v>20</v>
      </c>
      <c r="H1496" s="71" t="s">
        <v>71</v>
      </c>
      <c r="I1496" s="71" t="s">
        <v>72</v>
      </c>
      <c r="J1496" s="71" t="s">
        <v>12396</v>
      </c>
      <c r="K1496" s="71" t="s">
        <v>12397</v>
      </c>
      <c r="L1496" s="71" t="s">
        <v>4579</v>
      </c>
      <c r="M1496" s="71" t="s">
        <v>10871</v>
      </c>
      <c r="N1496" s="72">
        <v>39227</v>
      </c>
      <c r="O1496" s="72">
        <v>39524</v>
      </c>
      <c r="P1496" s="71">
        <v>-1</v>
      </c>
      <c r="Q1496" s="71" t="b">
        <v>1</v>
      </c>
      <c r="R1496" s="22">
        <f t="shared" si="23"/>
        <v>339</v>
      </c>
    </row>
    <row r="1497" spans="1:18">
      <c r="A1497" s="71">
        <v>8859</v>
      </c>
      <c r="B1497" s="72">
        <v>39185</v>
      </c>
      <c r="C1497" s="71" t="s">
        <v>12400</v>
      </c>
      <c r="D1497" s="72">
        <v>39184</v>
      </c>
      <c r="E1497" s="71" t="s">
        <v>12401</v>
      </c>
      <c r="F1497" s="71" t="s">
        <v>8522</v>
      </c>
      <c r="G1497" s="71" t="s">
        <v>20</v>
      </c>
      <c r="H1497" s="71" t="s">
        <v>189</v>
      </c>
      <c r="I1497" s="71" t="s">
        <v>189</v>
      </c>
      <c r="J1497" s="71" t="s">
        <v>12402</v>
      </c>
      <c r="K1497" s="71"/>
      <c r="L1497" s="71" t="s">
        <v>8318</v>
      </c>
      <c r="M1497" s="71"/>
      <c r="N1497" s="72">
        <v>39233</v>
      </c>
      <c r="O1497" s="72">
        <v>39191</v>
      </c>
      <c r="P1497" s="71">
        <v>-1</v>
      </c>
      <c r="Q1497" s="71" t="b">
        <v>1</v>
      </c>
      <c r="R1497" s="22">
        <f t="shared" si="23"/>
        <v>6</v>
      </c>
    </row>
    <row r="1498" spans="1:18">
      <c r="A1498" s="71">
        <v>8861</v>
      </c>
      <c r="B1498" s="72">
        <v>39189</v>
      </c>
      <c r="C1498" s="71" t="s">
        <v>12406</v>
      </c>
      <c r="D1498" s="72">
        <v>39189</v>
      </c>
      <c r="E1498" s="71" t="s">
        <v>12407</v>
      </c>
      <c r="F1498" s="71" t="s">
        <v>12408</v>
      </c>
      <c r="G1498" s="71" t="s">
        <v>20</v>
      </c>
      <c r="H1498" s="71" t="s">
        <v>71</v>
      </c>
      <c r="I1498" s="71" t="s">
        <v>72</v>
      </c>
      <c r="J1498" s="71" t="s">
        <v>12409</v>
      </c>
      <c r="K1498" s="71" t="s">
        <v>12410</v>
      </c>
      <c r="L1498" s="71" t="s">
        <v>4579</v>
      </c>
      <c r="M1498" s="71"/>
      <c r="O1498" s="72">
        <v>39190</v>
      </c>
      <c r="P1498" s="71"/>
      <c r="Q1498" s="71" t="b">
        <v>0</v>
      </c>
      <c r="R1498" s="22">
        <f t="shared" si="23"/>
        <v>1</v>
      </c>
    </row>
    <row r="1499" spans="1:18">
      <c r="A1499" s="71">
        <v>8862</v>
      </c>
      <c r="B1499" s="72">
        <v>39189</v>
      </c>
      <c r="C1499" s="71" t="s">
        <v>12411</v>
      </c>
      <c r="D1499" s="72">
        <v>39189</v>
      </c>
      <c r="E1499" s="71" t="s">
        <v>12412</v>
      </c>
      <c r="F1499" s="71" t="s">
        <v>52</v>
      </c>
      <c r="G1499" s="71" t="s">
        <v>20</v>
      </c>
      <c r="H1499" s="71" t="s">
        <v>71</v>
      </c>
      <c r="I1499" s="71" t="s">
        <v>72</v>
      </c>
      <c r="J1499" s="71" t="s">
        <v>12413</v>
      </c>
      <c r="K1499" s="71"/>
      <c r="L1499" s="71" t="s">
        <v>4579</v>
      </c>
      <c r="M1499" s="71"/>
      <c r="O1499" s="72">
        <v>39190</v>
      </c>
      <c r="P1499" s="71"/>
      <c r="Q1499" s="71" t="b">
        <v>0</v>
      </c>
      <c r="R1499" s="22">
        <f t="shared" si="23"/>
        <v>1</v>
      </c>
    </row>
    <row r="1500" spans="1:18">
      <c r="A1500" s="71">
        <v>8863</v>
      </c>
      <c r="B1500" s="72">
        <v>39190</v>
      </c>
      <c r="C1500" s="71" t="s">
        <v>12414</v>
      </c>
      <c r="D1500" s="72">
        <v>39182</v>
      </c>
      <c r="E1500" s="71" t="s">
        <v>12415</v>
      </c>
      <c r="F1500" s="71" t="s">
        <v>1232</v>
      </c>
      <c r="G1500" s="71" t="s">
        <v>20</v>
      </c>
      <c r="H1500" s="71" t="s">
        <v>189</v>
      </c>
      <c r="I1500" s="71" t="s">
        <v>189</v>
      </c>
      <c r="J1500" s="71" t="s">
        <v>12416</v>
      </c>
      <c r="K1500" s="71" t="s">
        <v>12417</v>
      </c>
      <c r="L1500" s="71" t="s">
        <v>8318</v>
      </c>
      <c r="M1500" s="71"/>
      <c r="O1500" s="72">
        <v>39191</v>
      </c>
      <c r="P1500" s="71"/>
      <c r="Q1500" s="71" t="b">
        <v>0</v>
      </c>
      <c r="R1500" s="22">
        <f t="shared" si="23"/>
        <v>1</v>
      </c>
    </row>
    <row r="1501" spans="1:18">
      <c r="A1501" s="71">
        <v>8867</v>
      </c>
      <c r="B1501" s="72">
        <v>39195</v>
      </c>
      <c r="C1501" s="71" t="s">
        <v>12429</v>
      </c>
      <c r="D1501" s="72">
        <v>39192</v>
      </c>
      <c r="E1501" s="71" t="s">
        <v>12430</v>
      </c>
      <c r="F1501" s="71" t="s">
        <v>104</v>
      </c>
      <c r="G1501" s="71" t="s">
        <v>20</v>
      </c>
      <c r="H1501" s="71" t="s">
        <v>71</v>
      </c>
      <c r="I1501" s="71" t="s">
        <v>72</v>
      </c>
      <c r="J1501" s="71" t="s">
        <v>9918</v>
      </c>
      <c r="K1501" s="71" t="s">
        <v>12431</v>
      </c>
      <c r="L1501" s="71" t="s">
        <v>4579</v>
      </c>
      <c r="M1501" s="71" t="s">
        <v>4282</v>
      </c>
      <c r="N1501" s="72">
        <v>39241</v>
      </c>
      <c r="O1501" s="72">
        <v>40406</v>
      </c>
      <c r="P1501" s="71">
        <v>-1</v>
      </c>
      <c r="Q1501" s="71" t="b">
        <v>1</v>
      </c>
      <c r="R1501" s="22">
        <f t="shared" si="23"/>
        <v>1209</v>
      </c>
    </row>
    <row r="1502" spans="1:18">
      <c r="A1502" s="71">
        <v>8870</v>
      </c>
      <c r="B1502" s="72">
        <v>39202</v>
      </c>
      <c r="C1502" s="71" t="s">
        <v>12435</v>
      </c>
      <c r="D1502" s="72">
        <v>39202</v>
      </c>
      <c r="E1502" s="71" t="s">
        <v>12436</v>
      </c>
      <c r="F1502" s="71" t="s">
        <v>12437</v>
      </c>
      <c r="G1502" s="71" t="s">
        <v>20</v>
      </c>
      <c r="H1502" s="71" t="s">
        <v>566</v>
      </c>
      <c r="I1502" s="71" t="s">
        <v>566</v>
      </c>
      <c r="J1502" s="71" t="s">
        <v>9218</v>
      </c>
      <c r="K1502" s="71" t="s">
        <v>11243</v>
      </c>
      <c r="L1502" s="71" t="s">
        <v>4579</v>
      </c>
      <c r="M1502" s="71"/>
      <c r="N1502" s="72">
        <v>39293</v>
      </c>
      <c r="O1502" s="72">
        <v>39205</v>
      </c>
      <c r="P1502" s="71"/>
      <c r="Q1502" s="71" t="b">
        <v>0</v>
      </c>
      <c r="R1502" s="22">
        <f t="shared" si="23"/>
        <v>3</v>
      </c>
    </row>
    <row r="1503" spans="1:18">
      <c r="A1503" s="71">
        <v>8873</v>
      </c>
      <c r="B1503" s="72">
        <v>39202</v>
      </c>
      <c r="C1503" s="71" t="s">
        <v>12444</v>
      </c>
      <c r="D1503" s="72">
        <v>39202</v>
      </c>
      <c r="E1503" s="71" t="s">
        <v>12445</v>
      </c>
      <c r="F1503" s="71" t="s">
        <v>52</v>
      </c>
      <c r="G1503" s="71" t="s">
        <v>20</v>
      </c>
      <c r="H1503" s="71" t="s">
        <v>189</v>
      </c>
      <c r="I1503" s="71" t="s">
        <v>212</v>
      </c>
      <c r="J1503" s="71" t="s">
        <v>20651</v>
      </c>
      <c r="K1503" s="71" t="s">
        <v>12447</v>
      </c>
      <c r="L1503" s="71" t="s">
        <v>8318</v>
      </c>
      <c r="M1503" s="71"/>
      <c r="N1503" s="72">
        <v>39247</v>
      </c>
      <c r="O1503" s="72">
        <v>39203</v>
      </c>
      <c r="P1503" s="71"/>
      <c r="Q1503" s="71" t="b">
        <v>0</v>
      </c>
      <c r="R1503" s="22">
        <f t="shared" si="23"/>
        <v>1</v>
      </c>
    </row>
    <row r="1504" spans="1:18">
      <c r="A1504" s="71">
        <v>8879</v>
      </c>
      <c r="B1504" s="72">
        <v>39206</v>
      </c>
      <c r="C1504" s="71" t="s">
        <v>12457</v>
      </c>
      <c r="D1504" s="72">
        <v>39204</v>
      </c>
      <c r="E1504" s="71" t="s">
        <v>12458</v>
      </c>
      <c r="F1504" s="71" t="s">
        <v>9198</v>
      </c>
      <c r="G1504" s="71" t="s">
        <v>20</v>
      </c>
      <c r="H1504" s="71" t="s">
        <v>71</v>
      </c>
      <c r="I1504" s="71" t="s">
        <v>72</v>
      </c>
      <c r="J1504" s="71" t="s">
        <v>12459</v>
      </c>
      <c r="K1504" s="71" t="s">
        <v>12460</v>
      </c>
      <c r="L1504" s="71" t="s">
        <v>8318</v>
      </c>
      <c r="M1504" s="71"/>
      <c r="N1504" s="72">
        <v>39253</v>
      </c>
      <c r="O1504" s="72">
        <v>39206</v>
      </c>
      <c r="P1504" s="71"/>
      <c r="Q1504" s="71" t="b">
        <v>1</v>
      </c>
      <c r="R1504" s="22">
        <f t="shared" si="23"/>
        <v>0</v>
      </c>
    </row>
    <row r="1505" spans="1:18">
      <c r="A1505" s="71">
        <v>8880</v>
      </c>
      <c r="B1505" s="72">
        <v>39206</v>
      </c>
      <c r="C1505" s="71" t="s">
        <v>12461</v>
      </c>
      <c r="D1505" s="72">
        <v>39204</v>
      </c>
      <c r="E1505" s="71" t="s">
        <v>12462</v>
      </c>
      <c r="F1505" s="71" t="s">
        <v>1232</v>
      </c>
      <c r="G1505" s="71" t="s">
        <v>20</v>
      </c>
      <c r="H1505" s="71" t="s">
        <v>189</v>
      </c>
      <c r="I1505" s="71" t="s">
        <v>189</v>
      </c>
      <c r="J1505" s="71" t="s">
        <v>12463</v>
      </c>
      <c r="K1505" s="71" t="s">
        <v>12464</v>
      </c>
      <c r="L1505" s="71" t="s">
        <v>8318</v>
      </c>
      <c r="M1505" s="71"/>
      <c r="N1505" s="72">
        <v>39298</v>
      </c>
      <c r="O1505" s="72">
        <v>39217</v>
      </c>
      <c r="P1505" s="71"/>
      <c r="Q1505" s="71" t="b">
        <v>0</v>
      </c>
      <c r="R1505" s="22">
        <f t="shared" si="23"/>
        <v>11</v>
      </c>
    </row>
    <row r="1506" spans="1:18">
      <c r="A1506" s="71">
        <v>8881</v>
      </c>
      <c r="B1506" s="72">
        <v>39211</v>
      </c>
      <c r="C1506" s="71" t="s">
        <v>12465</v>
      </c>
      <c r="D1506" s="72">
        <v>39163</v>
      </c>
      <c r="E1506" s="71" t="s">
        <v>12466</v>
      </c>
      <c r="F1506" s="71" t="s">
        <v>12467</v>
      </c>
      <c r="G1506" s="71" t="s">
        <v>20</v>
      </c>
      <c r="H1506" s="71" t="s">
        <v>212</v>
      </c>
      <c r="I1506" s="71" t="s">
        <v>212</v>
      </c>
      <c r="J1506" s="71" t="s">
        <v>6523</v>
      </c>
      <c r="K1506" s="71"/>
      <c r="L1506" s="71" t="s">
        <v>8318</v>
      </c>
      <c r="M1506" s="71"/>
      <c r="O1506" s="72">
        <v>39211</v>
      </c>
      <c r="P1506" s="71">
        <v>-1</v>
      </c>
      <c r="Q1506" s="71" t="b">
        <v>1</v>
      </c>
      <c r="R1506" s="22">
        <f t="shared" si="23"/>
        <v>0</v>
      </c>
    </row>
    <row r="1507" spans="1:18">
      <c r="A1507" s="71">
        <v>8882</v>
      </c>
      <c r="B1507" s="72">
        <v>39212</v>
      </c>
      <c r="C1507" s="71" t="s">
        <v>12468</v>
      </c>
      <c r="D1507" s="72">
        <v>39177</v>
      </c>
      <c r="E1507" s="71" t="s">
        <v>12469</v>
      </c>
      <c r="F1507" s="71" t="s">
        <v>350</v>
      </c>
      <c r="G1507" s="71" t="s">
        <v>20</v>
      </c>
      <c r="H1507" s="71" t="s">
        <v>71</v>
      </c>
      <c r="I1507" s="71" t="s">
        <v>72</v>
      </c>
      <c r="J1507" s="71" t="s">
        <v>12392</v>
      </c>
      <c r="K1507" s="71" t="s">
        <v>12393</v>
      </c>
      <c r="L1507" s="71" t="s">
        <v>4282</v>
      </c>
      <c r="M1507" s="71"/>
      <c r="O1507" s="72">
        <v>40452</v>
      </c>
      <c r="P1507" s="71">
        <v>-1</v>
      </c>
      <c r="Q1507" s="71" t="b">
        <v>1</v>
      </c>
      <c r="R1507" s="22">
        <f t="shared" si="23"/>
        <v>1237</v>
      </c>
    </row>
    <row r="1508" spans="1:18">
      <c r="A1508" s="71">
        <v>8883</v>
      </c>
      <c r="B1508" s="72">
        <v>39217</v>
      </c>
      <c r="C1508" s="71" t="s">
        <v>12470</v>
      </c>
      <c r="D1508" s="72">
        <v>39213</v>
      </c>
      <c r="E1508" s="71" t="s">
        <v>12471</v>
      </c>
      <c r="F1508" s="71" t="s">
        <v>124</v>
      </c>
      <c r="G1508" s="71" t="s">
        <v>20</v>
      </c>
      <c r="H1508" s="71" t="s">
        <v>71</v>
      </c>
      <c r="I1508" s="71" t="s">
        <v>72</v>
      </c>
      <c r="J1508" s="71" t="s">
        <v>6406</v>
      </c>
      <c r="K1508" s="71" t="s">
        <v>12472</v>
      </c>
      <c r="L1508" s="71" t="s">
        <v>1946</v>
      </c>
      <c r="M1508" s="71"/>
      <c r="N1508" s="72">
        <v>39264</v>
      </c>
      <c r="O1508" s="72">
        <v>40556</v>
      </c>
      <c r="P1508" s="71">
        <v>-1</v>
      </c>
      <c r="Q1508" s="71" t="b">
        <v>1</v>
      </c>
      <c r="R1508" s="22">
        <f t="shared" si="23"/>
        <v>1336</v>
      </c>
    </row>
    <row r="1509" spans="1:18">
      <c r="A1509" s="71">
        <v>8884</v>
      </c>
      <c r="B1509" s="72">
        <v>39218</v>
      </c>
      <c r="C1509" s="71" t="s">
        <v>12473</v>
      </c>
      <c r="D1509" s="72">
        <v>39217</v>
      </c>
      <c r="E1509" s="71" t="s">
        <v>12474</v>
      </c>
      <c r="F1509" s="71" t="s">
        <v>974</v>
      </c>
      <c r="G1509" s="71" t="s">
        <v>20</v>
      </c>
      <c r="H1509" s="71" t="s">
        <v>212</v>
      </c>
      <c r="I1509" s="71" t="s">
        <v>212</v>
      </c>
      <c r="J1509" s="71" t="s">
        <v>12475</v>
      </c>
      <c r="K1509" s="71" t="s">
        <v>12476</v>
      </c>
      <c r="L1509" s="71" t="s">
        <v>4282</v>
      </c>
      <c r="M1509" s="71"/>
      <c r="N1509" s="72">
        <v>39309</v>
      </c>
      <c r="O1509" s="72">
        <v>39329</v>
      </c>
      <c r="P1509" s="71">
        <v>-1</v>
      </c>
      <c r="Q1509" s="71" t="b">
        <v>1</v>
      </c>
      <c r="R1509" s="22">
        <f t="shared" si="23"/>
        <v>109</v>
      </c>
    </row>
    <row r="1510" spans="1:18">
      <c r="A1510" s="71">
        <v>8885</v>
      </c>
      <c r="B1510" s="72">
        <v>39224</v>
      </c>
      <c r="C1510" s="71" t="s">
        <v>12477</v>
      </c>
      <c r="D1510" s="72">
        <v>39219</v>
      </c>
      <c r="E1510" s="71" t="s">
        <v>12478</v>
      </c>
      <c r="F1510" s="71" t="s">
        <v>12479</v>
      </c>
      <c r="G1510" s="71" t="s">
        <v>20</v>
      </c>
      <c r="H1510" s="71" t="s">
        <v>71</v>
      </c>
      <c r="I1510" s="71" t="s">
        <v>72</v>
      </c>
      <c r="J1510" s="71" t="s">
        <v>12480</v>
      </c>
      <c r="K1510" s="71" t="s">
        <v>3325</v>
      </c>
      <c r="L1510" s="71" t="s">
        <v>4579</v>
      </c>
      <c r="M1510" s="71"/>
      <c r="N1510" s="72">
        <v>39266</v>
      </c>
      <c r="O1510" s="72">
        <v>39281</v>
      </c>
      <c r="P1510" s="71">
        <v>-1</v>
      </c>
      <c r="Q1510" s="71" t="b">
        <v>1</v>
      </c>
      <c r="R1510" s="22">
        <f t="shared" si="23"/>
        <v>56</v>
      </c>
    </row>
    <row r="1511" spans="1:18">
      <c r="A1511" s="71">
        <v>8899</v>
      </c>
      <c r="B1511" s="72">
        <v>39252</v>
      </c>
      <c r="C1511" s="71" t="s">
        <v>12502</v>
      </c>
      <c r="D1511" s="72">
        <v>39252</v>
      </c>
      <c r="E1511" s="71" t="s">
        <v>12503</v>
      </c>
      <c r="F1511" s="71" t="s">
        <v>12504</v>
      </c>
      <c r="G1511" s="71" t="s">
        <v>20</v>
      </c>
      <c r="H1511" s="71" t="s">
        <v>71</v>
      </c>
      <c r="I1511" s="71" t="s">
        <v>72</v>
      </c>
      <c r="J1511" s="71" t="s">
        <v>12505</v>
      </c>
      <c r="K1511" s="71"/>
      <c r="L1511" s="71" t="s">
        <v>3588</v>
      </c>
      <c r="M1511" s="71" t="s">
        <v>11271</v>
      </c>
      <c r="N1511" s="72">
        <v>39344</v>
      </c>
      <c r="O1511" s="72">
        <v>40185</v>
      </c>
      <c r="P1511" s="71"/>
      <c r="Q1511" s="71" t="b">
        <v>0</v>
      </c>
      <c r="R1511" s="22">
        <f t="shared" si="23"/>
        <v>930</v>
      </c>
    </row>
    <row r="1512" spans="1:18">
      <c r="A1512" s="71">
        <v>8907</v>
      </c>
      <c r="B1512" s="72">
        <v>39261</v>
      </c>
      <c r="C1512" s="71" t="s">
        <v>12528</v>
      </c>
      <c r="D1512" s="72">
        <v>39261</v>
      </c>
      <c r="E1512" s="71" t="s">
        <v>12529</v>
      </c>
      <c r="F1512" s="71" t="s">
        <v>6953</v>
      </c>
      <c r="G1512" s="71" t="s">
        <v>20</v>
      </c>
      <c r="H1512" s="71" t="s">
        <v>71</v>
      </c>
      <c r="I1512" s="71" t="s">
        <v>72</v>
      </c>
      <c r="J1512" s="71" t="s">
        <v>12530</v>
      </c>
      <c r="K1512" s="71" t="s">
        <v>12531</v>
      </c>
      <c r="L1512" s="71" t="s">
        <v>8318</v>
      </c>
      <c r="M1512" s="71"/>
      <c r="O1512" s="72">
        <v>39261</v>
      </c>
      <c r="P1512" s="71"/>
      <c r="Q1512" s="71" t="b">
        <v>0</v>
      </c>
      <c r="R1512" s="22">
        <f t="shared" si="23"/>
        <v>0</v>
      </c>
    </row>
    <row r="1513" spans="1:18">
      <c r="A1513" s="71">
        <v>8910</v>
      </c>
      <c r="B1513" s="72">
        <v>39262</v>
      </c>
      <c r="C1513" s="71" t="s">
        <v>12532</v>
      </c>
      <c r="D1513" s="72">
        <v>39262</v>
      </c>
      <c r="E1513" s="71" t="s">
        <v>12533</v>
      </c>
      <c r="F1513" s="71" t="s">
        <v>12534</v>
      </c>
      <c r="G1513" s="71" t="s">
        <v>20</v>
      </c>
      <c r="H1513" s="71" t="s">
        <v>71</v>
      </c>
      <c r="I1513" s="71" t="s">
        <v>72</v>
      </c>
      <c r="J1513" s="71" t="s">
        <v>4690</v>
      </c>
      <c r="K1513" s="71" t="s">
        <v>12535</v>
      </c>
      <c r="L1513" s="71" t="s">
        <v>4282</v>
      </c>
      <c r="M1513" s="71"/>
      <c r="N1513" s="72">
        <v>39309</v>
      </c>
      <c r="O1513" s="72">
        <v>39371</v>
      </c>
      <c r="P1513" s="71"/>
      <c r="Q1513" s="71" t="b">
        <v>0</v>
      </c>
      <c r="R1513" s="22">
        <f t="shared" si="23"/>
        <v>108</v>
      </c>
    </row>
    <row r="1514" spans="1:18">
      <c r="A1514" s="71">
        <v>8912</v>
      </c>
      <c r="B1514" s="72">
        <v>39260</v>
      </c>
      <c r="C1514" s="71" t="s">
        <v>12540</v>
      </c>
      <c r="D1514" s="72">
        <v>39260</v>
      </c>
      <c r="E1514" s="71" t="s">
        <v>12541</v>
      </c>
      <c r="F1514" s="71" t="s">
        <v>104</v>
      </c>
      <c r="G1514" s="71" t="s">
        <v>20</v>
      </c>
      <c r="H1514" s="71" t="s">
        <v>71</v>
      </c>
      <c r="I1514" s="71" t="s">
        <v>72</v>
      </c>
      <c r="J1514" s="71" t="s">
        <v>12542</v>
      </c>
      <c r="K1514" s="71" t="s">
        <v>12543</v>
      </c>
      <c r="L1514" s="71" t="s">
        <v>1946</v>
      </c>
      <c r="M1514" s="71"/>
      <c r="N1514" s="72">
        <v>39307</v>
      </c>
      <c r="O1514" s="72">
        <v>39624</v>
      </c>
      <c r="P1514" s="71"/>
      <c r="Q1514" s="71" t="b">
        <v>0</v>
      </c>
      <c r="R1514" s="22">
        <f t="shared" si="23"/>
        <v>362</v>
      </c>
    </row>
    <row r="1515" spans="1:18">
      <c r="A1515" s="71">
        <v>8914</v>
      </c>
      <c r="B1515" s="72">
        <v>39273</v>
      </c>
      <c r="C1515" s="71" t="s">
        <v>12547</v>
      </c>
      <c r="D1515" s="72">
        <v>39273</v>
      </c>
      <c r="E1515" s="71" t="s">
        <v>12548</v>
      </c>
      <c r="F1515" s="71" t="s">
        <v>1771</v>
      </c>
      <c r="G1515" s="71" t="s">
        <v>20</v>
      </c>
      <c r="H1515" s="71" t="s">
        <v>71</v>
      </c>
      <c r="I1515" s="71" t="s">
        <v>189</v>
      </c>
      <c r="J1515" s="71" t="s">
        <v>12549</v>
      </c>
      <c r="K1515" s="71"/>
      <c r="L1515" s="71" t="s">
        <v>1946</v>
      </c>
      <c r="M1515" s="71"/>
      <c r="N1515" s="72">
        <v>39318</v>
      </c>
      <c r="O1515" s="72">
        <v>39307</v>
      </c>
      <c r="P1515" s="71"/>
      <c r="Q1515" s="71" t="b">
        <v>0</v>
      </c>
      <c r="R1515" s="22">
        <f t="shared" si="23"/>
        <v>33</v>
      </c>
    </row>
    <row r="1516" spans="1:18">
      <c r="A1516" s="71">
        <v>8915</v>
      </c>
      <c r="B1516" s="72">
        <v>39261</v>
      </c>
      <c r="C1516" s="71" t="s">
        <v>12550</v>
      </c>
      <c r="D1516" s="72">
        <v>39261</v>
      </c>
      <c r="E1516" s="71" t="s">
        <v>12551</v>
      </c>
      <c r="F1516" s="71" t="s">
        <v>3430</v>
      </c>
      <c r="G1516" s="71" t="s">
        <v>20</v>
      </c>
      <c r="H1516" s="71" t="s">
        <v>71</v>
      </c>
      <c r="I1516" s="71" t="s">
        <v>72</v>
      </c>
      <c r="J1516" s="71" t="s">
        <v>12552</v>
      </c>
      <c r="K1516" s="71"/>
      <c r="L1516" s="71" t="s">
        <v>4579</v>
      </c>
      <c r="M1516" s="71"/>
      <c r="N1516" s="72">
        <v>39307</v>
      </c>
      <c r="O1516" s="72">
        <v>39275</v>
      </c>
      <c r="P1516" s="71"/>
      <c r="Q1516" s="71" t="b">
        <v>1</v>
      </c>
      <c r="R1516" s="22">
        <f t="shared" si="23"/>
        <v>14</v>
      </c>
    </row>
    <row r="1517" spans="1:18">
      <c r="A1517" s="71">
        <v>8916</v>
      </c>
      <c r="B1517" s="72">
        <v>39273</v>
      </c>
      <c r="C1517" s="71" t="s">
        <v>12553</v>
      </c>
      <c r="D1517" s="72">
        <v>39269</v>
      </c>
      <c r="E1517" s="71" t="s">
        <v>12554</v>
      </c>
      <c r="F1517" s="71" t="s">
        <v>194</v>
      </c>
      <c r="G1517" s="71" t="s">
        <v>20</v>
      </c>
      <c r="H1517" s="71" t="s">
        <v>71</v>
      </c>
      <c r="I1517" s="71" t="s">
        <v>72</v>
      </c>
      <c r="J1517" s="71" t="s">
        <v>12555</v>
      </c>
      <c r="K1517" s="71" t="s">
        <v>12556</v>
      </c>
      <c r="L1517" s="71" t="s">
        <v>3588</v>
      </c>
      <c r="M1517" s="71" t="s">
        <v>4282</v>
      </c>
      <c r="N1517" s="72">
        <v>39321</v>
      </c>
      <c r="O1517" s="72">
        <v>40687</v>
      </c>
      <c r="P1517" s="71"/>
      <c r="Q1517" s="71" t="b">
        <v>0</v>
      </c>
      <c r="R1517" s="22">
        <f t="shared" si="23"/>
        <v>1413</v>
      </c>
    </row>
    <row r="1518" spans="1:18">
      <c r="A1518" s="71">
        <v>8917</v>
      </c>
      <c r="B1518" s="72">
        <v>39273</v>
      </c>
      <c r="C1518" s="71" t="s">
        <v>12557</v>
      </c>
      <c r="D1518" s="72">
        <v>39268</v>
      </c>
      <c r="E1518" s="71" t="s">
        <v>12558</v>
      </c>
      <c r="F1518" s="71" t="s">
        <v>861</v>
      </c>
      <c r="G1518" s="71" t="s">
        <v>20</v>
      </c>
      <c r="H1518" s="71" t="s">
        <v>566</v>
      </c>
      <c r="I1518" s="71" t="s">
        <v>566</v>
      </c>
      <c r="J1518" s="71" t="s">
        <v>12559</v>
      </c>
      <c r="K1518" s="71"/>
      <c r="L1518" s="71" t="s">
        <v>4579</v>
      </c>
      <c r="M1518" s="71"/>
      <c r="N1518" s="72">
        <v>39304</v>
      </c>
      <c r="O1518" s="72">
        <v>39289</v>
      </c>
      <c r="P1518" s="71"/>
      <c r="Q1518" s="71" t="b">
        <v>0</v>
      </c>
      <c r="R1518" s="22">
        <f t="shared" si="23"/>
        <v>16</v>
      </c>
    </row>
    <row r="1519" spans="1:18">
      <c r="A1519" s="71">
        <v>8929</v>
      </c>
      <c r="B1519" s="72">
        <v>39297</v>
      </c>
      <c r="C1519" s="71" t="s">
        <v>12584</v>
      </c>
      <c r="D1519" s="72">
        <v>39296</v>
      </c>
      <c r="E1519" s="71" t="s">
        <v>12585</v>
      </c>
      <c r="F1519" s="71" t="s">
        <v>12586</v>
      </c>
      <c r="G1519" s="71" t="s">
        <v>20</v>
      </c>
      <c r="H1519" s="71" t="s">
        <v>71</v>
      </c>
      <c r="I1519" s="71" t="s">
        <v>72</v>
      </c>
      <c r="J1519" s="71" t="s">
        <v>12587</v>
      </c>
      <c r="K1519" s="71" t="s">
        <v>12588</v>
      </c>
      <c r="L1519" s="71" t="s">
        <v>4579</v>
      </c>
      <c r="M1519" s="71"/>
      <c r="N1519" s="72">
        <v>39342</v>
      </c>
      <c r="O1519" s="72">
        <v>39335</v>
      </c>
      <c r="P1519" s="71"/>
      <c r="Q1519" s="71" t="b">
        <v>0</v>
      </c>
      <c r="R1519" s="22">
        <f t="shared" si="23"/>
        <v>37</v>
      </c>
    </row>
    <row r="1520" spans="1:18">
      <c r="A1520" s="71">
        <v>8931</v>
      </c>
      <c r="B1520" s="72">
        <v>39300</v>
      </c>
      <c r="C1520" s="71" t="s">
        <v>12589</v>
      </c>
      <c r="D1520" s="72">
        <v>39298</v>
      </c>
      <c r="E1520" s="71" t="s">
        <v>12590</v>
      </c>
      <c r="F1520" s="71" t="s">
        <v>974</v>
      </c>
      <c r="G1520" s="71" t="s">
        <v>20</v>
      </c>
      <c r="H1520" s="71" t="s">
        <v>212</v>
      </c>
      <c r="I1520" s="71" t="s">
        <v>212</v>
      </c>
      <c r="J1520" s="71" t="s">
        <v>12591</v>
      </c>
      <c r="K1520" s="71" t="s">
        <v>12592</v>
      </c>
      <c r="L1520" s="71" t="s">
        <v>4579</v>
      </c>
      <c r="M1520" s="71"/>
      <c r="N1520" s="72">
        <v>39392</v>
      </c>
      <c r="O1520" s="72">
        <v>39303</v>
      </c>
      <c r="P1520" s="71">
        <v>-1</v>
      </c>
      <c r="Q1520" s="71" t="b">
        <v>1</v>
      </c>
      <c r="R1520" s="22">
        <f t="shared" si="23"/>
        <v>3</v>
      </c>
    </row>
    <row r="1521" spans="1:18">
      <c r="A1521" s="71">
        <v>8932</v>
      </c>
      <c r="B1521" s="72">
        <v>39301</v>
      </c>
      <c r="C1521" s="71" t="s">
        <v>12593</v>
      </c>
      <c r="D1521" s="72">
        <v>39074</v>
      </c>
      <c r="E1521" s="71" t="s">
        <v>12594</v>
      </c>
      <c r="F1521" s="71" t="s">
        <v>3430</v>
      </c>
      <c r="G1521" s="71" t="s">
        <v>20</v>
      </c>
      <c r="H1521" s="71" t="s">
        <v>71</v>
      </c>
      <c r="I1521" s="71" t="s">
        <v>72</v>
      </c>
      <c r="J1521" s="71" t="s">
        <v>12595</v>
      </c>
      <c r="K1521" s="71" t="s">
        <v>12596</v>
      </c>
      <c r="L1521" s="71" t="s">
        <v>8318</v>
      </c>
      <c r="M1521" s="71"/>
      <c r="O1521" s="72">
        <v>39203</v>
      </c>
      <c r="P1521" s="71"/>
      <c r="Q1521" s="71" t="b">
        <v>0</v>
      </c>
      <c r="R1521" s="22">
        <f t="shared" si="23"/>
        <v>97</v>
      </c>
    </row>
    <row r="1522" spans="1:18">
      <c r="A1522" s="71">
        <v>8933</v>
      </c>
      <c r="B1522" s="72">
        <v>39301</v>
      </c>
      <c r="C1522" s="71" t="s">
        <v>12597</v>
      </c>
      <c r="D1522" s="72">
        <v>39301</v>
      </c>
      <c r="E1522" s="71" t="s">
        <v>12598</v>
      </c>
      <c r="F1522" s="71" t="s">
        <v>974</v>
      </c>
      <c r="G1522" s="71" t="s">
        <v>20</v>
      </c>
      <c r="H1522" s="71" t="s">
        <v>212</v>
      </c>
      <c r="I1522" s="71" t="s">
        <v>212</v>
      </c>
      <c r="J1522" s="71" t="s">
        <v>12075</v>
      </c>
      <c r="K1522" s="71" t="s">
        <v>1510</v>
      </c>
      <c r="L1522" s="71" t="s">
        <v>4282</v>
      </c>
      <c r="M1522" s="71"/>
      <c r="O1522" s="72">
        <v>39548</v>
      </c>
      <c r="P1522" s="71"/>
      <c r="Q1522" s="71" t="b">
        <v>0</v>
      </c>
      <c r="R1522" s="22">
        <f t="shared" si="23"/>
        <v>246</v>
      </c>
    </row>
    <row r="1523" spans="1:18">
      <c r="A1523" s="71">
        <v>8936</v>
      </c>
      <c r="B1523" s="72">
        <v>39302</v>
      </c>
      <c r="C1523" s="71" t="s">
        <v>12599</v>
      </c>
      <c r="D1523" s="72">
        <v>39302</v>
      </c>
      <c r="E1523" s="71" t="s">
        <v>12600</v>
      </c>
      <c r="F1523" s="71" t="s">
        <v>137</v>
      </c>
      <c r="G1523" s="71" t="s">
        <v>20</v>
      </c>
      <c r="H1523" s="71" t="s">
        <v>71</v>
      </c>
      <c r="I1523" s="71" t="s">
        <v>72</v>
      </c>
      <c r="J1523" s="71" t="s">
        <v>12601</v>
      </c>
      <c r="K1523" s="71" t="s">
        <v>12602</v>
      </c>
      <c r="L1523" s="71" t="s">
        <v>1946</v>
      </c>
      <c r="M1523" s="71"/>
      <c r="O1523" s="72">
        <v>39302</v>
      </c>
      <c r="P1523" s="71"/>
      <c r="Q1523" s="71" t="b">
        <v>0</v>
      </c>
      <c r="R1523" s="22">
        <f t="shared" si="23"/>
        <v>0</v>
      </c>
    </row>
    <row r="1524" spans="1:18">
      <c r="A1524" s="71">
        <v>8937</v>
      </c>
      <c r="B1524" s="72">
        <v>39308</v>
      </c>
      <c r="C1524" s="71" t="s">
        <v>12603</v>
      </c>
      <c r="D1524" s="72">
        <v>39303</v>
      </c>
      <c r="E1524" s="71" t="s">
        <v>12604</v>
      </c>
      <c r="F1524" s="71" t="s">
        <v>12467</v>
      </c>
      <c r="G1524" s="71" t="s">
        <v>20</v>
      </c>
      <c r="H1524" s="71" t="s">
        <v>212</v>
      </c>
      <c r="I1524" s="71" t="s">
        <v>212</v>
      </c>
      <c r="J1524" s="71" t="s">
        <v>12605</v>
      </c>
      <c r="K1524" s="71" t="s">
        <v>12606</v>
      </c>
      <c r="L1524" s="71" t="s">
        <v>4579</v>
      </c>
      <c r="M1524" s="71"/>
      <c r="N1524" s="72">
        <v>39355</v>
      </c>
      <c r="O1524" s="72">
        <v>39310</v>
      </c>
      <c r="P1524" s="71"/>
      <c r="Q1524" s="71" t="b">
        <v>1</v>
      </c>
      <c r="R1524" s="22">
        <f t="shared" si="23"/>
        <v>2</v>
      </c>
    </row>
    <row r="1525" spans="1:18">
      <c r="A1525" s="71">
        <v>8938</v>
      </c>
      <c r="B1525" s="72">
        <v>39318</v>
      </c>
      <c r="C1525" s="71" t="s">
        <v>12607</v>
      </c>
      <c r="D1525" s="72">
        <v>39318</v>
      </c>
      <c r="E1525" s="71" t="s">
        <v>12608</v>
      </c>
      <c r="F1525" s="71" t="s">
        <v>11915</v>
      </c>
      <c r="G1525" s="71" t="s">
        <v>20</v>
      </c>
      <c r="H1525" s="71" t="s">
        <v>71</v>
      </c>
      <c r="I1525" s="71" t="s">
        <v>72</v>
      </c>
      <c r="J1525" s="71" t="s">
        <v>12609</v>
      </c>
      <c r="K1525" s="71" t="s">
        <v>12610</v>
      </c>
      <c r="L1525" s="71" t="s">
        <v>1946</v>
      </c>
      <c r="M1525" s="71"/>
      <c r="N1525" s="72">
        <v>39364</v>
      </c>
      <c r="O1525" s="72">
        <v>40065</v>
      </c>
      <c r="P1525" s="71">
        <v>-1</v>
      </c>
      <c r="Q1525" s="71" t="b">
        <v>1</v>
      </c>
      <c r="R1525" s="22">
        <f t="shared" si="23"/>
        <v>745</v>
      </c>
    </row>
    <row r="1526" spans="1:18">
      <c r="A1526" s="71">
        <v>8939</v>
      </c>
      <c r="B1526" s="72">
        <v>39318</v>
      </c>
      <c r="C1526" s="71" t="s">
        <v>12611</v>
      </c>
      <c r="D1526" s="72">
        <v>39314</v>
      </c>
      <c r="E1526" s="71" t="s">
        <v>12612</v>
      </c>
      <c r="F1526" s="71" t="s">
        <v>2782</v>
      </c>
      <c r="G1526" s="71" t="s">
        <v>20</v>
      </c>
      <c r="H1526" s="71" t="s">
        <v>71</v>
      </c>
      <c r="I1526" s="71" t="s">
        <v>72</v>
      </c>
      <c r="J1526" s="71" t="s">
        <v>12613</v>
      </c>
      <c r="K1526" s="71"/>
      <c r="L1526" s="71" t="s">
        <v>4282</v>
      </c>
      <c r="M1526" s="71"/>
      <c r="N1526" s="72">
        <v>39410</v>
      </c>
      <c r="O1526" s="72">
        <v>39358</v>
      </c>
      <c r="P1526" s="71">
        <v>-1</v>
      </c>
      <c r="Q1526" s="71" t="b">
        <v>1</v>
      </c>
      <c r="R1526" s="22">
        <f t="shared" si="23"/>
        <v>39</v>
      </c>
    </row>
    <row r="1527" spans="1:18">
      <c r="A1527" s="71">
        <v>8943</v>
      </c>
      <c r="B1527" s="72">
        <v>39324</v>
      </c>
      <c r="C1527" s="71" t="s">
        <v>12621</v>
      </c>
      <c r="D1527" s="72">
        <v>39321</v>
      </c>
      <c r="E1527" s="71" t="s">
        <v>12622</v>
      </c>
      <c r="F1527" s="71" t="s">
        <v>9047</v>
      </c>
      <c r="G1527" s="71" t="s">
        <v>20</v>
      </c>
      <c r="H1527" s="71" t="s">
        <v>71</v>
      </c>
      <c r="I1527" s="71" t="s">
        <v>72</v>
      </c>
      <c r="J1527" s="71" t="s">
        <v>12623</v>
      </c>
      <c r="K1527" s="71"/>
      <c r="L1527" s="71" t="s">
        <v>4579</v>
      </c>
      <c r="M1527" s="71"/>
      <c r="N1527" s="72">
        <v>39370</v>
      </c>
      <c r="O1527" s="72">
        <v>39461</v>
      </c>
      <c r="P1527" s="71">
        <v>-1</v>
      </c>
      <c r="Q1527" s="71" t="b">
        <v>1</v>
      </c>
      <c r="R1527" s="22">
        <f t="shared" si="23"/>
        <v>135</v>
      </c>
    </row>
    <row r="1528" spans="1:18">
      <c r="A1528" s="71">
        <v>8944</v>
      </c>
      <c r="B1528" s="72">
        <v>39324</v>
      </c>
      <c r="C1528" s="71" t="s">
        <v>12624</v>
      </c>
      <c r="D1528" s="72">
        <v>39324</v>
      </c>
      <c r="E1528" s="71" t="s">
        <v>12625</v>
      </c>
      <c r="F1528" s="71" t="s">
        <v>1232</v>
      </c>
      <c r="G1528" s="71" t="s">
        <v>20</v>
      </c>
      <c r="H1528" s="71" t="s">
        <v>189</v>
      </c>
      <c r="I1528" s="71" t="s">
        <v>189</v>
      </c>
      <c r="J1528" s="71" t="s">
        <v>12626</v>
      </c>
      <c r="K1528" s="71"/>
      <c r="L1528" s="71" t="s">
        <v>4282</v>
      </c>
      <c r="M1528" s="71"/>
      <c r="N1528" s="72">
        <v>39370</v>
      </c>
      <c r="O1528" s="72">
        <v>39534</v>
      </c>
      <c r="P1528" s="71">
        <v>-1</v>
      </c>
      <c r="Q1528" s="71" t="b">
        <v>1</v>
      </c>
      <c r="R1528" s="22">
        <f t="shared" si="23"/>
        <v>209</v>
      </c>
    </row>
    <row r="1529" spans="1:18">
      <c r="A1529" s="71">
        <v>8949</v>
      </c>
      <c r="B1529" s="72">
        <v>39331</v>
      </c>
      <c r="C1529" s="71" t="s">
        <v>12631</v>
      </c>
      <c r="D1529" s="72">
        <v>39331</v>
      </c>
      <c r="E1529" s="71" t="s">
        <v>12632</v>
      </c>
      <c r="F1529" s="71" t="s">
        <v>12633</v>
      </c>
      <c r="G1529" s="71" t="s">
        <v>20</v>
      </c>
      <c r="H1529" s="71" t="s">
        <v>71</v>
      </c>
      <c r="I1529" s="71" t="s">
        <v>72</v>
      </c>
      <c r="J1529" s="71" t="s">
        <v>12634</v>
      </c>
      <c r="K1529" s="71"/>
      <c r="L1529" s="71" t="s">
        <v>3588</v>
      </c>
      <c r="M1529" s="71" t="s">
        <v>1946</v>
      </c>
      <c r="N1529" s="72">
        <v>39376</v>
      </c>
      <c r="O1529" s="72">
        <v>39919</v>
      </c>
      <c r="P1529" s="71">
        <v>-1</v>
      </c>
      <c r="Q1529" s="71" t="b">
        <v>1</v>
      </c>
      <c r="R1529" s="22">
        <f t="shared" si="23"/>
        <v>588</v>
      </c>
    </row>
    <row r="1530" spans="1:18">
      <c r="A1530" s="71">
        <v>8951</v>
      </c>
      <c r="B1530" s="72">
        <v>39332</v>
      </c>
      <c r="C1530" s="71" t="s">
        <v>12635</v>
      </c>
      <c r="D1530" s="72">
        <v>39332</v>
      </c>
      <c r="E1530" s="71" t="s">
        <v>12636</v>
      </c>
      <c r="F1530" s="71" t="s">
        <v>12637</v>
      </c>
      <c r="G1530" s="71" t="s">
        <v>20</v>
      </c>
      <c r="H1530" s="71" t="s">
        <v>71</v>
      </c>
      <c r="I1530" s="71" t="s">
        <v>72</v>
      </c>
      <c r="J1530" s="71" t="s">
        <v>9982</v>
      </c>
      <c r="K1530" s="71" t="s">
        <v>12638</v>
      </c>
      <c r="L1530" s="71" t="s">
        <v>4579</v>
      </c>
      <c r="M1530" s="71"/>
      <c r="N1530" s="72">
        <v>39423</v>
      </c>
      <c r="O1530" s="72">
        <v>39356</v>
      </c>
      <c r="P1530" s="71">
        <v>-1</v>
      </c>
      <c r="Q1530" s="71" t="b">
        <v>1</v>
      </c>
      <c r="R1530" s="22">
        <f t="shared" si="23"/>
        <v>24</v>
      </c>
    </row>
    <row r="1531" spans="1:18">
      <c r="A1531" s="71">
        <v>8955</v>
      </c>
      <c r="B1531" s="72">
        <v>39336</v>
      </c>
      <c r="C1531" s="71" t="s">
        <v>12639</v>
      </c>
      <c r="D1531" s="72">
        <v>39336</v>
      </c>
      <c r="E1531" s="71" t="s">
        <v>12640</v>
      </c>
      <c r="F1531" s="71" t="s">
        <v>3430</v>
      </c>
      <c r="G1531" s="71" t="s">
        <v>20</v>
      </c>
      <c r="H1531" s="71" t="s">
        <v>71</v>
      </c>
      <c r="I1531" s="71" t="s">
        <v>72</v>
      </c>
      <c r="J1531" s="71" t="s">
        <v>12641</v>
      </c>
      <c r="K1531" s="71"/>
      <c r="L1531" s="71" t="s">
        <v>4579</v>
      </c>
      <c r="M1531" s="71" t="s">
        <v>4282</v>
      </c>
      <c r="N1531" s="72">
        <v>39427</v>
      </c>
      <c r="O1531" s="72">
        <v>40589</v>
      </c>
      <c r="P1531" s="71">
        <v>-1</v>
      </c>
      <c r="Q1531" s="71" t="b">
        <v>1</v>
      </c>
      <c r="R1531" s="22">
        <f t="shared" si="23"/>
        <v>1251</v>
      </c>
    </row>
    <row r="1532" spans="1:18">
      <c r="A1532" s="71">
        <v>8956</v>
      </c>
      <c r="B1532" s="72">
        <v>39337</v>
      </c>
      <c r="C1532" s="71" t="s">
        <v>12642</v>
      </c>
      <c r="D1532" s="72">
        <v>39337</v>
      </c>
      <c r="E1532" s="71" t="s">
        <v>12643</v>
      </c>
      <c r="F1532" s="71" t="s">
        <v>6953</v>
      </c>
      <c r="G1532" s="71" t="s">
        <v>20</v>
      </c>
      <c r="H1532" s="71" t="s">
        <v>71</v>
      </c>
      <c r="I1532" s="71" t="s">
        <v>72</v>
      </c>
      <c r="J1532" s="71" t="s">
        <v>12644</v>
      </c>
      <c r="K1532" s="71"/>
      <c r="L1532" s="71" t="s">
        <v>3588</v>
      </c>
      <c r="M1532" s="71" t="s">
        <v>1946</v>
      </c>
      <c r="N1532" s="72">
        <v>39428</v>
      </c>
      <c r="O1532" s="72">
        <v>39919</v>
      </c>
      <c r="P1532" s="71">
        <v>-1</v>
      </c>
      <c r="Q1532" s="71" t="b">
        <v>1</v>
      </c>
      <c r="R1532" s="22">
        <f t="shared" si="23"/>
        <v>581</v>
      </c>
    </row>
    <row r="1533" spans="1:18">
      <c r="A1533" s="71">
        <v>8959</v>
      </c>
      <c r="B1533" s="72">
        <v>39349</v>
      </c>
      <c r="C1533" s="71" t="s">
        <v>12648</v>
      </c>
      <c r="D1533" s="72">
        <v>39345</v>
      </c>
      <c r="E1533" s="71" t="s">
        <v>12649</v>
      </c>
      <c r="F1533" s="71" t="s">
        <v>98</v>
      </c>
      <c r="G1533" s="71" t="s">
        <v>20</v>
      </c>
      <c r="H1533" s="71" t="s">
        <v>71</v>
      </c>
      <c r="I1533" s="71" t="s">
        <v>72</v>
      </c>
      <c r="J1533" s="71" t="s">
        <v>1723</v>
      </c>
      <c r="K1533" s="71" t="s">
        <v>12650</v>
      </c>
      <c r="L1533" s="71" t="s">
        <v>4579</v>
      </c>
      <c r="M1533" s="71" t="s">
        <v>4282</v>
      </c>
      <c r="N1533" s="72">
        <v>39390</v>
      </c>
      <c r="O1533" s="72">
        <v>40420</v>
      </c>
      <c r="P1533" s="71"/>
      <c r="Q1533" s="71" t="b">
        <v>1</v>
      </c>
      <c r="R1533" s="22">
        <f t="shared" si="23"/>
        <v>1070</v>
      </c>
    </row>
    <row r="1534" spans="1:18">
      <c r="A1534" s="71">
        <v>8966</v>
      </c>
      <c r="B1534" s="72">
        <v>39358</v>
      </c>
      <c r="C1534" s="71" t="s">
        <v>12658</v>
      </c>
      <c r="D1534" s="72">
        <v>39357</v>
      </c>
      <c r="E1534" s="71" t="s">
        <v>12659</v>
      </c>
      <c r="F1534" s="71" t="s">
        <v>12660</v>
      </c>
      <c r="G1534" s="71" t="s">
        <v>20</v>
      </c>
      <c r="H1534" s="71" t="s">
        <v>71</v>
      </c>
      <c r="I1534" s="71" t="s">
        <v>72</v>
      </c>
      <c r="J1534" s="71" t="s">
        <v>7321</v>
      </c>
      <c r="K1534" s="71" t="s">
        <v>12661</v>
      </c>
      <c r="L1534" s="71" t="s">
        <v>4579</v>
      </c>
      <c r="M1534" s="71" t="s">
        <v>4282</v>
      </c>
      <c r="N1534" s="72">
        <v>39404</v>
      </c>
      <c r="O1534" s="72">
        <v>40289</v>
      </c>
      <c r="P1534" s="71">
        <v>-1</v>
      </c>
      <c r="Q1534" s="71" t="b">
        <v>1</v>
      </c>
      <c r="R1534" s="22">
        <f t="shared" si="23"/>
        <v>930</v>
      </c>
    </row>
    <row r="1535" spans="1:18">
      <c r="A1535" s="71">
        <v>8970</v>
      </c>
      <c r="B1535" s="72">
        <v>39366</v>
      </c>
      <c r="C1535" s="71" t="s">
        <v>12669</v>
      </c>
      <c r="D1535" s="72">
        <v>39365</v>
      </c>
      <c r="E1535" s="71" t="s">
        <v>12670</v>
      </c>
      <c r="F1535" s="71" t="s">
        <v>12671</v>
      </c>
      <c r="G1535" s="71" t="s">
        <v>20</v>
      </c>
      <c r="H1535" s="71" t="s">
        <v>71</v>
      </c>
      <c r="I1535" s="71" t="s">
        <v>72</v>
      </c>
      <c r="J1535" s="71" t="s">
        <v>12578</v>
      </c>
      <c r="K1535" s="71" t="s">
        <v>12672</v>
      </c>
      <c r="L1535" s="71" t="s">
        <v>4282</v>
      </c>
      <c r="M1535" s="71"/>
      <c r="N1535" s="72">
        <v>39411</v>
      </c>
      <c r="O1535" s="72">
        <v>40633</v>
      </c>
      <c r="P1535" s="71">
        <v>-1</v>
      </c>
      <c r="Q1535" s="71" t="b">
        <v>1</v>
      </c>
      <c r="R1535" s="22">
        <f t="shared" si="23"/>
        <v>1267</v>
      </c>
    </row>
    <row r="1536" spans="1:18">
      <c r="A1536" s="71">
        <v>8972</v>
      </c>
      <c r="B1536" s="72">
        <v>39370</v>
      </c>
      <c r="C1536" s="71" t="s">
        <v>12673</v>
      </c>
      <c r="D1536" s="72">
        <v>39366</v>
      </c>
      <c r="E1536" s="71" t="s">
        <v>12674</v>
      </c>
      <c r="F1536" s="71" t="s">
        <v>974</v>
      </c>
      <c r="G1536" s="71" t="s">
        <v>20</v>
      </c>
      <c r="H1536" s="71" t="s">
        <v>212</v>
      </c>
      <c r="I1536" s="71" t="s">
        <v>212</v>
      </c>
      <c r="J1536" s="71" t="s">
        <v>12675</v>
      </c>
      <c r="K1536" s="71"/>
      <c r="L1536" s="71" t="s">
        <v>1946</v>
      </c>
      <c r="M1536" s="71"/>
      <c r="N1536" s="72">
        <v>39416</v>
      </c>
      <c r="O1536" s="72">
        <v>39598</v>
      </c>
      <c r="P1536" s="71">
        <v>-1</v>
      </c>
      <c r="Q1536" s="71" t="b">
        <v>1</v>
      </c>
      <c r="R1536" s="22">
        <f t="shared" si="23"/>
        <v>228</v>
      </c>
    </row>
    <row r="1537" spans="1:18">
      <c r="A1537" s="71">
        <v>8975</v>
      </c>
      <c r="B1537" s="72">
        <v>39374</v>
      </c>
      <c r="C1537" s="71" t="s">
        <v>12680</v>
      </c>
      <c r="D1537" s="72">
        <v>39373</v>
      </c>
      <c r="E1537" s="71" t="s">
        <v>12681</v>
      </c>
      <c r="F1537" s="71" t="s">
        <v>8522</v>
      </c>
      <c r="G1537" s="71" t="s">
        <v>20</v>
      </c>
      <c r="H1537" s="71" t="s">
        <v>189</v>
      </c>
      <c r="I1537" s="71" t="s">
        <v>189</v>
      </c>
      <c r="J1537" s="71" t="s">
        <v>12682</v>
      </c>
      <c r="K1537" s="71" t="s">
        <v>12683</v>
      </c>
      <c r="L1537" s="71" t="s">
        <v>4579</v>
      </c>
      <c r="M1537" s="71"/>
      <c r="N1537" s="72">
        <v>39418</v>
      </c>
      <c r="O1537" s="72">
        <v>39436</v>
      </c>
      <c r="P1537" s="71">
        <v>-1</v>
      </c>
      <c r="Q1537" s="71" t="b">
        <v>1</v>
      </c>
      <c r="R1537" s="22">
        <f t="shared" si="23"/>
        <v>61</v>
      </c>
    </row>
    <row r="1538" spans="1:18">
      <c r="A1538" s="71">
        <v>8976</v>
      </c>
      <c r="B1538" s="72">
        <v>39374</v>
      </c>
      <c r="C1538" s="71" t="s">
        <v>12685</v>
      </c>
      <c r="D1538" s="72">
        <v>39373</v>
      </c>
      <c r="E1538" s="71" t="s">
        <v>12684</v>
      </c>
      <c r="F1538" s="71" t="s">
        <v>8522</v>
      </c>
      <c r="G1538" s="71" t="s">
        <v>20</v>
      </c>
      <c r="H1538" s="71" t="s">
        <v>189</v>
      </c>
      <c r="I1538" s="71" t="s">
        <v>189</v>
      </c>
      <c r="J1538" s="71" t="s">
        <v>10416</v>
      </c>
      <c r="K1538" s="71" t="s">
        <v>12683</v>
      </c>
      <c r="L1538" s="71" t="s">
        <v>4579</v>
      </c>
      <c r="M1538" s="71"/>
      <c r="N1538" s="72">
        <v>39418</v>
      </c>
      <c r="O1538" s="72">
        <v>39436</v>
      </c>
      <c r="P1538" s="71">
        <v>-1</v>
      </c>
      <c r="Q1538" s="71" t="b">
        <v>1</v>
      </c>
      <c r="R1538" s="22">
        <f t="shared" ref="R1538:R1601" si="24">IF(O1538=" ", " ", INT(YEARFRAC(O1538, B1538)*365))</f>
        <v>61</v>
      </c>
    </row>
    <row r="1539" spans="1:18">
      <c r="A1539" s="71">
        <v>8977</v>
      </c>
      <c r="B1539" s="72">
        <v>39377</v>
      </c>
      <c r="C1539" s="71" t="s">
        <v>12686</v>
      </c>
      <c r="D1539" s="72">
        <v>39374</v>
      </c>
      <c r="E1539" s="71" t="s">
        <v>12687</v>
      </c>
      <c r="F1539" s="71" t="s">
        <v>12688</v>
      </c>
      <c r="G1539" s="71" t="s">
        <v>20</v>
      </c>
      <c r="H1539" s="71" t="s">
        <v>566</v>
      </c>
      <c r="I1539" s="71" t="s">
        <v>566</v>
      </c>
      <c r="J1539" s="71" t="s">
        <v>1817</v>
      </c>
      <c r="K1539" s="71" t="s">
        <v>4690</v>
      </c>
      <c r="L1539" s="71" t="s">
        <v>1946</v>
      </c>
      <c r="M1539" s="71"/>
      <c r="N1539" s="72">
        <v>39423</v>
      </c>
      <c r="O1539" s="72">
        <v>39875</v>
      </c>
      <c r="P1539" s="71">
        <v>-1</v>
      </c>
      <c r="Q1539" s="71" t="b">
        <v>1</v>
      </c>
      <c r="R1539" s="22">
        <f t="shared" si="24"/>
        <v>497</v>
      </c>
    </row>
    <row r="1540" spans="1:18">
      <c r="A1540" s="71">
        <v>8978</v>
      </c>
      <c r="B1540" s="72">
        <v>39380</v>
      </c>
      <c r="C1540" s="71" t="s">
        <v>12689</v>
      </c>
      <c r="D1540" s="72">
        <v>39379</v>
      </c>
      <c r="E1540" s="71" t="s">
        <v>12690</v>
      </c>
      <c r="F1540" s="71" t="s">
        <v>52</v>
      </c>
      <c r="G1540" s="71" t="s">
        <v>20</v>
      </c>
      <c r="H1540" s="71" t="s">
        <v>71</v>
      </c>
      <c r="I1540" s="71" t="s">
        <v>72</v>
      </c>
      <c r="J1540" s="71" t="s">
        <v>12691</v>
      </c>
      <c r="K1540" s="71" t="s">
        <v>12692</v>
      </c>
      <c r="L1540" s="71" t="s">
        <v>1946</v>
      </c>
      <c r="M1540" s="71"/>
      <c r="N1540" s="72">
        <v>39426</v>
      </c>
      <c r="O1540" s="72">
        <v>39624</v>
      </c>
      <c r="P1540" s="71">
        <v>-1</v>
      </c>
      <c r="Q1540" s="71" t="b">
        <v>1</v>
      </c>
      <c r="R1540" s="22">
        <f t="shared" si="24"/>
        <v>243</v>
      </c>
    </row>
    <row r="1541" spans="1:18">
      <c r="A1541" s="71">
        <v>8979</v>
      </c>
      <c r="B1541" s="72">
        <v>39384</v>
      </c>
      <c r="C1541" s="71" t="s">
        <v>12693</v>
      </c>
      <c r="D1541" s="72">
        <v>39377</v>
      </c>
      <c r="E1541" s="71" t="s">
        <v>12694</v>
      </c>
      <c r="F1541" s="71" t="s">
        <v>974</v>
      </c>
      <c r="G1541" s="71" t="s">
        <v>20</v>
      </c>
      <c r="H1541" s="71" t="s">
        <v>212</v>
      </c>
      <c r="I1541" s="71" t="s">
        <v>212</v>
      </c>
      <c r="J1541" s="71" t="s">
        <v>4690</v>
      </c>
      <c r="K1541" s="71"/>
      <c r="L1541" s="71" t="s">
        <v>4282</v>
      </c>
      <c r="M1541" s="71"/>
      <c r="N1541" s="72">
        <v>39426</v>
      </c>
      <c r="O1541" s="72">
        <v>39462</v>
      </c>
      <c r="P1541" s="71">
        <v>-1</v>
      </c>
      <c r="Q1541" s="71" t="b">
        <v>1</v>
      </c>
      <c r="R1541" s="22">
        <f t="shared" si="24"/>
        <v>77</v>
      </c>
    </row>
    <row r="1542" spans="1:18">
      <c r="A1542" s="71">
        <v>8983</v>
      </c>
      <c r="B1542" s="72">
        <v>39395</v>
      </c>
      <c r="C1542" s="71" t="s">
        <v>12704</v>
      </c>
      <c r="D1542" s="72">
        <v>39392</v>
      </c>
      <c r="E1542" s="71" t="s">
        <v>12705</v>
      </c>
      <c r="F1542" s="71" t="s">
        <v>12706</v>
      </c>
      <c r="G1542" s="71" t="s">
        <v>20</v>
      </c>
      <c r="H1542" s="71" t="s">
        <v>71</v>
      </c>
      <c r="I1542" s="71" t="s">
        <v>72</v>
      </c>
      <c r="J1542" s="71" t="s">
        <v>12707</v>
      </c>
      <c r="K1542" s="71" t="s">
        <v>12708</v>
      </c>
      <c r="L1542" s="71" t="s">
        <v>1946</v>
      </c>
      <c r="M1542" s="71"/>
      <c r="N1542" s="72">
        <v>39440</v>
      </c>
      <c r="O1542" s="72">
        <v>39654</v>
      </c>
      <c r="P1542" s="71">
        <v>-1</v>
      </c>
      <c r="Q1542" s="71" t="b">
        <v>1</v>
      </c>
      <c r="R1542" s="22">
        <f t="shared" si="24"/>
        <v>259</v>
      </c>
    </row>
    <row r="1543" spans="1:18">
      <c r="A1543" s="71">
        <v>8986</v>
      </c>
      <c r="B1543" s="72">
        <v>39405</v>
      </c>
      <c r="C1543" s="71" t="s">
        <v>12711</v>
      </c>
      <c r="D1543" s="72">
        <v>39372</v>
      </c>
      <c r="E1543" s="71" t="s">
        <v>12712</v>
      </c>
      <c r="F1543" s="71" t="s">
        <v>242</v>
      </c>
      <c r="G1543" s="71" t="s">
        <v>20</v>
      </c>
      <c r="H1543" s="71" t="s">
        <v>71</v>
      </c>
      <c r="I1543" s="71" t="s">
        <v>72</v>
      </c>
      <c r="J1543" s="71" t="s">
        <v>7217</v>
      </c>
      <c r="K1543" s="71"/>
      <c r="L1543" s="71" t="s">
        <v>1946</v>
      </c>
      <c r="M1543" s="71"/>
      <c r="N1543" s="72">
        <v>39452</v>
      </c>
      <c r="O1543" s="72">
        <v>39427</v>
      </c>
      <c r="P1543" s="71"/>
      <c r="Q1543" s="71" t="b">
        <v>0</v>
      </c>
      <c r="R1543" s="22">
        <f t="shared" si="24"/>
        <v>22</v>
      </c>
    </row>
    <row r="1544" spans="1:18">
      <c r="A1544" s="71">
        <v>8987</v>
      </c>
      <c r="B1544" s="72">
        <v>39414</v>
      </c>
      <c r="C1544" s="71" t="s">
        <v>12713</v>
      </c>
      <c r="D1544" s="72">
        <v>39406</v>
      </c>
      <c r="E1544" s="71" t="s">
        <v>12714</v>
      </c>
      <c r="F1544" s="71" t="s">
        <v>10422</v>
      </c>
      <c r="G1544" s="71" t="s">
        <v>20</v>
      </c>
      <c r="H1544" s="71" t="s">
        <v>212</v>
      </c>
      <c r="I1544" s="71" t="s">
        <v>212</v>
      </c>
      <c r="J1544" s="71" t="s">
        <v>12715</v>
      </c>
      <c r="K1544" s="71" t="s">
        <v>12716</v>
      </c>
      <c r="L1544" s="71" t="s">
        <v>4579</v>
      </c>
      <c r="M1544" s="71"/>
      <c r="N1544" s="72">
        <v>39504</v>
      </c>
      <c r="O1544" s="72">
        <v>39497</v>
      </c>
      <c r="P1544" s="71"/>
      <c r="Q1544" s="71" t="b">
        <v>0</v>
      </c>
      <c r="R1544" s="22">
        <f t="shared" si="24"/>
        <v>82</v>
      </c>
    </row>
    <row r="1545" spans="1:18">
      <c r="A1545" s="71">
        <v>8990</v>
      </c>
      <c r="B1545" s="72">
        <v>39416</v>
      </c>
      <c r="C1545" s="71" t="s">
        <v>12720</v>
      </c>
      <c r="D1545" s="72">
        <v>39415</v>
      </c>
      <c r="E1545" s="71" t="s">
        <v>12721</v>
      </c>
      <c r="F1545" s="71" t="s">
        <v>1232</v>
      </c>
      <c r="G1545" s="71" t="s">
        <v>20</v>
      </c>
      <c r="H1545" s="71" t="s">
        <v>189</v>
      </c>
      <c r="I1545" s="71" t="s">
        <v>189</v>
      </c>
      <c r="J1545" s="71" t="s">
        <v>12722</v>
      </c>
      <c r="K1545" s="71" t="s">
        <v>12723</v>
      </c>
      <c r="L1545" s="71" t="s">
        <v>1946</v>
      </c>
      <c r="M1545" s="71"/>
      <c r="O1545" s="72">
        <v>40997</v>
      </c>
      <c r="P1545" s="71">
        <v>-1</v>
      </c>
      <c r="Q1545" s="71" t="b">
        <v>1</v>
      </c>
      <c r="R1545" s="22">
        <f t="shared" si="24"/>
        <v>1580</v>
      </c>
    </row>
    <row r="1546" spans="1:18">
      <c r="A1546" s="71">
        <v>8993</v>
      </c>
      <c r="B1546" s="72">
        <v>39428</v>
      </c>
      <c r="C1546" s="71" t="s">
        <v>12732</v>
      </c>
      <c r="D1546" s="72">
        <v>39426</v>
      </c>
      <c r="E1546" s="71" t="s">
        <v>12733</v>
      </c>
      <c r="F1546" s="71" t="s">
        <v>12404</v>
      </c>
      <c r="G1546" s="71" t="s">
        <v>20</v>
      </c>
      <c r="H1546" s="71" t="s">
        <v>71</v>
      </c>
      <c r="I1546" s="71" t="s">
        <v>72</v>
      </c>
      <c r="J1546" s="71" t="s">
        <v>12734</v>
      </c>
      <c r="K1546" s="71" t="s">
        <v>11513</v>
      </c>
      <c r="L1546" s="71" t="s">
        <v>4282</v>
      </c>
      <c r="M1546" s="71"/>
      <c r="N1546" s="72">
        <v>39462</v>
      </c>
      <c r="O1546" s="72">
        <v>39504</v>
      </c>
      <c r="P1546" s="71">
        <v>-1</v>
      </c>
      <c r="Q1546" s="71" t="b">
        <v>1</v>
      </c>
      <c r="R1546" s="22">
        <f t="shared" si="24"/>
        <v>75</v>
      </c>
    </row>
    <row r="1547" spans="1:18">
      <c r="A1547" s="71">
        <v>8995</v>
      </c>
      <c r="B1547" s="72">
        <v>39433</v>
      </c>
      <c r="C1547" s="71" t="s">
        <v>12735</v>
      </c>
      <c r="D1547" s="72">
        <v>39428</v>
      </c>
      <c r="E1547" s="71" t="s">
        <v>12736</v>
      </c>
      <c r="F1547" s="71" t="s">
        <v>149</v>
      </c>
      <c r="G1547" s="71" t="s">
        <v>20</v>
      </c>
      <c r="H1547" s="71" t="s">
        <v>71</v>
      </c>
      <c r="I1547" s="71" t="s">
        <v>72</v>
      </c>
      <c r="J1547" s="71" t="s">
        <v>12737</v>
      </c>
      <c r="K1547" s="71"/>
      <c r="L1547" s="71" t="s">
        <v>3588</v>
      </c>
      <c r="M1547" s="71" t="s">
        <v>1946</v>
      </c>
      <c r="N1547" s="72">
        <v>39521</v>
      </c>
      <c r="O1547" s="72">
        <v>39856</v>
      </c>
      <c r="P1547" s="71"/>
      <c r="Q1547" s="71" t="b">
        <v>0</v>
      </c>
      <c r="R1547" s="22">
        <f t="shared" si="24"/>
        <v>420</v>
      </c>
    </row>
    <row r="1548" spans="1:18">
      <c r="A1548" s="71">
        <v>8996</v>
      </c>
      <c r="B1548" s="72">
        <v>39436</v>
      </c>
      <c r="C1548" s="71" t="s">
        <v>12738</v>
      </c>
      <c r="D1548" s="72">
        <v>39435</v>
      </c>
      <c r="E1548" s="71" t="s">
        <v>12739</v>
      </c>
      <c r="F1548" s="71" t="s">
        <v>12740</v>
      </c>
      <c r="G1548" s="71" t="s">
        <v>20</v>
      </c>
      <c r="H1548" s="71" t="s">
        <v>71</v>
      </c>
      <c r="I1548" s="71" t="s">
        <v>72</v>
      </c>
      <c r="J1548" s="71" t="s">
        <v>1639</v>
      </c>
      <c r="K1548" s="71"/>
      <c r="L1548" s="71" t="s">
        <v>4579</v>
      </c>
      <c r="M1548" s="71"/>
      <c r="N1548" s="72">
        <v>39483</v>
      </c>
      <c r="O1548" s="72">
        <v>39479</v>
      </c>
      <c r="P1548" s="71">
        <v>-1</v>
      </c>
      <c r="Q1548" s="71" t="b">
        <v>1</v>
      </c>
      <c r="R1548" s="22">
        <f t="shared" si="24"/>
        <v>41</v>
      </c>
    </row>
    <row r="1549" spans="1:18">
      <c r="A1549" s="71">
        <v>8998</v>
      </c>
      <c r="B1549" s="72">
        <v>39440</v>
      </c>
      <c r="C1549" s="71" t="s">
        <v>12741</v>
      </c>
      <c r="D1549" s="72">
        <v>39429</v>
      </c>
      <c r="E1549" s="71" t="s">
        <v>12742</v>
      </c>
      <c r="F1549" s="71" t="s">
        <v>12743</v>
      </c>
      <c r="G1549" s="71" t="s">
        <v>20</v>
      </c>
      <c r="H1549" s="71" t="s">
        <v>71</v>
      </c>
      <c r="I1549" s="71" t="s">
        <v>72</v>
      </c>
      <c r="J1549" s="71" t="s">
        <v>6331</v>
      </c>
      <c r="K1549" s="71"/>
      <c r="L1549" s="71" t="s">
        <v>4282</v>
      </c>
      <c r="M1549" s="71"/>
      <c r="O1549" s="72">
        <v>39440</v>
      </c>
      <c r="P1549" s="71">
        <v>-1</v>
      </c>
      <c r="Q1549" s="71" t="b">
        <v>1</v>
      </c>
      <c r="R1549" s="22">
        <f t="shared" si="24"/>
        <v>0</v>
      </c>
    </row>
    <row r="1550" spans="1:18">
      <c r="A1550" s="71">
        <v>9003</v>
      </c>
      <c r="B1550" s="72">
        <v>39454</v>
      </c>
      <c r="C1550" s="71" t="s">
        <v>12751</v>
      </c>
      <c r="D1550" s="72">
        <v>39450</v>
      </c>
      <c r="E1550" s="71" t="s">
        <v>12752</v>
      </c>
      <c r="F1550" s="71" t="s">
        <v>145</v>
      </c>
      <c r="G1550" s="71" t="s">
        <v>20</v>
      </c>
      <c r="H1550" s="71" t="s">
        <v>71</v>
      </c>
      <c r="I1550" s="71" t="s">
        <v>72</v>
      </c>
      <c r="J1550" s="71" t="s">
        <v>12753</v>
      </c>
      <c r="K1550" s="71"/>
      <c r="L1550" s="71" t="s">
        <v>4579</v>
      </c>
      <c r="M1550" s="71"/>
      <c r="N1550" s="72">
        <v>39495</v>
      </c>
      <c r="O1550" s="72">
        <v>39457</v>
      </c>
      <c r="P1550" s="71">
        <v>-1</v>
      </c>
      <c r="Q1550" s="71" t="b">
        <v>1</v>
      </c>
      <c r="R1550" s="22">
        <f t="shared" si="24"/>
        <v>3</v>
      </c>
    </row>
    <row r="1551" spans="1:18">
      <c r="A1551" s="71">
        <v>9004</v>
      </c>
      <c r="B1551" s="72">
        <v>39456</v>
      </c>
      <c r="C1551" s="71" t="s">
        <v>12754</v>
      </c>
      <c r="D1551" s="72">
        <v>39450</v>
      </c>
      <c r="E1551" s="71" t="s">
        <v>12755</v>
      </c>
      <c r="F1551" s="71" t="s">
        <v>12756</v>
      </c>
      <c r="G1551" s="71" t="s">
        <v>20</v>
      </c>
      <c r="H1551" s="71" t="s">
        <v>71</v>
      </c>
      <c r="I1551" s="71" t="s">
        <v>72</v>
      </c>
      <c r="J1551" s="71" t="s">
        <v>12757</v>
      </c>
      <c r="K1551" s="71" t="s">
        <v>12758</v>
      </c>
      <c r="L1551" s="71" t="s">
        <v>1946</v>
      </c>
      <c r="M1551" s="71"/>
      <c r="N1551" s="72">
        <v>39545</v>
      </c>
      <c r="O1551" s="72">
        <v>39464</v>
      </c>
      <c r="P1551" s="71"/>
      <c r="Q1551" s="71" t="b">
        <v>1</v>
      </c>
      <c r="R1551" s="22">
        <f t="shared" si="24"/>
        <v>8</v>
      </c>
    </row>
    <row r="1552" spans="1:18">
      <c r="A1552" s="71">
        <v>9005</v>
      </c>
      <c r="B1552" s="72">
        <v>39457</v>
      </c>
      <c r="C1552" s="71" t="s">
        <v>12759</v>
      </c>
      <c r="D1552" s="72">
        <v>39451</v>
      </c>
      <c r="E1552" s="71" t="s">
        <v>12760</v>
      </c>
      <c r="F1552" s="71" t="s">
        <v>124</v>
      </c>
      <c r="G1552" s="71" t="s">
        <v>20</v>
      </c>
      <c r="H1552" s="71" t="s">
        <v>71</v>
      </c>
      <c r="I1552" s="71" t="s">
        <v>72</v>
      </c>
      <c r="J1552" s="71" t="s">
        <v>12761</v>
      </c>
      <c r="K1552" s="71" t="s">
        <v>12762</v>
      </c>
      <c r="L1552" s="71" t="s">
        <v>4282</v>
      </c>
      <c r="M1552" s="71"/>
      <c r="N1552" s="72">
        <v>39501</v>
      </c>
      <c r="O1552" s="72">
        <v>40668</v>
      </c>
      <c r="P1552" s="71">
        <v>-1</v>
      </c>
      <c r="Q1552" s="71" t="b">
        <v>1</v>
      </c>
      <c r="R1552" s="22">
        <f t="shared" si="24"/>
        <v>1211</v>
      </c>
    </row>
    <row r="1553" spans="1:18">
      <c r="A1553" s="71">
        <v>9023</v>
      </c>
      <c r="B1553" s="72">
        <v>39470</v>
      </c>
      <c r="C1553" s="71" t="s">
        <v>12778</v>
      </c>
      <c r="D1553" s="72">
        <v>39465</v>
      </c>
      <c r="E1553" s="71" t="s">
        <v>12779</v>
      </c>
      <c r="F1553" s="71" t="s">
        <v>350</v>
      </c>
      <c r="G1553" s="71" t="s">
        <v>20</v>
      </c>
      <c r="H1553" s="71" t="s">
        <v>71</v>
      </c>
      <c r="I1553" s="71" t="s">
        <v>72</v>
      </c>
      <c r="J1553" s="71" t="s">
        <v>3538</v>
      </c>
      <c r="K1553" s="71" t="s">
        <v>12780</v>
      </c>
      <c r="L1553" s="74" t="s">
        <v>1946</v>
      </c>
      <c r="M1553" s="74"/>
      <c r="N1553" s="72">
        <v>39560</v>
      </c>
      <c r="O1553" s="75">
        <v>40556</v>
      </c>
      <c r="P1553" s="71"/>
      <c r="Q1553" s="71" t="b">
        <v>0</v>
      </c>
      <c r="R1553" s="22">
        <f t="shared" si="24"/>
        <v>1084</v>
      </c>
    </row>
    <row r="1554" spans="1:18">
      <c r="A1554" s="71">
        <v>9038</v>
      </c>
      <c r="B1554" s="72">
        <v>39470</v>
      </c>
      <c r="C1554" s="71" t="s">
        <v>12781</v>
      </c>
      <c r="D1554" s="72">
        <v>39466</v>
      </c>
      <c r="E1554" s="71" t="s">
        <v>12782</v>
      </c>
      <c r="F1554" s="71" t="s">
        <v>974</v>
      </c>
      <c r="G1554" s="71" t="s">
        <v>20</v>
      </c>
      <c r="H1554" s="71" t="s">
        <v>212</v>
      </c>
      <c r="I1554" s="71" t="s">
        <v>212</v>
      </c>
      <c r="J1554" s="71" t="s">
        <v>12783</v>
      </c>
      <c r="K1554" s="71" t="s">
        <v>12784</v>
      </c>
      <c r="L1554" s="74" t="s">
        <v>4282</v>
      </c>
      <c r="M1554" s="74"/>
      <c r="N1554" s="72">
        <v>39517</v>
      </c>
      <c r="O1554" s="75">
        <v>40407</v>
      </c>
      <c r="P1554" s="71">
        <v>-1</v>
      </c>
      <c r="Q1554" s="71" t="b">
        <v>1</v>
      </c>
      <c r="R1554" s="22">
        <f t="shared" si="24"/>
        <v>936</v>
      </c>
    </row>
    <row r="1555" spans="1:18">
      <c r="A1555" s="74">
        <v>9062</v>
      </c>
      <c r="B1555" s="75">
        <v>39472</v>
      </c>
      <c r="C1555" s="74" t="s">
        <v>12785</v>
      </c>
      <c r="D1555" s="75">
        <v>39472</v>
      </c>
      <c r="E1555" s="74" t="s">
        <v>12786</v>
      </c>
      <c r="F1555" s="74" t="s">
        <v>3430</v>
      </c>
      <c r="G1555" s="74" t="s">
        <v>20</v>
      </c>
      <c r="H1555" s="74" t="s">
        <v>71</v>
      </c>
      <c r="I1555" s="74" t="s">
        <v>72</v>
      </c>
      <c r="J1555" s="74" t="s">
        <v>12787</v>
      </c>
      <c r="K1555" s="74" t="s">
        <v>7321</v>
      </c>
      <c r="L1555" s="74" t="s">
        <v>4579</v>
      </c>
      <c r="M1555" s="74"/>
      <c r="N1555" s="18"/>
      <c r="O1555" s="75">
        <v>39490</v>
      </c>
      <c r="P1555" s="74"/>
      <c r="Q1555" s="74" t="b">
        <v>0</v>
      </c>
      <c r="R1555" s="22">
        <f t="shared" si="24"/>
        <v>17</v>
      </c>
    </row>
    <row r="1556" spans="1:18">
      <c r="A1556" s="71">
        <v>9095</v>
      </c>
      <c r="B1556" s="72">
        <v>39477</v>
      </c>
      <c r="C1556" s="71" t="s">
        <v>12788</v>
      </c>
      <c r="D1556" s="72">
        <v>39470</v>
      </c>
      <c r="E1556" s="71" t="s">
        <v>12789</v>
      </c>
      <c r="F1556" s="71" t="s">
        <v>1771</v>
      </c>
      <c r="G1556" s="71" t="s">
        <v>20</v>
      </c>
      <c r="H1556" s="71" t="s">
        <v>189</v>
      </c>
      <c r="I1556" s="71" t="s">
        <v>189</v>
      </c>
      <c r="J1556" s="71" t="s">
        <v>12389</v>
      </c>
      <c r="K1556" s="71" t="s">
        <v>1712</v>
      </c>
      <c r="L1556" s="74" t="s">
        <v>7167</v>
      </c>
      <c r="M1556" s="74" t="s">
        <v>4282</v>
      </c>
      <c r="N1556" s="72">
        <v>39493</v>
      </c>
      <c r="O1556" s="75">
        <v>41015</v>
      </c>
      <c r="P1556" s="71">
        <v>-1</v>
      </c>
      <c r="Q1556" s="71" t="b">
        <v>1</v>
      </c>
      <c r="R1556" s="22">
        <f t="shared" si="24"/>
        <v>1537</v>
      </c>
    </row>
    <row r="1557" spans="1:18">
      <c r="A1557" s="71">
        <v>9125</v>
      </c>
      <c r="B1557" s="72">
        <v>39479</v>
      </c>
      <c r="C1557" s="71" t="s">
        <v>12798</v>
      </c>
      <c r="D1557" s="72">
        <v>39473</v>
      </c>
      <c r="E1557" s="71" t="s">
        <v>12640</v>
      </c>
      <c r="F1557" s="71" t="s">
        <v>8615</v>
      </c>
      <c r="G1557" s="71" t="s">
        <v>20</v>
      </c>
      <c r="H1557" s="71" t="s">
        <v>71</v>
      </c>
      <c r="I1557" s="71" t="s">
        <v>72</v>
      </c>
      <c r="J1557" s="71" t="s">
        <v>12799</v>
      </c>
      <c r="K1557" s="71"/>
      <c r="L1557" s="74" t="s">
        <v>4579</v>
      </c>
      <c r="M1557" s="74"/>
      <c r="N1557" s="72">
        <v>39569</v>
      </c>
      <c r="O1557" s="75">
        <v>39549</v>
      </c>
      <c r="P1557" s="71">
        <v>-1</v>
      </c>
      <c r="Q1557" s="71" t="b">
        <v>1</v>
      </c>
      <c r="R1557" s="22">
        <f t="shared" si="24"/>
        <v>70</v>
      </c>
    </row>
    <row r="1558" spans="1:18">
      <c r="A1558" s="71">
        <v>9141</v>
      </c>
      <c r="B1558" s="72">
        <v>39493</v>
      </c>
      <c r="C1558" s="71" t="s">
        <v>12817</v>
      </c>
      <c r="D1558" s="72">
        <v>39490</v>
      </c>
      <c r="E1558" s="71" t="s">
        <v>12818</v>
      </c>
      <c r="F1558" s="71" t="s">
        <v>149</v>
      </c>
      <c r="G1558" s="71" t="s">
        <v>20</v>
      </c>
      <c r="H1558" s="71" t="s">
        <v>71</v>
      </c>
      <c r="I1558" s="71" t="s">
        <v>72</v>
      </c>
      <c r="J1558" s="71" t="s">
        <v>12819</v>
      </c>
      <c r="K1558" s="71" t="s">
        <v>12730</v>
      </c>
      <c r="L1558" s="74" t="s">
        <v>4579</v>
      </c>
      <c r="M1558" s="74"/>
      <c r="N1558" s="72">
        <v>39538</v>
      </c>
      <c r="O1558" s="75">
        <v>39556</v>
      </c>
      <c r="P1558" s="71">
        <v>-1</v>
      </c>
      <c r="Q1558" s="71" t="b">
        <v>1</v>
      </c>
      <c r="R1558" s="22">
        <f t="shared" si="24"/>
        <v>63</v>
      </c>
    </row>
    <row r="1559" spans="1:18">
      <c r="A1559" s="71">
        <v>9145</v>
      </c>
      <c r="B1559" s="72">
        <v>39499</v>
      </c>
      <c r="C1559" s="71" t="s">
        <v>12820</v>
      </c>
      <c r="D1559" s="72">
        <v>39496</v>
      </c>
      <c r="E1559" s="71" t="s">
        <v>12821</v>
      </c>
      <c r="F1559" s="71" t="s">
        <v>104</v>
      </c>
      <c r="G1559" s="71" t="s">
        <v>20</v>
      </c>
      <c r="H1559" s="71" t="s">
        <v>71</v>
      </c>
      <c r="I1559" s="71" t="s">
        <v>72</v>
      </c>
      <c r="J1559" s="71" t="s">
        <v>12822</v>
      </c>
      <c r="K1559" s="71" t="s">
        <v>12823</v>
      </c>
      <c r="L1559" s="74" t="s">
        <v>3588</v>
      </c>
      <c r="M1559" s="74" t="s">
        <v>4579</v>
      </c>
      <c r="N1559" s="72">
        <v>39543</v>
      </c>
      <c r="O1559" s="75">
        <v>40239</v>
      </c>
      <c r="P1559" s="71">
        <v>-1</v>
      </c>
      <c r="Q1559" s="71" t="b">
        <v>1</v>
      </c>
      <c r="R1559" s="22">
        <f t="shared" si="24"/>
        <v>741</v>
      </c>
    </row>
    <row r="1560" spans="1:18">
      <c r="A1560" s="71">
        <v>9148</v>
      </c>
      <c r="B1560" s="72">
        <v>39503</v>
      </c>
      <c r="C1560" s="71" t="s">
        <v>12826</v>
      </c>
      <c r="D1560" s="72">
        <v>39499</v>
      </c>
      <c r="E1560" s="71" t="s">
        <v>12827</v>
      </c>
      <c r="F1560" s="71" t="s">
        <v>6456</v>
      </c>
      <c r="G1560" s="71" t="s">
        <v>20</v>
      </c>
      <c r="H1560" s="71" t="s">
        <v>189</v>
      </c>
      <c r="I1560" s="71" t="s">
        <v>189</v>
      </c>
      <c r="J1560" s="71" t="s">
        <v>12828</v>
      </c>
      <c r="K1560" s="71" t="s">
        <v>12829</v>
      </c>
      <c r="L1560" s="74" t="s">
        <v>3588</v>
      </c>
      <c r="M1560" s="74"/>
      <c r="N1560" s="72">
        <v>39548</v>
      </c>
      <c r="O1560" s="75">
        <v>39542</v>
      </c>
      <c r="P1560" s="71">
        <v>-1</v>
      </c>
      <c r="Q1560" s="71" t="b">
        <v>1</v>
      </c>
      <c r="R1560" s="22">
        <f t="shared" si="24"/>
        <v>39</v>
      </c>
    </row>
    <row r="1561" spans="1:18">
      <c r="A1561" s="71">
        <v>9149</v>
      </c>
      <c r="B1561" s="72">
        <v>39503</v>
      </c>
      <c r="C1561" s="71" t="s">
        <v>12830</v>
      </c>
      <c r="D1561" s="72">
        <v>39498</v>
      </c>
      <c r="E1561" s="71" t="s">
        <v>12831</v>
      </c>
      <c r="F1561" s="71" t="s">
        <v>12832</v>
      </c>
      <c r="G1561" s="71" t="s">
        <v>20</v>
      </c>
      <c r="H1561" s="71" t="s">
        <v>71</v>
      </c>
      <c r="I1561" s="71" t="s">
        <v>72</v>
      </c>
      <c r="J1561" s="71" t="s">
        <v>12833</v>
      </c>
      <c r="K1561" s="71" t="s">
        <v>12834</v>
      </c>
      <c r="L1561" s="74" t="s">
        <v>3588</v>
      </c>
      <c r="M1561" s="74"/>
      <c r="N1561" s="72">
        <v>39593</v>
      </c>
      <c r="O1561" s="75">
        <v>39507</v>
      </c>
      <c r="P1561" s="71"/>
      <c r="Q1561" s="71" t="b">
        <v>0</v>
      </c>
      <c r="R1561" s="22">
        <f t="shared" si="24"/>
        <v>4</v>
      </c>
    </row>
    <row r="1562" spans="1:18">
      <c r="A1562" s="74">
        <v>9157</v>
      </c>
      <c r="B1562" s="75">
        <v>39505</v>
      </c>
      <c r="C1562" s="74" t="s">
        <v>12835</v>
      </c>
      <c r="D1562" s="75">
        <v>39503</v>
      </c>
      <c r="E1562" s="74" t="s">
        <v>12836</v>
      </c>
      <c r="F1562" s="74" t="s">
        <v>3579</v>
      </c>
      <c r="G1562" s="74" t="s">
        <v>20</v>
      </c>
      <c r="H1562" s="74" t="s">
        <v>71</v>
      </c>
      <c r="I1562" s="74" t="s">
        <v>72</v>
      </c>
      <c r="J1562" s="74" t="s">
        <v>12837</v>
      </c>
      <c r="K1562" s="74" t="s">
        <v>12838</v>
      </c>
      <c r="L1562" s="74" t="s">
        <v>4579</v>
      </c>
      <c r="M1562" s="74"/>
      <c r="N1562" s="72">
        <v>39550</v>
      </c>
      <c r="O1562" s="75">
        <v>39542</v>
      </c>
      <c r="P1562" s="74"/>
      <c r="Q1562" s="74" t="b">
        <v>0</v>
      </c>
      <c r="R1562" s="22">
        <f t="shared" si="24"/>
        <v>37</v>
      </c>
    </row>
    <row r="1563" spans="1:18">
      <c r="A1563" s="71">
        <v>9159</v>
      </c>
      <c r="B1563" s="72">
        <v>39506</v>
      </c>
      <c r="C1563" s="71" t="s">
        <v>12839</v>
      </c>
      <c r="D1563" s="72">
        <v>39504</v>
      </c>
      <c r="E1563" s="71" t="s">
        <v>12840</v>
      </c>
      <c r="F1563" s="71" t="s">
        <v>70</v>
      </c>
      <c r="G1563" s="71" t="s">
        <v>20</v>
      </c>
      <c r="H1563" s="71" t="s">
        <v>71</v>
      </c>
      <c r="I1563" s="71" t="s">
        <v>72</v>
      </c>
      <c r="J1563" s="71" t="s">
        <v>12841</v>
      </c>
      <c r="K1563" s="71"/>
      <c r="L1563" s="74" t="s">
        <v>4579</v>
      </c>
      <c r="M1563" s="74"/>
      <c r="N1563" s="72">
        <v>39550</v>
      </c>
      <c r="O1563" s="75">
        <v>39738</v>
      </c>
      <c r="P1563" s="71">
        <v>-1</v>
      </c>
      <c r="Q1563" s="71" t="b">
        <v>1</v>
      </c>
      <c r="R1563" s="22">
        <f t="shared" si="24"/>
        <v>232</v>
      </c>
    </row>
    <row r="1564" spans="1:18">
      <c r="A1564" s="74">
        <v>9169</v>
      </c>
      <c r="B1564" s="75">
        <v>39518</v>
      </c>
      <c r="C1564" s="74" t="s">
        <v>12848</v>
      </c>
      <c r="D1564" s="75">
        <v>38806</v>
      </c>
      <c r="E1564" s="74" t="s">
        <v>12849</v>
      </c>
      <c r="F1564" s="74" t="s">
        <v>11069</v>
      </c>
      <c r="G1564" s="74" t="s">
        <v>20</v>
      </c>
      <c r="H1564" s="74" t="s">
        <v>71</v>
      </c>
      <c r="I1564" s="74" t="s">
        <v>72</v>
      </c>
      <c r="J1564" s="74" t="s">
        <v>11685</v>
      </c>
      <c r="K1564" s="74" t="s">
        <v>4690</v>
      </c>
      <c r="L1564" s="74" t="s">
        <v>4579</v>
      </c>
      <c r="M1564" s="74"/>
      <c r="N1564" s="72">
        <v>39563</v>
      </c>
      <c r="O1564" s="75">
        <v>39519</v>
      </c>
      <c r="P1564" s="74"/>
      <c r="Q1564" s="74" t="b">
        <v>0</v>
      </c>
      <c r="R1564" s="22">
        <f t="shared" si="24"/>
        <v>1</v>
      </c>
    </row>
    <row r="1565" spans="1:18">
      <c r="A1565" s="74">
        <v>9170</v>
      </c>
      <c r="B1565" s="75">
        <v>39518</v>
      </c>
      <c r="C1565" s="74" t="s">
        <v>12850</v>
      </c>
      <c r="D1565" s="75">
        <v>39496</v>
      </c>
      <c r="E1565" s="74" t="s">
        <v>12851</v>
      </c>
      <c r="F1565" s="74" t="s">
        <v>104</v>
      </c>
      <c r="G1565" s="74" t="s">
        <v>20</v>
      </c>
      <c r="H1565" s="74" t="s">
        <v>71</v>
      </c>
      <c r="I1565" s="74" t="s">
        <v>72</v>
      </c>
      <c r="J1565" s="74" t="s">
        <v>12852</v>
      </c>
      <c r="K1565" s="74"/>
      <c r="L1565" s="74" t="s">
        <v>3588</v>
      </c>
      <c r="M1565" s="74" t="s">
        <v>4579</v>
      </c>
      <c r="N1565" s="72">
        <v>39563</v>
      </c>
      <c r="O1565" s="75">
        <v>40239</v>
      </c>
      <c r="P1565" s="74">
        <v>-1</v>
      </c>
      <c r="Q1565" s="74" t="b">
        <v>1</v>
      </c>
      <c r="R1565" s="22">
        <f t="shared" si="24"/>
        <v>720</v>
      </c>
    </row>
    <row r="1566" spans="1:18">
      <c r="A1566" s="74">
        <v>9171</v>
      </c>
      <c r="B1566" s="75">
        <v>39518</v>
      </c>
      <c r="C1566" s="74" t="s">
        <v>12853</v>
      </c>
      <c r="D1566" s="75">
        <v>39496</v>
      </c>
      <c r="E1566" s="74" t="s">
        <v>12854</v>
      </c>
      <c r="F1566" s="74" t="s">
        <v>104</v>
      </c>
      <c r="G1566" s="74" t="s">
        <v>20</v>
      </c>
      <c r="H1566" s="74" t="s">
        <v>71</v>
      </c>
      <c r="I1566" s="74" t="s">
        <v>72</v>
      </c>
      <c r="J1566" s="74" t="s">
        <v>12855</v>
      </c>
      <c r="K1566" s="74"/>
      <c r="L1566" s="74" t="s">
        <v>3588</v>
      </c>
      <c r="M1566" s="74" t="s">
        <v>4579</v>
      </c>
      <c r="N1566" s="72">
        <v>39563</v>
      </c>
      <c r="O1566" s="75">
        <v>40239</v>
      </c>
      <c r="P1566" s="74">
        <v>-1</v>
      </c>
      <c r="Q1566" s="74" t="b">
        <v>1</v>
      </c>
      <c r="R1566" s="22">
        <f t="shared" si="24"/>
        <v>720</v>
      </c>
    </row>
    <row r="1567" spans="1:18">
      <c r="A1567" s="74">
        <v>9172</v>
      </c>
      <c r="B1567" s="75">
        <v>39518</v>
      </c>
      <c r="C1567" s="74" t="s">
        <v>12856</v>
      </c>
      <c r="D1567" s="75">
        <v>37525</v>
      </c>
      <c r="E1567" s="74" t="s">
        <v>12857</v>
      </c>
      <c r="F1567" s="74" t="s">
        <v>4596</v>
      </c>
      <c r="G1567" s="74" t="s">
        <v>20</v>
      </c>
      <c r="H1567" s="74" t="s">
        <v>71</v>
      </c>
      <c r="I1567" s="74" t="s">
        <v>72</v>
      </c>
      <c r="J1567" s="74" t="s">
        <v>7292</v>
      </c>
      <c r="K1567" s="74" t="s">
        <v>7293</v>
      </c>
      <c r="L1567" s="74" t="s">
        <v>3588</v>
      </c>
      <c r="M1567" s="74"/>
      <c r="N1567" s="72">
        <v>39563</v>
      </c>
      <c r="O1567" s="75">
        <v>39548</v>
      </c>
      <c r="P1567" s="74">
        <v>-1</v>
      </c>
      <c r="Q1567" s="74" t="b">
        <v>1</v>
      </c>
      <c r="R1567" s="22">
        <f t="shared" si="24"/>
        <v>29</v>
      </c>
    </row>
    <row r="1568" spans="1:18">
      <c r="A1568" s="71">
        <v>9174</v>
      </c>
      <c r="B1568" s="72">
        <v>39524</v>
      </c>
      <c r="C1568" s="71" t="s">
        <v>12861</v>
      </c>
      <c r="D1568" s="72">
        <v>39521</v>
      </c>
      <c r="E1568" s="71" t="s">
        <v>12643</v>
      </c>
      <c r="F1568" s="71" t="s">
        <v>3430</v>
      </c>
      <c r="G1568" s="71" t="s">
        <v>20</v>
      </c>
      <c r="H1568" s="71" t="s">
        <v>71</v>
      </c>
      <c r="I1568" s="71" t="s">
        <v>72</v>
      </c>
      <c r="J1568" s="71" t="s">
        <v>12862</v>
      </c>
      <c r="K1568" s="71" t="s">
        <v>8828</v>
      </c>
      <c r="L1568" s="74" t="s">
        <v>4579</v>
      </c>
      <c r="M1568" s="74"/>
      <c r="N1568" s="72">
        <v>39568</v>
      </c>
      <c r="O1568" s="75">
        <v>39552</v>
      </c>
      <c r="P1568" s="71"/>
      <c r="Q1568" s="71" t="b">
        <v>0</v>
      </c>
      <c r="R1568" s="22">
        <f t="shared" si="24"/>
        <v>27</v>
      </c>
    </row>
    <row r="1569" spans="1:18">
      <c r="A1569" s="71">
        <v>9177</v>
      </c>
      <c r="B1569" s="72">
        <v>39534</v>
      </c>
      <c r="C1569" s="71" t="s">
        <v>12869</v>
      </c>
      <c r="D1569" s="72">
        <v>39521</v>
      </c>
      <c r="E1569" s="71" t="s">
        <v>12870</v>
      </c>
      <c r="F1569" s="71" t="s">
        <v>124</v>
      </c>
      <c r="G1569" s="71" t="s">
        <v>20</v>
      </c>
      <c r="H1569" s="71" t="s">
        <v>71</v>
      </c>
      <c r="I1569" s="71" t="s">
        <v>72</v>
      </c>
      <c r="J1569" s="71" t="s">
        <v>12871</v>
      </c>
      <c r="K1569" s="71"/>
      <c r="L1569" s="74" t="s">
        <v>4579</v>
      </c>
      <c r="M1569" s="74"/>
      <c r="N1569" s="72">
        <v>39623</v>
      </c>
      <c r="O1569" s="75">
        <v>40623</v>
      </c>
      <c r="P1569" s="71"/>
      <c r="Q1569" s="71" t="b">
        <v>0</v>
      </c>
      <c r="R1569" s="22">
        <f t="shared" si="24"/>
        <v>1088</v>
      </c>
    </row>
    <row r="1570" spans="1:18">
      <c r="A1570" s="71">
        <v>9178</v>
      </c>
      <c r="B1570" s="72">
        <v>39534</v>
      </c>
      <c r="C1570" s="71" t="s">
        <v>12872</v>
      </c>
      <c r="D1570" s="72">
        <v>39532</v>
      </c>
      <c r="E1570" s="71" t="s">
        <v>12873</v>
      </c>
      <c r="F1570" s="71" t="s">
        <v>327</v>
      </c>
      <c r="G1570" s="71" t="s">
        <v>20</v>
      </c>
      <c r="H1570" s="71" t="s">
        <v>212</v>
      </c>
      <c r="I1570" s="71" t="s">
        <v>212</v>
      </c>
      <c r="J1570" s="71" t="s">
        <v>1817</v>
      </c>
      <c r="K1570" s="71" t="s">
        <v>12874</v>
      </c>
      <c r="L1570" s="74" t="s">
        <v>4282</v>
      </c>
      <c r="M1570" s="74"/>
      <c r="N1570" s="72">
        <v>39577</v>
      </c>
      <c r="O1570" s="75">
        <v>39583</v>
      </c>
      <c r="P1570" s="71">
        <v>-1</v>
      </c>
      <c r="Q1570" s="71" t="b">
        <v>1</v>
      </c>
      <c r="R1570" s="22">
        <f t="shared" si="24"/>
        <v>48</v>
      </c>
    </row>
    <row r="1571" spans="1:18">
      <c r="A1571" s="74">
        <v>9179</v>
      </c>
      <c r="B1571" s="75">
        <v>39538</v>
      </c>
      <c r="C1571" s="74" t="s">
        <v>12875</v>
      </c>
      <c r="D1571" s="75">
        <v>39532</v>
      </c>
      <c r="E1571" s="74" t="s">
        <v>12876</v>
      </c>
      <c r="F1571" s="74" t="s">
        <v>545</v>
      </c>
      <c r="G1571" s="74" t="s">
        <v>20</v>
      </c>
      <c r="H1571" s="74" t="s">
        <v>71</v>
      </c>
      <c r="I1571" s="74" t="s">
        <v>72</v>
      </c>
      <c r="J1571" s="74" t="s">
        <v>12877</v>
      </c>
      <c r="K1571" s="74" t="s">
        <v>12878</v>
      </c>
      <c r="L1571" s="74" t="s">
        <v>3588</v>
      </c>
      <c r="M1571" s="74" t="s">
        <v>1946</v>
      </c>
      <c r="N1571" s="72">
        <v>39582</v>
      </c>
      <c r="O1571" s="75">
        <v>41087</v>
      </c>
      <c r="P1571" s="74">
        <v>-1</v>
      </c>
      <c r="Q1571" s="74" t="b">
        <v>1</v>
      </c>
      <c r="R1571" s="22">
        <f t="shared" si="24"/>
        <v>1548</v>
      </c>
    </row>
    <row r="1572" spans="1:18">
      <c r="A1572" s="74">
        <v>9185</v>
      </c>
      <c r="B1572" s="75">
        <v>39553</v>
      </c>
      <c r="C1572" s="74" t="s">
        <v>12890</v>
      </c>
      <c r="D1572" s="75">
        <v>39548</v>
      </c>
      <c r="E1572" s="74" t="s">
        <v>12891</v>
      </c>
      <c r="F1572" s="74" t="s">
        <v>12892</v>
      </c>
      <c r="G1572" s="74" t="s">
        <v>20</v>
      </c>
      <c r="H1572" s="74" t="s">
        <v>71</v>
      </c>
      <c r="I1572" s="74" t="s">
        <v>72</v>
      </c>
      <c r="J1572" s="74" t="s">
        <v>12893</v>
      </c>
      <c r="K1572" s="74" t="s">
        <v>12894</v>
      </c>
      <c r="L1572" s="74" t="s">
        <v>3588</v>
      </c>
      <c r="M1572" s="74"/>
      <c r="N1572" s="72">
        <v>39643</v>
      </c>
      <c r="O1572" s="75">
        <v>39583</v>
      </c>
      <c r="P1572" s="74">
        <v>-1</v>
      </c>
      <c r="Q1572" s="74" t="b">
        <v>1</v>
      </c>
      <c r="R1572" s="22">
        <f t="shared" si="24"/>
        <v>30</v>
      </c>
    </row>
    <row r="1573" spans="1:18">
      <c r="A1573" s="74">
        <v>9189</v>
      </c>
      <c r="B1573" s="75">
        <v>39554</v>
      </c>
      <c r="C1573" s="74" t="s">
        <v>12901</v>
      </c>
      <c r="D1573" s="75">
        <v>39552</v>
      </c>
      <c r="E1573" s="74" t="s">
        <v>12902</v>
      </c>
      <c r="F1573" s="74" t="s">
        <v>194</v>
      </c>
      <c r="G1573" s="74" t="s">
        <v>20</v>
      </c>
      <c r="H1573" s="74" t="s">
        <v>71</v>
      </c>
      <c r="I1573" s="74" t="s">
        <v>72</v>
      </c>
      <c r="J1573" s="74" t="s">
        <v>12903</v>
      </c>
      <c r="K1573" s="74" t="s">
        <v>4001</v>
      </c>
      <c r="L1573" s="74" t="s">
        <v>12904</v>
      </c>
      <c r="M1573" s="74"/>
      <c r="N1573" s="72">
        <v>39645</v>
      </c>
      <c r="O1573" s="75">
        <v>40456</v>
      </c>
      <c r="P1573" s="74"/>
      <c r="Q1573" s="74" t="b">
        <v>0</v>
      </c>
      <c r="R1573" s="22">
        <f t="shared" si="24"/>
        <v>901</v>
      </c>
    </row>
    <row r="1574" spans="1:18">
      <c r="A1574" s="74">
        <v>9191</v>
      </c>
      <c r="B1574" s="75">
        <v>39559</v>
      </c>
      <c r="C1574" s="74" t="s">
        <v>12908</v>
      </c>
      <c r="D1574" s="75">
        <v>39555</v>
      </c>
      <c r="E1574" s="74" t="s">
        <v>12909</v>
      </c>
      <c r="F1574" s="74" t="s">
        <v>12910</v>
      </c>
      <c r="G1574" s="74" t="s">
        <v>20</v>
      </c>
      <c r="H1574" s="74" t="s">
        <v>189</v>
      </c>
      <c r="I1574" s="74" t="s">
        <v>189</v>
      </c>
      <c r="J1574" s="74" t="s">
        <v>12911</v>
      </c>
      <c r="K1574" s="74"/>
      <c r="L1574" s="74" t="s">
        <v>3588</v>
      </c>
      <c r="M1574" s="74"/>
      <c r="N1574" s="72">
        <v>39604</v>
      </c>
      <c r="O1574" s="75">
        <v>39581</v>
      </c>
      <c r="P1574" s="74">
        <v>-1</v>
      </c>
      <c r="Q1574" s="74" t="b">
        <v>1</v>
      </c>
      <c r="R1574" s="22">
        <f t="shared" si="24"/>
        <v>22</v>
      </c>
    </row>
    <row r="1575" spans="1:18">
      <c r="A1575" s="74">
        <v>9194</v>
      </c>
      <c r="B1575" s="75">
        <v>39566</v>
      </c>
      <c r="C1575" s="74" t="s">
        <v>12914</v>
      </c>
      <c r="D1575" s="75">
        <v>39556</v>
      </c>
      <c r="E1575" s="74" t="s">
        <v>12915</v>
      </c>
      <c r="F1575" s="74" t="s">
        <v>10967</v>
      </c>
      <c r="G1575" s="74" t="s">
        <v>20</v>
      </c>
      <c r="H1575" s="74" t="s">
        <v>71</v>
      </c>
      <c r="I1575" s="74" t="s">
        <v>72</v>
      </c>
      <c r="J1575" s="74" t="s">
        <v>5668</v>
      </c>
      <c r="K1575" s="74" t="s">
        <v>12916</v>
      </c>
      <c r="L1575" s="74" t="s">
        <v>4579</v>
      </c>
      <c r="M1575" s="74" t="s">
        <v>1946</v>
      </c>
      <c r="N1575" s="72">
        <v>39654</v>
      </c>
      <c r="O1575" s="75">
        <v>40598</v>
      </c>
      <c r="P1575" s="74"/>
      <c r="Q1575" s="74" t="b">
        <v>0</v>
      </c>
      <c r="R1575" s="22">
        <f t="shared" si="24"/>
        <v>1030</v>
      </c>
    </row>
    <row r="1576" spans="1:18">
      <c r="A1576" s="71">
        <v>9195</v>
      </c>
      <c r="B1576" s="72">
        <v>39566</v>
      </c>
      <c r="C1576" s="71" t="s">
        <v>12917</v>
      </c>
      <c r="D1576" s="72">
        <v>39563</v>
      </c>
      <c r="E1576" s="71" t="s">
        <v>12918</v>
      </c>
      <c r="F1576" s="71" t="s">
        <v>12919</v>
      </c>
      <c r="G1576" s="71" t="s">
        <v>20</v>
      </c>
      <c r="H1576" s="71" t="s">
        <v>71</v>
      </c>
      <c r="I1576" s="71" t="s">
        <v>72</v>
      </c>
      <c r="J1576" s="71" t="s">
        <v>12920</v>
      </c>
      <c r="K1576" s="71" t="s">
        <v>12921</v>
      </c>
      <c r="L1576" s="71" t="s">
        <v>4282</v>
      </c>
      <c r="M1576" s="71"/>
      <c r="N1576" s="72">
        <v>39654</v>
      </c>
      <c r="O1576" s="75">
        <v>39602</v>
      </c>
      <c r="P1576" s="71">
        <v>-1</v>
      </c>
      <c r="Q1576" s="71" t="b">
        <v>0</v>
      </c>
      <c r="R1576" s="22">
        <f t="shared" si="24"/>
        <v>35</v>
      </c>
    </row>
    <row r="1577" spans="1:18">
      <c r="A1577" s="74">
        <v>9197</v>
      </c>
      <c r="B1577" s="75">
        <v>39573</v>
      </c>
      <c r="C1577" s="74" t="s">
        <v>12926</v>
      </c>
      <c r="D1577" s="75">
        <v>39569</v>
      </c>
      <c r="E1577" s="74" t="s">
        <v>12927</v>
      </c>
      <c r="F1577" s="74" t="s">
        <v>242</v>
      </c>
      <c r="G1577" s="74" t="s">
        <v>20</v>
      </c>
      <c r="H1577" s="74" t="s">
        <v>71</v>
      </c>
      <c r="I1577" s="74" t="s">
        <v>72</v>
      </c>
      <c r="J1577" s="74" t="s">
        <v>12928</v>
      </c>
      <c r="K1577" s="74"/>
      <c r="L1577" s="74" t="s">
        <v>4579</v>
      </c>
      <c r="M1577" s="74"/>
      <c r="N1577" s="72">
        <v>39614</v>
      </c>
      <c r="O1577" s="75">
        <v>39588</v>
      </c>
      <c r="P1577" s="74">
        <v>-1</v>
      </c>
      <c r="Q1577" s="74" t="b">
        <v>1</v>
      </c>
      <c r="R1577" s="22">
        <f t="shared" si="24"/>
        <v>15</v>
      </c>
    </row>
    <row r="1578" spans="1:18">
      <c r="A1578" s="74">
        <v>9199</v>
      </c>
      <c r="B1578" s="75">
        <v>39582</v>
      </c>
      <c r="C1578" s="74" t="s">
        <v>12931</v>
      </c>
      <c r="D1578" s="75">
        <v>39580</v>
      </c>
      <c r="E1578" s="74" t="s">
        <v>12932</v>
      </c>
      <c r="F1578" s="74" t="s">
        <v>56</v>
      </c>
      <c r="G1578" s="74" t="s">
        <v>20</v>
      </c>
      <c r="H1578" s="74" t="s">
        <v>71</v>
      </c>
      <c r="I1578" s="74" t="s">
        <v>72</v>
      </c>
      <c r="J1578" s="74" t="s">
        <v>12933</v>
      </c>
      <c r="K1578" s="74" t="s">
        <v>3538</v>
      </c>
      <c r="L1578" s="74" t="s">
        <v>4579</v>
      </c>
      <c r="M1578" s="74"/>
      <c r="O1578" s="75">
        <v>39765</v>
      </c>
      <c r="P1578" s="74"/>
      <c r="Q1578" s="74" t="b">
        <v>0</v>
      </c>
      <c r="R1578" s="22">
        <f t="shared" si="24"/>
        <v>181</v>
      </c>
    </row>
    <row r="1579" spans="1:18">
      <c r="A1579" s="74">
        <v>9203</v>
      </c>
      <c r="B1579" s="75">
        <v>39591</v>
      </c>
      <c r="C1579" s="74" t="s">
        <v>12942</v>
      </c>
      <c r="D1579" s="75">
        <v>39590</v>
      </c>
      <c r="E1579" s="74" t="s">
        <v>12943</v>
      </c>
      <c r="F1579" s="74" t="s">
        <v>12944</v>
      </c>
      <c r="G1579" s="74" t="s">
        <v>20</v>
      </c>
      <c r="H1579" s="74" t="s">
        <v>71</v>
      </c>
      <c r="I1579" s="74" t="s">
        <v>72</v>
      </c>
      <c r="J1579" s="74" t="s">
        <v>12945</v>
      </c>
      <c r="K1579" s="74"/>
      <c r="L1579" s="74" t="s">
        <v>4579</v>
      </c>
      <c r="M1579" s="74"/>
      <c r="N1579" s="72">
        <v>39683</v>
      </c>
      <c r="O1579" s="75">
        <v>39658</v>
      </c>
      <c r="P1579" s="74">
        <v>-1</v>
      </c>
      <c r="Q1579" s="74" t="b">
        <v>1</v>
      </c>
      <c r="R1579" s="22">
        <f t="shared" si="24"/>
        <v>66</v>
      </c>
    </row>
    <row r="1580" spans="1:18">
      <c r="A1580" s="74">
        <v>9209</v>
      </c>
      <c r="B1580" s="75">
        <v>39603</v>
      </c>
      <c r="C1580" s="74" t="s">
        <v>12958</v>
      </c>
      <c r="D1580" s="75">
        <v>39600</v>
      </c>
      <c r="E1580" s="74" t="s">
        <v>12959</v>
      </c>
      <c r="F1580" s="74" t="s">
        <v>12404</v>
      </c>
      <c r="G1580" s="74" t="s">
        <v>20</v>
      </c>
      <c r="H1580" s="74" t="s">
        <v>71</v>
      </c>
      <c r="I1580" s="74" t="s">
        <v>72</v>
      </c>
      <c r="J1580" s="74" t="s">
        <v>12960</v>
      </c>
      <c r="K1580" s="74"/>
      <c r="L1580" s="74" t="s">
        <v>4579</v>
      </c>
      <c r="M1580" s="74"/>
      <c r="N1580" s="72">
        <v>39695</v>
      </c>
      <c r="O1580" s="75">
        <v>39743</v>
      </c>
      <c r="P1580" s="74"/>
      <c r="Q1580" s="74" t="b">
        <v>0</v>
      </c>
      <c r="R1580" s="22">
        <f t="shared" si="24"/>
        <v>139</v>
      </c>
    </row>
    <row r="1581" spans="1:18">
      <c r="A1581" s="74">
        <v>9210</v>
      </c>
      <c r="B1581" s="75">
        <v>39608</v>
      </c>
      <c r="C1581" s="74" t="s">
        <v>12961</v>
      </c>
      <c r="D1581" s="75">
        <v>39605</v>
      </c>
      <c r="E1581" s="74" t="s">
        <v>12962</v>
      </c>
      <c r="F1581" s="74" t="s">
        <v>145</v>
      </c>
      <c r="G1581" s="74" t="s">
        <v>20</v>
      </c>
      <c r="H1581" s="74" t="s">
        <v>71</v>
      </c>
      <c r="I1581" s="74" t="s">
        <v>72</v>
      </c>
      <c r="J1581" s="74" t="s">
        <v>12963</v>
      </c>
      <c r="K1581" s="74" t="s">
        <v>12964</v>
      </c>
      <c r="L1581" s="74" t="s">
        <v>4579</v>
      </c>
      <c r="M1581" s="74"/>
      <c r="N1581" s="72">
        <v>39660</v>
      </c>
      <c r="O1581" s="75">
        <v>39888</v>
      </c>
      <c r="P1581" s="74"/>
      <c r="Q1581" s="74" t="b">
        <v>0</v>
      </c>
      <c r="R1581" s="22">
        <f t="shared" si="24"/>
        <v>280</v>
      </c>
    </row>
    <row r="1582" spans="1:18">
      <c r="A1582" s="74">
        <v>9215</v>
      </c>
      <c r="B1582" s="75">
        <v>39612</v>
      </c>
      <c r="C1582" s="74" t="s">
        <v>12978</v>
      </c>
      <c r="D1582" s="75">
        <v>39612</v>
      </c>
      <c r="E1582" s="74" t="s">
        <v>12979</v>
      </c>
      <c r="F1582" s="74" t="s">
        <v>3615</v>
      </c>
      <c r="G1582" s="74" t="s">
        <v>20</v>
      </c>
      <c r="H1582" s="74" t="s">
        <v>189</v>
      </c>
      <c r="I1582" s="74" t="s">
        <v>189</v>
      </c>
      <c r="J1582" s="74" t="s">
        <v>2867</v>
      </c>
      <c r="K1582" s="74" t="s">
        <v>12980</v>
      </c>
      <c r="L1582" s="74" t="s">
        <v>3588</v>
      </c>
      <c r="M1582" s="74"/>
      <c r="N1582" s="72">
        <v>39662</v>
      </c>
      <c r="O1582" s="75">
        <v>39707</v>
      </c>
      <c r="P1582" s="74">
        <v>-1</v>
      </c>
      <c r="Q1582" s="74" t="b">
        <v>1</v>
      </c>
      <c r="R1582" s="22">
        <f t="shared" si="24"/>
        <v>94</v>
      </c>
    </row>
    <row r="1583" spans="1:18">
      <c r="A1583" s="74">
        <v>9222</v>
      </c>
      <c r="B1583" s="75">
        <v>39619</v>
      </c>
      <c r="C1583" s="74" t="s">
        <v>12998</v>
      </c>
      <c r="D1583" s="75">
        <v>39616</v>
      </c>
      <c r="E1583" s="74" t="s">
        <v>12999</v>
      </c>
      <c r="F1583" s="74" t="s">
        <v>2413</v>
      </c>
      <c r="G1583" s="74" t="s">
        <v>20</v>
      </c>
      <c r="H1583" s="74" t="s">
        <v>71</v>
      </c>
      <c r="I1583" s="74" t="s">
        <v>72</v>
      </c>
      <c r="J1583" s="74" t="s">
        <v>13000</v>
      </c>
      <c r="K1583" s="74" t="s">
        <v>13001</v>
      </c>
      <c r="L1583" s="74" t="s">
        <v>3588</v>
      </c>
      <c r="M1583" s="74"/>
      <c r="N1583" s="72">
        <v>39711</v>
      </c>
      <c r="O1583" s="75">
        <v>39659</v>
      </c>
      <c r="P1583" s="74"/>
      <c r="Q1583" s="74" t="b">
        <v>0</v>
      </c>
      <c r="R1583" s="22">
        <f t="shared" si="24"/>
        <v>40</v>
      </c>
    </row>
    <row r="1584" spans="1:18">
      <c r="A1584" s="74">
        <v>9223</v>
      </c>
      <c r="B1584" s="75">
        <v>39623</v>
      </c>
      <c r="C1584" s="74" t="s">
        <v>13002</v>
      </c>
      <c r="D1584" s="75">
        <v>39618</v>
      </c>
      <c r="E1584" s="74" t="s">
        <v>13003</v>
      </c>
      <c r="F1584" s="74" t="s">
        <v>13004</v>
      </c>
      <c r="G1584" s="74" t="s">
        <v>20</v>
      </c>
      <c r="H1584" s="74" t="s">
        <v>71</v>
      </c>
      <c r="I1584" s="74" t="s">
        <v>72</v>
      </c>
      <c r="J1584" s="74" t="s">
        <v>13005</v>
      </c>
      <c r="K1584" s="74" t="s">
        <v>13006</v>
      </c>
      <c r="L1584" s="74" t="s">
        <v>3588</v>
      </c>
      <c r="M1584" s="74"/>
      <c r="N1584" s="72">
        <v>39710</v>
      </c>
      <c r="O1584" s="75">
        <v>39736</v>
      </c>
      <c r="P1584" s="74"/>
      <c r="Q1584" s="74" t="b">
        <v>0</v>
      </c>
      <c r="R1584" s="22">
        <f t="shared" si="24"/>
        <v>112</v>
      </c>
    </row>
    <row r="1585" spans="1:18">
      <c r="A1585" s="74">
        <v>9224</v>
      </c>
      <c r="B1585" s="75">
        <v>39623</v>
      </c>
      <c r="C1585" s="74" t="s">
        <v>13007</v>
      </c>
      <c r="D1585" s="75">
        <v>39517</v>
      </c>
      <c r="E1585" s="74" t="s">
        <v>13008</v>
      </c>
      <c r="F1585" s="74" t="s">
        <v>12404</v>
      </c>
      <c r="G1585" s="74" t="s">
        <v>20</v>
      </c>
      <c r="H1585" s="74" t="s">
        <v>71</v>
      </c>
      <c r="I1585" s="74" t="s">
        <v>72</v>
      </c>
      <c r="J1585" s="74" t="s">
        <v>13009</v>
      </c>
      <c r="K1585" s="74" t="s">
        <v>13010</v>
      </c>
      <c r="L1585" s="74" t="s">
        <v>4282</v>
      </c>
      <c r="M1585" s="74"/>
      <c r="N1585" s="72">
        <v>39665</v>
      </c>
      <c r="O1585" s="75">
        <v>39664</v>
      </c>
      <c r="P1585" s="74">
        <v>-1</v>
      </c>
      <c r="Q1585" s="74" t="b">
        <v>1</v>
      </c>
      <c r="R1585" s="22">
        <f t="shared" si="24"/>
        <v>40</v>
      </c>
    </row>
    <row r="1586" spans="1:18">
      <c r="A1586" s="74">
        <v>9225</v>
      </c>
      <c r="B1586" s="75">
        <v>39623</v>
      </c>
      <c r="C1586" s="74" t="s">
        <v>13011</v>
      </c>
      <c r="D1586" s="75">
        <v>39619</v>
      </c>
      <c r="E1586" s="74" t="s">
        <v>13012</v>
      </c>
      <c r="F1586" s="74" t="s">
        <v>56</v>
      </c>
      <c r="G1586" s="74" t="s">
        <v>20</v>
      </c>
      <c r="H1586" s="74" t="s">
        <v>71</v>
      </c>
      <c r="I1586" s="74" t="s">
        <v>72</v>
      </c>
      <c r="J1586" s="74" t="s">
        <v>13013</v>
      </c>
      <c r="K1586" s="74"/>
      <c r="L1586" s="74" t="s">
        <v>4579</v>
      </c>
      <c r="M1586" s="74" t="s">
        <v>4282</v>
      </c>
      <c r="N1586" s="72">
        <v>39670</v>
      </c>
      <c r="O1586" s="75">
        <v>40549</v>
      </c>
      <c r="P1586" s="74">
        <v>-1</v>
      </c>
      <c r="Q1586" s="74" t="b">
        <v>1</v>
      </c>
      <c r="R1586" s="22">
        <f t="shared" si="24"/>
        <v>924</v>
      </c>
    </row>
    <row r="1587" spans="1:18">
      <c r="A1587" s="74">
        <v>9228</v>
      </c>
      <c r="B1587" s="75">
        <v>39624</v>
      </c>
      <c r="C1587" s="74" t="s">
        <v>13021</v>
      </c>
      <c r="D1587" s="75">
        <v>39619</v>
      </c>
      <c r="E1587" s="74" t="s">
        <v>13022</v>
      </c>
      <c r="F1587" s="74" t="s">
        <v>13023</v>
      </c>
      <c r="G1587" s="74" t="s">
        <v>20</v>
      </c>
      <c r="H1587" s="74" t="s">
        <v>189</v>
      </c>
      <c r="I1587" s="74" t="s">
        <v>189</v>
      </c>
      <c r="J1587" s="74" t="s">
        <v>13024</v>
      </c>
      <c r="K1587" s="74"/>
      <c r="L1587" s="74" t="s">
        <v>3588</v>
      </c>
      <c r="M1587" s="74"/>
      <c r="N1587" s="72">
        <v>39715</v>
      </c>
      <c r="O1587" s="75">
        <v>39696</v>
      </c>
      <c r="P1587" s="74"/>
      <c r="Q1587" s="74" t="b">
        <v>0</v>
      </c>
      <c r="R1587" s="22">
        <f t="shared" si="24"/>
        <v>70</v>
      </c>
    </row>
    <row r="1588" spans="1:18">
      <c r="A1588" s="74">
        <v>9229</v>
      </c>
      <c r="B1588" s="75">
        <v>39624</v>
      </c>
      <c r="C1588" s="74" t="s">
        <v>13025</v>
      </c>
      <c r="D1588" s="75">
        <v>39619</v>
      </c>
      <c r="E1588" s="74" t="s">
        <v>13026</v>
      </c>
      <c r="F1588" s="74" t="s">
        <v>104</v>
      </c>
      <c r="G1588" s="74" t="s">
        <v>20</v>
      </c>
      <c r="H1588" s="74" t="s">
        <v>189</v>
      </c>
      <c r="I1588" s="74" t="s">
        <v>189</v>
      </c>
      <c r="J1588" s="74" t="s">
        <v>13027</v>
      </c>
      <c r="K1588" s="74"/>
      <c r="L1588" s="74" t="s">
        <v>1946</v>
      </c>
      <c r="M1588" s="74"/>
      <c r="N1588" s="72">
        <v>39715</v>
      </c>
      <c r="O1588" s="75">
        <v>39797</v>
      </c>
      <c r="P1588" s="74"/>
      <c r="Q1588" s="74" t="b">
        <v>0</v>
      </c>
      <c r="R1588" s="22">
        <f t="shared" si="24"/>
        <v>172</v>
      </c>
    </row>
    <row r="1589" spans="1:18">
      <c r="A1589" s="71">
        <v>9232</v>
      </c>
      <c r="B1589" s="72">
        <v>39630</v>
      </c>
      <c r="C1589" s="71" t="s">
        <v>13035</v>
      </c>
      <c r="D1589" s="72">
        <v>39521</v>
      </c>
      <c r="E1589" s="71" t="s">
        <v>13036</v>
      </c>
      <c r="F1589" s="71" t="s">
        <v>13037</v>
      </c>
      <c r="G1589" s="71" t="s">
        <v>20</v>
      </c>
      <c r="H1589" s="71" t="s">
        <v>71</v>
      </c>
      <c r="I1589" s="71" t="s">
        <v>72</v>
      </c>
      <c r="J1589" s="71" t="s">
        <v>11788</v>
      </c>
      <c r="K1589" s="71" t="s">
        <v>13038</v>
      </c>
      <c r="L1589" s="71" t="s">
        <v>4579</v>
      </c>
      <c r="M1589" s="71"/>
      <c r="O1589" s="72">
        <v>39657</v>
      </c>
      <c r="P1589" s="71"/>
      <c r="Q1589" s="71" t="b">
        <v>0</v>
      </c>
      <c r="R1589" s="22">
        <f t="shared" si="24"/>
        <v>27</v>
      </c>
    </row>
    <row r="1590" spans="1:18">
      <c r="A1590" s="71">
        <v>9235</v>
      </c>
      <c r="B1590" s="72">
        <v>39638</v>
      </c>
      <c r="C1590" s="71" t="s">
        <v>13046</v>
      </c>
      <c r="D1590" s="72">
        <v>39632</v>
      </c>
      <c r="E1590" s="71" t="s">
        <v>13047</v>
      </c>
      <c r="F1590" s="71" t="s">
        <v>124</v>
      </c>
      <c r="G1590" s="71" t="s">
        <v>20</v>
      </c>
      <c r="H1590" s="71" t="s">
        <v>71</v>
      </c>
      <c r="I1590" s="71" t="s">
        <v>72</v>
      </c>
      <c r="J1590" s="71" t="s">
        <v>13048</v>
      </c>
      <c r="K1590" s="71" t="s">
        <v>13049</v>
      </c>
      <c r="L1590" s="71" t="s">
        <v>4282</v>
      </c>
      <c r="M1590" s="71"/>
      <c r="N1590" s="72">
        <v>39684</v>
      </c>
      <c r="O1590" s="72">
        <v>39778</v>
      </c>
      <c r="P1590" s="71">
        <v>-1</v>
      </c>
      <c r="Q1590" s="71" t="b">
        <v>1</v>
      </c>
      <c r="R1590" s="22">
        <f t="shared" si="24"/>
        <v>138</v>
      </c>
    </row>
    <row r="1591" spans="1:18">
      <c r="A1591" s="71">
        <v>9236</v>
      </c>
      <c r="B1591" s="72">
        <v>39643</v>
      </c>
      <c r="C1591" s="71" t="s">
        <v>13050</v>
      </c>
      <c r="D1591" s="72">
        <v>39640</v>
      </c>
      <c r="E1591" s="71" t="s">
        <v>13051</v>
      </c>
      <c r="F1591" s="71" t="s">
        <v>70</v>
      </c>
      <c r="G1591" s="71" t="s">
        <v>20</v>
      </c>
      <c r="H1591" s="71" t="s">
        <v>71</v>
      </c>
      <c r="I1591" s="71" t="s">
        <v>72</v>
      </c>
      <c r="J1591" s="71" t="s">
        <v>2867</v>
      </c>
      <c r="K1591" s="71"/>
      <c r="L1591" s="71" t="s">
        <v>1946</v>
      </c>
      <c r="M1591" s="71"/>
      <c r="N1591" s="72">
        <v>39689</v>
      </c>
      <c r="O1591" s="72">
        <v>39875</v>
      </c>
      <c r="P1591" s="71">
        <v>-1</v>
      </c>
      <c r="Q1591" s="71" t="b">
        <v>1</v>
      </c>
      <c r="R1591" s="22">
        <f t="shared" si="24"/>
        <v>232</v>
      </c>
    </row>
    <row r="1592" spans="1:18">
      <c r="A1592" s="71">
        <v>9237</v>
      </c>
      <c r="B1592" s="72">
        <v>39644</v>
      </c>
      <c r="C1592" s="71" t="s">
        <v>13052</v>
      </c>
      <c r="D1592" s="72">
        <v>39643</v>
      </c>
      <c r="E1592" s="71" t="s">
        <v>13053</v>
      </c>
      <c r="F1592" s="71" t="s">
        <v>124</v>
      </c>
      <c r="G1592" s="71" t="s">
        <v>20</v>
      </c>
      <c r="H1592" s="71" t="s">
        <v>71</v>
      </c>
      <c r="I1592" s="71" t="s">
        <v>72</v>
      </c>
      <c r="J1592" s="71" t="s">
        <v>5564</v>
      </c>
      <c r="K1592" s="71" t="s">
        <v>13054</v>
      </c>
      <c r="L1592" s="71" t="s">
        <v>4282</v>
      </c>
      <c r="M1592" s="71"/>
      <c r="N1592" s="72">
        <v>39690</v>
      </c>
      <c r="O1592" s="72">
        <v>39650</v>
      </c>
      <c r="P1592" s="71">
        <v>-1</v>
      </c>
      <c r="Q1592" s="71" t="b">
        <v>1</v>
      </c>
      <c r="R1592" s="22">
        <f t="shared" si="24"/>
        <v>6</v>
      </c>
    </row>
    <row r="1593" spans="1:18">
      <c r="A1593" s="71">
        <v>9244</v>
      </c>
      <c r="B1593" s="72">
        <v>39657</v>
      </c>
      <c r="C1593" s="71" t="s">
        <v>13072</v>
      </c>
      <c r="D1593" s="72">
        <v>39651</v>
      </c>
      <c r="E1593" s="71" t="s">
        <v>13073</v>
      </c>
      <c r="F1593" s="71" t="s">
        <v>228</v>
      </c>
      <c r="G1593" s="71" t="s">
        <v>20</v>
      </c>
      <c r="H1593" s="71" t="s">
        <v>71</v>
      </c>
      <c r="I1593" s="71" t="s">
        <v>72</v>
      </c>
      <c r="J1593" s="71" t="s">
        <v>13074</v>
      </c>
      <c r="K1593" s="71" t="s">
        <v>13075</v>
      </c>
      <c r="L1593" s="71" t="s">
        <v>4282</v>
      </c>
      <c r="M1593" s="71"/>
      <c r="N1593" s="72">
        <v>39743</v>
      </c>
      <c r="O1593" s="72">
        <v>39764</v>
      </c>
      <c r="P1593" s="71"/>
      <c r="Q1593" s="71" t="b">
        <v>0</v>
      </c>
      <c r="R1593" s="22">
        <f t="shared" si="24"/>
        <v>105</v>
      </c>
    </row>
    <row r="1594" spans="1:18">
      <c r="A1594" s="71">
        <v>9246</v>
      </c>
      <c r="B1594" s="72">
        <v>39659</v>
      </c>
      <c r="C1594" s="71" t="s">
        <v>13080</v>
      </c>
      <c r="D1594" s="72">
        <v>39654</v>
      </c>
      <c r="E1594" s="71" t="s">
        <v>13081</v>
      </c>
      <c r="F1594" s="71" t="s">
        <v>2413</v>
      </c>
      <c r="G1594" s="71" t="s">
        <v>20</v>
      </c>
      <c r="H1594" s="71" t="s">
        <v>71</v>
      </c>
      <c r="I1594" s="71" t="s">
        <v>72</v>
      </c>
      <c r="J1594" s="71" t="s">
        <v>13082</v>
      </c>
      <c r="K1594" s="71" t="s">
        <v>13083</v>
      </c>
      <c r="L1594" s="71" t="s">
        <v>4579</v>
      </c>
      <c r="M1594" s="71"/>
      <c r="N1594" s="72">
        <v>39706</v>
      </c>
      <c r="O1594" s="72">
        <v>39694</v>
      </c>
      <c r="P1594" s="71"/>
      <c r="Q1594" s="71" t="b">
        <v>1</v>
      </c>
      <c r="R1594" s="22">
        <f t="shared" si="24"/>
        <v>33</v>
      </c>
    </row>
    <row r="1595" spans="1:18">
      <c r="A1595" s="71">
        <v>9247</v>
      </c>
      <c r="B1595" s="72">
        <v>39664</v>
      </c>
      <c r="C1595" s="71" t="s">
        <v>13084</v>
      </c>
      <c r="D1595" s="72">
        <v>39660</v>
      </c>
      <c r="E1595" s="71" t="s">
        <v>13085</v>
      </c>
      <c r="F1595" s="71" t="s">
        <v>13086</v>
      </c>
      <c r="G1595" s="71" t="s">
        <v>20</v>
      </c>
      <c r="H1595" s="71" t="s">
        <v>71</v>
      </c>
      <c r="I1595" s="71" t="s">
        <v>72</v>
      </c>
      <c r="J1595" s="71" t="s">
        <v>11130</v>
      </c>
      <c r="K1595" s="71" t="s">
        <v>13087</v>
      </c>
      <c r="L1595" s="71" t="s">
        <v>3588</v>
      </c>
      <c r="M1595" s="71"/>
      <c r="N1595" s="72">
        <v>39752</v>
      </c>
      <c r="O1595" s="72">
        <v>39736</v>
      </c>
      <c r="P1595" s="71">
        <v>-1</v>
      </c>
      <c r="Q1595" s="71" t="b">
        <v>1</v>
      </c>
      <c r="R1595" s="22">
        <f t="shared" si="24"/>
        <v>71</v>
      </c>
    </row>
    <row r="1596" spans="1:18">
      <c r="A1596" s="71">
        <v>9248</v>
      </c>
      <c r="B1596" s="72">
        <v>39666</v>
      </c>
      <c r="C1596" s="71" t="s">
        <v>13088</v>
      </c>
      <c r="D1596" s="72">
        <v>39665</v>
      </c>
      <c r="E1596" s="71" t="s">
        <v>13089</v>
      </c>
      <c r="F1596" s="71" t="s">
        <v>974</v>
      </c>
      <c r="G1596" s="71" t="s">
        <v>20</v>
      </c>
      <c r="H1596" s="71" t="s">
        <v>212</v>
      </c>
      <c r="I1596" s="71" t="s">
        <v>212</v>
      </c>
      <c r="J1596" s="71" t="s">
        <v>13090</v>
      </c>
      <c r="K1596" s="71" t="s">
        <v>7085</v>
      </c>
      <c r="L1596" s="71" t="s">
        <v>4579</v>
      </c>
      <c r="M1596" s="71"/>
      <c r="N1596" s="72">
        <v>39711</v>
      </c>
      <c r="O1596" s="72">
        <v>39696</v>
      </c>
      <c r="P1596" s="71">
        <v>-1</v>
      </c>
      <c r="Q1596" s="71" t="b">
        <v>1</v>
      </c>
      <c r="R1596" s="22">
        <f t="shared" si="24"/>
        <v>29</v>
      </c>
    </row>
    <row r="1597" spans="1:18">
      <c r="A1597" s="71">
        <v>9253</v>
      </c>
      <c r="B1597" s="72">
        <v>39672</v>
      </c>
      <c r="C1597" s="71" t="s">
        <v>13101</v>
      </c>
      <c r="D1597" s="72">
        <v>39668</v>
      </c>
      <c r="E1597" s="71" t="s">
        <v>13102</v>
      </c>
      <c r="F1597" s="71" t="s">
        <v>12696</v>
      </c>
      <c r="G1597" s="71" t="s">
        <v>20</v>
      </c>
      <c r="H1597" s="71" t="s">
        <v>71</v>
      </c>
      <c r="I1597" s="71" t="s">
        <v>72</v>
      </c>
      <c r="J1597" s="71" t="s">
        <v>13103</v>
      </c>
      <c r="K1597" s="71" t="s">
        <v>5369</v>
      </c>
      <c r="L1597" s="71" t="s">
        <v>4579</v>
      </c>
      <c r="M1597" s="71"/>
      <c r="N1597" s="72">
        <v>39763</v>
      </c>
      <c r="O1597" s="72">
        <v>39720</v>
      </c>
      <c r="P1597" s="71">
        <v>-1</v>
      </c>
      <c r="Q1597" s="71" t="b">
        <v>1</v>
      </c>
      <c r="R1597" s="22">
        <f t="shared" si="24"/>
        <v>47</v>
      </c>
    </row>
    <row r="1598" spans="1:18">
      <c r="A1598" s="71">
        <v>9271</v>
      </c>
      <c r="B1598" s="72">
        <v>39694</v>
      </c>
      <c r="C1598" s="71" t="s">
        <v>13150</v>
      </c>
      <c r="D1598" s="72">
        <v>39688</v>
      </c>
      <c r="E1598" s="71" t="s">
        <v>13151</v>
      </c>
      <c r="F1598" s="71" t="s">
        <v>19</v>
      </c>
      <c r="G1598" s="71" t="s">
        <v>20</v>
      </c>
      <c r="H1598" s="71" t="s">
        <v>71</v>
      </c>
      <c r="I1598" s="71" t="s">
        <v>72</v>
      </c>
      <c r="J1598" s="71" t="s">
        <v>13152</v>
      </c>
      <c r="K1598" s="71" t="s">
        <v>222</v>
      </c>
      <c r="L1598" s="71" t="s">
        <v>4282</v>
      </c>
      <c r="M1598" s="71"/>
      <c r="N1598" s="72">
        <v>39738</v>
      </c>
      <c r="O1598" s="72">
        <v>40333</v>
      </c>
      <c r="P1598" s="71">
        <v>-1</v>
      </c>
      <c r="Q1598" s="71" t="b">
        <v>1</v>
      </c>
      <c r="R1598" s="22">
        <f t="shared" si="24"/>
        <v>639</v>
      </c>
    </row>
    <row r="1599" spans="1:18">
      <c r="A1599" s="71">
        <v>9273</v>
      </c>
      <c r="B1599" s="72">
        <v>39695</v>
      </c>
      <c r="C1599" s="71" t="s">
        <v>13156</v>
      </c>
      <c r="D1599" s="72">
        <v>38530</v>
      </c>
      <c r="E1599" s="71" t="s">
        <v>13157</v>
      </c>
      <c r="F1599" s="71" t="s">
        <v>984</v>
      </c>
      <c r="G1599" s="71" t="s">
        <v>20</v>
      </c>
      <c r="H1599" s="71" t="s">
        <v>71</v>
      </c>
      <c r="I1599" s="71" t="s">
        <v>72</v>
      </c>
      <c r="J1599" s="71" t="s">
        <v>13158</v>
      </c>
      <c r="K1599" s="71" t="s">
        <v>13159</v>
      </c>
      <c r="L1599" s="71" t="s">
        <v>3588</v>
      </c>
      <c r="M1599" s="71"/>
      <c r="O1599" s="72">
        <v>39764</v>
      </c>
      <c r="P1599" s="71"/>
      <c r="Q1599" s="71" t="b">
        <v>0</v>
      </c>
      <c r="R1599" s="22">
        <f t="shared" si="24"/>
        <v>68</v>
      </c>
    </row>
    <row r="1600" spans="1:18">
      <c r="A1600" s="71">
        <v>9275</v>
      </c>
      <c r="B1600" s="72">
        <v>39699</v>
      </c>
      <c r="C1600" s="71" t="s">
        <v>13162</v>
      </c>
      <c r="D1600" s="72">
        <v>39688</v>
      </c>
      <c r="E1600" s="71" t="s">
        <v>13163</v>
      </c>
      <c r="F1600" s="71" t="s">
        <v>13164</v>
      </c>
      <c r="G1600" s="71" t="s">
        <v>20</v>
      </c>
      <c r="H1600" s="71" t="s">
        <v>71</v>
      </c>
      <c r="I1600" s="71" t="s">
        <v>72</v>
      </c>
      <c r="J1600" s="71" t="s">
        <v>13165</v>
      </c>
      <c r="K1600" s="71" t="s">
        <v>13166</v>
      </c>
      <c r="L1600" s="71" t="s">
        <v>4579</v>
      </c>
      <c r="M1600" s="71" t="s">
        <v>1946</v>
      </c>
      <c r="N1600" s="72">
        <v>39755</v>
      </c>
      <c r="O1600" s="72">
        <v>40032</v>
      </c>
      <c r="P1600" s="71">
        <v>-1</v>
      </c>
      <c r="Q1600" s="71" t="b">
        <v>1</v>
      </c>
      <c r="R1600" s="22">
        <f t="shared" si="24"/>
        <v>333</v>
      </c>
    </row>
    <row r="1601" spans="1:18">
      <c r="A1601" s="71">
        <v>9277</v>
      </c>
      <c r="B1601" s="72">
        <v>39701</v>
      </c>
      <c r="C1601" s="71" t="s">
        <v>13171</v>
      </c>
      <c r="D1601" s="72">
        <v>39699</v>
      </c>
      <c r="E1601" s="71" t="s">
        <v>13172</v>
      </c>
      <c r="F1601" s="71" t="s">
        <v>1771</v>
      </c>
      <c r="G1601" s="71" t="s">
        <v>20</v>
      </c>
      <c r="H1601" s="71" t="s">
        <v>189</v>
      </c>
      <c r="I1601" s="71" t="s">
        <v>189</v>
      </c>
      <c r="J1601" s="71" t="s">
        <v>13173</v>
      </c>
      <c r="K1601" s="71" t="s">
        <v>222</v>
      </c>
      <c r="L1601" s="71" t="s">
        <v>4282</v>
      </c>
      <c r="M1601" s="71"/>
      <c r="N1601" s="72">
        <v>39746</v>
      </c>
      <c r="O1601" s="72">
        <v>40333</v>
      </c>
      <c r="P1601" s="71">
        <v>-1</v>
      </c>
      <c r="Q1601" s="71" t="b">
        <v>1</v>
      </c>
      <c r="R1601" s="22">
        <f t="shared" si="24"/>
        <v>632</v>
      </c>
    </row>
    <row r="1602" spans="1:18">
      <c r="A1602" s="71">
        <v>9287</v>
      </c>
      <c r="B1602" s="72">
        <v>39713</v>
      </c>
      <c r="C1602" s="71" t="s">
        <v>13196</v>
      </c>
      <c r="D1602" s="72">
        <v>39709</v>
      </c>
      <c r="E1602" s="71" t="s">
        <v>13197</v>
      </c>
      <c r="F1602" s="71" t="s">
        <v>13198</v>
      </c>
      <c r="G1602" s="71" t="s">
        <v>20</v>
      </c>
      <c r="H1602" s="71" t="s">
        <v>71</v>
      </c>
      <c r="I1602" s="71" t="s">
        <v>72</v>
      </c>
      <c r="J1602" s="71" t="s">
        <v>13199</v>
      </c>
      <c r="K1602" s="71"/>
      <c r="L1602" s="71" t="s">
        <v>7167</v>
      </c>
      <c r="M1602" s="71" t="s">
        <v>4282</v>
      </c>
      <c r="O1602" s="72">
        <v>41409</v>
      </c>
      <c r="P1602" s="71">
        <v>-1</v>
      </c>
      <c r="Q1602" s="71" t="b">
        <v>1</v>
      </c>
      <c r="R1602" s="22">
        <f t="shared" ref="R1602:R1665" si="25">IF(O1602=" ", " ", INT(YEARFRAC(O1602, B1602)*365))</f>
        <v>1696</v>
      </c>
    </row>
    <row r="1603" spans="1:18">
      <c r="A1603" s="71">
        <v>9289</v>
      </c>
      <c r="B1603" s="72">
        <v>39714</v>
      </c>
      <c r="C1603" s="71" t="s">
        <v>13203</v>
      </c>
      <c r="D1603" s="72">
        <v>39706</v>
      </c>
      <c r="E1603" s="71" t="s">
        <v>13204</v>
      </c>
      <c r="F1603" s="71" t="s">
        <v>455</v>
      </c>
      <c r="G1603" s="71" t="s">
        <v>20</v>
      </c>
      <c r="H1603" s="71" t="s">
        <v>71</v>
      </c>
      <c r="I1603" s="71" t="s">
        <v>72</v>
      </c>
      <c r="J1603" s="71" t="s">
        <v>13205</v>
      </c>
      <c r="K1603" s="71"/>
      <c r="L1603" s="71" t="s">
        <v>4579</v>
      </c>
      <c r="M1603" s="71"/>
      <c r="O1603" s="72">
        <v>39800</v>
      </c>
      <c r="P1603" s="71">
        <v>-1</v>
      </c>
      <c r="Q1603" s="71" t="b">
        <v>1</v>
      </c>
      <c r="R1603" s="22">
        <f t="shared" si="25"/>
        <v>86</v>
      </c>
    </row>
    <row r="1604" spans="1:18">
      <c r="A1604" s="71">
        <v>9290</v>
      </c>
      <c r="B1604" s="72">
        <v>39714</v>
      </c>
      <c r="C1604" s="71" t="s">
        <v>13206</v>
      </c>
      <c r="D1604" s="72">
        <v>39713</v>
      </c>
      <c r="E1604" s="71" t="s">
        <v>13207</v>
      </c>
      <c r="F1604" s="71" t="s">
        <v>39</v>
      </c>
      <c r="G1604" s="71" t="s">
        <v>20</v>
      </c>
      <c r="H1604" s="71" t="s">
        <v>71</v>
      </c>
      <c r="I1604" s="71" t="s">
        <v>72</v>
      </c>
      <c r="J1604" s="71" t="s">
        <v>13208</v>
      </c>
      <c r="K1604" s="71"/>
      <c r="L1604" s="71" t="s">
        <v>1946</v>
      </c>
      <c r="M1604" s="71"/>
      <c r="N1604" s="72">
        <v>39805</v>
      </c>
      <c r="O1604" s="72">
        <v>40556</v>
      </c>
      <c r="P1604" s="71"/>
      <c r="Q1604" s="71" t="b">
        <v>0</v>
      </c>
      <c r="R1604" s="22">
        <f t="shared" si="25"/>
        <v>841</v>
      </c>
    </row>
    <row r="1605" spans="1:18">
      <c r="A1605" s="71">
        <v>9293</v>
      </c>
      <c r="B1605" s="72">
        <v>39721</v>
      </c>
      <c r="C1605" s="71" t="s">
        <v>13213</v>
      </c>
      <c r="D1605" s="72">
        <v>39720</v>
      </c>
      <c r="E1605" s="71" t="s">
        <v>13214</v>
      </c>
      <c r="F1605" s="71" t="s">
        <v>974</v>
      </c>
      <c r="G1605" s="71" t="s">
        <v>20</v>
      </c>
      <c r="H1605" s="71" t="s">
        <v>212</v>
      </c>
      <c r="I1605" s="71" t="s">
        <v>212</v>
      </c>
      <c r="J1605" s="71" t="s">
        <v>13215</v>
      </c>
      <c r="K1605" s="71"/>
      <c r="L1605" s="71" t="s">
        <v>3588</v>
      </c>
      <c r="M1605" s="71"/>
      <c r="N1605" s="72">
        <v>39812</v>
      </c>
      <c r="O1605" s="72">
        <v>39827</v>
      </c>
      <c r="P1605" s="71"/>
      <c r="Q1605" s="71" t="b">
        <v>0</v>
      </c>
      <c r="R1605" s="22">
        <f t="shared" si="25"/>
        <v>105</v>
      </c>
    </row>
    <row r="1606" spans="1:18">
      <c r="A1606" s="71">
        <v>9295</v>
      </c>
      <c r="B1606" s="72">
        <v>39723</v>
      </c>
      <c r="C1606" s="71" t="s">
        <v>13219</v>
      </c>
      <c r="D1606" s="72">
        <v>39722</v>
      </c>
      <c r="E1606" s="71" t="s">
        <v>13220</v>
      </c>
      <c r="F1606" s="71" t="s">
        <v>39</v>
      </c>
      <c r="G1606" s="71" t="s">
        <v>20</v>
      </c>
      <c r="H1606" s="71" t="s">
        <v>71</v>
      </c>
      <c r="I1606" s="71" t="s">
        <v>72</v>
      </c>
      <c r="J1606" s="71" t="s">
        <v>13221</v>
      </c>
      <c r="K1606" s="71" t="s">
        <v>6111</v>
      </c>
      <c r="L1606" s="71" t="s">
        <v>3588</v>
      </c>
      <c r="M1606" s="71"/>
      <c r="N1606" s="72">
        <v>39768</v>
      </c>
      <c r="O1606" s="72">
        <v>39737</v>
      </c>
      <c r="P1606" s="71">
        <v>-1</v>
      </c>
      <c r="Q1606" s="71" t="b">
        <v>1</v>
      </c>
      <c r="R1606" s="22">
        <f t="shared" si="25"/>
        <v>14</v>
      </c>
    </row>
    <row r="1607" spans="1:18">
      <c r="A1607" s="71">
        <v>9299</v>
      </c>
      <c r="B1607" s="72">
        <v>39730</v>
      </c>
      <c r="C1607" s="71" t="s">
        <v>13227</v>
      </c>
      <c r="D1607" s="72">
        <v>39724</v>
      </c>
      <c r="E1607" s="71" t="s">
        <v>13228</v>
      </c>
      <c r="F1607" s="71" t="s">
        <v>13229</v>
      </c>
      <c r="G1607" s="71" t="s">
        <v>20</v>
      </c>
      <c r="H1607" s="71" t="s">
        <v>71</v>
      </c>
      <c r="I1607" s="71" t="s">
        <v>72</v>
      </c>
      <c r="J1607" s="71" t="s">
        <v>13230</v>
      </c>
      <c r="K1607" s="71"/>
      <c r="L1607" s="71" t="s">
        <v>4282</v>
      </c>
      <c r="M1607" s="71"/>
      <c r="N1607" s="72">
        <v>39769</v>
      </c>
      <c r="O1607" s="72">
        <v>40548</v>
      </c>
      <c r="P1607" s="71"/>
      <c r="Q1607" s="71" t="b">
        <v>0</v>
      </c>
      <c r="R1607" s="22">
        <f t="shared" si="25"/>
        <v>817</v>
      </c>
    </row>
    <row r="1608" spans="1:18">
      <c r="A1608" s="71">
        <v>9300</v>
      </c>
      <c r="B1608" s="72">
        <v>39730</v>
      </c>
      <c r="C1608" s="71" t="s">
        <v>13231</v>
      </c>
      <c r="D1608" s="72">
        <v>39729</v>
      </c>
      <c r="E1608" s="71" t="s">
        <v>13232</v>
      </c>
      <c r="F1608" s="71" t="s">
        <v>1232</v>
      </c>
      <c r="G1608" s="71" t="s">
        <v>20</v>
      </c>
      <c r="H1608" s="71" t="s">
        <v>189</v>
      </c>
      <c r="I1608" s="71" t="s">
        <v>189</v>
      </c>
      <c r="J1608" s="71" t="s">
        <v>13233</v>
      </c>
      <c r="K1608" s="71"/>
      <c r="L1608" s="71" t="s">
        <v>4282</v>
      </c>
      <c r="M1608" s="71"/>
      <c r="N1608" s="72">
        <v>39775</v>
      </c>
      <c r="O1608" s="72">
        <v>39758</v>
      </c>
      <c r="P1608" s="71">
        <v>-1</v>
      </c>
      <c r="Q1608" s="71" t="b">
        <v>1</v>
      </c>
      <c r="R1608" s="22">
        <f t="shared" si="25"/>
        <v>27</v>
      </c>
    </row>
    <row r="1609" spans="1:18">
      <c r="A1609" s="71">
        <v>9302</v>
      </c>
      <c r="B1609" s="72">
        <v>39735</v>
      </c>
      <c r="C1609" s="71" t="s">
        <v>13238</v>
      </c>
      <c r="D1609" s="72">
        <v>39731</v>
      </c>
      <c r="E1609" s="71" t="s">
        <v>13239</v>
      </c>
      <c r="F1609" s="71" t="s">
        <v>6953</v>
      </c>
      <c r="G1609" s="71" t="s">
        <v>20</v>
      </c>
      <c r="H1609" s="71" t="s">
        <v>71</v>
      </c>
      <c r="I1609" s="71" t="s">
        <v>72</v>
      </c>
      <c r="J1609" s="71" t="s">
        <v>12167</v>
      </c>
      <c r="K1609" s="71" t="s">
        <v>13240</v>
      </c>
      <c r="L1609" s="71" t="s">
        <v>3588</v>
      </c>
      <c r="M1609" s="71" t="s">
        <v>1946</v>
      </c>
      <c r="N1609" s="72">
        <v>39823</v>
      </c>
      <c r="O1609" s="72">
        <v>39811</v>
      </c>
      <c r="P1609" s="71">
        <v>-1</v>
      </c>
      <c r="Q1609" s="71" t="b">
        <v>1</v>
      </c>
      <c r="R1609" s="22">
        <f t="shared" si="25"/>
        <v>76</v>
      </c>
    </row>
    <row r="1610" spans="1:18">
      <c r="A1610" s="71">
        <v>9305</v>
      </c>
      <c r="B1610" s="72">
        <v>39743</v>
      </c>
      <c r="C1610" s="71" t="s">
        <v>13245</v>
      </c>
      <c r="D1610" s="72">
        <v>39741</v>
      </c>
      <c r="E1610" s="71" t="s">
        <v>13246</v>
      </c>
      <c r="F1610" s="71" t="s">
        <v>98</v>
      </c>
      <c r="G1610" s="71" t="s">
        <v>20</v>
      </c>
      <c r="H1610" s="71" t="s">
        <v>71</v>
      </c>
      <c r="I1610" s="71" t="s">
        <v>72</v>
      </c>
      <c r="J1610" s="71" t="s">
        <v>13247</v>
      </c>
      <c r="K1610" s="71" t="s">
        <v>13248</v>
      </c>
      <c r="L1610" s="71" t="s">
        <v>4282</v>
      </c>
      <c r="M1610" s="71"/>
      <c r="N1610" s="72">
        <v>39788</v>
      </c>
      <c r="O1610" s="72">
        <v>40666</v>
      </c>
      <c r="P1610" s="71">
        <v>-1</v>
      </c>
      <c r="Q1610" s="71" t="b">
        <v>1</v>
      </c>
      <c r="R1610" s="22">
        <f t="shared" si="25"/>
        <v>923</v>
      </c>
    </row>
    <row r="1611" spans="1:18">
      <c r="A1611" s="71">
        <v>9310</v>
      </c>
      <c r="B1611" s="72">
        <v>39755</v>
      </c>
      <c r="C1611" s="71" t="s">
        <v>13261</v>
      </c>
      <c r="D1611" s="72">
        <v>39752</v>
      </c>
      <c r="E1611" s="71" t="s">
        <v>13262</v>
      </c>
      <c r="F1611" s="71" t="s">
        <v>974</v>
      </c>
      <c r="G1611" s="71" t="s">
        <v>20</v>
      </c>
      <c r="H1611" s="71" t="s">
        <v>212</v>
      </c>
      <c r="I1611" s="71" t="s">
        <v>212</v>
      </c>
      <c r="J1611" s="71" t="s">
        <v>13263</v>
      </c>
      <c r="K1611" s="71" t="s">
        <v>13264</v>
      </c>
      <c r="L1611" s="71" t="s">
        <v>7167</v>
      </c>
      <c r="M1611" s="71" t="s">
        <v>4282</v>
      </c>
      <c r="N1611" s="72">
        <v>39844</v>
      </c>
      <c r="O1611" s="72">
        <v>40878</v>
      </c>
      <c r="P1611" s="71"/>
      <c r="Q1611" s="71" t="b">
        <v>0</v>
      </c>
      <c r="R1611" s="22">
        <f t="shared" si="25"/>
        <v>1123</v>
      </c>
    </row>
    <row r="1612" spans="1:18">
      <c r="A1612" s="71">
        <v>9314</v>
      </c>
      <c r="B1612" s="72">
        <v>39765</v>
      </c>
      <c r="C1612" s="71" t="s">
        <v>13272</v>
      </c>
      <c r="D1612" s="72">
        <v>39651</v>
      </c>
      <c r="E1612" s="71" t="s">
        <v>13273</v>
      </c>
      <c r="F1612" s="71" t="s">
        <v>228</v>
      </c>
      <c r="G1612" s="71" t="s">
        <v>20</v>
      </c>
      <c r="H1612" s="71" t="s">
        <v>71</v>
      </c>
      <c r="I1612" s="71" t="s">
        <v>72</v>
      </c>
      <c r="J1612" s="71" t="s">
        <v>13074</v>
      </c>
      <c r="K1612" s="71" t="s">
        <v>3335</v>
      </c>
      <c r="L1612" s="71" t="s">
        <v>4282</v>
      </c>
      <c r="M1612" s="71"/>
      <c r="N1612" s="72">
        <v>39857</v>
      </c>
      <c r="O1612" s="72">
        <v>40186</v>
      </c>
      <c r="P1612" s="71"/>
      <c r="Q1612" s="71" t="b">
        <v>0</v>
      </c>
      <c r="R1612" s="22">
        <f t="shared" si="25"/>
        <v>420</v>
      </c>
    </row>
    <row r="1613" spans="1:18">
      <c r="A1613" s="71">
        <v>9319</v>
      </c>
      <c r="B1613" s="72">
        <v>39777</v>
      </c>
      <c r="C1613" s="71" t="s">
        <v>13284</v>
      </c>
      <c r="D1613" s="72">
        <v>39772</v>
      </c>
      <c r="E1613" s="71" t="s">
        <v>13285</v>
      </c>
      <c r="F1613" s="71" t="s">
        <v>34</v>
      </c>
      <c r="G1613" s="71" t="s">
        <v>20</v>
      </c>
      <c r="H1613" s="71" t="s">
        <v>71</v>
      </c>
      <c r="I1613" s="71" t="s">
        <v>72</v>
      </c>
      <c r="J1613" s="71" t="s">
        <v>13286</v>
      </c>
      <c r="K1613" s="71" t="s">
        <v>13287</v>
      </c>
      <c r="L1613" s="71" t="s">
        <v>4579</v>
      </c>
      <c r="M1613" s="71"/>
      <c r="N1613" s="72">
        <v>39869</v>
      </c>
      <c r="O1613" s="72">
        <v>39885</v>
      </c>
      <c r="P1613" s="71"/>
      <c r="Q1613" s="71" t="b">
        <v>0</v>
      </c>
      <c r="R1613" s="22">
        <f t="shared" si="25"/>
        <v>109</v>
      </c>
    </row>
    <row r="1614" spans="1:18">
      <c r="A1614" s="71">
        <v>9320</v>
      </c>
      <c r="B1614" s="72">
        <v>39786</v>
      </c>
      <c r="C1614" s="71" t="s">
        <v>13288</v>
      </c>
      <c r="D1614" s="72">
        <v>39785</v>
      </c>
      <c r="E1614" s="71" t="s">
        <v>13289</v>
      </c>
      <c r="F1614" s="71" t="s">
        <v>4242</v>
      </c>
      <c r="G1614" s="71" t="s">
        <v>20</v>
      </c>
      <c r="H1614" s="71" t="s">
        <v>189</v>
      </c>
      <c r="I1614" s="71" t="s">
        <v>189</v>
      </c>
      <c r="J1614" s="71" t="s">
        <v>13290</v>
      </c>
      <c r="K1614" s="71" t="s">
        <v>13291</v>
      </c>
      <c r="L1614" s="71" t="s">
        <v>4282</v>
      </c>
      <c r="M1614" s="71"/>
      <c r="N1614" s="72">
        <v>39875</v>
      </c>
      <c r="O1614" s="72">
        <v>39797</v>
      </c>
      <c r="P1614" s="71"/>
      <c r="Q1614" s="71" t="b">
        <v>0</v>
      </c>
      <c r="R1614" s="22">
        <f t="shared" si="25"/>
        <v>11</v>
      </c>
    </row>
    <row r="1615" spans="1:18">
      <c r="A1615" s="71">
        <v>9323</v>
      </c>
      <c r="B1615" s="72">
        <v>39798</v>
      </c>
      <c r="C1615" s="71" t="s">
        <v>13299</v>
      </c>
      <c r="D1615" s="72">
        <v>39797</v>
      </c>
      <c r="E1615" s="71" t="s">
        <v>13300</v>
      </c>
      <c r="F1615" s="71" t="s">
        <v>545</v>
      </c>
      <c r="G1615" s="71" t="s">
        <v>20</v>
      </c>
      <c r="H1615" s="71" t="s">
        <v>71</v>
      </c>
      <c r="I1615" s="71" t="s">
        <v>72</v>
      </c>
      <c r="J1615" s="71" t="s">
        <v>13301</v>
      </c>
      <c r="K1615" s="71" t="s">
        <v>13302</v>
      </c>
      <c r="L1615" s="71" t="s">
        <v>1946</v>
      </c>
      <c r="M1615" s="71" t="s">
        <v>4579</v>
      </c>
      <c r="N1615" s="72">
        <v>39843</v>
      </c>
      <c r="O1615" s="72">
        <v>41369</v>
      </c>
      <c r="P1615" s="71">
        <v>-1</v>
      </c>
      <c r="Q1615" s="71" t="b">
        <v>1</v>
      </c>
      <c r="R1615" s="22">
        <f t="shared" si="25"/>
        <v>1570</v>
      </c>
    </row>
    <row r="1616" spans="1:18">
      <c r="A1616" s="71">
        <v>9325</v>
      </c>
      <c r="B1616" s="72">
        <v>39819</v>
      </c>
      <c r="C1616" s="71" t="s">
        <v>13307</v>
      </c>
      <c r="D1616" s="72">
        <v>39804</v>
      </c>
      <c r="E1616" s="71" t="s">
        <v>13308</v>
      </c>
      <c r="F1616" s="71" t="s">
        <v>974</v>
      </c>
      <c r="G1616" s="71" t="s">
        <v>20</v>
      </c>
      <c r="H1616" s="71" t="s">
        <v>212</v>
      </c>
      <c r="I1616" s="71" t="s">
        <v>212</v>
      </c>
      <c r="J1616" s="71" t="s">
        <v>13309</v>
      </c>
      <c r="K1616" s="71" t="s">
        <v>11116</v>
      </c>
      <c r="L1616" s="71" t="s">
        <v>4579</v>
      </c>
      <c r="M1616" s="71" t="s">
        <v>4282</v>
      </c>
      <c r="N1616" s="72">
        <v>39894</v>
      </c>
      <c r="O1616" s="72">
        <v>40549</v>
      </c>
      <c r="P1616" s="71">
        <v>-1</v>
      </c>
      <c r="Q1616" s="71" t="b">
        <v>1</v>
      </c>
      <c r="R1616" s="22">
        <f t="shared" si="25"/>
        <v>730</v>
      </c>
    </row>
    <row r="1617" spans="1:18">
      <c r="A1617" s="71">
        <v>9333</v>
      </c>
      <c r="B1617" s="72">
        <v>39820</v>
      </c>
      <c r="C1617" s="71" t="s">
        <v>13328</v>
      </c>
      <c r="D1617" s="72">
        <v>39819</v>
      </c>
      <c r="E1617" s="71" t="s">
        <v>13329</v>
      </c>
      <c r="F1617" s="71" t="s">
        <v>4596</v>
      </c>
      <c r="G1617" s="71" t="s">
        <v>20</v>
      </c>
      <c r="H1617" s="71" t="s">
        <v>71</v>
      </c>
      <c r="I1617" s="71" t="s">
        <v>72</v>
      </c>
      <c r="J1617" s="71" t="s">
        <v>13330</v>
      </c>
      <c r="K1617" s="71"/>
      <c r="L1617" s="71" t="s">
        <v>3588</v>
      </c>
      <c r="M1617" s="71"/>
      <c r="N1617" s="72">
        <v>39909</v>
      </c>
      <c r="O1617" s="72">
        <v>39843</v>
      </c>
      <c r="P1617" s="71"/>
      <c r="Q1617" s="71" t="b">
        <v>0</v>
      </c>
      <c r="R1617" s="22">
        <f t="shared" si="25"/>
        <v>23</v>
      </c>
    </row>
    <row r="1618" spans="1:18">
      <c r="A1618" s="71">
        <v>9334</v>
      </c>
      <c r="B1618" s="72">
        <v>39820</v>
      </c>
      <c r="C1618" s="71" t="s">
        <v>13331</v>
      </c>
      <c r="D1618" s="72">
        <v>39811</v>
      </c>
      <c r="E1618" s="71" t="s">
        <v>13332</v>
      </c>
      <c r="F1618" s="71" t="s">
        <v>52</v>
      </c>
      <c r="G1618" s="71" t="s">
        <v>20</v>
      </c>
      <c r="H1618" s="71" t="s">
        <v>71</v>
      </c>
      <c r="I1618" s="71" t="s">
        <v>72</v>
      </c>
      <c r="J1618" s="71" t="s">
        <v>7104</v>
      </c>
      <c r="K1618" s="71" t="s">
        <v>13333</v>
      </c>
      <c r="L1618" s="71" t="s">
        <v>3588</v>
      </c>
      <c r="M1618" s="71"/>
      <c r="N1618" s="72">
        <v>39864</v>
      </c>
      <c r="O1618" s="72">
        <v>40044</v>
      </c>
      <c r="P1618" s="71">
        <v>-1</v>
      </c>
      <c r="Q1618" s="71" t="b">
        <v>0</v>
      </c>
      <c r="R1618" s="22">
        <f t="shared" si="25"/>
        <v>225</v>
      </c>
    </row>
    <row r="1619" spans="1:18">
      <c r="A1619" s="71">
        <v>9336</v>
      </c>
      <c r="B1619" s="72">
        <v>39827</v>
      </c>
      <c r="C1619" s="71" t="s">
        <v>13338</v>
      </c>
      <c r="D1619" s="72">
        <v>39825</v>
      </c>
      <c r="E1619" s="71" t="s">
        <v>13339</v>
      </c>
      <c r="F1619" s="71" t="s">
        <v>242</v>
      </c>
      <c r="G1619" s="71" t="s">
        <v>20</v>
      </c>
      <c r="H1619" s="71" t="s">
        <v>71</v>
      </c>
      <c r="I1619" s="71" t="s">
        <v>72</v>
      </c>
      <c r="J1619" s="71" t="s">
        <v>13340</v>
      </c>
      <c r="K1619" s="71"/>
      <c r="L1619" s="71" t="s">
        <v>4282</v>
      </c>
      <c r="M1619" s="71"/>
      <c r="N1619" s="72">
        <v>39872</v>
      </c>
      <c r="O1619" s="72">
        <v>40511</v>
      </c>
      <c r="P1619" s="71">
        <v>-1</v>
      </c>
      <c r="Q1619" s="71" t="b">
        <v>1</v>
      </c>
      <c r="R1619" s="22">
        <f t="shared" si="25"/>
        <v>684</v>
      </c>
    </row>
    <row r="1620" spans="1:18">
      <c r="A1620" s="71">
        <v>9337</v>
      </c>
      <c r="B1620" s="72">
        <v>39835</v>
      </c>
      <c r="C1620" s="71" t="s">
        <v>13341</v>
      </c>
      <c r="D1620" s="72">
        <v>39833</v>
      </c>
      <c r="E1620" s="71" t="s">
        <v>13342</v>
      </c>
      <c r="F1620" s="71" t="s">
        <v>13343</v>
      </c>
      <c r="G1620" s="71" t="s">
        <v>20</v>
      </c>
      <c r="H1620" s="71" t="s">
        <v>189</v>
      </c>
      <c r="I1620" s="71" t="s">
        <v>189</v>
      </c>
      <c r="J1620" s="71" t="s">
        <v>8804</v>
      </c>
      <c r="K1620" s="71" t="s">
        <v>13344</v>
      </c>
      <c r="L1620" s="71" t="s">
        <v>4282</v>
      </c>
      <c r="M1620" s="71"/>
      <c r="N1620" s="72">
        <v>39879</v>
      </c>
      <c r="O1620" s="72">
        <v>39856</v>
      </c>
      <c r="P1620" s="71">
        <v>-1</v>
      </c>
      <c r="Q1620" s="71" t="b">
        <v>1</v>
      </c>
      <c r="R1620" s="22">
        <f t="shared" si="25"/>
        <v>20</v>
      </c>
    </row>
    <row r="1621" spans="1:18">
      <c r="A1621" s="71">
        <v>9338</v>
      </c>
      <c r="B1621" s="72">
        <v>39835</v>
      </c>
      <c r="C1621" s="71" t="s">
        <v>13345</v>
      </c>
      <c r="D1621" s="72">
        <v>39832</v>
      </c>
      <c r="E1621" s="71" t="s">
        <v>13346</v>
      </c>
      <c r="F1621" s="71" t="s">
        <v>52</v>
      </c>
      <c r="G1621" s="71" t="s">
        <v>20</v>
      </c>
      <c r="H1621" s="71" t="s">
        <v>71</v>
      </c>
      <c r="I1621" s="71" t="s">
        <v>72</v>
      </c>
      <c r="J1621" s="71" t="s">
        <v>13347</v>
      </c>
      <c r="K1621" s="71" t="s">
        <v>13348</v>
      </c>
      <c r="L1621" s="71" t="s">
        <v>3588</v>
      </c>
      <c r="M1621" s="71"/>
      <c r="N1621" s="72">
        <v>39879</v>
      </c>
      <c r="O1621" s="72">
        <v>40177</v>
      </c>
      <c r="P1621" s="71">
        <v>-1</v>
      </c>
      <c r="Q1621" s="71" t="b">
        <v>1</v>
      </c>
      <c r="R1621" s="22">
        <f t="shared" si="25"/>
        <v>342</v>
      </c>
    </row>
    <row r="1622" spans="1:18">
      <c r="A1622" s="71">
        <v>9342</v>
      </c>
      <c r="B1622" s="72">
        <v>39841</v>
      </c>
      <c r="C1622" s="71" t="s">
        <v>13359</v>
      </c>
      <c r="D1622" s="72">
        <v>39840</v>
      </c>
      <c r="E1622" s="71" t="s">
        <v>13360</v>
      </c>
      <c r="F1622" s="71" t="s">
        <v>6953</v>
      </c>
      <c r="G1622" s="71" t="s">
        <v>20</v>
      </c>
      <c r="H1622" s="71" t="s">
        <v>71</v>
      </c>
      <c r="I1622" s="71" t="s">
        <v>72</v>
      </c>
      <c r="J1622" s="71" t="s">
        <v>13361</v>
      </c>
      <c r="K1622" s="71" t="s">
        <v>13362</v>
      </c>
      <c r="L1622" s="71" t="s">
        <v>3588</v>
      </c>
      <c r="M1622" s="71"/>
      <c r="N1622" s="72">
        <v>39885</v>
      </c>
      <c r="O1622" s="72">
        <v>39924</v>
      </c>
      <c r="P1622" s="71">
        <v>-1</v>
      </c>
      <c r="Q1622" s="71" t="b">
        <v>1</v>
      </c>
      <c r="R1622" s="22">
        <f t="shared" si="25"/>
        <v>84</v>
      </c>
    </row>
    <row r="1623" spans="1:18">
      <c r="A1623" s="71">
        <v>9348</v>
      </c>
      <c r="B1623" s="72">
        <v>39854</v>
      </c>
      <c r="C1623" s="71" t="s">
        <v>13376</v>
      </c>
      <c r="D1623" s="72">
        <v>39853</v>
      </c>
      <c r="E1623" s="71" t="s">
        <v>13377</v>
      </c>
      <c r="F1623" s="71" t="s">
        <v>974</v>
      </c>
      <c r="G1623" s="71" t="s">
        <v>20</v>
      </c>
      <c r="H1623" s="71" t="s">
        <v>212</v>
      </c>
      <c r="I1623" s="71" t="s">
        <v>212</v>
      </c>
      <c r="J1623" s="71" t="s">
        <v>4690</v>
      </c>
      <c r="K1623" s="71" t="s">
        <v>13378</v>
      </c>
      <c r="L1623" s="71" t="s">
        <v>4282</v>
      </c>
      <c r="M1623" s="71"/>
      <c r="N1623" s="72">
        <v>39899</v>
      </c>
      <c r="O1623" s="72">
        <v>40262</v>
      </c>
      <c r="P1623" s="71">
        <v>-1</v>
      </c>
      <c r="Q1623" s="71" t="b">
        <v>1</v>
      </c>
      <c r="R1623" s="22">
        <f t="shared" si="25"/>
        <v>410</v>
      </c>
    </row>
    <row r="1624" spans="1:18">
      <c r="A1624" s="71">
        <v>9349</v>
      </c>
      <c r="B1624" s="72">
        <v>39861</v>
      </c>
      <c r="C1624" s="71" t="s">
        <v>13379</v>
      </c>
      <c r="D1624" s="72">
        <v>39841</v>
      </c>
      <c r="E1624" s="71" t="s">
        <v>13380</v>
      </c>
      <c r="F1624" s="71" t="s">
        <v>85</v>
      </c>
      <c r="G1624" s="71" t="s">
        <v>20</v>
      </c>
      <c r="H1624" s="71" t="s">
        <v>71</v>
      </c>
      <c r="I1624" s="71" t="s">
        <v>72</v>
      </c>
      <c r="J1624" s="71" t="s">
        <v>13381</v>
      </c>
      <c r="K1624" s="71" t="s">
        <v>13382</v>
      </c>
      <c r="L1624" s="71" t="s">
        <v>4282</v>
      </c>
      <c r="M1624" s="71"/>
      <c r="N1624" s="72">
        <v>39906</v>
      </c>
      <c r="O1624" s="72">
        <v>40515</v>
      </c>
      <c r="P1624" s="71">
        <v>-1</v>
      </c>
      <c r="Q1624" s="71" t="b">
        <v>1</v>
      </c>
      <c r="R1624" s="22">
        <f t="shared" si="25"/>
        <v>654</v>
      </c>
    </row>
    <row r="1625" spans="1:18">
      <c r="A1625" s="71">
        <v>9350</v>
      </c>
      <c r="B1625" s="72">
        <v>39863</v>
      </c>
      <c r="C1625" s="71" t="s">
        <v>13383</v>
      </c>
      <c r="D1625" s="72">
        <v>39800</v>
      </c>
      <c r="E1625" s="71" t="s">
        <v>13384</v>
      </c>
      <c r="F1625" s="71" t="s">
        <v>371</v>
      </c>
      <c r="G1625" s="71" t="s">
        <v>20</v>
      </c>
      <c r="H1625" s="71" t="s">
        <v>71</v>
      </c>
      <c r="I1625" s="71" t="s">
        <v>72</v>
      </c>
      <c r="J1625" s="71" t="s">
        <v>13312</v>
      </c>
      <c r="K1625" s="71" t="s">
        <v>9597</v>
      </c>
      <c r="L1625" s="71" t="s">
        <v>3588</v>
      </c>
      <c r="M1625" s="71"/>
      <c r="N1625" s="72">
        <v>39907</v>
      </c>
      <c r="O1625" s="72">
        <v>39948</v>
      </c>
      <c r="P1625" s="71">
        <v>-1</v>
      </c>
      <c r="Q1625" s="71" t="b">
        <v>1</v>
      </c>
      <c r="R1625" s="22">
        <f t="shared" si="25"/>
        <v>87</v>
      </c>
    </row>
    <row r="1626" spans="1:18">
      <c r="A1626" s="71">
        <v>9351</v>
      </c>
      <c r="B1626" s="72">
        <v>39868</v>
      </c>
      <c r="C1626" s="71" t="s">
        <v>13385</v>
      </c>
      <c r="D1626" s="72">
        <v>39864</v>
      </c>
      <c r="E1626" s="71" t="s">
        <v>13386</v>
      </c>
      <c r="F1626" s="71" t="s">
        <v>13387</v>
      </c>
      <c r="G1626" s="71" t="s">
        <v>20</v>
      </c>
      <c r="H1626" s="71" t="s">
        <v>71</v>
      </c>
      <c r="I1626" s="71" t="s">
        <v>72</v>
      </c>
      <c r="J1626" s="71" t="s">
        <v>13388</v>
      </c>
      <c r="K1626" s="71" t="s">
        <v>13389</v>
      </c>
      <c r="L1626" s="71" t="s">
        <v>4579</v>
      </c>
      <c r="M1626" s="71"/>
      <c r="N1626" s="72">
        <v>39909</v>
      </c>
      <c r="O1626" s="72">
        <v>40129</v>
      </c>
      <c r="P1626" s="71"/>
      <c r="Q1626" s="71" t="b">
        <v>0</v>
      </c>
      <c r="R1626" s="22">
        <f t="shared" si="25"/>
        <v>261</v>
      </c>
    </row>
    <row r="1627" spans="1:18">
      <c r="A1627" s="71">
        <v>9356</v>
      </c>
      <c r="B1627" s="72">
        <v>39882</v>
      </c>
      <c r="C1627" s="71" t="s">
        <v>13403</v>
      </c>
      <c r="D1627" s="72">
        <v>39770</v>
      </c>
      <c r="E1627" s="71" t="s">
        <v>13404</v>
      </c>
      <c r="F1627" s="71" t="s">
        <v>52</v>
      </c>
      <c r="G1627" s="71" t="s">
        <v>20</v>
      </c>
      <c r="H1627" s="71" t="s">
        <v>189</v>
      </c>
      <c r="I1627" s="71" t="s">
        <v>189</v>
      </c>
      <c r="J1627" s="71" t="s">
        <v>13280</v>
      </c>
      <c r="K1627" s="71" t="s">
        <v>12815</v>
      </c>
      <c r="L1627" s="71" t="s">
        <v>4579</v>
      </c>
      <c r="M1627" s="71"/>
      <c r="O1627" s="72">
        <v>39932</v>
      </c>
      <c r="P1627" s="71">
        <v>-1</v>
      </c>
      <c r="Q1627" s="71" t="b">
        <v>1</v>
      </c>
      <c r="R1627" s="22">
        <f t="shared" si="25"/>
        <v>49</v>
      </c>
    </row>
    <row r="1628" spans="1:18">
      <c r="A1628" s="71">
        <v>9358</v>
      </c>
      <c r="B1628" s="72">
        <v>39889</v>
      </c>
      <c r="C1628" s="71" t="s">
        <v>13409</v>
      </c>
      <c r="D1628" s="72">
        <v>39889</v>
      </c>
      <c r="E1628" s="71" t="s">
        <v>13410</v>
      </c>
      <c r="F1628" s="71" t="s">
        <v>2296</v>
      </c>
      <c r="G1628" s="71" t="s">
        <v>189</v>
      </c>
      <c r="H1628" s="71" t="s">
        <v>566</v>
      </c>
      <c r="I1628" s="71" t="s">
        <v>566</v>
      </c>
      <c r="J1628" s="71" t="s">
        <v>13411</v>
      </c>
      <c r="K1628" s="71" t="s">
        <v>13412</v>
      </c>
      <c r="L1628" s="71" t="s">
        <v>4282</v>
      </c>
      <c r="M1628" s="71"/>
      <c r="N1628" s="72">
        <v>39981</v>
      </c>
      <c r="O1628" s="72">
        <v>39910</v>
      </c>
      <c r="P1628" s="71"/>
      <c r="Q1628" s="71" t="b">
        <v>0</v>
      </c>
      <c r="R1628" s="22">
        <f t="shared" si="25"/>
        <v>20</v>
      </c>
    </row>
    <row r="1629" spans="1:18">
      <c r="A1629" s="71">
        <v>9361</v>
      </c>
      <c r="B1629" s="72">
        <v>39902</v>
      </c>
      <c r="C1629" s="71" t="s">
        <v>13420</v>
      </c>
      <c r="D1629" s="72">
        <v>39897</v>
      </c>
      <c r="E1629" s="71" t="s">
        <v>13421</v>
      </c>
      <c r="F1629" s="71" t="s">
        <v>13422</v>
      </c>
      <c r="G1629" s="71" t="s">
        <v>20</v>
      </c>
      <c r="H1629" s="71" t="s">
        <v>71</v>
      </c>
      <c r="I1629" s="71" t="s">
        <v>72</v>
      </c>
      <c r="J1629" s="71" t="s">
        <v>13423</v>
      </c>
      <c r="K1629" s="71" t="s">
        <v>13424</v>
      </c>
      <c r="L1629" s="71" t="s">
        <v>13425</v>
      </c>
      <c r="M1629" s="71" t="s">
        <v>1946</v>
      </c>
      <c r="O1629" s="72">
        <v>40449</v>
      </c>
      <c r="P1629" s="71">
        <v>-1</v>
      </c>
      <c r="Q1629" s="71" t="b">
        <v>1</v>
      </c>
      <c r="R1629" s="22">
        <f t="shared" si="25"/>
        <v>545</v>
      </c>
    </row>
    <row r="1630" spans="1:18">
      <c r="A1630" s="71">
        <v>9367</v>
      </c>
      <c r="B1630" s="72">
        <v>39916</v>
      </c>
      <c r="C1630" s="71" t="s">
        <v>13439</v>
      </c>
      <c r="D1630" s="72">
        <v>39911</v>
      </c>
      <c r="E1630" s="71" t="s">
        <v>13440</v>
      </c>
      <c r="F1630" s="71" t="s">
        <v>27</v>
      </c>
      <c r="G1630" s="71" t="s">
        <v>20</v>
      </c>
      <c r="H1630" s="71" t="s">
        <v>71</v>
      </c>
      <c r="I1630" s="71" t="s">
        <v>72</v>
      </c>
      <c r="J1630" s="71" t="s">
        <v>13441</v>
      </c>
      <c r="K1630" s="71" t="s">
        <v>13442</v>
      </c>
      <c r="L1630" s="71" t="s">
        <v>4579</v>
      </c>
      <c r="M1630" s="71"/>
      <c r="N1630" s="72">
        <v>39957</v>
      </c>
      <c r="O1630" s="72">
        <v>40043</v>
      </c>
      <c r="P1630" s="71">
        <v>-1</v>
      </c>
      <c r="Q1630" s="71" t="b">
        <v>1</v>
      </c>
      <c r="R1630" s="22">
        <f t="shared" si="25"/>
        <v>126</v>
      </c>
    </row>
    <row r="1631" spans="1:18">
      <c r="A1631" s="71">
        <v>9369</v>
      </c>
      <c r="B1631" s="72">
        <v>39923</v>
      </c>
      <c r="C1631" s="71" t="s">
        <v>13443</v>
      </c>
      <c r="D1631" s="72">
        <v>39920</v>
      </c>
      <c r="E1631" s="71" t="s">
        <v>13444</v>
      </c>
      <c r="F1631" s="71" t="s">
        <v>13445</v>
      </c>
      <c r="G1631" s="71" t="s">
        <v>20</v>
      </c>
      <c r="H1631" s="71" t="s">
        <v>71</v>
      </c>
      <c r="I1631" s="71" t="s">
        <v>72</v>
      </c>
      <c r="J1631" s="71" t="s">
        <v>13446</v>
      </c>
      <c r="K1631" s="71" t="s">
        <v>13447</v>
      </c>
      <c r="L1631" s="71" t="s">
        <v>4282</v>
      </c>
      <c r="M1631" s="71"/>
      <c r="O1631" s="72">
        <v>39924</v>
      </c>
      <c r="P1631" s="71"/>
      <c r="Q1631" s="71" t="b">
        <v>0</v>
      </c>
      <c r="R1631" s="22">
        <f t="shared" si="25"/>
        <v>1</v>
      </c>
    </row>
    <row r="1632" spans="1:18">
      <c r="A1632" s="71">
        <v>9372</v>
      </c>
      <c r="B1632" s="72">
        <v>39932</v>
      </c>
      <c r="C1632" s="71" t="s">
        <v>13453</v>
      </c>
      <c r="D1632" s="72">
        <v>39903</v>
      </c>
      <c r="E1632" s="71" t="s">
        <v>13454</v>
      </c>
      <c r="F1632" s="71" t="s">
        <v>19</v>
      </c>
      <c r="G1632" s="71" t="s">
        <v>20</v>
      </c>
      <c r="H1632" s="71" t="s">
        <v>71</v>
      </c>
      <c r="I1632" s="71" t="s">
        <v>72</v>
      </c>
      <c r="J1632" s="71" t="s">
        <v>13428</v>
      </c>
      <c r="K1632" s="71" t="s">
        <v>13455</v>
      </c>
      <c r="L1632" s="71" t="s">
        <v>3588</v>
      </c>
      <c r="M1632" s="71"/>
      <c r="O1632" s="72">
        <v>39946</v>
      </c>
      <c r="P1632" s="71">
        <v>-1</v>
      </c>
      <c r="Q1632" s="71" t="b">
        <v>1</v>
      </c>
      <c r="R1632" s="22">
        <f t="shared" si="25"/>
        <v>14</v>
      </c>
    </row>
    <row r="1633" spans="1:18">
      <c r="A1633" s="71">
        <v>9374</v>
      </c>
      <c r="B1633" s="72">
        <v>39939</v>
      </c>
      <c r="C1633" s="71" t="s">
        <v>13460</v>
      </c>
      <c r="D1633" s="72">
        <v>39939</v>
      </c>
      <c r="E1633" s="71" t="s">
        <v>13461</v>
      </c>
      <c r="F1633" s="71" t="s">
        <v>12404</v>
      </c>
      <c r="G1633" s="71" t="s">
        <v>20</v>
      </c>
      <c r="H1633" s="71" t="s">
        <v>71</v>
      </c>
      <c r="I1633" s="71" t="s">
        <v>72</v>
      </c>
      <c r="J1633" s="71" t="s">
        <v>13462</v>
      </c>
      <c r="K1633" s="71" t="s">
        <v>13463</v>
      </c>
      <c r="L1633" s="71" t="s">
        <v>4579</v>
      </c>
      <c r="M1633" s="71"/>
      <c r="O1633" s="72">
        <v>40014</v>
      </c>
      <c r="P1633" s="71">
        <v>-1</v>
      </c>
      <c r="Q1633" s="71" t="b">
        <v>1</v>
      </c>
      <c r="R1633" s="22">
        <f t="shared" si="25"/>
        <v>75</v>
      </c>
    </row>
    <row r="1634" spans="1:18">
      <c r="A1634" s="71">
        <v>9375</v>
      </c>
      <c r="B1634" s="72">
        <v>39951</v>
      </c>
      <c r="C1634" s="71" t="s">
        <v>13464</v>
      </c>
      <c r="D1634" s="72">
        <v>39945</v>
      </c>
      <c r="E1634" s="71" t="s">
        <v>13465</v>
      </c>
      <c r="F1634" s="71" t="s">
        <v>371</v>
      </c>
      <c r="G1634" s="71" t="s">
        <v>20</v>
      </c>
      <c r="H1634" s="71" t="s">
        <v>71</v>
      </c>
      <c r="I1634" s="71" t="s">
        <v>72</v>
      </c>
      <c r="J1634" s="71" t="s">
        <v>13466</v>
      </c>
      <c r="K1634" s="71" t="s">
        <v>13467</v>
      </c>
      <c r="L1634" s="71" t="s">
        <v>3588</v>
      </c>
      <c r="M1634" s="71"/>
      <c r="O1634" s="72">
        <v>40065</v>
      </c>
      <c r="P1634" s="71"/>
      <c r="Q1634" s="71" t="b">
        <v>0</v>
      </c>
      <c r="R1634" s="22">
        <f t="shared" si="25"/>
        <v>112</v>
      </c>
    </row>
    <row r="1635" spans="1:18">
      <c r="A1635" s="71">
        <v>9376</v>
      </c>
      <c r="B1635" s="72">
        <v>39953</v>
      </c>
      <c r="C1635" s="71" t="s">
        <v>13468</v>
      </c>
      <c r="D1635" s="72">
        <v>39952</v>
      </c>
      <c r="E1635" s="71" t="s">
        <v>13469</v>
      </c>
      <c r="F1635" s="71" t="s">
        <v>70</v>
      </c>
      <c r="G1635" s="71" t="s">
        <v>20</v>
      </c>
      <c r="H1635" s="71" t="s">
        <v>71</v>
      </c>
      <c r="I1635" s="71" t="s">
        <v>72</v>
      </c>
      <c r="J1635" s="71" t="s">
        <v>13470</v>
      </c>
      <c r="K1635" s="71" t="s">
        <v>13471</v>
      </c>
      <c r="L1635" s="71" t="s">
        <v>3588</v>
      </c>
      <c r="M1635" s="71"/>
      <c r="O1635" s="72">
        <v>40184</v>
      </c>
      <c r="P1635" s="71"/>
      <c r="Q1635" s="71" t="b">
        <v>0</v>
      </c>
      <c r="R1635" s="22">
        <f t="shared" si="25"/>
        <v>229</v>
      </c>
    </row>
    <row r="1636" spans="1:18">
      <c r="A1636" s="71">
        <v>9377</v>
      </c>
      <c r="B1636" s="72">
        <v>39962</v>
      </c>
      <c r="C1636" s="71" t="s">
        <v>13472</v>
      </c>
      <c r="D1636" s="72">
        <v>39959</v>
      </c>
      <c r="E1636" s="71" t="s">
        <v>13473</v>
      </c>
      <c r="F1636" s="71" t="s">
        <v>974</v>
      </c>
      <c r="G1636" s="71" t="s">
        <v>20</v>
      </c>
      <c r="H1636" s="71" t="s">
        <v>212</v>
      </c>
      <c r="I1636" s="71" t="s">
        <v>212</v>
      </c>
      <c r="J1636" s="71" t="s">
        <v>13474</v>
      </c>
      <c r="K1636" s="71" t="s">
        <v>13475</v>
      </c>
      <c r="L1636" s="71" t="s">
        <v>4579</v>
      </c>
      <c r="M1636" s="71" t="s">
        <v>4282</v>
      </c>
      <c r="N1636" s="72">
        <v>40004</v>
      </c>
      <c r="O1636" s="72">
        <v>40554</v>
      </c>
      <c r="P1636" s="71"/>
      <c r="Q1636" s="71" t="b">
        <v>1</v>
      </c>
      <c r="R1636" s="22">
        <f t="shared" si="25"/>
        <v>590</v>
      </c>
    </row>
    <row r="1637" spans="1:18">
      <c r="A1637" s="71">
        <v>9383</v>
      </c>
      <c r="B1637" s="72">
        <v>39967</v>
      </c>
      <c r="C1637" s="71" t="s">
        <v>13494</v>
      </c>
      <c r="D1637" s="72">
        <v>39965</v>
      </c>
      <c r="E1637" s="71" t="s">
        <v>13495</v>
      </c>
      <c r="F1637" s="71" t="s">
        <v>283</v>
      </c>
      <c r="G1637" s="71" t="s">
        <v>20</v>
      </c>
      <c r="H1637" s="71" t="s">
        <v>71</v>
      </c>
      <c r="I1637" s="71" t="s">
        <v>72</v>
      </c>
      <c r="J1637" s="71" t="s">
        <v>13496</v>
      </c>
      <c r="K1637" s="71" t="s">
        <v>13497</v>
      </c>
      <c r="L1637" s="71" t="s">
        <v>4579</v>
      </c>
      <c r="M1637" s="71"/>
      <c r="O1637" s="72">
        <v>40045</v>
      </c>
      <c r="P1637" s="71"/>
      <c r="Q1637" s="71" t="b">
        <v>0</v>
      </c>
      <c r="R1637" s="22">
        <f t="shared" si="25"/>
        <v>78</v>
      </c>
    </row>
    <row r="1638" spans="1:18">
      <c r="A1638" s="71">
        <v>9384</v>
      </c>
      <c r="B1638" s="72">
        <v>39969</v>
      </c>
      <c r="C1638" s="71" t="s">
        <v>13498</v>
      </c>
      <c r="D1638" s="72">
        <v>39968</v>
      </c>
      <c r="E1638" s="71" t="s">
        <v>13499</v>
      </c>
      <c r="F1638" s="71" t="s">
        <v>974</v>
      </c>
      <c r="G1638" s="71" t="s">
        <v>20</v>
      </c>
      <c r="H1638" s="71" t="s">
        <v>212</v>
      </c>
      <c r="I1638" s="71" t="s">
        <v>212</v>
      </c>
      <c r="J1638" s="71" t="s">
        <v>13500</v>
      </c>
      <c r="K1638" s="71" t="s">
        <v>13501</v>
      </c>
      <c r="L1638" s="71" t="s">
        <v>4282</v>
      </c>
      <c r="M1638" s="71"/>
      <c r="O1638" s="72">
        <v>41089</v>
      </c>
      <c r="P1638" s="71">
        <v>-1</v>
      </c>
      <c r="Q1638" s="71" t="b">
        <v>1</v>
      </c>
      <c r="R1638" s="22">
        <f t="shared" si="25"/>
        <v>1119</v>
      </c>
    </row>
    <row r="1639" spans="1:18">
      <c r="A1639" s="71">
        <v>9385</v>
      </c>
      <c r="B1639" s="72">
        <v>39974</v>
      </c>
      <c r="C1639" s="71" t="s">
        <v>13502</v>
      </c>
      <c r="D1639" s="72">
        <v>39972</v>
      </c>
      <c r="E1639" s="71" t="s">
        <v>13503</v>
      </c>
      <c r="F1639" s="71" t="s">
        <v>228</v>
      </c>
      <c r="G1639" s="71" t="s">
        <v>20</v>
      </c>
      <c r="H1639" s="71" t="s">
        <v>71</v>
      </c>
      <c r="I1639" s="71" t="s">
        <v>72</v>
      </c>
      <c r="J1639" s="71" t="s">
        <v>13504</v>
      </c>
      <c r="K1639" s="71" t="s">
        <v>3335</v>
      </c>
      <c r="L1639" s="71" t="s">
        <v>4579</v>
      </c>
      <c r="M1639" s="71"/>
      <c r="O1639" s="72">
        <v>40014</v>
      </c>
      <c r="P1639" s="71"/>
      <c r="Q1639" s="71" t="b">
        <v>0</v>
      </c>
      <c r="R1639" s="22">
        <f t="shared" si="25"/>
        <v>40</v>
      </c>
    </row>
    <row r="1640" spans="1:18">
      <c r="A1640" s="71">
        <v>9386</v>
      </c>
      <c r="B1640" s="72">
        <v>39980</v>
      </c>
      <c r="C1640" s="71" t="s">
        <v>13505</v>
      </c>
      <c r="D1640" s="72">
        <v>39979</v>
      </c>
      <c r="E1640" s="71" t="s">
        <v>13506</v>
      </c>
      <c r="F1640" s="71" t="s">
        <v>1232</v>
      </c>
      <c r="G1640" s="71" t="s">
        <v>20</v>
      </c>
      <c r="H1640" s="71" t="s">
        <v>189</v>
      </c>
      <c r="I1640" s="71" t="s">
        <v>189</v>
      </c>
      <c r="J1640" s="71" t="s">
        <v>13507</v>
      </c>
      <c r="K1640" s="71" t="s">
        <v>13508</v>
      </c>
      <c r="L1640" s="71" t="s">
        <v>4282</v>
      </c>
      <c r="M1640" s="71"/>
      <c r="O1640" s="72">
        <v>40165</v>
      </c>
      <c r="P1640" s="71">
        <v>-1</v>
      </c>
      <c r="Q1640" s="71" t="b">
        <v>1</v>
      </c>
      <c r="R1640" s="22">
        <f t="shared" si="25"/>
        <v>184</v>
      </c>
    </row>
    <row r="1641" spans="1:18">
      <c r="A1641" s="71">
        <v>9389</v>
      </c>
      <c r="B1641" s="72">
        <v>39982</v>
      </c>
      <c r="C1641" s="71" t="s">
        <v>13516</v>
      </c>
      <c r="D1641" s="72">
        <v>39982</v>
      </c>
      <c r="E1641" s="71" t="s">
        <v>13517</v>
      </c>
      <c r="F1641" s="71" t="s">
        <v>1232</v>
      </c>
      <c r="G1641" s="71" t="s">
        <v>20</v>
      </c>
      <c r="H1641" s="71" t="s">
        <v>189</v>
      </c>
      <c r="I1641" s="71" t="s">
        <v>189</v>
      </c>
      <c r="J1641" s="71" t="s">
        <v>7034</v>
      </c>
      <c r="K1641" s="71" t="s">
        <v>13508</v>
      </c>
      <c r="L1641" s="71" t="s">
        <v>4282</v>
      </c>
      <c r="M1641" s="71"/>
      <c r="O1641" s="72">
        <v>40165</v>
      </c>
      <c r="P1641" s="71"/>
      <c r="Q1641" s="71" t="b">
        <v>1</v>
      </c>
      <c r="R1641" s="22">
        <f t="shared" si="25"/>
        <v>182</v>
      </c>
    </row>
    <row r="1642" spans="1:18">
      <c r="A1642" s="71">
        <v>9390</v>
      </c>
      <c r="B1642" s="72">
        <v>39982</v>
      </c>
      <c r="C1642" s="71" t="s">
        <v>13518</v>
      </c>
      <c r="D1642" s="72">
        <v>39982</v>
      </c>
      <c r="E1642" s="71" t="s">
        <v>13519</v>
      </c>
      <c r="F1642" s="71" t="s">
        <v>1232</v>
      </c>
      <c r="G1642" s="71" t="s">
        <v>20</v>
      </c>
      <c r="H1642" s="71" t="s">
        <v>189</v>
      </c>
      <c r="I1642" s="71" t="s">
        <v>189</v>
      </c>
      <c r="J1642" s="71" t="s">
        <v>7034</v>
      </c>
      <c r="K1642" s="71" t="s">
        <v>13507</v>
      </c>
      <c r="L1642" s="71" t="s">
        <v>4282</v>
      </c>
      <c r="M1642" s="71"/>
      <c r="O1642" s="72">
        <v>40165</v>
      </c>
      <c r="P1642" s="71">
        <v>-1</v>
      </c>
      <c r="Q1642" s="71" t="b">
        <v>1</v>
      </c>
      <c r="R1642" s="22">
        <f t="shared" si="25"/>
        <v>182</v>
      </c>
    </row>
    <row r="1643" spans="1:18">
      <c r="A1643" s="71">
        <v>9393</v>
      </c>
      <c r="B1643" s="72">
        <v>39986</v>
      </c>
      <c r="C1643" s="71" t="s">
        <v>13520</v>
      </c>
      <c r="D1643" s="72">
        <v>39688</v>
      </c>
      <c r="E1643" s="71" t="s">
        <v>13521</v>
      </c>
      <c r="F1643" s="71" t="s">
        <v>13164</v>
      </c>
      <c r="G1643" s="71" t="s">
        <v>20</v>
      </c>
      <c r="H1643" s="71" t="s">
        <v>71</v>
      </c>
      <c r="I1643" s="71" t="s">
        <v>72</v>
      </c>
      <c r="J1643" s="71" t="s">
        <v>13165</v>
      </c>
      <c r="K1643" s="71" t="s">
        <v>13522</v>
      </c>
      <c r="L1643" s="71" t="s">
        <v>4579</v>
      </c>
      <c r="M1643" s="71"/>
      <c r="O1643" s="72">
        <v>39986</v>
      </c>
      <c r="P1643" s="71">
        <v>-1</v>
      </c>
      <c r="Q1643" s="71" t="b">
        <v>1</v>
      </c>
      <c r="R1643" s="22">
        <f t="shared" si="25"/>
        <v>0</v>
      </c>
    </row>
    <row r="1644" spans="1:18">
      <c r="A1644" s="71">
        <v>9396</v>
      </c>
      <c r="B1644" s="72">
        <v>39987</v>
      </c>
      <c r="C1644" s="71" t="s">
        <v>13531</v>
      </c>
      <c r="D1644" s="72">
        <v>39987</v>
      </c>
      <c r="E1644" s="71" t="s">
        <v>13532</v>
      </c>
      <c r="F1644" s="71" t="s">
        <v>12404</v>
      </c>
      <c r="G1644" s="71" t="s">
        <v>20</v>
      </c>
      <c r="H1644" s="71" t="s">
        <v>71</v>
      </c>
      <c r="I1644" s="71" t="s">
        <v>72</v>
      </c>
      <c r="J1644" s="71" t="s">
        <v>13533</v>
      </c>
      <c r="K1644" s="71" t="s">
        <v>3417</v>
      </c>
      <c r="L1644" s="71" t="s">
        <v>3588</v>
      </c>
      <c r="M1644" s="71"/>
      <c r="O1644" s="72">
        <v>40014</v>
      </c>
      <c r="P1644" s="71"/>
      <c r="Q1644" s="71" t="b">
        <v>0</v>
      </c>
      <c r="R1644" s="22">
        <f t="shared" si="25"/>
        <v>27</v>
      </c>
    </row>
    <row r="1645" spans="1:18">
      <c r="A1645" s="71">
        <v>9400</v>
      </c>
      <c r="B1645" s="72">
        <v>40000</v>
      </c>
      <c r="C1645" s="71" t="s">
        <v>13541</v>
      </c>
      <c r="D1645" s="72">
        <v>40000</v>
      </c>
      <c r="E1645" s="71" t="s">
        <v>13542</v>
      </c>
      <c r="F1645" s="71" t="s">
        <v>2565</v>
      </c>
      <c r="G1645" s="71" t="s">
        <v>20</v>
      </c>
      <c r="H1645" s="71" t="s">
        <v>189</v>
      </c>
      <c r="I1645" s="71" t="s">
        <v>189</v>
      </c>
      <c r="J1645" s="71" t="s">
        <v>13543</v>
      </c>
      <c r="K1645" s="71" t="s">
        <v>11513</v>
      </c>
      <c r="L1645" s="71" t="s">
        <v>3588</v>
      </c>
      <c r="M1645" s="71" t="s">
        <v>4282</v>
      </c>
      <c r="N1645" s="72">
        <v>40045</v>
      </c>
      <c r="O1645" s="72">
        <v>41270</v>
      </c>
      <c r="P1645" s="71"/>
      <c r="Q1645" s="71" t="b">
        <v>0</v>
      </c>
      <c r="R1645" s="22">
        <f t="shared" si="25"/>
        <v>1268</v>
      </c>
    </row>
    <row r="1646" spans="1:18">
      <c r="A1646" s="71">
        <v>9401</v>
      </c>
      <c r="B1646" s="72">
        <v>40000</v>
      </c>
      <c r="C1646" s="71" t="s">
        <v>13544</v>
      </c>
      <c r="D1646" s="72">
        <v>39994</v>
      </c>
      <c r="E1646" s="71" t="s">
        <v>13545</v>
      </c>
      <c r="F1646" s="71" t="s">
        <v>327</v>
      </c>
      <c r="G1646" s="71" t="s">
        <v>20</v>
      </c>
      <c r="H1646" s="71" t="s">
        <v>71</v>
      </c>
      <c r="I1646" s="71" t="s">
        <v>72</v>
      </c>
      <c r="J1646" s="71" t="s">
        <v>13546</v>
      </c>
      <c r="K1646" s="71" t="s">
        <v>13547</v>
      </c>
      <c r="L1646" s="71" t="s">
        <v>4579</v>
      </c>
      <c r="M1646" s="71"/>
      <c r="N1646" s="72">
        <v>40045</v>
      </c>
      <c r="O1646" s="72">
        <v>40081</v>
      </c>
      <c r="P1646" s="71"/>
      <c r="Q1646" s="71" t="b">
        <v>0</v>
      </c>
      <c r="R1646" s="22">
        <f t="shared" si="25"/>
        <v>80</v>
      </c>
    </row>
    <row r="1647" spans="1:18">
      <c r="A1647" s="71">
        <v>9403</v>
      </c>
      <c r="B1647" s="72">
        <v>40001</v>
      </c>
      <c r="C1647" s="71" t="s">
        <v>13551</v>
      </c>
      <c r="D1647" s="72">
        <v>40000</v>
      </c>
      <c r="E1647" s="71" t="s">
        <v>13552</v>
      </c>
      <c r="F1647" s="71" t="s">
        <v>10079</v>
      </c>
      <c r="G1647" s="71" t="s">
        <v>20</v>
      </c>
      <c r="H1647" s="71" t="s">
        <v>71</v>
      </c>
      <c r="I1647" s="71" t="s">
        <v>72</v>
      </c>
      <c r="J1647" s="71" t="s">
        <v>13553</v>
      </c>
      <c r="K1647" s="71" t="s">
        <v>13554</v>
      </c>
      <c r="L1647" s="71" t="s">
        <v>4579</v>
      </c>
      <c r="M1647" s="71"/>
      <c r="N1647" s="72">
        <v>40045</v>
      </c>
      <c r="O1647" s="72">
        <v>40288</v>
      </c>
      <c r="P1647" s="71"/>
      <c r="Q1647" s="71" t="b">
        <v>0</v>
      </c>
      <c r="R1647" s="22">
        <f t="shared" si="25"/>
        <v>286</v>
      </c>
    </row>
    <row r="1648" spans="1:18">
      <c r="A1648" s="71">
        <v>9404</v>
      </c>
      <c r="B1648" s="72">
        <v>40002</v>
      </c>
      <c r="C1648" s="71" t="s">
        <v>13555</v>
      </c>
      <c r="D1648" s="72">
        <v>39996</v>
      </c>
      <c r="E1648" s="71" t="s">
        <v>13556</v>
      </c>
      <c r="F1648" s="71" t="s">
        <v>11894</v>
      </c>
      <c r="G1648" s="71" t="s">
        <v>20</v>
      </c>
      <c r="H1648" s="71" t="s">
        <v>71</v>
      </c>
      <c r="I1648" s="71" t="s">
        <v>72</v>
      </c>
      <c r="J1648" s="71" t="s">
        <v>13557</v>
      </c>
      <c r="K1648" s="71"/>
      <c r="L1648" s="71" t="s">
        <v>3588</v>
      </c>
      <c r="M1648" s="71"/>
      <c r="N1648" s="72">
        <v>40045</v>
      </c>
      <c r="O1648" s="72">
        <v>40198</v>
      </c>
      <c r="P1648" s="71"/>
      <c r="Q1648" s="71" t="b">
        <v>0</v>
      </c>
      <c r="R1648" s="22">
        <f t="shared" si="25"/>
        <v>194</v>
      </c>
    </row>
    <row r="1649" spans="1:18">
      <c r="A1649" s="71">
        <v>9407</v>
      </c>
      <c r="B1649" s="72">
        <v>40009</v>
      </c>
      <c r="C1649" s="71" t="s">
        <v>13565</v>
      </c>
      <c r="D1649" s="72">
        <v>40008</v>
      </c>
      <c r="E1649" s="71" t="s">
        <v>13566</v>
      </c>
      <c r="F1649" s="71" t="s">
        <v>4344</v>
      </c>
      <c r="G1649" s="71" t="s">
        <v>20</v>
      </c>
      <c r="H1649" s="71" t="s">
        <v>212</v>
      </c>
      <c r="I1649" s="71" t="s">
        <v>212</v>
      </c>
      <c r="J1649" s="71" t="s">
        <v>13567</v>
      </c>
      <c r="K1649" s="71" t="s">
        <v>9014</v>
      </c>
      <c r="L1649" s="71" t="s">
        <v>3588</v>
      </c>
      <c r="M1649" s="71"/>
      <c r="N1649" s="72">
        <v>40056</v>
      </c>
      <c r="O1649" s="72">
        <v>40045</v>
      </c>
      <c r="P1649" s="71"/>
      <c r="Q1649" s="71" t="b">
        <v>0</v>
      </c>
      <c r="R1649" s="22">
        <f t="shared" si="25"/>
        <v>35</v>
      </c>
    </row>
    <row r="1650" spans="1:18">
      <c r="A1650" s="71">
        <v>9412</v>
      </c>
      <c r="B1650" s="72">
        <v>40015</v>
      </c>
      <c r="C1650" s="71" t="s">
        <v>13576</v>
      </c>
      <c r="D1650" s="72">
        <v>40011</v>
      </c>
      <c r="E1650" s="71" t="s">
        <v>13577</v>
      </c>
      <c r="F1650" s="71" t="s">
        <v>104</v>
      </c>
      <c r="G1650" s="71" t="s">
        <v>20</v>
      </c>
      <c r="H1650" s="71" t="s">
        <v>71</v>
      </c>
      <c r="I1650" s="71" t="s">
        <v>72</v>
      </c>
      <c r="J1650" s="71" t="s">
        <v>13578</v>
      </c>
      <c r="K1650" s="71" t="s">
        <v>13579</v>
      </c>
      <c r="L1650" s="71" t="s">
        <v>4579</v>
      </c>
      <c r="M1650" s="71"/>
      <c r="O1650" s="72">
        <v>40277</v>
      </c>
      <c r="P1650" s="71"/>
      <c r="Q1650" s="71" t="b">
        <v>0</v>
      </c>
      <c r="R1650" s="22">
        <f t="shared" si="25"/>
        <v>261</v>
      </c>
    </row>
    <row r="1651" spans="1:18">
      <c r="A1651" s="71">
        <v>9413</v>
      </c>
      <c r="B1651" s="72">
        <v>40016</v>
      </c>
      <c r="C1651" s="71" t="s">
        <v>13580</v>
      </c>
      <c r="D1651" s="72">
        <v>40016</v>
      </c>
      <c r="E1651" s="71" t="s">
        <v>13581</v>
      </c>
      <c r="F1651" s="71" t="s">
        <v>12404</v>
      </c>
      <c r="G1651" s="71" t="s">
        <v>20</v>
      </c>
      <c r="H1651" s="71" t="s">
        <v>71</v>
      </c>
      <c r="I1651" s="71" t="s">
        <v>72</v>
      </c>
      <c r="J1651" s="71" t="s">
        <v>13582</v>
      </c>
      <c r="K1651" s="71" t="s">
        <v>13583</v>
      </c>
      <c r="L1651" s="71" t="s">
        <v>4579</v>
      </c>
      <c r="M1651" s="71"/>
      <c r="O1651" s="72">
        <v>40360</v>
      </c>
      <c r="P1651" s="71">
        <v>-1</v>
      </c>
      <c r="Q1651" s="71" t="b">
        <v>1</v>
      </c>
      <c r="R1651" s="22">
        <f t="shared" si="25"/>
        <v>343</v>
      </c>
    </row>
    <row r="1652" spans="1:18">
      <c r="A1652" s="71">
        <v>9415</v>
      </c>
      <c r="B1652" s="72">
        <v>40025</v>
      </c>
      <c r="C1652" s="71" t="s">
        <v>13584</v>
      </c>
      <c r="D1652" s="72">
        <v>40019</v>
      </c>
      <c r="E1652" s="71" t="s">
        <v>13585</v>
      </c>
      <c r="F1652" s="71" t="s">
        <v>2105</v>
      </c>
      <c r="G1652" s="71" t="s">
        <v>20</v>
      </c>
      <c r="H1652" s="71" t="s">
        <v>189</v>
      </c>
      <c r="I1652" s="71" t="s">
        <v>189</v>
      </c>
      <c r="J1652" s="71" t="s">
        <v>13586</v>
      </c>
      <c r="K1652" s="71" t="s">
        <v>13587</v>
      </c>
      <c r="L1652" s="71" t="s">
        <v>1946</v>
      </c>
      <c r="M1652" s="71"/>
      <c r="O1652" s="72">
        <v>40028</v>
      </c>
      <c r="P1652" s="71">
        <v>-1</v>
      </c>
      <c r="Q1652" s="71" t="b">
        <v>1</v>
      </c>
      <c r="R1652" s="22">
        <f t="shared" si="25"/>
        <v>3</v>
      </c>
    </row>
    <row r="1653" spans="1:18">
      <c r="A1653" s="71">
        <v>9416</v>
      </c>
      <c r="B1653" s="72">
        <v>40025</v>
      </c>
      <c r="C1653" s="71" t="s">
        <v>13588</v>
      </c>
      <c r="D1653" s="72">
        <v>40021</v>
      </c>
      <c r="E1653" s="71" t="s">
        <v>13589</v>
      </c>
      <c r="F1653" s="71" t="s">
        <v>12660</v>
      </c>
      <c r="G1653" s="71" t="s">
        <v>20</v>
      </c>
      <c r="H1653" s="71" t="s">
        <v>71</v>
      </c>
      <c r="I1653" s="71" t="s">
        <v>72</v>
      </c>
      <c r="J1653" s="71" t="s">
        <v>13590</v>
      </c>
      <c r="K1653" s="71" t="s">
        <v>6111</v>
      </c>
      <c r="L1653" s="71" t="s">
        <v>3588</v>
      </c>
      <c r="M1653" s="71"/>
      <c r="O1653" s="72">
        <v>40036</v>
      </c>
      <c r="P1653" s="71">
        <v>-1</v>
      </c>
      <c r="Q1653" s="71" t="b">
        <v>1</v>
      </c>
      <c r="R1653" s="22">
        <f t="shared" si="25"/>
        <v>11</v>
      </c>
    </row>
    <row r="1654" spans="1:18">
      <c r="A1654" s="71">
        <v>9417</v>
      </c>
      <c r="B1654" s="72">
        <v>40025</v>
      </c>
      <c r="C1654" s="71" t="s">
        <v>13591</v>
      </c>
      <c r="D1654" s="72">
        <v>40016</v>
      </c>
      <c r="E1654" s="71" t="s">
        <v>13592</v>
      </c>
      <c r="F1654" s="71" t="s">
        <v>3171</v>
      </c>
      <c r="G1654" s="71" t="s">
        <v>20</v>
      </c>
      <c r="H1654" s="71" t="s">
        <v>566</v>
      </c>
      <c r="I1654" s="71" t="s">
        <v>566</v>
      </c>
      <c r="J1654" s="71" t="s">
        <v>9218</v>
      </c>
      <c r="K1654" s="71"/>
      <c r="L1654" s="71" t="s">
        <v>4579</v>
      </c>
      <c r="M1654" s="71"/>
      <c r="O1654" s="72">
        <v>40031</v>
      </c>
      <c r="P1654" s="71"/>
      <c r="Q1654" s="71" t="b">
        <v>0</v>
      </c>
      <c r="R1654" s="22">
        <f t="shared" si="25"/>
        <v>6</v>
      </c>
    </row>
    <row r="1655" spans="1:18">
      <c r="A1655" s="71">
        <v>9424</v>
      </c>
      <c r="B1655" s="72">
        <v>40031</v>
      </c>
      <c r="C1655" s="71" t="s">
        <v>13600</v>
      </c>
      <c r="D1655" s="72">
        <v>40024</v>
      </c>
      <c r="E1655" s="71" t="s">
        <v>13601</v>
      </c>
      <c r="F1655" s="71" t="s">
        <v>2359</v>
      </c>
      <c r="G1655" s="71" t="s">
        <v>20</v>
      </c>
      <c r="H1655" s="71" t="s">
        <v>71</v>
      </c>
      <c r="I1655" s="71" t="s">
        <v>72</v>
      </c>
      <c r="J1655" s="71" t="s">
        <v>13602</v>
      </c>
      <c r="K1655" s="71" t="s">
        <v>7321</v>
      </c>
      <c r="L1655" s="71" t="s">
        <v>4579</v>
      </c>
      <c r="M1655" s="71" t="s">
        <v>3588</v>
      </c>
      <c r="O1655" s="72">
        <v>40554</v>
      </c>
      <c r="P1655" s="71"/>
      <c r="Q1655" s="71" t="b">
        <v>0</v>
      </c>
      <c r="R1655" s="22">
        <f t="shared" si="25"/>
        <v>522</v>
      </c>
    </row>
    <row r="1656" spans="1:18">
      <c r="A1656" s="71">
        <v>9425</v>
      </c>
      <c r="B1656" s="72">
        <v>40031</v>
      </c>
      <c r="C1656" s="71" t="s">
        <v>13603</v>
      </c>
      <c r="D1656" s="72">
        <v>40030</v>
      </c>
      <c r="E1656" s="71" t="s">
        <v>13604</v>
      </c>
      <c r="F1656" s="71" t="s">
        <v>11132</v>
      </c>
      <c r="G1656" s="71" t="s">
        <v>20</v>
      </c>
      <c r="H1656" s="71" t="s">
        <v>212</v>
      </c>
      <c r="I1656" s="71" t="s">
        <v>212</v>
      </c>
      <c r="J1656" s="71" t="s">
        <v>13605</v>
      </c>
      <c r="K1656" s="71" t="s">
        <v>12204</v>
      </c>
      <c r="L1656" s="71" t="s">
        <v>11271</v>
      </c>
      <c r="M1656" s="71"/>
      <c r="O1656" s="72">
        <v>40387</v>
      </c>
      <c r="P1656" s="71"/>
      <c r="Q1656" s="71" t="b">
        <v>0</v>
      </c>
      <c r="R1656" s="22">
        <f t="shared" si="25"/>
        <v>356</v>
      </c>
    </row>
    <row r="1657" spans="1:18">
      <c r="A1657" s="71">
        <v>9426</v>
      </c>
      <c r="B1657" s="72">
        <v>40032</v>
      </c>
      <c r="C1657" s="71" t="s">
        <v>13606</v>
      </c>
      <c r="D1657" s="72">
        <v>40028</v>
      </c>
      <c r="E1657" s="71" t="s">
        <v>13607</v>
      </c>
      <c r="F1657" s="71" t="s">
        <v>149</v>
      </c>
      <c r="G1657" s="71" t="s">
        <v>20</v>
      </c>
      <c r="H1657" s="71" t="s">
        <v>71</v>
      </c>
      <c r="I1657" s="71" t="s">
        <v>72</v>
      </c>
      <c r="J1657" s="71" t="s">
        <v>13608</v>
      </c>
      <c r="K1657" s="71" t="s">
        <v>6111</v>
      </c>
      <c r="L1657" s="71" t="s">
        <v>12967</v>
      </c>
      <c r="M1657" s="71"/>
      <c r="O1657" s="72">
        <v>40032</v>
      </c>
      <c r="P1657" s="71">
        <v>-1</v>
      </c>
      <c r="Q1657" s="71" t="b">
        <v>1</v>
      </c>
      <c r="R1657" s="22">
        <f t="shared" si="25"/>
        <v>0</v>
      </c>
    </row>
    <row r="1658" spans="1:18">
      <c r="A1658" s="71">
        <v>9430</v>
      </c>
      <c r="B1658" s="72">
        <v>40036</v>
      </c>
      <c r="C1658" s="71" t="s">
        <v>13614</v>
      </c>
      <c r="D1658" s="72">
        <v>40032</v>
      </c>
      <c r="E1658" s="71" t="s">
        <v>13615</v>
      </c>
      <c r="F1658" s="71" t="s">
        <v>1232</v>
      </c>
      <c r="G1658" s="71" t="s">
        <v>20</v>
      </c>
      <c r="H1658" s="71" t="s">
        <v>189</v>
      </c>
      <c r="I1658" s="71" t="s">
        <v>189</v>
      </c>
      <c r="J1658" s="71" t="s">
        <v>13616</v>
      </c>
      <c r="K1658" s="71" t="s">
        <v>13617</v>
      </c>
      <c r="L1658" s="71" t="s">
        <v>1946</v>
      </c>
      <c r="M1658" s="71"/>
      <c r="O1658" s="72">
        <v>40044</v>
      </c>
      <c r="P1658" s="71"/>
      <c r="Q1658" s="71" t="b">
        <v>0</v>
      </c>
      <c r="R1658" s="22">
        <f t="shared" si="25"/>
        <v>8</v>
      </c>
    </row>
    <row r="1659" spans="1:18">
      <c r="A1659" s="71">
        <v>9431</v>
      </c>
      <c r="B1659" s="72">
        <v>40037</v>
      </c>
      <c r="C1659" s="71" t="s">
        <v>13618</v>
      </c>
      <c r="D1659" s="72">
        <v>40035</v>
      </c>
      <c r="E1659" s="71" t="s">
        <v>13619</v>
      </c>
      <c r="F1659" s="71" t="s">
        <v>19</v>
      </c>
      <c r="G1659" s="71" t="s">
        <v>20</v>
      </c>
      <c r="H1659" s="71" t="s">
        <v>71</v>
      </c>
      <c r="I1659" s="71" t="s">
        <v>72</v>
      </c>
      <c r="J1659" s="71" t="s">
        <v>13620</v>
      </c>
      <c r="K1659" s="71" t="s">
        <v>13621</v>
      </c>
      <c r="L1659" s="71" t="s">
        <v>4579</v>
      </c>
      <c r="M1659" s="71"/>
      <c r="O1659" s="72">
        <v>40485</v>
      </c>
      <c r="P1659" s="71"/>
      <c r="Q1659" s="71" t="b">
        <v>0</v>
      </c>
      <c r="R1659" s="22">
        <f t="shared" si="25"/>
        <v>447</v>
      </c>
    </row>
    <row r="1660" spans="1:18">
      <c r="A1660" s="71">
        <v>9433</v>
      </c>
      <c r="B1660" s="72">
        <v>40042</v>
      </c>
      <c r="C1660" s="71" t="s">
        <v>13626</v>
      </c>
      <c r="D1660" s="72">
        <v>40037</v>
      </c>
      <c r="E1660" s="71" t="s">
        <v>13627</v>
      </c>
      <c r="F1660" s="71" t="s">
        <v>145</v>
      </c>
      <c r="G1660" s="71" t="s">
        <v>20</v>
      </c>
      <c r="H1660" s="71" t="s">
        <v>71</v>
      </c>
      <c r="I1660" s="71" t="s">
        <v>72</v>
      </c>
      <c r="J1660" s="71" t="s">
        <v>13628</v>
      </c>
      <c r="K1660" s="71" t="s">
        <v>13389</v>
      </c>
      <c r="L1660" s="71" t="s">
        <v>4579</v>
      </c>
      <c r="M1660" s="71"/>
      <c r="O1660" s="72">
        <v>40276</v>
      </c>
      <c r="P1660" s="71">
        <v>-1</v>
      </c>
      <c r="Q1660" s="71" t="b">
        <v>1</v>
      </c>
      <c r="R1660" s="22">
        <f t="shared" si="25"/>
        <v>234</v>
      </c>
    </row>
    <row r="1661" spans="1:18">
      <c r="A1661" s="71">
        <v>9435</v>
      </c>
      <c r="B1661" s="72">
        <v>40052</v>
      </c>
      <c r="C1661" s="71" t="s">
        <v>13629</v>
      </c>
      <c r="D1661" s="72">
        <v>40052</v>
      </c>
      <c r="E1661" s="71" t="s">
        <v>13630</v>
      </c>
      <c r="F1661" s="71" t="s">
        <v>13631</v>
      </c>
      <c r="G1661" s="71" t="s">
        <v>20</v>
      </c>
      <c r="H1661" s="71" t="s">
        <v>71</v>
      </c>
      <c r="I1661" s="71" t="s">
        <v>72</v>
      </c>
      <c r="J1661" s="71" t="s">
        <v>13463</v>
      </c>
      <c r="K1661" s="71" t="s">
        <v>554</v>
      </c>
      <c r="L1661" s="71" t="s">
        <v>4579</v>
      </c>
      <c r="M1661" s="71" t="s">
        <v>4282</v>
      </c>
      <c r="O1661" s="72">
        <v>40577</v>
      </c>
      <c r="P1661" s="71"/>
      <c r="Q1661" s="71" t="b">
        <v>0</v>
      </c>
      <c r="R1661" s="22">
        <f t="shared" si="25"/>
        <v>523</v>
      </c>
    </row>
    <row r="1662" spans="1:18">
      <c r="A1662" s="71">
        <v>9436</v>
      </c>
      <c r="B1662" s="72">
        <v>40058</v>
      </c>
      <c r="C1662" s="71" t="s">
        <v>13632</v>
      </c>
      <c r="D1662" s="72">
        <v>40057</v>
      </c>
      <c r="E1662" s="71" t="s">
        <v>13633</v>
      </c>
      <c r="F1662" s="71" t="s">
        <v>11319</v>
      </c>
      <c r="G1662" s="71" t="s">
        <v>20</v>
      </c>
      <c r="H1662" s="71" t="s">
        <v>71</v>
      </c>
      <c r="I1662" s="71" t="s">
        <v>72</v>
      </c>
      <c r="J1662" s="71" t="s">
        <v>13634</v>
      </c>
      <c r="K1662" s="71" t="s">
        <v>7085</v>
      </c>
      <c r="L1662" s="71" t="s">
        <v>3588</v>
      </c>
      <c r="M1662" s="71"/>
      <c r="O1662" s="72">
        <v>40238</v>
      </c>
      <c r="P1662" s="71">
        <v>-1</v>
      </c>
      <c r="Q1662" s="71" t="b">
        <v>1</v>
      </c>
      <c r="R1662" s="22">
        <f t="shared" si="25"/>
        <v>181</v>
      </c>
    </row>
    <row r="1663" spans="1:18">
      <c r="A1663" s="71">
        <v>9437</v>
      </c>
      <c r="B1663" s="72">
        <v>40058</v>
      </c>
      <c r="C1663" s="71" t="s">
        <v>13635</v>
      </c>
      <c r="D1663" s="72">
        <v>40057</v>
      </c>
      <c r="E1663" s="71" t="s">
        <v>13636</v>
      </c>
      <c r="F1663" s="71" t="s">
        <v>98</v>
      </c>
      <c r="G1663" s="71" t="s">
        <v>20</v>
      </c>
      <c r="H1663" s="71" t="s">
        <v>71</v>
      </c>
      <c r="I1663" s="71" t="s">
        <v>72</v>
      </c>
      <c r="J1663" s="71" t="s">
        <v>13637</v>
      </c>
      <c r="K1663" s="71" t="s">
        <v>13638</v>
      </c>
      <c r="L1663" s="71" t="s">
        <v>4579</v>
      </c>
      <c r="M1663" s="71"/>
      <c r="O1663" s="72">
        <v>40095</v>
      </c>
      <c r="P1663" s="71">
        <v>-1</v>
      </c>
      <c r="Q1663" s="71" t="b">
        <v>1</v>
      </c>
      <c r="R1663" s="22">
        <f t="shared" si="25"/>
        <v>37</v>
      </c>
    </row>
    <row r="1664" spans="1:18">
      <c r="A1664" s="71">
        <v>9438</v>
      </c>
      <c r="B1664" s="72">
        <v>40064</v>
      </c>
      <c r="C1664" s="71" t="s">
        <v>13639</v>
      </c>
      <c r="D1664" s="72">
        <v>40060</v>
      </c>
      <c r="E1664" s="71" t="s">
        <v>13640</v>
      </c>
      <c r="F1664" s="71" t="s">
        <v>149</v>
      </c>
      <c r="G1664" s="71" t="s">
        <v>20</v>
      </c>
      <c r="H1664" s="71" t="s">
        <v>71</v>
      </c>
      <c r="I1664" s="71" t="s">
        <v>72</v>
      </c>
      <c r="J1664" s="71" t="s">
        <v>4136</v>
      </c>
      <c r="K1664" s="71" t="s">
        <v>13641</v>
      </c>
      <c r="L1664" s="71" t="s">
        <v>3588</v>
      </c>
      <c r="M1664" s="71"/>
      <c r="O1664" s="72">
        <v>40073</v>
      </c>
      <c r="P1664" s="71">
        <v>-1</v>
      </c>
      <c r="Q1664" s="71" t="b">
        <v>1</v>
      </c>
      <c r="R1664" s="22">
        <f t="shared" si="25"/>
        <v>9</v>
      </c>
    </row>
    <row r="1665" spans="1:18">
      <c r="A1665" s="71">
        <v>9441</v>
      </c>
      <c r="B1665" s="72">
        <v>40070</v>
      </c>
      <c r="C1665" s="71" t="s">
        <v>13649</v>
      </c>
      <c r="D1665" s="72">
        <v>40067</v>
      </c>
      <c r="E1665" s="71" t="s">
        <v>13650</v>
      </c>
      <c r="F1665" s="71" t="s">
        <v>13651</v>
      </c>
      <c r="G1665" s="71" t="s">
        <v>20</v>
      </c>
      <c r="H1665" s="71" t="s">
        <v>71</v>
      </c>
      <c r="I1665" s="71" t="s">
        <v>72</v>
      </c>
      <c r="J1665" s="71" t="s">
        <v>13652</v>
      </c>
      <c r="K1665" s="71"/>
      <c r="L1665" s="71" t="s">
        <v>4579</v>
      </c>
      <c r="M1665" s="71" t="s">
        <v>3588</v>
      </c>
      <c r="O1665" s="72">
        <v>40554</v>
      </c>
      <c r="P1665" s="71"/>
      <c r="Q1665" s="71" t="b">
        <v>0</v>
      </c>
      <c r="R1665" s="22">
        <f t="shared" si="25"/>
        <v>483</v>
      </c>
    </row>
    <row r="1666" spans="1:18">
      <c r="A1666" s="71">
        <v>9445</v>
      </c>
      <c r="B1666" s="72">
        <v>40079</v>
      </c>
      <c r="C1666" s="71" t="s">
        <v>13660</v>
      </c>
      <c r="D1666" s="72">
        <v>40078</v>
      </c>
      <c r="E1666" s="71" t="s">
        <v>13661</v>
      </c>
      <c r="F1666" s="71" t="s">
        <v>2105</v>
      </c>
      <c r="G1666" s="71" t="s">
        <v>20</v>
      </c>
      <c r="H1666" s="71" t="s">
        <v>189</v>
      </c>
      <c r="I1666" s="71" t="s">
        <v>189</v>
      </c>
      <c r="J1666" s="71" t="s">
        <v>13662</v>
      </c>
      <c r="K1666" s="71"/>
      <c r="L1666" s="71" t="s">
        <v>3588</v>
      </c>
      <c r="M1666" s="71" t="s">
        <v>4282</v>
      </c>
      <c r="O1666" s="72">
        <v>40701</v>
      </c>
      <c r="P1666" s="71">
        <v>-1</v>
      </c>
      <c r="Q1666" s="71" t="b">
        <v>1</v>
      </c>
      <c r="R1666" s="22">
        <f t="shared" ref="R1666:R1729" si="26">IF(O1666=" ", " ", INT(YEARFRAC(O1666, B1666)*365))</f>
        <v>622</v>
      </c>
    </row>
    <row r="1667" spans="1:18">
      <c r="A1667" s="71">
        <v>9446</v>
      </c>
      <c r="B1667" s="72">
        <v>40079</v>
      </c>
      <c r="C1667" s="71" t="s">
        <v>13663</v>
      </c>
      <c r="D1667" s="72">
        <v>40078</v>
      </c>
      <c r="E1667" s="71" t="s">
        <v>13664</v>
      </c>
      <c r="F1667" s="71" t="s">
        <v>13665</v>
      </c>
      <c r="G1667" s="71" t="s">
        <v>20</v>
      </c>
      <c r="H1667" s="71" t="s">
        <v>189</v>
      </c>
      <c r="I1667" s="71" t="s">
        <v>189</v>
      </c>
      <c r="J1667" s="71" t="s">
        <v>13666</v>
      </c>
      <c r="K1667" s="71" t="s">
        <v>13667</v>
      </c>
      <c r="L1667" s="71" t="s">
        <v>3588</v>
      </c>
      <c r="M1667" s="71" t="s">
        <v>4282</v>
      </c>
      <c r="O1667" s="72">
        <v>41086</v>
      </c>
      <c r="P1667" s="71">
        <v>-1</v>
      </c>
      <c r="Q1667" s="71" t="b">
        <v>1</v>
      </c>
      <c r="R1667" s="22">
        <f t="shared" si="26"/>
        <v>1006</v>
      </c>
    </row>
    <row r="1668" spans="1:18">
      <c r="A1668" s="71">
        <v>9458</v>
      </c>
      <c r="B1668" s="72">
        <v>40101</v>
      </c>
      <c r="C1668" s="71" t="s">
        <v>13687</v>
      </c>
      <c r="D1668" s="72">
        <v>40099</v>
      </c>
      <c r="E1668" s="71" t="s">
        <v>13688</v>
      </c>
      <c r="F1668" s="71" t="s">
        <v>13665</v>
      </c>
      <c r="G1668" s="71" t="s">
        <v>20</v>
      </c>
      <c r="H1668" s="71" t="s">
        <v>189</v>
      </c>
      <c r="I1668" s="71" t="s">
        <v>189</v>
      </c>
      <c r="J1668" s="71" t="s">
        <v>13689</v>
      </c>
      <c r="K1668" s="71" t="s">
        <v>13690</v>
      </c>
      <c r="L1668" s="71" t="s">
        <v>3588</v>
      </c>
      <c r="M1668" s="71" t="s">
        <v>4282</v>
      </c>
      <c r="O1668" s="72">
        <v>41157</v>
      </c>
      <c r="P1668" s="71">
        <v>-1</v>
      </c>
      <c r="Q1668" s="71" t="b">
        <v>1</v>
      </c>
      <c r="R1668" s="22">
        <f t="shared" si="26"/>
        <v>1054</v>
      </c>
    </row>
    <row r="1669" spans="1:18">
      <c r="A1669" s="71">
        <v>9466</v>
      </c>
      <c r="B1669" s="72">
        <v>40108</v>
      </c>
      <c r="C1669" s="71" t="s">
        <v>13710</v>
      </c>
      <c r="D1669" s="72">
        <v>40106</v>
      </c>
      <c r="E1669" s="71" t="s">
        <v>13711</v>
      </c>
      <c r="F1669" s="71" t="s">
        <v>8615</v>
      </c>
      <c r="G1669" s="71" t="s">
        <v>20</v>
      </c>
      <c r="H1669" s="71" t="s">
        <v>71</v>
      </c>
      <c r="I1669" s="71" t="s">
        <v>72</v>
      </c>
      <c r="J1669" s="71" t="s">
        <v>13712</v>
      </c>
      <c r="K1669" s="71" t="s">
        <v>13713</v>
      </c>
      <c r="L1669" s="71" t="s">
        <v>4579</v>
      </c>
      <c r="M1669" s="71"/>
      <c r="O1669" s="72">
        <v>40283</v>
      </c>
      <c r="P1669" s="71">
        <v>-1</v>
      </c>
      <c r="Q1669" s="71" t="b">
        <v>1</v>
      </c>
      <c r="R1669" s="22">
        <f t="shared" si="26"/>
        <v>175</v>
      </c>
    </row>
    <row r="1670" spans="1:18">
      <c r="A1670" s="71">
        <v>9467</v>
      </c>
      <c r="B1670" s="72">
        <v>40113</v>
      </c>
      <c r="C1670" s="71" t="s">
        <v>13714</v>
      </c>
      <c r="D1670" s="72">
        <v>40105</v>
      </c>
      <c r="E1670" s="71" t="s">
        <v>13715</v>
      </c>
      <c r="F1670" s="71" t="s">
        <v>27</v>
      </c>
      <c r="G1670" s="71" t="s">
        <v>20</v>
      </c>
      <c r="H1670" s="71" t="s">
        <v>71</v>
      </c>
      <c r="I1670" s="71" t="s">
        <v>72</v>
      </c>
      <c r="J1670" s="71" t="s">
        <v>13716</v>
      </c>
      <c r="K1670" s="71" t="s">
        <v>7494</v>
      </c>
      <c r="L1670" s="71" t="s">
        <v>4282</v>
      </c>
      <c r="M1670" s="71"/>
      <c r="O1670" s="72">
        <v>40260</v>
      </c>
      <c r="P1670" s="71">
        <v>-1</v>
      </c>
      <c r="Q1670" s="71" t="b">
        <v>1</v>
      </c>
      <c r="R1670" s="22">
        <f t="shared" si="26"/>
        <v>148</v>
      </c>
    </row>
    <row r="1671" spans="1:18">
      <c r="A1671" s="71">
        <v>9472</v>
      </c>
      <c r="B1671" s="72">
        <v>40120</v>
      </c>
      <c r="C1671" s="71" t="s">
        <v>13730</v>
      </c>
      <c r="D1671" s="72">
        <v>40116</v>
      </c>
      <c r="E1671" s="71" t="s">
        <v>13731</v>
      </c>
      <c r="F1671" s="71" t="s">
        <v>13732</v>
      </c>
      <c r="G1671" s="71" t="s">
        <v>20</v>
      </c>
      <c r="H1671" s="71" t="s">
        <v>71</v>
      </c>
      <c r="I1671" s="71" t="s">
        <v>72</v>
      </c>
      <c r="J1671" s="71" t="s">
        <v>13733</v>
      </c>
      <c r="K1671" s="71" t="s">
        <v>7494</v>
      </c>
      <c r="L1671" s="71" t="s">
        <v>3588</v>
      </c>
      <c r="M1671" s="71" t="s">
        <v>12904</v>
      </c>
      <c r="O1671" s="72">
        <v>41081</v>
      </c>
      <c r="P1671" s="71"/>
      <c r="Q1671" s="71" t="b">
        <v>0</v>
      </c>
      <c r="R1671" s="22">
        <f t="shared" si="26"/>
        <v>961</v>
      </c>
    </row>
    <row r="1672" spans="1:18">
      <c r="A1672" s="71">
        <v>9477</v>
      </c>
      <c r="B1672" s="72">
        <v>40129</v>
      </c>
      <c r="C1672" s="71" t="s">
        <v>13743</v>
      </c>
      <c r="D1672" s="72">
        <v>39864</v>
      </c>
      <c r="E1672" s="71" t="s">
        <v>13744</v>
      </c>
      <c r="F1672" s="71" t="s">
        <v>13387</v>
      </c>
      <c r="G1672" s="71" t="s">
        <v>20</v>
      </c>
      <c r="H1672" s="71" t="s">
        <v>71</v>
      </c>
      <c r="I1672" s="71" t="s">
        <v>72</v>
      </c>
      <c r="J1672" s="71" t="s">
        <v>13388</v>
      </c>
      <c r="K1672" s="71" t="s">
        <v>13389</v>
      </c>
      <c r="L1672" s="71" t="s">
        <v>4579</v>
      </c>
      <c r="M1672" s="71"/>
      <c r="O1672" s="72">
        <v>40151</v>
      </c>
      <c r="P1672" s="71"/>
      <c r="Q1672" s="71" t="b">
        <v>0</v>
      </c>
      <c r="R1672" s="22">
        <f t="shared" si="26"/>
        <v>22</v>
      </c>
    </row>
    <row r="1673" spans="1:18">
      <c r="A1673" s="71">
        <v>9479</v>
      </c>
      <c r="B1673" s="72">
        <v>40130</v>
      </c>
      <c r="C1673" s="71" t="s">
        <v>13748</v>
      </c>
      <c r="D1673" s="72">
        <v>40130</v>
      </c>
      <c r="E1673" s="71" t="s">
        <v>13749</v>
      </c>
      <c r="F1673" s="71" t="s">
        <v>13732</v>
      </c>
      <c r="G1673" s="71" t="s">
        <v>20</v>
      </c>
      <c r="H1673" s="71" t="s">
        <v>71</v>
      </c>
      <c r="I1673" s="71" t="s">
        <v>72</v>
      </c>
      <c r="J1673" s="71" t="s">
        <v>7034</v>
      </c>
      <c r="K1673" s="71" t="s">
        <v>13750</v>
      </c>
      <c r="L1673" s="71" t="s">
        <v>3588</v>
      </c>
      <c r="M1673" s="71" t="s">
        <v>12904</v>
      </c>
      <c r="O1673" s="72">
        <v>41081</v>
      </c>
      <c r="P1673" s="71"/>
      <c r="Q1673" s="71" t="b">
        <v>0</v>
      </c>
      <c r="R1673" s="22">
        <f t="shared" si="26"/>
        <v>951</v>
      </c>
    </row>
    <row r="1674" spans="1:18">
      <c r="A1674" s="71">
        <v>9483</v>
      </c>
      <c r="B1674" s="72">
        <v>40134</v>
      </c>
      <c r="C1674" s="71" t="s">
        <v>13761</v>
      </c>
      <c r="D1674" s="72">
        <v>40134</v>
      </c>
      <c r="E1674" s="71" t="s">
        <v>13762</v>
      </c>
      <c r="F1674" s="71" t="s">
        <v>2565</v>
      </c>
      <c r="G1674" s="71" t="s">
        <v>20</v>
      </c>
      <c r="H1674" s="71" t="s">
        <v>189</v>
      </c>
      <c r="I1674" s="71" t="s">
        <v>189</v>
      </c>
      <c r="J1674" s="71" t="s">
        <v>13763</v>
      </c>
      <c r="K1674" s="71" t="s">
        <v>7494</v>
      </c>
      <c r="L1674" s="71" t="s">
        <v>3588</v>
      </c>
      <c r="M1674" s="71" t="s">
        <v>4282</v>
      </c>
      <c r="O1674" s="72">
        <v>41163</v>
      </c>
      <c r="P1674" s="71"/>
      <c r="Q1674" s="71" t="b">
        <v>0</v>
      </c>
      <c r="R1674" s="22">
        <f t="shared" si="26"/>
        <v>1028</v>
      </c>
    </row>
    <row r="1675" spans="1:18">
      <c r="A1675" s="71">
        <v>9484</v>
      </c>
      <c r="B1675" s="72">
        <v>40140</v>
      </c>
      <c r="C1675" s="71" t="s">
        <v>13764</v>
      </c>
      <c r="D1675" s="72">
        <v>40133</v>
      </c>
      <c r="E1675" s="71" t="s">
        <v>13765</v>
      </c>
      <c r="F1675" s="71" t="s">
        <v>56</v>
      </c>
      <c r="G1675" s="71" t="s">
        <v>20</v>
      </c>
      <c r="H1675" s="71" t="s">
        <v>71</v>
      </c>
      <c r="I1675" s="71" t="s">
        <v>72</v>
      </c>
      <c r="J1675" s="71" t="s">
        <v>13766</v>
      </c>
      <c r="K1675" s="71" t="s">
        <v>13767</v>
      </c>
      <c r="L1675" s="71" t="s">
        <v>4579</v>
      </c>
      <c r="M1675" s="71"/>
      <c r="O1675" s="72">
        <v>40151</v>
      </c>
      <c r="P1675" s="71"/>
      <c r="Q1675" s="71" t="b">
        <v>0</v>
      </c>
      <c r="R1675" s="22">
        <f t="shared" si="26"/>
        <v>11</v>
      </c>
    </row>
    <row r="1676" spans="1:18">
      <c r="A1676" s="71">
        <v>9485</v>
      </c>
      <c r="B1676" s="72">
        <v>40140</v>
      </c>
      <c r="C1676" s="71" t="s">
        <v>13768</v>
      </c>
      <c r="D1676" s="72">
        <v>40130</v>
      </c>
      <c r="E1676" s="71" t="s">
        <v>13769</v>
      </c>
      <c r="F1676" s="71" t="s">
        <v>12371</v>
      </c>
      <c r="G1676" s="71" t="s">
        <v>20</v>
      </c>
      <c r="H1676" s="71" t="s">
        <v>566</v>
      </c>
      <c r="I1676" s="71" t="s">
        <v>566</v>
      </c>
      <c r="J1676" s="71" t="s">
        <v>13770</v>
      </c>
      <c r="K1676" s="71" t="s">
        <v>13771</v>
      </c>
      <c r="L1676" s="71" t="s">
        <v>4579</v>
      </c>
      <c r="M1676" s="71" t="s">
        <v>4282</v>
      </c>
      <c r="O1676" s="72">
        <v>40185</v>
      </c>
      <c r="P1676" s="71"/>
      <c r="Q1676" s="71" t="b">
        <v>0</v>
      </c>
      <c r="R1676" s="22">
        <f t="shared" si="26"/>
        <v>44</v>
      </c>
    </row>
    <row r="1677" spans="1:18">
      <c r="A1677" s="71">
        <v>9489</v>
      </c>
      <c r="B1677" s="72">
        <v>40148</v>
      </c>
      <c r="C1677" s="71" t="s">
        <v>13783</v>
      </c>
      <c r="D1677" s="72">
        <v>40143</v>
      </c>
      <c r="E1677" s="71" t="s">
        <v>13784</v>
      </c>
      <c r="F1677" s="71" t="s">
        <v>13785</v>
      </c>
      <c r="G1677" s="71" t="s">
        <v>20</v>
      </c>
      <c r="H1677" s="71" t="s">
        <v>71</v>
      </c>
      <c r="I1677" s="71" t="s">
        <v>72</v>
      </c>
      <c r="J1677" s="71" t="s">
        <v>13786</v>
      </c>
      <c r="K1677" s="71" t="s">
        <v>7494</v>
      </c>
      <c r="L1677" s="71" t="s">
        <v>7167</v>
      </c>
      <c r="M1677" s="71" t="s">
        <v>1946</v>
      </c>
      <c r="O1677" s="72">
        <v>41059</v>
      </c>
      <c r="P1677" s="71"/>
      <c r="Q1677" s="71" t="b">
        <v>0</v>
      </c>
      <c r="R1677" s="22">
        <f t="shared" si="26"/>
        <v>911</v>
      </c>
    </row>
    <row r="1678" spans="1:18">
      <c r="A1678" s="71">
        <v>9498</v>
      </c>
      <c r="B1678" s="72">
        <v>40158</v>
      </c>
      <c r="C1678" s="71" t="s">
        <v>13800</v>
      </c>
      <c r="D1678" s="72">
        <v>40158</v>
      </c>
      <c r="E1678" s="71" t="s">
        <v>13801</v>
      </c>
      <c r="F1678" s="71" t="s">
        <v>13802</v>
      </c>
      <c r="G1678" s="71" t="s">
        <v>20</v>
      </c>
      <c r="H1678" s="71" t="s">
        <v>71</v>
      </c>
      <c r="I1678" s="71" t="s">
        <v>72</v>
      </c>
      <c r="J1678" s="71" t="s">
        <v>13803</v>
      </c>
      <c r="K1678" s="71" t="s">
        <v>13804</v>
      </c>
      <c r="L1678" s="71" t="s">
        <v>4282</v>
      </c>
      <c r="M1678" s="71"/>
      <c r="O1678" s="72">
        <v>41086</v>
      </c>
      <c r="P1678" s="71"/>
      <c r="Q1678" s="71" t="b">
        <v>0</v>
      </c>
      <c r="R1678" s="22">
        <f t="shared" si="26"/>
        <v>927</v>
      </c>
    </row>
    <row r="1679" spans="1:18">
      <c r="A1679" s="71">
        <v>9501</v>
      </c>
      <c r="B1679" s="72">
        <v>40161</v>
      </c>
      <c r="C1679" s="71" t="s">
        <v>13809</v>
      </c>
      <c r="D1679" s="72">
        <v>40158</v>
      </c>
      <c r="E1679" s="71" t="s">
        <v>13810</v>
      </c>
      <c r="F1679" s="71" t="s">
        <v>13811</v>
      </c>
      <c r="G1679" s="71" t="s">
        <v>20</v>
      </c>
      <c r="H1679" s="71" t="s">
        <v>566</v>
      </c>
      <c r="I1679" s="71" t="s">
        <v>566</v>
      </c>
      <c r="J1679" s="71" t="s">
        <v>1817</v>
      </c>
      <c r="K1679" s="71" t="s">
        <v>12290</v>
      </c>
      <c r="L1679" s="71" t="s">
        <v>4579</v>
      </c>
      <c r="M1679" s="71"/>
      <c r="O1679" s="72">
        <v>40182</v>
      </c>
      <c r="P1679" s="71"/>
      <c r="Q1679" s="71" t="b">
        <v>0</v>
      </c>
      <c r="R1679" s="22">
        <f t="shared" si="26"/>
        <v>20</v>
      </c>
    </row>
    <row r="1680" spans="1:18">
      <c r="A1680" s="71">
        <v>9506</v>
      </c>
      <c r="B1680" s="72">
        <v>40164</v>
      </c>
      <c r="C1680" s="71" t="s">
        <v>13814</v>
      </c>
      <c r="D1680" s="72">
        <v>40164</v>
      </c>
      <c r="E1680" s="71" t="s">
        <v>13815</v>
      </c>
      <c r="F1680" s="71" t="s">
        <v>6953</v>
      </c>
      <c r="G1680" s="71" t="s">
        <v>20</v>
      </c>
      <c r="H1680" s="71" t="s">
        <v>71</v>
      </c>
      <c r="I1680" s="71" t="s">
        <v>72</v>
      </c>
      <c r="J1680" s="71" t="s">
        <v>13816</v>
      </c>
      <c r="K1680" s="71" t="s">
        <v>13817</v>
      </c>
      <c r="L1680" s="71" t="s">
        <v>1946</v>
      </c>
      <c r="M1680" s="71"/>
      <c r="O1680" s="72">
        <v>40688</v>
      </c>
      <c r="P1680" s="71"/>
      <c r="Q1680" s="71" t="b">
        <v>0</v>
      </c>
      <c r="R1680" s="22">
        <f t="shared" si="26"/>
        <v>525</v>
      </c>
    </row>
    <row r="1681" spans="1:18">
      <c r="A1681" s="71">
        <v>9508</v>
      </c>
      <c r="B1681" s="72">
        <v>40182</v>
      </c>
      <c r="C1681" s="71" t="s">
        <v>13821</v>
      </c>
      <c r="D1681" s="72">
        <v>40175</v>
      </c>
      <c r="E1681" s="71" t="s">
        <v>13822</v>
      </c>
      <c r="F1681" s="71" t="s">
        <v>149</v>
      </c>
      <c r="G1681" s="71" t="s">
        <v>20</v>
      </c>
      <c r="H1681" s="71" t="s">
        <v>71</v>
      </c>
      <c r="I1681" s="71" t="s">
        <v>72</v>
      </c>
      <c r="J1681" s="71" t="s">
        <v>13823</v>
      </c>
      <c r="K1681" s="71" t="s">
        <v>13824</v>
      </c>
      <c r="L1681" s="71" t="s">
        <v>3588</v>
      </c>
      <c r="M1681" s="71"/>
      <c r="O1681" s="72">
        <v>40464</v>
      </c>
      <c r="P1681" s="71">
        <v>-1</v>
      </c>
      <c r="Q1681" s="71" t="b">
        <v>1</v>
      </c>
      <c r="R1681" s="22">
        <f t="shared" si="26"/>
        <v>282</v>
      </c>
    </row>
    <row r="1682" spans="1:18">
      <c r="A1682" s="71">
        <v>9511</v>
      </c>
      <c r="B1682" s="72">
        <v>40184</v>
      </c>
      <c r="C1682" s="71" t="s">
        <v>13832</v>
      </c>
      <c r="D1682" s="72">
        <v>39953</v>
      </c>
      <c r="E1682" s="71" t="s">
        <v>13833</v>
      </c>
      <c r="F1682" s="71" t="s">
        <v>70</v>
      </c>
      <c r="G1682" s="71" t="s">
        <v>20</v>
      </c>
      <c r="H1682" s="71" t="s">
        <v>71</v>
      </c>
      <c r="I1682" s="71" t="s">
        <v>72</v>
      </c>
      <c r="J1682" s="71" t="s">
        <v>13834</v>
      </c>
      <c r="K1682" s="71"/>
      <c r="L1682" s="71" t="s">
        <v>3588</v>
      </c>
      <c r="M1682" s="71"/>
      <c r="O1682" s="72">
        <v>40465</v>
      </c>
      <c r="P1682" s="71"/>
      <c r="Q1682" s="71" t="b">
        <v>0</v>
      </c>
      <c r="R1682" s="22">
        <f t="shared" si="26"/>
        <v>281</v>
      </c>
    </row>
    <row r="1683" spans="1:18">
      <c r="A1683" s="71">
        <v>9523</v>
      </c>
      <c r="B1683" s="72">
        <v>40211</v>
      </c>
      <c r="C1683" s="71" t="s">
        <v>13870</v>
      </c>
      <c r="D1683" s="72">
        <v>40204</v>
      </c>
      <c r="E1683" s="71" t="s">
        <v>13871</v>
      </c>
      <c r="F1683" s="71" t="s">
        <v>13872</v>
      </c>
      <c r="G1683" s="71" t="s">
        <v>20</v>
      </c>
      <c r="H1683" s="71" t="s">
        <v>71</v>
      </c>
      <c r="I1683" s="71" t="s">
        <v>72</v>
      </c>
      <c r="J1683" s="71" t="s">
        <v>13873</v>
      </c>
      <c r="K1683" s="71"/>
      <c r="L1683" s="71" t="s">
        <v>4579</v>
      </c>
      <c r="M1683" s="71"/>
      <c r="O1683" s="72">
        <v>40275</v>
      </c>
      <c r="P1683" s="71"/>
      <c r="Q1683" s="71" t="b">
        <v>0</v>
      </c>
      <c r="R1683" s="22">
        <f t="shared" si="26"/>
        <v>65</v>
      </c>
    </row>
    <row r="1684" spans="1:18">
      <c r="A1684" s="71">
        <v>9524</v>
      </c>
      <c r="B1684" s="72">
        <v>40212</v>
      </c>
      <c r="C1684" s="71" t="s">
        <v>13874</v>
      </c>
      <c r="D1684" s="72">
        <v>40210</v>
      </c>
      <c r="E1684" s="71" t="s">
        <v>13875</v>
      </c>
      <c r="F1684" s="71" t="s">
        <v>13876</v>
      </c>
      <c r="G1684" s="71" t="s">
        <v>20</v>
      </c>
      <c r="H1684" s="71" t="s">
        <v>212</v>
      </c>
      <c r="I1684" s="71" t="s">
        <v>212</v>
      </c>
      <c r="J1684" s="71" t="s">
        <v>13877</v>
      </c>
      <c r="K1684" s="71" t="s">
        <v>13878</v>
      </c>
      <c r="L1684" s="71" t="s">
        <v>1946</v>
      </c>
      <c r="M1684" s="71"/>
      <c r="O1684" s="72">
        <v>41453</v>
      </c>
      <c r="P1684" s="71"/>
      <c r="Q1684" s="71" t="b">
        <v>0</v>
      </c>
      <c r="R1684" s="22">
        <f t="shared" si="26"/>
        <v>1242</v>
      </c>
    </row>
    <row r="1685" spans="1:18">
      <c r="A1685" s="71">
        <v>9527</v>
      </c>
      <c r="B1685" s="72">
        <v>40217</v>
      </c>
      <c r="C1685" s="71" t="s">
        <v>13886</v>
      </c>
      <c r="D1685" s="72">
        <v>40213</v>
      </c>
      <c r="E1685" s="71" t="s">
        <v>13887</v>
      </c>
      <c r="F1685" s="71" t="s">
        <v>104</v>
      </c>
      <c r="G1685" s="71" t="s">
        <v>20</v>
      </c>
      <c r="H1685" s="71" t="s">
        <v>71</v>
      </c>
      <c r="I1685" s="71" t="s">
        <v>72</v>
      </c>
      <c r="J1685" s="71" t="s">
        <v>13888</v>
      </c>
      <c r="K1685" s="71" t="s">
        <v>9348</v>
      </c>
      <c r="L1685" s="71" t="s">
        <v>3588</v>
      </c>
      <c r="M1685" s="71"/>
      <c r="O1685" s="72">
        <v>40240</v>
      </c>
      <c r="P1685" s="71"/>
      <c r="Q1685" s="71" t="b">
        <v>0</v>
      </c>
      <c r="R1685" s="22">
        <f t="shared" si="26"/>
        <v>25</v>
      </c>
    </row>
    <row r="1686" spans="1:18">
      <c r="A1686" s="71">
        <v>9529</v>
      </c>
      <c r="B1686" s="72">
        <v>40218</v>
      </c>
      <c r="C1686" s="71" t="s">
        <v>13889</v>
      </c>
      <c r="D1686" s="72">
        <v>40217</v>
      </c>
      <c r="E1686" s="71" t="s">
        <v>13890</v>
      </c>
      <c r="F1686" s="71" t="s">
        <v>104</v>
      </c>
      <c r="G1686" s="71" t="s">
        <v>20</v>
      </c>
      <c r="H1686" s="71" t="s">
        <v>71</v>
      </c>
      <c r="I1686" s="71" t="s">
        <v>72</v>
      </c>
      <c r="J1686" s="71" t="s">
        <v>13891</v>
      </c>
      <c r="K1686" s="71" t="s">
        <v>13892</v>
      </c>
      <c r="L1686" s="71" t="s">
        <v>3588</v>
      </c>
      <c r="M1686" s="71"/>
      <c r="O1686" s="72">
        <v>40269</v>
      </c>
      <c r="P1686" s="71"/>
      <c r="Q1686" s="71" t="b">
        <v>0</v>
      </c>
      <c r="R1686" s="22">
        <f t="shared" si="26"/>
        <v>52</v>
      </c>
    </row>
    <row r="1687" spans="1:18">
      <c r="A1687" s="71">
        <v>9530</v>
      </c>
      <c r="B1687" s="72">
        <v>40225</v>
      </c>
      <c r="C1687" s="71" t="s">
        <v>13893</v>
      </c>
      <c r="D1687" s="72">
        <v>40225</v>
      </c>
      <c r="E1687" s="71" t="s">
        <v>13894</v>
      </c>
      <c r="F1687" s="71" t="s">
        <v>85</v>
      </c>
      <c r="G1687" s="71" t="s">
        <v>20</v>
      </c>
      <c r="H1687" s="71" t="s">
        <v>71</v>
      </c>
      <c r="I1687" s="71" t="s">
        <v>72</v>
      </c>
      <c r="J1687" s="71" t="s">
        <v>13895</v>
      </c>
      <c r="K1687" s="71"/>
      <c r="L1687" s="71" t="s">
        <v>4579</v>
      </c>
      <c r="M1687" s="71"/>
      <c r="O1687" s="72">
        <v>40233</v>
      </c>
      <c r="P1687" s="71"/>
      <c r="Q1687" s="71" t="b">
        <v>0</v>
      </c>
      <c r="R1687" s="22">
        <f t="shared" si="26"/>
        <v>8</v>
      </c>
    </row>
    <row r="1688" spans="1:18">
      <c r="A1688" s="71">
        <v>9531</v>
      </c>
      <c r="B1688" s="72">
        <v>40225</v>
      </c>
      <c r="C1688" s="71" t="s">
        <v>13896</v>
      </c>
      <c r="D1688" s="72">
        <v>40218</v>
      </c>
      <c r="E1688" s="71" t="s">
        <v>13897</v>
      </c>
      <c r="F1688" s="71" t="s">
        <v>27</v>
      </c>
      <c r="G1688" s="71" t="s">
        <v>20</v>
      </c>
      <c r="H1688" s="71" t="s">
        <v>71</v>
      </c>
      <c r="I1688" s="71" t="s">
        <v>72</v>
      </c>
      <c r="J1688" s="71" t="s">
        <v>13898</v>
      </c>
      <c r="K1688" s="71"/>
      <c r="L1688" s="71" t="s">
        <v>1946</v>
      </c>
      <c r="M1688" s="71"/>
      <c r="O1688" s="72">
        <v>40511</v>
      </c>
      <c r="P1688" s="71"/>
      <c r="Q1688" s="71" t="b">
        <v>0</v>
      </c>
      <c r="R1688" s="22">
        <f t="shared" si="26"/>
        <v>286</v>
      </c>
    </row>
    <row r="1689" spans="1:18">
      <c r="A1689" s="71">
        <v>9536</v>
      </c>
      <c r="B1689" s="72">
        <v>40239</v>
      </c>
      <c r="C1689" s="71" t="s">
        <v>13907</v>
      </c>
      <c r="D1689" s="72">
        <v>40238</v>
      </c>
      <c r="E1689" s="71" t="s">
        <v>13908</v>
      </c>
      <c r="F1689" s="71" t="s">
        <v>149</v>
      </c>
      <c r="G1689" s="71" t="s">
        <v>20</v>
      </c>
      <c r="H1689" s="71" t="s">
        <v>71</v>
      </c>
      <c r="I1689" s="71" t="s">
        <v>72</v>
      </c>
      <c r="J1689" s="71" t="s">
        <v>13909</v>
      </c>
      <c r="K1689" s="71" t="s">
        <v>13910</v>
      </c>
      <c r="L1689" s="71" t="s">
        <v>3588</v>
      </c>
      <c r="M1689" s="71"/>
      <c r="O1689" s="72">
        <v>40324</v>
      </c>
      <c r="P1689" s="71"/>
      <c r="Q1689" s="71" t="b">
        <v>0</v>
      </c>
      <c r="R1689" s="22">
        <f t="shared" si="26"/>
        <v>85</v>
      </c>
    </row>
    <row r="1690" spans="1:18">
      <c r="A1690" s="71">
        <v>9537</v>
      </c>
      <c r="B1690" s="72">
        <v>40239</v>
      </c>
      <c r="C1690" s="71" t="s">
        <v>13911</v>
      </c>
      <c r="D1690" s="72">
        <v>40235</v>
      </c>
      <c r="E1690" s="71" t="s">
        <v>13912</v>
      </c>
      <c r="F1690" s="71" t="s">
        <v>13913</v>
      </c>
      <c r="G1690" s="71" t="s">
        <v>20</v>
      </c>
      <c r="H1690" s="71" t="s">
        <v>566</v>
      </c>
      <c r="I1690" s="71" t="s">
        <v>566</v>
      </c>
      <c r="J1690" s="71" t="s">
        <v>13914</v>
      </c>
      <c r="K1690" s="71"/>
      <c r="L1690" s="71" t="s">
        <v>7167</v>
      </c>
      <c r="M1690" s="71" t="s">
        <v>4282</v>
      </c>
      <c r="O1690" s="72">
        <v>40947</v>
      </c>
      <c r="P1690" s="71"/>
      <c r="Q1690" s="71" t="b">
        <v>0</v>
      </c>
      <c r="R1690" s="22">
        <f t="shared" si="26"/>
        <v>705</v>
      </c>
    </row>
    <row r="1691" spans="1:18">
      <c r="A1691" s="71">
        <v>9540</v>
      </c>
      <c r="B1691" s="72">
        <v>40240</v>
      </c>
      <c r="C1691" s="71" t="s">
        <v>13921</v>
      </c>
      <c r="D1691" s="72">
        <v>40234</v>
      </c>
      <c r="E1691" s="71" t="s">
        <v>13922</v>
      </c>
      <c r="F1691" s="71" t="s">
        <v>149</v>
      </c>
      <c r="G1691" s="71" t="s">
        <v>20</v>
      </c>
      <c r="H1691" s="71" t="s">
        <v>71</v>
      </c>
      <c r="I1691" s="71" t="s">
        <v>72</v>
      </c>
      <c r="J1691" s="71" t="s">
        <v>13923</v>
      </c>
      <c r="K1691" s="71"/>
      <c r="L1691" s="71" t="s">
        <v>3588</v>
      </c>
      <c r="M1691" s="71" t="s">
        <v>4579</v>
      </c>
      <c r="O1691" s="72">
        <v>40407</v>
      </c>
      <c r="P1691" s="71"/>
      <c r="Q1691" s="71" t="b">
        <v>0</v>
      </c>
      <c r="R1691" s="22">
        <f t="shared" si="26"/>
        <v>166</v>
      </c>
    </row>
    <row r="1692" spans="1:18">
      <c r="A1692" s="71">
        <v>9544</v>
      </c>
      <c r="B1692" s="72">
        <v>40248</v>
      </c>
      <c r="C1692" s="71" t="s">
        <v>13927</v>
      </c>
      <c r="D1692" s="72">
        <v>40248</v>
      </c>
      <c r="E1692" s="71" t="s">
        <v>13928</v>
      </c>
      <c r="F1692" s="71" t="s">
        <v>5270</v>
      </c>
      <c r="G1692" s="71" t="s">
        <v>20</v>
      </c>
      <c r="H1692" s="71" t="s">
        <v>71</v>
      </c>
      <c r="I1692" s="71" t="s">
        <v>72</v>
      </c>
      <c r="J1692" s="71" t="s">
        <v>13929</v>
      </c>
      <c r="K1692" s="71"/>
      <c r="L1692" s="71" t="s">
        <v>4579</v>
      </c>
      <c r="M1692" s="71"/>
      <c r="O1692" s="72">
        <v>40361</v>
      </c>
      <c r="P1692" s="71"/>
      <c r="Q1692" s="71" t="b">
        <v>0</v>
      </c>
      <c r="R1692" s="22">
        <f t="shared" si="26"/>
        <v>112</v>
      </c>
    </row>
    <row r="1693" spans="1:18">
      <c r="A1693" s="71">
        <v>9545</v>
      </c>
      <c r="B1693" s="72">
        <v>40248</v>
      </c>
      <c r="C1693" s="71" t="s">
        <v>13930</v>
      </c>
      <c r="D1693" s="72">
        <v>40248</v>
      </c>
      <c r="E1693" s="71" t="s">
        <v>13931</v>
      </c>
      <c r="F1693" s="71" t="s">
        <v>359</v>
      </c>
      <c r="G1693" s="71" t="s">
        <v>20</v>
      </c>
      <c r="H1693" s="71" t="s">
        <v>71</v>
      </c>
      <c r="I1693" s="71" t="s">
        <v>72</v>
      </c>
      <c r="J1693" s="71" t="s">
        <v>13932</v>
      </c>
      <c r="K1693" s="71" t="s">
        <v>13933</v>
      </c>
      <c r="L1693" s="71" t="s">
        <v>1946</v>
      </c>
      <c r="M1693" s="71"/>
      <c r="O1693" s="72">
        <v>40276</v>
      </c>
      <c r="P1693" s="71"/>
      <c r="Q1693" s="71" t="b">
        <v>0</v>
      </c>
      <c r="R1693" s="22">
        <f t="shared" si="26"/>
        <v>27</v>
      </c>
    </row>
    <row r="1694" spans="1:18">
      <c r="A1694" s="71">
        <v>9546</v>
      </c>
      <c r="B1694" s="72">
        <v>40248</v>
      </c>
      <c r="C1694" s="71" t="s">
        <v>13934</v>
      </c>
      <c r="D1694" s="72">
        <v>40248</v>
      </c>
      <c r="E1694" s="71" t="s">
        <v>13935</v>
      </c>
      <c r="F1694" s="71" t="s">
        <v>13350</v>
      </c>
      <c r="G1694" s="71" t="s">
        <v>20</v>
      </c>
      <c r="H1694" s="71" t="s">
        <v>71</v>
      </c>
      <c r="I1694" s="71" t="s">
        <v>72</v>
      </c>
      <c r="J1694" s="71" t="s">
        <v>13936</v>
      </c>
      <c r="K1694" s="71" t="s">
        <v>13937</v>
      </c>
      <c r="L1694" s="71" t="s">
        <v>1946</v>
      </c>
      <c r="M1694" s="71"/>
      <c r="O1694" s="72">
        <v>40406</v>
      </c>
      <c r="P1694" s="71"/>
      <c r="Q1694" s="71" t="b">
        <v>0</v>
      </c>
      <c r="R1694" s="22">
        <f t="shared" si="26"/>
        <v>157</v>
      </c>
    </row>
    <row r="1695" spans="1:18">
      <c r="A1695" s="71">
        <v>9549</v>
      </c>
      <c r="B1695" s="72">
        <v>40260</v>
      </c>
      <c r="C1695" s="71" t="s">
        <v>13940</v>
      </c>
      <c r="D1695" s="72">
        <v>40253</v>
      </c>
      <c r="E1695" s="71" t="s">
        <v>13941</v>
      </c>
      <c r="F1695" s="71" t="s">
        <v>27</v>
      </c>
      <c r="G1695" s="71" t="s">
        <v>20</v>
      </c>
      <c r="H1695" s="71" t="s">
        <v>71</v>
      </c>
      <c r="I1695" s="71" t="s">
        <v>72</v>
      </c>
      <c r="J1695" s="71" t="s">
        <v>13942</v>
      </c>
      <c r="K1695" s="71"/>
      <c r="L1695" s="71" t="s">
        <v>4282</v>
      </c>
      <c r="M1695" s="71"/>
      <c r="O1695" s="72">
        <v>40962</v>
      </c>
      <c r="P1695" s="71"/>
      <c r="Q1695" s="71" t="b">
        <v>0</v>
      </c>
      <c r="R1695" s="22">
        <f t="shared" si="26"/>
        <v>699</v>
      </c>
    </row>
    <row r="1696" spans="1:18">
      <c r="A1696" s="71">
        <v>9551</v>
      </c>
      <c r="B1696" s="72">
        <v>40260</v>
      </c>
      <c r="C1696" s="71" t="s">
        <v>13945</v>
      </c>
      <c r="D1696" s="72">
        <v>40256</v>
      </c>
      <c r="E1696" s="71" t="s">
        <v>13946</v>
      </c>
      <c r="F1696" s="71" t="s">
        <v>27</v>
      </c>
      <c r="G1696" s="71" t="s">
        <v>20</v>
      </c>
      <c r="H1696" s="71" t="s">
        <v>189</v>
      </c>
      <c r="I1696" s="71" t="s">
        <v>189</v>
      </c>
      <c r="J1696" s="71" t="s">
        <v>11774</v>
      </c>
      <c r="K1696" s="71"/>
      <c r="L1696" s="71" t="s">
        <v>4579</v>
      </c>
      <c r="M1696" s="71" t="s">
        <v>4282</v>
      </c>
      <c r="O1696" s="72">
        <v>40532</v>
      </c>
      <c r="P1696" s="71"/>
      <c r="Q1696" s="71" t="b">
        <v>0</v>
      </c>
      <c r="R1696" s="22">
        <f t="shared" si="26"/>
        <v>270</v>
      </c>
    </row>
    <row r="1697" spans="1:18">
      <c r="A1697" s="71">
        <v>9559</v>
      </c>
      <c r="B1697" s="72">
        <v>40274</v>
      </c>
      <c r="C1697" s="71" t="s">
        <v>13965</v>
      </c>
      <c r="D1697" s="72">
        <v>40273</v>
      </c>
      <c r="E1697" s="71" t="s">
        <v>13966</v>
      </c>
      <c r="F1697" s="71" t="s">
        <v>124</v>
      </c>
      <c r="G1697" s="71" t="s">
        <v>20</v>
      </c>
      <c r="H1697" s="71" t="s">
        <v>71</v>
      </c>
      <c r="I1697" s="71" t="s">
        <v>72</v>
      </c>
      <c r="J1697" s="71" t="s">
        <v>13967</v>
      </c>
      <c r="K1697" s="71"/>
      <c r="L1697" s="71" t="s">
        <v>1946</v>
      </c>
      <c r="M1697" s="71"/>
      <c r="O1697" s="72">
        <v>40423</v>
      </c>
      <c r="P1697" s="71"/>
      <c r="Q1697" s="71" t="b">
        <v>0</v>
      </c>
      <c r="R1697" s="22">
        <f t="shared" si="26"/>
        <v>148</v>
      </c>
    </row>
    <row r="1698" spans="1:18">
      <c r="A1698" s="71">
        <v>9560</v>
      </c>
      <c r="B1698" s="72">
        <v>40274</v>
      </c>
      <c r="C1698" s="71" t="s">
        <v>13968</v>
      </c>
      <c r="D1698" s="72">
        <v>40273</v>
      </c>
      <c r="E1698" s="71" t="s">
        <v>13969</v>
      </c>
      <c r="F1698" s="71" t="s">
        <v>70</v>
      </c>
      <c r="G1698" s="71" t="s">
        <v>20</v>
      </c>
      <c r="H1698" s="71" t="s">
        <v>71</v>
      </c>
      <c r="I1698" s="71" t="s">
        <v>72</v>
      </c>
      <c r="J1698" s="71" t="s">
        <v>13970</v>
      </c>
      <c r="K1698" s="71" t="s">
        <v>13971</v>
      </c>
      <c r="L1698" s="71" t="s">
        <v>4579</v>
      </c>
      <c r="M1698" s="71"/>
      <c r="O1698" s="72">
        <v>40276</v>
      </c>
      <c r="P1698" s="71"/>
      <c r="Q1698" s="71" t="b">
        <v>0</v>
      </c>
      <c r="R1698" s="22">
        <f t="shared" si="26"/>
        <v>2</v>
      </c>
    </row>
    <row r="1699" spans="1:18">
      <c r="A1699" s="71">
        <v>9562</v>
      </c>
      <c r="B1699" s="72">
        <v>40277</v>
      </c>
      <c r="C1699" s="71" t="s">
        <v>13975</v>
      </c>
      <c r="D1699" s="72">
        <v>40270</v>
      </c>
      <c r="E1699" s="71" t="s">
        <v>13976</v>
      </c>
      <c r="F1699" s="71" t="s">
        <v>13977</v>
      </c>
      <c r="G1699" s="71" t="s">
        <v>20</v>
      </c>
      <c r="H1699" s="71" t="s">
        <v>71</v>
      </c>
      <c r="I1699" s="71" t="s">
        <v>72</v>
      </c>
      <c r="J1699" s="71" t="s">
        <v>13978</v>
      </c>
      <c r="K1699" s="71"/>
      <c r="L1699" s="71" t="s">
        <v>4579</v>
      </c>
      <c r="M1699" s="71" t="s">
        <v>3588</v>
      </c>
      <c r="O1699" s="72">
        <v>40284</v>
      </c>
      <c r="P1699" s="71"/>
      <c r="Q1699" s="71" t="b">
        <v>0</v>
      </c>
      <c r="R1699" s="22">
        <f t="shared" si="26"/>
        <v>7</v>
      </c>
    </row>
    <row r="1700" spans="1:18">
      <c r="A1700" s="71">
        <v>9566</v>
      </c>
      <c r="B1700" s="72">
        <v>40289</v>
      </c>
      <c r="C1700" s="71" t="s">
        <v>13989</v>
      </c>
      <c r="D1700" s="72">
        <v>39357</v>
      </c>
      <c r="E1700" s="71" t="s">
        <v>13990</v>
      </c>
      <c r="F1700" s="71" t="s">
        <v>12660</v>
      </c>
      <c r="G1700" s="71" t="s">
        <v>20</v>
      </c>
      <c r="H1700" s="71" t="s">
        <v>189</v>
      </c>
      <c r="I1700" s="71" t="s">
        <v>189</v>
      </c>
      <c r="J1700" s="71" t="s">
        <v>7321</v>
      </c>
      <c r="K1700" s="71" t="s">
        <v>13991</v>
      </c>
      <c r="L1700" s="71" t="s">
        <v>3588</v>
      </c>
      <c r="M1700" s="71" t="s">
        <v>12904</v>
      </c>
      <c r="O1700" s="72">
        <v>40744</v>
      </c>
      <c r="P1700" s="71"/>
      <c r="Q1700" s="71" t="b">
        <v>0</v>
      </c>
      <c r="R1700" s="22">
        <f t="shared" si="26"/>
        <v>455</v>
      </c>
    </row>
    <row r="1701" spans="1:18">
      <c r="A1701" s="71">
        <v>9573</v>
      </c>
      <c r="B1701" s="72">
        <v>40303</v>
      </c>
      <c r="C1701" s="71" t="s">
        <v>14007</v>
      </c>
      <c r="D1701" s="72">
        <v>40298</v>
      </c>
      <c r="E1701" s="71" t="s">
        <v>14008</v>
      </c>
      <c r="F1701" s="71" t="s">
        <v>70</v>
      </c>
      <c r="G1701" s="71" t="s">
        <v>20</v>
      </c>
      <c r="H1701" s="71" t="s">
        <v>71</v>
      </c>
      <c r="I1701" s="71" t="s">
        <v>72</v>
      </c>
      <c r="J1701" s="71" t="s">
        <v>14009</v>
      </c>
      <c r="K1701" s="71"/>
      <c r="L1701" s="71" t="s">
        <v>7167</v>
      </c>
      <c r="M1701" s="71" t="s">
        <v>4282</v>
      </c>
      <c r="O1701" s="72">
        <v>41453</v>
      </c>
      <c r="P1701" s="71"/>
      <c r="Q1701" s="71" t="b">
        <v>0</v>
      </c>
      <c r="R1701" s="22">
        <f t="shared" si="26"/>
        <v>1148</v>
      </c>
    </row>
    <row r="1702" spans="1:18">
      <c r="A1702" s="71">
        <v>9574</v>
      </c>
      <c r="B1702" s="72">
        <v>40304</v>
      </c>
      <c r="C1702" s="71" t="s">
        <v>14010</v>
      </c>
      <c r="D1702" s="72">
        <v>40297</v>
      </c>
      <c r="E1702" s="71" t="s">
        <v>14011</v>
      </c>
      <c r="F1702" s="71" t="s">
        <v>129</v>
      </c>
      <c r="G1702" s="71" t="s">
        <v>20</v>
      </c>
      <c r="H1702" s="71" t="s">
        <v>71</v>
      </c>
      <c r="I1702" s="71" t="s">
        <v>72</v>
      </c>
      <c r="J1702" s="71" t="s">
        <v>332</v>
      </c>
      <c r="K1702" s="71" t="s">
        <v>14012</v>
      </c>
      <c r="L1702" s="71" t="s">
        <v>4282</v>
      </c>
      <c r="M1702" s="71"/>
      <c r="O1702" s="72">
        <v>40471</v>
      </c>
      <c r="P1702" s="71"/>
      <c r="Q1702" s="71" t="b">
        <v>0</v>
      </c>
      <c r="R1702" s="22">
        <f t="shared" si="26"/>
        <v>166</v>
      </c>
    </row>
    <row r="1703" spans="1:18">
      <c r="A1703" s="71">
        <v>9576</v>
      </c>
      <c r="B1703" s="72">
        <v>40309</v>
      </c>
      <c r="C1703" s="71" t="s">
        <v>14016</v>
      </c>
      <c r="D1703" s="72">
        <v>40308</v>
      </c>
      <c r="E1703" s="71" t="s">
        <v>14017</v>
      </c>
      <c r="F1703" s="71" t="s">
        <v>11319</v>
      </c>
      <c r="G1703" s="71" t="s">
        <v>20</v>
      </c>
      <c r="H1703" s="71" t="s">
        <v>71</v>
      </c>
      <c r="I1703" s="71" t="s">
        <v>72</v>
      </c>
      <c r="J1703" s="71" t="s">
        <v>14018</v>
      </c>
      <c r="K1703" s="73">
        <v>40292</v>
      </c>
      <c r="L1703" s="71" t="s">
        <v>1946</v>
      </c>
      <c r="M1703" s="71"/>
      <c r="O1703" s="72">
        <v>40471</v>
      </c>
      <c r="P1703" s="71"/>
      <c r="Q1703" s="71" t="b">
        <v>0</v>
      </c>
      <c r="R1703" s="22">
        <f t="shared" si="26"/>
        <v>161</v>
      </c>
    </row>
    <row r="1704" spans="1:18">
      <c r="A1704" s="71">
        <v>9577</v>
      </c>
      <c r="B1704" s="72">
        <v>40311</v>
      </c>
      <c r="C1704" s="71" t="s">
        <v>14020</v>
      </c>
      <c r="D1704" s="72">
        <v>40311</v>
      </c>
      <c r="E1704" s="71" t="s">
        <v>14021</v>
      </c>
      <c r="F1704" s="71" t="s">
        <v>27</v>
      </c>
      <c r="G1704" s="71" t="s">
        <v>20</v>
      </c>
      <c r="H1704" s="71" t="s">
        <v>71</v>
      </c>
      <c r="I1704" s="71" t="s">
        <v>72</v>
      </c>
      <c r="J1704" s="71" t="s">
        <v>5630</v>
      </c>
      <c r="K1704" s="71" t="s">
        <v>14022</v>
      </c>
      <c r="L1704" s="71" t="s">
        <v>4282</v>
      </c>
      <c r="M1704" s="71"/>
      <c r="O1704" s="72">
        <v>41452</v>
      </c>
      <c r="P1704" s="71"/>
      <c r="Q1704" s="71" t="b">
        <v>0</v>
      </c>
      <c r="R1704" s="22">
        <f t="shared" si="26"/>
        <v>1139</v>
      </c>
    </row>
    <row r="1705" spans="1:18">
      <c r="A1705" s="71">
        <v>9579</v>
      </c>
      <c r="B1705" s="72">
        <v>40316</v>
      </c>
      <c r="C1705" s="71" t="s">
        <v>14023</v>
      </c>
      <c r="D1705" s="72">
        <v>40310</v>
      </c>
      <c r="E1705" s="71" t="s">
        <v>14024</v>
      </c>
      <c r="F1705" s="71" t="s">
        <v>56</v>
      </c>
      <c r="G1705" s="71" t="s">
        <v>20</v>
      </c>
      <c r="H1705" s="71" t="s">
        <v>71</v>
      </c>
      <c r="I1705" s="71" t="s">
        <v>72</v>
      </c>
      <c r="J1705" s="71" t="s">
        <v>13258</v>
      </c>
      <c r="K1705" s="71" t="s">
        <v>14025</v>
      </c>
      <c r="L1705" s="71" t="s">
        <v>3588</v>
      </c>
      <c r="M1705" s="71"/>
      <c r="O1705" s="72">
        <v>40414</v>
      </c>
      <c r="P1705" s="71"/>
      <c r="Q1705" s="71" t="b">
        <v>0</v>
      </c>
      <c r="R1705" s="22">
        <f t="shared" si="26"/>
        <v>97</v>
      </c>
    </row>
    <row r="1706" spans="1:18">
      <c r="A1706" s="71">
        <v>9587</v>
      </c>
      <c r="B1706" s="72">
        <v>40337</v>
      </c>
      <c r="C1706" s="71" t="s">
        <v>14045</v>
      </c>
      <c r="D1706" s="72">
        <v>40332</v>
      </c>
      <c r="E1706" s="71" t="s">
        <v>14046</v>
      </c>
      <c r="F1706" s="71" t="s">
        <v>1783</v>
      </c>
      <c r="G1706" s="71" t="s">
        <v>20</v>
      </c>
      <c r="H1706" s="71" t="s">
        <v>71</v>
      </c>
      <c r="I1706" s="71" t="s">
        <v>72</v>
      </c>
      <c r="J1706" s="71" t="s">
        <v>14047</v>
      </c>
      <c r="K1706" s="71" t="s">
        <v>14048</v>
      </c>
      <c r="L1706" s="71" t="s">
        <v>1946</v>
      </c>
      <c r="M1706" s="71"/>
      <c r="O1706" s="72">
        <v>41453</v>
      </c>
      <c r="P1706" s="71"/>
      <c r="Q1706" s="71" t="b">
        <v>0</v>
      </c>
      <c r="R1706" s="22">
        <f t="shared" si="26"/>
        <v>1115</v>
      </c>
    </row>
    <row r="1707" spans="1:18">
      <c r="A1707" s="71">
        <v>9590</v>
      </c>
      <c r="B1707" s="72">
        <v>40343</v>
      </c>
      <c r="C1707" s="71" t="s">
        <v>14055</v>
      </c>
      <c r="D1707" s="72">
        <v>40333</v>
      </c>
      <c r="E1707" s="71" t="s">
        <v>14056</v>
      </c>
      <c r="F1707" s="71" t="s">
        <v>11375</v>
      </c>
      <c r="G1707" s="71" t="s">
        <v>20</v>
      </c>
      <c r="H1707" s="71" t="s">
        <v>71</v>
      </c>
      <c r="I1707" s="71" t="s">
        <v>72</v>
      </c>
      <c r="J1707" s="71" t="s">
        <v>14057</v>
      </c>
      <c r="K1707" s="71"/>
      <c r="L1707" s="71" t="s">
        <v>1946</v>
      </c>
      <c r="M1707" s="71"/>
      <c r="O1707" s="72">
        <v>40799</v>
      </c>
      <c r="P1707" s="71"/>
      <c r="Q1707" s="71" t="b">
        <v>0</v>
      </c>
      <c r="R1707" s="22">
        <f t="shared" si="26"/>
        <v>455</v>
      </c>
    </row>
    <row r="1708" spans="1:18">
      <c r="A1708" s="71">
        <v>9591</v>
      </c>
      <c r="B1708" s="72">
        <v>40343</v>
      </c>
      <c r="C1708" s="71" t="s">
        <v>14058</v>
      </c>
      <c r="D1708" s="72">
        <v>40320</v>
      </c>
      <c r="E1708" s="71" t="s">
        <v>14059</v>
      </c>
      <c r="F1708" s="71" t="s">
        <v>990</v>
      </c>
      <c r="G1708" s="71" t="s">
        <v>20</v>
      </c>
      <c r="H1708" s="71" t="s">
        <v>71</v>
      </c>
      <c r="I1708" s="71" t="s">
        <v>72</v>
      </c>
      <c r="J1708" s="71" t="s">
        <v>14060</v>
      </c>
      <c r="K1708" s="71"/>
      <c r="L1708" s="71" t="s">
        <v>4282</v>
      </c>
      <c r="M1708" s="71"/>
      <c r="O1708" s="72">
        <v>40648</v>
      </c>
      <c r="P1708" s="71"/>
      <c r="Q1708" s="71" t="b">
        <v>0</v>
      </c>
      <c r="R1708" s="22">
        <f t="shared" si="26"/>
        <v>305</v>
      </c>
    </row>
    <row r="1709" spans="1:18">
      <c r="A1709" s="71">
        <v>9593</v>
      </c>
      <c r="B1709" s="72">
        <v>40345</v>
      </c>
      <c r="C1709" s="71" t="s">
        <v>14063</v>
      </c>
      <c r="D1709" s="72">
        <v>40343</v>
      </c>
      <c r="E1709" s="71" t="s">
        <v>14064</v>
      </c>
      <c r="F1709" s="71" t="s">
        <v>14065</v>
      </c>
      <c r="G1709" s="71" t="s">
        <v>20</v>
      </c>
      <c r="H1709" s="71" t="s">
        <v>71</v>
      </c>
      <c r="I1709" s="71" t="s">
        <v>72</v>
      </c>
      <c r="J1709" s="71" t="s">
        <v>1817</v>
      </c>
      <c r="K1709" s="71"/>
      <c r="L1709" s="71" t="s">
        <v>3588</v>
      </c>
      <c r="M1709" s="71" t="s">
        <v>12904</v>
      </c>
      <c r="O1709" s="72">
        <v>41081</v>
      </c>
      <c r="P1709" s="71"/>
      <c r="Q1709" s="71" t="b">
        <v>0</v>
      </c>
      <c r="R1709" s="22">
        <f t="shared" si="26"/>
        <v>735</v>
      </c>
    </row>
    <row r="1710" spans="1:18">
      <c r="A1710" s="71">
        <v>9594</v>
      </c>
      <c r="B1710" s="72">
        <v>40345</v>
      </c>
      <c r="C1710" s="71" t="s">
        <v>14066</v>
      </c>
      <c r="D1710" s="72">
        <v>40341</v>
      </c>
      <c r="E1710" s="71" t="s">
        <v>14067</v>
      </c>
      <c r="F1710" s="71" t="s">
        <v>104</v>
      </c>
      <c r="G1710" s="71" t="s">
        <v>20</v>
      </c>
      <c r="H1710" s="71"/>
      <c r="I1710" s="71" t="s">
        <v>72</v>
      </c>
      <c r="J1710" s="71" t="s">
        <v>14068</v>
      </c>
      <c r="K1710" s="71"/>
      <c r="L1710" s="71" t="s">
        <v>1946</v>
      </c>
      <c r="M1710" s="71"/>
      <c r="O1710" s="72">
        <v>40648</v>
      </c>
      <c r="P1710" s="71"/>
      <c r="Q1710" s="71" t="b">
        <v>0</v>
      </c>
      <c r="R1710" s="22">
        <f t="shared" si="26"/>
        <v>303</v>
      </c>
    </row>
    <row r="1711" spans="1:18">
      <c r="A1711" s="71">
        <v>9604</v>
      </c>
      <c r="B1711" s="72">
        <v>40365</v>
      </c>
      <c r="C1711" s="71" t="s">
        <v>14089</v>
      </c>
      <c r="D1711" s="72">
        <v>40359</v>
      </c>
      <c r="E1711" s="71" t="s">
        <v>14090</v>
      </c>
      <c r="F1711" s="71" t="s">
        <v>104</v>
      </c>
      <c r="G1711" s="71" t="s">
        <v>20</v>
      </c>
      <c r="H1711" s="71" t="s">
        <v>71</v>
      </c>
      <c r="I1711" s="71" t="s">
        <v>72</v>
      </c>
      <c r="J1711" s="71" t="s">
        <v>14091</v>
      </c>
      <c r="K1711" s="71"/>
      <c r="L1711" s="71" t="s">
        <v>4579</v>
      </c>
      <c r="M1711" s="71"/>
      <c r="O1711" s="72">
        <v>40367</v>
      </c>
      <c r="P1711" s="71"/>
      <c r="Q1711" s="71" t="b">
        <v>0</v>
      </c>
      <c r="R1711" s="22">
        <f t="shared" si="26"/>
        <v>2</v>
      </c>
    </row>
    <row r="1712" spans="1:18">
      <c r="A1712" s="71">
        <v>9607</v>
      </c>
      <c r="B1712" s="72">
        <v>40374</v>
      </c>
      <c r="C1712" s="71" t="s">
        <v>14097</v>
      </c>
      <c r="D1712" s="72">
        <v>40371</v>
      </c>
      <c r="E1712" s="71" t="s">
        <v>14098</v>
      </c>
      <c r="F1712" s="71" t="s">
        <v>984</v>
      </c>
      <c r="G1712" s="71" t="s">
        <v>20</v>
      </c>
      <c r="H1712" s="71" t="s">
        <v>71</v>
      </c>
      <c r="I1712" s="71" t="s">
        <v>72</v>
      </c>
      <c r="J1712" s="71" t="s">
        <v>12075</v>
      </c>
      <c r="K1712" s="71"/>
      <c r="L1712" s="71" t="s">
        <v>4579</v>
      </c>
      <c r="M1712" s="71"/>
      <c r="O1712" s="72">
        <v>40380</v>
      </c>
      <c r="P1712" s="71"/>
      <c r="Q1712" s="71" t="b">
        <v>0</v>
      </c>
      <c r="R1712" s="22">
        <f t="shared" si="26"/>
        <v>6</v>
      </c>
    </row>
    <row r="1713" spans="1:18">
      <c r="A1713" s="71">
        <v>9609</v>
      </c>
      <c r="B1713" s="72">
        <v>40380</v>
      </c>
      <c r="C1713" s="71" t="s">
        <v>14102</v>
      </c>
      <c r="D1713" s="72">
        <v>40379</v>
      </c>
      <c r="E1713" s="71" t="s">
        <v>14103</v>
      </c>
      <c r="F1713" s="71" t="s">
        <v>14104</v>
      </c>
      <c r="G1713" s="71" t="s">
        <v>20</v>
      </c>
      <c r="H1713" s="71" t="s">
        <v>71</v>
      </c>
      <c r="I1713" s="71" t="s">
        <v>72</v>
      </c>
      <c r="J1713" s="71" t="s">
        <v>14105</v>
      </c>
      <c r="K1713" s="71"/>
      <c r="L1713" s="71" t="s">
        <v>3588</v>
      </c>
      <c r="M1713" s="71" t="s">
        <v>4282</v>
      </c>
      <c r="O1713" s="72">
        <v>40732</v>
      </c>
      <c r="P1713" s="71"/>
      <c r="Q1713" s="71" t="b">
        <v>0</v>
      </c>
      <c r="R1713" s="22">
        <f t="shared" si="26"/>
        <v>351</v>
      </c>
    </row>
    <row r="1714" spans="1:18">
      <c r="A1714" s="71">
        <v>9610</v>
      </c>
      <c r="B1714" s="72">
        <v>40380</v>
      </c>
      <c r="C1714" s="71" t="s">
        <v>14106</v>
      </c>
      <c r="D1714" s="72">
        <v>40374</v>
      </c>
      <c r="E1714" s="71" t="s">
        <v>14107</v>
      </c>
      <c r="F1714" s="71" t="s">
        <v>14108</v>
      </c>
      <c r="G1714" s="71" t="s">
        <v>20</v>
      </c>
      <c r="H1714" s="71" t="s">
        <v>71</v>
      </c>
      <c r="I1714" s="71" t="s">
        <v>72</v>
      </c>
      <c r="J1714" s="71" t="s">
        <v>14109</v>
      </c>
      <c r="K1714" s="71"/>
      <c r="L1714" s="71" t="s">
        <v>4579</v>
      </c>
      <c r="M1714" s="71"/>
      <c r="O1714" s="72">
        <v>40395</v>
      </c>
      <c r="P1714" s="71"/>
      <c r="Q1714" s="71" t="b">
        <v>0</v>
      </c>
      <c r="R1714" s="22">
        <f t="shared" si="26"/>
        <v>14</v>
      </c>
    </row>
    <row r="1715" spans="1:18">
      <c r="A1715" s="71">
        <v>9612</v>
      </c>
      <c r="B1715" s="72">
        <v>40387</v>
      </c>
      <c r="C1715" s="71" t="s">
        <v>14112</v>
      </c>
      <c r="D1715" s="72">
        <v>40378</v>
      </c>
      <c r="E1715" s="71" t="s">
        <v>14113</v>
      </c>
      <c r="F1715" s="71" t="s">
        <v>14114</v>
      </c>
      <c r="G1715" s="71" t="s">
        <v>20</v>
      </c>
      <c r="H1715" s="71" t="s">
        <v>71</v>
      </c>
      <c r="I1715" s="71" t="s">
        <v>72</v>
      </c>
      <c r="J1715" s="71" t="s">
        <v>14115</v>
      </c>
      <c r="K1715" s="71" t="s">
        <v>11774</v>
      </c>
      <c r="L1715" s="71" t="s">
        <v>4579</v>
      </c>
      <c r="M1715" s="71" t="s">
        <v>1946</v>
      </c>
      <c r="O1715" s="72">
        <v>40518</v>
      </c>
      <c r="P1715" s="71"/>
      <c r="Q1715" s="71" t="b">
        <v>0</v>
      </c>
      <c r="R1715" s="22">
        <f t="shared" si="26"/>
        <v>129</v>
      </c>
    </row>
    <row r="1716" spans="1:18">
      <c r="A1716" s="71">
        <v>9615</v>
      </c>
      <c r="B1716" s="72">
        <v>40392</v>
      </c>
      <c r="C1716" s="71" t="s">
        <v>14123</v>
      </c>
      <c r="D1716" s="72">
        <v>40388</v>
      </c>
      <c r="E1716" s="71" t="s">
        <v>14107</v>
      </c>
      <c r="F1716" s="71" t="s">
        <v>149</v>
      </c>
      <c r="G1716" s="71" t="s">
        <v>20</v>
      </c>
      <c r="H1716" s="71" t="s">
        <v>71</v>
      </c>
      <c r="I1716" s="71" t="s">
        <v>72</v>
      </c>
      <c r="J1716" s="71" t="s">
        <v>14124</v>
      </c>
      <c r="K1716" s="71" t="s">
        <v>14125</v>
      </c>
      <c r="L1716" s="71" t="s">
        <v>4579</v>
      </c>
      <c r="M1716" s="71"/>
      <c r="O1716" s="72">
        <v>40623</v>
      </c>
      <c r="P1716" s="71"/>
      <c r="Q1716" s="71" t="b">
        <v>0</v>
      </c>
      <c r="R1716" s="22">
        <f t="shared" si="26"/>
        <v>232</v>
      </c>
    </row>
    <row r="1717" spans="1:18">
      <c r="A1717" s="71">
        <v>9616</v>
      </c>
      <c r="B1717" s="72">
        <v>40392</v>
      </c>
      <c r="C1717" s="71" t="s">
        <v>14126</v>
      </c>
      <c r="D1717" s="72">
        <v>40379</v>
      </c>
      <c r="E1717" s="71" t="s">
        <v>14127</v>
      </c>
      <c r="F1717" s="71" t="s">
        <v>8522</v>
      </c>
      <c r="G1717" s="71" t="s">
        <v>20</v>
      </c>
      <c r="H1717" s="71" t="s">
        <v>189</v>
      </c>
      <c r="I1717" s="71" t="s">
        <v>189</v>
      </c>
      <c r="J1717" s="71" t="s">
        <v>14128</v>
      </c>
      <c r="K1717" s="71" t="s">
        <v>14129</v>
      </c>
      <c r="L1717" s="71" t="s">
        <v>3588</v>
      </c>
      <c r="M1717" s="71"/>
      <c r="O1717" s="72">
        <v>40420</v>
      </c>
      <c r="P1717" s="71"/>
      <c r="Q1717" s="71" t="b">
        <v>0</v>
      </c>
      <c r="R1717" s="22">
        <f t="shared" si="26"/>
        <v>28</v>
      </c>
    </row>
    <row r="1718" spans="1:18">
      <c r="A1718" s="71">
        <v>9620</v>
      </c>
      <c r="B1718" s="72">
        <v>40395</v>
      </c>
      <c r="C1718" s="71" t="s">
        <v>14139</v>
      </c>
      <c r="D1718" s="72">
        <v>40394</v>
      </c>
      <c r="E1718" s="71" t="s">
        <v>14140</v>
      </c>
      <c r="F1718" s="71" t="s">
        <v>11375</v>
      </c>
      <c r="G1718" s="71" t="s">
        <v>20</v>
      </c>
      <c r="H1718" s="71" t="s">
        <v>189</v>
      </c>
      <c r="I1718" s="71" t="s">
        <v>189</v>
      </c>
      <c r="J1718" s="71" t="s">
        <v>405</v>
      </c>
      <c r="K1718" s="71"/>
      <c r="L1718" s="71" t="s">
        <v>4579</v>
      </c>
      <c r="M1718" s="71" t="s">
        <v>3588</v>
      </c>
      <c r="O1718" s="72">
        <v>40556</v>
      </c>
      <c r="P1718" s="71"/>
      <c r="Q1718" s="71" t="b">
        <v>0</v>
      </c>
      <c r="R1718" s="22">
        <f t="shared" si="26"/>
        <v>160</v>
      </c>
    </row>
    <row r="1719" spans="1:18">
      <c r="A1719" s="71">
        <v>9623</v>
      </c>
      <c r="B1719" s="72">
        <v>40406</v>
      </c>
      <c r="C1719" s="71" t="s">
        <v>14146</v>
      </c>
      <c r="D1719" s="72">
        <v>40392</v>
      </c>
      <c r="E1719" s="71" t="s">
        <v>14147</v>
      </c>
      <c r="F1719" s="71" t="s">
        <v>14132</v>
      </c>
      <c r="G1719" s="71" t="s">
        <v>20</v>
      </c>
      <c r="H1719" s="71" t="s">
        <v>71</v>
      </c>
      <c r="I1719" s="71" t="s">
        <v>72</v>
      </c>
      <c r="J1719" s="71" t="s">
        <v>14133</v>
      </c>
      <c r="K1719" s="71" t="s">
        <v>14148</v>
      </c>
      <c r="L1719" s="71" t="s">
        <v>4579</v>
      </c>
      <c r="M1719" s="71"/>
      <c r="O1719" s="72">
        <v>40471</v>
      </c>
      <c r="P1719" s="71"/>
      <c r="Q1719" s="71" t="b">
        <v>0</v>
      </c>
      <c r="R1719" s="22">
        <f t="shared" si="26"/>
        <v>64</v>
      </c>
    </row>
    <row r="1720" spans="1:18">
      <c r="A1720" s="71">
        <v>9624</v>
      </c>
      <c r="B1720" s="72">
        <v>40406</v>
      </c>
      <c r="C1720" s="71" t="s">
        <v>14149</v>
      </c>
      <c r="D1720" s="72">
        <v>40402</v>
      </c>
      <c r="E1720" s="71" t="s">
        <v>14150</v>
      </c>
      <c r="F1720" s="71" t="s">
        <v>6277</v>
      </c>
      <c r="G1720" s="71" t="s">
        <v>20</v>
      </c>
      <c r="H1720" s="71" t="s">
        <v>71</v>
      </c>
      <c r="I1720" s="71" t="s">
        <v>72</v>
      </c>
      <c r="J1720" s="71" t="s">
        <v>14151</v>
      </c>
      <c r="K1720" s="71"/>
      <c r="L1720" s="71" t="s">
        <v>4282</v>
      </c>
      <c r="M1720" s="71"/>
      <c r="O1720" s="72">
        <v>40455</v>
      </c>
      <c r="P1720" s="71"/>
      <c r="Q1720" s="71" t="b">
        <v>0</v>
      </c>
      <c r="R1720" s="22">
        <f t="shared" si="26"/>
        <v>48</v>
      </c>
    </row>
    <row r="1721" spans="1:18">
      <c r="A1721" s="71">
        <v>9625</v>
      </c>
      <c r="B1721" s="72">
        <v>40407</v>
      </c>
      <c r="C1721" s="71" t="s">
        <v>14152</v>
      </c>
      <c r="D1721" s="72">
        <v>40406</v>
      </c>
      <c r="E1721" s="71" t="s">
        <v>14153</v>
      </c>
      <c r="F1721" s="71" t="s">
        <v>14075</v>
      </c>
      <c r="G1721" s="71" t="s">
        <v>20</v>
      </c>
      <c r="H1721" s="71" t="s">
        <v>71</v>
      </c>
      <c r="I1721" s="71" t="s">
        <v>72</v>
      </c>
      <c r="J1721" s="71" t="s">
        <v>14154</v>
      </c>
      <c r="K1721" s="71"/>
      <c r="L1721" s="71" t="s">
        <v>4579</v>
      </c>
      <c r="M1721" s="71"/>
      <c r="O1721" s="72">
        <v>40561</v>
      </c>
      <c r="P1721" s="71"/>
      <c r="Q1721" s="71" t="b">
        <v>0</v>
      </c>
      <c r="R1721" s="22">
        <f t="shared" si="26"/>
        <v>153</v>
      </c>
    </row>
    <row r="1722" spans="1:18">
      <c r="A1722" s="71">
        <v>9630</v>
      </c>
      <c r="B1722" s="72">
        <v>40420</v>
      </c>
      <c r="C1722" s="71" t="s">
        <v>14165</v>
      </c>
      <c r="D1722" s="72">
        <v>40414</v>
      </c>
      <c r="E1722" s="71" t="s">
        <v>14166</v>
      </c>
      <c r="F1722" s="71" t="s">
        <v>145</v>
      </c>
      <c r="G1722" s="71" t="s">
        <v>20</v>
      </c>
      <c r="H1722" s="71" t="s">
        <v>71</v>
      </c>
      <c r="I1722" s="71" t="s">
        <v>72</v>
      </c>
      <c r="J1722" s="71" t="s">
        <v>14167</v>
      </c>
      <c r="K1722" s="71"/>
      <c r="L1722" s="71" t="s">
        <v>4282</v>
      </c>
      <c r="M1722" s="71" t="s">
        <v>14168</v>
      </c>
      <c r="O1722" s="72">
        <v>41673</v>
      </c>
      <c r="P1722" s="71"/>
      <c r="Q1722" s="71" t="b">
        <v>0</v>
      </c>
      <c r="R1722" s="22">
        <f t="shared" si="26"/>
        <v>1250</v>
      </c>
    </row>
    <row r="1723" spans="1:18">
      <c r="A1723" s="71">
        <v>9635</v>
      </c>
      <c r="B1723" s="72">
        <v>40429</v>
      </c>
      <c r="C1723" s="71" t="s">
        <v>14180</v>
      </c>
      <c r="D1723" s="72">
        <v>40428</v>
      </c>
      <c r="E1723" s="71" t="s">
        <v>14181</v>
      </c>
      <c r="F1723" s="71" t="s">
        <v>27</v>
      </c>
      <c r="G1723" s="71" t="s">
        <v>20</v>
      </c>
      <c r="H1723" s="71" t="s">
        <v>71</v>
      </c>
      <c r="I1723" s="71" t="s">
        <v>72</v>
      </c>
      <c r="J1723" s="71" t="s">
        <v>14182</v>
      </c>
      <c r="K1723" s="71" t="s">
        <v>14183</v>
      </c>
      <c r="L1723" s="71" t="s">
        <v>4282</v>
      </c>
      <c r="M1723" s="71"/>
      <c r="O1723" s="72">
        <v>41464</v>
      </c>
      <c r="P1723" s="71"/>
      <c r="Q1723" s="71" t="b">
        <v>0</v>
      </c>
      <c r="R1723" s="22">
        <f t="shared" si="26"/>
        <v>1035</v>
      </c>
    </row>
    <row r="1724" spans="1:18">
      <c r="A1724" s="71">
        <v>9637</v>
      </c>
      <c r="B1724" s="72">
        <v>40430</v>
      </c>
      <c r="C1724" s="71" t="s">
        <v>14187</v>
      </c>
      <c r="D1724" s="72">
        <v>40428</v>
      </c>
      <c r="E1724" s="71" t="s">
        <v>14188</v>
      </c>
      <c r="F1724" s="71" t="s">
        <v>14189</v>
      </c>
      <c r="G1724" s="71" t="s">
        <v>20</v>
      </c>
      <c r="H1724" s="71" t="s">
        <v>71</v>
      </c>
      <c r="I1724" s="71" t="s">
        <v>72</v>
      </c>
      <c r="J1724" s="71" t="s">
        <v>14190</v>
      </c>
      <c r="K1724" s="71" t="s">
        <v>14191</v>
      </c>
      <c r="L1724" s="71" t="s">
        <v>4579</v>
      </c>
      <c r="M1724" s="71"/>
      <c r="O1724" s="72">
        <v>40436</v>
      </c>
      <c r="P1724" s="71"/>
      <c r="Q1724" s="71" t="b">
        <v>0</v>
      </c>
      <c r="R1724" s="22">
        <f t="shared" si="26"/>
        <v>6</v>
      </c>
    </row>
    <row r="1725" spans="1:18">
      <c r="A1725" s="71">
        <v>9638</v>
      </c>
      <c r="B1725" s="72">
        <v>40434</v>
      </c>
      <c r="C1725" s="71" t="s">
        <v>14192</v>
      </c>
      <c r="D1725" s="72">
        <v>40434</v>
      </c>
      <c r="E1725" s="71" t="s">
        <v>14193</v>
      </c>
      <c r="F1725" s="71" t="s">
        <v>56</v>
      </c>
      <c r="G1725" s="71" t="s">
        <v>20</v>
      </c>
      <c r="H1725" s="71" t="s">
        <v>71</v>
      </c>
      <c r="I1725" s="71" t="s">
        <v>72</v>
      </c>
      <c r="J1725" s="71" t="s">
        <v>14194</v>
      </c>
      <c r="K1725" s="71"/>
      <c r="L1725" s="71" t="s">
        <v>3588</v>
      </c>
      <c r="M1725" s="71" t="s">
        <v>4282</v>
      </c>
      <c r="O1725" s="72">
        <v>41256</v>
      </c>
      <c r="P1725" s="71"/>
      <c r="Q1725" s="71" t="b">
        <v>0</v>
      </c>
      <c r="R1725" s="22">
        <f t="shared" si="26"/>
        <v>821</v>
      </c>
    </row>
    <row r="1726" spans="1:18">
      <c r="A1726" s="71">
        <v>9642</v>
      </c>
      <c r="B1726" s="72">
        <v>40442</v>
      </c>
      <c r="C1726" s="71" t="s">
        <v>14203</v>
      </c>
      <c r="D1726" s="72">
        <v>40441</v>
      </c>
      <c r="E1726" s="71" t="s">
        <v>14204</v>
      </c>
      <c r="F1726" s="71" t="s">
        <v>145</v>
      </c>
      <c r="G1726" s="71" t="s">
        <v>20</v>
      </c>
      <c r="H1726" s="71" t="s">
        <v>71</v>
      </c>
      <c r="I1726" s="71" t="s">
        <v>72</v>
      </c>
      <c r="J1726" s="71" t="s">
        <v>14205</v>
      </c>
      <c r="K1726" s="71"/>
      <c r="L1726" s="71" t="s">
        <v>4579</v>
      </c>
      <c r="M1726" s="71"/>
      <c r="O1726" s="72">
        <v>40477</v>
      </c>
      <c r="P1726" s="71"/>
      <c r="Q1726" s="71" t="b">
        <v>0</v>
      </c>
      <c r="R1726" s="22">
        <f t="shared" si="26"/>
        <v>35</v>
      </c>
    </row>
    <row r="1727" spans="1:18">
      <c r="A1727" s="71">
        <v>9644</v>
      </c>
      <c r="B1727" s="72">
        <v>40449</v>
      </c>
      <c r="C1727" s="71" t="s">
        <v>14208</v>
      </c>
      <c r="D1727" s="72">
        <v>40442</v>
      </c>
      <c r="E1727" s="71" t="s">
        <v>14209</v>
      </c>
      <c r="F1727" s="71" t="s">
        <v>14210</v>
      </c>
      <c r="G1727" s="71" t="s">
        <v>20</v>
      </c>
      <c r="H1727" s="71" t="s">
        <v>189</v>
      </c>
      <c r="I1727" s="71" t="s">
        <v>189</v>
      </c>
      <c r="J1727" s="71" t="s">
        <v>14211</v>
      </c>
      <c r="K1727" s="71"/>
      <c r="L1727" s="71" t="s">
        <v>4579</v>
      </c>
      <c r="M1727" s="71"/>
      <c r="O1727" s="72">
        <v>40548</v>
      </c>
      <c r="P1727" s="71"/>
      <c r="Q1727" s="71" t="b">
        <v>0</v>
      </c>
      <c r="R1727" s="22">
        <f t="shared" si="26"/>
        <v>98</v>
      </c>
    </row>
    <row r="1728" spans="1:18">
      <c r="A1728" s="71">
        <v>9645</v>
      </c>
      <c r="B1728" s="72">
        <v>40449</v>
      </c>
      <c r="C1728" s="71" t="s">
        <v>14212</v>
      </c>
      <c r="D1728" s="72">
        <v>40448</v>
      </c>
      <c r="E1728" s="71" t="s">
        <v>14213</v>
      </c>
      <c r="F1728" s="71" t="s">
        <v>70</v>
      </c>
      <c r="G1728" s="71" t="s">
        <v>20</v>
      </c>
      <c r="H1728" s="71" t="s">
        <v>71</v>
      </c>
      <c r="I1728" s="71" t="s">
        <v>72</v>
      </c>
      <c r="J1728" s="71" t="s">
        <v>14214</v>
      </c>
      <c r="K1728" s="71"/>
      <c r="L1728" s="71" t="s">
        <v>7167</v>
      </c>
      <c r="M1728" s="71" t="s">
        <v>4282</v>
      </c>
      <c r="O1728" s="72">
        <v>41583</v>
      </c>
      <c r="P1728" s="71"/>
      <c r="Q1728" s="71" t="b">
        <v>0</v>
      </c>
      <c r="R1728" s="22">
        <f t="shared" si="26"/>
        <v>1132</v>
      </c>
    </row>
    <row r="1729" spans="1:18">
      <c r="A1729" s="71">
        <v>9647</v>
      </c>
      <c r="B1729" s="72">
        <v>40450</v>
      </c>
      <c r="C1729" s="71" t="s">
        <v>14217</v>
      </c>
      <c r="D1729" s="72">
        <v>40449</v>
      </c>
      <c r="E1729" s="71" t="s">
        <v>14218</v>
      </c>
      <c r="F1729" s="71" t="s">
        <v>14219</v>
      </c>
      <c r="G1729" s="71" t="s">
        <v>20</v>
      </c>
      <c r="H1729" s="71" t="s">
        <v>71</v>
      </c>
      <c r="I1729" s="71" t="s">
        <v>72</v>
      </c>
      <c r="J1729" s="71" t="s">
        <v>14220</v>
      </c>
      <c r="K1729" s="71"/>
      <c r="L1729" s="71" t="s">
        <v>1946</v>
      </c>
      <c r="M1729" s="71"/>
      <c r="O1729" s="72">
        <v>41430</v>
      </c>
      <c r="P1729" s="71"/>
      <c r="Q1729" s="71" t="b">
        <v>0</v>
      </c>
      <c r="R1729" s="22">
        <f t="shared" si="26"/>
        <v>979</v>
      </c>
    </row>
    <row r="1730" spans="1:18">
      <c r="A1730" s="71">
        <v>9648</v>
      </c>
      <c r="B1730" s="72">
        <v>40451</v>
      </c>
      <c r="C1730" s="71" t="s">
        <v>14221</v>
      </c>
      <c r="D1730" s="72">
        <v>40449</v>
      </c>
      <c r="E1730" s="71" t="s">
        <v>14222</v>
      </c>
      <c r="F1730" s="71" t="s">
        <v>984</v>
      </c>
      <c r="G1730" s="71" t="s">
        <v>20</v>
      </c>
      <c r="H1730" s="71" t="s">
        <v>71</v>
      </c>
      <c r="I1730" s="71" t="s">
        <v>72</v>
      </c>
      <c r="J1730" s="71" t="s">
        <v>14190</v>
      </c>
      <c r="K1730" s="71"/>
      <c r="L1730" s="71" t="s">
        <v>4579</v>
      </c>
      <c r="M1730" s="71"/>
      <c r="O1730" s="72">
        <v>40485</v>
      </c>
      <c r="P1730" s="71"/>
      <c r="Q1730" s="71" t="b">
        <v>0</v>
      </c>
      <c r="R1730" s="22">
        <f t="shared" ref="R1730:R1793" si="27">IF(O1730=" ", " ", INT(YEARFRAC(O1730, B1730)*365))</f>
        <v>33</v>
      </c>
    </row>
    <row r="1731" spans="1:18">
      <c r="A1731" s="71">
        <v>9650</v>
      </c>
      <c r="B1731" s="72">
        <v>40464</v>
      </c>
      <c r="C1731" s="71" t="s">
        <v>14228</v>
      </c>
      <c r="D1731" s="72">
        <v>40457</v>
      </c>
      <c r="E1731" s="71" t="s">
        <v>14229</v>
      </c>
      <c r="F1731" s="71" t="s">
        <v>149</v>
      </c>
      <c r="G1731" s="71" t="s">
        <v>20</v>
      </c>
      <c r="H1731" s="71" t="s">
        <v>71</v>
      </c>
      <c r="I1731" s="71" t="s">
        <v>72</v>
      </c>
      <c r="J1731" s="71" t="s">
        <v>14230</v>
      </c>
      <c r="K1731" s="71"/>
      <c r="L1731" s="71" t="s">
        <v>4579</v>
      </c>
      <c r="M1731" s="71"/>
      <c r="O1731" s="72">
        <v>40486</v>
      </c>
      <c r="P1731" s="71"/>
      <c r="Q1731" s="71" t="b">
        <v>0</v>
      </c>
      <c r="R1731" s="22">
        <f t="shared" si="27"/>
        <v>21</v>
      </c>
    </row>
    <row r="1732" spans="1:18">
      <c r="A1732" s="71">
        <v>9653</v>
      </c>
      <c r="B1732" s="72">
        <v>40471</v>
      </c>
      <c r="C1732" s="71" t="s">
        <v>14233</v>
      </c>
      <c r="D1732" s="72">
        <v>40469</v>
      </c>
      <c r="E1732" s="71" t="s">
        <v>14234</v>
      </c>
      <c r="F1732" s="71" t="s">
        <v>12404</v>
      </c>
      <c r="G1732" s="71" t="s">
        <v>20</v>
      </c>
      <c r="H1732" s="71" t="s">
        <v>71</v>
      </c>
      <c r="I1732" s="71" t="s">
        <v>72</v>
      </c>
      <c r="J1732" s="71" t="s">
        <v>14235</v>
      </c>
      <c r="K1732" s="71"/>
      <c r="L1732" s="71" t="s">
        <v>3588</v>
      </c>
      <c r="M1732" s="71" t="s">
        <v>4579</v>
      </c>
      <c r="O1732" s="72">
        <v>41100</v>
      </c>
      <c r="P1732" s="71"/>
      <c r="Q1732" s="71" t="b">
        <v>0</v>
      </c>
      <c r="R1732" s="22">
        <f t="shared" si="27"/>
        <v>628</v>
      </c>
    </row>
    <row r="1733" spans="1:18">
      <c r="A1733" s="71">
        <v>9657</v>
      </c>
      <c r="B1733" s="72">
        <v>40477</v>
      </c>
      <c r="C1733" s="71" t="s">
        <v>14243</v>
      </c>
      <c r="D1733" s="72">
        <v>40474</v>
      </c>
      <c r="E1733" s="71" t="s">
        <v>14234</v>
      </c>
      <c r="F1733" s="71" t="s">
        <v>12404</v>
      </c>
      <c r="G1733" s="71" t="s">
        <v>20</v>
      </c>
      <c r="H1733" s="71" t="s">
        <v>71</v>
      </c>
      <c r="I1733" s="71" t="s">
        <v>72</v>
      </c>
      <c r="J1733" s="71" t="s">
        <v>1817</v>
      </c>
      <c r="K1733" s="71" t="s">
        <v>14244</v>
      </c>
      <c r="L1733" s="71" t="s">
        <v>1946</v>
      </c>
      <c r="M1733" s="71"/>
      <c r="O1733" s="72">
        <v>41430</v>
      </c>
      <c r="P1733" s="71"/>
      <c r="Q1733" s="71" t="b">
        <v>0</v>
      </c>
      <c r="R1733" s="22">
        <f t="shared" si="27"/>
        <v>952</v>
      </c>
    </row>
    <row r="1734" spans="1:18">
      <c r="A1734" s="71">
        <v>9658</v>
      </c>
      <c r="B1734" s="72">
        <v>40477</v>
      </c>
      <c r="C1734" s="71" t="s">
        <v>14245</v>
      </c>
      <c r="D1734" s="72">
        <v>40476</v>
      </c>
      <c r="E1734" s="71" t="s">
        <v>14246</v>
      </c>
      <c r="F1734" s="71" t="s">
        <v>14247</v>
      </c>
      <c r="G1734" s="71" t="s">
        <v>20</v>
      </c>
      <c r="H1734" s="71" t="s">
        <v>71</v>
      </c>
      <c r="I1734" s="71" t="s">
        <v>72</v>
      </c>
      <c r="J1734" s="71" t="s">
        <v>14248</v>
      </c>
      <c r="K1734" s="71" t="s">
        <v>3020</v>
      </c>
      <c r="L1734" s="71" t="s">
        <v>7167</v>
      </c>
      <c r="M1734" s="71" t="s">
        <v>4282</v>
      </c>
      <c r="O1734" s="72">
        <v>41114</v>
      </c>
      <c r="P1734" s="71"/>
      <c r="Q1734" s="71" t="b">
        <v>0</v>
      </c>
      <c r="R1734" s="22">
        <f t="shared" si="27"/>
        <v>636</v>
      </c>
    </row>
    <row r="1735" spans="1:18">
      <c r="A1735" s="71">
        <v>9662</v>
      </c>
      <c r="B1735" s="72">
        <v>40492</v>
      </c>
      <c r="C1735" s="71" t="s">
        <v>14261</v>
      </c>
      <c r="D1735" s="72">
        <v>40479</v>
      </c>
      <c r="E1735" s="71" t="s">
        <v>14262</v>
      </c>
      <c r="F1735" s="71" t="s">
        <v>13422</v>
      </c>
      <c r="G1735" s="71" t="s">
        <v>20</v>
      </c>
      <c r="H1735" s="71" t="s">
        <v>71</v>
      </c>
      <c r="I1735" s="71" t="s">
        <v>72</v>
      </c>
      <c r="J1735" s="71" t="s">
        <v>14263</v>
      </c>
      <c r="K1735" s="71"/>
      <c r="L1735" s="71" t="s">
        <v>4282</v>
      </c>
      <c r="M1735" s="71"/>
      <c r="O1735" s="72">
        <v>41943</v>
      </c>
      <c r="P1735" s="71"/>
      <c r="Q1735" s="71" t="b">
        <v>0</v>
      </c>
      <c r="R1735" s="22">
        <f t="shared" si="27"/>
        <v>1450</v>
      </c>
    </row>
    <row r="1736" spans="1:18">
      <c r="A1736" s="71">
        <v>9668</v>
      </c>
      <c r="B1736" s="72">
        <v>40525</v>
      </c>
      <c r="C1736" s="71" t="s">
        <v>14279</v>
      </c>
      <c r="D1736" s="72">
        <v>40521</v>
      </c>
      <c r="E1736" s="71" t="s">
        <v>14280</v>
      </c>
      <c r="F1736" s="71" t="s">
        <v>211</v>
      </c>
      <c r="G1736" s="71" t="s">
        <v>20</v>
      </c>
      <c r="H1736" s="71" t="s">
        <v>212</v>
      </c>
      <c r="I1736" s="71" t="s">
        <v>212</v>
      </c>
      <c r="J1736" s="71" t="s">
        <v>14281</v>
      </c>
      <c r="K1736" s="71"/>
      <c r="L1736" s="71" t="s">
        <v>1152</v>
      </c>
      <c r="M1736" s="71" t="s">
        <v>14282</v>
      </c>
      <c r="O1736" s="72">
        <v>41897</v>
      </c>
      <c r="P1736" s="71"/>
      <c r="Q1736" s="71" t="b">
        <v>0</v>
      </c>
      <c r="R1736" s="22">
        <f t="shared" si="27"/>
        <v>1370</v>
      </c>
    </row>
    <row r="1737" spans="1:18">
      <c r="A1737" s="71">
        <v>9673</v>
      </c>
      <c r="B1737" s="72">
        <v>40546</v>
      </c>
      <c r="C1737" s="71" t="s">
        <v>14295</v>
      </c>
      <c r="D1737" s="72">
        <v>40541</v>
      </c>
      <c r="E1737" s="71" t="s">
        <v>14296</v>
      </c>
      <c r="F1737" s="71" t="s">
        <v>19</v>
      </c>
      <c r="G1737" s="71" t="s">
        <v>20</v>
      </c>
      <c r="H1737" s="71" t="s">
        <v>71</v>
      </c>
      <c r="I1737" s="71" t="s">
        <v>72</v>
      </c>
      <c r="J1737" s="71" t="s">
        <v>14297</v>
      </c>
      <c r="K1737" s="71" t="s">
        <v>14298</v>
      </c>
      <c r="L1737" s="71" t="s">
        <v>1946</v>
      </c>
      <c r="M1737" s="71"/>
      <c r="O1737" s="72">
        <v>40564</v>
      </c>
      <c r="P1737" s="71"/>
      <c r="Q1737" s="71" t="b">
        <v>0</v>
      </c>
      <c r="R1737" s="22">
        <f t="shared" si="27"/>
        <v>18</v>
      </c>
    </row>
    <row r="1738" spans="1:18">
      <c r="A1738" s="71">
        <v>9678</v>
      </c>
      <c r="B1738" s="72">
        <v>40553</v>
      </c>
      <c r="C1738" s="71" t="s">
        <v>14311</v>
      </c>
      <c r="D1738" s="72">
        <v>40550</v>
      </c>
      <c r="E1738" s="71" t="s">
        <v>14312</v>
      </c>
      <c r="F1738" s="71" t="s">
        <v>14305</v>
      </c>
      <c r="G1738" s="71" t="s">
        <v>20</v>
      </c>
      <c r="H1738" s="71" t="s">
        <v>212</v>
      </c>
      <c r="I1738" s="71" t="s">
        <v>212</v>
      </c>
      <c r="J1738" s="71" t="s">
        <v>14313</v>
      </c>
      <c r="K1738" s="71"/>
      <c r="L1738" s="71" t="s">
        <v>4282</v>
      </c>
      <c r="M1738" s="71"/>
      <c r="O1738" s="72">
        <v>41767</v>
      </c>
      <c r="P1738" s="71"/>
      <c r="Q1738" s="71" t="b">
        <v>0</v>
      </c>
      <c r="R1738" s="22">
        <f t="shared" si="27"/>
        <v>1214</v>
      </c>
    </row>
    <row r="1739" spans="1:18">
      <c r="A1739" s="71">
        <v>9680</v>
      </c>
      <c r="B1739" s="72">
        <v>40556</v>
      </c>
      <c r="C1739" s="71" t="s">
        <v>14316</v>
      </c>
      <c r="D1739" s="72">
        <v>40550</v>
      </c>
      <c r="E1739" s="71" t="s">
        <v>14317</v>
      </c>
      <c r="F1739" s="71" t="s">
        <v>14318</v>
      </c>
      <c r="G1739" s="71" t="s">
        <v>20</v>
      </c>
      <c r="H1739" s="71" t="s">
        <v>71</v>
      </c>
      <c r="I1739" s="71" t="s">
        <v>72</v>
      </c>
      <c r="J1739" s="71" t="s">
        <v>14319</v>
      </c>
      <c r="K1739" s="71"/>
      <c r="L1739" s="71" t="s">
        <v>4579</v>
      </c>
      <c r="M1739" s="71"/>
      <c r="O1739" s="72">
        <v>40603</v>
      </c>
      <c r="P1739" s="71"/>
      <c r="Q1739" s="71" t="b">
        <v>0</v>
      </c>
      <c r="R1739" s="22">
        <f t="shared" si="27"/>
        <v>48</v>
      </c>
    </row>
    <row r="1740" spans="1:18">
      <c r="A1740" s="71">
        <v>9681</v>
      </c>
      <c r="B1740" s="72">
        <v>40564</v>
      </c>
      <c r="C1740" s="71" t="s">
        <v>14320</v>
      </c>
      <c r="D1740" s="72">
        <v>40563</v>
      </c>
      <c r="E1740" s="71" t="s">
        <v>14321</v>
      </c>
      <c r="F1740" s="71" t="s">
        <v>11894</v>
      </c>
      <c r="G1740" s="71" t="s">
        <v>20</v>
      </c>
      <c r="H1740" s="71" t="s">
        <v>71</v>
      </c>
      <c r="I1740" s="71" t="s">
        <v>72</v>
      </c>
      <c r="J1740" s="71" t="s">
        <v>14322</v>
      </c>
      <c r="K1740" s="71"/>
      <c r="L1740" s="71" t="s">
        <v>7167</v>
      </c>
      <c r="M1740" s="71" t="s">
        <v>14282</v>
      </c>
      <c r="O1740" s="72">
        <v>41207</v>
      </c>
      <c r="P1740" s="71"/>
      <c r="Q1740" s="71" t="b">
        <v>0</v>
      </c>
      <c r="R1740" s="22">
        <f t="shared" si="27"/>
        <v>642</v>
      </c>
    </row>
    <row r="1741" spans="1:18">
      <c r="A1741" s="71">
        <v>9689</v>
      </c>
      <c r="B1741" s="72">
        <v>40596</v>
      </c>
      <c r="C1741" s="71" t="s">
        <v>14338</v>
      </c>
      <c r="D1741" s="72">
        <v>40581</v>
      </c>
      <c r="E1741" s="71" t="s">
        <v>14339</v>
      </c>
      <c r="F1741" s="71" t="s">
        <v>14340</v>
      </c>
      <c r="G1741" s="71" t="s">
        <v>20</v>
      </c>
      <c r="H1741" s="71" t="s">
        <v>71</v>
      </c>
      <c r="I1741" s="71" t="s">
        <v>72</v>
      </c>
      <c r="J1741" s="71" t="s">
        <v>14341</v>
      </c>
      <c r="K1741" s="71" t="s">
        <v>9348</v>
      </c>
      <c r="L1741" s="71" t="s">
        <v>4282</v>
      </c>
      <c r="M1741" s="71"/>
      <c r="O1741" s="72">
        <v>40759</v>
      </c>
      <c r="P1741" s="71"/>
      <c r="Q1741" s="71" t="b">
        <v>0</v>
      </c>
      <c r="R1741" s="22">
        <f t="shared" si="27"/>
        <v>164</v>
      </c>
    </row>
    <row r="1742" spans="1:18">
      <c r="A1742" s="71">
        <v>9690</v>
      </c>
      <c r="B1742" s="72">
        <v>40604</v>
      </c>
      <c r="C1742" s="71" t="s">
        <v>14342</v>
      </c>
      <c r="D1742" s="72">
        <v>40604</v>
      </c>
      <c r="E1742" s="71" t="s">
        <v>14343</v>
      </c>
      <c r="F1742" s="71" t="s">
        <v>14344</v>
      </c>
      <c r="G1742" s="71" t="s">
        <v>20</v>
      </c>
      <c r="H1742" s="71" t="s">
        <v>189</v>
      </c>
      <c r="I1742" s="71" t="s">
        <v>189</v>
      </c>
      <c r="J1742" s="71" t="s">
        <v>14345</v>
      </c>
      <c r="K1742" s="71" t="s">
        <v>7494</v>
      </c>
      <c r="L1742" s="71" t="s">
        <v>3588</v>
      </c>
      <c r="M1742" s="71"/>
      <c r="O1742" s="72">
        <v>41547</v>
      </c>
      <c r="P1742" s="71"/>
      <c r="Q1742" s="71" t="b">
        <v>0</v>
      </c>
      <c r="R1742" s="22">
        <f t="shared" si="27"/>
        <v>940</v>
      </c>
    </row>
    <row r="1743" spans="1:18">
      <c r="A1743" s="71">
        <v>9692</v>
      </c>
      <c r="B1743" s="72">
        <v>40612</v>
      </c>
      <c r="C1743" s="71" t="s">
        <v>14346</v>
      </c>
      <c r="D1743" s="72">
        <v>40609</v>
      </c>
      <c r="E1743" s="71" t="s">
        <v>14347</v>
      </c>
      <c r="F1743" s="71" t="s">
        <v>145</v>
      </c>
      <c r="G1743" s="71" t="s">
        <v>20</v>
      </c>
      <c r="H1743" s="71" t="s">
        <v>71</v>
      </c>
      <c r="I1743" s="71" t="s">
        <v>72</v>
      </c>
      <c r="J1743" s="71" t="s">
        <v>14348</v>
      </c>
      <c r="K1743" s="71"/>
      <c r="L1743" s="71" t="s">
        <v>14349</v>
      </c>
      <c r="M1743" s="71" t="s">
        <v>4579</v>
      </c>
      <c r="O1743" s="72">
        <v>40703</v>
      </c>
      <c r="P1743" s="71"/>
      <c r="Q1743" s="71" t="b">
        <v>0</v>
      </c>
      <c r="R1743" s="22">
        <f t="shared" si="27"/>
        <v>90</v>
      </c>
    </row>
    <row r="1744" spans="1:18">
      <c r="A1744" s="71">
        <v>9693</v>
      </c>
      <c r="B1744" s="72">
        <v>40612</v>
      </c>
      <c r="C1744" s="71" t="s">
        <v>14350</v>
      </c>
      <c r="D1744" s="72">
        <v>40611</v>
      </c>
      <c r="E1744" s="71" t="s">
        <v>14351</v>
      </c>
      <c r="F1744" s="71" t="s">
        <v>145</v>
      </c>
      <c r="G1744" s="71" t="s">
        <v>20</v>
      </c>
      <c r="H1744" s="71" t="s">
        <v>71</v>
      </c>
      <c r="I1744" s="71" t="s">
        <v>72</v>
      </c>
      <c r="J1744" s="71" t="s">
        <v>14348</v>
      </c>
      <c r="K1744" s="71"/>
      <c r="L1744" s="71" t="s">
        <v>14349</v>
      </c>
      <c r="M1744" s="71" t="s">
        <v>4579</v>
      </c>
      <c r="O1744" s="72">
        <v>40676</v>
      </c>
      <c r="P1744" s="71"/>
      <c r="Q1744" s="71" t="b">
        <v>0</v>
      </c>
      <c r="R1744" s="22">
        <f t="shared" si="27"/>
        <v>63</v>
      </c>
    </row>
    <row r="1745" spans="1:18">
      <c r="A1745" s="71">
        <v>9694</v>
      </c>
      <c r="B1745" s="72">
        <v>40612</v>
      </c>
      <c r="C1745" s="71" t="s">
        <v>14352</v>
      </c>
      <c r="D1745" s="72">
        <v>40512</v>
      </c>
      <c r="E1745" s="71" t="s">
        <v>14353</v>
      </c>
      <c r="F1745" s="71" t="s">
        <v>149</v>
      </c>
      <c r="G1745" s="71" t="s">
        <v>20</v>
      </c>
      <c r="H1745" s="71" t="s">
        <v>71</v>
      </c>
      <c r="I1745" s="71" t="s">
        <v>72</v>
      </c>
      <c r="J1745" s="71" t="s">
        <v>14354</v>
      </c>
      <c r="K1745" s="71"/>
      <c r="L1745" s="71" t="s">
        <v>3588</v>
      </c>
      <c r="M1745" s="71" t="s">
        <v>4579</v>
      </c>
      <c r="O1745" s="72">
        <v>40764</v>
      </c>
      <c r="P1745" s="71"/>
      <c r="Q1745" s="71" t="b">
        <v>0</v>
      </c>
      <c r="R1745" s="22">
        <f t="shared" si="27"/>
        <v>151</v>
      </c>
    </row>
    <row r="1746" spans="1:18">
      <c r="A1746" s="71">
        <v>9695</v>
      </c>
      <c r="B1746" s="72">
        <v>40612</v>
      </c>
      <c r="C1746" s="71" t="s">
        <v>14355</v>
      </c>
      <c r="D1746" s="72">
        <v>40596</v>
      </c>
      <c r="E1746" s="71" t="s">
        <v>14356</v>
      </c>
      <c r="F1746" s="71" t="s">
        <v>149</v>
      </c>
      <c r="G1746" s="71" t="s">
        <v>20</v>
      </c>
      <c r="H1746" s="71" t="s">
        <v>71</v>
      </c>
      <c r="I1746" s="71" t="s">
        <v>72</v>
      </c>
      <c r="J1746" s="71" t="s">
        <v>14357</v>
      </c>
      <c r="K1746" s="71"/>
      <c r="L1746" s="71" t="s">
        <v>3588</v>
      </c>
      <c r="M1746" s="71" t="s">
        <v>4579</v>
      </c>
      <c r="O1746" s="72">
        <v>41365</v>
      </c>
      <c r="P1746" s="71"/>
      <c r="Q1746" s="71" t="b">
        <v>0</v>
      </c>
      <c r="R1746" s="22">
        <f t="shared" si="27"/>
        <v>751</v>
      </c>
    </row>
    <row r="1747" spans="1:18">
      <c r="A1747" s="71">
        <v>9703</v>
      </c>
      <c r="B1747" s="72">
        <v>40626</v>
      </c>
      <c r="C1747" s="71" t="s">
        <v>14367</v>
      </c>
      <c r="D1747" s="72">
        <v>40626</v>
      </c>
      <c r="E1747" s="71" t="s">
        <v>14368</v>
      </c>
      <c r="F1747" s="71" t="s">
        <v>14336</v>
      </c>
      <c r="G1747" s="71" t="s">
        <v>20</v>
      </c>
      <c r="H1747" s="71" t="s">
        <v>189</v>
      </c>
      <c r="I1747" s="71" t="s">
        <v>189</v>
      </c>
      <c r="J1747" s="71" t="s">
        <v>14369</v>
      </c>
      <c r="K1747" s="71"/>
      <c r="L1747" s="71" t="s">
        <v>1152</v>
      </c>
      <c r="M1747" s="71" t="s">
        <v>14370</v>
      </c>
      <c r="O1747" s="72">
        <v>41820</v>
      </c>
      <c r="P1747" s="71"/>
      <c r="Q1747" s="71" t="b">
        <v>0</v>
      </c>
      <c r="R1747" s="22">
        <f t="shared" si="27"/>
        <v>1192</v>
      </c>
    </row>
    <row r="1748" spans="1:18">
      <c r="A1748" s="71">
        <v>9704</v>
      </c>
      <c r="B1748" s="72">
        <v>40637</v>
      </c>
      <c r="C1748" s="71" t="s">
        <v>14371</v>
      </c>
      <c r="D1748" s="72">
        <v>40637</v>
      </c>
      <c r="E1748" s="71" t="s">
        <v>14372</v>
      </c>
      <c r="F1748" s="71" t="s">
        <v>974</v>
      </c>
      <c r="G1748" s="71" t="s">
        <v>20</v>
      </c>
      <c r="H1748" s="71" t="s">
        <v>212</v>
      </c>
      <c r="I1748" s="71" t="s">
        <v>212</v>
      </c>
      <c r="J1748" s="71" t="s">
        <v>4690</v>
      </c>
      <c r="K1748" s="76">
        <v>40087</v>
      </c>
      <c r="L1748" s="71" t="s">
        <v>4282</v>
      </c>
      <c r="M1748" s="71"/>
      <c r="O1748" s="72">
        <v>41702</v>
      </c>
      <c r="P1748" s="71"/>
      <c r="Q1748" s="71" t="b">
        <v>0</v>
      </c>
      <c r="R1748" s="22">
        <f t="shared" si="27"/>
        <v>1064</v>
      </c>
    </row>
    <row r="1749" spans="1:18">
      <c r="A1749" s="71">
        <v>9706</v>
      </c>
      <c r="B1749" s="72">
        <v>40644</v>
      </c>
      <c r="C1749" s="71" t="s">
        <v>14377</v>
      </c>
      <c r="D1749" s="72">
        <v>40638</v>
      </c>
      <c r="E1749" s="71" t="s">
        <v>14378</v>
      </c>
      <c r="F1749" s="71" t="s">
        <v>14379</v>
      </c>
      <c r="G1749" s="71" t="s">
        <v>20</v>
      </c>
      <c r="H1749" s="71" t="s">
        <v>71</v>
      </c>
      <c r="I1749" s="71" t="s">
        <v>72</v>
      </c>
      <c r="J1749" s="71" t="s">
        <v>13389</v>
      </c>
      <c r="K1749" s="71" t="s">
        <v>14380</v>
      </c>
      <c r="L1749" s="71" t="s">
        <v>1946</v>
      </c>
      <c r="M1749" s="71"/>
      <c r="O1749" s="72">
        <v>40771</v>
      </c>
      <c r="P1749" s="71"/>
      <c r="Q1749" s="71" t="b">
        <v>0</v>
      </c>
      <c r="R1749" s="22">
        <f t="shared" si="27"/>
        <v>126</v>
      </c>
    </row>
    <row r="1750" spans="1:18">
      <c r="A1750" s="71">
        <v>9713</v>
      </c>
      <c r="B1750" s="72">
        <v>40659</v>
      </c>
      <c r="C1750" s="71" t="s">
        <v>14401</v>
      </c>
      <c r="D1750" s="72">
        <v>40658</v>
      </c>
      <c r="E1750" s="71" t="s">
        <v>14402</v>
      </c>
      <c r="F1750" s="71" t="s">
        <v>14403</v>
      </c>
      <c r="G1750" s="71" t="s">
        <v>20</v>
      </c>
      <c r="H1750" s="71" t="s">
        <v>566</v>
      </c>
      <c r="I1750" s="71" t="s">
        <v>566</v>
      </c>
      <c r="J1750" s="71" t="s">
        <v>14404</v>
      </c>
      <c r="K1750" s="71"/>
      <c r="L1750" s="71" t="s">
        <v>4282</v>
      </c>
      <c r="M1750" s="71"/>
      <c r="O1750" s="72">
        <v>41485</v>
      </c>
      <c r="P1750" s="71"/>
      <c r="Q1750" s="71" t="b">
        <v>0</v>
      </c>
      <c r="R1750" s="22">
        <f t="shared" si="27"/>
        <v>825</v>
      </c>
    </row>
    <row r="1751" spans="1:18">
      <c r="A1751" s="71">
        <v>9715</v>
      </c>
      <c r="B1751" s="72">
        <v>40660</v>
      </c>
      <c r="C1751" s="71" t="s">
        <v>14408</v>
      </c>
      <c r="D1751" s="72">
        <v>40658</v>
      </c>
      <c r="E1751" s="71" t="s">
        <v>14409</v>
      </c>
      <c r="F1751" s="71" t="s">
        <v>13528</v>
      </c>
      <c r="G1751" s="71" t="s">
        <v>20</v>
      </c>
      <c r="H1751" s="71" t="s">
        <v>71</v>
      </c>
      <c r="I1751" s="71" t="s">
        <v>72</v>
      </c>
      <c r="J1751" s="71" t="s">
        <v>14410</v>
      </c>
      <c r="K1751" s="71"/>
      <c r="L1751" s="71" t="s">
        <v>14411</v>
      </c>
      <c r="M1751" s="71" t="s">
        <v>1946</v>
      </c>
      <c r="O1751" s="72">
        <v>41795</v>
      </c>
      <c r="P1751" s="71"/>
      <c r="Q1751" s="71" t="b">
        <v>0</v>
      </c>
      <c r="R1751" s="22">
        <f t="shared" si="27"/>
        <v>1133</v>
      </c>
    </row>
    <row r="1752" spans="1:18">
      <c r="A1752" s="71">
        <v>9716</v>
      </c>
      <c r="B1752" s="72">
        <v>40661</v>
      </c>
      <c r="C1752" s="71" t="s">
        <v>14412</v>
      </c>
      <c r="D1752" s="72">
        <v>40659</v>
      </c>
      <c r="E1752" s="71" t="s">
        <v>14413</v>
      </c>
      <c r="F1752" s="71" t="s">
        <v>85</v>
      </c>
      <c r="G1752" s="71" t="s">
        <v>20</v>
      </c>
      <c r="H1752" s="71" t="s">
        <v>71</v>
      </c>
      <c r="I1752" s="71" t="s">
        <v>72</v>
      </c>
      <c r="J1752" s="71" t="s">
        <v>14414</v>
      </c>
      <c r="K1752" s="71" t="s">
        <v>14415</v>
      </c>
      <c r="L1752" s="71" t="s">
        <v>3588</v>
      </c>
      <c r="M1752" s="71"/>
      <c r="O1752" s="72">
        <v>40667</v>
      </c>
      <c r="P1752" s="71"/>
      <c r="Q1752" s="71" t="b">
        <v>0</v>
      </c>
      <c r="R1752" s="22">
        <f t="shared" si="27"/>
        <v>6</v>
      </c>
    </row>
    <row r="1753" spans="1:18">
      <c r="A1753" s="71">
        <v>9719</v>
      </c>
      <c r="B1753" s="72">
        <v>40666</v>
      </c>
      <c r="C1753" s="71" t="s">
        <v>14420</v>
      </c>
      <c r="D1753" s="72">
        <v>40646</v>
      </c>
      <c r="E1753" s="71" t="s">
        <v>14421</v>
      </c>
      <c r="F1753" s="71" t="s">
        <v>974</v>
      </c>
      <c r="G1753" s="71" t="s">
        <v>20</v>
      </c>
      <c r="H1753" s="71" t="s">
        <v>212</v>
      </c>
      <c r="I1753" s="71" t="s">
        <v>212</v>
      </c>
      <c r="J1753" s="73">
        <v>40644</v>
      </c>
      <c r="K1753" s="71" t="s">
        <v>14423</v>
      </c>
      <c r="L1753" s="71" t="s">
        <v>1946</v>
      </c>
      <c r="M1753" s="71"/>
      <c r="O1753" s="72">
        <v>40911</v>
      </c>
      <c r="P1753" s="71"/>
      <c r="Q1753" s="71" t="b">
        <v>0</v>
      </c>
      <c r="R1753" s="22">
        <f t="shared" si="27"/>
        <v>243</v>
      </c>
    </row>
    <row r="1754" spans="1:18">
      <c r="A1754" s="71">
        <v>9720</v>
      </c>
      <c r="B1754" s="72">
        <v>40667</v>
      </c>
      <c r="C1754" s="71" t="s">
        <v>14424</v>
      </c>
      <c r="D1754" s="72">
        <v>40654</v>
      </c>
      <c r="E1754" s="71" t="s">
        <v>14425</v>
      </c>
      <c r="F1754" s="71" t="s">
        <v>14118</v>
      </c>
      <c r="G1754" s="71" t="s">
        <v>20</v>
      </c>
      <c r="H1754" s="71" t="s">
        <v>71</v>
      </c>
      <c r="I1754" s="71" t="s">
        <v>72</v>
      </c>
      <c r="J1754" s="71" t="s">
        <v>14426</v>
      </c>
      <c r="K1754" s="71"/>
      <c r="L1754" s="71" t="s">
        <v>7167</v>
      </c>
      <c r="M1754" s="71" t="s">
        <v>14427</v>
      </c>
      <c r="N1754" s="71"/>
      <c r="O1754" s="72">
        <v>41645</v>
      </c>
      <c r="P1754" s="71"/>
      <c r="Q1754" s="71" t="b">
        <v>0</v>
      </c>
      <c r="R1754" s="22">
        <f t="shared" si="27"/>
        <v>975</v>
      </c>
    </row>
    <row r="1755" spans="1:18">
      <c r="A1755" s="71">
        <v>9723</v>
      </c>
      <c r="B1755" s="72">
        <v>40672</v>
      </c>
      <c r="C1755" s="71" t="s">
        <v>14435</v>
      </c>
      <c r="D1755" s="72">
        <v>40672</v>
      </c>
      <c r="E1755" s="71" t="s">
        <v>14436</v>
      </c>
      <c r="F1755" s="71" t="s">
        <v>8194</v>
      </c>
      <c r="G1755" s="71" t="s">
        <v>20</v>
      </c>
      <c r="H1755" s="71" t="s">
        <v>71</v>
      </c>
      <c r="I1755" s="71" t="s">
        <v>72</v>
      </c>
      <c r="J1755" s="71" t="s">
        <v>14437</v>
      </c>
      <c r="K1755" s="71" t="s">
        <v>14438</v>
      </c>
      <c r="L1755" s="71" t="s">
        <v>4282</v>
      </c>
      <c r="M1755" s="71"/>
      <c r="O1755" s="72">
        <v>40736</v>
      </c>
      <c r="P1755" s="71"/>
      <c r="Q1755" s="71" t="b">
        <v>0</v>
      </c>
      <c r="R1755" s="22">
        <f t="shared" si="27"/>
        <v>63</v>
      </c>
    </row>
    <row r="1756" spans="1:18">
      <c r="A1756" s="71">
        <v>9727</v>
      </c>
      <c r="B1756" s="72">
        <v>40682</v>
      </c>
      <c r="C1756" s="71" t="s">
        <v>14439</v>
      </c>
      <c r="D1756" s="72">
        <v>40681</v>
      </c>
      <c r="E1756" s="71" t="s">
        <v>14440</v>
      </c>
      <c r="F1756" s="71" t="s">
        <v>27</v>
      </c>
      <c r="G1756" s="71" t="s">
        <v>20</v>
      </c>
      <c r="H1756" s="71" t="s">
        <v>189</v>
      </c>
      <c r="I1756" s="71" t="s">
        <v>189</v>
      </c>
      <c r="J1756" s="71" t="s">
        <v>14441</v>
      </c>
      <c r="K1756" s="71" t="s">
        <v>9348</v>
      </c>
      <c r="L1756" s="71" t="s">
        <v>1946</v>
      </c>
      <c r="M1756" s="71" t="s">
        <v>14442</v>
      </c>
      <c r="O1756" s="72">
        <v>41123</v>
      </c>
      <c r="P1756" s="71"/>
      <c r="Q1756" s="71" t="b">
        <v>0</v>
      </c>
      <c r="R1756" s="22">
        <f t="shared" si="27"/>
        <v>439</v>
      </c>
    </row>
    <row r="1757" spans="1:18">
      <c r="A1757" s="71">
        <v>9729</v>
      </c>
      <c r="B1757" s="72">
        <v>40687</v>
      </c>
      <c r="C1757" s="71" t="s">
        <v>14446</v>
      </c>
      <c r="D1757" s="72">
        <v>40683</v>
      </c>
      <c r="E1757" s="71" t="s">
        <v>14447</v>
      </c>
      <c r="F1757" s="71" t="s">
        <v>12802</v>
      </c>
      <c r="G1757" s="71" t="s">
        <v>20</v>
      </c>
      <c r="H1757" s="71" t="s">
        <v>71</v>
      </c>
      <c r="I1757" s="71" t="s">
        <v>72</v>
      </c>
      <c r="J1757" s="71" t="s">
        <v>13389</v>
      </c>
      <c r="K1757" s="71" t="s">
        <v>14448</v>
      </c>
      <c r="L1757" s="71" t="s">
        <v>3588</v>
      </c>
      <c r="M1757" s="71"/>
      <c r="O1757" s="72">
        <v>40714</v>
      </c>
      <c r="P1757" s="71"/>
      <c r="Q1757" s="71" t="b">
        <v>0</v>
      </c>
      <c r="R1757" s="22">
        <f t="shared" si="27"/>
        <v>26</v>
      </c>
    </row>
    <row r="1758" spans="1:18">
      <c r="A1758" s="71">
        <v>9730</v>
      </c>
      <c r="B1758" s="72">
        <v>40688</v>
      </c>
      <c r="C1758" s="71" t="s">
        <v>14449</v>
      </c>
      <c r="D1758" s="72">
        <v>40686</v>
      </c>
      <c r="E1758" s="71" t="s">
        <v>14450</v>
      </c>
      <c r="F1758" s="71" t="s">
        <v>14285</v>
      </c>
      <c r="G1758" s="71" t="s">
        <v>20</v>
      </c>
      <c r="H1758" s="71" t="s">
        <v>71</v>
      </c>
      <c r="I1758" s="71" t="s">
        <v>72</v>
      </c>
      <c r="J1758" s="71" t="s">
        <v>23</v>
      </c>
      <c r="K1758" s="71" t="s">
        <v>14451</v>
      </c>
      <c r="L1758" s="71" t="s">
        <v>4282</v>
      </c>
      <c r="M1758" s="71"/>
      <c r="O1758" s="72">
        <v>41820</v>
      </c>
      <c r="P1758" s="71"/>
      <c r="Q1758" s="71" t="b">
        <v>0</v>
      </c>
      <c r="R1758" s="22">
        <f t="shared" si="27"/>
        <v>1130</v>
      </c>
    </row>
    <row r="1759" spans="1:18">
      <c r="A1759" s="71">
        <v>9733</v>
      </c>
      <c r="B1759" s="72">
        <v>40695</v>
      </c>
      <c r="C1759" s="71" t="s">
        <v>14458</v>
      </c>
      <c r="D1759" s="72">
        <v>40687</v>
      </c>
      <c r="E1759" s="71" t="s">
        <v>14459</v>
      </c>
      <c r="F1759" s="71" t="s">
        <v>4596</v>
      </c>
      <c r="G1759" s="71" t="s">
        <v>20</v>
      </c>
      <c r="H1759" s="71" t="s">
        <v>189</v>
      </c>
      <c r="I1759" s="71" t="s">
        <v>189</v>
      </c>
      <c r="J1759" s="71" t="s">
        <v>14460</v>
      </c>
      <c r="K1759" s="71" t="s">
        <v>9348</v>
      </c>
      <c r="L1759" s="71" t="s">
        <v>3588</v>
      </c>
      <c r="M1759" s="71"/>
      <c r="O1759" s="72">
        <v>40737</v>
      </c>
      <c r="P1759" s="71"/>
      <c r="Q1759" s="71" t="b">
        <v>0</v>
      </c>
      <c r="R1759" s="22">
        <f t="shared" si="27"/>
        <v>42</v>
      </c>
    </row>
    <row r="1760" spans="1:18">
      <c r="A1760" s="71">
        <v>9738</v>
      </c>
      <c r="B1760" s="72">
        <v>40714</v>
      </c>
      <c r="C1760" s="71" t="s">
        <v>14469</v>
      </c>
      <c r="D1760" s="72">
        <v>40694</v>
      </c>
      <c r="E1760" s="71" t="s">
        <v>14470</v>
      </c>
      <c r="F1760" s="71" t="s">
        <v>12404</v>
      </c>
      <c r="G1760" s="71" t="s">
        <v>20</v>
      </c>
      <c r="H1760" s="71" t="s">
        <v>71</v>
      </c>
      <c r="I1760" s="71" t="s">
        <v>72</v>
      </c>
      <c r="J1760" s="71" t="s">
        <v>14471</v>
      </c>
      <c r="K1760" s="71"/>
      <c r="L1760" s="71" t="s">
        <v>1946</v>
      </c>
      <c r="M1760" s="71"/>
      <c r="O1760" s="72">
        <v>41670</v>
      </c>
      <c r="P1760" s="71"/>
      <c r="Q1760" s="71" t="b">
        <v>0</v>
      </c>
      <c r="R1760" s="22">
        <f t="shared" si="27"/>
        <v>954</v>
      </c>
    </row>
    <row r="1761" spans="1:18">
      <c r="A1761" s="71">
        <v>9740</v>
      </c>
      <c r="B1761" s="72">
        <v>40714</v>
      </c>
      <c r="C1761" s="71" t="s">
        <v>14474</v>
      </c>
      <c r="D1761" s="72">
        <v>40709</v>
      </c>
      <c r="E1761" s="71" t="s">
        <v>14475</v>
      </c>
      <c r="F1761" s="71" t="s">
        <v>98</v>
      </c>
      <c r="G1761" s="71" t="s">
        <v>20</v>
      </c>
      <c r="H1761" s="71" t="s">
        <v>71</v>
      </c>
      <c r="I1761" s="71" t="s">
        <v>72</v>
      </c>
      <c r="J1761" s="71" t="s">
        <v>14476</v>
      </c>
      <c r="K1761" s="71"/>
      <c r="L1761" s="71" t="s">
        <v>3588</v>
      </c>
      <c r="M1761" s="71"/>
      <c r="O1761" s="72">
        <v>41113</v>
      </c>
      <c r="P1761" s="71"/>
      <c r="Q1761" s="71" t="b">
        <v>0</v>
      </c>
      <c r="R1761" s="22">
        <f t="shared" si="27"/>
        <v>398</v>
      </c>
    </row>
    <row r="1762" spans="1:18">
      <c r="A1762" s="71">
        <v>9742</v>
      </c>
      <c r="B1762" s="72">
        <v>40715</v>
      </c>
      <c r="C1762" s="71" t="s">
        <v>14477</v>
      </c>
      <c r="D1762" s="72">
        <v>40711</v>
      </c>
      <c r="E1762" s="71" t="s">
        <v>14478</v>
      </c>
      <c r="F1762" s="71" t="s">
        <v>12671</v>
      </c>
      <c r="G1762" s="71" t="s">
        <v>20</v>
      </c>
      <c r="H1762" s="71" t="s">
        <v>71</v>
      </c>
      <c r="I1762" s="71" t="s">
        <v>72</v>
      </c>
      <c r="J1762" s="71" t="s">
        <v>14479</v>
      </c>
      <c r="K1762" s="71" t="s">
        <v>14480</v>
      </c>
      <c r="L1762" s="71" t="s">
        <v>14411</v>
      </c>
      <c r="M1762" s="71" t="s">
        <v>1946</v>
      </c>
      <c r="O1762" s="72">
        <v>41628</v>
      </c>
      <c r="P1762" s="71"/>
      <c r="Q1762" s="71" t="b">
        <v>0</v>
      </c>
      <c r="R1762" s="22">
        <f t="shared" si="27"/>
        <v>911</v>
      </c>
    </row>
    <row r="1763" spans="1:18">
      <c r="A1763" s="71">
        <v>9745</v>
      </c>
      <c r="B1763" s="72">
        <v>40724</v>
      </c>
      <c r="C1763" s="71" t="s">
        <v>14485</v>
      </c>
      <c r="D1763" s="72">
        <v>40700</v>
      </c>
      <c r="E1763" s="71" t="s">
        <v>14486</v>
      </c>
      <c r="F1763" s="71" t="s">
        <v>149</v>
      </c>
      <c r="G1763" s="71" t="s">
        <v>20</v>
      </c>
      <c r="H1763" s="71" t="s">
        <v>71</v>
      </c>
      <c r="I1763" s="71" t="s">
        <v>72</v>
      </c>
      <c r="J1763" s="71" t="s">
        <v>14487</v>
      </c>
      <c r="K1763" s="71"/>
      <c r="L1763" s="71" t="s">
        <v>1946</v>
      </c>
      <c r="M1763" s="71"/>
      <c r="O1763" s="72">
        <v>41600</v>
      </c>
      <c r="P1763" s="71"/>
      <c r="Q1763" s="71" t="b">
        <v>0</v>
      </c>
      <c r="R1763" s="22">
        <f t="shared" si="27"/>
        <v>873</v>
      </c>
    </row>
    <row r="1764" spans="1:18">
      <c r="A1764" s="71">
        <v>9748</v>
      </c>
      <c r="B1764" s="72">
        <v>40735</v>
      </c>
      <c r="C1764" s="71" t="s">
        <v>14488</v>
      </c>
      <c r="D1764" s="72">
        <v>40735</v>
      </c>
      <c r="E1764" s="71" t="s">
        <v>14489</v>
      </c>
      <c r="F1764" s="71" t="s">
        <v>56</v>
      </c>
      <c r="G1764" s="71" t="s">
        <v>20</v>
      </c>
      <c r="H1764" s="71" t="s">
        <v>71</v>
      </c>
      <c r="I1764" s="71" t="s">
        <v>72</v>
      </c>
      <c r="J1764" s="71" t="s">
        <v>14490</v>
      </c>
      <c r="K1764" s="71" t="s">
        <v>14437</v>
      </c>
      <c r="L1764" s="71" t="s">
        <v>4282</v>
      </c>
      <c r="M1764" s="71"/>
      <c r="O1764" s="72">
        <v>41485</v>
      </c>
      <c r="P1764" s="71"/>
      <c r="Q1764" s="71" t="b">
        <v>0</v>
      </c>
      <c r="R1764" s="22">
        <f t="shared" si="27"/>
        <v>749</v>
      </c>
    </row>
    <row r="1765" spans="1:18">
      <c r="A1765" s="71">
        <v>9749</v>
      </c>
      <c r="B1765" s="72">
        <v>40737</v>
      </c>
      <c r="C1765" s="71" t="s">
        <v>14491</v>
      </c>
      <c r="D1765" s="72">
        <v>40697</v>
      </c>
      <c r="E1765" s="71" t="s">
        <v>14492</v>
      </c>
      <c r="F1765" s="71" t="s">
        <v>9937</v>
      </c>
      <c r="G1765" s="71" t="s">
        <v>20</v>
      </c>
      <c r="H1765" s="71" t="s">
        <v>71</v>
      </c>
      <c r="I1765" s="71" t="s">
        <v>72</v>
      </c>
      <c r="J1765" s="71" t="s">
        <v>14493</v>
      </c>
      <c r="K1765" s="71" t="s">
        <v>14494</v>
      </c>
      <c r="L1765" s="71" t="s">
        <v>7167</v>
      </c>
      <c r="M1765" s="71" t="s">
        <v>14427</v>
      </c>
      <c r="N1765" s="71"/>
      <c r="O1765" s="72">
        <v>41710</v>
      </c>
      <c r="P1765" s="71"/>
      <c r="Q1765" s="71" t="b">
        <v>0</v>
      </c>
      <c r="R1765" s="22">
        <f t="shared" si="27"/>
        <v>972</v>
      </c>
    </row>
    <row r="1766" spans="1:18">
      <c r="A1766" s="71">
        <v>9752</v>
      </c>
      <c r="B1766" s="72">
        <v>40745</v>
      </c>
      <c r="C1766" s="71" t="s">
        <v>14498</v>
      </c>
      <c r="D1766" s="72">
        <v>40742</v>
      </c>
      <c r="E1766" s="71" t="s">
        <v>14499</v>
      </c>
      <c r="F1766" s="71" t="s">
        <v>13960</v>
      </c>
      <c r="G1766" s="71" t="s">
        <v>20</v>
      </c>
      <c r="H1766" s="71" t="s">
        <v>71</v>
      </c>
      <c r="I1766" s="71" t="s">
        <v>72</v>
      </c>
      <c r="J1766" s="71" t="s">
        <v>14500</v>
      </c>
      <c r="K1766" s="71" t="s">
        <v>14501</v>
      </c>
      <c r="L1766" s="71" t="s">
        <v>1946</v>
      </c>
      <c r="M1766" s="71" t="s">
        <v>14502</v>
      </c>
      <c r="O1766" s="72">
        <v>41789</v>
      </c>
      <c r="P1766" s="71"/>
      <c r="Q1766" s="71" t="b">
        <v>0</v>
      </c>
      <c r="R1766" s="22">
        <f t="shared" si="27"/>
        <v>1043</v>
      </c>
    </row>
    <row r="1767" spans="1:18">
      <c r="A1767" s="71">
        <v>9753</v>
      </c>
      <c r="B1767" s="72">
        <v>40745</v>
      </c>
      <c r="C1767" s="71" t="s">
        <v>14503</v>
      </c>
      <c r="D1767" s="72">
        <v>40744</v>
      </c>
      <c r="E1767" s="71" t="s">
        <v>14504</v>
      </c>
      <c r="F1767" s="71" t="s">
        <v>9198</v>
      </c>
      <c r="G1767" s="71" t="s">
        <v>20</v>
      </c>
      <c r="H1767" s="71" t="s">
        <v>71</v>
      </c>
      <c r="I1767" s="71" t="s">
        <v>72</v>
      </c>
      <c r="J1767" s="71" t="s">
        <v>14437</v>
      </c>
      <c r="K1767" s="71" t="s">
        <v>7465</v>
      </c>
      <c r="L1767" s="71" t="s">
        <v>4282</v>
      </c>
      <c r="M1767" s="71"/>
      <c r="O1767" s="72">
        <v>40820</v>
      </c>
      <c r="P1767" s="71"/>
      <c r="Q1767" s="71" t="b">
        <v>0</v>
      </c>
      <c r="R1767" s="22">
        <f t="shared" si="27"/>
        <v>74</v>
      </c>
    </row>
    <row r="1768" spans="1:18">
      <c r="A1768" s="71">
        <v>9756</v>
      </c>
      <c r="B1768" s="72">
        <v>40751</v>
      </c>
      <c r="C1768" s="71" t="s">
        <v>14511</v>
      </c>
      <c r="D1768" s="72">
        <v>40750</v>
      </c>
      <c r="E1768" s="71" t="s">
        <v>14512</v>
      </c>
      <c r="F1768" s="71" t="s">
        <v>13732</v>
      </c>
      <c r="G1768" s="71" t="s">
        <v>20</v>
      </c>
      <c r="H1768" s="71" t="s">
        <v>71</v>
      </c>
      <c r="I1768" s="71" t="s">
        <v>72</v>
      </c>
      <c r="J1768" s="71" t="s">
        <v>14513</v>
      </c>
      <c r="K1768" s="71" t="s">
        <v>14514</v>
      </c>
      <c r="L1768" s="71" t="s">
        <v>1946</v>
      </c>
      <c r="M1768" s="71"/>
      <c r="O1768" s="72">
        <v>41022</v>
      </c>
      <c r="P1768" s="71"/>
      <c r="Q1768" s="71" t="b">
        <v>0</v>
      </c>
      <c r="R1768" s="22">
        <f t="shared" si="27"/>
        <v>269</v>
      </c>
    </row>
    <row r="1769" spans="1:18">
      <c r="A1769" s="71">
        <v>9757</v>
      </c>
      <c r="B1769" s="72">
        <v>40756</v>
      </c>
      <c r="C1769" s="71" t="s">
        <v>14515</v>
      </c>
      <c r="D1769" s="72">
        <v>40753</v>
      </c>
      <c r="E1769" s="71" t="s">
        <v>14516</v>
      </c>
      <c r="F1769" s="71" t="s">
        <v>104</v>
      </c>
      <c r="G1769" s="71" t="s">
        <v>20</v>
      </c>
      <c r="H1769" s="71" t="s">
        <v>71</v>
      </c>
      <c r="I1769" s="71" t="s">
        <v>72</v>
      </c>
      <c r="J1769" s="71" t="s">
        <v>14517</v>
      </c>
      <c r="K1769" s="71" t="s">
        <v>272</v>
      </c>
      <c r="L1769" s="71" t="s">
        <v>14518</v>
      </c>
      <c r="M1769" s="71" t="s">
        <v>14519</v>
      </c>
      <c r="O1769" s="72">
        <v>42283</v>
      </c>
      <c r="P1769" s="71"/>
      <c r="Q1769" s="71" t="b">
        <v>0</v>
      </c>
      <c r="R1769" s="22">
        <f t="shared" si="27"/>
        <v>1525</v>
      </c>
    </row>
    <row r="1770" spans="1:18">
      <c r="A1770" s="71">
        <v>9759</v>
      </c>
      <c r="B1770" s="72">
        <v>40764</v>
      </c>
      <c r="C1770" s="71" t="s">
        <v>14524</v>
      </c>
      <c r="D1770" s="72">
        <v>40764</v>
      </c>
      <c r="E1770" s="71" t="s">
        <v>14525</v>
      </c>
      <c r="F1770" s="71" t="s">
        <v>13960</v>
      </c>
      <c r="G1770" s="71" t="s">
        <v>20</v>
      </c>
      <c r="H1770" s="71" t="s">
        <v>71</v>
      </c>
      <c r="I1770" s="71" t="s">
        <v>72</v>
      </c>
      <c r="J1770" s="71" t="s">
        <v>14526</v>
      </c>
      <c r="K1770" s="71" t="s">
        <v>14527</v>
      </c>
      <c r="L1770" s="71" t="s">
        <v>3588</v>
      </c>
      <c r="M1770" s="71"/>
      <c r="O1770" s="72">
        <v>40856</v>
      </c>
      <c r="P1770" s="71"/>
      <c r="Q1770" s="71" t="b">
        <v>0</v>
      </c>
      <c r="R1770" s="22">
        <f t="shared" si="27"/>
        <v>91</v>
      </c>
    </row>
    <row r="1771" spans="1:18">
      <c r="A1771" s="71">
        <v>9761</v>
      </c>
      <c r="B1771" s="72">
        <v>40765</v>
      </c>
      <c r="C1771" s="71" t="s">
        <v>14532</v>
      </c>
      <c r="D1771" s="72">
        <v>40765</v>
      </c>
      <c r="E1771" s="71" t="s">
        <v>14533</v>
      </c>
      <c r="F1771" s="71" t="s">
        <v>129</v>
      </c>
      <c r="G1771" s="71" t="s">
        <v>20</v>
      </c>
      <c r="H1771" s="71" t="s">
        <v>71</v>
      </c>
      <c r="I1771" s="71" t="s">
        <v>72</v>
      </c>
      <c r="J1771" s="71" t="s">
        <v>14534</v>
      </c>
      <c r="K1771" s="71" t="s">
        <v>9348</v>
      </c>
      <c r="L1771" s="71" t="s">
        <v>3588</v>
      </c>
      <c r="M1771" s="71"/>
      <c r="O1771" s="72">
        <v>40941</v>
      </c>
      <c r="P1771" s="71"/>
      <c r="Q1771" s="71" t="b">
        <v>0</v>
      </c>
      <c r="R1771" s="22">
        <f t="shared" si="27"/>
        <v>174</v>
      </c>
    </row>
    <row r="1772" spans="1:18">
      <c r="A1772" s="71">
        <v>9763</v>
      </c>
      <c r="B1772" s="72">
        <v>40771</v>
      </c>
      <c r="C1772" s="71" t="s">
        <v>14538</v>
      </c>
      <c r="D1772" s="72">
        <v>40768</v>
      </c>
      <c r="E1772" s="71" t="s">
        <v>14539</v>
      </c>
      <c r="F1772" s="71" t="s">
        <v>149</v>
      </c>
      <c r="G1772" s="71" t="s">
        <v>20</v>
      </c>
      <c r="H1772" s="71" t="s">
        <v>71</v>
      </c>
      <c r="I1772" s="71" t="s">
        <v>72</v>
      </c>
      <c r="J1772" s="71" t="s">
        <v>14540</v>
      </c>
      <c r="K1772" s="71" t="s">
        <v>14541</v>
      </c>
      <c r="L1772" s="71" t="s">
        <v>1152</v>
      </c>
      <c r="M1772" s="71" t="s">
        <v>3588</v>
      </c>
      <c r="O1772" s="72">
        <v>41704</v>
      </c>
      <c r="P1772" s="71"/>
      <c r="Q1772" s="71" t="b">
        <v>0</v>
      </c>
      <c r="R1772" s="22">
        <f t="shared" si="27"/>
        <v>932</v>
      </c>
    </row>
    <row r="1773" spans="1:18">
      <c r="A1773" s="71">
        <v>9767</v>
      </c>
      <c r="B1773" s="72">
        <v>40778</v>
      </c>
      <c r="C1773" s="71" t="s">
        <v>14550</v>
      </c>
      <c r="D1773" s="72">
        <v>40774</v>
      </c>
      <c r="E1773" s="71" t="s">
        <v>14551</v>
      </c>
      <c r="F1773" s="71" t="s">
        <v>14552</v>
      </c>
      <c r="G1773" s="71" t="s">
        <v>20</v>
      </c>
      <c r="H1773" s="71" t="s">
        <v>71</v>
      </c>
      <c r="I1773" s="71" t="s">
        <v>72</v>
      </c>
      <c r="J1773" s="71" t="s">
        <v>14553</v>
      </c>
      <c r="K1773" s="71"/>
      <c r="L1773" s="71" t="s">
        <v>1152</v>
      </c>
      <c r="M1773" s="71" t="s">
        <v>3588</v>
      </c>
      <c r="O1773" s="72">
        <v>41820</v>
      </c>
      <c r="P1773" s="71"/>
      <c r="Q1773" s="71" t="b">
        <v>0</v>
      </c>
      <c r="R1773" s="22">
        <f t="shared" si="27"/>
        <v>1041</v>
      </c>
    </row>
    <row r="1774" spans="1:18">
      <c r="A1774" s="71">
        <v>9771</v>
      </c>
      <c r="B1774" s="72">
        <v>40793</v>
      </c>
      <c r="C1774" s="71" t="s">
        <v>14560</v>
      </c>
      <c r="D1774" s="72">
        <v>40791</v>
      </c>
      <c r="E1774" s="71" t="s">
        <v>14561</v>
      </c>
      <c r="F1774" s="71" t="s">
        <v>14336</v>
      </c>
      <c r="G1774" s="71" t="s">
        <v>20</v>
      </c>
      <c r="H1774" s="71" t="s">
        <v>71</v>
      </c>
      <c r="I1774" s="71" t="s">
        <v>72</v>
      </c>
      <c r="J1774" s="71" t="s">
        <v>14562</v>
      </c>
      <c r="K1774" s="71"/>
      <c r="L1774" s="71" t="s">
        <v>1152</v>
      </c>
      <c r="M1774" s="71" t="s">
        <v>3588</v>
      </c>
      <c r="O1774" s="72">
        <v>41820</v>
      </c>
      <c r="P1774" s="71"/>
      <c r="Q1774" s="71" t="b">
        <v>0</v>
      </c>
      <c r="R1774" s="22">
        <f t="shared" si="27"/>
        <v>1027</v>
      </c>
    </row>
    <row r="1775" spans="1:18">
      <c r="A1775" s="71">
        <v>9772</v>
      </c>
      <c r="B1775" s="72">
        <v>40795</v>
      </c>
      <c r="C1775" s="71" t="s">
        <v>14563</v>
      </c>
      <c r="D1775" s="72">
        <v>40794</v>
      </c>
      <c r="E1775" s="71" t="s">
        <v>14564</v>
      </c>
      <c r="F1775" s="71" t="s">
        <v>13422</v>
      </c>
      <c r="G1775" s="71" t="s">
        <v>20</v>
      </c>
      <c r="H1775" s="71" t="s">
        <v>71</v>
      </c>
      <c r="I1775" s="71" t="s">
        <v>72</v>
      </c>
      <c r="J1775" s="71" t="s">
        <v>14565</v>
      </c>
      <c r="K1775" s="71" t="s">
        <v>9348</v>
      </c>
      <c r="L1775" s="71" t="s">
        <v>1946</v>
      </c>
      <c r="M1775" s="71" t="s">
        <v>14427</v>
      </c>
      <c r="N1775" s="71"/>
      <c r="O1775" s="72">
        <v>41729</v>
      </c>
      <c r="P1775" s="71"/>
      <c r="Q1775" s="71" t="b">
        <v>0</v>
      </c>
      <c r="R1775" s="22">
        <f t="shared" si="27"/>
        <v>934</v>
      </c>
    </row>
    <row r="1776" spans="1:18">
      <c r="A1776" s="71">
        <v>9777</v>
      </c>
      <c r="B1776" s="72">
        <v>40812</v>
      </c>
      <c r="C1776" s="71" t="s">
        <v>14568</v>
      </c>
      <c r="D1776" s="72">
        <v>40807</v>
      </c>
      <c r="E1776" s="71" t="s">
        <v>14569</v>
      </c>
      <c r="F1776" s="71" t="s">
        <v>14570</v>
      </c>
      <c r="G1776" s="71" t="s">
        <v>20</v>
      </c>
      <c r="H1776" s="71" t="s">
        <v>189</v>
      </c>
      <c r="I1776" s="71" t="s">
        <v>189</v>
      </c>
      <c r="J1776" s="71" t="s">
        <v>14571</v>
      </c>
      <c r="K1776" s="71" t="s">
        <v>14572</v>
      </c>
      <c r="L1776" s="71" t="s">
        <v>7167</v>
      </c>
      <c r="M1776" s="71" t="s">
        <v>14573</v>
      </c>
      <c r="N1776" s="71"/>
      <c r="O1776" s="72">
        <v>41759</v>
      </c>
      <c r="P1776" s="71"/>
      <c r="Q1776" s="71" t="b">
        <v>0</v>
      </c>
      <c r="R1776" s="22">
        <f t="shared" si="27"/>
        <v>946</v>
      </c>
    </row>
    <row r="1777" spans="1:18">
      <c r="A1777" s="71">
        <v>9780</v>
      </c>
      <c r="B1777" s="72">
        <v>40828</v>
      </c>
      <c r="C1777" s="71" t="s">
        <v>14578</v>
      </c>
      <c r="D1777" s="72">
        <v>40812</v>
      </c>
      <c r="E1777" s="71" t="s">
        <v>14579</v>
      </c>
      <c r="F1777" s="71" t="s">
        <v>98</v>
      </c>
      <c r="G1777" s="71" t="s">
        <v>20</v>
      </c>
      <c r="H1777" s="71" t="s">
        <v>71</v>
      </c>
      <c r="I1777" s="71" t="s">
        <v>72</v>
      </c>
      <c r="J1777" s="71" t="s">
        <v>14580</v>
      </c>
      <c r="K1777" s="71" t="s">
        <v>9348</v>
      </c>
      <c r="L1777" s="71" t="s">
        <v>1946</v>
      </c>
      <c r="M1777" s="71" t="s">
        <v>14581</v>
      </c>
      <c r="O1777" s="72">
        <v>41758</v>
      </c>
      <c r="P1777" s="71"/>
      <c r="Q1777" s="71" t="b">
        <v>0</v>
      </c>
      <c r="R1777" s="22">
        <f t="shared" si="27"/>
        <v>929</v>
      </c>
    </row>
    <row r="1778" spans="1:18">
      <c r="A1778" s="71">
        <v>9783</v>
      </c>
      <c r="B1778" s="72">
        <v>40830</v>
      </c>
      <c r="C1778" s="71" t="s">
        <v>14587</v>
      </c>
      <c r="D1778" s="72">
        <v>40821</v>
      </c>
      <c r="E1778" s="71" t="s">
        <v>14588</v>
      </c>
      <c r="F1778" s="71" t="s">
        <v>984</v>
      </c>
      <c r="G1778" s="71" t="s">
        <v>20</v>
      </c>
      <c r="H1778" s="71" t="s">
        <v>71</v>
      </c>
      <c r="I1778" s="71" t="s">
        <v>72</v>
      </c>
      <c r="J1778" s="71" t="s">
        <v>14589</v>
      </c>
      <c r="K1778" s="71" t="s">
        <v>14590</v>
      </c>
      <c r="L1778" s="71" t="s">
        <v>7167</v>
      </c>
      <c r="M1778" s="71" t="s">
        <v>4282</v>
      </c>
      <c r="O1778" s="72">
        <v>41711</v>
      </c>
      <c r="P1778" s="71"/>
      <c r="Q1778" s="71" t="b">
        <v>0</v>
      </c>
      <c r="R1778" s="22">
        <f t="shared" si="27"/>
        <v>881</v>
      </c>
    </row>
    <row r="1779" spans="1:18">
      <c r="A1779" s="71">
        <v>9784</v>
      </c>
      <c r="B1779" s="72">
        <v>40835</v>
      </c>
      <c r="C1779" s="71" t="s">
        <v>14591</v>
      </c>
      <c r="D1779" s="72">
        <v>40834</v>
      </c>
      <c r="E1779" s="71" t="s">
        <v>14592</v>
      </c>
      <c r="F1779" s="71" t="s">
        <v>10422</v>
      </c>
      <c r="G1779" s="71" t="s">
        <v>20</v>
      </c>
      <c r="H1779" s="71" t="s">
        <v>189</v>
      </c>
      <c r="I1779" s="71" t="s">
        <v>189</v>
      </c>
      <c r="J1779" s="71" t="s">
        <v>14593</v>
      </c>
      <c r="K1779" s="71"/>
      <c r="L1779" s="71" t="s">
        <v>14411</v>
      </c>
      <c r="M1779" s="71" t="s">
        <v>1946</v>
      </c>
      <c r="O1779" s="72">
        <v>41635</v>
      </c>
      <c r="P1779" s="71"/>
      <c r="Q1779" s="71" t="b">
        <v>0</v>
      </c>
      <c r="R1779" s="22">
        <f t="shared" si="27"/>
        <v>798</v>
      </c>
    </row>
    <row r="1780" spans="1:18">
      <c r="A1780" s="71">
        <v>9786</v>
      </c>
      <c r="B1780" s="72">
        <v>40840</v>
      </c>
      <c r="C1780" s="71" t="s">
        <v>14594</v>
      </c>
      <c r="D1780" s="72">
        <v>40839</v>
      </c>
      <c r="E1780" s="71" t="s">
        <v>14595</v>
      </c>
      <c r="F1780" s="71" t="s">
        <v>12660</v>
      </c>
      <c r="G1780" s="71" t="s">
        <v>20</v>
      </c>
      <c r="H1780" s="71" t="s">
        <v>71</v>
      </c>
      <c r="I1780" s="71" t="s">
        <v>72</v>
      </c>
      <c r="J1780" s="71" t="s">
        <v>14596</v>
      </c>
      <c r="K1780" s="71" t="s">
        <v>14597</v>
      </c>
      <c r="L1780" s="71" t="s">
        <v>3588</v>
      </c>
      <c r="M1780" s="71"/>
      <c r="O1780" s="72">
        <v>40850</v>
      </c>
      <c r="P1780" s="71"/>
      <c r="Q1780" s="71" t="b">
        <v>0</v>
      </c>
      <c r="R1780" s="22">
        <f t="shared" si="27"/>
        <v>9</v>
      </c>
    </row>
    <row r="1781" spans="1:18">
      <c r="A1781" s="71">
        <v>9788</v>
      </c>
      <c r="B1781" s="72">
        <v>40847</v>
      </c>
      <c r="C1781" s="71" t="s">
        <v>14598</v>
      </c>
      <c r="D1781" s="72">
        <v>40842</v>
      </c>
      <c r="E1781" s="71" t="s">
        <v>14599</v>
      </c>
      <c r="F1781" s="71" t="s">
        <v>8522</v>
      </c>
      <c r="G1781" s="71" t="s">
        <v>20</v>
      </c>
      <c r="H1781" s="71" t="s">
        <v>189</v>
      </c>
      <c r="I1781" s="71" t="s">
        <v>189</v>
      </c>
      <c r="J1781" s="71" t="s">
        <v>14600</v>
      </c>
      <c r="K1781" s="71" t="s">
        <v>14514</v>
      </c>
      <c r="L1781" s="71" t="s">
        <v>7167</v>
      </c>
      <c r="M1781" s="71"/>
      <c r="O1781" s="72">
        <v>40848</v>
      </c>
      <c r="P1781" s="71"/>
      <c r="Q1781" s="71" t="b">
        <v>0</v>
      </c>
      <c r="R1781" s="22">
        <f t="shared" si="27"/>
        <v>1</v>
      </c>
    </row>
    <row r="1782" spans="1:18">
      <c r="A1782" s="71">
        <v>9789</v>
      </c>
      <c r="B1782" s="72">
        <v>40854</v>
      </c>
      <c r="C1782" s="71" t="s">
        <v>14601</v>
      </c>
      <c r="D1782" s="72">
        <v>40853</v>
      </c>
      <c r="E1782" s="71" t="s">
        <v>14602</v>
      </c>
      <c r="F1782" s="71" t="s">
        <v>12660</v>
      </c>
      <c r="G1782" s="71" t="s">
        <v>20</v>
      </c>
      <c r="H1782" s="71" t="s">
        <v>71</v>
      </c>
      <c r="I1782" s="71" t="s">
        <v>72</v>
      </c>
      <c r="J1782" s="71" t="s">
        <v>11774</v>
      </c>
      <c r="K1782" s="71" t="s">
        <v>14603</v>
      </c>
      <c r="L1782" s="71" t="s">
        <v>3588</v>
      </c>
      <c r="M1782" s="71"/>
      <c r="O1782" s="72">
        <v>40876</v>
      </c>
      <c r="P1782" s="71"/>
      <c r="Q1782" s="71" t="b">
        <v>0</v>
      </c>
      <c r="R1782" s="22">
        <f t="shared" si="27"/>
        <v>22</v>
      </c>
    </row>
    <row r="1783" spans="1:18">
      <c r="A1783" s="71">
        <v>9790</v>
      </c>
      <c r="B1783" s="72">
        <v>40854</v>
      </c>
      <c r="C1783" s="71" t="s">
        <v>14604</v>
      </c>
      <c r="D1783" s="72">
        <v>40850</v>
      </c>
      <c r="E1783" s="71" t="s">
        <v>14605</v>
      </c>
      <c r="F1783" s="71" t="s">
        <v>19</v>
      </c>
      <c r="G1783" s="71" t="s">
        <v>20</v>
      </c>
      <c r="H1783" s="71" t="s">
        <v>71</v>
      </c>
      <c r="I1783" s="71" t="s">
        <v>72</v>
      </c>
      <c r="J1783" s="71" t="s">
        <v>14606</v>
      </c>
      <c r="K1783" s="71" t="s">
        <v>14607</v>
      </c>
      <c r="L1783" s="71" t="s">
        <v>7167</v>
      </c>
      <c r="M1783" s="71"/>
      <c r="O1783" s="72">
        <v>41072</v>
      </c>
      <c r="P1783" s="71"/>
      <c r="Q1783" s="71" t="b">
        <v>0</v>
      </c>
      <c r="R1783" s="22">
        <f t="shared" si="27"/>
        <v>217</v>
      </c>
    </row>
    <row r="1784" spans="1:18">
      <c r="A1784" s="71">
        <v>9793</v>
      </c>
      <c r="B1784" s="72">
        <v>40861</v>
      </c>
      <c r="C1784" s="71" t="s">
        <v>14616</v>
      </c>
      <c r="D1784" s="72">
        <v>40857</v>
      </c>
      <c r="E1784" s="71" t="s">
        <v>14617</v>
      </c>
      <c r="F1784" s="71" t="s">
        <v>14618</v>
      </c>
      <c r="G1784" s="71" t="s">
        <v>20</v>
      </c>
      <c r="H1784" s="71" t="s">
        <v>566</v>
      </c>
      <c r="I1784" s="71" t="s">
        <v>566</v>
      </c>
      <c r="J1784" s="71" t="s">
        <v>14619</v>
      </c>
      <c r="K1784" s="71" t="s">
        <v>14620</v>
      </c>
      <c r="L1784" s="71" t="s">
        <v>3588</v>
      </c>
      <c r="M1784" s="71"/>
      <c r="O1784" s="72">
        <v>40911</v>
      </c>
      <c r="P1784" s="71"/>
      <c r="Q1784" s="71" t="b">
        <v>0</v>
      </c>
      <c r="R1784" s="22">
        <f t="shared" si="27"/>
        <v>49</v>
      </c>
    </row>
    <row r="1785" spans="1:18">
      <c r="A1785" s="71">
        <v>9796</v>
      </c>
      <c r="B1785" s="72">
        <v>40868</v>
      </c>
      <c r="C1785" s="71" t="s">
        <v>14624</v>
      </c>
      <c r="D1785" s="72">
        <v>40864</v>
      </c>
      <c r="E1785" s="71" t="s">
        <v>14625</v>
      </c>
      <c r="F1785" s="71" t="s">
        <v>14626</v>
      </c>
      <c r="G1785" s="71" t="s">
        <v>20</v>
      </c>
      <c r="H1785" s="71" t="s">
        <v>71</v>
      </c>
      <c r="I1785" s="71" t="s">
        <v>72</v>
      </c>
      <c r="J1785" s="71" t="s">
        <v>14627</v>
      </c>
      <c r="K1785" s="71" t="s">
        <v>14628</v>
      </c>
      <c r="L1785" s="71" t="s">
        <v>7167</v>
      </c>
      <c r="M1785" s="71"/>
      <c r="O1785" s="72">
        <v>40897</v>
      </c>
      <c r="P1785" s="71"/>
      <c r="Q1785" s="71" t="b">
        <v>0</v>
      </c>
      <c r="R1785" s="22">
        <f t="shared" si="27"/>
        <v>29</v>
      </c>
    </row>
    <row r="1786" spans="1:18">
      <c r="A1786" s="71">
        <v>9798</v>
      </c>
      <c r="B1786" s="72">
        <v>40883</v>
      </c>
      <c r="C1786" s="71" t="s">
        <v>14631</v>
      </c>
      <c r="D1786" s="72">
        <v>40881</v>
      </c>
      <c r="E1786" s="71" t="s">
        <v>14632</v>
      </c>
      <c r="F1786" s="71" t="s">
        <v>3430</v>
      </c>
      <c r="G1786" s="71" t="s">
        <v>20</v>
      </c>
      <c r="H1786" s="71" t="s">
        <v>71</v>
      </c>
      <c r="I1786" s="71" t="s">
        <v>72</v>
      </c>
      <c r="J1786" s="71" t="s">
        <v>14633</v>
      </c>
      <c r="K1786" s="71"/>
      <c r="L1786" s="71" t="s">
        <v>7167</v>
      </c>
      <c r="M1786" s="71"/>
      <c r="O1786" s="72">
        <v>40885</v>
      </c>
      <c r="P1786" s="71"/>
      <c r="Q1786" s="71" t="b">
        <v>0</v>
      </c>
      <c r="R1786" s="22">
        <f t="shared" si="27"/>
        <v>2</v>
      </c>
    </row>
    <row r="1787" spans="1:18">
      <c r="A1787" s="71">
        <v>9803</v>
      </c>
      <c r="B1787" s="72">
        <v>40884</v>
      </c>
      <c r="C1787" s="71" t="s">
        <v>14649</v>
      </c>
      <c r="D1787" s="72">
        <v>40882</v>
      </c>
      <c r="E1787" s="71" t="s">
        <v>14650</v>
      </c>
      <c r="F1787" s="71" t="s">
        <v>2359</v>
      </c>
      <c r="G1787" s="71" t="s">
        <v>20</v>
      </c>
      <c r="H1787" s="71" t="s">
        <v>71</v>
      </c>
      <c r="I1787" s="71" t="s">
        <v>72</v>
      </c>
      <c r="J1787" s="71" t="s">
        <v>14651</v>
      </c>
      <c r="K1787" s="71" t="s">
        <v>14652</v>
      </c>
      <c r="L1787" s="71" t="s">
        <v>7167</v>
      </c>
      <c r="M1787" s="71"/>
      <c r="O1787" s="72">
        <v>40925</v>
      </c>
      <c r="P1787" s="71"/>
      <c r="Q1787" s="71" t="b">
        <v>0</v>
      </c>
      <c r="R1787" s="22">
        <f t="shared" si="27"/>
        <v>40</v>
      </c>
    </row>
    <row r="1788" spans="1:18">
      <c r="A1788" s="71">
        <v>9809</v>
      </c>
      <c r="B1788" s="72">
        <v>40890</v>
      </c>
      <c r="C1788" s="71" t="s">
        <v>14668</v>
      </c>
      <c r="D1788" s="72">
        <v>40885</v>
      </c>
      <c r="E1788" s="71" t="s">
        <v>14669</v>
      </c>
      <c r="F1788" s="71" t="s">
        <v>13960</v>
      </c>
      <c r="G1788" s="71" t="s">
        <v>20</v>
      </c>
      <c r="H1788" s="71" t="s">
        <v>189</v>
      </c>
      <c r="I1788" s="71" t="s">
        <v>189</v>
      </c>
      <c r="J1788" s="71" t="s">
        <v>14670</v>
      </c>
      <c r="K1788" s="71"/>
      <c r="L1788" s="71" t="s">
        <v>1152</v>
      </c>
      <c r="M1788" s="71" t="s">
        <v>14671</v>
      </c>
      <c r="O1788" s="72">
        <v>41820</v>
      </c>
      <c r="P1788" s="71"/>
      <c r="Q1788" s="71" t="b">
        <v>0</v>
      </c>
      <c r="R1788" s="22">
        <f t="shared" si="27"/>
        <v>929</v>
      </c>
    </row>
    <row r="1789" spans="1:18">
      <c r="A1789" s="71">
        <v>9810</v>
      </c>
      <c r="B1789" s="72">
        <v>40893</v>
      </c>
      <c r="C1789" s="71" t="s">
        <v>14672</v>
      </c>
      <c r="D1789" s="72">
        <v>40889</v>
      </c>
      <c r="E1789" s="71" t="s">
        <v>14673</v>
      </c>
      <c r="F1789" s="71" t="s">
        <v>327</v>
      </c>
      <c r="G1789" s="71" t="s">
        <v>20</v>
      </c>
      <c r="H1789" s="71" t="s">
        <v>71</v>
      </c>
      <c r="I1789" s="71" t="s">
        <v>72</v>
      </c>
      <c r="J1789" s="71" t="s">
        <v>14674</v>
      </c>
      <c r="K1789" s="71"/>
      <c r="L1789" s="71" t="s">
        <v>7167</v>
      </c>
      <c r="M1789" s="71"/>
      <c r="O1789" s="72">
        <v>41617</v>
      </c>
      <c r="P1789" s="71"/>
      <c r="Q1789" s="71" t="b">
        <v>0</v>
      </c>
      <c r="R1789" s="22">
        <f t="shared" si="27"/>
        <v>722</v>
      </c>
    </row>
    <row r="1790" spans="1:18">
      <c r="A1790" s="71">
        <v>9815</v>
      </c>
      <c r="B1790" s="72">
        <v>40918</v>
      </c>
      <c r="C1790" s="71" t="s">
        <v>14683</v>
      </c>
      <c r="D1790" s="72">
        <v>40906</v>
      </c>
      <c r="E1790" s="71" t="s">
        <v>14684</v>
      </c>
      <c r="F1790" s="71" t="s">
        <v>27</v>
      </c>
      <c r="G1790" s="71" t="s">
        <v>20</v>
      </c>
      <c r="H1790" s="71" t="s">
        <v>71</v>
      </c>
      <c r="I1790" s="71" t="s">
        <v>72</v>
      </c>
      <c r="J1790" s="71" t="s">
        <v>14685</v>
      </c>
      <c r="K1790" s="71" t="s">
        <v>14686</v>
      </c>
      <c r="L1790" s="71" t="s">
        <v>3588</v>
      </c>
      <c r="M1790" s="71"/>
      <c r="O1790" s="72">
        <v>40938</v>
      </c>
      <c r="P1790" s="71"/>
      <c r="Q1790" s="71" t="b">
        <v>0</v>
      </c>
      <c r="R1790" s="22">
        <f t="shared" si="27"/>
        <v>20</v>
      </c>
    </row>
    <row r="1791" spans="1:18">
      <c r="A1791" s="71">
        <v>9816</v>
      </c>
      <c r="B1791" s="72">
        <v>40919</v>
      </c>
      <c r="C1791" s="71" t="s">
        <v>14687</v>
      </c>
      <c r="D1791" s="72">
        <v>41266</v>
      </c>
      <c r="E1791" s="71" t="s">
        <v>14688</v>
      </c>
      <c r="F1791" s="71" t="s">
        <v>27</v>
      </c>
      <c r="G1791" s="71" t="s">
        <v>20</v>
      </c>
      <c r="H1791" s="71" t="s">
        <v>189</v>
      </c>
      <c r="I1791" s="71" t="s">
        <v>189</v>
      </c>
      <c r="J1791" s="71" t="s">
        <v>14689</v>
      </c>
      <c r="K1791" s="71" t="s">
        <v>14690</v>
      </c>
      <c r="L1791" s="71" t="s">
        <v>1946</v>
      </c>
      <c r="M1791" s="71"/>
      <c r="O1791" s="72">
        <v>40934</v>
      </c>
      <c r="P1791" s="71"/>
      <c r="Q1791" s="71" t="b">
        <v>0</v>
      </c>
      <c r="R1791" s="22">
        <f t="shared" si="27"/>
        <v>15</v>
      </c>
    </row>
    <row r="1792" spans="1:18">
      <c r="A1792" s="71">
        <v>9817</v>
      </c>
      <c r="B1792" s="72">
        <v>40919</v>
      </c>
      <c r="C1792" s="71" t="s">
        <v>14691</v>
      </c>
      <c r="D1792" s="72">
        <v>40913</v>
      </c>
      <c r="E1792" s="71" t="s">
        <v>14692</v>
      </c>
      <c r="F1792" s="71" t="s">
        <v>5270</v>
      </c>
      <c r="G1792" s="71" t="s">
        <v>20</v>
      </c>
      <c r="H1792" s="71" t="s">
        <v>71</v>
      </c>
      <c r="I1792" s="71" t="s">
        <v>72</v>
      </c>
      <c r="J1792" s="71" t="s">
        <v>14693</v>
      </c>
      <c r="K1792" s="71" t="s">
        <v>9348</v>
      </c>
      <c r="L1792" s="71" t="s">
        <v>7167</v>
      </c>
      <c r="M1792" s="71"/>
      <c r="O1792" s="72">
        <v>40919</v>
      </c>
      <c r="P1792" s="71"/>
      <c r="Q1792" s="71" t="b">
        <v>0</v>
      </c>
      <c r="R1792" s="22">
        <f t="shared" si="27"/>
        <v>0</v>
      </c>
    </row>
    <row r="1793" spans="1:18">
      <c r="A1793" s="71">
        <v>9818</v>
      </c>
      <c r="B1793" s="72">
        <v>40921</v>
      </c>
      <c r="C1793" s="71" t="s">
        <v>14694</v>
      </c>
      <c r="D1793" s="72">
        <v>40912</v>
      </c>
      <c r="E1793" s="71" t="s">
        <v>14695</v>
      </c>
      <c r="F1793" s="71" t="s">
        <v>5270</v>
      </c>
      <c r="G1793" s="71" t="s">
        <v>20</v>
      </c>
      <c r="H1793" s="71" t="s">
        <v>71</v>
      </c>
      <c r="I1793" s="71" t="s">
        <v>72</v>
      </c>
      <c r="J1793" s="71" t="s">
        <v>14696</v>
      </c>
      <c r="K1793" s="71" t="s">
        <v>14697</v>
      </c>
      <c r="L1793" s="71" t="s">
        <v>7167</v>
      </c>
      <c r="M1793" s="71"/>
      <c r="O1793" s="72">
        <v>40963</v>
      </c>
      <c r="P1793" s="71"/>
      <c r="Q1793" s="71" t="b">
        <v>0</v>
      </c>
      <c r="R1793" s="22">
        <f t="shared" si="27"/>
        <v>41</v>
      </c>
    </row>
    <row r="1794" spans="1:18">
      <c r="A1794" s="71">
        <v>9822</v>
      </c>
      <c r="B1794" s="72">
        <v>40938</v>
      </c>
      <c r="C1794" s="71" t="s">
        <v>14710</v>
      </c>
      <c r="D1794" s="72">
        <v>40934</v>
      </c>
      <c r="E1794" s="71" t="s">
        <v>14711</v>
      </c>
      <c r="F1794" s="71" t="s">
        <v>350</v>
      </c>
      <c r="G1794" s="71" t="s">
        <v>20</v>
      </c>
      <c r="H1794" s="71" t="s">
        <v>71</v>
      </c>
      <c r="I1794" s="71" t="s">
        <v>72</v>
      </c>
      <c r="J1794" s="71" t="s">
        <v>11774</v>
      </c>
      <c r="K1794" s="71"/>
      <c r="L1794" s="71" t="s">
        <v>1946</v>
      </c>
      <c r="M1794" s="71" t="s">
        <v>14712</v>
      </c>
      <c r="O1794" s="72">
        <v>42062</v>
      </c>
      <c r="P1794" s="71"/>
      <c r="Q1794" s="71" t="b">
        <v>0</v>
      </c>
      <c r="R1794" s="22">
        <f t="shared" ref="R1794:R1857" si="28">IF(O1794=" ", " ", INT(YEARFRAC(O1794, B1794)*365))</f>
        <v>1122</v>
      </c>
    </row>
    <row r="1795" spans="1:18">
      <c r="A1795" s="71">
        <v>9823</v>
      </c>
      <c r="B1795" s="72">
        <v>40938</v>
      </c>
      <c r="C1795" s="71" t="s">
        <v>14713</v>
      </c>
      <c r="D1795" s="72">
        <v>40934</v>
      </c>
      <c r="E1795" s="71" t="s">
        <v>14714</v>
      </c>
      <c r="F1795" s="71" t="s">
        <v>11050</v>
      </c>
      <c r="G1795" s="71" t="s">
        <v>20</v>
      </c>
      <c r="H1795" s="71" t="s">
        <v>71</v>
      </c>
      <c r="I1795" s="71" t="s">
        <v>72</v>
      </c>
      <c r="J1795" s="71" t="s">
        <v>14715</v>
      </c>
      <c r="K1795" s="71"/>
      <c r="L1795" s="71" t="s">
        <v>7167</v>
      </c>
      <c r="M1795" s="71"/>
      <c r="O1795" s="72">
        <v>41001</v>
      </c>
      <c r="P1795" s="71"/>
      <c r="Q1795" s="71" t="b">
        <v>0</v>
      </c>
      <c r="R1795" s="22">
        <f t="shared" si="28"/>
        <v>62</v>
      </c>
    </row>
    <row r="1796" spans="1:18">
      <c r="A1796" s="71">
        <v>9826</v>
      </c>
      <c r="B1796" s="72">
        <v>40941</v>
      </c>
      <c r="C1796" s="71" t="s">
        <v>14720</v>
      </c>
      <c r="D1796" s="72">
        <v>40941</v>
      </c>
      <c r="E1796" s="71" t="s">
        <v>14721</v>
      </c>
      <c r="F1796" s="71" t="s">
        <v>14336</v>
      </c>
      <c r="G1796" s="71" t="s">
        <v>20</v>
      </c>
      <c r="H1796" s="71" t="s">
        <v>71</v>
      </c>
      <c r="I1796" s="71" t="s">
        <v>72</v>
      </c>
      <c r="J1796" s="71" t="s">
        <v>14722</v>
      </c>
      <c r="K1796" s="71"/>
      <c r="L1796" s="71" t="s">
        <v>1152</v>
      </c>
      <c r="M1796" s="71" t="s">
        <v>3588</v>
      </c>
      <c r="O1796" s="72">
        <v>41820</v>
      </c>
      <c r="P1796" s="71"/>
      <c r="Q1796" s="71" t="b">
        <v>0</v>
      </c>
      <c r="R1796" s="22">
        <f t="shared" si="28"/>
        <v>880</v>
      </c>
    </row>
    <row r="1797" spans="1:18">
      <c r="A1797" s="71">
        <v>9829</v>
      </c>
      <c r="B1797" s="72">
        <v>40947</v>
      </c>
      <c r="C1797" s="71" t="s">
        <v>14725</v>
      </c>
      <c r="D1797" s="72">
        <v>40947</v>
      </c>
      <c r="E1797" s="71" t="s">
        <v>14726</v>
      </c>
      <c r="F1797" s="71" t="s">
        <v>211</v>
      </c>
      <c r="G1797" s="71" t="s">
        <v>20</v>
      </c>
      <c r="H1797" s="71" t="s">
        <v>212</v>
      </c>
      <c r="I1797" s="71" t="s">
        <v>212</v>
      </c>
      <c r="J1797" s="71" t="s">
        <v>14727</v>
      </c>
      <c r="K1797" s="71" t="s">
        <v>14728</v>
      </c>
      <c r="L1797" s="71" t="s">
        <v>7167</v>
      </c>
      <c r="M1797" s="71"/>
      <c r="O1797" s="72">
        <v>42004</v>
      </c>
      <c r="P1797" s="71"/>
      <c r="Q1797" s="71" t="b">
        <v>0</v>
      </c>
      <c r="R1797" s="22">
        <f t="shared" si="28"/>
        <v>1057</v>
      </c>
    </row>
    <row r="1798" spans="1:18">
      <c r="A1798" s="71">
        <v>9831</v>
      </c>
      <c r="B1798" s="72">
        <v>40948</v>
      </c>
      <c r="C1798" s="71" t="s">
        <v>14729</v>
      </c>
      <c r="D1798" s="72">
        <v>40947</v>
      </c>
      <c r="E1798" s="71" t="s">
        <v>14730</v>
      </c>
      <c r="F1798" s="71" t="s">
        <v>1232</v>
      </c>
      <c r="G1798" s="71" t="s">
        <v>20</v>
      </c>
      <c r="H1798" s="71" t="s">
        <v>189</v>
      </c>
      <c r="I1798" s="71" t="s">
        <v>189</v>
      </c>
      <c r="J1798" s="71" t="s">
        <v>14731</v>
      </c>
      <c r="K1798" s="71"/>
      <c r="L1798" s="71" t="s">
        <v>1946</v>
      </c>
      <c r="M1798" s="71" t="s">
        <v>14519</v>
      </c>
      <c r="O1798" s="72">
        <v>41820</v>
      </c>
      <c r="P1798" s="71"/>
      <c r="Q1798" s="71" t="b">
        <v>0</v>
      </c>
      <c r="R1798" s="22">
        <f t="shared" si="28"/>
        <v>872</v>
      </c>
    </row>
    <row r="1799" spans="1:18">
      <c r="A1799" s="71">
        <v>9835</v>
      </c>
      <c r="B1799" s="72">
        <v>40961</v>
      </c>
      <c r="C1799" s="71" t="s">
        <v>14738</v>
      </c>
      <c r="D1799" s="72">
        <v>40960</v>
      </c>
      <c r="E1799" s="71" t="s">
        <v>14739</v>
      </c>
      <c r="F1799" s="71" t="s">
        <v>98</v>
      </c>
      <c r="G1799" s="71" t="s">
        <v>20</v>
      </c>
      <c r="H1799" s="71" t="s">
        <v>71</v>
      </c>
      <c r="I1799" s="71" t="s">
        <v>72</v>
      </c>
      <c r="J1799" s="71" t="s">
        <v>14740</v>
      </c>
      <c r="K1799" s="71" t="s">
        <v>14741</v>
      </c>
      <c r="L1799" s="71" t="s">
        <v>7167</v>
      </c>
      <c r="M1799" s="71"/>
      <c r="O1799" s="72">
        <v>40990</v>
      </c>
      <c r="P1799" s="71"/>
      <c r="Q1799" s="71" t="b">
        <v>0</v>
      </c>
      <c r="R1799" s="22">
        <f t="shared" si="28"/>
        <v>30</v>
      </c>
    </row>
    <row r="1800" spans="1:18">
      <c r="A1800" s="71">
        <v>9836</v>
      </c>
      <c r="B1800" s="72">
        <v>40961</v>
      </c>
      <c r="C1800" s="71" t="s">
        <v>14742</v>
      </c>
      <c r="D1800" s="72">
        <v>40960</v>
      </c>
      <c r="E1800" s="71" t="s">
        <v>14743</v>
      </c>
      <c r="F1800" s="71" t="s">
        <v>98</v>
      </c>
      <c r="G1800" s="71" t="s">
        <v>20</v>
      </c>
      <c r="H1800" s="71" t="s">
        <v>71</v>
      </c>
      <c r="I1800" s="71" t="s">
        <v>72</v>
      </c>
      <c r="J1800" s="71" t="s">
        <v>14740</v>
      </c>
      <c r="K1800" s="71" t="s">
        <v>14744</v>
      </c>
      <c r="L1800" s="71" t="s">
        <v>7167</v>
      </c>
      <c r="M1800" s="71"/>
      <c r="O1800" s="72">
        <v>40990</v>
      </c>
      <c r="P1800" s="71"/>
      <c r="Q1800" s="71" t="b">
        <v>0</v>
      </c>
      <c r="R1800" s="22">
        <f t="shared" si="28"/>
        <v>30</v>
      </c>
    </row>
    <row r="1801" spans="1:18">
      <c r="A1801" s="71">
        <v>9846</v>
      </c>
      <c r="B1801" s="72">
        <v>40968</v>
      </c>
      <c r="C1801" s="71" t="s">
        <v>14766</v>
      </c>
      <c r="D1801" s="72">
        <v>40966</v>
      </c>
      <c r="E1801" s="71" t="s">
        <v>14767</v>
      </c>
      <c r="F1801" s="71" t="s">
        <v>14768</v>
      </c>
      <c r="G1801" s="71" t="s">
        <v>20</v>
      </c>
      <c r="H1801" s="71" t="s">
        <v>71</v>
      </c>
      <c r="I1801" s="71" t="s">
        <v>72</v>
      </c>
      <c r="J1801" s="71" t="s">
        <v>14769</v>
      </c>
      <c r="K1801" s="71" t="s">
        <v>14770</v>
      </c>
      <c r="L1801" s="71" t="s">
        <v>7167</v>
      </c>
      <c r="M1801" s="71"/>
      <c r="O1801" s="72">
        <v>41695</v>
      </c>
      <c r="P1801" s="71"/>
      <c r="Q1801" s="71" t="b">
        <v>0</v>
      </c>
      <c r="R1801" s="22">
        <f t="shared" si="28"/>
        <v>724</v>
      </c>
    </row>
    <row r="1802" spans="1:18">
      <c r="A1802" s="71">
        <v>9848</v>
      </c>
      <c r="B1802" s="72">
        <v>40975</v>
      </c>
      <c r="C1802" s="71" t="s">
        <v>14773</v>
      </c>
      <c r="D1802" s="72">
        <v>41243</v>
      </c>
      <c r="E1802" s="71" t="s">
        <v>14774</v>
      </c>
      <c r="F1802" s="71" t="s">
        <v>14379</v>
      </c>
      <c r="G1802" s="71" t="s">
        <v>20</v>
      </c>
      <c r="H1802" s="71" t="s">
        <v>71</v>
      </c>
      <c r="I1802" s="71" t="s">
        <v>72</v>
      </c>
      <c r="J1802" s="71" t="s">
        <v>14775</v>
      </c>
      <c r="K1802" s="71"/>
      <c r="L1802" s="71" t="s">
        <v>1946</v>
      </c>
      <c r="M1802" s="71"/>
      <c r="O1802" s="72">
        <v>40982</v>
      </c>
      <c r="P1802" s="71"/>
      <c r="Q1802" s="71" t="b">
        <v>0</v>
      </c>
      <c r="R1802" s="22">
        <f t="shared" si="28"/>
        <v>7</v>
      </c>
    </row>
    <row r="1803" spans="1:18">
      <c r="A1803" s="71">
        <v>9859</v>
      </c>
      <c r="B1803" s="72">
        <v>40982</v>
      </c>
      <c r="C1803" s="71" t="s">
        <v>14793</v>
      </c>
      <c r="D1803" s="72">
        <v>40885</v>
      </c>
      <c r="E1803" s="71" t="s">
        <v>14794</v>
      </c>
      <c r="F1803" s="71" t="s">
        <v>13960</v>
      </c>
      <c r="G1803" s="71" t="s">
        <v>20</v>
      </c>
      <c r="H1803" s="71" t="s">
        <v>71</v>
      </c>
      <c r="I1803" s="71" t="s">
        <v>72</v>
      </c>
      <c r="J1803" s="71" t="s">
        <v>14795</v>
      </c>
      <c r="K1803" s="71" t="s">
        <v>14796</v>
      </c>
      <c r="L1803" s="71" t="s">
        <v>1946</v>
      </c>
      <c r="M1803" s="71"/>
      <c r="O1803" s="72">
        <v>40996</v>
      </c>
      <c r="P1803" s="71"/>
      <c r="Q1803" s="71" t="b">
        <v>0</v>
      </c>
      <c r="R1803" s="22">
        <f t="shared" si="28"/>
        <v>14</v>
      </c>
    </row>
    <row r="1804" spans="1:18">
      <c r="A1804" s="71">
        <v>9861</v>
      </c>
      <c r="B1804" s="72">
        <v>40983</v>
      </c>
      <c r="C1804" s="71" t="s">
        <v>14799</v>
      </c>
      <c r="D1804" s="72">
        <v>40982</v>
      </c>
      <c r="E1804" s="71" t="s">
        <v>14800</v>
      </c>
      <c r="F1804" s="71" t="s">
        <v>5704</v>
      </c>
      <c r="G1804" s="71" t="s">
        <v>20</v>
      </c>
      <c r="H1804" s="71" t="s">
        <v>71</v>
      </c>
      <c r="I1804" s="71" t="s">
        <v>72</v>
      </c>
      <c r="J1804" s="71" t="s">
        <v>12762</v>
      </c>
      <c r="K1804" s="71"/>
      <c r="L1804" s="71" t="s">
        <v>7167</v>
      </c>
      <c r="M1804" s="71"/>
      <c r="O1804" s="72">
        <v>41330</v>
      </c>
      <c r="P1804" s="71"/>
      <c r="Q1804" s="71" t="b">
        <v>0</v>
      </c>
      <c r="R1804" s="22">
        <f t="shared" si="28"/>
        <v>344</v>
      </c>
    </row>
    <row r="1805" spans="1:18">
      <c r="A1805" s="71">
        <v>9867</v>
      </c>
      <c r="B1805" s="72">
        <v>40997</v>
      </c>
      <c r="C1805" s="71" t="s">
        <v>14812</v>
      </c>
      <c r="D1805" s="72">
        <v>40997</v>
      </c>
      <c r="E1805" s="71" t="s">
        <v>14813</v>
      </c>
      <c r="F1805" s="71" t="s">
        <v>13960</v>
      </c>
      <c r="G1805" s="71" t="s">
        <v>20</v>
      </c>
      <c r="H1805" s="71" t="s">
        <v>71</v>
      </c>
      <c r="I1805" s="71" t="s">
        <v>72</v>
      </c>
      <c r="J1805" s="71" t="s">
        <v>14814</v>
      </c>
      <c r="K1805" s="71" t="s">
        <v>14815</v>
      </c>
      <c r="L1805" s="71" t="s">
        <v>3588</v>
      </c>
      <c r="M1805" s="71"/>
      <c r="O1805" s="72">
        <v>41010</v>
      </c>
      <c r="P1805" s="71"/>
      <c r="Q1805" s="71" t="b">
        <v>0</v>
      </c>
      <c r="R1805" s="22">
        <f t="shared" si="28"/>
        <v>12</v>
      </c>
    </row>
    <row r="1806" spans="1:18">
      <c r="A1806" s="71">
        <v>9870</v>
      </c>
      <c r="B1806" s="72">
        <v>41017</v>
      </c>
      <c r="C1806" s="71" t="s">
        <v>14823</v>
      </c>
      <c r="D1806" s="72">
        <v>41016</v>
      </c>
      <c r="E1806" s="71" t="s">
        <v>14824</v>
      </c>
      <c r="F1806" s="71" t="s">
        <v>8358</v>
      </c>
      <c r="G1806" s="71" t="s">
        <v>20</v>
      </c>
      <c r="H1806" s="71" t="s">
        <v>71</v>
      </c>
      <c r="I1806" s="71" t="s">
        <v>72</v>
      </c>
      <c r="J1806" s="71" t="s">
        <v>8804</v>
      </c>
      <c r="K1806" s="71" t="s">
        <v>14825</v>
      </c>
      <c r="L1806" s="71" t="s">
        <v>7167</v>
      </c>
      <c r="M1806" s="71"/>
      <c r="O1806" s="72">
        <v>41324</v>
      </c>
      <c r="P1806" s="71"/>
      <c r="Q1806" s="71" t="b">
        <v>0</v>
      </c>
      <c r="R1806" s="22">
        <f t="shared" si="28"/>
        <v>305</v>
      </c>
    </row>
    <row r="1807" spans="1:18">
      <c r="A1807" s="71">
        <v>9871</v>
      </c>
      <c r="B1807" s="72">
        <v>41024</v>
      </c>
      <c r="C1807" s="71" t="s">
        <v>14826</v>
      </c>
      <c r="D1807" s="72">
        <v>40983</v>
      </c>
      <c r="E1807" s="71" t="s">
        <v>14827</v>
      </c>
      <c r="F1807" s="71" t="s">
        <v>6580</v>
      </c>
      <c r="G1807" s="71" t="s">
        <v>20</v>
      </c>
      <c r="H1807" s="71" t="s">
        <v>71</v>
      </c>
      <c r="I1807" s="71" t="s">
        <v>72</v>
      </c>
      <c r="J1807" s="71" t="s">
        <v>14828</v>
      </c>
      <c r="K1807" s="71" t="s">
        <v>2542</v>
      </c>
      <c r="L1807" s="71" t="s">
        <v>3588</v>
      </c>
      <c r="M1807" s="71"/>
      <c r="O1807" s="72">
        <v>41361</v>
      </c>
      <c r="P1807" s="71"/>
      <c r="Q1807" s="71" t="b">
        <v>0</v>
      </c>
      <c r="R1807" s="22">
        <f t="shared" si="28"/>
        <v>337</v>
      </c>
    </row>
    <row r="1808" spans="1:18">
      <c r="A1808" s="71">
        <v>9875</v>
      </c>
      <c r="B1808" s="72">
        <v>41039</v>
      </c>
      <c r="C1808" s="71" t="s">
        <v>14834</v>
      </c>
      <c r="D1808" s="72">
        <v>41037</v>
      </c>
      <c r="E1808" s="71" t="s">
        <v>14835</v>
      </c>
      <c r="F1808" s="71" t="s">
        <v>14836</v>
      </c>
      <c r="G1808" s="71" t="s">
        <v>20</v>
      </c>
      <c r="H1808" s="71" t="s">
        <v>71</v>
      </c>
      <c r="I1808" s="71" t="s">
        <v>72</v>
      </c>
      <c r="J1808" s="71" t="s">
        <v>14837</v>
      </c>
      <c r="K1808" s="71" t="s">
        <v>14838</v>
      </c>
      <c r="L1808" s="71" t="s">
        <v>7167</v>
      </c>
      <c r="M1808" s="71"/>
      <c r="O1808" s="72">
        <v>41162</v>
      </c>
      <c r="P1808" s="71"/>
      <c r="Q1808" s="71" t="b">
        <v>0</v>
      </c>
      <c r="R1808" s="22">
        <f t="shared" si="28"/>
        <v>121</v>
      </c>
    </row>
    <row r="1809" spans="1:18">
      <c r="A1809" s="71">
        <v>9877</v>
      </c>
      <c r="B1809" s="72">
        <v>41047</v>
      </c>
      <c r="C1809" s="71" t="s">
        <v>14842</v>
      </c>
      <c r="D1809" s="72">
        <v>41043</v>
      </c>
      <c r="E1809" s="71" t="s">
        <v>14843</v>
      </c>
      <c r="F1809" s="71" t="s">
        <v>12660</v>
      </c>
      <c r="G1809" s="71" t="s">
        <v>20</v>
      </c>
      <c r="H1809" s="71" t="s">
        <v>71</v>
      </c>
      <c r="I1809" s="71" t="s">
        <v>72</v>
      </c>
      <c r="J1809" s="71" t="s">
        <v>14844</v>
      </c>
      <c r="K1809" s="71" t="s">
        <v>14845</v>
      </c>
      <c r="L1809" s="71" t="s">
        <v>7167</v>
      </c>
      <c r="M1809" s="71" t="s">
        <v>3588</v>
      </c>
      <c r="O1809" s="72">
        <v>41464</v>
      </c>
      <c r="P1809" s="71"/>
      <c r="Q1809" s="71" t="b">
        <v>0</v>
      </c>
      <c r="R1809" s="22">
        <f t="shared" si="28"/>
        <v>416</v>
      </c>
    </row>
    <row r="1810" spans="1:18">
      <c r="A1810" s="71">
        <v>9878</v>
      </c>
      <c r="B1810" s="72">
        <v>41050</v>
      </c>
      <c r="C1810" s="71" t="s">
        <v>14846</v>
      </c>
      <c r="D1810" s="72">
        <v>41036</v>
      </c>
      <c r="E1810" s="71" t="s">
        <v>14847</v>
      </c>
      <c r="F1810" s="71" t="s">
        <v>124</v>
      </c>
      <c r="G1810" s="71" t="s">
        <v>20</v>
      </c>
      <c r="H1810" s="71" t="s">
        <v>566</v>
      </c>
      <c r="I1810" s="71" t="s">
        <v>566</v>
      </c>
      <c r="J1810" s="71" t="s">
        <v>14848</v>
      </c>
      <c r="K1810" s="71" t="s">
        <v>3581</v>
      </c>
      <c r="L1810" s="71" t="s">
        <v>14411</v>
      </c>
      <c r="M1810" s="71" t="s">
        <v>14849</v>
      </c>
      <c r="O1810" s="72">
        <v>42108</v>
      </c>
      <c r="P1810" s="71"/>
      <c r="Q1810" s="71" t="b">
        <v>0</v>
      </c>
      <c r="R1810" s="22">
        <f t="shared" si="28"/>
        <v>1057</v>
      </c>
    </row>
    <row r="1811" spans="1:18">
      <c r="A1811" s="71">
        <v>9880</v>
      </c>
      <c r="B1811" s="72">
        <v>41059</v>
      </c>
      <c r="C1811" s="71" t="s">
        <v>14850</v>
      </c>
      <c r="D1811" s="72">
        <v>41054</v>
      </c>
      <c r="E1811" s="71" t="s">
        <v>14851</v>
      </c>
      <c r="F1811" s="71" t="s">
        <v>228</v>
      </c>
      <c r="G1811" s="71" t="s">
        <v>20</v>
      </c>
      <c r="H1811" s="71" t="s">
        <v>71</v>
      </c>
      <c r="I1811" s="71" t="s">
        <v>72</v>
      </c>
      <c r="J1811" s="71" t="s">
        <v>14852</v>
      </c>
      <c r="K1811" s="71"/>
      <c r="L1811" s="71" t="s">
        <v>14411</v>
      </c>
      <c r="M1811" s="71" t="s">
        <v>1946</v>
      </c>
      <c r="O1811" s="72">
        <v>41809</v>
      </c>
      <c r="P1811" s="71"/>
      <c r="Q1811" s="71" t="b">
        <v>0</v>
      </c>
      <c r="R1811" s="22">
        <f t="shared" si="28"/>
        <v>749</v>
      </c>
    </row>
    <row r="1812" spans="1:18">
      <c r="A1812" s="71">
        <v>9881</v>
      </c>
      <c r="B1812" s="72">
        <v>41059</v>
      </c>
      <c r="C1812" s="71" t="s">
        <v>14853</v>
      </c>
      <c r="D1812" s="72">
        <v>41058</v>
      </c>
      <c r="E1812" s="71" t="s">
        <v>14854</v>
      </c>
      <c r="F1812" s="71" t="s">
        <v>211</v>
      </c>
      <c r="G1812" s="71" t="s">
        <v>20</v>
      </c>
      <c r="H1812" s="71" t="s">
        <v>212</v>
      </c>
      <c r="I1812" s="71" t="s">
        <v>212</v>
      </c>
      <c r="J1812" s="71" t="s">
        <v>14855</v>
      </c>
      <c r="K1812" s="71"/>
      <c r="L1812" s="71" t="s">
        <v>7167</v>
      </c>
      <c r="M1812" s="71"/>
      <c r="O1812" s="72">
        <v>41669</v>
      </c>
      <c r="P1812" s="71"/>
      <c r="Q1812" s="71" t="b">
        <v>0</v>
      </c>
      <c r="R1812" s="22">
        <f t="shared" si="28"/>
        <v>608</v>
      </c>
    </row>
    <row r="1813" spans="1:18">
      <c r="A1813" s="71">
        <v>9884</v>
      </c>
      <c r="B1813" s="72">
        <v>41072</v>
      </c>
      <c r="C1813" s="71" t="s">
        <v>14863</v>
      </c>
      <c r="D1813" s="72">
        <v>41072</v>
      </c>
      <c r="E1813" s="71" t="s">
        <v>14864</v>
      </c>
      <c r="F1813" s="71" t="s">
        <v>14755</v>
      </c>
      <c r="G1813" s="71" t="s">
        <v>20</v>
      </c>
      <c r="H1813" s="71" t="s">
        <v>212</v>
      </c>
      <c r="I1813" s="71" t="s">
        <v>212</v>
      </c>
      <c r="J1813" s="71" t="s">
        <v>14865</v>
      </c>
      <c r="K1813" s="71"/>
      <c r="L1813" s="71" t="s">
        <v>7167</v>
      </c>
      <c r="M1813" s="71"/>
      <c r="O1813" s="72">
        <v>41334</v>
      </c>
      <c r="P1813" s="71"/>
      <c r="Q1813" s="71" t="b">
        <v>0</v>
      </c>
      <c r="R1813" s="22">
        <f t="shared" si="28"/>
        <v>262</v>
      </c>
    </row>
    <row r="1814" spans="1:18">
      <c r="A1814" s="71">
        <v>9891</v>
      </c>
      <c r="B1814" s="72">
        <v>41093</v>
      </c>
      <c r="C1814" s="71" t="s">
        <v>14879</v>
      </c>
      <c r="D1814" s="72">
        <v>41092</v>
      </c>
      <c r="E1814" s="71" t="s">
        <v>14880</v>
      </c>
      <c r="F1814" s="71" t="s">
        <v>98</v>
      </c>
      <c r="G1814" s="71" t="s">
        <v>20</v>
      </c>
      <c r="H1814" s="71" t="s">
        <v>71</v>
      </c>
      <c r="I1814" s="71" t="s">
        <v>72</v>
      </c>
      <c r="J1814" s="71" t="s">
        <v>14881</v>
      </c>
      <c r="K1814" s="71"/>
      <c r="L1814" s="71" t="s">
        <v>1946</v>
      </c>
      <c r="M1814" s="71" t="s">
        <v>14882</v>
      </c>
      <c r="O1814" s="72">
        <v>42025</v>
      </c>
      <c r="P1814" s="71"/>
      <c r="Q1814" s="71" t="b">
        <v>0</v>
      </c>
      <c r="R1814" s="22">
        <f t="shared" si="28"/>
        <v>930</v>
      </c>
    </row>
    <row r="1815" spans="1:18">
      <c r="A1815" s="71">
        <v>9893</v>
      </c>
      <c r="B1815" s="72">
        <v>41096</v>
      </c>
      <c r="C1815" s="71" t="s">
        <v>14886</v>
      </c>
      <c r="D1815" s="72">
        <v>40067</v>
      </c>
      <c r="E1815" s="71" t="s">
        <v>14887</v>
      </c>
      <c r="F1815" s="71" t="s">
        <v>367</v>
      </c>
      <c r="G1815" s="71" t="s">
        <v>20</v>
      </c>
      <c r="H1815" s="71" t="s">
        <v>71</v>
      </c>
      <c r="I1815" s="71" t="s">
        <v>72</v>
      </c>
      <c r="J1815" s="71" t="s">
        <v>13647</v>
      </c>
      <c r="K1815" s="71" t="s">
        <v>14888</v>
      </c>
      <c r="L1815" s="71" t="s">
        <v>1946</v>
      </c>
      <c r="M1815" s="71"/>
      <c r="O1815" s="72">
        <v>41409</v>
      </c>
      <c r="P1815" s="71"/>
      <c r="Q1815" s="71" t="b">
        <v>0</v>
      </c>
      <c r="R1815" s="22">
        <f t="shared" si="28"/>
        <v>313</v>
      </c>
    </row>
    <row r="1816" spans="1:18">
      <c r="A1816" s="71">
        <v>9894</v>
      </c>
      <c r="B1816" s="72">
        <v>41100</v>
      </c>
      <c r="C1816" s="71" t="s">
        <v>14889</v>
      </c>
      <c r="D1816" s="72">
        <v>41043</v>
      </c>
      <c r="E1816" s="71" t="s">
        <v>14890</v>
      </c>
      <c r="F1816" s="71" t="s">
        <v>27</v>
      </c>
      <c r="G1816" s="71" t="s">
        <v>20</v>
      </c>
      <c r="H1816" s="71" t="s">
        <v>71</v>
      </c>
      <c r="I1816" s="71" t="s">
        <v>72</v>
      </c>
      <c r="J1816" s="71" t="s">
        <v>14841</v>
      </c>
      <c r="K1816" s="71" t="s">
        <v>14825</v>
      </c>
      <c r="L1816" s="71" t="s">
        <v>1946</v>
      </c>
      <c r="M1816" s="71"/>
      <c r="O1816" s="72">
        <v>41116</v>
      </c>
      <c r="P1816" s="71"/>
      <c r="Q1816" s="71" t="b">
        <v>0</v>
      </c>
      <c r="R1816" s="22">
        <f t="shared" si="28"/>
        <v>16</v>
      </c>
    </row>
    <row r="1817" spans="1:18">
      <c r="A1817" s="71">
        <v>9902</v>
      </c>
      <c r="B1817" s="72">
        <v>41113</v>
      </c>
      <c r="C1817" s="71" t="s">
        <v>14899</v>
      </c>
      <c r="D1817" s="72">
        <v>41110</v>
      </c>
      <c r="E1817" s="71" t="s">
        <v>14900</v>
      </c>
      <c r="F1817" s="71" t="s">
        <v>19</v>
      </c>
      <c r="G1817" s="71" t="s">
        <v>20</v>
      </c>
      <c r="H1817" s="71" t="s">
        <v>71</v>
      </c>
      <c r="I1817" s="71" t="s">
        <v>72</v>
      </c>
      <c r="J1817" s="71" t="s">
        <v>14901</v>
      </c>
      <c r="K1817" s="71"/>
      <c r="L1817" s="71" t="s">
        <v>7167</v>
      </c>
      <c r="M1817" s="71"/>
      <c r="O1817" s="72">
        <v>41759</v>
      </c>
      <c r="P1817" s="71"/>
      <c r="Q1817" s="71" t="b">
        <v>0</v>
      </c>
      <c r="R1817" s="22">
        <f t="shared" si="28"/>
        <v>645</v>
      </c>
    </row>
    <row r="1818" spans="1:18">
      <c r="A1818" s="71">
        <v>9903</v>
      </c>
      <c r="B1818" s="72">
        <v>41113</v>
      </c>
      <c r="C1818" s="71" t="s">
        <v>14902</v>
      </c>
      <c r="D1818" s="72">
        <v>40505</v>
      </c>
      <c r="E1818" s="71" t="s">
        <v>14903</v>
      </c>
      <c r="F1818" s="71" t="s">
        <v>1546</v>
      </c>
      <c r="G1818" s="71" t="s">
        <v>20</v>
      </c>
      <c r="H1818" s="71" t="s">
        <v>71</v>
      </c>
      <c r="I1818" s="71" t="s">
        <v>72</v>
      </c>
      <c r="J1818" s="71" t="s">
        <v>1712</v>
      </c>
      <c r="K1818" s="71" t="s">
        <v>6111</v>
      </c>
      <c r="L1818" s="71" t="s">
        <v>7167</v>
      </c>
      <c r="M1818" s="71"/>
      <c r="O1818" s="72">
        <v>41249</v>
      </c>
      <c r="P1818" s="71"/>
      <c r="Q1818" s="71" t="b">
        <v>0</v>
      </c>
      <c r="R1818" s="22">
        <f t="shared" si="28"/>
        <v>134</v>
      </c>
    </row>
    <row r="1819" spans="1:18">
      <c r="A1819" s="71">
        <v>9904</v>
      </c>
      <c r="B1819" s="72">
        <v>41113</v>
      </c>
      <c r="C1819" s="71" t="s">
        <v>14904</v>
      </c>
      <c r="D1819" s="72">
        <v>41199</v>
      </c>
      <c r="E1819" s="71" t="s">
        <v>14905</v>
      </c>
      <c r="F1819" s="71" t="s">
        <v>14118</v>
      </c>
      <c r="G1819" s="71" t="s">
        <v>20</v>
      </c>
      <c r="H1819" s="71" t="s">
        <v>71</v>
      </c>
      <c r="I1819" s="71" t="s">
        <v>72</v>
      </c>
      <c r="J1819" s="71" t="s">
        <v>2694</v>
      </c>
      <c r="K1819" s="71" t="s">
        <v>9348</v>
      </c>
      <c r="L1819" s="71" t="s">
        <v>7167</v>
      </c>
      <c r="M1819" s="71"/>
      <c r="O1819" s="72">
        <v>41684</v>
      </c>
      <c r="P1819" s="71"/>
      <c r="Q1819" s="71" t="b">
        <v>0</v>
      </c>
      <c r="R1819" s="22">
        <f t="shared" si="28"/>
        <v>568</v>
      </c>
    </row>
    <row r="1820" spans="1:18">
      <c r="A1820" s="71">
        <v>9906</v>
      </c>
      <c r="B1820" s="72">
        <v>41116</v>
      </c>
      <c r="C1820" s="71" t="s">
        <v>14906</v>
      </c>
      <c r="D1820" s="72">
        <v>41115</v>
      </c>
      <c r="E1820" s="71" t="s">
        <v>14907</v>
      </c>
      <c r="F1820" s="71" t="s">
        <v>1232</v>
      </c>
      <c r="G1820" s="71" t="s">
        <v>20</v>
      </c>
      <c r="H1820" s="71" t="s">
        <v>189</v>
      </c>
      <c r="I1820" s="71" t="s">
        <v>189</v>
      </c>
      <c r="J1820" s="71" t="s">
        <v>14908</v>
      </c>
      <c r="K1820" s="71" t="s">
        <v>14825</v>
      </c>
      <c r="L1820" s="71" t="s">
        <v>14909</v>
      </c>
      <c r="M1820" s="71" t="s">
        <v>14581</v>
      </c>
      <c r="O1820" s="72">
        <v>41814</v>
      </c>
      <c r="P1820" s="71"/>
      <c r="Q1820" s="71" t="b">
        <v>0</v>
      </c>
      <c r="R1820" s="22">
        <f t="shared" si="28"/>
        <v>697</v>
      </c>
    </row>
    <row r="1821" spans="1:18">
      <c r="A1821" s="71">
        <v>9908</v>
      </c>
      <c r="B1821" s="72">
        <v>41122</v>
      </c>
      <c r="C1821" s="71" t="s">
        <v>14915</v>
      </c>
      <c r="D1821" s="72">
        <v>41210</v>
      </c>
      <c r="E1821" s="71" t="s">
        <v>14916</v>
      </c>
      <c r="F1821" s="71" t="s">
        <v>14259</v>
      </c>
      <c r="G1821" s="71" t="s">
        <v>20</v>
      </c>
      <c r="H1821" s="71" t="s">
        <v>71</v>
      </c>
      <c r="I1821" s="71" t="s">
        <v>72</v>
      </c>
      <c r="J1821" s="71" t="s">
        <v>14917</v>
      </c>
      <c r="K1821" s="71" t="s">
        <v>272</v>
      </c>
      <c r="L1821" s="71" t="s">
        <v>7167</v>
      </c>
      <c r="M1821" s="71"/>
      <c r="O1821" s="72">
        <v>42185</v>
      </c>
      <c r="P1821" s="71"/>
      <c r="Q1821" s="71" t="b">
        <v>0</v>
      </c>
      <c r="R1821" s="22">
        <f t="shared" si="28"/>
        <v>1063</v>
      </c>
    </row>
    <row r="1822" spans="1:18">
      <c r="A1822" s="71">
        <v>9911</v>
      </c>
      <c r="B1822" s="72">
        <v>41128</v>
      </c>
      <c r="C1822" s="71" t="s">
        <v>14921</v>
      </c>
      <c r="D1822" s="72">
        <v>41128</v>
      </c>
      <c r="E1822" s="71" t="s">
        <v>14922</v>
      </c>
      <c r="F1822" s="71" t="s">
        <v>14923</v>
      </c>
      <c r="G1822" s="71" t="s">
        <v>20</v>
      </c>
      <c r="H1822" s="71" t="s">
        <v>189</v>
      </c>
      <c r="I1822" s="71" t="s">
        <v>189</v>
      </c>
      <c r="J1822" s="71" t="s">
        <v>14924</v>
      </c>
      <c r="K1822" s="71" t="s">
        <v>14925</v>
      </c>
      <c r="L1822" s="71" t="s">
        <v>7167</v>
      </c>
      <c r="M1822" s="71"/>
      <c r="O1822" s="72">
        <v>41330</v>
      </c>
      <c r="P1822" s="71"/>
      <c r="Q1822" s="71" t="b">
        <v>0</v>
      </c>
      <c r="R1822" s="22">
        <f t="shared" si="28"/>
        <v>200</v>
      </c>
    </row>
    <row r="1823" spans="1:18">
      <c r="A1823" s="71">
        <v>9918</v>
      </c>
      <c r="B1823" s="72">
        <v>41134</v>
      </c>
      <c r="C1823" s="71" t="s">
        <v>14942</v>
      </c>
      <c r="D1823" s="72">
        <v>41131</v>
      </c>
      <c r="E1823" s="71" t="s">
        <v>14943</v>
      </c>
      <c r="F1823" s="71" t="s">
        <v>14944</v>
      </c>
      <c r="G1823" s="71" t="s">
        <v>20</v>
      </c>
      <c r="H1823" s="71" t="s">
        <v>71</v>
      </c>
      <c r="I1823" s="71" t="s">
        <v>72</v>
      </c>
      <c r="J1823" s="71" t="s">
        <v>14945</v>
      </c>
      <c r="K1823" s="71" t="s">
        <v>14946</v>
      </c>
      <c r="L1823" s="71" t="s">
        <v>1946</v>
      </c>
      <c r="M1823" s="71" t="s">
        <v>14947</v>
      </c>
      <c r="O1823" s="72">
        <v>42123</v>
      </c>
      <c r="P1823" s="71"/>
      <c r="Q1823" s="71" t="b">
        <v>0</v>
      </c>
      <c r="R1823" s="22">
        <f t="shared" si="28"/>
        <v>989</v>
      </c>
    </row>
    <row r="1824" spans="1:18">
      <c r="A1824" s="71">
        <v>9919</v>
      </c>
      <c r="B1824" s="72">
        <v>41134</v>
      </c>
      <c r="C1824" s="71" t="s">
        <v>14948</v>
      </c>
      <c r="D1824" s="72">
        <v>41130</v>
      </c>
      <c r="E1824" s="71" t="s">
        <v>14949</v>
      </c>
      <c r="F1824" s="71" t="s">
        <v>129</v>
      </c>
      <c r="G1824" s="71" t="s">
        <v>20</v>
      </c>
      <c r="H1824" s="71" t="s">
        <v>71</v>
      </c>
      <c r="I1824" s="71" t="s">
        <v>72</v>
      </c>
      <c r="J1824" s="71" t="s">
        <v>14950</v>
      </c>
      <c r="K1824" s="71"/>
      <c r="L1824" s="71" t="s">
        <v>3588</v>
      </c>
      <c r="M1824" s="71"/>
      <c r="O1824" s="72">
        <v>41151</v>
      </c>
      <c r="P1824" s="71"/>
      <c r="Q1824" s="71" t="b">
        <v>0</v>
      </c>
      <c r="R1824" s="22">
        <f t="shared" si="28"/>
        <v>17</v>
      </c>
    </row>
    <row r="1825" spans="1:18">
      <c r="A1825" s="71">
        <v>9920</v>
      </c>
      <c r="B1825" s="72">
        <v>41135</v>
      </c>
      <c r="C1825" s="71" t="s">
        <v>14951</v>
      </c>
      <c r="D1825" s="72">
        <v>41095</v>
      </c>
      <c r="E1825" s="71" t="s">
        <v>14952</v>
      </c>
      <c r="F1825" s="71" t="s">
        <v>52</v>
      </c>
      <c r="G1825" s="71" t="s">
        <v>20</v>
      </c>
      <c r="H1825" s="71" t="s">
        <v>71</v>
      </c>
      <c r="I1825" s="71" t="s">
        <v>72</v>
      </c>
      <c r="J1825" s="71" t="s">
        <v>14953</v>
      </c>
      <c r="K1825" s="71" t="s">
        <v>9348</v>
      </c>
      <c r="L1825" s="71" t="s">
        <v>4282</v>
      </c>
      <c r="M1825" s="71"/>
      <c r="O1825" s="72">
        <v>42291</v>
      </c>
      <c r="P1825" s="71"/>
      <c r="Q1825" s="71" t="b">
        <v>0</v>
      </c>
      <c r="R1825" s="22">
        <f t="shared" si="28"/>
        <v>1155</v>
      </c>
    </row>
    <row r="1826" spans="1:18">
      <c r="A1826" s="71">
        <v>9922</v>
      </c>
      <c r="B1826" s="72">
        <v>41143</v>
      </c>
      <c r="C1826" s="71" t="s">
        <v>14957</v>
      </c>
      <c r="D1826" s="72">
        <v>41142</v>
      </c>
      <c r="E1826" s="71" t="s">
        <v>14958</v>
      </c>
      <c r="F1826" s="71" t="s">
        <v>145</v>
      </c>
      <c r="G1826" s="71" t="s">
        <v>20</v>
      </c>
      <c r="H1826" s="71" t="s">
        <v>71</v>
      </c>
      <c r="I1826" s="71" t="s">
        <v>72</v>
      </c>
      <c r="J1826" s="71" t="s">
        <v>14959</v>
      </c>
      <c r="K1826" s="71" t="s">
        <v>9348</v>
      </c>
      <c r="L1826" s="71" t="s">
        <v>7167</v>
      </c>
      <c r="M1826" s="71"/>
      <c r="O1826" s="72">
        <v>41960</v>
      </c>
      <c r="P1826" s="71"/>
      <c r="Q1826" s="71" t="b">
        <v>0</v>
      </c>
      <c r="R1826" s="22">
        <f t="shared" si="28"/>
        <v>816</v>
      </c>
    </row>
    <row r="1827" spans="1:18">
      <c r="A1827" s="71">
        <v>9926</v>
      </c>
      <c r="B1827" s="72">
        <v>41164</v>
      </c>
      <c r="C1827" s="71" t="s">
        <v>14968</v>
      </c>
      <c r="D1827" s="72">
        <v>41151</v>
      </c>
      <c r="E1827" s="71" t="s">
        <v>14969</v>
      </c>
      <c r="F1827" s="71" t="s">
        <v>5184</v>
      </c>
      <c r="G1827" s="71" t="s">
        <v>20</v>
      </c>
      <c r="H1827" s="71" t="s">
        <v>71</v>
      </c>
      <c r="I1827" s="71" t="s">
        <v>72</v>
      </c>
      <c r="J1827" s="71" t="s">
        <v>14970</v>
      </c>
      <c r="K1827" s="71"/>
      <c r="L1827" s="71" t="s">
        <v>14411</v>
      </c>
      <c r="M1827" s="71" t="s">
        <v>14849</v>
      </c>
      <c r="O1827" s="72">
        <v>41985</v>
      </c>
      <c r="P1827" s="71"/>
      <c r="Q1827" s="71" t="b">
        <v>0</v>
      </c>
      <c r="R1827" s="22">
        <f t="shared" si="28"/>
        <v>821</v>
      </c>
    </row>
    <row r="1828" spans="1:18">
      <c r="A1828" s="71">
        <v>9927</v>
      </c>
      <c r="B1828" s="72">
        <v>41164</v>
      </c>
      <c r="C1828" s="71" t="s">
        <v>14971</v>
      </c>
      <c r="D1828" s="72">
        <v>41163</v>
      </c>
      <c r="E1828" s="71" t="s">
        <v>14972</v>
      </c>
      <c r="F1828" s="71" t="s">
        <v>14336</v>
      </c>
      <c r="G1828" s="71" t="s">
        <v>20</v>
      </c>
      <c r="H1828" s="71" t="s">
        <v>189</v>
      </c>
      <c r="I1828" s="71" t="s">
        <v>189</v>
      </c>
      <c r="J1828" s="71" t="s">
        <v>14973</v>
      </c>
      <c r="K1828" s="71"/>
      <c r="L1828" s="71" t="s">
        <v>3588</v>
      </c>
      <c r="M1828" s="71"/>
      <c r="O1828" s="72">
        <v>41201</v>
      </c>
      <c r="P1828" s="71"/>
      <c r="Q1828" s="71" t="b">
        <v>0</v>
      </c>
      <c r="R1828" s="22">
        <f t="shared" si="28"/>
        <v>37</v>
      </c>
    </row>
    <row r="1829" spans="1:18">
      <c r="A1829" s="71">
        <v>9931</v>
      </c>
      <c r="B1829" s="72">
        <v>41170</v>
      </c>
      <c r="C1829" s="71" t="s">
        <v>14981</v>
      </c>
      <c r="D1829" s="72">
        <v>41163</v>
      </c>
      <c r="E1829" s="71" t="s">
        <v>14982</v>
      </c>
      <c r="F1829" s="71" t="s">
        <v>14944</v>
      </c>
      <c r="G1829" s="71" t="s">
        <v>20</v>
      </c>
      <c r="H1829" s="71" t="s">
        <v>71</v>
      </c>
      <c r="I1829" s="71" t="s">
        <v>72</v>
      </c>
      <c r="J1829" s="71" t="s">
        <v>14983</v>
      </c>
      <c r="K1829" s="71" t="s">
        <v>14984</v>
      </c>
      <c r="L1829" s="71" t="s">
        <v>1946</v>
      </c>
      <c r="M1829" s="71" t="s">
        <v>14947</v>
      </c>
      <c r="O1829" s="72">
        <v>42123</v>
      </c>
      <c r="P1829" s="71"/>
      <c r="Q1829" s="71" t="b">
        <v>0</v>
      </c>
      <c r="R1829" s="22">
        <f t="shared" si="28"/>
        <v>954</v>
      </c>
    </row>
    <row r="1830" spans="1:18">
      <c r="A1830" s="71">
        <v>9932</v>
      </c>
      <c r="B1830" s="72">
        <v>41171</v>
      </c>
      <c r="C1830" s="71" t="s">
        <v>14985</v>
      </c>
      <c r="D1830" s="72">
        <v>41069</v>
      </c>
      <c r="E1830" s="71" t="s">
        <v>14986</v>
      </c>
      <c r="F1830" s="71" t="s">
        <v>14871</v>
      </c>
      <c r="G1830" s="71" t="s">
        <v>20</v>
      </c>
      <c r="H1830" s="71" t="s">
        <v>212</v>
      </c>
      <c r="I1830" s="71" t="s">
        <v>212</v>
      </c>
      <c r="J1830" s="71" t="s">
        <v>14987</v>
      </c>
      <c r="K1830" s="71" t="s">
        <v>6081</v>
      </c>
      <c r="L1830" s="71" t="s">
        <v>7167</v>
      </c>
      <c r="M1830" s="71"/>
      <c r="O1830" s="72">
        <v>41367</v>
      </c>
      <c r="P1830" s="71"/>
      <c r="Q1830" s="71" t="b">
        <v>0</v>
      </c>
      <c r="R1830" s="22">
        <f t="shared" si="28"/>
        <v>196</v>
      </c>
    </row>
    <row r="1831" spans="1:18">
      <c r="A1831" s="71">
        <v>9933</v>
      </c>
      <c r="B1831" s="72">
        <v>41171</v>
      </c>
      <c r="C1831" s="71" t="s">
        <v>14988</v>
      </c>
      <c r="D1831" s="72">
        <v>41170</v>
      </c>
      <c r="E1831" s="71" t="s">
        <v>14989</v>
      </c>
      <c r="F1831" s="71" t="s">
        <v>14990</v>
      </c>
      <c r="G1831" s="71" t="s">
        <v>20</v>
      </c>
      <c r="H1831" s="71" t="s">
        <v>71</v>
      </c>
      <c r="I1831" s="71" t="s">
        <v>72</v>
      </c>
      <c r="J1831" s="71" t="s">
        <v>14991</v>
      </c>
      <c r="K1831" s="73">
        <v>41172</v>
      </c>
      <c r="L1831" s="71" t="s">
        <v>1946</v>
      </c>
      <c r="M1831" s="71"/>
      <c r="O1831" s="72">
        <v>41578</v>
      </c>
      <c r="P1831" s="71"/>
      <c r="Q1831" s="71" t="b">
        <v>0</v>
      </c>
      <c r="R1831" s="22">
        <f t="shared" si="28"/>
        <v>407</v>
      </c>
    </row>
    <row r="1832" spans="1:18">
      <c r="A1832" s="71">
        <v>9935</v>
      </c>
      <c r="B1832" s="72">
        <v>41172</v>
      </c>
      <c r="C1832" s="71" t="s">
        <v>14994</v>
      </c>
      <c r="D1832" s="72">
        <v>41171</v>
      </c>
      <c r="E1832" s="71" t="s">
        <v>14995</v>
      </c>
      <c r="F1832" s="71" t="s">
        <v>14990</v>
      </c>
      <c r="G1832" s="71" t="s">
        <v>20</v>
      </c>
      <c r="H1832" s="71" t="s">
        <v>71</v>
      </c>
      <c r="I1832" s="71" t="s">
        <v>72</v>
      </c>
      <c r="J1832" s="71" t="s">
        <v>14996</v>
      </c>
      <c r="K1832" s="71"/>
      <c r="L1832" s="71" t="s">
        <v>1946</v>
      </c>
      <c r="M1832" s="71"/>
      <c r="O1832" s="72">
        <v>41578</v>
      </c>
      <c r="P1832" s="71"/>
      <c r="Q1832" s="71" t="b">
        <v>0</v>
      </c>
      <c r="R1832" s="22">
        <f t="shared" si="28"/>
        <v>406</v>
      </c>
    </row>
    <row r="1833" spans="1:18">
      <c r="A1833" s="71">
        <v>9938</v>
      </c>
      <c r="B1833" s="72">
        <v>41176</v>
      </c>
      <c r="C1833" s="71" t="s">
        <v>15004</v>
      </c>
      <c r="D1833" s="72">
        <v>41173</v>
      </c>
      <c r="E1833" s="71" t="s">
        <v>15005</v>
      </c>
      <c r="F1833" s="71" t="s">
        <v>104</v>
      </c>
      <c r="G1833" s="71" t="s">
        <v>20</v>
      </c>
      <c r="H1833" s="71" t="s">
        <v>71</v>
      </c>
      <c r="I1833" s="71" t="s">
        <v>72</v>
      </c>
      <c r="J1833" s="71" t="s">
        <v>15006</v>
      </c>
      <c r="K1833" s="71" t="s">
        <v>15007</v>
      </c>
      <c r="L1833" s="71" t="s">
        <v>4282</v>
      </c>
      <c r="M1833" s="71"/>
      <c r="O1833" s="72">
        <v>41361</v>
      </c>
      <c r="P1833" s="71"/>
      <c r="Q1833" s="71" t="b">
        <v>0</v>
      </c>
      <c r="R1833" s="22">
        <f t="shared" si="28"/>
        <v>186</v>
      </c>
    </row>
    <row r="1834" spans="1:18">
      <c r="A1834" s="71">
        <v>9940</v>
      </c>
      <c r="B1834" s="72">
        <v>41185</v>
      </c>
      <c r="C1834" s="71" t="s">
        <v>15010</v>
      </c>
      <c r="D1834" s="72">
        <v>41179</v>
      </c>
      <c r="E1834" s="71" t="s">
        <v>15011</v>
      </c>
      <c r="F1834" s="71" t="s">
        <v>8615</v>
      </c>
      <c r="G1834" s="71" t="s">
        <v>20</v>
      </c>
      <c r="H1834" s="71" t="s">
        <v>71</v>
      </c>
      <c r="I1834" s="71" t="s">
        <v>72</v>
      </c>
      <c r="J1834" s="71" t="s">
        <v>15012</v>
      </c>
      <c r="K1834" s="71" t="s">
        <v>14514</v>
      </c>
      <c r="L1834" s="71" t="s">
        <v>1946</v>
      </c>
      <c r="M1834" s="71"/>
      <c r="O1834" s="72">
        <v>41761</v>
      </c>
      <c r="P1834" s="71"/>
      <c r="Q1834" s="71" t="b">
        <v>0</v>
      </c>
      <c r="R1834" s="22">
        <f t="shared" si="28"/>
        <v>576</v>
      </c>
    </row>
    <row r="1835" spans="1:18">
      <c r="A1835" s="71">
        <v>9941</v>
      </c>
      <c r="B1835" s="72">
        <v>41185</v>
      </c>
      <c r="C1835" s="71" t="s">
        <v>15013</v>
      </c>
      <c r="D1835" s="72">
        <v>41184</v>
      </c>
      <c r="E1835" s="71" t="s">
        <v>15014</v>
      </c>
      <c r="F1835" s="71" t="s">
        <v>1232</v>
      </c>
      <c r="G1835" s="71" t="s">
        <v>20</v>
      </c>
      <c r="H1835" s="71" t="s">
        <v>189</v>
      </c>
      <c r="I1835" s="71" t="s">
        <v>189</v>
      </c>
      <c r="J1835" s="71" t="s">
        <v>10416</v>
      </c>
      <c r="K1835" s="71" t="s">
        <v>10153</v>
      </c>
      <c r="L1835" s="71" t="s">
        <v>3588</v>
      </c>
      <c r="M1835" s="71"/>
      <c r="O1835" s="72">
        <v>41289</v>
      </c>
      <c r="P1835" s="71"/>
      <c r="Q1835" s="71" t="b">
        <v>0</v>
      </c>
      <c r="R1835" s="22">
        <f t="shared" si="28"/>
        <v>103</v>
      </c>
    </row>
    <row r="1836" spans="1:18">
      <c r="A1836" s="71">
        <v>9945</v>
      </c>
      <c r="B1836" s="72">
        <v>41197</v>
      </c>
      <c r="C1836" s="71" t="s">
        <v>15017</v>
      </c>
      <c r="D1836" s="72">
        <v>41192</v>
      </c>
      <c r="E1836" s="71" t="s">
        <v>15018</v>
      </c>
      <c r="F1836" s="71" t="s">
        <v>98</v>
      </c>
      <c r="G1836" s="71" t="s">
        <v>20</v>
      </c>
      <c r="H1836" s="71" t="s">
        <v>71</v>
      </c>
      <c r="I1836" s="71" t="s">
        <v>72</v>
      </c>
      <c r="J1836" s="71" t="s">
        <v>15019</v>
      </c>
      <c r="K1836" s="71"/>
      <c r="L1836" s="71" t="s">
        <v>7167</v>
      </c>
      <c r="M1836" s="71"/>
      <c r="O1836" s="72">
        <v>41207</v>
      </c>
      <c r="P1836" s="71"/>
      <c r="Q1836" s="71" t="b">
        <v>0</v>
      </c>
      <c r="R1836" s="22">
        <f t="shared" si="28"/>
        <v>10</v>
      </c>
    </row>
    <row r="1837" spans="1:18">
      <c r="A1837" s="71">
        <v>9949</v>
      </c>
      <c r="B1837" s="72">
        <v>41201</v>
      </c>
      <c r="C1837" s="71" t="s">
        <v>15025</v>
      </c>
      <c r="D1837" s="72">
        <v>41164</v>
      </c>
      <c r="E1837" s="71" t="s">
        <v>15026</v>
      </c>
      <c r="F1837" s="71" t="s">
        <v>56</v>
      </c>
      <c r="G1837" s="71" t="s">
        <v>20</v>
      </c>
      <c r="H1837" s="71" t="s">
        <v>71</v>
      </c>
      <c r="I1837" s="71" t="s">
        <v>72</v>
      </c>
      <c r="J1837" s="71" t="s">
        <v>14976</v>
      </c>
      <c r="K1837" s="71" t="s">
        <v>15027</v>
      </c>
      <c r="L1837" s="71" t="s">
        <v>1946</v>
      </c>
      <c r="M1837" s="71"/>
      <c r="O1837" s="72">
        <v>41470</v>
      </c>
      <c r="P1837" s="71"/>
      <c r="Q1837" s="71" t="b">
        <v>0</v>
      </c>
      <c r="R1837" s="22">
        <f t="shared" si="28"/>
        <v>269</v>
      </c>
    </row>
    <row r="1838" spans="1:18">
      <c r="A1838" s="71">
        <v>9952</v>
      </c>
      <c r="B1838" s="72">
        <v>41207</v>
      </c>
      <c r="C1838" s="71" t="s">
        <v>15030</v>
      </c>
      <c r="D1838" s="72">
        <v>41185</v>
      </c>
      <c r="E1838" s="71" t="s">
        <v>15031</v>
      </c>
      <c r="F1838" s="71" t="s">
        <v>13960</v>
      </c>
      <c r="G1838" s="71" t="s">
        <v>20</v>
      </c>
      <c r="H1838" s="71" t="s">
        <v>71</v>
      </c>
      <c r="I1838" s="71" t="s">
        <v>72</v>
      </c>
      <c r="J1838" s="71" t="s">
        <v>14814</v>
      </c>
      <c r="K1838" s="71" t="s">
        <v>15032</v>
      </c>
      <c r="L1838" s="71" t="s">
        <v>3588</v>
      </c>
      <c r="M1838" s="71"/>
      <c r="O1838" s="72">
        <v>41242</v>
      </c>
      <c r="P1838" s="71"/>
      <c r="Q1838" s="71" t="b">
        <v>0</v>
      </c>
      <c r="R1838" s="22">
        <f t="shared" si="28"/>
        <v>34</v>
      </c>
    </row>
    <row r="1839" spans="1:18">
      <c r="A1839" s="71">
        <v>9953</v>
      </c>
      <c r="B1839" s="72">
        <v>41207</v>
      </c>
      <c r="C1839" s="71" t="s">
        <v>15033</v>
      </c>
      <c r="D1839" s="72">
        <v>41199</v>
      </c>
      <c r="E1839" s="71" t="s">
        <v>15034</v>
      </c>
      <c r="F1839" s="71" t="s">
        <v>14990</v>
      </c>
      <c r="G1839" s="71" t="s">
        <v>20</v>
      </c>
      <c r="H1839" s="71" t="s">
        <v>71</v>
      </c>
      <c r="I1839" s="71" t="s">
        <v>72</v>
      </c>
      <c r="J1839" s="71" t="s">
        <v>15035</v>
      </c>
      <c r="K1839" s="71"/>
      <c r="L1839" s="71" t="s">
        <v>1946</v>
      </c>
      <c r="M1839" s="71" t="s">
        <v>3588</v>
      </c>
      <c r="O1839" s="72">
        <v>41578</v>
      </c>
      <c r="P1839" s="71"/>
      <c r="Q1839" s="71" t="b">
        <v>0</v>
      </c>
      <c r="R1839" s="22">
        <f t="shared" si="28"/>
        <v>371</v>
      </c>
    </row>
    <row r="1840" spans="1:18">
      <c r="A1840" s="71">
        <v>9954</v>
      </c>
      <c r="B1840" s="72">
        <v>41211</v>
      </c>
      <c r="C1840" s="71" t="s">
        <v>15036</v>
      </c>
      <c r="D1840" s="72">
        <v>41206</v>
      </c>
      <c r="E1840" s="71" t="s">
        <v>15037</v>
      </c>
      <c r="F1840" s="71" t="s">
        <v>124</v>
      </c>
      <c r="G1840" s="71" t="s">
        <v>20</v>
      </c>
      <c r="H1840" s="71" t="s">
        <v>71</v>
      </c>
      <c r="I1840" s="71" t="s">
        <v>72</v>
      </c>
      <c r="J1840" s="71" t="s">
        <v>15038</v>
      </c>
      <c r="K1840" s="71" t="s">
        <v>9348</v>
      </c>
      <c r="L1840" s="71" t="s">
        <v>14909</v>
      </c>
      <c r="M1840" s="71" t="s">
        <v>14427</v>
      </c>
      <c r="N1840" s="71"/>
      <c r="O1840" s="72">
        <v>41869</v>
      </c>
      <c r="P1840" s="71"/>
      <c r="Q1840" s="71" t="b">
        <v>0</v>
      </c>
      <c r="R1840" s="22">
        <f t="shared" si="28"/>
        <v>658</v>
      </c>
    </row>
    <row r="1841" spans="1:18">
      <c r="A1841" s="71">
        <v>9956</v>
      </c>
      <c r="B1841" s="72">
        <v>41218</v>
      </c>
      <c r="C1841" s="71" t="s">
        <v>15039</v>
      </c>
      <c r="D1841" s="72">
        <v>41213</v>
      </c>
      <c r="E1841" s="71" t="s">
        <v>15040</v>
      </c>
      <c r="F1841" s="71" t="s">
        <v>13422</v>
      </c>
      <c r="G1841" s="71" t="s">
        <v>20</v>
      </c>
      <c r="H1841" s="71" t="s">
        <v>71</v>
      </c>
      <c r="I1841" s="71" t="s">
        <v>72</v>
      </c>
      <c r="J1841" s="71" t="s">
        <v>15041</v>
      </c>
      <c r="K1841" s="71" t="s">
        <v>15042</v>
      </c>
      <c r="L1841" s="71" t="s">
        <v>7167</v>
      </c>
      <c r="M1841" s="71"/>
      <c r="O1841" s="72">
        <v>41242</v>
      </c>
      <c r="P1841" s="71"/>
      <c r="Q1841" s="71" t="b">
        <v>0</v>
      </c>
      <c r="R1841" s="22">
        <f t="shared" si="28"/>
        <v>24</v>
      </c>
    </row>
    <row r="1842" spans="1:18">
      <c r="A1842" s="71">
        <v>9958</v>
      </c>
      <c r="B1842" s="72">
        <v>41222</v>
      </c>
      <c r="C1842" s="71" t="s">
        <v>15046</v>
      </c>
      <c r="D1842" s="72">
        <v>41232</v>
      </c>
      <c r="E1842" s="71" t="s">
        <v>15047</v>
      </c>
      <c r="F1842" s="71" t="s">
        <v>10106</v>
      </c>
      <c r="G1842" s="71" t="s">
        <v>20</v>
      </c>
      <c r="H1842" s="71" t="s">
        <v>71</v>
      </c>
      <c r="I1842" s="71" t="s">
        <v>72</v>
      </c>
      <c r="J1842" s="71" t="s">
        <v>15048</v>
      </c>
      <c r="K1842" s="71" t="s">
        <v>15049</v>
      </c>
      <c r="L1842" s="71" t="s">
        <v>1152</v>
      </c>
      <c r="M1842" s="71" t="s">
        <v>14671</v>
      </c>
      <c r="O1842" s="72">
        <v>41820</v>
      </c>
      <c r="P1842" s="71"/>
      <c r="Q1842" s="71" t="b">
        <v>0</v>
      </c>
      <c r="R1842" s="22">
        <f t="shared" si="28"/>
        <v>599</v>
      </c>
    </row>
    <row r="1843" spans="1:18">
      <c r="A1843" s="71">
        <v>9967</v>
      </c>
      <c r="B1843" s="72">
        <v>41242</v>
      </c>
      <c r="C1843" s="71" t="s">
        <v>15054</v>
      </c>
      <c r="D1843" s="72">
        <v>41222</v>
      </c>
      <c r="E1843" s="71" t="s">
        <v>15055</v>
      </c>
      <c r="F1843" s="71" t="s">
        <v>15056</v>
      </c>
      <c r="G1843" s="71" t="s">
        <v>20</v>
      </c>
      <c r="H1843" s="71" t="s">
        <v>71</v>
      </c>
      <c r="I1843" s="71" t="s">
        <v>72</v>
      </c>
      <c r="J1843" s="71" t="s">
        <v>15057</v>
      </c>
      <c r="K1843" s="71"/>
      <c r="L1843" s="71" t="s">
        <v>14411</v>
      </c>
      <c r="M1843" s="71" t="s">
        <v>7167</v>
      </c>
      <c r="O1843" s="72">
        <v>42104</v>
      </c>
      <c r="P1843" s="71"/>
      <c r="Q1843" s="71" t="b">
        <v>0</v>
      </c>
      <c r="R1843" s="22">
        <f t="shared" si="28"/>
        <v>862</v>
      </c>
    </row>
    <row r="1844" spans="1:18">
      <c r="A1844" s="71">
        <v>9968</v>
      </c>
      <c r="B1844" s="72">
        <v>41242</v>
      </c>
      <c r="C1844" s="71" t="s">
        <v>15058</v>
      </c>
      <c r="D1844" s="72">
        <v>41233</v>
      </c>
      <c r="E1844" s="71" t="s">
        <v>15059</v>
      </c>
      <c r="F1844" s="71" t="s">
        <v>13350</v>
      </c>
      <c r="G1844" s="71" t="s">
        <v>20</v>
      </c>
      <c r="H1844" s="71" t="s">
        <v>71</v>
      </c>
      <c r="I1844" s="71" t="s">
        <v>72</v>
      </c>
      <c r="J1844" s="71" t="s">
        <v>15060</v>
      </c>
      <c r="K1844" s="71" t="s">
        <v>15061</v>
      </c>
      <c r="L1844" s="71" t="s">
        <v>7167</v>
      </c>
      <c r="M1844" s="71"/>
      <c r="O1844" s="72">
        <v>41500</v>
      </c>
      <c r="P1844" s="71"/>
      <c r="Q1844" s="71" t="b">
        <v>0</v>
      </c>
      <c r="R1844" s="22">
        <f t="shared" si="28"/>
        <v>258</v>
      </c>
    </row>
    <row r="1845" spans="1:18">
      <c r="A1845" s="71">
        <v>9973</v>
      </c>
      <c r="B1845" s="72">
        <v>41246</v>
      </c>
      <c r="C1845" s="71" t="s">
        <v>15064</v>
      </c>
      <c r="D1845" s="72">
        <v>41243</v>
      </c>
      <c r="E1845" s="71" t="s">
        <v>15065</v>
      </c>
      <c r="F1845" s="71" t="s">
        <v>39</v>
      </c>
      <c r="G1845" s="71" t="s">
        <v>20</v>
      </c>
      <c r="H1845" s="71" t="s">
        <v>71</v>
      </c>
      <c r="I1845" s="71" t="s">
        <v>72</v>
      </c>
      <c r="J1845" s="71" t="s">
        <v>15066</v>
      </c>
      <c r="K1845" s="71" t="s">
        <v>15067</v>
      </c>
      <c r="L1845" s="71" t="s">
        <v>7167</v>
      </c>
      <c r="M1845" s="71"/>
      <c r="O1845" s="72">
        <v>42044</v>
      </c>
      <c r="P1845" s="71"/>
      <c r="Q1845" s="71" t="b">
        <v>0</v>
      </c>
      <c r="R1845" s="22">
        <f t="shared" si="28"/>
        <v>796</v>
      </c>
    </row>
    <row r="1846" spans="1:18">
      <c r="A1846" s="71">
        <v>9974</v>
      </c>
      <c r="B1846" s="72">
        <v>41246</v>
      </c>
      <c r="C1846" s="71" t="s">
        <v>15068</v>
      </c>
      <c r="D1846" s="72">
        <v>41246</v>
      </c>
      <c r="E1846" s="71" t="s">
        <v>15069</v>
      </c>
      <c r="F1846" s="71" t="s">
        <v>3430</v>
      </c>
      <c r="G1846" s="71" t="s">
        <v>20</v>
      </c>
      <c r="H1846" s="71" t="s">
        <v>71</v>
      </c>
      <c r="I1846" s="71" t="s">
        <v>72</v>
      </c>
      <c r="J1846" s="71" t="s">
        <v>13507</v>
      </c>
      <c r="K1846" s="71"/>
      <c r="L1846" s="71" t="s">
        <v>4282</v>
      </c>
      <c r="M1846" s="71"/>
      <c r="O1846" s="72">
        <v>42152</v>
      </c>
      <c r="P1846" s="71"/>
      <c r="Q1846" s="71" t="b">
        <v>0</v>
      </c>
      <c r="R1846" s="22">
        <f t="shared" si="28"/>
        <v>907</v>
      </c>
    </row>
    <row r="1847" spans="1:18">
      <c r="A1847" s="71">
        <v>9978</v>
      </c>
      <c r="B1847" s="72">
        <v>41247</v>
      </c>
      <c r="C1847" s="71" t="s">
        <v>15073</v>
      </c>
      <c r="D1847" s="72">
        <v>41247</v>
      </c>
      <c r="E1847" s="71" t="s">
        <v>15074</v>
      </c>
      <c r="F1847" s="71" t="s">
        <v>15075</v>
      </c>
      <c r="G1847" s="71" t="s">
        <v>20</v>
      </c>
      <c r="H1847" s="71" t="s">
        <v>71</v>
      </c>
      <c r="I1847" s="71" t="s">
        <v>72</v>
      </c>
      <c r="J1847" s="71" t="s">
        <v>15076</v>
      </c>
      <c r="K1847" s="71"/>
      <c r="L1847" s="71" t="s">
        <v>1946</v>
      </c>
      <c r="M1847" s="71"/>
      <c r="O1847" s="72">
        <v>42178</v>
      </c>
      <c r="P1847" s="71"/>
      <c r="Q1847" s="71" t="b">
        <v>0</v>
      </c>
      <c r="R1847" s="22">
        <f t="shared" si="28"/>
        <v>931</v>
      </c>
    </row>
    <row r="1848" spans="1:18">
      <c r="A1848" s="71">
        <v>9980</v>
      </c>
      <c r="B1848" s="72">
        <v>41253</v>
      </c>
      <c r="C1848" s="71" t="s">
        <v>15081</v>
      </c>
      <c r="D1848" s="72">
        <v>41248</v>
      </c>
      <c r="E1848" s="71" t="s">
        <v>15082</v>
      </c>
      <c r="F1848" s="71" t="s">
        <v>14336</v>
      </c>
      <c r="G1848" s="71" t="s">
        <v>20</v>
      </c>
      <c r="H1848" s="71" t="s">
        <v>71</v>
      </c>
      <c r="I1848" s="71" t="s">
        <v>72</v>
      </c>
      <c r="J1848" s="71" t="s">
        <v>1639</v>
      </c>
      <c r="K1848" s="71" t="s">
        <v>15083</v>
      </c>
      <c r="L1848" s="71" t="s">
        <v>1946</v>
      </c>
      <c r="M1848" s="71"/>
      <c r="O1848" s="72">
        <v>41803</v>
      </c>
      <c r="P1848" s="71"/>
      <c r="Q1848" s="71" t="b">
        <v>0</v>
      </c>
      <c r="R1848" s="22">
        <f t="shared" si="28"/>
        <v>550</v>
      </c>
    </row>
    <row r="1849" spans="1:18">
      <c r="A1849" s="71">
        <v>9981</v>
      </c>
      <c r="B1849" s="72">
        <v>41253</v>
      </c>
      <c r="C1849" s="71" t="s">
        <v>15084</v>
      </c>
      <c r="D1849" s="72">
        <v>41250</v>
      </c>
      <c r="E1849" s="71" t="s">
        <v>15085</v>
      </c>
      <c r="F1849" s="71" t="s">
        <v>14990</v>
      </c>
      <c r="G1849" s="71" t="s">
        <v>20</v>
      </c>
      <c r="H1849" s="71" t="s">
        <v>71</v>
      </c>
      <c r="I1849" s="71" t="s">
        <v>72</v>
      </c>
      <c r="J1849" s="71" t="s">
        <v>15086</v>
      </c>
      <c r="K1849" s="71" t="s">
        <v>7497</v>
      </c>
      <c r="L1849" s="71" t="s">
        <v>1946</v>
      </c>
      <c r="M1849" s="71"/>
      <c r="O1849" s="72">
        <v>41578</v>
      </c>
      <c r="P1849" s="71"/>
      <c r="Q1849" s="71" t="b">
        <v>0</v>
      </c>
      <c r="R1849" s="22">
        <f t="shared" si="28"/>
        <v>325</v>
      </c>
    </row>
    <row r="1850" spans="1:18">
      <c r="A1850" s="71">
        <v>9982</v>
      </c>
      <c r="B1850" s="72">
        <v>41255</v>
      </c>
      <c r="C1850" s="71" t="s">
        <v>15087</v>
      </c>
      <c r="D1850" s="72">
        <v>41254</v>
      </c>
      <c r="E1850" s="71" t="s">
        <v>15088</v>
      </c>
      <c r="F1850" s="71" t="s">
        <v>4596</v>
      </c>
      <c r="G1850" s="71" t="s">
        <v>20</v>
      </c>
      <c r="H1850" s="71" t="s">
        <v>71</v>
      </c>
      <c r="I1850" s="71" t="s">
        <v>72</v>
      </c>
      <c r="J1850" s="71" t="s">
        <v>15089</v>
      </c>
      <c r="K1850" s="71"/>
      <c r="L1850" s="71" t="s">
        <v>7167</v>
      </c>
      <c r="M1850" s="71"/>
      <c r="O1850" s="72">
        <v>41520</v>
      </c>
      <c r="P1850" s="71"/>
      <c r="Q1850" s="71" t="b">
        <v>0</v>
      </c>
      <c r="R1850" s="22">
        <f t="shared" si="28"/>
        <v>264</v>
      </c>
    </row>
    <row r="1851" spans="1:18">
      <c r="A1851" s="74">
        <v>9990</v>
      </c>
      <c r="B1851" s="75">
        <v>41264</v>
      </c>
      <c r="C1851" s="74" t="s">
        <v>15097</v>
      </c>
      <c r="D1851" s="75">
        <v>41263</v>
      </c>
      <c r="E1851" s="74" t="s">
        <v>15098</v>
      </c>
      <c r="F1851" s="74" t="s">
        <v>1939</v>
      </c>
      <c r="G1851" s="74" t="s">
        <v>20</v>
      </c>
      <c r="H1851" s="74" t="s">
        <v>71</v>
      </c>
      <c r="I1851" s="74" t="s">
        <v>72</v>
      </c>
      <c r="J1851" s="74" t="s">
        <v>15099</v>
      </c>
      <c r="K1851" s="74" t="s">
        <v>15100</v>
      </c>
      <c r="L1851" s="74" t="s">
        <v>1946</v>
      </c>
      <c r="M1851" s="74" t="s">
        <v>7167</v>
      </c>
      <c r="O1851" s="72">
        <v>42215</v>
      </c>
      <c r="P1851" s="74"/>
      <c r="Q1851" s="74" t="b">
        <v>0</v>
      </c>
      <c r="R1851" s="22">
        <f t="shared" si="28"/>
        <v>952</v>
      </c>
    </row>
    <row r="1852" spans="1:18">
      <c r="A1852" s="71">
        <v>9991</v>
      </c>
      <c r="B1852" s="72">
        <v>41269</v>
      </c>
      <c r="C1852" s="71" t="s">
        <v>15101</v>
      </c>
      <c r="D1852" s="72">
        <v>41263</v>
      </c>
      <c r="E1852" s="71" t="s">
        <v>15102</v>
      </c>
      <c r="F1852" s="71" t="s">
        <v>70</v>
      </c>
      <c r="G1852" s="71" t="s">
        <v>20</v>
      </c>
      <c r="H1852" s="71" t="s">
        <v>71</v>
      </c>
      <c r="I1852" s="71" t="s">
        <v>72</v>
      </c>
      <c r="J1852" s="71" t="s">
        <v>15103</v>
      </c>
      <c r="K1852" s="71" t="s">
        <v>15104</v>
      </c>
      <c r="L1852" s="71" t="s">
        <v>14518</v>
      </c>
      <c r="M1852" s="71" t="s">
        <v>14427</v>
      </c>
      <c r="N1852" s="71"/>
      <c r="O1852" s="72">
        <v>42151</v>
      </c>
      <c r="P1852" s="71"/>
      <c r="Q1852" s="71" t="b">
        <v>0</v>
      </c>
      <c r="R1852" s="22">
        <f t="shared" si="28"/>
        <v>883</v>
      </c>
    </row>
    <row r="1853" spans="1:18">
      <c r="A1853" s="71">
        <v>10005</v>
      </c>
      <c r="B1853" s="72">
        <v>41288</v>
      </c>
      <c r="C1853" s="71" t="s">
        <v>15126</v>
      </c>
      <c r="D1853" s="72">
        <v>41285</v>
      </c>
      <c r="E1853" s="71" t="s">
        <v>15127</v>
      </c>
      <c r="F1853" s="71" t="s">
        <v>1232</v>
      </c>
      <c r="G1853" s="71" t="s">
        <v>20</v>
      </c>
      <c r="H1853" s="71" t="s">
        <v>189</v>
      </c>
      <c r="I1853" s="71" t="s">
        <v>189</v>
      </c>
      <c r="J1853" s="71" t="s">
        <v>15128</v>
      </c>
      <c r="K1853" s="71" t="s">
        <v>15129</v>
      </c>
      <c r="L1853" s="71" t="s">
        <v>4282</v>
      </c>
      <c r="M1853" s="71"/>
      <c r="O1853" s="72">
        <v>41291</v>
      </c>
      <c r="P1853" s="71"/>
      <c r="Q1853" s="71" t="b">
        <v>0</v>
      </c>
      <c r="R1853" s="22">
        <f t="shared" si="28"/>
        <v>3</v>
      </c>
    </row>
    <row r="1854" spans="1:18">
      <c r="A1854" s="71">
        <v>10009</v>
      </c>
      <c r="B1854" s="72">
        <v>41297</v>
      </c>
      <c r="C1854" s="71" t="s">
        <v>15130</v>
      </c>
      <c r="D1854" s="72">
        <v>41291</v>
      </c>
      <c r="E1854" s="71" t="s">
        <v>15131</v>
      </c>
      <c r="F1854" s="71" t="s">
        <v>52</v>
      </c>
      <c r="G1854" s="71" t="s">
        <v>20</v>
      </c>
      <c r="H1854" s="71" t="s">
        <v>71</v>
      </c>
      <c r="I1854" s="71" t="s">
        <v>72</v>
      </c>
      <c r="J1854" s="71" t="s">
        <v>15132</v>
      </c>
      <c r="K1854" s="71" t="s">
        <v>15133</v>
      </c>
      <c r="L1854" s="71" t="s">
        <v>7167</v>
      </c>
      <c r="M1854" s="71"/>
      <c r="O1854" s="72">
        <v>41313</v>
      </c>
      <c r="P1854" s="71"/>
      <c r="Q1854" s="71" t="b">
        <v>0</v>
      </c>
      <c r="R1854" s="22">
        <f t="shared" si="28"/>
        <v>15</v>
      </c>
    </row>
    <row r="1855" spans="1:18">
      <c r="A1855" s="71">
        <v>10011</v>
      </c>
      <c r="B1855" s="72">
        <v>41299</v>
      </c>
      <c r="C1855" s="71" t="s">
        <v>15136</v>
      </c>
      <c r="D1855" s="72">
        <v>41298</v>
      </c>
      <c r="E1855" s="71" t="s">
        <v>15137</v>
      </c>
      <c r="F1855" s="71" t="s">
        <v>689</v>
      </c>
      <c r="G1855" s="71" t="s">
        <v>20</v>
      </c>
      <c r="H1855" s="71" t="s">
        <v>212</v>
      </c>
      <c r="I1855" s="71" t="s">
        <v>212</v>
      </c>
      <c r="J1855" s="71" t="s">
        <v>15138</v>
      </c>
      <c r="K1855" s="71"/>
      <c r="L1855" s="71" t="s">
        <v>14518</v>
      </c>
      <c r="M1855" s="71" t="s">
        <v>14882</v>
      </c>
      <c r="O1855" s="72">
        <v>42116</v>
      </c>
      <c r="P1855" s="71"/>
      <c r="Q1855" s="71" t="b">
        <v>0</v>
      </c>
      <c r="R1855" s="22">
        <f t="shared" si="28"/>
        <v>818</v>
      </c>
    </row>
    <row r="1856" spans="1:18">
      <c r="A1856">
        <v>10014</v>
      </c>
      <c r="B1856" s="77">
        <v>41304</v>
      </c>
      <c r="C1856" t="s">
        <v>19900</v>
      </c>
      <c r="D1856" s="77">
        <v>41296</v>
      </c>
      <c r="E1856" t="s">
        <v>15141</v>
      </c>
      <c r="F1856" t="s">
        <v>228</v>
      </c>
      <c r="G1856" t="s">
        <v>20</v>
      </c>
      <c r="H1856" t="s">
        <v>71</v>
      </c>
      <c r="I1856" t="s">
        <v>72</v>
      </c>
      <c r="J1856" t="s">
        <v>15142</v>
      </c>
      <c r="K1856" t="s">
        <v>15143</v>
      </c>
      <c r="L1856" t="s">
        <v>14518</v>
      </c>
      <c r="M1856" t="s">
        <v>14882</v>
      </c>
      <c r="N1856" s="78"/>
      <c r="O1856" s="77">
        <v>42489</v>
      </c>
      <c r="Q1856" t="b">
        <v>0</v>
      </c>
      <c r="R1856" s="22">
        <f t="shared" si="28"/>
        <v>1185</v>
      </c>
    </row>
    <row r="1857" spans="1:18">
      <c r="A1857" s="71">
        <v>10016</v>
      </c>
      <c r="B1857" s="72">
        <v>41306</v>
      </c>
      <c r="C1857" s="71" t="s">
        <v>15147</v>
      </c>
      <c r="D1857" s="72">
        <v>41305</v>
      </c>
      <c r="E1857" s="71" t="s">
        <v>15148</v>
      </c>
      <c r="F1857" s="71" t="s">
        <v>367</v>
      </c>
      <c r="G1857" s="71" t="s">
        <v>20</v>
      </c>
      <c r="H1857" s="71" t="s">
        <v>71</v>
      </c>
      <c r="I1857" s="71" t="s">
        <v>72</v>
      </c>
      <c r="J1857" s="71" t="s">
        <v>15149</v>
      </c>
      <c r="K1857" s="71" t="s">
        <v>15150</v>
      </c>
      <c r="L1857" s="71" t="s">
        <v>14411</v>
      </c>
      <c r="M1857" s="71" t="s">
        <v>15151</v>
      </c>
      <c r="N1857" s="71"/>
      <c r="O1857" s="72">
        <v>42247</v>
      </c>
      <c r="P1857" s="71"/>
      <c r="Q1857" s="71" t="b">
        <v>0</v>
      </c>
      <c r="R1857" s="22">
        <f t="shared" si="28"/>
        <v>942</v>
      </c>
    </row>
    <row r="1858" spans="1:18">
      <c r="A1858">
        <v>10019</v>
      </c>
      <c r="B1858" s="77">
        <v>41316</v>
      </c>
      <c r="C1858" t="s">
        <v>19903</v>
      </c>
      <c r="D1858" s="77">
        <v>41313</v>
      </c>
      <c r="E1858" t="s">
        <v>15158</v>
      </c>
      <c r="F1858" t="s">
        <v>7020</v>
      </c>
      <c r="G1858" t="s">
        <v>20</v>
      </c>
      <c r="H1858" t="s">
        <v>189</v>
      </c>
      <c r="I1858" t="s">
        <v>189</v>
      </c>
      <c r="J1858" t="s">
        <v>15159</v>
      </c>
      <c r="L1858" t="s">
        <v>7167</v>
      </c>
      <c r="N1858" s="78"/>
      <c r="O1858" s="77">
        <v>42493</v>
      </c>
      <c r="Q1858" t="b">
        <v>0</v>
      </c>
      <c r="R1858" s="22">
        <f t="shared" ref="R1858:R1921" si="29">IF(O1858=" ", " ", INT(YEARFRAC(O1858, B1858)*365))</f>
        <v>1178</v>
      </c>
    </row>
    <row r="1859" spans="1:18">
      <c r="A1859" s="71">
        <v>10023</v>
      </c>
      <c r="B1859" s="72">
        <v>41326</v>
      </c>
      <c r="C1859" s="71" t="s">
        <v>15160</v>
      </c>
      <c r="D1859" s="72">
        <v>41325</v>
      </c>
      <c r="E1859" s="71" t="s">
        <v>15161</v>
      </c>
      <c r="F1859" s="71" t="s">
        <v>3171</v>
      </c>
      <c r="G1859" s="71" t="s">
        <v>20</v>
      </c>
      <c r="H1859" s="71" t="s">
        <v>566</v>
      </c>
      <c r="I1859" s="71" t="s">
        <v>566</v>
      </c>
      <c r="J1859" s="71" t="s">
        <v>15162</v>
      </c>
      <c r="K1859" s="71" t="s">
        <v>15163</v>
      </c>
      <c r="L1859" s="71" t="s">
        <v>7167</v>
      </c>
      <c r="M1859" s="71"/>
      <c r="O1859" s="72">
        <v>42209</v>
      </c>
      <c r="P1859" s="71"/>
      <c r="Q1859" s="71" t="b">
        <v>0</v>
      </c>
      <c r="R1859" s="22">
        <f t="shared" si="29"/>
        <v>885</v>
      </c>
    </row>
    <row r="1860" spans="1:18">
      <c r="A1860" s="71">
        <v>10025</v>
      </c>
      <c r="B1860" s="72">
        <v>41326</v>
      </c>
      <c r="C1860" s="71" t="s">
        <v>15164</v>
      </c>
      <c r="D1860" s="72">
        <v>41326</v>
      </c>
      <c r="E1860" s="71" t="s">
        <v>15165</v>
      </c>
      <c r="F1860" s="71" t="s">
        <v>14118</v>
      </c>
      <c r="G1860" s="71" t="s">
        <v>20</v>
      </c>
      <c r="H1860" s="71" t="s">
        <v>71</v>
      </c>
      <c r="I1860" s="71" t="s">
        <v>72</v>
      </c>
      <c r="J1860" s="71" t="s">
        <v>15166</v>
      </c>
      <c r="K1860" s="71"/>
      <c r="L1860" s="71" t="s">
        <v>4282</v>
      </c>
      <c r="M1860" s="71"/>
      <c r="O1860" s="72">
        <v>42184</v>
      </c>
      <c r="P1860" s="71"/>
      <c r="Q1860" s="71" t="b">
        <v>0</v>
      </c>
      <c r="R1860" s="22">
        <f t="shared" si="29"/>
        <v>859</v>
      </c>
    </row>
    <row r="1861" spans="1:18">
      <c r="A1861" s="71">
        <v>10026</v>
      </c>
      <c r="B1861" s="72">
        <v>41330</v>
      </c>
      <c r="C1861" s="71" t="s">
        <v>15167</v>
      </c>
      <c r="D1861" s="72">
        <v>41329</v>
      </c>
      <c r="E1861" s="71" t="s">
        <v>15168</v>
      </c>
      <c r="F1861" s="71" t="s">
        <v>52</v>
      </c>
      <c r="G1861" s="71" t="s">
        <v>20</v>
      </c>
      <c r="H1861" s="71" t="s">
        <v>71</v>
      </c>
      <c r="I1861" s="71" t="s">
        <v>72</v>
      </c>
      <c r="J1861" s="71" t="s">
        <v>15169</v>
      </c>
      <c r="K1861" s="71" t="s">
        <v>15170</v>
      </c>
      <c r="L1861" s="71" t="s">
        <v>3588</v>
      </c>
      <c r="M1861" s="71"/>
      <c r="O1861" s="72">
        <v>41388</v>
      </c>
      <c r="P1861" s="71"/>
      <c r="Q1861" s="71" t="b">
        <v>0</v>
      </c>
      <c r="R1861" s="22">
        <f t="shared" si="29"/>
        <v>59</v>
      </c>
    </row>
    <row r="1862" spans="1:18">
      <c r="A1862" s="71">
        <v>10033</v>
      </c>
      <c r="B1862" s="72">
        <v>41352</v>
      </c>
      <c r="C1862" s="71" t="s">
        <v>15185</v>
      </c>
      <c r="D1862" s="72">
        <v>41347</v>
      </c>
      <c r="E1862" s="71" t="s">
        <v>15186</v>
      </c>
      <c r="F1862" s="71" t="s">
        <v>15187</v>
      </c>
      <c r="G1862" s="71" t="s">
        <v>20</v>
      </c>
      <c r="H1862" s="71" t="s">
        <v>71</v>
      </c>
      <c r="I1862" s="71" t="s">
        <v>72</v>
      </c>
      <c r="J1862" s="71" t="s">
        <v>15188</v>
      </c>
      <c r="K1862" s="71" t="s">
        <v>15189</v>
      </c>
      <c r="L1862" s="71" t="s">
        <v>4282</v>
      </c>
      <c r="M1862" s="71"/>
      <c r="O1862" s="72">
        <v>41516</v>
      </c>
      <c r="P1862" s="71"/>
      <c r="Q1862" s="71" t="b">
        <v>0</v>
      </c>
      <c r="R1862" s="22">
        <f t="shared" si="29"/>
        <v>163</v>
      </c>
    </row>
    <row r="1863" spans="1:18">
      <c r="A1863" s="71">
        <v>10034</v>
      </c>
      <c r="B1863" s="72">
        <v>41352</v>
      </c>
      <c r="C1863" s="71" t="s">
        <v>15190</v>
      </c>
      <c r="D1863" s="72">
        <v>41347</v>
      </c>
      <c r="E1863" s="71" t="s">
        <v>15191</v>
      </c>
      <c r="F1863" s="71" t="s">
        <v>15187</v>
      </c>
      <c r="G1863" s="71" t="s">
        <v>20</v>
      </c>
      <c r="H1863" s="71" t="s">
        <v>71</v>
      </c>
      <c r="I1863" s="71" t="s">
        <v>72</v>
      </c>
      <c r="J1863" s="71" t="s">
        <v>15192</v>
      </c>
      <c r="K1863" s="71" t="s">
        <v>15189</v>
      </c>
      <c r="L1863" s="71" t="s">
        <v>4282</v>
      </c>
      <c r="M1863" s="71"/>
      <c r="O1863" s="72">
        <v>41516</v>
      </c>
      <c r="P1863" s="71"/>
      <c r="Q1863" s="71" t="b">
        <v>0</v>
      </c>
      <c r="R1863" s="22">
        <f t="shared" si="29"/>
        <v>163</v>
      </c>
    </row>
    <row r="1864" spans="1:18">
      <c r="A1864" s="71">
        <v>10035</v>
      </c>
      <c r="B1864" s="72">
        <v>41352</v>
      </c>
      <c r="C1864" s="71" t="s">
        <v>15193</v>
      </c>
      <c r="D1864" s="72">
        <v>41348</v>
      </c>
      <c r="E1864" s="71" t="s">
        <v>15194</v>
      </c>
      <c r="F1864" s="71" t="s">
        <v>3430</v>
      </c>
      <c r="G1864" s="71" t="s">
        <v>20</v>
      </c>
      <c r="H1864" s="71" t="s">
        <v>71</v>
      </c>
      <c r="I1864" s="71" t="s">
        <v>72</v>
      </c>
      <c r="J1864" s="71" t="s">
        <v>15195</v>
      </c>
      <c r="K1864" s="71" t="s">
        <v>14628</v>
      </c>
      <c r="L1864" s="71" t="s">
        <v>7167</v>
      </c>
      <c r="M1864" s="71"/>
      <c r="O1864" s="72">
        <v>42108</v>
      </c>
      <c r="P1864" s="71"/>
      <c r="Q1864" s="71" t="b">
        <v>0</v>
      </c>
      <c r="R1864" s="22">
        <f t="shared" si="29"/>
        <v>755</v>
      </c>
    </row>
    <row r="1865" spans="1:18">
      <c r="A1865" s="71">
        <v>10036</v>
      </c>
      <c r="B1865" s="72">
        <v>41366</v>
      </c>
      <c r="C1865" s="71" t="s">
        <v>15196</v>
      </c>
      <c r="D1865" s="72">
        <v>41365</v>
      </c>
      <c r="E1865" s="71" t="s">
        <v>15197</v>
      </c>
      <c r="F1865" s="71" t="s">
        <v>14118</v>
      </c>
      <c r="G1865" s="71" t="s">
        <v>20</v>
      </c>
      <c r="H1865" s="71" t="s">
        <v>71</v>
      </c>
      <c r="I1865" s="71" t="s">
        <v>72</v>
      </c>
      <c r="J1865" s="71" t="s">
        <v>15198</v>
      </c>
      <c r="K1865" s="71" t="s">
        <v>9348</v>
      </c>
      <c r="L1865" s="71" t="s">
        <v>14411</v>
      </c>
      <c r="M1865" s="71" t="s">
        <v>4282</v>
      </c>
      <c r="O1865" s="72">
        <v>42068</v>
      </c>
      <c r="P1865" s="71"/>
      <c r="Q1865" s="71" t="b">
        <v>0</v>
      </c>
      <c r="R1865" s="22">
        <f t="shared" si="29"/>
        <v>702</v>
      </c>
    </row>
    <row r="1866" spans="1:18">
      <c r="A1866" s="71">
        <v>10039</v>
      </c>
      <c r="B1866" s="72">
        <v>41367</v>
      </c>
      <c r="C1866" s="71" t="s">
        <v>15202</v>
      </c>
      <c r="D1866" s="72">
        <v>41366</v>
      </c>
      <c r="E1866" s="71" t="s">
        <v>15203</v>
      </c>
      <c r="F1866" s="71" t="s">
        <v>145</v>
      </c>
      <c r="G1866" s="71" t="s">
        <v>20</v>
      </c>
      <c r="H1866" s="71" t="s">
        <v>71</v>
      </c>
      <c r="I1866" s="71" t="s">
        <v>72</v>
      </c>
      <c r="J1866" s="71" t="s">
        <v>15204</v>
      </c>
      <c r="K1866" s="71" t="s">
        <v>9348</v>
      </c>
      <c r="L1866" s="71" t="s">
        <v>7167</v>
      </c>
      <c r="M1866" s="71"/>
      <c r="O1866" s="72">
        <v>41395</v>
      </c>
      <c r="P1866" s="71"/>
      <c r="Q1866" s="71" t="b">
        <v>0</v>
      </c>
      <c r="R1866" s="22">
        <f t="shared" si="29"/>
        <v>28</v>
      </c>
    </row>
    <row r="1867" spans="1:18">
      <c r="A1867" s="71">
        <v>10041</v>
      </c>
      <c r="B1867" s="72">
        <v>41372</v>
      </c>
      <c r="C1867" s="71" t="s">
        <v>15207</v>
      </c>
      <c r="D1867" s="72">
        <v>41372</v>
      </c>
      <c r="E1867" s="71" t="s">
        <v>15208</v>
      </c>
      <c r="F1867" s="71" t="s">
        <v>689</v>
      </c>
      <c r="G1867" s="71" t="s">
        <v>20</v>
      </c>
      <c r="H1867" s="71" t="s">
        <v>212</v>
      </c>
      <c r="I1867" s="71" t="s">
        <v>212</v>
      </c>
      <c r="J1867" s="71" t="s">
        <v>15209</v>
      </c>
      <c r="K1867" s="71" t="s">
        <v>15210</v>
      </c>
      <c r="L1867" s="71" t="s">
        <v>14518</v>
      </c>
      <c r="M1867" s="71" t="s">
        <v>14519</v>
      </c>
      <c r="O1867" s="72">
        <v>42026</v>
      </c>
      <c r="P1867" s="71"/>
      <c r="Q1867" s="71" t="b">
        <v>0</v>
      </c>
      <c r="R1867" s="22">
        <f t="shared" si="29"/>
        <v>652</v>
      </c>
    </row>
    <row r="1868" spans="1:18">
      <c r="A1868" s="71">
        <v>10048</v>
      </c>
      <c r="B1868" s="72">
        <v>41387</v>
      </c>
      <c r="C1868" s="71" t="s">
        <v>15218</v>
      </c>
      <c r="D1868" s="72">
        <v>41383</v>
      </c>
      <c r="E1868" s="71" t="s">
        <v>15219</v>
      </c>
      <c r="F1868" s="71" t="s">
        <v>14336</v>
      </c>
      <c r="G1868" s="71" t="s">
        <v>20</v>
      </c>
      <c r="H1868" s="71" t="s">
        <v>71</v>
      </c>
      <c r="I1868" s="71" t="s">
        <v>72</v>
      </c>
      <c r="J1868" s="71" t="s">
        <v>15076</v>
      </c>
      <c r="K1868" s="71"/>
      <c r="L1868" s="71" t="s">
        <v>1946</v>
      </c>
      <c r="M1868" s="71"/>
      <c r="O1868" s="72">
        <v>42181</v>
      </c>
      <c r="P1868" s="71"/>
      <c r="Q1868" s="71" t="b">
        <v>0</v>
      </c>
      <c r="R1868" s="22">
        <f t="shared" si="29"/>
        <v>793</v>
      </c>
    </row>
    <row r="1869" spans="1:18">
      <c r="A1869" s="71">
        <v>10051</v>
      </c>
      <c r="B1869" s="72">
        <v>41394</v>
      </c>
      <c r="C1869" s="71" t="s">
        <v>15225</v>
      </c>
      <c r="D1869" s="72">
        <v>41383</v>
      </c>
      <c r="E1869" s="71" t="s">
        <v>15226</v>
      </c>
      <c r="F1869" s="71" t="s">
        <v>974</v>
      </c>
      <c r="G1869" s="71" t="s">
        <v>20</v>
      </c>
      <c r="H1869" s="71" t="s">
        <v>212</v>
      </c>
      <c r="I1869" s="71" t="s">
        <v>212</v>
      </c>
      <c r="J1869" s="71" t="s">
        <v>15227</v>
      </c>
      <c r="K1869" s="71" t="s">
        <v>15228</v>
      </c>
      <c r="L1869" s="71" t="s">
        <v>1946</v>
      </c>
      <c r="M1869" s="71" t="s">
        <v>4282</v>
      </c>
      <c r="O1869" s="72">
        <v>42159</v>
      </c>
      <c r="P1869" s="71"/>
      <c r="Q1869" s="71" t="b">
        <v>0</v>
      </c>
      <c r="R1869" s="22">
        <f t="shared" si="29"/>
        <v>764</v>
      </c>
    </row>
    <row r="1870" spans="1:18">
      <c r="A1870">
        <v>10054</v>
      </c>
      <c r="B1870" s="77">
        <v>41395</v>
      </c>
      <c r="C1870" t="s">
        <v>19877</v>
      </c>
      <c r="D1870" s="77">
        <v>41395</v>
      </c>
      <c r="E1870" t="s">
        <v>15235</v>
      </c>
      <c r="F1870" t="s">
        <v>104</v>
      </c>
      <c r="G1870" t="s">
        <v>20</v>
      </c>
      <c r="H1870" t="s">
        <v>71</v>
      </c>
      <c r="I1870" t="s">
        <v>72</v>
      </c>
      <c r="J1870" t="s">
        <v>272</v>
      </c>
      <c r="K1870" t="s">
        <v>15236</v>
      </c>
      <c r="L1870" t="s">
        <v>14909</v>
      </c>
      <c r="M1870" t="s">
        <v>14519</v>
      </c>
      <c r="N1870" s="78"/>
      <c r="O1870" s="77">
        <v>42418</v>
      </c>
      <c r="Q1870" t="b">
        <v>0</v>
      </c>
      <c r="R1870" s="22">
        <f t="shared" si="29"/>
        <v>1020</v>
      </c>
    </row>
    <row r="1871" spans="1:18">
      <c r="A1871" s="71">
        <v>10056</v>
      </c>
      <c r="B1871" s="72">
        <v>41401</v>
      </c>
      <c r="C1871" s="71" t="s">
        <v>15241</v>
      </c>
      <c r="D1871" s="72">
        <v>41399</v>
      </c>
      <c r="E1871" s="71" t="s">
        <v>15242</v>
      </c>
      <c r="F1871" s="71" t="s">
        <v>2359</v>
      </c>
      <c r="G1871" s="71" t="s">
        <v>20</v>
      </c>
      <c r="H1871" s="71" t="s">
        <v>71</v>
      </c>
      <c r="I1871" s="71" t="s">
        <v>72</v>
      </c>
      <c r="J1871" s="71" t="s">
        <v>15243</v>
      </c>
      <c r="K1871" s="71" t="s">
        <v>9348</v>
      </c>
      <c r="L1871" s="71" t="s">
        <v>7167</v>
      </c>
      <c r="M1871" s="71"/>
      <c r="O1871" s="72">
        <v>41401</v>
      </c>
      <c r="P1871" s="71"/>
      <c r="Q1871" s="71" t="b">
        <v>0</v>
      </c>
      <c r="R1871" s="22">
        <f t="shared" si="29"/>
        <v>0</v>
      </c>
    </row>
    <row r="1872" spans="1:18">
      <c r="A1872" s="71">
        <v>10058</v>
      </c>
      <c r="B1872" s="72">
        <v>41404</v>
      </c>
      <c r="C1872" s="71" t="s">
        <v>15248</v>
      </c>
      <c r="D1872" s="72">
        <v>41401</v>
      </c>
      <c r="E1872" s="71" t="s">
        <v>15249</v>
      </c>
      <c r="F1872" s="71" t="s">
        <v>216</v>
      </c>
      <c r="G1872" s="71" t="s">
        <v>20</v>
      </c>
      <c r="H1872" s="71" t="s">
        <v>71</v>
      </c>
      <c r="I1872" s="71" t="s">
        <v>72</v>
      </c>
      <c r="J1872" s="71" t="s">
        <v>15250</v>
      </c>
      <c r="K1872" s="71" t="s">
        <v>13389</v>
      </c>
      <c r="L1872" s="71" t="s">
        <v>4282</v>
      </c>
      <c r="M1872" s="71" t="s">
        <v>7167</v>
      </c>
      <c r="O1872" s="72">
        <v>42185</v>
      </c>
      <c r="P1872" s="71"/>
      <c r="Q1872" s="71" t="b">
        <v>0</v>
      </c>
      <c r="R1872" s="22">
        <f t="shared" si="29"/>
        <v>780</v>
      </c>
    </row>
    <row r="1873" spans="1:18">
      <c r="A1873" s="71">
        <v>10059</v>
      </c>
      <c r="B1873" s="72">
        <v>41408</v>
      </c>
      <c r="C1873" s="71" t="s">
        <v>15251</v>
      </c>
      <c r="D1873" s="72">
        <v>41408</v>
      </c>
      <c r="E1873" s="71" t="s">
        <v>15252</v>
      </c>
      <c r="F1873" s="71" t="s">
        <v>14552</v>
      </c>
      <c r="G1873" s="71" t="s">
        <v>20</v>
      </c>
      <c r="H1873" s="71" t="s">
        <v>71</v>
      </c>
      <c r="I1873" s="71" t="s">
        <v>72</v>
      </c>
      <c r="J1873" s="71" t="s">
        <v>15253</v>
      </c>
      <c r="K1873" s="71"/>
      <c r="L1873" s="71" t="s">
        <v>1946</v>
      </c>
      <c r="M1873" s="71"/>
      <c r="O1873" s="72">
        <v>42062</v>
      </c>
      <c r="P1873" s="71"/>
      <c r="Q1873" s="71" t="b">
        <v>0</v>
      </c>
      <c r="R1873" s="22">
        <f t="shared" si="29"/>
        <v>651</v>
      </c>
    </row>
    <row r="1874" spans="1:18">
      <c r="A1874" s="71">
        <v>10060</v>
      </c>
      <c r="B1874" s="72">
        <v>41408</v>
      </c>
      <c r="C1874" s="71" t="s">
        <v>15254</v>
      </c>
      <c r="D1874" s="72">
        <v>41407</v>
      </c>
      <c r="E1874" s="71" t="s">
        <v>15255</v>
      </c>
      <c r="F1874" s="71" t="s">
        <v>27</v>
      </c>
      <c r="G1874" s="71" t="s">
        <v>20</v>
      </c>
      <c r="H1874" s="71" t="s">
        <v>212</v>
      </c>
      <c r="I1874" s="71" t="s">
        <v>212</v>
      </c>
      <c r="J1874" s="71" t="s">
        <v>15256</v>
      </c>
      <c r="K1874" s="71"/>
      <c r="L1874" s="71" t="s">
        <v>3588</v>
      </c>
      <c r="M1874" s="71"/>
      <c r="O1874" s="72">
        <v>41422</v>
      </c>
      <c r="P1874" s="71"/>
      <c r="Q1874" s="71" t="b">
        <v>0</v>
      </c>
      <c r="R1874" s="22">
        <f t="shared" si="29"/>
        <v>14</v>
      </c>
    </row>
    <row r="1875" spans="1:18">
      <c r="A1875" s="71">
        <v>10068</v>
      </c>
      <c r="B1875" s="72">
        <v>41422</v>
      </c>
      <c r="C1875" s="71" t="s">
        <v>15273</v>
      </c>
      <c r="D1875" s="72">
        <v>41400</v>
      </c>
      <c r="E1875" s="71" t="s">
        <v>15274</v>
      </c>
      <c r="F1875" s="71" t="s">
        <v>104</v>
      </c>
      <c r="G1875" s="71" t="s">
        <v>20</v>
      </c>
      <c r="H1875" s="71" t="s">
        <v>71</v>
      </c>
      <c r="I1875" s="71" t="s">
        <v>72</v>
      </c>
      <c r="J1875" s="71" t="s">
        <v>2542</v>
      </c>
      <c r="K1875" s="71" t="s">
        <v>15275</v>
      </c>
      <c r="L1875" s="71" t="s">
        <v>14909</v>
      </c>
      <c r="M1875" s="71" t="s">
        <v>14519</v>
      </c>
      <c r="O1875" s="72">
        <v>42184</v>
      </c>
      <c r="P1875" s="71"/>
      <c r="Q1875" s="71" t="b">
        <v>0</v>
      </c>
      <c r="R1875" s="22">
        <f t="shared" si="29"/>
        <v>761</v>
      </c>
    </row>
    <row r="1876" spans="1:18">
      <c r="A1876" s="71">
        <v>10069</v>
      </c>
      <c r="B1876" s="72">
        <v>41423</v>
      </c>
      <c r="C1876" s="71" t="s">
        <v>15276</v>
      </c>
      <c r="D1876" s="72">
        <v>41415</v>
      </c>
      <c r="E1876" s="71" t="s">
        <v>15277</v>
      </c>
      <c r="F1876" s="71" t="s">
        <v>8615</v>
      </c>
      <c r="G1876" s="71" t="s">
        <v>20</v>
      </c>
      <c r="H1876" s="71" t="s">
        <v>71</v>
      </c>
      <c r="I1876" s="71" t="s">
        <v>72</v>
      </c>
      <c r="J1876" s="71" t="s">
        <v>4690</v>
      </c>
      <c r="K1876" s="71" t="s">
        <v>15278</v>
      </c>
      <c r="L1876" s="71" t="s">
        <v>1946</v>
      </c>
      <c r="M1876" s="71" t="s">
        <v>7167</v>
      </c>
      <c r="O1876" s="72">
        <v>41540</v>
      </c>
      <c r="P1876" s="71"/>
      <c r="Q1876" s="71" t="b">
        <v>0</v>
      </c>
      <c r="R1876" s="22">
        <f t="shared" si="29"/>
        <v>115</v>
      </c>
    </row>
    <row r="1877" spans="1:18">
      <c r="A1877" s="71">
        <v>10078</v>
      </c>
      <c r="B1877" s="72">
        <v>41442</v>
      </c>
      <c r="C1877" s="71" t="s">
        <v>15303</v>
      </c>
      <c r="D1877" s="72">
        <v>41439</v>
      </c>
      <c r="E1877" s="71" t="s">
        <v>15304</v>
      </c>
      <c r="F1877" s="71" t="s">
        <v>14336</v>
      </c>
      <c r="G1877" s="71" t="s">
        <v>20</v>
      </c>
      <c r="H1877" s="71" t="s">
        <v>71</v>
      </c>
      <c r="I1877" s="71" t="s">
        <v>72</v>
      </c>
      <c r="J1877" s="71" t="s">
        <v>12626</v>
      </c>
      <c r="K1877" s="71"/>
      <c r="L1877" s="71" t="s">
        <v>7167</v>
      </c>
      <c r="M1877" s="71"/>
      <c r="O1877" s="72">
        <v>41540</v>
      </c>
      <c r="P1877" s="71"/>
      <c r="Q1877" s="71" t="b">
        <v>0</v>
      </c>
      <c r="R1877" s="22">
        <f t="shared" si="29"/>
        <v>97</v>
      </c>
    </row>
    <row r="1878" spans="1:18">
      <c r="A1878" s="71">
        <v>10081</v>
      </c>
      <c r="B1878" s="72">
        <v>41444</v>
      </c>
      <c r="C1878" s="71" t="s">
        <v>15311</v>
      </c>
      <c r="D1878" s="72">
        <v>41424</v>
      </c>
      <c r="E1878" s="71" t="s">
        <v>15312</v>
      </c>
      <c r="F1878" s="71" t="s">
        <v>8358</v>
      </c>
      <c r="G1878" s="71" t="s">
        <v>20</v>
      </c>
      <c r="H1878" s="71" t="s">
        <v>71</v>
      </c>
      <c r="I1878" s="71" t="s">
        <v>72</v>
      </c>
      <c r="J1878" s="71" t="s">
        <v>15313</v>
      </c>
      <c r="K1878" s="71" t="s">
        <v>15314</v>
      </c>
      <c r="L1878" s="71" t="s">
        <v>1946</v>
      </c>
      <c r="M1878" s="71"/>
      <c r="O1878" s="72">
        <v>42062</v>
      </c>
      <c r="P1878" s="71"/>
      <c r="Q1878" s="71" t="b">
        <v>0</v>
      </c>
      <c r="R1878" s="22">
        <f t="shared" si="29"/>
        <v>616</v>
      </c>
    </row>
    <row r="1879" spans="1:18">
      <c r="A1879" s="71">
        <v>10082</v>
      </c>
      <c r="B1879" s="72">
        <v>41444</v>
      </c>
      <c r="C1879" s="71" t="s">
        <v>15315</v>
      </c>
      <c r="D1879" s="72">
        <v>41442</v>
      </c>
      <c r="E1879" s="71" t="s">
        <v>15316</v>
      </c>
      <c r="F1879" s="71" t="s">
        <v>14336</v>
      </c>
      <c r="G1879" s="71" t="s">
        <v>20</v>
      </c>
      <c r="H1879" s="71" t="s">
        <v>71</v>
      </c>
      <c r="I1879" s="71" t="s">
        <v>72</v>
      </c>
      <c r="J1879" s="71" t="s">
        <v>14596</v>
      </c>
      <c r="K1879" s="72">
        <v>41418</v>
      </c>
      <c r="L1879" s="71" t="s">
        <v>1946</v>
      </c>
      <c r="M1879" s="71"/>
      <c r="O1879" s="72">
        <v>42062</v>
      </c>
      <c r="P1879" s="71"/>
      <c r="Q1879" s="71" t="b">
        <v>0</v>
      </c>
      <c r="R1879" s="22">
        <f t="shared" si="29"/>
        <v>616</v>
      </c>
    </row>
    <row r="1880" spans="1:18">
      <c r="A1880" s="71">
        <v>10083</v>
      </c>
      <c r="B1880" s="72">
        <v>41445</v>
      </c>
      <c r="C1880" s="71" t="s">
        <v>15318</v>
      </c>
      <c r="D1880" s="72">
        <v>41443</v>
      </c>
      <c r="E1880" s="71" t="s">
        <v>15319</v>
      </c>
      <c r="F1880" s="71" t="s">
        <v>13960</v>
      </c>
      <c r="G1880" s="71" t="s">
        <v>20</v>
      </c>
      <c r="H1880" s="71" t="s">
        <v>71</v>
      </c>
      <c r="I1880" s="71" t="s">
        <v>72</v>
      </c>
      <c r="J1880" s="71" t="s">
        <v>15320</v>
      </c>
      <c r="K1880" s="71"/>
      <c r="L1880" s="71" t="s">
        <v>14411</v>
      </c>
      <c r="M1880" s="71" t="s">
        <v>4282</v>
      </c>
      <c r="O1880" s="72">
        <v>42138</v>
      </c>
      <c r="P1880" s="71"/>
      <c r="Q1880" s="71" t="b">
        <v>0</v>
      </c>
      <c r="R1880" s="22">
        <f t="shared" si="29"/>
        <v>693</v>
      </c>
    </row>
    <row r="1881" spans="1:18">
      <c r="A1881" s="71">
        <v>10089</v>
      </c>
      <c r="B1881" s="72">
        <v>41449</v>
      </c>
      <c r="C1881" s="71" t="s">
        <v>15335</v>
      </c>
      <c r="D1881" s="72">
        <v>41445</v>
      </c>
      <c r="E1881" s="71" t="s">
        <v>15336</v>
      </c>
      <c r="F1881" s="71" t="s">
        <v>12892</v>
      </c>
      <c r="G1881" s="71" t="s">
        <v>20</v>
      </c>
      <c r="H1881" s="71" t="s">
        <v>71</v>
      </c>
      <c r="I1881" s="71" t="s">
        <v>72</v>
      </c>
      <c r="J1881" s="71" t="s">
        <v>15337</v>
      </c>
      <c r="K1881" s="71"/>
      <c r="L1881" s="71" t="s">
        <v>14411</v>
      </c>
      <c r="M1881" s="71" t="s">
        <v>15338</v>
      </c>
      <c r="O1881" s="72">
        <v>42185</v>
      </c>
      <c r="P1881" s="71"/>
      <c r="Q1881" s="71" t="b">
        <v>0</v>
      </c>
      <c r="R1881" s="22">
        <f t="shared" si="29"/>
        <v>736</v>
      </c>
    </row>
    <row r="1882" spans="1:18">
      <c r="A1882">
        <v>10103</v>
      </c>
      <c r="B1882" s="77">
        <v>41477</v>
      </c>
      <c r="C1882" t="s">
        <v>19931</v>
      </c>
      <c r="D1882" s="77">
        <v>41472</v>
      </c>
      <c r="E1882" t="s">
        <v>15375</v>
      </c>
      <c r="F1882" t="s">
        <v>85</v>
      </c>
      <c r="G1882" t="s">
        <v>20</v>
      </c>
      <c r="H1882" t="s">
        <v>71</v>
      </c>
      <c r="I1882" t="s">
        <v>72</v>
      </c>
      <c r="J1882" t="s">
        <v>15376</v>
      </c>
      <c r="K1882" t="s">
        <v>15377</v>
      </c>
      <c r="L1882" t="s">
        <v>14909</v>
      </c>
      <c r="M1882" t="s">
        <v>14519</v>
      </c>
      <c r="N1882" s="78"/>
      <c r="O1882" s="77">
        <v>42674</v>
      </c>
      <c r="Q1882" t="b">
        <v>0</v>
      </c>
      <c r="R1882" s="22">
        <f t="shared" si="29"/>
        <v>1195</v>
      </c>
    </row>
    <row r="1883" spans="1:18">
      <c r="A1883">
        <v>10104</v>
      </c>
      <c r="B1883" s="77">
        <v>41477</v>
      </c>
      <c r="C1883" t="s">
        <v>19922</v>
      </c>
      <c r="D1883" s="77">
        <v>41470</v>
      </c>
      <c r="E1883" t="s">
        <v>15378</v>
      </c>
      <c r="F1883" t="s">
        <v>1939</v>
      </c>
      <c r="G1883" t="s">
        <v>20</v>
      </c>
      <c r="H1883" t="s">
        <v>71</v>
      </c>
      <c r="I1883" t="s">
        <v>72</v>
      </c>
      <c r="J1883" t="s">
        <v>15379</v>
      </c>
      <c r="K1883" t="s">
        <v>15380</v>
      </c>
      <c r="L1883" t="s">
        <v>4282</v>
      </c>
      <c r="M1883" t="s">
        <v>7167</v>
      </c>
      <c r="N1883" s="78"/>
      <c r="O1883" s="77">
        <v>42551</v>
      </c>
      <c r="Q1883" t="b">
        <v>1</v>
      </c>
      <c r="R1883" s="22">
        <f t="shared" si="29"/>
        <v>1072</v>
      </c>
    </row>
    <row r="1884" spans="1:18">
      <c r="A1884" s="71">
        <v>10105</v>
      </c>
      <c r="B1884" s="72">
        <v>41477</v>
      </c>
      <c r="C1884" s="71" t="s">
        <v>15381</v>
      </c>
      <c r="D1884" s="72">
        <v>41474</v>
      </c>
      <c r="E1884" s="71" t="s">
        <v>15382</v>
      </c>
      <c r="F1884" s="71" t="s">
        <v>8615</v>
      </c>
      <c r="G1884" s="71" t="s">
        <v>20</v>
      </c>
      <c r="H1884" s="71" t="s">
        <v>71</v>
      </c>
      <c r="I1884" s="71" t="s">
        <v>72</v>
      </c>
      <c r="J1884" s="71" t="s">
        <v>15383</v>
      </c>
      <c r="K1884" s="71" t="s">
        <v>15384</v>
      </c>
      <c r="L1884" s="71" t="s">
        <v>7167</v>
      </c>
      <c r="M1884" s="71"/>
      <c r="O1884" s="72">
        <v>41558</v>
      </c>
      <c r="P1884" s="71"/>
      <c r="Q1884" s="71" t="b">
        <v>0</v>
      </c>
      <c r="R1884" s="22">
        <f t="shared" si="29"/>
        <v>80</v>
      </c>
    </row>
    <row r="1885" spans="1:18">
      <c r="A1885" s="71">
        <v>10106</v>
      </c>
      <c r="B1885" s="72">
        <v>41477</v>
      </c>
      <c r="C1885" s="71" t="s">
        <v>15385</v>
      </c>
      <c r="D1885" s="72">
        <v>41477</v>
      </c>
      <c r="E1885" s="71" t="s">
        <v>15386</v>
      </c>
      <c r="F1885" s="71" t="s">
        <v>8615</v>
      </c>
      <c r="G1885" s="71" t="s">
        <v>20</v>
      </c>
      <c r="H1885" s="71" t="s">
        <v>71</v>
      </c>
      <c r="I1885" s="71" t="s">
        <v>72</v>
      </c>
      <c r="J1885" s="71" t="s">
        <v>15387</v>
      </c>
      <c r="K1885" s="73">
        <v>41473</v>
      </c>
      <c r="L1885" s="71" t="s">
        <v>7167</v>
      </c>
      <c r="M1885" s="71"/>
      <c r="O1885" s="72">
        <v>41558</v>
      </c>
      <c r="P1885" s="71"/>
      <c r="Q1885" s="71" t="b">
        <v>0</v>
      </c>
      <c r="R1885" s="22">
        <f t="shared" si="29"/>
        <v>80</v>
      </c>
    </row>
    <row r="1886" spans="1:18">
      <c r="A1886" s="71">
        <v>10115</v>
      </c>
      <c r="B1886" s="72">
        <v>41493</v>
      </c>
      <c r="C1886" s="71" t="s">
        <v>15412</v>
      </c>
      <c r="D1886" s="72">
        <v>41486</v>
      </c>
      <c r="E1886" s="71" t="s">
        <v>15413</v>
      </c>
      <c r="F1886" s="71" t="s">
        <v>8615</v>
      </c>
      <c r="G1886" s="71" t="s">
        <v>20</v>
      </c>
      <c r="H1886" s="71" t="s">
        <v>71</v>
      </c>
      <c r="I1886" s="71" t="s">
        <v>72</v>
      </c>
      <c r="J1886" s="71" t="s">
        <v>15414</v>
      </c>
      <c r="K1886" s="71" t="s">
        <v>15415</v>
      </c>
      <c r="L1886" s="71" t="s">
        <v>7167</v>
      </c>
      <c r="M1886" s="71"/>
      <c r="O1886" s="72">
        <v>41558</v>
      </c>
      <c r="P1886" s="71"/>
      <c r="Q1886" s="71" t="b">
        <v>0</v>
      </c>
      <c r="R1886" s="22">
        <f t="shared" si="29"/>
        <v>64</v>
      </c>
    </row>
    <row r="1887" spans="1:18">
      <c r="A1887" s="71">
        <v>10116</v>
      </c>
      <c r="B1887" s="72">
        <v>41498</v>
      </c>
      <c r="C1887" s="71" t="s">
        <v>15416</v>
      </c>
      <c r="D1887" s="72">
        <v>41494</v>
      </c>
      <c r="E1887" s="71" t="s">
        <v>15417</v>
      </c>
      <c r="F1887" s="71" t="s">
        <v>7030</v>
      </c>
      <c r="G1887" s="71" t="s">
        <v>20</v>
      </c>
      <c r="H1887" s="71" t="s">
        <v>71</v>
      </c>
      <c r="I1887" s="71" t="s">
        <v>72</v>
      </c>
      <c r="J1887" s="71" t="s">
        <v>557</v>
      </c>
      <c r="K1887" s="71" t="s">
        <v>15418</v>
      </c>
      <c r="L1887" s="71" t="s">
        <v>14411</v>
      </c>
      <c r="M1887" s="71" t="s">
        <v>1946</v>
      </c>
      <c r="O1887" s="72">
        <v>42145</v>
      </c>
      <c r="P1887" s="71"/>
      <c r="Q1887" s="71" t="b">
        <v>0</v>
      </c>
      <c r="R1887" s="22">
        <f t="shared" si="29"/>
        <v>647</v>
      </c>
    </row>
    <row r="1888" spans="1:18">
      <c r="A1888">
        <v>10121</v>
      </c>
      <c r="B1888" s="77">
        <v>41499</v>
      </c>
      <c r="C1888" t="s">
        <v>19882</v>
      </c>
      <c r="D1888" s="77">
        <v>41498</v>
      </c>
      <c r="E1888" t="s">
        <v>15419</v>
      </c>
      <c r="F1888" t="s">
        <v>12892</v>
      </c>
      <c r="G1888" t="s">
        <v>20</v>
      </c>
      <c r="H1888" t="s">
        <v>71</v>
      </c>
      <c r="I1888" t="s">
        <v>72</v>
      </c>
      <c r="J1888" t="s">
        <v>15420</v>
      </c>
      <c r="K1888" t="s">
        <v>15421</v>
      </c>
      <c r="L1888" t="s">
        <v>14518</v>
      </c>
      <c r="M1888" t="s">
        <v>4282</v>
      </c>
      <c r="N1888" s="78"/>
      <c r="O1888" s="77">
        <v>42452</v>
      </c>
      <c r="Q1888" t="b">
        <v>0</v>
      </c>
      <c r="R1888" s="22">
        <f t="shared" si="29"/>
        <v>953</v>
      </c>
    </row>
    <row r="1889" spans="1:19">
      <c r="A1889" s="71">
        <v>10122</v>
      </c>
      <c r="B1889" s="72">
        <v>41506</v>
      </c>
      <c r="C1889" s="71" t="s">
        <v>15422</v>
      </c>
      <c r="D1889" s="72">
        <v>41505</v>
      </c>
      <c r="E1889" s="71" t="s">
        <v>15423</v>
      </c>
      <c r="F1889" s="71" t="s">
        <v>3171</v>
      </c>
      <c r="G1889" s="71" t="s">
        <v>20</v>
      </c>
      <c r="H1889" s="71" t="s">
        <v>566</v>
      </c>
      <c r="I1889" s="71" t="s">
        <v>566</v>
      </c>
      <c r="J1889" s="71" t="s">
        <v>4690</v>
      </c>
      <c r="K1889" s="71"/>
      <c r="L1889" s="71" t="s">
        <v>7167</v>
      </c>
      <c r="M1889" s="71"/>
      <c r="O1889" s="72">
        <v>42317</v>
      </c>
      <c r="P1889" s="71"/>
      <c r="Q1889" s="71" t="b">
        <v>0</v>
      </c>
      <c r="R1889" s="22">
        <f t="shared" si="29"/>
        <v>810</v>
      </c>
    </row>
    <row r="1890" spans="1:19">
      <c r="A1890" s="71">
        <v>10124</v>
      </c>
      <c r="B1890" s="72">
        <v>41508</v>
      </c>
      <c r="C1890" s="71" t="s">
        <v>15427</v>
      </c>
      <c r="D1890" s="72">
        <v>41508</v>
      </c>
      <c r="E1890" s="71" t="s">
        <v>15428</v>
      </c>
      <c r="F1890" s="71" t="s">
        <v>11050</v>
      </c>
      <c r="G1890" s="71" t="s">
        <v>20</v>
      </c>
      <c r="H1890" s="71" t="s">
        <v>71</v>
      </c>
      <c r="I1890" s="71" t="s">
        <v>72</v>
      </c>
      <c r="J1890" s="71" t="s">
        <v>15429</v>
      </c>
      <c r="K1890" s="71" t="s">
        <v>15430</v>
      </c>
      <c r="L1890" s="71" t="s">
        <v>7167</v>
      </c>
      <c r="M1890" s="71"/>
      <c r="O1890" s="72">
        <v>41543</v>
      </c>
      <c r="P1890" s="71"/>
      <c r="Q1890" s="71" t="b">
        <v>0</v>
      </c>
      <c r="R1890" s="22">
        <f t="shared" si="29"/>
        <v>34</v>
      </c>
    </row>
    <row r="1891" spans="1:19">
      <c r="A1891" s="71">
        <v>10125</v>
      </c>
      <c r="B1891" s="72">
        <v>41508</v>
      </c>
      <c r="C1891" s="71" t="s">
        <v>15431</v>
      </c>
      <c r="D1891" s="72">
        <v>41507</v>
      </c>
      <c r="E1891" s="71" t="s">
        <v>15432</v>
      </c>
      <c r="F1891" s="71" t="s">
        <v>216</v>
      </c>
      <c r="G1891" s="71" t="s">
        <v>20</v>
      </c>
      <c r="H1891" s="71" t="s">
        <v>71</v>
      </c>
      <c r="I1891" s="71" t="s">
        <v>72</v>
      </c>
      <c r="J1891" s="71" t="s">
        <v>15433</v>
      </c>
      <c r="K1891" s="71" t="s">
        <v>15434</v>
      </c>
      <c r="L1891" s="71" t="s">
        <v>14411</v>
      </c>
      <c r="M1891" s="71" t="s">
        <v>1946</v>
      </c>
      <c r="O1891" s="72">
        <v>42292</v>
      </c>
      <c r="P1891" s="71"/>
      <c r="Q1891" s="71" t="b">
        <v>0</v>
      </c>
      <c r="R1891" s="22">
        <f t="shared" si="29"/>
        <v>783</v>
      </c>
    </row>
    <row r="1892" spans="1:19">
      <c r="A1892" s="71">
        <v>10126</v>
      </c>
      <c r="B1892" s="72">
        <v>41509</v>
      </c>
      <c r="C1892" s="71" t="s">
        <v>15435</v>
      </c>
      <c r="D1892" s="72">
        <v>41389</v>
      </c>
      <c r="E1892" s="71" t="s">
        <v>15436</v>
      </c>
      <c r="F1892" s="71" t="s">
        <v>15437</v>
      </c>
      <c r="G1892" s="71" t="s">
        <v>20</v>
      </c>
      <c r="H1892" s="71" t="s">
        <v>71</v>
      </c>
      <c r="I1892" s="71" t="s">
        <v>72</v>
      </c>
      <c r="J1892" s="71" t="s">
        <v>15438</v>
      </c>
      <c r="K1892" s="71"/>
      <c r="L1892" s="71" t="s">
        <v>14518</v>
      </c>
      <c r="M1892" s="71" t="s">
        <v>15439</v>
      </c>
      <c r="O1892" s="72">
        <v>42185</v>
      </c>
      <c r="P1892" s="71"/>
      <c r="Q1892" s="71" t="b">
        <v>0</v>
      </c>
      <c r="R1892" s="22">
        <f t="shared" si="29"/>
        <v>676</v>
      </c>
    </row>
    <row r="1893" spans="1:19">
      <c r="A1893" s="71">
        <v>10133</v>
      </c>
      <c r="B1893" s="72">
        <v>41514</v>
      </c>
      <c r="C1893" s="71" t="s">
        <v>15445</v>
      </c>
      <c r="D1893" s="72">
        <v>41513</v>
      </c>
      <c r="E1893" s="71" t="s">
        <v>15446</v>
      </c>
      <c r="F1893" s="71" t="s">
        <v>9937</v>
      </c>
      <c r="G1893" s="71" t="s">
        <v>20</v>
      </c>
      <c r="H1893" s="71" t="s">
        <v>71</v>
      </c>
      <c r="I1893" s="71" t="s">
        <v>72</v>
      </c>
      <c r="J1893" s="71" t="s">
        <v>15253</v>
      </c>
      <c r="K1893" s="71"/>
      <c r="L1893" s="71" t="s">
        <v>7167</v>
      </c>
      <c r="M1893" s="71"/>
      <c r="O1893" s="72">
        <v>41572</v>
      </c>
      <c r="P1893" s="71"/>
      <c r="Q1893" s="71" t="b">
        <v>0</v>
      </c>
      <c r="R1893" s="22">
        <f t="shared" si="29"/>
        <v>57</v>
      </c>
    </row>
    <row r="1894" spans="1:19">
      <c r="A1894" s="71">
        <v>10134</v>
      </c>
      <c r="B1894" s="72">
        <v>41516</v>
      </c>
      <c r="C1894" s="71" t="s">
        <v>15447</v>
      </c>
      <c r="D1894" s="72">
        <v>41347</v>
      </c>
      <c r="E1894" s="71" t="s">
        <v>15448</v>
      </c>
      <c r="F1894" s="71" t="s">
        <v>15449</v>
      </c>
      <c r="G1894" s="71" t="s">
        <v>20</v>
      </c>
      <c r="H1894" s="71" t="s">
        <v>71</v>
      </c>
      <c r="I1894" s="71" t="s">
        <v>72</v>
      </c>
      <c r="J1894" s="71" t="s">
        <v>15188</v>
      </c>
      <c r="K1894" s="71" t="s">
        <v>14438</v>
      </c>
      <c r="L1894" s="71" t="s">
        <v>4282</v>
      </c>
      <c r="M1894" s="71"/>
      <c r="O1894" s="72">
        <v>41516</v>
      </c>
      <c r="P1894" s="71"/>
      <c r="Q1894" s="71" t="b">
        <v>0</v>
      </c>
      <c r="R1894" s="22">
        <f t="shared" si="29"/>
        <v>0</v>
      </c>
    </row>
    <row r="1895" spans="1:19">
      <c r="A1895" s="71">
        <v>10135</v>
      </c>
      <c r="B1895" s="72">
        <v>41516</v>
      </c>
      <c r="C1895" s="71" t="s">
        <v>15450</v>
      </c>
      <c r="D1895" s="72">
        <v>41347</v>
      </c>
      <c r="E1895" s="71" t="s">
        <v>15451</v>
      </c>
      <c r="F1895" s="71" t="s">
        <v>15449</v>
      </c>
      <c r="G1895" s="71" t="s">
        <v>20</v>
      </c>
      <c r="H1895" s="71" t="s">
        <v>71</v>
      </c>
      <c r="I1895" s="71" t="s">
        <v>72</v>
      </c>
      <c r="J1895" s="71" t="s">
        <v>15192</v>
      </c>
      <c r="K1895" s="71" t="s">
        <v>15189</v>
      </c>
      <c r="L1895" s="71" t="s">
        <v>4282</v>
      </c>
      <c r="M1895" s="71"/>
      <c r="O1895" s="72">
        <v>41520</v>
      </c>
      <c r="P1895" s="71"/>
      <c r="Q1895" s="71" t="b">
        <v>0</v>
      </c>
      <c r="R1895" s="22">
        <f t="shared" si="29"/>
        <v>3</v>
      </c>
    </row>
    <row r="1896" spans="1:19">
      <c r="A1896">
        <v>10138</v>
      </c>
      <c r="B1896" s="77">
        <v>41520</v>
      </c>
      <c r="C1896" t="s">
        <v>19906</v>
      </c>
      <c r="D1896" s="77">
        <v>41520</v>
      </c>
      <c r="E1896" t="s">
        <v>15456</v>
      </c>
      <c r="F1896" t="s">
        <v>7020</v>
      </c>
      <c r="G1896" t="s">
        <v>20</v>
      </c>
      <c r="H1896" t="s">
        <v>71</v>
      </c>
      <c r="I1896" t="s">
        <v>72</v>
      </c>
      <c r="J1896" t="s">
        <v>15457</v>
      </c>
      <c r="K1896" t="s">
        <v>15458</v>
      </c>
      <c r="L1896" t="s">
        <v>7167</v>
      </c>
      <c r="N1896" s="78"/>
      <c r="O1896" s="77">
        <v>42496</v>
      </c>
      <c r="Q1896" t="b">
        <v>0</v>
      </c>
      <c r="R1896" s="22">
        <f t="shared" si="29"/>
        <v>976</v>
      </c>
    </row>
    <row r="1897" spans="1:19">
      <c r="A1897" s="71">
        <v>10143</v>
      </c>
      <c r="B1897" s="72">
        <v>41526</v>
      </c>
      <c r="C1897" s="71" t="s">
        <v>15465</v>
      </c>
      <c r="D1897" s="72">
        <v>41453</v>
      </c>
      <c r="E1897" s="71" t="s">
        <v>15466</v>
      </c>
      <c r="F1897" s="71" t="s">
        <v>56</v>
      </c>
      <c r="G1897" s="71" t="s">
        <v>20</v>
      </c>
      <c r="H1897" s="71" t="s">
        <v>566</v>
      </c>
      <c r="I1897" s="71" t="s">
        <v>566</v>
      </c>
      <c r="J1897" s="71" t="s">
        <v>15467</v>
      </c>
      <c r="K1897" s="71" t="s">
        <v>13842</v>
      </c>
      <c r="L1897" s="71" t="s">
        <v>14518</v>
      </c>
      <c r="M1897" s="71" t="s">
        <v>1152</v>
      </c>
      <c r="O1897" s="72">
        <v>42096</v>
      </c>
      <c r="P1897" s="71"/>
      <c r="Q1897" s="71" t="b">
        <v>0</v>
      </c>
      <c r="R1897" s="22">
        <f t="shared" si="29"/>
        <v>570</v>
      </c>
    </row>
    <row r="1898" spans="1:19">
      <c r="A1898" s="71">
        <v>10146</v>
      </c>
      <c r="B1898" s="72">
        <v>41529</v>
      </c>
      <c r="C1898" s="71" t="s">
        <v>15472</v>
      </c>
      <c r="D1898" s="72">
        <v>41528</v>
      </c>
      <c r="E1898" s="71" t="s">
        <v>15473</v>
      </c>
      <c r="F1898" s="71" t="s">
        <v>8615</v>
      </c>
      <c r="G1898" s="71" t="s">
        <v>20</v>
      </c>
      <c r="H1898" s="71" t="s">
        <v>71</v>
      </c>
      <c r="I1898" s="71" t="s">
        <v>72</v>
      </c>
      <c r="J1898" s="71" t="s">
        <v>15474</v>
      </c>
      <c r="K1898" s="71" t="s">
        <v>14825</v>
      </c>
      <c r="L1898" s="71" t="s">
        <v>7167</v>
      </c>
      <c r="M1898" s="71"/>
      <c r="O1898" s="72">
        <v>42262</v>
      </c>
      <c r="P1898" s="71"/>
      <c r="Q1898" s="71" t="b">
        <v>0</v>
      </c>
      <c r="R1898" s="22">
        <f t="shared" si="29"/>
        <v>733</v>
      </c>
    </row>
    <row r="1899" spans="1:19">
      <c r="A1899" s="71">
        <v>10150</v>
      </c>
      <c r="B1899" s="72">
        <v>41533</v>
      </c>
      <c r="C1899" s="71" t="s">
        <v>15479</v>
      </c>
      <c r="D1899" s="72">
        <v>41529</v>
      </c>
      <c r="E1899" s="71" t="s">
        <v>15480</v>
      </c>
      <c r="F1899" s="71" t="s">
        <v>149</v>
      </c>
      <c r="G1899" s="71" t="s">
        <v>20</v>
      </c>
      <c r="H1899" s="71" t="s">
        <v>71</v>
      </c>
      <c r="I1899" s="71" t="s">
        <v>72</v>
      </c>
      <c r="J1899" s="71" t="s">
        <v>15481</v>
      </c>
      <c r="K1899" s="71" t="s">
        <v>15482</v>
      </c>
      <c r="L1899" s="71" t="s">
        <v>4282</v>
      </c>
      <c r="M1899" s="71"/>
      <c r="O1899" s="72">
        <v>41584</v>
      </c>
      <c r="P1899" s="71"/>
      <c r="Q1899" s="71" t="b">
        <v>0</v>
      </c>
      <c r="R1899" s="22">
        <f t="shared" si="29"/>
        <v>50</v>
      </c>
    </row>
    <row r="1900" spans="1:19">
      <c r="A1900" s="71">
        <v>10160</v>
      </c>
      <c r="B1900" s="72">
        <v>41543</v>
      </c>
      <c r="C1900" s="71" t="s">
        <v>19140</v>
      </c>
      <c r="D1900" s="72">
        <v>41541</v>
      </c>
      <c r="E1900" s="71" t="s">
        <v>15500</v>
      </c>
      <c r="F1900" s="71" t="s">
        <v>124</v>
      </c>
      <c r="G1900" s="71" t="s">
        <v>20</v>
      </c>
      <c r="H1900" s="71" t="s">
        <v>71</v>
      </c>
      <c r="I1900" s="71" t="s">
        <v>72</v>
      </c>
      <c r="J1900" s="71" t="s">
        <v>15501</v>
      </c>
      <c r="K1900" s="71"/>
      <c r="L1900" s="71" t="s">
        <v>7167</v>
      </c>
      <c r="M1900" s="71"/>
      <c r="O1900" s="72">
        <v>42871</v>
      </c>
      <c r="P1900" s="71"/>
      <c r="Q1900" s="71" t="b">
        <v>0</v>
      </c>
      <c r="R1900" s="22">
        <f t="shared" si="29"/>
        <v>1328</v>
      </c>
      <c r="S1900" s="71"/>
    </row>
    <row r="1901" spans="1:19">
      <c r="A1901" s="71">
        <v>10161</v>
      </c>
      <c r="B1901" s="72">
        <v>41543</v>
      </c>
      <c r="C1901" s="71" t="s">
        <v>15502</v>
      </c>
      <c r="D1901" s="72">
        <v>41531</v>
      </c>
      <c r="E1901" s="71" t="s">
        <v>15503</v>
      </c>
      <c r="F1901" s="71" t="s">
        <v>741</v>
      </c>
      <c r="G1901" s="71" t="s">
        <v>20</v>
      </c>
      <c r="H1901" s="71" t="s">
        <v>71</v>
      </c>
      <c r="I1901" s="71" t="s">
        <v>72</v>
      </c>
      <c r="J1901" s="71" t="s">
        <v>15504</v>
      </c>
      <c r="K1901" s="71" t="s">
        <v>15505</v>
      </c>
      <c r="L1901" s="71" t="s">
        <v>1946</v>
      </c>
      <c r="M1901" s="71"/>
      <c r="O1901" s="72">
        <v>42367</v>
      </c>
      <c r="P1901" s="71"/>
      <c r="Q1901" s="71" t="b">
        <v>0</v>
      </c>
      <c r="R1901" s="22">
        <f t="shared" si="29"/>
        <v>824</v>
      </c>
    </row>
    <row r="1902" spans="1:19">
      <c r="A1902" s="71">
        <v>10164</v>
      </c>
      <c r="B1902" s="72">
        <v>41547</v>
      </c>
      <c r="C1902" s="71" t="s">
        <v>19156</v>
      </c>
      <c r="D1902" s="72">
        <v>41541</v>
      </c>
      <c r="E1902" s="71" t="s">
        <v>15506</v>
      </c>
      <c r="F1902" s="71" t="s">
        <v>371</v>
      </c>
      <c r="G1902" s="71" t="s">
        <v>20</v>
      </c>
      <c r="H1902" s="71" t="s">
        <v>71</v>
      </c>
      <c r="I1902" s="71" t="s">
        <v>72</v>
      </c>
      <c r="J1902" s="71" t="s">
        <v>15507</v>
      </c>
      <c r="K1902" s="71" t="s">
        <v>6111</v>
      </c>
      <c r="L1902" s="71" t="s">
        <v>14518</v>
      </c>
      <c r="M1902" s="71" t="s">
        <v>1152</v>
      </c>
      <c r="O1902" s="72">
        <v>42914</v>
      </c>
      <c r="P1902" s="71"/>
      <c r="Q1902" s="71" t="b">
        <v>0</v>
      </c>
      <c r="R1902" s="22">
        <f t="shared" si="29"/>
        <v>1366</v>
      </c>
      <c r="S1902" s="71"/>
    </row>
    <row r="1903" spans="1:19">
      <c r="A1903">
        <v>10167</v>
      </c>
      <c r="B1903" s="77">
        <v>41550</v>
      </c>
      <c r="C1903" t="s">
        <v>19924</v>
      </c>
      <c r="D1903" s="77">
        <v>41541</v>
      </c>
      <c r="E1903" t="s">
        <v>15511</v>
      </c>
      <c r="F1903" t="s">
        <v>861</v>
      </c>
      <c r="G1903" t="s">
        <v>20</v>
      </c>
      <c r="H1903" t="s">
        <v>566</v>
      </c>
      <c r="I1903" t="s">
        <v>566</v>
      </c>
      <c r="J1903" t="s">
        <v>15512</v>
      </c>
      <c r="K1903" t="s">
        <v>13389</v>
      </c>
      <c r="L1903" t="s">
        <v>14909</v>
      </c>
      <c r="M1903" t="s">
        <v>1152</v>
      </c>
      <c r="N1903" s="78"/>
      <c r="O1903" s="77">
        <v>42576</v>
      </c>
      <c r="Q1903" t="b">
        <v>0</v>
      </c>
      <c r="R1903" s="22">
        <f t="shared" si="29"/>
        <v>1026</v>
      </c>
    </row>
    <row r="1904" spans="1:19">
      <c r="A1904" s="71">
        <v>10168</v>
      </c>
      <c r="B1904" s="72">
        <v>41550</v>
      </c>
      <c r="C1904" s="71" t="s">
        <v>15513</v>
      </c>
      <c r="D1904" s="72">
        <v>41542</v>
      </c>
      <c r="E1904" s="71" t="s">
        <v>15514</v>
      </c>
      <c r="F1904" s="71" t="s">
        <v>14118</v>
      </c>
      <c r="G1904" s="71" t="s">
        <v>20</v>
      </c>
      <c r="H1904" s="71" t="s">
        <v>71</v>
      </c>
      <c r="I1904" s="71" t="s">
        <v>72</v>
      </c>
      <c r="J1904" s="71" t="s">
        <v>15515</v>
      </c>
      <c r="K1904" s="71" t="s">
        <v>15516</v>
      </c>
      <c r="L1904" s="71" t="s">
        <v>1152</v>
      </c>
      <c r="M1904" s="71"/>
      <c r="O1904" s="72">
        <v>41879</v>
      </c>
      <c r="P1904" s="71"/>
      <c r="Q1904" s="71" t="b">
        <v>0</v>
      </c>
      <c r="R1904" s="22">
        <f t="shared" si="29"/>
        <v>329</v>
      </c>
    </row>
    <row r="1905" spans="1:19">
      <c r="A1905">
        <v>10170</v>
      </c>
      <c r="B1905" s="77">
        <v>41556</v>
      </c>
      <c r="C1905" t="s">
        <v>19929</v>
      </c>
      <c r="D1905" s="77">
        <v>41533</v>
      </c>
      <c r="E1905" t="s">
        <v>15520</v>
      </c>
      <c r="F1905" t="s">
        <v>371</v>
      </c>
      <c r="G1905" t="s">
        <v>20</v>
      </c>
      <c r="H1905" t="s">
        <v>71</v>
      </c>
      <c r="I1905" t="s">
        <v>72</v>
      </c>
      <c r="J1905" t="s">
        <v>8564</v>
      </c>
      <c r="L1905" t="s">
        <v>7167</v>
      </c>
      <c r="N1905" s="78"/>
      <c r="O1905" s="77">
        <v>42653</v>
      </c>
      <c r="Q1905" t="b">
        <v>0</v>
      </c>
      <c r="R1905" s="22">
        <f t="shared" si="29"/>
        <v>1096</v>
      </c>
    </row>
    <row r="1906" spans="1:19">
      <c r="A1906">
        <v>10171</v>
      </c>
      <c r="B1906" s="77">
        <v>41556</v>
      </c>
      <c r="C1906" t="s">
        <v>19928</v>
      </c>
      <c r="D1906" s="77">
        <v>41528</v>
      </c>
      <c r="E1906" t="s">
        <v>15521</v>
      </c>
      <c r="F1906" t="s">
        <v>124</v>
      </c>
      <c r="G1906" t="s">
        <v>20</v>
      </c>
      <c r="H1906" t="s">
        <v>71</v>
      </c>
      <c r="I1906" t="s">
        <v>72</v>
      </c>
      <c r="J1906" t="s">
        <v>15489</v>
      </c>
      <c r="K1906" t="s">
        <v>15522</v>
      </c>
      <c r="L1906" t="s">
        <v>7167</v>
      </c>
      <c r="N1906" s="78"/>
      <c r="O1906" s="77">
        <v>42636</v>
      </c>
      <c r="Q1906" t="b">
        <v>0</v>
      </c>
      <c r="R1906" s="22">
        <f t="shared" si="29"/>
        <v>1078</v>
      </c>
    </row>
    <row r="1907" spans="1:19">
      <c r="A1907" s="71">
        <v>10172</v>
      </c>
      <c r="B1907" s="72">
        <v>41556</v>
      </c>
      <c r="C1907" s="71" t="s">
        <v>15523</v>
      </c>
      <c r="D1907" s="72">
        <v>41551</v>
      </c>
      <c r="E1907" s="71" t="s">
        <v>15524</v>
      </c>
      <c r="F1907" s="71" t="s">
        <v>15525</v>
      </c>
      <c r="G1907" s="71" t="s">
        <v>20</v>
      </c>
      <c r="H1907" s="71" t="s">
        <v>71</v>
      </c>
      <c r="I1907" s="71" t="s">
        <v>72</v>
      </c>
      <c r="J1907" s="71" t="s">
        <v>15526</v>
      </c>
      <c r="K1907" s="71" t="s">
        <v>15527</v>
      </c>
      <c r="L1907" s="71" t="s">
        <v>4282</v>
      </c>
      <c r="M1907" s="71"/>
      <c r="O1907" s="72">
        <v>42268</v>
      </c>
      <c r="P1907" s="71"/>
      <c r="Q1907" s="71" t="b">
        <v>0</v>
      </c>
      <c r="R1907" s="22">
        <f t="shared" si="29"/>
        <v>711</v>
      </c>
    </row>
    <row r="1908" spans="1:19">
      <c r="A1908">
        <v>10173</v>
      </c>
      <c r="B1908" s="77">
        <v>41556</v>
      </c>
      <c r="C1908" t="s">
        <v>19937</v>
      </c>
      <c r="D1908" s="77">
        <v>41547</v>
      </c>
      <c r="E1908" t="s">
        <v>15528</v>
      </c>
      <c r="F1908" t="s">
        <v>371</v>
      </c>
      <c r="G1908" t="s">
        <v>20</v>
      </c>
      <c r="H1908" t="s">
        <v>71</v>
      </c>
      <c r="I1908" t="s">
        <v>72</v>
      </c>
      <c r="J1908" t="s">
        <v>15529</v>
      </c>
      <c r="L1908" t="s">
        <v>14518</v>
      </c>
      <c r="M1908" t="s">
        <v>1152</v>
      </c>
      <c r="N1908" s="78"/>
      <c r="O1908" s="77">
        <v>42713</v>
      </c>
      <c r="Q1908" t="b">
        <v>0</v>
      </c>
      <c r="R1908" s="22">
        <f t="shared" si="29"/>
        <v>1155</v>
      </c>
    </row>
    <row r="1909" spans="1:19">
      <c r="A1909" s="71">
        <v>10175</v>
      </c>
      <c r="B1909" s="72">
        <v>41562</v>
      </c>
      <c r="C1909" s="71" t="s">
        <v>15530</v>
      </c>
      <c r="D1909" s="72">
        <v>41560</v>
      </c>
      <c r="E1909" s="71" t="s">
        <v>15531</v>
      </c>
      <c r="F1909" s="71" t="s">
        <v>974</v>
      </c>
      <c r="G1909" s="71" t="s">
        <v>20</v>
      </c>
      <c r="H1909" s="71" t="s">
        <v>212</v>
      </c>
      <c r="I1909" s="71" t="s">
        <v>212</v>
      </c>
      <c r="J1909" s="71" t="s">
        <v>15532</v>
      </c>
      <c r="K1909" s="71" t="s">
        <v>15533</v>
      </c>
      <c r="L1909" s="71" t="s">
        <v>1946</v>
      </c>
      <c r="M1909" s="71"/>
      <c r="O1909" s="72">
        <v>42362</v>
      </c>
      <c r="P1909" s="71"/>
      <c r="Q1909" s="71" t="b">
        <v>0</v>
      </c>
      <c r="R1909" s="22">
        <f t="shared" si="29"/>
        <v>799</v>
      </c>
    </row>
    <row r="1910" spans="1:19">
      <c r="A1910" s="71">
        <v>10178</v>
      </c>
      <c r="B1910" s="72">
        <v>41572</v>
      </c>
      <c r="C1910" s="71" t="s">
        <v>15538</v>
      </c>
      <c r="D1910" s="72">
        <v>41571</v>
      </c>
      <c r="E1910" s="71" t="s">
        <v>15539</v>
      </c>
      <c r="F1910" s="71" t="s">
        <v>15540</v>
      </c>
      <c r="G1910" s="71" t="s">
        <v>20</v>
      </c>
      <c r="H1910" s="71" t="s">
        <v>71</v>
      </c>
      <c r="I1910" s="71" t="s">
        <v>72</v>
      </c>
      <c r="J1910" s="71" t="s">
        <v>15541</v>
      </c>
      <c r="K1910" s="71" t="s">
        <v>15542</v>
      </c>
      <c r="L1910" s="71" t="s">
        <v>1946</v>
      </c>
      <c r="M1910" s="71"/>
      <c r="O1910" s="72">
        <v>41628</v>
      </c>
      <c r="P1910" s="71"/>
      <c r="Q1910" s="71" t="b">
        <v>0</v>
      </c>
      <c r="R1910" s="22">
        <f t="shared" si="29"/>
        <v>55</v>
      </c>
    </row>
    <row r="1911" spans="1:19">
      <c r="A1911" s="71">
        <v>10179</v>
      </c>
      <c r="B1911" s="72">
        <v>41576</v>
      </c>
      <c r="C1911" s="71" t="s">
        <v>15543</v>
      </c>
      <c r="D1911" s="72">
        <v>41567</v>
      </c>
      <c r="E1911" s="71" t="s">
        <v>15544</v>
      </c>
      <c r="F1911" s="71" t="s">
        <v>124</v>
      </c>
      <c r="G1911" s="71" t="s">
        <v>20</v>
      </c>
      <c r="H1911" s="71" t="s">
        <v>71</v>
      </c>
      <c r="I1911" s="71" t="s">
        <v>72</v>
      </c>
      <c r="J1911" s="71" t="s">
        <v>15545</v>
      </c>
      <c r="K1911" s="71" t="s">
        <v>15546</v>
      </c>
      <c r="L1911" s="71" t="s">
        <v>1152</v>
      </c>
      <c r="M1911" s="71"/>
      <c r="O1911" s="72">
        <v>41583</v>
      </c>
      <c r="P1911" s="71"/>
      <c r="Q1911" s="71" t="b">
        <v>0</v>
      </c>
      <c r="R1911" s="22">
        <f t="shared" si="29"/>
        <v>6</v>
      </c>
    </row>
    <row r="1912" spans="1:19">
      <c r="A1912">
        <v>10181</v>
      </c>
      <c r="B1912" s="77">
        <v>41576</v>
      </c>
      <c r="C1912" t="s">
        <v>19879</v>
      </c>
      <c r="D1912" s="77">
        <v>41575</v>
      </c>
      <c r="E1912" t="s">
        <v>15551</v>
      </c>
      <c r="F1912" t="s">
        <v>3171</v>
      </c>
      <c r="G1912" t="s">
        <v>20</v>
      </c>
      <c r="H1912" t="s">
        <v>566</v>
      </c>
      <c r="I1912" t="s">
        <v>566</v>
      </c>
      <c r="J1912" t="s">
        <v>15552</v>
      </c>
      <c r="K1912" t="s">
        <v>14845</v>
      </c>
      <c r="L1912" t="s">
        <v>1946</v>
      </c>
      <c r="N1912" s="78"/>
      <c r="O1912" s="77">
        <v>42424</v>
      </c>
      <c r="Q1912" t="b">
        <v>0</v>
      </c>
      <c r="R1912" s="22">
        <f t="shared" si="29"/>
        <v>846</v>
      </c>
    </row>
    <row r="1913" spans="1:19">
      <c r="A1913">
        <v>10187</v>
      </c>
      <c r="B1913" s="77">
        <v>41583</v>
      </c>
      <c r="C1913" t="s">
        <v>19921</v>
      </c>
      <c r="D1913" s="77">
        <v>41582</v>
      </c>
      <c r="E1913" t="s">
        <v>15553</v>
      </c>
      <c r="F1913" t="s">
        <v>10088</v>
      </c>
      <c r="G1913" t="s">
        <v>20</v>
      </c>
      <c r="H1913" t="s">
        <v>71</v>
      </c>
      <c r="I1913" t="s">
        <v>72</v>
      </c>
      <c r="J1913" t="s">
        <v>15554</v>
      </c>
      <c r="K1913" t="s">
        <v>15150</v>
      </c>
      <c r="L1913" t="s">
        <v>4282</v>
      </c>
      <c r="N1913" s="78"/>
      <c r="O1913" s="77">
        <v>42551</v>
      </c>
      <c r="Q1913" t="b">
        <v>0</v>
      </c>
      <c r="R1913" s="22">
        <f t="shared" si="29"/>
        <v>968</v>
      </c>
    </row>
    <row r="1914" spans="1:19">
      <c r="A1914">
        <v>10191</v>
      </c>
      <c r="B1914" s="77">
        <v>41586</v>
      </c>
      <c r="C1914" t="s">
        <v>19907</v>
      </c>
      <c r="D1914" s="77">
        <v>41586</v>
      </c>
      <c r="E1914" t="s">
        <v>17636</v>
      </c>
      <c r="F1914" t="s">
        <v>1743</v>
      </c>
      <c r="G1914" t="s">
        <v>20</v>
      </c>
      <c r="H1914" t="s">
        <v>71</v>
      </c>
      <c r="I1914" t="s">
        <v>72</v>
      </c>
      <c r="J1914" t="s">
        <v>17637</v>
      </c>
      <c r="K1914" t="s">
        <v>17638</v>
      </c>
      <c r="L1914" t="s">
        <v>7167</v>
      </c>
      <c r="N1914" s="78"/>
      <c r="O1914" s="77">
        <v>42496</v>
      </c>
      <c r="Q1914" t="b">
        <v>0</v>
      </c>
      <c r="R1914" s="22">
        <f t="shared" si="29"/>
        <v>910</v>
      </c>
    </row>
    <row r="1915" spans="1:19">
      <c r="A1915">
        <v>10194</v>
      </c>
      <c r="B1915" s="77">
        <v>41592</v>
      </c>
      <c r="C1915" t="s">
        <v>19925</v>
      </c>
      <c r="D1915" s="77">
        <v>41582</v>
      </c>
      <c r="E1915" t="s">
        <v>15568</v>
      </c>
      <c r="F1915" t="s">
        <v>861</v>
      </c>
      <c r="G1915" t="s">
        <v>20</v>
      </c>
      <c r="H1915" t="s">
        <v>566</v>
      </c>
      <c r="I1915" t="s">
        <v>566</v>
      </c>
      <c r="J1915" t="s">
        <v>15569</v>
      </c>
      <c r="K1915" t="s">
        <v>9348</v>
      </c>
      <c r="L1915" t="s">
        <v>14909</v>
      </c>
      <c r="M1915" t="s">
        <v>1152</v>
      </c>
      <c r="N1915" s="78"/>
      <c r="O1915" s="77">
        <v>42576</v>
      </c>
      <c r="Q1915" t="b">
        <v>0</v>
      </c>
      <c r="R1915" s="22">
        <f t="shared" si="29"/>
        <v>984</v>
      </c>
    </row>
    <row r="1916" spans="1:19">
      <c r="A1916" s="71">
        <v>10195</v>
      </c>
      <c r="B1916" s="72">
        <v>41592</v>
      </c>
      <c r="C1916" s="71" t="s">
        <v>19159</v>
      </c>
      <c r="D1916" s="72">
        <v>41592</v>
      </c>
      <c r="E1916" s="71" t="s">
        <v>15570</v>
      </c>
      <c r="F1916" s="71" t="s">
        <v>19</v>
      </c>
      <c r="G1916" s="71" t="s">
        <v>20</v>
      </c>
      <c r="H1916" s="71" t="s">
        <v>71</v>
      </c>
      <c r="I1916" s="71" t="s">
        <v>72</v>
      </c>
      <c r="J1916" s="71" t="s">
        <v>15571</v>
      </c>
      <c r="K1916" s="71"/>
      <c r="L1916" s="71" t="s">
        <v>14909</v>
      </c>
      <c r="M1916" s="71" t="s">
        <v>4282</v>
      </c>
      <c r="O1916" s="72">
        <v>42915</v>
      </c>
      <c r="P1916" s="71"/>
      <c r="Q1916" s="71" t="b">
        <v>0</v>
      </c>
      <c r="R1916" s="22">
        <f t="shared" si="29"/>
        <v>1323</v>
      </c>
      <c r="S1916" s="71"/>
    </row>
    <row r="1917" spans="1:19">
      <c r="A1917">
        <v>10199</v>
      </c>
      <c r="B1917" s="77">
        <v>41603</v>
      </c>
      <c r="C1917" t="s">
        <v>19930</v>
      </c>
      <c r="D1917" s="77">
        <v>41597</v>
      </c>
      <c r="E1917" t="s">
        <v>15574</v>
      </c>
      <c r="F1917" t="s">
        <v>124</v>
      </c>
      <c r="G1917" t="s">
        <v>20</v>
      </c>
      <c r="H1917" t="s">
        <v>71</v>
      </c>
      <c r="I1917" t="s">
        <v>72</v>
      </c>
      <c r="J1917" t="s">
        <v>15575</v>
      </c>
      <c r="L1917" t="s">
        <v>14518</v>
      </c>
      <c r="M1917" t="s">
        <v>1152</v>
      </c>
      <c r="N1917" s="78"/>
      <c r="O1917" s="77">
        <v>42671</v>
      </c>
      <c r="Q1917" t="b">
        <v>0</v>
      </c>
      <c r="R1917" s="22">
        <f t="shared" si="29"/>
        <v>1067</v>
      </c>
    </row>
    <row r="1918" spans="1:19">
      <c r="A1918" s="71">
        <v>10200</v>
      </c>
      <c r="B1918" s="72">
        <v>41603</v>
      </c>
      <c r="C1918" s="71" t="s">
        <v>19164</v>
      </c>
      <c r="D1918" s="72">
        <v>41596</v>
      </c>
      <c r="E1918" s="71" t="s">
        <v>15576</v>
      </c>
      <c r="F1918" s="71" t="s">
        <v>124</v>
      </c>
      <c r="G1918" s="71" t="s">
        <v>20</v>
      </c>
      <c r="H1918" s="71" t="s">
        <v>71</v>
      </c>
      <c r="I1918" s="71" t="s">
        <v>72</v>
      </c>
      <c r="J1918" s="71" t="s">
        <v>15577</v>
      </c>
      <c r="K1918" s="71" t="s">
        <v>15578</v>
      </c>
      <c r="L1918" s="71" t="s">
        <v>14909</v>
      </c>
      <c r="M1918" s="71" t="s">
        <v>15890</v>
      </c>
      <c r="O1918" s="72">
        <v>42916</v>
      </c>
      <c r="P1918" s="71"/>
      <c r="Q1918" s="71" t="b">
        <v>0</v>
      </c>
      <c r="R1918" s="22">
        <f t="shared" si="29"/>
        <v>1312</v>
      </c>
      <c r="S1918" s="71"/>
    </row>
    <row r="1919" spans="1:19">
      <c r="A1919" s="71">
        <v>10201</v>
      </c>
      <c r="B1919" s="72">
        <v>41610</v>
      </c>
      <c r="C1919" s="71" t="s">
        <v>19152</v>
      </c>
      <c r="D1919" s="72">
        <v>41605</v>
      </c>
      <c r="E1919" s="71" t="s">
        <v>15579</v>
      </c>
      <c r="F1919" s="71" t="s">
        <v>327</v>
      </c>
      <c r="G1919" s="71" t="s">
        <v>20</v>
      </c>
      <c r="H1919" s="71" t="s">
        <v>71</v>
      </c>
      <c r="I1919" s="71" t="s">
        <v>72</v>
      </c>
      <c r="J1919" s="71" t="s">
        <v>15580</v>
      </c>
      <c r="K1919" s="71" t="s">
        <v>9348</v>
      </c>
      <c r="L1919" s="71" t="s">
        <v>7167</v>
      </c>
      <c r="M1919" s="71"/>
      <c r="O1919" s="72">
        <v>42907</v>
      </c>
      <c r="P1919" s="71"/>
      <c r="Q1919" s="71" t="b">
        <v>0</v>
      </c>
      <c r="R1919" s="22">
        <f t="shared" si="29"/>
        <v>1296</v>
      </c>
      <c r="S1919" s="71"/>
    </row>
    <row r="1920" spans="1:19">
      <c r="A1920">
        <v>10203</v>
      </c>
      <c r="B1920" s="77">
        <v>41612</v>
      </c>
      <c r="C1920" t="s">
        <v>19932</v>
      </c>
      <c r="D1920" s="77">
        <v>41611</v>
      </c>
      <c r="E1920" t="s">
        <v>15585</v>
      </c>
      <c r="F1920" t="s">
        <v>533</v>
      </c>
      <c r="G1920" t="s">
        <v>20</v>
      </c>
      <c r="H1920" t="s">
        <v>71</v>
      </c>
      <c r="I1920" t="s">
        <v>72</v>
      </c>
      <c r="J1920" t="s">
        <v>15586</v>
      </c>
      <c r="L1920" t="s">
        <v>4282</v>
      </c>
      <c r="M1920" t="s">
        <v>17616</v>
      </c>
      <c r="N1920" s="78"/>
      <c r="O1920" s="77">
        <v>42695</v>
      </c>
      <c r="Q1920" t="b">
        <v>0</v>
      </c>
      <c r="R1920" s="22">
        <f t="shared" si="29"/>
        <v>1081</v>
      </c>
    </row>
    <row r="1921" spans="1:19">
      <c r="A1921" s="71">
        <v>10208</v>
      </c>
      <c r="B1921" s="72">
        <v>41625</v>
      </c>
      <c r="C1921" s="71" t="s">
        <v>15593</v>
      </c>
      <c r="D1921" s="72">
        <v>41624</v>
      </c>
      <c r="E1921" s="71" t="s">
        <v>15594</v>
      </c>
      <c r="F1921" s="71" t="s">
        <v>3171</v>
      </c>
      <c r="G1921" s="71" t="s">
        <v>20</v>
      </c>
      <c r="H1921" s="71" t="s">
        <v>566</v>
      </c>
      <c r="I1921" s="71" t="s">
        <v>566</v>
      </c>
      <c r="J1921" s="71" t="s">
        <v>15595</v>
      </c>
      <c r="K1921" s="71" t="s">
        <v>15596</v>
      </c>
      <c r="L1921" s="71" t="s">
        <v>14411</v>
      </c>
      <c r="M1921" s="71"/>
      <c r="O1921" s="72">
        <v>42314</v>
      </c>
      <c r="P1921" s="71"/>
      <c r="Q1921" s="71" t="b">
        <v>0</v>
      </c>
      <c r="R1921" s="22">
        <f t="shared" si="29"/>
        <v>688</v>
      </c>
    </row>
    <row r="1922" spans="1:19">
      <c r="A1922" s="71">
        <v>10211</v>
      </c>
      <c r="B1922" s="72">
        <v>41626</v>
      </c>
      <c r="C1922" s="71" t="s">
        <v>15602</v>
      </c>
      <c r="D1922" s="72">
        <v>41624</v>
      </c>
      <c r="E1922" s="71" t="s">
        <v>15603</v>
      </c>
      <c r="F1922" s="71" t="s">
        <v>14336</v>
      </c>
      <c r="G1922" s="71" t="s">
        <v>20</v>
      </c>
      <c r="H1922" s="71" t="s">
        <v>71</v>
      </c>
      <c r="I1922" s="71" t="s">
        <v>72</v>
      </c>
      <c r="J1922" s="71" t="s">
        <v>15604</v>
      </c>
      <c r="K1922" s="71" t="s">
        <v>15605</v>
      </c>
      <c r="L1922" s="71" t="s">
        <v>14411</v>
      </c>
      <c r="M1922" s="71"/>
      <c r="O1922" s="72">
        <v>42272</v>
      </c>
      <c r="P1922" s="71"/>
      <c r="Q1922" s="71" t="b">
        <v>0</v>
      </c>
      <c r="R1922" s="22">
        <f t="shared" ref="R1922:R1985" si="30">IF(O1922=" ", " ", INT(YEARFRAC(O1922, B1922)*365))</f>
        <v>645</v>
      </c>
    </row>
    <row r="1923" spans="1:19">
      <c r="A1923" s="71">
        <v>10214</v>
      </c>
      <c r="B1923" s="72">
        <v>41628</v>
      </c>
      <c r="C1923" s="71" t="s">
        <v>15606</v>
      </c>
      <c r="D1923" s="72">
        <v>41628</v>
      </c>
      <c r="E1923" s="71" t="s">
        <v>15607</v>
      </c>
      <c r="F1923" s="71" t="s">
        <v>974</v>
      </c>
      <c r="G1923" s="71" t="s">
        <v>20</v>
      </c>
      <c r="H1923" s="71" t="s">
        <v>212</v>
      </c>
      <c r="I1923" s="71" t="s">
        <v>212</v>
      </c>
      <c r="J1923" s="71" t="s">
        <v>1817</v>
      </c>
      <c r="K1923" s="71"/>
      <c r="L1923" s="71" t="s">
        <v>1946</v>
      </c>
      <c r="M1923" s="71" t="s">
        <v>4282</v>
      </c>
      <c r="O1923" s="72">
        <v>42159</v>
      </c>
      <c r="P1923" s="71"/>
      <c r="Q1923" s="71" t="b">
        <v>0</v>
      </c>
      <c r="R1923" s="22">
        <f t="shared" si="30"/>
        <v>531</v>
      </c>
    </row>
    <row r="1924" spans="1:19">
      <c r="A1924" s="71">
        <v>10215</v>
      </c>
      <c r="B1924" s="72">
        <v>41628</v>
      </c>
      <c r="C1924" s="71" t="s">
        <v>19165</v>
      </c>
      <c r="D1924" s="72">
        <v>41463</v>
      </c>
      <c r="E1924" s="71" t="s">
        <v>15608</v>
      </c>
      <c r="F1924" s="71" t="s">
        <v>104</v>
      </c>
      <c r="G1924" s="71" t="s">
        <v>20</v>
      </c>
      <c r="H1924" s="71" t="s">
        <v>71</v>
      </c>
      <c r="I1924" s="71" t="s">
        <v>72</v>
      </c>
      <c r="J1924" s="71" t="s">
        <v>272</v>
      </c>
      <c r="K1924" s="71" t="s">
        <v>13842</v>
      </c>
      <c r="L1924" s="71" t="s">
        <v>4282</v>
      </c>
      <c r="M1924" s="71"/>
      <c r="O1924" s="72">
        <v>42916</v>
      </c>
      <c r="P1924" s="71"/>
      <c r="Q1924" s="71" t="b">
        <v>0</v>
      </c>
      <c r="R1924" s="22">
        <f t="shared" si="30"/>
        <v>1287</v>
      </c>
      <c r="S1924" s="71"/>
    </row>
    <row r="1925" spans="1:19">
      <c r="A1925" s="71">
        <v>10228</v>
      </c>
      <c r="B1925" s="72">
        <v>41653</v>
      </c>
      <c r="C1925" s="71" t="s">
        <v>15624</v>
      </c>
      <c r="D1925" s="72">
        <v>41648</v>
      </c>
      <c r="E1925" s="71" t="s">
        <v>15625</v>
      </c>
      <c r="F1925" s="71" t="s">
        <v>14336</v>
      </c>
      <c r="G1925" s="71" t="s">
        <v>20</v>
      </c>
      <c r="H1925" s="71" t="s">
        <v>71</v>
      </c>
      <c r="I1925" s="71" t="s">
        <v>72</v>
      </c>
      <c r="J1925" s="71" t="s">
        <v>11774</v>
      </c>
      <c r="K1925" s="71" t="s">
        <v>15626</v>
      </c>
      <c r="L1925" s="71" t="s">
        <v>14518</v>
      </c>
      <c r="M1925" s="71" t="s">
        <v>1152</v>
      </c>
      <c r="O1925" s="72">
        <v>42181</v>
      </c>
      <c r="P1925" s="71"/>
      <c r="Q1925" s="71" t="b">
        <v>0</v>
      </c>
      <c r="R1925" s="22">
        <f t="shared" si="30"/>
        <v>529</v>
      </c>
    </row>
    <row r="1926" spans="1:19">
      <c r="A1926" s="71">
        <v>10229</v>
      </c>
      <c r="B1926" s="72">
        <v>41654</v>
      </c>
      <c r="C1926" s="71" t="s">
        <v>19157</v>
      </c>
      <c r="D1926" s="72">
        <v>41649</v>
      </c>
      <c r="E1926" s="71" t="s">
        <v>15627</v>
      </c>
      <c r="F1926" s="71" t="s">
        <v>5184</v>
      </c>
      <c r="G1926" s="71" t="s">
        <v>20</v>
      </c>
      <c r="H1926" s="71" t="s">
        <v>71</v>
      </c>
      <c r="I1926" s="71" t="s">
        <v>72</v>
      </c>
      <c r="J1926" s="71" t="s">
        <v>15628</v>
      </c>
      <c r="K1926" s="71"/>
      <c r="L1926" s="71" t="s">
        <v>14518</v>
      </c>
      <c r="M1926" s="71" t="s">
        <v>1152</v>
      </c>
      <c r="O1926" s="72">
        <v>42914</v>
      </c>
      <c r="P1926" s="71"/>
      <c r="Q1926" s="71" t="b">
        <v>0</v>
      </c>
      <c r="R1926" s="22">
        <f t="shared" si="30"/>
        <v>1260</v>
      </c>
      <c r="S1926" s="71"/>
    </row>
    <row r="1927" spans="1:19">
      <c r="A1927" s="71">
        <v>10233</v>
      </c>
      <c r="B1927" s="72">
        <v>41666</v>
      </c>
      <c r="C1927" s="71" t="s">
        <v>15634</v>
      </c>
      <c r="D1927" s="72">
        <v>41661</v>
      </c>
      <c r="E1927" s="71" t="s">
        <v>15635</v>
      </c>
      <c r="F1927" s="71" t="s">
        <v>14336</v>
      </c>
      <c r="G1927" s="71" t="s">
        <v>20</v>
      </c>
      <c r="H1927" s="71" t="s">
        <v>71</v>
      </c>
      <c r="I1927" s="71" t="s">
        <v>72</v>
      </c>
      <c r="J1927" s="71" t="s">
        <v>11774</v>
      </c>
      <c r="K1927" s="71" t="s">
        <v>15636</v>
      </c>
      <c r="L1927" s="71" t="s">
        <v>14518</v>
      </c>
      <c r="M1927" s="71" t="s">
        <v>1152</v>
      </c>
      <c r="O1927" s="72">
        <v>42181</v>
      </c>
      <c r="P1927" s="71"/>
      <c r="Q1927" s="71" t="b">
        <v>0</v>
      </c>
      <c r="R1927" s="22">
        <f t="shared" si="30"/>
        <v>516</v>
      </c>
    </row>
    <row r="1928" spans="1:19">
      <c r="A1928">
        <v>10234</v>
      </c>
      <c r="B1928" s="77">
        <v>41667</v>
      </c>
      <c r="C1928" t="s">
        <v>19898</v>
      </c>
      <c r="D1928" s="77">
        <v>41666</v>
      </c>
      <c r="E1928" t="s">
        <v>15637</v>
      </c>
      <c r="F1928" t="s">
        <v>145</v>
      </c>
      <c r="G1928" t="s">
        <v>20</v>
      </c>
      <c r="H1928" t="s">
        <v>71</v>
      </c>
      <c r="I1928" t="s">
        <v>72</v>
      </c>
      <c r="J1928" t="s">
        <v>15638</v>
      </c>
      <c r="L1928" t="s">
        <v>7167</v>
      </c>
      <c r="M1928" t="s">
        <v>4282</v>
      </c>
      <c r="N1928" s="78"/>
      <c r="O1928" s="77">
        <v>42485</v>
      </c>
      <c r="Q1928" t="b">
        <v>0</v>
      </c>
      <c r="R1928" s="22">
        <f t="shared" si="30"/>
        <v>818</v>
      </c>
    </row>
    <row r="1929" spans="1:19">
      <c r="A1929" s="71">
        <v>10243</v>
      </c>
      <c r="B1929" s="72">
        <v>41677</v>
      </c>
      <c r="C1929" s="71" t="s">
        <v>15647</v>
      </c>
      <c r="D1929" s="72">
        <v>41656</v>
      </c>
      <c r="E1929" s="71" t="s">
        <v>15651</v>
      </c>
      <c r="F1929" s="71" t="s">
        <v>3171</v>
      </c>
      <c r="G1929" s="71" t="s">
        <v>20</v>
      </c>
      <c r="H1929" s="71" t="s">
        <v>566</v>
      </c>
      <c r="I1929" s="71" t="s">
        <v>566</v>
      </c>
      <c r="J1929" s="71" t="s">
        <v>15652</v>
      </c>
      <c r="K1929" s="71" t="s">
        <v>15653</v>
      </c>
      <c r="L1929" s="71" t="s">
        <v>14411</v>
      </c>
      <c r="M1929" s="71"/>
      <c r="O1929" s="72">
        <v>42314</v>
      </c>
      <c r="P1929" s="71"/>
      <c r="Q1929" s="71" t="b">
        <v>0</v>
      </c>
      <c r="R1929" s="22">
        <f t="shared" si="30"/>
        <v>637</v>
      </c>
    </row>
    <row r="1930" spans="1:19">
      <c r="A1930">
        <v>10250</v>
      </c>
      <c r="B1930" s="77">
        <v>41695</v>
      </c>
      <c r="C1930" t="s">
        <v>19938</v>
      </c>
      <c r="D1930" s="77">
        <v>41676</v>
      </c>
      <c r="E1930" t="s">
        <v>15660</v>
      </c>
      <c r="F1930" t="s">
        <v>5184</v>
      </c>
      <c r="G1930" t="s">
        <v>20</v>
      </c>
      <c r="H1930" t="s">
        <v>71</v>
      </c>
      <c r="I1930" t="s">
        <v>72</v>
      </c>
      <c r="J1930" t="s">
        <v>8564</v>
      </c>
      <c r="K1930" t="s">
        <v>15661</v>
      </c>
      <c r="L1930" t="s">
        <v>7167</v>
      </c>
      <c r="N1930" s="78"/>
      <c r="O1930" s="77">
        <v>42713</v>
      </c>
      <c r="Q1930" t="b">
        <v>0</v>
      </c>
      <c r="R1930" s="22">
        <f t="shared" si="30"/>
        <v>1017</v>
      </c>
    </row>
    <row r="1931" spans="1:19">
      <c r="A1931">
        <v>10252</v>
      </c>
      <c r="B1931" s="77">
        <v>41695</v>
      </c>
      <c r="C1931" t="s">
        <v>19911</v>
      </c>
      <c r="D1931" s="77">
        <v>41694</v>
      </c>
      <c r="E1931" t="s">
        <v>15665</v>
      </c>
      <c r="F1931" t="s">
        <v>974</v>
      </c>
      <c r="G1931" t="s">
        <v>20</v>
      </c>
      <c r="H1931" t="s">
        <v>212</v>
      </c>
      <c r="I1931" t="s">
        <v>212</v>
      </c>
      <c r="J1931" t="s">
        <v>14596</v>
      </c>
      <c r="K1931" t="s">
        <v>15666</v>
      </c>
      <c r="L1931" t="s">
        <v>14518</v>
      </c>
      <c r="M1931" t="s">
        <v>4282</v>
      </c>
      <c r="N1931" s="78"/>
      <c r="O1931" s="77">
        <v>42514</v>
      </c>
      <c r="Q1931" t="b">
        <v>0</v>
      </c>
      <c r="R1931" s="22">
        <f t="shared" si="30"/>
        <v>820</v>
      </c>
    </row>
    <row r="1932" spans="1:19">
      <c r="A1932" s="71">
        <v>10258</v>
      </c>
      <c r="B1932" s="72">
        <v>41709</v>
      </c>
      <c r="C1932" s="71" t="s">
        <v>19134</v>
      </c>
      <c r="D1932" s="72">
        <v>41701</v>
      </c>
      <c r="E1932" s="71" t="s">
        <v>15671</v>
      </c>
      <c r="F1932" s="71" t="s">
        <v>98</v>
      </c>
      <c r="G1932" s="71" t="s">
        <v>20</v>
      </c>
      <c r="H1932" s="71" t="s">
        <v>71</v>
      </c>
      <c r="I1932" s="71" t="s">
        <v>72</v>
      </c>
      <c r="J1932" s="71" t="s">
        <v>15672</v>
      </c>
      <c r="K1932" s="71"/>
      <c r="L1932" s="71" t="s">
        <v>1946</v>
      </c>
      <c r="M1932" s="71" t="s">
        <v>15439</v>
      </c>
      <c r="O1932" s="75">
        <v>42853</v>
      </c>
      <c r="P1932" s="71"/>
      <c r="Q1932" s="71" t="b">
        <v>0</v>
      </c>
      <c r="R1932" s="22">
        <f t="shared" si="30"/>
        <v>1142</v>
      </c>
      <c r="S1932" s="71"/>
    </row>
    <row r="1933" spans="1:19">
      <c r="A1933">
        <v>10269</v>
      </c>
      <c r="B1933" s="77">
        <v>41725</v>
      </c>
      <c r="C1933" t="s">
        <v>19897</v>
      </c>
      <c r="D1933" s="77">
        <v>41719</v>
      </c>
      <c r="E1933" t="s">
        <v>15702</v>
      </c>
      <c r="F1933" t="s">
        <v>149</v>
      </c>
      <c r="G1933" t="s">
        <v>20</v>
      </c>
      <c r="H1933" t="s">
        <v>71</v>
      </c>
      <c r="I1933" t="s">
        <v>72</v>
      </c>
      <c r="J1933" t="s">
        <v>15703</v>
      </c>
      <c r="L1933" t="s">
        <v>14411</v>
      </c>
      <c r="N1933" s="78"/>
      <c r="O1933" s="19">
        <v>42482</v>
      </c>
      <c r="Q1933" t="b">
        <v>0</v>
      </c>
      <c r="R1933" s="22">
        <f t="shared" si="30"/>
        <v>755</v>
      </c>
    </row>
    <row r="1934" spans="1:19">
      <c r="A1934" s="71">
        <v>10275</v>
      </c>
      <c r="B1934" s="72">
        <v>41732</v>
      </c>
      <c r="C1934" s="71" t="s">
        <v>15719</v>
      </c>
      <c r="D1934" s="72">
        <v>41731</v>
      </c>
      <c r="E1934" s="71" t="s">
        <v>15720</v>
      </c>
      <c r="F1934" s="71" t="s">
        <v>15721</v>
      </c>
      <c r="G1934" s="71" t="s">
        <v>20</v>
      </c>
      <c r="H1934" s="71" t="s">
        <v>71</v>
      </c>
      <c r="I1934" s="71" t="s">
        <v>72</v>
      </c>
      <c r="J1934" s="71" t="s">
        <v>15722</v>
      </c>
      <c r="K1934" s="71"/>
      <c r="L1934" s="71" t="s">
        <v>7167</v>
      </c>
      <c r="M1934" s="71"/>
      <c r="O1934" s="72">
        <v>42262</v>
      </c>
      <c r="P1934" s="71"/>
      <c r="Q1934" s="71" t="b">
        <v>0</v>
      </c>
      <c r="R1934" s="22">
        <f t="shared" si="30"/>
        <v>529</v>
      </c>
    </row>
    <row r="1935" spans="1:19">
      <c r="A1935">
        <v>10276</v>
      </c>
      <c r="B1935" s="77">
        <v>41732</v>
      </c>
      <c r="C1935" t="s">
        <v>19889</v>
      </c>
      <c r="D1935" s="77">
        <v>41731</v>
      </c>
      <c r="E1935" t="s">
        <v>15723</v>
      </c>
      <c r="F1935" t="s">
        <v>15724</v>
      </c>
      <c r="G1935" t="s">
        <v>20</v>
      </c>
      <c r="H1935" t="s">
        <v>71</v>
      </c>
      <c r="I1935" t="s">
        <v>72</v>
      </c>
      <c r="J1935" t="s">
        <v>15725</v>
      </c>
      <c r="K1935" t="s">
        <v>15726</v>
      </c>
      <c r="L1935" t="s">
        <v>1946</v>
      </c>
      <c r="M1935" t="s">
        <v>17620</v>
      </c>
      <c r="O1935" s="77">
        <v>42482</v>
      </c>
      <c r="Q1935" t="b">
        <v>0</v>
      </c>
      <c r="R1935" s="22">
        <f t="shared" si="30"/>
        <v>749</v>
      </c>
    </row>
    <row r="1936" spans="1:19">
      <c r="A1936">
        <v>10277</v>
      </c>
      <c r="B1936" s="77">
        <v>41733</v>
      </c>
      <c r="C1936" t="s">
        <v>19912</v>
      </c>
      <c r="D1936" s="77">
        <v>41732</v>
      </c>
      <c r="E1936" t="s">
        <v>15727</v>
      </c>
      <c r="F1936" t="s">
        <v>974</v>
      </c>
      <c r="G1936" t="s">
        <v>20</v>
      </c>
      <c r="H1936" t="s">
        <v>212</v>
      </c>
      <c r="I1936" t="s">
        <v>212</v>
      </c>
      <c r="J1936" t="s">
        <v>15728</v>
      </c>
      <c r="K1936" t="s">
        <v>9348</v>
      </c>
      <c r="L1936" t="s">
        <v>14518</v>
      </c>
      <c r="M1936" t="s">
        <v>4282</v>
      </c>
      <c r="N1936" s="78"/>
      <c r="O1936" s="19">
        <v>42514</v>
      </c>
      <c r="Q1936" t="b">
        <v>0</v>
      </c>
      <c r="R1936" s="22">
        <f t="shared" si="30"/>
        <v>780</v>
      </c>
    </row>
    <row r="1937" spans="1:18">
      <c r="A1937">
        <v>10278</v>
      </c>
      <c r="B1937" s="77">
        <v>41736</v>
      </c>
      <c r="C1937" t="s">
        <v>19899</v>
      </c>
      <c r="D1937" s="77">
        <v>41730</v>
      </c>
      <c r="E1937" t="s">
        <v>15729</v>
      </c>
      <c r="F1937" t="s">
        <v>15688</v>
      </c>
      <c r="G1937" t="s">
        <v>20</v>
      </c>
      <c r="H1937" t="s">
        <v>71</v>
      </c>
      <c r="I1937" t="s">
        <v>72</v>
      </c>
      <c r="J1937" t="s">
        <v>15730</v>
      </c>
      <c r="K1937" t="s">
        <v>15731</v>
      </c>
      <c r="L1937" t="s">
        <v>14518</v>
      </c>
      <c r="M1937" t="s">
        <v>1152</v>
      </c>
      <c r="N1937" s="78"/>
      <c r="O1937" s="77">
        <v>42488</v>
      </c>
      <c r="Q1937" t="b">
        <v>0</v>
      </c>
      <c r="R1937" s="22">
        <f t="shared" si="30"/>
        <v>751</v>
      </c>
    </row>
    <row r="1938" spans="1:18">
      <c r="A1938" s="71">
        <v>10288</v>
      </c>
      <c r="B1938" s="72">
        <v>41745</v>
      </c>
      <c r="C1938" s="71" t="s">
        <v>15755</v>
      </c>
      <c r="D1938" s="72">
        <v>41744</v>
      </c>
      <c r="E1938" s="71" t="s">
        <v>15756</v>
      </c>
      <c r="F1938" s="71" t="s">
        <v>149</v>
      </c>
      <c r="G1938" s="71" t="s">
        <v>20</v>
      </c>
      <c r="H1938" s="71" t="s">
        <v>71</v>
      </c>
      <c r="I1938" s="71" t="s">
        <v>72</v>
      </c>
      <c r="J1938" s="71" t="s">
        <v>15757</v>
      </c>
      <c r="K1938" s="71" t="s">
        <v>15758</v>
      </c>
      <c r="L1938" s="71" t="s">
        <v>14411</v>
      </c>
      <c r="M1938" s="71"/>
      <c r="O1938" s="72">
        <v>42345</v>
      </c>
      <c r="P1938" s="71"/>
      <c r="Q1938" s="71" t="b">
        <v>0</v>
      </c>
      <c r="R1938" s="22">
        <f t="shared" si="30"/>
        <v>599</v>
      </c>
    </row>
    <row r="1939" spans="1:18">
      <c r="A1939">
        <v>10289</v>
      </c>
      <c r="B1939" s="77">
        <v>41745</v>
      </c>
      <c r="C1939" t="s">
        <v>19890</v>
      </c>
      <c r="D1939" s="77">
        <v>41745</v>
      </c>
      <c r="E1939" t="s">
        <v>15759</v>
      </c>
      <c r="F1939" t="s">
        <v>15760</v>
      </c>
      <c r="G1939" t="s">
        <v>20</v>
      </c>
      <c r="H1939" t="s">
        <v>71</v>
      </c>
      <c r="I1939" t="s">
        <v>72</v>
      </c>
      <c r="J1939" t="s">
        <v>15761</v>
      </c>
      <c r="K1939" t="s">
        <v>15762</v>
      </c>
      <c r="L1939" t="s">
        <v>1946</v>
      </c>
      <c r="M1939" t="s">
        <v>17612</v>
      </c>
      <c r="N1939" s="78"/>
      <c r="O1939" s="77">
        <v>42482</v>
      </c>
      <c r="Q1939" t="b">
        <v>0</v>
      </c>
      <c r="R1939" s="22">
        <f t="shared" si="30"/>
        <v>736</v>
      </c>
    </row>
    <row r="1940" spans="1:18">
      <c r="A1940">
        <v>10290</v>
      </c>
      <c r="B1940" s="77">
        <v>41751</v>
      </c>
      <c r="C1940" t="s">
        <v>19878</v>
      </c>
      <c r="D1940" s="77">
        <v>41745</v>
      </c>
      <c r="E1940" t="s">
        <v>15763</v>
      </c>
      <c r="F1940" t="s">
        <v>15764</v>
      </c>
      <c r="G1940" t="s">
        <v>20</v>
      </c>
      <c r="H1940" t="s">
        <v>71</v>
      </c>
      <c r="I1940" t="s">
        <v>72</v>
      </c>
      <c r="J1940" t="s">
        <v>15765</v>
      </c>
      <c r="L1940" t="s">
        <v>1946</v>
      </c>
      <c r="N1940" s="78"/>
      <c r="O1940" s="77">
        <v>42419</v>
      </c>
      <c r="Q1940" t="b">
        <v>0</v>
      </c>
      <c r="R1940" s="22">
        <f t="shared" si="30"/>
        <v>666</v>
      </c>
    </row>
    <row r="1941" spans="1:18">
      <c r="A1941" s="71">
        <v>10296</v>
      </c>
      <c r="B1941" s="72">
        <v>41761</v>
      </c>
      <c r="C1941" s="71" t="s">
        <v>15774</v>
      </c>
      <c r="D1941" s="72">
        <v>41760</v>
      </c>
      <c r="E1941" s="71" t="s">
        <v>15775</v>
      </c>
      <c r="F1941" s="71" t="s">
        <v>149</v>
      </c>
      <c r="G1941" s="71" t="s">
        <v>20</v>
      </c>
      <c r="H1941" s="71" t="s">
        <v>71</v>
      </c>
      <c r="I1941" s="71" t="s">
        <v>72</v>
      </c>
      <c r="J1941" s="71" t="s">
        <v>15776</v>
      </c>
      <c r="K1941" s="71" t="s">
        <v>15777</v>
      </c>
      <c r="L1941" s="71" t="s">
        <v>14411</v>
      </c>
      <c r="M1941" s="71"/>
      <c r="O1941" s="72">
        <v>41809</v>
      </c>
      <c r="P1941" s="71"/>
      <c r="Q1941" s="71" t="b">
        <v>0</v>
      </c>
      <c r="R1941" s="22">
        <f t="shared" si="30"/>
        <v>47</v>
      </c>
    </row>
    <row r="1942" spans="1:18">
      <c r="A1942">
        <v>10301</v>
      </c>
      <c r="B1942" s="77">
        <v>41766</v>
      </c>
      <c r="C1942" t="s">
        <v>19918</v>
      </c>
      <c r="D1942" s="77">
        <v>41760</v>
      </c>
      <c r="E1942" t="s">
        <v>15784</v>
      </c>
      <c r="F1942" t="s">
        <v>861</v>
      </c>
      <c r="G1942" t="s">
        <v>20</v>
      </c>
      <c r="H1942" t="s">
        <v>71</v>
      </c>
      <c r="I1942" t="s">
        <v>72</v>
      </c>
      <c r="J1942" t="s">
        <v>15785</v>
      </c>
      <c r="L1942" t="s">
        <v>14518</v>
      </c>
      <c r="M1942" t="s">
        <v>1152</v>
      </c>
      <c r="N1942" s="78"/>
      <c r="O1942" s="77">
        <v>42549</v>
      </c>
      <c r="Q1942" t="b">
        <v>0</v>
      </c>
      <c r="R1942" s="22">
        <f t="shared" si="30"/>
        <v>781</v>
      </c>
    </row>
    <row r="1943" spans="1:18">
      <c r="A1943" s="71">
        <v>10309</v>
      </c>
      <c r="B1943" s="72">
        <v>41774</v>
      </c>
      <c r="C1943" s="71" t="s">
        <v>15798</v>
      </c>
      <c r="D1943" s="72">
        <v>41765</v>
      </c>
      <c r="E1943" s="71" t="s">
        <v>15799</v>
      </c>
      <c r="F1943" s="71" t="s">
        <v>15800</v>
      </c>
      <c r="G1943" s="71" t="s">
        <v>20</v>
      </c>
      <c r="H1943" s="71" t="s">
        <v>71</v>
      </c>
      <c r="I1943" s="71" t="s">
        <v>72</v>
      </c>
      <c r="J1943" s="71" t="s">
        <v>15801</v>
      </c>
      <c r="K1943" s="71" t="s">
        <v>15802</v>
      </c>
      <c r="L1943" s="71" t="s">
        <v>1946</v>
      </c>
      <c r="M1943" s="71" t="s">
        <v>1152</v>
      </c>
      <c r="O1943" s="72">
        <v>42065</v>
      </c>
      <c r="P1943" s="71"/>
      <c r="Q1943" s="71" t="b">
        <v>0</v>
      </c>
      <c r="R1943" s="22">
        <f t="shared" si="30"/>
        <v>290</v>
      </c>
    </row>
    <row r="1944" spans="1:18">
      <c r="A1944" s="71">
        <v>10310</v>
      </c>
      <c r="B1944" s="72">
        <v>41774</v>
      </c>
      <c r="C1944" s="71" t="s">
        <v>15803</v>
      </c>
      <c r="D1944" s="72">
        <v>41772</v>
      </c>
      <c r="E1944" s="71" t="s">
        <v>15804</v>
      </c>
      <c r="F1944" s="71" t="s">
        <v>984</v>
      </c>
      <c r="G1944" s="71" t="s">
        <v>20</v>
      </c>
      <c r="H1944" s="71" t="s">
        <v>71</v>
      </c>
      <c r="I1944" s="71" t="s">
        <v>72</v>
      </c>
      <c r="J1944" s="71" t="s">
        <v>14514</v>
      </c>
      <c r="K1944" s="71" t="s">
        <v>15805</v>
      </c>
      <c r="L1944" s="71" t="s">
        <v>4282</v>
      </c>
      <c r="M1944" s="71"/>
      <c r="O1944" s="72">
        <v>41971</v>
      </c>
      <c r="P1944" s="71"/>
      <c r="Q1944" s="71" t="b">
        <v>0</v>
      </c>
      <c r="R1944" s="22">
        <f t="shared" si="30"/>
        <v>195</v>
      </c>
    </row>
    <row r="1945" spans="1:18">
      <c r="A1945">
        <v>10312</v>
      </c>
      <c r="B1945" s="77">
        <v>41774</v>
      </c>
      <c r="C1945" t="s">
        <v>19913</v>
      </c>
      <c r="D1945" s="77">
        <v>41770</v>
      </c>
      <c r="E1945" t="s">
        <v>15809</v>
      </c>
      <c r="F1945" t="s">
        <v>149</v>
      </c>
      <c r="G1945" t="s">
        <v>20</v>
      </c>
      <c r="H1945" t="s">
        <v>71</v>
      </c>
      <c r="I1945" t="s">
        <v>72</v>
      </c>
      <c r="J1945" t="s">
        <v>15810</v>
      </c>
      <c r="L1945" t="s">
        <v>1946</v>
      </c>
      <c r="M1945" t="s">
        <v>14411</v>
      </c>
      <c r="N1945" s="78"/>
      <c r="O1945" s="77">
        <v>42516</v>
      </c>
      <c r="Q1945" t="b">
        <v>0</v>
      </c>
      <c r="R1945" s="22">
        <f t="shared" si="30"/>
        <v>741</v>
      </c>
    </row>
    <row r="1946" spans="1:18">
      <c r="A1946" s="71">
        <v>10315</v>
      </c>
      <c r="B1946" s="72">
        <v>41778</v>
      </c>
      <c r="C1946" s="71" t="s">
        <v>15817</v>
      </c>
      <c r="D1946" s="72">
        <v>41776</v>
      </c>
      <c r="E1946" s="71" t="s">
        <v>15818</v>
      </c>
      <c r="F1946" s="71" t="s">
        <v>984</v>
      </c>
      <c r="G1946" s="71" t="s">
        <v>20</v>
      </c>
      <c r="H1946" s="71" t="s">
        <v>71</v>
      </c>
      <c r="I1946" s="71" t="s">
        <v>72</v>
      </c>
      <c r="J1946" s="71" t="s">
        <v>15819</v>
      </c>
      <c r="K1946" s="71" t="s">
        <v>15820</v>
      </c>
      <c r="L1946" s="71" t="s">
        <v>4282</v>
      </c>
      <c r="M1946" s="71"/>
      <c r="O1946" s="72">
        <v>41971</v>
      </c>
      <c r="P1946" s="71"/>
      <c r="Q1946" s="71" t="b">
        <v>0</v>
      </c>
      <c r="R1946" s="22">
        <f t="shared" si="30"/>
        <v>191</v>
      </c>
    </row>
    <row r="1947" spans="1:18">
      <c r="A1947" s="71">
        <v>10316</v>
      </c>
      <c r="B1947" s="72">
        <v>41778</v>
      </c>
      <c r="C1947" s="71" t="s">
        <v>15821</v>
      </c>
      <c r="D1947" s="72">
        <v>41775</v>
      </c>
      <c r="E1947" s="71" t="s">
        <v>15822</v>
      </c>
      <c r="F1947" s="71" t="s">
        <v>984</v>
      </c>
      <c r="G1947" s="71" t="s">
        <v>20</v>
      </c>
      <c r="H1947" s="71" t="s">
        <v>71</v>
      </c>
      <c r="I1947" s="71" t="s">
        <v>72</v>
      </c>
      <c r="J1947" s="71" t="s">
        <v>15823</v>
      </c>
      <c r="K1947" s="71" t="s">
        <v>15824</v>
      </c>
      <c r="L1947" s="71" t="s">
        <v>4282</v>
      </c>
      <c r="M1947" s="71"/>
      <c r="O1947" s="72">
        <v>41971</v>
      </c>
      <c r="P1947" s="71"/>
      <c r="Q1947" s="71" t="b">
        <v>0</v>
      </c>
      <c r="R1947" s="22">
        <f t="shared" si="30"/>
        <v>191</v>
      </c>
    </row>
    <row r="1948" spans="1:18">
      <c r="A1948" s="71">
        <v>10318</v>
      </c>
      <c r="B1948" s="72">
        <v>41779</v>
      </c>
      <c r="C1948" s="71" t="s">
        <v>15829</v>
      </c>
      <c r="D1948" s="72">
        <v>41764</v>
      </c>
      <c r="E1948" s="71" t="s">
        <v>15830</v>
      </c>
      <c r="F1948" s="71" t="s">
        <v>228</v>
      </c>
      <c r="G1948" s="71" t="s">
        <v>20</v>
      </c>
      <c r="H1948" s="71" t="s">
        <v>71</v>
      </c>
      <c r="I1948" s="71" t="s">
        <v>72</v>
      </c>
      <c r="J1948" s="71" t="s">
        <v>15831</v>
      </c>
      <c r="K1948" s="71" t="s">
        <v>1349</v>
      </c>
      <c r="L1948" s="71" t="s">
        <v>14411</v>
      </c>
      <c r="M1948" s="71"/>
      <c r="O1948" s="72">
        <v>42348</v>
      </c>
      <c r="P1948" s="71"/>
      <c r="Q1948" s="71" t="b">
        <v>0</v>
      </c>
      <c r="R1948" s="22">
        <f t="shared" si="30"/>
        <v>567</v>
      </c>
    </row>
    <row r="1949" spans="1:18">
      <c r="A1949" s="71">
        <v>10321</v>
      </c>
      <c r="B1949" s="72">
        <v>41781</v>
      </c>
      <c r="C1949" s="71" t="s">
        <v>15835</v>
      </c>
      <c r="D1949" s="72">
        <v>41781</v>
      </c>
      <c r="E1949" s="71" t="s">
        <v>15836</v>
      </c>
      <c r="F1949" s="71" t="s">
        <v>984</v>
      </c>
      <c r="G1949" s="71" t="s">
        <v>20</v>
      </c>
      <c r="H1949" s="71" t="s">
        <v>71</v>
      </c>
      <c r="I1949" s="71" t="s">
        <v>72</v>
      </c>
      <c r="J1949" s="71" t="s">
        <v>15837</v>
      </c>
      <c r="K1949" s="71" t="s">
        <v>15838</v>
      </c>
      <c r="L1949" s="71" t="s">
        <v>4282</v>
      </c>
      <c r="M1949" s="71"/>
      <c r="O1949" s="75">
        <v>41971</v>
      </c>
      <c r="P1949" s="71"/>
      <c r="Q1949" s="71" t="b">
        <v>0</v>
      </c>
      <c r="R1949" s="22">
        <f t="shared" si="30"/>
        <v>188</v>
      </c>
    </row>
    <row r="1950" spans="1:18">
      <c r="A1950" s="71">
        <v>10323</v>
      </c>
      <c r="B1950" s="72">
        <v>41782</v>
      </c>
      <c r="C1950" s="71" t="s">
        <v>15843</v>
      </c>
      <c r="D1950" s="72">
        <v>41775</v>
      </c>
      <c r="E1950" s="71" t="s">
        <v>15836</v>
      </c>
      <c r="F1950" s="71" t="s">
        <v>984</v>
      </c>
      <c r="G1950" s="71" t="s">
        <v>20</v>
      </c>
      <c r="H1950" s="71" t="s">
        <v>71</v>
      </c>
      <c r="I1950" s="71" t="s">
        <v>72</v>
      </c>
      <c r="J1950" s="71" t="s">
        <v>14514</v>
      </c>
      <c r="K1950" s="71" t="s">
        <v>15844</v>
      </c>
      <c r="L1950" s="71" t="s">
        <v>4282</v>
      </c>
      <c r="M1950" s="71"/>
      <c r="O1950" s="72">
        <v>41971</v>
      </c>
      <c r="P1950" s="71"/>
      <c r="Q1950" s="71" t="b">
        <v>0</v>
      </c>
      <c r="R1950" s="22">
        <f t="shared" si="30"/>
        <v>187</v>
      </c>
    </row>
    <row r="1951" spans="1:18">
      <c r="A1951" s="71">
        <v>10324</v>
      </c>
      <c r="B1951" s="72">
        <v>41782</v>
      </c>
      <c r="C1951" s="71" t="s">
        <v>15845</v>
      </c>
      <c r="D1951" s="72">
        <v>41775</v>
      </c>
      <c r="E1951" s="71" t="s">
        <v>15846</v>
      </c>
      <c r="F1951" s="71" t="s">
        <v>984</v>
      </c>
      <c r="G1951" s="71" t="s">
        <v>20</v>
      </c>
      <c r="H1951" s="71" t="s">
        <v>71</v>
      </c>
      <c r="I1951" s="71" t="s">
        <v>72</v>
      </c>
      <c r="J1951" s="71" t="s">
        <v>14514</v>
      </c>
      <c r="K1951" s="71" t="s">
        <v>15844</v>
      </c>
      <c r="L1951" s="71" t="s">
        <v>4282</v>
      </c>
      <c r="M1951" s="71"/>
      <c r="O1951" s="72">
        <v>41971</v>
      </c>
      <c r="P1951" s="71"/>
      <c r="Q1951" s="71" t="b">
        <v>0</v>
      </c>
      <c r="R1951" s="22">
        <f t="shared" si="30"/>
        <v>187</v>
      </c>
    </row>
    <row r="1952" spans="1:18">
      <c r="A1952" s="71">
        <v>10325</v>
      </c>
      <c r="B1952" s="72">
        <v>41782</v>
      </c>
      <c r="C1952" s="71" t="s">
        <v>15847</v>
      </c>
      <c r="D1952" s="72">
        <v>41779</v>
      </c>
      <c r="E1952" s="71" t="s">
        <v>15848</v>
      </c>
      <c r="F1952" s="71" t="s">
        <v>974</v>
      </c>
      <c r="G1952" s="71" t="s">
        <v>20</v>
      </c>
      <c r="H1952" s="71" t="s">
        <v>212</v>
      </c>
      <c r="I1952" s="71" t="s">
        <v>212</v>
      </c>
      <c r="J1952" s="71" t="s">
        <v>15849</v>
      </c>
      <c r="K1952" s="71" t="s">
        <v>19874</v>
      </c>
      <c r="L1952" s="71" t="s">
        <v>14518</v>
      </c>
      <c r="M1952" s="71" t="s">
        <v>1152</v>
      </c>
      <c r="O1952" s="72">
        <v>42081</v>
      </c>
      <c r="P1952" s="71"/>
      <c r="Q1952" s="71" t="b">
        <v>0</v>
      </c>
      <c r="R1952" s="22">
        <f t="shared" si="30"/>
        <v>299</v>
      </c>
    </row>
    <row r="1953" spans="1:19">
      <c r="A1953">
        <v>10329</v>
      </c>
      <c r="B1953" s="77">
        <v>41806</v>
      </c>
      <c r="C1953" t="s">
        <v>19920</v>
      </c>
      <c r="D1953" s="77">
        <v>41803</v>
      </c>
      <c r="E1953" t="s">
        <v>15857</v>
      </c>
      <c r="F1953" t="s">
        <v>861</v>
      </c>
      <c r="G1953" t="s">
        <v>20</v>
      </c>
      <c r="H1953" t="s">
        <v>566</v>
      </c>
      <c r="I1953" t="s">
        <v>566</v>
      </c>
      <c r="J1953" t="s">
        <v>15858</v>
      </c>
      <c r="L1953" t="s">
        <v>14909</v>
      </c>
      <c r="N1953" s="78"/>
      <c r="O1953" s="77">
        <v>42550</v>
      </c>
      <c r="Q1953" t="b">
        <v>0</v>
      </c>
      <c r="R1953" s="22">
        <f t="shared" si="30"/>
        <v>743</v>
      </c>
    </row>
    <row r="1954" spans="1:19">
      <c r="A1954" s="71">
        <v>10335</v>
      </c>
      <c r="B1954" s="72">
        <v>41813</v>
      </c>
      <c r="C1954" s="71" t="s">
        <v>15871</v>
      </c>
      <c r="D1954" s="72">
        <v>41808</v>
      </c>
      <c r="E1954" s="71" t="s">
        <v>15872</v>
      </c>
      <c r="F1954" s="71" t="s">
        <v>984</v>
      </c>
      <c r="G1954" s="71" t="s">
        <v>20</v>
      </c>
      <c r="H1954" s="71" t="s">
        <v>71</v>
      </c>
      <c r="I1954" s="71" t="s">
        <v>72</v>
      </c>
      <c r="J1954" s="71" t="s">
        <v>15873</v>
      </c>
      <c r="K1954" s="71" t="s">
        <v>15874</v>
      </c>
      <c r="L1954" s="71" t="s">
        <v>4282</v>
      </c>
      <c r="M1954" s="71"/>
      <c r="O1954" s="72">
        <v>41971</v>
      </c>
      <c r="P1954" s="71"/>
      <c r="Q1954" s="71" t="b">
        <v>0</v>
      </c>
      <c r="R1954" s="22">
        <f t="shared" si="30"/>
        <v>157</v>
      </c>
    </row>
    <row r="1955" spans="1:19">
      <c r="A1955">
        <v>10336</v>
      </c>
      <c r="B1955" s="77">
        <v>41813</v>
      </c>
      <c r="C1955" t="s">
        <v>19914</v>
      </c>
      <c r="D1955" s="77">
        <v>41807</v>
      </c>
      <c r="E1955" t="s">
        <v>15875</v>
      </c>
      <c r="F1955" t="s">
        <v>14552</v>
      </c>
      <c r="G1955" t="s">
        <v>20</v>
      </c>
      <c r="H1955" t="s">
        <v>71</v>
      </c>
      <c r="I1955" t="s">
        <v>72</v>
      </c>
      <c r="J1955" t="s">
        <v>15876</v>
      </c>
      <c r="K1955" t="s">
        <v>15877</v>
      </c>
      <c r="L1955" t="s">
        <v>1946</v>
      </c>
      <c r="N1955" s="78"/>
      <c r="O1955" s="77">
        <v>42549</v>
      </c>
      <c r="Q1955" t="b">
        <v>0</v>
      </c>
      <c r="R1955" s="22">
        <f t="shared" si="30"/>
        <v>735</v>
      </c>
    </row>
    <row r="1956" spans="1:19">
      <c r="A1956" s="79">
        <v>10338</v>
      </c>
      <c r="B1956" s="80">
        <v>41821</v>
      </c>
      <c r="C1956" s="79" t="s">
        <v>18873</v>
      </c>
      <c r="D1956" s="80">
        <v>41816</v>
      </c>
      <c r="E1956" s="79" t="s">
        <v>15878</v>
      </c>
      <c r="F1956" s="79" t="s">
        <v>350</v>
      </c>
      <c r="G1956" s="79" t="s">
        <v>20</v>
      </c>
      <c r="H1956" s="79" t="s">
        <v>71</v>
      </c>
      <c r="I1956" s="79" t="s">
        <v>72</v>
      </c>
      <c r="J1956" s="79" t="s">
        <v>15879</v>
      </c>
      <c r="K1956" s="79"/>
      <c r="L1956" s="79" t="s">
        <v>7167</v>
      </c>
      <c r="M1956" s="79" t="s">
        <v>4282</v>
      </c>
      <c r="O1956" s="80">
        <v>43151</v>
      </c>
      <c r="P1956" s="79"/>
      <c r="Q1956" s="79" t="b">
        <v>0</v>
      </c>
      <c r="R1956" s="22">
        <f t="shared" si="30"/>
        <v>1327</v>
      </c>
    </row>
    <row r="1957" spans="1:19">
      <c r="A1957" s="71">
        <v>10341</v>
      </c>
      <c r="B1957" s="72">
        <v>41823</v>
      </c>
      <c r="C1957" s="71" t="s">
        <v>19255</v>
      </c>
      <c r="D1957" s="72">
        <v>41822</v>
      </c>
      <c r="E1957" s="71" t="s">
        <v>15880</v>
      </c>
      <c r="F1957" s="71" t="s">
        <v>52</v>
      </c>
      <c r="G1957" s="71" t="s">
        <v>20</v>
      </c>
      <c r="H1957" s="71" t="s">
        <v>71</v>
      </c>
      <c r="I1957" s="71" t="s">
        <v>72</v>
      </c>
      <c r="J1957" s="71" t="s">
        <v>15881</v>
      </c>
      <c r="K1957" s="71" t="s">
        <v>15882</v>
      </c>
      <c r="L1957" s="71" t="s">
        <v>7167</v>
      </c>
      <c r="M1957" s="71"/>
      <c r="O1957" s="72">
        <v>43021</v>
      </c>
      <c r="P1957" s="71"/>
      <c r="Q1957" s="71" t="b">
        <v>0</v>
      </c>
      <c r="R1957" s="22">
        <f t="shared" si="30"/>
        <v>1196</v>
      </c>
      <c r="S1957" s="71"/>
    </row>
    <row r="1958" spans="1:19">
      <c r="A1958" s="71">
        <v>10342</v>
      </c>
      <c r="B1958" s="72">
        <v>41823</v>
      </c>
      <c r="C1958" s="71" t="s">
        <v>15883</v>
      </c>
      <c r="D1958" s="72">
        <v>41815</v>
      </c>
      <c r="E1958" s="71" t="s">
        <v>15884</v>
      </c>
      <c r="F1958" s="71" t="s">
        <v>15885</v>
      </c>
      <c r="G1958" s="71" t="s">
        <v>20</v>
      </c>
      <c r="H1958" s="71" t="s">
        <v>71</v>
      </c>
      <c r="I1958" s="71" t="s">
        <v>72</v>
      </c>
      <c r="J1958" s="71" t="s">
        <v>15886</v>
      </c>
      <c r="K1958" s="71"/>
      <c r="L1958" s="71" t="s">
        <v>1946</v>
      </c>
      <c r="M1958" s="71"/>
      <c r="O1958" s="72">
        <v>41823</v>
      </c>
      <c r="P1958" s="71"/>
      <c r="Q1958" s="71" t="b">
        <v>0</v>
      </c>
      <c r="R1958" s="22">
        <f t="shared" si="30"/>
        <v>0</v>
      </c>
    </row>
    <row r="1959" spans="1:19">
      <c r="A1959">
        <v>10343</v>
      </c>
      <c r="B1959" s="77">
        <v>41827</v>
      </c>
      <c r="C1959" t="s">
        <v>19936</v>
      </c>
      <c r="D1959" s="77">
        <v>41817</v>
      </c>
      <c r="E1959" t="s">
        <v>15887</v>
      </c>
      <c r="F1959" t="s">
        <v>27</v>
      </c>
      <c r="G1959" t="s">
        <v>20</v>
      </c>
      <c r="H1959" t="s">
        <v>71</v>
      </c>
      <c r="I1959" t="s">
        <v>72</v>
      </c>
      <c r="J1959" t="s">
        <v>15888</v>
      </c>
      <c r="K1959" t="s">
        <v>15889</v>
      </c>
      <c r="L1959" t="s">
        <v>4282</v>
      </c>
      <c r="M1959" t="s">
        <v>15890</v>
      </c>
      <c r="N1959" s="78"/>
      <c r="O1959" s="19">
        <v>42711</v>
      </c>
      <c r="Q1959" t="b">
        <v>0</v>
      </c>
      <c r="R1959" s="22">
        <f t="shared" si="30"/>
        <v>882</v>
      </c>
    </row>
    <row r="1960" spans="1:19">
      <c r="A1960">
        <v>10349</v>
      </c>
      <c r="B1960" s="77">
        <v>41831</v>
      </c>
      <c r="C1960" t="s">
        <v>19901</v>
      </c>
      <c r="D1960" s="77">
        <v>41830</v>
      </c>
      <c r="E1960" t="s">
        <v>15891</v>
      </c>
      <c r="F1960" t="s">
        <v>984</v>
      </c>
      <c r="G1960" t="s">
        <v>20</v>
      </c>
      <c r="H1960" t="s">
        <v>71</v>
      </c>
      <c r="I1960" t="s">
        <v>72</v>
      </c>
      <c r="J1960" t="s">
        <v>15892</v>
      </c>
      <c r="K1960" t="s">
        <v>15893</v>
      </c>
      <c r="L1960" t="s">
        <v>7167</v>
      </c>
      <c r="M1960" t="s">
        <v>4282</v>
      </c>
      <c r="N1960" s="78"/>
      <c r="O1960" s="77">
        <v>42493</v>
      </c>
      <c r="Q1960" t="b">
        <v>0</v>
      </c>
      <c r="R1960" s="22">
        <f t="shared" si="30"/>
        <v>661</v>
      </c>
    </row>
    <row r="1961" spans="1:19">
      <c r="A1961">
        <v>10350</v>
      </c>
      <c r="B1961" s="77">
        <v>41834</v>
      </c>
      <c r="C1961" t="s">
        <v>19919</v>
      </c>
      <c r="D1961" s="77">
        <v>41831</v>
      </c>
      <c r="E1961" t="s">
        <v>15894</v>
      </c>
      <c r="F1961" t="s">
        <v>15895</v>
      </c>
      <c r="G1961" t="s">
        <v>20</v>
      </c>
      <c r="H1961" t="s">
        <v>71</v>
      </c>
      <c r="I1961" t="s">
        <v>72</v>
      </c>
      <c r="J1961" t="s">
        <v>15896</v>
      </c>
      <c r="K1961" t="s">
        <v>15897</v>
      </c>
      <c r="L1961" t="s">
        <v>14909</v>
      </c>
      <c r="M1961" t="s">
        <v>14411</v>
      </c>
      <c r="N1961" s="78"/>
      <c r="O1961" s="77">
        <v>42549</v>
      </c>
      <c r="Q1961" t="b">
        <v>0</v>
      </c>
      <c r="R1961" s="22">
        <f t="shared" si="30"/>
        <v>713</v>
      </c>
    </row>
    <row r="1962" spans="1:19">
      <c r="A1962" s="71">
        <v>10351</v>
      </c>
      <c r="B1962" s="72">
        <v>41834</v>
      </c>
      <c r="C1962" s="71" t="s">
        <v>15898</v>
      </c>
      <c r="D1962" s="72">
        <v>41831</v>
      </c>
      <c r="E1962" s="71" t="s">
        <v>15899</v>
      </c>
      <c r="F1962" s="71" t="s">
        <v>3171</v>
      </c>
      <c r="G1962" s="71" t="s">
        <v>20</v>
      </c>
      <c r="H1962" s="71" t="s">
        <v>566</v>
      </c>
      <c r="I1962" s="71" t="s">
        <v>566</v>
      </c>
      <c r="J1962" s="71" t="s">
        <v>15900</v>
      </c>
      <c r="K1962" s="71" t="s">
        <v>15901</v>
      </c>
      <c r="L1962" s="71" t="s">
        <v>14411</v>
      </c>
      <c r="M1962" s="71"/>
      <c r="O1962" s="72">
        <v>42314</v>
      </c>
      <c r="P1962" s="71"/>
      <c r="Q1962" s="71" t="b">
        <v>0</v>
      </c>
      <c r="R1962" s="22">
        <f t="shared" si="30"/>
        <v>478</v>
      </c>
    </row>
    <row r="1963" spans="1:19">
      <c r="A1963" s="71">
        <v>10356</v>
      </c>
      <c r="B1963" s="72">
        <v>41837</v>
      </c>
      <c r="C1963" s="71" t="s">
        <v>15910</v>
      </c>
      <c r="D1963" s="72">
        <v>41836</v>
      </c>
      <c r="E1963" s="71" t="s">
        <v>15911</v>
      </c>
      <c r="F1963" s="71" t="s">
        <v>14552</v>
      </c>
      <c r="G1963" s="71" t="s">
        <v>20</v>
      </c>
      <c r="H1963" s="71" t="s">
        <v>71</v>
      </c>
      <c r="I1963" s="71" t="s">
        <v>72</v>
      </c>
      <c r="J1963" s="71" t="s">
        <v>15912</v>
      </c>
      <c r="K1963" s="71"/>
      <c r="L1963" s="71" t="s">
        <v>1946</v>
      </c>
      <c r="M1963" s="71"/>
      <c r="O1963" s="72">
        <v>41941</v>
      </c>
      <c r="P1963" s="71"/>
      <c r="Q1963" s="71" t="b">
        <v>0</v>
      </c>
      <c r="R1963" s="22">
        <f t="shared" si="30"/>
        <v>103</v>
      </c>
    </row>
    <row r="1964" spans="1:19">
      <c r="A1964">
        <v>10361</v>
      </c>
      <c r="B1964" s="77">
        <v>41841</v>
      </c>
      <c r="C1964" t="s">
        <v>19915</v>
      </c>
      <c r="D1964" s="77">
        <v>41835</v>
      </c>
      <c r="E1964" t="s">
        <v>15920</v>
      </c>
      <c r="F1964" t="s">
        <v>14552</v>
      </c>
      <c r="G1964" t="s">
        <v>20</v>
      </c>
      <c r="H1964" t="s">
        <v>71</v>
      </c>
      <c r="I1964" t="s">
        <v>72</v>
      </c>
      <c r="J1964" t="s">
        <v>15921</v>
      </c>
      <c r="K1964" t="s">
        <v>15922</v>
      </c>
      <c r="L1964" t="s">
        <v>1946</v>
      </c>
      <c r="N1964" s="78"/>
      <c r="O1964" s="77">
        <v>42549</v>
      </c>
      <c r="Q1964" t="b">
        <v>0</v>
      </c>
      <c r="R1964" s="22">
        <f t="shared" si="30"/>
        <v>706</v>
      </c>
    </row>
    <row r="1965" spans="1:19">
      <c r="A1965" s="79">
        <v>10379</v>
      </c>
      <c r="B1965" s="80">
        <v>41869</v>
      </c>
      <c r="C1965" s="79" t="s">
        <v>18877</v>
      </c>
      <c r="D1965" s="80">
        <v>41865</v>
      </c>
      <c r="E1965" s="79" t="s">
        <v>15944</v>
      </c>
      <c r="F1965" s="79" t="s">
        <v>1232</v>
      </c>
      <c r="G1965" s="79" t="s">
        <v>20</v>
      </c>
      <c r="H1965" s="79" t="s">
        <v>189</v>
      </c>
      <c r="I1965" s="79" t="s">
        <v>189</v>
      </c>
      <c r="J1965" s="79" t="s">
        <v>15945</v>
      </c>
      <c r="K1965" s="79" t="s">
        <v>15946</v>
      </c>
      <c r="L1965" s="79" t="s">
        <v>1946</v>
      </c>
      <c r="M1965" s="79"/>
      <c r="O1965" s="81">
        <v>43224</v>
      </c>
      <c r="P1965" s="79"/>
      <c r="Q1965" s="79" t="b">
        <v>0</v>
      </c>
      <c r="R1965" s="22">
        <f t="shared" si="30"/>
        <v>1354</v>
      </c>
    </row>
    <row r="1966" spans="1:19">
      <c r="A1966" s="71">
        <v>10380</v>
      </c>
      <c r="B1966" s="72">
        <v>41869</v>
      </c>
      <c r="C1966" s="71" t="s">
        <v>19237</v>
      </c>
      <c r="D1966" s="72">
        <v>41865</v>
      </c>
      <c r="E1966" s="71" t="s">
        <v>15947</v>
      </c>
      <c r="F1966" s="71" t="s">
        <v>350</v>
      </c>
      <c r="G1966" s="71" t="s">
        <v>20</v>
      </c>
      <c r="H1966" s="71" t="s">
        <v>212</v>
      </c>
      <c r="I1966" s="71" t="s">
        <v>212</v>
      </c>
      <c r="J1966" s="71" t="s">
        <v>351</v>
      </c>
      <c r="K1966" s="71" t="s">
        <v>9348</v>
      </c>
      <c r="L1966" s="71" t="s">
        <v>7167</v>
      </c>
      <c r="M1966" s="71"/>
      <c r="O1966" s="75">
        <v>43000</v>
      </c>
      <c r="P1966" s="71"/>
      <c r="Q1966" s="71" t="b">
        <v>0</v>
      </c>
      <c r="R1966" s="22">
        <f t="shared" si="30"/>
        <v>1129</v>
      </c>
      <c r="S1966" s="71"/>
    </row>
    <row r="1967" spans="1:19">
      <c r="A1967" s="79">
        <v>10382</v>
      </c>
      <c r="B1967" s="80">
        <v>41870</v>
      </c>
      <c r="C1967" s="79" t="s">
        <v>18878</v>
      </c>
      <c r="D1967" s="80">
        <v>41845</v>
      </c>
      <c r="E1967" s="79" t="s">
        <v>15951</v>
      </c>
      <c r="F1967" s="79" t="s">
        <v>124</v>
      </c>
      <c r="G1967" s="79" t="s">
        <v>20</v>
      </c>
      <c r="H1967" s="79" t="s">
        <v>71</v>
      </c>
      <c r="I1967" s="79" t="s">
        <v>72</v>
      </c>
      <c r="J1967" s="79" t="s">
        <v>15952</v>
      </c>
      <c r="K1967" s="79" t="s">
        <v>9348</v>
      </c>
      <c r="L1967" s="79" t="s">
        <v>14909</v>
      </c>
      <c r="M1967" s="79"/>
      <c r="O1967" s="80">
        <v>43279</v>
      </c>
      <c r="P1967" s="79"/>
      <c r="Q1967" s="79" t="b">
        <v>0</v>
      </c>
      <c r="R1967" s="22">
        <f t="shared" si="30"/>
        <v>1408</v>
      </c>
    </row>
    <row r="1968" spans="1:19">
      <c r="A1968" s="79">
        <v>10383</v>
      </c>
      <c r="B1968" s="80">
        <v>41870</v>
      </c>
      <c r="C1968" s="79" t="s">
        <v>18879</v>
      </c>
      <c r="D1968" s="80">
        <v>41845</v>
      </c>
      <c r="E1968" s="79" t="s">
        <v>15953</v>
      </c>
      <c r="F1968" s="79" t="s">
        <v>124</v>
      </c>
      <c r="G1968" s="79" t="s">
        <v>20</v>
      </c>
      <c r="H1968" s="79" t="s">
        <v>71</v>
      </c>
      <c r="I1968" s="79" t="s">
        <v>72</v>
      </c>
      <c r="J1968" s="79" t="s">
        <v>15954</v>
      </c>
      <c r="K1968" s="79" t="s">
        <v>9348</v>
      </c>
      <c r="L1968" s="79" t="s">
        <v>14909</v>
      </c>
      <c r="M1968" s="79"/>
      <c r="O1968" s="80">
        <v>43279</v>
      </c>
      <c r="P1968" s="79"/>
      <c r="Q1968" s="79" t="b">
        <v>0</v>
      </c>
      <c r="R1968" s="22">
        <f t="shared" si="30"/>
        <v>1408</v>
      </c>
    </row>
    <row r="1969" spans="1:19">
      <c r="A1969">
        <v>10387</v>
      </c>
      <c r="B1969" s="77">
        <v>41877</v>
      </c>
      <c r="C1969" t="s">
        <v>19902</v>
      </c>
      <c r="D1969" s="77">
        <v>41876</v>
      </c>
      <c r="E1969" t="s">
        <v>15960</v>
      </c>
      <c r="F1969" t="s">
        <v>984</v>
      </c>
      <c r="G1969" t="s">
        <v>20</v>
      </c>
      <c r="H1969" t="s">
        <v>71</v>
      </c>
      <c r="I1969" t="s">
        <v>72</v>
      </c>
      <c r="J1969" t="s">
        <v>15961</v>
      </c>
      <c r="K1969" t="s">
        <v>9348</v>
      </c>
      <c r="L1969" t="s">
        <v>1946</v>
      </c>
      <c r="M1969" t="s">
        <v>4282</v>
      </c>
      <c r="N1969" s="78"/>
      <c r="O1969" s="77">
        <v>42493</v>
      </c>
      <c r="Q1969" t="b">
        <v>0</v>
      </c>
      <c r="R1969" s="22">
        <f t="shared" si="30"/>
        <v>615</v>
      </c>
    </row>
    <row r="1970" spans="1:19">
      <c r="A1970" s="79">
        <v>10402</v>
      </c>
      <c r="B1970" s="80">
        <v>41899</v>
      </c>
      <c r="C1970" s="79" t="s">
        <v>18880</v>
      </c>
      <c r="D1970" s="80">
        <v>41894</v>
      </c>
      <c r="E1970" s="79" t="s">
        <v>15989</v>
      </c>
      <c r="F1970" s="79" t="s">
        <v>6953</v>
      </c>
      <c r="G1970" s="79" t="s">
        <v>20</v>
      </c>
      <c r="H1970" s="79" t="s">
        <v>71</v>
      </c>
      <c r="I1970" s="79" t="s">
        <v>72</v>
      </c>
      <c r="J1970" s="79" t="s">
        <v>15990</v>
      </c>
      <c r="K1970" s="79" t="s">
        <v>15991</v>
      </c>
      <c r="L1970" s="79" t="s">
        <v>4282</v>
      </c>
      <c r="M1970" s="79"/>
      <c r="O1970" s="81">
        <v>43220</v>
      </c>
      <c r="P1970" s="79"/>
      <c r="Q1970" s="79" t="b">
        <v>0</v>
      </c>
      <c r="R1970" s="22">
        <f t="shared" si="30"/>
        <v>1321</v>
      </c>
    </row>
    <row r="1971" spans="1:19">
      <c r="A1971">
        <v>10405</v>
      </c>
      <c r="B1971" s="77">
        <v>41905</v>
      </c>
      <c r="C1971" t="s">
        <v>19927</v>
      </c>
      <c r="D1971" s="77">
        <v>41891</v>
      </c>
      <c r="E1971" t="s">
        <v>15997</v>
      </c>
      <c r="F1971" t="s">
        <v>124</v>
      </c>
      <c r="G1971" t="s">
        <v>20</v>
      </c>
      <c r="H1971" t="s">
        <v>71</v>
      </c>
      <c r="I1971" t="s">
        <v>72</v>
      </c>
      <c r="J1971" t="s">
        <v>15489</v>
      </c>
      <c r="L1971" t="s">
        <v>14518</v>
      </c>
      <c r="N1971" s="78"/>
      <c r="O1971" s="19">
        <v>42625</v>
      </c>
      <c r="Q1971" t="b">
        <v>0</v>
      </c>
      <c r="R1971" s="22">
        <f t="shared" si="30"/>
        <v>718</v>
      </c>
    </row>
    <row r="1972" spans="1:19">
      <c r="A1972">
        <v>10411</v>
      </c>
      <c r="B1972" s="77">
        <v>41912</v>
      </c>
      <c r="C1972" t="s">
        <v>19916</v>
      </c>
      <c r="D1972" s="77">
        <v>41911</v>
      </c>
      <c r="E1972" t="s">
        <v>16008</v>
      </c>
      <c r="F1972" t="s">
        <v>14552</v>
      </c>
      <c r="G1972" t="s">
        <v>20</v>
      </c>
      <c r="H1972" t="s">
        <v>71</v>
      </c>
      <c r="I1972" t="s">
        <v>72</v>
      </c>
      <c r="J1972" t="s">
        <v>16009</v>
      </c>
      <c r="K1972" t="s">
        <v>15626</v>
      </c>
      <c r="L1972" t="s">
        <v>1946</v>
      </c>
      <c r="N1972" s="78"/>
      <c r="O1972" s="19">
        <v>42549</v>
      </c>
      <c r="Q1972" t="b">
        <v>0</v>
      </c>
      <c r="R1972" s="22">
        <f t="shared" si="30"/>
        <v>636</v>
      </c>
    </row>
    <row r="1973" spans="1:19">
      <c r="A1973" s="71">
        <v>10413</v>
      </c>
      <c r="B1973" s="72">
        <v>41913</v>
      </c>
      <c r="C1973" s="71" t="s">
        <v>16012</v>
      </c>
      <c r="D1973" s="72">
        <v>41912</v>
      </c>
      <c r="E1973" s="71" t="s">
        <v>16013</v>
      </c>
      <c r="F1973" s="71" t="s">
        <v>3430</v>
      </c>
      <c r="G1973" s="71" t="s">
        <v>20</v>
      </c>
      <c r="H1973" s="71" t="s">
        <v>71</v>
      </c>
      <c r="I1973" s="71" t="s">
        <v>72</v>
      </c>
      <c r="J1973" s="71" t="s">
        <v>16014</v>
      </c>
      <c r="K1973" s="71" t="s">
        <v>16015</v>
      </c>
      <c r="L1973" s="71" t="s">
        <v>7167</v>
      </c>
      <c r="M1973" s="71"/>
      <c r="O1973" s="72">
        <v>41933</v>
      </c>
      <c r="P1973" s="71"/>
      <c r="Q1973" s="71" t="b">
        <v>0</v>
      </c>
      <c r="R1973" s="22">
        <f t="shared" si="30"/>
        <v>20</v>
      </c>
    </row>
    <row r="1974" spans="1:19">
      <c r="A1974" s="71">
        <v>10414</v>
      </c>
      <c r="B1974" s="72">
        <v>41914</v>
      </c>
      <c r="C1974" s="71" t="s">
        <v>19131</v>
      </c>
      <c r="D1974" s="72">
        <v>41914</v>
      </c>
      <c r="E1974" s="71" t="s">
        <v>16016</v>
      </c>
      <c r="F1974" s="71" t="s">
        <v>14344</v>
      </c>
      <c r="G1974" s="71" t="s">
        <v>20</v>
      </c>
      <c r="H1974" s="71" t="s">
        <v>189</v>
      </c>
      <c r="I1974" s="71" t="s">
        <v>189</v>
      </c>
      <c r="J1974" s="71" t="s">
        <v>16017</v>
      </c>
      <c r="K1974" s="71"/>
      <c r="L1974" s="71" t="s">
        <v>1946</v>
      </c>
      <c r="M1974" s="71"/>
      <c r="O1974" s="72">
        <v>42849</v>
      </c>
      <c r="P1974" s="71"/>
      <c r="Q1974" s="71" t="b">
        <v>0</v>
      </c>
      <c r="R1974" s="22">
        <f t="shared" si="30"/>
        <v>934</v>
      </c>
      <c r="S1974" s="71"/>
    </row>
    <row r="1975" spans="1:19">
      <c r="A1975" s="79">
        <v>10415</v>
      </c>
      <c r="B1975" s="80">
        <v>41914</v>
      </c>
      <c r="C1975" s="79" t="s">
        <v>18881</v>
      </c>
      <c r="D1975" s="80">
        <v>41914</v>
      </c>
      <c r="E1975" s="79" t="s">
        <v>16018</v>
      </c>
      <c r="F1975" s="79" t="s">
        <v>984</v>
      </c>
      <c r="G1975" s="79" t="s">
        <v>20</v>
      </c>
      <c r="H1975" s="79" t="s">
        <v>71</v>
      </c>
      <c r="I1975" s="79" t="s">
        <v>72</v>
      </c>
      <c r="J1975" s="79" t="s">
        <v>16019</v>
      </c>
      <c r="K1975" s="79"/>
      <c r="L1975" s="79" t="s">
        <v>14909</v>
      </c>
      <c r="M1975" s="79"/>
      <c r="O1975" s="80">
        <v>43196</v>
      </c>
      <c r="P1975" s="79"/>
      <c r="Q1975" s="79" t="b">
        <v>0</v>
      </c>
      <c r="R1975" s="22">
        <f t="shared" si="30"/>
        <v>1281</v>
      </c>
    </row>
    <row r="1976" spans="1:19">
      <c r="A1976" s="71">
        <v>10425</v>
      </c>
      <c r="B1976" s="72">
        <v>41932</v>
      </c>
      <c r="C1976" s="71" t="s">
        <v>19054</v>
      </c>
      <c r="D1976" s="72">
        <v>41918</v>
      </c>
      <c r="E1976" s="71" t="s">
        <v>16036</v>
      </c>
      <c r="F1976" s="71" t="s">
        <v>3171</v>
      </c>
      <c r="G1976" s="71" t="s">
        <v>20</v>
      </c>
      <c r="H1976" s="71" t="s">
        <v>566</v>
      </c>
      <c r="I1976" s="71" t="s">
        <v>566</v>
      </c>
      <c r="J1976" s="71" t="s">
        <v>16037</v>
      </c>
      <c r="K1976" s="71" t="s">
        <v>16038</v>
      </c>
      <c r="L1976" s="71" t="s">
        <v>4282</v>
      </c>
      <c r="M1976" s="71"/>
      <c r="O1976" s="72">
        <v>43117</v>
      </c>
      <c r="P1976" s="71"/>
      <c r="Q1976" s="71" t="b">
        <v>0</v>
      </c>
      <c r="R1976" s="22">
        <f t="shared" si="30"/>
        <v>1183</v>
      </c>
      <c r="S1976" s="71"/>
    </row>
    <row r="1977" spans="1:19">
      <c r="A1977">
        <v>10426</v>
      </c>
      <c r="B1977" s="77">
        <v>41932</v>
      </c>
      <c r="C1977" t="s">
        <v>19883</v>
      </c>
      <c r="D1977" s="77">
        <v>41929</v>
      </c>
      <c r="E1977" t="s">
        <v>16039</v>
      </c>
      <c r="F1977" t="s">
        <v>283</v>
      </c>
      <c r="G1977" t="s">
        <v>20</v>
      </c>
      <c r="H1977" t="s">
        <v>71</v>
      </c>
      <c r="I1977" t="s">
        <v>72</v>
      </c>
      <c r="J1977" t="s">
        <v>16040</v>
      </c>
      <c r="L1977" t="s">
        <v>7167</v>
      </c>
      <c r="N1977" s="78"/>
      <c r="O1977" s="77">
        <v>42465</v>
      </c>
      <c r="Q1977" t="b">
        <v>0</v>
      </c>
      <c r="R1977" s="22">
        <f t="shared" si="30"/>
        <v>532</v>
      </c>
    </row>
    <row r="1978" spans="1:19">
      <c r="A1978" s="71">
        <v>10427</v>
      </c>
      <c r="B1978" s="72">
        <v>41932</v>
      </c>
      <c r="C1978" s="71" t="s">
        <v>19050</v>
      </c>
      <c r="D1978" s="72">
        <v>41932</v>
      </c>
      <c r="E1978" s="71" t="s">
        <v>16041</v>
      </c>
      <c r="F1978" s="71" t="s">
        <v>11050</v>
      </c>
      <c r="G1978" s="71" t="s">
        <v>20</v>
      </c>
      <c r="H1978" s="71" t="s">
        <v>189</v>
      </c>
      <c r="I1978" s="71" t="s">
        <v>189</v>
      </c>
      <c r="J1978" s="71" t="s">
        <v>16042</v>
      </c>
      <c r="K1978" s="71" t="s">
        <v>14825</v>
      </c>
      <c r="L1978" s="71" t="s">
        <v>4282</v>
      </c>
      <c r="M1978" s="71"/>
      <c r="O1978" s="75">
        <v>43111</v>
      </c>
      <c r="P1978" s="71"/>
      <c r="Q1978" s="71" t="b">
        <v>0</v>
      </c>
      <c r="R1978" s="22">
        <f t="shared" si="30"/>
        <v>1177</v>
      </c>
      <c r="S1978" s="71"/>
    </row>
    <row r="1979" spans="1:19">
      <c r="A1979" s="79">
        <v>10428</v>
      </c>
      <c r="B1979" s="80">
        <v>41932</v>
      </c>
      <c r="C1979" s="79" t="s">
        <v>18866</v>
      </c>
      <c r="D1979" s="80">
        <v>41932</v>
      </c>
      <c r="E1979" s="79" t="s">
        <v>16043</v>
      </c>
      <c r="F1979" s="79" t="s">
        <v>3457</v>
      </c>
      <c r="G1979" s="79" t="s">
        <v>20</v>
      </c>
      <c r="H1979" s="79" t="s">
        <v>212</v>
      </c>
      <c r="I1979" s="79" t="s">
        <v>212</v>
      </c>
      <c r="J1979" s="79" t="s">
        <v>16044</v>
      </c>
      <c r="K1979" s="79" t="s">
        <v>6193</v>
      </c>
      <c r="L1979" s="79" t="s">
        <v>1946</v>
      </c>
      <c r="M1979" s="79" t="s">
        <v>14909</v>
      </c>
      <c r="O1979" s="80">
        <v>43234</v>
      </c>
      <c r="P1979" s="79"/>
      <c r="Q1979" s="79" t="b">
        <v>0</v>
      </c>
      <c r="R1979" s="22">
        <f t="shared" si="30"/>
        <v>1301</v>
      </c>
    </row>
    <row r="1980" spans="1:19">
      <c r="A1980" s="79">
        <v>10429</v>
      </c>
      <c r="B1980" s="80">
        <v>41934</v>
      </c>
      <c r="C1980" s="79" t="s">
        <v>16045</v>
      </c>
      <c r="D1980" s="80">
        <v>41932</v>
      </c>
      <c r="E1980" s="79" t="s">
        <v>16046</v>
      </c>
      <c r="F1980" s="79" t="s">
        <v>16047</v>
      </c>
      <c r="G1980" s="79" t="s">
        <v>20</v>
      </c>
      <c r="H1980" s="79" t="s">
        <v>212</v>
      </c>
      <c r="I1980" s="79" t="s">
        <v>212</v>
      </c>
      <c r="J1980" s="79" t="s">
        <v>16043</v>
      </c>
      <c r="K1980" s="79" t="s">
        <v>6193</v>
      </c>
      <c r="L1980" s="79" t="s">
        <v>1946</v>
      </c>
      <c r="M1980" s="79" t="s">
        <v>14909</v>
      </c>
      <c r="O1980" s="80">
        <v>43234</v>
      </c>
      <c r="P1980" s="79"/>
      <c r="Q1980" s="79" t="b">
        <v>0</v>
      </c>
      <c r="R1980" s="22">
        <f t="shared" si="30"/>
        <v>1299</v>
      </c>
    </row>
    <row r="1981" spans="1:19">
      <c r="A1981">
        <v>10431</v>
      </c>
      <c r="B1981" s="77">
        <v>41933</v>
      </c>
      <c r="C1981" t="s">
        <v>19895</v>
      </c>
      <c r="D1981" s="77">
        <v>41932</v>
      </c>
      <c r="E1981" t="s">
        <v>16048</v>
      </c>
      <c r="F1981" t="s">
        <v>16049</v>
      </c>
      <c r="G1981" t="s">
        <v>20</v>
      </c>
      <c r="H1981" t="s">
        <v>71</v>
      </c>
      <c r="I1981" t="s">
        <v>72</v>
      </c>
      <c r="J1981" t="s">
        <v>14553</v>
      </c>
      <c r="L1981" t="s">
        <v>14518</v>
      </c>
      <c r="M1981" t="s">
        <v>14909</v>
      </c>
      <c r="N1981" s="78"/>
      <c r="O1981" s="19">
        <v>42482</v>
      </c>
      <c r="Q1981" t="b">
        <v>0</v>
      </c>
      <c r="R1981" s="22">
        <f t="shared" si="30"/>
        <v>548</v>
      </c>
    </row>
    <row r="1982" spans="1:19">
      <c r="A1982" s="79">
        <v>10433</v>
      </c>
      <c r="B1982" s="80">
        <v>41935</v>
      </c>
      <c r="C1982" s="79" t="s">
        <v>18882</v>
      </c>
      <c r="D1982" s="80">
        <v>41935</v>
      </c>
      <c r="E1982" s="79" t="s">
        <v>16053</v>
      </c>
      <c r="F1982" s="79" t="s">
        <v>16054</v>
      </c>
      <c r="G1982" s="79" t="s">
        <v>20</v>
      </c>
      <c r="H1982" s="79" t="s">
        <v>189</v>
      </c>
      <c r="I1982" s="79" t="s">
        <v>189</v>
      </c>
      <c r="J1982" s="79" t="s">
        <v>6647</v>
      </c>
      <c r="K1982" s="79" t="s">
        <v>16055</v>
      </c>
      <c r="L1982" s="79" t="s">
        <v>4282</v>
      </c>
      <c r="M1982" s="79" t="s">
        <v>14909</v>
      </c>
      <c r="O1982" s="81">
        <v>43230</v>
      </c>
      <c r="P1982" s="79"/>
      <c r="Q1982" s="79" t="b">
        <v>0</v>
      </c>
      <c r="R1982" s="22">
        <f t="shared" si="30"/>
        <v>1294</v>
      </c>
    </row>
    <row r="1983" spans="1:19">
      <c r="A1983" s="79">
        <v>10439</v>
      </c>
      <c r="B1983" s="80">
        <v>41941</v>
      </c>
      <c r="C1983" s="79" t="s">
        <v>18883</v>
      </c>
      <c r="D1983" s="80">
        <v>41940</v>
      </c>
      <c r="E1983" s="79" t="s">
        <v>16070</v>
      </c>
      <c r="F1983" s="79" t="s">
        <v>16071</v>
      </c>
      <c r="G1983" s="79" t="s">
        <v>20</v>
      </c>
      <c r="H1983" s="79" t="s">
        <v>71</v>
      </c>
      <c r="I1983" s="79" t="s">
        <v>72</v>
      </c>
      <c r="J1983" s="79" t="s">
        <v>9199</v>
      </c>
      <c r="K1983" s="79" t="s">
        <v>16072</v>
      </c>
      <c r="L1983" s="79" t="s">
        <v>14909</v>
      </c>
      <c r="M1983" s="79" t="s">
        <v>14518</v>
      </c>
      <c r="O1983" s="80">
        <v>43279</v>
      </c>
      <c r="P1983" s="79"/>
      <c r="Q1983" s="79" t="b">
        <v>0</v>
      </c>
      <c r="R1983" s="22">
        <f t="shared" si="30"/>
        <v>1337</v>
      </c>
      <c r="S1983" s="79" t="s">
        <v>19299</v>
      </c>
    </row>
    <row r="1984" spans="1:19">
      <c r="A1984" s="71">
        <v>10442</v>
      </c>
      <c r="B1984" s="72">
        <v>41943</v>
      </c>
      <c r="C1984" s="71" t="s">
        <v>16077</v>
      </c>
      <c r="D1984" s="72">
        <v>41964</v>
      </c>
      <c r="E1984" s="71" t="s">
        <v>16078</v>
      </c>
      <c r="F1984" s="71" t="s">
        <v>13960</v>
      </c>
      <c r="G1984" s="71" t="s">
        <v>20</v>
      </c>
      <c r="H1984" s="71" t="s">
        <v>71</v>
      </c>
      <c r="I1984" s="71" t="s">
        <v>72</v>
      </c>
      <c r="J1984" s="71" t="s">
        <v>16079</v>
      </c>
      <c r="K1984" s="71" t="s">
        <v>16080</v>
      </c>
      <c r="L1984" s="71" t="s">
        <v>1946</v>
      </c>
      <c r="M1984" s="71"/>
      <c r="O1984" s="75">
        <v>41964</v>
      </c>
      <c r="P1984" s="71"/>
      <c r="Q1984" s="71" t="b">
        <v>0</v>
      </c>
      <c r="R1984" s="22">
        <f t="shared" si="30"/>
        <v>21</v>
      </c>
    </row>
    <row r="1985" spans="1:19">
      <c r="A1985" s="71">
        <v>10443</v>
      </c>
      <c r="B1985" s="72">
        <v>41946</v>
      </c>
      <c r="C1985" s="71" t="s">
        <v>19158</v>
      </c>
      <c r="D1985" s="72">
        <v>41946</v>
      </c>
      <c r="E1985" s="71" t="s">
        <v>16081</v>
      </c>
      <c r="F1985" s="71" t="s">
        <v>371</v>
      </c>
      <c r="G1985" s="71" t="s">
        <v>20</v>
      </c>
      <c r="H1985" s="71" t="s">
        <v>71</v>
      </c>
      <c r="I1985" s="71" t="s">
        <v>72</v>
      </c>
      <c r="J1985" s="71" t="s">
        <v>16082</v>
      </c>
      <c r="K1985" s="71" t="s">
        <v>10189</v>
      </c>
      <c r="L1985" s="71" t="s">
        <v>14518</v>
      </c>
      <c r="M1985" s="71"/>
      <c r="O1985" s="75">
        <v>42914</v>
      </c>
      <c r="P1985" s="71"/>
      <c r="Q1985" s="71" t="b">
        <v>0</v>
      </c>
      <c r="R1985" s="22">
        <f t="shared" si="30"/>
        <v>968</v>
      </c>
      <c r="S1985" s="71"/>
    </row>
    <row r="1986" spans="1:19">
      <c r="A1986" s="71">
        <v>10454</v>
      </c>
      <c r="B1986" s="72">
        <v>41962</v>
      </c>
      <c r="C1986" s="71" t="s">
        <v>16109</v>
      </c>
      <c r="D1986" s="72">
        <v>41961</v>
      </c>
      <c r="E1986" s="71" t="s">
        <v>16110</v>
      </c>
      <c r="F1986" s="71" t="s">
        <v>85</v>
      </c>
      <c r="G1986" s="71" t="s">
        <v>20</v>
      </c>
      <c r="H1986" s="71" t="s">
        <v>71</v>
      </c>
      <c r="I1986" s="71" t="s">
        <v>72</v>
      </c>
      <c r="J1986" s="71" t="s">
        <v>16111</v>
      </c>
      <c r="K1986" s="71" t="s">
        <v>16112</v>
      </c>
      <c r="L1986" s="71" t="s">
        <v>7167</v>
      </c>
      <c r="M1986" s="71"/>
      <c r="O1986" s="72">
        <v>42003</v>
      </c>
      <c r="P1986" s="71"/>
      <c r="Q1986" s="71" t="b">
        <v>0</v>
      </c>
      <c r="R1986" s="22">
        <f t="shared" ref="R1986:R2049" si="31">IF(O1986=" ", " ", INT(YEARFRAC(O1986, B1986)*365))</f>
        <v>41</v>
      </c>
    </row>
    <row r="1987" spans="1:19">
      <c r="A1987" s="79">
        <v>10456</v>
      </c>
      <c r="B1987" s="80">
        <v>41964</v>
      </c>
      <c r="C1987" s="79" t="s">
        <v>18884</v>
      </c>
      <c r="D1987" s="80">
        <v>41963</v>
      </c>
      <c r="E1987" s="79" t="s">
        <v>16118</v>
      </c>
      <c r="F1987" s="79" t="s">
        <v>13422</v>
      </c>
      <c r="G1987" s="79" t="s">
        <v>20</v>
      </c>
      <c r="H1987" s="79" t="s">
        <v>189</v>
      </c>
      <c r="I1987" s="79" t="s">
        <v>72</v>
      </c>
      <c r="J1987" s="79" t="s">
        <v>16119</v>
      </c>
      <c r="K1987" s="79" t="s">
        <v>16120</v>
      </c>
      <c r="L1987" s="79" t="s">
        <v>4282</v>
      </c>
      <c r="M1987" s="79"/>
      <c r="O1987" s="81">
        <v>43236</v>
      </c>
      <c r="P1987" s="79"/>
      <c r="Q1987" s="79" t="b">
        <v>0</v>
      </c>
      <c r="R1987" s="22">
        <f t="shared" si="31"/>
        <v>1272</v>
      </c>
    </row>
    <row r="1988" spans="1:19">
      <c r="A1988">
        <v>10460</v>
      </c>
      <c r="B1988" s="77">
        <v>41964</v>
      </c>
      <c r="C1988" t="s">
        <v>19926</v>
      </c>
      <c r="D1988" s="77">
        <v>41964</v>
      </c>
      <c r="E1988" t="s">
        <v>16128</v>
      </c>
      <c r="F1988" t="s">
        <v>861</v>
      </c>
      <c r="G1988" t="s">
        <v>20</v>
      </c>
      <c r="H1988" t="s">
        <v>566</v>
      </c>
      <c r="I1988" t="s">
        <v>10070</v>
      </c>
      <c r="J1988" t="s">
        <v>16129</v>
      </c>
      <c r="K1988" t="s">
        <v>16130</v>
      </c>
      <c r="L1988" t="s">
        <v>14909</v>
      </c>
      <c r="N1988" s="78"/>
      <c r="O1988" s="19">
        <v>42579</v>
      </c>
      <c r="Q1988" t="b">
        <v>0</v>
      </c>
      <c r="R1988" s="22">
        <f t="shared" si="31"/>
        <v>615</v>
      </c>
    </row>
    <row r="1989" spans="1:19">
      <c r="A1989" s="71">
        <v>10461</v>
      </c>
      <c r="B1989" s="72">
        <v>41967</v>
      </c>
      <c r="C1989" s="71" t="s">
        <v>19166</v>
      </c>
      <c r="D1989" s="72">
        <v>41967</v>
      </c>
      <c r="E1989" s="71" t="s">
        <v>16131</v>
      </c>
      <c r="F1989" s="71" t="s">
        <v>733</v>
      </c>
      <c r="G1989" s="71" t="s">
        <v>20</v>
      </c>
      <c r="H1989" s="71" t="s">
        <v>71</v>
      </c>
      <c r="I1989" s="71" t="s">
        <v>72</v>
      </c>
      <c r="J1989" s="71" t="s">
        <v>15924</v>
      </c>
      <c r="K1989" s="71" t="s">
        <v>16132</v>
      </c>
      <c r="L1989" s="71" t="s">
        <v>7167</v>
      </c>
      <c r="M1989" s="71"/>
      <c r="O1989" s="75">
        <v>42916</v>
      </c>
      <c r="P1989" s="71"/>
      <c r="Q1989" s="71" t="b">
        <v>0</v>
      </c>
      <c r="R1989" s="22">
        <f t="shared" si="31"/>
        <v>949</v>
      </c>
      <c r="S1989" s="71"/>
    </row>
    <row r="1990" spans="1:19">
      <c r="A1990" s="79">
        <v>10462</v>
      </c>
      <c r="B1990" s="80">
        <v>41967</v>
      </c>
      <c r="C1990" s="79" t="s">
        <v>18885</v>
      </c>
      <c r="D1990" s="80">
        <v>41967</v>
      </c>
      <c r="E1990" s="79" t="s">
        <v>16133</v>
      </c>
      <c r="F1990" s="79" t="s">
        <v>12334</v>
      </c>
      <c r="G1990" s="79" t="s">
        <v>20</v>
      </c>
      <c r="H1990" s="79" t="s">
        <v>189</v>
      </c>
      <c r="I1990" s="79" t="s">
        <v>20</v>
      </c>
      <c r="J1990" s="79" t="s">
        <v>6950</v>
      </c>
      <c r="K1990" s="79" t="s">
        <v>16134</v>
      </c>
      <c r="L1990" s="79" t="s">
        <v>7167</v>
      </c>
      <c r="M1990" s="79"/>
      <c r="O1990" s="81">
        <v>43280</v>
      </c>
      <c r="P1990" s="79"/>
      <c r="Q1990" s="79" t="b">
        <v>0</v>
      </c>
      <c r="R1990" s="22">
        <f t="shared" si="31"/>
        <v>1312</v>
      </c>
    </row>
    <row r="1991" spans="1:19">
      <c r="A1991" s="79">
        <v>10466</v>
      </c>
      <c r="B1991" s="80">
        <v>41969</v>
      </c>
      <c r="C1991" s="79" t="s">
        <v>18886</v>
      </c>
      <c r="D1991" s="80">
        <v>41969</v>
      </c>
      <c r="E1991" s="79" t="s">
        <v>16144</v>
      </c>
      <c r="F1991" s="79" t="s">
        <v>2146</v>
      </c>
      <c r="G1991" s="79" t="s">
        <v>20</v>
      </c>
      <c r="H1991" s="79" t="s">
        <v>20</v>
      </c>
      <c r="I1991" s="79" t="s">
        <v>20</v>
      </c>
      <c r="J1991" s="79" t="s">
        <v>16145</v>
      </c>
      <c r="K1991" s="79" t="s">
        <v>9348</v>
      </c>
      <c r="L1991" s="79" t="s">
        <v>1946</v>
      </c>
      <c r="M1991" s="79"/>
      <c r="O1991" s="81">
        <v>43188</v>
      </c>
      <c r="P1991" s="79"/>
      <c r="Q1991" s="79" t="b">
        <v>0</v>
      </c>
      <c r="R1991" s="22">
        <f t="shared" si="31"/>
        <v>1219</v>
      </c>
    </row>
    <row r="1992" spans="1:19">
      <c r="A1992" s="71">
        <v>10467</v>
      </c>
      <c r="B1992" s="72">
        <v>41971</v>
      </c>
      <c r="C1992" s="71" t="s">
        <v>16146</v>
      </c>
      <c r="D1992" s="72">
        <v>41964</v>
      </c>
      <c r="E1992" s="71" t="s">
        <v>16147</v>
      </c>
      <c r="F1992" s="71" t="s">
        <v>350</v>
      </c>
      <c r="G1992" s="71" t="s">
        <v>20</v>
      </c>
      <c r="H1992" s="71" t="s">
        <v>11905</v>
      </c>
      <c r="I1992" s="71" t="s">
        <v>72</v>
      </c>
      <c r="J1992" s="71" t="s">
        <v>9218</v>
      </c>
      <c r="K1992" s="71" t="s">
        <v>16148</v>
      </c>
      <c r="L1992" s="71" t="s">
        <v>1946</v>
      </c>
      <c r="M1992" s="71"/>
      <c r="O1992" s="75">
        <v>42178</v>
      </c>
      <c r="P1992" s="71"/>
      <c r="Q1992" s="71" t="b">
        <v>0</v>
      </c>
      <c r="R1992" s="22">
        <f t="shared" si="31"/>
        <v>207</v>
      </c>
    </row>
    <row r="1993" spans="1:19">
      <c r="A1993">
        <v>10470</v>
      </c>
      <c r="B1993" s="77">
        <v>41977</v>
      </c>
      <c r="C1993" t="s">
        <v>19891</v>
      </c>
      <c r="D1993" s="77">
        <v>41977</v>
      </c>
      <c r="E1993" t="s">
        <v>16150</v>
      </c>
      <c r="F1993" t="s">
        <v>1686</v>
      </c>
      <c r="G1993" t="s">
        <v>20</v>
      </c>
      <c r="H1993" t="s">
        <v>71</v>
      </c>
      <c r="I1993" t="s">
        <v>72</v>
      </c>
      <c r="J1993" t="s">
        <v>16151</v>
      </c>
      <c r="K1993" t="s">
        <v>9348</v>
      </c>
      <c r="L1993" t="s">
        <v>1946</v>
      </c>
      <c r="M1993" t="s">
        <v>17616</v>
      </c>
      <c r="N1993" s="78"/>
      <c r="O1993" s="77">
        <v>42482</v>
      </c>
      <c r="Q1993" t="b">
        <v>0</v>
      </c>
      <c r="R1993" s="22">
        <f t="shared" si="31"/>
        <v>504</v>
      </c>
    </row>
    <row r="1994" spans="1:19">
      <c r="A1994" s="79">
        <v>10477</v>
      </c>
      <c r="B1994" s="80">
        <v>41982</v>
      </c>
      <c r="C1994" s="79" t="s">
        <v>18887</v>
      </c>
      <c r="D1994" s="80">
        <v>41982</v>
      </c>
      <c r="E1994" s="79" t="s">
        <v>16162</v>
      </c>
      <c r="F1994" s="79" t="s">
        <v>11894</v>
      </c>
      <c r="G1994" s="79" t="s">
        <v>20</v>
      </c>
      <c r="H1994" s="79" t="s">
        <v>71</v>
      </c>
      <c r="I1994" s="79" t="s">
        <v>72</v>
      </c>
      <c r="J1994" s="79" t="s">
        <v>16163</v>
      </c>
      <c r="K1994" s="79" t="s">
        <v>16164</v>
      </c>
      <c r="L1994" s="79" t="s">
        <v>14909</v>
      </c>
      <c r="M1994" s="79"/>
      <c r="O1994" s="81">
        <v>43259</v>
      </c>
      <c r="P1994" s="79"/>
      <c r="Q1994" s="79" t="b">
        <v>0</v>
      </c>
      <c r="R1994" s="22">
        <f t="shared" si="31"/>
        <v>1276</v>
      </c>
    </row>
    <row r="1995" spans="1:19">
      <c r="A1995" s="71">
        <v>10479</v>
      </c>
      <c r="B1995" s="72">
        <v>41983</v>
      </c>
      <c r="C1995" s="71" t="s">
        <v>16165</v>
      </c>
      <c r="D1995" s="72">
        <v>41983</v>
      </c>
      <c r="E1995" s="71" t="s">
        <v>16166</v>
      </c>
      <c r="F1995" s="71" t="s">
        <v>3171</v>
      </c>
      <c r="G1995" s="71" t="s">
        <v>20</v>
      </c>
      <c r="H1995" s="71" t="s">
        <v>566</v>
      </c>
      <c r="I1995" s="71" t="s">
        <v>566</v>
      </c>
      <c r="J1995" s="71" t="s">
        <v>16167</v>
      </c>
      <c r="K1995" s="71"/>
      <c r="L1995" s="71" t="s">
        <v>4282</v>
      </c>
      <c r="M1995" s="71"/>
      <c r="O1995" s="75">
        <v>42314</v>
      </c>
      <c r="P1995" s="71"/>
      <c r="Q1995" s="71" t="b">
        <v>0</v>
      </c>
      <c r="R1995" s="22">
        <f t="shared" si="31"/>
        <v>330</v>
      </c>
    </row>
    <row r="1996" spans="1:19">
      <c r="A1996" s="79">
        <v>10482</v>
      </c>
      <c r="B1996" s="80">
        <v>41985</v>
      </c>
      <c r="C1996" s="79" t="s">
        <v>18889</v>
      </c>
      <c r="D1996" s="80">
        <v>41985</v>
      </c>
      <c r="E1996" s="79" t="s">
        <v>19367</v>
      </c>
      <c r="F1996" s="79" t="s">
        <v>124</v>
      </c>
      <c r="G1996" s="79" t="s">
        <v>20</v>
      </c>
      <c r="H1996" s="79" t="s">
        <v>71</v>
      </c>
      <c r="I1996" s="79" t="s">
        <v>72</v>
      </c>
      <c r="J1996" s="79" t="s">
        <v>16174</v>
      </c>
      <c r="K1996" s="79" t="s">
        <v>272</v>
      </c>
      <c r="L1996" s="79" t="s">
        <v>14518</v>
      </c>
      <c r="M1996" s="79"/>
      <c r="O1996" s="80">
        <v>43279</v>
      </c>
      <c r="P1996" s="79"/>
      <c r="Q1996" s="79" t="b">
        <v>0</v>
      </c>
      <c r="R1996" s="22">
        <f t="shared" si="31"/>
        <v>1293</v>
      </c>
    </row>
    <row r="1997" spans="1:19">
      <c r="A1997">
        <v>10485</v>
      </c>
      <c r="B1997" s="77">
        <v>41995</v>
      </c>
      <c r="C1997" t="s">
        <v>19892</v>
      </c>
      <c r="D1997" s="77">
        <v>41995</v>
      </c>
      <c r="E1997" t="s">
        <v>16180</v>
      </c>
      <c r="F1997" t="s">
        <v>3430</v>
      </c>
      <c r="G1997" t="s">
        <v>20</v>
      </c>
      <c r="H1997" t="s">
        <v>71</v>
      </c>
      <c r="I1997" t="s">
        <v>72</v>
      </c>
      <c r="J1997" t="s">
        <v>16181</v>
      </c>
      <c r="L1997" t="s">
        <v>14909</v>
      </c>
      <c r="N1997" s="78"/>
      <c r="O1997" s="19">
        <v>42482</v>
      </c>
      <c r="Q1997" t="b">
        <v>0</v>
      </c>
      <c r="R1997" s="22">
        <f t="shared" si="31"/>
        <v>486</v>
      </c>
    </row>
    <row r="1998" spans="1:19">
      <c r="A1998">
        <v>10486</v>
      </c>
      <c r="B1998" s="77">
        <v>41995</v>
      </c>
      <c r="C1998" t="s">
        <v>19893</v>
      </c>
      <c r="D1998" s="77">
        <v>41995</v>
      </c>
      <c r="E1998" t="s">
        <v>18769</v>
      </c>
      <c r="F1998" t="s">
        <v>16182</v>
      </c>
      <c r="G1998" t="s">
        <v>20</v>
      </c>
      <c r="H1998" t="s">
        <v>71</v>
      </c>
      <c r="I1998" t="s">
        <v>72</v>
      </c>
      <c r="J1998" t="s">
        <v>16183</v>
      </c>
      <c r="K1998" t="s">
        <v>8836</v>
      </c>
      <c r="L1998" t="s">
        <v>1946</v>
      </c>
      <c r="M1998" t="s">
        <v>17616</v>
      </c>
      <c r="N1998" s="78"/>
      <c r="O1998" s="19">
        <v>42482</v>
      </c>
      <c r="Q1998" t="b">
        <v>0</v>
      </c>
      <c r="R1998" s="22">
        <f t="shared" si="31"/>
        <v>486</v>
      </c>
    </row>
    <row r="1999" spans="1:19">
      <c r="A1999">
        <v>10488</v>
      </c>
      <c r="B1999" s="77">
        <v>41996</v>
      </c>
      <c r="C1999" t="s">
        <v>19904</v>
      </c>
      <c r="D1999" s="77">
        <v>41996</v>
      </c>
      <c r="E1999" t="s">
        <v>16188</v>
      </c>
      <c r="F1999" t="s">
        <v>974</v>
      </c>
      <c r="G1999" t="s">
        <v>20</v>
      </c>
      <c r="H1999" t="s">
        <v>212</v>
      </c>
      <c r="I1999" t="s">
        <v>212</v>
      </c>
      <c r="J1999" t="s">
        <v>16189</v>
      </c>
      <c r="K1999" t="s">
        <v>16190</v>
      </c>
      <c r="L1999" t="s">
        <v>1946</v>
      </c>
      <c r="N1999" s="78"/>
      <c r="O1999" s="19">
        <v>42496</v>
      </c>
      <c r="Q1999" t="b">
        <v>0</v>
      </c>
      <c r="R1999" s="22">
        <f t="shared" si="31"/>
        <v>499</v>
      </c>
    </row>
    <row r="2000" spans="1:19">
      <c r="A2000" s="71">
        <v>10492</v>
      </c>
      <c r="B2000" s="72">
        <v>42006</v>
      </c>
      <c r="C2000" s="71" t="s">
        <v>16196</v>
      </c>
      <c r="D2000" s="72">
        <v>42003</v>
      </c>
      <c r="E2000" s="71" t="s">
        <v>16197</v>
      </c>
      <c r="F2000" s="71" t="s">
        <v>16198</v>
      </c>
      <c r="G2000" s="71" t="s">
        <v>20</v>
      </c>
      <c r="H2000" s="71" t="s">
        <v>71</v>
      </c>
      <c r="I2000" s="71" t="s">
        <v>72</v>
      </c>
      <c r="J2000" s="71" t="s">
        <v>16199</v>
      </c>
      <c r="K2000" s="71" t="s">
        <v>16200</v>
      </c>
      <c r="L2000" s="71" t="s">
        <v>1946</v>
      </c>
      <c r="M2000" s="71"/>
      <c r="O2000" s="72">
        <v>42065</v>
      </c>
      <c r="P2000" s="71"/>
      <c r="Q2000" s="71" t="b">
        <v>0</v>
      </c>
      <c r="R2000" s="22">
        <f t="shared" si="31"/>
        <v>60</v>
      </c>
    </row>
    <row r="2001" spans="1:19">
      <c r="A2001" s="79">
        <v>10496</v>
      </c>
      <c r="B2001" s="80">
        <v>42013</v>
      </c>
      <c r="C2001" s="79" t="s">
        <v>18890</v>
      </c>
      <c r="D2001" s="80">
        <v>42013</v>
      </c>
      <c r="E2001" s="79" t="s">
        <v>16210</v>
      </c>
      <c r="F2001" s="79" t="s">
        <v>104</v>
      </c>
      <c r="G2001" s="79" t="s">
        <v>20</v>
      </c>
      <c r="H2001" s="79" t="s">
        <v>71</v>
      </c>
      <c r="I2001" s="79" t="s">
        <v>72</v>
      </c>
      <c r="J2001" s="79" t="s">
        <v>16211</v>
      </c>
      <c r="K2001" s="79" t="s">
        <v>16212</v>
      </c>
      <c r="L2001" s="79" t="s">
        <v>7167</v>
      </c>
      <c r="M2001" s="79"/>
      <c r="O2001" s="80">
        <v>43245</v>
      </c>
      <c r="P2001" s="79"/>
      <c r="Q2001" s="79" t="b">
        <v>0</v>
      </c>
      <c r="R2001" s="22">
        <f t="shared" si="31"/>
        <v>1232</v>
      </c>
    </row>
    <row r="2002" spans="1:19">
      <c r="A2002">
        <v>10505</v>
      </c>
      <c r="B2002" s="77">
        <v>42031</v>
      </c>
      <c r="C2002" t="s">
        <v>19894</v>
      </c>
      <c r="D2002" s="77">
        <v>42031</v>
      </c>
      <c r="E2002" t="s">
        <v>16227</v>
      </c>
      <c r="F2002" t="s">
        <v>6953</v>
      </c>
      <c r="G2002" t="s">
        <v>20</v>
      </c>
      <c r="H2002" t="s">
        <v>71</v>
      </c>
      <c r="I2002" t="s">
        <v>72</v>
      </c>
      <c r="J2002" t="s">
        <v>16228</v>
      </c>
      <c r="K2002" t="s">
        <v>16229</v>
      </c>
      <c r="L2002" s="18" t="s">
        <v>14518</v>
      </c>
      <c r="M2002" s="18"/>
      <c r="N2002" s="78"/>
      <c r="O2002" s="77">
        <v>42482</v>
      </c>
      <c r="Q2002" t="b">
        <v>0</v>
      </c>
      <c r="R2002" s="22">
        <f t="shared" si="31"/>
        <v>451</v>
      </c>
    </row>
    <row r="2003" spans="1:19">
      <c r="A2003" s="18">
        <v>10506</v>
      </c>
      <c r="B2003" s="19">
        <v>42031</v>
      </c>
      <c r="C2003" s="18" t="s">
        <v>19896</v>
      </c>
      <c r="D2003" s="19">
        <v>42031</v>
      </c>
      <c r="E2003" s="18" t="s">
        <v>16230</v>
      </c>
      <c r="F2003" s="18" t="s">
        <v>6953</v>
      </c>
      <c r="G2003" s="18" t="s">
        <v>20</v>
      </c>
      <c r="H2003" s="18" t="s">
        <v>71</v>
      </c>
      <c r="I2003" s="18" t="s">
        <v>72</v>
      </c>
      <c r="J2003" s="18" t="s">
        <v>16231</v>
      </c>
      <c r="K2003" s="18" t="s">
        <v>16232</v>
      </c>
      <c r="L2003" s="18" t="s">
        <v>14518</v>
      </c>
      <c r="M2003" s="18"/>
      <c r="N2003" s="78"/>
      <c r="O2003" s="19">
        <v>42482</v>
      </c>
      <c r="P2003" s="18"/>
      <c r="Q2003" s="18" t="b">
        <v>0</v>
      </c>
      <c r="R2003" s="22">
        <f t="shared" si="31"/>
        <v>451</v>
      </c>
    </row>
    <row r="2004" spans="1:19">
      <c r="A2004" s="74">
        <v>10514</v>
      </c>
      <c r="B2004" s="75">
        <v>42044</v>
      </c>
      <c r="C2004" s="74" t="s">
        <v>16238</v>
      </c>
      <c r="D2004" s="75">
        <v>42044</v>
      </c>
      <c r="E2004" s="74" t="s">
        <v>16239</v>
      </c>
      <c r="F2004" s="74" t="s">
        <v>8358</v>
      </c>
      <c r="G2004" s="74" t="s">
        <v>20</v>
      </c>
      <c r="H2004" s="74" t="s">
        <v>71</v>
      </c>
      <c r="I2004" s="74" t="s">
        <v>72</v>
      </c>
      <c r="J2004" s="74" t="s">
        <v>16240</v>
      </c>
      <c r="K2004" s="74" t="s">
        <v>16241</v>
      </c>
      <c r="L2004" s="74" t="s">
        <v>1946</v>
      </c>
      <c r="M2004" s="74"/>
      <c r="O2004" s="72">
        <v>42062</v>
      </c>
      <c r="P2004" s="74"/>
      <c r="Q2004" s="74" t="b">
        <v>0</v>
      </c>
      <c r="R2004" s="22">
        <f t="shared" si="31"/>
        <v>18</v>
      </c>
    </row>
    <row r="2005" spans="1:19">
      <c r="A2005" s="82">
        <v>10523</v>
      </c>
      <c r="B2005" s="81">
        <v>42053</v>
      </c>
      <c r="C2005" s="82" t="s">
        <v>18892</v>
      </c>
      <c r="D2005" s="81">
        <v>42052</v>
      </c>
      <c r="E2005" s="82" t="s">
        <v>16254</v>
      </c>
      <c r="F2005" s="82" t="s">
        <v>974</v>
      </c>
      <c r="G2005" s="82" t="s">
        <v>20</v>
      </c>
      <c r="H2005" s="82" t="s">
        <v>212</v>
      </c>
      <c r="I2005" s="82" t="s">
        <v>212</v>
      </c>
      <c r="J2005" s="82" t="s">
        <v>16255</v>
      </c>
      <c r="K2005" s="82" t="s">
        <v>16256</v>
      </c>
      <c r="L2005" s="82" t="s">
        <v>4282</v>
      </c>
      <c r="M2005" s="82" t="s">
        <v>14909</v>
      </c>
      <c r="O2005" s="81">
        <v>43279</v>
      </c>
      <c r="P2005" s="82"/>
      <c r="Q2005" s="82" t="b">
        <v>0</v>
      </c>
      <c r="R2005" s="22">
        <f t="shared" si="31"/>
        <v>1226</v>
      </c>
    </row>
    <row r="2006" spans="1:19">
      <c r="A2006" s="74">
        <v>10526</v>
      </c>
      <c r="B2006" s="75">
        <v>42055</v>
      </c>
      <c r="C2006" s="74" t="s">
        <v>19057</v>
      </c>
      <c r="D2006" s="75">
        <v>42053</v>
      </c>
      <c r="E2006" s="74" t="s">
        <v>16260</v>
      </c>
      <c r="F2006" s="74" t="s">
        <v>689</v>
      </c>
      <c r="G2006" s="74" t="s">
        <v>20</v>
      </c>
      <c r="H2006" s="74" t="s">
        <v>212</v>
      </c>
      <c r="I2006" s="74" t="s">
        <v>212</v>
      </c>
      <c r="J2006" s="74" t="s">
        <v>16261</v>
      </c>
      <c r="K2006" s="74" t="s">
        <v>16262</v>
      </c>
      <c r="L2006" s="74" t="s">
        <v>7167</v>
      </c>
      <c r="M2006" s="74"/>
      <c r="O2006" s="75">
        <v>43119</v>
      </c>
      <c r="P2006" s="74"/>
      <c r="Q2006" s="74" t="b">
        <v>0</v>
      </c>
      <c r="R2006" s="22">
        <f t="shared" si="31"/>
        <v>1063</v>
      </c>
      <c r="S2006" s="71"/>
    </row>
    <row r="2007" spans="1:19">
      <c r="A2007" s="74">
        <v>10529</v>
      </c>
      <c r="B2007" s="75">
        <v>42060</v>
      </c>
      <c r="C2007" s="74" t="s">
        <v>16270</v>
      </c>
      <c r="D2007" s="75">
        <v>42060</v>
      </c>
      <c r="E2007" s="74" t="s">
        <v>16271</v>
      </c>
      <c r="F2007" s="74" t="s">
        <v>14336</v>
      </c>
      <c r="G2007" s="74" t="s">
        <v>20</v>
      </c>
      <c r="H2007" s="74" t="s">
        <v>71</v>
      </c>
      <c r="I2007" s="74" t="s">
        <v>72</v>
      </c>
      <c r="J2007" s="74" t="s">
        <v>16272</v>
      </c>
      <c r="K2007" s="74" t="s">
        <v>14825</v>
      </c>
      <c r="L2007" s="74" t="s">
        <v>1946</v>
      </c>
      <c r="M2007" s="74"/>
      <c r="O2007" s="75">
        <v>42181</v>
      </c>
      <c r="P2007" s="74"/>
      <c r="Q2007" s="74" t="b">
        <v>0</v>
      </c>
      <c r="R2007" s="22">
        <f t="shared" si="31"/>
        <v>122</v>
      </c>
    </row>
    <row r="2008" spans="1:19">
      <c r="A2008" s="74">
        <v>10534</v>
      </c>
      <c r="B2008" s="75">
        <v>42066</v>
      </c>
      <c r="C2008" s="74" t="s">
        <v>16275</v>
      </c>
      <c r="D2008" s="75">
        <v>42062</v>
      </c>
      <c r="E2008" s="74" t="s">
        <v>16276</v>
      </c>
      <c r="F2008" s="74" t="s">
        <v>149</v>
      </c>
      <c r="G2008" s="74" t="s">
        <v>20</v>
      </c>
      <c r="H2008" s="74" t="s">
        <v>71</v>
      </c>
      <c r="I2008" s="74" t="s">
        <v>72</v>
      </c>
      <c r="J2008" s="74" t="s">
        <v>16277</v>
      </c>
      <c r="K2008" s="74" t="s">
        <v>16278</v>
      </c>
      <c r="L2008" s="74" t="s">
        <v>7167</v>
      </c>
      <c r="M2008" s="74"/>
      <c r="O2008" s="75">
        <v>42093</v>
      </c>
      <c r="P2008" s="74"/>
      <c r="Q2008" s="74" t="b">
        <v>0</v>
      </c>
      <c r="R2008" s="22">
        <f t="shared" si="31"/>
        <v>27</v>
      </c>
    </row>
    <row r="2009" spans="1:19">
      <c r="A2009" s="82">
        <v>10543</v>
      </c>
      <c r="B2009" s="81">
        <v>42067</v>
      </c>
      <c r="C2009" s="82" t="s">
        <v>18894</v>
      </c>
      <c r="D2009" s="81">
        <v>42067</v>
      </c>
      <c r="E2009" s="82" t="s">
        <v>16296</v>
      </c>
      <c r="F2009" s="82" t="s">
        <v>3171</v>
      </c>
      <c r="G2009" s="82" t="s">
        <v>20</v>
      </c>
      <c r="H2009" s="82" t="s">
        <v>566</v>
      </c>
      <c r="I2009" s="82" t="s">
        <v>566</v>
      </c>
      <c r="J2009" s="82" t="s">
        <v>16297</v>
      </c>
      <c r="K2009" s="82" t="s">
        <v>16298</v>
      </c>
      <c r="L2009" s="82" t="s">
        <v>1946</v>
      </c>
      <c r="M2009" s="82"/>
      <c r="O2009" s="80">
        <v>43272</v>
      </c>
      <c r="P2009" s="82"/>
      <c r="Q2009" s="82" t="b">
        <v>0</v>
      </c>
      <c r="R2009" s="22">
        <f t="shared" si="31"/>
        <v>1203</v>
      </c>
    </row>
    <row r="2010" spans="1:19">
      <c r="A2010" s="74">
        <v>10547</v>
      </c>
      <c r="B2010" s="75">
        <v>42079</v>
      </c>
      <c r="C2010" s="74" t="s">
        <v>16305</v>
      </c>
      <c r="D2010" s="75">
        <v>42079</v>
      </c>
      <c r="E2010" s="74" t="s">
        <v>16306</v>
      </c>
      <c r="F2010" s="74" t="s">
        <v>3171</v>
      </c>
      <c r="G2010" s="74" t="s">
        <v>20</v>
      </c>
      <c r="H2010" s="74" t="s">
        <v>566</v>
      </c>
      <c r="I2010" s="74" t="s">
        <v>566</v>
      </c>
      <c r="J2010" s="74" t="s">
        <v>16307</v>
      </c>
      <c r="K2010" s="74" t="s">
        <v>16308</v>
      </c>
      <c r="L2010" s="74" t="s">
        <v>1946</v>
      </c>
      <c r="M2010" s="74"/>
      <c r="O2010" s="72">
        <v>42314</v>
      </c>
      <c r="P2010" s="74"/>
      <c r="Q2010" s="74" t="b">
        <v>0</v>
      </c>
      <c r="R2010" s="22">
        <f t="shared" si="31"/>
        <v>233</v>
      </c>
    </row>
    <row r="2011" spans="1:19">
      <c r="A2011" s="82">
        <v>10563</v>
      </c>
      <c r="B2011" s="81">
        <v>42110</v>
      </c>
      <c r="C2011" s="82" t="s">
        <v>18895</v>
      </c>
      <c r="D2011" s="81">
        <v>42109</v>
      </c>
      <c r="E2011" s="82" t="s">
        <v>16344</v>
      </c>
      <c r="F2011" s="82" t="s">
        <v>16345</v>
      </c>
      <c r="G2011" s="82" t="s">
        <v>20</v>
      </c>
      <c r="H2011" s="82" t="s">
        <v>71</v>
      </c>
      <c r="I2011" s="82" t="s">
        <v>72</v>
      </c>
      <c r="J2011" s="82" t="s">
        <v>16185</v>
      </c>
      <c r="K2011" s="82"/>
      <c r="L2011" s="82" t="s">
        <v>14518</v>
      </c>
      <c r="M2011" s="82"/>
      <c r="O2011" s="81">
        <v>43279</v>
      </c>
      <c r="P2011" s="82"/>
      <c r="Q2011" s="82" t="b">
        <v>0</v>
      </c>
      <c r="R2011" s="22">
        <f t="shared" si="31"/>
        <v>1168</v>
      </c>
    </row>
    <row r="2012" spans="1:19">
      <c r="A2012" s="18">
        <v>10569</v>
      </c>
      <c r="B2012" s="19">
        <v>42116</v>
      </c>
      <c r="C2012" s="18" t="s">
        <v>19905</v>
      </c>
      <c r="D2012" s="19">
        <v>42116</v>
      </c>
      <c r="E2012" s="18" t="s">
        <v>16360</v>
      </c>
      <c r="F2012" s="18" t="s">
        <v>974</v>
      </c>
      <c r="G2012" s="18" t="s">
        <v>20</v>
      </c>
      <c r="H2012" s="18" t="s">
        <v>212</v>
      </c>
      <c r="I2012" s="18" t="s">
        <v>212</v>
      </c>
      <c r="J2012" s="18" t="s">
        <v>16361</v>
      </c>
      <c r="K2012" s="18" t="s">
        <v>6523</v>
      </c>
      <c r="L2012" s="18" t="s">
        <v>1946</v>
      </c>
      <c r="M2012" s="18"/>
      <c r="N2012" s="78"/>
      <c r="O2012" s="19">
        <v>42496</v>
      </c>
      <c r="P2012" s="18"/>
      <c r="Q2012" s="18" t="b">
        <v>0</v>
      </c>
      <c r="R2012" s="22">
        <f t="shared" si="31"/>
        <v>379</v>
      </c>
    </row>
    <row r="2013" spans="1:19">
      <c r="A2013" s="74">
        <v>10577</v>
      </c>
      <c r="B2013" s="75">
        <v>42131</v>
      </c>
      <c r="C2013" s="74" t="s">
        <v>16381</v>
      </c>
      <c r="D2013" s="75">
        <v>42114</v>
      </c>
      <c r="E2013" s="74" t="s">
        <v>16382</v>
      </c>
      <c r="F2013" s="74" t="s">
        <v>27</v>
      </c>
      <c r="G2013" s="74" t="s">
        <v>20</v>
      </c>
      <c r="H2013" s="74" t="s">
        <v>71</v>
      </c>
      <c r="I2013" s="74" t="s">
        <v>72</v>
      </c>
      <c r="J2013" s="74" t="s">
        <v>16383</v>
      </c>
      <c r="K2013" s="74" t="s">
        <v>16384</v>
      </c>
      <c r="L2013" s="74" t="s">
        <v>1946</v>
      </c>
      <c r="M2013" s="74"/>
      <c r="O2013" s="75">
        <v>42181</v>
      </c>
      <c r="P2013" s="74"/>
      <c r="Q2013" s="74" t="b">
        <v>0</v>
      </c>
      <c r="R2013" s="22">
        <f t="shared" si="31"/>
        <v>49</v>
      </c>
    </row>
    <row r="2014" spans="1:19">
      <c r="A2014" s="74">
        <v>10581</v>
      </c>
      <c r="B2014" s="75">
        <v>42131</v>
      </c>
      <c r="C2014" s="74" t="s">
        <v>16396</v>
      </c>
      <c r="D2014" s="75">
        <v>42131</v>
      </c>
      <c r="E2014" s="74" t="s">
        <v>16397</v>
      </c>
      <c r="F2014" s="74" t="s">
        <v>14118</v>
      </c>
      <c r="G2014" s="74" t="s">
        <v>20</v>
      </c>
      <c r="H2014" s="74" t="s">
        <v>71</v>
      </c>
      <c r="I2014" s="74" t="s">
        <v>72</v>
      </c>
      <c r="J2014" s="74" t="s">
        <v>16398</v>
      </c>
      <c r="K2014" s="74" t="s">
        <v>16399</v>
      </c>
      <c r="L2014" s="74" t="s">
        <v>7167</v>
      </c>
      <c r="M2014" s="74"/>
      <c r="O2014" s="72">
        <v>42191</v>
      </c>
      <c r="P2014" s="74"/>
      <c r="Q2014" s="74" t="b">
        <v>0</v>
      </c>
      <c r="R2014" s="22">
        <f t="shared" si="31"/>
        <v>59</v>
      </c>
    </row>
    <row r="2015" spans="1:19">
      <c r="A2015" s="82">
        <v>10583</v>
      </c>
      <c r="B2015" s="81">
        <v>42136</v>
      </c>
      <c r="C2015" s="82" t="s">
        <v>18897</v>
      </c>
      <c r="D2015" s="81">
        <v>42136</v>
      </c>
      <c r="E2015" s="82" t="s">
        <v>16402</v>
      </c>
      <c r="F2015" s="82" t="s">
        <v>11369</v>
      </c>
      <c r="G2015" s="82" t="s">
        <v>20</v>
      </c>
      <c r="H2015" s="82" t="s">
        <v>71</v>
      </c>
      <c r="I2015" s="82" t="s">
        <v>72</v>
      </c>
      <c r="J2015" s="82" t="s">
        <v>16403</v>
      </c>
      <c r="K2015" s="82" t="s">
        <v>16404</v>
      </c>
      <c r="L2015" s="82" t="s">
        <v>7167</v>
      </c>
      <c r="M2015" s="82"/>
      <c r="O2015" s="81">
        <v>43210</v>
      </c>
      <c r="P2015" s="82"/>
      <c r="Q2015" s="82" t="b">
        <v>0</v>
      </c>
      <c r="R2015" s="22">
        <f t="shared" si="31"/>
        <v>1072</v>
      </c>
    </row>
    <row r="2016" spans="1:19">
      <c r="A2016" s="82">
        <v>10588</v>
      </c>
      <c r="B2016" s="81">
        <v>42142</v>
      </c>
      <c r="C2016" s="82" t="s">
        <v>18898</v>
      </c>
      <c r="D2016" s="81">
        <v>42142</v>
      </c>
      <c r="E2016" s="82" t="s">
        <v>16414</v>
      </c>
      <c r="F2016" s="82" t="s">
        <v>14118</v>
      </c>
      <c r="G2016" s="82" t="s">
        <v>20</v>
      </c>
      <c r="H2016" s="82" t="s">
        <v>71</v>
      </c>
      <c r="I2016" s="82" t="s">
        <v>72</v>
      </c>
      <c r="J2016" s="82" t="s">
        <v>16415</v>
      </c>
      <c r="K2016" s="82"/>
      <c r="L2016" s="82" t="s">
        <v>4282</v>
      </c>
      <c r="M2016" s="82"/>
      <c r="O2016" s="81">
        <v>43258</v>
      </c>
      <c r="P2016" s="82"/>
      <c r="Q2016" s="82" t="b">
        <v>0</v>
      </c>
      <c r="R2016" s="22">
        <f t="shared" si="31"/>
        <v>1114</v>
      </c>
    </row>
    <row r="2017" spans="1:19" ht="36">
      <c r="A2017" s="26">
        <v>10589</v>
      </c>
      <c r="B2017" s="27">
        <v>42142</v>
      </c>
      <c r="C2017" s="28" t="s">
        <v>18899</v>
      </c>
      <c r="D2017" s="27">
        <v>42142</v>
      </c>
      <c r="E2017" s="28" t="s">
        <v>16416</v>
      </c>
      <c r="F2017" s="28" t="s">
        <v>16417</v>
      </c>
      <c r="G2017" s="28" t="s">
        <v>20</v>
      </c>
      <c r="H2017" s="28" t="s">
        <v>71</v>
      </c>
      <c r="I2017" s="28" t="s">
        <v>72</v>
      </c>
      <c r="J2017" s="28" t="s">
        <v>16418</v>
      </c>
      <c r="K2017" s="28" t="s">
        <v>13817</v>
      </c>
      <c r="L2017" s="28" t="s">
        <v>7167</v>
      </c>
      <c r="M2017" s="28" t="s">
        <v>20680</v>
      </c>
      <c r="O2017" s="29">
        <v>45114</v>
      </c>
      <c r="P2017" s="28" t="s">
        <v>21</v>
      </c>
      <c r="Q2017" s="26" t="b">
        <v>0</v>
      </c>
      <c r="R2017" s="22">
        <f t="shared" si="31"/>
        <v>2969</v>
      </c>
      <c r="S2017" s="37" t="s">
        <v>22137</v>
      </c>
    </row>
    <row r="2018" spans="1:19">
      <c r="A2018" s="82">
        <v>10599</v>
      </c>
      <c r="B2018" s="81">
        <v>42145</v>
      </c>
      <c r="C2018" s="82" t="s">
        <v>18900</v>
      </c>
      <c r="D2018" s="81">
        <v>42145</v>
      </c>
      <c r="E2018" s="82" t="s">
        <v>16438</v>
      </c>
      <c r="F2018" s="82" t="s">
        <v>16198</v>
      </c>
      <c r="G2018" s="82" t="s">
        <v>20</v>
      </c>
      <c r="H2018" s="82" t="s">
        <v>71</v>
      </c>
      <c r="I2018" s="82" t="s">
        <v>72</v>
      </c>
      <c r="J2018" s="82" t="s">
        <v>16439</v>
      </c>
      <c r="K2018" s="82" t="s">
        <v>16440</v>
      </c>
      <c r="L2018" s="82" t="s">
        <v>7167</v>
      </c>
      <c r="M2018" s="82"/>
      <c r="O2018" s="80">
        <v>43279</v>
      </c>
      <c r="P2018" s="82"/>
      <c r="Q2018" s="82" t="b">
        <v>0</v>
      </c>
      <c r="R2018" s="22">
        <f t="shared" si="31"/>
        <v>1132</v>
      </c>
    </row>
    <row r="2019" spans="1:19">
      <c r="A2019" s="82">
        <v>10601</v>
      </c>
      <c r="B2019" s="81">
        <v>42150</v>
      </c>
      <c r="C2019" s="82" t="s">
        <v>18901</v>
      </c>
      <c r="D2019" s="81">
        <v>42150</v>
      </c>
      <c r="E2019" s="82" t="s">
        <v>16444</v>
      </c>
      <c r="F2019" s="82" t="s">
        <v>12986</v>
      </c>
      <c r="G2019" s="82" t="s">
        <v>20</v>
      </c>
      <c r="H2019" s="82" t="s">
        <v>189</v>
      </c>
      <c r="I2019" s="82" t="s">
        <v>189</v>
      </c>
      <c r="J2019" s="82" t="s">
        <v>11151</v>
      </c>
      <c r="K2019" s="82" t="s">
        <v>16445</v>
      </c>
      <c r="L2019" s="82" t="s">
        <v>14909</v>
      </c>
      <c r="M2019" s="82"/>
      <c r="O2019" s="81">
        <v>43280</v>
      </c>
      <c r="P2019" s="82"/>
      <c r="Q2019" s="82" t="b">
        <v>0</v>
      </c>
      <c r="R2019" s="22">
        <f t="shared" si="31"/>
        <v>1128</v>
      </c>
    </row>
    <row r="2020" spans="1:19">
      <c r="A2020" s="82">
        <v>10602</v>
      </c>
      <c r="B2020" s="81">
        <v>42156</v>
      </c>
      <c r="C2020" s="82" t="s">
        <v>18902</v>
      </c>
      <c r="D2020" s="81">
        <v>42156</v>
      </c>
      <c r="E2020" s="82" t="s">
        <v>16382</v>
      </c>
      <c r="F2020" s="82" t="s">
        <v>16446</v>
      </c>
      <c r="G2020" s="82" t="s">
        <v>20</v>
      </c>
      <c r="H2020" s="82" t="s">
        <v>71</v>
      </c>
      <c r="I2020" s="82" t="s">
        <v>72</v>
      </c>
      <c r="J2020" s="82" t="s">
        <v>14825</v>
      </c>
      <c r="K2020" s="82"/>
      <c r="L2020" s="82" t="s">
        <v>14518</v>
      </c>
      <c r="M2020" s="82"/>
      <c r="O2020" s="80">
        <v>43213</v>
      </c>
      <c r="P2020" s="82"/>
      <c r="Q2020" s="82" t="b">
        <v>0</v>
      </c>
      <c r="R2020" s="22">
        <f t="shared" si="31"/>
        <v>1056</v>
      </c>
    </row>
    <row r="2021" spans="1:19">
      <c r="A2021" s="74">
        <v>10626</v>
      </c>
      <c r="B2021" s="75">
        <v>42173</v>
      </c>
      <c r="C2021" s="74" t="s">
        <v>16493</v>
      </c>
      <c r="D2021" s="75">
        <v>42172</v>
      </c>
      <c r="E2021" s="74" t="s">
        <v>16494</v>
      </c>
      <c r="F2021" s="74" t="s">
        <v>16495</v>
      </c>
      <c r="G2021" s="74" t="s">
        <v>20</v>
      </c>
      <c r="H2021" s="74" t="s">
        <v>71</v>
      </c>
      <c r="I2021" s="74" t="s">
        <v>72</v>
      </c>
      <c r="J2021" s="74" t="s">
        <v>16496</v>
      </c>
      <c r="K2021" s="74" t="s">
        <v>16497</v>
      </c>
      <c r="L2021" s="74" t="s">
        <v>14909</v>
      </c>
      <c r="M2021" s="74"/>
      <c r="O2021" s="75">
        <v>42205</v>
      </c>
      <c r="P2021" s="74"/>
      <c r="Q2021" s="74" t="b">
        <v>0</v>
      </c>
      <c r="R2021" s="22">
        <f t="shared" si="31"/>
        <v>32</v>
      </c>
    </row>
    <row r="2022" spans="1:19">
      <c r="A2022" s="82">
        <v>10627</v>
      </c>
      <c r="B2022" s="81">
        <v>42174</v>
      </c>
      <c r="C2022" s="82" t="s">
        <v>18903</v>
      </c>
      <c r="D2022" s="81">
        <v>42174</v>
      </c>
      <c r="E2022" s="82" t="s">
        <v>16498</v>
      </c>
      <c r="F2022" s="82" t="s">
        <v>16499</v>
      </c>
      <c r="G2022" s="82" t="s">
        <v>20</v>
      </c>
      <c r="H2022" s="82" t="s">
        <v>71</v>
      </c>
      <c r="I2022" s="82" t="s">
        <v>72</v>
      </c>
      <c r="J2022" s="82" t="s">
        <v>16500</v>
      </c>
      <c r="K2022" s="82" t="s">
        <v>16501</v>
      </c>
      <c r="L2022" s="82" t="s">
        <v>14518</v>
      </c>
      <c r="M2022" s="82" t="s">
        <v>14909</v>
      </c>
      <c r="O2022" s="80">
        <v>43182</v>
      </c>
      <c r="P2022" s="82"/>
      <c r="Q2022" s="82" t="b">
        <v>0</v>
      </c>
      <c r="R2022" s="22">
        <f t="shared" si="31"/>
        <v>1007</v>
      </c>
    </row>
    <row r="2023" spans="1:19">
      <c r="A2023" s="82">
        <v>10647</v>
      </c>
      <c r="B2023" s="81">
        <v>42208</v>
      </c>
      <c r="C2023" s="82" t="s">
        <v>18905</v>
      </c>
      <c r="D2023" s="81">
        <v>42208</v>
      </c>
      <c r="E2023" s="82" t="s">
        <v>16532</v>
      </c>
      <c r="F2023" s="82" t="s">
        <v>19</v>
      </c>
      <c r="G2023" s="82" t="s">
        <v>20</v>
      </c>
      <c r="H2023" s="82" t="s">
        <v>71</v>
      </c>
      <c r="I2023" s="82" t="s">
        <v>72</v>
      </c>
      <c r="J2023" s="82" t="s">
        <v>16533</v>
      </c>
      <c r="K2023" s="82" t="s">
        <v>16534</v>
      </c>
      <c r="L2023" s="82" t="s">
        <v>7167</v>
      </c>
      <c r="M2023" s="82"/>
      <c r="O2023" s="81">
        <v>43320</v>
      </c>
      <c r="P2023" s="82"/>
      <c r="Q2023" s="82" t="b">
        <v>0</v>
      </c>
      <c r="R2023" s="22">
        <f t="shared" si="31"/>
        <v>1110</v>
      </c>
    </row>
    <row r="2024" spans="1:19">
      <c r="A2024" s="82">
        <v>10649</v>
      </c>
      <c r="B2024" s="81">
        <v>42209</v>
      </c>
      <c r="C2024" s="82" t="s">
        <v>18906</v>
      </c>
      <c r="D2024" s="81">
        <v>42209</v>
      </c>
      <c r="E2024" s="82" t="s">
        <v>16535</v>
      </c>
      <c r="F2024" s="82" t="s">
        <v>104</v>
      </c>
      <c r="G2024" s="82" t="s">
        <v>20</v>
      </c>
      <c r="H2024" s="82" t="s">
        <v>71</v>
      </c>
      <c r="I2024" s="82" t="s">
        <v>72</v>
      </c>
      <c r="J2024" s="82" t="s">
        <v>16536</v>
      </c>
      <c r="K2024" s="82" t="s">
        <v>16537</v>
      </c>
      <c r="L2024" s="82" t="s">
        <v>7167</v>
      </c>
      <c r="M2024" s="82"/>
      <c r="O2024" s="81">
        <v>43312</v>
      </c>
      <c r="P2024" s="82"/>
      <c r="Q2024" s="82" t="b">
        <v>0</v>
      </c>
      <c r="R2024" s="22">
        <f t="shared" si="31"/>
        <v>1102</v>
      </c>
    </row>
    <row r="2025" spans="1:19">
      <c r="A2025" s="82">
        <v>10650</v>
      </c>
      <c r="B2025" s="81">
        <v>42212</v>
      </c>
      <c r="C2025" s="82" t="s">
        <v>18907</v>
      </c>
      <c r="D2025" s="81">
        <v>42212</v>
      </c>
      <c r="E2025" s="82" t="s">
        <v>16538</v>
      </c>
      <c r="F2025" s="82" t="s">
        <v>13960</v>
      </c>
      <c r="G2025" s="82" t="s">
        <v>20</v>
      </c>
      <c r="H2025" s="82" t="s">
        <v>71</v>
      </c>
      <c r="I2025" s="82" t="s">
        <v>72</v>
      </c>
      <c r="J2025" s="82" t="s">
        <v>16539</v>
      </c>
      <c r="K2025" s="82" t="s">
        <v>16540</v>
      </c>
      <c r="L2025" s="82" t="s">
        <v>4282</v>
      </c>
      <c r="M2025" s="82"/>
      <c r="O2025" s="81">
        <v>43431</v>
      </c>
      <c r="P2025" s="82"/>
      <c r="Q2025" s="82" t="b">
        <v>0</v>
      </c>
      <c r="R2025" s="22">
        <f t="shared" si="31"/>
        <v>1216</v>
      </c>
    </row>
    <row r="2026" spans="1:19">
      <c r="A2026" s="74">
        <v>10681</v>
      </c>
      <c r="B2026" s="75">
        <v>42269</v>
      </c>
      <c r="C2026" s="74" t="s">
        <v>16595</v>
      </c>
      <c r="D2026" s="75">
        <v>42268</v>
      </c>
      <c r="E2026" s="74" t="s">
        <v>16596</v>
      </c>
      <c r="F2026" s="74" t="s">
        <v>34</v>
      </c>
      <c r="G2026" s="74" t="s">
        <v>20</v>
      </c>
      <c r="H2026" s="74" t="s">
        <v>71</v>
      </c>
      <c r="I2026" s="74" t="s">
        <v>72</v>
      </c>
      <c r="J2026" s="74" t="s">
        <v>16597</v>
      </c>
      <c r="K2026" s="74" t="s">
        <v>16598</v>
      </c>
      <c r="L2026" s="74" t="s">
        <v>14909</v>
      </c>
      <c r="M2026" s="74"/>
      <c r="O2026" s="75">
        <v>42298</v>
      </c>
      <c r="P2026" s="74"/>
      <c r="Q2026" s="74" t="b">
        <v>0</v>
      </c>
      <c r="R2026" s="22">
        <f t="shared" si="31"/>
        <v>29</v>
      </c>
    </row>
    <row r="2027" spans="1:19" ht="36">
      <c r="A2027" s="26">
        <v>10682</v>
      </c>
      <c r="B2027" s="27">
        <v>42269</v>
      </c>
      <c r="C2027" s="28" t="s">
        <v>18909</v>
      </c>
      <c r="D2027" s="27">
        <v>42269</v>
      </c>
      <c r="E2027" s="28" t="s">
        <v>16599</v>
      </c>
      <c r="F2027" s="28" t="s">
        <v>13422</v>
      </c>
      <c r="G2027" s="28" t="s">
        <v>20</v>
      </c>
      <c r="H2027" s="28" t="s">
        <v>71</v>
      </c>
      <c r="I2027" s="28" t="s">
        <v>72</v>
      </c>
      <c r="J2027" s="28" t="s">
        <v>16600</v>
      </c>
      <c r="K2027" s="28" t="s">
        <v>16601</v>
      </c>
      <c r="L2027" s="28" t="s">
        <v>7167</v>
      </c>
      <c r="M2027" s="28" t="s">
        <v>21</v>
      </c>
      <c r="O2027" s="45">
        <v>43529</v>
      </c>
      <c r="P2027" s="28" t="s">
        <v>21</v>
      </c>
      <c r="Q2027" s="26" t="b">
        <v>0</v>
      </c>
      <c r="R2027" s="22">
        <f t="shared" si="31"/>
        <v>1260</v>
      </c>
      <c r="S2027" s="37" t="s">
        <v>21</v>
      </c>
    </row>
    <row r="2028" spans="1:19">
      <c r="A2028" s="74">
        <v>10684</v>
      </c>
      <c r="B2028" s="75">
        <v>42275</v>
      </c>
      <c r="C2028" s="74" t="s">
        <v>16606</v>
      </c>
      <c r="D2028" s="75">
        <v>42272</v>
      </c>
      <c r="E2028" s="74" t="s">
        <v>16607</v>
      </c>
      <c r="F2028" s="74" t="s">
        <v>19</v>
      </c>
      <c r="G2028" s="74" t="s">
        <v>20</v>
      </c>
      <c r="H2028" s="74" t="s">
        <v>71</v>
      </c>
      <c r="I2028" s="74"/>
      <c r="J2028" s="74" t="s">
        <v>16608</v>
      </c>
      <c r="K2028" s="74" t="s">
        <v>16609</v>
      </c>
      <c r="L2028" s="74" t="s">
        <v>1946</v>
      </c>
      <c r="M2028" s="74"/>
      <c r="O2028" s="75">
        <v>42367</v>
      </c>
      <c r="P2028" s="74"/>
      <c r="Q2028" s="74" t="b">
        <v>0</v>
      </c>
      <c r="R2028" s="22">
        <f t="shared" si="31"/>
        <v>92</v>
      </c>
    </row>
    <row r="2029" spans="1:19">
      <c r="A2029" s="82">
        <v>10687</v>
      </c>
      <c r="B2029" s="81">
        <v>42276</v>
      </c>
      <c r="C2029" s="82" t="s">
        <v>18910</v>
      </c>
      <c r="D2029" s="81">
        <v>42271</v>
      </c>
      <c r="E2029" s="82" t="s">
        <v>16610</v>
      </c>
      <c r="F2029" s="82" t="s">
        <v>104</v>
      </c>
      <c r="G2029" s="82" t="s">
        <v>20</v>
      </c>
      <c r="H2029" s="82"/>
      <c r="I2029" s="82"/>
      <c r="J2029" s="82" t="s">
        <v>16611</v>
      </c>
      <c r="K2029" s="82" t="s">
        <v>16612</v>
      </c>
      <c r="L2029" s="82" t="s">
        <v>4282</v>
      </c>
      <c r="M2029" s="82"/>
      <c r="O2029" s="81">
        <v>43461</v>
      </c>
      <c r="P2029" s="82"/>
      <c r="Q2029" s="82" t="b">
        <v>0</v>
      </c>
      <c r="R2029" s="22">
        <f t="shared" si="31"/>
        <v>1184</v>
      </c>
    </row>
    <row r="2030" spans="1:19">
      <c r="A2030" s="74">
        <v>10688</v>
      </c>
      <c r="B2030" s="75">
        <v>42275</v>
      </c>
      <c r="C2030" s="74" t="s">
        <v>19115</v>
      </c>
      <c r="D2030" s="75">
        <v>42275</v>
      </c>
      <c r="E2030" s="74" t="s">
        <v>16613</v>
      </c>
      <c r="F2030" s="74" t="s">
        <v>116</v>
      </c>
      <c r="G2030" s="74" t="s">
        <v>20</v>
      </c>
      <c r="H2030" s="74" t="s">
        <v>71</v>
      </c>
      <c r="I2030" s="74" t="s">
        <v>72</v>
      </c>
      <c r="J2030" s="74" t="s">
        <v>16614</v>
      </c>
      <c r="K2030" s="74" t="s">
        <v>16615</v>
      </c>
      <c r="L2030" s="74" t="s">
        <v>7167</v>
      </c>
      <c r="M2030" s="74"/>
      <c r="O2030" s="75">
        <v>42817</v>
      </c>
      <c r="P2030" s="74"/>
      <c r="Q2030" s="74" t="b">
        <v>0</v>
      </c>
      <c r="R2030" s="22">
        <f t="shared" si="31"/>
        <v>542</v>
      </c>
      <c r="S2030" s="71" t="s">
        <v>20653</v>
      </c>
    </row>
    <row r="2031" spans="1:19">
      <c r="A2031" s="74">
        <v>10689</v>
      </c>
      <c r="B2031" s="75">
        <v>42275</v>
      </c>
      <c r="C2031" s="74" t="s">
        <v>19116</v>
      </c>
      <c r="D2031" s="75">
        <v>42275</v>
      </c>
      <c r="E2031" s="74" t="s">
        <v>16616</v>
      </c>
      <c r="F2031" s="74" t="s">
        <v>116</v>
      </c>
      <c r="G2031" s="74" t="s">
        <v>20</v>
      </c>
      <c r="H2031" s="74" t="s">
        <v>71</v>
      </c>
      <c r="I2031" s="74" t="s">
        <v>72</v>
      </c>
      <c r="J2031" s="74" t="s">
        <v>16617</v>
      </c>
      <c r="K2031" s="74" t="s">
        <v>16615</v>
      </c>
      <c r="L2031" s="74" t="s">
        <v>7167</v>
      </c>
      <c r="M2031" s="74"/>
      <c r="O2031" s="75">
        <v>42817</v>
      </c>
      <c r="P2031" s="74"/>
      <c r="Q2031" s="74" t="b">
        <v>0</v>
      </c>
      <c r="R2031" s="22">
        <f t="shared" si="31"/>
        <v>542</v>
      </c>
      <c r="S2031" s="71" t="s">
        <v>20654</v>
      </c>
    </row>
    <row r="2032" spans="1:19">
      <c r="A2032" s="74">
        <v>10696</v>
      </c>
      <c r="B2032" s="75">
        <v>42282</v>
      </c>
      <c r="C2032" s="74" t="s">
        <v>18911</v>
      </c>
      <c r="D2032" s="75">
        <v>42282</v>
      </c>
      <c r="E2032" s="74" t="s">
        <v>16631</v>
      </c>
      <c r="F2032" s="74" t="s">
        <v>13422</v>
      </c>
      <c r="G2032" s="74" t="s">
        <v>20</v>
      </c>
      <c r="H2032" s="74"/>
      <c r="I2032" s="74"/>
      <c r="J2032" s="74" t="s">
        <v>16632</v>
      </c>
      <c r="K2032" s="74" t="s">
        <v>16633</v>
      </c>
      <c r="L2032" s="74" t="s">
        <v>7167</v>
      </c>
      <c r="M2032" s="74"/>
      <c r="O2032" s="39">
        <v>43529</v>
      </c>
      <c r="P2032" s="74"/>
      <c r="Q2032" s="74" t="b">
        <v>0</v>
      </c>
      <c r="R2032" s="22">
        <f t="shared" si="31"/>
        <v>1247</v>
      </c>
      <c r="S2032" s="71"/>
    </row>
    <row r="2033" spans="1:19">
      <c r="A2033" s="74">
        <v>10708</v>
      </c>
      <c r="B2033" s="75">
        <v>42297</v>
      </c>
      <c r="C2033" s="74" t="s">
        <v>18912</v>
      </c>
      <c r="D2033" s="75">
        <v>42296</v>
      </c>
      <c r="E2033" s="74" t="s">
        <v>16652</v>
      </c>
      <c r="F2033" s="74" t="s">
        <v>16653</v>
      </c>
      <c r="G2033" s="74" t="s">
        <v>189</v>
      </c>
      <c r="H2033" s="74"/>
      <c r="I2033" s="74"/>
      <c r="J2033" s="74" t="s">
        <v>16654</v>
      </c>
      <c r="K2033" s="74" t="s">
        <v>16655</v>
      </c>
      <c r="L2033" s="74" t="s">
        <v>7167</v>
      </c>
      <c r="M2033" s="74"/>
      <c r="O2033" s="45">
        <v>43557</v>
      </c>
      <c r="P2033" s="74"/>
      <c r="Q2033" s="74" t="b">
        <v>0</v>
      </c>
      <c r="R2033" s="22">
        <f t="shared" si="31"/>
        <v>1259</v>
      </c>
      <c r="S2033" s="71"/>
    </row>
    <row r="2034" spans="1:19">
      <c r="A2034" s="74">
        <v>10716</v>
      </c>
      <c r="B2034" s="75">
        <v>42303</v>
      </c>
      <c r="C2034" s="74" t="s">
        <v>16665</v>
      </c>
      <c r="D2034" s="75">
        <v>42303</v>
      </c>
      <c r="E2034" s="74" t="s">
        <v>16666</v>
      </c>
      <c r="F2034" s="74" t="s">
        <v>211</v>
      </c>
      <c r="G2034" s="74" t="s">
        <v>189</v>
      </c>
      <c r="H2034" s="74" t="s">
        <v>212</v>
      </c>
      <c r="I2034" s="74"/>
      <c r="J2034" s="74" t="s">
        <v>16667</v>
      </c>
      <c r="K2034" s="74" t="s">
        <v>16668</v>
      </c>
      <c r="L2034" s="74" t="s">
        <v>14518</v>
      </c>
      <c r="M2034" s="74"/>
      <c r="O2034" s="72">
        <v>42352</v>
      </c>
      <c r="P2034" s="74"/>
      <c r="Q2034" s="74" t="b">
        <v>0</v>
      </c>
      <c r="R2034" s="22">
        <f t="shared" si="31"/>
        <v>48</v>
      </c>
    </row>
    <row r="2035" spans="1:19">
      <c r="A2035" s="74">
        <v>10728</v>
      </c>
      <c r="B2035" s="75">
        <v>42313</v>
      </c>
      <c r="C2035" s="74" t="s">
        <v>16676</v>
      </c>
      <c r="D2035" s="75">
        <v>42312</v>
      </c>
      <c r="E2035" s="74" t="s">
        <v>16677</v>
      </c>
      <c r="F2035" s="74" t="s">
        <v>104</v>
      </c>
      <c r="G2035" s="74" t="s">
        <v>189</v>
      </c>
      <c r="H2035" s="74" t="s">
        <v>71</v>
      </c>
      <c r="I2035" s="74"/>
      <c r="J2035" s="74" t="s">
        <v>16678</v>
      </c>
      <c r="K2035" s="74" t="s">
        <v>16679</v>
      </c>
      <c r="L2035" s="74" t="s">
        <v>4282</v>
      </c>
      <c r="M2035" s="74"/>
      <c r="O2035" s="75">
        <v>42376</v>
      </c>
      <c r="P2035" s="74"/>
      <c r="Q2035" s="74" t="b">
        <v>0</v>
      </c>
      <c r="R2035" s="22">
        <f t="shared" si="31"/>
        <v>62</v>
      </c>
    </row>
    <row r="2036" spans="1:19">
      <c r="A2036" s="74">
        <v>10734</v>
      </c>
      <c r="B2036" s="75">
        <v>42318</v>
      </c>
      <c r="C2036" s="74" t="s">
        <v>18913</v>
      </c>
      <c r="D2036" s="75">
        <v>42317</v>
      </c>
      <c r="E2036" s="74" t="s">
        <v>16690</v>
      </c>
      <c r="F2036" s="74" t="s">
        <v>6277</v>
      </c>
      <c r="G2036" s="74" t="s">
        <v>189</v>
      </c>
      <c r="H2036" s="74" t="s">
        <v>212</v>
      </c>
      <c r="I2036" s="74"/>
      <c r="J2036" s="74" t="s">
        <v>16691</v>
      </c>
      <c r="K2036" s="74"/>
      <c r="L2036" s="74" t="s">
        <v>14909</v>
      </c>
      <c r="M2036" s="74" t="s">
        <v>14411</v>
      </c>
      <c r="O2036" s="39">
        <v>43607</v>
      </c>
      <c r="P2036" s="74"/>
      <c r="Q2036" s="74" t="b">
        <v>0</v>
      </c>
      <c r="R2036" s="22">
        <f t="shared" si="31"/>
        <v>1289</v>
      </c>
      <c r="S2036" s="71" t="s">
        <v>16663</v>
      </c>
    </row>
    <row r="2037" spans="1:19">
      <c r="A2037" s="74">
        <v>10736</v>
      </c>
      <c r="B2037" s="75">
        <v>42321</v>
      </c>
      <c r="C2037" s="74" t="s">
        <v>18914</v>
      </c>
      <c r="D2037" s="75">
        <v>42320</v>
      </c>
      <c r="E2037" s="74" t="s">
        <v>16693</v>
      </c>
      <c r="F2037" s="74" t="s">
        <v>16173</v>
      </c>
      <c r="G2037" s="74" t="s">
        <v>189</v>
      </c>
      <c r="H2037" s="74" t="s">
        <v>566</v>
      </c>
      <c r="I2037" s="74"/>
      <c r="J2037" s="74" t="s">
        <v>23</v>
      </c>
      <c r="K2037" s="74" t="s">
        <v>16694</v>
      </c>
      <c r="L2037" s="74" t="s">
        <v>7167</v>
      </c>
      <c r="M2037" s="74"/>
      <c r="O2037" s="39">
        <v>43535</v>
      </c>
      <c r="P2037" s="74"/>
      <c r="Q2037" s="74" t="b">
        <v>0</v>
      </c>
      <c r="R2037" s="22">
        <f t="shared" si="31"/>
        <v>1214</v>
      </c>
      <c r="S2037" s="71"/>
    </row>
    <row r="2038" spans="1:19">
      <c r="A2038" s="82">
        <v>10741</v>
      </c>
      <c r="B2038" s="81">
        <v>42333</v>
      </c>
      <c r="C2038" s="82" t="s">
        <v>18915</v>
      </c>
      <c r="D2038" s="81">
        <v>42333</v>
      </c>
      <c r="E2038" s="82" t="s">
        <v>16705</v>
      </c>
      <c r="F2038" s="82" t="s">
        <v>52</v>
      </c>
      <c r="G2038" s="82" t="s">
        <v>189</v>
      </c>
      <c r="H2038" s="82" t="s">
        <v>71</v>
      </c>
      <c r="I2038" s="82"/>
      <c r="J2038" s="82" t="s">
        <v>16700</v>
      </c>
      <c r="K2038" s="82" t="s">
        <v>16706</v>
      </c>
      <c r="L2038" s="82" t="s">
        <v>14518</v>
      </c>
      <c r="M2038" s="82"/>
      <c r="O2038" s="81">
        <v>43325</v>
      </c>
      <c r="P2038" s="82"/>
      <c r="Q2038" s="82" t="b">
        <v>0</v>
      </c>
      <c r="R2038" s="22">
        <f t="shared" si="31"/>
        <v>991</v>
      </c>
      <c r="S2038" s="79" t="s">
        <v>19301</v>
      </c>
    </row>
    <row r="2039" spans="1:19">
      <c r="A2039" s="74">
        <v>10743</v>
      </c>
      <c r="B2039" s="75">
        <v>42338</v>
      </c>
      <c r="C2039" s="74" t="s">
        <v>16710</v>
      </c>
      <c r="D2039" s="75">
        <v>42338</v>
      </c>
      <c r="E2039" s="74" t="s">
        <v>16711</v>
      </c>
      <c r="F2039" s="74" t="s">
        <v>124</v>
      </c>
      <c r="G2039" s="74" t="s">
        <v>20</v>
      </c>
      <c r="H2039" s="74" t="s">
        <v>71</v>
      </c>
      <c r="I2039" s="74"/>
      <c r="J2039" s="74" t="s">
        <v>16712</v>
      </c>
      <c r="K2039" s="74"/>
      <c r="L2039" s="74" t="s">
        <v>14909</v>
      </c>
      <c r="M2039" s="74"/>
      <c r="O2039" s="72">
        <v>42384</v>
      </c>
      <c r="P2039" s="74"/>
      <c r="Q2039" s="74" t="b">
        <v>0</v>
      </c>
      <c r="R2039" s="22">
        <f t="shared" si="31"/>
        <v>45</v>
      </c>
    </row>
    <row r="2040" spans="1:19">
      <c r="A2040" s="74">
        <v>10750</v>
      </c>
      <c r="B2040" s="75">
        <v>42349</v>
      </c>
      <c r="C2040" s="74" t="s">
        <v>18917</v>
      </c>
      <c r="D2040" s="75">
        <v>42348</v>
      </c>
      <c r="E2040" s="74" t="s">
        <v>16724</v>
      </c>
      <c r="F2040" s="74" t="s">
        <v>350</v>
      </c>
      <c r="G2040" s="74" t="s">
        <v>20</v>
      </c>
      <c r="H2040" s="74" t="s">
        <v>566</v>
      </c>
      <c r="I2040" s="74"/>
      <c r="J2040" s="74" t="s">
        <v>16725</v>
      </c>
      <c r="K2040" s="74" t="s">
        <v>16726</v>
      </c>
      <c r="L2040" s="74" t="s">
        <v>14909</v>
      </c>
      <c r="M2040" s="74" t="s">
        <v>14411</v>
      </c>
      <c r="O2040" s="39">
        <v>43622</v>
      </c>
      <c r="P2040" s="74"/>
      <c r="Q2040" s="74" t="b">
        <v>0</v>
      </c>
      <c r="R2040" s="22">
        <f t="shared" si="31"/>
        <v>1272</v>
      </c>
      <c r="S2040" s="71"/>
    </row>
    <row r="2041" spans="1:19">
      <c r="A2041" s="18">
        <v>10753</v>
      </c>
      <c r="B2041" s="19">
        <v>42353</v>
      </c>
      <c r="C2041" s="18" t="s">
        <v>19917</v>
      </c>
      <c r="D2041" s="19">
        <v>42348</v>
      </c>
      <c r="E2041" s="18" t="s">
        <v>16730</v>
      </c>
      <c r="F2041" s="18" t="s">
        <v>16731</v>
      </c>
      <c r="G2041" s="18" t="s">
        <v>20</v>
      </c>
      <c r="H2041" s="18" t="s">
        <v>189</v>
      </c>
      <c r="I2041" s="18"/>
      <c r="J2041" s="18" t="s">
        <v>16732</v>
      </c>
      <c r="K2041" s="18" t="s">
        <v>14825</v>
      </c>
      <c r="L2041" s="18" t="s">
        <v>1946</v>
      </c>
      <c r="M2041" s="18"/>
      <c r="N2041" s="78"/>
      <c r="O2041" s="19">
        <v>42549</v>
      </c>
      <c r="P2041" s="18"/>
      <c r="Q2041" s="18" t="b">
        <v>0</v>
      </c>
      <c r="R2041" s="22">
        <f t="shared" si="31"/>
        <v>195</v>
      </c>
    </row>
    <row r="2042" spans="1:19">
      <c r="A2042" s="82">
        <v>10754</v>
      </c>
      <c r="B2042" s="81">
        <v>42355</v>
      </c>
      <c r="C2042" s="82" t="s">
        <v>18918</v>
      </c>
      <c r="D2042" s="81">
        <v>42354</v>
      </c>
      <c r="E2042" s="82" t="s">
        <v>16733</v>
      </c>
      <c r="F2042" s="82" t="s">
        <v>216</v>
      </c>
      <c r="G2042" s="82" t="s">
        <v>189</v>
      </c>
      <c r="H2042" s="82" t="s">
        <v>71</v>
      </c>
      <c r="I2042" s="82"/>
      <c r="J2042" s="82" t="s">
        <v>16734</v>
      </c>
      <c r="K2042" s="82" t="s">
        <v>7085</v>
      </c>
      <c r="L2042" s="82" t="s">
        <v>14518</v>
      </c>
      <c r="M2042" s="82"/>
      <c r="O2042" s="80">
        <v>43364</v>
      </c>
      <c r="P2042" s="82"/>
      <c r="Q2042" s="82" t="b">
        <v>0</v>
      </c>
      <c r="R2042" s="22">
        <f t="shared" si="31"/>
        <v>1007</v>
      </c>
    </row>
    <row r="2043" spans="1:19">
      <c r="A2043" s="82">
        <v>10756</v>
      </c>
      <c r="B2043" s="81">
        <v>42359</v>
      </c>
      <c r="C2043" s="82" t="s">
        <v>18919</v>
      </c>
      <c r="D2043" s="81">
        <v>42356</v>
      </c>
      <c r="E2043" s="82" t="s">
        <v>16735</v>
      </c>
      <c r="F2043" s="82" t="s">
        <v>1771</v>
      </c>
      <c r="G2043" s="82" t="s">
        <v>20</v>
      </c>
      <c r="H2043" s="82" t="s">
        <v>189</v>
      </c>
      <c r="I2043" s="82"/>
      <c r="J2043" s="82" t="s">
        <v>16736</v>
      </c>
      <c r="K2043" s="82" t="s">
        <v>9152</v>
      </c>
      <c r="L2043" s="82" t="s">
        <v>14518</v>
      </c>
      <c r="M2043" s="82"/>
      <c r="O2043" s="80">
        <v>43332</v>
      </c>
      <c r="P2043" s="82"/>
      <c r="Q2043" s="82" t="b">
        <v>0</v>
      </c>
      <c r="R2043" s="22">
        <f t="shared" si="31"/>
        <v>972</v>
      </c>
    </row>
    <row r="2044" spans="1:19">
      <c r="A2044" s="18">
        <v>10760</v>
      </c>
      <c r="B2044" s="19">
        <v>42373</v>
      </c>
      <c r="C2044" s="18" t="s">
        <v>19875</v>
      </c>
      <c r="D2044" s="19">
        <v>42373</v>
      </c>
      <c r="E2044" s="18" t="s">
        <v>16745</v>
      </c>
      <c r="F2044" s="18" t="s">
        <v>27</v>
      </c>
      <c r="G2044" s="18" t="s">
        <v>20</v>
      </c>
      <c r="H2044" s="18" t="s">
        <v>71</v>
      </c>
      <c r="I2044" s="18"/>
      <c r="J2044" s="18" t="s">
        <v>16746</v>
      </c>
      <c r="K2044" s="18" t="s">
        <v>16747</v>
      </c>
      <c r="L2044" s="18" t="s">
        <v>14518</v>
      </c>
      <c r="M2044" s="18"/>
      <c r="N2044" s="78"/>
      <c r="O2044" s="77">
        <v>42405</v>
      </c>
      <c r="P2044" s="18"/>
      <c r="Q2044" s="18" t="b">
        <v>0</v>
      </c>
      <c r="R2044" s="22">
        <f t="shared" si="31"/>
        <v>31</v>
      </c>
    </row>
    <row r="2045" spans="1:19">
      <c r="A2045" s="82">
        <v>10766</v>
      </c>
      <c r="B2045" s="81">
        <v>42382</v>
      </c>
      <c r="C2045" s="82" t="s">
        <v>18920</v>
      </c>
      <c r="D2045" s="81">
        <v>42382</v>
      </c>
      <c r="E2045" s="82" t="s">
        <v>16751</v>
      </c>
      <c r="F2045" s="82" t="s">
        <v>52</v>
      </c>
      <c r="G2045" s="82" t="s">
        <v>20</v>
      </c>
      <c r="H2045" s="82" t="s">
        <v>71</v>
      </c>
      <c r="I2045" s="82"/>
      <c r="J2045" s="82" t="s">
        <v>9152</v>
      </c>
      <c r="K2045" s="82" t="s">
        <v>16752</v>
      </c>
      <c r="L2045" s="82" t="s">
        <v>7167</v>
      </c>
      <c r="M2045" s="82"/>
      <c r="O2045" s="81">
        <v>43321</v>
      </c>
      <c r="P2045" s="82"/>
      <c r="Q2045" s="82" t="b">
        <v>0</v>
      </c>
      <c r="R2045" s="22">
        <f t="shared" si="31"/>
        <v>938</v>
      </c>
    </row>
    <row r="2046" spans="1:19">
      <c r="A2046" s="18">
        <v>10767</v>
      </c>
      <c r="B2046" s="19">
        <v>42383</v>
      </c>
      <c r="C2046" s="18" t="s">
        <v>19876</v>
      </c>
      <c r="D2046" s="19">
        <v>42383</v>
      </c>
      <c r="E2046" s="18" t="s">
        <v>16753</v>
      </c>
      <c r="F2046" s="18" t="s">
        <v>98</v>
      </c>
      <c r="G2046" s="18" t="s">
        <v>20</v>
      </c>
      <c r="H2046" s="18" t="s">
        <v>71</v>
      </c>
      <c r="I2046" s="18"/>
      <c r="J2046" s="18" t="s">
        <v>16754</v>
      </c>
      <c r="K2046" s="18" t="s">
        <v>9152</v>
      </c>
      <c r="L2046" s="18" t="s">
        <v>1946</v>
      </c>
      <c r="M2046" s="18"/>
      <c r="N2046" s="78"/>
      <c r="O2046" s="19">
        <v>42412</v>
      </c>
      <c r="P2046" s="18"/>
      <c r="Q2046" s="18" t="b">
        <v>0</v>
      </c>
      <c r="R2046" s="22">
        <f t="shared" si="31"/>
        <v>28</v>
      </c>
    </row>
    <row r="2047" spans="1:19">
      <c r="A2047" s="18">
        <v>10769</v>
      </c>
      <c r="B2047" s="19">
        <v>42388</v>
      </c>
      <c r="C2047" s="18" t="s">
        <v>19880</v>
      </c>
      <c r="D2047" s="19">
        <v>42386</v>
      </c>
      <c r="E2047" s="18" t="s">
        <v>16756</v>
      </c>
      <c r="F2047" s="18" t="s">
        <v>16757</v>
      </c>
      <c r="G2047" s="18" t="s">
        <v>20</v>
      </c>
      <c r="H2047" s="18" t="s">
        <v>71</v>
      </c>
      <c r="I2047" s="18"/>
      <c r="J2047" s="18" t="s">
        <v>16758</v>
      </c>
      <c r="K2047" s="18" t="s">
        <v>16729</v>
      </c>
      <c r="L2047" s="18" t="s">
        <v>14909</v>
      </c>
      <c r="M2047" s="18"/>
      <c r="N2047" s="78"/>
      <c r="O2047" s="19">
        <v>42438</v>
      </c>
      <c r="P2047" s="18"/>
      <c r="Q2047" s="18" t="b">
        <v>0</v>
      </c>
      <c r="R2047" s="22">
        <f t="shared" si="31"/>
        <v>50</v>
      </c>
    </row>
    <row r="2048" spans="1:19">
      <c r="A2048" s="82">
        <v>10780</v>
      </c>
      <c r="B2048" s="81">
        <v>42412</v>
      </c>
      <c r="C2048" s="82" t="s">
        <v>18923</v>
      </c>
      <c r="D2048" s="81">
        <v>42412</v>
      </c>
      <c r="E2048" s="82" t="s">
        <v>16780</v>
      </c>
      <c r="F2048" s="82" t="s">
        <v>27</v>
      </c>
      <c r="G2048" s="82" t="s">
        <v>20</v>
      </c>
      <c r="H2048" s="82" t="s">
        <v>71</v>
      </c>
      <c r="I2048" s="82"/>
      <c r="J2048" s="82" t="s">
        <v>16781</v>
      </c>
      <c r="K2048" s="82" t="s">
        <v>16782</v>
      </c>
      <c r="L2048" s="82" t="s">
        <v>1946</v>
      </c>
      <c r="M2048" s="82"/>
      <c r="O2048" s="80">
        <v>43290</v>
      </c>
      <c r="P2048" s="82"/>
      <c r="Q2048" s="82" t="b">
        <v>0</v>
      </c>
      <c r="R2048" s="22">
        <f t="shared" si="31"/>
        <v>879</v>
      </c>
    </row>
    <row r="2049" spans="1:19">
      <c r="A2049" s="18">
        <v>10783</v>
      </c>
      <c r="B2049" s="19">
        <v>42417</v>
      </c>
      <c r="C2049" s="18" t="s">
        <v>19881</v>
      </c>
      <c r="D2049" s="19">
        <v>42416</v>
      </c>
      <c r="E2049" s="18" t="s">
        <v>16787</v>
      </c>
      <c r="F2049" s="18" t="s">
        <v>824</v>
      </c>
      <c r="G2049" s="18" t="s">
        <v>20</v>
      </c>
      <c r="H2049" s="18" t="s">
        <v>71</v>
      </c>
      <c r="I2049" s="18"/>
      <c r="J2049" s="18" t="s">
        <v>16788</v>
      </c>
      <c r="K2049" s="18" t="s">
        <v>16747</v>
      </c>
      <c r="L2049" s="18" t="s">
        <v>14518</v>
      </c>
      <c r="M2049" s="18"/>
      <c r="N2049" s="78"/>
      <c r="O2049" s="19">
        <v>42446</v>
      </c>
      <c r="P2049" s="18"/>
      <c r="Q2049" s="18" t="b">
        <v>0</v>
      </c>
      <c r="R2049" s="22">
        <f t="shared" si="31"/>
        <v>30</v>
      </c>
    </row>
    <row r="2050" spans="1:19">
      <c r="A2050" s="18">
        <v>10796</v>
      </c>
      <c r="B2050" s="19">
        <v>42431</v>
      </c>
      <c r="C2050" s="18" t="s">
        <v>19888</v>
      </c>
      <c r="D2050" s="19">
        <v>42430</v>
      </c>
      <c r="E2050" s="18" t="s">
        <v>17607</v>
      </c>
      <c r="F2050" s="18" t="s">
        <v>17608</v>
      </c>
      <c r="G2050" s="18" t="s">
        <v>20</v>
      </c>
      <c r="H2050" s="18" t="s">
        <v>212</v>
      </c>
      <c r="I2050" s="18"/>
      <c r="J2050" s="18" t="s">
        <v>17609</v>
      </c>
      <c r="K2050" s="18" t="s">
        <v>9348</v>
      </c>
      <c r="L2050" s="18" t="s">
        <v>14518</v>
      </c>
      <c r="M2050" s="18"/>
      <c r="N2050" s="78"/>
      <c r="O2050" s="19">
        <v>42481</v>
      </c>
      <c r="P2050" s="18"/>
      <c r="Q2050" s="18" t="b">
        <v>0</v>
      </c>
      <c r="R2050" s="22">
        <f t="shared" ref="R2050:R2113" si="32">IF(O2050=" ", " ", INT(YEARFRAC(O2050, B2050)*365))</f>
        <v>49</v>
      </c>
    </row>
    <row r="2051" spans="1:19">
      <c r="A2051" s="18">
        <v>10799</v>
      </c>
      <c r="B2051" s="19">
        <v>42440</v>
      </c>
      <c r="C2051" s="18" t="s">
        <v>19884</v>
      </c>
      <c r="D2051" s="19">
        <v>42439</v>
      </c>
      <c r="E2051" s="18" t="s">
        <v>17588</v>
      </c>
      <c r="F2051" s="18" t="s">
        <v>17589</v>
      </c>
      <c r="G2051" s="18" t="s">
        <v>20</v>
      </c>
      <c r="H2051" s="18" t="s">
        <v>71</v>
      </c>
      <c r="I2051" s="18"/>
      <c r="J2051" s="18" t="s">
        <v>17590</v>
      </c>
      <c r="K2051" s="18" t="s">
        <v>17591</v>
      </c>
      <c r="L2051" s="18" t="s">
        <v>14518</v>
      </c>
      <c r="M2051" s="18"/>
      <c r="N2051" s="78"/>
      <c r="O2051" s="19">
        <v>42474</v>
      </c>
      <c r="P2051" s="18"/>
      <c r="Q2051" s="18" t="b">
        <v>0</v>
      </c>
      <c r="R2051" s="22">
        <f t="shared" si="32"/>
        <v>33</v>
      </c>
    </row>
    <row r="2052" spans="1:19">
      <c r="A2052" s="18">
        <v>10800</v>
      </c>
      <c r="B2052" s="19">
        <v>42440</v>
      </c>
      <c r="C2052" s="18" t="s">
        <v>19885</v>
      </c>
      <c r="D2052" s="19">
        <v>42439</v>
      </c>
      <c r="E2052" s="18" t="s">
        <v>17593</v>
      </c>
      <c r="F2052" s="18" t="s">
        <v>17589</v>
      </c>
      <c r="G2052" s="18" t="s">
        <v>20</v>
      </c>
      <c r="H2052" s="18" t="s">
        <v>71</v>
      </c>
      <c r="I2052" s="18"/>
      <c r="J2052" s="18" t="s">
        <v>17594</v>
      </c>
      <c r="K2052" s="18" t="s">
        <v>17595</v>
      </c>
      <c r="L2052" s="18" t="s">
        <v>14518</v>
      </c>
      <c r="M2052" s="18"/>
      <c r="N2052" s="78"/>
      <c r="O2052" s="19">
        <v>42474</v>
      </c>
      <c r="P2052" s="18"/>
      <c r="Q2052" s="18" t="b">
        <v>0</v>
      </c>
      <c r="R2052" s="22">
        <f t="shared" si="32"/>
        <v>33</v>
      </c>
    </row>
    <row r="2053" spans="1:19">
      <c r="A2053" s="18">
        <v>10804</v>
      </c>
      <c r="B2053" s="19">
        <v>42444</v>
      </c>
      <c r="C2053" s="18" t="s">
        <v>19909</v>
      </c>
      <c r="D2053" s="19">
        <v>42444</v>
      </c>
      <c r="E2053" s="18" t="s">
        <v>17654</v>
      </c>
      <c r="F2053" s="18" t="s">
        <v>149</v>
      </c>
      <c r="G2053" s="18" t="s">
        <v>20</v>
      </c>
      <c r="H2053" s="18" t="s">
        <v>71</v>
      </c>
      <c r="I2053" s="18"/>
      <c r="J2053" s="18" t="s">
        <v>17655</v>
      </c>
      <c r="K2053" s="18" t="s">
        <v>17656</v>
      </c>
      <c r="L2053" s="18" t="s">
        <v>1946</v>
      </c>
      <c r="M2053" s="18"/>
      <c r="N2053" s="78"/>
      <c r="O2053" s="19">
        <v>42507</v>
      </c>
      <c r="P2053" s="18"/>
      <c r="Q2053" s="18" t="b">
        <v>0</v>
      </c>
      <c r="R2053" s="22">
        <f t="shared" si="32"/>
        <v>62</v>
      </c>
    </row>
    <row r="2054" spans="1:19">
      <c r="A2054" s="74">
        <v>10806</v>
      </c>
      <c r="B2054" s="75">
        <v>42447</v>
      </c>
      <c r="C2054" s="74" t="s">
        <v>18924</v>
      </c>
      <c r="D2054" s="75">
        <v>42447</v>
      </c>
      <c r="E2054" s="74" t="s">
        <v>18162</v>
      </c>
      <c r="F2054" s="74" t="s">
        <v>14118</v>
      </c>
      <c r="G2054" s="74" t="s">
        <v>20</v>
      </c>
      <c r="H2054" s="74" t="s">
        <v>71</v>
      </c>
      <c r="I2054" s="74"/>
      <c r="J2054" s="74" t="s">
        <v>18163</v>
      </c>
      <c r="K2054" s="74" t="s">
        <v>9152</v>
      </c>
      <c r="L2054" s="74" t="s">
        <v>1946</v>
      </c>
      <c r="M2054" s="74"/>
      <c r="O2054" s="39">
        <v>43763</v>
      </c>
      <c r="P2054" s="74"/>
      <c r="Q2054" s="74" t="b">
        <v>0</v>
      </c>
      <c r="R2054" s="22">
        <f t="shared" si="32"/>
        <v>1315</v>
      </c>
      <c r="S2054" s="71"/>
    </row>
    <row r="2055" spans="1:19">
      <c r="A2055" s="18">
        <v>10814</v>
      </c>
      <c r="B2055" s="19">
        <v>42458</v>
      </c>
      <c r="C2055" s="18" t="s">
        <v>19910</v>
      </c>
      <c r="D2055" s="19">
        <v>42457</v>
      </c>
      <c r="E2055" s="18" t="s">
        <v>17658</v>
      </c>
      <c r="F2055" s="18" t="s">
        <v>793</v>
      </c>
      <c r="G2055" s="18" t="s">
        <v>20</v>
      </c>
      <c r="H2055" s="18" t="s">
        <v>71</v>
      </c>
      <c r="I2055" s="18"/>
      <c r="J2055" s="18" t="s">
        <v>17659</v>
      </c>
      <c r="K2055" s="18" t="s">
        <v>17660</v>
      </c>
      <c r="L2055" s="18" t="s">
        <v>14518</v>
      </c>
      <c r="M2055" s="18"/>
      <c r="N2055" s="78"/>
      <c r="O2055" s="19">
        <v>42508</v>
      </c>
      <c r="P2055" s="18"/>
      <c r="Q2055" s="18" t="b">
        <v>0</v>
      </c>
      <c r="R2055" s="22">
        <f t="shared" si="32"/>
        <v>49</v>
      </c>
    </row>
    <row r="2056" spans="1:19">
      <c r="A2056" s="18">
        <v>10815</v>
      </c>
      <c r="B2056" s="19">
        <v>42464</v>
      </c>
      <c r="C2056" s="18" t="s">
        <v>19886</v>
      </c>
      <c r="D2056" s="19">
        <v>42461</v>
      </c>
      <c r="E2056" s="18" t="s">
        <v>17597</v>
      </c>
      <c r="F2056" s="18" t="s">
        <v>52</v>
      </c>
      <c r="G2056" s="18" t="s">
        <v>20</v>
      </c>
      <c r="H2056" s="18" t="s">
        <v>189</v>
      </c>
      <c r="I2056" s="18"/>
      <c r="J2056" s="18" t="s">
        <v>17598</v>
      </c>
      <c r="K2056" s="18" t="s">
        <v>17599</v>
      </c>
      <c r="L2056" s="18" t="s">
        <v>14518</v>
      </c>
      <c r="M2056" s="18"/>
      <c r="N2056" s="78"/>
      <c r="O2056" s="77">
        <v>42474</v>
      </c>
      <c r="P2056" s="18"/>
      <c r="Q2056" s="18" t="b">
        <v>0</v>
      </c>
      <c r="R2056" s="22">
        <f t="shared" si="32"/>
        <v>10</v>
      </c>
    </row>
    <row r="2057" spans="1:19">
      <c r="A2057" s="18">
        <v>10816</v>
      </c>
      <c r="B2057" s="19">
        <v>42465</v>
      </c>
      <c r="C2057" s="18" t="s">
        <v>19908</v>
      </c>
      <c r="D2057" s="19">
        <v>42461</v>
      </c>
      <c r="E2057" s="18" t="s">
        <v>17646</v>
      </c>
      <c r="F2057" s="18" t="s">
        <v>194</v>
      </c>
      <c r="G2057" s="18" t="s">
        <v>20</v>
      </c>
      <c r="H2057" s="18" t="s">
        <v>71</v>
      </c>
      <c r="I2057" s="18"/>
      <c r="J2057" s="18" t="s">
        <v>17647</v>
      </c>
      <c r="K2057" s="18" t="s">
        <v>9348</v>
      </c>
      <c r="L2057" s="18" t="s">
        <v>4282</v>
      </c>
      <c r="M2057" s="18"/>
      <c r="N2057" s="78"/>
      <c r="O2057" s="19">
        <v>42503</v>
      </c>
      <c r="P2057" s="18"/>
      <c r="Q2057" s="18" t="b">
        <v>0</v>
      </c>
      <c r="R2057" s="22">
        <f t="shared" si="32"/>
        <v>38</v>
      </c>
    </row>
    <row r="2058" spans="1:19">
      <c r="A2058" s="18">
        <v>10821</v>
      </c>
      <c r="B2058" s="19">
        <v>42474</v>
      </c>
      <c r="C2058" s="18" t="s">
        <v>19887</v>
      </c>
      <c r="D2058" s="19">
        <v>42473</v>
      </c>
      <c r="E2058" s="18" t="s">
        <v>17604</v>
      </c>
      <c r="F2058" s="18" t="s">
        <v>861</v>
      </c>
      <c r="G2058" s="18" t="s">
        <v>20</v>
      </c>
      <c r="H2058" s="18" t="s">
        <v>566</v>
      </c>
      <c r="I2058" s="18"/>
      <c r="J2058" s="18" t="s">
        <v>17605</v>
      </c>
      <c r="K2058" s="18" t="s">
        <v>9348</v>
      </c>
      <c r="L2058" s="18" t="s">
        <v>14518</v>
      </c>
      <c r="M2058" s="18"/>
      <c r="N2058" s="78"/>
      <c r="O2058" s="19">
        <v>42479</v>
      </c>
      <c r="P2058" s="18"/>
      <c r="Q2058" s="18" t="b">
        <v>0</v>
      </c>
      <c r="R2058" s="22">
        <f t="shared" si="32"/>
        <v>5</v>
      </c>
    </row>
    <row r="2059" spans="1:19">
      <c r="A2059" s="82">
        <v>10824</v>
      </c>
      <c r="B2059" s="81">
        <v>42479</v>
      </c>
      <c r="C2059" s="82" t="s">
        <v>18928</v>
      </c>
      <c r="D2059" s="81">
        <v>42478</v>
      </c>
      <c r="E2059" s="82" t="s">
        <v>18150</v>
      </c>
      <c r="F2059" s="82" t="s">
        <v>52</v>
      </c>
      <c r="G2059" s="82" t="s">
        <v>20</v>
      </c>
      <c r="H2059" s="82" t="s">
        <v>71</v>
      </c>
      <c r="I2059" s="82"/>
      <c r="J2059" s="82" t="s">
        <v>18151</v>
      </c>
      <c r="K2059" s="82" t="s">
        <v>16729</v>
      </c>
      <c r="L2059" s="82" t="s">
        <v>14909</v>
      </c>
      <c r="M2059" s="82"/>
      <c r="O2059" s="81">
        <v>43333</v>
      </c>
      <c r="P2059" s="82"/>
      <c r="Q2059" s="82" t="b">
        <v>0</v>
      </c>
      <c r="R2059" s="22">
        <f t="shared" si="32"/>
        <v>853</v>
      </c>
    </row>
    <row r="2060" spans="1:19">
      <c r="A2060" s="74">
        <v>10828</v>
      </c>
      <c r="B2060" s="75">
        <v>42482</v>
      </c>
      <c r="C2060" s="74" t="s">
        <v>18929</v>
      </c>
      <c r="D2060" s="75">
        <v>42482</v>
      </c>
      <c r="E2060" s="74" t="s">
        <v>18189</v>
      </c>
      <c r="F2060" s="74" t="s">
        <v>5620</v>
      </c>
      <c r="G2060" s="74" t="s">
        <v>20</v>
      </c>
      <c r="H2060" s="74" t="s">
        <v>71</v>
      </c>
      <c r="I2060" s="74"/>
      <c r="J2060" s="74" t="s">
        <v>1405</v>
      </c>
      <c r="K2060" s="74" t="s">
        <v>9348</v>
      </c>
      <c r="L2060" s="74" t="s">
        <v>4282</v>
      </c>
      <c r="M2060" s="74"/>
      <c r="O2060" s="45">
        <v>43579</v>
      </c>
      <c r="P2060" s="74"/>
      <c r="Q2060" s="74" t="b">
        <v>0</v>
      </c>
      <c r="R2060" s="22">
        <f t="shared" si="32"/>
        <v>1097</v>
      </c>
      <c r="S2060" s="71"/>
    </row>
    <row r="2061" spans="1:19">
      <c r="A2061" s="82">
        <v>10831</v>
      </c>
      <c r="B2061" s="81">
        <v>42492</v>
      </c>
      <c r="C2061" s="82" t="s">
        <v>18930</v>
      </c>
      <c r="D2061" s="81">
        <v>42492</v>
      </c>
      <c r="E2061" s="82" t="s">
        <v>18164</v>
      </c>
      <c r="F2061" s="82" t="s">
        <v>1771</v>
      </c>
      <c r="G2061" s="82" t="s">
        <v>20</v>
      </c>
      <c r="H2061" s="82" t="s">
        <v>189</v>
      </c>
      <c r="I2061" s="82"/>
      <c r="J2061" s="82" t="s">
        <v>18165</v>
      </c>
      <c r="K2061" s="82" t="s">
        <v>18166</v>
      </c>
      <c r="L2061" s="82" t="s">
        <v>14518</v>
      </c>
      <c r="M2061" s="82"/>
      <c r="O2061" s="80">
        <v>43311</v>
      </c>
      <c r="P2061" s="82"/>
      <c r="Q2061" s="82" t="b">
        <v>0</v>
      </c>
      <c r="R2061" s="22">
        <f t="shared" si="32"/>
        <v>819</v>
      </c>
    </row>
    <row r="2062" spans="1:19">
      <c r="A2062" s="18">
        <v>10832</v>
      </c>
      <c r="B2062" s="19">
        <v>42494</v>
      </c>
      <c r="C2062" s="18" t="s">
        <v>19923</v>
      </c>
      <c r="D2062" s="19">
        <v>42493</v>
      </c>
      <c r="E2062" s="18" t="s">
        <v>17758</v>
      </c>
      <c r="F2062" s="18" t="s">
        <v>1771</v>
      </c>
      <c r="G2062" s="18" t="s">
        <v>20</v>
      </c>
      <c r="H2062" s="18" t="s">
        <v>71</v>
      </c>
      <c r="I2062" s="18"/>
      <c r="J2062" s="18" t="s">
        <v>17759</v>
      </c>
      <c r="K2062" s="18" t="s">
        <v>17760</v>
      </c>
      <c r="L2062" s="18" t="s">
        <v>14518</v>
      </c>
      <c r="M2062" s="18"/>
      <c r="N2062" s="78"/>
      <c r="O2062" s="19">
        <v>42571</v>
      </c>
      <c r="P2062" s="18"/>
      <c r="Q2062" s="18" t="b">
        <v>0</v>
      </c>
      <c r="R2062" s="22">
        <f t="shared" si="32"/>
        <v>77</v>
      </c>
    </row>
    <row r="2063" spans="1:19">
      <c r="A2063" s="74">
        <v>10834</v>
      </c>
      <c r="B2063" s="75">
        <v>42496</v>
      </c>
      <c r="C2063" s="74" t="s">
        <v>18931</v>
      </c>
      <c r="D2063" s="75">
        <v>42496</v>
      </c>
      <c r="E2063" s="74" t="s">
        <v>18171</v>
      </c>
      <c r="F2063" s="74" t="s">
        <v>8428</v>
      </c>
      <c r="G2063" s="74" t="s">
        <v>20</v>
      </c>
      <c r="H2063" s="74" t="s">
        <v>71</v>
      </c>
      <c r="I2063" s="74"/>
      <c r="J2063" s="74" t="s">
        <v>18172</v>
      </c>
      <c r="K2063" s="74" t="s">
        <v>9348</v>
      </c>
      <c r="L2063" s="74" t="s">
        <v>4282</v>
      </c>
      <c r="M2063" s="74"/>
      <c r="O2063" s="39">
        <v>43518</v>
      </c>
      <c r="P2063" s="74"/>
      <c r="Q2063" s="74" t="b">
        <v>0</v>
      </c>
      <c r="R2063" s="22">
        <f t="shared" si="32"/>
        <v>1019</v>
      </c>
      <c r="S2063" s="71"/>
    </row>
    <row r="2064" spans="1:19">
      <c r="A2064" s="82">
        <v>10835</v>
      </c>
      <c r="B2064" s="81">
        <v>42499</v>
      </c>
      <c r="C2064" s="82" t="s">
        <v>18932</v>
      </c>
      <c r="D2064" s="81">
        <v>42499</v>
      </c>
      <c r="E2064" s="82" t="s">
        <v>18206</v>
      </c>
      <c r="F2064" s="82" t="s">
        <v>15525</v>
      </c>
      <c r="G2064" s="82" t="s">
        <v>20</v>
      </c>
      <c r="H2064" s="82" t="s">
        <v>71</v>
      </c>
      <c r="I2064" s="82"/>
      <c r="J2064" s="82" t="s">
        <v>18207</v>
      </c>
      <c r="K2064" s="82" t="s">
        <v>9348</v>
      </c>
      <c r="L2064" s="82" t="s">
        <v>14909</v>
      </c>
      <c r="M2064" s="82"/>
      <c r="O2064" s="81">
        <v>43371</v>
      </c>
      <c r="P2064" s="82"/>
      <c r="Q2064" s="82" t="b">
        <v>0</v>
      </c>
      <c r="R2064" s="22">
        <f t="shared" si="32"/>
        <v>870</v>
      </c>
    </row>
    <row r="2065" spans="1:19">
      <c r="A2065" s="82">
        <v>10836</v>
      </c>
      <c r="B2065" s="81">
        <v>42499</v>
      </c>
      <c r="C2065" s="82" t="s">
        <v>18933</v>
      </c>
      <c r="D2065" s="81">
        <v>42499</v>
      </c>
      <c r="E2065" s="82" t="s">
        <v>18204</v>
      </c>
      <c r="F2065" s="82" t="s">
        <v>15525</v>
      </c>
      <c r="G2065" s="82" t="s">
        <v>20</v>
      </c>
      <c r="H2065" s="82" t="s">
        <v>71</v>
      </c>
      <c r="I2065" s="82"/>
      <c r="J2065" s="82" t="s">
        <v>18205</v>
      </c>
      <c r="K2065" s="82" t="s">
        <v>9348</v>
      </c>
      <c r="L2065" s="82" t="s">
        <v>14909</v>
      </c>
      <c r="M2065" s="82"/>
      <c r="O2065" s="81">
        <v>43371</v>
      </c>
      <c r="P2065" s="82"/>
      <c r="Q2065" s="82" t="b">
        <v>0</v>
      </c>
      <c r="R2065" s="22">
        <f t="shared" si="32"/>
        <v>870</v>
      </c>
    </row>
    <row r="2066" spans="1:19">
      <c r="A2066" s="82">
        <v>10837</v>
      </c>
      <c r="B2066" s="81">
        <v>42499</v>
      </c>
      <c r="C2066" s="82" t="s">
        <v>18934</v>
      </c>
      <c r="D2066" s="81">
        <v>42499</v>
      </c>
      <c r="E2066" s="82" t="s">
        <v>18202</v>
      </c>
      <c r="F2066" s="82" t="s">
        <v>15525</v>
      </c>
      <c r="G2066" s="82" t="s">
        <v>20</v>
      </c>
      <c r="H2066" s="82" t="s">
        <v>71</v>
      </c>
      <c r="I2066" s="82"/>
      <c r="J2066" s="82" t="s">
        <v>18203</v>
      </c>
      <c r="K2066" s="82" t="s">
        <v>9348</v>
      </c>
      <c r="L2066" s="82" t="s">
        <v>14909</v>
      </c>
      <c r="M2066" s="82"/>
      <c r="O2066" s="81">
        <v>43384</v>
      </c>
      <c r="P2066" s="82"/>
      <c r="Q2066" s="82" t="b">
        <v>0</v>
      </c>
      <c r="R2066" s="22">
        <f t="shared" si="32"/>
        <v>884</v>
      </c>
    </row>
    <row r="2067" spans="1:19">
      <c r="A2067" s="74">
        <v>10841</v>
      </c>
      <c r="B2067" s="75">
        <v>42500</v>
      </c>
      <c r="C2067" s="74" t="s">
        <v>18935</v>
      </c>
      <c r="D2067" s="75">
        <v>42500</v>
      </c>
      <c r="E2067" s="74" t="s">
        <v>18200</v>
      </c>
      <c r="F2067" s="74" t="s">
        <v>124</v>
      </c>
      <c r="G2067" s="74" t="s">
        <v>20</v>
      </c>
      <c r="H2067" s="74" t="s">
        <v>71</v>
      </c>
      <c r="I2067" s="74"/>
      <c r="J2067" s="74" t="s">
        <v>18201</v>
      </c>
      <c r="K2067" s="74" t="s">
        <v>9348</v>
      </c>
      <c r="L2067" s="74" t="s">
        <v>7167</v>
      </c>
      <c r="M2067" s="74"/>
      <c r="O2067" s="45">
        <v>43595</v>
      </c>
      <c r="P2067" s="74"/>
      <c r="Q2067" s="74" t="b">
        <v>0</v>
      </c>
      <c r="R2067" s="22">
        <f t="shared" si="32"/>
        <v>1095</v>
      </c>
      <c r="S2067" s="71"/>
    </row>
    <row r="2068" spans="1:19">
      <c r="A2068" s="74">
        <v>10848</v>
      </c>
      <c r="B2068" s="75">
        <v>42513</v>
      </c>
      <c r="C2068" s="74" t="s">
        <v>18936</v>
      </c>
      <c r="D2068" s="75">
        <v>42510</v>
      </c>
      <c r="E2068" s="74" t="s">
        <v>18196</v>
      </c>
      <c r="F2068" s="74" t="s">
        <v>2359</v>
      </c>
      <c r="G2068" s="74" t="s">
        <v>20</v>
      </c>
      <c r="H2068" s="74" t="s">
        <v>71</v>
      </c>
      <c r="I2068" s="74"/>
      <c r="J2068" s="74" t="s">
        <v>18197</v>
      </c>
      <c r="K2068" s="74" t="s">
        <v>9348</v>
      </c>
      <c r="L2068" s="74" t="s">
        <v>1946</v>
      </c>
      <c r="M2068" s="74"/>
      <c r="O2068" s="39">
        <v>43497</v>
      </c>
      <c r="P2068" s="74"/>
      <c r="Q2068" s="74" t="b">
        <v>0</v>
      </c>
      <c r="R2068" s="22">
        <f t="shared" si="32"/>
        <v>981</v>
      </c>
      <c r="S2068" s="71"/>
    </row>
    <row r="2069" spans="1:19">
      <c r="A2069" s="74">
        <v>10853</v>
      </c>
      <c r="B2069" s="75">
        <v>42521</v>
      </c>
      <c r="C2069" s="74" t="s">
        <v>18937</v>
      </c>
      <c r="D2069" s="75">
        <v>42516</v>
      </c>
      <c r="E2069" s="74" t="s">
        <v>18177</v>
      </c>
      <c r="F2069" s="74" t="s">
        <v>13422</v>
      </c>
      <c r="G2069" s="74" t="s">
        <v>20</v>
      </c>
      <c r="H2069" s="74" t="s">
        <v>71</v>
      </c>
      <c r="I2069" s="74"/>
      <c r="J2069" s="74" t="s">
        <v>18178</v>
      </c>
      <c r="K2069" s="74" t="s">
        <v>18179</v>
      </c>
      <c r="L2069" s="74" t="s">
        <v>4282</v>
      </c>
      <c r="M2069" s="74"/>
      <c r="O2069" s="39">
        <v>43605</v>
      </c>
      <c r="P2069" s="74"/>
      <c r="Q2069" s="74" t="b">
        <v>0</v>
      </c>
      <c r="R2069" s="22">
        <f t="shared" si="32"/>
        <v>1084</v>
      </c>
      <c r="S2069" s="71"/>
    </row>
    <row r="2070" spans="1:19">
      <c r="A2070" s="82">
        <v>10860</v>
      </c>
      <c r="B2070" s="81">
        <v>42530</v>
      </c>
      <c r="C2070" s="82" t="s">
        <v>18939</v>
      </c>
      <c r="D2070" s="81">
        <v>42529</v>
      </c>
      <c r="E2070" s="82" t="s">
        <v>18184</v>
      </c>
      <c r="F2070" s="82" t="s">
        <v>3171</v>
      </c>
      <c r="G2070" s="82" t="s">
        <v>20</v>
      </c>
      <c r="H2070" s="82" t="s">
        <v>566</v>
      </c>
      <c r="I2070" s="82"/>
      <c r="J2070" s="82" t="s">
        <v>18185</v>
      </c>
      <c r="K2070" s="82" t="s">
        <v>14825</v>
      </c>
      <c r="L2070" s="82" t="s">
        <v>7167</v>
      </c>
      <c r="M2070" s="82"/>
      <c r="O2070" s="81">
        <v>43297</v>
      </c>
      <c r="P2070" s="82"/>
      <c r="Q2070" s="82" t="b">
        <v>0</v>
      </c>
      <c r="R2070" s="22">
        <f t="shared" si="32"/>
        <v>767</v>
      </c>
    </row>
    <row r="2071" spans="1:19">
      <c r="A2071" s="74">
        <v>10887</v>
      </c>
      <c r="B2071" s="75">
        <v>42569</v>
      </c>
      <c r="C2071" s="74" t="s">
        <v>18941</v>
      </c>
      <c r="D2071" s="75">
        <v>42569</v>
      </c>
      <c r="E2071" s="74" t="s">
        <v>18126</v>
      </c>
      <c r="F2071" s="74" t="s">
        <v>27</v>
      </c>
      <c r="G2071" s="74" t="s">
        <v>20</v>
      </c>
      <c r="H2071" s="74" t="s">
        <v>71</v>
      </c>
      <c r="I2071" s="74"/>
      <c r="J2071" s="74" t="s">
        <v>18127</v>
      </c>
      <c r="K2071" s="74" t="s">
        <v>18128</v>
      </c>
      <c r="L2071" s="74" t="s">
        <v>14518</v>
      </c>
      <c r="M2071" s="74"/>
      <c r="O2071" s="39">
        <v>43488</v>
      </c>
      <c r="P2071" s="74"/>
      <c r="Q2071" s="74" t="b">
        <v>0</v>
      </c>
      <c r="R2071" s="22">
        <f t="shared" si="32"/>
        <v>917</v>
      </c>
      <c r="S2071" s="71"/>
    </row>
    <row r="2072" spans="1:19">
      <c r="A2072" s="83">
        <v>10890</v>
      </c>
      <c r="B2072" s="84">
        <v>42572</v>
      </c>
      <c r="C2072" s="83" t="s">
        <v>18943</v>
      </c>
      <c r="D2072" s="84">
        <v>42571</v>
      </c>
      <c r="E2072" s="83" t="s">
        <v>18122</v>
      </c>
      <c r="F2072" s="83" t="s">
        <v>359</v>
      </c>
      <c r="G2072" s="83" t="s">
        <v>20</v>
      </c>
      <c r="H2072" s="83" t="s">
        <v>71</v>
      </c>
      <c r="I2072" s="83"/>
      <c r="J2072" s="83" t="s">
        <v>18123</v>
      </c>
      <c r="K2072" s="83" t="s">
        <v>9348</v>
      </c>
      <c r="L2072" s="83" t="s">
        <v>4282</v>
      </c>
      <c r="M2072" s="83"/>
      <c r="O2072" s="51">
        <v>43644</v>
      </c>
      <c r="P2072" s="83"/>
      <c r="Q2072" s="83" t="b">
        <v>0</v>
      </c>
      <c r="R2072" s="22">
        <f t="shared" si="32"/>
        <v>1071</v>
      </c>
      <c r="S2072" s="71"/>
    </row>
    <row r="2073" spans="1:19">
      <c r="A2073" s="85">
        <v>10893</v>
      </c>
      <c r="B2073" s="86">
        <v>42576</v>
      </c>
      <c r="C2073" s="85" t="s">
        <v>18944</v>
      </c>
      <c r="D2073" s="86">
        <v>42576</v>
      </c>
      <c r="E2073" s="85" t="s">
        <v>18118</v>
      </c>
      <c r="F2073" s="85" t="s">
        <v>18119</v>
      </c>
      <c r="G2073" s="85" t="s">
        <v>20</v>
      </c>
      <c r="H2073" s="85" t="s">
        <v>71</v>
      </c>
      <c r="I2073" s="85"/>
      <c r="J2073" s="85" t="s">
        <v>18120</v>
      </c>
      <c r="K2073" s="85" t="s">
        <v>18121</v>
      </c>
      <c r="L2073" s="85" t="s">
        <v>1946</v>
      </c>
      <c r="M2073" s="85"/>
      <c r="O2073" s="86">
        <v>43328</v>
      </c>
      <c r="P2073" s="85"/>
      <c r="Q2073" s="85" t="b">
        <v>0</v>
      </c>
      <c r="R2073" s="22">
        <f t="shared" si="32"/>
        <v>751</v>
      </c>
    </row>
    <row r="2074" spans="1:19" ht="24">
      <c r="A2074" s="50">
        <v>10911</v>
      </c>
      <c r="B2074" s="51">
        <v>42600</v>
      </c>
      <c r="C2074" s="52" t="s">
        <v>18946</v>
      </c>
      <c r="D2074" s="51">
        <v>42598</v>
      </c>
      <c r="E2074" s="52" t="s">
        <v>18105</v>
      </c>
      <c r="F2074" s="52" t="s">
        <v>149</v>
      </c>
      <c r="G2074" s="52" t="s">
        <v>20</v>
      </c>
      <c r="H2074" s="52" t="s">
        <v>71</v>
      </c>
      <c r="I2074" s="52" t="s">
        <v>21</v>
      </c>
      <c r="J2074" s="52" t="s">
        <v>18106</v>
      </c>
      <c r="K2074" s="52" t="s">
        <v>18107</v>
      </c>
      <c r="L2074" s="52" t="s">
        <v>14909</v>
      </c>
      <c r="M2074" s="52" t="s">
        <v>21</v>
      </c>
      <c r="O2074" s="51">
        <v>43423</v>
      </c>
      <c r="P2074" s="53" t="s">
        <v>21</v>
      </c>
      <c r="Q2074" s="54" t="b">
        <v>0</v>
      </c>
      <c r="R2074" s="22">
        <f t="shared" si="32"/>
        <v>822</v>
      </c>
    </row>
    <row r="2075" spans="1:19" ht="36">
      <c r="A2075" s="47">
        <v>10935</v>
      </c>
      <c r="B2075" s="48">
        <v>42615</v>
      </c>
      <c r="C2075" s="49" t="s">
        <v>18947</v>
      </c>
      <c r="D2075" s="48">
        <v>42614</v>
      </c>
      <c r="E2075" s="49" t="s">
        <v>18146</v>
      </c>
      <c r="F2075" s="49" t="s">
        <v>34</v>
      </c>
      <c r="G2075" s="49" t="s">
        <v>20</v>
      </c>
      <c r="H2075" s="49" t="s">
        <v>71</v>
      </c>
      <c r="I2075" s="49" t="s">
        <v>21</v>
      </c>
      <c r="J2075" s="49" t="s">
        <v>18147</v>
      </c>
      <c r="K2075" s="49" t="s">
        <v>9152</v>
      </c>
      <c r="L2075" s="49" t="s">
        <v>14909</v>
      </c>
      <c r="M2075" s="49" t="s">
        <v>21</v>
      </c>
      <c r="O2075" s="51">
        <v>43636</v>
      </c>
      <c r="P2075" s="49" t="s">
        <v>21</v>
      </c>
      <c r="Q2075" s="47" t="b">
        <v>0</v>
      </c>
      <c r="R2075" s="22">
        <f t="shared" si="32"/>
        <v>1022</v>
      </c>
      <c r="S2075" s="71"/>
    </row>
    <row r="2076" spans="1:19" ht="64">
      <c r="A2076" s="55">
        <v>10940</v>
      </c>
      <c r="B2076" s="56">
        <v>42621</v>
      </c>
      <c r="C2076" s="57" t="s">
        <v>17943</v>
      </c>
      <c r="D2076" s="56">
        <v>42620</v>
      </c>
      <c r="E2076" s="57" t="s">
        <v>17944</v>
      </c>
      <c r="F2076" s="57" t="s">
        <v>149</v>
      </c>
      <c r="G2076" s="57" t="s">
        <v>20</v>
      </c>
      <c r="H2076" s="57" t="s">
        <v>71</v>
      </c>
      <c r="I2076" s="57" t="s">
        <v>21</v>
      </c>
      <c r="J2076" s="57" t="s">
        <v>17945</v>
      </c>
      <c r="K2076" s="57" t="s">
        <v>9152</v>
      </c>
      <c r="L2076" s="57" t="s">
        <v>7167</v>
      </c>
      <c r="M2076" s="57" t="s">
        <v>21</v>
      </c>
      <c r="N2076" s="36"/>
      <c r="O2076" s="56">
        <v>42657</v>
      </c>
      <c r="P2076" s="57" t="s">
        <v>21</v>
      </c>
      <c r="Q2076" s="55" t="b">
        <v>0</v>
      </c>
      <c r="R2076" s="22">
        <f t="shared" si="32"/>
        <v>36</v>
      </c>
    </row>
    <row r="2077" spans="1:19" ht="48">
      <c r="A2077" s="55">
        <v>10943</v>
      </c>
      <c r="B2077" s="56">
        <v>42625</v>
      </c>
      <c r="C2077" s="57" t="s">
        <v>18035</v>
      </c>
      <c r="D2077" s="56">
        <v>42625</v>
      </c>
      <c r="E2077" s="57" t="s">
        <v>18036</v>
      </c>
      <c r="F2077" s="57" t="s">
        <v>8605</v>
      </c>
      <c r="G2077" s="57" t="s">
        <v>20</v>
      </c>
      <c r="H2077" s="57" t="s">
        <v>212</v>
      </c>
      <c r="I2077" s="57" t="s">
        <v>21</v>
      </c>
      <c r="J2077" s="57" t="s">
        <v>18037</v>
      </c>
      <c r="K2077" s="57" t="s">
        <v>18038</v>
      </c>
      <c r="L2077" s="57" t="s">
        <v>7167</v>
      </c>
      <c r="M2077" s="57" t="s">
        <v>21</v>
      </c>
      <c r="N2077" s="36"/>
      <c r="O2077" s="56">
        <v>42706</v>
      </c>
      <c r="P2077" s="57" t="s">
        <v>21</v>
      </c>
      <c r="Q2077" s="55" t="b">
        <v>0</v>
      </c>
      <c r="R2077" s="22">
        <f t="shared" si="32"/>
        <v>81</v>
      </c>
    </row>
    <row r="2078" spans="1:19" ht="36">
      <c r="A2078" s="47">
        <v>10954</v>
      </c>
      <c r="B2078" s="48">
        <v>42632</v>
      </c>
      <c r="C2078" s="49" t="s">
        <v>18949</v>
      </c>
      <c r="D2078" s="48">
        <v>42633</v>
      </c>
      <c r="E2078" s="49" t="s">
        <v>18280</v>
      </c>
      <c r="F2078" s="49" t="s">
        <v>9937</v>
      </c>
      <c r="G2078" s="49" t="s">
        <v>20</v>
      </c>
      <c r="H2078" s="49" t="s">
        <v>71</v>
      </c>
      <c r="I2078" s="49" t="s">
        <v>21</v>
      </c>
      <c r="J2078" s="49" t="s">
        <v>18281</v>
      </c>
      <c r="K2078" s="49" t="s">
        <v>18282</v>
      </c>
      <c r="L2078" s="49" t="s">
        <v>4282</v>
      </c>
      <c r="M2078" s="49" t="s">
        <v>21</v>
      </c>
      <c r="O2078" s="51">
        <v>43626</v>
      </c>
      <c r="P2078" s="49" t="s">
        <v>21</v>
      </c>
      <c r="Q2078" s="47" t="b">
        <v>0</v>
      </c>
      <c r="R2078" s="22">
        <f t="shared" si="32"/>
        <v>994</v>
      </c>
      <c r="S2078" s="71"/>
    </row>
    <row r="2079" spans="1:19" ht="64">
      <c r="A2079" s="55">
        <v>10955</v>
      </c>
      <c r="B2079" s="56">
        <v>42634</v>
      </c>
      <c r="C2079" s="57" t="s">
        <v>18076</v>
      </c>
      <c r="D2079" s="56">
        <v>42633</v>
      </c>
      <c r="E2079" s="57" t="s">
        <v>18077</v>
      </c>
      <c r="F2079" s="57" t="s">
        <v>8605</v>
      </c>
      <c r="G2079" s="57" t="s">
        <v>20</v>
      </c>
      <c r="H2079" s="57" t="s">
        <v>71</v>
      </c>
      <c r="I2079" s="57" t="s">
        <v>21</v>
      </c>
      <c r="J2079" s="57" t="s">
        <v>18029</v>
      </c>
      <c r="K2079" s="57" t="s">
        <v>18030</v>
      </c>
      <c r="L2079" s="57" t="s">
        <v>7167</v>
      </c>
      <c r="M2079" s="57" t="s">
        <v>21</v>
      </c>
      <c r="N2079" s="36"/>
      <c r="O2079" s="56">
        <v>42731</v>
      </c>
      <c r="P2079" s="57" t="s">
        <v>21</v>
      </c>
      <c r="Q2079" s="55" t="b">
        <v>0</v>
      </c>
      <c r="R2079" s="22">
        <f t="shared" si="32"/>
        <v>97</v>
      </c>
    </row>
    <row r="2080" spans="1:19">
      <c r="A2080" s="83">
        <v>10956</v>
      </c>
      <c r="B2080" s="84">
        <v>42634</v>
      </c>
      <c r="C2080" s="83" t="s">
        <v>18950</v>
      </c>
      <c r="D2080" s="84">
        <v>42634</v>
      </c>
      <c r="E2080" s="83" t="s">
        <v>18277</v>
      </c>
      <c r="F2080" s="83" t="s">
        <v>14118</v>
      </c>
      <c r="G2080" s="83" t="s">
        <v>20</v>
      </c>
      <c r="H2080" s="83" t="s">
        <v>71</v>
      </c>
      <c r="I2080" s="83"/>
      <c r="J2080" s="83" t="s">
        <v>18278</v>
      </c>
      <c r="K2080" s="83" t="s">
        <v>18279</v>
      </c>
      <c r="L2080" s="83" t="s">
        <v>1946</v>
      </c>
      <c r="M2080" s="83"/>
      <c r="O2080" s="51">
        <v>43584</v>
      </c>
      <c r="P2080" s="83"/>
      <c r="Q2080" s="83" t="b">
        <v>0</v>
      </c>
      <c r="R2080" s="22">
        <f t="shared" si="32"/>
        <v>951</v>
      </c>
      <c r="S2080" s="71"/>
    </row>
    <row r="2081" spans="1:19">
      <c r="A2081" s="13">
        <v>10958</v>
      </c>
      <c r="B2081" s="87">
        <v>42635</v>
      </c>
      <c r="C2081" s="13" t="s">
        <v>19934</v>
      </c>
      <c r="D2081" s="87">
        <v>42635</v>
      </c>
      <c r="E2081" s="13" t="s">
        <v>18028</v>
      </c>
      <c r="F2081" s="13" t="s">
        <v>8605</v>
      </c>
      <c r="G2081" s="13" t="s">
        <v>20</v>
      </c>
      <c r="H2081" s="13" t="s">
        <v>212</v>
      </c>
      <c r="I2081" s="13"/>
      <c r="J2081" s="13" t="s">
        <v>18029</v>
      </c>
      <c r="K2081" s="13" t="s">
        <v>18030</v>
      </c>
      <c r="L2081" s="13" t="s">
        <v>7167</v>
      </c>
      <c r="M2081" s="13"/>
      <c r="N2081" s="78"/>
      <c r="O2081" s="87">
        <v>42705</v>
      </c>
      <c r="P2081" s="13"/>
      <c r="Q2081" s="13" t="b">
        <v>0</v>
      </c>
      <c r="R2081" s="22">
        <f t="shared" si="32"/>
        <v>69</v>
      </c>
    </row>
    <row r="2082" spans="1:19">
      <c r="A2082" s="85">
        <v>10962</v>
      </c>
      <c r="B2082" s="86">
        <v>42639</v>
      </c>
      <c r="C2082" s="85" t="s">
        <v>18951</v>
      </c>
      <c r="D2082" s="86">
        <v>42636</v>
      </c>
      <c r="E2082" s="85" t="s">
        <v>18270</v>
      </c>
      <c r="F2082" s="85" t="s">
        <v>27</v>
      </c>
      <c r="G2082" s="85" t="s">
        <v>20</v>
      </c>
      <c r="H2082" s="85" t="s">
        <v>71</v>
      </c>
      <c r="I2082" s="85"/>
      <c r="J2082" s="85" t="s">
        <v>18271</v>
      </c>
      <c r="K2082" s="85" t="s">
        <v>9152</v>
      </c>
      <c r="L2082" s="85" t="s">
        <v>14518</v>
      </c>
      <c r="M2082" s="85"/>
      <c r="O2082" s="86">
        <v>43420</v>
      </c>
      <c r="P2082" s="85"/>
      <c r="Q2082" s="85" t="b">
        <v>0</v>
      </c>
      <c r="R2082" s="22">
        <f t="shared" si="32"/>
        <v>780</v>
      </c>
    </row>
    <row r="2083" spans="1:19">
      <c r="A2083" s="13">
        <v>10965</v>
      </c>
      <c r="B2083" s="87">
        <v>42639</v>
      </c>
      <c r="C2083" s="13" t="s">
        <v>19933</v>
      </c>
      <c r="D2083" s="87">
        <v>42639</v>
      </c>
      <c r="E2083" s="13" t="s">
        <v>18021</v>
      </c>
      <c r="F2083" s="13" t="s">
        <v>18022</v>
      </c>
      <c r="G2083" s="13" t="s">
        <v>20</v>
      </c>
      <c r="H2083" s="13" t="s">
        <v>71</v>
      </c>
      <c r="I2083" s="13"/>
      <c r="J2083" s="13" t="s">
        <v>18023</v>
      </c>
      <c r="K2083" s="13" t="s">
        <v>9152</v>
      </c>
      <c r="L2083" s="13" t="s">
        <v>14909</v>
      </c>
      <c r="M2083" s="13"/>
      <c r="N2083" s="78"/>
      <c r="O2083" s="87">
        <v>42702</v>
      </c>
      <c r="P2083" s="13"/>
      <c r="Q2083" s="13" t="b">
        <v>0</v>
      </c>
      <c r="R2083" s="22">
        <f t="shared" si="32"/>
        <v>62</v>
      </c>
    </row>
    <row r="2084" spans="1:19">
      <c r="A2084" s="83">
        <v>10966</v>
      </c>
      <c r="B2084" s="84">
        <v>42639</v>
      </c>
      <c r="C2084" s="83" t="s">
        <v>18952</v>
      </c>
      <c r="D2084" s="84">
        <v>42639</v>
      </c>
      <c r="E2084" s="83" t="s">
        <v>18264</v>
      </c>
      <c r="F2084" s="83" t="s">
        <v>1762</v>
      </c>
      <c r="G2084" s="83" t="s">
        <v>20</v>
      </c>
      <c r="H2084" s="83" t="s">
        <v>71</v>
      </c>
      <c r="I2084" s="83"/>
      <c r="J2084" s="83" t="s">
        <v>18265</v>
      </c>
      <c r="K2084" s="83" t="s">
        <v>18266</v>
      </c>
      <c r="L2084" s="83" t="s">
        <v>14909</v>
      </c>
      <c r="M2084" s="83"/>
      <c r="O2084" s="51">
        <v>43636</v>
      </c>
      <c r="P2084" s="83"/>
      <c r="Q2084" s="83" t="b">
        <v>0</v>
      </c>
      <c r="R2084" s="22">
        <f t="shared" si="32"/>
        <v>997</v>
      </c>
      <c r="S2084" s="71"/>
    </row>
    <row r="2085" spans="1:19">
      <c r="A2085" s="83">
        <v>10968</v>
      </c>
      <c r="B2085" s="84">
        <v>42640</v>
      </c>
      <c r="C2085" s="83" t="s">
        <v>18953</v>
      </c>
      <c r="D2085" s="84">
        <v>42640</v>
      </c>
      <c r="E2085" s="83" t="s">
        <v>18273</v>
      </c>
      <c r="F2085" s="83" t="s">
        <v>194</v>
      </c>
      <c r="G2085" s="83" t="s">
        <v>20</v>
      </c>
      <c r="H2085" s="83" t="s">
        <v>71</v>
      </c>
      <c r="I2085" s="83"/>
      <c r="J2085" s="83" t="s">
        <v>18274</v>
      </c>
      <c r="K2085" s="83" t="s">
        <v>9152</v>
      </c>
      <c r="L2085" s="83" t="s">
        <v>4282</v>
      </c>
      <c r="M2085" s="83"/>
      <c r="O2085" s="51">
        <v>43642</v>
      </c>
      <c r="P2085" s="83"/>
      <c r="Q2085" s="83" t="b">
        <v>0</v>
      </c>
      <c r="R2085" s="22">
        <f t="shared" si="32"/>
        <v>1002</v>
      </c>
      <c r="S2085" s="71"/>
    </row>
    <row r="2086" spans="1:19">
      <c r="A2086" s="83">
        <v>10969</v>
      </c>
      <c r="B2086" s="84">
        <v>42641</v>
      </c>
      <c r="C2086" s="83" t="s">
        <v>19273</v>
      </c>
      <c r="D2086" s="84">
        <v>42641</v>
      </c>
      <c r="E2086" s="83" t="s">
        <v>18275</v>
      </c>
      <c r="F2086" s="83" t="s">
        <v>8605</v>
      </c>
      <c r="G2086" s="83" t="s">
        <v>20</v>
      </c>
      <c r="H2086" s="83" t="s">
        <v>71</v>
      </c>
      <c r="I2086" s="83"/>
      <c r="J2086" s="83" t="s">
        <v>18276</v>
      </c>
      <c r="K2086" s="83" t="s">
        <v>18030</v>
      </c>
      <c r="L2086" s="83" t="s">
        <v>7167</v>
      </c>
      <c r="M2086" s="83"/>
      <c r="O2086" s="48">
        <v>43066</v>
      </c>
      <c r="P2086" s="83"/>
      <c r="Q2086" s="83" t="b">
        <v>0</v>
      </c>
      <c r="R2086" s="22">
        <f t="shared" si="32"/>
        <v>424</v>
      </c>
      <c r="S2086" s="71"/>
    </row>
    <row r="2087" spans="1:19">
      <c r="A2087" s="83">
        <v>10970</v>
      </c>
      <c r="B2087" s="84">
        <v>42643</v>
      </c>
      <c r="C2087" s="83" t="s">
        <v>18954</v>
      </c>
      <c r="D2087" s="84">
        <v>42640</v>
      </c>
      <c r="E2087" s="83" t="s">
        <v>18307</v>
      </c>
      <c r="F2087" s="83" t="s">
        <v>1762</v>
      </c>
      <c r="G2087" s="83" t="s">
        <v>20</v>
      </c>
      <c r="H2087" s="83" t="s">
        <v>71</v>
      </c>
      <c r="I2087" s="83"/>
      <c r="J2087" s="83" t="s">
        <v>18308</v>
      </c>
      <c r="K2087" s="83" t="s">
        <v>18309</v>
      </c>
      <c r="L2087" s="83" t="s">
        <v>14909</v>
      </c>
      <c r="M2087" s="83"/>
      <c r="O2087" s="51">
        <v>43636</v>
      </c>
      <c r="P2087" s="83"/>
      <c r="Q2087" s="83" t="b">
        <v>0</v>
      </c>
      <c r="R2087" s="22">
        <f t="shared" si="32"/>
        <v>993</v>
      </c>
      <c r="S2087" s="71"/>
    </row>
    <row r="2088" spans="1:19">
      <c r="A2088" s="13">
        <v>10971</v>
      </c>
      <c r="B2088" s="87">
        <v>42643</v>
      </c>
      <c r="C2088" s="13" t="s">
        <v>19935</v>
      </c>
      <c r="D2088" s="87">
        <v>42642</v>
      </c>
      <c r="E2088" s="13" t="s">
        <v>18032</v>
      </c>
      <c r="F2088" s="13" t="s">
        <v>8605</v>
      </c>
      <c r="G2088" s="13" t="s">
        <v>20</v>
      </c>
      <c r="H2088" s="13" t="s">
        <v>212</v>
      </c>
      <c r="I2088" s="13"/>
      <c r="J2088" s="13" t="s">
        <v>18033</v>
      </c>
      <c r="K2088" s="13" t="s">
        <v>18034</v>
      </c>
      <c r="L2088" s="13" t="s">
        <v>7167</v>
      </c>
      <c r="M2088" s="13"/>
      <c r="N2088" s="78"/>
      <c r="O2088" s="56">
        <v>42706</v>
      </c>
      <c r="P2088" s="13"/>
      <c r="Q2088" s="13" t="b">
        <v>0</v>
      </c>
      <c r="R2088" s="22">
        <f t="shared" si="32"/>
        <v>62</v>
      </c>
    </row>
    <row r="2089" spans="1:19">
      <c r="A2089" s="83">
        <v>10972</v>
      </c>
      <c r="B2089" s="84">
        <v>42646</v>
      </c>
      <c r="C2089" s="83" t="s">
        <v>18955</v>
      </c>
      <c r="D2089" s="84">
        <v>42643</v>
      </c>
      <c r="E2089" s="83" t="s">
        <v>18304</v>
      </c>
      <c r="F2089" s="83" t="s">
        <v>211</v>
      </c>
      <c r="G2089" s="83" t="s">
        <v>20</v>
      </c>
      <c r="H2089" s="83" t="s">
        <v>212</v>
      </c>
      <c r="I2089" s="83"/>
      <c r="J2089" s="83" t="s">
        <v>18305</v>
      </c>
      <c r="K2089" s="83" t="s">
        <v>18306</v>
      </c>
      <c r="L2089" s="83" t="s">
        <v>7167</v>
      </c>
      <c r="M2089" s="83"/>
      <c r="O2089" s="51">
        <v>43556</v>
      </c>
      <c r="P2089" s="83"/>
      <c r="Q2089" s="83" t="b">
        <v>0</v>
      </c>
      <c r="R2089" s="22">
        <f t="shared" si="32"/>
        <v>910</v>
      </c>
      <c r="S2089" s="71"/>
    </row>
    <row r="2090" spans="1:19">
      <c r="A2090" s="83">
        <v>10976</v>
      </c>
      <c r="B2090" s="84">
        <v>42648</v>
      </c>
      <c r="C2090" s="83" t="s">
        <v>18956</v>
      </c>
      <c r="D2090" s="84">
        <v>42648</v>
      </c>
      <c r="E2090" s="83" t="s">
        <v>18298</v>
      </c>
      <c r="F2090" s="83" t="s">
        <v>1762</v>
      </c>
      <c r="G2090" s="83" t="s">
        <v>20</v>
      </c>
      <c r="H2090" s="83" t="s">
        <v>71</v>
      </c>
      <c r="I2090" s="83"/>
      <c r="J2090" s="83" t="s">
        <v>18299</v>
      </c>
      <c r="K2090" s="83" t="s">
        <v>9348</v>
      </c>
      <c r="L2090" s="83" t="s">
        <v>14909</v>
      </c>
      <c r="M2090" s="83"/>
      <c r="O2090" s="51">
        <v>43636</v>
      </c>
      <c r="P2090" s="83"/>
      <c r="Q2090" s="83" t="b">
        <v>0</v>
      </c>
      <c r="R2090" s="22">
        <f t="shared" si="32"/>
        <v>988</v>
      </c>
      <c r="S2090" s="71"/>
    </row>
    <row r="2091" spans="1:19">
      <c r="A2091" s="83">
        <v>10978</v>
      </c>
      <c r="B2091" s="84">
        <v>42649</v>
      </c>
      <c r="C2091" s="83" t="s">
        <v>19196</v>
      </c>
      <c r="D2091" s="84">
        <v>42649</v>
      </c>
      <c r="E2091" s="83" t="s">
        <v>18294</v>
      </c>
      <c r="F2091" s="83" t="s">
        <v>39</v>
      </c>
      <c r="G2091" s="83" t="s">
        <v>20</v>
      </c>
      <c r="H2091" s="83" t="s">
        <v>71</v>
      </c>
      <c r="I2091" s="83"/>
      <c r="J2091" s="83" t="s">
        <v>18295</v>
      </c>
      <c r="K2091" s="83" t="s">
        <v>14825</v>
      </c>
      <c r="L2091" s="49" t="s">
        <v>1946</v>
      </c>
      <c r="M2091" s="49" t="s">
        <v>21</v>
      </c>
      <c r="O2091" s="48">
        <v>42947</v>
      </c>
      <c r="P2091" s="83"/>
      <c r="Q2091" s="83" t="b">
        <v>0</v>
      </c>
      <c r="R2091" s="22">
        <f t="shared" si="32"/>
        <v>299</v>
      </c>
      <c r="S2091" s="71"/>
    </row>
    <row r="2092" spans="1:19">
      <c r="A2092" s="85">
        <v>10982</v>
      </c>
      <c r="B2092" s="86">
        <v>42657</v>
      </c>
      <c r="C2092" s="85" t="s">
        <v>18957</v>
      </c>
      <c r="D2092" s="86">
        <v>42656</v>
      </c>
      <c r="E2092" s="85" t="s">
        <v>18293</v>
      </c>
      <c r="F2092" s="85" t="s">
        <v>124</v>
      </c>
      <c r="G2092" s="85" t="s">
        <v>20</v>
      </c>
      <c r="H2092" s="85" t="s">
        <v>71</v>
      </c>
      <c r="I2092" s="85"/>
      <c r="J2092" s="85" t="s">
        <v>5135</v>
      </c>
      <c r="K2092" s="85" t="s">
        <v>9152</v>
      </c>
      <c r="L2092" s="85" t="s">
        <v>14518</v>
      </c>
      <c r="M2092" s="85"/>
      <c r="O2092" s="51">
        <v>43427</v>
      </c>
      <c r="P2092" s="85"/>
      <c r="Q2092" s="85" t="b">
        <v>0</v>
      </c>
      <c r="R2092" s="22">
        <f t="shared" si="32"/>
        <v>769</v>
      </c>
    </row>
    <row r="2093" spans="1:19">
      <c r="A2093" s="83">
        <v>10989</v>
      </c>
      <c r="B2093" s="84">
        <v>42674</v>
      </c>
      <c r="C2093" s="83" t="s">
        <v>18958</v>
      </c>
      <c r="D2093" s="84">
        <v>42674</v>
      </c>
      <c r="E2093" s="83" t="s">
        <v>18232</v>
      </c>
      <c r="F2093" s="83" t="s">
        <v>18233</v>
      </c>
      <c r="G2093" s="83" t="s">
        <v>20</v>
      </c>
      <c r="H2093" s="83" t="s">
        <v>566</v>
      </c>
      <c r="I2093" s="83"/>
      <c r="J2093" s="83" t="s">
        <v>18234</v>
      </c>
      <c r="K2093" s="83" t="s">
        <v>9348</v>
      </c>
      <c r="L2093" s="83" t="s">
        <v>1946</v>
      </c>
      <c r="M2093" s="83"/>
      <c r="O2093" s="51">
        <v>43656</v>
      </c>
      <c r="P2093" s="83"/>
      <c r="Q2093" s="83" t="b">
        <v>0</v>
      </c>
      <c r="R2093" s="22">
        <f t="shared" si="32"/>
        <v>983</v>
      </c>
      <c r="S2093" s="71"/>
    </row>
    <row r="2094" spans="1:19">
      <c r="A2094" s="13">
        <v>10998</v>
      </c>
      <c r="B2094" s="87">
        <v>42688</v>
      </c>
      <c r="C2094" s="13" t="s">
        <v>19939</v>
      </c>
      <c r="D2094" s="87">
        <v>42688</v>
      </c>
      <c r="E2094" s="13" t="s">
        <v>18079</v>
      </c>
      <c r="F2094" s="13" t="s">
        <v>52</v>
      </c>
      <c r="G2094" s="13" t="s">
        <v>20</v>
      </c>
      <c r="H2094" s="13" t="s">
        <v>71</v>
      </c>
      <c r="I2094" s="13"/>
      <c r="J2094" s="13" t="s">
        <v>18080</v>
      </c>
      <c r="K2094" s="13" t="s">
        <v>9152</v>
      </c>
      <c r="L2094" s="13" t="s">
        <v>14518</v>
      </c>
      <c r="M2094" s="13"/>
      <c r="N2094" s="78"/>
      <c r="O2094" s="56">
        <v>42733</v>
      </c>
      <c r="P2094" s="13"/>
      <c r="Q2094" s="13" t="b">
        <v>0</v>
      </c>
      <c r="R2094" s="22">
        <f t="shared" si="32"/>
        <v>45</v>
      </c>
    </row>
    <row r="2095" spans="1:19">
      <c r="A2095" s="83">
        <v>11002</v>
      </c>
      <c r="B2095" s="84">
        <v>42695</v>
      </c>
      <c r="C2095" s="83" t="s">
        <v>18959</v>
      </c>
      <c r="D2095" s="84">
        <v>42692</v>
      </c>
      <c r="E2095" s="83" t="s">
        <v>18251</v>
      </c>
      <c r="F2095" s="83" t="s">
        <v>990</v>
      </c>
      <c r="G2095" s="83" t="s">
        <v>20</v>
      </c>
      <c r="H2095" s="83" t="s">
        <v>71</v>
      </c>
      <c r="I2095" s="83"/>
      <c r="J2095" s="83" t="s">
        <v>18252</v>
      </c>
      <c r="K2095" s="83" t="s">
        <v>18253</v>
      </c>
      <c r="L2095" s="83" t="s">
        <v>4282</v>
      </c>
      <c r="M2095" s="83"/>
      <c r="O2095" s="51">
        <v>43602</v>
      </c>
      <c r="P2095" s="83"/>
      <c r="Q2095" s="83" t="b">
        <v>0</v>
      </c>
      <c r="R2095" s="22">
        <f t="shared" si="32"/>
        <v>908</v>
      </c>
      <c r="S2095" s="71"/>
    </row>
    <row r="2096" spans="1:19">
      <c r="A2096" s="83">
        <v>11006</v>
      </c>
      <c r="B2096" s="84">
        <v>42702</v>
      </c>
      <c r="C2096" s="83" t="s">
        <v>19106</v>
      </c>
      <c r="D2096" s="84">
        <v>42702</v>
      </c>
      <c r="E2096" s="83" t="s">
        <v>18091</v>
      </c>
      <c r="F2096" s="83" t="s">
        <v>10999</v>
      </c>
      <c r="G2096" s="83" t="s">
        <v>20</v>
      </c>
      <c r="H2096" s="83" t="s">
        <v>71</v>
      </c>
      <c r="I2096" s="83"/>
      <c r="J2096" s="83" t="s">
        <v>18245</v>
      </c>
      <c r="K2096" s="83"/>
      <c r="L2096" s="83" t="s">
        <v>7167</v>
      </c>
      <c r="M2096" s="83"/>
      <c r="O2096" s="48">
        <v>42810</v>
      </c>
      <c r="P2096" s="83"/>
      <c r="Q2096" s="83" t="b">
        <v>0</v>
      </c>
      <c r="R2096" s="22">
        <f t="shared" si="32"/>
        <v>109</v>
      </c>
      <c r="S2096" s="71"/>
    </row>
    <row r="2097" spans="1:19">
      <c r="A2097" s="83">
        <v>11016</v>
      </c>
      <c r="B2097" s="84">
        <v>42711</v>
      </c>
      <c r="C2097" s="83" t="s">
        <v>19197</v>
      </c>
      <c r="D2097" s="84">
        <v>42709</v>
      </c>
      <c r="E2097" s="83" t="s">
        <v>18242</v>
      </c>
      <c r="F2097" s="83" t="s">
        <v>8358</v>
      </c>
      <c r="G2097" s="83" t="s">
        <v>20</v>
      </c>
      <c r="H2097" s="83" t="s">
        <v>71</v>
      </c>
      <c r="I2097" s="83"/>
      <c r="J2097" s="83" t="s">
        <v>18243</v>
      </c>
      <c r="K2097" s="83" t="s">
        <v>18244</v>
      </c>
      <c r="L2097" s="49" t="s">
        <v>1946</v>
      </c>
      <c r="M2097" s="49" t="s">
        <v>21</v>
      </c>
      <c r="O2097" s="48">
        <v>42947</v>
      </c>
      <c r="P2097" s="83"/>
      <c r="Q2097" s="83" t="b">
        <v>0</v>
      </c>
      <c r="R2097" s="22">
        <f t="shared" si="32"/>
        <v>237</v>
      </c>
      <c r="S2097" s="71"/>
    </row>
    <row r="2098" spans="1:19">
      <c r="A2098" s="83">
        <v>11018</v>
      </c>
      <c r="B2098" s="84">
        <v>42712</v>
      </c>
      <c r="C2098" s="83" t="s">
        <v>18962</v>
      </c>
      <c r="D2098" s="84">
        <v>42712</v>
      </c>
      <c r="E2098" s="83" t="s">
        <v>18235</v>
      </c>
      <c r="F2098" s="83" t="s">
        <v>18236</v>
      </c>
      <c r="G2098" s="83" t="s">
        <v>20</v>
      </c>
      <c r="H2098" s="83" t="s">
        <v>71</v>
      </c>
      <c r="I2098" s="83"/>
      <c r="J2098" s="83" t="s">
        <v>14825</v>
      </c>
      <c r="K2098" s="83" t="s">
        <v>18237</v>
      </c>
      <c r="L2098" s="52" t="s">
        <v>4282</v>
      </c>
      <c r="M2098" s="52" t="s">
        <v>20149</v>
      </c>
      <c r="O2098" s="51">
        <v>43707</v>
      </c>
      <c r="P2098" s="83"/>
      <c r="Q2098" s="83" t="b">
        <v>0</v>
      </c>
      <c r="R2098" s="22">
        <f t="shared" si="32"/>
        <v>995</v>
      </c>
      <c r="S2098" s="71"/>
    </row>
    <row r="2099" spans="1:19">
      <c r="A2099" s="83">
        <v>11023</v>
      </c>
      <c r="B2099" s="84">
        <v>42719</v>
      </c>
      <c r="C2099" s="83" t="s">
        <v>18963</v>
      </c>
      <c r="D2099" s="84">
        <v>42719</v>
      </c>
      <c r="E2099" s="83" t="s">
        <v>18257</v>
      </c>
      <c r="F2099" s="83" t="s">
        <v>228</v>
      </c>
      <c r="G2099" s="83" t="s">
        <v>20</v>
      </c>
      <c r="H2099" s="83" t="s">
        <v>71</v>
      </c>
      <c r="I2099" s="83"/>
      <c r="J2099" s="83" t="s">
        <v>18258</v>
      </c>
      <c r="K2099" s="83" t="s">
        <v>18259</v>
      </c>
      <c r="L2099" s="83" t="s">
        <v>4282</v>
      </c>
      <c r="M2099" s="83"/>
      <c r="O2099" s="51">
        <v>43644</v>
      </c>
      <c r="P2099" s="83"/>
      <c r="Q2099" s="83" t="b">
        <v>0</v>
      </c>
      <c r="R2099" s="22">
        <f t="shared" si="32"/>
        <v>925</v>
      </c>
      <c r="S2099" s="71"/>
    </row>
    <row r="2100" spans="1:19">
      <c r="A2100" s="83">
        <v>11024</v>
      </c>
      <c r="B2100" s="84">
        <v>42719</v>
      </c>
      <c r="C2100" s="83" t="s">
        <v>19084</v>
      </c>
      <c r="D2100" s="84">
        <v>42713</v>
      </c>
      <c r="E2100" s="83" t="s">
        <v>18260</v>
      </c>
      <c r="F2100" s="83" t="s">
        <v>3430</v>
      </c>
      <c r="G2100" s="83" t="s">
        <v>20</v>
      </c>
      <c r="H2100" s="83" t="s">
        <v>71</v>
      </c>
      <c r="I2100" s="83"/>
      <c r="J2100" s="83" t="s">
        <v>18261</v>
      </c>
      <c r="K2100" s="83" t="s">
        <v>9958</v>
      </c>
      <c r="L2100" s="49" t="s">
        <v>7167</v>
      </c>
      <c r="M2100" s="49" t="s">
        <v>21</v>
      </c>
      <c r="O2100" s="48">
        <v>42775</v>
      </c>
      <c r="P2100" s="83"/>
      <c r="Q2100" s="83" t="b">
        <v>0</v>
      </c>
      <c r="R2100" s="22">
        <f t="shared" si="32"/>
        <v>54</v>
      </c>
      <c r="S2100" s="71"/>
    </row>
    <row r="2101" spans="1:19">
      <c r="A2101" s="83">
        <v>11025</v>
      </c>
      <c r="B2101" s="84">
        <v>42720</v>
      </c>
      <c r="C2101" s="83" t="s">
        <v>19181</v>
      </c>
      <c r="D2101" s="84">
        <v>42719</v>
      </c>
      <c r="E2101" s="83" t="s">
        <v>18221</v>
      </c>
      <c r="F2101" s="83" t="s">
        <v>6456</v>
      </c>
      <c r="G2101" s="83" t="s">
        <v>20</v>
      </c>
      <c r="H2101" s="83" t="s">
        <v>189</v>
      </c>
      <c r="I2101" s="83"/>
      <c r="J2101" s="83" t="s">
        <v>18065</v>
      </c>
      <c r="K2101" s="83" t="s">
        <v>18066</v>
      </c>
      <c r="L2101" s="83" t="s">
        <v>7167</v>
      </c>
      <c r="M2101" s="83"/>
      <c r="O2101" s="48">
        <v>42921</v>
      </c>
      <c r="P2101" s="83"/>
      <c r="Q2101" s="83" t="b">
        <v>0</v>
      </c>
      <c r="R2101" s="22">
        <f t="shared" si="32"/>
        <v>201</v>
      </c>
      <c r="S2101" s="71" t="s">
        <v>18064</v>
      </c>
    </row>
    <row r="2102" spans="1:19">
      <c r="A2102" s="83">
        <v>11031</v>
      </c>
      <c r="B2102" s="84">
        <v>42732</v>
      </c>
      <c r="C2102" s="83" t="s">
        <v>18965</v>
      </c>
      <c r="D2102" s="84">
        <v>42732</v>
      </c>
      <c r="E2102" s="83" t="s">
        <v>18222</v>
      </c>
      <c r="F2102" s="83" t="s">
        <v>13422</v>
      </c>
      <c r="G2102" s="83" t="s">
        <v>20</v>
      </c>
      <c r="H2102" s="83" t="s">
        <v>71</v>
      </c>
      <c r="I2102" s="83"/>
      <c r="J2102" s="83" t="s">
        <v>18223</v>
      </c>
      <c r="K2102" s="83" t="s">
        <v>18224</v>
      </c>
      <c r="L2102" s="83" t="s">
        <v>14909</v>
      </c>
      <c r="M2102" s="83"/>
      <c r="O2102" s="51">
        <v>43767</v>
      </c>
      <c r="P2102" s="83"/>
      <c r="Q2102" s="83" t="b">
        <v>0</v>
      </c>
      <c r="R2102" s="22">
        <f t="shared" si="32"/>
        <v>1035</v>
      </c>
      <c r="S2102" s="71"/>
    </row>
    <row r="2103" spans="1:19">
      <c r="A2103" s="83">
        <v>11034</v>
      </c>
      <c r="B2103" s="84">
        <v>42738</v>
      </c>
      <c r="C2103" s="83" t="s">
        <v>19208</v>
      </c>
      <c r="D2103" s="72">
        <v>42734</v>
      </c>
      <c r="E2103" s="83" t="s">
        <v>18227</v>
      </c>
      <c r="F2103" s="83" t="s">
        <v>16173</v>
      </c>
      <c r="G2103" s="83" t="s">
        <v>20</v>
      </c>
      <c r="H2103" s="83" t="s">
        <v>566</v>
      </c>
      <c r="I2103" s="83"/>
      <c r="J2103" s="83" t="s">
        <v>18228</v>
      </c>
      <c r="K2103" s="83"/>
      <c r="L2103" s="83" t="s">
        <v>14909</v>
      </c>
      <c r="M2103" s="83"/>
      <c r="O2103" s="48">
        <v>42962</v>
      </c>
      <c r="P2103" s="83"/>
      <c r="Q2103" s="83" t="b">
        <v>0</v>
      </c>
      <c r="R2103" s="22">
        <f t="shared" si="32"/>
        <v>225</v>
      </c>
      <c r="S2103" s="71"/>
    </row>
    <row r="2104" spans="1:19">
      <c r="A2104" s="83">
        <v>11035</v>
      </c>
      <c r="B2104" s="84">
        <v>42738</v>
      </c>
      <c r="C2104" s="83" t="s">
        <v>19081</v>
      </c>
      <c r="D2104" s="84">
        <v>42734</v>
      </c>
      <c r="E2104" s="83" t="s">
        <v>18229</v>
      </c>
      <c r="F2104" s="83" t="s">
        <v>3171</v>
      </c>
      <c r="G2104" s="83" t="s">
        <v>20</v>
      </c>
      <c r="H2104" s="83" t="s">
        <v>566</v>
      </c>
      <c r="I2104" s="83"/>
      <c r="J2104" s="83" t="s">
        <v>18230</v>
      </c>
      <c r="K2104" s="83" t="s">
        <v>14825</v>
      </c>
      <c r="L2104" s="49" t="s">
        <v>7167</v>
      </c>
      <c r="M2104" s="49" t="s">
        <v>21</v>
      </c>
      <c r="O2104" s="48">
        <v>42774</v>
      </c>
      <c r="P2104" s="83"/>
      <c r="Q2104" s="83" t="b">
        <v>0</v>
      </c>
      <c r="R2104" s="22">
        <f t="shared" si="32"/>
        <v>35</v>
      </c>
      <c r="S2104" s="71"/>
    </row>
    <row r="2105" spans="1:19">
      <c r="A2105" s="85">
        <v>11038</v>
      </c>
      <c r="B2105" s="86">
        <v>42739</v>
      </c>
      <c r="C2105" s="85" t="s">
        <v>18966</v>
      </c>
      <c r="D2105" s="86">
        <v>42739</v>
      </c>
      <c r="E2105" s="85" t="s">
        <v>18262</v>
      </c>
      <c r="F2105" s="85" t="s">
        <v>6084</v>
      </c>
      <c r="G2105" s="85" t="s">
        <v>20</v>
      </c>
      <c r="H2105" s="85" t="s">
        <v>71</v>
      </c>
      <c r="I2105" s="85"/>
      <c r="J2105" s="85" t="s">
        <v>18263</v>
      </c>
      <c r="K2105" s="85" t="s">
        <v>9152</v>
      </c>
      <c r="L2105" s="85" t="s">
        <v>4282</v>
      </c>
      <c r="M2105" s="85"/>
      <c r="O2105" s="51">
        <v>43318</v>
      </c>
      <c r="P2105" s="85"/>
      <c r="Q2105" s="85" t="b">
        <v>0</v>
      </c>
      <c r="R2105" s="22">
        <f t="shared" si="32"/>
        <v>579</v>
      </c>
    </row>
    <row r="2106" spans="1:19">
      <c r="A2106" s="83">
        <v>11040</v>
      </c>
      <c r="B2106" s="84">
        <v>42739</v>
      </c>
      <c r="C2106" s="83" t="s">
        <v>19107</v>
      </c>
      <c r="D2106" s="84">
        <v>42738</v>
      </c>
      <c r="E2106" s="83" t="s">
        <v>18288</v>
      </c>
      <c r="F2106" s="83" t="s">
        <v>18289</v>
      </c>
      <c r="G2106" s="83" t="s">
        <v>20</v>
      </c>
      <c r="H2106" s="83" t="s">
        <v>71</v>
      </c>
      <c r="I2106" s="83"/>
      <c r="J2106" s="83" t="s">
        <v>18290</v>
      </c>
      <c r="K2106" s="83" t="s">
        <v>18291</v>
      </c>
      <c r="L2106" s="83" t="s">
        <v>7167</v>
      </c>
      <c r="M2106" s="83"/>
      <c r="O2106" s="48">
        <v>42810</v>
      </c>
      <c r="P2106" s="83"/>
      <c r="Q2106" s="83" t="b">
        <v>0</v>
      </c>
      <c r="R2106" s="22">
        <f t="shared" si="32"/>
        <v>73</v>
      </c>
      <c r="S2106" s="71"/>
    </row>
    <row r="2107" spans="1:19">
      <c r="A2107" s="85">
        <v>11042</v>
      </c>
      <c r="B2107" s="86">
        <v>42744</v>
      </c>
      <c r="C2107" s="85" t="s">
        <v>18867</v>
      </c>
      <c r="D2107" s="86">
        <v>42741</v>
      </c>
      <c r="E2107" s="85" t="s">
        <v>18602</v>
      </c>
      <c r="F2107" s="85" t="s">
        <v>149</v>
      </c>
      <c r="G2107" s="85" t="s">
        <v>20</v>
      </c>
      <c r="H2107" s="85" t="s">
        <v>71</v>
      </c>
      <c r="I2107" s="85"/>
      <c r="J2107" s="85" t="s">
        <v>18603</v>
      </c>
      <c r="K2107" s="85" t="s">
        <v>18224</v>
      </c>
      <c r="L2107" s="85" t="s">
        <v>1946</v>
      </c>
      <c r="M2107" s="85"/>
      <c r="O2107" s="51">
        <v>43367</v>
      </c>
      <c r="P2107" s="85"/>
      <c r="Q2107" s="85" t="b">
        <v>0</v>
      </c>
      <c r="R2107" s="22">
        <f t="shared" si="32"/>
        <v>623</v>
      </c>
    </row>
    <row r="2108" spans="1:19">
      <c r="A2108" s="83">
        <v>11048</v>
      </c>
      <c r="B2108" s="84">
        <v>42746</v>
      </c>
      <c r="C2108" s="83" t="s">
        <v>19082</v>
      </c>
      <c r="D2108" s="84">
        <v>42745</v>
      </c>
      <c r="E2108" s="83" t="s">
        <v>18317</v>
      </c>
      <c r="F2108" s="83" t="s">
        <v>3171</v>
      </c>
      <c r="G2108" s="83" t="s">
        <v>20</v>
      </c>
      <c r="H2108" s="83" t="s">
        <v>566</v>
      </c>
      <c r="I2108" s="83"/>
      <c r="J2108" s="83" t="s">
        <v>18318</v>
      </c>
      <c r="K2108" s="83" t="s">
        <v>14825</v>
      </c>
      <c r="L2108" s="49" t="s">
        <v>7167</v>
      </c>
      <c r="M2108" s="49" t="s">
        <v>21</v>
      </c>
      <c r="O2108" s="48">
        <v>42774</v>
      </c>
      <c r="P2108" s="83"/>
      <c r="Q2108" s="83" t="b">
        <v>0</v>
      </c>
      <c r="R2108" s="22">
        <f t="shared" si="32"/>
        <v>27</v>
      </c>
      <c r="S2108" s="71"/>
    </row>
    <row r="2109" spans="1:19">
      <c r="A2109" s="83">
        <v>11052</v>
      </c>
      <c r="B2109" s="84">
        <v>42752</v>
      </c>
      <c r="C2109" s="83" t="s">
        <v>19123</v>
      </c>
      <c r="D2109" s="84">
        <v>42748</v>
      </c>
      <c r="E2109" s="83" t="s">
        <v>18323</v>
      </c>
      <c r="F2109" s="83" t="s">
        <v>13422</v>
      </c>
      <c r="G2109" s="83" t="s">
        <v>20</v>
      </c>
      <c r="H2109" s="83" t="s">
        <v>71</v>
      </c>
      <c r="I2109" s="83"/>
      <c r="J2109" s="83" t="s">
        <v>18324</v>
      </c>
      <c r="K2109" s="83" t="s">
        <v>9348</v>
      </c>
      <c r="L2109" s="83" t="s">
        <v>14909</v>
      </c>
      <c r="M2109" s="83"/>
      <c r="O2109" s="48">
        <v>42830</v>
      </c>
      <c r="P2109" s="83"/>
      <c r="Q2109" s="83" t="b">
        <v>0</v>
      </c>
      <c r="R2109" s="22">
        <f t="shared" si="32"/>
        <v>79</v>
      </c>
      <c r="S2109" s="71"/>
    </row>
    <row r="2110" spans="1:19">
      <c r="A2110" s="85">
        <v>11060</v>
      </c>
      <c r="B2110" s="86">
        <v>42759</v>
      </c>
      <c r="C2110" s="85" t="s">
        <v>18972</v>
      </c>
      <c r="D2110" s="86">
        <v>42758</v>
      </c>
      <c r="E2110" s="85" t="s">
        <v>18614</v>
      </c>
      <c r="F2110" s="85" t="s">
        <v>15716</v>
      </c>
      <c r="G2110" s="85" t="s">
        <v>20</v>
      </c>
      <c r="H2110" s="85" t="s">
        <v>566</v>
      </c>
      <c r="I2110" s="85"/>
      <c r="J2110" s="85" t="s">
        <v>18615</v>
      </c>
      <c r="K2110" s="85" t="s">
        <v>18616</v>
      </c>
      <c r="L2110" s="85" t="s">
        <v>14518</v>
      </c>
      <c r="M2110" s="85"/>
      <c r="O2110" s="51">
        <v>43357</v>
      </c>
      <c r="P2110" s="85"/>
      <c r="Q2110" s="85" t="b">
        <v>0</v>
      </c>
      <c r="R2110" s="22">
        <f t="shared" si="32"/>
        <v>598</v>
      </c>
    </row>
    <row r="2111" spans="1:19">
      <c r="A2111" s="83">
        <v>11062</v>
      </c>
      <c r="B2111" s="84">
        <v>42760</v>
      </c>
      <c r="C2111" s="83" t="s">
        <v>19105</v>
      </c>
      <c r="D2111" s="84">
        <v>42759</v>
      </c>
      <c r="E2111" s="83" t="s">
        <v>18332</v>
      </c>
      <c r="F2111" s="83" t="s">
        <v>741</v>
      </c>
      <c r="G2111" s="83" t="s">
        <v>20</v>
      </c>
      <c r="H2111" s="83" t="s">
        <v>71</v>
      </c>
      <c r="I2111" s="83"/>
      <c r="J2111" s="83" t="s">
        <v>18333</v>
      </c>
      <c r="K2111" s="83" t="s">
        <v>18334</v>
      </c>
      <c r="L2111" s="83" t="s">
        <v>1946</v>
      </c>
      <c r="M2111" s="83"/>
      <c r="O2111" s="48">
        <v>42809</v>
      </c>
      <c r="P2111" s="83"/>
      <c r="Q2111" s="83" t="b">
        <v>0</v>
      </c>
      <c r="R2111" s="22">
        <f t="shared" si="32"/>
        <v>50</v>
      </c>
      <c r="S2111" s="71"/>
    </row>
    <row r="2112" spans="1:19">
      <c r="A2112" s="83">
        <v>11070</v>
      </c>
      <c r="B2112" s="84">
        <v>42765</v>
      </c>
      <c r="C2112" s="83" t="s">
        <v>19101</v>
      </c>
      <c r="D2112" s="84">
        <v>42765</v>
      </c>
      <c r="E2112" s="83" t="s">
        <v>18343</v>
      </c>
      <c r="F2112" s="83" t="s">
        <v>6084</v>
      </c>
      <c r="G2112" s="83" t="s">
        <v>20</v>
      </c>
      <c r="H2112" s="83" t="s">
        <v>71</v>
      </c>
      <c r="I2112" s="83"/>
      <c r="J2112" s="83" t="s">
        <v>18344</v>
      </c>
      <c r="K2112" s="83" t="s">
        <v>18345</v>
      </c>
      <c r="L2112" s="83" t="s">
        <v>4282</v>
      </c>
      <c r="M2112" s="83"/>
      <c r="O2112" s="48">
        <v>42807</v>
      </c>
      <c r="P2112" s="83"/>
      <c r="Q2112" s="83" t="b">
        <v>0</v>
      </c>
      <c r="R2112" s="22">
        <f t="shared" si="32"/>
        <v>43</v>
      </c>
      <c r="S2112" s="71"/>
    </row>
    <row r="2113" spans="1:19">
      <c r="A2113" s="83">
        <v>11071</v>
      </c>
      <c r="B2113" s="84">
        <v>42766</v>
      </c>
      <c r="C2113" s="83" t="s">
        <v>18974</v>
      </c>
      <c r="D2113" s="84">
        <v>42766</v>
      </c>
      <c r="E2113" s="83" t="s">
        <v>18619</v>
      </c>
      <c r="F2113" s="83" t="s">
        <v>1546</v>
      </c>
      <c r="G2113" s="83" t="s">
        <v>20</v>
      </c>
      <c r="H2113" s="83" t="s">
        <v>71</v>
      </c>
      <c r="I2113" s="83"/>
      <c r="J2113" s="83" t="s">
        <v>18620</v>
      </c>
      <c r="K2113" s="83" t="s">
        <v>18621</v>
      </c>
      <c r="L2113" s="83" t="s">
        <v>1946</v>
      </c>
      <c r="M2113" s="83"/>
      <c r="O2113" s="51">
        <v>43789</v>
      </c>
      <c r="P2113" s="83"/>
      <c r="Q2113" s="83" t="b">
        <v>0</v>
      </c>
      <c r="R2113" s="22">
        <f t="shared" si="32"/>
        <v>1024</v>
      </c>
      <c r="S2113" s="71"/>
    </row>
    <row r="2114" spans="1:19" ht="24">
      <c r="A2114" s="47">
        <v>11072</v>
      </c>
      <c r="B2114" s="48">
        <v>42767</v>
      </c>
      <c r="C2114" s="49" t="s">
        <v>18975</v>
      </c>
      <c r="D2114" s="48">
        <v>42765</v>
      </c>
      <c r="E2114" s="49" t="s">
        <v>18622</v>
      </c>
      <c r="F2114" s="49" t="s">
        <v>149</v>
      </c>
      <c r="G2114" s="49" t="s">
        <v>20</v>
      </c>
      <c r="H2114" s="49" t="s">
        <v>71</v>
      </c>
      <c r="I2114" s="49" t="s">
        <v>21</v>
      </c>
      <c r="J2114" s="49" t="s">
        <v>18623</v>
      </c>
      <c r="K2114" s="49" t="s">
        <v>18066</v>
      </c>
      <c r="L2114" s="52" t="s">
        <v>7167</v>
      </c>
      <c r="M2114" s="52" t="s">
        <v>14909</v>
      </c>
      <c r="O2114" s="51">
        <v>43874</v>
      </c>
      <c r="P2114" s="49" t="s">
        <v>21</v>
      </c>
      <c r="Q2114" s="47" t="b">
        <v>0</v>
      </c>
      <c r="R2114" s="22">
        <f t="shared" ref="R2114:R2177" si="33">IF(O2114=" ", " ", INT(YEARFRAC(O2114, B2114)*365))</f>
        <v>1107</v>
      </c>
      <c r="S2114" s="71"/>
    </row>
    <row r="2115" spans="1:19" ht="24">
      <c r="A2115" s="47">
        <v>11076</v>
      </c>
      <c r="B2115" s="48">
        <v>42772</v>
      </c>
      <c r="C2115" s="49" t="s">
        <v>18976</v>
      </c>
      <c r="D2115" s="48">
        <v>42769</v>
      </c>
      <c r="E2115" s="49" t="s">
        <v>18624</v>
      </c>
      <c r="F2115" s="49" t="s">
        <v>3171</v>
      </c>
      <c r="G2115" s="49" t="s">
        <v>20</v>
      </c>
      <c r="H2115" s="49" t="s">
        <v>566</v>
      </c>
      <c r="I2115" s="49" t="s">
        <v>21</v>
      </c>
      <c r="J2115" s="49" t="s">
        <v>7025</v>
      </c>
      <c r="K2115" s="49" t="s">
        <v>18625</v>
      </c>
      <c r="L2115" s="52" t="s">
        <v>4282</v>
      </c>
      <c r="M2115" s="52" t="s">
        <v>14518</v>
      </c>
      <c r="O2115" s="51">
        <v>43819</v>
      </c>
      <c r="P2115" s="49" t="s">
        <v>21</v>
      </c>
      <c r="Q2115" s="47" t="b">
        <v>0</v>
      </c>
      <c r="R2115" s="22">
        <f t="shared" si="33"/>
        <v>1048</v>
      </c>
      <c r="S2115" s="71"/>
    </row>
    <row r="2116" spans="1:19" ht="36">
      <c r="A2116" s="47">
        <v>11078</v>
      </c>
      <c r="B2116" s="48">
        <v>42779</v>
      </c>
      <c r="C2116" s="49" t="s">
        <v>18977</v>
      </c>
      <c r="D2116" s="48">
        <v>42779</v>
      </c>
      <c r="E2116" s="49" t="s">
        <v>18542</v>
      </c>
      <c r="F2116" s="49" t="s">
        <v>1844</v>
      </c>
      <c r="G2116" s="49" t="s">
        <v>20</v>
      </c>
      <c r="H2116" s="49" t="s">
        <v>71</v>
      </c>
      <c r="I2116" s="49" t="s">
        <v>21</v>
      </c>
      <c r="J2116" s="49" t="s">
        <v>18626</v>
      </c>
      <c r="K2116" s="49" t="s">
        <v>18066</v>
      </c>
      <c r="L2116" s="49" t="s">
        <v>1946</v>
      </c>
      <c r="M2116" s="49" t="s">
        <v>21</v>
      </c>
      <c r="O2116" s="51">
        <v>43623</v>
      </c>
      <c r="P2116" s="49" t="s">
        <v>21</v>
      </c>
      <c r="Q2116" s="47" t="b">
        <v>0</v>
      </c>
      <c r="R2116" s="22">
        <f t="shared" si="33"/>
        <v>845</v>
      </c>
      <c r="S2116" s="71"/>
    </row>
    <row r="2117" spans="1:19" ht="36">
      <c r="A2117" s="47">
        <v>11083</v>
      </c>
      <c r="B2117" s="48">
        <v>42783</v>
      </c>
      <c r="C2117" s="49" t="s">
        <v>18978</v>
      </c>
      <c r="D2117" s="48">
        <v>42783</v>
      </c>
      <c r="E2117" s="49" t="s">
        <v>18627</v>
      </c>
      <c r="F2117" s="49" t="s">
        <v>15716</v>
      </c>
      <c r="G2117" s="49" t="s">
        <v>20</v>
      </c>
      <c r="H2117" s="49" t="s">
        <v>566</v>
      </c>
      <c r="I2117" s="49" t="s">
        <v>21</v>
      </c>
      <c r="J2117" s="49" t="s">
        <v>18628</v>
      </c>
      <c r="K2117" s="49" t="s">
        <v>21</v>
      </c>
      <c r="L2117" s="52" t="s">
        <v>18572</v>
      </c>
      <c r="M2117" s="52" t="s">
        <v>14909</v>
      </c>
      <c r="O2117" s="51">
        <v>43614</v>
      </c>
      <c r="P2117" s="49" t="s">
        <v>21</v>
      </c>
      <c r="Q2117" s="47" t="b">
        <v>0</v>
      </c>
      <c r="R2117" s="22">
        <f t="shared" si="33"/>
        <v>833</v>
      </c>
      <c r="S2117" s="71"/>
    </row>
    <row r="2118" spans="1:19" ht="72">
      <c r="A2118" s="47">
        <v>11087</v>
      </c>
      <c r="B2118" s="48">
        <v>42787</v>
      </c>
      <c r="C2118" s="49" t="s">
        <v>18979</v>
      </c>
      <c r="D2118" s="48">
        <v>42782</v>
      </c>
      <c r="E2118" s="49" t="s">
        <v>18629</v>
      </c>
      <c r="F2118" s="49" t="s">
        <v>15525</v>
      </c>
      <c r="G2118" s="49" t="s">
        <v>20</v>
      </c>
      <c r="H2118" s="49" t="s">
        <v>71</v>
      </c>
      <c r="I2118" s="49" t="s">
        <v>21</v>
      </c>
      <c r="J2118" s="49" t="s">
        <v>18630</v>
      </c>
      <c r="K2118" s="49" t="s">
        <v>21</v>
      </c>
      <c r="L2118" s="49" t="s">
        <v>14909</v>
      </c>
      <c r="M2118" s="49" t="s">
        <v>21</v>
      </c>
      <c r="O2118" s="51">
        <v>43481</v>
      </c>
      <c r="P2118" s="49" t="s">
        <v>21</v>
      </c>
      <c r="Q2118" s="47" t="b">
        <v>0</v>
      </c>
      <c r="R2118" s="22">
        <f t="shared" si="33"/>
        <v>694</v>
      </c>
      <c r="S2118" s="71"/>
    </row>
    <row r="2119" spans="1:19" ht="36">
      <c r="A2119" s="47">
        <v>11088</v>
      </c>
      <c r="B2119" s="48">
        <v>42788</v>
      </c>
      <c r="C2119" s="49" t="s">
        <v>19128</v>
      </c>
      <c r="D2119" s="48">
        <v>42787</v>
      </c>
      <c r="E2119" s="49" t="s">
        <v>18364</v>
      </c>
      <c r="F2119" s="49" t="s">
        <v>13960</v>
      </c>
      <c r="G2119" s="49" t="s">
        <v>20</v>
      </c>
      <c r="H2119" s="49" t="s">
        <v>71</v>
      </c>
      <c r="I2119" s="49" t="s">
        <v>21</v>
      </c>
      <c r="J2119" s="49" t="s">
        <v>18365</v>
      </c>
      <c r="K2119" s="49" t="s">
        <v>18366</v>
      </c>
      <c r="L2119" s="49" t="s">
        <v>1946</v>
      </c>
      <c r="M2119" s="49" t="s">
        <v>21</v>
      </c>
      <c r="O2119" s="48">
        <v>42845</v>
      </c>
      <c r="P2119" s="49" t="s">
        <v>21</v>
      </c>
      <c r="Q2119" s="47" t="b">
        <v>0</v>
      </c>
      <c r="R2119" s="22">
        <f t="shared" si="33"/>
        <v>58</v>
      </c>
      <c r="S2119" s="71"/>
    </row>
    <row r="2120" spans="1:19" ht="24">
      <c r="A2120" s="47">
        <v>11089</v>
      </c>
      <c r="B2120" s="48">
        <v>42793</v>
      </c>
      <c r="C2120" s="49" t="s">
        <v>18980</v>
      </c>
      <c r="D2120" s="48">
        <v>42790</v>
      </c>
      <c r="E2120" s="49" t="s">
        <v>18631</v>
      </c>
      <c r="F2120" s="49" t="s">
        <v>13422</v>
      </c>
      <c r="G2120" s="49" t="s">
        <v>20</v>
      </c>
      <c r="H2120" s="49" t="s">
        <v>71</v>
      </c>
      <c r="I2120" s="49" t="s">
        <v>21</v>
      </c>
      <c r="J2120" s="49" t="s">
        <v>15009</v>
      </c>
      <c r="K2120" s="49" t="s">
        <v>9348</v>
      </c>
      <c r="L2120" s="49" t="s">
        <v>7167</v>
      </c>
      <c r="M2120" s="49" t="s">
        <v>21</v>
      </c>
      <c r="O2120" s="51">
        <v>44069</v>
      </c>
      <c r="P2120" s="49" t="s">
        <v>21</v>
      </c>
      <c r="Q2120" s="47" t="b">
        <v>0</v>
      </c>
      <c r="R2120" s="22">
        <f t="shared" si="33"/>
        <v>1276</v>
      </c>
      <c r="S2120" s="71"/>
    </row>
    <row r="2121" spans="1:19" ht="24">
      <c r="A2121" s="47">
        <v>11092</v>
      </c>
      <c r="B2121" s="48">
        <v>42800</v>
      </c>
      <c r="C2121" s="49" t="s">
        <v>18981</v>
      </c>
      <c r="D2121" s="48">
        <v>42796</v>
      </c>
      <c r="E2121" s="49" t="s">
        <v>18632</v>
      </c>
      <c r="F2121" s="49" t="s">
        <v>10205</v>
      </c>
      <c r="G2121" s="49" t="s">
        <v>20</v>
      </c>
      <c r="H2121" s="49" t="s">
        <v>566</v>
      </c>
      <c r="I2121" s="49" t="s">
        <v>21</v>
      </c>
      <c r="J2121" s="49" t="s">
        <v>18633</v>
      </c>
      <c r="K2121" s="49" t="s">
        <v>18634</v>
      </c>
      <c r="L2121" s="49" t="s">
        <v>1946</v>
      </c>
      <c r="M2121" s="49" t="s">
        <v>21</v>
      </c>
      <c r="O2121" s="51">
        <v>43959</v>
      </c>
      <c r="P2121" s="49" t="s">
        <v>21</v>
      </c>
      <c r="Q2121" s="47" t="b">
        <v>0</v>
      </c>
      <c r="R2121" s="22">
        <f t="shared" si="33"/>
        <v>1157</v>
      </c>
      <c r="S2121" s="71"/>
    </row>
    <row r="2122" spans="1:19" ht="36">
      <c r="A2122" s="68">
        <v>11097</v>
      </c>
      <c r="B2122" s="45">
        <v>42802</v>
      </c>
      <c r="C2122" s="46" t="s">
        <v>18982</v>
      </c>
      <c r="D2122" s="45">
        <v>42800</v>
      </c>
      <c r="E2122" s="46" t="s">
        <v>18635</v>
      </c>
      <c r="F2122" s="46" t="s">
        <v>15525</v>
      </c>
      <c r="G2122" s="46" t="s">
        <v>20</v>
      </c>
      <c r="H2122" s="46" t="s">
        <v>566</v>
      </c>
      <c r="I2122" s="46" t="s">
        <v>21</v>
      </c>
      <c r="J2122" s="46" t="s">
        <v>18636</v>
      </c>
      <c r="K2122" s="46" t="s">
        <v>18371</v>
      </c>
      <c r="L2122" s="46" t="s">
        <v>14909</v>
      </c>
      <c r="M2122" s="46" t="s">
        <v>21</v>
      </c>
      <c r="O2122" s="45">
        <v>43455</v>
      </c>
      <c r="P2122" s="69" t="s">
        <v>21</v>
      </c>
      <c r="Q2122" s="44" t="b">
        <v>0</v>
      </c>
      <c r="R2122" s="22">
        <f t="shared" si="33"/>
        <v>651</v>
      </c>
    </row>
    <row r="2123" spans="1:19" ht="36">
      <c r="A2123" s="68">
        <v>11101</v>
      </c>
      <c r="B2123" s="45">
        <v>42815</v>
      </c>
      <c r="C2123" s="46" t="s">
        <v>18983</v>
      </c>
      <c r="D2123" s="45">
        <v>42809</v>
      </c>
      <c r="E2123" s="46" t="s">
        <v>18639</v>
      </c>
      <c r="F2123" s="46" t="s">
        <v>15525</v>
      </c>
      <c r="G2123" s="46" t="s">
        <v>20</v>
      </c>
      <c r="H2123" s="46" t="s">
        <v>566</v>
      </c>
      <c r="I2123" s="46" t="s">
        <v>21</v>
      </c>
      <c r="J2123" s="46" t="s">
        <v>18640</v>
      </c>
      <c r="K2123" s="46" t="s">
        <v>18641</v>
      </c>
      <c r="L2123" s="46" t="s">
        <v>14909</v>
      </c>
      <c r="M2123" s="46" t="s">
        <v>21</v>
      </c>
      <c r="O2123" s="45">
        <v>43454</v>
      </c>
      <c r="P2123" s="69" t="s">
        <v>21</v>
      </c>
      <c r="Q2123" s="44" t="b">
        <v>0</v>
      </c>
      <c r="R2123" s="22">
        <f t="shared" si="33"/>
        <v>637</v>
      </c>
    </row>
    <row r="2124" spans="1:19" ht="36">
      <c r="A2124" s="43">
        <v>11102</v>
      </c>
      <c r="B2124" s="29">
        <v>42815</v>
      </c>
      <c r="C2124" s="37" t="s">
        <v>18984</v>
      </c>
      <c r="D2124" s="29">
        <v>42815</v>
      </c>
      <c r="E2124" s="37" t="s">
        <v>18642</v>
      </c>
      <c r="F2124" s="37" t="s">
        <v>18500</v>
      </c>
      <c r="G2124" s="37" t="s">
        <v>20</v>
      </c>
      <c r="H2124" s="37" t="s">
        <v>71</v>
      </c>
      <c r="I2124" s="37" t="s">
        <v>21</v>
      </c>
      <c r="J2124" s="37" t="s">
        <v>18643</v>
      </c>
      <c r="K2124" s="37" t="s">
        <v>18644</v>
      </c>
      <c r="L2124" s="46" t="s">
        <v>7167</v>
      </c>
      <c r="M2124" s="46" t="s">
        <v>14518</v>
      </c>
      <c r="O2124" s="45">
        <v>43887</v>
      </c>
      <c r="P2124" s="37" t="s">
        <v>21</v>
      </c>
      <c r="Q2124" s="43" t="b">
        <v>0</v>
      </c>
      <c r="R2124" s="22">
        <f t="shared" si="33"/>
        <v>1069</v>
      </c>
      <c r="S2124" s="37" t="s">
        <v>21</v>
      </c>
    </row>
    <row r="2125" spans="1:19">
      <c r="A2125" s="71">
        <v>11106</v>
      </c>
      <c r="B2125" s="72">
        <v>42822</v>
      </c>
      <c r="C2125" s="71" t="s">
        <v>18985</v>
      </c>
      <c r="D2125" s="72">
        <v>42822</v>
      </c>
      <c r="E2125" s="71" t="s">
        <v>18645</v>
      </c>
      <c r="F2125" s="71" t="s">
        <v>13032</v>
      </c>
      <c r="G2125" s="71" t="s">
        <v>20</v>
      </c>
      <c r="H2125" s="71" t="s">
        <v>566</v>
      </c>
      <c r="I2125" s="71"/>
      <c r="J2125" s="71" t="s">
        <v>18646</v>
      </c>
      <c r="K2125" s="71" t="s">
        <v>14825</v>
      </c>
      <c r="L2125" s="37" t="s">
        <v>7167</v>
      </c>
      <c r="M2125" s="37" t="s">
        <v>21</v>
      </c>
      <c r="O2125" s="45">
        <v>43725</v>
      </c>
      <c r="P2125" s="71"/>
      <c r="Q2125" s="71" t="b">
        <v>0</v>
      </c>
      <c r="R2125" s="22">
        <f t="shared" si="33"/>
        <v>901</v>
      </c>
      <c r="S2125" s="71" t="s">
        <v>19303</v>
      </c>
    </row>
    <row r="2126" spans="1:19">
      <c r="A2126" s="71">
        <v>11112</v>
      </c>
      <c r="B2126" s="72">
        <v>42828</v>
      </c>
      <c r="C2126" s="71" t="s">
        <v>18986</v>
      </c>
      <c r="D2126" s="72">
        <v>42828</v>
      </c>
      <c r="E2126" s="71" t="s">
        <v>18647</v>
      </c>
      <c r="F2126" s="71" t="s">
        <v>13032</v>
      </c>
      <c r="G2126" s="71" t="s">
        <v>20</v>
      </c>
      <c r="H2126" s="71" t="s">
        <v>566</v>
      </c>
      <c r="I2126" s="71"/>
      <c r="J2126" s="71" t="s">
        <v>18646</v>
      </c>
      <c r="K2126" s="71" t="s">
        <v>14825</v>
      </c>
      <c r="L2126" s="37" t="s">
        <v>7167</v>
      </c>
      <c r="M2126" s="37" t="s">
        <v>21</v>
      </c>
      <c r="O2126" s="45">
        <v>43719</v>
      </c>
      <c r="P2126" s="71"/>
      <c r="Q2126" s="71" t="b">
        <v>0</v>
      </c>
      <c r="R2126" s="22">
        <f t="shared" si="33"/>
        <v>890</v>
      </c>
      <c r="S2126" s="71" t="s">
        <v>19304</v>
      </c>
    </row>
    <row r="2127" spans="1:19" ht="24">
      <c r="A2127" s="43">
        <v>11118</v>
      </c>
      <c r="B2127" s="29">
        <v>42843</v>
      </c>
      <c r="C2127" s="37" t="s">
        <v>18987</v>
      </c>
      <c r="D2127" s="29">
        <v>42842</v>
      </c>
      <c r="E2127" s="37" t="s">
        <v>18648</v>
      </c>
      <c r="F2127" s="37" t="s">
        <v>7212</v>
      </c>
      <c r="G2127" s="37" t="s">
        <v>20</v>
      </c>
      <c r="H2127" s="37" t="s">
        <v>71</v>
      </c>
      <c r="I2127" s="37" t="s">
        <v>21</v>
      </c>
      <c r="J2127" s="37" t="s">
        <v>4488</v>
      </c>
      <c r="K2127" s="37" t="s">
        <v>18066</v>
      </c>
      <c r="L2127" s="37" t="s">
        <v>7167</v>
      </c>
      <c r="M2127" s="37" t="s">
        <v>21</v>
      </c>
      <c r="O2127" s="45">
        <v>43551</v>
      </c>
      <c r="P2127" s="37" t="s">
        <v>21</v>
      </c>
      <c r="Q2127" s="43" t="b">
        <v>0</v>
      </c>
      <c r="R2127" s="22">
        <f t="shared" si="33"/>
        <v>708</v>
      </c>
      <c r="S2127" s="71" t="s">
        <v>18398</v>
      </c>
    </row>
    <row r="2128" spans="1:19" ht="24">
      <c r="A2128" s="43">
        <v>11120</v>
      </c>
      <c r="B2128" s="29">
        <v>42845</v>
      </c>
      <c r="C2128" s="37" t="s">
        <v>18988</v>
      </c>
      <c r="D2128" s="29">
        <v>42845</v>
      </c>
      <c r="E2128" s="37" t="s">
        <v>18649</v>
      </c>
      <c r="F2128" s="37" t="s">
        <v>14118</v>
      </c>
      <c r="G2128" s="37" t="s">
        <v>20</v>
      </c>
      <c r="H2128" s="37" t="s">
        <v>71</v>
      </c>
      <c r="I2128" s="37" t="s">
        <v>21</v>
      </c>
      <c r="J2128" s="37" t="s">
        <v>18650</v>
      </c>
      <c r="K2128" s="37" t="s">
        <v>16399</v>
      </c>
      <c r="L2128" s="37" t="s">
        <v>4282</v>
      </c>
      <c r="M2128" s="37" t="s">
        <v>21</v>
      </c>
      <c r="O2128" s="45">
        <v>43760</v>
      </c>
      <c r="P2128" s="37" t="s">
        <v>21</v>
      </c>
      <c r="Q2128" s="43" t="b">
        <v>0</v>
      </c>
      <c r="R2128" s="22">
        <f t="shared" si="33"/>
        <v>914</v>
      </c>
      <c r="S2128" s="71"/>
    </row>
    <row r="2129" spans="1:19" ht="36">
      <c r="A2129" s="43">
        <v>11121</v>
      </c>
      <c r="B2129" s="29">
        <v>42849</v>
      </c>
      <c r="C2129" s="37" t="s">
        <v>18989</v>
      </c>
      <c r="D2129" s="29">
        <v>42849</v>
      </c>
      <c r="E2129" s="37" t="s">
        <v>18651</v>
      </c>
      <c r="F2129" s="37" t="s">
        <v>11319</v>
      </c>
      <c r="G2129" s="37" t="s">
        <v>20</v>
      </c>
      <c r="H2129" s="37" t="s">
        <v>71</v>
      </c>
      <c r="I2129" s="37" t="s">
        <v>21</v>
      </c>
      <c r="J2129" s="37" t="s">
        <v>18652</v>
      </c>
      <c r="K2129" s="37" t="s">
        <v>18389</v>
      </c>
      <c r="L2129" s="37" t="s">
        <v>1946</v>
      </c>
      <c r="M2129" s="37" t="s">
        <v>21</v>
      </c>
      <c r="O2129" s="45">
        <v>43635</v>
      </c>
      <c r="P2129" s="37" t="s">
        <v>21</v>
      </c>
      <c r="Q2129" s="43" t="b">
        <v>0</v>
      </c>
      <c r="R2129" s="22">
        <f t="shared" si="33"/>
        <v>785</v>
      </c>
      <c r="S2129" s="71"/>
    </row>
    <row r="2130" spans="1:19" ht="36">
      <c r="A2130" s="43">
        <v>11124</v>
      </c>
      <c r="B2130" s="29">
        <v>42852</v>
      </c>
      <c r="C2130" s="37" t="s">
        <v>19168</v>
      </c>
      <c r="D2130" s="29">
        <v>42852</v>
      </c>
      <c r="E2130" s="37" t="s">
        <v>18414</v>
      </c>
      <c r="F2130" s="37" t="s">
        <v>984</v>
      </c>
      <c r="G2130" s="37" t="s">
        <v>20</v>
      </c>
      <c r="H2130" s="37" t="s">
        <v>71</v>
      </c>
      <c r="I2130" s="37" t="s">
        <v>21</v>
      </c>
      <c r="J2130" s="37" t="s">
        <v>18255</v>
      </c>
      <c r="K2130" s="37" t="s">
        <v>18256</v>
      </c>
      <c r="L2130" s="37" t="s">
        <v>4282</v>
      </c>
      <c r="M2130" s="37" t="s">
        <v>21</v>
      </c>
      <c r="O2130" s="29">
        <v>42916</v>
      </c>
      <c r="P2130" s="37" t="s">
        <v>21</v>
      </c>
      <c r="Q2130" s="43" t="b">
        <v>0</v>
      </c>
      <c r="R2130" s="22">
        <f t="shared" si="33"/>
        <v>63</v>
      </c>
      <c r="S2130" s="71" t="s">
        <v>18254</v>
      </c>
    </row>
    <row r="2131" spans="1:19" ht="36">
      <c r="A2131" s="43">
        <v>11132</v>
      </c>
      <c r="B2131" s="29">
        <v>42867</v>
      </c>
      <c r="C2131" s="37" t="s">
        <v>18991</v>
      </c>
      <c r="D2131" s="29">
        <v>42866</v>
      </c>
      <c r="E2131" s="37" t="s">
        <v>18655</v>
      </c>
      <c r="F2131" s="37" t="s">
        <v>350</v>
      </c>
      <c r="G2131" s="37" t="s">
        <v>20</v>
      </c>
      <c r="H2131" s="37" t="s">
        <v>71</v>
      </c>
      <c r="I2131" s="37" t="s">
        <v>21</v>
      </c>
      <c r="J2131" s="37" t="s">
        <v>18656</v>
      </c>
      <c r="K2131" s="37" t="s">
        <v>18418</v>
      </c>
      <c r="L2131" s="46" t="s">
        <v>1152</v>
      </c>
      <c r="M2131" s="46" t="s">
        <v>18572</v>
      </c>
      <c r="O2131" s="45">
        <v>43776</v>
      </c>
      <c r="P2131" s="37" t="s">
        <v>21</v>
      </c>
      <c r="Q2131" s="43" t="b">
        <v>0</v>
      </c>
      <c r="R2131" s="22">
        <f t="shared" si="33"/>
        <v>907</v>
      </c>
      <c r="S2131" s="71"/>
    </row>
    <row r="2132" spans="1:19" ht="24">
      <c r="A2132" s="43">
        <v>11143</v>
      </c>
      <c r="B2132" s="29">
        <v>42885</v>
      </c>
      <c r="C2132" s="37" t="s">
        <v>18992</v>
      </c>
      <c r="D2132" s="29">
        <v>42885</v>
      </c>
      <c r="E2132" s="37" t="s">
        <v>18657</v>
      </c>
      <c r="F2132" s="37" t="s">
        <v>283</v>
      </c>
      <c r="G2132" s="37" t="s">
        <v>20</v>
      </c>
      <c r="H2132" s="37" t="s">
        <v>71</v>
      </c>
      <c r="I2132" s="37" t="s">
        <v>21</v>
      </c>
      <c r="J2132" s="37" t="s">
        <v>18658</v>
      </c>
      <c r="K2132" s="37" t="s">
        <v>9152</v>
      </c>
      <c r="L2132" s="46" t="s">
        <v>4282</v>
      </c>
      <c r="M2132" s="46" t="s">
        <v>14909</v>
      </c>
      <c r="O2132" s="45">
        <v>43644</v>
      </c>
      <c r="P2132" s="37" t="s">
        <v>21</v>
      </c>
      <c r="Q2132" s="43" t="b">
        <v>0</v>
      </c>
      <c r="R2132" s="22">
        <f t="shared" si="33"/>
        <v>758</v>
      </c>
      <c r="S2132" s="71"/>
    </row>
    <row r="2133" spans="1:19" ht="36">
      <c r="A2133" s="43">
        <v>11144</v>
      </c>
      <c r="B2133" s="29">
        <v>42886</v>
      </c>
      <c r="C2133" s="37" t="s">
        <v>18993</v>
      </c>
      <c r="D2133" s="29">
        <v>42885</v>
      </c>
      <c r="E2133" s="37" t="s">
        <v>18659</v>
      </c>
      <c r="F2133" s="37" t="s">
        <v>974</v>
      </c>
      <c r="G2133" s="37" t="s">
        <v>20</v>
      </c>
      <c r="H2133" s="37" t="s">
        <v>212</v>
      </c>
      <c r="I2133" s="37" t="s">
        <v>21</v>
      </c>
      <c r="J2133" s="37" t="s">
        <v>18660</v>
      </c>
      <c r="K2133" s="37" t="s">
        <v>18661</v>
      </c>
      <c r="L2133" s="46" t="s">
        <v>1946</v>
      </c>
      <c r="M2133" s="46" t="s">
        <v>21</v>
      </c>
      <c r="O2133" s="45">
        <v>43852</v>
      </c>
      <c r="P2133" s="37" t="s">
        <v>21</v>
      </c>
      <c r="Q2133" s="43" t="b">
        <v>0</v>
      </c>
      <c r="R2133" s="22">
        <f t="shared" si="33"/>
        <v>965</v>
      </c>
      <c r="S2133" s="37" t="s">
        <v>21</v>
      </c>
    </row>
    <row r="2134" spans="1:19" ht="24">
      <c r="A2134" s="43">
        <v>11172</v>
      </c>
      <c r="B2134" s="29">
        <v>42914</v>
      </c>
      <c r="C2134" s="37" t="s">
        <v>19252</v>
      </c>
      <c r="D2134" s="29">
        <v>42913</v>
      </c>
      <c r="E2134" s="37" t="s">
        <v>18480</v>
      </c>
      <c r="F2134" s="37" t="s">
        <v>5184</v>
      </c>
      <c r="G2134" s="37" t="s">
        <v>20</v>
      </c>
      <c r="H2134" s="37" t="s">
        <v>71</v>
      </c>
      <c r="I2134" s="37" t="s">
        <v>21</v>
      </c>
      <c r="J2134" s="37" t="s">
        <v>18481</v>
      </c>
      <c r="K2134" s="37" t="s">
        <v>9348</v>
      </c>
      <c r="L2134" s="37" t="s">
        <v>14518</v>
      </c>
      <c r="M2134" s="37" t="s">
        <v>21</v>
      </c>
      <c r="O2134" s="29">
        <v>43019</v>
      </c>
      <c r="P2134" s="37" t="s">
        <v>21</v>
      </c>
      <c r="Q2134" s="43" t="b">
        <v>0</v>
      </c>
      <c r="R2134" s="22">
        <f t="shared" si="33"/>
        <v>104</v>
      </c>
      <c r="S2134" s="71"/>
    </row>
    <row r="2135" spans="1:19">
      <c r="A2135" s="71">
        <v>11177</v>
      </c>
      <c r="B2135" s="72">
        <v>42916</v>
      </c>
      <c r="C2135" s="71" t="s">
        <v>19000</v>
      </c>
      <c r="D2135" s="72">
        <v>42852</v>
      </c>
      <c r="E2135" s="71" t="s">
        <v>20358</v>
      </c>
      <c r="F2135" s="71" t="s">
        <v>984</v>
      </c>
      <c r="G2135" s="71" t="s">
        <v>20</v>
      </c>
      <c r="H2135" s="71" t="s">
        <v>71</v>
      </c>
      <c r="I2135" s="71"/>
      <c r="J2135" s="71" t="s">
        <v>18255</v>
      </c>
      <c r="K2135" s="71" t="s">
        <v>18256</v>
      </c>
      <c r="L2135" s="71" t="s">
        <v>4282</v>
      </c>
      <c r="M2135" s="71"/>
      <c r="O2135" s="45">
        <v>43595</v>
      </c>
      <c r="P2135" s="71"/>
      <c r="Q2135" s="71" t="b">
        <v>0</v>
      </c>
      <c r="R2135" s="22">
        <f t="shared" si="33"/>
        <v>679</v>
      </c>
      <c r="S2135" s="71" t="s">
        <v>19306</v>
      </c>
    </row>
    <row r="2136" spans="1:19" ht="36">
      <c r="A2136" s="43">
        <v>11189</v>
      </c>
      <c r="B2136" s="29">
        <v>42934</v>
      </c>
      <c r="C2136" s="37" t="s">
        <v>19002</v>
      </c>
      <c r="D2136" s="29">
        <v>42933</v>
      </c>
      <c r="E2136" s="37" t="s">
        <v>18675</v>
      </c>
      <c r="F2136" s="37" t="s">
        <v>129</v>
      </c>
      <c r="G2136" s="37" t="s">
        <v>20</v>
      </c>
      <c r="H2136" s="37" t="s">
        <v>71</v>
      </c>
      <c r="I2136" s="37" t="s">
        <v>21</v>
      </c>
      <c r="J2136" s="37" t="s">
        <v>18676</v>
      </c>
      <c r="K2136" s="37" t="s">
        <v>18677</v>
      </c>
      <c r="L2136" s="46" t="s">
        <v>1152</v>
      </c>
      <c r="M2136" s="46" t="s">
        <v>18572</v>
      </c>
      <c r="O2136" s="45">
        <v>43909</v>
      </c>
      <c r="P2136" s="37" t="s">
        <v>21</v>
      </c>
      <c r="Q2136" s="43" t="b">
        <v>0</v>
      </c>
      <c r="R2136" s="22">
        <f t="shared" si="33"/>
        <v>974</v>
      </c>
      <c r="S2136" s="71"/>
    </row>
    <row r="2137" spans="1:19" ht="36">
      <c r="A2137" s="43">
        <v>11209</v>
      </c>
      <c r="B2137" s="29">
        <v>42961</v>
      </c>
      <c r="C2137" s="37" t="s">
        <v>19246</v>
      </c>
      <c r="D2137" s="29">
        <v>42958</v>
      </c>
      <c r="E2137" s="37" t="s">
        <v>18537</v>
      </c>
      <c r="F2137" s="37" t="s">
        <v>145</v>
      </c>
      <c r="G2137" s="37" t="s">
        <v>20</v>
      </c>
      <c r="H2137" s="37" t="s">
        <v>71</v>
      </c>
      <c r="I2137" s="37" t="s">
        <v>21</v>
      </c>
      <c r="J2137" s="37" t="s">
        <v>18538</v>
      </c>
      <c r="K2137" s="37" t="s">
        <v>9348</v>
      </c>
      <c r="L2137" s="37" t="s">
        <v>7167</v>
      </c>
      <c r="M2137" s="37" t="s">
        <v>21</v>
      </c>
      <c r="O2137" s="29">
        <v>43014</v>
      </c>
      <c r="P2137" s="37" t="s">
        <v>21</v>
      </c>
      <c r="Q2137" s="43" t="b">
        <v>0</v>
      </c>
      <c r="R2137" s="22">
        <f t="shared" si="33"/>
        <v>52</v>
      </c>
      <c r="S2137" s="71"/>
    </row>
    <row r="2138" spans="1:19" ht="48">
      <c r="A2138" s="68">
        <v>11213</v>
      </c>
      <c r="B2138" s="45">
        <v>42963</v>
      </c>
      <c r="C2138" s="46" t="s">
        <v>19005</v>
      </c>
      <c r="D2138" s="45">
        <v>42962</v>
      </c>
      <c r="E2138" s="46" t="s">
        <v>18681</v>
      </c>
      <c r="F2138" s="46" t="s">
        <v>327</v>
      </c>
      <c r="G2138" s="46" t="s">
        <v>20</v>
      </c>
      <c r="H2138" s="46" t="s">
        <v>71</v>
      </c>
      <c r="I2138" s="46" t="s">
        <v>21</v>
      </c>
      <c r="J2138" s="46" t="s">
        <v>18682</v>
      </c>
      <c r="K2138" s="46" t="s">
        <v>9348</v>
      </c>
      <c r="L2138" s="46" t="s">
        <v>4282</v>
      </c>
      <c r="M2138" s="46" t="s">
        <v>21</v>
      </c>
      <c r="O2138" s="45">
        <v>43461</v>
      </c>
      <c r="P2138" s="69" t="s">
        <v>21</v>
      </c>
      <c r="Q2138" s="44" t="b">
        <v>0</v>
      </c>
      <c r="R2138" s="22">
        <f t="shared" si="33"/>
        <v>497</v>
      </c>
    </row>
    <row r="2139" spans="1:19" ht="48">
      <c r="A2139" s="43">
        <v>11221</v>
      </c>
      <c r="B2139" s="29">
        <v>42983</v>
      </c>
      <c r="C2139" s="37" t="s">
        <v>19007</v>
      </c>
      <c r="D2139" s="29">
        <v>42983</v>
      </c>
      <c r="E2139" s="37" t="s">
        <v>18685</v>
      </c>
      <c r="F2139" s="37" t="s">
        <v>18686</v>
      </c>
      <c r="G2139" s="37" t="s">
        <v>20</v>
      </c>
      <c r="H2139" s="37" t="s">
        <v>71</v>
      </c>
      <c r="I2139" s="37" t="s">
        <v>21</v>
      </c>
      <c r="J2139" s="37" t="s">
        <v>18687</v>
      </c>
      <c r="K2139" s="37" t="s">
        <v>9348</v>
      </c>
      <c r="L2139" s="37" t="s">
        <v>7167</v>
      </c>
      <c r="M2139" s="37" t="s">
        <v>21</v>
      </c>
      <c r="O2139" s="45">
        <v>43865</v>
      </c>
      <c r="P2139" s="37" t="s">
        <v>21</v>
      </c>
      <c r="Q2139" s="43" t="b">
        <v>0</v>
      </c>
      <c r="R2139" s="22">
        <f t="shared" si="33"/>
        <v>881</v>
      </c>
      <c r="S2139" s="37" t="s">
        <v>21</v>
      </c>
    </row>
    <row r="2140" spans="1:19" ht="36">
      <c r="A2140" s="68">
        <v>11229</v>
      </c>
      <c r="B2140" s="45">
        <v>42991</v>
      </c>
      <c r="C2140" s="46" t="s">
        <v>19009</v>
      </c>
      <c r="D2140" s="45">
        <v>42990</v>
      </c>
      <c r="E2140" s="46" t="s">
        <v>18690</v>
      </c>
      <c r="F2140" s="46" t="s">
        <v>5184</v>
      </c>
      <c r="G2140" s="46" t="s">
        <v>20</v>
      </c>
      <c r="H2140" s="46" t="s">
        <v>71</v>
      </c>
      <c r="I2140" s="46" t="s">
        <v>21</v>
      </c>
      <c r="J2140" s="46" t="s">
        <v>18691</v>
      </c>
      <c r="K2140" s="46" t="s">
        <v>18692</v>
      </c>
      <c r="L2140" s="46" t="s">
        <v>14518</v>
      </c>
      <c r="M2140" s="46" t="s">
        <v>21</v>
      </c>
      <c r="O2140" s="45">
        <v>43413</v>
      </c>
      <c r="P2140" s="69" t="s">
        <v>21</v>
      </c>
      <c r="Q2140" s="44" t="b">
        <v>0</v>
      </c>
      <c r="R2140" s="22">
        <f t="shared" si="33"/>
        <v>421</v>
      </c>
    </row>
    <row r="2141" spans="1:19" ht="24">
      <c r="A2141" s="43">
        <v>11234</v>
      </c>
      <c r="B2141" s="29">
        <v>43003</v>
      </c>
      <c r="C2141" s="37" t="s">
        <v>19012</v>
      </c>
      <c r="D2141" s="29">
        <v>43000</v>
      </c>
      <c r="E2141" s="37" t="s">
        <v>18583</v>
      </c>
      <c r="F2141" s="37" t="s">
        <v>6314</v>
      </c>
      <c r="G2141" s="37" t="s">
        <v>20</v>
      </c>
      <c r="H2141" s="37" t="s">
        <v>189</v>
      </c>
      <c r="I2141" s="37" t="s">
        <v>21</v>
      </c>
      <c r="J2141" s="37" t="s">
        <v>18701</v>
      </c>
      <c r="K2141" s="37" t="s">
        <v>18702</v>
      </c>
      <c r="L2141" s="46" t="s">
        <v>7167</v>
      </c>
      <c r="M2141" s="46" t="s">
        <v>14909</v>
      </c>
      <c r="O2141" s="45">
        <v>43900</v>
      </c>
      <c r="P2141" s="37" t="s">
        <v>21</v>
      </c>
      <c r="Q2141" s="43" t="b">
        <v>0</v>
      </c>
      <c r="R2141" s="22">
        <f t="shared" si="33"/>
        <v>897</v>
      </c>
      <c r="S2141" s="37" t="s">
        <v>21</v>
      </c>
    </row>
    <row r="2142" spans="1:19" ht="24">
      <c r="A2142" s="43">
        <v>11235</v>
      </c>
      <c r="B2142" s="29">
        <v>43004</v>
      </c>
      <c r="C2142" s="37" t="s">
        <v>19013</v>
      </c>
      <c r="D2142" s="29">
        <v>43000</v>
      </c>
      <c r="E2142" s="37" t="s">
        <v>18703</v>
      </c>
      <c r="F2142" s="37" t="s">
        <v>2296</v>
      </c>
      <c r="G2142" s="37" t="s">
        <v>20</v>
      </c>
      <c r="H2142" s="37" t="s">
        <v>566</v>
      </c>
      <c r="I2142" s="37" t="s">
        <v>21</v>
      </c>
      <c r="J2142" s="37" t="s">
        <v>18557</v>
      </c>
      <c r="K2142" s="37" t="s">
        <v>9348</v>
      </c>
      <c r="L2142" s="46" t="s">
        <v>1946</v>
      </c>
      <c r="M2142" s="46" t="s">
        <v>20641</v>
      </c>
      <c r="O2142" s="45">
        <v>43959</v>
      </c>
      <c r="P2142" s="37" t="s">
        <v>21</v>
      </c>
      <c r="Q2142" s="43" t="b">
        <v>0</v>
      </c>
      <c r="R2142" s="22">
        <f t="shared" si="33"/>
        <v>955</v>
      </c>
      <c r="S2142" s="37" t="s">
        <v>21</v>
      </c>
    </row>
    <row r="2143" spans="1:19" ht="24">
      <c r="A2143" s="68">
        <v>11237</v>
      </c>
      <c r="B2143" s="45">
        <v>43006</v>
      </c>
      <c r="C2143" s="46" t="s">
        <v>19014</v>
      </c>
      <c r="D2143" s="45">
        <v>43005</v>
      </c>
      <c r="E2143" s="46" t="s">
        <v>18704</v>
      </c>
      <c r="F2143" s="46" t="s">
        <v>345</v>
      </c>
      <c r="G2143" s="46" t="s">
        <v>20</v>
      </c>
      <c r="H2143" s="46" t="s">
        <v>71</v>
      </c>
      <c r="I2143" s="46" t="s">
        <v>21</v>
      </c>
      <c r="J2143" s="46" t="s">
        <v>18705</v>
      </c>
      <c r="K2143" s="46" t="s">
        <v>16729</v>
      </c>
      <c r="L2143" s="46" t="s">
        <v>7167</v>
      </c>
      <c r="M2143" s="46" t="s">
        <v>21</v>
      </c>
      <c r="O2143" s="45">
        <v>43166</v>
      </c>
      <c r="P2143" s="69" t="s">
        <v>21</v>
      </c>
      <c r="Q2143" s="44" t="b">
        <v>0</v>
      </c>
      <c r="R2143" s="22">
        <f t="shared" si="33"/>
        <v>161</v>
      </c>
    </row>
    <row r="2144" spans="1:19" ht="36">
      <c r="A2144" s="43">
        <v>11242</v>
      </c>
      <c r="B2144" s="29">
        <v>43012</v>
      </c>
      <c r="C2144" s="37" t="s">
        <v>19016</v>
      </c>
      <c r="D2144" s="29">
        <v>43012</v>
      </c>
      <c r="E2144" s="37" t="s">
        <v>18704</v>
      </c>
      <c r="F2144" s="37" t="s">
        <v>56</v>
      </c>
      <c r="G2144" s="37" t="s">
        <v>20</v>
      </c>
      <c r="H2144" s="37" t="s">
        <v>71</v>
      </c>
      <c r="I2144" s="37" t="s">
        <v>21</v>
      </c>
      <c r="J2144" s="37" t="s">
        <v>18708</v>
      </c>
      <c r="K2144" s="37" t="s">
        <v>18536</v>
      </c>
      <c r="L2144" s="37" t="s">
        <v>14909</v>
      </c>
      <c r="M2144" s="37" t="s">
        <v>21</v>
      </c>
      <c r="O2144" s="45">
        <v>43741</v>
      </c>
      <c r="P2144" s="37" t="s">
        <v>21</v>
      </c>
      <c r="Q2144" s="43" t="b">
        <v>0</v>
      </c>
      <c r="R2144" s="22">
        <f t="shared" si="33"/>
        <v>728</v>
      </c>
      <c r="S2144" s="37" t="s">
        <v>21</v>
      </c>
    </row>
    <row r="2145" spans="1:19" ht="24">
      <c r="A2145" s="43">
        <v>11251</v>
      </c>
      <c r="B2145" s="29">
        <v>43025</v>
      </c>
      <c r="C2145" s="37" t="s">
        <v>19287</v>
      </c>
      <c r="D2145" s="29">
        <v>43025</v>
      </c>
      <c r="E2145" s="37" t="s">
        <v>18579</v>
      </c>
      <c r="F2145" s="37" t="s">
        <v>8605</v>
      </c>
      <c r="G2145" s="37" t="s">
        <v>20</v>
      </c>
      <c r="H2145" s="37" t="s">
        <v>212</v>
      </c>
      <c r="I2145" s="37" t="s">
        <v>21</v>
      </c>
      <c r="J2145" s="37" t="s">
        <v>18580</v>
      </c>
      <c r="K2145" s="37" t="s">
        <v>18581</v>
      </c>
      <c r="L2145" s="37" t="s">
        <v>7167</v>
      </c>
      <c r="M2145" s="37" t="s">
        <v>21</v>
      </c>
      <c r="O2145" s="29">
        <v>43097</v>
      </c>
      <c r="P2145" s="37" t="s">
        <v>21</v>
      </c>
      <c r="Q2145" s="43" t="b">
        <v>0</v>
      </c>
      <c r="R2145" s="22">
        <f t="shared" si="33"/>
        <v>71</v>
      </c>
      <c r="S2145" s="71"/>
    </row>
    <row r="2146" spans="1:19" ht="24">
      <c r="A2146" s="43">
        <v>11252</v>
      </c>
      <c r="B2146" s="29">
        <v>43025</v>
      </c>
      <c r="C2146" s="37" t="s">
        <v>19020</v>
      </c>
      <c r="D2146" s="29">
        <v>43025</v>
      </c>
      <c r="E2146" s="37" t="s">
        <v>18718</v>
      </c>
      <c r="F2146" s="37" t="s">
        <v>242</v>
      </c>
      <c r="G2146" s="37" t="s">
        <v>20</v>
      </c>
      <c r="H2146" s="37" t="s">
        <v>71</v>
      </c>
      <c r="I2146" s="37" t="s">
        <v>21</v>
      </c>
      <c r="J2146" s="37" t="s">
        <v>18719</v>
      </c>
      <c r="K2146" s="37" t="s">
        <v>18720</v>
      </c>
      <c r="L2146" s="46" t="s">
        <v>1152</v>
      </c>
      <c r="M2146" s="46" t="s">
        <v>18572</v>
      </c>
      <c r="O2146" s="45">
        <v>43754</v>
      </c>
      <c r="P2146" s="37" t="s">
        <v>21</v>
      </c>
      <c r="Q2146" s="43" t="b">
        <v>0</v>
      </c>
      <c r="R2146" s="22">
        <f t="shared" si="33"/>
        <v>728</v>
      </c>
      <c r="S2146" s="71"/>
    </row>
    <row r="2147" spans="1:19" ht="24">
      <c r="A2147" s="68">
        <v>11258</v>
      </c>
      <c r="B2147" s="45">
        <v>43038</v>
      </c>
      <c r="C2147" s="46" t="s">
        <v>19021</v>
      </c>
      <c r="D2147" s="45">
        <v>43033</v>
      </c>
      <c r="E2147" s="46" t="s">
        <v>18723</v>
      </c>
      <c r="F2147" s="46" t="s">
        <v>824</v>
      </c>
      <c r="G2147" s="46" t="s">
        <v>20</v>
      </c>
      <c r="H2147" s="46" t="s">
        <v>71</v>
      </c>
      <c r="I2147" s="46" t="s">
        <v>21</v>
      </c>
      <c r="J2147" s="46" t="s">
        <v>18724</v>
      </c>
      <c r="K2147" s="46" t="s">
        <v>18725</v>
      </c>
      <c r="L2147" s="46" t="s">
        <v>7167</v>
      </c>
      <c r="M2147" s="46" t="s">
        <v>21</v>
      </c>
      <c r="O2147" s="45">
        <v>43360</v>
      </c>
      <c r="P2147" s="69" t="s">
        <v>21</v>
      </c>
      <c r="Q2147" s="44" t="b">
        <v>0</v>
      </c>
      <c r="R2147" s="22">
        <f t="shared" si="33"/>
        <v>321</v>
      </c>
    </row>
    <row r="2148" spans="1:19" ht="24">
      <c r="A2148" s="43">
        <v>11268</v>
      </c>
      <c r="B2148" s="29">
        <v>43046</v>
      </c>
      <c r="C2148" s="37" t="s">
        <v>19026</v>
      </c>
      <c r="D2148" s="29">
        <v>43046</v>
      </c>
      <c r="E2148" s="37" t="s">
        <v>18738</v>
      </c>
      <c r="F2148" s="37" t="s">
        <v>3430</v>
      </c>
      <c r="G2148" s="37" t="s">
        <v>20</v>
      </c>
      <c r="H2148" s="37" t="s">
        <v>71</v>
      </c>
      <c r="I2148" s="37" t="s">
        <v>21</v>
      </c>
      <c r="J2148" s="37" t="s">
        <v>18739</v>
      </c>
      <c r="K2148" s="37" t="s">
        <v>14825</v>
      </c>
      <c r="L2148" s="46" t="s">
        <v>1152</v>
      </c>
      <c r="M2148" s="46" t="s">
        <v>18572</v>
      </c>
      <c r="O2148" s="45">
        <v>43965</v>
      </c>
      <c r="P2148" s="37" t="s">
        <v>21</v>
      </c>
      <c r="Q2148" s="43" t="b">
        <v>0</v>
      </c>
      <c r="R2148" s="22">
        <f t="shared" si="33"/>
        <v>919</v>
      </c>
      <c r="S2148" s="37" t="s">
        <v>21</v>
      </c>
    </row>
    <row r="2149" spans="1:19" ht="36">
      <c r="A2149" s="43">
        <v>11273</v>
      </c>
      <c r="B2149" s="29">
        <v>43066</v>
      </c>
      <c r="C2149" s="37" t="s">
        <v>19027</v>
      </c>
      <c r="D2149" s="29">
        <v>43066</v>
      </c>
      <c r="E2149" s="37" t="s">
        <v>18743</v>
      </c>
      <c r="F2149" s="37" t="s">
        <v>3430</v>
      </c>
      <c r="G2149" s="37" t="s">
        <v>20</v>
      </c>
      <c r="H2149" s="37" t="s">
        <v>71</v>
      </c>
      <c r="I2149" s="37" t="s">
        <v>21</v>
      </c>
      <c r="J2149" s="37" t="s">
        <v>18744</v>
      </c>
      <c r="K2149" s="37" t="s">
        <v>14825</v>
      </c>
      <c r="L2149" s="46" t="s">
        <v>1152</v>
      </c>
      <c r="M2149" s="46" t="s">
        <v>18572</v>
      </c>
      <c r="O2149" s="45">
        <v>43965</v>
      </c>
      <c r="P2149" s="37" t="s">
        <v>21</v>
      </c>
      <c r="Q2149" s="43" t="b">
        <v>0</v>
      </c>
      <c r="R2149" s="22">
        <f t="shared" si="33"/>
        <v>899</v>
      </c>
      <c r="S2149" s="37" t="s">
        <v>21</v>
      </c>
    </row>
    <row r="2150" spans="1:19" ht="24">
      <c r="A2150" s="43">
        <v>11277</v>
      </c>
      <c r="B2150" s="29">
        <v>43082</v>
      </c>
      <c r="C2150" s="37" t="s">
        <v>19029</v>
      </c>
      <c r="D2150" s="29">
        <v>43082</v>
      </c>
      <c r="E2150" s="37" t="s">
        <v>18746</v>
      </c>
      <c r="F2150" s="37" t="s">
        <v>6752</v>
      </c>
      <c r="G2150" s="37" t="s">
        <v>20</v>
      </c>
      <c r="H2150" s="37" t="s">
        <v>71</v>
      </c>
      <c r="I2150" s="37" t="s">
        <v>21</v>
      </c>
      <c r="J2150" s="37" t="s">
        <v>18747</v>
      </c>
      <c r="K2150" s="37" t="s">
        <v>14825</v>
      </c>
      <c r="L2150" s="46" t="s">
        <v>7167</v>
      </c>
      <c r="M2150" s="46" t="s">
        <v>20680</v>
      </c>
      <c r="O2150" s="45">
        <v>43991</v>
      </c>
      <c r="P2150" s="37" t="s">
        <v>21</v>
      </c>
      <c r="Q2150" s="43" t="b">
        <v>0</v>
      </c>
      <c r="R2150" s="22">
        <f t="shared" si="33"/>
        <v>908</v>
      </c>
      <c r="S2150" s="37" t="s">
        <v>21</v>
      </c>
    </row>
    <row r="2151" spans="1:19" ht="24">
      <c r="A2151" s="68">
        <v>11281</v>
      </c>
      <c r="B2151" s="45">
        <v>43089</v>
      </c>
      <c r="C2151" s="46" t="s">
        <v>19030</v>
      </c>
      <c r="D2151" s="45">
        <v>43089</v>
      </c>
      <c r="E2151" s="46" t="s">
        <v>18752</v>
      </c>
      <c r="F2151" s="46" t="s">
        <v>18753</v>
      </c>
      <c r="G2151" s="46" t="s">
        <v>20</v>
      </c>
      <c r="H2151" s="46" t="s">
        <v>189</v>
      </c>
      <c r="I2151" s="46" t="s">
        <v>21</v>
      </c>
      <c r="J2151" s="46" t="s">
        <v>18754</v>
      </c>
      <c r="K2151" s="46" t="s">
        <v>18755</v>
      </c>
      <c r="L2151" s="46" t="s">
        <v>7167</v>
      </c>
      <c r="M2151" s="46" t="s">
        <v>21</v>
      </c>
      <c r="O2151" s="45">
        <v>43343</v>
      </c>
      <c r="P2151" s="69" t="s">
        <v>21</v>
      </c>
      <c r="Q2151" s="44" t="b">
        <v>0</v>
      </c>
      <c r="R2151" s="22">
        <f t="shared" si="33"/>
        <v>254</v>
      </c>
    </row>
    <row r="2152" spans="1:19" ht="36">
      <c r="A2152" s="43">
        <v>11283</v>
      </c>
      <c r="B2152" s="29">
        <v>43091</v>
      </c>
      <c r="C2152" s="37" t="s">
        <v>19031</v>
      </c>
      <c r="D2152" s="29">
        <v>43091</v>
      </c>
      <c r="E2152" s="37" t="s">
        <v>18757</v>
      </c>
      <c r="F2152" s="37" t="s">
        <v>56</v>
      </c>
      <c r="G2152" s="37" t="s">
        <v>20</v>
      </c>
      <c r="H2152" s="37" t="s">
        <v>71</v>
      </c>
      <c r="I2152" s="37" t="s">
        <v>21</v>
      </c>
      <c r="J2152" s="37" t="s">
        <v>18758</v>
      </c>
      <c r="K2152" s="37" t="s">
        <v>18759</v>
      </c>
      <c r="L2152" s="37" t="s">
        <v>1946</v>
      </c>
      <c r="M2152" s="37" t="s">
        <v>21</v>
      </c>
      <c r="O2152" s="45">
        <v>43910</v>
      </c>
      <c r="P2152" s="37" t="s">
        <v>21</v>
      </c>
      <c r="Q2152" s="43" t="b">
        <v>0</v>
      </c>
      <c r="R2152" s="22">
        <f t="shared" si="33"/>
        <v>819</v>
      </c>
      <c r="S2152" s="71"/>
    </row>
    <row r="2153" spans="1:19" ht="36">
      <c r="A2153" s="43">
        <v>11284</v>
      </c>
      <c r="B2153" s="29">
        <v>43096</v>
      </c>
      <c r="C2153" s="37" t="s">
        <v>19032</v>
      </c>
      <c r="D2153" s="29">
        <v>43095</v>
      </c>
      <c r="E2153" s="37" t="s">
        <v>18760</v>
      </c>
      <c r="F2153" s="37" t="s">
        <v>6752</v>
      </c>
      <c r="G2153" s="37" t="s">
        <v>20</v>
      </c>
      <c r="H2153" s="37" t="s">
        <v>71</v>
      </c>
      <c r="I2153" s="37" t="s">
        <v>21</v>
      </c>
      <c r="J2153" s="37" t="s">
        <v>18761</v>
      </c>
      <c r="K2153" s="37" t="s">
        <v>9348</v>
      </c>
      <c r="L2153" s="37" t="s">
        <v>7167</v>
      </c>
      <c r="M2153" s="37" t="s">
        <v>20680</v>
      </c>
      <c r="O2153" s="45">
        <v>43991</v>
      </c>
      <c r="P2153" s="37" t="s">
        <v>21</v>
      </c>
      <c r="Q2153" s="43" t="b">
        <v>0</v>
      </c>
      <c r="R2153" s="22">
        <f t="shared" si="33"/>
        <v>894</v>
      </c>
      <c r="S2153" s="71"/>
    </row>
    <row r="2154" spans="1:19" ht="36">
      <c r="A2154" s="43">
        <v>11286</v>
      </c>
      <c r="B2154" s="29">
        <v>43102</v>
      </c>
      <c r="C2154" s="37" t="s">
        <v>19034</v>
      </c>
      <c r="D2154" s="29">
        <v>43097</v>
      </c>
      <c r="E2154" s="37" t="s">
        <v>18766</v>
      </c>
      <c r="F2154" s="37" t="s">
        <v>56</v>
      </c>
      <c r="G2154" s="37" t="s">
        <v>20</v>
      </c>
      <c r="H2154" s="37" t="s">
        <v>71</v>
      </c>
      <c r="I2154" s="37" t="s">
        <v>21</v>
      </c>
      <c r="J2154" s="37" t="s">
        <v>18767</v>
      </c>
      <c r="K2154" s="37" t="s">
        <v>18448</v>
      </c>
      <c r="L2154" s="37" t="s">
        <v>4282</v>
      </c>
      <c r="M2154" s="37" t="s">
        <v>21</v>
      </c>
      <c r="O2154" s="45">
        <v>43965</v>
      </c>
      <c r="P2154" s="37" t="s">
        <v>21</v>
      </c>
      <c r="Q2154" s="43" t="b">
        <v>0</v>
      </c>
      <c r="R2154" s="22">
        <f t="shared" si="33"/>
        <v>863</v>
      </c>
      <c r="S2154" s="71"/>
    </row>
    <row r="2155" spans="1:19" ht="24">
      <c r="A2155" s="43">
        <v>11293</v>
      </c>
      <c r="B2155" s="29">
        <v>43116</v>
      </c>
      <c r="C2155" s="37" t="s">
        <v>19037</v>
      </c>
      <c r="D2155" s="29">
        <v>43112</v>
      </c>
      <c r="E2155" s="37" t="s">
        <v>19311</v>
      </c>
      <c r="F2155" s="37" t="s">
        <v>18500</v>
      </c>
      <c r="G2155" s="37" t="s">
        <v>20</v>
      </c>
      <c r="H2155" s="37" t="s">
        <v>71</v>
      </c>
      <c r="I2155" s="37" t="s">
        <v>21</v>
      </c>
      <c r="J2155" s="37" t="s">
        <v>19312</v>
      </c>
      <c r="K2155" s="37" t="s">
        <v>14825</v>
      </c>
      <c r="L2155" s="46" t="s">
        <v>7167</v>
      </c>
      <c r="M2155" s="46" t="s">
        <v>18572</v>
      </c>
      <c r="O2155" s="45">
        <v>43887</v>
      </c>
      <c r="P2155" s="37" t="s">
        <v>21</v>
      </c>
      <c r="Q2155" s="43" t="b">
        <v>0</v>
      </c>
      <c r="R2155" s="22">
        <f t="shared" si="33"/>
        <v>770</v>
      </c>
      <c r="S2155" s="37" t="s">
        <v>21</v>
      </c>
    </row>
    <row r="2156" spans="1:19" ht="36">
      <c r="A2156" s="68">
        <v>11295</v>
      </c>
      <c r="B2156" s="45">
        <v>43119</v>
      </c>
      <c r="C2156" s="46" t="s">
        <v>19038</v>
      </c>
      <c r="D2156" s="45">
        <v>43118</v>
      </c>
      <c r="E2156" s="46" t="s">
        <v>19313</v>
      </c>
      <c r="F2156" s="46" t="s">
        <v>1783</v>
      </c>
      <c r="G2156" s="46" t="s">
        <v>20</v>
      </c>
      <c r="H2156" s="46" t="s">
        <v>71</v>
      </c>
      <c r="I2156" s="46" t="s">
        <v>21</v>
      </c>
      <c r="J2156" s="46" t="s">
        <v>19314</v>
      </c>
      <c r="K2156" s="46" t="s">
        <v>15287</v>
      </c>
      <c r="L2156" s="46" t="s">
        <v>7167</v>
      </c>
      <c r="M2156" s="46" t="s">
        <v>21</v>
      </c>
      <c r="O2156" s="45">
        <v>43224</v>
      </c>
      <c r="P2156" s="69" t="s">
        <v>21</v>
      </c>
      <c r="Q2156" s="44" t="b">
        <v>0</v>
      </c>
      <c r="R2156" s="22">
        <f t="shared" si="33"/>
        <v>106</v>
      </c>
    </row>
    <row r="2157" spans="1:19" ht="24">
      <c r="A2157" s="43">
        <v>11296</v>
      </c>
      <c r="B2157" s="29">
        <v>43119</v>
      </c>
      <c r="C2157" s="37" t="s">
        <v>19039</v>
      </c>
      <c r="D2157" s="29">
        <v>43118</v>
      </c>
      <c r="E2157" s="37" t="s">
        <v>19315</v>
      </c>
      <c r="F2157" s="37" t="s">
        <v>211</v>
      </c>
      <c r="G2157" s="37" t="s">
        <v>20</v>
      </c>
      <c r="H2157" s="37" t="s">
        <v>212</v>
      </c>
      <c r="I2157" s="37" t="s">
        <v>21</v>
      </c>
      <c r="J2157" s="37" t="s">
        <v>19052</v>
      </c>
      <c r="K2157" s="37" t="s">
        <v>19053</v>
      </c>
      <c r="L2157" s="37" t="s">
        <v>4282</v>
      </c>
      <c r="M2157" s="37" t="s">
        <v>21</v>
      </c>
      <c r="O2157" s="45">
        <v>43992</v>
      </c>
      <c r="P2157" s="37" t="s">
        <v>21</v>
      </c>
      <c r="Q2157" s="43" t="b">
        <v>0</v>
      </c>
      <c r="R2157" s="22">
        <f t="shared" si="33"/>
        <v>872</v>
      </c>
      <c r="S2157" s="71"/>
    </row>
    <row r="2158" spans="1:19" ht="36">
      <c r="A2158" s="43">
        <v>11297</v>
      </c>
      <c r="B2158" s="29">
        <v>43119</v>
      </c>
      <c r="C2158" s="37" t="s">
        <v>19040</v>
      </c>
      <c r="D2158" s="29">
        <v>43118</v>
      </c>
      <c r="E2158" s="37" t="s">
        <v>19316</v>
      </c>
      <c r="F2158" s="37" t="s">
        <v>124</v>
      </c>
      <c r="G2158" s="37" t="s">
        <v>20</v>
      </c>
      <c r="H2158" s="37" t="s">
        <v>71</v>
      </c>
      <c r="I2158" s="37" t="s">
        <v>21</v>
      </c>
      <c r="J2158" s="37" t="s">
        <v>19317</v>
      </c>
      <c r="K2158" s="37" t="s">
        <v>9348</v>
      </c>
      <c r="L2158" s="46" t="s">
        <v>1152</v>
      </c>
      <c r="M2158" s="46" t="s">
        <v>18572</v>
      </c>
      <c r="O2158" s="45">
        <v>43986</v>
      </c>
      <c r="P2158" s="37" t="s">
        <v>21</v>
      </c>
      <c r="Q2158" s="43" t="b">
        <v>0</v>
      </c>
      <c r="R2158" s="22">
        <f t="shared" si="33"/>
        <v>866</v>
      </c>
      <c r="S2158" s="71"/>
    </row>
    <row r="2159" spans="1:19">
      <c r="A2159" s="79">
        <v>11309</v>
      </c>
      <c r="B2159" s="80">
        <v>43143</v>
      </c>
      <c r="C2159" s="79" t="s">
        <v>19402</v>
      </c>
      <c r="D2159" s="80">
        <v>43140</v>
      </c>
      <c r="E2159" s="79" t="s">
        <v>19403</v>
      </c>
      <c r="F2159" s="79" t="s">
        <v>13422</v>
      </c>
      <c r="G2159" s="79" t="s">
        <v>20</v>
      </c>
      <c r="H2159" s="79" t="s">
        <v>71</v>
      </c>
      <c r="I2159" s="79"/>
      <c r="J2159" s="79" t="s">
        <v>19404</v>
      </c>
      <c r="K2159" s="79" t="s">
        <v>14825</v>
      </c>
      <c r="L2159" s="46" t="s">
        <v>14909</v>
      </c>
      <c r="M2159" s="46" t="s">
        <v>21</v>
      </c>
      <c r="O2159" s="45">
        <v>43741</v>
      </c>
      <c r="P2159" s="79"/>
      <c r="Q2159" s="79" t="b">
        <v>0</v>
      </c>
      <c r="R2159" s="22">
        <f t="shared" si="33"/>
        <v>599</v>
      </c>
    </row>
    <row r="2160" spans="1:19" ht="36">
      <c r="A2160" s="68">
        <v>11313</v>
      </c>
      <c r="B2160" s="45">
        <v>43152</v>
      </c>
      <c r="C2160" s="46" t="s">
        <v>19372</v>
      </c>
      <c r="D2160" s="45">
        <v>43151</v>
      </c>
      <c r="E2160" s="46" t="s">
        <v>19373</v>
      </c>
      <c r="F2160" s="46" t="s">
        <v>974</v>
      </c>
      <c r="G2160" s="46" t="s">
        <v>20</v>
      </c>
      <c r="H2160" s="46" t="s">
        <v>212</v>
      </c>
      <c r="I2160" s="46" t="s">
        <v>21</v>
      </c>
      <c r="J2160" s="46" t="s">
        <v>19374</v>
      </c>
      <c r="K2160" s="46" t="s">
        <v>15882</v>
      </c>
      <c r="L2160" s="46" t="s">
        <v>7167</v>
      </c>
      <c r="M2160" s="46" t="s">
        <v>21</v>
      </c>
      <c r="O2160" s="45">
        <v>43294</v>
      </c>
      <c r="P2160" s="69" t="s">
        <v>21</v>
      </c>
      <c r="Q2160" s="44" t="b">
        <v>0</v>
      </c>
      <c r="R2160" s="22">
        <f t="shared" si="33"/>
        <v>143</v>
      </c>
    </row>
    <row r="2161" spans="1:19" ht="36">
      <c r="A2161" s="64">
        <v>11327</v>
      </c>
      <c r="B2161" s="62">
        <v>43182</v>
      </c>
      <c r="C2161" s="63" t="s">
        <v>19421</v>
      </c>
      <c r="D2161" s="62">
        <v>43182</v>
      </c>
      <c r="E2161" s="63" t="s">
        <v>19422</v>
      </c>
      <c r="F2161" s="63" t="s">
        <v>1783</v>
      </c>
      <c r="G2161" s="63" t="s">
        <v>20</v>
      </c>
      <c r="H2161" s="63" t="s">
        <v>71</v>
      </c>
      <c r="I2161" s="63" t="s">
        <v>21</v>
      </c>
      <c r="J2161" s="63" t="s">
        <v>19423</v>
      </c>
      <c r="K2161" s="63" t="s">
        <v>19424</v>
      </c>
      <c r="L2161" s="63" t="s">
        <v>4282</v>
      </c>
      <c r="M2161" s="63" t="s">
        <v>21</v>
      </c>
      <c r="O2161" s="89">
        <v>44629</v>
      </c>
      <c r="P2161" s="65" t="s">
        <v>21</v>
      </c>
      <c r="Q2161" s="66" t="b">
        <v>0</v>
      </c>
      <c r="R2161" s="22">
        <f t="shared" si="33"/>
        <v>1445</v>
      </c>
      <c r="S2161" t="s">
        <v>21</v>
      </c>
    </row>
    <row r="2162" spans="1:19" ht="36">
      <c r="A2162" s="68">
        <v>11335</v>
      </c>
      <c r="B2162" s="45">
        <v>43206</v>
      </c>
      <c r="C2162" s="46" t="s">
        <v>19425</v>
      </c>
      <c r="D2162" s="45">
        <v>43206</v>
      </c>
      <c r="E2162" s="46" t="s">
        <v>19426</v>
      </c>
      <c r="F2162" s="46" t="s">
        <v>19427</v>
      </c>
      <c r="G2162" s="46" t="s">
        <v>20</v>
      </c>
      <c r="H2162" s="46" t="s">
        <v>212</v>
      </c>
      <c r="I2162" s="46" t="s">
        <v>21</v>
      </c>
      <c r="J2162" s="46" t="s">
        <v>19428</v>
      </c>
      <c r="K2162" s="46" t="s">
        <v>13877</v>
      </c>
      <c r="L2162" s="46" t="s">
        <v>1946</v>
      </c>
      <c r="M2162" s="46" t="s">
        <v>21</v>
      </c>
      <c r="O2162" s="45">
        <v>43910</v>
      </c>
      <c r="P2162" s="69" t="s">
        <v>21</v>
      </c>
      <c r="Q2162" s="44" t="b">
        <v>0</v>
      </c>
      <c r="R2162" s="22">
        <f t="shared" si="33"/>
        <v>703</v>
      </c>
    </row>
    <row r="2163" spans="1:19" ht="36">
      <c r="A2163" s="68">
        <v>11338</v>
      </c>
      <c r="B2163" s="45">
        <v>43210</v>
      </c>
      <c r="C2163" s="46" t="s">
        <v>19368</v>
      </c>
      <c r="D2163" s="45">
        <v>43209</v>
      </c>
      <c r="E2163" s="46" t="s">
        <v>19369</v>
      </c>
      <c r="F2163" s="46" t="s">
        <v>8605</v>
      </c>
      <c r="G2163" s="46" t="s">
        <v>20</v>
      </c>
      <c r="H2163" s="46" t="s">
        <v>212</v>
      </c>
      <c r="I2163" s="46" t="s">
        <v>21</v>
      </c>
      <c r="J2163" s="46" t="s">
        <v>19370</v>
      </c>
      <c r="K2163" s="46" t="s">
        <v>19371</v>
      </c>
      <c r="L2163" s="46" t="s">
        <v>7167</v>
      </c>
      <c r="M2163" s="46" t="s">
        <v>21</v>
      </c>
      <c r="O2163" s="45">
        <v>43291</v>
      </c>
      <c r="P2163" s="69" t="s">
        <v>21</v>
      </c>
      <c r="Q2163" s="44" t="b">
        <v>0</v>
      </c>
      <c r="R2163" s="22">
        <f t="shared" si="33"/>
        <v>81</v>
      </c>
    </row>
    <row r="2164" spans="1:19" ht="36">
      <c r="A2164" s="68">
        <v>11343</v>
      </c>
      <c r="B2164" s="45">
        <v>43215</v>
      </c>
      <c r="C2164" s="46" t="s">
        <v>19429</v>
      </c>
      <c r="D2164" s="45">
        <v>43214</v>
      </c>
      <c r="E2164" s="46" t="s">
        <v>19430</v>
      </c>
      <c r="F2164" s="46" t="s">
        <v>824</v>
      </c>
      <c r="G2164" s="46" t="s">
        <v>20</v>
      </c>
      <c r="H2164" s="46" t="s">
        <v>71</v>
      </c>
      <c r="I2164" s="46" t="s">
        <v>21</v>
      </c>
      <c r="J2164" s="46" t="s">
        <v>19431</v>
      </c>
      <c r="K2164" s="46" t="s">
        <v>19432</v>
      </c>
      <c r="L2164" s="46" t="s">
        <v>4282</v>
      </c>
      <c r="M2164" s="46" t="s">
        <v>21</v>
      </c>
      <c r="O2164" s="45">
        <v>43965</v>
      </c>
      <c r="P2164" s="69" t="s">
        <v>21</v>
      </c>
      <c r="Q2164" s="44" t="b">
        <v>0</v>
      </c>
      <c r="R2164" s="22">
        <f t="shared" si="33"/>
        <v>749</v>
      </c>
    </row>
    <row r="2165" spans="1:19" ht="36">
      <c r="A2165" s="68">
        <v>11349</v>
      </c>
      <c r="B2165" s="45">
        <v>43220</v>
      </c>
      <c r="C2165" s="46" t="s">
        <v>19433</v>
      </c>
      <c r="D2165" s="45">
        <v>43220</v>
      </c>
      <c r="E2165" s="46" t="s">
        <v>19434</v>
      </c>
      <c r="F2165" s="46" t="s">
        <v>1783</v>
      </c>
      <c r="G2165" s="46" t="s">
        <v>20</v>
      </c>
      <c r="H2165" s="46" t="s">
        <v>71</v>
      </c>
      <c r="I2165" s="46" t="s">
        <v>21</v>
      </c>
      <c r="J2165" s="46" t="s">
        <v>18764</v>
      </c>
      <c r="K2165" s="46" t="s">
        <v>19435</v>
      </c>
      <c r="L2165" s="46" t="s">
        <v>1152</v>
      </c>
      <c r="M2165" s="46" t="s">
        <v>18572</v>
      </c>
      <c r="O2165" s="45">
        <v>43808</v>
      </c>
      <c r="P2165" s="69" t="s">
        <v>21</v>
      </c>
      <c r="Q2165" s="44" t="b">
        <v>0</v>
      </c>
      <c r="R2165" s="22">
        <f t="shared" si="33"/>
        <v>587</v>
      </c>
    </row>
    <row r="2166" spans="1:19">
      <c r="A2166" s="79">
        <v>11353</v>
      </c>
      <c r="B2166" s="80">
        <v>43222</v>
      </c>
      <c r="C2166" s="79" t="s">
        <v>19398</v>
      </c>
      <c r="D2166" s="80">
        <v>43222</v>
      </c>
      <c r="E2166" s="79" t="s">
        <v>19399</v>
      </c>
      <c r="F2166" s="79" t="s">
        <v>6383</v>
      </c>
      <c r="G2166" s="79" t="s">
        <v>20</v>
      </c>
      <c r="H2166" s="79" t="s">
        <v>71</v>
      </c>
      <c r="I2166" s="79"/>
      <c r="J2166" s="79" t="s">
        <v>19400</v>
      </c>
      <c r="K2166" s="79" t="s">
        <v>14825</v>
      </c>
      <c r="L2166" s="46" t="s">
        <v>4282</v>
      </c>
      <c r="M2166" s="46" t="s">
        <v>21</v>
      </c>
      <c r="O2166" s="45">
        <v>43446</v>
      </c>
      <c r="P2166" s="79"/>
      <c r="Q2166" s="79" t="b">
        <v>0</v>
      </c>
      <c r="R2166" s="22">
        <f t="shared" si="33"/>
        <v>223</v>
      </c>
      <c r="S2166" s="79" t="s">
        <v>19401</v>
      </c>
    </row>
    <row r="2167" spans="1:19">
      <c r="A2167" s="79">
        <v>11356</v>
      </c>
      <c r="B2167" s="80">
        <v>43224</v>
      </c>
      <c r="C2167" s="79" t="s">
        <v>19405</v>
      </c>
      <c r="D2167" s="80">
        <v>43224</v>
      </c>
      <c r="E2167" s="79" t="s">
        <v>19406</v>
      </c>
      <c r="F2167" s="79" t="s">
        <v>16198</v>
      </c>
      <c r="G2167" s="79" t="s">
        <v>20</v>
      </c>
      <c r="H2167" s="79" t="s">
        <v>71</v>
      </c>
      <c r="I2167" s="79"/>
      <c r="J2167" s="79" t="s">
        <v>19407</v>
      </c>
      <c r="K2167" s="79" t="s">
        <v>14825</v>
      </c>
      <c r="L2167" s="46" t="s">
        <v>7167</v>
      </c>
      <c r="M2167" s="46" t="s">
        <v>21</v>
      </c>
      <c r="O2167" s="45">
        <v>43556</v>
      </c>
      <c r="P2167" s="79"/>
      <c r="Q2167" s="79" t="b">
        <v>0</v>
      </c>
      <c r="R2167" s="22">
        <f t="shared" si="33"/>
        <v>331</v>
      </c>
    </row>
    <row r="2168" spans="1:19" ht="24">
      <c r="A2168" s="68">
        <v>11357</v>
      </c>
      <c r="B2168" s="45">
        <v>43227</v>
      </c>
      <c r="C2168" s="46" t="s">
        <v>19363</v>
      </c>
      <c r="D2168" s="45">
        <v>43227</v>
      </c>
      <c r="E2168" s="46" t="s">
        <v>19364</v>
      </c>
      <c r="F2168" s="46" t="s">
        <v>27</v>
      </c>
      <c r="G2168" s="46" t="s">
        <v>20</v>
      </c>
      <c r="H2168" s="46" t="s">
        <v>71</v>
      </c>
      <c r="I2168" s="46" t="s">
        <v>21</v>
      </c>
      <c r="J2168" s="46" t="s">
        <v>19365</v>
      </c>
      <c r="K2168" s="46" t="s">
        <v>19366</v>
      </c>
      <c r="L2168" s="46" t="s">
        <v>1946</v>
      </c>
      <c r="M2168" s="46" t="s">
        <v>21</v>
      </c>
      <c r="O2168" s="45">
        <v>43278</v>
      </c>
      <c r="P2168" s="69" t="s">
        <v>21</v>
      </c>
      <c r="Q2168" s="44" t="b">
        <v>0</v>
      </c>
      <c r="R2168" s="22">
        <f t="shared" si="33"/>
        <v>50</v>
      </c>
    </row>
    <row r="2169" spans="1:19" ht="36">
      <c r="A2169" s="68">
        <v>11358</v>
      </c>
      <c r="B2169" s="45">
        <v>43228</v>
      </c>
      <c r="C2169" s="46" t="s">
        <v>19436</v>
      </c>
      <c r="D2169" s="45">
        <v>43227</v>
      </c>
      <c r="E2169" s="46" t="s">
        <v>19437</v>
      </c>
      <c r="F2169" s="46" t="s">
        <v>19</v>
      </c>
      <c r="G2169" s="46" t="s">
        <v>20</v>
      </c>
      <c r="H2169" s="46" t="s">
        <v>189</v>
      </c>
      <c r="I2169" s="46" t="s">
        <v>21</v>
      </c>
      <c r="J2169" s="46" t="s">
        <v>19438</v>
      </c>
      <c r="K2169" s="46" t="s">
        <v>19439</v>
      </c>
      <c r="L2169" s="46" t="s">
        <v>7167</v>
      </c>
      <c r="M2169" s="46" t="s">
        <v>21</v>
      </c>
      <c r="O2169" s="45">
        <v>43487</v>
      </c>
      <c r="P2169" s="69" t="s">
        <v>21</v>
      </c>
      <c r="Q2169" s="44" t="b">
        <v>0</v>
      </c>
      <c r="R2169" s="22">
        <f t="shared" si="33"/>
        <v>257</v>
      </c>
    </row>
    <row r="2170" spans="1:19" ht="36">
      <c r="A2170" s="68">
        <v>11367</v>
      </c>
      <c r="B2170" s="45">
        <v>43264</v>
      </c>
      <c r="C2170" s="46" t="s">
        <v>19440</v>
      </c>
      <c r="D2170" s="45">
        <v>43264</v>
      </c>
      <c r="E2170" s="46" t="s">
        <v>19441</v>
      </c>
      <c r="F2170" s="46" t="s">
        <v>149</v>
      </c>
      <c r="G2170" s="46" t="s">
        <v>20</v>
      </c>
      <c r="H2170" s="46" t="s">
        <v>71</v>
      </c>
      <c r="I2170" s="46" t="s">
        <v>21</v>
      </c>
      <c r="J2170" s="46" t="s">
        <v>19442</v>
      </c>
      <c r="K2170" s="46" t="s">
        <v>18037</v>
      </c>
      <c r="L2170" s="46" t="s">
        <v>4282</v>
      </c>
      <c r="M2170" s="46" t="s">
        <v>21</v>
      </c>
      <c r="O2170" s="45">
        <v>43957</v>
      </c>
      <c r="P2170" s="69" t="s">
        <v>21</v>
      </c>
      <c r="Q2170" s="44" t="b">
        <v>0</v>
      </c>
      <c r="R2170" s="22">
        <f t="shared" si="33"/>
        <v>692</v>
      </c>
    </row>
    <row r="2171" spans="1:19" ht="24">
      <c r="A2171" s="68">
        <v>11384</v>
      </c>
      <c r="B2171" s="45">
        <v>43290</v>
      </c>
      <c r="C2171" s="46" t="s">
        <v>19443</v>
      </c>
      <c r="D2171" s="45">
        <v>43290</v>
      </c>
      <c r="E2171" s="46" t="s">
        <v>19444</v>
      </c>
      <c r="F2171" s="46" t="s">
        <v>98</v>
      </c>
      <c r="G2171" s="46" t="s">
        <v>20</v>
      </c>
      <c r="H2171" s="46" t="s">
        <v>71</v>
      </c>
      <c r="I2171" s="46" t="s">
        <v>21</v>
      </c>
      <c r="J2171" s="46" t="s">
        <v>19445</v>
      </c>
      <c r="K2171" s="46" t="s">
        <v>19446</v>
      </c>
      <c r="L2171" s="46" t="s">
        <v>1946</v>
      </c>
      <c r="M2171" s="46" t="s">
        <v>7167</v>
      </c>
      <c r="O2171" s="45">
        <v>43913</v>
      </c>
      <c r="P2171" s="69" t="s">
        <v>21</v>
      </c>
      <c r="Q2171" s="44" t="b">
        <v>0</v>
      </c>
      <c r="R2171" s="22">
        <f t="shared" si="33"/>
        <v>622</v>
      </c>
    </row>
    <row r="2172" spans="1:19" ht="24">
      <c r="A2172" s="68">
        <v>11386</v>
      </c>
      <c r="B2172" s="45">
        <v>43291</v>
      </c>
      <c r="C2172" s="46" t="s">
        <v>19204</v>
      </c>
      <c r="D2172" s="45">
        <v>43290</v>
      </c>
      <c r="E2172" s="46" t="s">
        <v>19467</v>
      </c>
      <c r="F2172" s="46" t="s">
        <v>8395</v>
      </c>
      <c r="G2172" s="46" t="s">
        <v>20</v>
      </c>
      <c r="H2172" s="46" t="s">
        <v>566</v>
      </c>
      <c r="I2172" s="46" t="s">
        <v>21</v>
      </c>
      <c r="J2172" s="46" t="s">
        <v>19468</v>
      </c>
      <c r="K2172" s="46" t="s">
        <v>9348</v>
      </c>
      <c r="L2172" s="46" t="s">
        <v>1946</v>
      </c>
      <c r="M2172" s="46" t="s">
        <v>21</v>
      </c>
      <c r="O2172" s="45">
        <v>43578</v>
      </c>
      <c r="P2172" s="69" t="s">
        <v>21</v>
      </c>
      <c r="Q2172" s="44" t="b">
        <v>0</v>
      </c>
      <c r="R2172" s="22">
        <f t="shared" si="33"/>
        <v>286</v>
      </c>
    </row>
    <row r="2173" spans="1:19" ht="24">
      <c r="A2173" s="68">
        <v>11389</v>
      </c>
      <c r="B2173" s="45">
        <v>43297</v>
      </c>
      <c r="C2173" s="46" t="s">
        <v>19469</v>
      </c>
      <c r="D2173" s="45">
        <v>43297</v>
      </c>
      <c r="E2173" s="46" t="s">
        <v>19470</v>
      </c>
      <c r="F2173" s="46" t="s">
        <v>98</v>
      </c>
      <c r="G2173" s="46" t="s">
        <v>20</v>
      </c>
      <c r="H2173" s="46" t="s">
        <v>71</v>
      </c>
      <c r="I2173" s="46" t="s">
        <v>21</v>
      </c>
      <c r="J2173" s="46" t="s">
        <v>1524</v>
      </c>
      <c r="K2173" s="46" t="s">
        <v>19471</v>
      </c>
      <c r="L2173" s="46" t="s">
        <v>1946</v>
      </c>
      <c r="M2173" s="46" t="s">
        <v>21</v>
      </c>
      <c r="O2173" s="45">
        <v>43913</v>
      </c>
      <c r="P2173" s="69" t="s">
        <v>21</v>
      </c>
      <c r="Q2173" s="44" t="b">
        <v>0</v>
      </c>
      <c r="R2173" s="22">
        <f t="shared" si="33"/>
        <v>615</v>
      </c>
    </row>
    <row r="2174" spans="1:19" ht="48">
      <c r="A2174" s="68">
        <v>11391</v>
      </c>
      <c r="B2174" s="45">
        <v>43300</v>
      </c>
      <c r="C2174" s="46" t="s">
        <v>19394</v>
      </c>
      <c r="D2174" s="45">
        <v>43299</v>
      </c>
      <c r="E2174" s="46" t="s">
        <v>19395</v>
      </c>
      <c r="F2174" s="46" t="s">
        <v>19396</v>
      </c>
      <c r="G2174" s="46" t="s">
        <v>20</v>
      </c>
      <c r="H2174" s="46" t="s">
        <v>566</v>
      </c>
      <c r="I2174" s="46" t="s">
        <v>21</v>
      </c>
      <c r="J2174" s="46" t="s">
        <v>19397</v>
      </c>
      <c r="K2174" s="46" t="s">
        <v>9348</v>
      </c>
      <c r="L2174" s="46" t="s">
        <v>7167</v>
      </c>
      <c r="M2174" s="46" t="s">
        <v>21</v>
      </c>
      <c r="O2174" s="45">
        <v>43409</v>
      </c>
      <c r="P2174" s="69" t="s">
        <v>21</v>
      </c>
      <c r="Q2174" s="44" t="b">
        <v>0</v>
      </c>
      <c r="R2174" s="22">
        <f t="shared" si="33"/>
        <v>107</v>
      </c>
    </row>
    <row r="2175" spans="1:19" ht="24">
      <c r="A2175" s="68">
        <v>11398</v>
      </c>
      <c r="B2175" s="45">
        <v>43318</v>
      </c>
      <c r="C2175" s="46" t="s">
        <v>19375</v>
      </c>
      <c r="D2175" s="45">
        <v>43318</v>
      </c>
      <c r="E2175" s="46" t="s">
        <v>19376</v>
      </c>
      <c r="F2175" s="46" t="s">
        <v>1771</v>
      </c>
      <c r="G2175" s="46" t="s">
        <v>20</v>
      </c>
      <c r="H2175" s="46" t="s">
        <v>189</v>
      </c>
      <c r="I2175" s="46" t="s">
        <v>21</v>
      </c>
      <c r="J2175" s="46" t="s">
        <v>19377</v>
      </c>
      <c r="K2175" s="46" t="s">
        <v>9348</v>
      </c>
      <c r="L2175" s="46" t="s">
        <v>7167</v>
      </c>
      <c r="M2175" s="46" t="s">
        <v>21</v>
      </c>
      <c r="O2175" s="45">
        <v>43326</v>
      </c>
      <c r="P2175" s="69" t="s">
        <v>21</v>
      </c>
      <c r="Q2175" s="44" t="b">
        <v>0</v>
      </c>
      <c r="R2175" s="22">
        <f t="shared" si="33"/>
        <v>8</v>
      </c>
    </row>
    <row r="2176" spans="1:19" ht="36">
      <c r="A2176" s="68">
        <v>11403</v>
      </c>
      <c r="B2176" s="45">
        <v>43325</v>
      </c>
      <c r="C2176" s="46" t="s">
        <v>19378</v>
      </c>
      <c r="D2176" s="45">
        <v>43325</v>
      </c>
      <c r="E2176" s="46" t="s">
        <v>19379</v>
      </c>
      <c r="F2176" s="46" t="s">
        <v>19380</v>
      </c>
      <c r="G2176" s="46" t="s">
        <v>20</v>
      </c>
      <c r="H2176" s="46" t="s">
        <v>212</v>
      </c>
      <c r="I2176" s="46" t="s">
        <v>21</v>
      </c>
      <c r="J2176" s="46" t="s">
        <v>19381</v>
      </c>
      <c r="K2176" s="46" t="s">
        <v>19382</v>
      </c>
      <c r="L2176" s="46" t="s">
        <v>18572</v>
      </c>
      <c r="M2176" s="46" t="s">
        <v>21</v>
      </c>
      <c r="O2176" s="45">
        <v>43356</v>
      </c>
      <c r="P2176" s="69" t="s">
        <v>21</v>
      </c>
      <c r="Q2176" s="44" t="b">
        <v>0</v>
      </c>
      <c r="R2176" s="22">
        <f t="shared" si="33"/>
        <v>30</v>
      </c>
    </row>
    <row r="2177" spans="1:19" ht="36">
      <c r="A2177" s="64">
        <v>11407</v>
      </c>
      <c r="B2177" s="62">
        <v>43340</v>
      </c>
      <c r="C2177" s="63" t="s">
        <v>19472</v>
      </c>
      <c r="D2177" s="62">
        <v>43339</v>
      </c>
      <c r="E2177" s="63" t="s">
        <v>19473</v>
      </c>
      <c r="F2177" s="63" t="s">
        <v>104</v>
      </c>
      <c r="G2177" s="63" t="s">
        <v>20</v>
      </c>
      <c r="H2177" s="63" t="s">
        <v>71</v>
      </c>
      <c r="I2177" s="63" t="s">
        <v>21</v>
      </c>
      <c r="J2177" s="63" t="s">
        <v>19474</v>
      </c>
      <c r="K2177" s="63" t="s">
        <v>19475</v>
      </c>
      <c r="L2177" s="63" t="s">
        <v>21142</v>
      </c>
      <c r="M2177" s="63" t="s">
        <v>10117</v>
      </c>
      <c r="O2177" s="89">
        <v>44631</v>
      </c>
      <c r="P2177" s="65" t="s">
        <v>21</v>
      </c>
      <c r="Q2177" s="66" t="b">
        <v>0</v>
      </c>
      <c r="R2177" s="22">
        <f t="shared" si="33"/>
        <v>1290</v>
      </c>
      <c r="S2177" t="s">
        <v>21</v>
      </c>
    </row>
    <row r="2178" spans="1:19" ht="36">
      <c r="A2178" s="68">
        <v>11410</v>
      </c>
      <c r="B2178" s="45">
        <v>43343</v>
      </c>
      <c r="C2178" s="46" t="s">
        <v>19383</v>
      </c>
      <c r="D2178" s="45">
        <v>43343</v>
      </c>
      <c r="E2178" s="46" t="s">
        <v>19384</v>
      </c>
      <c r="F2178" s="46" t="s">
        <v>19380</v>
      </c>
      <c r="G2178" s="46" t="s">
        <v>20</v>
      </c>
      <c r="H2178" s="46" t="s">
        <v>212</v>
      </c>
      <c r="I2178" s="46" t="s">
        <v>21</v>
      </c>
      <c r="J2178" s="46" t="s">
        <v>19385</v>
      </c>
      <c r="K2178" s="46" t="s">
        <v>19386</v>
      </c>
      <c r="L2178" s="46" t="s">
        <v>18572</v>
      </c>
      <c r="M2178" s="46" t="s">
        <v>21</v>
      </c>
      <c r="O2178" s="45">
        <v>43356</v>
      </c>
      <c r="P2178" s="69" t="s">
        <v>21</v>
      </c>
      <c r="Q2178" s="44" t="b">
        <v>0</v>
      </c>
      <c r="R2178" s="22">
        <f t="shared" ref="R2178:R2241" si="34">IF(O2178=" ", " ", INT(YEARFRAC(O2178, B2178)*365))</f>
        <v>13</v>
      </c>
    </row>
    <row r="2179" spans="1:19">
      <c r="A2179" s="79">
        <v>11411</v>
      </c>
      <c r="B2179" s="80">
        <v>43343</v>
      </c>
      <c r="C2179" s="79" t="s">
        <v>19387</v>
      </c>
      <c r="D2179" s="80">
        <v>43343</v>
      </c>
      <c r="E2179" s="79" t="s">
        <v>19388</v>
      </c>
      <c r="F2179" s="79" t="s">
        <v>6298</v>
      </c>
      <c r="G2179" s="79" t="s">
        <v>20</v>
      </c>
      <c r="H2179" s="79" t="s">
        <v>71</v>
      </c>
      <c r="I2179" s="79"/>
      <c r="J2179" s="79" t="s">
        <v>19389</v>
      </c>
      <c r="K2179" s="79" t="s">
        <v>14825</v>
      </c>
      <c r="L2179" s="46" t="s">
        <v>14909</v>
      </c>
      <c r="M2179" s="46" t="s">
        <v>21</v>
      </c>
      <c r="O2179" s="45">
        <v>43362</v>
      </c>
      <c r="P2179" s="79"/>
      <c r="Q2179" s="79" t="b">
        <v>0</v>
      </c>
      <c r="R2179" s="22">
        <f t="shared" si="34"/>
        <v>19</v>
      </c>
    </row>
    <row r="2180" spans="1:19">
      <c r="A2180" s="68">
        <v>11415</v>
      </c>
      <c r="B2180" s="45">
        <v>43360</v>
      </c>
      <c r="C2180" s="46" t="s">
        <v>19390</v>
      </c>
      <c r="D2180" s="45">
        <v>43360</v>
      </c>
      <c r="E2180" s="46" t="s">
        <v>19391</v>
      </c>
      <c r="F2180" s="46" t="s">
        <v>6191</v>
      </c>
      <c r="G2180" s="46" t="s">
        <v>20</v>
      </c>
      <c r="H2180" s="46" t="s">
        <v>189</v>
      </c>
      <c r="I2180" s="46" t="s">
        <v>21</v>
      </c>
      <c r="J2180" s="46" t="s">
        <v>19392</v>
      </c>
      <c r="K2180" s="46" t="s">
        <v>19393</v>
      </c>
      <c r="L2180" s="46" t="s">
        <v>7167</v>
      </c>
      <c r="M2180" s="46" t="s">
        <v>21</v>
      </c>
      <c r="O2180" s="45">
        <v>43398</v>
      </c>
      <c r="P2180" s="69" t="s">
        <v>21</v>
      </c>
      <c r="Q2180" s="44" t="b">
        <v>0</v>
      </c>
      <c r="R2180" s="22">
        <f t="shared" si="34"/>
        <v>38</v>
      </c>
    </row>
    <row r="2181" spans="1:19" ht="24">
      <c r="A2181" s="68">
        <v>11430</v>
      </c>
      <c r="B2181" s="45">
        <v>43392</v>
      </c>
      <c r="C2181" s="46" t="s">
        <v>19447</v>
      </c>
      <c r="D2181" s="45">
        <v>43392</v>
      </c>
      <c r="E2181" s="46" t="s">
        <v>19448</v>
      </c>
      <c r="F2181" s="46" t="s">
        <v>6298</v>
      </c>
      <c r="G2181" s="46" t="s">
        <v>20</v>
      </c>
      <c r="H2181" s="46" t="s">
        <v>71</v>
      </c>
      <c r="I2181" s="46" t="s">
        <v>21</v>
      </c>
      <c r="J2181" s="46" t="s">
        <v>19449</v>
      </c>
      <c r="K2181" s="46" t="s">
        <v>13389</v>
      </c>
      <c r="L2181" s="46" t="s">
        <v>7167</v>
      </c>
      <c r="M2181" s="46" t="s">
        <v>21</v>
      </c>
      <c r="O2181" s="45">
        <v>44011</v>
      </c>
      <c r="P2181" s="69" t="s">
        <v>21</v>
      </c>
      <c r="Q2181" s="44" t="b">
        <v>0</v>
      </c>
      <c r="R2181" s="22">
        <f t="shared" si="34"/>
        <v>618</v>
      </c>
    </row>
    <row r="2182" spans="1:19" ht="36">
      <c r="A2182" s="68">
        <v>11443</v>
      </c>
      <c r="B2182" s="45">
        <v>43413</v>
      </c>
      <c r="C2182" s="46" t="s">
        <v>19408</v>
      </c>
      <c r="D2182" s="45">
        <v>43412</v>
      </c>
      <c r="E2182" s="46" t="s">
        <v>19409</v>
      </c>
      <c r="F2182" s="46" t="s">
        <v>16173</v>
      </c>
      <c r="G2182" s="46" t="s">
        <v>20</v>
      </c>
      <c r="H2182" s="46" t="s">
        <v>71</v>
      </c>
      <c r="I2182" s="46" t="s">
        <v>21</v>
      </c>
      <c r="J2182" s="46" t="s">
        <v>19410</v>
      </c>
      <c r="K2182" s="46" t="s">
        <v>14825</v>
      </c>
      <c r="L2182" s="46" t="s">
        <v>4282</v>
      </c>
      <c r="M2182" s="46" t="s">
        <v>21</v>
      </c>
      <c r="O2182" s="45">
        <v>43893</v>
      </c>
      <c r="P2182" s="69" t="s">
        <v>21</v>
      </c>
      <c r="Q2182" s="44" t="b">
        <v>0</v>
      </c>
      <c r="R2182" s="22">
        <f t="shared" si="34"/>
        <v>480</v>
      </c>
    </row>
    <row r="2183" spans="1:19" ht="24">
      <c r="A2183" s="68">
        <v>11447</v>
      </c>
      <c r="B2183" s="45">
        <v>43420</v>
      </c>
      <c r="C2183" s="46" t="s">
        <v>19411</v>
      </c>
      <c r="D2183" s="45">
        <v>43419</v>
      </c>
      <c r="E2183" s="46" t="s">
        <v>19412</v>
      </c>
      <c r="F2183" s="46" t="s">
        <v>19</v>
      </c>
      <c r="G2183" s="46" t="s">
        <v>20</v>
      </c>
      <c r="H2183" s="46" t="s">
        <v>71</v>
      </c>
      <c r="I2183" s="46" t="s">
        <v>21</v>
      </c>
      <c r="J2183" s="46" t="s">
        <v>19413</v>
      </c>
      <c r="K2183" s="46" t="s">
        <v>14825</v>
      </c>
      <c r="L2183" s="46" t="s">
        <v>1946</v>
      </c>
      <c r="M2183" s="46" t="s">
        <v>21</v>
      </c>
      <c r="O2183" s="45">
        <v>43983</v>
      </c>
      <c r="P2183" s="69" t="s">
        <v>21</v>
      </c>
      <c r="Q2183" s="44" t="b">
        <v>0</v>
      </c>
      <c r="R2183" s="22">
        <f t="shared" si="34"/>
        <v>562</v>
      </c>
    </row>
    <row r="2184" spans="1:19" ht="36">
      <c r="A2184" s="68">
        <v>11450</v>
      </c>
      <c r="B2184" s="45">
        <v>43432</v>
      </c>
      <c r="C2184" s="46" t="s">
        <v>19450</v>
      </c>
      <c r="D2184" s="45">
        <v>43431</v>
      </c>
      <c r="E2184" s="46" t="s">
        <v>19451</v>
      </c>
      <c r="F2184" s="46" t="s">
        <v>1783</v>
      </c>
      <c r="G2184" s="46" t="s">
        <v>20</v>
      </c>
      <c r="H2184" s="46" t="s">
        <v>71</v>
      </c>
      <c r="I2184" s="46" t="s">
        <v>21</v>
      </c>
      <c r="J2184" s="46" t="s">
        <v>19452</v>
      </c>
      <c r="K2184" s="46" t="s">
        <v>9348</v>
      </c>
      <c r="L2184" s="46" t="s">
        <v>4282</v>
      </c>
      <c r="M2184" s="46" t="s">
        <v>1946</v>
      </c>
      <c r="O2184" s="45">
        <v>44371</v>
      </c>
      <c r="P2184" s="69" t="s">
        <v>21</v>
      </c>
      <c r="Q2184" s="44" t="b">
        <v>0</v>
      </c>
      <c r="R2184" s="22">
        <f t="shared" si="34"/>
        <v>938</v>
      </c>
    </row>
    <row r="2185" spans="1:19">
      <c r="A2185" s="79">
        <v>11451</v>
      </c>
      <c r="B2185" s="80">
        <v>43432</v>
      </c>
      <c r="C2185" s="79" t="s">
        <v>19414</v>
      </c>
      <c r="D2185" s="80">
        <v>43431</v>
      </c>
      <c r="E2185" s="79" t="s">
        <v>19415</v>
      </c>
      <c r="F2185" s="79" t="s">
        <v>19416</v>
      </c>
      <c r="G2185" s="79" t="s">
        <v>20</v>
      </c>
      <c r="H2185" s="79" t="s">
        <v>71</v>
      </c>
      <c r="I2185" s="79"/>
      <c r="J2185" s="79" t="s">
        <v>19417</v>
      </c>
      <c r="K2185" s="79" t="s">
        <v>14825</v>
      </c>
      <c r="L2185" s="79" t="s">
        <v>7167</v>
      </c>
      <c r="M2185" s="79"/>
      <c r="O2185" s="45">
        <v>43581</v>
      </c>
      <c r="P2185" s="79"/>
      <c r="Q2185" s="79" t="b">
        <v>0</v>
      </c>
      <c r="R2185" s="22">
        <f t="shared" si="34"/>
        <v>150</v>
      </c>
    </row>
    <row r="2186" spans="1:19" ht="24">
      <c r="A2186" s="68">
        <v>11456</v>
      </c>
      <c r="B2186" s="45">
        <v>43440</v>
      </c>
      <c r="C2186" s="46" t="s">
        <v>19453</v>
      </c>
      <c r="D2186" s="45">
        <v>43440</v>
      </c>
      <c r="E2186" s="46" t="s">
        <v>19454</v>
      </c>
      <c r="F2186" s="46" t="s">
        <v>16198</v>
      </c>
      <c r="G2186" s="46" t="s">
        <v>20</v>
      </c>
      <c r="H2186" s="46" t="s">
        <v>71</v>
      </c>
      <c r="I2186" s="46" t="s">
        <v>21</v>
      </c>
      <c r="J2186" s="46" t="s">
        <v>19455</v>
      </c>
      <c r="K2186" s="46" t="s">
        <v>9348</v>
      </c>
      <c r="L2186" s="46" t="s">
        <v>4282</v>
      </c>
      <c r="M2186" s="46" t="s">
        <v>21</v>
      </c>
      <c r="O2186" s="45">
        <v>44011</v>
      </c>
      <c r="P2186" s="69" t="s">
        <v>21</v>
      </c>
      <c r="Q2186" s="44" t="b">
        <v>0</v>
      </c>
      <c r="R2186" s="22">
        <f t="shared" si="34"/>
        <v>570</v>
      </c>
    </row>
    <row r="2187" spans="1:19" ht="48">
      <c r="A2187" s="68">
        <v>11459</v>
      </c>
      <c r="B2187" s="45">
        <v>43447</v>
      </c>
      <c r="C2187" s="46" t="s">
        <v>19456</v>
      </c>
      <c r="D2187" s="45">
        <v>43446</v>
      </c>
      <c r="E2187" s="46" t="s">
        <v>19457</v>
      </c>
      <c r="F2187" s="46" t="s">
        <v>129</v>
      </c>
      <c r="G2187" s="46" t="s">
        <v>20</v>
      </c>
      <c r="H2187" s="46" t="s">
        <v>71</v>
      </c>
      <c r="I2187" s="46" t="s">
        <v>21</v>
      </c>
      <c r="J2187" s="46" t="s">
        <v>19458</v>
      </c>
      <c r="K2187" s="46" t="s">
        <v>19459</v>
      </c>
      <c r="L2187" s="46" t="s">
        <v>1946</v>
      </c>
      <c r="M2187" s="46" t="s">
        <v>21</v>
      </c>
      <c r="O2187" s="45">
        <v>44004</v>
      </c>
      <c r="P2187" s="69" t="s">
        <v>21</v>
      </c>
      <c r="Q2187" s="44" t="b">
        <v>0</v>
      </c>
      <c r="R2187" s="22">
        <f t="shared" si="34"/>
        <v>556</v>
      </c>
    </row>
    <row r="2188" spans="1:19">
      <c r="A2188" s="79">
        <v>11460</v>
      </c>
      <c r="B2188" s="80">
        <v>43451</v>
      </c>
      <c r="C2188" s="79" t="s">
        <v>19418</v>
      </c>
      <c r="D2188" s="80">
        <v>43451</v>
      </c>
      <c r="E2188" s="79" t="s">
        <v>19419</v>
      </c>
      <c r="F2188" s="79" t="s">
        <v>741</v>
      </c>
      <c r="G2188" s="79" t="s">
        <v>20</v>
      </c>
      <c r="H2188" s="79" t="s">
        <v>71</v>
      </c>
      <c r="I2188" s="79"/>
      <c r="J2188" s="79" t="s">
        <v>19420</v>
      </c>
      <c r="K2188" s="79" t="s">
        <v>14825</v>
      </c>
      <c r="L2188" s="79" t="s">
        <v>1946</v>
      </c>
      <c r="M2188" s="79"/>
      <c r="O2188" s="45">
        <v>43538</v>
      </c>
      <c r="P2188" s="79"/>
      <c r="Q2188" s="79" t="b">
        <v>0</v>
      </c>
      <c r="R2188" s="22">
        <f t="shared" si="34"/>
        <v>88</v>
      </c>
    </row>
    <row r="2189" spans="1:19" ht="36">
      <c r="A2189" s="68">
        <v>11462</v>
      </c>
      <c r="B2189" s="45">
        <v>43452</v>
      </c>
      <c r="C2189" s="46" t="s">
        <v>19460</v>
      </c>
      <c r="D2189" s="45">
        <v>43451</v>
      </c>
      <c r="E2189" s="46" t="s">
        <v>19461</v>
      </c>
      <c r="F2189" s="46" t="s">
        <v>19</v>
      </c>
      <c r="G2189" s="46" t="s">
        <v>20</v>
      </c>
      <c r="H2189" s="46" t="s">
        <v>71</v>
      </c>
      <c r="I2189" s="46" t="s">
        <v>21</v>
      </c>
      <c r="J2189" s="46" t="s">
        <v>19462</v>
      </c>
      <c r="K2189" s="46" t="s">
        <v>19463</v>
      </c>
      <c r="L2189" s="46" t="s">
        <v>1152</v>
      </c>
      <c r="M2189" s="46" t="s">
        <v>14909</v>
      </c>
      <c r="O2189" s="45">
        <v>43836</v>
      </c>
      <c r="P2189" s="69" t="s">
        <v>21</v>
      </c>
      <c r="Q2189" s="44" t="b">
        <v>0</v>
      </c>
      <c r="R2189" s="22">
        <f t="shared" si="34"/>
        <v>383</v>
      </c>
    </row>
    <row r="2190" spans="1:19" ht="36">
      <c r="A2190" s="68">
        <v>11464</v>
      </c>
      <c r="B2190" s="45">
        <v>43458</v>
      </c>
      <c r="C2190" s="46" t="s">
        <v>19464</v>
      </c>
      <c r="D2190" s="45">
        <v>43454</v>
      </c>
      <c r="E2190" s="46" t="s">
        <v>19465</v>
      </c>
      <c r="F2190" s="46" t="s">
        <v>2838</v>
      </c>
      <c r="G2190" s="46" t="s">
        <v>20</v>
      </c>
      <c r="H2190" s="46" t="s">
        <v>71</v>
      </c>
      <c r="I2190" s="46" t="s">
        <v>21</v>
      </c>
      <c r="J2190" s="46" t="s">
        <v>19466</v>
      </c>
      <c r="K2190" s="46" t="s">
        <v>9348</v>
      </c>
      <c r="L2190" s="46" t="s">
        <v>7167</v>
      </c>
      <c r="M2190" s="46" t="s">
        <v>21</v>
      </c>
      <c r="O2190" s="45">
        <v>44125</v>
      </c>
      <c r="P2190" s="69" t="s">
        <v>21</v>
      </c>
      <c r="Q2190" s="44" t="b">
        <v>0</v>
      </c>
      <c r="R2190" s="22">
        <f t="shared" si="34"/>
        <v>666</v>
      </c>
    </row>
    <row r="2191" spans="1:19" ht="36">
      <c r="A2191" s="68">
        <v>11474</v>
      </c>
      <c r="B2191" s="45">
        <v>43468</v>
      </c>
      <c r="C2191" s="46" t="s">
        <v>20450</v>
      </c>
      <c r="D2191" s="45">
        <v>43467</v>
      </c>
      <c r="E2191" s="46" t="s">
        <v>20451</v>
      </c>
      <c r="F2191" s="46" t="s">
        <v>211</v>
      </c>
      <c r="G2191" s="46" t="s">
        <v>20</v>
      </c>
      <c r="H2191" s="46" t="s">
        <v>212</v>
      </c>
      <c r="I2191" s="46" t="s">
        <v>21</v>
      </c>
      <c r="J2191" s="46" t="s">
        <v>20452</v>
      </c>
      <c r="K2191" s="46" t="s">
        <v>9348</v>
      </c>
      <c r="L2191" s="46" t="s">
        <v>7167</v>
      </c>
      <c r="M2191" s="46" t="s">
        <v>20641</v>
      </c>
      <c r="O2191" s="45">
        <v>44559</v>
      </c>
      <c r="P2191" s="69" t="s">
        <v>21</v>
      </c>
      <c r="Q2191" s="44" t="b">
        <v>0</v>
      </c>
      <c r="R2191" s="22">
        <f t="shared" si="34"/>
        <v>1090</v>
      </c>
    </row>
    <row r="2192" spans="1:19" ht="36">
      <c r="A2192" s="68">
        <v>11484</v>
      </c>
      <c r="B2192" s="45">
        <v>43479</v>
      </c>
      <c r="C2192" s="46" t="s">
        <v>20140</v>
      </c>
      <c r="D2192" s="45">
        <v>43476</v>
      </c>
      <c r="E2192" s="46" t="s">
        <v>20141</v>
      </c>
      <c r="F2192" s="46" t="s">
        <v>974</v>
      </c>
      <c r="G2192" s="46" t="s">
        <v>20</v>
      </c>
      <c r="H2192" s="46" t="s">
        <v>212</v>
      </c>
      <c r="I2192" s="46" t="s">
        <v>21</v>
      </c>
      <c r="J2192" s="46" t="s">
        <v>20142</v>
      </c>
      <c r="K2192" s="46" t="s">
        <v>14825</v>
      </c>
      <c r="L2192" s="46" t="s">
        <v>7167</v>
      </c>
      <c r="M2192" s="46" t="s">
        <v>21</v>
      </c>
      <c r="O2192" s="45">
        <v>43719</v>
      </c>
      <c r="P2192" s="69" t="s">
        <v>21</v>
      </c>
      <c r="Q2192" s="44" t="b">
        <v>0</v>
      </c>
      <c r="R2192" s="22">
        <f t="shared" si="34"/>
        <v>240</v>
      </c>
    </row>
    <row r="2193" spans="1:19" ht="24">
      <c r="A2193" s="68">
        <v>11487</v>
      </c>
      <c r="B2193" s="45">
        <v>43481</v>
      </c>
      <c r="C2193" s="46" t="s">
        <v>20453</v>
      </c>
      <c r="D2193" s="45">
        <v>43480</v>
      </c>
      <c r="E2193" s="46" t="s">
        <v>20454</v>
      </c>
      <c r="F2193" s="46" t="s">
        <v>1771</v>
      </c>
      <c r="G2193" s="46" t="s">
        <v>20</v>
      </c>
      <c r="H2193" s="46" t="s">
        <v>189</v>
      </c>
      <c r="I2193" s="46" t="s">
        <v>21</v>
      </c>
      <c r="J2193" s="46" t="s">
        <v>20455</v>
      </c>
      <c r="K2193" s="46" t="s">
        <v>9348</v>
      </c>
      <c r="L2193" s="46" t="s">
        <v>7167</v>
      </c>
      <c r="M2193" s="46" t="s">
        <v>14909</v>
      </c>
      <c r="O2193" s="45">
        <v>44043</v>
      </c>
      <c r="P2193" s="69" t="s">
        <v>21</v>
      </c>
      <c r="Q2193" s="44" t="b">
        <v>0</v>
      </c>
      <c r="R2193" s="22">
        <f t="shared" si="34"/>
        <v>562</v>
      </c>
    </row>
    <row r="2194" spans="1:19" ht="24">
      <c r="A2194" s="64">
        <v>11488</v>
      </c>
      <c r="B2194" s="62">
        <v>43481</v>
      </c>
      <c r="C2194" s="63" t="s">
        <v>20456</v>
      </c>
      <c r="D2194" s="62">
        <v>43480</v>
      </c>
      <c r="E2194" s="63" t="s">
        <v>20457</v>
      </c>
      <c r="F2194" s="63" t="s">
        <v>124</v>
      </c>
      <c r="G2194" s="63" t="s">
        <v>20</v>
      </c>
      <c r="H2194" s="63" t="s">
        <v>71</v>
      </c>
      <c r="I2194" s="63" t="s">
        <v>21</v>
      </c>
      <c r="J2194" s="63" t="s">
        <v>19446</v>
      </c>
      <c r="K2194" s="63" t="s">
        <v>20458</v>
      </c>
      <c r="L2194" s="63" t="s">
        <v>4282</v>
      </c>
      <c r="M2194" s="63" t="s">
        <v>14909</v>
      </c>
      <c r="O2194" s="89">
        <v>44643</v>
      </c>
      <c r="P2194" s="65" t="s">
        <v>21</v>
      </c>
      <c r="Q2194" s="66" t="b">
        <v>0</v>
      </c>
      <c r="R2194" s="22">
        <f t="shared" si="34"/>
        <v>1162</v>
      </c>
      <c r="S2194" t="s">
        <v>21</v>
      </c>
    </row>
    <row r="2195" spans="1:19" ht="24">
      <c r="A2195" s="68">
        <v>11492</v>
      </c>
      <c r="B2195" s="45">
        <v>43493</v>
      </c>
      <c r="C2195" s="46" t="s">
        <v>20150</v>
      </c>
      <c r="D2195" s="45">
        <v>43493</v>
      </c>
      <c r="E2195" s="46" t="s">
        <v>20151</v>
      </c>
      <c r="F2195" s="46" t="s">
        <v>19</v>
      </c>
      <c r="G2195" s="46" t="s">
        <v>20</v>
      </c>
      <c r="H2195" s="46" t="s">
        <v>71</v>
      </c>
      <c r="I2195" s="46" t="s">
        <v>21</v>
      </c>
      <c r="J2195" s="46" t="s">
        <v>20152</v>
      </c>
      <c r="K2195" s="46" t="s">
        <v>16399</v>
      </c>
      <c r="L2195" s="46" t="s">
        <v>1946</v>
      </c>
      <c r="M2195" s="46" t="s">
        <v>21</v>
      </c>
      <c r="O2195" s="62">
        <v>43598</v>
      </c>
      <c r="P2195" s="69" t="s">
        <v>21</v>
      </c>
      <c r="Q2195" s="44" t="b">
        <v>0</v>
      </c>
      <c r="R2195" s="22">
        <f t="shared" si="34"/>
        <v>106</v>
      </c>
    </row>
    <row r="2196" spans="1:19" ht="36">
      <c r="A2196" s="68">
        <v>11495</v>
      </c>
      <c r="B2196" s="45">
        <v>43501</v>
      </c>
      <c r="C2196" s="46" t="s">
        <v>20459</v>
      </c>
      <c r="D2196" s="45">
        <v>43501</v>
      </c>
      <c r="E2196" s="46" t="s">
        <v>20460</v>
      </c>
      <c r="F2196" s="46" t="s">
        <v>52</v>
      </c>
      <c r="G2196" s="46" t="s">
        <v>20</v>
      </c>
      <c r="H2196" s="46" t="s">
        <v>71</v>
      </c>
      <c r="I2196" s="46" t="s">
        <v>21</v>
      </c>
      <c r="J2196" s="46" t="s">
        <v>20461</v>
      </c>
      <c r="K2196" s="46" t="s">
        <v>20462</v>
      </c>
      <c r="L2196" s="46" t="s">
        <v>7167</v>
      </c>
      <c r="M2196" s="46" t="s">
        <v>21</v>
      </c>
      <c r="O2196" s="45">
        <v>44301</v>
      </c>
      <c r="P2196" s="69" t="s">
        <v>21</v>
      </c>
      <c r="Q2196" s="44" t="b">
        <v>0</v>
      </c>
      <c r="R2196" s="22">
        <f t="shared" si="34"/>
        <v>800</v>
      </c>
    </row>
    <row r="2197" spans="1:19" ht="72">
      <c r="A2197" s="68">
        <v>11499</v>
      </c>
      <c r="B2197" s="45">
        <v>43516</v>
      </c>
      <c r="C2197" s="46" t="s">
        <v>20463</v>
      </c>
      <c r="D2197" s="45">
        <v>43516</v>
      </c>
      <c r="E2197" s="46" t="s">
        <v>20464</v>
      </c>
      <c r="F2197" s="46" t="s">
        <v>52</v>
      </c>
      <c r="G2197" s="46" t="s">
        <v>20</v>
      </c>
      <c r="H2197" s="46" t="s">
        <v>71</v>
      </c>
      <c r="I2197" s="46" t="s">
        <v>21</v>
      </c>
      <c r="J2197" s="46" t="s">
        <v>20465</v>
      </c>
      <c r="K2197" s="46" t="s">
        <v>21</v>
      </c>
      <c r="L2197" s="46" t="s">
        <v>7167</v>
      </c>
      <c r="M2197" s="46" t="s">
        <v>21</v>
      </c>
      <c r="O2197" s="45">
        <v>44301</v>
      </c>
      <c r="P2197" s="69" t="s">
        <v>21</v>
      </c>
      <c r="Q2197" s="44" t="b">
        <v>0</v>
      </c>
      <c r="R2197" s="22">
        <f t="shared" si="34"/>
        <v>785</v>
      </c>
    </row>
    <row r="2198" spans="1:19" ht="48">
      <c r="A2198" s="68">
        <v>11500</v>
      </c>
      <c r="B2198" s="45">
        <v>43517</v>
      </c>
      <c r="C2198" s="46" t="s">
        <v>20143</v>
      </c>
      <c r="D2198" s="45">
        <v>43517</v>
      </c>
      <c r="E2198" s="46" t="s">
        <v>20144</v>
      </c>
      <c r="F2198" s="46" t="s">
        <v>12633</v>
      </c>
      <c r="G2198" s="46" t="s">
        <v>20</v>
      </c>
      <c r="H2198" s="46" t="s">
        <v>212</v>
      </c>
      <c r="I2198" s="46" t="s">
        <v>21</v>
      </c>
      <c r="J2198" s="46" t="s">
        <v>20145</v>
      </c>
      <c r="K2198" s="46" t="s">
        <v>14825</v>
      </c>
      <c r="L2198" s="46" t="s">
        <v>14909</v>
      </c>
      <c r="M2198" s="46" t="s">
        <v>21</v>
      </c>
      <c r="O2198" s="45">
        <v>43567</v>
      </c>
      <c r="P2198" s="69" t="s">
        <v>21</v>
      </c>
      <c r="Q2198" s="44" t="b">
        <v>0</v>
      </c>
      <c r="R2198" s="22">
        <f t="shared" si="34"/>
        <v>51</v>
      </c>
    </row>
    <row r="2199" spans="1:19" ht="24">
      <c r="A2199" s="68">
        <v>11503</v>
      </c>
      <c r="B2199" s="45">
        <v>43524</v>
      </c>
      <c r="C2199" s="46" t="s">
        <v>20429</v>
      </c>
      <c r="D2199" s="45">
        <v>43523</v>
      </c>
      <c r="E2199" s="46" t="s">
        <v>20430</v>
      </c>
      <c r="F2199" s="46" t="s">
        <v>3430</v>
      </c>
      <c r="G2199" s="46" t="s">
        <v>20</v>
      </c>
      <c r="H2199" s="46" t="s">
        <v>71</v>
      </c>
      <c r="I2199" s="46" t="s">
        <v>21</v>
      </c>
      <c r="J2199" s="46" t="s">
        <v>20431</v>
      </c>
      <c r="K2199" s="46" t="s">
        <v>14825</v>
      </c>
      <c r="L2199" s="46" t="s">
        <v>1946</v>
      </c>
      <c r="M2199" s="46" t="s">
        <v>14909</v>
      </c>
      <c r="O2199" s="45">
        <v>43970</v>
      </c>
      <c r="P2199" s="69" t="s">
        <v>21</v>
      </c>
      <c r="Q2199" s="44" t="b">
        <v>0</v>
      </c>
      <c r="R2199" s="22">
        <f t="shared" si="34"/>
        <v>445</v>
      </c>
    </row>
    <row r="2200" spans="1:19" ht="36">
      <c r="A2200" s="68">
        <v>11506</v>
      </c>
      <c r="B2200" s="45">
        <v>43525</v>
      </c>
      <c r="C2200" s="46" t="s">
        <v>20432</v>
      </c>
      <c r="D2200" s="45">
        <v>43525</v>
      </c>
      <c r="E2200" s="46" t="s">
        <v>20433</v>
      </c>
      <c r="F2200" s="46" t="s">
        <v>3171</v>
      </c>
      <c r="G2200" s="46" t="s">
        <v>20</v>
      </c>
      <c r="H2200" s="46" t="s">
        <v>566</v>
      </c>
      <c r="I2200" s="46" t="s">
        <v>21</v>
      </c>
      <c r="J2200" s="46" t="s">
        <v>13507</v>
      </c>
      <c r="K2200" s="46" t="s">
        <v>14825</v>
      </c>
      <c r="L2200" s="46" t="s">
        <v>7167</v>
      </c>
      <c r="M2200" s="46" t="s">
        <v>21</v>
      </c>
      <c r="O2200" s="45">
        <v>43909</v>
      </c>
      <c r="P2200" s="69" t="s">
        <v>21</v>
      </c>
      <c r="Q2200" s="44" t="b">
        <v>0</v>
      </c>
      <c r="R2200" s="22">
        <f t="shared" si="34"/>
        <v>383</v>
      </c>
    </row>
    <row r="2201" spans="1:19" ht="36">
      <c r="A2201" s="64">
        <v>11510</v>
      </c>
      <c r="B2201" s="62">
        <v>43529</v>
      </c>
      <c r="C2201" s="63" t="s">
        <v>20466</v>
      </c>
      <c r="D2201" s="62">
        <v>43529</v>
      </c>
      <c r="E2201" s="63" t="s">
        <v>20467</v>
      </c>
      <c r="F2201" s="63" t="s">
        <v>104</v>
      </c>
      <c r="G2201" s="63" t="s">
        <v>20</v>
      </c>
      <c r="H2201" s="63" t="s">
        <v>71</v>
      </c>
      <c r="I2201" s="63" t="s">
        <v>21</v>
      </c>
      <c r="J2201" s="63" t="s">
        <v>20468</v>
      </c>
      <c r="K2201" s="63" t="s">
        <v>18224</v>
      </c>
      <c r="L2201" s="63" t="s">
        <v>21142</v>
      </c>
      <c r="M2201" s="63" t="s">
        <v>21571</v>
      </c>
      <c r="O2201" s="89">
        <v>44651</v>
      </c>
      <c r="P2201" s="65" t="s">
        <v>21</v>
      </c>
      <c r="Q2201" s="66" t="b">
        <v>0</v>
      </c>
      <c r="R2201" s="22">
        <f t="shared" si="34"/>
        <v>1121</v>
      </c>
      <c r="S2201" s="46" t="s">
        <v>21</v>
      </c>
    </row>
    <row r="2202" spans="1:19" ht="24">
      <c r="A2202" s="64">
        <v>11528</v>
      </c>
      <c r="B2202" s="62">
        <v>43565</v>
      </c>
      <c r="C2202" s="63" t="s">
        <v>20469</v>
      </c>
      <c r="D2202" s="62">
        <v>43564</v>
      </c>
      <c r="E2202" s="63" t="s">
        <v>20470</v>
      </c>
      <c r="F2202" s="63" t="s">
        <v>7030</v>
      </c>
      <c r="G2202" s="63" t="s">
        <v>20</v>
      </c>
      <c r="H2202" s="63" t="s">
        <v>71</v>
      </c>
      <c r="I2202" s="63" t="s">
        <v>21</v>
      </c>
      <c r="J2202" s="63" t="s">
        <v>20471</v>
      </c>
      <c r="K2202" s="63" t="s">
        <v>20472</v>
      </c>
      <c r="L2202" s="63" t="s">
        <v>4282</v>
      </c>
      <c r="M2202" s="63" t="s">
        <v>21</v>
      </c>
      <c r="O2202" s="89">
        <v>44672</v>
      </c>
      <c r="P2202" s="65" t="s">
        <v>21</v>
      </c>
      <c r="Q2202" s="66" t="b">
        <v>0</v>
      </c>
      <c r="R2202" s="22">
        <f t="shared" si="34"/>
        <v>1106</v>
      </c>
      <c r="S2202" s="22"/>
    </row>
    <row r="2203" spans="1:19" ht="24">
      <c r="A2203" s="68">
        <v>11533</v>
      </c>
      <c r="B2203" s="45">
        <v>43572</v>
      </c>
      <c r="C2203" s="46" t="s">
        <v>20425</v>
      </c>
      <c r="D2203" s="45">
        <v>43571</v>
      </c>
      <c r="E2203" s="46" t="s">
        <v>20426</v>
      </c>
      <c r="F2203" s="46" t="s">
        <v>12404</v>
      </c>
      <c r="G2203" s="46" t="s">
        <v>20</v>
      </c>
      <c r="H2203" s="46" t="s">
        <v>71</v>
      </c>
      <c r="I2203" s="46" t="s">
        <v>21</v>
      </c>
      <c r="J2203" s="46" t="s">
        <v>20427</v>
      </c>
      <c r="K2203" s="46" t="s">
        <v>20428</v>
      </c>
      <c r="L2203" s="46" t="s">
        <v>14909</v>
      </c>
      <c r="M2203" s="46" t="s">
        <v>1946</v>
      </c>
      <c r="O2203" s="45">
        <v>44011</v>
      </c>
      <c r="P2203" s="69" t="s">
        <v>21</v>
      </c>
      <c r="Q2203" s="44" t="b">
        <v>0</v>
      </c>
      <c r="R2203" s="22">
        <f t="shared" si="34"/>
        <v>438</v>
      </c>
    </row>
    <row r="2204" spans="1:19" ht="24">
      <c r="A2204" s="68">
        <v>11540</v>
      </c>
      <c r="B2204" s="45">
        <v>43598</v>
      </c>
      <c r="C2204" s="46" t="s">
        <v>20137</v>
      </c>
      <c r="D2204" s="45">
        <v>43598</v>
      </c>
      <c r="E2204" s="46" t="s">
        <v>20138</v>
      </c>
      <c r="F2204" s="46" t="s">
        <v>350</v>
      </c>
      <c r="G2204" s="46" t="s">
        <v>20</v>
      </c>
      <c r="H2204" s="46" t="s">
        <v>71</v>
      </c>
      <c r="I2204" s="46" t="s">
        <v>21</v>
      </c>
      <c r="J2204" s="46" t="s">
        <v>14825</v>
      </c>
      <c r="K2204" s="46" t="s">
        <v>20139</v>
      </c>
      <c r="L2204" s="46" t="s">
        <v>7167</v>
      </c>
      <c r="M2204" s="46" t="s">
        <v>21</v>
      </c>
      <c r="O2204" s="45">
        <v>43651</v>
      </c>
      <c r="P2204" s="69" t="s">
        <v>21</v>
      </c>
      <c r="Q2204" s="44" t="b">
        <v>0</v>
      </c>
      <c r="R2204" s="22">
        <f t="shared" si="34"/>
        <v>52</v>
      </c>
    </row>
    <row r="2205" spans="1:19" ht="36">
      <c r="A2205" s="68">
        <v>11542</v>
      </c>
      <c r="B2205" s="45">
        <v>43600</v>
      </c>
      <c r="C2205" s="46" t="s">
        <v>20473</v>
      </c>
      <c r="D2205" s="45">
        <v>43600</v>
      </c>
      <c r="E2205" s="46" t="s">
        <v>20474</v>
      </c>
      <c r="F2205" s="46" t="s">
        <v>19</v>
      </c>
      <c r="G2205" s="46" t="s">
        <v>20</v>
      </c>
      <c r="H2205" s="46" t="s">
        <v>71</v>
      </c>
      <c r="I2205" s="46" t="s">
        <v>21</v>
      </c>
      <c r="J2205" s="46" t="s">
        <v>20475</v>
      </c>
      <c r="K2205" s="46" t="s">
        <v>18224</v>
      </c>
      <c r="L2205" s="46" t="s">
        <v>1152</v>
      </c>
      <c r="M2205" s="46" t="s">
        <v>18572</v>
      </c>
      <c r="O2205" s="45">
        <v>44012</v>
      </c>
      <c r="P2205" s="69" t="s">
        <v>21</v>
      </c>
      <c r="Q2205" s="44" t="b">
        <v>0</v>
      </c>
      <c r="R2205" s="22">
        <f t="shared" si="34"/>
        <v>410</v>
      </c>
    </row>
    <row r="2206" spans="1:19" ht="36">
      <c r="A2206" s="64">
        <v>11548</v>
      </c>
      <c r="B2206" s="62">
        <v>43608</v>
      </c>
      <c r="C2206" s="63" t="s">
        <v>20476</v>
      </c>
      <c r="D2206" s="62">
        <v>43607</v>
      </c>
      <c r="E2206" s="63" t="s">
        <v>20477</v>
      </c>
      <c r="F2206" s="63" t="s">
        <v>124</v>
      </c>
      <c r="G2206" s="63" t="s">
        <v>20</v>
      </c>
      <c r="H2206" s="63" t="s">
        <v>71</v>
      </c>
      <c r="I2206" s="63" t="s">
        <v>21</v>
      </c>
      <c r="J2206" s="63" t="s">
        <v>20478</v>
      </c>
      <c r="K2206" s="63" t="s">
        <v>9348</v>
      </c>
      <c r="L2206" s="63" t="s">
        <v>7167</v>
      </c>
      <c r="M2206" s="63" t="s">
        <v>21</v>
      </c>
      <c r="O2206" s="89">
        <v>44672</v>
      </c>
      <c r="P2206" s="65" t="s">
        <v>21</v>
      </c>
      <c r="Q2206" s="66" t="b">
        <v>0</v>
      </c>
      <c r="R2206" s="22">
        <f t="shared" si="34"/>
        <v>1062</v>
      </c>
      <c r="S2206" s="63" t="s">
        <v>21</v>
      </c>
    </row>
    <row r="2207" spans="1:19" ht="36">
      <c r="A2207" s="64">
        <v>11552</v>
      </c>
      <c r="B2207" s="62">
        <v>43613</v>
      </c>
      <c r="C2207" s="63" t="s">
        <v>20479</v>
      </c>
      <c r="D2207" s="62">
        <v>43613</v>
      </c>
      <c r="E2207" s="63" t="s">
        <v>20480</v>
      </c>
      <c r="F2207" s="63" t="s">
        <v>56</v>
      </c>
      <c r="G2207" s="63" t="s">
        <v>20</v>
      </c>
      <c r="H2207" s="63" t="s">
        <v>71</v>
      </c>
      <c r="I2207" s="63" t="s">
        <v>21</v>
      </c>
      <c r="J2207" s="63" t="s">
        <v>20481</v>
      </c>
      <c r="K2207" s="63" t="s">
        <v>9348</v>
      </c>
      <c r="L2207" s="63" t="s">
        <v>4282</v>
      </c>
      <c r="M2207" s="63" t="s">
        <v>21</v>
      </c>
      <c r="O2207" s="89">
        <v>44676</v>
      </c>
      <c r="P2207" s="65" t="s">
        <v>21</v>
      </c>
      <c r="Q2207" s="66" t="b">
        <v>0</v>
      </c>
      <c r="R2207" s="22">
        <f t="shared" si="34"/>
        <v>1061</v>
      </c>
      <c r="S2207" s="63" t="s">
        <v>21</v>
      </c>
    </row>
    <row r="2208" spans="1:19" ht="36">
      <c r="A2208" s="64">
        <v>11556</v>
      </c>
      <c r="B2208" s="62">
        <v>43619</v>
      </c>
      <c r="C2208" s="63" t="s">
        <v>20634</v>
      </c>
      <c r="D2208" s="62">
        <v>43616</v>
      </c>
      <c r="E2208" s="63" t="s">
        <v>20635</v>
      </c>
      <c r="F2208" s="63" t="s">
        <v>19</v>
      </c>
      <c r="G2208" s="63" t="s">
        <v>20</v>
      </c>
      <c r="H2208" s="63" t="s">
        <v>71</v>
      </c>
      <c r="I2208" s="63" t="s">
        <v>21</v>
      </c>
      <c r="J2208" s="63" t="s">
        <v>20636</v>
      </c>
      <c r="K2208" s="63" t="s">
        <v>20637</v>
      </c>
      <c r="L2208" s="63" t="s">
        <v>7167</v>
      </c>
      <c r="M2208" s="63" t="s">
        <v>21</v>
      </c>
      <c r="O2208" s="89">
        <v>44594</v>
      </c>
      <c r="P2208" s="65" t="s">
        <v>21</v>
      </c>
      <c r="Q2208" s="66" t="b">
        <v>0</v>
      </c>
      <c r="R2208" s="22">
        <f t="shared" si="34"/>
        <v>972</v>
      </c>
    </row>
    <row r="2209" spans="1:19" ht="36">
      <c r="A2209" s="68">
        <v>11562</v>
      </c>
      <c r="B2209" s="45">
        <v>43628</v>
      </c>
      <c r="C2209" s="46" t="s">
        <v>20630</v>
      </c>
      <c r="D2209" s="45">
        <v>43626</v>
      </c>
      <c r="E2209" s="46" t="s">
        <v>20631</v>
      </c>
      <c r="F2209" s="46" t="s">
        <v>149</v>
      </c>
      <c r="G2209" s="46" t="s">
        <v>20</v>
      </c>
      <c r="H2209" s="46" t="s">
        <v>71</v>
      </c>
      <c r="I2209" s="46" t="s">
        <v>21</v>
      </c>
      <c r="J2209" s="46" t="s">
        <v>20632</v>
      </c>
      <c r="K2209" s="46" t="s">
        <v>20633</v>
      </c>
      <c r="L2209" s="46" t="s">
        <v>4282</v>
      </c>
      <c r="M2209" s="46" t="s">
        <v>21</v>
      </c>
      <c r="O2209" s="45">
        <v>43839</v>
      </c>
      <c r="P2209" s="69" t="s">
        <v>21</v>
      </c>
      <c r="Q2209" s="44" t="b">
        <v>0</v>
      </c>
      <c r="R2209" s="22">
        <f t="shared" si="34"/>
        <v>209</v>
      </c>
    </row>
    <row r="2210" spans="1:19" ht="36">
      <c r="A2210" s="64">
        <v>11566</v>
      </c>
      <c r="B2210" s="62">
        <v>43630</v>
      </c>
      <c r="C2210" s="63" t="s">
        <v>20482</v>
      </c>
      <c r="D2210" s="62">
        <v>43628</v>
      </c>
      <c r="E2210" s="63" t="s">
        <v>20483</v>
      </c>
      <c r="F2210" s="63" t="s">
        <v>104</v>
      </c>
      <c r="G2210" s="63" t="s">
        <v>20</v>
      </c>
      <c r="H2210" s="63" t="s">
        <v>71</v>
      </c>
      <c r="I2210" s="63" t="s">
        <v>21</v>
      </c>
      <c r="J2210" s="63" t="s">
        <v>20484</v>
      </c>
      <c r="K2210" s="63" t="s">
        <v>13389</v>
      </c>
      <c r="L2210" s="63" t="s">
        <v>21243</v>
      </c>
      <c r="M2210" s="63" t="s">
        <v>10117</v>
      </c>
      <c r="O2210" s="45">
        <v>44677</v>
      </c>
      <c r="P2210" s="65" t="s">
        <v>21</v>
      </c>
      <c r="Q2210" s="66" t="b">
        <v>0</v>
      </c>
      <c r="R2210" s="22">
        <f t="shared" si="34"/>
        <v>1046</v>
      </c>
      <c r="S2210" s="63" t="s">
        <v>21572</v>
      </c>
    </row>
    <row r="2211" spans="1:19" ht="36">
      <c r="A2211" s="64">
        <v>11568</v>
      </c>
      <c r="B2211" s="62">
        <v>43633</v>
      </c>
      <c r="C2211" s="63" t="s">
        <v>20485</v>
      </c>
      <c r="D2211" s="62">
        <v>43629</v>
      </c>
      <c r="E2211" s="63" t="s">
        <v>20486</v>
      </c>
      <c r="F2211" s="63" t="s">
        <v>20487</v>
      </c>
      <c r="G2211" s="63" t="s">
        <v>20</v>
      </c>
      <c r="H2211" s="63" t="s">
        <v>71</v>
      </c>
      <c r="I2211" s="63" t="s">
        <v>21</v>
      </c>
      <c r="J2211" s="63" t="s">
        <v>20488</v>
      </c>
      <c r="K2211" s="63" t="s">
        <v>20489</v>
      </c>
      <c r="L2211" s="63" t="s">
        <v>21573</v>
      </c>
      <c r="M2211" s="63" t="s">
        <v>21574</v>
      </c>
      <c r="O2211" s="45">
        <v>44679</v>
      </c>
      <c r="P2211" s="65" t="s">
        <v>21</v>
      </c>
      <c r="Q2211" s="66" t="b">
        <v>0</v>
      </c>
      <c r="R2211" s="22">
        <f t="shared" si="34"/>
        <v>1045</v>
      </c>
      <c r="S2211" s="63" t="s">
        <v>21</v>
      </c>
    </row>
    <row r="2212" spans="1:19" ht="24">
      <c r="A2212" s="68">
        <v>11569</v>
      </c>
      <c r="B2212" s="45">
        <v>43633</v>
      </c>
      <c r="C2212" s="46" t="s">
        <v>20490</v>
      </c>
      <c r="D2212" s="45">
        <v>43630</v>
      </c>
      <c r="E2212" s="46" t="s">
        <v>20491</v>
      </c>
      <c r="F2212" s="46" t="s">
        <v>2838</v>
      </c>
      <c r="G2212" s="46" t="s">
        <v>20</v>
      </c>
      <c r="H2212" s="46" t="s">
        <v>71</v>
      </c>
      <c r="I2212" s="46" t="s">
        <v>21</v>
      </c>
      <c r="J2212" s="46" t="s">
        <v>20492</v>
      </c>
      <c r="K2212" s="46" t="s">
        <v>13389</v>
      </c>
      <c r="L2212" s="46" t="s">
        <v>4282</v>
      </c>
      <c r="M2212" s="46" t="s">
        <v>14909</v>
      </c>
      <c r="O2212" s="45">
        <v>44508</v>
      </c>
      <c r="P2212" s="69" t="s">
        <v>21</v>
      </c>
      <c r="Q2212" s="44" t="b">
        <v>0</v>
      </c>
      <c r="R2212" s="22">
        <f t="shared" si="34"/>
        <v>872</v>
      </c>
    </row>
    <row r="2213" spans="1:19" ht="24">
      <c r="A2213" s="64">
        <v>11577</v>
      </c>
      <c r="B2213" s="62">
        <v>43648</v>
      </c>
      <c r="C2213" s="63" t="s">
        <v>20434</v>
      </c>
      <c r="D2213" s="62">
        <v>43647</v>
      </c>
      <c r="E2213" s="63" t="s">
        <v>20435</v>
      </c>
      <c r="F2213" s="63" t="s">
        <v>984</v>
      </c>
      <c r="G2213" s="63" t="s">
        <v>20</v>
      </c>
      <c r="H2213" s="63" t="s">
        <v>71</v>
      </c>
      <c r="I2213" s="63" t="s">
        <v>21</v>
      </c>
      <c r="J2213" s="63" t="s">
        <v>20436</v>
      </c>
      <c r="K2213" s="63" t="s">
        <v>20437</v>
      </c>
      <c r="L2213" s="63" t="s">
        <v>4282</v>
      </c>
      <c r="M2213" s="63" t="s">
        <v>21</v>
      </c>
      <c r="O2213" s="90">
        <v>44698</v>
      </c>
      <c r="P2213" s="65" t="s">
        <v>21</v>
      </c>
      <c r="Q2213" s="66" t="b">
        <v>0</v>
      </c>
      <c r="R2213" s="22">
        <f t="shared" si="34"/>
        <v>1049</v>
      </c>
      <c r="S2213" s="22"/>
    </row>
    <row r="2214" spans="1:19" ht="24">
      <c r="A2214" s="68">
        <v>11582</v>
      </c>
      <c r="B2214" s="45">
        <v>43654</v>
      </c>
      <c r="C2214" s="46" t="s">
        <v>20153</v>
      </c>
      <c r="D2214" s="45">
        <v>43651</v>
      </c>
      <c r="E2214" s="46" t="s">
        <v>20154</v>
      </c>
      <c r="F2214" s="46" t="s">
        <v>13422</v>
      </c>
      <c r="G2214" s="46" t="s">
        <v>20</v>
      </c>
      <c r="H2214" s="46" t="s">
        <v>71</v>
      </c>
      <c r="I2214" s="46" t="s">
        <v>21</v>
      </c>
      <c r="J2214" s="46" t="s">
        <v>20155</v>
      </c>
      <c r="K2214" s="46" t="s">
        <v>20156</v>
      </c>
      <c r="L2214" s="46" t="s">
        <v>4282</v>
      </c>
      <c r="M2214" s="46" t="s">
        <v>21</v>
      </c>
      <c r="O2214" s="45">
        <v>43705</v>
      </c>
      <c r="P2214" s="69" t="s">
        <v>21</v>
      </c>
      <c r="Q2214" s="44" t="b">
        <v>0</v>
      </c>
      <c r="R2214" s="22">
        <f t="shared" si="34"/>
        <v>50</v>
      </c>
    </row>
    <row r="2215" spans="1:19" ht="36">
      <c r="A2215" s="68">
        <v>11586</v>
      </c>
      <c r="B2215" s="45">
        <v>43661</v>
      </c>
      <c r="C2215" s="46" t="s">
        <v>20516</v>
      </c>
      <c r="D2215" s="45">
        <v>43661</v>
      </c>
      <c r="E2215" s="46" t="s">
        <v>20517</v>
      </c>
      <c r="F2215" s="46" t="s">
        <v>12633</v>
      </c>
      <c r="G2215" s="46" t="s">
        <v>20</v>
      </c>
      <c r="H2215" s="46" t="s">
        <v>71</v>
      </c>
      <c r="I2215" s="46" t="s">
        <v>21</v>
      </c>
      <c r="J2215" s="46" t="s">
        <v>20518</v>
      </c>
      <c r="K2215" s="46" t="s">
        <v>20238</v>
      </c>
      <c r="L2215" s="46" t="s">
        <v>7167</v>
      </c>
      <c r="M2215" s="46" t="s">
        <v>14909</v>
      </c>
      <c r="O2215" s="45">
        <v>44011</v>
      </c>
      <c r="P2215" s="69" t="s">
        <v>21</v>
      </c>
      <c r="Q2215" s="44" t="b">
        <v>0</v>
      </c>
      <c r="R2215" s="22">
        <f t="shared" si="34"/>
        <v>348</v>
      </c>
    </row>
    <row r="2216" spans="1:19">
      <c r="A2216" s="68">
        <v>11590</v>
      </c>
      <c r="B2216" s="45">
        <v>43665</v>
      </c>
      <c r="C2216" s="46" t="s">
        <v>20438</v>
      </c>
      <c r="D2216" s="45">
        <v>43664</v>
      </c>
      <c r="E2216" s="46" t="s">
        <v>20147</v>
      </c>
      <c r="F2216" s="46" t="s">
        <v>3171</v>
      </c>
      <c r="G2216" s="46" t="s">
        <v>20</v>
      </c>
      <c r="H2216" s="46" t="s">
        <v>566</v>
      </c>
      <c r="I2216" s="46" t="s">
        <v>21</v>
      </c>
      <c r="J2216" s="46" t="s">
        <v>14825</v>
      </c>
      <c r="K2216" s="46" t="s">
        <v>20439</v>
      </c>
      <c r="L2216" s="46" t="s">
        <v>7167</v>
      </c>
      <c r="M2216" s="46" t="s">
        <v>21</v>
      </c>
      <c r="O2216" s="45">
        <v>44434</v>
      </c>
      <c r="P2216" s="69" t="s">
        <v>21</v>
      </c>
      <c r="Q2216" s="44" t="b">
        <v>0</v>
      </c>
      <c r="R2216" s="22">
        <f t="shared" si="34"/>
        <v>767</v>
      </c>
    </row>
    <row r="2217" spans="1:19" ht="24">
      <c r="A2217" s="64">
        <v>11592</v>
      </c>
      <c r="B2217" s="62">
        <v>43668</v>
      </c>
      <c r="C2217" s="63" t="s">
        <v>20549</v>
      </c>
      <c r="D2217" s="62">
        <v>43665</v>
      </c>
      <c r="E2217" s="63" t="s">
        <v>20550</v>
      </c>
      <c r="F2217" s="63" t="s">
        <v>1159</v>
      </c>
      <c r="G2217" s="63" t="s">
        <v>20</v>
      </c>
      <c r="H2217" s="63" t="s">
        <v>71</v>
      </c>
      <c r="I2217" s="63" t="s">
        <v>21</v>
      </c>
      <c r="J2217" s="63" t="s">
        <v>20551</v>
      </c>
      <c r="K2217" s="63" t="s">
        <v>20552</v>
      </c>
      <c r="L2217" s="63" t="s">
        <v>21573</v>
      </c>
      <c r="M2217" s="63" t="s">
        <v>10117</v>
      </c>
      <c r="O2217" s="90">
        <v>44699</v>
      </c>
      <c r="P2217" s="65" t="s">
        <v>21</v>
      </c>
      <c r="Q2217" s="66" t="b">
        <v>0</v>
      </c>
      <c r="R2217" s="22">
        <f t="shared" si="34"/>
        <v>1030</v>
      </c>
      <c r="S2217" s="22"/>
    </row>
    <row r="2218" spans="1:19" ht="24">
      <c r="A2218" s="64">
        <v>11593</v>
      </c>
      <c r="B2218" s="62">
        <v>43675</v>
      </c>
      <c r="C2218" s="63" t="s">
        <v>20577</v>
      </c>
      <c r="D2218" s="62">
        <v>43672</v>
      </c>
      <c r="E2218" s="63" t="s">
        <v>20578</v>
      </c>
      <c r="F2218" s="63" t="s">
        <v>124</v>
      </c>
      <c r="G2218" s="63" t="s">
        <v>20</v>
      </c>
      <c r="H2218" s="63" t="s">
        <v>71</v>
      </c>
      <c r="I2218" s="63" t="s">
        <v>21</v>
      </c>
      <c r="J2218" s="63" t="s">
        <v>20552</v>
      </c>
      <c r="K2218" s="63" t="s">
        <v>9348</v>
      </c>
      <c r="L2218" s="63" t="s">
        <v>4282</v>
      </c>
      <c r="M2218" s="63" t="s">
        <v>1946</v>
      </c>
      <c r="O2218" s="90">
        <v>44712</v>
      </c>
      <c r="P2218" s="65">
        <v>-1</v>
      </c>
      <c r="Q2218" s="66" t="b">
        <v>0</v>
      </c>
      <c r="R2218" s="22">
        <f t="shared" si="34"/>
        <v>1036</v>
      </c>
      <c r="S2218" s="22"/>
    </row>
    <row r="2219" spans="1:19" ht="36">
      <c r="A2219" s="68">
        <v>11598</v>
      </c>
      <c r="B2219" s="45">
        <v>43679</v>
      </c>
      <c r="C2219" s="46" t="s">
        <v>20579</v>
      </c>
      <c r="D2219" s="45">
        <v>43677</v>
      </c>
      <c r="E2219" s="46" t="s">
        <v>20580</v>
      </c>
      <c r="F2219" s="46" t="s">
        <v>693</v>
      </c>
      <c r="G2219" s="46" t="s">
        <v>20</v>
      </c>
      <c r="H2219" s="46" t="s">
        <v>189</v>
      </c>
      <c r="I2219" s="46" t="s">
        <v>21</v>
      </c>
      <c r="J2219" s="46" t="s">
        <v>20581</v>
      </c>
      <c r="K2219" s="46" t="s">
        <v>20582</v>
      </c>
      <c r="L2219" s="46" t="s">
        <v>7167</v>
      </c>
      <c r="M2219" s="46" t="s">
        <v>21</v>
      </c>
      <c r="O2219" s="45">
        <v>44020</v>
      </c>
      <c r="P2219" s="69" t="s">
        <v>21</v>
      </c>
      <c r="Q2219" s="44" t="b">
        <v>0</v>
      </c>
      <c r="R2219" s="22">
        <f t="shared" si="34"/>
        <v>340</v>
      </c>
    </row>
    <row r="2220" spans="1:19">
      <c r="A2220" s="64">
        <v>11602</v>
      </c>
      <c r="B2220" s="62">
        <v>43684</v>
      </c>
      <c r="C2220" s="63" t="s">
        <v>20583</v>
      </c>
      <c r="D2220" s="62">
        <v>43683</v>
      </c>
      <c r="E2220" s="63" t="s">
        <v>20584</v>
      </c>
      <c r="F2220" s="63" t="s">
        <v>124</v>
      </c>
      <c r="G2220" s="63" t="s">
        <v>20</v>
      </c>
      <c r="H2220" s="63" t="s">
        <v>71</v>
      </c>
      <c r="I2220" s="63" t="s">
        <v>21</v>
      </c>
      <c r="J2220" s="63" t="s">
        <v>20319</v>
      </c>
      <c r="K2220" s="63" t="s">
        <v>19523</v>
      </c>
      <c r="L2220" s="63" t="s">
        <v>4282</v>
      </c>
      <c r="M2220" s="63" t="s">
        <v>14909</v>
      </c>
      <c r="O2220" s="89">
        <v>44617</v>
      </c>
      <c r="P2220" s="65" t="s">
        <v>21</v>
      </c>
      <c r="Q2220" s="66" t="b">
        <v>0</v>
      </c>
      <c r="R2220" s="22">
        <f t="shared" si="34"/>
        <v>930</v>
      </c>
      <c r="S2220" t="s">
        <v>21</v>
      </c>
    </row>
    <row r="2221" spans="1:19" ht="36">
      <c r="A2221" s="68">
        <v>11603</v>
      </c>
      <c r="B2221" s="45">
        <v>43684</v>
      </c>
      <c r="C2221" s="46" t="s">
        <v>20181</v>
      </c>
      <c r="D2221" s="45">
        <v>43683</v>
      </c>
      <c r="E2221" s="46" t="s">
        <v>20182</v>
      </c>
      <c r="F2221" s="46" t="s">
        <v>13960</v>
      </c>
      <c r="G2221" s="46" t="s">
        <v>20</v>
      </c>
      <c r="H2221" s="46" t="s">
        <v>71</v>
      </c>
      <c r="I2221" s="46" t="s">
        <v>21</v>
      </c>
      <c r="J2221" s="46" t="s">
        <v>20183</v>
      </c>
      <c r="K2221" s="46" t="s">
        <v>20184</v>
      </c>
      <c r="L2221" s="46" t="s">
        <v>1946</v>
      </c>
      <c r="M2221" s="46" t="s">
        <v>21</v>
      </c>
      <c r="O2221" s="45">
        <v>43763</v>
      </c>
      <c r="P2221" s="69" t="s">
        <v>21</v>
      </c>
      <c r="Q2221" s="44" t="b">
        <v>0</v>
      </c>
      <c r="R2221" s="22">
        <f t="shared" si="34"/>
        <v>79</v>
      </c>
    </row>
    <row r="2222" spans="1:19" ht="36">
      <c r="A2222" s="64">
        <v>11608</v>
      </c>
      <c r="B2222" s="62">
        <v>43691</v>
      </c>
      <c r="C2222" s="63" t="s">
        <v>20585</v>
      </c>
      <c r="D2222" s="62">
        <v>43691</v>
      </c>
      <c r="E2222" s="63" t="s">
        <v>20586</v>
      </c>
      <c r="F2222" s="63" t="s">
        <v>98</v>
      </c>
      <c r="G2222" s="63" t="s">
        <v>20</v>
      </c>
      <c r="H2222" s="63" t="s">
        <v>71</v>
      </c>
      <c r="I2222" s="63" t="s">
        <v>21</v>
      </c>
      <c r="J2222" s="63" t="s">
        <v>1582</v>
      </c>
      <c r="K2222" s="63" t="s">
        <v>20587</v>
      </c>
      <c r="L2222" s="63" t="s">
        <v>21573</v>
      </c>
      <c r="M2222" s="63" t="s">
        <v>10117</v>
      </c>
      <c r="O2222" s="89">
        <v>44712</v>
      </c>
      <c r="P2222" s="65" t="s">
        <v>21</v>
      </c>
      <c r="Q2222" s="66" t="b">
        <v>0</v>
      </c>
      <c r="R2222" s="22">
        <f t="shared" si="34"/>
        <v>1020</v>
      </c>
      <c r="S2222" s="22" t="s">
        <v>21</v>
      </c>
    </row>
    <row r="2223" spans="1:19" ht="36">
      <c r="A2223" s="64">
        <v>11609</v>
      </c>
      <c r="B2223" s="62">
        <v>43696</v>
      </c>
      <c r="C2223" s="63" t="s">
        <v>20588</v>
      </c>
      <c r="D2223" s="62">
        <v>43696</v>
      </c>
      <c r="E2223" s="63" t="s">
        <v>20589</v>
      </c>
      <c r="F2223" s="63" t="s">
        <v>350</v>
      </c>
      <c r="G2223" s="63" t="s">
        <v>20</v>
      </c>
      <c r="H2223" s="63" t="s">
        <v>71</v>
      </c>
      <c r="I2223" s="63" t="s">
        <v>21</v>
      </c>
      <c r="J2223" s="63" t="s">
        <v>20590</v>
      </c>
      <c r="K2223" s="63" t="s">
        <v>20591</v>
      </c>
      <c r="L2223" s="63" t="s">
        <v>4282</v>
      </c>
      <c r="M2223" s="63" t="s">
        <v>1946</v>
      </c>
      <c r="O2223" s="62">
        <v>44719</v>
      </c>
      <c r="P2223" s="65" t="s">
        <v>21</v>
      </c>
      <c r="Q2223" s="66" t="b">
        <v>0</v>
      </c>
      <c r="R2223" s="22">
        <f t="shared" si="34"/>
        <v>1022</v>
      </c>
      <c r="S2223" s="63" t="s">
        <v>21</v>
      </c>
    </row>
    <row r="2224" spans="1:19" ht="36">
      <c r="A2224" s="59">
        <v>11611</v>
      </c>
      <c r="B2224" s="60">
        <v>43696</v>
      </c>
      <c r="C2224" s="61" t="s">
        <v>20493</v>
      </c>
      <c r="D2224" s="60">
        <v>43696</v>
      </c>
      <c r="E2224" s="61" t="s">
        <v>20494</v>
      </c>
      <c r="F2224" s="61" t="s">
        <v>984</v>
      </c>
      <c r="G2224" s="61" t="s">
        <v>20</v>
      </c>
      <c r="H2224" s="61" t="s">
        <v>71</v>
      </c>
      <c r="I2224" s="61" t="s">
        <v>21</v>
      </c>
      <c r="J2224" s="61" t="s">
        <v>16622</v>
      </c>
      <c r="K2224" s="61" t="s">
        <v>13389</v>
      </c>
      <c r="L2224" s="61" t="s">
        <v>21243</v>
      </c>
      <c r="M2224" s="61" t="s">
        <v>10117</v>
      </c>
      <c r="O2224" s="60">
        <v>45107</v>
      </c>
      <c r="P2224" s="61" t="s">
        <v>21</v>
      </c>
      <c r="Q2224" s="59" t="b">
        <v>0</v>
      </c>
      <c r="R2224" s="22">
        <f t="shared" si="34"/>
        <v>1410</v>
      </c>
      <c r="S2224" s="37" t="s">
        <v>22138</v>
      </c>
    </row>
    <row r="2225" spans="1:19" ht="36">
      <c r="A2225" s="59">
        <v>11615</v>
      </c>
      <c r="B2225" s="60">
        <v>43706</v>
      </c>
      <c r="C2225" s="61" t="s">
        <v>20495</v>
      </c>
      <c r="D2225" s="60">
        <v>43706</v>
      </c>
      <c r="E2225" s="61" t="s">
        <v>20496</v>
      </c>
      <c r="F2225" s="61" t="s">
        <v>56</v>
      </c>
      <c r="G2225" s="61" t="s">
        <v>20</v>
      </c>
      <c r="H2225" s="61" t="s">
        <v>71</v>
      </c>
      <c r="I2225" s="61" t="s">
        <v>21</v>
      </c>
      <c r="J2225" s="61" t="s">
        <v>20497</v>
      </c>
      <c r="K2225" s="61" t="s">
        <v>20498</v>
      </c>
      <c r="L2225" s="61" t="s">
        <v>21142</v>
      </c>
      <c r="M2225" s="61" t="s">
        <v>22139</v>
      </c>
      <c r="O2225" s="60">
        <v>45064</v>
      </c>
      <c r="P2225" s="61" t="s">
        <v>21</v>
      </c>
      <c r="Q2225" s="59" t="b">
        <v>0</v>
      </c>
      <c r="R2225" s="22">
        <f t="shared" si="34"/>
        <v>1357</v>
      </c>
      <c r="S2225" s="37" t="s">
        <v>21621</v>
      </c>
    </row>
    <row r="2226" spans="1:19" ht="24">
      <c r="A2226" s="64">
        <v>11617</v>
      </c>
      <c r="B2226" s="62">
        <v>43711</v>
      </c>
      <c r="C2226" s="63" t="s">
        <v>20157</v>
      </c>
      <c r="D2226" s="62">
        <v>43707</v>
      </c>
      <c r="E2226" s="63" t="s">
        <v>20158</v>
      </c>
      <c r="F2226" s="63" t="s">
        <v>6456</v>
      </c>
      <c r="G2226" s="63" t="s">
        <v>20</v>
      </c>
      <c r="H2226" s="63" t="s">
        <v>189</v>
      </c>
      <c r="I2226" s="63" t="s">
        <v>21</v>
      </c>
      <c r="J2226" s="63" t="s">
        <v>3581</v>
      </c>
      <c r="K2226" s="63" t="s">
        <v>20159</v>
      </c>
      <c r="L2226" s="63" t="s">
        <v>4282</v>
      </c>
      <c r="M2226" s="63" t="s">
        <v>21</v>
      </c>
      <c r="O2226" s="62">
        <v>43760</v>
      </c>
      <c r="P2226" s="65" t="s">
        <v>21</v>
      </c>
      <c r="Q2226" s="66" t="b">
        <v>0</v>
      </c>
      <c r="R2226" s="22">
        <f t="shared" si="34"/>
        <v>49</v>
      </c>
    </row>
    <row r="2227" spans="1:19" ht="24">
      <c r="A2227" s="64">
        <v>11618</v>
      </c>
      <c r="B2227" s="62">
        <v>43712</v>
      </c>
      <c r="C2227" s="63" t="s">
        <v>20160</v>
      </c>
      <c r="D2227" s="62">
        <v>43711</v>
      </c>
      <c r="E2227" s="63" t="s">
        <v>20161</v>
      </c>
      <c r="F2227" s="63" t="s">
        <v>1047</v>
      </c>
      <c r="G2227" s="63" t="s">
        <v>20</v>
      </c>
      <c r="H2227" s="63" t="s">
        <v>71</v>
      </c>
      <c r="I2227" s="63" t="s">
        <v>21</v>
      </c>
      <c r="J2227" s="63" t="s">
        <v>20162</v>
      </c>
      <c r="K2227" s="63" t="s">
        <v>20163</v>
      </c>
      <c r="L2227" s="63" t="s">
        <v>7167</v>
      </c>
      <c r="M2227" s="63" t="s">
        <v>21</v>
      </c>
      <c r="O2227" s="62">
        <v>43761</v>
      </c>
      <c r="P2227" s="65" t="s">
        <v>21</v>
      </c>
      <c r="Q2227" s="66" t="b">
        <v>0</v>
      </c>
      <c r="R2227" s="22">
        <f t="shared" si="34"/>
        <v>49</v>
      </c>
    </row>
    <row r="2228" spans="1:19" ht="24">
      <c r="A2228" s="64">
        <v>11619</v>
      </c>
      <c r="B2228" s="62">
        <v>43712</v>
      </c>
      <c r="C2228" s="63" t="s">
        <v>20499</v>
      </c>
      <c r="D2228" s="62">
        <v>43711</v>
      </c>
      <c r="E2228" s="63" t="s">
        <v>20500</v>
      </c>
      <c r="F2228" s="63" t="s">
        <v>85</v>
      </c>
      <c r="G2228" s="63" t="s">
        <v>20</v>
      </c>
      <c r="H2228" s="63" t="s">
        <v>71</v>
      </c>
      <c r="I2228" s="63" t="s">
        <v>21</v>
      </c>
      <c r="J2228" s="63" t="s">
        <v>20268</v>
      </c>
      <c r="K2228" s="63" t="s">
        <v>9152</v>
      </c>
      <c r="L2228" s="63" t="s">
        <v>7167</v>
      </c>
      <c r="M2228" s="63" t="s">
        <v>21</v>
      </c>
      <c r="O2228" s="62">
        <v>44168</v>
      </c>
      <c r="P2228" s="65" t="s">
        <v>21</v>
      </c>
      <c r="Q2228" s="66" t="b">
        <v>0</v>
      </c>
      <c r="R2228" s="22">
        <f t="shared" si="34"/>
        <v>455</v>
      </c>
    </row>
    <row r="2229" spans="1:19" ht="36">
      <c r="A2229" s="64">
        <v>11621</v>
      </c>
      <c r="B2229" s="62">
        <v>43714</v>
      </c>
      <c r="C2229" s="63" t="s">
        <v>20501</v>
      </c>
      <c r="D2229" s="62">
        <v>43713</v>
      </c>
      <c r="E2229" s="63" t="s">
        <v>20502</v>
      </c>
      <c r="F2229" s="63" t="s">
        <v>6456</v>
      </c>
      <c r="G2229" s="63" t="s">
        <v>20</v>
      </c>
      <c r="H2229" s="63" t="s">
        <v>189</v>
      </c>
      <c r="I2229" s="63" t="s">
        <v>21</v>
      </c>
      <c r="J2229" s="63" t="s">
        <v>20503</v>
      </c>
      <c r="K2229" s="63" t="s">
        <v>20504</v>
      </c>
      <c r="L2229" s="63" t="s">
        <v>4282</v>
      </c>
      <c r="M2229" s="63" t="s">
        <v>14909</v>
      </c>
      <c r="O2229" s="62">
        <v>43840</v>
      </c>
      <c r="P2229" s="65" t="s">
        <v>21</v>
      </c>
      <c r="Q2229" s="66" t="b">
        <v>0</v>
      </c>
      <c r="R2229" s="22">
        <f t="shared" si="34"/>
        <v>125</v>
      </c>
    </row>
    <row r="2230" spans="1:19" ht="24">
      <c r="A2230" s="64">
        <v>11626</v>
      </c>
      <c r="B2230" s="62">
        <v>43718</v>
      </c>
      <c r="C2230" s="63" t="s">
        <v>20089</v>
      </c>
      <c r="D2230" s="62">
        <v>43718</v>
      </c>
      <c r="E2230" s="63" t="s">
        <v>20505</v>
      </c>
      <c r="F2230" s="63" t="s">
        <v>20506</v>
      </c>
      <c r="G2230" s="63" t="s">
        <v>20</v>
      </c>
      <c r="H2230" s="63" t="s">
        <v>71</v>
      </c>
      <c r="I2230" s="63" t="s">
        <v>21</v>
      </c>
      <c r="J2230" s="63" t="s">
        <v>7369</v>
      </c>
      <c r="K2230" s="63" t="s">
        <v>20507</v>
      </c>
      <c r="L2230" s="63" t="s">
        <v>1152</v>
      </c>
      <c r="M2230" s="63" t="s">
        <v>21</v>
      </c>
      <c r="O2230" s="62">
        <v>43980</v>
      </c>
      <c r="P2230" s="65" t="s">
        <v>21</v>
      </c>
      <c r="Q2230" s="66" t="b">
        <v>0</v>
      </c>
      <c r="R2230" s="22">
        <f t="shared" si="34"/>
        <v>262</v>
      </c>
    </row>
    <row r="2231" spans="1:19" ht="24">
      <c r="A2231" s="64">
        <v>11628</v>
      </c>
      <c r="B2231" s="62">
        <v>43719</v>
      </c>
      <c r="C2231" s="63" t="s">
        <v>20164</v>
      </c>
      <c r="D2231" s="62">
        <v>43718</v>
      </c>
      <c r="E2231" s="63" t="s">
        <v>20165</v>
      </c>
      <c r="F2231" s="63" t="s">
        <v>3615</v>
      </c>
      <c r="G2231" s="63" t="s">
        <v>20</v>
      </c>
      <c r="H2231" s="63" t="s">
        <v>189</v>
      </c>
      <c r="I2231" s="63" t="s">
        <v>21</v>
      </c>
      <c r="J2231" s="63" t="s">
        <v>20166</v>
      </c>
      <c r="K2231" s="63" t="s">
        <v>20167</v>
      </c>
      <c r="L2231" s="63" t="s">
        <v>4282</v>
      </c>
      <c r="M2231" s="63" t="s">
        <v>21</v>
      </c>
      <c r="O2231" s="62">
        <v>43747</v>
      </c>
      <c r="P2231" s="65" t="s">
        <v>21</v>
      </c>
      <c r="Q2231" s="66" t="b">
        <v>0</v>
      </c>
      <c r="R2231" s="22">
        <f t="shared" si="34"/>
        <v>28</v>
      </c>
    </row>
    <row r="2232" spans="1:19" ht="36">
      <c r="A2232" s="59">
        <v>11634</v>
      </c>
      <c r="B2232" s="60">
        <v>43726</v>
      </c>
      <c r="C2232" s="61" t="s">
        <v>20508</v>
      </c>
      <c r="D2232" s="60">
        <v>43724</v>
      </c>
      <c r="E2232" s="61" t="s">
        <v>20509</v>
      </c>
      <c r="F2232" s="61" t="s">
        <v>124</v>
      </c>
      <c r="G2232" s="61" t="s">
        <v>20</v>
      </c>
      <c r="H2232" s="61" t="s">
        <v>71</v>
      </c>
      <c r="I2232" s="61" t="s">
        <v>21</v>
      </c>
      <c r="J2232" s="61" t="s">
        <v>20510</v>
      </c>
      <c r="K2232" s="61" t="s">
        <v>20511</v>
      </c>
      <c r="L2232" s="61" t="s">
        <v>4282</v>
      </c>
      <c r="M2232" s="61" t="s">
        <v>21</v>
      </c>
      <c r="O2232" s="60">
        <v>45030</v>
      </c>
      <c r="P2232" s="61" t="s">
        <v>21</v>
      </c>
      <c r="Q2232" s="59" t="b">
        <v>0</v>
      </c>
      <c r="R2232" s="22">
        <f t="shared" si="34"/>
        <v>1303</v>
      </c>
      <c r="S2232" s="37" t="s">
        <v>22140</v>
      </c>
    </row>
    <row r="2233" spans="1:19" ht="36">
      <c r="A2233" s="59">
        <v>11637</v>
      </c>
      <c r="B2233" s="60">
        <v>43727</v>
      </c>
      <c r="C2233" s="61" t="s">
        <v>20512</v>
      </c>
      <c r="D2233" s="60">
        <v>43726</v>
      </c>
      <c r="E2233" s="61" t="s">
        <v>20513</v>
      </c>
      <c r="F2233" s="61" t="s">
        <v>104</v>
      </c>
      <c r="G2233" s="61" t="s">
        <v>20</v>
      </c>
      <c r="H2233" s="61" t="s">
        <v>71</v>
      </c>
      <c r="I2233" s="61" t="s">
        <v>21</v>
      </c>
      <c r="J2233" s="61" t="s">
        <v>20514</v>
      </c>
      <c r="K2233" s="61" t="s">
        <v>20515</v>
      </c>
      <c r="L2233" s="61" t="s">
        <v>7167</v>
      </c>
      <c r="M2233" s="61" t="s">
        <v>1152</v>
      </c>
      <c r="O2233" s="60">
        <v>45064</v>
      </c>
      <c r="P2233" s="61" t="s">
        <v>21</v>
      </c>
      <c r="Q2233" s="59" t="b">
        <v>0</v>
      </c>
      <c r="R2233" s="22">
        <f t="shared" si="34"/>
        <v>1337</v>
      </c>
      <c r="S2233" s="37" t="s">
        <v>22141</v>
      </c>
    </row>
    <row r="2234" spans="1:19" ht="36">
      <c r="A2234" s="64">
        <v>11638</v>
      </c>
      <c r="B2234" s="62">
        <v>43727</v>
      </c>
      <c r="C2234" s="63" t="s">
        <v>20519</v>
      </c>
      <c r="D2234" s="62">
        <v>43726</v>
      </c>
      <c r="E2234" s="63" t="s">
        <v>20520</v>
      </c>
      <c r="F2234" s="63" t="s">
        <v>98</v>
      </c>
      <c r="G2234" s="63" t="s">
        <v>20</v>
      </c>
      <c r="H2234" s="63" t="s">
        <v>71</v>
      </c>
      <c r="I2234" s="63" t="s">
        <v>21</v>
      </c>
      <c r="J2234" s="63" t="s">
        <v>20521</v>
      </c>
      <c r="K2234" s="63" t="s">
        <v>20522</v>
      </c>
      <c r="L2234" s="63" t="s">
        <v>7167</v>
      </c>
      <c r="M2234" s="63" t="s">
        <v>21</v>
      </c>
      <c r="O2234" s="90">
        <v>44727</v>
      </c>
      <c r="P2234" s="65" t="s">
        <v>21</v>
      </c>
      <c r="Q2234" s="66" t="b">
        <v>0</v>
      </c>
      <c r="R2234" s="22">
        <f t="shared" si="34"/>
        <v>999</v>
      </c>
      <c r="S2234" s="22"/>
    </row>
    <row r="2235" spans="1:19" ht="24">
      <c r="A2235" s="64">
        <v>11640</v>
      </c>
      <c r="B2235" s="62">
        <v>43731</v>
      </c>
      <c r="C2235" s="63" t="s">
        <v>20168</v>
      </c>
      <c r="D2235" s="62">
        <v>43731</v>
      </c>
      <c r="E2235" s="63" t="s">
        <v>20169</v>
      </c>
      <c r="F2235" s="63" t="s">
        <v>56</v>
      </c>
      <c r="G2235" s="63" t="s">
        <v>20</v>
      </c>
      <c r="H2235" s="63" t="s">
        <v>71</v>
      </c>
      <c r="I2235" s="63" t="s">
        <v>21</v>
      </c>
      <c r="J2235" s="63" t="s">
        <v>20170</v>
      </c>
      <c r="K2235" s="63" t="s">
        <v>20171</v>
      </c>
      <c r="L2235" s="63" t="s">
        <v>1152</v>
      </c>
      <c r="M2235" s="63" t="s">
        <v>21</v>
      </c>
      <c r="O2235" s="62">
        <v>43798</v>
      </c>
      <c r="P2235" s="65" t="s">
        <v>21</v>
      </c>
      <c r="Q2235" s="66" t="b">
        <v>0</v>
      </c>
      <c r="R2235" s="22">
        <f t="shared" si="34"/>
        <v>66</v>
      </c>
    </row>
    <row r="2236" spans="1:19" ht="24">
      <c r="A2236" s="64">
        <v>11641</v>
      </c>
      <c r="B2236" s="62">
        <v>43732</v>
      </c>
      <c r="C2236" s="63" t="s">
        <v>20523</v>
      </c>
      <c r="D2236" s="62">
        <v>43732</v>
      </c>
      <c r="E2236" s="63" t="s">
        <v>20524</v>
      </c>
      <c r="F2236" s="63" t="s">
        <v>124</v>
      </c>
      <c r="G2236" s="63" t="s">
        <v>20</v>
      </c>
      <c r="H2236" s="63" t="s">
        <v>71</v>
      </c>
      <c r="I2236" s="63" t="s">
        <v>21</v>
      </c>
      <c r="J2236" s="63" t="s">
        <v>2547</v>
      </c>
      <c r="K2236" s="63" t="s">
        <v>20525</v>
      </c>
      <c r="L2236" s="63" t="s">
        <v>1946</v>
      </c>
      <c r="M2236" s="63" t="s">
        <v>14909</v>
      </c>
      <c r="O2236" s="62">
        <v>43881</v>
      </c>
      <c r="P2236" s="65" t="s">
        <v>21</v>
      </c>
      <c r="Q2236" s="66" t="b">
        <v>0</v>
      </c>
      <c r="R2236" s="22">
        <f t="shared" si="34"/>
        <v>148</v>
      </c>
    </row>
    <row r="2237" spans="1:19" ht="24">
      <c r="A2237" s="64">
        <v>11642</v>
      </c>
      <c r="B2237" s="62">
        <v>43733</v>
      </c>
      <c r="C2237" s="63" t="s">
        <v>20172</v>
      </c>
      <c r="D2237" s="62">
        <v>43733</v>
      </c>
      <c r="E2237" s="63" t="s">
        <v>20173</v>
      </c>
      <c r="F2237" s="63" t="s">
        <v>5690</v>
      </c>
      <c r="G2237" s="63" t="s">
        <v>20</v>
      </c>
      <c r="H2237" s="63" t="s">
        <v>71</v>
      </c>
      <c r="I2237" s="63" t="s">
        <v>21</v>
      </c>
      <c r="J2237" s="63" t="s">
        <v>20174</v>
      </c>
      <c r="K2237" s="63" t="s">
        <v>20175</v>
      </c>
      <c r="L2237" s="63" t="s">
        <v>7167</v>
      </c>
      <c r="M2237" s="63" t="s">
        <v>21</v>
      </c>
      <c r="O2237" s="62">
        <v>43802</v>
      </c>
      <c r="P2237" s="65" t="s">
        <v>21</v>
      </c>
      <c r="Q2237" s="66" t="b">
        <v>0</v>
      </c>
      <c r="R2237" s="22">
        <f t="shared" si="34"/>
        <v>68</v>
      </c>
    </row>
    <row r="2238" spans="1:19" ht="36">
      <c r="A2238" s="64">
        <v>11643</v>
      </c>
      <c r="B2238" s="62">
        <v>43734</v>
      </c>
      <c r="C2238" s="63" t="s">
        <v>20146</v>
      </c>
      <c r="D2238" s="62">
        <v>43734</v>
      </c>
      <c r="E2238" s="63" t="s">
        <v>20147</v>
      </c>
      <c r="F2238" s="63" t="s">
        <v>3171</v>
      </c>
      <c r="G2238" s="63" t="s">
        <v>20</v>
      </c>
      <c r="H2238" s="63" t="s">
        <v>566</v>
      </c>
      <c r="I2238" s="63" t="s">
        <v>21</v>
      </c>
      <c r="J2238" s="63" t="s">
        <v>20148</v>
      </c>
      <c r="K2238" s="63" t="s">
        <v>13507</v>
      </c>
      <c r="L2238" s="63" t="s">
        <v>4282</v>
      </c>
      <c r="M2238" s="63" t="s">
        <v>21</v>
      </c>
      <c r="O2238" s="62">
        <v>43770</v>
      </c>
      <c r="P2238" s="65" t="s">
        <v>21</v>
      </c>
      <c r="Q2238" s="66" t="b">
        <v>0</v>
      </c>
      <c r="R2238" s="22">
        <f t="shared" si="34"/>
        <v>35</v>
      </c>
    </row>
    <row r="2239" spans="1:19" ht="36">
      <c r="A2239" s="64">
        <v>11644</v>
      </c>
      <c r="B2239" s="62">
        <v>43735</v>
      </c>
      <c r="C2239" s="63" t="s">
        <v>20526</v>
      </c>
      <c r="D2239" s="62">
        <v>43735</v>
      </c>
      <c r="E2239" s="63" t="s">
        <v>20527</v>
      </c>
      <c r="F2239" s="63" t="s">
        <v>6456</v>
      </c>
      <c r="G2239" s="63" t="s">
        <v>20</v>
      </c>
      <c r="H2239" s="63" t="s">
        <v>189</v>
      </c>
      <c r="I2239" s="63" t="s">
        <v>21</v>
      </c>
      <c r="J2239" s="63" t="s">
        <v>20528</v>
      </c>
      <c r="K2239" s="63" t="s">
        <v>20529</v>
      </c>
      <c r="L2239" s="63" t="s">
        <v>4282</v>
      </c>
      <c r="M2239" s="63" t="s">
        <v>14909</v>
      </c>
      <c r="O2239" s="62">
        <v>43840</v>
      </c>
      <c r="P2239" s="65" t="s">
        <v>21</v>
      </c>
      <c r="Q2239" s="66" t="b">
        <v>0</v>
      </c>
      <c r="R2239" s="22">
        <f t="shared" si="34"/>
        <v>104</v>
      </c>
    </row>
    <row r="2240" spans="1:19" ht="24">
      <c r="A2240" s="64">
        <v>11646</v>
      </c>
      <c r="B2240" s="62">
        <v>43738</v>
      </c>
      <c r="C2240" s="63" t="s">
        <v>20530</v>
      </c>
      <c r="D2240" s="62">
        <v>43738</v>
      </c>
      <c r="E2240" s="63" t="s">
        <v>20531</v>
      </c>
      <c r="F2240" s="63" t="s">
        <v>20241</v>
      </c>
      <c r="G2240" s="63" t="s">
        <v>20</v>
      </c>
      <c r="H2240" s="63" t="s">
        <v>71</v>
      </c>
      <c r="I2240" s="63" t="s">
        <v>21</v>
      </c>
      <c r="J2240" s="63" t="s">
        <v>20532</v>
      </c>
      <c r="K2240" s="63" t="s">
        <v>20533</v>
      </c>
      <c r="L2240" s="63" t="s">
        <v>7167</v>
      </c>
      <c r="M2240" s="63" t="s">
        <v>1152</v>
      </c>
      <c r="O2240" s="89">
        <v>44602</v>
      </c>
      <c r="P2240" s="65" t="s">
        <v>21</v>
      </c>
      <c r="Q2240" s="66" t="b">
        <v>0</v>
      </c>
      <c r="R2240" s="22">
        <f t="shared" si="34"/>
        <v>861</v>
      </c>
      <c r="S2240" t="s">
        <v>21</v>
      </c>
    </row>
    <row r="2241" spans="1:19" ht="24">
      <c r="A2241" s="64">
        <v>11652</v>
      </c>
      <c r="B2241" s="62">
        <v>43742</v>
      </c>
      <c r="C2241" s="63" t="s">
        <v>20534</v>
      </c>
      <c r="D2241" s="62">
        <v>43741</v>
      </c>
      <c r="E2241" s="63" t="s">
        <v>20535</v>
      </c>
      <c r="F2241" s="63" t="s">
        <v>20506</v>
      </c>
      <c r="G2241" s="63" t="s">
        <v>20</v>
      </c>
      <c r="H2241" s="63" t="s">
        <v>71</v>
      </c>
      <c r="I2241" s="63" t="s">
        <v>21</v>
      </c>
      <c r="J2241" s="63" t="s">
        <v>20536</v>
      </c>
      <c r="K2241" s="63" t="s">
        <v>20537</v>
      </c>
      <c r="L2241" s="63" t="s">
        <v>1152</v>
      </c>
      <c r="M2241" s="63" t="s">
        <v>21</v>
      </c>
      <c r="O2241" s="62">
        <v>43844</v>
      </c>
      <c r="P2241" s="65" t="s">
        <v>21</v>
      </c>
      <c r="Q2241" s="66" t="b">
        <v>0</v>
      </c>
      <c r="R2241" s="22">
        <f t="shared" si="34"/>
        <v>101</v>
      </c>
    </row>
    <row r="2242" spans="1:19" ht="24">
      <c r="A2242" s="64">
        <v>11655</v>
      </c>
      <c r="B2242" s="62">
        <v>43746</v>
      </c>
      <c r="C2242" s="63" t="s">
        <v>20538</v>
      </c>
      <c r="D2242" s="62">
        <v>43742</v>
      </c>
      <c r="E2242" s="63" t="s">
        <v>20539</v>
      </c>
      <c r="F2242" s="63" t="s">
        <v>327</v>
      </c>
      <c r="G2242" s="63" t="s">
        <v>20</v>
      </c>
      <c r="H2242" s="63" t="s">
        <v>71</v>
      </c>
      <c r="I2242" s="63" t="s">
        <v>21</v>
      </c>
      <c r="J2242" s="63" t="s">
        <v>20540</v>
      </c>
      <c r="K2242" s="63" t="s">
        <v>20541</v>
      </c>
      <c r="L2242" s="63" t="s">
        <v>7167</v>
      </c>
      <c r="M2242" s="63" t="s">
        <v>21</v>
      </c>
      <c r="O2242" s="89">
        <v>44602</v>
      </c>
      <c r="P2242" s="65" t="s">
        <v>21</v>
      </c>
      <c r="Q2242" s="66" t="b">
        <v>0</v>
      </c>
      <c r="R2242" s="22">
        <f t="shared" ref="R2242:R2305" si="35">IF(O2242=" ", " ", INT(YEARFRAC(O2242, B2242)*365))</f>
        <v>853</v>
      </c>
      <c r="S2242" t="s">
        <v>21</v>
      </c>
    </row>
    <row r="2243" spans="1:19">
      <c r="A2243" s="64">
        <v>11658</v>
      </c>
      <c r="B2243" s="62">
        <v>43749</v>
      </c>
      <c r="C2243" s="63" t="s">
        <v>20542</v>
      </c>
      <c r="D2243" s="62">
        <v>43748</v>
      </c>
      <c r="E2243" s="63" t="s">
        <v>20543</v>
      </c>
      <c r="F2243" s="63" t="s">
        <v>149</v>
      </c>
      <c r="G2243" s="63" t="s">
        <v>20</v>
      </c>
      <c r="H2243" s="63" t="s">
        <v>71</v>
      </c>
      <c r="I2243" s="63" t="s">
        <v>21</v>
      </c>
      <c r="J2243" s="63" t="s">
        <v>20544</v>
      </c>
      <c r="K2243" s="63" t="s">
        <v>20545</v>
      </c>
      <c r="L2243" s="63" t="s">
        <v>21142</v>
      </c>
      <c r="M2243" s="63" t="s">
        <v>10117</v>
      </c>
      <c r="O2243" s="90">
        <v>44728</v>
      </c>
      <c r="P2243" s="65" t="s">
        <v>21</v>
      </c>
      <c r="Q2243" s="66" t="b">
        <v>0</v>
      </c>
      <c r="R2243" s="22">
        <f t="shared" si="35"/>
        <v>978</v>
      </c>
      <c r="S2243" s="22"/>
    </row>
    <row r="2244" spans="1:19" ht="24">
      <c r="A2244" s="64">
        <v>11672</v>
      </c>
      <c r="B2244" s="62">
        <v>43761</v>
      </c>
      <c r="C2244" s="63" t="s">
        <v>20546</v>
      </c>
      <c r="D2244" s="62">
        <v>43761</v>
      </c>
      <c r="E2244" s="63" t="s">
        <v>20547</v>
      </c>
      <c r="F2244" s="63" t="s">
        <v>8605</v>
      </c>
      <c r="G2244" s="63" t="s">
        <v>20</v>
      </c>
      <c r="H2244" s="63" t="s">
        <v>212</v>
      </c>
      <c r="I2244" s="63" t="s">
        <v>21</v>
      </c>
      <c r="J2244" s="63" t="s">
        <v>20548</v>
      </c>
      <c r="K2244" s="63" t="s">
        <v>3020</v>
      </c>
      <c r="L2244" s="63" t="s">
        <v>4282</v>
      </c>
      <c r="M2244" s="63" t="s">
        <v>21</v>
      </c>
      <c r="O2244" s="62">
        <v>43888</v>
      </c>
      <c r="P2244" s="65" t="s">
        <v>21</v>
      </c>
      <c r="Q2244" s="66" t="b">
        <v>0</v>
      </c>
      <c r="R2244" s="22">
        <f t="shared" si="35"/>
        <v>125</v>
      </c>
    </row>
    <row r="2245" spans="1:19" ht="24">
      <c r="A2245" s="64">
        <v>11674</v>
      </c>
      <c r="B2245" s="62">
        <v>43763</v>
      </c>
      <c r="C2245" s="63" t="s">
        <v>20553</v>
      </c>
      <c r="D2245" s="62">
        <v>43762</v>
      </c>
      <c r="E2245" s="63" t="s">
        <v>20554</v>
      </c>
      <c r="F2245" s="63" t="s">
        <v>242</v>
      </c>
      <c r="G2245" s="63" t="s">
        <v>20</v>
      </c>
      <c r="H2245" s="63" t="s">
        <v>71</v>
      </c>
      <c r="I2245" s="63" t="s">
        <v>21</v>
      </c>
      <c r="J2245" s="63" t="s">
        <v>20555</v>
      </c>
      <c r="K2245" s="63" t="s">
        <v>20105</v>
      </c>
      <c r="L2245" s="63" t="s">
        <v>21243</v>
      </c>
      <c r="M2245" s="63" t="s">
        <v>4282</v>
      </c>
      <c r="O2245" s="62">
        <v>44728</v>
      </c>
      <c r="P2245" s="65" t="s">
        <v>21</v>
      </c>
      <c r="Q2245" s="66" t="b">
        <v>0</v>
      </c>
      <c r="R2245" s="22">
        <f t="shared" si="35"/>
        <v>964</v>
      </c>
      <c r="S2245" s="63" t="s">
        <v>21</v>
      </c>
    </row>
    <row r="2246" spans="1:19" ht="120">
      <c r="A2246" s="64">
        <v>11678</v>
      </c>
      <c r="B2246" s="62">
        <v>43769</v>
      </c>
      <c r="C2246" s="63" t="s">
        <v>20176</v>
      </c>
      <c r="D2246" s="62">
        <v>43769</v>
      </c>
      <c r="E2246" s="63" t="s">
        <v>20177</v>
      </c>
      <c r="F2246" s="63" t="s">
        <v>8395</v>
      </c>
      <c r="G2246" s="63" t="s">
        <v>20</v>
      </c>
      <c r="H2246" s="63" t="s">
        <v>566</v>
      </c>
      <c r="I2246" s="63" t="s">
        <v>21</v>
      </c>
      <c r="J2246" s="63" t="s">
        <v>20178</v>
      </c>
      <c r="K2246" s="63" t="s">
        <v>20179</v>
      </c>
      <c r="L2246" s="63" t="s">
        <v>1946</v>
      </c>
      <c r="M2246" s="63" t="s">
        <v>21</v>
      </c>
      <c r="O2246" s="62">
        <v>43776</v>
      </c>
      <c r="P2246" s="65" t="s">
        <v>21</v>
      </c>
      <c r="Q2246" s="66" t="b">
        <v>0</v>
      </c>
      <c r="R2246" s="22">
        <f t="shared" si="35"/>
        <v>7</v>
      </c>
      <c r="S2246" s="46" t="s">
        <v>20180</v>
      </c>
    </row>
    <row r="2247" spans="1:19">
      <c r="A2247" s="64">
        <v>11686</v>
      </c>
      <c r="B2247" s="62">
        <v>43787</v>
      </c>
      <c r="C2247" s="63" t="s">
        <v>20440</v>
      </c>
      <c r="D2247" s="62">
        <v>43787</v>
      </c>
      <c r="E2247" s="63" t="s">
        <v>20441</v>
      </c>
      <c r="F2247" s="63" t="s">
        <v>149</v>
      </c>
      <c r="G2247" s="63" t="s">
        <v>20</v>
      </c>
      <c r="H2247" s="63" t="s">
        <v>71</v>
      </c>
      <c r="I2247" s="63" t="s">
        <v>21</v>
      </c>
      <c r="J2247" s="63" t="s">
        <v>20442</v>
      </c>
      <c r="K2247" s="63" t="s">
        <v>16167</v>
      </c>
      <c r="L2247" s="63" t="s">
        <v>7167</v>
      </c>
      <c r="M2247" s="63" t="s">
        <v>1152</v>
      </c>
      <c r="O2247" s="90">
        <v>44733</v>
      </c>
      <c r="P2247" s="65" t="s">
        <v>21</v>
      </c>
      <c r="Q2247" s="66" t="b">
        <v>0</v>
      </c>
      <c r="R2247" s="22">
        <f t="shared" si="35"/>
        <v>945</v>
      </c>
      <c r="S2247" s="22"/>
    </row>
    <row r="2248" spans="1:19" ht="24">
      <c r="A2248" s="64">
        <v>11696</v>
      </c>
      <c r="B2248" s="62">
        <v>43803</v>
      </c>
      <c r="C2248" s="63" t="s">
        <v>20556</v>
      </c>
      <c r="D2248" s="62">
        <v>43802</v>
      </c>
      <c r="E2248" s="63" t="s">
        <v>20557</v>
      </c>
      <c r="F2248" s="63" t="s">
        <v>149</v>
      </c>
      <c r="G2248" s="63" t="s">
        <v>20</v>
      </c>
      <c r="H2248" s="63" t="s">
        <v>212</v>
      </c>
      <c r="I2248" s="63" t="s">
        <v>21</v>
      </c>
      <c r="J2248" s="63" t="s">
        <v>20558</v>
      </c>
      <c r="K2248" s="63" t="s">
        <v>18066</v>
      </c>
      <c r="L2248" s="63" t="s">
        <v>4282</v>
      </c>
      <c r="M2248" s="63" t="s">
        <v>21</v>
      </c>
      <c r="O2248" s="62">
        <v>44734</v>
      </c>
      <c r="P2248" s="65" t="s">
        <v>21</v>
      </c>
      <c r="Q2248" s="66" t="b">
        <v>0</v>
      </c>
      <c r="R2248" s="22">
        <f t="shared" si="35"/>
        <v>930</v>
      </c>
      <c r="S2248" s="63" t="s">
        <v>21</v>
      </c>
    </row>
    <row r="2249" spans="1:19" ht="36">
      <c r="A2249" s="59">
        <v>11697</v>
      </c>
      <c r="B2249" s="60">
        <v>43804</v>
      </c>
      <c r="C2249" s="61" t="s">
        <v>20559</v>
      </c>
      <c r="D2249" s="60">
        <v>43803</v>
      </c>
      <c r="E2249" s="61" t="s">
        <v>20560</v>
      </c>
      <c r="F2249" s="61" t="s">
        <v>27</v>
      </c>
      <c r="G2249" s="61" t="s">
        <v>20</v>
      </c>
      <c r="H2249" s="61" t="s">
        <v>71</v>
      </c>
      <c r="I2249" s="61" t="s">
        <v>21</v>
      </c>
      <c r="J2249" s="61" t="s">
        <v>20561</v>
      </c>
      <c r="K2249" s="61" t="s">
        <v>20562</v>
      </c>
      <c r="L2249" s="61" t="s">
        <v>4282</v>
      </c>
      <c r="M2249" s="61" t="s">
        <v>7167</v>
      </c>
      <c r="O2249" s="29">
        <v>45064</v>
      </c>
      <c r="P2249" s="61" t="s">
        <v>21</v>
      </c>
      <c r="Q2249" s="59" t="b">
        <v>0</v>
      </c>
      <c r="R2249" s="22">
        <f t="shared" si="35"/>
        <v>1260</v>
      </c>
      <c r="S2249" s="37" t="s">
        <v>22142</v>
      </c>
    </row>
    <row r="2250" spans="1:19" ht="24">
      <c r="A2250" s="64">
        <v>11701</v>
      </c>
      <c r="B2250" s="62">
        <v>43811</v>
      </c>
      <c r="C2250" s="63" t="s">
        <v>20563</v>
      </c>
      <c r="D2250" s="62">
        <v>43811</v>
      </c>
      <c r="E2250" s="63" t="s">
        <v>20564</v>
      </c>
      <c r="F2250" s="63" t="s">
        <v>345</v>
      </c>
      <c r="G2250" s="63" t="s">
        <v>20</v>
      </c>
      <c r="H2250" s="63" t="s">
        <v>71</v>
      </c>
      <c r="I2250" s="63" t="s">
        <v>21</v>
      </c>
      <c r="J2250" s="63" t="s">
        <v>20565</v>
      </c>
      <c r="K2250" s="63" t="s">
        <v>20156</v>
      </c>
      <c r="L2250" s="63" t="s">
        <v>7167</v>
      </c>
      <c r="M2250" s="63" t="s">
        <v>21</v>
      </c>
      <c r="O2250" s="45">
        <v>43874</v>
      </c>
      <c r="P2250" s="65" t="s">
        <v>21</v>
      </c>
      <c r="Q2250" s="66" t="b">
        <v>0</v>
      </c>
      <c r="R2250" s="22">
        <f t="shared" si="35"/>
        <v>61</v>
      </c>
    </row>
    <row r="2251" spans="1:19" ht="36">
      <c r="A2251" s="64">
        <v>11703</v>
      </c>
      <c r="B2251" s="62">
        <v>43811</v>
      </c>
      <c r="C2251" s="63" t="s">
        <v>20566</v>
      </c>
      <c r="D2251" s="62">
        <v>43811</v>
      </c>
      <c r="E2251" s="63" t="s">
        <v>20567</v>
      </c>
      <c r="F2251" s="63" t="s">
        <v>85</v>
      </c>
      <c r="G2251" s="63" t="s">
        <v>20</v>
      </c>
      <c r="H2251" s="63" t="s">
        <v>71</v>
      </c>
      <c r="I2251" s="63" t="s">
        <v>21</v>
      </c>
      <c r="J2251" s="63" t="s">
        <v>20568</v>
      </c>
      <c r="K2251" s="63" t="s">
        <v>20569</v>
      </c>
      <c r="L2251" s="63" t="s">
        <v>4282</v>
      </c>
      <c r="M2251" s="63" t="s">
        <v>21</v>
      </c>
      <c r="O2251" s="45">
        <v>43910</v>
      </c>
      <c r="P2251" s="65" t="s">
        <v>21</v>
      </c>
      <c r="Q2251" s="66" t="b">
        <v>0</v>
      </c>
      <c r="R2251" s="22">
        <f t="shared" si="35"/>
        <v>99</v>
      </c>
    </row>
    <row r="2252" spans="1:19" ht="24">
      <c r="A2252" s="64">
        <v>11706</v>
      </c>
      <c r="B2252" s="62">
        <v>43815</v>
      </c>
      <c r="C2252" s="63" t="s">
        <v>20570</v>
      </c>
      <c r="D2252" s="62">
        <v>43815</v>
      </c>
      <c r="E2252" s="63" t="s">
        <v>20571</v>
      </c>
      <c r="F2252" s="63" t="s">
        <v>104</v>
      </c>
      <c r="G2252" s="63" t="s">
        <v>20</v>
      </c>
      <c r="H2252" s="63" t="s">
        <v>71</v>
      </c>
      <c r="I2252" s="63" t="s">
        <v>21</v>
      </c>
      <c r="J2252" s="63" t="s">
        <v>20572</v>
      </c>
      <c r="K2252" s="63" t="s">
        <v>20573</v>
      </c>
      <c r="L2252" s="63" t="s">
        <v>7167</v>
      </c>
      <c r="M2252" s="63" t="s">
        <v>1152</v>
      </c>
      <c r="O2252" s="62">
        <v>44734</v>
      </c>
      <c r="P2252" s="65" t="s">
        <v>21</v>
      </c>
      <c r="Q2252" s="66" t="b">
        <v>0</v>
      </c>
      <c r="R2252" s="22">
        <f t="shared" si="35"/>
        <v>918</v>
      </c>
      <c r="S2252" s="63" t="s">
        <v>21</v>
      </c>
    </row>
    <row r="2253" spans="1:19" ht="24">
      <c r="A2253" s="64">
        <v>11707</v>
      </c>
      <c r="B2253" s="62">
        <v>43816</v>
      </c>
      <c r="C2253" s="63" t="s">
        <v>20574</v>
      </c>
      <c r="D2253" s="62">
        <v>43816</v>
      </c>
      <c r="E2253" s="63" t="s">
        <v>20575</v>
      </c>
      <c r="F2253" s="63" t="s">
        <v>733</v>
      </c>
      <c r="G2253" s="63" t="s">
        <v>20</v>
      </c>
      <c r="H2253" s="63" t="s">
        <v>71</v>
      </c>
      <c r="I2253" s="63" t="s">
        <v>21</v>
      </c>
      <c r="J2253" s="63" t="s">
        <v>20576</v>
      </c>
      <c r="K2253" s="63" t="s">
        <v>9348</v>
      </c>
      <c r="L2253" s="63" t="s">
        <v>1152</v>
      </c>
      <c r="M2253" s="63" t="s">
        <v>21</v>
      </c>
      <c r="O2253" s="45">
        <v>43893</v>
      </c>
      <c r="P2253" s="65" t="s">
        <v>21</v>
      </c>
      <c r="Q2253" s="66" t="b">
        <v>0</v>
      </c>
      <c r="R2253" s="22">
        <f t="shared" si="35"/>
        <v>77</v>
      </c>
    </row>
    <row r="2254" spans="1:19">
      <c r="A2254" s="64">
        <v>11708</v>
      </c>
      <c r="B2254" s="62">
        <v>43817</v>
      </c>
      <c r="C2254" s="63" t="s">
        <v>20443</v>
      </c>
      <c r="D2254" s="62">
        <v>43817</v>
      </c>
      <c r="E2254" s="63" t="s">
        <v>20444</v>
      </c>
      <c r="F2254" s="63" t="s">
        <v>19590</v>
      </c>
      <c r="G2254" s="63" t="s">
        <v>20</v>
      </c>
      <c r="H2254" s="63" t="s">
        <v>71</v>
      </c>
      <c r="I2254" s="63" t="s">
        <v>21</v>
      </c>
      <c r="J2254" s="63" t="s">
        <v>20445</v>
      </c>
      <c r="K2254" s="63" t="s">
        <v>14825</v>
      </c>
      <c r="L2254" s="63" t="s">
        <v>1946</v>
      </c>
      <c r="M2254" s="63" t="s">
        <v>21</v>
      </c>
      <c r="O2254" s="45">
        <v>43859</v>
      </c>
      <c r="P2254" s="65" t="s">
        <v>21</v>
      </c>
      <c r="Q2254" s="66" t="b">
        <v>0</v>
      </c>
      <c r="R2254" s="22">
        <f t="shared" si="35"/>
        <v>41</v>
      </c>
    </row>
    <row r="2255" spans="1:19" ht="24">
      <c r="A2255" s="59">
        <v>11709</v>
      </c>
      <c r="B2255" s="60">
        <v>43817</v>
      </c>
      <c r="C2255" s="61" t="s">
        <v>20446</v>
      </c>
      <c r="D2255" s="60">
        <v>43817</v>
      </c>
      <c r="E2255" s="61" t="s">
        <v>20447</v>
      </c>
      <c r="F2255" s="61" t="s">
        <v>20448</v>
      </c>
      <c r="G2255" s="61" t="s">
        <v>20</v>
      </c>
      <c r="H2255" s="61" t="s">
        <v>71</v>
      </c>
      <c r="I2255" s="61" t="s">
        <v>21</v>
      </c>
      <c r="J2255" s="61" t="s">
        <v>20449</v>
      </c>
      <c r="K2255" s="61" t="s">
        <v>14825</v>
      </c>
      <c r="L2255" s="61" t="s">
        <v>21573</v>
      </c>
      <c r="M2255" s="61" t="s">
        <v>7167</v>
      </c>
      <c r="O2255" s="29">
        <v>45107</v>
      </c>
      <c r="P2255" s="61" t="s">
        <v>21</v>
      </c>
      <c r="Q2255" s="59" t="b">
        <v>0</v>
      </c>
      <c r="R2255" s="22">
        <f t="shared" si="35"/>
        <v>1289</v>
      </c>
      <c r="S2255" s="37" t="s">
        <v>22143</v>
      </c>
    </row>
    <row r="2256" spans="1:19" ht="24">
      <c r="A2256" s="64">
        <v>11711</v>
      </c>
      <c r="B2256" s="62">
        <v>43818</v>
      </c>
      <c r="C2256" s="63" t="s">
        <v>20421</v>
      </c>
      <c r="D2256" s="62">
        <v>43818</v>
      </c>
      <c r="E2256" s="63" t="s">
        <v>20422</v>
      </c>
      <c r="F2256" s="63" t="s">
        <v>2296</v>
      </c>
      <c r="G2256" s="63" t="s">
        <v>20</v>
      </c>
      <c r="H2256" s="63" t="s">
        <v>566</v>
      </c>
      <c r="I2256" s="63" t="s">
        <v>21</v>
      </c>
      <c r="J2256" s="63" t="s">
        <v>20423</v>
      </c>
      <c r="K2256" s="63" t="s">
        <v>20424</v>
      </c>
      <c r="L2256" s="63" t="s">
        <v>21142</v>
      </c>
      <c r="M2256" s="63" t="s">
        <v>21575</v>
      </c>
      <c r="O2256" s="90">
        <v>44740</v>
      </c>
      <c r="P2256" s="65" t="s">
        <v>21</v>
      </c>
      <c r="Q2256" s="66" t="b">
        <v>0</v>
      </c>
      <c r="R2256" s="22">
        <f t="shared" si="35"/>
        <v>921</v>
      </c>
      <c r="S2256" s="22"/>
    </row>
    <row r="2257" spans="1:19" ht="36">
      <c r="A2257" s="64">
        <v>11728</v>
      </c>
      <c r="B2257" s="62">
        <v>43860</v>
      </c>
      <c r="C2257" s="63" t="s">
        <v>20715</v>
      </c>
      <c r="D2257" s="62">
        <v>43860</v>
      </c>
      <c r="E2257" s="63" t="s">
        <v>20716</v>
      </c>
      <c r="F2257" s="63" t="s">
        <v>242</v>
      </c>
      <c r="G2257" s="63" t="s">
        <v>20</v>
      </c>
      <c r="H2257" s="63" t="s">
        <v>71</v>
      </c>
      <c r="I2257" s="63" t="s">
        <v>21</v>
      </c>
      <c r="J2257" s="63" t="s">
        <v>20717</v>
      </c>
      <c r="K2257" s="63" t="s">
        <v>9348</v>
      </c>
      <c r="L2257" s="63" t="s">
        <v>7167</v>
      </c>
      <c r="M2257" s="63" t="s">
        <v>1152</v>
      </c>
      <c r="O2257" s="89">
        <v>44616</v>
      </c>
      <c r="P2257" s="65" t="s">
        <v>21</v>
      </c>
      <c r="Q2257" s="66" t="b">
        <v>0</v>
      </c>
      <c r="R2257" s="22">
        <f t="shared" si="35"/>
        <v>754</v>
      </c>
      <c r="S2257" s="46" t="s">
        <v>21</v>
      </c>
    </row>
    <row r="2258" spans="1:19" ht="36">
      <c r="A2258" s="64">
        <v>11733</v>
      </c>
      <c r="B2258" s="62">
        <v>43865</v>
      </c>
      <c r="C2258" s="63" t="s">
        <v>20726</v>
      </c>
      <c r="D2258" s="62">
        <v>43861</v>
      </c>
      <c r="E2258" s="63" t="s">
        <v>20727</v>
      </c>
      <c r="F2258" s="63" t="s">
        <v>56</v>
      </c>
      <c r="G2258" s="63" t="s">
        <v>20</v>
      </c>
      <c r="H2258" s="63" t="s">
        <v>71</v>
      </c>
      <c r="I2258" s="63" t="s">
        <v>21</v>
      </c>
      <c r="J2258" s="63" t="s">
        <v>20728</v>
      </c>
      <c r="K2258" s="63" t="s">
        <v>13082</v>
      </c>
      <c r="L2258" s="63" t="s">
        <v>7167</v>
      </c>
      <c r="M2258" s="63" t="s">
        <v>1152</v>
      </c>
      <c r="O2258" s="90">
        <v>44573</v>
      </c>
      <c r="P2258" s="65" t="s">
        <v>21</v>
      </c>
      <c r="Q2258" s="66" t="b">
        <v>0</v>
      </c>
      <c r="R2258" s="22">
        <f t="shared" si="35"/>
        <v>707</v>
      </c>
      <c r="S2258" s="46" t="s">
        <v>21</v>
      </c>
    </row>
    <row r="2259" spans="1:19" ht="24">
      <c r="A2259" s="64">
        <v>11735</v>
      </c>
      <c r="B2259" s="62">
        <v>43873</v>
      </c>
      <c r="C2259" s="63" t="s">
        <v>20731</v>
      </c>
      <c r="D2259" s="62">
        <v>43872</v>
      </c>
      <c r="E2259" s="63" t="s">
        <v>20732</v>
      </c>
      <c r="F2259" s="63" t="s">
        <v>20613</v>
      </c>
      <c r="G2259" s="63" t="s">
        <v>20</v>
      </c>
      <c r="H2259" s="63" t="s">
        <v>71</v>
      </c>
      <c r="I2259" s="63" t="s">
        <v>21</v>
      </c>
      <c r="J2259" s="63" t="s">
        <v>20733</v>
      </c>
      <c r="K2259" s="63" t="s">
        <v>20734</v>
      </c>
      <c r="L2259" s="63" t="s">
        <v>7167</v>
      </c>
      <c r="M2259" s="63" t="s">
        <v>21</v>
      </c>
      <c r="O2259" s="90">
        <v>44742</v>
      </c>
      <c r="P2259" s="65" t="s">
        <v>21</v>
      </c>
      <c r="Q2259" s="66" t="b">
        <v>0</v>
      </c>
      <c r="R2259" s="22">
        <f t="shared" si="35"/>
        <v>869</v>
      </c>
      <c r="S2259" s="22"/>
    </row>
    <row r="2260" spans="1:19" ht="36">
      <c r="A2260" s="59">
        <v>11738</v>
      </c>
      <c r="B2260" s="60">
        <v>43874</v>
      </c>
      <c r="C2260" s="61" t="s">
        <v>20739</v>
      </c>
      <c r="D2260" s="60">
        <v>43868</v>
      </c>
      <c r="E2260" s="61" t="s">
        <v>20740</v>
      </c>
      <c r="F2260" s="61" t="s">
        <v>18753</v>
      </c>
      <c r="G2260" s="61" t="s">
        <v>20</v>
      </c>
      <c r="H2260" s="61" t="s">
        <v>71</v>
      </c>
      <c r="I2260" s="61" t="s">
        <v>21</v>
      </c>
      <c r="J2260" s="61" t="s">
        <v>20741</v>
      </c>
      <c r="K2260" s="61" t="s">
        <v>20742</v>
      </c>
      <c r="L2260" s="61" t="s">
        <v>21573</v>
      </c>
      <c r="M2260" s="61" t="s">
        <v>7167</v>
      </c>
      <c r="O2260" s="29">
        <v>45016</v>
      </c>
      <c r="P2260" s="61" t="s">
        <v>21</v>
      </c>
      <c r="Q2260" s="59" t="b">
        <v>0</v>
      </c>
      <c r="R2260" s="22">
        <f t="shared" si="35"/>
        <v>1143</v>
      </c>
      <c r="S2260" s="37" t="s">
        <v>21621</v>
      </c>
    </row>
    <row r="2261" spans="1:19" ht="48">
      <c r="A2261" s="59">
        <v>11739</v>
      </c>
      <c r="B2261" s="60">
        <v>43875</v>
      </c>
      <c r="C2261" s="61" t="s">
        <v>20746</v>
      </c>
      <c r="D2261" s="60">
        <v>43871</v>
      </c>
      <c r="E2261" s="61" t="s">
        <v>20747</v>
      </c>
      <c r="F2261" s="61" t="s">
        <v>2146</v>
      </c>
      <c r="G2261" s="61" t="s">
        <v>20</v>
      </c>
      <c r="H2261" s="61" t="s">
        <v>189</v>
      </c>
      <c r="I2261" s="61" t="s">
        <v>21</v>
      </c>
      <c r="J2261" s="61" t="s">
        <v>20748</v>
      </c>
      <c r="K2261" s="61" t="s">
        <v>14825</v>
      </c>
      <c r="L2261" s="61" t="s">
        <v>21573</v>
      </c>
      <c r="M2261" s="61" t="s">
        <v>4282</v>
      </c>
      <c r="O2261" s="29">
        <v>44951</v>
      </c>
      <c r="P2261" s="61" t="s">
        <v>21</v>
      </c>
      <c r="Q2261" s="59" t="b">
        <v>0</v>
      </c>
      <c r="R2261" s="22">
        <f t="shared" si="35"/>
        <v>1075</v>
      </c>
      <c r="S2261" s="37" t="s">
        <v>22144</v>
      </c>
    </row>
    <row r="2262" spans="1:19" ht="24">
      <c r="A2262" s="64">
        <v>11740</v>
      </c>
      <c r="B2262" s="62">
        <v>43875</v>
      </c>
      <c r="C2262" s="63" t="s">
        <v>20743</v>
      </c>
      <c r="D2262" s="62">
        <v>43873</v>
      </c>
      <c r="E2262" s="63" t="s">
        <v>20744</v>
      </c>
      <c r="F2262" s="63" t="s">
        <v>7212</v>
      </c>
      <c r="G2262" s="63" t="s">
        <v>20</v>
      </c>
      <c r="H2262" s="63" t="s">
        <v>71</v>
      </c>
      <c r="I2262" s="63" t="s">
        <v>21</v>
      </c>
      <c r="J2262" s="63" t="s">
        <v>20745</v>
      </c>
      <c r="K2262" s="63" t="s">
        <v>14438</v>
      </c>
      <c r="L2262" s="63" t="s">
        <v>1946</v>
      </c>
      <c r="M2262" s="63" t="s">
        <v>21</v>
      </c>
      <c r="O2262" s="45">
        <v>43892</v>
      </c>
      <c r="P2262" s="65" t="s">
        <v>21</v>
      </c>
      <c r="Q2262" s="66" t="b">
        <v>0</v>
      </c>
      <c r="R2262" s="22">
        <f t="shared" si="35"/>
        <v>18</v>
      </c>
    </row>
    <row r="2263" spans="1:19" ht="24">
      <c r="A2263" s="64">
        <v>11741</v>
      </c>
      <c r="B2263" s="62">
        <v>43880</v>
      </c>
      <c r="C2263" s="63" t="s">
        <v>20749</v>
      </c>
      <c r="D2263" s="62">
        <v>43879</v>
      </c>
      <c r="E2263" s="63" t="s">
        <v>20750</v>
      </c>
      <c r="F2263" s="63" t="s">
        <v>242</v>
      </c>
      <c r="G2263" s="63" t="s">
        <v>20</v>
      </c>
      <c r="H2263" s="63" t="s">
        <v>71</v>
      </c>
      <c r="I2263" s="63" t="s">
        <v>21</v>
      </c>
      <c r="J2263" s="63" t="s">
        <v>20751</v>
      </c>
      <c r="K2263" s="63" t="s">
        <v>20752</v>
      </c>
      <c r="L2263" s="63" t="s">
        <v>7167</v>
      </c>
      <c r="M2263" s="63" t="s">
        <v>21</v>
      </c>
      <c r="O2263" s="45">
        <v>43991</v>
      </c>
      <c r="P2263" s="65" t="s">
        <v>21</v>
      </c>
      <c r="Q2263" s="66" t="b">
        <v>0</v>
      </c>
      <c r="R2263" s="22">
        <f t="shared" si="35"/>
        <v>111</v>
      </c>
    </row>
    <row r="2264" spans="1:19">
      <c r="A2264" s="64">
        <v>11742</v>
      </c>
      <c r="B2264" s="62">
        <v>43885</v>
      </c>
      <c r="C2264" s="63" t="s">
        <v>20753</v>
      </c>
      <c r="D2264" s="62">
        <v>43873</v>
      </c>
      <c r="E2264" s="63" t="s">
        <v>20754</v>
      </c>
      <c r="F2264" s="63" t="s">
        <v>6372</v>
      </c>
      <c r="G2264" s="63" t="s">
        <v>20</v>
      </c>
      <c r="H2264" s="63" t="s">
        <v>71</v>
      </c>
      <c r="I2264" s="63" t="s">
        <v>21</v>
      </c>
      <c r="J2264" s="63" t="s">
        <v>20755</v>
      </c>
      <c r="K2264" s="63" t="s">
        <v>20756</v>
      </c>
      <c r="L2264" s="63" t="s">
        <v>7167</v>
      </c>
      <c r="M2264" s="63" t="s">
        <v>1152</v>
      </c>
      <c r="O2264" s="45">
        <v>44187</v>
      </c>
      <c r="P2264" s="65" t="s">
        <v>21</v>
      </c>
      <c r="Q2264" s="66" t="b">
        <v>0</v>
      </c>
      <c r="R2264" s="22">
        <f t="shared" si="35"/>
        <v>302</v>
      </c>
    </row>
    <row r="2265" spans="1:19" ht="36">
      <c r="A2265" s="59">
        <v>11744</v>
      </c>
      <c r="B2265" s="60">
        <v>43894</v>
      </c>
      <c r="C2265" s="61" t="s">
        <v>20759</v>
      </c>
      <c r="D2265" s="60">
        <v>43894</v>
      </c>
      <c r="E2265" s="61" t="s">
        <v>20760</v>
      </c>
      <c r="F2265" s="61" t="s">
        <v>2296</v>
      </c>
      <c r="G2265" s="61" t="s">
        <v>20</v>
      </c>
      <c r="H2265" s="61" t="s">
        <v>566</v>
      </c>
      <c r="I2265" s="61" t="s">
        <v>21</v>
      </c>
      <c r="J2265" s="61" t="s">
        <v>20761</v>
      </c>
      <c r="K2265" s="61" t="s">
        <v>20762</v>
      </c>
      <c r="L2265" s="61" t="s">
        <v>21142</v>
      </c>
      <c r="M2265" s="61" t="s">
        <v>4282</v>
      </c>
      <c r="O2265" s="29">
        <v>45064</v>
      </c>
      <c r="P2265" s="61" t="s">
        <v>21</v>
      </c>
      <c r="Q2265" s="59" t="b">
        <v>0</v>
      </c>
      <c r="R2265" s="22">
        <f t="shared" si="35"/>
        <v>1170</v>
      </c>
      <c r="S2265" s="37" t="s">
        <v>22145</v>
      </c>
    </row>
    <row r="2266" spans="1:19" ht="36">
      <c r="A2266" s="64">
        <v>11752</v>
      </c>
      <c r="B2266" s="62">
        <v>43901</v>
      </c>
      <c r="C2266" s="63" t="s">
        <v>20776</v>
      </c>
      <c r="D2266" s="62">
        <v>43899</v>
      </c>
      <c r="E2266" s="63" t="s">
        <v>20777</v>
      </c>
      <c r="F2266" s="63" t="s">
        <v>124</v>
      </c>
      <c r="G2266" s="63" t="s">
        <v>20</v>
      </c>
      <c r="H2266" s="63" t="s">
        <v>71</v>
      </c>
      <c r="I2266" s="63" t="s">
        <v>21</v>
      </c>
      <c r="J2266" s="63" t="s">
        <v>20778</v>
      </c>
      <c r="K2266" s="63" t="s">
        <v>20350</v>
      </c>
      <c r="L2266" s="63" t="s">
        <v>4282</v>
      </c>
      <c r="M2266" s="63" t="s">
        <v>1946</v>
      </c>
      <c r="O2266" s="90">
        <v>44742</v>
      </c>
      <c r="P2266" s="65" t="s">
        <v>21</v>
      </c>
      <c r="Q2266" s="66" t="b">
        <v>0</v>
      </c>
      <c r="R2266" s="22">
        <f t="shared" si="35"/>
        <v>840</v>
      </c>
      <c r="S2266" s="22"/>
    </row>
    <row r="2267" spans="1:19" ht="24">
      <c r="A2267" s="59">
        <v>11754</v>
      </c>
      <c r="B2267" s="60">
        <v>43902</v>
      </c>
      <c r="C2267" s="61" t="s">
        <v>20779</v>
      </c>
      <c r="D2267" s="60">
        <v>43901</v>
      </c>
      <c r="E2267" s="61" t="s">
        <v>20780</v>
      </c>
      <c r="F2267" s="61" t="s">
        <v>149</v>
      </c>
      <c r="G2267" s="61" t="s">
        <v>20</v>
      </c>
      <c r="H2267" s="61" t="s">
        <v>71</v>
      </c>
      <c r="I2267" s="61" t="s">
        <v>21</v>
      </c>
      <c r="J2267" s="61" t="s">
        <v>20781</v>
      </c>
      <c r="K2267" s="61" t="s">
        <v>9348</v>
      </c>
      <c r="L2267" s="61" t="s">
        <v>21142</v>
      </c>
      <c r="M2267" s="61" t="s">
        <v>4282</v>
      </c>
      <c r="O2267" s="29">
        <v>44960</v>
      </c>
      <c r="P2267" s="61" t="s">
        <v>21</v>
      </c>
      <c r="Q2267" s="59" t="b">
        <v>0</v>
      </c>
      <c r="R2267" s="22">
        <f t="shared" si="35"/>
        <v>1055</v>
      </c>
      <c r="S2267" s="37" t="s">
        <v>21621</v>
      </c>
    </row>
    <row r="2268" spans="1:19" ht="24">
      <c r="A2268" s="64">
        <v>11755</v>
      </c>
      <c r="B2268" s="62">
        <v>43902</v>
      </c>
      <c r="C2268" s="63" t="s">
        <v>20782</v>
      </c>
      <c r="D2268" s="62">
        <v>43901</v>
      </c>
      <c r="E2268" s="63" t="s">
        <v>20783</v>
      </c>
      <c r="F2268" s="63" t="s">
        <v>149</v>
      </c>
      <c r="G2268" s="63" t="s">
        <v>20</v>
      </c>
      <c r="H2268" s="63" t="s">
        <v>71</v>
      </c>
      <c r="I2268" s="63" t="s">
        <v>21</v>
      </c>
      <c r="J2268" s="63" t="s">
        <v>20781</v>
      </c>
      <c r="K2268" s="63" t="s">
        <v>9348</v>
      </c>
      <c r="L2268" s="63" t="s">
        <v>21142</v>
      </c>
      <c r="M2268" s="63" t="s">
        <v>4282</v>
      </c>
      <c r="O2268" s="90">
        <v>44742</v>
      </c>
      <c r="P2268" s="65" t="s">
        <v>21</v>
      </c>
      <c r="Q2268" s="66" t="b">
        <v>0</v>
      </c>
      <c r="R2268" s="22">
        <f t="shared" si="35"/>
        <v>839</v>
      </c>
      <c r="S2268" s="22"/>
    </row>
    <row r="2269" spans="1:19" ht="36">
      <c r="A2269" s="64">
        <v>11761</v>
      </c>
      <c r="B2269" s="62">
        <v>43969</v>
      </c>
      <c r="C2269" s="63" t="s">
        <v>20797</v>
      </c>
      <c r="D2269" s="62">
        <v>43966</v>
      </c>
      <c r="E2269" s="63" t="s">
        <v>20798</v>
      </c>
      <c r="F2269" s="63" t="s">
        <v>149</v>
      </c>
      <c r="G2269" s="63" t="s">
        <v>20</v>
      </c>
      <c r="H2269" s="63" t="s">
        <v>71</v>
      </c>
      <c r="I2269" s="63" t="s">
        <v>21</v>
      </c>
      <c r="J2269" s="63" t="s">
        <v>20799</v>
      </c>
      <c r="K2269" s="63" t="s">
        <v>14825</v>
      </c>
      <c r="L2269" s="63" t="s">
        <v>7167</v>
      </c>
      <c r="M2269" s="63" t="s">
        <v>1152</v>
      </c>
      <c r="O2269" s="90">
        <v>44742</v>
      </c>
      <c r="P2269" s="65" t="s">
        <v>21</v>
      </c>
      <c r="Q2269" s="66" t="b">
        <v>0</v>
      </c>
      <c r="R2269" s="22">
        <f t="shared" si="35"/>
        <v>772</v>
      </c>
      <c r="S2269" s="22" t="s">
        <v>21</v>
      </c>
    </row>
    <row r="2270" spans="1:19" ht="36">
      <c r="A2270" s="59">
        <v>11768</v>
      </c>
      <c r="B2270" s="60">
        <v>44008</v>
      </c>
      <c r="C2270" s="61" t="s">
        <v>20804</v>
      </c>
      <c r="D2270" s="60">
        <v>44006</v>
      </c>
      <c r="E2270" s="61" t="s">
        <v>20805</v>
      </c>
      <c r="F2270" s="61" t="s">
        <v>1537</v>
      </c>
      <c r="G2270" s="61" t="s">
        <v>20</v>
      </c>
      <c r="H2270" s="61" t="s">
        <v>71</v>
      </c>
      <c r="I2270" s="61" t="s">
        <v>21</v>
      </c>
      <c r="J2270" s="61" t="s">
        <v>20806</v>
      </c>
      <c r="K2270" s="61" t="s">
        <v>9348</v>
      </c>
      <c r="L2270" s="61" t="s">
        <v>7167</v>
      </c>
      <c r="M2270" s="61" t="s">
        <v>21</v>
      </c>
      <c r="O2270" s="29">
        <v>44959</v>
      </c>
      <c r="P2270" s="61" t="s">
        <v>21</v>
      </c>
      <c r="Q2270" s="59" t="b">
        <v>0</v>
      </c>
      <c r="R2270" s="22">
        <f t="shared" si="35"/>
        <v>949</v>
      </c>
      <c r="S2270" s="37" t="s">
        <v>21621</v>
      </c>
    </row>
    <row r="2271" spans="1:19" ht="36">
      <c r="A2271" s="59">
        <v>11771</v>
      </c>
      <c r="B2271" s="60">
        <v>44013</v>
      </c>
      <c r="C2271" s="61" t="s">
        <v>20812</v>
      </c>
      <c r="D2271" s="60">
        <v>44006</v>
      </c>
      <c r="E2271" s="61" t="s">
        <v>20813</v>
      </c>
      <c r="F2271" s="61" t="s">
        <v>19</v>
      </c>
      <c r="G2271" s="61" t="s">
        <v>20</v>
      </c>
      <c r="H2271" s="61" t="s">
        <v>71</v>
      </c>
      <c r="I2271" s="61" t="s">
        <v>21</v>
      </c>
      <c r="J2271" s="61" t="s">
        <v>20814</v>
      </c>
      <c r="K2271" s="61" t="s">
        <v>9348</v>
      </c>
      <c r="L2271" s="61" t="s">
        <v>7167</v>
      </c>
      <c r="M2271" s="61" t="s">
        <v>4282</v>
      </c>
      <c r="O2271" s="29">
        <v>45216</v>
      </c>
      <c r="P2271" s="61" t="s">
        <v>21</v>
      </c>
      <c r="Q2271" s="59" t="b">
        <v>0</v>
      </c>
      <c r="R2271" s="22">
        <f t="shared" si="35"/>
        <v>1202</v>
      </c>
      <c r="S2271" s="37" t="s">
        <v>22146</v>
      </c>
    </row>
    <row r="2272" spans="1:19" ht="36">
      <c r="A2272" s="59">
        <v>11776</v>
      </c>
      <c r="B2272" s="60">
        <v>44026</v>
      </c>
      <c r="C2272" s="61" t="s">
        <v>20825</v>
      </c>
      <c r="D2272" s="60">
        <v>44026</v>
      </c>
      <c r="E2272" s="61" t="s">
        <v>20826</v>
      </c>
      <c r="F2272" s="61" t="s">
        <v>5091</v>
      </c>
      <c r="G2272" s="61" t="s">
        <v>20</v>
      </c>
      <c r="H2272" s="61" t="s">
        <v>189</v>
      </c>
      <c r="I2272" s="61" t="s">
        <v>21</v>
      </c>
      <c r="J2272" s="61" t="s">
        <v>20827</v>
      </c>
      <c r="K2272" s="61" t="s">
        <v>20820</v>
      </c>
      <c r="L2272" s="61" t="s">
        <v>4282</v>
      </c>
      <c r="M2272" s="61" t="s">
        <v>21</v>
      </c>
      <c r="O2272" s="29">
        <v>45006</v>
      </c>
      <c r="P2272" s="61" t="s">
        <v>21</v>
      </c>
      <c r="Q2272" s="59" t="b">
        <v>0</v>
      </c>
      <c r="R2272" s="22">
        <f t="shared" si="35"/>
        <v>980</v>
      </c>
      <c r="S2272" s="37" t="s">
        <v>22147</v>
      </c>
    </row>
    <row r="2273" spans="1:19" ht="36">
      <c r="A2273" s="59">
        <v>11777</v>
      </c>
      <c r="B2273" s="60">
        <v>44026</v>
      </c>
      <c r="C2273" s="61" t="s">
        <v>20828</v>
      </c>
      <c r="D2273" s="60">
        <v>44026</v>
      </c>
      <c r="E2273" s="61" t="s">
        <v>20829</v>
      </c>
      <c r="F2273" s="61" t="s">
        <v>20830</v>
      </c>
      <c r="G2273" s="61" t="s">
        <v>20</v>
      </c>
      <c r="H2273" s="61" t="s">
        <v>189</v>
      </c>
      <c r="I2273" s="61" t="s">
        <v>21</v>
      </c>
      <c r="J2273" s="61" t="s">
        <v>20831</v>
      </c>
      <c r="K2273" s="61" t="s">
        <v>20820</v>
      </c>
      <c r="L2273" s="61" t="s">
        <v>4282</v>
      </c>
      <c r="M2273" s="61" t="s">
        <v>21</v>
      </c>
      <c r="O2273" s="29">
        <v>45100</v>
      </c>
      <c r="P2273" s="61" t="s">
        <v>21</v>
      </c>
      <c r="Q2273" s="59" t="b">
        <v>0</v>
      </c>
      <c r="R2273" s="22">
        <f t="shared" si="35"/>
        <v>1073</v>
      </c>
      <c r="S2273" s="37" t="s">
        <v>22148</v>
      </c>
    </row>
    <row r="2274" spans="1:19" ht="36">
      <c r="A2274" s="59">
        <v>11784</v>
      </c>
      <c r="B2274" s="60">
        <v>44048</v>
      </c>
      <c r="C2274" s="61" t="s">
        <v>20851</v>
      </c>
      <c r="D2274" s="60">
        <v>44047</v>
      </c>
      <c r="E2274" s="61" t="s">
        <v>20852</v>
      </c>
      <c r="F2274" s="61" t="s">
        <v>27</v>
      </c>
      <c r="G2274" s="61" t="s">
        <v>20</v>
      </c>
      <c r="H2274" s="61" t="s">
        <v>71</v>
      </c>
      <c r="I2274" s="61" t="s">
        <v>21</v>
      </c>
      <c r="J2274" s="61" t="s">
        <v>20853</v>
      </c>
      <c r="K2274" s="61" t="s">
        <v>15287</v>
      </c>
      <c r="L2274" s="61" t="s">
        <v>21142</v>
      </c>
      <c r="M2274" s="61" t="s">
        <v>7167</v>
      </c>
      <c r="O2274" s="29">
        <v>45000</v>
      </c>
      <c r="P2274" s="61" t="s">
        <v>21</v>
      </c>
      <c r="Q2274" s="59" t="b">
        <v>0</v>
      </c>
      <c r="R2274" s="22">
        <f t="shared" si="35"/>
        <v>953</v>
      </c>
      <c r="S2274" s="37" t="s">
        <v>22149</v>
      </c>
    </row>
    <row r="2275" spans="1:19" ht="24">
      <c r="A2275" s="64">
        <v>11790</v>
      </c>
      <c r="B2275" s="62">
        <v>44055</v>
      </c>
      <c r="C2275" s="63" t="s">
        <v>20869</v>
      </c>
      <c r="D2275" s="62">
        <v>44055</v>
      </c>
      <c r="E2275" s="63" t="s">
        <v>20870</v>
      </c>
      <c r="F2275" s="63" t="s">
        <v>20871</v>
      </c>
      <c r="G2275" s="63" t="s">
        <v>20</v>
      </c>
      <c r="H2275" s="63" t="s">
        <v>71</v>
      </c>
      <c r="I2275" s="63" t="s">
        <v>21</v>
      </c>
      <c r="J2275" s="63" t="s">
        <v>20856</v>
      </c>
      <c r="K2275" s="63" t="s">
        <v>20445</v>
      </c>
      <c r="L2275" s="63" t="s">
        <v>4282</v>
      </c>
      <c r="M2275" s="63" t="s">
        <v>7167</v>
      </c>
      <c r="O2275" s="45">
        <v>45468</v>
      </c>
      <c r="P2275" s="65" t="s">
        <v>21</v>
      </c>
      <c r="Q2275" s="66" t="b">
        <v>0</v>
      </c>
      <c r="R2275" s="22">
        <f t="shared" si="35"/>
        <v>1412</v>
      </c>
      <c r="S2275" s="46" t="s">
        <v>22150</v>
      </c>
    </row>
    <row r="2276" spans="1:19" ht="36">
      <c r="A2276" s="64">
        <v>11793</v>
      </c>
      <c r="B2276" s="62">
        <v>44057</v>
      </c>
      <c r="C2276" s="63" t="s">
        <v>20876</v>
      </c>
      <c r="D2276" s="62">
        <v>44060</v>
      </c>
      <c r="E2276" s="63" t="s">
        <v>20877</v>
      </c>
      <c r="F2276" s="63" t="s">
        <v>824</v>
      </c>
      <c r="G2276" s="63" t="s">
        <v>20</v>
      </c>
      <c r="H2276" s="63" t="s">
        <v>71</v>
      </c>
      <c r="I2276" s="63" t="s">
        <v>21</v>
      </c>
      <c r="J2276" s="63" t="s">
        <v>20878</v>
      </c>
      <c r="K2276" s="63" t="s">
        <v>18066</v>
      </c>
      <c r="L2276" s="63" t="s">
        <v>4282</v>
      </c>
      <c r="M2276" s="63" t="s">
        <v>7167</v>
      </c>
      <c r="O2276" s="45">
        <v>45296</v>
      </c>
      <c r="P2276" s="65" t="s">
        <v>21</v>
      </c>
      <c r="Q2276" s="66" t="b">
        <v>0</v>
      </c>
      <c r="R2276" s="22">
        <f t="shared" si="35"/>
        <v>1237</v>
      </c>
      <c r="S2276" s="46" t="s">
        <v>22151</v>
      </c>
    </row>
    <row r="2277" spans="1:19" ht="48">
      <c r="A2277" s="64">
        <v>11794</v>
      </c>
      <c r="B2277" s="62">
        <v>44060</v>
      </c>
      <c r="C2277" s="63" t="s">
        <v>20879</v>
      </c>
      <c r="D2277" s="62">
        <v>44060</v>
      </c>
      <c r="E2277" s="63" t="s">
        <v>20880</v>
      </c>
      <c r="F2277" s="63" t="s">
        <v>693</v>
      </c>
      <c r="G2277" s="63" t="s">
        <v>20</v>
      </c>
      <c r="H2277" s="63" t="s">
        <v>189</v>
      </c>
      <c r="I2277" s="63" t="s">
        <v>21</v>
      </c>
      <c r="J2277" s="63" t="s">
        <v>20881</v>
      </c>
      <c r="K2277" s="63" t="s">
        <v>18066</v>
      </c>
      <c r="L2277" s="63" t="s">
        <v>7167</v>
      </c>
      <c r="M2277" s="63" t="s">
        <v>21</v>
      </c>
      <c r="O2277" s="45">
        <v>45358</v>
      </c>
      <c r="P2277" s="65" t="s">
        <v>21</v>
      </c>
      <c r="Q2277" s="66" t="b">
        <v>0</v>
      </c>
      <c r="R2277" s="22">
        <f t="shared" si="35"/>
        <v>1297</v>
      </c>
      <c r="S2277" s="46" t="s">
        <v>22152</v>
      </c>
    </row>
    <row r="2278" spans="1:19" ht="36">
      <c r="A2278" s="64">
        <v>11795</v>
      </c>
      <c r="B2278" s="62">
        <v>44062</v>
      </c>
      <c r="C2278" s="63" t="s">
        <v>20882</v>
      </c>
      <c r="D2278" s="62">
        <v>44062</v>
      </c>
      <c r="E2278" s="63" t="s">
        <v>20883</v>
      </c>
      <c r="F2278" s="63" t="s">
        <v>1771</v>
      </c>
      <c r="G2278" s="63" t="s">
        <v>20</v>
      </c>
      <c r="H2278" s="63" t="s">
        <v>189</v>
      </c>
      <c r="I2278" s="63" t="s">
        <v>21</v>
      </c>
      <c r="J2278" s="63" t="s">
        <v>7017</v>
      </c>
      <c r="K2278" s="63" t="s">
        <v>20884</v>
      </c>
      <c r="L2278" s="63" t="s">
        <v>4282</v>
      </c>
      <c r="M2278" s="63" t="s">
        <v>7167</v>
      </c>
      <c r="O2278" s="45">
        <v>45371</v>
      </c>
      <c r="P2278" s="65" t="s">
        <v>21</v>
      </c>
      <c r="Q2278" s="66" t="b">
        <v>0</v>
      </c>
      <c r="R2278" s="22">
        <f t="shared" si="35"/>
        <v>1308</v>
      </c>
      <c r="S2278" s="46" t="s">
        <v>22153</v>
      </c>
    </row>
    <row r="2279" spans="1:19" ht="48">
      <c r="A2279" s="59">
        <v>11801</v>
      </c>
      <c r="B2279" s="60">
        <v>44071</v>
      </c>
      <c r="C2279" s="61" t="s">
        <v>20895</v>
      </c>
      <c r="D2279" s="60">
        <v>44071</v>
      </c>
      <c r="E2279" s="61" t="s">
        <v>20896</v>
      </c>
      <c r="F2279" s="61" t="s">
        <v>18441</v>
      </c>
      <c r="G2279" s="61" t="s">
        <v>20</v>
      </c>
      <c r="H2279" s="61" t="s">
        <v>189</v>
      </c>
      <c r="I2279" s="61" t="s">
        <v>21</v>
      </c>
      <c r="J2279" s="61" t="s">
        <v>20897</v>
      </c>
      <c r="K2279" s="61" t="s">
        <v>20898</v>
      </c>
      <c r="L2279" s="61" t="s">
        <v>21573</v>
      </c>
      <c r="M2279" s="61" t="s">
        <v>4282</v>
      </c>
      <c r="O2279" s="29">
        <v>44994</v>
      </c>
      <c r="P2279" s="61" t="s">
        <v>21</v>
      </c>
      <c r="Q2279" s="59" t="b">
        <v>0</v>
      </c>
      <c r="R2279" s="22">
        <f t="shared" si="35"/>
        <v>923</v>
      </c>
      <c r="S2279" s="37" t="s">
        <v>22154</v>
      </c>
    </row>
    <row r="2280" spans="1:19" ht="36">
      <c r="A2280" s="64">
        <v>11802</v>
      </c>
      <c r="B2280" s="62">
        <v>44071</v>
      </c>
      <c r="C2280" s="63" t="s">
        <v>20899</v>
      </c>
      <c r="D2280" s="62">
        <v>44071</v>
      </c>
      <c r="E2280" s="63" t="s">
        <v>20900</v>
      </c>
      <c r="F2280" s="63" t="s">
        <v>16198</v>
      </c>
      <c r="G2280" s="63" t="s">
        <v>20</v>
      </c>
      <c r="H2280" s="63" t="s">
        <v>71</v>
      </c>
      <c r="I2280" s="63" t="s">
        <v>21</v>
      </c>
      <c r="J2280" s="63" t="s">
        <v>20901</v>
      </c>
      <c r="K2280" s="63" t="s">
        <v>9348</v>
      </c>
      <c r="L2280" s="63" t="s">
        <v>4282</v>
      </c>
      <c r="M2280" s="63" t="s">
        <v>21</v>
      </c>
      <c r="O2280" s="45">
        <v>44307</v>
      </c>
      <c r="P2280" s="65" t="s">
        <v>21</v>
      </c>
      <c r="Q2280" s="66" t="b">
        <v>0</v>
      </c>
      <c r="R2280" s="22">
        <f t="shared" si="35"/>
        <v>236</v>
      </c>
    </row>
    <row r="2281" spans="1:19" ht="36">
      <c r="A2281" s="26">
        <v>11807</v>
      </c>
      <c r="B2281" s="27">
        <v>44088</v>
      </c>
      <c r="C2281" s="28" t="s">
        <v>20913</v>
      </c>
      <c r="D2281" s="27">
        <v>44088</v>
      </c>
      <c r="E2281" s="28" t="s">
        <v>20914</v>
      </c>
      <c r="F2281" s="28" t="s">
        <v>98</v>
      </c>
      <c r="G2281" s="28" t="s">
        <v>20</v>
      </c>
      <c r="H2281" s="28" t="s">
        <v>71</v>
      </c>
      <c r="I2281" s="28" t="s">
        <v>21</v>
      </c>
      <c r="J2281" s="28" t="s">
        <v>20915</v>
      </c>
      <c r="K2281" s="28" t="s">
        <v>20916</v>
      </c>
      <c r="L2281" s="28" t="s">
        <v>4282</v>
      </c>
      <c r="M2281" s="28" t="s">
        <v>21</v>
      </c>
      <c r="O2281" s="27">
        <v>44978</v>
      </c>
      <c r="P2281" s="28" t="s">
        <v>21</v>
      </c>
      <c r="Q2281" s="26" t="b">
        <v>0</v>
      </c>
      <c r="R2281" s="22">
        <f t="shared" si="35"/>
        <v>889</v>
      </c>
      <c r="S2281" s="28" t="s">
        <v>21621</v>
      </c>
    </row>
    <row r="2282" spans="1:19" ht="48">
      <c r="A2282" s="26">
        <v>11808</v>
      </c>
      <c r="B2282" s="27">
        <v>44089</v>
      </c>
      <c r="C2282" s="28" t="s">
        <v>20917</v>
      </c>
      <c r="D2282" s="27">
        <v>44089</v>
      </c>
      <c r="E2282" s="28" t="s">
        <v>20918</v>
      </c>
      <c r="F2282" s="28" t="s">
        <v>2565</v>
      </c>
      <c r="G2282" s="28" t="s">
        <v>20</v>
      </c>
      <c r="H2282" s="28" t="s">
        <v>189</v>
      </c>
      <c r="I2282" s="28" t="s">
        <v>21</v>
      </c>
      <c r="J2282" s="28" t="s">
        <v>14825</v>
      </c>
      <c r="K2282" s="28" t="s">
        <v>20919</v>
      </c>
      <c r="L2282" s="28" t="s">
        <v>21573</v>
      </c>
      <c r="M2282" s="28" t="s">
        <v>4282</v>
      </c>
      <c r="O2282" s="27">
        <v>44998</v>
      </c>
      <c r="P2282" s="28" t="s">
        <v>21</v>
      </c>
      <c r="Q2282" s="26" t="b">
        <v>0</v>
      </c>
      <c r="R2282" s="22">
        <f t="shared" si="35"/>
        <v>910</v>
      </c>
      <c r="S2282" s="28" t="s">
        <v>22154</v>
      </c>
    </row>
    <row r="2283" spans="1:19" ht="36">
      <c r="A2283" s="26">
        <v>11811</v>
      </c>
      <c r="B2283" s="27">
        <v>44097</v>
      </c>
      <c r="C2283" s="28" t="s">
        <v>20930</v>
      </c>
      <c r="D2283" s="27">
        <v>44095</v>
      </c>
      <c r="E2283" s="28" t="s">
        <v>20931</v>
      </c>
      <c r="F2283" s="28" t="s">
        <v>1537</v>
      </c>
      <c r="G2283" s="28" t="s">
        <v>20</v>
      </c>
      <c r="H2283" s="28" t="s">
        <v>71</v>
      </c>
      <c r="I2283" s="28" t="s">
        <v>21</v>
      </c>
      <c r="J2283" s="28" t="s">
        <v>20932</v>
      </c>
      <c r="K2283" s="28" t="s">
        <v>20933</v>
      </c>
      <c r="L2283" s="28" t="s">
        <v>21243</v>
      </c>
      <c r="M2283" s="28" t="s">
        <v>7167</v>
      </c>
      <c r="O2283" s="27">
        <v>45160</v>
      </c>
      <c r="P2283" s="28" t="s">
        <v>21</v>
      </c>
      <c r="Q2283" s="26" t="b">
        <v>0</v>
      </c>
      <c r="R2283" s="22">
        <f t="shared" si="35"/>
        <v>1063</v>
      </c>
      <c r="S2283" s="28" t="s">
        <v>22155</v>
      </c>
    </row>
    <row r="2284" spans="1:19" ht="36">
      <c r="A2284" s="26">
        <v>11812</v>
      </c>
      <c r="B2284" s="27">
        <v>44097</v>
      </c>
      <c r="C2284" s="28" t="s">
        <v>20934</v>
      </c>
      <c r="D2284" s="27">
        <v>44097</v>
      </c>
      <c r="E2284" s="28" t="s">
        <v>20935</v>
      </c>
      <c r="F2284" s="28" t="s">
        <v>12633</v>
      </c>
      <c r="G2284" s="28" t="s">
        <v>20</v>
      </c>
      <c r="H2284" s="28" t="s">
        <v>71</v>
      </c>
      <c r="I2284" s="28" t="s">
        <v>21</v>
      </c>
      <c r="J2284" s="28" t="s">
        <v>20936</v>
      </c>
      <c r="K2284" s="28" t="s">
        <v>20937</v>
      </c>
      <c r="L2284" s="28" t="s">
        <v>7167</v>
      </c>
      <c r="M2284" s="28" t="s">
        <v>21</v>
      </c>
      <c r="O2284" s="27">
        <v>45035</v>
      </c>
      <c r="P2284" s="28" t="s">
        <v>21</v>
      </c>
      <c r="Q2284" s="26" t="b">
        <v>0</v>
      </c>
      <c r="R2284" s="22">
        <f t="shared" si="35"/>
        <v>938</v>
      </c>
      <c r="S2284" s="28" t="s">
        <v>21621</v>
      </c>
    </row>
    <row r="2285" spans="1:19" ht="36">
      <c r="A2285" s="26">
        <v>11815</v>
      </c>
      <c r="B2285" s="27">
        <v>44099</v>
      </c>
      <c r="C2285" s="28" t="s">
        <v>20941</v>
      </c>
      <c r="D2285" s="27">
        <v>44098</v>
      </c>
      <c r="E2285" s="28" t="s">
        <v>20942</v>
      </c>
      <c r="F2285" s="28" t="s">
        <v>8605</v>
      </c>
      <c r="G2285" s="28" t="s">
        <v>20</v>
      </c>
      <c r="H2285" s="28" t="s">
        <v>212</v>
      </c>
      <c r="I2285" s="28" t="s">
        <v>21</v>
      </c>
      <c r="J2285" s="28" t="s">
        <v>20833</v>
      </c>
      <c r="K2285" s="28" t="s">
        <v>20943</v>
      </c>
      <c r="L2285" s="28" t="s">
        <v>21243</v>
      </c>
      <c r="M2285" s="28" t="s">
        <v>4282</v>
      </c>
      <c r="O2285" s="27">
        <v>45183</v>
      </c>
      <c r="P2285" s="28" t="s">
        <v>21</v>
      </c>
      <c r="Q2285" s="26" t="b">
        <v>0</v>
      </c>
      <c r="R2285" s="22">
        <f t="shared" si="35"/>
        <v>1083</v>
      </c>
      <c r="S2285" s="28" t="s">
        <v>22156</v>
      </c>
    </row>
    <row r="2286" spans="1:19" ht="48">
      <c r="A2286" s="26">
        <v>11825</v>
      </c>
      <c r="B2286" s="27">
        <v>44119</v>
      </c>
      <c r="C2286" s="28" t="s">
        <v>20968</v>
      </c>
      <c r="D2286" s="27">
        <v>44119</v>
      </c>
      <c r="E2286" s="28" t="s">
        <v>20969</v>
      </c>
      <c r="F2286" s="28" t="s">
        <v>2565</v>
      </c>
      <c r="G2286" s="28" t="s">
        <v>20</v>
      </c>
      <c r="H2286" s="28" t="s">
        <v>189</v>
      </c>
      <c r="I2286" s="28" t="s">
        <v>21</v>
      </c>
      <c r="J2286" s="28" t="s">
        <v>20970</v>
      </c>
      <c r="K2286" s="28" t="s">
        <v>20971</v>
      </c>
      <c r="L2286" s="28" t="s">
        <v>21573</v>
      </c>
      <c r="M2286" s="28" t="s">
        <v>4282</v>
      </c>
      <c r="O2286" s="27">
        <v>44998</v>
      </c>
      <c r="P2286" s="28" t="s">
        <v>21</v>
      </c>
      <c r="Q2286" s="26" t="b">
        <v>0</v>
      </c>
      <c r="R2286" s="22">
        <f t="shared" si="35"/>
        <v>880</v>
      </c>
      <c r="S2286" s="28" t="s">
        <v>22154</v>
      </c>
    </row>
    <row r="2287" spans="1:19" ht="36">
      <c r="A2287" s="38">
        <v>11833</v>
      </c>
      <c r="B2287" s="39">
        <v>44130</v>
      </c>
      <c r="C2287" s="40" t="s">
        <v>20992</v>
      </c>
      <c r="D2287" s="39">
        <v>44119</v>
      </c>
      <c r="E2287" s="40" t="s">
        <v>20993</v>
      </c>
      <c r="F2287" s="40" t="s">
        <v>283</v>
      </c>
      <c r="G2287" s="40" t="s">
        <v>20</v>
      </c>
      <c r="H2287" s="40" t="s">
        <v>71</v>
      </c>
      <c r="I2287" s="40" t="s">
        <v>21</v>
      </c>
      <c r="J2287" s="40" t="s">
        <v>20994</v>
      </c>
      <c r="K2287" s="40" t="s">
        <v>20995</v>
      </c>
      <c r="L2287" s="40" t="s">
        <v>7167</v>
      </c>
      <c r="M2287" s="40" t="s">
        <v>21</v>
      </c>
      <c r="O2287" s="39">
        <v>44545</v>
      </c>
      <c r="P2287" s="41" t="s">
        <v>21</v>
      </c>
      <c r="Q2287" s="42" t="b">
        <v>1</v>
      </c>
      <c r="R2287" s="22">
        <f t="shared" si="35"/>
        <v>414</v>
      </c>
      <c r="S2287" s="18"/>
    </row>
    <row r="2288" spans="1:19" ht="24">
      <c r="A2288" s="38">
        <v>11834</v>
      </c>
      <c r="B2288" s="39">
        <v>44130</v>
      </c>
      <c r="C2288" s="40" t="s">
        <v>20996</v>
      </c>
      <c r="D2288" s="39">
        <v>44119</v>
      </c>
      <c r="E2288" s="40" t="s">
        <v>20997</v>
      </c>
      <c r="F2288" s="40" t="s">
        <v>56</v>
      </c>
      <c r="G2288" s="40" t="s">
        <v>20</v>
      </c>
      <c r="H2288" s="40" t="s">
        <v>71</v>
      </c>
      <c r="I2288" s="40" t="s">
        <v>21</v>
      </c>
      <c r="J2288" s="40" t="s">
        <v>20998</v>
      </c>
      <c r="K2288" s="40" t="s">
        <v>20995</v>
      </c>
      <c r="L2288" s="40" t="s">
        <v>7167</v>
      </c>
      <c r="M2288" s="40" t="s">
        <v>21</v>
      </c>
      <c r="O2288" s="39">
        <v>44287</v>
      </c>
      <c r="P2288" s="41" t="s">
        <v>21</v>
      </c>
      <c r="Q2288" s="42" t="b">
        <v>1</v>
      </c>
      <c r="R2288" s="22">
        <f t="shared" si="35"/>
        <v>157</v>
      </c>
      <c r="S2288" s="18"/>
    </row>
    <row r="2289" spans="1:20" ht="48">
      <c r="A2289" s="26">
        <v>11838</v>
      </c>
      <c r="B2289" s="27">
        <v>44137</v>
      </c>
      <c r="C2289" s="28" t="s">
        <v>21010</v>
      </c>
      <c r="D2289" s="27">
        <v>44133</v>
      </c>
      <c r="E2289" s="28" t="s">
        <v>21011</v>
      </c>
      <c r="F2289" s="28" t="s">
        <v>8358</v>
      </c>
      <c r="G2289" s="28" t="s">
        <v>20</v>
      </c>
      <c r="H2289" s="28" t="s">
        <v>71</v>
      </c>
      <c r="I2289" s="28" t="s">
        <v>21</v>
      </c>
      <c r="J2289" s="28" t="s">
        <v>21012</v>
      </c>
      <c r="K2289" s="28" t="s">
        <v>20909</v>
      </c>
      <c r="L2289" s="28" t="s">
        <v>7167</v>
      </c>
      <c r="M2289" s="28" t="s">
        <v>21</v>
      </c>
      <c r="O2289" s="27">
        <v>45131</v>
      </c>
      <c r="P2289" s="28" t="s">
        <v>21</v>
      </c>
      <c r="Q2289" s="26" t="b">
        <v>1</v>
      </c>
      <c r="R2289" s="22">
        <f t="shared" si="35"/>
        <v>995</v>
      </c>
      <c r="S2289" s="28" t="s">
        <v>22157</v>
      </c>
    </row>
    <row r="2290" spans="1:20" ht="36">
      <c r="A2290" s="38">
        <v>11839</v>
      </c>
      <c r="B2290" s="39">
        <v>44137</v>
      </c>
      <c r="C2290" s="40" t="s">
        <v>21006</v>
      </c>
      <c r="D2290" s="39">
        <v>44125</v>
      </c>
      <c r="E2290" s="40" t="s">
        <v>21007</v>
      </c>
      <c r="F2290" s="40" t="s">
        <v>149</v>
      </c>
      <c r="G2290" s="40" t="s">
        <v>20</v>
      </c>
      <c r="H2290" s="40" t="s">
        <v>71</v>
      </c>
      <c r="I2290" s="40" t="s">
        <v>21</v>
      </c>
      <c r="J2290" s="40" t="s">
        <v>21008</v>
      </c>
      <c r="K2290" s="40" t="s">
        <v>21009</v>
      </c>
      <c r="L2290" s="40" t="s">
        <v>7167</v>
      </c>
      <c r="M2290" s="40" t="s">
        <v>21</v>
      </c>
      <c r="O2290" s="39">
        <v>44453</v>
      </c>
      <c r="P2290" s="41" t="s">
        <v>31</v>
      </c>
      <c r="Q2290" s="42" t="b">
        <v>0</v>
      </c>
      <c r="R2290" s="22">
        <f t="shared" si="35"/>
        <v>316</v>
      </c>
      <c r="S2290" s="18"/>
    </row>
    <row r="2291" spans="1:20" ht="24">
      <c r="A2291" s="38">
        <v>11849</v>
      </c>
      <c r="B2291" s="39">
        <v>44158</v>
      </c>
      <c r="C2291" s="40" t="s">
        <v>21034</v>
      </c>
      <c r="D2291" s="39">
        <v>44155</v>
      </c>
      <c r="E2291" s="40" t="s">
        <v>21035</v>
      </c>
      <c r="F2291" s="40" t="s">
        <v>19</v>
      </c>
      <c r="G2291" s="40" t="s">
        <v>20</v>
      </c>
      <c r="H2291" s="40" t="s">
        <v>71</v>
      </c>
      <c r="I2291" s="40" t="s">
        <v>21</v>
      </c>
      <c r="J2291" s="40" t="s">
        <v>21036</v>
      </c>
      <c r="K2291" s="40" t="s">
        <v>21037</v>
      </c>
      <c r="L2291" s="40" t="s">
        <v>7167</v>
      </c>
      <c r="M2291" s="40" t="s">
        <v>21</v>
      </c>
      <c r="O2291" s="39">
        <v>44173</v>
      </c>
      <c r="P2291" s="41" t="s">
        <v>21</v>
      </c>
      <c r="Q2291" s="42" t="b">
        <v>1</v>
      </c>
      <c r="R2291" s="22">
        <f t="shared" si="35"/>
        <v>15</v>
      </c>
      <c r="S2291" s="18"/>
    </row>
    <row r="2292" spans="1:20" ht="24">
      <c r="A2292" s="38">
        <v>11853</v>
      </c>
      <c r="B2292" s="39">
        <v>44194</v>
      </c>
      <c r="C2292" s="40" t="s">
        <v>21043</v>
      </c>
      <c r="D2292" s="39">
        <v>44169</v>
      </c>
      <c r="E2292" s="40" t="s">
        <v>21044</v>
      </c>
      <c r="F2292" s="40" t="s">
        <v>2565</v>
      </c>
      <c r="G2292" s="40" t="s">
        <v>20</v>
      </c>
      <c r="H2292" s="40" t="s">
        <v>189</v>
      </c>
      <c r="I2292" s="40" t="s">
        <v>21</v>
      </c>
      <c r="J2292" s="40" t="s">
        <v>21045</v>
      </c>
      <c r="K2292" s="40" t="s">
        <v>21046</v>
      </c>
      <c r="L2292" s="40" t="s">
        <v>4282</v>
      </c>
      <c r="M2292" s="40" t="s">
        <v>21</v>
      </c>
      <c r="O2292" s="39">
        <v>44245</v>
      </c>
      <c r="P2292" s="41" t="s">
        <v>21</v>
      </c>
      <c r="Q2292" s="42" t="b">
        <v>1</v>
      </c>
      <c r="R2292" s="22">
        <f t="shared" si="35"/>
        <v>49</v>
      </c>
      <c r="S2292" s="18"/>
    </row>
    <row r="2293" spans="1:20" ht="48">
      <c r="A2293" s="38">
        <v>11861</v>
      </c>
      <c r="B2293" s="39">
        <v>44217</v>
      </c>
      <c r="C2293" s="40" t="s">
        <v>21408</v>
      </c>
      <c r="D2293" s="39">
        <v>44210</v>
      </c>
      <c r="E2293" s="40" t="s">
        <v>21409</v>
      </c>
      <c r="F2293" s="40" t="s">
        <v>19507</v>
      </c>
      <c r="G2293" s="40" t="s">
        <v>20</v>
      </c>
      <c r="H2293" s="40" t="s">
        <v>71</v>
      </c>
      <c r="I2293" s="40" t="s">
        <v>21</v>
      </c>
      <c r="J2293" s="40" t="s">
        <v>21410</v>
      </c>
      <c r="K2293" s="40" t="s">
        <v>21411</v>
      </c>
      <c r="L2293" s="40" t="s">
        <v>4282</v>
      </c>
      <c r="M2293" s="40" t="s">
        <v>21</v>
      </c>
      <c r="O2293" s="39">
        <v>45322</v>
      </c>
      <c r="P2293" s="41" t="s">
        <v>21</v>
      </c>
      <c r="Q2293" s="42" t="b">
        <v>1</v>
      </c>
      <c r="R2293" s="22">
        <f t="shared" si="35"/>
        <v>1105</v>
      </c>
      <c r="S2293" s="40" t="s">
        <v>22158</v>
      </c>
    </row>
    <row r="2294" spans="1:20">
      <c r="A2294" s="38">
        <v>11864</v>
      </c>
      <c r="B2294" s="39">
        <v>44218</v>
      </c>
      <c r="C2294" s="40" t="s">
        <v>21096</v>
      </c>
      <c r="D2294" s="39">
        <v>44217</v>
      </c>
      <c r="E2294" s="40" t="s">
        <v>21097</v>
      </c>
      <c r="F2294" s="40" t="s">
        <v>124</v>
      </c>
      <c r="G2294" s="40" t="s">
        <v>20</v>
      </c>
      <c r="H2294" s="40" t="s">
        <v>71</v>
      </c>
      <c r="I2294" s="40" t="s">
        <v>21</v>
      </c>
      <c r="J2294" s="40" t="s">
        <v>21098</v>
      </c>
      <c r="K2294" s="40" t="s">
        <v>1349</v>
      </c>
      <c r="L2294" s="40" t="s">
        <v>7167</v>
      </c>
      <c r="M2294" s="40" t="s">
        <v>21</v>
      </c>
      <c r="O2294" s="39">
        <v>44236</v>
      </c>
      <c r="P2294" s="41" t="s">
        <v>21</v>
      </c>
      <c r="Q2294" s="42" t="b">
        <v>1</v>
      </c>
      <c r="R2294" s="22">
        <f t="shared" si="35"/>
        <v>17</v>
      </c>
      <c r="S2294" s="18"/>
    </row>
    <row r="2295" spans="1:20" ht="36">
      <c r="A2295" s="26">
        <v>11867</v>
      </c>
      <c r="B2295" s="27">
        <v>44222</v>
      </c>
      <c r="C2295" s="28" t="s">
        <v>21412</v>
      </c>
      <c r="D2295" s="27">
        <v>44217</v>
      </c>
      <c r="E2295" s="28" t="s">
        <v>21413</v>
      </c>
      <c r="F2295" s="28" t="s">
        <v>27</v>
      </c>
      <c r="G2295" s="28" t="s">
        <v>20</v>
      </c>
      <c r="H2295" s="28" t="s">
        <v>71</v>
      </c>
      <c r="I2295" s="28" t="s">
        <v>21</v>
      </c>
      <c r="J2295" s="28" t="s">
        <v>21414</v>
      </c>
      <c r="K2295" s="28" t="s">
        <v>21415</v>
      </c>
      <c r="L2295" s="28" t="s">
        <v>7167</v>
      </c>
      <c r="M2295" s="28" t="s">
        <v>21</v>
      </c>
      <c r="O2295" s="27">
        <v>45197</v>
      </c>
      <c r="P2295" s="28" t="s">
        <v>21</v>
      </c>
      <c r="Q2295" s="26" t="b">
        <v>1</v>
      </c>
      <c r="R2295" s="22">
        <f t="shared" si="35"/>
        <v>975</v>
      </c>
      <c r="S2295" s="28" t="s">
        <v>21621</v>
      </c>
    </row>
    <row r="2296" spans="1:20" ht="24">
      <c r="A2296" s="38">
        <v>11873</v>
      </c>
      <c r="B2296" s="39">
        <v>44224</v>
      </c>
      <c r="C2296" s="40" t="s">
        <v>21416</v>
      </c>
      <c r="D2296" s="39">
        <v>44218</v>
      </c>
      <c r="E2296" s="40" t="s">
        <v>21417</v>
      </c>
      <c r="F2296" s="40" t="s">
        <v>124</v>
      </c>
      <c r="G2296" s="40" t="s">
        <v>20</v>
      </c>
      <c r="H2296" s="40" t="s">
        <v>71</v>
      </c>
      <c r="I2296" s="40" t="s">
        <v>21</v>
      </c>
      <c r="J2296" s="40" t="s">
        <v>21418</v>
      </c>
      <c r="K2296" s="40" t="s">
        <v>1349</v>
      </c>
      <c r="L2296" s="40" t="s">
        <v>4282</v>
      </c>
      <c r="M2296" s="40" t="s">
        <v>21</v>
      </c>
      <c r="O2296" s="39">
        <v>44616</v>
      </c>
      <c r="P2296" s="41" t="s">
        <v>21</v>
      </c>
      <c r="Q2296" s="42" t="b">
        <v>0</v>
      </c>
      <c r="R2296" s="22">
        <f t="shared" si="35"/>
        <v>391</v>
      </c>
      <c r="S2296" s="40" t="s">
        <v>21</v>
      </c>
    </row>
    <row r="2297" spans="1:20" ht="36">
      <c r="A2297" s="64">
        <v>11882</v>
      </c>
      <c r="B2297" s="62">
        <v>44236</v>
      </c>
      <c r="C2297" s="63" t="s">
        <v>21419</v>
      </c>
      <c r="D2297" s="62">
        <v>44215</v>
      </c>
      <c r="E2297" s="63" t="s">
        <v>21420</v>
      </c>
      <c r="F2297" s="63" t="s">
        <v>306</v>
      </c>
      <c r="G2297" s="63" t="s">
        <v>20</v>
      </c>
      <c r="H2297" s="63" t="s">
        <v>71</v>
      </c>
      <c r="I2297" s="63" t="s">
        <v>21</v>
      </c>
      <c r="J2297" s="63" t="s">
        <v>21421</v>
      </c>
      <c r="K2297" s="63" t="s">
        <v>21422</v>
      </c>
      <c r="L2297" s="63" t="s">
        <v>21243</v>
      </c>
      <c r="M2297" s="63" t="s">
        <v>7167</v>
      </c>
      <c r="O2297" s="62">
        <v>45464</v>
      </c>
      <c r="P2297" s="65" t="s">
        <v>21</v>
      </c>
      <c r="Q2297" s="66" t="b">
        <v>0</v>
      </c>
      <c r="R2297" s="22">
        <f t="shared" si="35"/>
        <v>1228</v>
      </c>
      <c r="S2297" s="63" t="s">
        <v>22159</v>
      </c>
      <c r="T2297" s="22"/>
    </row>
    <row r="2298" spans="1:20">
      <c r="A2298" s="64">
        <v>11883</v>
      </c>
      <c r="B2298" s="62">
        <v>44236</v>
      </c>
      <c r="C2298" s="63" t="s">
        <v>21180</v>
      </c>
      <c r="D2298" s="62">
        <v>44214</v>
      </c>
      <c r="E2298" s="63" t="s">
        <v>21181</v>
      </c>
      <c r="F2298" s="63" t="s">
        <v>124</v>
      </c>
      <c r="G2298" s="63" t="s">
        <v>20</v>
      </c>
      <c r="H2298" s="63" t="s">
        <v>71</v>
      </c>
      <c r="I2298" s="63" t="s">
        <v>21</v>
      </c>
      <c r="J2298" s="63" t="s">
        <v>15489</v>
      </c>
      <c r="K2298" s="63" t="s">
        <v>1349</v>
      </c>
      <c r="L2298" s="63" t="s">
        <v>7167</v>
      </c>
      <c r="M2298" s="63" t="s">
        <v>21</v>
      </c>
      <c r="O2298" s="62">
        <v>44342</v>
      </c>
      <c r="P2298" s="65" t="s">
        <v>21</v>
      </c>
      <c r="Q2298" s="66" t="b">
        <v>0</v>
      </c>
      <c r="R2298" s="22">
        <f t="shared" si="35"/>
        <v>108</v>
      </c>
      <c r="S2298" s="22"/>
      <c r="T2298" s="22"/>
    </row>
    <row r="2299" spans="1:20" ht="36">
      <c r="A2299" s="64">
        <v>11887</v>
      </c>
      <c r="B2299" s="62">
        <v>44250</v>
      </c>
      <c r="C2299" s="63" t="s">
        <v>21112</v>
      </c>
      <c r="D2299" s="62">
        <v>44238</v>
      </c>
      <c r="E2299" s="63" t="s">
        <v>21113</v>
      </c>
      <c r="F2299" s="63" t="s">
        <v>3615</v>
      </c>
      <c r="G2299" s="63" t="s">
        <v>20</v>
      </c>
      <c r="H2299" s="63" t="s">
        <v>189</v>
      </c>
      <c r="I2299" s="63" t="s">
        <v>21</v>
      </c>
      <c r="J2299" s="63" t="s">
        <v>21114</v>
      </c>
      <c r="K2299" s="63" t="s">
        <v>21115</v>
      </c>
      <c r="L2299" s="63" t="s">
        <v>7167</v>
      </c>
      <c r="M2299" s="63" t="s">
        <v>21</v>
      </c>
      <c r="O2299" s="62">
        <v>44260</v>
      </c>
      <c r="P2299" s="65" t="s">
        <v>21</v>
      </c>
      <c r="Q2299" s="66" t="b">
        <v>0</v>
      </c>
      <c r="R2299" s="22">
        <f t="shared" si="35"/>
        <v>12</v>
      </c>
      <c r="S2299" s="22"/>
      <c r="T2299" s="22"/>
    </row>
    <row r="2300" spans="1:20" ht="24">
      <c r="A2300" s="64">
        <v>11891</v>
      </c>
      <c r="B2300" s="62">
        <v>44263</v>
      </c>
      <c r="C2300" s="63" t="s">
        <v>21423</v>
      </c>
      <c r="D2300" s="62">
        <v>44259</v>
      </c>
      <c r="E2300" s="63" t="s">
        <v>21424</v>
      </c>
      <c r="F2300" s="63" t="s">
        <v>861</v>
      </c>
      <c r="G2300" s="63" t="s">
        <v>20</v>
      </c>
      <c r="H2300" s="63" t="s">
        <v>566</v>
      </c>
      <c r="I2300" s="63" t="s">
        <v>21</v>
      </c>
      <c r="J2300" s="63" t="s">
        <v>21425</v>
      </c>
      <c r="K2300" s="63" t="s">
        <v>16376</v>
      </c>
      <c r="L2300" s="63" t="s">
        <v>21243</v>
      </c>
      <c r="M2300" s="63" t="s">
        <v>4282</v>
      </c>
      <c r="O2300" s="62">
        <v>44776</v>
      </c>
      <c r="P2300" s="65" t="s">
        <v>21</v>
      </c>
      <c r="Q2300" s="66" t="b">
        <v>0</v>
      </c>
      <c r="R2300" s="22">
        <f t="shared" si="35"/>
        <v>512</v>
      </c>
      <c r="S2300" s="63" t="s">
        <v>21</v>
      </c>
      <c r="T2300" s="22"/>
    </row>
    <row r="2301" spans="1:20" ht="24">
      <c r="A2301" s="38">
        <v>11898</v>
      </c>
      <c r="B2301" s="39">
        <v>44280</v>
      </c>
      <c r="C2301" s="40" t="s">
        <v>21188</v>
      </c>
      <c r="D2301" s="39">
        <v>44257</v>
      </c>
      <c r="E2301" s="40" t="s">
        <v>21189</v>
      </c>
      <c r="F2301" s="40" t="s">
        <v>3457</v>
      </c>
      <c r="G2301" s="40" t="s">
        <v>20</v>
      </c>
      <c r="H2301" s="40" t="s">
        <v>212</v>
      </c>
      <c r="I2301" s="40" t="s">
        <v>21</v>
      </c>
      <c r="J2301" s="40" t="s">
        <v>21190</v>
      </c>
      <c r="K2301" s="40" t="s">
        <v>21191</v>
      </c>
      <c r="L2301" s="40" t="s">
        <v>7167</v>
      </c>
      <c r="M2301" s="40" t="s">
        <v>21</v>
      </c>
      <c r="O2301" s="39">
        <v>44356</v>
      </c>
      <c r="P2301" s="41" t="s">
        <v>21</v>
      </c>
      <c r="Q2301" s="42" t="b">
        <v>0</v>
      </c>
      <c r="R2301" s="22">
        <f t="shared" si="35"/>
        <v>75</v>
      </c>
      <c r="S2301" s="18"/>
    </row>
    <row r="2302" spans="1:20" ht="36">
      <c r="A2302" s="38">
        <v>11899</v>
      </c>
      <c r="B2302" s="39">
        <v>44280</v>
      </c>
      <c r="C2302" s="40" t="s">
        <v>21385</v>
      </c>
      <c r="D2302" s="39">
        <v>44256</v>
      </c>
      <c r="E2302" s="40" t="s">
        <v>21386</v>
      </c>
      <c r="F2302" s="40" t="s">
        <v>3430</v>
      </c>
      <c r="G2302" s="40" t="s">
        <v>20</v>
      </c>
      <c r="H2302" s="40" t="s">
        <v>71</v>
      </c>
      <c r="I2302" s="40" t="s">
        <v>21</v>
      </c>
      <c r="J2302" s="40" t="s">
        <v>21387</v>
      </c>
      <c r="K2302" s="40" t="s">
        <v>21388</v>
      </c>
      <c r="L2302" s="40" t="s">
        <v>7167</v>
      </c>
      <c r="M2302" s="40" t="s">
        <v>21</v>
      </c>
      <c r="O2302" s="39">
        <v>44798</v>
      </c>
      <c r="P2302" s="41" t="s">
        <v>21</v>
      </c>
      <c r="Q2302" s="42" t="b">
        <v>0</v>
      </c>
      <c r="R2302" s="22">
        <f t="shared" si="35"/>
        <v>517</v>
      </c>
      <c r="S2302" s="40" t="s">
        <v>21</v>
      </c>
    </row>
    <row r="2303" spans="1:20" ht="48">
      <c r="A2303" s="26">
        <v>11905</v>
      </c>
      <c r="B2303" s="27">
        <v>44286</v>
      </c>
      <c r="C2303" s="28" t="s">
        <v>21382</v>
      </c>
      <c r="D2303" s="27">
        <v>44285</v>
      </c>
      <c r="E2303" s="28" t="s">
        <v>22160</v>
      </c>
      <c r="F2303" s="28" t="s">
        <v>3171</v>
      </c>
      <c r="G2303" s="28" t="s">
        <v>20</v>
      </c>
      <c r="H2303" s="28" t="s">
        <v>71</v>
      </c>
      <c r="I2303" s="28" t="s">
        <v>21</v>
      </c>
      <c r="J2303" s="28" t="s">
        <v>21383</v>
      </c>
      <c r="K2303" s="28" t="s">
        <v>21384</v>
      </c>
      <c r="L2303" s="28" t="s">
        <v>21573</v>
      </c>
      <c r="M2303" s="28" t="s">
        <v>7167</v>
      </c>
      <c r="O2303" s="27">
        <v>45232</v>
      </c>
      <c r="P2303" s="28" t="s">
        <v>21</v>
      </c>
      <c r="Q2303" s="26" t="b">
        <v>0</v>
      </c>
      <c r="R2303" s="22">
        <f t="shared" si="35"/>
        <v>944</v>
      </c>
      <c r="S2303" s="28" t="s">
        <v>22161</v>
      </c>
    </row>
    <row r="2304" spans="1:20" ht="48">
      <c r="A2304" s="38">
        <v>11908</v>
      </c>
      <c r="B2304" s="39">
        <v>44292</v>
      </c>
      <c r="C2304" s="40" t="s">
        <v>21176</v>
      </c>
      <c r="D2304" s="39">
        <v>44284</v>
      </c>
      <c r="E2304" s="40" t="s">
        <v>21177</v>
      </c>
      <c r="F2304" s="40" t="s">
        <v>70</v>
      </c>
      <c r="G2304" s="40" t="s">
        <v>20</v>
      </c>
      <c r="H2304" s="40" t="s">
        <v>71</v>
      </c>
      <c r="I2304" s="40" t="s">
        <v>21</v>
      </c>
      <c r="J2304" s="40" t="s">
        <v>21178</v>
      </c>
      <c r="K2304" s="40" t="s">
        <v>21179</v>
      </c>
      <c r="L2304" s="40" t="s">
        <v>7167</v>
      </c>
      <c r="M2304" s="40" t="s">
        <v>21</v>
      </c>
      <c r="O2304" s="39">
        <v>44340</v>
      </c>
      <c r="P2304" s="41" t="s">
        <v>182</v>
      </c>
      <c r="Q2304" s="42" t="b">
        <v>1</v>
      </c>
      <c r="R2304" s="22">
        <f t="shared" si="35"/>
        <v>48</v>
      </c>
      <c r="S2304" s="18"/>
    </row>
    <row r="2305" spans="1:20" ht="48">
      <c r="A2305" s="38">
        <v>11909</v>
      </c>
      <c r="B2305" s="39">
        <v>44300</v>
      </c>
      <c r="C2305" s="40" t="s">
        <v>21426</v>
      </c>
      <c r="D2305" s="39">
        <v>44286</v>
      </c>
      <c r="E2305" s="40" t="s">
        <v>21427</v>
      </c>
      <c r="F2305" s="40" t="s">
        <v>350</v>
      </c>
      <c r="G2305" s="40" t="s">
        <v>20</v>
      </c>
      <c r="H2305" s="40" t="s">
        <v>71</v>
      </c>
      <c r="I2305" s="40" t="s">
        <v>21</v>
      </c>
      <c r="J2305" s="40" t="s">
        <v>21428</v>
      </c>
      <c r="K2305" s="40" t="s">
        <v>21429</v>
      </c>
      <c r="L2305" s="40" t="s">
        <v>7167</v>
      </c>
      <c r="M2305" s="40" t="s">
        <v>21</v>
      </c>
      <c r="O2305" s="39">
        <v>45385</v>
      </c>
      <c r="P2305" s="41" t="s">
        <v>31</v>
      </c>
      <c r="Q2305" s="42" t="b">
        <v>0</v>
      </c>
      <c r="R2305" s="22">
        <f t="shared" si="35"/>
        <v>1083</v>
      </c>
      <c r="S2305" s="40" t="s">
        <v>22157</v>
      </c>
    </row>
    <row r="2306" spans="1:20" ht="60">
      <c r="A2306" s="26">
        <v>11917</v>
      </c>
      <c r="B2306" s="27">
        <v>44321</v>
      </c>
      <c r="C2306" s="28" t="s">
        <v>21430</v>
      </c>
      <c r="D2306" s="27">
        <v>44321</v>
      </c>
      <c r="E2306" s="28" t="s">
        <v>21431</v>
      </c>
      <c r="F2306" s="28" t="s">
        <v>21432</v>
      </c>
      <c r="G2306" s="28" t="s">
        <v>20</v>
      </c>
      <c r="H2306" s="28" t="s">
        <v>71</v>
      </c>
      <c r="I2306" s="28" t="s">
        <v>21</v>
      </c>
      <c r="J2306" s="28" t="s">
        <v>21433</v>
      </c>
      <c r="K2306" s="28" t="s">
        <v>21434</v>
      </c>
      <c r="L2306" s="28" t="s">
        <v>21142</v>
      </c>
      <c r="M2306" s="28" t="s">
        <v>21</v>
      </c>
      <c r="O2306" s="27">
        <v>45107</v>
      </c>
      <c r="P2306" s="28" t="s">
        <v>21</v>
      </c>
      <c r="Q2306" s="26" t="b">
        <v>0</v>
      </c>
      <c r="R2306" s="22">
        <f t="shared" ref="R2306:R2320" si="36">IF(O2306=" ", " ", INT(YEARFRAC(O2306, B2306)*365))</f>
        <v>785</v>
      </c>
      <c r="S2306" s="28" t="s">
        <v>22162</v>
      </c>
    </row>
    <row r="2307" spans="1:20" ht="36">
      <c r="A2307" s="38">
        <v>11922</v>
      </c>
      <c r="B2307" s="39">
        <v>44336</v>
      </c>
      <c r="C2307" s="40" t="s">
        <v>21435</v>
      </c>
      <c r="D2307" s="39">
        <v>44336</v>
      </c>
      <c r="E2307" s="40" t="s">
        <v>21436</v>
      </c>
      <c r="F2307" s="40" t="s">
        <v>371</v>
      </c>
      <c r="G2307" s="40" t="s">
        <v>20</v>
      </c>
      <c r="H2307" s="40" t="s">
        <v>71</v>
      </c>
      <c r="I2307" s="40" t="s">
        <v>21</v>
      </c>
      <c r="J2307" s="40" t="s">
        <v>21437</v>
      </c>
      <c r="K2307" s="40" t="s">
        <v>21438</v>
      </c>
      <c r="L2307" s="40" t="s">
        <v>4282</v>
      </c>
      <c r="M2307" s="40" t="s">
        <v>21</v>
      </c>
      <c r="O2307" s="39">
        <v>45376</v>
      </c>
      <c r="P2307" s="41" t="s">
        <v>21</v>
      </c>
      <c r="Q2307" s="42" t="b">
        <v>0</v>
      </c>
      <c r="R2307" s="22">
        <f t="shared" si="36"/>
        <v>1039</v>
      </c>
      <c r="S2307" s="40" t="s">
        <v>22163</v>
      </c>
    </row>
    <row r="2308" spans="1:20" ht="48">
      <c r="A2308" s="38">
        <v>11931</v>
      </c>
      <c r="B2308" s="39">
        <v>44355</v>
      </c>
      <c r="C2308" s="40" t="s">
        <v>21439</v>
      </c>
      <c r="D2308" s="39">
        <v>44323</v>
      </c>
      <c r="E2308" s="40" t="s">
        <v>21440</v>
      </c>
      <c r="F2308" s="40" t="s">
        <v>124</v>
      </c>
      <c r="G2308" s="40" t="s">
        <v>20</v>
      </c>
      <c r="H2308" s="40" t="s">
        <v>71</v>
      </c>
      <c r="I2308" s="40" t="s">
        <v>21</v>
      </c>
      <c r="J2308" s="40" t="s">
        <v>21441</v>
      </c>
      <c r="K2308" s="40" t="s">
        <v>21442</v>
      </c>
      <c r="L2308" s="40" t="s">
        <v>21573</v>
      </c>
      <c r="M2308" s="40" t="s">
        <v>22164</v>
      </c>
      <c r="O2308" s="39">
        <v>45362</v>
      </c>
      <c r="P2308" s="41" t="s">
        <v>21</v>
      </c>
      <c r="Q2308" s="42" t="b">
        <v>0</v>
      </c>
      <c r="R2308" s="22">
        <f t="shared" si="36"/>
        <v>1006</v>
      </c>
      <c r="S2308" s="40" t="s">
        <v>22165</v>
      </c>
    </row>
    <row r="2309" spans="1:20" ht="36">
      <c r="A2309" s="64">
        <v>11934</v>
      </c>
      <c r="B2309" s="62">
        <v>44357</v>
      </c>
      <c r="C2309" s="63" t="s">
        <v>21443</v>
      </c>
      <c r="D2309" s="62">
        <v>44356</v>
      </c>
      <c r="E2309" s="63" t="s">
        <v>21444</v>
      </c>
      <c r="F2309" s="63" t="s">
        <v>21432</v>
      </c>
      <c r="G2309" s="63" t="s">
        <v>20</v>
      </c>
      <c r="H2309" s="63" t="s">
        <v>71</v>
      </c>
      <c r="I2309" s="63" t="s">
        <v>21</v>
      </c>
      <c r="J2309" s="63" t="s">
        <v>21445</v>
      </c>
      <c r="K2309" s="63" t="s">
        <v>21446</v>
      </c>
      <c r="L2309" s="63" t="s">
        <v>21142</v>
      </c>
      <c r="M2309" s="63" t="s">
        <v>21</v>
      </c>
      <c r="O2309" s="62">
        <v>45302</v>
      </c>
      <c r="P2309" s="65" t="s">
        <v>21</v>
      </c>
      <c r="Q2309" s="66" t="b">
        <v>0</v>
      </c>
      <c r="R2309" s="22">
        <f t="shared" si="36"/>
        <v>943</v>
      </c>
      <c r="S2309" s="63" t="s">
        <v>22166</v>
      </c>
      <c r="T2309" s="22"/>
    </row>
    <row r="2310" spans="1:20" ht="48">
      <c r="A2310" s="38">
        <v>11938</v>
      </c>
      <c r="B2310" s="39">
        <v>44370</v>
      </c>
      <c r="C2310" s="40" t="s">
        <v>21447</v>
      </c>
      <c r="D2310" s="39">
        <v>44365</v>
      </c>
      <c r="E2310" s="40" t="s">
        <v>21448</v>
      </c>
      <c r="F2310" s="40" t="s">
        <v>98</v>
      </c>
      <c r="G2310" s="40" t="s">
        <v>20</v>
      </c>
      <c r="H2310" s="40" t="s">
        <v>71</v>
      </c>
      <c r="I2310" s="40" t="s">
        <v>21</v>
      </c>
      <c r="J2310" s="40" t="s">
        <v>21449</v>
      </c>
      <c r="K2310" s="40" t="s">
        <v>21450</v>
      </c>
      <c r="L2310" s="40" t="s">
        <v>21142</v>
      </c>
      <c r="M2310" s="40" t="s">
        <v>21</v>
      </c>
      <c r="O2310" s="39">
        <v>45433</v>
      </c>
      <c r="P2310" s="41" t="s">
        <v>21</v>
      </c>
      <c r="Q2310" s="42" t="b">
        <v>0</v>
      </c>
      <c r="R2310" s="22">
        <f t="shared" si="36"/>
        <v>1062</v>
      </c>
      <c r="S2310" s="40" t="s">
        <v>22167</v>
      </c>
    </row>
    <row r="2311" spans="1:20" ht="36">
      <c r="A2311" s="64">
        <v>11942</v>
      </c>
      <c r="B2311" s="62">
        <v>44376</v>
      </c>
      <c r="C2311" s="63" t="s">
        <v>21389</v>
      </c>
      <c r="D2311" s="62">
        <v>44375</v>
      </c>
      <c r="E2311" s="63" t="s">
        <v>21390</v>
      </c>
      <c r="F2311" s="63" t="s">
        <v>16198</v>
      </c>
      <c r="G2311" s="63" t="s">
        <v>20</v>
      </c>
      <c r="H2311" s="63" t="s">
        <v>71</v>
      </c>
      <c r="I2311" s="63" t="s">
        <v>21</v>
      </c>
      <c r="J2311" s="63" t="s">
        <v>21391</v>
      </c>
      <c r="K2311" s="63" t="s">
        <v>21392</v>
      </c>
      <c r="L2311" s="63" t="s">
        <v>7167</v>
      </c>
      <c r="M2311" s="63" t="s">
        <v>21</v>
      </c>
      <c r="O2311" s="62">
        <v>45468</v>
      </c>
      <c r="P2311" s="65" t="s">
        <v>21</v>
      </c>
      <c r="Q2311" s="66" t="b">
        <v>0</v>
      </c>
      <c r="R2311" s="22">
        <f t="shared" si="36"/>
        <v>1090</v>
      </c>
      <c r="S2311" s="63" t="s">
        <v>22168</v>
      </c>
      <c r="T2311" s="22"/>
    </row>
    <row r="2312" spans="1:20" ht="36">
      <c r="A2312" s="38">
        <v>11954</v>
      </c>
      <c r="B2312" s="39">
        <v>44385</v>
      </c>
      <c r="C2312" s="40" t="s">
        <v>21451</v>
      </c>
      <c r="D2312" s="39">
        <v>44377</v>
      </c>
      <c r="E2312" s="40" t="s">
        <v>21452</v>
      </c>
      <c r="F2312" s="40" t="s">
        <v>27</v>
      </c>
      <c r="G2312" s="40" t="s">
        <v>20</v>
      </c>
      <c r="H2312" s="40" t="s">
        <v>71</v>
      </c>
      <c r="I2312" s="40" t="s">
        <v>21</v>
      </c>
      <c r="J2312" s="40" t="s">
        <v>21453</v>
      </c>
      <c r="K2312" s="40" t="s">
        <v>21454</v>
      </c>
      <c r="L2312" s="40" t="s">
        <v>21142</v>
      </c>
      <c r="M2312" s="40" t="s">
        <v>22164</v>
      </c>
      <c r="O2312" s="39">
        <v>45519</v>
      </c>
      <c r="P2312" s="41" t="s">
        <v>21</v>
      </c>
      <c r="Q2312" s="42" t="b">
        <v>0</v>
      </c>
      <c r="R2312" s="22">
        <f t="shared" si="36"/>
        <v>1132</v>
      </c>
      <c r="S2312" s="40" t="s">
        <v>22169</v>
      </c>
    </row>
    <row r="2313" spans="1:20" ht="60">
      <c r="A2313" s="64">
        <v>11955</v>
      </c>
      <c r="B2313" s="62">
        <v>44385</v>
      </c>
      <c r="C2313" s="63" t="s">
        <v>21455</v>
      </c>
      <c r="D2313" s="62">
        <v>44383</v>
      </c>
      <c r="E2313" s="63" t="s">
        <v>21456</v>
      </c>
      <c r="F2313" s="63" t="s">
        <v>149</v>
      </c>
      <c r="G2313" s="63" t="s">
        <v>20</v>
      </c>
      <c r="H2313" s="63" t="s">
        <v>71</v>
      </c>
      <c r="I2313" s="63" t="s">
        <v>21</v>
      </c>
      <c r="J2313" s="63" t="s">
        <v>21453</v>
      </c>
      <c r="K2313" s="63" t="s">
        <v>21457</v>
      </c>
      <c r="L2313" s="63" t="s">
        <v>21243</v>
      </c>
      <c r="M2313" s="63" t="s">
        <v>7167</v>
      </c>
      <c r="O2313" s="62">
        <v>45560</v>
      </c>
      <c r="P2313" s="65" t="s">
        <v>21</v>
      </c>
      <c r="Q2313" s="66" t="b">
        <v>0</v>
      </c>
      <c r="R2313" s="22">
        <f t="shared" si="36"/>
        <v>1173</v>
      </c>
      <c r="S2313" s="63" t="s">
        <v>22170</v>
      </c>
      <c r="T2313" s="22"/>
    </row>
    <row r="2314" spans="1:20" ht="36">
      <c r="A2314" s="38">
        <v>11956</v>
      </c>
      <c r="B2314" s="39">
        <v>44385</v>
      </c>
      <c r="C2314" s="40" t="s">
        <v>21458</v>
      </c>
      <c r="D2314" s="39">
        <v>44385</v>
      </c>
      <c r="E2314" s="40" t="s">
        <v>21459</v>
      </c>
      <c r="F2314" s="40" t="s">
        <v>70</v>
      </c>
      <c r="G2314" s="40" t="s">
        <v>20</v>
      </c>
      <c r="H2314" s="40" t="s">
        <v>71</v>
      </c>
      <c r="I2314" s="40" t="s">
        <v>21</v>
      </c>
      <c r="J2314" s="40" t="s">
        <v>21460</v>
      </c>
      <c r="K2314" s="40" t="s">
        <v>21461</v>
      </c>
      <c r="L2314" s="40" t="s">
        <v>4282</v>
      </c>
      <c r="M2314" s="40" t="s">
        <v>21</v>
      </c>
      <c r="O2314" s="39">
        <v>45432</v>
      </c>
      <c r="P2314" s="41" t="s">
        <v>21</v>
      </c>
      <c r="Q2314" s="42" t="b">
        <v>0</v>
      </c>
      <c r="R2314" s="22">
        <f t="shared" si="36"/>
        <v>1046</v>
      </c>
      <c r="S2314" s="40" t="s">
        <v>22171</v>
      </c>
    </row>
    <row r="2315" spans="1:20" ht="48">
      <c r="A2315" s="64">
        <v>11960</v>
      </c>
      <c r="B2315" s="62">
        <v>44400</v>
      </c>
      <c r="C2315" s="63" t="s">
        <v>21393</v>
      </c>
      <c r="D2315" s="62">
        <v>44399</v>
      </c>
      <c r="E2315" s="63" t="s">
        <v>21394</v>
      </c>
      <c r="F2315" s="63" t="s">
        <v>2782</v>
      </c>
      <c r="G2315" s="63" t="s">
        <v>20</v>
      </c>
      <c r="H2315" s="63" t="s">
        <v>71</v>
      </c>
      <c r="I2315" s="63" t="s">
        <v>21</v>
      </c>
      <c r="J2315" s="63" t="s">
        <v>21395</v>
      </c>
      <c r="K2315" s="63" t="s">
        <v>21396</v>
      </c>
      <c r="L2315" s="63" t="s">
        <v>4282</v>
      </c>
      <c r="M2315" s="63" t="s">
        <v>7167</v>
      </c>
      <c r="O2315" s="62">
        <v>45645</v>
      </c>
      <c r="P2315" s="65" t="s">
        <v>21</v>
      </c>
      <c r="Q2315" s="66" t="b">
        <v>0</v>
      </c>
      <c r="R2315" s="22">
        <f t="shared" si="36"/>
        <v>1243</v>
      </c>
      <c r="S2315" s="63" t="s">
        <v>22172</v>
      </c>
      <c r="T2315" s="22"/>
    </row>
    <row r="2316" spans="1:20" ht="48">
      <c r="A2316" s="64">
        <v>11965</v>
      </c>
      <c r="B2316" s="62">
        <v>44427</v>
      </c>
      <c r="C2316" s="63" t="s">
        <v>21504</v>
      </c>
      <c r="D2316" s="62">
        <v>44425</v>
      </c>
      <c r="E2316" s="63" t="s">
        <v>21505</v>
      </c>
      <c r="F2316" s="63" t="s">
        <v>94</v>
      </c>
      <c r="G2316" s="63" t="s">
        <v>20</v>
      </c>
      <c r="H2316" s="63" t="s">
        <v>71</v>
      </c>
      <c r="I2316" s="63" t="s">
        <v>21</v>
      </c>
      <c r="J2316" s="63" t="s">
        <v>21506</v>
      </c>
      <c r="K2316" s="63" t="s">
        <v>21507</v>
      </c>
      <c r="L2316" s="63" t="s">
        <v>4282</v>
      </c>
      <c r="M2316" s="63" t="s">
        <v>21</v>
      </c>
      <c r="O2316" s="62">
        <v>45663</v>
      </c>
      <c r="P2316" s="65" t="s">
        <v>21</v>
      </c>
      <c r="Q2316" s="66" t="b">
        <v>0</v>
      </c>
      <c r="R2316" s="22">
        <f t="shared" si="36"/>
        <v>1233</v>
      </c>
      <c r="S2316" s="63" t="s">
        <v>22157</v>
      </c>
      <c r="T2316" s="22"/>
    </row>
    <row r="2317" spans="1:20" ht="48">
      <c r="A2317" s="64">
        <v>11972</v>
      </c>
      <c r="B2317" s="62">
        <v>44442</v>
      </c>
      <c r="C2317" s="63" t="s">
        <v>21508</v>
      </c>
      <c r="D2317" s="62">
        <v>44440</v>
      </c>
      <c r="E2317" s="63" t="s">
        <v>21509</v>
      </c>
      <c r="F2317" s="63" t="s">
        <v>327</v>
      </c>
      <c r="G2317" s="63" t="s">
        <v>20</v>
      </c>
      <c r="H2317" s="63" t="s">
        <v>71</v>
      </c>
      <c r="I2317" s="63" t="s">
        <v>21</v>
      </c>
      <c r="J2317" s="63" t="s">
        <v>21510</v>
      </c>
      <c r="K2317" s="63" t="s">
        <v>21434</v>
      </c>
      <c r="L2317" s="63" t="s">
        <v>21142</v>
      </c>
      <c r="M2317" s="63" t="s">
        <v>21</v>
      </c>
      <c r="O2317" s="62">
        <v>45441</v>
      </c>
      <c r="P2317" s="65" t="s">
        <v>21</v>
      </c>
      <c r="Q2317" s="66" t="b">
        <v>0</v>
      </c>
      <c r="R2317" s="22">
        <f t="shared" si="36"/>
        <v>999</v>
      </c>
      <c r="S2317" s="63" t="s">
        <v>22173</v>
      </c>
    </row>
    <row r="2318" spans="1:20" ht="24">
      <c r="A2318" s="64">
        <v>11973</v>
      </c>
      <c r="B2318" s="62">
        <v>44446</v>
      </c>
      <c r="C2318" s="63" t="s">
        <v>21511</v>
      </c>
      <c r="D2318" s="62">
        <v>44442</v>
      </c>
      <c r="E2318" s="63" t="s">
        <v>21512</v>
      </c>
      <c r="F2318" s="63" t="s">
        <v>7030</v>
      </c>
      <c r="G2318" s="63" t="s">
        <v>20</v>
      </c>
      <c r="H2318" s="63" t="s">
        <v>71</v>
      </c>
      <c r="I2318" s="63" t="s">
        <v>21</v>
      </c>
      <c r="J2318" s="63" t="s">
        <v>21513</v>
      </c>
      <c r="K2318" s="63" t="s">
        <v>21434</v>
      </c>
      <c r="L2318" s="63" t="s">
        <v>21142</v>
      </c>
      <c r="M2318" s="63" t="s">
        <v>21</v>
      </c>
      <c r="O2318" s="62">
        <v>45426</v>
      </c>
      <c r="P2318" s="65" t="s">
        <v>21</v>
      </c>
      <c r="Q2318" s="66" t="b">
        <v>0</v>
      </c>
      <c r="R2318" s="22">
        <f t="shared" si="36"/>
        <v>980</v>
      </c>
      <c r="S2318" s="63" t="s">
        <v>21621</v>
      </c>
    </row>
    <row r="2319" spans="1:20" ht="36">
      <c r="A2319" s="64">
        <v>11974</v>
      </c>
      <c r="B2319" s="62">
        <v>44446</v>
      </c>
      <c r="C2319" s="63" t="s">
        <v>21397</v>
      </c>
      <c r="D2319" s="62">
        <v>44441</v>
      </c>
      <c r="E2319" s="63" t="s">
        <v>21398</v>
      </c>
      <c r="F2319" s="63" t="s">
        <v>10730</v>
      </c>
      <c r="G2319" s="63" t="s">
        <v>20</v>
      </c>
      <c r="H2319" s="63" t="s">
        <v>189</v>
      </c>
      <c r="I2319" s="63" t="s">
        <v>21</v>
      </c>
      <c r="J2319" s="63" t="s">
        <v>21399</v>
      </c>
      <c r="K2319" s="63" t="s">
        <v>21400</v>
      </c>
      <c r="L2319" s="63" t="s">
        <v>21243</v>
      </c>
      <c r="M2319" s="63" t="s">
        <v>21142</v>
      </c>
      <c r="O2319" s="62">
        <v>45345</v>
      </c>
      <c r="P2319" s="65" t="s">
        <v>21</v>
      </c>
      <c r="Q2319" s="66" t="b">
        <v>0</v>
      </c>
      <c r="R2319" s="22">
        <f t="shared" si="36"/>
        <v>898</v>
      </c>
      <c r="S2319" s="63" t="s">
        <v>22174</v>
      </c>
    </row>
    <row r="2320" spans="1:20" ht="24">
      <c r="A2320" s="64">
        <v>11982</v>
      </c>
      <c r="B2320" s="62">
        <v>44463</v>
      </c>
      <c r="C2320" s="63" t="s">
        <v>21401</v>
      </c>
      <c r="D2320" s="62">
        <v>44461</v>
      </c>
      <c r="E2320" s="63" t="s">
        <v>22175</v>
      </c>
      <c r="F2320" s="63" t="s">
        <v>10730</v>
      </c>
      <c r="G2320" s="63" t="s">
        <v>20</v>
      </c>
      <c r="H2320" s="63" t="s">
        <v>189</v>
      </c>
      <c r="I2320" s="63" t="s">
        <v>21</v>
      </c>
      <c r="J2320" s="63" t="s">
        <v>21402</v>
      </c>
      <c r="K2320" s="63" t="s">
        <v>21403</v>
      </c>
      <c r="L2320" s="63" t="s">
        <v>21243</v>
      </c>
      <c r="M2320" s="63" t="s">
        <v>21</v>
      </c>
      <c r="O2320" s="62">
        <v>45345</v>
      </c>
      <c r="P2320" s="65" t="s">
        <v>21</v>
      </c>
      <c r="Q2320" s="66" t="b">
        <v>0</v>
      </c>
      <c r="R2320" s="22">
        <f t="shared" si="36"/>
        <v>881</v>
      </c>
      <c r="S2320" s="63" t="s">
        <v>22174</v>
      </c>
    </row>
    <row r="2321" spans="1:19" ht="156">
      <c r="A2321" s="64">
        <v>11984</v>
      </c>
      <c r="B2321" s="62">
        <v>44468</v>
      </c>
      <c r="C2321" s="63" t="s">
        <v>21514</v>
      </c>
      <c r="D2321" s="62">
        <v>44467</v>
      </c>
      <c r="E2321" s="63" t="s">
        <v>21515</v>
      </c>
      <c r="F2321" s="63" t="s">
        <v>6298</v>
      </c>
      <c r="G2321" s="63" t="s">
        <v>20</v>
      </c>
      <c r="H2321" s="63" t="s">
        <v>71</v>
      </c>
      <c r="I2321" s="63" t="s">
        <v>21</v>
      </c>
      <c r="J2321" s="63" t="s">
        <v>21516</v>
      </c>
      <c r="K2321" s="63" t="s">
        <v>21517</v>
      </c>
      <c r="L2321" s="63" t="s">
        <v>21573</v>
      </c>
      <c r="M2321" s="63" t="s">
        <v>21243</v>
      </c>
      <c r="O2321" s="22"/>
      <c r="P2321" s="65" t="s">
        <v>21</v>
      </c>
      <c r="Q2321" s="66" t="b">
        <v>0</v>
      </c>
      <c r="R2321" s="22"/>
      <c r="S2321" s="63" t="s">
        <v>22176</v>
      </c>
    </row>
    <row r="2322" spans="1:19" ht="60">
      <c r="A2322" s="64">
        <v>11986</v>
      </c>
      <c r="B2322" s="62">
        <v>44469</v>
      </c>
      <c r="C2322" s="63" t="s">
        <v>21518</v>
      </c>
      <c r="D2322" s="62">
        <v>44461</v>
      </c>
      <c r="E2322" s="63" t="s">
        <v>21519</v>
      </c>
      <c r="F2322" s="63" t="s">
        <v>129</v>
      </c>
      <c r="G2322" s="63" t="s">
        <v>20</v>
      </c>
      <c r="H2322" s="63" t="s">
        <v>71</v>
      </c>
      <c r="I2322" s="63" t="s">
        <v>21</v>
      </c>
      <c r="J2322" s="63" t="s">
        <v>21520</v>
      </c>
      <c r="K2322" s="63" t="s">
        <v>21434</v>
      </c>
      <c r="L2322" s="63" t="s">
        <v>21573</v>
      </c>
      <c r="M2322" s="63" t="s">
        <v>22177</v>
      </c>
      <c r="O2322" s="62">
        <v>45635</v>
      </c>
      <c r="P2322" s="65" t="s">
        <v>21</v>
      </c>
      <c r="Q2322" s="66" t="b">
        <v>0</v>
      </c>
      <c r="R2322" s="22">
        <f t="shared" ref="R2322:R2342" si="37">IF(O2322=" ", " ", INT(YEARFRAC(O2322, B2322)*365))</f>
        <v>1164</v>
      </c>
      <c r="S2322" s="63" t="s">
        <v>22178</v>
      </c>
    </row>
    <row r="2323" spans="1:19" ht="60">
      <c r="A2323" s="64">
        <v>11991</v>
      </c>
      <c r="B2323" s="62">
        <v>44476</v>
      </c>
      <c r="C2323" s="63" t="s">
        <v>21521</v>
      </c>
      <c r="D2323" s="62">
        <v>44473</v>
      </c>
      <c r="E2323" s="63" t="s">
        <v>21522</v>
      </c>
      <c r="F2323" s="63" t="s">
        <v>149</v>
      </c>
      <c r="G2323" s="63" t="s">
        <v>20</v>
      </c>
      <c r="H2323" s="63" t="s">
        <v>71</v>
      </c>
      <c r="I2323" s="63" t="s">
        <v>21</v>
      </c>
      <c r="J2323" s="63" t="s">
        <v>21523</v>
      </c>
      <c r="K2323" s="63" t="s">
        <v>16066</v>
      </c>
      <c r="L2323" s="63" t="s">
        <v>21243</v>
      </c>
      <c r="M2323" s="63" t="s">
        <v>21</v>
      </c>
      <c r="O2323" s="62">
        <v>45560</v>
      </c>
      <c r="P2323" s="65" t="s">
        <v>21</v>
      </c>
      <c r="Q2323" s="66" t="b">
        <v>0</v>
      </c>
      <c r="R2323" s="22">
        <f t="shared" si="37"/>
        <v>1082</v>
      </c>
      <c r="S2323" s="63" t="s">
        <v>22179</v>
      </c>
    </row>
    <row r="2324" spans="1:19" ht="36">
      <c r="A2324" s="64">
        <v>11992</v>
      </c>
      <c r="B2324" s="62">
        <v>44476</v>
      </c>
      <c r="C2324" s="63" t="s">
        <v>21462</v>
      </c>
      <c r="D2324" s="62">
        <v>44473</v>
      </c>
      <c r="E2324" s="63" t="s">
        <v>21463</v>
      </c>
      <c r="F2324" s="63" t="s">
        <v>149</v>
      </c>
      <c r="G2324" s="63" t="s">
        <v>20</v>
      </c>
      <c r="H2324" s="63" t="s">
        <v>71</v>
      </c>
      <c r="I2324" s="63" t="s">
        <v>21</v>
      </c>
      <c r="J2324" s="63" t="s">
        <v>21464</v>
      </c>
      <c r="K2324" s="63" t="s">
        <v>21465</v>
      </c>
      <c r="L2324" s="63" t="s">
        <v>21243</v>
      </c>
      <c r="M2324" s="63" t="s">
        <v>21</v>
      </c>
      <c r="O2324" s="62">
        <v>45560</v>
      </c>
      <c r="P2324" s="65" t="s">
        <v>21</v>
      </c>
      <c r="Q2324" s="66" t="b">
        <v>0</v>
      </c>
      <c r="R2324" s="22">
        <f t="shared" si="37"/>
        <v>1082</v>
      </c>
      <c r="S2324" s="63" t="s">
        <v>22180</v>
      </c>
    </row>
    <row r="2325" spans="1:19" ht="72">
      <c r="A2325" s="59">
        <v>11997</v>
      </c>
      <c r="B2325" s="60">
        <v>44487</v>
      </c>
      <c r="C2325" s="61" t="s">
        <v>21466</v>
      </c>
      <c r="D2325" s="60">
        <v>44480</v>
      </c>
      <c r="E2325" s="61" t="s">
        <v>21467</v>
      </c>
      <c r="F2325" s="61" t="s">
        <v>216</v>
      </c>
      <c r="G2325" s="61" t="s">
        <v>20</v>
      </c>
      <c r="H2325" s="61" t="s">
        <v>71</v>
      </c>
      <c r="I2325" s="61" t="s">
        <v>21</v>
      </c>
      <c r="J2325" s="61" t="s">
        <v>21468</v>
      </c>
      <c r="K2325" s="61" t="s">
        <v>20909</v>
      </c>
      <c r="L2325" s="61" t="s">
        <v>21243</v>
      </c>
      <c r="M2325" s="61" t="s">
        <v>21</v>
      </c>
      <c r="O2325" s="60">
        <v>45168</v>
      </c>
      <c r="P2325" s="61" t="s">
        <v>21</v>
      </c>
      <c r="Q2325" s="59" t="b">
        <v>0</v>
      </c>
      <c r="R2325" s="22">
        <f t="shared" si="37"/>
        <v>681</v>
      </c>
      <c r="S2325" s="61" t="s">
        <v>22181</v>
      </c>
    </row>
    <row r="2326" spans="1:19" ht="36">
      <c r="A2326" s="64">
        <v>11998</v>
      </c>
      <c r="B2326" s="62">
        <v>44487</v>
      </c>
      <c r="C2326" s="63" t="s">
        <v>21469</v>
      </c>
      <c r="D2326" s="62">
        <v>44484</v>
      </c>
      <c r="E2326" s="63" t="s">
        <v>21470</v>
      </c>
      <c r="F2326" s="63" t="s">
        <v>2782</v>
      </c>
      <c r="G2326" s="63" t="s">
        <v>20</v>
      </c>
      <c r="H2326" s="63" t="s">
        <v>71</v>
      </c>
      <c r="I2326" s="63" t="s">
        <v>21</v>
      </c>
      <c r="J2326" s="63" t="s">
        <v>21266</v>
      </c>
      <c r="K2326" s="63" t="s">
        <v>21434</v>
      </c>
      <c r="L2326" s="63" t="s">
        <v>21142</v>
      </c>
      <c r="M2326" s="63" t="s">
        <v>21</v>
      </c>
      <c r="O2326" s="62">
        <v>44617</v>
      </c>
      <c r="P2326" s="65" t="s">
        <v>21</v>
      </c>
      <c r="Q2326" s="66" t="b">
        <v>0</v>
      </c>
      <c r="R2326" s="22">
        <f t="shared" si="37"/>
        <v>128</v>
      </c>
      <c r="S2326" s="63" t="s">
        <v>21</v>
      </c>
    </row>
    <row r="2327" spans="1:19" ht="48">
      <c r="A2327" s="64">
        <v>12000</v>
      </c>
      <c r="B2327" s="62">
        <v>44490</v>
      </c>
      <c r="C2327" s="63" t="s">
        <v>21471</v>
      </c>
      <c r="D2327" s="62">
        <v>44487</v>
      </c>
      <c r="E2327" s="63" t="s">
        <v>21472</v>
      </c>
      <c r="F2327" s="63" t="s">
        <v>1771</v>
      </c>
      <c r="G2327" s="63" t="s">
        <v>20</v>
      </c>
      <c r="H2327" s="63" t="s">
        <v>71</v>
      </c>
      <c r="I2327" s="63" t="s">
        <v>21</v>
      </c>
      <c r="J2327" s="63" t="s">
        <v>21473</v>
      </c>
      <c r="K2327" s="63" t="s">
        <v>21474</v>
      </c>
      <c r="L2327" s="63" t="s">
        <v>21573</v>
      </c>
      <c r="M2327" s="63" t="s">
        <v>21243</v>
      </c>
      <c r="O2327" s="62">
        <v>45421</v>
      </c>
      <c r="P2327" s="65" t="s">
        <v>21</v>
      </c>
      <c r="Q2327" s="66" t="b">
        <v>0</v>
      </c>
      <c r="R2327" s="22">
        <f t="shared" si="37"/>
        <v>930</v>
      </c>
      <c r="S2327" s="63" t="s">
        <v>22154</v>
      </c>
    </row>
    <row r="2328" spans="1:19" ht="36">
      <c r="A2328" s="64">
        <v>12001</v>
      </c>
      <c r="B2328" s="62">
        <v>44491</v>
      </c>
      <c r="C2328" s="63" t="s">
        <v>21475</v>
      </c>
      <c r="D2328" s="62">
        <v>44489</v>
      </c>
      <c r="E2328" s="63" t="s">
        <v>21476</v>
      </c>
      <c r="F2328" s="63" t="s">
        <v>52</v>
      </c>
      <c r="G2328" s="63" t="s">
        <v>20</v>
      </c>
      <c r="H2328" s="63" t="s">
        <v>71</v>
      </c>
      <c r="I2328" s="63" t="s">
        <v>21</v>
      </c>
      <c r="J2328" s="63" t="s">
        <v>21477</v>
      </c>
      <c r="K2328" s="63" t="s">
        <v>21478</v>
      </c>
      <c r="L2328" s="63" t="s">
        <v>21142</v>
      </c>
      <c r="M2328" s="63" t="s">
        <v>21243</v>
      </c>
      <c r="O2328" s="62">
        <v>45559</v>
      </c>
      <c r="P2328" s="65" t="s">
        <v>21</v>
      </c>
      <c r="Q2328" s="66" t="b">
        <v>0</v>
      </c>
      <c r="R2328" s="22">
        <f t="shared" si="37"/>
        <v>1066</v>
      </c>
      <c r="S2328" s="63" t="s">
        <v>22182</v>
      </c>
    </row>
    <row r="2329" spans="1:19" ht="24">
      <c r="A2329" s="64">
        <v>12007</v>
      </c>
      <c r="B2329" s="62">
        <v>44498</v>
      </c>
      <c r="C2329" s="63" t="s">
        <v>21479</v>
      </c>
      <c r="D2329" s="62">
        <v>44490</v>
      </c>
      <c r="E2329" s="63" t="s">
        <v>21480</v>
      </c>
      <c r="F2329" s="63" t="s">
        <v>1771</v>
      </c>
      <c r="G2329" s="63" t="s">
        <v>20</v>
      </c>
      <c r="H2329" s="63" t="s">
        <v>189</v>
      </c>
      <c r="I2329" s="63" t="s">
        <v>21</v>
      </c>
      <c r="J2329" s="63" t="s">
        <v>21481</v>
      </c>
      <c r="K2329" s="63" t="s">
        <v>20156</v>
      </c>
      <c r="L2329" s="63" t="s">
        <v>7167</v>
      </c>
      <c r="M2329" s="63" t="s">
        <v>21</v>
      </c>
      <c r="O2329" s="62">
        <v>45602</v>
      </c>
      <c r="P2329" s="65" t="s">
        <v>21</v>
      </c>
      <c r="Q2329" s="66" t="b">
        <v>0</v>
      </c>
      <c r="R2329" s="22">
        <f t="shared" si="37"/>
        <v>1102</v>
      </c>
      <c r="S2329" s="63" t="s">
        <v>21621</v>
      </c>
    </row>
    <row r="2330" spans="1:19" ht="48">
      <c r="A2330" s="64">
        <v>12012</v>
      </c>
      <c r="B2330" s="62">
        <v>44508</v>
      </c>
      <c r="C2330" s="63" t="s">
        <v>21404</v>
      </c>
      <c r="D2330" s="62">
        <v>44503</v>
      </c>
      <c r="E2330" s="63" t="s">
        <v>21405</v>
      </c>
      <c r="F2330" s="63" t="s">
        <v>6953</v>
      </c>
      <c r="G2330" s="63" t="s">
        <v>20</v>
      </c>
      <c r="H2330" s="63" t="s">
        <v>71</v>
      </c>
      <c r="I2330" s="63" t="s">
        <v>21</v>
      </c>
      <c r="J2330" s="63" t="s">
        <v>21406</v>
      </c>
      <c r="K2330" s="63" t="s">
        <v>21407</v>
      </c>
      <c r="L2330" s="63" t="s">
        <v>21142</v>
      </c>
      <c r="M2330" s="63" t="s">
        <v>21</v>
      </c>
      <c r="O2330" s="62">
        <v>45495</v>
      </c>
      <c r="P2330" s="65" t="s">
        <v>21</v>
      </c>
      <c r="Q2330" s="66" t="b">
        <v>0</v>
      </c>
      <c r="R2330" s="22">
        <f t="shared" si="37"/>
        <v>987</v>
      </c>
      <c r="S2330" s="63" t="s">
        <v>22183</v>
      </c>
    </row>
    <row r="2331" spans="1:19" ht="60">
      <c r="A2331" s="64">
        <v>12014</v>
      </c>
      <c r="B2331" s="62">
        <v>44509</v>
      </c>
      <c r="C2331" s="63" t="s">
        <v>21485</v>
      </c>
      <c r="D2331" s="62">
        <v>44502</v>
      </c>
      <c r="E2331" s="63" t="s">
        <v>21486</v>
      </c>
      <c r="F2331" s="63" t="s">
        <v>149</v>
      </c>
      <c r="G2331" s="63" t="s">
        <v>20</v>
      </c>
      <c r="H2331" s="63" t="s">
        <v>71</v>
      </c>
      <c r="I2331" s="63" t="s">
        <v>21</v>
      </c>
      <c r="J2331" s="63" t="s">
        <v>21487</v>
      </c>
      <c r="K2331" s="63" t="s">
        <v>21488</v>
      </c>
      <c r="L2331" s="63" t="s">
        <v>21243</v>
      </c>
      <c r="M2331" s="63" t="s">
        <v>21</v>
      </c>
      <c r="O2331" s="62">
        <v>45560</v>
      </c>
      <c r="P2331" s="65" t="s">
        <v>21</v>
      </c>
      <c r="Q2331" s="66" t="b">
        <v>0</v>
      </c>
      <c r="R2331" s="22">
        <f t="shared" si="37"/>
        <v>1050</v>
      </c>
      <c r="S2331" s="63" t="s">
        <v>22184</v>
      </c>
    </row>
    <row r="2332" spans="1:19" ht="48">
      <c r="A2332" s="64">
        <v>12020</v>
      </c>
      <c r="B2332" s="62">
        <v>44519</v>
      </c>
      <c r="C2332" s="63" t="s">
        <v>21489</v>
      </c>
      <c r="D2332" s="62">
        <v>44517</v>
      </c>
      <c r="E2332" s="63" t="s">
        <v>21490</v>
      </c>
      <c r="F2332" s="63" t="s">
        <v>149</v>
      </c>
      <c r="G2332" s="63" t="s">
        <v>20</v>
      </c>
      <c r="H2332" s="63" t="s">
        <v>71</v>
      </c>
      <c r="I2332" s="63" t="s">
        <v>21</v>
      </c>
      <c r="J2332" s="63" t="s">
        <v>21491</v>
      </c>
      <c r="K2332" s="63" t="s">
        <v>21457</v>
      </c>
      <c r="L2332" s="63" t="s">
        <v>21573</v>
      </c>
      <c r="M2332" s="63" t="s">
        <v>21243</v>
      </c>
      <c r="O2332" s="62">
        <v>45309</v>
      </c>
      <c r="P2332" s="65" t="s">
        <v>21</v>
      </c>
      <c r="Q2332" s="66" t="b">
        <v>0</v>
      </c>
      <c r="R2332" s="22">
        <f t="shared" si="37"/>
        <v>789</v>
      </c>
      <c r="S2332" s="63" t="s">
        <v>21621</v>
      </c>
    </row>
    <row r="2333" spans="1:19" ht="60">
      <c r="A2333" s="64">
        <v>12022</v>
      </c>
      <c r="B2333" s="62">
        <v>44533</v>
      </c>
      <c r="C2333" s="63" t="s">
        <v>21482</v>
      </c>
      <c r="D2333" s="62">
        <v>44530</v>
      </c>
      <c r="E2333" s="63" t="s">
        <v>21483</v>
      </c>
      <c r="F2333" s="63" t="s">
        <v>1771</v>
      </c>
      <c r="G2333" s="63" t="s">
        <v>189</v>
      </c>
      <c r="H2333" s="63" t="s">
        <v>189</v>
      </c>
      <c r="I2333" s="63" t="s">
        <v>21</v>
      </c>
      <c r="J2333" s="63" t="s">
        <v>21484</v>
      </c>
      <c r="K2333" s="63" t="s">
        <v>19620</v>
      </c>
      <c r="L2333" s="63" t="s">
        <v>22185</v>
      </c>
      <c r="M2333" s="63" t="s">
        <v>7167</v>
      </c>
      <c r="O2333" s="62">
        <v>45635</v>
      </c>
      <c r="P2333" s="65" t="s">
        <v>21</v>
      </c>
      <c r="Q2333" s="66" t="b">
        <v>0</v>
      </c>
      <c r="R2333" s="22">
        <f t="shared" si="37"/>
        <v>1101</v>
      </c>
      <c r="S2333" s="63" t="s">
        <v>22186</v>
      </c>
    </row>
    <row r="2334" spans="1:19" ht="48">
      <c r="A2334" s="64">
        <v>12028</v>
      </c>
      <c r="B2334" s="62">
        <v>44547</v>
      </c>
      <c r="C2334" s="63" t="s">
        <v>21492</v>
      </c>
      <c r="D2334" s="62">
        <v>44546</v>
      </c>
      <c r="E2334" s="63" t="s">
        <v>21493</v>
      </c>
      <c r="F2334" s="63" t="s">
        <v>52</v>
      </c>
      <c r="G2334" s="63" t="s">
        <v>189</v>
      </c>
      <c r="H2334" s="63" t="s">
        <v>71</v>
      </c>
      <c r="I2334" s="63" t="s">
        <v>21</v>
      </c>
      <c r="J2334" s="63" t="s">
        <v>21494</v>
      </c>
      <c r="K2334" s="63" t="s">
        <v>21495</v>
      </c>
      <c r="L2334" s="63" t="s">
        <v>21243</v>
      </c>
      <c r="M2334" s="63" t="s">
        <v>21</v>
      </c>
      <c r="O2334" s="62">
        <v>45365</v>
      </c>
      <c r="P2334" s="65" t="s">
        <v>21</v>
      </c>
      <c r="Q2334" s="66" t="b">
        <v>0</v>
      </c>
      <c r="R2334" s="22">
        <f t="shared" si="37"/>
        <v>818</v>
      </c>
      <c r="S2334" s="63" t="s">
        <v>21621</v>
      </c>
    </row>
    <row r="2335" spans="1:19" ht="60">
      <c r="A2335" s="64">
        <v>12037</v>
      </c>
      <c r="B2335" s="62">
        <v>44564</v>
      </c>
      <c r="C2335" s="63" t="s">
        <v>21496</v>
      </c>
      <c r="D2335" s="62">
        <v>44559</v>
      </c>
      <c r="E2335" s="63" t="s">
        <v>21497</v>
      </c>
      <c r="F2335" s="63" t="s">
        <v>3615</v>
      </c>
      <c r="G2335" s="63" t="s">
        <v>189</v>
      </c>
      <c r="H2335" s="63" t="s">
        <v>189</v>
      </c>
      <c r="I2335" s="63" t="s">
        <v>21</v>
      </c>
      <c r="J2335" s="63" t="s">
        <v>21498</v>
      </c>
      <c r="K2335" s="63" t="s">
        <v>21499</v>
      </c>
      <c r="L2335" s="63" t="s">
        <v>21243</v>
      </c>
      <c r="M2335" s="63" t="s">
        <v>7167</v>
      </c>
      <c r="O2335" s="62">
        <v>45637</v>
      </c>
      <c r="P2335" s="65" t="s">
        <v>21</v>
      </c>
      <c r="Q2335" s="66" t="b">
        <v>0</v>
      </c>
      <c r="R2335" s="22">
        <f t="shared" si="37"/>
        <v>1072</v>
      </c>
      <c r="S2335" s="63" t="s">
        <v>22187</v>
      </c>
    </row>
    <row r="2336" spans="1:19" ht="36">
      <c r="A2336" s="64">
        <v>12043</v>
      </c>
      <c r="B2336" s="62">
        <v>44571</v>
      </c>
      <c r="C2336" s="63" t="s">
        <v>21500</v>
      </c>
      <c r="D2336" s="62">
        <v>44568</v>
      </c>
      <c r="E2336" s="63" t="s">
        <v>21501</v>
      </c>
      <c r="F2336" s="63" t="s">
        <v>70</v>
      </c>
      <c r="G2336" s="63" t="s">
        <v>189</v>
      </c>
      <c r="H2336" s="63" t="s">
        <v>71</v>
      </c>
      <c r="I2336" s="63" t="s">
        <v>21</v>
      </c>
      <c r="J2336" s="63" t="s">
        <v>21502</v>
      </c>
      <c r="K2336" s="63" t="s">
        <v>21503</v>
      </c>
      <c r="L2336" s="63" t="s">
        <v>21243</v>
      </c>
      <c r="M2336" s="63" t="s">
        <v>21</v>
      </c>
      <c r="O2336" s="62">
        <v>45418</v>
      </c>
      <c r="P2336" s="65" t="s">
        <v>21</v>
      </c>
      <c r="Q2336" s="66" t="b">
        <v>0</v>
      </c>
      <c r="R2336" s="22">
        <f t="shared" si="37"/>
        <v>847</v>
      </c>
      <c r="S2336" s="63" t="s">
        <v>21621</v>
      </c>
    </row>
    <row r="2337" spans="1:19" ht="48">
      <c r="A2337" s="64">
        <v>12061</v>
      </c>
      <c r="B2337" s="62">
        <v>44603</v>
      </c>
      <c r="C2337" s="63" t="s">
        <v>21576</v>
      </c>
      <c r="D2337" s="62">
        <v>44596</v>
      </c>
      <c r="E2337" s="63" t="s">
        <v>21577</v>
      </c>
      <c r="F2337" s="63" t="s">
        <v>56</v>
      </c>
      <c r="G2337" s="63" t="s">
        <v>189</v>
      </c>
      <c r="H2337" s="63" t="s">
        <v>71</v>
      </c>
      <c r="I2337" s="63" t="s">
        <v>21</v>
      </c>
      <c r="J2337" s="63" t="s">
        <v>21578</v>
      </c>
      <c r="K2337" s="63" t="s">
        <v>9348</v>
      </c>
      <c r="L2337" s="63" t="s">
        <v>22185</v>
      </c>
      <c r="M2337" s="63" t="s">
        <v>21243</v>
      </c>
      <c r="O2337" s="62">
        <v>45513</v>
      </c>
      <c r="P2337" s="65" t="s">
        <v>21</v>
      </c>
      <c r="Q2337" s="66" t="b">
        <v>0</v>
      </c>
      <c r="R2337" s="22">
        <f t="shared" si="37"/>
        <v>910</v>
      </c>
      <c r="S2337" s="63" t="s">
        <v>22188</v>
      </c>
    </row>
    <row r="2338" spans="1:19" ht="36">
      <c r="A2338" s="64">
        <v>12070</v>
      </c>
      <c r="B2338" s="62">
        <v>44610</v>
      </c>
      <c r="C2338" s="63" t="s">
        <v>21579</v>
      </c>
      <c r="D2338" s="62">
        <v>44608</v>
      </c>
      <c r="E2338" s="63" t="s">
        <v>21580</v>
      </c>
      <c r="F2338" s="63" t="s">
        <v>98</v>
      </c>
      <c r="G2338" s="63" t="s">
        <v>189</v>
      </c>
      <c r="H2338" s="63" t="s">
        <v>71</v>
      </c>
      <c r="I2338" s="63" t="s">
        <v>21</v>
      </c>
      <c r="J2338" s="63" t="s">
        <v>21510</v>
      </c>
      <c r="K2338" s="63" t="s">
        <v>21434</v>
      </c>
      <c r="L2338" s="63" t="s">
        <v>7167</v>
      </c>
      <c r="M2338" s="63" t="s">
        <v>21</v>
      </c>
      <c r="O2338" s="62">
        <v>45513</v>
      </c>
      <c r="P2338" s="65" t="s">
        <v>21</v>
      </c>
      <c r="Q2338" s="66" t="b">
        <v>0</v>
      </c>
      <c r="R2338" s="22">
        <f t="shared" si="37"/>
        <v>903</v>
      </c>
      <c r="S2338" s="63" t="s">
        <v>22189</v>
      </c>
    </row>
    <row r="2339" spans="1:19" ht="60">
      <c r="A2339" s="59">
        <v>12074</v>
      </c>
      <c r="B2339" s="60">
        <v>44616</v>
      </c>
      <c r="C2339" s="61" t="s">
        <v>21581</v>
      </c>
      <c r="D2339" s="60">
        <v>44616</v>
      </c>
      <c r="E2339" s="61" t="s">
        <v>21582</v>
      </c>
      <c r="F2339" s="61" t="s">
        <v>104</v>
      </c>
      <c r="G2339" s="61" t="s">
        <v>189</v>
      </c>
      <c r="H2339" s="61" t="s">
        <v>71</v>
      </c>
      <c r="I2339" s="61" t="s">
        <v>21</v>
      </c>
      <c r="J2339" s="61" t="s">
        <v>21583</v>
      </c>
      <c r="K2339" s="61" t="s">
        <v>18224</v>
      </c>
      <c r="L2339" s="61" t="s">
        <v>7167</v>
      </c>
      <c r="M2339" s="61" t="s">
        <v>21</v>
      </c>
      <c r="O2339" s="60">
        <v>45064</v>
      </c>
      <c r="P2339" s="61" t="s">
        <v>21</v>
      </c>
      <c r="Q2339" s="59" t="b">
        <v>0</v>
      </c>
      <c r="R2339" s="22">
        <f t="shared" si="37"/>
        <v>450</v>
      </c>
      <c r="S2339" s="61" t="s">
        <v>22190</v>
      </c>
    </row>
    <row r="2340" spans="1:19" ht="36">
      <c r="A2340" s="59">
        <v>12078</v>
      </c>
      <c r="B2340" s="60">
        <v>44620</v>
      </c>
      <c r="C2340" s="61" t="s">
        <v>21585</v>
      </c>
      <c r="D2340" s="60">
        <v>44615</v>
      </c>
      <c r="E2340" s="61" t="s">
        <v>21586</v>
      </c>
      <c r="F2340" s="61" t="s">
        <v>8605</v>
      </c>
      <c r="G2340" s="61" t="s">
        <v>189</v>
      </c>
      <c r="H2340" s="61" t="s">
        <v>212</v>
      </c>
      <c r="I2340" s="61" t="s">
        <v>21</v>
      </c>
      <c r="J2340" s="61" t="s">
        <v>21587</v>
      </c>
      <c r="K2340" s="61" t="s">
        <v>21588</v>
      </c>
      <c r="L2340" s="61" t="s">
        <v>7167</v>
      </c>
      <c r="M2340" s="61" t="s">
        <v>21</v>
      </c>
      <c r="O2340" s="29">
        <v>45040</v>
      </c>
      <c r="P2340" s="61" t="s">
        <v>21</v>
      </c>
      <c r="Q2340" s="59" t="b">
        <v>0</v>
      </c>
      <c r="R2340" s="22">
        <f t="shared" si="37"/>
        <v>419</v>
      </c>
      <c r="S2340" s="61" t="s">
        <v>21621</v>
      </c>
    </row>
    <row r="2341" spans="1:19" ht="24">
      <c r="A2341" s="64">
        <v>12081</v>
      </c>
      <c r="B2341" s="62">
        <v>44622</v>
      </c>
      <c r="C2341" s="63" t="s">
        <v>21589</v>
      </c>
      <c r="D2341" s="62">
        <v>44620</v>
      </c>
      <c r="E2341" s="63" t="s">
        <v>21590</v>
      </c>
      <c r="F2341" s="63" t="s">
        <v>16499</v>
      </c>
      <c r="G2341" s="63" t="s">
        <v>189</v>
      </c>
      <c r="H2341" s="63" t="s">
        <v>71</v>
      </c>
      <c r="I2341" s="63" t="s">
        <v>21</v>
      </c>
      <c r="J2341" s="63" t="s">
        <v>21591</v>
      </c>
      <c r="K2341" s="63" t="s">
        <v>21592</v>
      </c>
      <c r="L2341" s="63" t="s">
        <v>21243</v>
      </c>
      <c r="M2341" s="63" t="s">
        <v>21</v>
      </c>
      <c r="O2341" s="90">
        <v>44816</v>
      </c>
      <c r="P2341" s="65" t="s">
        <v>21</v>
      </c>
      <c r="Q2341" s="66" t="b">
        <v>0</v>
      </c>
      <c r="R2341" s="22">
        <f t="shared" si="37"/>
        <v>192</v>
      </c>
      <c r="S2341" s="22" t="s">
        <v>21593</v>
      </c>
    </row>
    <row r="2342" spans="1:19" ht="36">
      <c r="A2342" s="64">
        <v>12082</v>
      </c>
      <c r="B2342" s="62">
        <v>44623</v>
      </c>
      <c r="C2342" s="63" t="s">
        <v>21594</v>
      </c>
      <c r="D2342" s="62">
        <v>44623</v>
      </c>
      <c r="E2342" s="63" t="s">
        <v>21595</v>
      </c>
      <c r="F2342" s="63" t="s">
        <v>9198</v>
      </c>
      <c r="G2342" s="63" t="s">
        <v>189</v>
      </c>
      <c r="H2342" s="63" t="s">
        <v>71</v>
      </c>
      <c r="I2342" s="63" t="s">
        <v>21</v>
      </c>
      <c r="J2342" s="63" t="s">
        <v>21596</v>
      </c>
      <c r="K2342" s="63" t="s">
        <v>20909</v>
      </c>
      <c r="L2342" s="63" t="s">
        <v>21142</v>
      </c>
      <c r="M2342" s="63" t="s">
        <v>21</v>
      </c>
      <c r="O2342" s="90">
        <v>44825</v>
      </c>
      <c r="P2342" s="65" t="s">
        <v>21</v>
      </c>
      <c r="Q2342" s="66" t="b">
        <v>0</v>
      </c>
      <c r="R2342" s="22">
        <f t="shared" si="37"/>
        <v>200</v>
      </c>
      <c r="S2342" s="22" t="s">
        <v>21597</v>
      </c>
    </row>
    <row r="2343" spans="1:19" ht="24">
      <c r="A2343" s="64">
        <v>12087</v>
      </c>
      <c r="B2343" s="62">
        <v>44629</v>
      </c>
      <c r="C2343" s="63" t="s">
        <v>21598</v>
      </c>
      <c r="D2343" s="62">
        <v>44629</v>
      </c>
      <c r="E2343" s="63" t="s">
        <v>21599</v>
      </c>
      <c r="F2343" s="63" t="s">
        <v>861</v>
      </c>
      <c r="G2343" s="63" t="s">
        <v>189</v>
      </c>
      <c r="H2343" s="63" t="s">
        <v>566</v>
      </c>
      <c r="I2343" s="63" t="s">
        <v>21</v>
      </c>
      <c r="J2343" s="63" t="s">
        <v>21600</v>
      </c>
      <c r="K2343" s="63" t="s">
        <v>18224</v>
      </c>
      <c r="L2343" s="63" t="s">
        <v>21573</v>
      </c>
      <c r="M2343" s="63" t="s">
        <v>21</v>
      </c>
      <c r="O2343" s="22"/>
      <c r="P2343" s="65" t="s">
        <v>21</v>
      </c>
      <c r="Q2343" s="66" t="b">
        <v>0</v>
      </c>
      <c r="R2343" s="22"/>
      <c r="S2343" s="63" t="s">
        <v>21</v>
      </c>
    </row>
    <row r="2344" spans="1:19" ht="48">
      <c r="A2344" s="64">
        <v>12099</v>
      </c>
      <c r="B2344" s="62">
        <v>44650</v>
      </c>
      <c r="C2344" s="63" t="s">
        <v>21601</v>
      </c>
      <c r="D2344" s="62">
        <v>44649</v>
      </c>
      <c r="E2344" s="63" t="s">
        <v>21602</v>
      </c>
      <c r="F2344" s="63" t="s">
        <v>2359</v>
      </c>
      <c r="G2344" s="63" t="s">
        <v>189</v>
      </c>
      <c r="H2344" s="63" t="s">
        <v>71</v>
      </c>
      <c r="I2344" s="63" t="s">
        <v>21</v>
      </c>
      <c r="J2344" s="63" t="s">
        <v>21603</v>
      </c>
      <c r="K2344" s="63" t="s">
        <v>21604</v>
      </c>
      <c r="L2344" s="63" t="s">
        <v>21573</v>
      </c>
      <c r="M2344" s="63" t="s">
        <v>21</v>
      </c>
      <c r="O2344" s="62">
        <v>45418</v>
      </c>
      <c r="P2344" s="65" t="s">
        <v>21</v>
      </c>
      <c r="Q2344" s="66" t="b">
        <v>0</v>
      </c>
      <c r="R2344" s="22">
        <f t="shared" ref="R2344:R2353" si="38">IF(O2344=" ", " ", INT(YEARFRAC(O2344, B2344)*365))</f>
        <v>766</v>
      </c>
      <c r="S2344" s="63" t="s">
        <v>21621</v>
      </c>
    </row>
    <row r="2345" spans="1:19" ht="48">
      <c r="A2345" s="64">
        <v>12100</v>
      </c>
      <c r="B2345" s="62">
        <v>44651</v>
      </c>
      <c r="C2345" s="63" t="s">
        <v>21605</v>
      </c>
      <c r="D2345" s="62">
        <v>44650</v>
      </c>
      <c r="E2345" s="63" t="s">
        <v>21606</v>
      </c>
      <c r="F2345" s="63" t="s">
        <v>2782</v>
      </c>
      <c r="G2345" s="63" t="s">
        <v>189</v>
      </c>
      <c r="H2345" s="63" t="s">
        <v>71</v>
      </c>
      <c r="I2345" s="63" t="s">
        <v>21</v>
      </c>
      <c r="J2345" s="63" t="s">
        <v>21607</v>
      </c>
      <c r="K2345" s="63" t="s">
        <v>9348</v>
      </c>
      <c r="L2345" s="63" t="s">
        <v>21243</v>
      </c>
      <c r="M2345" s="63" t="s">
        <v>21</v>
      </c>
      <c r="O2345" s="62">
        <v>45415</v>
      </c>
      <c r="P2345" s="65" t="s">
        <v>21</v>
      </c>
      <c r="Q2345" s="66" t="b">
        <v>0</v>
      </c>
      <c r="R2345" s="22">
        <f t="shared" si="38"/>
        <v>763</v>
      </c>
      <c r="S2345" s="63" t="s">
        <v>21621</v>
      </c>
    </row>
    <row r="2346" spans="1:19" ht="84">
      <c r="A2346" s="64">
        <v>12108</v>
      </c>
      <c r="B2346" s="62">
        <v>44658</v>
      </c>
      <c r="C2346" s="63" t="s">
        <v>21608</v>
      </c>
      <c r="D2346" s="62">
        <v>44655</v>
      </c>
      <c r="E2346" s="63" t="s">
        <v>21609</v>
      </c>
      <c r="F2346" s="63" t="s">
        <v>124</v>
      </c>
      <c r="G2346" s="63" t="s">
        <v>189</v>
      </c>
      <c r="H2346" s="63" t="s">
        <v>71</v>
      </c>
      <c r="I2346" s="63" t="s">
        <v>21</v>
      </c>
      <c r="J2346" s="63" t="s">
        <v>21610</v>
      </c>
      <c r="K2346" s="63" t="s">
        <v>9348</v>
      </c>
      <c r="L2346" s="63" t="s">
        <v>22185</v>
      </c>
      <c r="M2346" s="63" t="s">
        <v>21142</v>
      </c>
      <c r="O2346" s="62">
        <v>45492</v>
      </c>
      <c r="P2346" s="65" t="s">
        <v>21</v>
      </c>
      <c r="Q2346" s="66" t="b">
        <v>0</v>
      </c>
      <c r="R2346" s="22">
        <f t="shared" si="38"/>
        <v>833</v>
      </c>
      <c r="S2346" s="63" t="s">
        <v>22191</v>
      </c>
    </row>
    <row r="2347" spans="1:19" ht="36">
      <c r="A2347" s="64">
        <v>12109</v>
      </c>
      <c r="B2347" s="62">
        <v>44662</v>
      </c>
      <c r="C2347" s="63" t="s">
        <v>21611</v>
      </c>
      <c r="D2347" s="62">
        <v>44662</v>
      </c>
      <c r="E2347" s="63" t="s">
        <v>21612</v>
      </c>
      <c r="F2347" s="63" t="s">
        <v>15716</v>
      </c>
      <c r="G2347" s="63" t="s">
        <v>20</v>
      </c>
      <c r="H2347" s="63" t="s">
        <v>566</v>
      </c>
      <c r="I2347" s="63" t="s">
        <v>21</v>
      </c>
      <c r="J2347" s="63" t="s">
        <v>21613</v>
      </c>
      <c r="K2347" s="63" t="s">
        <v>21614</v>
      </c>
      <c r="L2347" s="63" t="s">
        <v>21573</v>
      </c>
      <c r="M2347" s="63" t="s">
        <v>21</v>
      </c>
      <c r="O2347" s="62">
        <v>45583</v>
      </c>
      <c r="P2347" s="65" t="s">
        <v>21</v>
      </c>
      <c r="Q2347" s="66" t="b">
        <v>0</v>
      </c>
      <c r="R2347" s="22">
        <f t="shared" si="38"/>
        <v>919</v>
      </c>
      <c r="S2347" s="63" t="s">
        <v>22192</v>
      </c>
    </row>
    <row r="2348" spans="1:19" ht="36">
      <c r="A2348" s="64">
        <v>12110</v>
      </c>
      <c r="B2348" s="62">
        <v>44678</v>
      </c>
      <c r="C2348" s="63" t="s">
        <v>21615</v>
      </c>
      <c r="D2348" s="62">
        <v>44665</v>
      </c>
      <c r="E2348" s="63" t="s">
        <v>21616</v>
      </c>
      <c r="F2348" s="63" t="s">
        <v>327</v>
      </c>
      <c r="G2348" s="63" t="s">
        <v>189</v>
      </c>
      <c r="H2348" s="63" t="s">
        <v>71</v>
      </c>
      <c r="I2348" s="63" t="s">
        <v>21</v>
      </c>
      <c r="J2348" s="63" t="s">
        <v>21617</v>
      </c>
      <c r="K2348" s="63" t="s">
        <v>9348</v>
      </c>
      <c r="L2348" s="63" t="s">
        <v>22185</v>
      </c>
      <c r="M2348" s="63" t="s">
        <v>21573</v>
      </c>
      <c r="O2348" s="62">
        <v>45534</v>
      </c>
      <c r="P2348" s="65" t="s">
        <v>21</v>
      </c>
      <c r="Q2348" s="66" t="b">
        <v>0</v>
      </c>
      <c r="R2348" s="22">
        <f t="shared" si="38"/>
        <v>854</v>
      </c>
      <c r="S2348" s="63" t="s">
        <v>22193</v>
      </c>
    </row>
    <row r="2349" spans="1:19" ht="36">
      <c r="A2349" s="64">
        <v>12111</v>
      </c>
      <c r="B2349" s="62">
        <v>44678</v>
      </c>
      <c r="C2349" s="63" t="s">
        <v>21618</v>
      </c>
      <c r="D2349" s="62">
        <v>44670</v>
      </c>
      <c r="E2349" s="63" t="s">
        <v>21619</v>
      </c>
      <c r="F2349" s="63" t="s">
        <v>124</v>
      </c>
      <c r="G2349" s="63" t="s">
        <v>189</v>
      </c>
      <c r="H2349" s="63" t="s">
        <v>71</v>
      </c>
      <c r="I2349" s="63" t="s">
        <v>21</v>
      </c>
      <c r="J2349" s="63" t="s">
        <v>21620</v>
      </c>
      <c r="K2349" s="63" t="s">
        <v>9348</v>
      </c>
      <c r="L2349" s="63" t="s">
        <v>21573</v>
      </c>
      <c r="M2349" s="63" t="s">
        <v>21</v>
      </c>
      <c r="O2349" s="90">
        <v>44851</v>
      </c>
      <c r="P2349" s="65" t="s">
        <v>21</v>
      </c>
      <c r="Q2349" s="66" t="b">
        <v>0</v>
      </c>
      <c r="R2349" s="22">
        <f t="shared" si="38"/>
        <v>172</v>
      </c>
      <c r="S2349" s="22" t="s">
        <v>21621</v>
      </c>
    </row>
    <row r="2350" spans="1:19" ht="72">
      <c r="A2350" s="64">
        <v>12114</v>
      </c>
      <c r="B2350" s="62">
        <v>44679</v>
      </c>
      <c r="C2350" s="63" t="s">
        <v>21622</v>
      </c>
      <c r="D2350" s="62">
        <v>44679</v>
      </c>
      <c r="E2350" s="63" t="s">
        <v>21623</v>
      </c>
      <c r="F2350" s="63" t="s">
        <v>124</v>
      </c>
      <c r="G2350" s="63" t="s">
        <v>189</v>
      </c>
      <c r="H2350" s="63" t="s">
        <v>71</v>
      </c>
      <c r="I2350" s="63" t="s">
        <v>21</v>
      </c>
      <c r="J2350" s="63" t="s">
        <v>21624</v>
      </c>
      <c r="K2350" s="63" t="s">
        <v>9348</v>
      </c>
      <c r="L2350" s="63" t="s">
        <v>4282</v>
      </c>
      <c r="M2350" s="63" t="s">
        <v>7167</v>
      </c>
      <c r="O2350" s="62">
        <v>45510</v>
      </c>
      <c r="P2350" s="65" t="s">
        <v>21</v>
      </c>
      <c r="Q2350" s="66" t="b">
        <v>0</v>
      </c>
      <c r="R2350" s="22">
        <f t="shared" si="38"/>
        <v>829</v>
      </c>
      <c r="S2350" s="63" t="s">
        <v>22194</v>
      </c>
    </row>
    <row r="2351" spans="1:19" ht="48">
      <c r="A2351" s="64">
        <v>12117</v>
      </c>
      <c r="B2351" s="62">
        <v>44684</v>
      </c>
      <c r="C2351" s="63" t="s">
        <v>21626</v>
      </c>
      <c r="D2351" s="62">
        <v>44683</v>
      </c>
      <c r="E2351" s="63" t="s">
        <v>21627</v>
      </c>
      <c r="F2351" s="63" t="s">
        <v>6298</v>
      </c>
      <c r="G2351" s="63" t="s">
        <v>189</v>
      </c>
      <c r="H2351" s="63" t="s">
        <v>71</v>
      </c>
      <c r="I2351" s="63" t="s">
        <v>21</v>
      </c>
      <c r="J2351" s="63" t="s">
        <v>21628</v>
      </c>
      <c r="K2351" s="63" t="s">
        <v>6561</v>
      </c>
      <c r="L2351" s="63" t="s">
        <v>21573</v>
      </c>
      <c r="M2351" s="63" t="s">
        <v>21</v>
      </c>
      <c r="O2351" s="90">
        <v>44874</v>
      </c>
      <c r="P2351" s="65" t="s">
        <v>21</v>
      </c>
      <c r="Q2351" s="66" t="b">
        <v>0</v>
      </c>
      <c r="R2351" s="22">
        <f t="shared" si="38"/>
        <v>188</v>
      </c>
      <c r="S2351" s="22" t="s">
        <v>21629</v>
      </c>
    </row>
    <row r="2352" spans="1:19" ht="24">
      <c r="A2352" s="64">
        <v>12119</v>
      </c>
      <c r="B2352" s="62">
        <v>44690</v>
      </c>
      <c r="C2352" s="63" t="s">
        <v>21630</v>
      </c>
      <c r="D2352" s="62">
        <v>44685</v>
      </c>
      <c r="E2352" s="63" t="s">
        <v>21631</v>
      </c>
      <c r="F2352" s="63" t="s">
        <v>2146</v>
      </c>
      <c r="G2352" s="63" t="s">
        <v>189</v>
      </c>
      <c r="H2352" s="63" t="s">
        <v>189</v>
      </c>
      <c r="I2352" s="63" t="s">
        <v>21</v>
      </c>
      <c r="J2352" s="63" t="s">
        <v>21632</v>
      </c>
      <c r="K2352" s="63" t="s">
        <v>21633</v>
      </c>
      <c r="L2352" s="63" t="s">
        <v>7167</v>
      </c>
      <c r="M2352" s="63" t="s">
        <v>21</v>
      </c>
      <c r="O2352" s="62">
        <v>44874</v>
      </c>
      <c r="P2352" s="65" t="s">
        <v>21</v>
      </c>
      <c r="Q2352" s="66" t="b">
        <v>1</v>
      </c>
      <c r="R2352" s="22">
        <f t="shared" si="38"/>
        <v>182</v>
      </c>
      <c r="S2352" s="63" t="s">
        <v>21621</v>
      </c>
    </row>
    <row r="2353" spans="1:19" ht="48">
      <c r="A2353" s="64">
        <v>12126</v>
      </c>
      <c r="B2353" s="62">
        <v>44698</v>
      </c>
      <c r="C2353" s="63" t="s">
        <v>21634</v>
      </c>
      <c r="D2353" s="62">
        <v>44694</v>
      </c>
      <c r="E2353" s="63" t="s">
        <v>21635</v>
      </c>
      <c r="F2353" s="63" t="s">
        <v>149</v>
      </c>
      <c r="G2353" s="63" t="s">
        <v>189</v>
      </c>
      <c r="H2353" s="63" t="s">
        <v>71</v>
      </c>
      <c r="I2353" s="63" t="s">
        <v>21</v>
      </c>
      <c r="J2353" s="63" t="s">
        <v>21636</v>
      </c>
      <c r="K2353" s="63" t="s">
        <v>21637</v>
      </c>
      <c r="L2353" s="63" t="s">
        <v>21243</v>
      </c>
      <c r="M2353" s="63" t="s">
        <v>21</v>
      </c>
      <c r="O2353" s="90">
        <v>44907</v>
      </c>
      <c r="P2353" s="65" t="s">
        <v>21</v>
      </c>
      <c r="Q2353" s="66" t="b">
        <v>0</v>
      </c>
      <c r="R2353" s="22">
        <f t="shared" si="38"/>
        <v>207</v>
      </c>
      <c r="S2353" s="22" t="s">
        <v>21</v>
      </c>
    </row>
    <row r="2354" spans="1:19" ht="36">
      <c r="A2354" s="64">
        <v>12130</v>
      </c>
      <c r="B2354" s="62">
        <v>44708</v>
      </c>
      <c r="C2354" s="63" t="s">
        <v>21638</v>
      </c>
      <c r="D2354" s="62">
        <v>44705</v>
      </c>
      <c r="E2354" s="63" t="s">
        <v>21639</v>
      </c>
      <c r="F2354" s="63" t="s">
        <v>149</v>
      </c>
      <c r="G2354" s="63" t="s">
        <v>189</v>
      </c>
      <c r="H2354" s="63" t="s">
        <v>71</v>
      </c>
      <c r="I2354" s="63" t="s">
        <v>21</v>
      </c>
      <c r="J2354" s="63" t="s">
        <v>21640</v>
      </c>
      <c r="K2354" s="63" t="s">
        <v>21641</v>
      </c>
      <c r="L2354" s="63" t="s">
        <v>22185</v>
      </c>
      <c r="M2354" s="63" t="s">
        <v>22195</v>
      </c>
      <c r="O2354" s="22"/>
      <c r="P2354" s="65" t="s">
        <v>21</v>
      </c>
      <c r="Q2354" s="66" t="b">
        <v>0</v>
      </c>
      <c r="R2354" s="22"/>
      <c r="S2354" s="63" t="s">
        <v>21</v>
      </c>
    </row>
    <row r="2355" spans="1:19" ht="24">
      <c r="A2355" s="64">
        <v>12131</v>
      </c>
      <c r="B2355" s="62">
        <v>44714</v>
      </c>
      <c r="C2355" s="63" t="s">
        <v>21642</v>
      </c>
      <c r="D2355" s="62">
        <v>44712</v>
      </c>
      <c r="E2355" s="63" t="s">
        <v>21643</v>
      </c>
      <c r="F2355" s="63" t="s">
        <v>21432</v>
      </c>
      <c r="G2355" s="63" t="s">
        <v>189</v>
      </c>
      <c r="H2355" s="63" t="s">
        <v>71</v>
      </c>
      <c r="I2355" s="63" t="s">
        <v>21</v>
      </c>
      <c r="J2355" s="63" t="s">
        <v>21644</v>
      </c>
      <c r="K2355" s="63" t="s">
        <v>21645</v>
      </c>
      <c r="L2355" s="63" t="s">
        <v>21142</v>
      </c>
      <c r="M2355" s="63" t="s">
        <v>21573</v>
      </c>
      <c r="O2355" s="62">
        <v>45378</v>
      </c>
      <c r="P2355" s="65" t="s">
        <v>21</v>
      </c>
      <c r="Q2355" s="66" t="b">
        <v>0</v>
      </c>
      <c r="R2355" s="22">
        <f>IF(O2355=" ", " ", INT(YEARFRAC(O2355, B2355)*365))</f>
        <v>664</v>
      </c>
      <c r="S2355" s="63" t="s">
        <v>22196</v>
      </c>
    </row>
    <row r="2356" spans="1:19" ht="48">
      <c r="A2356" s="64">
        <v>12133</v>
      </c>
      <c r="B2356" s="62">
        <v>44720</v>
      </c>
      <c r="C2356" s="63" t="s">
        <v>21646</v>
      </c>
      <c r="D2356" s="62">
        <v>44719</v>
      </c>
      <c r="E2356" s="63" t="s">
        <v>21647</v>
      </c>
      <c r="F2356" s="63" t="s">
        <v>27</v>
      </c>
      <c r="G2356" s="63" t="s">
        <v>189</v>
      </c>
      <c r="H2356" s="63" t="s">
        <v>71</v>
      </c>
      <c r="I2356" s="63" t="s">
        <v>21</v>
      </c>
      <c r="J2356" s="63" t="s">
        <v>21648</v>
      </c>
      <c r="K2356" s="63" t="s">
        <v>21649</v>
      </c>
      <c r="L2356" s="63" t="s">
        <v>21142</v>
      </c>
      <c r="M2356" s="63" t="s">
        <v>21</v>
      </c>
      <c r="O2356" s="45">
        <v>45610</v>
      </c>
      <c r="P2356" s="65" t="s">
        <v>21</v>
      </c>
      <c r="Q2356" s="66" t="b">
        <v>0</v>
      </c>
      <c r="R2356" s="22">
        <f>IF(O2356=" ", " ", INT(YEARFRAC(O2356, B2356)*365))</f>
        <v>888</v>
      </c>
      <c r="S2356" s="63" t="s">
        <v>22197</v>
      </c>
    </row>
    <row r="2357" spans="1:19" ht="36">
      <c r="A2357" s="64">
        <v>12140</v>
      </c>
      <c r="B2357" s="62">
        <v>44740</v>
      </c>
      <c r="C2357" s="63" t="s">
        <v>21650</v>
      </c>
      <c r="D2357" s="62">
        <v>44740</v>
      </c>
      <c r="E2357" s="63" t="s">
        <v>21651</v>
      </c>
      <c r="F2357" s="63" t="s">
        <v>861</v>
      </c>
      <c r="G2357" s="63" t="s">
        <v>189</v>
      </c>
      <c r="H2357" s="63" t="s">
        <v>566</v>
      </c>
      <c r="I2357" s="63" t="s">
        <v>21</v>
      </c>
      <c r="J2357" s="63" t="s">
        <v>21652</v>
      </c>
      <c r="K2357" s="63" t="s">
        <v>9348</v>
      </c>
      <c r="L2357" s="63" t="s">
        <v>21142</v>
      </c>
      <c r="M2357" s="63" t="s">
        <v>21</v>
      </c>
      <c r="O2357" s="22"/>
      <c r="P2357" s="65" t="s">
        <v>21</v>
      </c>
      <c r="Q2357" s="66" t="b">
        <v>0</v>
      </c>
      <c r="R2357" s="22"/>
      <c r="S2357" s="63" t="s">
        <v>21</v>
      </c>
    </row>
    <row r="2358" spans="1:19" ht="24">
      <c r="A2358" s="64">
        <v>12142</v>
      </c>
      <c r="B2358" s="62">
        <v>44749</v>
      </c>
      <c r="C2358" s="63" t="s">
        <v>21653</v>
      </c>
      <c r="D2358" s="62">
        <v>44748</v>
      </c>
      <c r="E2358" s="63" t="s">
        <v>22198</v>
      </c>
      <c r="F2358" s="63" t="s">
        <v>9198</v>
      </c>
      <c r="G2358" s="63" t="s">
        <v>189</v>
      </c>
      <c r="H2358" s="63" t="s">
        <v>71</v>
      </c>
      <c r="I2358" s="63" t="s">
        <v>21</v>
      </c>
      <c r="J2358" s="63" t="s">
        <v>21654</v>
      </c>
      <c r="K2358" s="63" t="s">
        <v>9348</v>
      </c>
      <c r="L2358" s="63" t="s">
        <v>21573</v>
      </c>
      <c r="M2358" s="63" t="s">
        <v>21</v>
      </c>
      <c r="O2358" s="22"/>
      <c r="P2358" s="65" t="s">
        <v>21</v>
      </c>
      <c r="Q2358" s="66" t="b">
        <v>0</v>
      </c>
      <c r="R2358" s="22"/>
      <c r="S2358" s="63" t="s">
        <v>21</v>
      </c>
    </row>
    <row r="2359" spans="1:19" ht="36">
      <c r="A2359" s="64">
        <v>12143</v>
      </c>
      <c r="B2359" s="62">
        <v>44754</v>
      </c>
      <c r="C2359" s="63" t="s">
        <v>21655</v>
      </c>
      <c r="D2359" s="62">
        <v>44754</v>
      </c>
      <c r="E2359" s="63" t="s">
        <v>21656</v>
      </c>
      <c r="F2359" s="63" t="s">
        <v>21432</v>
      </c>
      <c r="G2359" s="63" t="s">
        <v>189</v>
      </c>
      <c r="H2359" s="63" t="s">
        <v>71</v>
      </c>
      <c r="I2359" s="63" t="s">
        <v>21</v>
      </c>
      <c r="J2359" s="63" t="s">
        <v>21657</v>
      </c>
      <c r="K2359" s="63" t="s">
        <v>21658</v>
      </c>
      <c r="L2359" s="63" t="s">
        <v>21142</v>
      </c>
      <c r="M2359" s="63" t="s">
        <v>21</v>
      </c>
      <c r="O2359" s="22"/>
      <c r="P2359" s="65" t="s">
        <v>21</v>
      </c>
      <c r="Q2359" s="66" t="b">
        <v>0</v>
      </c>
      <c r="R2359" s="22"/>
      <c r="S2359" s="63" t="s">
        <v>21</v>
      </c>
    </row>
    <row r="2360" spans="1:19" ht="36">
      <c r="A2360" s="64">
        <v>12149</v>
      </c>
      <c r="B2360" s="62">
        <v>44768</v>
      </c>
      <c r="C2360" s="63" t="s">
        <v>21659</v>
      </c>
      <c r="D2360" s="62">
        <v>44742</v>
      </c>
      <c r="E2360" s="63" t="s">
        <v>21660</v>
      </c>
      <c r="F2360" s="63" t="s">
        <v>1771</v>
      </c>
      <c r="G2360" s="63" t="s">
        <v>189</v>
      </c>
      <c r="H2360" s="63" t="s">
        <v>189</v>
      </c>
      <c r="I2360" s="63" t="s">
        <v>21</v>
      </c>
      <c r="J2360" s="63" t="s">
        <v>21661</v>
      </c>
      <c r="K2360" s="63" t="s">
        <v>328</v>
      </c>
      <c r="L2360" s="63" t="s">
        <v>21142</v>
      </c>
      <c r="M2360" s="63" t="s">
        <v>21</v>
      </c>
      <c r="O2360" s="90">
        <v>44907</v>
      </c>
      <c r="P2360" s="65" t="s">
        <v>21</v>
      </c>
      <c r="Q2360" s="66" t="b">
        <v>0</v>
      </c>
      <c r="R2360" s="22">
        <f>IF(O2360=" ", " ", INT(YEARFRAC(O2360, B2360)*365))</f>
        <v>137</v>
      </c>
      <c r="S2360" s="63" t="s">
        <v>21662</v>
      </c>
    </row>
    <row r="2361" spans="1:19" ht="36">
      <c r="A2361" s="64">
        <v>12150</v>
      </c>
      <c r="B2361" s="62">
        <v>44768</v>
      </c>
      <c r="C2361" s="63" t="s">
        <v>21663</v>
      </c>
      <c r="D2361" s="62">
        <v>44763</v>
      </c>
      <c r="E2361" s="63" t="s">
        <v>21664</v>
      </c>
      <c r="F2361" s="63" t="s">
        <v>21665</v>
      </c>
      <c r="G2361" s="63" t="s">
        <v>189</v>
      </c>
      <c r="H2361" s="63" t="s">
        <v>71</v>
      </c>
      <c r="I2361" s="63" t="s">
        <v>21</v>
      </c>
      <c r="J2361" s="63" t="s">
        <v>21666</v>
      </c>
      <c r="K2361" s="63" t="s">
        <v>9348</v>
      </c>
      <c r="L2361" s="63" t="s">
        <v>22185</v>
      </c>
      <c r="M2361" s="63" t="s">
        <v>21573</v>
      </c>
      <c r="O2361" s="22"/>
      <c r="P2361" s="65" t="s">
        <v>21</v>
      </c>
      <c r="Q2361" s="66" t="b">
        <v>0</v>
      </c>
      <c r="R2361" s="22"/>
      <c r="S2361" s="63" t="s">
        <v>21</v>
      </c>
    </row>
    <row r="2362" spans="1:19" ht="36">
      <c r="A2362" s="64">
        <v>12156</v>
      </c>
      <c r="B2362" s="62">
        <v>44775</v>
      </c>
      <c r="C2362" s="63" t="s">
        <v>21667</v>
      </c>
      <c r="D2362" s="62">
        <v>44774</v>
      </c>
      <c r="E2362" s="63" t="s">
        <v>21668</v>
      </c>
      <c r="F2362" s="63" t="s">
        <v>9198</v>
      </c>
      <c r="G2362" s="63" t="s">
        <v>189</v>
      </c>
      <c r="H2362" s="63" t="s">
        <v>71</v>
      </c>
      <c r="I2362" s="63" t="s">
        <v>21</v>
      </c>
      <c r="J2362" s="63" t="s">
        <v>21669</v>
      </c>
      <c r="K2362" s="63" t="s">
        <v>9348</v>
      </c>
      <c r="L2362" s="63" t="s">
        <v>21573</v>
      </c>
      <c r="M2362" s="63" t="s">
        <v>21</v>
      </c>
      <c r="O2362" s="22"/>
      <c r="P2362" s="65" t="s">
        <v>21</v>
      </c>
      <c r="Q2362" s="66" t="b">
        <v>0</v>
      </c>
      <c r="R2362" s="22"/>
      <c r="S2362" s="63" t="s">
        <v>21</v>
      </c>
    </row>
    <row r="2363" spans="1:19" ht="24">
      <c r="A2363" s="64">
        <v>12161</v>
      </c>
      <c r="B2363" s="62">
        <v>44778</v>
      </c>
      <c r="C2363" s="63" t="s">
        <v>21670</v>
      </c>
      <c r="D2363" s="62">
        <v>44775</v>
      </c>
      <c r="E2363" s="63" t="s">
        <v>21671</v>
      </c>
      <c r="F2363" s="63" t="s">
        <v>5690</v>
      </c>
      <c r="G2363" s="63" t="s">
        <v>189</v>
      </c>
      <c r="H2363" s="63" t="s">
        <v>71</v>
      </c>
      <c r="I2363" s="63" t="s">
        <v>21</v>
      </c>
      <c r="J2363" s="63" t="s">
        <v>21672</v>
      </c>
      <c r="K2363" s="63" t="s">
        <v>21673</v>
      </c>
      <c r="L2363" s="63" t="s">
        <v>4282</v>
      </c>
      <c r="M2363" s="63" t="s">
        <v>21</v>
      </c>
      <c r="P2363" s="65" t="s">
        <v>21</v>
      </c>
      <c r="Q2363" s="66" t="b">
        <v>0</v>
      </c>
      <c r="R2363" s="66"/>
      <c r="S2363" s="63" t="s">
        <v>21</v>
      </c>
    </row>
    <row r="2364" spans="1:19" ht="60">
      <c r="A2364" s="59">
        <v>12162</v>
      </c>
      <c r="B2364" s="60">
        <v>44783</v>
      </c>
      <c r="C2364" s="61" t="s">
        <v>21674</v>
      </c>
      <c r="D2364" s="60">
        <v>44778</v>
      </c>
      <c r="E2364" s="61" t="s">
        <v>21675</v>
      </c>
      <c r="F2364" s="61" t="s">
        <v>104</v>
      </c>
      <c r="G2364" s="61" t="s">
        <v>189</v>
      </c>
      <c r="H2364" s="61" t="s">
        <v>71</v>
      </c>
      <c r="I2364" s="61" t="s">
        <v>21</v>
      </c>
      <c r="J2364" s="61" t="s">
        <v>21676</v>
      </c>
      <c r="K2364" s="61" t="s">
        <v>21677</v>
      </c>
      <c r="L2364" s="61" t="s">
        <v>7167</v>
      </c>
      <c r="M2364" s="61" t="s">
        <v>21</v>
      </c>
      <c r="O2364" s="60">
        <v>45064</v>
      </c>
      <c r="P2364" s="61" t="s">
        <v>21</v>
      </c>
      <c r="Q2364" s="59" t="b">
        <v>0</v>
      </c>
      <c r="R2364" s="22">
        <f>IF(O2364=" ", " ", INT(YEARFRAC(O2364, B2364)*365))</f>
        <v>281</v>
      </c>
      <c r="S2364" s="61" t="s">
        <v>22141</v>
      </c>
    </row>
    <row r="2365" spans="1:19" ht="36">
      <c r="A2365" s="64">
        <v>12163</v>
      </c>
      <c r="B2365" s="62">
        <v>44783</v>
      </c>
      <c r="C2365" s="63" t="s">
        <v>21678</v>
      </c>
      <c r="D2365" s="62">
        <v>44781</v>
      </c>
      <c r="E2365" s="63" t="s">
        <v>21679</v>
      </c>
      <c r="F2365" s="63" t="s">
        <v>21680</v>
      </c>
      <c r="G2365" s="63" t="s">
        <v>189</v>
      </c>
      <c r="H2365" s="63" t="s">
        <v>71</v>
      </c>
      <c r="I2365" s="63" t="s">
        <v>21</v>
      </c>
      <c r="J2365" s="63" t="s">
        <v>21681</v>
      </c>
      <c r="K2365" s="63" t="s">
        <v>21682</v>
      </c>
      <c r="L2365" s="63" t="s">
        <v>4282</v>
      </c>
      <c r="M2365" s="63" t="s">
        <v>21</v>
      </c>
      <c r="O2365" s="22"/>
      <c r="P2365" s="65" t="s">
        <v>21</v>
      </c>
      <c r="Q2365" s="66" t="b">
        <v>0</v>
      </c>
      <c r="R2365" s="66"/>
      <c r="S2365" s="63" t="s">
        <v>21</v>
      </c>
    </row>
    <row r="2366" spans="1:19" ht="24">
      <c r="A2366" s="64">
        <v>12167</v>
      </c>
      <c r="B2366" s="62">
        <v>44797</v>
      </c>
      <c r="C2366" s="63" t="s">
        <v>21683</v>
      </c>
      <c r="D2366" s="62">
        <v>44791</v>
      </c>
      <c r="E2366" s="63" t="s">
        <v>21684</v>
      </c>
      <c r="F2366" s="63" t="s">
        <v>98</v>
      </c>
      <c r="G2366" s="63" t="s">
        <v>189</v>
      </c>
      <c r="H2366" s="63" t="s">
        <v>71</v>
      </c>
      <c r="I2366" s="63" t="s">
        <v>21</v>
      </c>
      <c r="J2366" s="63" t="s">
        <v>3581</v>
      </c>
      <c r="K2366" s="63" t="s">
        <v>21685</v>
      </c>
      <c r="L2366" s="63" t="s">
        <v>22185</v>
      </c>
      <c r="M2366" s="63" t="s">
        <v>21142</v>
      </c>
      <c r="P2366" s="65" t="s">
        <v>21</v>
      </c>
      <c r="Q2366" s="66" t="b">
        <v>0</v>
      </c>
      <c r="R2366" s="66"/>
      <c r="S2366" s="63" t="s">
        <v>21</v>
      </c>
    </row>
    <row r="2367" spans="1:19" ht="48">
      <c r="A2367" s="64">
        <v>12173</v>
      </c>
      <c r="B2367" s="62">
        <v>44803</v>
      </c>
      <c r="C2367" s="63" t="s">
        <v>21686</v>
      </c>
      <c r="D2367" s="62">
        <v>44803</v>
      </c>
      <c r="E2367" s="63" t="s">
        <v>21687</v>
      </c>
      <c r="F2367" s="63" t="s">
        <v>9198</v>
      </c>
      <c r="G2367" s="63" t="s">
        <v>189</v>
      </c>
      <c r="H2367" s="63" t="s">
        <v>71</v>
      </c>
      <c r="I2367" s="63" t="s">
        <v>21</v>
      </c>
      <c r="J2367" s="63" t="s">
        <v>22200</v>
      </c>
      <c r="K2367" s="63" t="s">
        <v>21688</v>
      </c>
      <c r="L2367" s="63" t="s">
        <v>21573</v>
      </c>
      <c r="M2367" s="63" t="s">
        <v>21</v>
      </c>
      <c r="P2367" s="65" t="s">
        <v>21</v>
      </c>
      <c r="Q2367" s="66" t="b">
        <v>0</v>
      </c>
      <c r="R2367" s="66"/>
      <c r="S2367" s="63" t="s">
        <v>21</v>
      </c>
    </row>
    <row r="2368" spans="1:19" ht="24">
      <c r="A2368" s="64">
        <v>12185</v>
      </c>
      <c r="B2368" s="62">
        <v>44831</v>
      </c>
      <c r="C2368" s="63" t="s">
        <v>21689</v>
      </c>
      <c r="D2368" s="62">
        <v>44827</v>
      </c>
      <c r="E2368" s="63" t="s">
        <v>21690</v>
      </c>
      <c r="F2368" s="63" t="s">
        <v>21691</v>
      </c>
      <c r="G2368" s="63" t="s">
        <v>189</v>
      </c>
      <c r="H2368" s="63" t="s">
        <v>71</v>
      </c>
      <c r="I2368" s="63" t="s">
        <v>21</v>
      </c>
      <c r="J2368" s="63" t="s">
        <v>22202</v>
      </c>
      <c r="K2368" s="63" t="s">
        <v>13389</v>
      </c>
      <c r="L2368" s="63" t="s">
        <v>21243</v>
      </c>
      <c r="M2368" s="63" t="s">
        <v>21</v>
      </c>
      <c r="P2368" s="65" t="s">
        <v>21</v>
      </c>
      <c r="Q2368" s="66" t="b">
        <v>0</v>
      </c>
      <c r="R2368" s="66"/>
      <c r="S2368" s="63" t="s">
        <v>21</v>
      </c>
    </row>
    <row r="2369" spans="1:19" ht="36">
      <c r="A2369" s="64">
        <v>12187</v>
      </c>
      <c r="B2369" s="62">
        <v>44832</v>
      </c>
      <c r="C2369" s="63" t="s">
        <v>21692</v>
      </c>
      <c r="D2369" s="62">
        <v>44831</v>
      </c>
      <c r="E2369" s="63" t="s">
        <v>21693</v>
      </c>
      <c r="F2369" s="63" t="s">
        <v>21694</v>
      </c>
      <c r="G2369" s="63" t="s">
        <v>189</v>
      </c>
      <c r="H2369" s="63" t="s">
        <v>71</v>
      </c>
      <c r="I2369" s="63" t="s">
        <v>21</v>
      </c>
      <c r="J2369" s="63" t="s">
        <v>14596</v>
      </c>
      <c r="K2369" s="63" t="s">
        <v>21695</v>
      </c>
      <c r="L2369" s="63" t="s">
        <v>4282</v>
      </c>
      <c r="M2369" s="63" t="s">
        <v>21</v>
      </c>
      <c r="P2369" s="65" t="s">
        <v>21</v>
      </c>
      <c r="Q2369" s="66" t="b">
        <v>0</v>
      </c>
      <c r="R2369" s="66"/>
      <c r="S2369" s="63" t="s">
        <v>21</v>
      </c>
    </row>
    <row r="2370" spans="1:19">
      <c r="A2370" s="64">
        <v>12190</v>
      </c>
      <c r="B2370" s="62">
        <v>44839</v>
      </c>
      <c r="C2370" s="63" t="s">
        <v>21696</v>
      </c>
      <c r="D2370" s="62">
        <v>44839</v>
      </c>
      <c r="E2370" s="63" t="s">
        <v>21697</v>
      </c>
      <c r="F2370" s="63" t="s">
        <v>16173</v>
      </c>
      <c r="G2370" s="63" t="s">
        <v>189</v>
      </c>
      <c r="H2370" s="63" t="s">
        <v>566</v>
      </c>
      <c r="I2370" s="63" t="s">
        <v>21</v>
      </c>
      <c r="J2370" s="63" t="s">
        <v>22204</v>
      </c>
      <c r="K2370" s="63" t="s">
        <v>21698</v>
      </c>
      <c r="L2370" s="63" t="s">
        <v>21142</v>
      </c>
      <c r="M2370" s="63" t="s">
        <v>21</v>
      </c>
      <c r="P2370" s="65" t="s">
        <v>21</v>
      </c>
      <c r="Q2370" s="66" t="b">
        <v>0</v>
      </c>
      <c r="R2370" s="66"/>
      <c r="S2370" s="63" t="s">
        <v>21</v>
      </c>
    </row>
    <row r="2371" spans="1:19">
      <c r="A2371" s="64">
        <v>12199</v>
      </c>
      <c r="B2371" s="62">
        <v>44859</v>
      </c>
      <c r="C2371" s="63" t="s">
        <v>21699</v>
      </c>
      <c r="D2371" s="62">
        <v>44859</v>
      </c>
      <c r="E2371" s="63" t="s">
        <v>21700</v>
      </c>
      <c r="F2371" s="63" t="s">
        <v>124</v>
      </c>
      <c r="G2371" s="63" t="s">
        <v>189</v>
      </c>
      <c r="H2371" s="63" t="s">
        <v>71</v>
      </c>
      <c r="I2371" s="63" t="s">
        <v>21</v>
      </c>
      <c r="J2371" s="63" t="s">
        <v>22205</v>
      </c>
      <c r="K2371" s="63" t="s">
        <v>21701</v>
      </c>
      <c r="L2371" s="63" t="s">
        <v>4282</v>
      </c>
      <c r="M2371" s="63" t="s">
        <v>21</v>
      </c>
      <c r="P2371" s="65" t="s">
        <v>21</v>
      </c>
      <c r="Q2371" s="66" t="b">
        <v>0</v>
      </c>
      <c r="R2371" s="66"/>
      <c r="S2371" s="63" t="s">
        <v>21</v>
      </c>
    </row>
    <row r="2372" spans="1:19" ht="24">
      <c r="A2372" s="64">
        <v>12205</v>
      </c>
      <c r="B2372" s="62">
        <v>44865</v>
      </c>
      <c r="C2372" s="63" t="s">
        <v>21702</v>
      </c>
      <c r="D2372" s="62">
        <v>44861</v>
      </c>
      <c r="E2372" s="63" t="s">
        <v>21703</v>
      </c>
      <c r="F2372" s="63" t="s">
        <v>861</v>
      </c>
      <c r="G2372" s="63" t="s">
        <v>189</v>
      </c>
      <c r="H2372" s="63" t="s">
        <v>566</v>
      </c>
      <c r="I2372" s="63" t="s">
        <v>21</v>
      </c>
      <c r="J2372" s="63" t="s">
        <v>22206</v>
      </c>
      <c r="K2372" s="63" t="s">
        <v>21704</v>
      </c>
      <c r="L2372" s="63" t="s">
        <v>21573</v>
      </c>
      <c r="M2372" s="63" t="s">
        <v>21</v>
      </c>
      <c r="P2372" s="65" t="s">
        <v>21</v>
      </c>
      <c r="Q2372" s="66" t="b">
        <v>0</v>
      </c>
      <c r="R2372" s="66"/>
      <c r="S2372" s="63" t="s">
        <v>21</v>
      </c>
    </row>
    <row r="2373" spans="1:19" ht="96">
      <c r="A2373" s="59">
        <v>12214</v>
      </c>
      <c r="B2373" s="60">
        <v>44890</v>
      </c>
      <c r="C2373" s="61" t="s">
        <v>21705</v>
      </c>
      <c r="D2373" s="60">
        <v>44887</v>
      </c>
      <c r="E2373" s="61" t="s">
        <v>21706</v>
      </c>
      <c r="F2373" s="61" t="s">
        <v>56</v>
      </c>
      <c r="G2373" s="61" t="s">
        <v>189</v>
      </c>
      <c r="H2373" s="61" t="s">
        <v>71</v>
      </c>
      <c r="I2373" s="61" t="s">
        <v>21</v>
      </c>
      <c r="J2373" s="61" t="s">
        <v>22209</v>
      </c>
      <c r="K2373" s="61" t="s">
        <v>18037</v>
      </c>
      <c r="L2373" s="61" t="s">
        <v>21573</v>
      </c>
      <c r="M2373" s="61" t="s">
        <v>21</v>
      </c>
      <c r="O2373" s="29">
        <v>44944</v>
      </c>
      <c r="P2373" s="61" t="s">
        <v>21</v>
      </c>
      <c r="Q2373" s="59" t="b">
        <v>0</v>
      </c>
      <c r="R2373" s="22">
        <f>IF(O2373=" ", " ", INT(YEARFRAC(O2373, B2373)*365))</f>
        <v>53</v>
      </c>
      <c r="S2373" s="61" t="s">
        <v>22210</v>
      </c>
    </row>
    <row r="2374" spans="1:19" ht="36">
      <c r="A2374" s="64">
        <v>12222</v>
      </c>
      <c r="B2374" s="62">
        <v>44914</v>
      </c>
      <c r="C2374" s="63" t="s">
        <v>21707</v>
      </c>
      <c r="D2374" s="62">
        <v>44911</v>
      </c>
      <c r="E2374" s="63" t="s">
        <v>21708</v>
      </c>
      <c r="F2374" s="63" t="s">
        <v>21709</v>
      </c>
      <c r="G2374" s="63" t="s">
        <v>189</v>
      </c>
      <c r="H2374" s="63" t="s">
        <v>189</v>
      </c>
      <c r="I2374" s="63" t="s">
        <v>21</v>
      </c>
      <c r="J2374" s="63" t="s">
        <v>19840</v>
      </c>
      <c r="K2374" s="63" t="s">
        <v>21710</v>
      </c>
      <c r="L2374" s="63" t="s">
        <v>22185</v>
      </c>
      <c r="M2374" s="63" t="s">
        <v>21243</v>
      </c>
      <c r="O2374" s="45">
        <v>45649</v>
      </c>
      <c r="P2374" s="65" t="s">
        <v>21</v>
      </c>
      <c r="Q2374" s="66" t="b">
        <v>0</v>
      </c>
      <c r="R2374" s="22">
        <f>IF(O2374=" ", " ", INT(YEARFRAC(O2374, B2374)*365))</f>
        <v>734</v>
      </c>
      <c r="S2374" s="63" t="s">
        <v>22212</v>
      </c>
    </row>
    <row r="2375" spans="1:19" ht="24">
      <c r="A2375" s="64">
        <v>12226</v>
      </c>
      <c r="B2375" s="62">
        <v>44915</v>
      </c>
      <c r="C2375" s="63" t="s">
        <v>21711</v>
      </c>
      <c r="D2375" s="62">
        <v>44910</v>
      </c>
      <c r="E2375" s="63" t="s">
        <v>21712</v>
      </c>
      <c r="F2375" s="63" t="s">
        <v>5690</v>
      </c>
      <c r="G2375" s="63" t="s">
        <v>189</v>
      </c>
      <c r="H2375" s="63" t="s">
        <v>71</v>
      </c>
      <c r="I2375" s="63" t="s">
        <v>21</v>
      </c>
      <c r="J2375" s="63" t="s">
        <v>22213</v>
      </c>
      <c r="K2375" s="63" t="s">
        <v>16009</v>
      </c>
      <c r="L2375" s="63" t="s">
        <v>21243</v>
      </c>
      <c r="M2375" s="63" t="s">
        <v>21573</v>
      </c>
      <c r="P2375" s="65" t="s">
        <v>21</v>
      </c>
      <c r="Q2375" s="66" t="b">
        <v>0</v>
      </c>
      <c r="R2375" s="66"/>
      <c r="S2375" s="63" t="s">
        <v>21</v>
      </c>
    </row>
    <row r="2376" spans="1:19" ht="36">
      <c r="A2376" s="64">
        <v>12227</v>
      </c>
      <c r="B2376" s="62">
        <v>44923</v>
      </c>
      <c r="C2376" s="63" t="s">
        <v>21713</v>
      </c>
      <c r="D2376" s="62">
        <v>44922</v>
      </c>
      <c r="E2376" s="63" t="s">
        <v>21714</v>
      </c>
      <c r="F2376" s="63" t="s">
        <v>10114</v>
      </c>
      <c r="G2376" s="63" t="s">
        <v>189</v>
      </c>
      <c r="H2376" s="63" t="s">
        <v>71</v>
      </c>
      <c r="I2376" s="63" t="s">
        <v>21</v>
      </c>
      <c r="J2376" s="63" t="s">
        <v>22214</v>
      </c>
      <c r="K2376" s="63" t="s">
        <v>13389</v>
      </c>
      <c r="L2376" s="63" t="s">
        <v>7167</v>
      </c>
      <c r="M2376" s="63" t="s">
        <v>21</v>
      </c>
      <c r="P2376" s="65" t="s">
        <v>21</v>
      </c>
      <c r="Q2376" s="66" t="b">
        <v>0</v>
      </c>
      <c r="R2376" s="66"/>
      <c r="S2376" s="63" t="s">
        <v>22215</v>
      </c>
    </row>
    <row r="2377" spans="1:19" ht="24">
      <c r="A2377" s="64">
        <v>12230</v>
      </c>
      <c r="B2377" s="62">
        <v>44930</v>
      </c>
      <c r="C2377" s="63" t="s">
        <v>21715</v>
      </c>
      <c r="D2377" s="62">
        <v>44929</v>
      </c>
      <c r="E2377" s="63" t="s">
        <v>21716</v>
      </c>
      <c r="F2377" s="63" t="s">
        <v>367</v>
      </c>
      <c r="G2377" s="63" t="s">
        <v>189</v>
      </c>
      <c r="H2377" s="63" t="s">
        <v>71</v>
      </c>
      <c r="I2377" s="63" t="s">
        <v>21</v>
      </c>
      <c r="J2377" s="63" t="s">
        <v>22216</v>
      </c>
      <c r="K2377" s="63" t="s">
        <v>21717</v>
      </c>
      <c r="L2377" s="63" t="s">
        <v>21142</v>
      </c>
      <c r="M2377" s="63" t="s">
        <v>21</v>
      </c>
      <c r="P2377" s="65" t="s">
        <v>21</v>
      </c>
      <c r="Q2377" s="66" t="b">
        <v>0</v>
      </c>
      <c r="R2377" s="66"/>
      <c r="S2377" s="63" t="s">
        <v>21</v>
      </c>
    </row>
    <row r="2378" spans="1:19" ht="36">
      <c r="A2378" s="64">
        <v>12237</v>
      </c>
      <c r="B2378" s="62">
        <v>44953</v>
      </c>
      <c r="C2378" s="63" t="s">
        <v>22227</v>
      </c>
      <c r="D2378" s="62">
        <v>44952</v>
      </c>
      <c r="E2378" s="63" t="s">
        <v>22228</v>
      </c>
      <c r="F2378" s="63" t="s">
        <v>27</v>
      </c>
      <c r="G2378" s="63" t="s">
        <v>189</v>
      </c>
      <c r="H2378" s="63" t="s">
        <v>71</v>
      </c>
      <c r="I2378" s="63" t="s">
        <v>21</v>
      </c>
      <c r="J2378" s="63" t="s">
        <v>22229</v>
      </c>
      <c r="K2378" s="63" t="s">
        <v>22230</v>
      </c>
      <c r="L2378" s="63" t="s">
        <v>21142</v>
      </c>
      <c r="M2378" s="63" t="s">
        <v>21</v>
      </c>
      <c r="P2378" s="65" t="s">
        <v>21</v>
      </c>
      <c r="Q2378" s="66" t="b">
        <v>0</v>
      </c>
      <c r="R2378" s="66"/>
      <c r="S2378" s="63" t="s">
        <v>21</v>
      </c>
    </row>
    <row r="2379" spans="1:19" ht="24">
      <c r="A2379" s="64">
        <v>12239</v>
      </c>
      <c r="B2379" s="62">
        <v>44956</v>
      </c>
      <c r="C2379" s="63" t="s">
        <v>22234</v>
      </c>
      <c r="D2379" s="62">
        <v>44956</v>
      </c>
      <c r="E2379" s="63" t="s">
        <v>22235</v>
      </c>
      <c r="F2379" s="63" t="s">
        <v>3171</v>
      </c>
      <c r="G2379" s="63" t="s">
        <v>189</v>
      </c>
      <c r="H2379" s="63" t="s">
        <v>566</v>
      </c>
      <c r="I2379" s="63" t="s">
        <v>21</v>
      </c>
      <c r="J2379" s="63" t="s">
        <v>6588</v>
      </c>
      <c r="K2379" s="63" t="s">
        <v>22236</v>
      </c>
      <c r="L2379" s="63" t="s">
        <v>21142</v>
      </c>
      <c r="M2379" s="63" t="s">
        <v>21</v>
      </c>
      <c r="P2379" s="65" t="s">
        <v>21</v>
      </c>
      <c r="Q2379" s="66" t="b">
        <v>0</v>
      </c>
      <c r="R2379" s="66"/>
      <c r="S2379" s="63" t="s">
        <v>21</v>
      </c>
    </row>
    <row r="2380" spans="1:19" ht="24">
      <c r="A2380" s="64">
        <v>12244</v>
      </c>
      <c r="B2380" s="62">
        <v>44966</v>
      </c>
      <c r="C2380" s="63" t="s">
        <v>22247</v>
      </c>
      <c r="D2380" s="62">
        <v>44965</v>
      </c>
      <c r="E2380" s="63" t="s">
        <v>22224</v>
      </c>
      <c r="F2380" s="63" t="s">
        <v>3615</v>
      </c>
      <c r="G2380" s="63" t="s">
        <v>189</v>
      </c>
      <c r="H2380" s="63" t="s">
        <v>189</v>
      </c>
      <c r="I2380" s="63" t="s">
        <v>21</v>
      </c>
      <c r="J2380" s="63" t="s">
        <v>22248</v>
      </c>
      <c r="K2380" s="63" t="s">
        <v>20489</v>
      </c>
      <c r="L2380" s="63" t="s">
        <v>7167</v>
      </c>
      <c r="M2380" s="63" t="s">
        <v>21</v>
      </c>
      <c r="O2380" s="22"/>
      <c r="P2380" s="65" t="s">
        <v>21</v>
      </c>
      <c r="Q2380" s="66" t="b">
        <v>0</v>
      </c>
      <c r="R2380" s="66"/>
      <c r="S2380" s="63" t="s">
        <v>22222</v>
      </c>
    </row>
    <row r="2381" spans="1:19" ht="24">
      <c r="A2381" s="64">
        <v>12245</v>
      </c>
      <c r="B2381" s="62">
        <v>44970</v>
      </c>
      <c r="C2381" s="63" t="s">
        <v>22249</v>
      </c>
      <c r="D2381" s="62">
        <v>44964</v>
      </c>
      <c r="E2381" s="63" t="s">
        <v>22250</v>
      </c>
      <c r="F2381" s="63" t="s">
        <v>22251</v>
      </c>
      <c r="G2381" s="63" t="s">
        <v>189</v>
      </c>
      <c r="H2381" s="63" t="s">
        <v>71</v>
      </c>
      <c r="I2381" s="63" t="s">
        <v>21</v>
      </c>
      <c r="J2381" s="63" t="s">
        <v>22252</v>
      </c>
      <c r="K2381" s="63" t="s">
        <v>16066</v>
      </c>
      <c r="L2381" s="63" t="s">
        <v>21573</v>
      </c>
      <c r="M2381" s="63" t="s">
        <v>21</v>
      </c>
      <c r="O2381" s="45">
        <v>45330</v>
      </c>
      <c r="P2381" s="65" t="s">
        <v>21</v>
      </c>
      <c r="Q2381" s="66" t="b">
        <v>0</v>
      </c>
      <c r="R2381" s="22">
        <f>IF(O2381=" ", " ", INT(YEARFRAC(O2381, B2381)*365))</f>
        <v>359</v>
      </c>
      <c r="S2381" s="63" t="s">
        <v>21621</v>
      </c>
    </row>
    <row r="2382" spans="1:19" ht="36">
      <c r="A2382" s="64">
        <v>12247</v>
      </c>
      <c r="B2382" s="62">
        <v>44974</v>
      </c>
      <c r="C2382" s="63" t="s">
        <v>22256</v>
      </c>
      <c r="D2382" s="62">
        <v>44973</v>
      </c>
      <c r="E2382" s="63" t="s">
        <v>22257</v>
      </c>
      <c r="F2382" s="63" t="s">
        <v>327</v>
      </c>
      <c r="G2382" s="63" t="s">
        <v>189</v>
      </c>
      <c r="H2382" s="63" t="s">
        <v>71</v>
      </c>
      <c r="I2382" s="63" t="s">
        <v>21</v>
      </c>
      <c r="J2382" s="63" t="s">
        <v>22258</v>
      </c>
      <c r="K2382" s="63" t="s">
        <v>22259</v>
      </c>
      <c r="L2382" s="63" t="s">
        <v>21243</v>
      </c>
      <c r="M2382" s="63" t="s">
        <v>21573</v>
      </c>
      <c r="P2382" s="65" t="s">
        <v>21</v>
      </c>
      <c r="Q2382" s="66" t="b">
        <v>0</v>
      </c>
      <c r="R2382" s="66"/>
      <c r="S2382" s="63" t="s">
        <v>21</v>
      </c>
    </row>
    <row r="2383" spans="1:19" ht="108">
      <c r="A2383" s="59">
        <v>12249</v>
      </c>
      <c r="B2383" s="60">
        <v>44974</v>
      </c>
      <c r="C2383" s="61" t="s">
        <v>22263</v>
      </c>
      <c r="D2383" s="60">
        <v>44973</v>
      </c>
      <c r="E2383" s="61" t="s">
        <v>22264</v>
      </c>
      <c r="F2383" s="61" t="s">
        <v>228</v>
      </c>
      <c r="G2383" s="61" t="s">
        <v>189</v>
      </c>
      <c r="H2383" s="61" t="s">
        <v>71</v>
      </c>
      <c r="I2383" s="61" t="s">
        <v>21</v>
      </c>
      <c r="J2383" s="61" t="s">
        <v>22265</v>
      </c>
      <c r="K2383" s="61" t="s">
        <v>22266</v>
      </c>
      <c r="L2383" s="61" t="s">
        <v>21243</v>
      </c>
      <c r="M2383" s="61" t="s">
        <v>21</v>
      </c>
      <c r="O2383" s="29">
        <v>45030</v>
      </c>
      <c r="P2383" s="61" t="s">
        <v>21</v>
      </c>
      <c r="Q2383" s="59" t="b">
        <v>0</v>
      </c>
      <c r="R2383" s="22">
        <f>IF(O2383=" ", " ", INT(YEARFRAC(O2383, B2383)*365))</f>
        <v>57</v>
      </c>
      <c r="S2383" s="61" t="s">
        <v>22267</v>
      </c>
    </row>
    <row r="2384" spans="1:19" ht="36">
      <c r="A2384" s="64">
        <v>12254</v>
      </c>
      <c r="B2384" s="62">
        <v>44991</v>
      </c>
      <c r="C2384" s="63" t="s">
        <v>22280</v>
      </c>
      <c r="D2384" s="62">
        <v>44991</v>
      </c>
      <c r="E2384" s="63" t="s">
        <v>22281</v>
      </c>
      <c r="F2384" s="63" t="s">
        <v>104</v>
      </c>
      <c r="G2384" s="63" t="s">
        <v>189</v>
      </c>
      <c r="H2384" s="63" t="s">
        <v>71</v>
      </c>
      <c r="I2384" s="63" t="s">
        <v>21</v>
      </c>
      <c r="J2384" s="63" t="s">
        <v>22282</v>
      </c>
      <c r="K2384" s="63" t="s">
        <v>1241</v>
      </c>
      <c r="L2384" s="63" t="s">
        <v>21142</v>
      </c>
      <c r="M2384" s="63" t="s">
        <v>21</v>
      </c>
      <c r="P2384" s="65" t="s">
        <v>21</v>
      </c>
      <c r="Q2384" s="66" t="b">
        <v>0</v>
      </c>
      <c r="R2384" s="66"/>
      <c r="S2384" s="63" t="s">
        <v>21</v>
      </c>
    </row>
    <row r="2385" spans="1:19" ht="24">
      <c r="A2385" s="64">
        <v>12256</v>
      </c>
      <c r="B2385" s="62">
        <v>44994</v>
      </c>
      <c r="C2385" s="63" t="s">
        <v>22286</v>
      </c>
      <c r="D2385" s="62">
        <v>44993</v>
      </c>
      <c r="E2385" s="63" t="s">
        <v>22287</v>
      </c>
      <c r="F2385" s="63" t="s">
        <v>3615</v>
      </c>
      <c r="G2385" s="63" t="s">
        <v>189</v>
      </c>
      <c r="H2385" s="63" t="s">
        <v>71</v>
      </c>
      <c r="I2385" s="63" t="s">
        <v>21</v>
      </c>
      <c r="J2385" s="63" t="s">
        <v>22262</v>
      </c>
      <c r="K2385" s="63" t="s">
        <v>22288</v>
      </c>
      <c r="L2385" s="63" t="s">
        <v>7167</v>
      </c>
      <c r="M2385" s="63" t="s">
        <v>21</v>
      </c>
      <c r="P2385" s="65" t="s">
        <v>21</v>
      </c>
      <c r="Q2385" s="66" t="b">
        <v>0</v>
      </c>
      <c r="R2385" s="66"/>
      <c r="S2385" s="63" t="s">
        <v>22261</v>
      </c>
    </row>
    <row r="2386" spans="1:19" ht="36">
      <c r="A2386" s="64">
        <v>12257</v>
      </c>
      <c r="B2386" s="62">
        <v>44994</v>
      </c>
      <c r="C2386" s="63" t="s">
        <v>22289</v>
      </c>
      <c r="D2386" s="62">
        <v>44993</v>
      </c>
      <c r="E2386" s="63" t="s">
        <v>22215</v>
      </c>
      <c r="F2386" s="63" t="s">
        <v>10114</v>
      </c>
      <c r="G2386" s="63" t="s">
        <v>189</v>
      </c>
      <c r="H2386" s="63" t="s">
        <v>71</v>
      </c>
      <c r="I2386" s="63" t="s">
        <v>21</v>
      </c>
      <c r="J2386" s="63" t="s">
        <v>22290</v>
      </c>
      <c r="K2386" s="63" t="s">
        <v>22291</v>
      </c>
      <c r="L2386" s="63" t="s">
        <v>7167</v>
      </c>
      <c r="M2386" s="63" t="s">
        <v>21</v>
      </c>
      <c r="P2386" s="65" t="s">
        <v>21</v>
      </c>
      <c r="Q2386" s="66" t="b">
        <v>0</v>
      </c>
      <c r="R2386" s="66"/>
      <c r="S2386" s="63" t="s">
        <v>21714</v>
      </c>
    </row>
    <row r="2387" spans="1:19" ht="24">
      <c r="A2387" s="64">
        <v>12260</v>
      </c>
      <c r="B2387" s="62">
        <v>45000</v>
      </c>
      <c r="C2387" s="63" t="s">
        <v>22297</v>
      </c>
      <c r="D2387" s="62">
        <v>45000</v>
      </c>
      <c r="E2387" s="63" t="s">
        <v>22272</v>
      </c>
      <c r="F2387" s="63" t="s">
        <v>3615</v>
      </c>
      <c r="G2387" s="63" t="s">
        <v>189</v>
      </c>
      <c r="H2387" s="63" t="s">
        <v>189</v>
      </c>
      <c r="I2387" s="63" t="s">
        <v>21</v>
      </c>
      <c r="J2387" s="63" t="s">
        <v>22270</v>
      </c>
      <c r="K2387" s="63" t="s">
        <v>22271</v>
      </c>
      <c r="L2387" s="63" t="s">
        <v>7167</v>
      </c>
      <c r="M2387" s="63" t="s">
        <v>21</v>
      </c>
      <c r="O2387" s="22"/>
      <c r="P2387" s="65" t="s">
        <v>21</v>
      </c>
      <c r="Q2387" s="66" t="b">
        <v>0</v>
      </c>
      <c r="R2387" s="66"/>
      <c r="S2387" s="63" t="s">
        <v>22269</v>
      </c>
    </row>
    <row r="2388" spans="1:19" ht="24">
      <c r="A2388" s="64">
        <v>12261</v>
      </c>
      <c r="B2388" s="62">
        <v>45000</v>
      </c>
      <c r="C2388" s="63" t="s">
        <v>22298</v>
      </c>
      <c r="D2388" s="62">
        <v>45000</v>
      </c>
      <c r="E2388" s="63" t="s">
        <v>22299</v>
      </c>
      <c r="F2388" s="63" t="s">
        <v>94</v>
      </c>
      <c r="G2388" s="63" t="s">
        <v>189</v>
      </c>
      <c r="H2388" s="63" t="s">
        <v>71</v>
      </c>
      <c r="I2388" s="63" t="s">
        <v>21</v>
      </c>
      <c r="J2388" s="63" t="s">
        <v>22300</v>
      </c>
      <c r="K2388" s="63" t="s">
        <v>572</v>
      </c>
      <c r="L2388" s="63" t="s">
        <v>21573</v>
      </c>
      <c r="M2388" s="63" t="s">
        <v>21</v>
      </c>
      <c r="P2388" s="65" t="s">
        <v>21</v>
      </c>
      <c r="Q2388" s="66" t="b">
        <v>0</v>
      </c>
      <c r="R2388" s="66"/>
      <c r="S2388" s="63" t="s">
        <v>21</v>
      </c>
    </row>
    <row r="2389" spans="1:19" ht="36">
      <c r="A2389" s="64">
        <v>12265</v>
      </c>
      <c r="B2389" s="62">
        <v>45013</v>
      </c>
      <c r="C2389" s="63" t="s">
        <v>22313</v>
      </c>
      <c r="D2389" s="62">
        <v>45013</v>
      </c>
      <c r="E2389" s="63" t="s">
        <v>22314</v>
      </c>
      <c r="F2389" s="63" t="s">
        <v>27</v>
      </c>
      <c r="G2389" s="63" t="s">
        <v>189</v>
      </c>
      <c r="H2389" s="63" t="s">
        <v>71</v>
      </c>
      <c r="I2389" s="63" t="s">
        <v>21</v>
      </c>
      <c r="J2389" s="63" t="s">
        <v>22315</v>
      </c>
      <c r="K2389" s="63" t="s">
        <v>22316</v>
      </c>
      <c r="L2389" s="63" t="s">
        <v>21243</v>
      </c>
      <c r="M2389" s="63" t="s">
        <v>21</v>
      </c>
      <c r="P2389" s="65" t="s">
        <v>21</v>
      </c>
      <c r="Q2389" s="66" t="b">
        <v>0</v>
      </c>
      <c r="R2389" s="66"/>
      <c r="S2389" s="63" t="s">
        <v>21</v>
      </c>
    </row>
    <row r="2390" spans="1:19" ht="24">
      <c r="A2390" s="64">
        <v>12268</v>
      </c>
      <c r="B2390" s="62">
        <v>45022</v>
      </c>
      <c r="C2390" s="63" t="s">
        <v>22322</v>
      </c>
      <c r="D2390" s="62">
        <v>45021</v>
      </c>
      <c r="E2390" s="63" t="s">
        <v>22323</v>
      </c>
      <c r="F2390" s="63" t="s">
        <v>22324</v>
      </c>
      <c r="G2390" s="63" t="s">
        <v>189</v>
      </c>
      <c r="H2390" s="63" t="s">
        <v>71</v>
      </c>
      <c r="I2390" s="63" t="s">
        <v>21</v>
      </c>
      <c r="J2390" s="63" t="s">
        <v>22325</v>
      </c>
      <c r="K2390" s="63" t="s">
        <v>22326</v>
      </c>
      <c r="L2390" s="63" t="s">
        <v>21142</v>
      </c>
      <c r="M2390" s="63" t="s">
        <v>21</v>
      </c>
      <c r="P2390" s="65" t="s">
        <v>21</v>
      </c>
      <c r="Q2390" s="66" t="b">
        <v>0</v>
      </c>
      <c r="R2390" s="66"/>
      <c r="S2390" s="63" t="s">
        <v>21</v>
      </c>
    </row>
    <row r="2391" spans="1:19" ht="36">
      <c r="A2391" s="64">
        <v>12269</v>
      </c>
      <c r="B2391" s="62">
        <v>45027</v>
      </c>
      <c r="C2391" s="63" t="s">
        <v>22327</v>
      </c>
      <c r="D2391" s="62">
        <v>45027</v>
      </c>
      <c r="E2391" s="63" t="s">
        <v>22328</v>
      </c>
      <c r="F2391" s="63" t="s">
        <v>52</v>
      </c>
      <c r="G2391" s="63" t="s">
        <v>189</v>
      </c>
      <c r="H2391" s="63" t="s">
        <v>71</v>
      </c>
      <c r="I2391" s="63" t="s">
        <v>21</v>
      </c>
      <c r="J2391" s="63" t="s">
        <v>22329</v>
      </c>
      <c r="K2391" s="63" t="s">
        <v>22330</v>
      </c>
      <c r="L2391" s="63" t="s">
        <v>22185</v>
      </c>
      <c r="M2391" s="63" t="s">
        <v>21142</v>
      </c>
      <c r="O2391" s="45">
        <v>45408</v>
      </c>
      <c r="P2391" s="65" t="s">
        <v>21</v>
      </c>
      <c r="Q2391" s="66" t="b">
        <v>0</v>
      </c>
      <c r="R2391" s="22">
        <f>IF(O2391=" ", " ", INT(YEARFRAC(O2391, B2391)*365))</f>
        <v>380</v>
      </c>
      <c r="S2391" s="63" t="s">
        <v>22331</v>
      </c>
    </row>
    <row r="2392" spans="1:19" ht="36">
      <c r="A2392" s="64">
        <v>12273</v>
      </c>
      <c r="B2392" s="62">
        <v>45035</v>
      </c>
      <c r="C2392" s="63" t="s">
        <v>22344</v>
      </c>
      <c r="D2392" s="62">
        <v>45035</v>
      </c>
      <c r="E2392" s="63" t="s">
        <v>22345</v>
      </c>
      <c r="F2392" s="63" t="s">
        <v>16173</v>
      </c>
      <c r="G2392" s="63" t="s">
        <v>189</v>
      </c>
      <c r="H2392" s="63" t="s">
        <v>566</v>
      </c>
      <c r="I2392" s="63" t="s">
        <v>21</v>
      </c>
      <c r="J2392" s="63" t="s">
        <v>6588</v>
      </c>
      <c r="K2392" s="63" t="s">
        <v>22346</v>
      </c>
      <c r="L2392" s="63" t="s">
        <v>21573</v>
      </c>
      <c r="M2392" s="63" t="s">
        <v>21</v>
      </c>
      <c r="P2392" s="65" t="s">
        <v>21</v>
      </c>
      <c r="Q2392" s="66" t="b">
        <v>0</v>
      </c>
      <c r="R2392" s="66"/>
      <c r="S2392" s="63" t="s">
        <v>22347</v>
      </c>
    </row>
    <row r="2393" spans="1:19" ht="36">
      <c r="A2393" s="64">
        <v>12275</v>
      </c>
      <c r="B2393" s="62">
        <v>45043</v>
      </c>
      <c r="C2393" s="63" t="s">
        <v>22352</v>
      </c>
      <c r="D2393" s="62">
        <v>45035</v>
      </c>
      <c r="E2393" s="63" t="s">
        <v>22347</v>
      </c>
      <c r="F2393" s="63" t="s">
        <v>16173</v>
      </c>
      <c r="G2393" s="63" t="s">
        <v>189</v>
      </c>
      <c r="H2393" s="63" t="s">
        <v>566</v>
      </c>
      <c r="I2393" s="63" t="s">
        <v>21</v>
      </c>
      <c r="J2393" s="63" t="s">
        <v>22353</v>
      </c>
      <c r="K2393" s="63" t="s">
        <v>14438</v>
      </c>
      <c r="L2393" s="63" t="s">
        <v>21573</v>
      </c>
      <c r="M2393" s="63" t="s">
        <v>21</v>
      </c>
      <c r="P2393" s="65" t="s">
        <v>21</v>
      </c>
      <c r="Q2393" s="66" t="b">
        <v>0</v>
      </c>
      <c r="R2393" s="66"/>
      <c r="S2393" s="63" t="s">
        <v>22345</v>
      </c>
    </row>
    <row r="2394" spans="1:19" ht="24">
      <c r="A2394" s="64">
        <v>12290</v>
      </c>
      <c r="B2394" s="62">
        <v>45096</v>
      </c>
      <c r="C2394" s="63" t="s">
        <v>22404</v>
      </c>
      <c r="D2394" s="62">
        <v>45091</v>
      </c>
      <c r="E2394" s="63" t="s">
        <v>22405</v>
      </c>
      <c r="F2394" s="63" t="s">
        <v>22406</v>
      </c>
      <c r="G2394" s="63" t="s">
        <v>189</v>
      </c>
      <c r="H2394" s="63" t="s">
        <v>566</v>
      </c>
      <c r="I2394" s="63" t="s">
        <v>21</v>
      </c>
      <c r="J2394" s="63" t="s">
        <v>22407</v>
      </c>
      <c r="K2394" s="63" t="s">
        <v>22408</v>
      </c>
      <c r="L2394" s="63" t="s">
        <v>21573</v>
      </c>
      <c r="M2394" s="63" t="s">
        <v>21</v>
      </c>
      <c r="P2394" s="65" t="s">
        <v>21</v>
      </c>
      <c r="Q2394" s="66" t="b">
        <v>0</v>
      </c>
      <c r="R2394" s="66"/>
      <c r="S2394" s="63" t="s">
        <v>21</v>
      </c>
    </row>
    <row r="2395" spans="1:19" ht="24">
      <c r="A2395" s="64">
        <v>12299</v>
      </c>
      <c r="B2395" s="62">
        <v>45114</v>
      </c>
      <c r="C2395" s="63" t="s">
        <v>22435</v>
      </c>
      <c r="D2395" s="62">
        <v>45107</v>
      </c>
      <c r="E2395" s="63" t="s">
        <v>22436</v>
      </c>
      <c r="F2395" s="63" t="s">
        <v>149</v>
      </c>
      <c r="G2395" s="63" t="s">
        <v>189</v>
      </c>
      <c r="H2395" s="63" t="s">
        <v>71</v>
      </c>
      <c r="I2395" s="63" t="s">
        <v>21</v>
      </c>
      <c r="J2395" s="63" t="s">
        <v>13703</v>
      </c>
      <c r="K2395" s="63" t="s">
        <v>22437</v>
      </c>
      <c r="L2395" s="63" t="s">
        <v>4282</v>
      </c>
      <c r="M2395" s="63" t="s">
        <v>21</v>
      </c>
      <c r="P2395" s="65" t="s">
        <v>21</v>
      </c>
      <c r="Q2395" s="66" t="b">
        <v>0</v>
      </c>
      <c r="R2395" s="66"/>
      <c r="S2395" s="63" t="s">
        <v>21</v>
      </c>
    </row>
    <row r="2396" spans="1:19" ht="24">
      <c r="A2396" s="64">
        <v>12304</v>
      </c>
      <c r="B2396" s="62">
        <v>45124</v>
      </c>
      <c r="C2396" s="63" t="s">
        <v>22442</v>
      </c>
      <c r="D2396" s="62">
        <v>45120</v>
      </c>
      <c r="E2396" s="63" t="s">
        <v>22443</v>
      </c>
      <c r="F2396" s="63" t="s">
        <v>2105</v>
      </c>
      <c r="G2396" s="63" t="s">
        <v>189</v>
      </c>
      <c r="H2396" s="63" t="s">
        <v>189</v>
      </c>
      <c r="I2396" s="63" t="s">
        <v>21</v>
      </c>
      <c r="J2396" s="63" t="s">
        <v>22444</v>
      </c>
      <c r="K2396" s="63" t="s">
        <v>9348</v>
      </c>
      <c r="L2396" s="63" t="s">
        <v>21243</v>
      </c>
      <c r="M2396" s="63" t="s">
        <v>21</v>
      </c>
      <c r="O2396" s="22"/>
      <c r="P2396" s="65" t="s">
        <v>21</v>
      </c>
      <c r="Q2396" s="66" t="b">
        <v>0</v>
      </c>
      <c r="R2396" s="66"/>
      <c r="S2396" s="63" t="s">
        <v>21</v>
      </c>
    </row>
    <row r="2397" spans="1:19" ht="48">
      <c r="A2397" s="64">
        <v>12305</v>
      </c>
      <c r="B2397" s="62">
        <v>45124</v>
      </c>
      <c r="C2397" s="63" t="s">
        <v>22445</v>
      </c>
      <c r="D2397" s="62">
        <v>45124</v>
      </c>
      <c r="E2397" s="63" t="s">
        <v>22446</v>
      </c>
      <c r="F2397" s="63" t="s">
        <v>5659</v>
      </c>
      <c r="G2397" s="63" t="s">
        <v>189</v>
      </c>
      <c r="H2397" s="63" t="s">
        <v>566</v>
      </c>
      <c r="I2397" s="63" t="s">
        <v>21</v>
      </c>
      <c r="J2397" s="63" t="s">
        <v>22447</v>
      </c>
      <c r="K2397" s="63" t="s">
        <v>22448</v>
      </c>
      <c r="L2397" s="63" t="s">
        <v>4282</v>
      </c>
      <c r="M2397" s="63" t="s">
        <v>21</v>
      </c>
      <c r="P2397" s="65" t="s">
        <v>21</v>
      </c>
      <c r="Q2397" s="66" t="b">
        <v>0</v>
      </c>
      <c r="R2397" s="66"/>
      <c r="S2397" s="63" t="s">
        <v>21</v>
      </c>
    </row>
    <row r="2398" spans="1:19" ht="48">
      <c r="A2398" s="64">
        <v>12306</v>
      </c>
      <c r="B2398" s="62">
        <v>45128</v>
      </c>
      <c r="C2398" s="63" t="s">
        <v>22449</v>
      </c>
      <c r="D2398" s="62">
        <v>45127</v>
      </c>
      <c r="E2398" s="63" t="s">
        <v>22450</v>
      </c>
      <c r="F2398" s="63" t="s">
        <v>52</v>
      </c>
      <c r="G2398" s="63" t="s">
        <v>189</v>
      </c>
      <c r="H2398" s="63" t="s">
        <v>71</v>
      </c>
      <c r="I2398" s="63" t="s">
        <v>21</v>
      </c>
      <c r="J2398" s="63" t="s">
        <v>22451</v>
      </c>
      <c r="K2398" s="63" t="s">
        <v>9348</v>
      </c>
      <c r="L2398" s="63" t="s">
        <v>21573</v>
      </c>
      <c r="M2398" s="63" t="s">
        <v>21</v>
      </c>
      <c r="P2398" s="65" t="s">
        <v>21</v>
      </c>
      <c r="Q2398" s="66" t="b">
        <v>0</v>
      </c>
      <c r="R2398" s="66"/>
      <c r="S2398" s="63" t="s">
        <v>21</v>
      </c>
    </row>
    <row r="2399" spans="1:19" ht="24">
      <c r="A2399" s="64">
        <v>12312</v>
      </c>
      <c r="B2399" s="62">
        <v>45142</v>
      </c>
      <c r="C2399" s="63" t="s">
        <v>22467</v>
      </c>
      <c r="D2399" s="62">
        <v>45142</v>
      </c>
      <c r="E2399" s="63" t="s">
        <v>22468</v>
      </c>
      <c r="F2399" s="63" t="s">
        <v>22469</v>
      </c>
      <c r="G2399" s="63" t="s">
        <v>189</v>
      </c>
      <c r="H2399" s="63" t="s">
        <v>189</v>
      </c>
      <c r="I2399" s="63" t="s">
        <v>21</v>
      </c>
      <c r="J2399" s="63" t="s">
        <v>22470</v>
      </c>
      <c r="K2399" s="63" t="s">
        <v>1241</v>
      </c>
      <c r="L2399" s="63" t="s">
        <v>21243</v>
      </c>
      <c r="M2399" s="63" t="s">
        <v>21</v>
      </c>
      <c r="P2399" s="65" t="s">
        <v>21</v>
      </c>
      <c r="Q2399" s="66" t="b">
        <v>0</v>
      </c>
      <c r="R2399" s="66"/>
      <c r="S2399" s="63" t="s">
        <v>21</v>
      </c>
    </row>
    <row r="2400" spans="1:19" ht="48">
      <c r="A2400" s="59">
        <v>12317</v>
      </c>
      <c r="B2400" s="60">
        <v>45147</v>
      </c>
      <c r="C2400" s="61" t="s">
        <v>22478</v>
      </c>
      <c r="D2400" s="60">
        <v>45146</v>
      </c>
      <c r="E2400" s="61" t="s">
        <v>22479</v>
      </c>
      <c r="F2400" s="61" t="s">
        <v>27</v>
      </c>
      <c r="G2400" s="61" t="s">
        <v>189</v>
      </c>
      <c r="H2400" s="61" t="s">
        <v>71</v>
      </c>
      <c r="I2400" s="61" t="s">
        <v>21</v>
      </c>
      <c r="J2400" s="61" t="s">
        <v>22480</v>
      </c>
      <c r="K2400" s="61" t="s">
        <v>22481</v>
      </c>
      <c r="L2400" s="61" t="s">
        <v>21243</v>
      </c>
      <c r="M2400" s="61" t="s">
        <v>21</v>
      </c>
      <c r="O2400" s="29">
        <v>45189</v>
      </c>
      <c r="P2400" s="61" t="s">
        <v>21</v>
      </c>
      <c r="Q2400" s="59" t="b">
        <v>0</v>
      </c>
      <c r="R2400" s="22">
        <f>IF(O2400=" ", " ", INT(YEARFRAC(O2400, B2400)*365))</f>
        <v>41</v>
      </c>
      <c r="S2400" s="61" t="s">
        <v>22157</v>
      </c>
    </row>
    <row r="2401" spans="1:19" ht="24">
      <c r="A2401" s="64">
        <v>12319</v>
      </c>
      <c r="B2401" s="62">
        <v>45154</v>
      </c>
      <c r="C2401" s="63" t="s">
        <v>22485</v>
      </c>
      <c r="D2401" s="62">
        <v>45152</v>
      </c>
      <c r="E2401" s="63" t="s">
        <v>22486</v>
      </c>
      <c r="F2401" s="63" t="s">
        <v>21432</v>
      </c>
      <c r="G2401" s="63" t="s">
        <v>189</v>
      </c>
      <c r="H2401" s="63" t="s">
        <v>71</v>
      </c>
      <c r="I2401" s="63" t="s">
        <v>21</v>
      </c>
      <c r="J2401" s="63" t="s">
        <v>22487</v>
      </c>
      <c r="K2401" s="63" t="s">
        <v>22488</v>
      </c>
      <c r="L2401" s="63" t="s">
        <v>21142</v>
      </c>
      <c r="M2401" s="63" t="s">
        <v>21</v>
      </c>
      <c r="O2401" s="45">
        <v>45378</v>
      </c>
      <c r="P2401" s="65" t="s">
        <v>21</v>
      </c>
      <c r="Q2401" s="66" t="b">
        <v>0</v>
      </c>
      <c r="R2401" s="22">
        <f>IF(O2401=" ", " ", INT(YEARFRAC(O2401, B2401)*365))</f>
        <v>224</v>
      </c>
      <c r="S2401" s="63" t="s">
        <v>22196</v>
      </c>
    </row>
    <row r="2402" spans="1:19" ht="72">
      <c r="A2402" s="59">
        <v>12320</v>
      </c>
      <c r="B2402" s="60">
        <v>45159</v>
      </c>
      <c r="C2402" s="61" t="s">
        <v>22489</v>
      </c>
      <c r="D2402" s="60">
        <v>45159</v>
      </c>
      <c r="E2402" s="61" t="s">
        <v>22490</v>
      </c>
      <c r="F2402" s="61" t="s">
        <v>22491</v>
      </c>
      <c r="G2402" s="61" t="s">
        <v>189</v>
      </c>
      <c r="H2402" s="61" t="s">
        <v>71</v>
      </c>
      <c r="I2402" s="61" t="s">
        <v>21</v>
      </c>
      <c r="J2402" s="61" t="s">
        <v>22492</v>
      </c>
      <c r="K2402" s="61" t="s">
        <v>22493</v>
      </c>
      <c r="L2402" s="61" t="s">
        <v>7167</v>
      </c>
      <c r="M2402" s="61" t="s">
        <v>21</v>
      </c>
      <c r="O2402" s="29">
        <v>45233</v>
      </c>
      <c r="P2402" s="61" t="s">
        <v>21</v>
      </c>
      <c r="Q2402" s="59" t="b">
        <v>0</v>
      </c>
      <c r="R2402" s="22">
        <f>IF(O2402=" ", " ", INT(YEARFRAC(O2402, B2402)*365))</f>
        <v>73</v>
      </c>
      <c r="S2402" s="61" t="s">
        <v>22494</v>
      </c>
    </row>
    <row r="2403" spans="1:19" ht="36">
      <c r="A2403" s="64">
        <v>12323</v>
      </c>
      <c r="B2403" s="62">
        <v>45167</v>
      </c>
      <c r="C2403" s="63" t="s">
        <v>22498</v>
      </c>
      <c r="D2403" s="62">
        <v>45167</v>
      </c>
      <c r="E2403" s="63" t="s">
        <v>22499</v>
      </c>
      <c r="F2403" s="63" t="s">
        <v>145</v>
      </c>
      <c r="G2403" s="63" t="s">
        <v>189</v>
      </c>
      <c r="H2403" s="63" t="s">
        <v>71</v>
      </c>
      <c r="I2403" s="63" t="s">
        <v>21</v>
      </c>
      <c r="J2403" s="63" t="s">
        <v>22500</v>
      </c>
      <c r="K2403" s="63" t="s">
        <v>22501</v>
      </c>
      <c r="L2403" s="63" t="s">
        <v>4282</v>
      </c>
      <c r="M2403" s="63" t="s">
        <v>21</v>
      </c>
      <c r="P2403" s="65" t="s">
        <v>21</v>
      </c>
      <c r="Q2403" s="66" t="b">
        <v>0</v>
      </c>
      <c r="R2403" s="66"/>
      <c r="S2403" s="63" t="s">
        <v>21</v>
      </c>
    </row>
    <row r="2404" spans="1:19" ht="36">
      <c r="A2404" s="64">
        <v>12326</v>
      </c>
      <c r="B2404" s="62">
        <v>45170</v>
      </c>
      <c r="C2404" s="63" t="s">
        <v>22508</v>
      </c>
      <c r="D2404" s="62">
        <v>45169</v>
      </c>
      <c r="E2404" s="63" t="s">
        <v>22509</v>
      </c>
      <c r="F2404" s="63" t="s">
        <v>327</v>
      </c>
      <c r="G2404" s="63" t="s">
        <v>189</v>
      </c>
      <c r="H2404" s="63" t="s">
        <v>71</v>
      </c>
      <c r="I2404" s="63" t="s">
        <v>21</v>
      </c>
      <c r="J2404" s="63" t="s">
        <v>22510</v>
      </c>
      <c r="K2404" s="63" t="s">
        <v>1349</v>
      </c>
      <c r="L2404" s="63" t="s">
        <v>21573</v>
      </c>
      <c r="M2404" s="63" t="s">
        <v>21</v>
      </c>
      <c r="P2404" s="65" t="s">
        <v>21</v>
      </c>
      <c r="Q2404" s="66" t="b">
        <v>0</v>
      </c>
      <c r="R2404" s="66"/>
      <c r="S2404" s="63" t="s">
        <v>21</v>
      </c>
    </row>
    <row r="2405" spans="1:19" ht="36">
      <c r="A2405" s="64">
        <v>12330</v>
      </c>
      <c r="B2405" s="62">
        <v>45182</v>
      </c>
      <c r="C2405" s="63" t="s">
        <v>22517</v>
      </c>
      <c r="D2405" s="62">
        <v>45181</v>
      </c>
      <c r="E2405" s="63" t="s">
        <v>22518</v>
      </c>
      <c r="F2405" s="63" t="s">
        <v>85</v>
      </c>
      <c r="G2405" s="63" t="s">
        <v>189</v>
      </c>
      <c r="H2405" s="63" t="s">
        <v>71</v>
      </c>
      <c r="I2405" s="63" t="s">
        <v>21</v>
      </c>
      <c r="J2405" s="63" t="s">
        <v>22519</v>
      </c>
      <c r="K2405" s="63" t="s">
        <v>20909</v>
      </c>
      <c r="L2405" s="63" t="s">
        <v>21243</v>
      </c>
      <c r="M2405" s="63" t="s">
        <v>21</v>
      </c>
      <c r="O2405" s="22"/>
      <c r="P2405" s="65" t="s">
        <v>21</v>
      </c>
      <c r="Q2405" s="66" t="b">
        <v>0</v>
      </c>
      <c r="R2405" s="66"/>
      <c r="S2405" s="63" t="s">
        <v>21</v>
      </c>
    </row>
    <row r="2406" spans="1:19" ht="24">
      <c r="A2406" s="64">
        <v>12333</v>
      </c>
      <c r="B2406" s="62">
        <v>45184</v>
      </c>
      <c r="C2406" s="63" t="s">
        <v>22525</v>
      </c>
      <c r="D2406" s="62">
        <v>45181</v>
      </c>
      <c r="E2406" s="63" t="s">
        <v>22526</v>
      </c>
      <c r="F2406" s="63" t="s">
        <v>1771</v>
      </c>
      <c r="G2406" s="63" t="s">
        <v>189</v>
      </c>
      <c r="H2406" s="63" t="s">
        <v>189</v>
      </c>
      <c r="I2406" s="63" t="s">
        <v>21</v>
      </c>
      <c r="J2406" s="63" t="s">
        <v>22527</v>
      </c>
      <c r="K2406" s="63" t="s">
        <v>22528</v>
      </c>
      <c r="L2406" s="63" t="s">
        <v>21243</v>
      </c>
      <c r="M2406" s="63" t="s">
        <v>21</v>
      </c>
      <c r="P2406" s="65" t="s">
        <v>21</v>
      </c>
      <c r="Q2406" s="66" t="b">
        <v>0</v>
      </c>
      <c r="R2406" s="66"/>
      <c r="S2406" s="63" t="s">
        <v>21</v>
      </c>
    </row>
    <row r="2407" spans="1:19" ht="36">
      <c r="A2407" s="64">
        <v>12335</v>
      </c>
      <c r="B2407" s="62">
        <v>45191</v>
      </c>
      <c r="C2407" s="63" t="s">
        <v>22533</v>
      </c>
      <c r="D2407" s="62">
        <v>45189</v>
      </c>
      <c r="E2407" s="63" t="s">
        <v>22534</v>
      </c>
      <c r="F2407" s="63" t="s">
        <v>149</v>
      </c>
      <c r="G2407" s="63" t="s">
        <v>189</v>
      </c>
      <c r="H2407" s="63" t="s">
        <v>71</v>
      </c>
      <c r="I2407" s="63" t="s">
        <v>21</v>
      </c>
      <c r="J2407" s="63" t="s">
        <v>22535</v>
      </c>
      <c r="K2407" s="63" t="s">
        <v>22536</v>
      </c>
      <c r="L2407" s="63" t="s">
        <v>21142</v>
      </c>
      <c r="M2407" s="63" t="s">
        <v>21</v>
      </c>
      <c r="P2407" s="65" t="s">
        <v>21</v>
      </c>
      <c r="Q2407" s="66" t="b">
        <v>0</v>
      </c>
      <c r="R2407" s="66"/>
      <c r="S2407" s="63" t="s">
        <v>21</v>
      </c>
    </row>
    <row r="2408" spans="1:19" ht="36">
      <c r="A2408" s="59">
        <v>12336</v>
      </c>
      <c r="B2408" s="60">
        <v>45191</v>
      </c>
      <c r="C2408" s="61" t="s">
        <v>22537</v>
      </c>
      <c r="D2408" s="60">
        <v>45190</v>
      </c>
      <c r="E2408" s="61" t="s">
        <v>22538</v>
      </c>
      <c r="F2408" s="61" t="s">
        <v>145</v>
      </c>
      <c r="G2408" s="61" t="s">
        <v>189</v>
      </c>
      <c r="H2408" s="61" t="s">
        <v>71</v>
      </c>
      <c r="I2408" s="61" t="s">
        <v>21</v>
      </c>
      <c r="J2408" s="61" t="s">
        <v>22539</v>
      </c>
      <c r="K2408" s="61" t="s">
        <v>22540</v>
      </c>
      <c r="L2408" s="61" t="s">
        <v>4282</v>
      </c>
      <c r="M2408" s="61" t="s">
        <v>21</v>
      </c>
      <c r="O2408" s="29">
        <v>45257</v>
      </c>
      <c r="P2408" s="61" t="s">
        <v>21</v>
      </c>
      <c r="Q2408" s="59" t="b">
        <v>0</v>
      </c>
      <c r="R2408" s="22">
        <f>IF(O2408=" ", " ", INT(YEARFRAC(O2408, B2408)*365))</f>
        <v>65</v>
      </c>
      <c r="S2408" s="61" t="s">
        <v>22174</v>
      </c>
    </row>
    <row r="2409" spans="1:19" ht="24">
      <c r="A2409" s="59">
        <v>12348</v>
      </c>
      <c r="B2409" s="60">
        <v>45198</v>
      </c>
      <c r="C2409" s="61" t="s">
        <v>22583</v>
      </c>
      <c r="D2409" s="60">
        <v>45198</v>
      </c>
      <c r="E2409" s="61" t="s">
        <v>22584</v>
      </c>
      <c r="F2409" s="61" t="s">
        <v>70</v>
      </c>
      <c r="G2409" s="61" t="s">
        <v>189</v>
      </c>
      <c r="H2409" s="61" t="s">
        <v>71</v>
      </c>
      <c r="I2409" s="61" t="s">
        <v>21</v>
      </c>
      <c r="J2409" s="61" t="s">
        <v>22585</v>
      </c>
      <c r="K2409" s="61" t="s">
        <v>22586</v>
      </c>
      <c r="L2409" s="61" t="s">
        <v>21243</v>
      </c>
      <c r="M2409" s="61" t="s">
        <v>21</v>
      </c>
      <c r="O2409" s="29">
        <v>45258</v>
      </c>
      <c r="P2409" s="61" t="s">
        <v>21</v>
      </c>
      <c r="Q2409" s="59" t="b">
        <v>0</v>
      </c>
      <c r="R2409" s="22">
        <f>IF(O2409=" ", " ", INT(YEARFRAC(O2409, B2409)*365))</f>
        <v>59</v>
      </c>
      <c r="S2409" s="61" t="s">
        <v>22174</v>
      </c>
    </row>
    <row r="2410" spans="1:19" ht="24">
      <c r="A2410" s="59">
        <v>12352</v>
      </c>
      <c r="B2410" s="60">
        <v>45204</v>
      </c>
      <c r="C2410" s="61" t="s">
        <v>22596</v>
      </c>
      <c r="D2410" s="60">
        <v>45204</v>
      </c>
      <c r="E2410" s="61" t="s">
        <v>22597</v>
      </c>
      <c r="F2410" s="61" t="s">
        <v>22598</v>
      </c>
      <c r="G2410" s="61" t="s">
        <v>189</v>
      </c>
      <c r="H2410" s="61" t="s">
        <v>71</v>
      </c>
      <c r="I2410" s="61" t="s">
        <v>21</v>
      </c>
      <c r="J2410" s="61" t="s">
        <v>22599</v>
      </c>
      <c r="K2410" s="61" t="s">
        <v>22600</v>
      </c>
      <c r="L2410" s="61" t="s">
        <v>21243</v>
      </c>
      <c r="M2410" s="61" t="s">
        <v>21</v>
      </c>
      <c r="O2410" s="29">
        <v>45233</v>
      </c>
      <c r="P2410" s="61" t="s">
        <v>21</v>
      </c>
      <c r="Q2410" s="59" t="b">
        <v>0</v>
      </c>
      <c r="R2410" s="22">
        <f>IF(O2410=" ", " ", INT(YEARFRAC(O2410, B2410)*365))</f>
        <v>28</v>
      </c>
      <c r="S2410" s="61" t="s">
        <v>21</v>
      </c>
    </row>
    <row r="2411" spans="1:19" ht="36">
      <c r="A2411" s="64">
        <v>12353</v>
      </c>
      <c r="B2411" s="62">
        <v>45216</v>
      </c>
      <c r="C2411" s="63" t="s">
        <v>22601</v>
      </c>
      <c r="D2411" s="62">
        <v>45212</v>
      </c>
      <c r="E2411" s="63" t="s">
        <v>22602</v>
      </c>
      <c r="F2411" s="63" t="s">
        <v>27</v>
      </c>
      <c r="G2411" s="63" t="s">
        <v>189</v>
      </c>
      <c r="H2411" s="63" t="s">
        <v>71</v>
      </c>
      <c r="I2411" s="63" t="s">
        <v>21</v>
      </c>
      <c r="J2411" s="63" t="s">
        <v>22603</v>
      </c>
      <c r="K2411" s="63" t="s">
        <v>22604</v>
      </c>
      <c r="L2411" s="63" t="s">
        <v>21142</v>
      </c>
      <c r="M2411" s="63" t="s">
        <v>21</v>
      </c>
      <c r="P2411" s="65" t="s">
        <v>21</v>
      </c>
      <c r="Q2411" s="66" t="b">
        <v>0</v>
      </c>
      <c r="R2411" s="66"/>
      <c r="S2411" s="63" t="s">
        <v>21</v>
      </c>
    </row>
    <row r="2412" spans="1:19" ht="48">
      <c r="A2412" s="64">
        <v>12365</v>
      </c>
      <c r="B2412" s="62">
        <v>45229</v>
      </c>
      <c r="C2412" s="63" t="s">
        <v>22638</v>
      </c>
      <c r="D2412" s="62">
        <v>45229</v>
      </c>
      <c r="E2412" s="63" t="s">
        <v>22639</v>
      </c>
      <c r="F2412" s="63" t="s">
        <v>145</v>
      </c>
      <c r="G2412" s="63" t="s">
        <v>189</v>
      </c>
      <c r="H2412" s="63" t="s">
        <v>71</v>
      </c>
      <c r="I2412" s="63" t="s">
        <v>21</v>
      </c>
      <c r="J2412" s="63" t="s">
        <v>22640</v>
      </c>
      <c r="K2412" s="63" t="s">
        <v>22641</v>
      </c>
      <c r="L2412" s="63" t="s">
        <v>4282</v>
      </c>
      <c r="M2412" s="63" t="s">
        <v>21</v>
      </c>
      <c r="P2412" s="65" t="s">
        <v>21</v>
      </c>
      <c r="Q2412" s="66" t="b">
        <v>0</v>
      </c>
      <c r="R2412" s="66"/>
      <c r="S2412" s="63" t="s">
        <v>21</v>
      </c>
    </row>
    <row r="2413" spans="1:19" ht="24">
      <c r="A2413" s="64">
        <v>12375</v>
      </c>
      <c r="B2413" s="62">
        <v>45244</v>
      </c>
      <c r="C2413" s="63" t="s">
        <v>22662</v>
      </c>
      <c r="D2413" s="62">
        <v>45243</v>
      </c>
      <c r="E2413" s="63" t="s">
        <v>22663</v>
      </c>
      <c r="F2413" s="63" t="s">
        <v>5620</v>
      </c>
      <c r="G2413" s="63" t="s">
        <v>189</v>
      </c>
      <c r="H2413" s="63" t="s">
        <v>71</v>
      </c>
      <c r="I2413" s="63" t="s">
        <v>21</v>
      </c>
      <c r="J2413" s="63" t="s">
        <v>22664</v>
      </c>
      <c r="K2413" s="63" t="s">
        <v>22665</v>
      </c>
      <c r="L2413" s="63" t="s">
        <v>21573</v>
      </c>
      <c r="M2413" s="63" t="s">
        <v>21</v>
      </c>
      <c r="O2413" s="62">
        <v>45630</v>
      </c>
      <c r="P2413" s="65" t="s">
        <v>21</v>
      </c>
      <c r="Q2413" s="66" t="b">
        <v>0</v>
      </c>
      <c r="R2413" s="22">
        <f>IF(O2413=" ", " ", INT(YEARFRAC(O2413, B2413)*365))</f>
        <v>385</v>
      </c>
      <c r="S2413" s="63" t="s">
        <v>21621</v>
      </c>
    </row>
    <row r="2414" spans="1:19" ht="48">
      <c r="A2414" s="64">
        <v>12379</v>
      </c>
      <c r="B2414" s="62">
        <v>45252</v>
      </c>
      <c r="C2414" s="63" t="s">
        <v>22679</v>
      </c>
      <c r="D2414" s="62">
        <v>45252</v>
      </c>
      <c r="E2414" s="63" t="s">
        <v>22680</v>
      </c>
      <c r="F2414" s="63" t="s">
        <v>5659</v>
      </c>
      <c r="G2414" s="63" t="s">
        <v>189</v>
      </c>
      <c r="H2414" s="63" t="s">
        <v>566</v>
      </c>
      <c r="I2414" s="63" t="s">
        <v>21</v>
      </c>
      <c r="J2414" s="63" t="s">
        <v>22681</v>
      </c>
      <c r="K2414" s="63" t="s">
        <v>22682</v>
      </c>
      <c r="L2414" s="63" t="s">
        <v>21142</v>
      </c>
      <c r="M2414" s="63" t="s">
        <v>21</v>
      </c>
      <c r="O2414" s="62">
        <v>45420</v>
      </c>
      <c r="P2414" s="65" t="s">
        <v>21</v>
      </c>
      <c r="Q2414" s="66" t="b">
        <v>0</v>
      </c>
      <c r="R2414" s="22">
        <f>IF(O2414=" ", " ", INT(YEARFRAC(O2414, B2414)*365))</f>
        <v>168</v>
      </c>
      <c r="S2414" s="63" t="s">
        <v>22157</v>
      </c>
    </row>
    <row r="2415" spans="1:19" ht="24">
      <c r="A2415" s="64">
        <v>12381</v>
      </c>
      <c r="B2415" s="62">
        <v>45257</v>
      </c>
      <c r="C2415" s="63" t="s">
        <v>22685</v>
      </c>
      <c r="D2415" s="62">
        <v>45257</v>
      </c>
      <c r="E2415" s="63" t="s">
        <v>22686</v>
      </c>
      <c r="F2415" s="63" t="s">
        <v>27</v>
      </c>
      <c r="G2415" s="63" t="s">
        <v>189</v>
      </c>
      <c r="H2415" s="63" t="s">
        <v>71</v>
      </c>
      <c r="I2415" s="63" t="s">
        <v>21</v>
      </c>
      <c r="J2415" s="63" t="s">
        <v>22687</v>
      </c>
      <c r="K2415" s="63" t="s">
        <v>22688</v>
      </c>
      <c r="L2415" s="63" t="s">
        <v>21243</v>
      </c>
      <c r="M2415" s="63" t="s">
        <v>21</v>
      </c>
      <c r="O2415" s="62">
        <v>45357</v>
      </c>
      <c r="P2415" s="65" t="s">
        <v>21</v>
      </c>
      <c r="Q2415" s="66" t="b">
        <v>0</v>
      </c>
      <c r="R2415" s="22">
        <f>IF(O2415=" ", " ", INT(YEARFRAC(O2415, B2415)*365))</f>
        <v>100</v>
      </c>
      <c r="S2415" s="63" t="s">
        <v>21621</v>
      </c>
    </row>
    <row r="2416" spans="1:19" ht="48">
      <c r="A2416" s="64">
        <v>12382</v>
      </c>
      <c r="B2416" s="62">
        <v>45258</v>
      </c>
      <c r="C2416" s="63" t="s">
        <v>22689</v>
      </c>
      <c r="D2416" s="62">
        <v>45257</v>
      </c>
      <c r="E2416" s="63" t="s">
        <v>22690</v>
      </c>
      <c r="F2416" s="63" t="s">
        <v>2146</v>
      </c>
      <c r="G2416" s="63" t="s">
        <v>189</v>
      </c>
      <c r="H2416" s="63" t="s">
        <v>189</v>
      </c>
      <c r="I2416" s="63" t="s">
        <v>21</v>
      </c>
      <c r="J2416" s="63" t="s">
        <v>22691</v>
      </c>
      <c r="K2416" s="63" t="s">
        <v>22692</v>
      </c>
      <c r="L2416" s="63" t="s">
        <v>21573</v>
      </c>
      <c r="M2416" s="63" t="s">
        <v>21</v>
      </c>
      <c r="O2416" s="62">
        <v>45534</v>
      </c>
      <c r="P2416" s="65" t="s">
        <v>21</v>
      </c>
      <c r="Q2416" s="66" t="b">
        <v>0</v>
      </c>
      <c r="R2416" s="22">
        <f>IF(O2416=" ", " ", INT(YEARFRAC(O2416, B2416)*365))</f>
        <v>275</v>
      </c>
      <c r="S2416" s="63" t="s">
        <v>22157</v>
      </c>
    </row>
    <row r="2417" spans="1:20" ht="24">
      <c r="A2417" s="64">
        <v>12390</v>
      </c>
      <c r="B2417" s="62">
        <v>45278</v>
      </c>
      <c r="C2417" s="63" t="s">
        <v>22711</v>
      </c>
      <c r="D2417" s="62">
        <v>45275</v>
      </c>
      <c r="E2417" s="63" t="s">
        <v>22712</v>
      </c>
      <c r="F2417" s="63" t="s">
        <v>22552</v>
      </c>
      <c r="G2417" s="63" t="s">
        <v>189</v>
      </c>
      <c r="H2417" s="63" t="s">
        <v>566</v>
      </c>
      <c r="I2417" s="63" t="s">
        <v>21</v>
      </c>
      <c r="J2417" s="63" t="s">
        <v>22569</v>
      </c>
      <c r="K2417" s="63" t="s">
        <v>22570</v>
      </c>
      <c r="L2417" s="63" t="s">
        <v>21142</v>
      </c>
      <c r="M2417" s="63" t="s">
        <v>21</v>
      </c>
      <c r="N2417" s="22"/>
      <c r="P2417" s="65" t="s">
        <v>21</v>
      </c>
      <c r="Q2417" s="66" t="b">
        <v>0</v>
      </c>
      <c r="R2417" s="66"/>
      <c r="S2417" s="63" t="s">
        <v>22568</v>
      </c>
    </row>
    <row r="2418" spans="1:20" ht="24">
      <c r="A2418" s="64">
        <v>12391</v>
      </c>
      <c r="B2418" s="62">
        <v>45278</v>
      </c>
      <c r="C2418" s="63" t="s">
        <v>22713</v>
      </c>
      <c r="D2418" s="62">
        <v>45275</v>
      </c>
      <c r="E2418" s="63" t="s">
        <v>22714</v>
      </c>
      <c r="F2418" s="63" t="s">
        <v>2146</v>
      </c>
      <c r="G2418" s="63" t="s">
        <v>189</v>
      </c>
      <c r="H2418" s="63" t="s">
        <v>189</v>
      </c>
      <c r="I2418" s="63" t="s">
        <v>21</v>
      </c>
      <c r="J2418" s="63" t="s">
        <v>22715</v>
      </c>
      <c r="K2418" s="63" t="s">
        <v>22716</v>
      </c>
      <c r="L2418" s="63" t="s">
        <v>21142</v>
      </c>
      <c r="M2418" s="63" t="s">
        <v>21</v>
      </c>
      <c r="P2418" s="65" t="s">
        <v>21</v>
      </c>
      <c r="Q2418" s="66" t="b">
        <v>0</v>
      </c>
      <c r="R2418" s="66"/>
      <c r="S2418" s="63" t="s">
        <v>21</v>
      </c>
    </row>
    <row r="2419" spans="1:20" ht="48">
      <c r="A2419" s="64">
        <v>12392</v>
      </c>
      <c r="B2419" s="62">
        <v>45278</v>
      </c>
      <c r="C2419" s="63" t="s">
        <v>22717</v>
      </c>
      <c r="D2419" s="62">
        <v>45278</v>
      </c>
      <c r="E2419" s="63" t="s">
        <v>22718</v>
      </c>
      <c r="F2419" s="63" t="s">
        <v>8605</v>
      </c>
      <c r="G2419" s="63" t="s">
        <v>189</v>
      </c>
      <c r="H2419" s="63" t="s">
        <v>212</v>
      </c>
      <c r="I2419" s="63" t="s">
        <v>21</v>
      </c>
      <c r="J2419" s="63" t="s">
        <v>22719</v>
      </c>
      <c r="K2419" s="63" t="s">
        <v>1582</v>
      </c>
      <c r="L2419" s="63" t="s">
        <v>21243</v>
      </c>
      <c r="M2419" s="63" t="s">
        <v>21</v>
      </c>
      <c r="O2419" s="62">
        <v>45524</v>
      </c>
      <c r="P2419" s="65" t="s">
        <v>21</v>
      </c>
      <c r="Q2419" s="66" t="b">
        <v>0</v>
      </c>
      <c r="R2419" s="22">
        <f>IF(O2419=" ", " ", INT(YEARFRAC(O2419, B2419)*365))</f>
        <v>245</v>
      </c>
      <c r="S2419" s="63" t="s">
        <v>22157</v>
      </c>
    </row>
    <row r="2420" spans="1:20" ht="24">
      <c r="A2420" s="26">
        <v>12398</v>
      </c>
      <c r="B2420" s="27">
        <v>45287</v>
      </c>
      <c r="C2420" s="28" t="s">
        <v>22735</v>
      </c>
      <c r="D2420" s="27">
        <v>45286</v>
      </c>
      <c r="E2420" s="28" t="s">
        <v>22736</v>
      </c>
      <c r="F2420" s="28" t="s">
        <v>1232</v>
      </c>
      <c r="G2420" s="28" t="s">
        <v>189</v>
      </c>
      <c r="H2420" s="28" t="s">
        <v>189</v>
      </c>
      <c r="I2420" s="28" t="s">
        <v>21</v>
      </c>
      <c r="J2420" s="28" t="s">
        <v>12241</v>
      </c>
      <c r="K2420" s="28" t="s">
        <v>22737</v>
      </c>
      <c r="L2420" s="28" t="s">
        <v>21243</v>
      </c>
      <c r="M2420" s="28" t="s">
        <v>21</v>
      </c>
      <c r="P2420" s="28" t="s">
        <v>21</v>
      </c>
      <c r="Q2420" s="26" t="b">
        <v>0</v>
      </c>
      <c r="R2420" s="26"/>
      <c r="S2420" s="26"/>
      <c r="T2420" s="28" t="s">
        <v>21</v>
      </c>
    </row>
    <row r="2421" spans="1:20" ht="24">
      <c r="A2421" s="64">
        <v>12403</v>
      </c>
      <c r="B2421" s="62">
        <v>45300</v>
      </c>
      <c r="C2421" s="63" t="s">
        <v>22753</v>
      </c>
      <c r="D2421" s="62">
        <v>45293</v>
      </c>
      <c r="E2421" s="63" t="s">
        <v>22754</v>
      </c>
      <c r="F2421" s="63" t="s">
        <v>693</v>
      </c>
      <c r="G2421" s="63" t="s">
        <v>189</v>
      </c>
      <c r="H2421" s="63" t="s">
        <v>189</v>
      </c>
      <c r="I2421" s="63" t="s">
        <v>21</v>
      </c>
      <c r="J2421" s="63" t="s">
        <v>22755</v>
      </c>
      <c r="K2421" s="63" t="s">
        <v>22756</v>
      </c>
      <c r="L2421" s="63" t="s">
        <v>21573</v>
      </c>
      <c r="M2421" s="63" t="s">
        <v>21</v>
      </c>
      <c r="P2421" s="65" t="s">
        <v>21</v>
      </c>
      <c r="Q2421" s="66" t="b">
        <v>0</v>
      </c>
      <c r="R2421" s="66"/>
      <c r="S2421" s="63" t="s">
        <v>21</v>
      </c>
    </row>
    <row r="2422" spans="1:20" ht="24">
      <c r="A2422" s="64">
        <v>12403</v>
      </c>
      <c r="B2422" s="62">
        <v>45300</v>
      </c>
      <c r="C2422" s="63" t="s">
        <v>22753</v>
      </c>
      <c r="D2422" s="62">
        <v>45293</v>
      </c>
      <c r="E2422" s="63" t="s">
        <v>22754</v>
      </c>
      <c r="F2422" s="63" t="s">
        <v>693</v>
      </c>
      <c r="G2422" s="63" t="s">
        <v>189</v>
      </c>
      <c r="H2422" s="63" t="s">
        <v>189</v>
      </c>
      <c r="I2422" s="63" t="s">
        <v>21</v>
      </c>
      <c r="J2422" s="63" t="s">
        <v>22755</v>
      </c>
      <c r="K2422" s="63" t="s">
        <v>22756</v>
      </c>
      <c r="L2422" s="63" t="s">
        <v>21573</v>
      </c>
      <c r="M2422" s="63" t="s">
        <v>21</v>
      </c>
      <c r="O2422" s="22"/>
      <c r="P2422" s="65" t="s">
        <v>21</v>
      </c>
      <c r="Q2422" s="66" t="b">
        <v>0</v>
      </c>
      <c r="R2422" s="66"/>
      <c r="S2422" s="63" t="s">
        <v>21</v>
      </c>
    </row>
    <row r="2423" spans="1:20" ht="24">
      <c r="A2423" s="64">
        <v>12404</v>
      </c>
      <c r="B2423" s="62">
        <v>45300</v>
      </c>
      <c r="C2423" s="63" t="s">
        <v>22757</v>
      </c>
      <c r="D2423" s="62">
        <v>45295</v>
      </c>
      <c r="E2423" s="63" t="s">
        <v>22758</v>
      </c>
      <c r="F2423" s="63" t="s">
        <v>242</v>
      </c>
      <c r="G2423" s="63" t="s">
        <v>189</v>
      </c>
      <c r="H2423" s="63" t="s">
        <v>71</v>
      </c>
      <c r="I2423" s="63" t="s">
        <v>21</v>
      </c>
      <c r="J2423" s="63" t="s">
        <v>22759</v>
      </c>
      <c r="K2423" s="63" t="s">
        <v>22760</v>
      </c>
      <c r="L2423" s="63" t="s">
        <v>21573</v>
      </c>
      <c r="M2423" s="63" t="s">
        <v>21</v>
      </c>
      <c r="O2423" s="62">
        <v>45407</v>
      </c>
      <c r="P2423" s="65" t="s">
        <v>21</v>
      </c>
      <c r="Q2423" s="66" t="b">
        <v>0</v>
      </c>
      <c r="R2423" s="22">
        <f>IF(O2423=" ", " ", INT(YEARFRAC(O2423, B2423)*365))</f>
        <v>107</v>
      </c>
      <c r="S2423" s="63" t="s">
        <v>21621</v>
      </c>
    </row>
    <row r="2424" spans="1:20" ht="48">
      <c r="A2424" s="64">
        <v>12407</v>
      </c>
      <c r="B2424" s="62">
        <v>45302</v>
      </c>
      <c r="C2424" s="63" t="s">
        <v>22770</v>
      </c>
      <c r="D2424" s="62">
        <v>45301</v>
      </c>
      <c r="E2424" s="63" t="s">
        <v>22771</v>
      </c>
      <c r="F2424" s="63" t="s">
        <v>2296</v>
      </c>
      <c r="G2424" s="63" t="s">
        <v>189</v>
      </c>
      <c r="H2424" s="63" t="s">
        <v>566</v>
      </c>
      <c r="I2424" s="63" t="s">
        <v>21</v>
      </c>
      <c r="J2424" s="63" t="s">
        <v>22772</v>
      </c>
      <c r="K2424" s="63" t="s">
        <v>20909</v>
      </c>
      <c r="L2424" s="63" t="s">
        <v>7167</v>
      </c>
      <c r="M2424" s="63" t="s">
        <v>21</v>
      </c>
      <c r="O2424" s="45">
        <v>45313</v>
      </c>
      <c r="P2424" s="65" t="s">
        <v>21</v>
      </c>
      <c r="Q2424" s="66" t="b">
        <v>0</v>
      </c>
      <c r="R2424" s="22">
        <f>IF(O2424=" ", " ", INT(YEARFRAC(O2424, B2424)*365))</f>
        <v>11</v>
      </c>
      <c r="S2424" s="63" t="s">
        <v>22157</v>
      </c>
    </row>
    <row r="2425" spans="1:20" ht="24">
      <c r="A2425" s="64">
        <v>12408</v>
      </c>
      <c r="B2425" s="62">
        <v>45307</v>
      </c>
      <c r="C2425" s="63" t="s">
        <v>22773</v>
      </c>
      <c r="D2425" s="62">
        <v>45307</v>
      </c>
      <c r="E2425" s="63" t="s">
        <v>22774</v>
      </c>
      <c r="F2425" s="63" t="s">
        <v>22251</v>
      </c>
      <c r="G2425" s="63" t="s">
        <v>189</v>
      </c>
      <c r="H2425" s="63" t="s">
        <v>71</v>
      </c>
      <c r="I2425" s="63" t="s">
        <v>21</v>
      </c>
      <c r="J2425" s="63" t="s">
        <v>4690</v>
      </c>
      <c r="K2425" s="63" t="s">
        <v>22775</v>
      </c>
      <c r="L2425" s="63" t="s">
        <v>7167</v>
      </c>
      <c r="M2425" s="63" t="s">
        <v>21</v>
      </c>
      <c r="P2425" s="65" t="s">
        <v>21</v>
      </c>
      <c r="Q2425" s="66" t="b">
        <v>0</v>
      </c>
      <c r="R2425" s="66"/>
      <c r="S2425" s="63" t="s">
        <v>21</v>
      </c>
    </row>
    <row r="2426" spans="1:20" ht="36">
      <c r="A2426" s="64">
        <v>12409</v>
      </c>
      <c r="B2426" s="62">
        <v>45307</v>
      </c>
      <c r="C2426" s="63" t="s">
        <v>22776</v>
      </c>
      <c r="D2426" s="62">
        <v>45302</v>
      </c>
      <c r="E2426" s="63" t="s">
        <v>22777</v>
      </c>
      <c r="F2426" s="63" t="s">
        <v>1232</v>
      </c>
      <c r="G2426" s="63" t="s">
        <v>189</v>
      </c>
      <c r="H2426" s="63" t="s">
        <v>189</v>
      </c>
      <c r="I2426" s="63" t="s">
        <v>21</v>
      </c>
      <c r="J2426" s="63" t="s">
        <v>22778</v>
      </c>
      <c r="K2426" s="63" t="s">
        <v>22756</v>
      </c>
      <c r="L2426" s="63" t="s">
        <v>21573</v>
      </c>
      <c r="M2426" s="63" t="s">
        <v>21</v>
      </c>
      <c r="P2426" s="65" t="s">
        <v>21</v>
      </c>
      <c r="Q2426" s="66" t="b">
        <v>0</v>
      </c>
      <c r="R2426" s="66"/>
      <c r="S2426" s="63" t="s">
        <v>22754</v>
      </c>
    </row>
    <row r="2427" spans="1:20" ht="24">
      <c r="A2427" s="64">
        <v>12410</v>
      </c>
      <c r="B2427" s="62">
        <v>45307</v>
      </c>
      <c r="C2427" s="63" t="s">
        <v>22779</v>
      </c>
      <c r="D2427" s="62">
        <v>45302</v>
      </c>
      <c r="E2427" s="63" t="s">
        <v>22780</v>
      </c>
      <c r="F2427" s="63" t="s">
        <v>70</v>
      </c>
      <c r="G2427" s="63" t="s">
        <v>189</v>
      </c>
      <c r="H2427" s="63" t="s">
        <v>71</v>
      </c>
      <c r="I2427" s="63" t="s">
        <v>21</v>
      </c>
      <c r="J2427" s="63" t="s">
        <v>22577</v>
      </c>
      <c r="K2427" s="63" t="s">
        <v>22781</v>
      </c>
      <c r="L2427" s="63" t="s">
        <v>21142</v>
      </c>
      <c r="M2427" s="63" t="s">
        <v>21</v>
      </c>
      <c r="P2427" s="65" t="s">
        <v>21</v>
      </c>
      <c r="Q2427" s="66" t="b">
        <v>0</v>
      </c>
      <c r="R2427" s="66"/>
      <c r="S2427" s="63" t="s">
        <v>21</v>
      </c>
    </row>
    <row r="2428" spans="1:20" ht="36">
      <c r="A2428" s="64">
        <v>12414</v>
      </c>
      <c r="B2428" s="62">
        <v>45308</v>
      </c>
      <c r="C2428" s="63" t="s">
        <v>22793</v>
      </c>
      <c r="D2428" s="62">
        <v>45307</v>
      </c>
      <c r="E2428" s="63" t="s">
        <v>22794</v>
      </c>
      <c r="F2428" s="63" t="s">
        <v>367</v>
      </c>
      <c r="G2428" s="63" t="s">
        <v>189</v>
      </c>
      <c r="H2428" s="63" t="s">
        <v>71</v>
      </c>
      <c r="I2428" s="63" t="s">
        <v>21</v>
      </c>
      <c r="J2428" s="63" t="s">
        <v>22795</v>
      </c>
      <c r="K2428" s="63" t="s">
        <v>22796</v>
      </c>
      <c r="L2428" s="63" t="s">
        <v>22185</v>
      </c>
      <c r="M2428" s="63" t="s">
        <v>21</v>
      </c>
      <c r="O2428" s="45">
        <v>45656</v>
      </c>
      <c r="P2428" s="65" t="s">
        <v>21</v>
      </c>
      <c r="Q2428" s="66" t="b">
        <v>0</v>
      </c>
      <c r="R2428" s="22">
        <f>IF(O2428=" ", " ", INT(YEARFRAC(O2428, B2428)*365))</f>
        <v>347</v>
      </c>
      <c r="S2428" s="63" t="s">
        <v>21</v>
      </c>
    </row>
    <row r="2429" spans="1:20" ht="24">
      <c r="A2429" s="64">
        <v>12415</v>
      </c>
      <c r="B2429" s="62">
        <v>45309</v>
      </c>
      <c r="C2429" s="63" t="s">
        <v>22797</v>
      </c>
      <c r="D2429" s="62">
        <v>45309</v>
      </c>
      <c r="E2429" s="63" t="s">
        <v>22798</v>
      </c>
      <c r="F2429" s="63" t="s">
        <v>10106</v>
      </c>
      <c r="G2429" s="63" t="s">
        <v>189</v>
      </c>
      <c r="H2429" s="63" t="s">
        <v>71</v>
      </c>
      <c r="I2429" s="63" t="s">
        <v>21</v>
      </c>
      <c r="J2429" s="63" t="s">
        <v>22799</v>
      </c>
      <c r="K2429" s="63" t="s">
        <v>22800</v>
      </c>
      <c r="L2429" s="63" t="s">
        <v>22185</v>
      </c>
      <c r="M2429" s="63" t="s">
        <v>21</v>
      </c>
      <c r="P2429" s="65" t="s">
        <v>21</v>
      </c>
      <c r="Q2429" s="66" t="b">
        <v>0</v>
      </c>
      <c r="R2429" s="66"/>
      <c r="S2429" s="63" t="s">
        <v>21</v>
      </c>
    </row>
    <row r="2430" spans="1:20" ht="36">
      <c r="A2430" s="64">
        <v>12418</v>
      </c>
      <c r="B2430" s="62">
        <v>45314</v>
      </c>
      <c r="C2430" s="63" t="s">
        <v>22809</v>
      </c>
      <c r="D2430" s="62">
        <v>45310</v>
      </c>
      <c r="E2430" s="63" t="s">
        <v>22810</v>
      </c>
      <c r="F2430" s="63" t="s">
        <v>145</v>
      </c>
      <c r="G2430" s="63" t="s">
        <v>189</v>
      </c>
      <c r="H2430" s="63" t="s">
        <v>71</v>
      </c>
      <c r="I2430" s="63" t="s">
        <v>21</v>
      </c>
      <c r="J2430" s="63" t="s">
        <v>22811</v>
      </c>
      <c r="K2430" s="63" t="s">
        <v>16399</v>
      </c>
      <c r="L2430" s="63" t="s">
        <v>4282</v>
      </c>
      <c r="M2430" s="63" t="s">
        <v>21</v>
      </c>
      <c r="P2430" s="65" t="s">
        <v>21</v>
      </c>
      <c r="Q2430" s="66" t="b">
        <v>0</v>
      </c>
      <c r="R2430" s="66"/>
      <c r="S2430" s="63" t="s">
        <v>21</v>
      </c>
    </row>
    <row r="2431" spans="1:20" ht="48">
      <c r="A2431" s="64">
        <v>12422</v>
      </c>
      <c r="B2431" s="62">
        <v>45316</v>
      </c>
      <c r="C2431" s="63" t="s">
        <v>22821</v>
      </c>
      <c r="D2431" s="62">
        <v>45315</v>
      </c>
      <c r="E2431" s="63" t="s">
        <v>22822</v>
      </c>
      <c r="F2431" s="63" t="s">
        <v>345</v>
      </c>
      <c r="G2431" s="63" t="s">
        <v>189</v>
      </c>
      <c r="H2431" s="63" t="s">
        <v>71</v>
      </c>
      <c r="I2431" s="63" t="s">
        <v>21</v>
      </c>
      <c r="J2431" s="63" t="s">
        <v>22823</v>
      </c>
      <c r="K2431" s="63" t="s">
        <v>22824</v>
      </c>
      <c r="L2431" s="63" t="s">
        <v>22185</v>
      </c>
      <c r="M2431" s="63" t="s">
        <v>21</v>
      </c>
      <c r="O2431" s="45">
        <v>45652</v>
      </c>
      <c r="P2431" s="65" t="s">
        <v>21</v>
      </c>
      <c r="Q2431" s="66" t="b">
        <v>0</v>
      </c>
      <c r="R2431" s="22">
        <f>IF(O2431=" ", " ", INT(YEARFRAC(O2431, B2431)*365))</f>
        <v>335</v>
      </c>
      <c r="S2431" s="63" t="s">
        <v>22157</v>
      </c>
    </row>
    <row r="2432" spans="1:20" ht="24">
      <c r="A2432" s="64">
        <v>12426</v>
      </c>
      <c r="B2432" s="62">
        <v>45321</v>
      </c>
      <c r="C2432" s="63" t="s">
        <v>22829</v>
      </c>
      <c r="D2432" s="62">
        <v>45310</v>
      </c>
      <c r="E2432" s="63" t="s">
        <v>22830</v>
      </c>
      <c r="F2432" s="63" t="s">
        <v>8615</v>
      </c>
      <c r="G2432" s="63" t="s">
        <v>189</v>
      </c>
      <c r="H2432" s="63" t="s">
        <v>71</v>
      </c>
      <c r="I2432" s="63" t="s">
        <v>21</v>
      </c>
      <c r="J2432" s="63" t="s">
        <v>22831</v>
      </c>
      <c r="K2432" s="63" t="s">
        <v>22346</v>
      </c>
      <c r="L2432" s="63" t="s">
        <v>22185</v>
      </c>
      <c r="M2432" s="63" t="s">
        <v>21</v>
      </c>
      <c r="P2432" s="65" t="s">
        <v>21</v>
      </c>
      <c r="Q2432" s="66" t="b">
        <v>0</v>
      </c>
      <c r="R2432" s="66"/>
      <c r="S2432" s="63" t="s">
        <v>21</v>
      </c>
    </row>
    <row r="2433" spans="1:19" ht="24">
      <c r="A2433" s="64">
        <v>12428</v>
      </c>
      <c r="B2433" s="62">
        <v>45321</v>
      </c>
      <c r="C2433" s="63" t="s">
        <v>22836</v>
      </c>
      <c r="D2433" s="62">
        <v>45315</v>
      </c>
      <c r="E2433" s="63" t="s">
        <v>22837</v>
      </c>
      <c r="F2433" s="63" t="s">
        <v>13477</v>
      </c>
      <c r="G2433" s="63" t="s">
        <v>189</v>
      </c>
      <c r="H2433" s="63" t="s">
        <v>71</v>
      </c>
      <c r="I2433" s="63" t="s">
        <v>21</v>
      </c>
      <c r="J2433" s="63" t="s">
        <v>22838</v>
      </c>
      <c r="K2433" s="63" t="s">
        <v>14438</v>
      </c>
      <c r="L2433" s="63" t="s">
        <v>4282</v>
      </c>
      <c r="M2433" s="63" t="s">
        <v>21</v>
      </c>
      <c r="P2433" s="65" t="s">
        <v>21</v>
      </c>
      <c r="Q2433" s="66" t="b">
        <v>0</v>
      </c>
      <c r="R2433" s="66"/>
      <c r="S2433" s="63" t="s">
        <v>21</v>
      </c>
    </row>
    <row r="2434" spans="1:19" ht="36">
      <c r="A2434" s="64">
        <v>12429</v>
      </c>
      <c r="B2434" s="62">
        <v>45322</v>
      </c>
      <c r="C2434" s="63" t="s">
        <v>22839</v>
      </c>
      <c r="D2434" s="62">
        <v>45321</v>
      </c>
      <c r="E2434" s="63" t="s">
        <v>22840</v>
      </c>
      <c r="F2434" s="63" t="s">
        <v>216</v>
      </c>
      <c r="G2434" s="63" t="s">
        <v>189</v>
      </c>
      <c r="H2434" s="63" t="s">
        <v>71</v>
      </c>
      <c r="I2434" s="63" t="s">
        <v>21</v>
      </c>
      <c r="J2434" s="63" t="s">
        <v>22841</v>
      </c>
      <c r="K2434" s="63" t="s">
        <v>22842</v>
      </c>
      <c r="L2434" s="63" t="s">
        <v>22185</v>
      </c>
      <c r="M2434" s="63" t="s">
        <v>21</v>
      </c>
      <c r="P2434" s="65" t="s">
        <v>21</v>
      </c>
      <c r="Q2434" s="66" t="b">
        <v>0</v>
      </c>
      <c r="R2434" s="66"/>
      <c r="S2434" s="63" t="s">
        <v>21</v>
      </c>
    </row>
    <row r="2435" spans="1:19" ht="24">
      <c r="A2435" s="64">
        <v>12433</v>
      </c>
      <c r="B2435" s="62">
        <v>45331</v>
      </c>
      <c r="C2435" s="63" t="s">
        <v>22850</v>
      </c>
      <c r="D2435" s="62">
        <v>45330</v>
      </c>
      <c r="E2435" s="63" t="s">
        <v>22851</v>
      </c>
      <c r="F2435" s="63" t="s">
        <v>6752</v>
      </c>
      <c r="G2435" s="63" t="s">
        <v>20</v>
      </c>
      <c r="H2435" s="63" t="s">
        <v>21</v>
      </c>
      <c r="I2435" s="63" t="s">
        <v>21</v>
      </c>
      <c r="J2435" s="63" t="s">
        <v>22852</v>
      </c>
      <c r="K2435" s="63" t="s">
        <v>22853</v>
      </c>
      <c r="L2435" s="63" t="s">
        <v>22185</v>
      </c>
      <c r="M2435" s="63" t="s">
        <v>21</v>
      </c>
      <c r="P2435" s="65" t="s">
        <v>21</v>
      </c>
      <c r="Q2435" s="66" t="b">
        <v>0</v>
      </c>
      <c r="R2435" s="66"/>
      <c r="S2435" s="63" t="s">
        <v>21</v>
      </c>
    </row>
    <row r="2436" spans="1:19" ht="24">
      <c r="A2436" s="64">
        <v>12447</v>
      </c>
      <c r="B2436" s="62">
        <v>45352</v>
      </c>
      <c r="C2436" s="63" t="s">
        <v>22892</v>
      </c>
      <c r="D2436" s="62">
        <v>45351</v>
      </c>
      <c r="E2436" s="63" t="s">
        <v>22893</v>
      </c>
      <c r="F2436" s="63" t="s">
        <v>6084</v>
      </c>
      <c r="G2436" s="63" t="s">
        <v>189</v>
      </c>
      <c r="H2436" s="63" t="s">
        <v>71</v>
      </c>
      <c r="I2436" s="63" t="s">
        <v>21</v>
      </c>
      <c r="J2436" s="63" t="s">
        <v>22894</v>
      </c>
      <c r="K2436" s="63" t="s">
        <v>22895</v>
      </c>
      <c r="L2436" s="63" t="s">
        <v>22185</v>
      </c>
      <c r="M2436" s="63" t="s">
        <v>21</v>
      </c>
      <c r="P2436" s="65" t="s">
        <v>21</v>
      </c>
      <c r="Q2436" s="66" t="b">
        <v>0</v>
      </c>
      <c r="R2436" s="66"/>
      <c r="S2436" s="63" t="s">
        <v>22333</v>
      </c>
    </row>
    <row r="2437" spans="1:19" ht="48">
      <c r="A2437" s="64">
        <v>12449</v>
      </c>
      <c r="B2437" s="62">
        <v>45355</v>
      </c>
      <c r="C2437" s="63" t="s">
        <v>22900</v>
      </c>
      <c r="D2437" s="62">
        <v>45355</v>
      </c>
      <c r="E2437" s="63" t="s">
        <v>22901</v>
      </c>
      <c r="F2437" s="63" t="s">
        <v>4242</v>
      </c>
      <c r="G2437" s="63" t="s">
        <v>189</v>
      </c>
      <c r="H2437" s="63" t="s">
        <v>189</v>
      </c>
      <c r="I2437" s="63" t="s">
        <v>21</v>
      </c>
      <c r="J2437" s="63" t="s">
        <v>22902</v>
      </c>
      <c r="K2437" s="63" t="s">
        <v>20489</v>
      </c>
      <c r="L2437" s="63" t="s">
        <v>21573</v>
      </c>
      <c r="M2437" s="63" t="s">
        <v>21</v>
      </c>
      <c r="O2437" s="45">
        <v>45412</v>
      </c>
      <c r="P2437" s="65" t="s">
        <v>21</v>
      </c>
      <c r="Q2437" s="66" t="b">
        <v>0</v>
      </c>
      <c r="R2437" s="22">
        <f>IF(O2437=" ", " ", INT(YEARFRAC(O2437, B2437)*365))</f>
        <v>56</v>
      </c>
      <c r="S2437" s="63" t="s">
        <v>22903</v>
      </c>
    </row>
    <row r="2438" spans="1:19" ht="48">
      <c r="A2438" s="64">
        <v>12452</v>
      </c>
      <c r="B2438" s="62">
        <v>45356</v>
      </c>
      <c r="C2438" s="63" t="s">
        <v>22910</v>
      </c>
      <c r="D2438" s="62">
        <v>45356</v>
      </c>
      <c r="E2438" s="63" t="s">
        <v>22911</v>
      </c>
      <c r="F2438" s="63" t="s">
        <v>367</v>
      </c>
      <c r="G2438" s="63" t="s">
        <v>189</v>
      </c>
      <c r="H2438" s="63" t="s">
        <v>71</v>
      </c>
      <c r="I2438" s="63" t="s">
        <v>21</v>
      </c>
      <c r="J2438" s="63" t="s">
        <v>22912</v>
      </c>
      <c r="K2438" s="63" t="s">
        <v>22913</v>
      </c>
      <c r="L2438" s="63" t="s">
        <v>22185</v>
      </c>
      <c r="M2438" s="63" t="s">
        <v>21</v>
      </c>
      <c r="O2438" s="45">
        <v>45645</v>
      </c>
      <c r="P2438" s="65" t="s">
        <v>21</v>
      </c>
      <c r="Q2438" s="66" t="b">
        <v>0</v>
      </c>
      <c r="R2438" s="22">
        <f>IF(O2438=" ", " ", INT(YEARFRAC(O2438, B2438)*365))</f>
        <v>287</v>
      </c>
      <c r="S2438" s="63" t="s">
        <v>22157</v>
      </c>
    </row>
    <row r="2439" spans="1:19" ht="36">
      <c r="A2439" s="64">
        <v>12453</v>
      </c>
      <c r="B2439" s="62">
        <v>45357</v>
      </c>
      <c r="C2439" s="63" t="s">
        <v>22914</v>
      </c>
      <c r="D2439" s="62">
        <v>45357</v>
      </c>
      <c r="E2439" s="63" t="s">
        <v>22915</v>
      </c>
      <c r="F2439" s="63" t="s">
        <v>22916</v>
      </c>
      <c r="G2439" s="63" t="s">
        <v>189</v>
      </c>
      <c r="H2439" s="63" t="s">
        <v>71</v>
      </c>
      <c r="I2439" s="63" t="s">
        <v>21</v>
      </c>
      <c r="J2439" s="63" t="s">
        <v>22917</v>
      </c>
      <c r="K2439" s="63" t="s">
        <v>22918</v>
      </c>
      <c r="L2439" s="63" t="s">
        <v>21243</v>
      </c>
      <c r="M2439" s="63" t="s">
        <v>21</v>
      </c>
      <c r="P2439" s="65" t="s">
        <v>21</v>
      </c>
      <c r="Q2439" s="66" t="b">
        <v>0</v>
      </c>
      <c r="R2439" s="66"/>
      <c r="S2439" s="63" t="s">
        <v>21</v>
      </c>
    </row>
    <row r="2440" spans="1:19" ht="24">
      <c r="A2440" s="64">
        <v>12454</v>
      </c>
      <c r="B2440" s="62">
        <v>45358</v>
      </c>
      <c r="C2440" s="63" t="s">
        <v>22919</v>
      </c>
      <c r="D2440" s="62">
        <v>45357</v>
      </c>
      <c r="E2440" s="63" t="s">
        <v>22920</v>
      </c>
      <c r="F2440" s="63" t="s">
        <v>367</v>
      </c>
      <c r="G2440" s="63" t="s">
        <v>189</v>
      </c>
      <c r="H2440" s="63" t="s">
        <v>71</v>
      </c>
      <c r="I2440" s="63" t="s">
        <v>21</v>
      </c>
      <c r="J2440" s="63" t="s">
        <v>22921</v>
      </c>
      <c r="K2440" s="63" t="s">
        <v>19840</v>
      </c>
      <c r="L2440" s="63" t="s">
        <v>21142</v>
      </c>
      <c r="M2440" s="63" t="s">
        <v>21</v>
      </c>
      <c r="P2440" s="65" t="s">
        <v>21</v>
      </c>
      <c r="Q2440" s="66" t="b">
        <v>0</v>
      </c>
      <c r="R2440" s="66"/>
      <c r="S2440" s="63" t="s">
        <v>21</v>
      </c>
    </row>
    <row r="2441" spans="1:19" ht="24">
      <c r="A2441" s="64">
        <v>12465</v>
      </c>
      <c r="B2441" s="62">
        <v>45370</v>
      </c>
      <c r="C2441" s="63" t="s">
        <v>22953</v>
      </c>
      <c r="D2441" s="62">
        <v>45370</v>
      </c>
      <c r="E2441" s="63" t="s">
        <v>22954</v>
      </c>
      <c r="F2441" s="63" t="s">
        <v>22955</v>
      </c>
      <c r="G2441" s="63" t="s">
        <v>189</v>
      </c>
      <c r="H2441" s="63" t="s">
        <v>71</v>
      </c>
      <c r="I2441" s="63" t="s">
        <v>21</v>
      </c>
      <c r="J2441" s="63" t="s">
        <v>22956</v>
      </c>
      <c r="K2441" s="63" t="s">
        <v>22957</v>
      </c>
      <c r="L2441" s="63" t="s">
        <v>22185</v>
      </c>
      <c r="M2441" s="63" t="s">
        <v>21</v>
      </c>
      <c r="P2441" s="65" t="s">
        <v>21</v>
      </c>
      <c r="Q2441" s="66" t="b">
        <v>0</v>
      </c>
      <c r="R2441" s="66"/>
      <c r="S2441" s="63" t="s">
        <v>21</v>
      </c>
    </row>
    <row r="2442" spans="1:19" ht="24">
      <c r="A2442" s="64">
        <v>12480</v>
      </c>
      <c r="B2442" s="62">
        <v>45397</v>
      </c>
      <c r="C2442" s="63" t="s">
        <v>22991</v>
      </c>
      <c r="D2442" s="62">
        <v>45394</v>
      </c>
      <c r="E2442" s="63" t="s">
        <v>22992</v>
      </c>
      <c r="F2442" s="63" t="s">
        <v>6953</v>
      </c>
      <c r="G2442" s="63" t="s">
        <v>189</v>
      </c>
      <c r="H2442" s="63" t="s">
        <v>71</v>
      </c>
      <c r="I2442" s="63" t="s">
        <v>21</v>
      </c>
      <c r="J2442" s="63" t="s">
        <v>22993</v>
      </c>
      <c r="K2442" s="63" t="s">
        <v>9152</v>
      </c>
      <c r="L2442" s="63" t="s">
        <v>21142</v>
      </c>
      <c r="M2442" s="63" t="s">
        <v>21</v>
      </c>
      <c r="P2442" s="65" t="s">
        <v>21</v>
      </c>
      <c r="Q2442" s="66" t="b">
        <v>0</v>
      </c>
      <c r="R2442" s="66"/>
      <c r="S2442" s="63" t="s">
        <v>21</v>
      </c>
    </row>
    <row r="2443" spans="1:19" ht="24">
      <c r="A2443" s="64">
        <v>12481</v>
      </c>
      <c r="B2443" s="62">
        <v>45397</v>
      </c>
      <c r="C2443" s="63" t="s">
        <v>22994</v>
      </c>
      <c r="D2443" s="62">
        <v>45394</v>
      </c>
      <c r="E2443" s="63" t="s">
        <v>22995</v>
      </c>
      <c r="F2443" s="63" t="s">
        <v>22916</v>
      </c>
      <c r="G2443" s="63" t="s">
        <v>189</v>
      </c>
      <c r="H2443" s="63" t="s">
        <v>71</v>
      </c>
      <c r="I2443" s="63" t="s">
        <v>21</v>
      </c>
      <c r="J2443" s="63" t="s">
        <v>22996</v>
      </c>
      <c r="K2443" s="63" t="s">
        <v>4690</v>
      </c>
      <c r="L2443" s="63" t="s">
        <v>21243</v>
      </c>
      <c r="M2443" s="63" t="s">
        <v>21</v>
      </c>
      <c r="P2443" s="65" t="s">
        <v>21</v>
      </c>
      <c r="Q2443" s="66" t="b">
        <v>0</v>
      </c>
      <c r="R2443" s="66"/>
      <c r="S2443" s="63" t="s">
        <v>21</v>
      </c>
    </row>
    <row r="2444" spans="1:19">
      <c r="A2444" s="64">
        <v>12485</v>
      </c>
      <c r="B2444" s="62">
        <v>45399</v>
      </c>
      <c r="C2444" s="63" t="s">
        <v>23001</v>
      </c>
      <c r="D2444" s="62">
        <v>45399</v>
      </c>
      <c r="E2444" s="63" t="s">
        <v>23002</v>
      </c>
      <c r="F2444" s="63" t="s">
        <v>861</v>
      </c>
      <c r="G2444" s="63" t="s">
        <v>189</v>
      </c>
      <c r="H2444" s="63" t="s">
        <v>566</v>
      </c>
      <c r="I2444" s="63" t="s">
        <v>21</v>
      </c>
      <c r="J2444" s="63" t="s">
        <v>23003</v>
      </c>
      <c r="K2444" s="63" t="s">
        <v>23004</v>
      </c>
      <c r="L2444" s="63" t="s">
        <v>21243</v>
      </c>
      <c r="M2444" s="63" t="s">
        <v>21</v>
      </c>
      <c r="P2444" s="65" t="s">
        <v>21</v>
      </c>
      <c r="Q2444" s="66" t="b">
        <v>0</v>
      </c>
      <c r="R2444" s="66"/>
      <c r="S2444" s="63" t="s">
        <v>21</v>
      </c>
    </row>
    <row r="2445" spans="1:19" ht="24">
      <c r="A2445" s="64">
        <v>12494</v>
      </c>
      <c r="B2445" s="62">
        <v>45411</v>
      </c>
      <c r="C2445" s="63" t="s">
        <v>23028</v>
      </c>
      <c r="D2445" s="62">
        <v>45411</v>
      </c>
      <c r="E2445" s="63" t="s">
        <v>23029</v>
      </c>
      <c r="F2445" s="63" t="s">
        <v>27</v>
      </c>
      <c r="G2445" s="63" t="s">
        <v>189</v>
      </c>
      <c r="H2445" s="63" t="s">
        <v>566</v>
      </c>
      <c r="I2445" s="63" t="s">
        <v>21</v>
      </c>
      <c r="J2445" s="63" t="s">
        <v>9199</v>
      </c>
      <c r="K2445" s="63" t="s">
        <v>23030</v>
      </c>
      <c r="L2445" s="63" t="s">
        <v>21573</v>
      </c>
      <c r="M2445" s="63" t="s">
        <v>21</v>
      </c>
      <c r="P2445" s="65" t="s">
        <v>21</v>
      </c>
      <c r="Q2445" s="66" t="b">
        <v>0</v>
      </c>
      <c r="R2445" s="66"/>
      <c r="S2445" s="63" t="s">
        <v>21</v>
      </c>
    </row>
    <row r="2446" spans="1:19" ht="24">
      <c r="A2446" s="64">
        <v>12495</v>
      </c>
      <c r="B2446" s="62">
        <v>45411</v>
      </c>
      <c r="C2446" s="63" t="s">
        <v>23031</v>
      </c>
      <c r="D2446" s="62">
        <v>45411</v>
      </c>
      <c r="E2446" s="63" t="s">
        <v>23032</v>
      </c>
      <c r="F2446" s="63" t="s">
        <v>984</v>
      </c>
      <c r="G2446" s="63" t="s">
        <v>189</v>
      </c>
      <c r="H2446" s="63" t="s">
        <v>71</v>
      </c>
      <c r="I2446" s="63" t="s">
        <v>21</v>
      </c>
      <c r="J2446" s="63" t="s">
        <v>4690</v>
      </c>
      <c r="K2446" s="63" t="s">
        <v>23033</v>
      </c>
      <c r="L2446" s="63" t="s">
        <v>22185</v>
      </c>
      <c r="M2446" s="63" t="s">
        <v>21</v>
      </c>
      <c r="P2446" s="65" t="s">
        <v>21</v>
      </c>
      <c r="Q2446" s="66" t="b">
        <v>0</v>
      </c>
      <c r="R2446" s="66"/>
      <c r="S2446" s="63" t="s">
        <v>21</v>
      </c>
    </row>
    <row r="2447" spans="1:19" ht="48">
      <c r="A2447" s="64">
        <v>12496</v>
      </c>
      <c r="B2447" s="62">
        <v>45411</v>
      </c>
      <c r="C2447" s="63" t="s">
        <v>23034</v>
      </c>
      <c r="D2447" s="62">
        <v>45411</v>
      </c>
      <c r="E2447" s="63" t="s">
        <v>23035</v>
      </c>
      <c r="F2447" s="63" t="s">
        <v>70</v>
      </c>
      <c r="G2447" s="63" t="s">
        <v>189</v>
      </c>
      <c r="H2447" s="63" t="s">
        <v>71</v>
      </c>
      <c r="I2447" s="63" t="s">
        <v>21</v>
      </c>
      <c r="J2447" s="63" t="s">
        <v>22578</v>
      </c>
      <c r="K2447" s="63" t="s">
        <v>23036</v>
      </c>
      <c r="L2447" s="63" t="s">
        <v>21142</v>
      </c>
      <c r="M2447" s="63" t="s">
        <v>21</v>
      </c>
      <c r="P2447" s="65" t="s">
        <v>21</v>
      </c>
      <c r="Q2447" s="66" t="b">
        <v>0</v>
      </c>
      <c r="R2447" s="66"/>
      <c r="S2447" s="63" t="s">
        <v>22981</v>
      </c>
    </row>
    <row r="2448" spans="1:19" ht="36">
      <c r="A2448" s="64">
        <v>12500</v>
      </c>
      <c r="B2448" s="62">
        <v>45421</v>
      </c>
      <c r="C2448" s="63" t="s">
        <v>23048</v>
      </c>
      <c r="D2448" s="62">
        <v>45420</v>
      </c>
      <c r="E2448" s="63" t="s">
        <v>23049</v>
      </c>
      <c r="F2448" s="63" t="s">
        <v>13350</v>
      </c>
      <c r="G2448" s="63" t="s">
        <v>189</v>
      </c>
      <c r="H2448" s="63" t="s">
        <v>71</v>
      </c>
      <c r="I2448" s="63" t="s">
        <v>21</v>
      </c>
      <c r="J2448" s="63" t="s">
        <v>23050</v>
      </c>
      <c r="K2448" s="63" t="s">
        <v>23051</v>
      </c>
      <c r="L2448" s="63" t="s">
        <v>21573</v>
      </c>
      <c r="M2448" s="63" t="s">
        <v>21</v>
      </c>
      <c r="O2448" s="45">
        <v>45603</v>
      </c>
      <c r="P2448" s="65" t="s">
        <v>21</v>
      </c>
      <c r="Q2448" s="66" t="b">
        <v>0</v>
      </c>
      <c r="R2448" s="22">
        <f>IF(O2448=" ", " ", INT(YEARFRAC(O2448, B2448)*365))</f>
        <v>180</v>
      </c>
      <c r="S2448" s="63" t="s">
        <v>21621</v>
      </c>
    </row>
    <row r="2449" spans="1:19" ht="48">
      <c r="A2449" s="64">
        <v>12502</v>
      </c>
      <c r="B2449" s="62">
        <v>45422</v>
      </c>
      <c r="C2449" s="63" t="s">
        <v>23054</v>
      </c>
      <c r="D2449" s="62">
        <v>45422</v>
      </c>
      <c r="E2449" s="63" t="s">
        <v>23055</v>
      </c>
      <c r="F2449" s="63" t="s">
        <v>129</v>
      </c>
      <c r="G2449" s="63" t="s">
        <v>189</v>
      </c>
      <c r="H2449" s="63" t="s">
        <v>71</v>
      </c>
      <c r="I2449" s="63" t="s">
        <v>21</v>
      </c>
      <c r="J2449" s="63" t="s">
        <v>23056</v>
      </c>
      <c r="K2449" s="63" t="s">
        <v>18037</v>
      </c>
      <c r="L2449" s="63" t="s">
        <v>21573</v>
      </c>
      <c r="M2449" s="63" t="s">
        <v>21</v>
      </c>
      <c r="O2449" s="45">
        <v>45483</v>
      </c>
      <c r="P2449" s="65" t="s">
        <v>21</v>
      </c>
      <c r="Q2449" s="66" t="b">
        <v>0</v>
      </c>
      <c r="R2449" s="22">
        <f>IF(O2449=" ", " ", INT(YEARFRAC(O2449, B2449)*365))</f>
        <v>60</v>
      </c>
      <c r="S2449" s="63" t="s">
        <v>22157</v>
      </c>
    </row>
    <row r="2450" spans="1:19" ht="36">
      <c r="A2450" s="64">
        <v>12505</v>
      </c>
      <c r="B2450" s="62">
        <v>45426</v>
      </c>
      <c r="C2450" s="63" t="s">
        <v>23064</v>
      </c>
      <c r="D2450" s="62">
        <v>45426</v>
      </c>
      <c r="E2450" s="63" t="s">
        <v>23065</v>
      </c>
      <c r="F2450" s="63" t="s">
        <v>94</v>
      </c>
      <c r="G2450" s="63" t="s">
        <v>189</v>
      </c>
      <c r="H2450" s="63" t="s">
        <v>71</v>
      </c>
      <c r="I2450" s="63" t="s">
        <v>21</v>
      </c>
      <c r="J2450" s="63" t="s">
        <v>23066</v>
      </c>
      <c r="K2450" s="63" t="s">
        <v>23067</v>
      </c>
      <c r="L2450" s="63" t="s">
        <v>4282</v>
      </c>
      <c r="M2450" s="63" t="s">
        <v>21</v>
      </c>
      <c r="P2450" s="65" t="s">
        <v>21</v>
      </c>
      <c r="Q2450" s="66" t="b">
        <v>0</v>
      </c>
      <c r="R2450" s="66"/>
      <c r="S2450" s="63" t="s">
        <v>21</v>
      </c>
    </row>
    <row r="2451" spans="1:19" ht="24">
      <c r="A2451" s="64">
        <v>12508</v>
      </c>
      <c r="B2451" s="62">
        <v>45427</v>
      </c>
      <c r="C2451" s="63" t="s">
        <v>23076</v>
      </c>
      <c r="D2451" s="62">
        <v>45426</v>
      </c>
      <c r="E2451" s="63" t="s">
        <v>23077</v>
      </c>
      <c r="F2451" s="63" t="s">
        <v>216</v>
      </c>
      <c r="G2451" s="63" t="s">
        <v>189</v>
      </c>
      <c r="H2451" s="63" t="s">
        <v>71</v>
      </c>
      <c r="I2451" s="63" t="s">
        <v>21</v>
      </c>
      <c r="J2451" s="63" t="s">
        <v>23078</v>
      </c>
      <c r="K2451" s="63" t="s">
        <v>20489</v>
      </c>
      <c r="L2451" s="63" t="s">
        <v>22185</v>
      </c>
      <c r="M2451" s="63" t="s">
        <v>21</v>
      </c>
      <c r="P2451" s="65" t="s">
        <v>21</v>
      </c>
      <c r="Q2451" s="66" t="b">
        <v>0</v>
      </c>
      <c r="R2451" s="66"/>
      <c r="S2451" s="63" t="s">
        <v>23079</v>
      </c>
    </row>
    <row r="2452" spans="1:19" ht="84">
      <c r="A2452" s="64">
        <v>12509</v>
      </c>
      <c r="B2452" s="62">
        <v>45427</v>
      </c>
      <c r="C2452" s="63" t="s">
        <v>23080</v>
      </c>
      <c r="D2452" s="62">
        <v>45427</v>
      </c>
      <c r="E2452" s="63" t="s">
        <v>23081</v>
      </c>
      <c r="F2452" s="63" t="s">
        <v>149</v>
      </c>
      <c r="G2452" s="63" t="s">
        <v>189</v>
      </c>
      <c r="H2452" s="63" t="s">
        <v>71</v>
      </c>
      <c r="I2452" s="63" t="s">
        <v>21</v>
      </c>
      <c r="J2452" s="63" t="s">
        <v>2547</v>
      </c>
      <c r="K2452" s="63" t="s">
        <v>23082</v>
      </c>
      <c r="L2452" s="63" t="s">
        <v>21243</v>
      </c>
      <c r="M2452" s="63" t="s">
        <v>21</v>
      </c>
      <c r="O2452" s="45">
        <v>45511</v>
      </c>
      <c r="P2452" s="65" t="s">
        <v>21</v>
      </c>
      <c r="Q2452" s="66" t="b">
        <v>0</v>
      </c>
      <c r="R2452" s="22">
        <f>IF(O2452=" ", " ", INT(YEARFRAC(O2452, B2452)*365))</f>
        <v>83</v>
      </c>
      <c r="S2452" s="63" t="s">
        <v>23083</v>
      </c>
    </row>
    <row r="2453" spans="1:19" ht="24">
      <c r="A2453" s="64">
        <v>12512</v>
      </c>
      <c r="B2453" s="62">
        <v>45433</v>
      </c>
      <c r="C2453" s="63" t="s">
        <v>23089</v>
      </c>
      <c r="D2453" s="62">
        <v>45428</v>
      </c>
      <c r="E2453" s="63" t="s">
        <v>23090</v>
      </c>
      <c r="F2453" s="63" t="s">
        <v>6752</v>
      </c>
      <c r="G2453" s="63" t="s">
        <v>189</v>
      </c>
      <c r="H2453" s="63" t="s">
        <v>71</v>
      </c>
      <c r="I2453" s="63" t="s">
        <v>21</v>
      </c>
      <c r="J2453" s="63" t="s">
        <v>9199</v>
      </c>
      <c r="K2453" s="63" t="s">
        <v>9348</v>
      </c>
      <c r="L2453" s="63" t="s">
        <v>21142</v>
      </c>
      <c r="M2453" s="63" t="s">
        <v>21</v>
      </c>
      <c r="P2453" s="65" t="s">
        <v>21</v>
      </c>
      <c r="Q2453" s="66" t="b">
        <v>0</v>
      </c>
      <c r="R2453" s="66"/>
      <c r="S2453" s="63" t="s">
        <v>21</v>
      </c>
    </row>
    <row r="2454" spans="1:19" ht="24">
      <c r="A2454" s="64">
        <v>12513</v>
      </c>
      <c r="B2454" s="62">
        <v>45433</v>
      </c>
      <c r="C2454" s="63" t="s">
        <v>23091</v>
      </c>
      <c r="D2454" s="62">
        <v>45432</v>
      </c>
      <c r="E2454" s="63" t="s">
        <v>23092</v>
      </c>
      <c r="F2454" s="63" t="s">
        <v>1771</v>
      </c>
      <c r="G2454" s="63" t="s">
        <v>189</v>
      </c>
      <c r="H2454" s="63" t="s">
        <v>189</v>
      </c>
      <c r="I2454" s="63" t="s">
        <v>21</v>
      </c>
      <c r="J2454" s="63" t="s">
        <v>23093</v>
      </c>
      <c r="K2454" s="63" t="s">
        <v>23094</v>
      </c>
      <c r="L2454" s="63" t="s">
        <v>21243</v>
      </c>
      <c r="M2454" s="63" t="s">
        <v>21</v>
      </c>
      <c r="P2454" s="65" t="s">
        <v>21</v>
      </c>
      <c r="Q2454" s="66" t="b">
        <v>0</v>
      </c>
      <c r="R2454" s="66"/>
      <c r="S2454" s="63" t="s">
        <v>21</v>
      </c>
    </row>
    <row r="2455" spans="1:19" ht="60">
      <c r="A2455" s="64">
        <v>12516</v>
      </c>
      <c r="B2455" s="62">
        <v>45442</v>
      </c>
      <c r="C2455" s="63" t="s">
        <v>23102</v>
      </c>
      <c r="D2455" s="62">
        <v>45441</v>
      </c>
      <c r="E2455" s="63" t="s">
        <v>23103</v>
      </c>
      <c r="F2455" s="63" t="s">
        <v>23104</v>
      </c>
      <c r="G2455" s="63" t="s">
        <v>20</v>
      </c>
      <c r="H2455" s="63" t="s">
        <v>71</v>
      </c>
      <c r="I2455" s="63" t="s">
        <v>21</v>
      </c>
      <c r="J2455" s="63" t="s">
        <v>15700</v>
      </c>
      <c r="K2455" s="63" t="s">
        <v>20489</v>
      </c>
      <c r="L2455" s="63" t="s">
        <v>22185</v>
      </c>
      <c r="M2455" s="63" t="s">
        <v>21</v>
      </c>
      <c r="O2455" s="45">
        <v>45653</v>
      </c>
      <c r="P2455" s="65" t="s">
        <v>21</v>
      </c>
      <c r="Q2455" s="66" t="b">
        <v>0</v>
      </c>
      <c r="R2455" s="22">
        <f>IF(O2455=" ", " ", INT(YEARFRAC(O2455, B2455)*365))</f>
        <v>209</v>
      </c>
      <c r="S2455" s="63" t="s">
        <v>23105</v>
      </c>
    </row>
    <row r="2456" spans="1:19" ht="24">
      <c r="A2456" s="64">
        <v>12525</v>
      </c>
      <c r="B2456" s="62">
        <v>45455</v>
      </c>
      <c r="C2456" s="63" t="s">
        <v>23139</v>
      </c>
      <c r="D2456" s="62">
        <v>45455</v>
      </c>
      <c r="E2456" s="63" t="s">
        <v>23118</v>
      </c>
      <c r="F2456" s="63" t="s">
        <v>11319</v>
      </c>
      <c r="G2456" s="63" t="s">
        <v>189</v>
      </c>
      <c r="H2456" s="63" t="s">
        <v>71</v>
      </c>
      <c r="I2456" s="63" t="s">
        <v>21</v>
      </c>
      <c r="J2456" s="63" t="s">
        <v>23116</v>
      </c>
      <c r="K2456" s="63" t="s">
        <v>23117</v>
      </c>
      <c r="L2456" s="63" t="s">
        <v>21573</v>
      </c>
      <c r="M2456" s="63" t="s">
        <v>21</v>
      </c>
      <c r="P2456" s="65" t="s">
        <v>21</v>
      </c>
      <c r="Q2456" s="66" t="b">
        <v>0</v>
      </c>
      <c r="R2456" s="66"/>
      <c r="S2456" s="63" t="s">
        <v>23115</v>
      </c>
    </row>
    <row r="2457" spans="1:19" ht="24">
      <c r="A2457" s="64">
        <v>12527</v>
      </c>
      <c r="B2457" s="62">
        <v>45460</v>
      </c>
      <c r="C2457" s="63" t="s">
        <v>23143</v>
      </c>
      <c r="D2457" s="62">
        <v>45457</v>
      </c>
      <c r="E2457" s="63" t="s">
        <v>23144</v>
      </c>
      <c r="F2457" s="63" t="s">
        <v>11319</v>
      </c>
      <c r="G2457" s="63" t="s">
        <v>189</v>
      </c>
      <c r="H2457" s="63" t="s">
        <v>71</v>
      </c>
      <c r="I2457" s="63" t="s">
        <v>21</v>
      </c>
      <c r="J2457" s="63" t="s">
        <v>23142</v>
      </c>
      <c r="K2457" s="63" t="s">
        <v>23145</v>
      </c>
      <c r="L2457" s="63" t="s">
        <v>21142</v>
      </c>
      <c r="M2457" s="63" t="s">
        <v>21</v>
      </c>
      <c r="O2457" s="45">
        <v>45567</v>
      </c>
      <c r="P2457" s="65" t="s">
        <v>21</v>
      </c>
      <c r="Q2457" s="66" t="b">
        <v>0</v>
      </c>
      <c r="R2457" s="22">
        <f>IF(O2457=" ", " ", INT(YEARFRAC(O2457, B2457)*365))</f>
        <v>106</v>
      </c>
      <c r="S2457" s="63" t="s">
        <v>21621</v>
      </c>
    </row>
    <row r="2458" spans="1:19" ht="24">
      <c r="A2458" s="64">
        <v>12538</v>
      </c>
      <c r="B2458" s="62">
        <v>45470</v>
      </c>
      <c r="C2458" s="63" t="s">
        <v>23174</v>
      </c>
      <c r="D2458" s="62">
        <v>45468</v>
      </c>
      <c r="E2458" s="63" t="s">
        <v>23175</v>
      </c>
      <c r="F2458" s="63" t="s">
        <v>693</v>
      </c>
      <c r="G2458" s="63" t="s">
        <v>189</v>
      </c>
      <c r="H2458" s="63" t="s">
        <v>189</v>
      </c>
      <c r="I2458" s="63" t="s">
        <v>21</v>
      </c>
      <c r="J2458" s="63" t="s">
        <v>23176</v>
      </c>
      <c r="K2458" s="63" t="s">
        <v>23177</v>
      </c>
      <c r="L2458" s="63" t="s">
        <v>21243</v>
      </c>
      <c r="M2458" s="63" t="s">
        <v>21</v>
      </c>
      <c r="P2458" s="65" t="s">
        <v>21</v>
      </c>
      <c r="Q2458" s="66" t="b">
        <v>0</v>
      </c>
      <c r="R2458" s="66"/>
      <c r="S2458" s="63" t="s">
        <v>21</v>
      </c>
    </row>
    <row r="2459" spans="1:19" ht="24">
      <c r="A2459" s="64">
        <v>12553</v>
      </c>
      <c r="B2459" s="62">
        <v>45495</v>
      </c>
      <c r="C2459" s="63" t="s">
        <v>23218</v>
      </c>
      <c r="D2459" s="62">
        <v>45492</v>
      </c>
      <c r="E2459" s="63" t="s">
        <v>23219</v>
      </c>
      <c r="F2459" s="63" t="s">
        <v>27</v>
      </c>
      <c r="G2459" s="63" t="s">
        <v>20</v>
      </c>
      <c r="H2459" s="63" t="s">
        <v>71</v>
      </c>
      <c r="I2459" s="63" t="s">
        <v>21</v>
      </c>
      <c r="J2459" s="63" t="s">
        <v>23220</v>
      </c>
      <c r="K2459" s="63" t="s">
        <v>23221</v>
      </c>
      <c r="L2459" s="63" t="s">
        <v>21142</v>
      </c>
      <c r="M2459" s="63" t="s">
        <v>21</v>
      </c>
      <c r="P2459" s="65" t="s">
        <v>21</v>
      </c>
      <c r="Q2459" s="66" t="b">
        <v>0</v>
      </c>
      <c r="R2459" s="66"/>
      <c r="S2459" s="63" t="s">
        <v>21</v>
      </c>
    </row>
    <row r="2460" spans="1:19" ht="24">
      <c r="A2460" s="64">
        <v>12556</v>
      </c>
      <c r="B2460" s="62">
        <v>45497</v>
      </c>
      <c r="C2460" s="63" t="s">
        <v>23227</v>
      </c>
      <c r="D2460" s="62">
        <v>45497</v>
      </c>
      <c r="E2460" s="63" t="s">
        <v>23228</v>
      </c>
      <c r="F2460" s="63" t="s">
        <v>2146</v>
      </c>
      <c r="G2460" s="63" t="s">
        <v>20</v>
      </c>
      <c r="H2460" s="63" t="s">
        <v>189</v>
      </c>
      <c r="I2460" s="63" t="s">
        <v>21</v>
      </c>
      <c r="J2460" s="63" t="s">
        <v>23229</v>
      </c>
      <c r="K2460" s="63" t="s">
        <v>18037</v>
      </c>
      <c r="L2460" s="63" t="s">
        <v>22185</v>
      </c>
      <c r="M2460" s="63" t="s">
        <v>21</v>
      </c>
      <c r="P2460" s="65" t="s">
        <v>21</v>
      </c>
      <c r="Q2460" s="66" t="b">
        <v>0</v>
      </c>
      <c r="R2460" s="66"/>
      <c r="S2460" s="63" t="s">
        <v>21</v>
      </c>
    </row>
    <row r="2461" spans="1:19" ht="48">
      <c r="A2461" s="64">
        <v>12561</v>
      </c>
      <c r="B2461" s="62">
        <v>45516</v>
      </c>
      <c r="C2461" s="63" t="s">
        <v>23241</v>
      </c>
      <c r="D2461" s="62">
        <v>45516</v>
      </c>
      <c r="E2461" s="63" t="s">
        <v>23242</v>
      </c>
      <c r="F2461" s="63" t="s">
        <v>1771</v>
      </c>
      <c r="G2461" s="63" t="s">
        <v>20</v>
      </c>
      <c r="H2461" s="63" t="s">
        <v>189</v>
      </c>
      <c r="I2461" s="63" t="s">
        <v>21</v>
      </c>
      <c r="J2461" s="63" t="s">
        <v>22527</v>
      </c>
      <c r="K2461" s="63" t="s">
        <v>23243</v>
      </c>
      <c r="L2461" s="63" t="s">
        <v>21243</v>
      </c>
      <c r="M2461" s="63" t="s">
        <v>21</v>
      </c>
      <c r="O2461" s="45">
        <v>45555</v>
      </c>
      <c r="P2461" s="65" t="s">
        <v>21</v>
      </c>
      <c r="Q2461" s="66" t="b">
        <v>0</v>
      </c>
      <c r="R2461" s="22">
        <f>IF(O2461=" ", " ", INT(YEARFRAC(O2461, B2461)*365))</f>
        <v>38</v>
      </c>
      <c r="S2461" s="63" t="s">
        <v>22157</v>
      </c>
    </row>
    <row r="2462" spans="1:19" ht="24">
      <c r="A2462" s="64">
        <v>12563</v>
      </c>
      <c r="B2462" s="62">
        <v>45518</v>
      </c>
      <c r="C2462" s="63" t="s">
        <v>23246</v>
      </c>
      <c r="D2462" s="62">
        <v>45518</v>
      </c>
      <c r="E2462" s="63" t="s">
        <v>23247</v>
      </c>
      <c r="F2462" s="63" t="s">
        <v>23204</v>
      </c>
      <c r="G2462" s="63" t="s">
        <v>189</v>
      </c>
      <c r="H2462" s="63" t="s">
        <v>71</v>
      </c>
      <c r="I2462" s="63" t="s">
        <v>21</v>
      </c>
      <c r="J2462" s="63" t="s">
        <v>23248</v>
      </c>
      <c r="K2462" s="63" t="s">
        <v>23249</v>
      </c>
      <c r="L2462" s="63" t="s">
        <v>21573</v>
      </c>
      <c r="M2462" s="63" t="s">
        <v>21</v>
      </c>
      <c r="O2462" s="45">
        <v>45569</v>
      </c>
      <c r="P2462" s="65" t="s">
        <v>21</v>
      </c>
      <c r="Q2462" s="66" t="b">
        <v>0</v>
      </c>
      <c r="R2462" s="22">
        <f>IF(O2462=" ", " ", INT(YEARFRAC(O2462, B2462)*365))</f>
        <v>50</v>
      </c>
      <c r="S2462" s="63" t="s">
        <v>21621</v>
      </c>
    </row>
    <row r="2463" spans="1:19" ht="36">
      <c r="A2463" s="64">
        <v>12574</v>
      </c>
      <c r="B2463" s="62">
        <v>45527</v>
      </c>
      <c r="C2463" s="63" t="s">
        <v>23280</v>
      </c>
      <c r="D2463" s="62">
        <v>45527</v>
      </c>
      <c r="E2463" s="63" t="s">
        <v>23281</v>
      </c>
      <c r="F2463" s="63" t="s">
        <v>98</v>
      </c>
      <c r="G2463" s="63" t="s">
        <v>20</v>
      </c>
      <c r="H2463" s="63" t="s">
        <v>71</v>
      </c>
      <c r="I2463" s="63" t="s">
        <v>21</v>
      </c>
      <c r="J2463" s="63" t="s">
        <v>23282</v>
      </c>
      <c r="K2463" s="63" t="s">
        <v>23283</v>
      </c>
      <c r="L2463" s="63" t="s">
        <v>21243</v>
      </c>
      <c r="M2463" s="63" t="s">
        <v>21</v>
      </c>
      <c r="O2463" s="45">
        <v>45581</v>
      </c>
      <c r="P2463" s="65" t="s">
        <v>21</v>
      </c>
      <c r="Q2463" s="66" t="b">
        <v>0</v>
      </c>
      <c r="R2463" s="22">
        <f>IF(O2463=" ", " ", INT(YEARFRAC(O2463, B2463)*365))</f>
        <v>53</v>
      </c>
      <c r="S2463" s="63" t="s">
        <v>21621</v>
      </c>
    </row>
    <row r="2464" spans="1:19" ht="24">
      <c r="A2464" s="64">
        <v>12575</v>
      </c>
      <c r="B2464" s="62">
        <v>45527</v>
      </c>
      <c r="C2464" s="63" t="s">
        <v>23284</v>
      </c>
      <c r="D2464" s="62">
        <v>45527</v>
      </c>
      <c r="E2464" s="63" t="s">
        <v>23285</v>
      </c>
      <c r="F2464" s="63" t="s">
        <v>2521</v>
      </c>
      <c r="G2464" s="63" t="s">
        <v>20</v>
      </c>
      <c r="H2464" s="63" t="s">
        <v>566</v>
      </c>
      <c r="I2464" s="63" t="s">
        <v>21</v>
      </c>
      <c r="J2464" s="63" t="s">
        <v>15387</v>
      </c>
      <c r="K2464" s="63" t="s">
        <v>23286</v>
      </c>
      <c r="L2464" s="63" t="s">
        <v>4282</v>
      </c>
      <c r="M2464" s="63" t="s">
        <v>21</v>
      </c>
      <c r="P2464" s="65" t="s">
        <v>21</v>
      </c>
      <c r="Q2464" s="66" t="b">
        <v>0</v>
      </c>
      <c r="R2464" s="66"/>
      <c r="S2464" s="63" t="s">
        <v>21</v>
      </c>
    </row>
    <row r="2465" spans="1:19" ht="24">
      <c r="A2465" s="64">
        <v>12576</v>
      </c>
      <c r="B2465" s="62">
        <v>45530</v>
      </c>
      <c r="C2465" s="63" t="s">
        <v>23287</v>
      </c>
      <c r="D2465" s="62">
        <v>45527</v>
      </c>
      <c r="E2465" s="63" t="s">
        <v>23288</v>
      </c>
      <c r="F2465" s="63" t="s">
        <v>70</v>
      </c>
      <c r="G2465" s="63" t="s">
        <v>189</v>
      </c>
      <c r="H2465" s="63" t="s">
        <v>71</v>
      </c>
      <c r="I2465" s="63" t="s">
        <v>21</v>
      </c>
      <c r="J2465" s="63" t="s">
        <v>23289</v>
      </c>
      <c r="K2465" s="63" t="s">
        <v>23290</v>
      </c>
      <c r="L2465" s="63" t="s">
        <v>22185</v>
      </c>
      <c r="M2465" s="63" t="s">
        <v>21</v>
      </c>
      <c r="P2465" s="65" t="s">
        <v>21</v>
      </c>
      <c r="Q2465" s="66" t="b">
        <v>0</v>
      </c>
      <c r="R2465" s="66"/>
      <c r="S2465" s="63" t="s">
        <v>21</v>
      </c>
    </row>
    <row r="2466" spans="1:19" ht="24">
      <c r="A2466" s="64">
        <v>12577</v>
      </c>
      <c r="B2466" s="62">
        <v>45530</v>
      </c>
      <c r="C2466" s="63" t="s">
        <v>23291</v>
      </c>
      <c r="D2466" s="62">
        <v>45527</v>
      </c>
      <c r="E2466" s="63" t="s">
        <v>23292</v>
      </c>
      <c r="F2466" s="63" t="s">
        <v>56</v>
      </c>
      <c r="G2466" s="63" t="s">
        <v>189</v>
      </c>
      <c r="H2466" s="63" t="s">
        <v>71</v>
      </c>
      <c r="I2466" s="63" t="s">
        <v>21</v>
      </c>
      <c r="J2466" s="63" t="s">
        <v>23293</v>
      </c>
      <c r="K2466" s="63" t="s">
        <v>23294</v>
      </c>
      <c r="L2466" s="63" t="s">
        <v>21142</v>
      </c>
      <c r="M2466" s="63" t="s">
        <v>21</v>
      </c>
      <c r="P2466" s="65" t="s">
        <v>21</v>
      </c>
      <c r="Q2466" s="66" t="b">
        <v>0</v>
      </c>
      <c r="R2466" s="66"/>
      <c r="S2466" s="63" t="s">
        <v>21</v>
      </c>
    </row>
    <row r="2467" spans="1:19" ht="48">
      <c r="A2467" s="64">
        <v>12587</v>
      </c>
      <c r="B2467" s="62">
        <v>45534</v>
      </c>
      <c r="C2467" s="63" t="s">
        <v>23319</v>
      </c>
      <c r="D2467" s="62">
        <v>45533</v>
      </c>
      <c r="E2467" s="63" t="s">
        <v>23320</v>
      </c>
      <c r="F2467" s="63" t="s">
        <v>2105</v>
      </c>
      <c r="G2467" s="63" t="s">
        <v>189</v>
      </c>
      <c r="H2467" s="63" t="s">
        <v>189</v>
      </c>
      <c r="I2467" s="63" t="s">
        <v>21</v>
      </c>
      <c r="J2467" s="63" t="s">
        <v>23321</v>
      </c>
      <c r="K2467" s="63" t="s">
        <v>15700</v>
      </c>
      <c r="L2467" s="63" t="s">
        <v>22185</v>
      </c>
      <c r="M2467" s="63" t="s">
        <v>21</v>
      </c>
      <c r="O2467" s="45">
        <v>45595</v>
      </c>
      <c r="P2467" s="65" t="s">
        <v>21</v>
      </c>
      <c r="Q2467" s="66" t="b">
        <v>0</v>
      </c>
      <c r="R2467" s="22">
        <f>IF(O2467=" ", " ", INT(YEARFRAC(O2467, B2467)*365))</f>
        <v>60</v>
      </c>
      <c r="S2467" s="63" t="s">
        <v>23322</v>
      </c>
    </row>
    <row r="2468" spans="1:19" ht="24">
      <c r="A2468" s="64">
        <v>12589</v>
      </c>
      <c r="B2468" s="62">
        <v>45547</v>
      </c>
      <c r="C2468" s="63" t="s">
        <v>23327</v>
      </c>
      <c r="D2468" s="62">
        <v>45547</v>
      </c>
      <c r="E2468" s="63" t="s">
        <v>23328</v>
      </c>
      <c r="F2468" s="63" t="s">
        <v>22916</v>
      </c>
      <c r="G2468" s="63" t="s">
        <v>189</v>
      </c>
      <c r="H2468" s="63" t="s">
        <v>71</v>
      </c>
      <c r="I2468" s="63" t="s">
        <v>21</v>
      </c>
      <c r="J2468" s="63" t="s">
        <v>23329</v>
      </c>
      <c r="K2468" s="63" t="s">
        <v>23330</v>
      </c>
      <c r="L2468" s="63" t="s">
        <v>21142</v>
      </c>
      <c r="M2468" s="63" t="s">
        <v>21</v>
      </c>
      <c r="P2468" s="65" t="s">
        <v>21</v>
      </c>
      <c r="Q2468" s="66" t="b">
        <v>0</v>
      </c>
      <c r="R2468" s="66"/>
      <c r="S2468" s="63" t="s">
        <v>21</v>
      </c>
    </row>
    <row r="2469" spans="1:19" ht="24">
      <c r="A2469" s="64">
        <v>12594</v>
      </c>
      <c r="B2469" s="62">
        <v>45552</v>
      </c>
      <c r="C2469" s="63" t="s">
        <v>23340</v>
      </c>
      <c r="D2469" s="62">
        <v>45551</v>
      </c>
      <c r="E2469" s="63" t="s">
        <v>23341</v>
      </c>
      <c r="F2469" s="63" t="s">
        <v>4596</v>
      </c>
      <c r="G2469" s="63" t="s">
        <v>20</v>
      </c>
      <c r="H2469" s="63" t="s">
        <v>71</v>
      </c>
      <c r="I2469" s="63" t="s">
        <v>21</v>
      </c>
      <c r="J2469" s="63" t="s">
        <v>23342</v>
      </c>
      <c r="K2469" s="63" t="s">
        <v>23343</v>
      </c>
      <c r="L2469" s="63" t="s">
        <v>21243</v>
      </c>
      <c r="M2469" s="63" t="s">
        <v>21</v>
      </c>
      <c r="P2469" s="65" t="s">
        <v>21</v>
      </c>
      <c r="Q2469" s="66" t="b">
        <v>0</v>
      </c>
      <c r="R2469" s="66"/>
      <c r="S2469" s="63" t="s">
        <v>21</v>
      </c>
    </row>
    <row r="2470" spans="1:19" ht="24">
      <c r="A2470" s="64">
        <v>12595</v>
      </c>
      <c r="B2470" s="62">
        <v>45553</v>
      </c>
      <c r="C2470" s="63" t="s">
        <v>23344</v>
      </c>
      <c r="D2470" s="62">
        <v>45552</v>
      </c>
      <c r="E2470" s="63" t="s">
        <v>23345</v>
      </c>
      <c r="F2470" s="63" t="s">
        <v>149</v>
      </c>
      <c r="G2470" s="63" t="s">
        <v>20</v>
      </c>
      <c r="H2470" s="63" t="s">
        <v>71</v>
      </c>
      <c r="I2470" s="63" t="s">
        <v>21</v>
      </c>
      <c r="J2470" s="63" t="s">
        <v>23033</v>
      </c>
      <c r="K2470" s="63" t="s">
        <v>23346</v>
      </c>
      <c r="L2470" s="63" t="s">
        <v>4282</v>
      </c>
      <c r="M2470" s="63" t="s">
        <v>21</v>
      </c>
      <c r="P2470" s="65" t="s">
        <v>21</v>
      </c>
      <c r="Q2470" s="66" t="b">
        <v>0</v>
      </c>
      <c r="R2470" s="66"/>
      <c r="S2470" s="63" t="s">
        <v>21</v>
      </c>
    </row>
    <row r="2471" spans="1:19" ht="36">
      <c r="A2471" s="64">
        <v>12601</v>
      </c>
      <c r="B2471" s="62">
        <v>45576</v>
      </c>
      <c r="C2471" s="63" t="s">
        <v>23364</v>
      </c>
      <c r="D2471" s="62">
        <v>45576</v>
      </c>
      <c r="E2471" s="63" t="s">
        <v>23365</v>
      </c>
      <c r="F2471" s="63" t="s">
        <v>19</v>
      </c>
      <c r="G2471" s="63" t="s">
        <v>20</v>
      </c>
      <c r="H2471" s="63" t="s">
        <v>71</v>
      </c>
      <c r="I2471" s="63" t="s">
        <v>21</v>
      </c>
      <c r="J2471" s="63" t="s">
        <v>23366</v>
      </c>
      <c r="K2471" s="63" t="s">
        <v>23367</v>
      </c>
      <c r="L2471" s="63" t="s">
        <v>21573</v>
      </c>
      <c r="M2471" s="63" t="s">
        <v>21</v>
      </c>
      <c r="N2471" s="22"/>
      <c r="O2471" s="22"/>
      <c r="P2471" s="65" t="s">
        <v>21</v>
      </c>
      <c r="Q2471" s="66" t="b">
        <v>0</v>
      </c>
      <c r="R2471" s="66"/>
      <c r="S2471" s="63" t="s">
        <v>21</v>
      </c>
    </row>
    <row r="2472" spans="1:19" ht="24">
      <c r="A2472" s="64">
        <v>12603</v>
      </c>
      <c r="B2472" s="62">
        <v>45580</v>
      </c>
      <c r="C2472" s="63" t="s">
        <v>23372</v>
      </c>
      <c r="D2472" s="62">
        <v>45579</v>
      </c>
      <c r="E2472" s="63" t="s">
        <v>23373</v>
      </c>
      <c r="F2472" s="63" t="s">
        <v>23374</v>
      </c>
      <c r="G2472" s="63" t="s">
        <v>189</v>
      </c>
      <c r="H2472" s="63" t="s">
        <v>566</v>
      </c>
      <c r="I2472" s="63" t="s">
        <v>21</v>
      </c>
      <c r="J2472" s="63" t="s">
        <v>23375</v>
      </c>
      <c r="K2472" s="63" t="s">
        <v>15387</v>
      </c>
      <c r="L2472" s="63" t="s">
        <v>22185</v>
      </c>
      <c r="M2472" s="63" t="s">
        <v>21</v>
      </c>
      <c r="O2472" s="22"/>
      <c r="P2472" s="65" t="s">
        <v>21</v>
      </c>
      <c r="Q2472" s="66" t="b">
        <v>0</v>
      </c>
      <c r="R2472" s="66"/>
      <c r="S2472" s="63" t="s">
        <v>21</v>
      </c>
    </row>
    <row r="2473" spans="1:19" ht="24">
      <c r="A2473" s="64">
        <v>12617</v>
      </c>
      <c r="B2473" s="62">
        <v>45594</v>
      </c>
      <c r="C2473" s="63" t="s">
        <v>23414</v>
      </c>
      <c r="D2473" s="62">
        <v>45594</v>
      </c>
      <c r="E2473" s="63" t="s">
        <v>23415</v>
      </c>
      <c r="F2473" s="63" t="s">
        <v>70</v>
      </c>
      <c r="G2473" s="63" t="s">
        <v>189</v>
      </c>
      <c r="H2473" s="63" t="s">
        <v>71</v>
      </c>
      <c r="I2473" s="63" t="s">
        <v>21</v>
      </c>
      <c r="J2473" s="63" t="s">
        <v>23289</v>
      </c>
      <c r="K2473" s="63" t="s">
        <v>4488</v>
      </c>
      <c r="L2473" s="63" t="s">
        <v>22185</v>
      </c>
      <c r="M2473" s="63" t="s">
        <v>21</v>
      </c>
      <c r="O2473" s="22"/>
      <c r="P2473" s="65" t="s">
        <v>21</v>
      </c>
      <c r="Q2473" s="66" t="b">
        <v>0</v>
      </c>
      <c r="R2473" s="66"/>
      <c r="S2473" s="63" t="s">
        <v>21</v>
      </c>
    </row>
    <row r="2474" spans="1:19" ht="24">
      <c r="A2474" s="64">
        <v>12621</v>
      </c>
      <c r="B2474" s="62">
        <v>45602</v>
      </c>
      <c r="C2474" s="63" t="s">
        <v>23424</v>
      </c>
      <c r="D2474" s="62">
        <v>45600</v>
      </c>
      <c r="E2474" s="63" t="s">
        <v>23425</v>
      </c>
      <c r="F2474" s="63" t="s">
        <v>741</v>
      </c>
      <c r="G2474" s="63" t="s">
        <v>20</v>
      </c>
      <c r="H2474" s="63" t="s">
        <v>71</v>
      </c>
      <c r="I2474" s="63" t="s">
        <v>21</v>
      </c>
      <c r="J2474" s="63" t="s">
        <v>14596</v>
      </c>
      <c r="K2474" s="63" t="s">
        <v>4690</v>
      </c>
      <c r="L2474" s="63" t="s">
        <v>21243</v>
      </c>
      <c r="M2474" s="63" t="s">
        <v>21</v>
      </c>
      <c r="O2474" s="22"/>
      <c r="P2474" s="65" t="s">
        <v>21</v>
      </c>
      <c r="Q2474" s="66" t="b">
        <v>0</v>
      </c>
      <c r="R2474" s="66"/>
      <c r="S2474" s="63" t="s">
        <v>21</v>
      </c>
    </row>
    <row r="2475" spans="1:19" ht="24">
      <c r="A2475" s="64">
        <v>12632</v>
      </c>
      <c r="B2475" s="62">
        <v>45615</v>
      </c>
      <c r="C2475" s="63" t="s">
        <v>23454</v>
      </c>
      <c r="D2475" s="62">
        <v>45614</v>
      </c>
      <c r="E2475" s="63" t="s">
        <v>23455</v>
      </c>
      <c r="F2475" s="63" t="s">
        <v>56</v>
      </c>
      <c r="G2475" s="63" t="s">
        <v>189</v>
      </c>
      <c r="H2475" s="63" t="s">
        <v>71</v>
      </c>
      <c r="I2475" s="63" t="s">
        <v>21</v>
      </c>
      <c r="J2475" s="63" t="s">
        <v>23456</v>
      </c>
      <c r="K2475" s="63" t="s">
        <v>23457</v>
      </c>
      <c r="L2475" s="63" t="s">
        <v>21142</v>
      </c>
      <c r="M2475" s="63" t="s">
        <v>21</v>
      </c>
      <c r="O2475" s="22"/>
      <c r="P2475" s="65" t="s">
        <v>21</v>
      </c>
      <c r="Q2475" s="66" t="b">
        <v>0</v>
      </c>
      <c r="R2475" s="66"/>
      <c r="S2475" s="63" t="s">
        <v>21</v>
      </c>
    </row>
    <row r="2476" spans="1:19" ht="24">
      <c r="A2476" s="64">
        <v>12633</v>
      </c>
      <c r="B2476" s="62">
        <v>45615</v>
      </c>
      <c r="C2476" s="63" t="s">
        <v>23458</v>
      </c>
      <c r="D2476" s="62">
        <v>45614</v>
      </c>
      <c r="E2476" s="63" t="s">
        <v>23459</v>
      </c>
      <c r="F2476" s="63" t="s">
        <v>23460</v>
      </c>
      <c r="G2476" s="63" t="s">
        <v>189</v>
      </c>
      <c r="H2476" s="63" t="s">
        <v>71</v>
      </c>
      <c r="I2476" s="63" t="s">
        <v>21</v>
      </c>
      <c r="J2476" s="63" t="s">
        <v>23461</v>
      </c>
      <c r="K2476" s="63" t="s">
        <v>23462</v>
      </c>
      <c r="L2476" s="63" t="s">
        <v>21573</v>
      </c>
      <c r="M2476" s="63" t="s">
        <v>21</v>
      </c>
      <c r="O2476" s="22"/>
      <c r="P2476" s="65" t="s">
        <v>21</v>
      </c>
      <c r="Q2476" s="66" t="b">
        <v>0</v>
      </c>
      <c r="R2476" s="66"/>
      <c r="S2476" s="63" t="s">
        <v>21</v>
      </c>
    </row>
    <row r="2477" spans="1:19" ht="24">
      <c r="A2477" s="64">
        <v>12638</v>
      </c>
      <c r="B2477" s="62">
        <v>45629</v>
      </c>
      <c r="C2477" s="63" t="s">
        <v>23469</v>
      </c>
      <c r="D2477" s="62">
        <v>45628</v>
      </c>
      <c r="E2477" s="63" t="s">
        <v>23470</v>
      </c>
      <c r="F2477" s="63" t="s">
        <v>23471</v>
      </c>
      <c r="G2477" s="63" t="s">
        <v>189</v>
      </c>
      <c r="H2477" s="63" t="s">
        <v>71</v>
      </c>
      <c r="I2477" s="63" t="s">
        <v>21</v>
      </c>
      <c r="J2477" s="63" t="s">
        <v>7150</v>
      </c>
      <c r="K2477" s="63" t="s">
        <v>405</v>
      </c>
      <c r="L2477" s="63" t="s">
        <v>21243</v>
      </c>
      <c r="M2477" s="63" t="s">
        <v>21</v>
      </c>
      <c r="O2477" s="22"/>
      <c r="P2477" s="65" t="s">
        <v>21</v>
      </c>
      <c r="Q2477" s="66" t="b">
        <v>0</v>
      </c>
      <c r="R2477" s="66"/>
      <c r="S2477" s="63" t="s">
        <v>21</v>
      </c>
    </row>
    <row r="2478" spans="1:19" ht="36">
      <c r="A2478" s="64">
        <v>12639</v>
      </c>
      <c r="B2478" s="62">
        <v>45631</v>
      </c>
      <c r="C2478" s="63" t="s">
        <v>23472</v>
      </c>
      <c r="D2478" s="62">
        <v>45630</v>
      </c>
      <c r="E2478" s="63" t="s">
        <v>23473</v>
      </c>
      <c r="F2478" s="63" t="s">
        <v>228</v>
      </c>
      <c r="G2478" s="63" t="s">
        <v>189</v>
      </c>
      <c r="H2478" s="63" t="s">
        <v>71</v>
      </c>
      <c r="I2478" s="63" t="s">
        <v>21</v>
      </c>
      <c r="J2478" s="63" t="s">
        <v>23474</v>
      </c>
      <c r="K2478" s="63" t="s">
        <v>23475</v>
      </c>
      <c r="L2478" s="63" t="s">
        <v>22185</v>
      </c>
      <c r="M2478" s="63" t="s">
        <v>21</v>
      </c>
      <c r="O2478" s="22"/>
      <c r="P2478" s="65" t="s">
        <v>21</v>
      </c>
      <c r="Q2478" s="66" t="b">
        <v>0</v>
      </c>
      <c r="R2478" s="66"/>
      <c r="S2478" s="63" t="s">
        <v>23404</v>
      </c>
    </row>
    <row r="2479" spans="1:19" ht="36">
      <c r="A2479" s="64">
        <v>12640</v>
      </c>
      <c r="B2479" s="62">
        <v>45629</v>
      </c>
      <c r="C2479" s="63" t="s">
        <v>23476</v>
      </c>
      <c r="D2479" s="62">
        <v>45628</v>
      </c>
      <c r="E2479" s="63" t="s">
        <v>23477</v>
      </c>
      <c r="F2479" s="63" t="s">
        <v>22767</v>
      </c>
      <c r="G2479" s="63" t="s">
        <v>189</v>
      </c>
      <c r="H2479" s="63" t="s">
        <v>71</v>
      </c>
      <c r="I2479" s="63" t="s">
        <v>21</v>
      </c>
      <c r="J2479" s="63" t="s">
        <v>16399</v>
      </c>
      <c r="K2479" s="63" t="s">
        <v>23478</v>
      </c>
      <c r="L2479" s="63" t="s">
        <v>21243</v>
      </c>
      <c r="M2479" s="63" t="s">
        <v>21</v>
      </c>
      <c r="O2479" s="22"/>
      <c r="P2479" s="65" t="s">
        <v>21</v>
      </c>
      <c r="Q2479" s="66" t="b">
        <v>0</v>
      </c>
      <c r="R2479" s="66"/>
      <c r="S2479" s="63" t="s">
        <v>21</v>
      </c>
    </row>
    <row r="2480" spans="1:19" ht="24">
      <c r="A2480" s="64">
        <v>12641</v>
      </c>
      <c r="B2480" s="62">
        <v>45631</v>
      </c>
      <c r="C2480" s="63" t="s">
        <v>23479</v>
      </c>
      <c r="D2480" s="62">
        <v>45630</v>
      </c>
      <c r="E2480" s="63" t="s">
        <v>23480</v>
      </c>
      <c r="F2480" s="63" t="s">
        <v>23481</v>
      </c>
      <c r="G2480" s="63" t="s">
        <v>189</v>
      </c>
      <c r="H2480" s="63" t="s">
        <v>71</v>
      </c>
      <c r="I2480" s="63" t="s">
        <v>21</v>
      </c>
      <c r="J2480" s="63" t="s">
        <v>23482</v>
      </c>
      <c r="K2480" s="63" t="s">
        <v>23483</v>
      </c>
      <c r="L2480" s="63" t="s">
        <v>21142</v>
      </c>
      <c r="M2480" s="63" t="s">
        <v>21</v>
      </c>
      <c r="O2480" s="22"/>
      <c r="P2480" s="65" t="s">
        <v>21</v>
      </c>
      <c r="Q2480" s="66" t="b">
        <v>0</v>
      </c>
      <c r="R2480" s="66"/>
      <c r="S2480" s="63" t="s">
        <v>21</v>
      </c>
    </row>
    <row r="2481" spans="1:19" ht="24">
      <c r="A2481" s="64">
        <v>12646</v>
      </c>
      <c r="B2481" s="62">
        <v>45642</v>
      </c>
      <c r="C2481" s="63" t="s">
        <v>23500</v>
      </c>
      <c r="D2481" s="62">
        <v>45642</v>
      </c>
      <c r="E2481" s="63" t="s">
        <v>23501</v>
      </c>
      <c r="F2481" s="63" t="s">
        <v>9198</v>
      </c>
      <c r="G2481" s="63" t="s">
        <v>189</v>
      </c>
      <c r="H2481" s="63" t="s">
        <v>21</v>
      </c>
      <c r="I2481" s="63" t="s">
        <v>21</v>
      </c>
      <c r="J2481" s="63" t="s">
        <v>6193</v>
      </c>
      <c r="K2481" s="63" t="s">
        <v>23502</v>
      </c>
      <c r="L2481" s="63" t="s">
        <v>21142</v>
      </c>
      <c r="M2481" s="63" t="s">
        <v>21</v>
      </c>
      <c r="O2481" s="22"/>
      <c r="P2481" s="65" t="s">
        <v>21</v>
      </c>
      <c r="Q2481" s="66" t="b">
        <v>0</v>
      </c>
      <c r="R2481" s="66"/>
      <c r="S2481" s="63" t="s">
        <v>21</v>
      </c>
    </row>
    <row r="2482" spans="1:19" ht="48">
      <c r="A2482" s="64">
        <v>12650</v>
      </c>
      <c r="B2482" s="62">
        <v>45656</v>
      </c>
      <c r="C2482" s="63" t="s">
        <v>23514</v>
      </c>
      <c r="D2482" s="62">
        <v>45656</v>
      </c>
      <c r="E2482" s="63" t="s">
        <v>23515</v>
      </c>
      <c r="F2482" s="63" t="s">
        <v>22916</v>
      </c>
      <c r="G2482" s="63" t="s">
        <v>20</v>
      </c>
      <c r="H2482" s="63" t="s">
        <v>71</v>
      </c>
      <c r="I2482" s="63" t="s">
        <v>21</v>
      </c>
      <c r="J2482" s="63" t="s">
        <v>23516</v>
      </c>
      <c r="K2482" s="63" t="s">
        <v>23517</v>
      </c>
      <c r="L2482" s="63" t="s">
        <v>21573</v>
      </c>
      <c r="M2482" s="63" t="s">
        <v>21</v>
      </c>
      <c r="O2482" s="22"/>
      <c r="P2482" s="65" t="s">
        <v>21</v>
      </c>
      <c r="Q2482" s="66" t="b">
        <v>0</v>
      </c>
      <c r="R2482" s="66"/>
      <c r="S2482" s="63" t="s">
        <v>21</v>
      </c>
    </row>
    <row r="2483" spans="1:19" ht="36">
      <c r="A2483" s="64">
        <v>12655</v>
      </c>
      <c r="B2483" s="62">
        <v>45659</v>
      </c>
      <c r="C2483" s="63" t="s">
        <v>23532</v>
      </c>
      <c r="D2483" s="62">
        <v>45659</v>
      </c>
      <c r="E2483" s="63" t="s">
        <v>23533</v>
      </c>
      <c r="F2483" s="63" t="s">
        <v>8605</v>
      </c>
      <c r="G2483" s="63" t="s">
        <v>189</v>
      </c>
      <c r="H2483" s="63" t="s">
        <v>212</v>
      </c>
      <c r="I2483" s="63" t="s">
        <v>21</v>
      </c>
      <c r="J2483" s="63" t="s">
        <v>23534</v>
      </c>
      <c r="K2483" s="63" t="s">
        <v>20489</v>
      </c>
      <c r="L2483" s="63" t="s">
        <v>21243</v>
      </c>
      <c r="M2483" s="63" t="s">
        <v>21</v>
      </c>
      <c r="O2483" s="22"/>
      <c r="P2483" s="65" t="s">
        <v>21</v>
      </c>
      <c r="Q2483" s="66" t="b">
        <v>0</v>
      </c>
      <c r="R2483" s="66"/>
      <c r="S2483" s="63" t="s">
        <v>23493</v>
      </c>
    </row>
  </sheetData>
  <sortState xmlns:xlrd2="http://schemas.microsoft.com/office/spreadsheetml/2017/richdata2" ref="A2:S2255">
    <sortCondition ref="O2:O2255"/>
    <sortCondition ref="B2:B2255"/>
  </sortState>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306"/>
  <sheetViews>
    <sheetView workbookViewId="0"/>
  </sheetViews>
  <sheetFormatPr baseColWidth="10" defaultColWidth="11.5" defaultRowHeight="15"/>
  <cols>
    <col min="1" max="1" width="70" customWidth="1"/>
    <col min="2" max="2" width="59.6640625" customWidth="1"/>
    <col min="3" max="3" width="25.5" customWidth="1"/>
    <col min="4" max="4" width="30.33203125" customWidth="1"/>
    <col min="5" max="5" width="12.1640625" customWidth="1"/>
    <col min="7" max="7" width="11.5" customWidth="1"/>
    <col min="9" max="9" width="16" customWidth="1"/>
  </cols>
  <sheetData>
    <row r="1" spans="1:51" s="5" customFormat="1">
      <c r="A1" s="5" t="s">
        <v>16819</v>
      </c>
      <c r="B1" s="5" t="s">
        <v>16796</v>
      </c>
      <c r="C1" s="5" t="s">
        <v>16820</v>
      </c>
      <c r="D1" s="5" t="s">
        <v>16821</v>
      </c>
      <c r="E1" s="5" t="s">
        <v>16822</v>
      </c>
      <c r="F1" s="5" t="s">
        <v>16823</v>
      </c>
      <c r="G1" s="5" t="s">
        <v>16824</v>
      </c>
      <c r="H1" s="5" t="s">
        <v>16825</v>
      </c>
      <c r="I1" s="5" t="s">
        <v>16826</v>
      </c>
      <c r="J1" s="5" t="s">
        <v>16827</v>
      </c>
      <c r="K1" s="5" t="s">
        <v>16828</v>
      </c>
      <c r="L1" s="5" t="s">
        <v>16829</v>
      </c>
      <c r="M1" s="5" t="s">
        <v>16830</v>
      </c>
      <c r="N1" s="5" t="s">
        <v>16831</v>
      </c>
      <c r="O1" s="5" t="s">
        <v>16832</v>
      </c>
      <c r="P1" s="5" t="s">
        <v>16833</v>
      </c>
      <c r="Q1" s="5" t="s">
        <v>16834</v>
      </c>
      <c r="R1" s="5" t="s">
        <v>16835</v>
      </c>
      <c r="S1" s="5" t="s">
        <v>16836</v>
      </c>
      <c r="T1" s="5" t="s">
        <v>16837</v>
      </c>
      <c r="U1" s="5" t="s">
        <v>16838</v>
      </c>
      <c r="V1" s="5" t="s">
        <v>16839</v>
      </c>
      <c r="W1" s="5" t="s">
        <v>16840</v>
      </c>
      <c r="X1" s="5" t="s">
        <v>16841</v>
      </c>
      <c r="Y1" s="5" t="s">
        <v>16842</v>
      </c>
      <c r="Z1" s="5" t="s">
        <v>16843</v>
      </c>
      <c r="AA1" s="5" t="s">
        <v>16844</v>
      </c>
      <c r="AB1" s="5" t="s">
        <v>16845</v>
      </c>
      <c r="AC1" s="5" t="s">
        <v>16846</v>
      </c>
      <c r="AD1" s="5" t="s">
        <v>16847</v>
      </c>
      <c r="AE1" s="5" t="s">
        <v>16848</v>
      </c>
      <c r="AF1" s="5" t="s">
        <v>16849</v>
      </c>
      <c r="AG1" s="5" t="s">
        <v>16850</v>
      </c>
      <c r="AH1" s="5" t="s">
        <v>16851</v>
      </c>
      <c r="AI1" s="5" t="s">
        <v>16852</v>
      </c>
      <c r="AJ1" s="5" t="s">
        <v>16853</v>
      </c>
      <c r="AK1" s="5" t="s">
        <v>16854</v>
      </c>
      <c r="AL1" s="5" t="s">
        <v>16855</v>
      </c>
      <c r="AM1" s="5" t="s">
        <v>16856</v>
      </c>
      <c r="AN1" s="5" t="s">
        <v>16857</v>
      </c>
      <c r="AO1" s="5" t="s">
        <v>16858</v>
      </c>
      <c r="AP1" s="5" t="s">
        <v>16859</v>
      </c>
      <c r="AQ1" s="5" t="s">
        <v>16860</v>
      </c>
      <c r="AR1" s="5" t="s">
        <v>16861</v>
      </c>
      <c r="AS1" s="5" t="s">
        <v>16862</v>
      </c>
      <c r="AT1" s="5" t="s">
        <v>16863</v>
      </c>
      <c r="AU1" s="5" t="s">
        <v>16864</v>
      </c>
      <c r="AV1" s="5" t="s">
        <v>16865</v>
      </c>
      <c r="AW1" s="5" t="s">
        <v>16866</v>
      </c>
      <c r="AX1" s="5" t="s">
        <v>16867</v>
      </c>
      <c r="AY1" s="5" t="s">
        <v>16868</v>
      </c>
    </row>
    <row r="2" spans="1:51">
      <c r="A2" t="s">
        <v>16869</v>
      </c>
      <c r="B2" t="s">
        <v>16870</v>
      </c>
      <c r="C2">
        <v>0</v>
      </c>
      <c r="D2">
        <v>9</v>
      </c>
      <c r="E2">
        <v>9</v>
      </c>
      <c r="F2">
        <v>0</v>
      </c>
      <c r="G2">
        <v>0</v>
      </c>
      <c r="H2">
        <v>0</v>
      </c>
      <c r="I2">
        <v>0</v>
      </c>
      <c r="J2">
        <v>9</v>
      </c>
      <c r="K2">
        <v>82</v>
      </c>
      <c r="L2">
        <v>0</v>
      </c>
      <c r="M2">
        <v>0</v>
      </c>
      <c r="N2">
        <v>0</v>
      </c>
      <c r="O2">
        <v>0</v>
      </c>
      <c r="P2">
        <v>0</v>
      </c>
      <c r="Q2">
        <v>0</v>
      </c>
      <c r="R2">
        <v>0</v>
      </c>
      <c r="S2">
        <v>9</v>
      </c>
      <c r="T2">
        <v>9</v>
      </c>
      <c r="U2">
        <v>0</v>
      </c>
      <c r="V2">
        <v>18</v>
      </c>
      <c r="W2" s="4">
        <v>270</v>
      </c>
      <c r="X2" s="4">
        <v>0</v>
      </c>
      <c r="Y2">
        <v>9</v>
      </c>
      <c r="Z2">
        <v>0</v>
      </c>
      <c r="AA2" s="4">
        <v>0</v>
      </c>
      <c r="AB2" s="4">
        <v>0</v>
      </c>
      <c r="AC2" s="4">
        <v>48.74</v>
      </c>
      <c r="AD2" s="4">
        <v>48.74</v>
      </c>
      <c r="AE2" s="4">
        <v>12.5</v>
      </c>
      <c r="AF2" s="4">
        <v>48.74</v>
      </c>
      <c r="AG2" s="4">
        <v>318.74</v>
      </c>
      <c r="AH2" s="4">
        <v>306.24</v>
      </c>
      <c r="AI2" s="4">
        <v>0</v>
      </c>
      <c r="AJ2" s="4">
        <v>0</v>
      </c>
      <c r="AK2" s="4">
        <v>0</v>
      </c>
      <c r="AL2" s="4">
        <v>0</v>
      </c>
      <c r="AM2">
        <v>82</v>
      </c>
      <c r="AN2">
        <v>0</v>
      </c>
      <c r="AO2">
        <v>82</v>
      </c>
      <c r="AP2">
        <v>0</v>
      </c>
      <c r="AQ2">
        <v>9</v>
      </c>
      <c r="AR2">
        <v>0</v>
      </c>
      <c r="AS2">
        <v>9</v>
      </c>
      <c r="AT2">
        <v>0</v>
      </c>
      <c r="AU2">
        <v>9</v>
      </c>
      <c r="AV2">
        <v>0</v>
      </c>
      <c r="AW2">
        <v>9</v>
      </c>
      <c r="AX2">
        <v>0</v>
      </c>
    </row>
    <row r="3" spans="1:51">
      <c r="A3" t="s">
        <v>16869</v>
      </c>
      <c r="B3" t="s">
        <v>17415</v>
      </c>
      <c r="C3">
        <v>55</v>
      </c>
      <c r="D3">
        <v>55</v>
      </c>
      <c r="E3">
        <v>53</v>
      </c>
      <c r="F3">
        <v>55</v>
      </c>
      <c r="G3">
        <v>0</v>
      </c>
      <c r="H3">
        <v>0</v>
      </c>
      <c r="I3">
        <v>0</v>
      </c>
      <c r="J3">
        <v>54</v>
      </c>
      <c r="K3">
        <v>261</v>
      </c>
      <c r="L3">
        <v>35</v>
      </c>
      <c r="M3">
        <v>2</v>
      </c>
      <c r="N3">
        <v>6</v>
      </c>
      <c r="O3">
        <v>0</v>
      </c>
      <c r="P3">
        <v>3</v>
      </c>
      <c r="Q3">
        <v>1</v>
      </c>
      <c r="R3">
        <v>0</v>
      </c>
      <c r="S3">
        <v>12.75</v>
      </c>
      <c r="T3">
        <v>0</v>
      </c>
      <c r="U3">
        <v>0</v>
      </c>
      <c r="V3">
        <v>12.75</v>
      </c>
      <c r="W3" s="4">
        <v>0</v>
      </c>
      <c r="X3" s="4">
        <v>0</v>
      </c>
      <c r="Y3">
        <v>0</v>
      </c>
      <c r="Z3">
        <v>0</v>
      </c>
      <c r="AA3" s="4">
        <v>-127.5</v>
      </c>
      <c r="AB3" s="4">
        <v>0</v>
      </c>
      <c r="AC3" s="4">
        <v>231.5</v>
      </c>
      <c r="AD3" s="4">
        <v>0</v>
      </c>
      <c r="AE3" s="4">
        <v>231.5</v>
      </c>
      <c r="AF3" s="4">
        <v>0</v>
      </c>
      <c r="AG3" s="4">
        <v>231.5</v>
      </c>
      <c r="AH3" s="4">
        <v>0</v>
      </c>
      <c r="AI3" s="4">
        <v>0</v>
      </c>
      <c r="AJ3" s="4">
        <v>0</v>
      </c>
      <c r="AK3" s="4">
        <v>0</v>
      </c>
      <c r="AL3" s="4">
        <v>0</v>
      </c>
      <c r="AM3">
        <v>261</v>
      </c>
      <c r="AN3">
        <v>0</v>
      </c>
      <c r="AO3">
        <v>0</v>
      </c>
      <c r="AP3">
        <v>261</v>
      </c>
      <c r="AQ3">
        <v>12.75</v>
      </c>
      <c r="AR3">
        <v>0</v>
      </c>
      <c r="AS3">
        <v>0</v>
      </c>
      <c r="AT3">
        <v>12.75</v>
      </c>
      <c r="AU3">
        <v>0</v>
      </c>
      <c r="AV3">
        <v>0</v>
      </c>
      <c r="AW3">
        <v>0</v>
      </c>
      <c r="AX3">
        <v>0</v>
      </c>
    </row>
    <row r="4" spans="1:51">
      <c r="A4" t="s">
        <v>16869</v>
      </c>
      <c r="B4" t="s">
        <v>16871</v>
      </c>
      <c r="C4">
        <v>0</v>
      </c>
      <c r="D4">
        <v>22</v>
      </c>
      <c r="E4">
        <v>19</v>
      </c>
      <c r="F4">
        <v>0</v>
      </c>
      <c r="G4">
        <v>1</v>
      </c>
      <c r="H4">
        <v>0</v>
      </c>
      <c r="I4">
        <v>0</v>
      </c>
      <c r="J4">
        <v>11</v>
      </c>
      <c r="K4">
        <v>337</v>
      </c>
      <c r="L4">
        <v>4</v>
      </c>
      <c r="M4">
        <v>1</v>
      </c>
      <c r="N4">
        <v>12</v>
      </c>
      <c r="O4">
        <v>0</v>
      </c>
      <c r="P4">
        <v>1</v>
      </c>
      <c r="Q4">
        <v>4</v>
      </c>
      <c r="R4">
        <v>0</v>
      </c>
      <c r="S4">
        <v>248</v>
      </c>
      <c r="T4">
        <v>169.5</v>
      </c>
      <c r="U4">
        <v>0</v>
      </c>
      <c r="V4">
        <v>417.5</v>
      </c>
      <c r="W4" s="4">
        <v>5870</v>
      </c>
      <c r="X4" s="4">
        <v>0</v>
      </c>
      <c r="Y4">
        <v>7</v>
      </c>
      <c r="Z4">
        <v>7</v>
      </c>
      <c r="AA4" s="4">
        <v>0</v>
      </c>
      <c r="AB4" s="4">
        <v>5270</v>
      </c>
      <c r="AC4" s="4">
        <v>0</v>
      </c>
      <c r="AD4" s="4">
        <v>0</v>
      </c>
      <c r="AE4" s="4">
        <v>0</v>
      </c>
      <c r="AF4" s="4">
        <v>5270</v>
      </c>
      <c r="AG4" s="4">
        <v>5870</v>
      </c>
      <c r="AH4" s="4">
        <v>5870</v>
      </c>
      <c r="AI4" s="4">
        <v>0</v>
      </c>
      <c r="AJ4" s="4">
        <v>0</v>
      </c>
      <c r="AK4" s="4">
        <v>0</v>
      </c>
      <c r="AL4" s="4">
        <v>0</v>
      </c>
      <c r="AM4">
        <v>337</v>
      </c>
      <c r="AN4">
        <v>0</v>
      </c>
      <c r="AO4">
        <v>337</v>
      </c>
      <c r="AP4">
        <v>0</v>
      </c>
      <c r="AQ4">
        <v>248</v>
      </c>
      <c r="AR4">
        <v>0</v>
      </c>
      <c r="AS4">
        <v>248</v>
      </c>
      <c r="AT4">
        <v>0</v>
      </c>
      <c r="AU4">
        <v>169.5</v>
      </c>
      <c r="AV4">
        <v>0</v>
      </c>
      <c r="AW4">
        <v>169.5</v>
      </c>
      <c r="AX4">
        <v>0</v>
      </c>
    </row>
    <row r="5" spans="1:51">
      <c r="A5" t="s">
        <v>16869</v>
      </c>
      <c r="B5" t="s">
        <v>17200</v>
      </c>
      <c r="C5">
        <v>1</v>
      </c>
      <c r="D5">
        <v>287</v>
      </c>
      <c r="E5">
        <v>0</v>
      </c>
      <c r="F5">
        <v>241</v>
      </c>
      <c r="G5">
        <v>2</v>
      </c>
      <c r="H5">
        <v>2</v>
      </c>
      <c r="I5">
        <v>2</v>
      </c>
      <c r="J5">
        <v>270</v>
      </c>
      <c r="K5">
        <v>864</v>
      </c>
      <c r="L5">
        <v>257</v>
      </c>
      <c r="M5">
        <v>1</v>
      </c>
      <c r="N5">
        <v>2</v>
      </c>
      <c r="O5">
        <v>3</v>
      </c>
      <c r="P5">
        <v>14</v>
      </c>
      <c r="Q5">
        <v>7</v>
      </c>
      <c r="R5">
        <v>0</v>
      </c>
      <c r="S5">
        <v>269.25</v>
      </c>
      <c r="T5">
        <v>83</v>
      </c>
      <c r="U5">
        <v>0</v>
      </c>
      <c r="V5">
        <v>352.25</v>
      </c>
      <c r="W5" s="4">
        <v>4342.45</v>
      </c>
      <c r="X5" s="4">
        <v>0</v>
      </c>
      <c r="Y5">
        <v>257</v>
      </c>
      <c r="Z5">
        <v>1</v>
      </c>
      <c r="AA5" s="4">
        <v>-10</v>
      </c>
      <c r="AB5" s="4">
        <v>627.5</v>
      </c>
      <c r="AC5" s="4">
        <v>2452.7199999999998</v>
      </c>
      <c r="AD5" s="4">
        <v>2449.4699999999998</v>
      </c>
      <c r="AE5" s="4">
        <v>2452.69</v>
      </c>
      <c r="AF5" s="4">
        <v>3075.97</v>
      </c>
      <c r="AG5" s="4">
        <v>6449.17</v>
      </c>
      <c r="AH5" s="4">
        <v>3997.48</v>
      </c>
      <c r="AI5" s="4">
        <v>84.57</v>
      </c>
      <c r="AJ5" s="4">
        <v>349.57</v>
      </c>
      <c r="AK5" s="4">
        <v>409.57</v>
      </c>
      <c r="AL5" s="4">
        <v>325</v>
      </c>
      <c r="AM5">
        <v>864</v>
      </c>
      <c r="AN5">
        <v>36</v>
      </c>
      <c r="AO5">
        <v>824</v>
      </c>
      <c r="AP5">
        <v>4</v>
      </c>
      <c r="AQ5">
        <v>249.25</v>
      </c>
      <c r="AR5">
        <v>26</v>
      </c>
      <c r="AS5">
        <v>222.75</v>
      </c>
      <c r="AT5">
        <v>0.5</v>
      </c>
      <c r="AU5">
        <v>75.75</v>
      </c>
      <c r="AV5">
        <v>3.25</v>
      </c>
      <c r="AW5">
        <v>72.25</v>
      </c>
      <c r="AX5">
        <v>0.25</v>
      </c>
    </row>
    <row r="6" spans="1:51">
      <c r="A6" t="s">
        <v>16869</v>
      </c>
      <c r="B6" t="s">
        <v>16872</v>
      </c>
      <c r="C6">
        <v>84</v>
      </c>
      <c r="D6">
        <v>84</v>
      </c>
      <c r="E6">
        <v>84</v>
      </c>
      <c r="F6">
        <v>82</v>
      </c>
      <c r="G6">
        <v>0</v>
      </c>
      <c r="H6">
        <v>0</v>
      </c>
      <c r="I6">
        <v>0</v>
      </c>
      <c r="J6">
        <v>68</v>
      </c>
      <c r="K6">
        <v>474</v>
      </c>
      <c r="L6">
        <v>59</v>
      </c>
      <c r="M6">
        <v>1</v>
      </c>
      <c r="N6">
        <v>7</v>
      </c>
      <c r="O6">
        <v>1</v>
      </c>
      <c r="P6">
        <v>0</v>
      </c>
      <c r="Q6">
        <v>15</v>
      </c>
      <c r="R6">
        <v>0</v>
      </c>
      <c r="S6">
        <v>32.75</v>
      </c>
      <c r="T6">
        <v>23.3</v>
      </c>
      <c r="U6">
        <v>0</v>
      </c>
      <c r="V6">
        <v>56.05</v>
      </c>
      <c r="W6" s="4">
        <v>0</v>
      </c>
      <c r="X6" s="4">
        <v>0</v>
      </c>
      <c r="Y6">
        <v>67</v>
      </c>
      <c r="Z6">
        <v>0</v>
      </c>
      <c r="AA6" s="4">
        <v>-793.5</v>
      </c>
      <c r="AB6" s="4">
        <v>0</v>
      </c>
      <c r="AC6" s="4">
        <v>1463.26</v>
      </c>
      <c r="AD6" s="4">
        <v>1430.26</v>
      </c>
      <c r="AE6" s="4">
        <v>1463.26</v>
      </c>
      <c r="AF6" s="4">
        <v>1430.26</v>
      </c>
      <c r="AG6" s="4">
        <v>1463.26</v>
      </c>
      <c r="AH6" s="4">
        <v>0</v>
      </c>
      <c r="AI6" s="4">
        <v>0</v>
      </c>
      <c r="AJ6" s="4">
        <v>0</v>
      </c>
      <c r="AK6" s="4">
        <v>0</v>
      </c>
      <c r="AL6" s="4">
        <v>0</v>
      </c>
      <c r="AM6">
        <v>474</v>
      </c>
      <c r="AN6">
        <v>0</v>
      </c>
      <c r="AO6">
        <v>0</v>
      </c>
      <c r="AP6">
        <v>474</v>
      </c>
      <c r="AQ6">
        <v>32.75</v>
      </c>
      <c r="AR6">
        <v>0</v>
      </c>
      <c r="AS6">
        <v>0</v>
      </c>
      <c r="AT6">
        <v>32.75</v>
      </c>
      <c r="AU6">
        <v>23.3</v>
      </c>
      <c r="AV6">
        <v>0</v>
      </c>
      <c r="AW6">
        <v>0</v>
      </c>
      <c r="AX6">
        <v>23.3</v>
      </c>
    </row>
    <row r="7" spans="1:51">
      <c r="A7" t="s">
        <v>16869</v>
      </c>
      <c r="B7" t="s">
        <v>16873</v>
      </c>
      <c r="C7">
        <v>0</v>
      </c>
      <c r="D7">
        <v>8</v>
      </c>
      <c r="E7">
        <v>7</v>
      </c>
      <c r="F7">
        <v>7</v>
      </c>
      <c r="G7">
        <v>2</v>
      </c>
      <c r="H7">
        <v>0</v>
      </c>
      <c r="I7">
        <v>0</v>
      </c>
      <c r="J7">
        <v>6</v>
      </c>
      <c r="K7">
        <v>38</v>
      </c>
      <c r="L7">
        <v>3</v>
      </c>
      <c r="M7">
        <v>0</v>
      </c>
      <c r="N7">
        <v>1</v>
      </c>
      <c r="O7">
        <v>1</v>
      </c>
      <c r="P7">
        <v>1</v>
      </c>
      <c r="Q7">
        <v>0</v>
      </c>
      <c r="R7">
        <v>0</v>
      </c>
      <c r="S7">
        <v>3.25</v>
      </c>
      <c r="T7">
        <v>4.5</v>
      </c>
      <c r="U7">
        <v>0</v>
      </c>
      <c r="V7">
        <v>7.75</v>
      </c>
      <c r="W7" s="4">
        <v>122.5</v>
      </c>
      <c r="X7" s="4">
        <v>0</v>
      </c>
      <c r="Y7">
        <v>4</v>
      </c>
      <c r="Z7">
        <v>1</v>
      </c>
      <c r="AA7" s="4">
        <v>0</v>
      </c>
      <c r="AB7" s="4">
        <v>12.5</v>
      </c>
      <c r="AC7" s="4">
        <v>33.25</v>
      </c>
      <c r="AD7" s="4">
        <v>33.25</v>
      </c>
      <c r="AE7" s="4">
        <v>45.75</v>
      </c>
      <c r="AF7" s="4">
        <v>45.75</v>
      </c>
      <c r="AG7" s="4">
        <v>155.75</v>
      </c>
      <c r="AH7" s="4">
        <v>110</v>
      </c>
      <c r="AI7" s="4">
        <v>0</v>
      </c>
      <c r="AJ7" s="4">
        <v>0</v>
      </c>
      <c r="AK7" s="4">
        <v>0</v>
      </c>
      <c r="AL7" s="4">
        <v>0</v>
      </c>
      <c r="AM7">
        <v>38</v>
      </c>
      <c r="AN7">
        <v>0</v>
      </c>
      <c r="AO7">
        <v>38</v>
      </c>
      <c r="AP7">
        <v>0</v>
      </c>
      <c r="AQ7">
        <v>3.25</v>
      </c>
      <c r="AR7">
        <v>0</v>
      </c>
      <c r="AS7">
        <v>3.25</v>
      </c>
      <c r="AT7">
        <v>0</v>
      </c>
      <c r="AU7">
        <v>4.5</v>
      </c>
      <c r="AV7">
        <v>0</v>
      </c>
      <c r="AW7">
        <v>4.5</v>
      </c>
      <c r="AX7">
        <v>0</v>
      </c>
    </row>
    <row r="8" spans="1:51">
      <c r="A8" t="s">
        <v>16874</v>
      </c>
      <c r="B8" t="s">
        <v>16875</v>
      </c>
      <c r="C8">
        <v>0</v>
      </c>
      <c r="D8">
        <v>6</v>
      </c>
      <c r="E8">
        <v>6</v>
      </c>
      <c r="F8">
        <v>6</v>
      </c>
      <c r="G8">
        <v>0</v>
      </c>
      <c r="H8">
        <v>0</v>
      </c>
      <c r="I8">
        <v>0</v>
      </c>
      <c r="J8">
        <v>6</v>
      </c>
      <c r="K8">
        <v>11</v>
      </c>
      <c r="L8">
        <v>1</v>
      </c>
      <c r="M8">
        <v>0</v>
      </c>
      <c r="N8">
        <v>0</v>
      </c>
      <c r="O8">
        <v>5</v>
      </c>
      <c r="P8">
        <v>0</v>
      </c>
      <c r="Q8">
        <v>0</v>
      </c>
      <c r="R8">
        <v>0</v>
      </c>
      <c r="S8">
        <v>0.25</v>
      </c>
      <c r="T8">
        <v>0</v>
      </c>
      <c r="U8">
        <v>0</v>
      </c>
      <c r="V8">
        <v>0.25</v>
      </c>
      <c r="W8" s="4">
        <v>2.5</v>
      </c>
      <c r="X8" s="4">
        <v>0</v>
      </c>
      <c r="Y8">
        <v>1</v>
      </c>
      <c r="Z8">
        <v>0</v>
      </c>
      <c r="AA8" s="4">
        <v>0</v>
      </c>
      <c r="AB8" s="4">
        <v>0</v>
      </c>
      <c r="AC8" s="4">
        <v>0</v>
      </c>
      <c r="AD8" s="4">
        <v>0</v>
      </c>
      <c r="AE8" s="4">
        <v>0</v>
      </c>
      <c r="AF8" s="4">
        <v>0</v>
      </c>
      <c r="AG8" s="4">
        <v>2.5</v>
      </c>
      <c r="AH8" s="4">
        <v>2.5</v>
      </c>
      <c r="AI8" s="4">
        <v>0</v>
      </c>
      <c r="AJ8" s="4">
        <v>0</v>
      </c>
      <c r="AK8" s="4">
        <v>0</v>
      </c>
      <c r="AL8" s="4">
        <v>0</v>
      </c>
      <c r="AM8">
        <v>11</v>
      </c>
      <c r="AN8">
        <v>0</v>
      </c>
      <c r="AO8">
        <v>11</v>
      </c>
      <c r="AP8">
        <v>0</v>
      </c>
      <c r="AQ8">
        <v>0.25</v>
      </c>
      <c r="AR8">
        <v>0</v>
      </c>
      <c r="AS8">
        <v>0.25</v>
      </c>
      <c r="AT8">
        <v>0</v>
      </c>
      <c r="AU8">
        <v>0</v>
      </c>
      <c r="AV8">
        <v>0</v>
      </c>
      <c r="AW8">
        <v>0</v>
      </c>
      <c r="AX8">
        <v>0</v>
      </c>
      <c r="AY8">
        <v>0</v>
      </c>
    </row>
    <row r="9" spans="1:51">
      <c r="A9" t="s">
        <v>16876</v>
      </c>
      <c r="B9" t="s">
        <v>16877</v>
      </c>
      <c r="C9">
        <v>0</v>
      </c>
      <c r="D9">
        <v>11</v>
      </c>
      <c r="E9">
        <v>11</v>
      </c>
      <c r="F9">
        <v>11</v>
      </c>
      <c r="G9">
        <v>0</v>
      </c>
      <c r="H9">
        <v>0</v>
      </c>
      <c r="I9">
        <v>0</v>
      </c>
      <c r="J9">
        <v>11</v>
      </c>
      <c r="K9">
        <v>32</v>
      </c>
      <c r="L9">
        <v>0</v>
      </c>
      <c r="M9">
        <v>0</v>
      </c>
      <c r="N9">
        <v>0</v>
      </c>
      <c r="O9">
        <v>11</v>
      </c>
      <c r="P9">
        <v>0</v>
      </c>
      <c r="Q9">
        <v>0</v>
      </c>
      <c r="R9">
        <v>0</v>
      </c>
      <c r="S9">
        <v>0</v>
      </c>
      <c r="T9">
        <v>0</v>
      </c>
      <c r="U9">
        <v>0</v>
      </c>
      <c r="V9">
        <v>0</v>
      </c>
      <c r="W9" s="4">
        <v>0</v>
      </c>
      <c r="X9" s="4">
        <v>0</v>
      </c>
      <c r="Y9">
        <v>11</v>
      </c>
      <c r="Z9">
        <v>0</v>
      </c>
      <c r="AA9" s="4">
        <v>0</v>
      </c>
      <c r="AB9" s="4">
        <v>0</v>
      </c>
      <c r="AC9" s="4">
        <v>0</v>
      </c>
      <c r="AD9" s="4">
        <v>0</v>
      </c>
      <c r="AE9" s="4">
        <v>0</v>
      </c>
      <c r="AF9" s="4">
        <v>0</v>
      </c>
      <c r="AG9" s="4">
        <v>0</v>
      </c>
      <c r="AH9" s="4">
        <v>0</v>
      </c>
      <c r="AI9" s="4">
        <v>0</v>
      </c>
      <c r="AJ9" s="4">
        <v>0</v>
      </c>
      <c r="AK9" s="4">
        <v>0</v>
      </c>
      <c r="AL9" s="4">
        <v>0</v>
      </c>
      <c r="AM9">
        <v>32</v>
      </c>
      <c r="AN9">
        <v>0</v>
      </c>
      <c r="AO9">
        <v>32</v>
      </c>
      <c r="AP9">
        <v>0</v>
      </c>
      <c r="AQ9">
        <v>0</v>
      </c>
      <c r="AR9">
        <v>0</v>
      </c>
      <c r="AS9">
        <v>0</v>
      </c>
      <c r="AT9">
        <v>0</v>
      </c>
      <c r="AU9">
        <v>0</v>
      </c>
      <c r="AV9">
        <v>0</v>
      </c>
      <c r="AW9">
        <v>0</v>
      </c>
      <c r="AX9">
        <v>0</v>
      </c>
    </row>
    <row r="10" spans="1:51">
      <c r="A10" t="s">
        <v>16878</v>
      </c>
      <c r="B10" t="s">
        <v>16878</v>
      </c>
      <c r="C10">
        <v>0</v>
      </c>
      <c r="D10">
        <v>2</v>
      </c>
      <c r="E10">
        <v>2</v>
      </c>
      <c r="F10">
        <v>2</v>
      </c>
      <c r="G10">
        <v>0</v>
      </c>
      <c r="H10">
        <v>0</v>
      </c>
      <c r="I10">
        <v>0</v>
      </c>
      <c r="J10">
        <v>2</v>
      </c>
      <c r="K10">
        <v>17</v>
      </c>
      <c r="L10">
        <v>1</v>
      </c>
      <c r="M10">
        <v>0</v>
      </c>
      <c r="N10">
        <v>0</v>
      </c>
      <c r="O10">
        <v>1</v>
      </c>
      <c r="P10">
        <v>0</v>
      </c>
      <c r="Q10">
        <v>0</v>
      </c>
      <c r="R10">
        <v>0</v>
      </c>
      <c r="S10">
        <v>18.5</v>
      </c>
      <c r="T10">
        <v>26</v>
      </c>
      <c r="U10">
        <v>0</v>
      </c>
      <c r="V10">
        <v>44.5</v>
      </c>
      <c r="W10" s="4">
        <v>705</v>
      </c>
      <c r="X10" s="4">
        <v>0</v>
      </c>
      <c r="Y10">
        <v>1</v>
      </c>
      <c r="Z10">
        <v>0</v>
      </c>
      <c r="AA10" s="4">
        <v>0</v>
      </c>
      <c r="AB10" s="4">
        <v>675</v>
      </c>
      <c r="AC10" s="4">
        <v>27.55</v>
      </c>
      <c r="AD10" s="4">
        <v>27.55</v>
      </c>
      <c r="AE10" s="4">
        <v>0</v>
      </c>
      <c r="AF10" s="4">
        <v>702.55</v>
      </c>
      <c r="AG10" s="4">
        <v>732.55</v>
      </c>
      <c r="AH10" s="4">
        <v>732.55</v>
      </c>
      <c r="AI10" s="4">
        <v>0</v>
      </c>
      <c r="AJ10" s="4">
        <v>0</v>
      </c>
      <c r="AK10" s="4">
        <v>0</v>
      </c>
      <c r="AL10" s="4">
        <v>0</v>
      </c>
      <c r="AM10">
        <v>17</v>
      </c>
      <c r="AN10">
        <v>0</v>
      </c>
      <c r="AO10">
        <v>17</v>
      </c>
      <c r="AP10">
        <v>0</v>
      </c>
      <c r="AQ10">
        <v>18.5</v>
      </c>
      <c r="AR10">
        <v>0</v>
      </c>
      <c r="AS10">
        <v>18.5</v>
      </c>
      <c r="AT10">
        <v>0</v>
      </c>
      <c r="AU10">
        <v>26</v>
      </c>
      <c r="AV10">
        <v>0</v>
      </c>
      <c r="AW10">
        <v>26</v>
      </c>
      <c r="AX10">
        <v>0</v>
      </c>
    </row>
    <row r="11" spans="1:51">
      <c r="A11" t="s">
        <v>17210</v>
      </c>
      <c r="B11" t="s">
        <v>17211</v>
      </c>
      <c r="C11">
        <v>0</v>
      </c>
      <c r="D11">
        <v>5</v>
      </c>
      <c r="E11">
        <v>5</v>
      </c>
      <c r="F11">
        <v>4</v>
      </c>
      <c r="G11">
        <v>1</v>
      </c>
      <c r="H11">
        <v>0</v>
      </c>
      <c r="I11">
        <v>0</v>
      </c>
      <c r="J11">
        <v>5</v>
      </c>
      <c r="K11">
        <v>41</v>
      </c>
      <c r="L11">
        <v>3</v>
      </c>
      <c r="M11">
        <v>0</v>
      </c>
      <c r="N11">
        <v>0</v>
      </c>
      <c r="O11">
        <v>0</v>
      </c>
      <c r="P11">
        <v>1</v>
      </c>
      <c r="Q11">
        <v>1</v>
      </c>
      <c r="R11">
        <v>0</v>
      </c>
      <c r="S11">
        <v>19.5</v>
      </c>
      <c r="T11">
        <v>1.5</v>
      </c>
      <c r="U11">
        <v>0</v>
      </c>
      <c r="V11">
        <v>21</v>
      </c>
      <c r="W11" s="4">
        <v>225</v>
      </c>
      <c r="X11" s="4">
        <v>0</v>
      </c>
      <c r="Y11">
        <v>3</v>
      </c>
      <c r="Z11">
        <v>2</v>
      </c>
      <c r="AA11" s="4">
        <v>0</v>
      </c>
      <c r="AB11" s="4">
        <v>160</v>
      </c>
      <c r="AC11" s="4">
        <v>8</v>
      </c>
      <c r="AD11" s="4">
        <v>4.5</v>
      </c>
      <c r="AE11" s="4">
        <v>13.5</v>
      </c>
      <c r="AF11" s="4">
        <v>168</v>
      </c>
      <c r="AG11" s="4">
        <v>233</v>
      </c>
      <c r="AH11" s="4">
        <v>219.5</v>
      </c>
      <c r="AI11" s="4">
        <v>0</v>
      </c>
      <c r="AJ11" s="4">
        <v>0</v>
      </c>
      <c r="AK11" s="4">
        <v>0</v>
      </c>
      <c r="AL11" s="4">
        <v>0</v>
      </c>
      <c r="AM11">
        <v>41</v>
      </c>
      <c r="AN11">
        <v>0</v>
      </c>
      <c r="AO11">
        <v>41</v>
      </c>
      <c r="AP11">
        <v>0</v>
      </c>
      <c r="AQ11">
        <v>19.5</v>
      </c>
      <c r="AR11">
        <v>0</v>
      </c>
      <c r="AS11">
        <v>19.5</v>
      </c>
      <c r="AT11">
        <v>0</v>
      </c>
      <c r="AU11">
        <v>1.5</v>
      </c>
      <c r="AV11">
        <v>0</v>
      </c>
      <c r="AW11">
        <v>1.5</v>
      </c>
      <c r="AX11">
        <v>0</v>
      </c>
      <c r="AY11">
        <v>0</v>
      </c>
    </row>
    <row r="12" spans="1:51">
      <c r="A12" t="s">
        <v>16879</v>
      </c>
      <c r="B12" t="s">
        <v>16880</v>
      </c>
      <c r="C12">
        <v>0</v>
      </c>
      <c r="D12">
        <v>0</v>
      </c>
      <c r="E12">
        <v>0</v>
      </c>
      <c r="F12">
        <v>0</v>
      </c>
      <c r="G12">
        <v>0</v>
      </c>
      <c r="H12">
        <v>0</v>
      </c>
      <c r="I12">
        <v>0</v>
      </c>
      <c r="J12">
        <v>0</v>
      </c>
      <c r="K12">
        <v>0</v>
      </c>
      <c r="L12">
        <v>0</v>
      </c>
      <c r="M12">
        <v>0</v>
      </c>
      <c r="N12">
        <v>0</v>
      </c>
      <c r="O12">
        <v>0</v>
      </c>
      <c r="P12">
        <v>0</v>
      </c>
      <c r="Q12">
        <v>0</v>
      </c>
      <c r="R12">
        <v>0</v>
      </c>
      <c r="S12">
        <v>0</v>
      </c>
      <c r="T12">
        <v>0</v>
      </c>
      <c r="U12">
        <v>0</v>
      </c>
      <c r="V12">
        <v>0</v>
      </c>
      <c r="W12" s="4">
        <v>0</v>
      </c>
      <c r="X12" s="4">
        <v>0</v>
      </c>
      <c r="Y12">
        <v>0</v>
      </c>
      <c r="Z12">
        <v>0</v>
      </c>
      <c r="AA12" s="4">
        <v>0</v>
      </c>
      <c r="AB12" s="4">
        <v>0</v>
      </c>
      <c r="AC12" s="4">
        <v>0</v>
      </c>
      <c r="AD12" s="4">
        <v>0</v>
      </c>
      <c r="AE12" s="4">
        <v>0</v>
      </c>
      <c r="AF12" s="4">
        <v>0</v>
      </c>
      <c r="AG12" s="4">
        <v>0</v>
      </c>
      <c r="AH12" s="4">
        <v>0</v>
      </c>
      <c r="AI12" s="4">
        <v>0</v>
      </c>
      <c r="AJ12" s="4">
        <v>0</v>
      </c>
      <c r="AK12" s="4">
        <v>0</v>
      </c>
      <c r="AL12" s="4">
        <v>0</v>
      </c>
      <c r="AM12">
        <v>0</v>
      </c>
      <c r="AN12">
        <v>0</v>
      </c>
      <c r="AO12">
        <v>0</v>
      </c>
      <c r="AP12">
        <v>0</v>
      </c>
      <c r="AQ12">
        <v>0</v>
      </c>
      <c r="AR12">
        <v>0</v>
      </c>
      <c r="AS12">
        <v>0</v>
      </c>
      <c r="AT12">
        <v>0</v>
      </c>
      <c r="AU12">
        <v>0</v>
      </c>
      <c r="AV12">
        <v>0</v>
      </c>
      <c r="AW12">
        <v>0</v>
      </c>
      <c r="AX12">
        <v>0</v>
      </c>
    </row>
    <row r="13" spans="1:51">
      <c r="A13" t="s">
        <v>16881</v>
      </c>
      <c r="B13" t="s">
        <v>16882</v>
      </c>
      <c r="C13">
        <v>0</v>
      </c>
      <c r="D13">
        <v>4</v>
      </c>
      <c r="E13">
        <v>4</v>
      </c>
      <c r="F13">
        <v>3</v>
      </c>
      <c r="G13">
        <v>0</v>
      </c>
      <c r="H13">
        <v>1</v>
      </c>
      <c r="I13">
        <v>0</v>
      </c>
      <c r="J13">
        <v>4</v>
      </c>
      <c r="K13">
        <v>42</v>
      </c>
      <c r="L13">
        <v>4</v>
      </c>
      <c r="M13">
        <v>0</v>
      </c>
      <c r="N13">
        <v>0</v>
      </c>
      <c r="O13">
        <v>0</v>
      </c>
      <c r="P13">
        <v>1</v>
      </c>
      <c r="Q13">
        <v>0</v>
      </c>
      <c r="R13">
        <v>0</v>
      </c>
      <c r="S13">
        <v>33</v>
      </c>
      <c r="T13">
        <v>37</v>
      </c>
      <c r="U13">
        <v>0</v>
      </c>
      <c r="V13">
        <v>70</v>
      </c>
      <c r="W13" s="4">
        <v>1070</v>
      </c>
      <c r="X13" s="4">
        <v>160</v>
      </c>
      <c r="Y13">
        <v>0</v>
      </c>
      <c r="Z13">
        <v>0</v>
      </c>
      <c r="AA13" s="4">
        <v>0</v>
      </c>
      <c r="AB13" s="4">
        <v>1110</v>
      </c>
      <c r="AC13" s="4">
        <v>37.75</v>
      </c>
      <c r="AD13" s="4">
        <v>0</v>
      </c>
      <c r="AE13" s="4">
        <v>0</v>
      </c>
      <c r="AF13" s="4">
        <v>1110</v>
      </c>
      <c r="AG13" s="4">
        <v>1207.75</v>
      </c>
      <c r="AH13" s="4">
        <v>1207.75</v>
      </c>
      <c r="AI13" s="4">
        <v>220</v>
      </c>
      <c r="AJ13" s="4">
        <v>0</v>
      </c>
      <c r="AK13" s="4">
        <v>0</v>
      </c>
      <c r="AL13" s="4">
        <v>220</v>
      </c>
      <c r="AM13">
        <v>42</v>
      </c>
      <c r="AN13">
        <v>12</v>
      </c>
      <c r="AO13">
        <v>30</v>
      </c>
      <c r="AP13">
        <v>0</v>
      </c>
      <c r="AQ13">
        <v>33</v>
      </c>
      <c r="AR13">
        <v>4</v>
      </c>
      <c r="AS13">
        <v>29</v>
      </c>
      <c r="AT13">
        <v>0</v>
      </c>
      <c r="AU13">
        <v>37</v>
      </c>
      <c r="AV13">
        <v>12</v>
      </c>
      <c r="AW13">
        <v>25</v>
      </c>
      <c r="AX13">
        <v>0</v>
      </c>
    </row>
    <row r="14" spans="1:51">
      <c r="A14" t="s">
        <v>17212</v>
      </c>
      <c r="B14" t="s">
        <v>17213</v>
      </c>
      <c r="C14">
        <v>0</v>
      </c>
      <c r="D14">
        <v>16</v>
      </c>
      <c r="E14">
        <v>16</v>
      </c>
      <c r="F14">
        <v>16</v>
      </c>
      <c r="G14">
        <v>0</v>
      </c>
      <c r="H14">
        <v>0</v>
      </c>
      <c r="I14">
        <v>0</v>
      </c>
      <c r="J14">
        <v>14</v>
      </c>
      <c r="K14">
        <v>109</v>
      </c>
      <c r="L14">
        <v>8</v>
      </c>
      <c r="M14">
        <v>0</v>
      </c>
      <c r="N14">
        <v>1</v>
      </c>
      <c r="O14">
        <v>3</v>
      </c>
      <c r="P14">
        <v>0</v>
      </c>
      <c r="Q14">
        <v>3</v>
      </c>
      <c r="R14">
        <v>0</v>
      </c>
      <c r="S14">
        <v>16.75</v>
      </c>
      <c r="T14">
        <v>10</v>
      </c>
      <c r="U14">
        <v>1</v>
      </c>
      <c r="V14">
        <v>27.75</v>
      </c>
      <c r="W14" s="4">
        <v>367.5</v>
      </c>
      <c r="X14" s="4">
        <v>0</v>
      </c>
      <c r="Y14">
        <v>9</v>
      </c>
      <c r="Z14">
        <v>7</v>
      </c>
      <c r="AA14" s="4">
        <v>0</v>
      </c>
      <c r="AB14" s="4">
        <v>10</v>
      </c>
      <c r="AC14" s="4">
        <v>114.5</v>
      </c>
      <c r="AD14" s="4">
        <v>14.5</v>
      </c>
      <c r="AE14" s="4">
        <v>8.5</v>
      </c>
      <c r="AF14" s="4">
        <v>24.5</v>
      </c>
      <c r="AG14" s="4">
        <v>502</v>
      </c>
      <c r="AH14" s="4">
        <v>493.5</v>
      </c>
      <c r="AI14" s="4">
        <v>0</v>
      </c>
      <c r="AJ14" s="4">
        <v>0</v>
      </c>
      <c r="AK14" s="4">
        <v>0</v>
      </c>
      <c r="AL14" s="4">
        <v>0</v>
      </c>
      <c r="AM14">
        <v>109</v>
      </c>
      <c r="AN14">
        <v>0</v>
      </c>
      <c r="AO14">
        <v>109</v>
      </c>
      <c r="AP14">
        <v>0</v>
      </c>
      <c r="AQ14">
        <v>16.75</v>
      </c>
      <c r="AR14">
        <v>0</v>
      </c>
      <c r="AS14">
        <v>16.75</v>
      </c>
      <c r="AT14">
        <v>0</v>
      </c>
      <c r="AU14">
        <v>10</v>
      </c>
      <c r="AV14">
        <v>0</v>
      </c>
      <c r="AW14">
        <v>10</v>
      </c>
      <c r="AX14">
        <v>0</v>
      </c>
    </row>
    <row r="15" spans="1:51">
      <c r="A15" t="s">
        <v>16883</v>
      </c>
      <c r="B15" t="s">
        <v>16883</v>
      </c>
      <c r="C15">
        <v>0</v>
      </c>
      <c r="D15">
        <v>2</v>
      </c>
      <c r="E15">
        <v>2</v>
      </c>
      <c r="F15">
        <v>2</v>
      </c>
      <c r="G15">
        <v>0</v>
      </c>
      <c r="H15">
        <v>0</v>
      </c>
      <c r="I15">
        <v>0</v>
      </c>
      <c r="J15">
        <v>2</v>
      </c>
      <c r="K15">
        <v>19</v>
      </c>
      <c r="L15">
        <v>0</v>
      </c>
      <c r="M15">
        <v>0</v>
      </c>
      <c r="N15">
        <v>0</v>
      </c>
      <c r="O15">
        <v>2</v>
      </c>
      <c r="P15">
        <v>0</v>
      </c>
      <c r="Q15">
        <v>0</v>
      </c>
      <c r="R15">
        <v>0</v>
      </c>
      <c r="S15">
        <v>5.5</v>
      </c>
      <c r="T15">
        <v>0</v>
      </c>
      <c r="U15">
        <v>0</v>
      </c>
      <c r="V15">
        <v>5.5</v>
      </c>
      <c r="W15" s="4">
        <v>55</v>
      </c>
      <c r="X15" s="4">
        <v>0</v>
      </c>
      <c r="Y15">
        <v>2</v>
      </c>
      <c r="Z15">
        <v>0</v>
      </c>
      <c r="AA15" s="4">
        <v>0</v>
      </c>
      <c r="AB15" s="4">
        <v>25</v>
      </c>
      <c r="AC15" s="4">
        <v>0</v>
      </c>
      <c r="AD15" s="4">
        <v>0</v>
      </c>
      <c r="AE15" s="4">
        <v>25</v>
      </c>
      <c r="AF15" s="4">
        <v>25</v>
      </c>
      <c r="AG15" s="4">
        <v>55</v>
      </c>
      <c r="AH15" s="4">
        <v>30</v>
      </c>
      <c r="AI15" s="4">
        <v>0</v>
      </c>
      <c r="AJ15" s="4">
        <v>0</v>
      </c>
      <c r="AK15" s="4">
        <v>0</v>
      </c>
      <c r="AL15" s="4">
        <v>0</v>
      </c>
      <c r="AM15">
        <v>19</v>
      </c>
      <c r="AN15">
        <v>0</v>
      </c>
      <c r="AO15">
        <v>19</v>
      </c>
      <c r="AP15">
        <v>0</v>
      </c>
      <c r="AQ15">
        <v>5.5</v>
      </c>
      <c r="AR15">
        <v>0</v>
      </c>
      <c r="AS15">
        <v>5.5</v>
      </c>
      <c r="AT15">
        <v>0</v>
      </c>
      <c r="AU15">
        <v>0</v>
      </c>
      <c r="AV15">
        <v>0</v>
      </c>
      <c r="AW15">
        <v>0</v>
      </c>
      <c r="AX15">
        <v>0</v>
      </c>
    </row>
    <row r="16" spans="1:51">
      <c r="A16" t="s">
        <v>17214</v>
      </c>
      <c r="B16" t="s">
        <v>17215</v>
      </c>
      <c r="C16">
        <v>0</v>
      </c>
      <c r="D16">
        <v>8</v>
      </c>
      <c r="E16">
        <v>8</v>
      </c>
      <c r="F16">
        <v>6</v>
      </c>
      <c r="G16">
        <v>2</v>
      </c>
      <c r="H16">
        <v>0</v>
      </c>
      <c r="I16">
        <v>1</v>
      </c>
      <c r="J16">
        <v>8</v>
      </c>
      <c r="K16">
        <v>141</v>
      </c>
      <c r="L16">
        <v>3</v>
      </c>
      <c r="M16">
        <v>0</v>
      </c>
      <c r="N16">
        <v>2</v>
      </c>
      <c r="O16">
        <v>0</v>
      </c>
      <c r="P16">
        <v>0</v>
      </c>
      <c r="Q16">
        <v>3</v>
      </c>
      <c r="R16">
        <v>0</v>
      </c>
      <c r="S16">
        <v>9</v>
      </c>
      <c r="T16">
        <v>4.75</v>
      </c>
      <c r="U16">
        <v>1.5</v>
      </c>
      <c r="V16">
        <v>15.25</v>
      </c>
      <c r="W16" s="4">
        <v>185</v>
      </c>
      <c r="X16" s="4">
        <v>0</v>
      </c>
      <c r="Y16">
        <v>2</v>
      </c>
      <c r="Z16">
        <v>6</v>
      </c>
      <c r="AA16" s="4">
        <v>0</v>
      </c>
      <c r="AB16" s="4">
        <v>0</v>
      </c>
      <c r="AC16" s="4">
        <v>190.48</v>
      </c>
      <c r="AD16" s="4">
        <v>80.75</v>
      </c>
      <c r="AE16" s="4">
        <v>67.5</v>
      </c>
      <c r="AF16" s="4">
        <v>80.75</v>
      </c>
      <c r="AG16" s="4">
        <v>405.48</v>
      </c>
      <c r="AH16" s="4">
        <v>337.98</v>
      </c>
      <c r="AI16" s="4">
        <v>0</v>
      </c>
      <c r="AJ16" s="4">
        <v>0</v>
      </c>
      <c r="AK16" s="4">
        <v>0</v>
      </c>
      <c r="AL16" s="4">
        <v>0</v>
      </c>
      <c r="AM16">
        <v>141</v>
      </c>
      <c r="AN16">
        <v>0</v>
      </c>
      <c r="AO16">
        <v>141</v>
      </c>
      <c r="AP16">
        <v>0</v>
      </c>
      <c r="AQ16">
        <v>9</v>
      </c>
      <c r="AR16">
        <v>0</v>
      </c>
      <c r="AS16">
        <v>9</v>
      </c>
      <c r="AT16">
        <v>0</v>
      </c>
      <c r="AU16">
        <v>4.75</v>
      </c>
      <c r="AV16">
        <v>0</v>
      </c>
      <c r="AW16">
        <v>4.75</v>
      </c>
      <c r="AX16">
        <v>0</v>
      </c>
    </row>
    <row r="17" spans="1:51">
      <c r="A17" t="s">
        <v>16884</v>
      </c>
      <c r="B17" t="s">
        <v>16885</v>
      </c>
      <c r="C17">
        <v>0</v>
      </c>
      <c r="D17">
        <v>20</v>
      </c>
      <c r="E17">
        <v>0</v>
      </c>
      <c r="F17">
        <v>19</v>
      </c>
      <c r="G17">
        <v>1</v>
      </c>
      <c r="H17">
        <v>0</v>
      </c>
      <c r="I17">
        <v>0</v>
      </c>
      <c r="J17">
        <v>19</v>
      </c>
      <c r="K17">
        <v>100</v>
      </c>
      <c r="L17">
        <v>14</v>
      </c>
      <c r="M17">
        <v>0</v>
      </c>
      <c r="N17">
        <v>2</v>
      </c>
      <c r="O17">
        <v>3</v>
      </c>
      <c r="P17">
        <v>1</v>
      </c>
      <c r="Q17">
        <v>0</v>
      </c>
      <c r="R17">
        <v>0</v>
      </c>
      <c r="S17">
        <v>17.75</v>
      </c>
      <c r="T17">
        <v>10.25</v>
      </c>
      <c r="U17">
        <v>0</v>
      </c>
      <c r="V17">
        <v>28</v>
      </c>
      <c r="W17" s="4">
        <v>382.5</v>
      </c>
      <c r="X17" s="4">
        <v>0</v>
      </c>
      <c r="Y17">
        <v>10</v>
      </c>
      <c r="Z17">
        <v>4</v>
      </c>
      <c r="AA17" s="4">
        <v>0</v>
      </c>
      <c r="AB17" s="4">
        <v>157.5</v>
      </c>
      <c r="AC17" s="4">
        <v>161</v>
      </c>
      <c r="AD17" s="4">
        <v>161</v>
      </c>
      <c r="AE17" s="4">
        <v>219</v>
      </c>
      <c r="AF17" s="4">
        <v>318.5</v>
      </c>
      <c r="AG17" s="4">
        <v>543.5</v>
      </c>
      <c r="AH17" s="4">
        <v>324.5</v>
      </c>
      <c r="AI17" s="4">
        <v>0</v>
      </c>
      <c r="AJ17" s="4">
        <v>0</v>
      </c>
      <c r="AK17" s="4">
        <v>0</v>
      </c>
      <c r="AL17" s="4">
        <v>0</v>
      </c>
      <c r="AM17">
        <v>100</v>
      </c>
      <c r="AN17">
        <v>0</v>
      </c>
      <c r="AO17">
        <v>100</v>
      </c>
      <c r="AP17">
        <v>0</v>
      </c>
      <c r="AQ17">
        <v>17.75</v>
      </c>
      <c r="AR17">
        <v>0</v>
      </c>
      <c r="AS17">
        <v>17.75</v>
      </c>
      <c r="AT17">
        <v>0</v>
      </c>
      <c r="AU17">
        <v>10.25</v>
      </c>
      <c r="AV17">
        <v>0</v>
      </c>
      <c r="AW17">
        <v>10.25</v>
      </c>
      <c r="AX17">
        <v>0</v>
      </c>
    </row>
    <row r="18" spans="1:51">
      <c r="A18" t="s">
        <v>17216</v>
      </c>
      <c r="B18" t="s">
        <v>17217</v>
      </c>
      <c r="C18">
        <v>0</v>
      </c>
      <c r="D18">
        <v>7</v>
      </c>
      <c r="E18">
        <v>7</v>
      </c>
      <c r="F18">
        <v>2</v>
      </c>
      <c r="G18">
        <v>5</v>
      </c>
      <c r="H18">
        <v>1</v>
      </c>
      <c r="I18">
        <v>1</v>
      </c>
      <c r="J18">
        <v>7</v>
      </c>
      <c r="K18">
        <v>78</v>
      </c>
      <c r="L18">
        <v>3</v>
      </c>
      <c r="M18">
        <v>0</v>
      </c>
      <c r="N18">
        <v>0</v>
      </c>
      <c r="O18">
        <v>2</v>
      </c>
      <c r="P18">
        <v>0</v>
      </c>
      <c r="Q18">
        <v>2</v>
      </c>
      <c r="R18">
        <v>0</v>
      </c>
      <c r="S18">
        <v>16</v>
      </c>
      <c r="T18">
        <v>6</v>
      </c>
      <c r="U18">
        <v>0</v>
      </c>
      <c r="V18">
        <v>22</v>
      </c>
      <c r="W18" s="4">
        <v>280</v>
      </c>
      <c r="X18" s="4">
        <v>0</v>
      </c>
      <c r="Y18">
        <v>5</v>
      </c>
      <c r="Z18">
        <v>2</v>
      </c>
      <c r="AA18" s="4">
        <v>0</v>
      </c>
      <c r="AB18" s="4">
        <v>210</v>
      </c>
      <c r="AC18" s="4">
        <v>27.25</v>
      </c>
      <c r="AD18" s="4">
        <v>27.25</v>
      </c>
      <c r="AE18" s="4">
        <v>237.25</v>
      </c>
      <c r="AF18" s="4">
        <v>237.25</v>
      </c>
      <c r="AG18" s="4">
        <v>307.25</v>
      </c>
      <c r="AH18" s="4">
        <v>70</v>
      </c>
      <c r="AI18" s="4">
        <v>235</v>
      </c>
      <c r="AJ18" s="4">
        <v>235</v>
      </c>
      <c r="AK18" s="4">
        <v>295</v>
      </c>
      <c r="AL18" s="4">
        <v>60</v>
      </c>
      <c r="AM18">
        <v>78</v>
      </c>
      <c r="AN18">
        <v>16</v>
      </c>
      <c r="AO18">
        <v>62</v>
      </c>
      <c r="AP18">
        <v>0</v>
      </c>
      <c r="AQ18">
        <v>16</v>
      </c>
      <c r="AR18">
        <v>15</v>
      </c>
      <c r="AS18">
        <v>1</v>
      </c>
      <c r="AT18">
        <v>0</v>
      </c>
      <c r="AU18">
        <v>6</v>
      </c>
      <c r="AV18">
        <v>6</v>
      </c>
      <c r="AW18">
        <v>0</v>
      </c>
      <c r="AX18">
        <v>0</v>
      </c>
      <c r="AY18">
        <v>0</v>
      </c>
    </row>
    <row r="19" spans="1:51">
      <c r="A19" t="s">
        <v>17218</v>
      </c>
      <c r="B19" t="s">
        <v>17218</v>
      </c>
      <c r="C19">
        <v>1</v>
      </c>
      <c r="D19">
        <v>48</v>
      </c>
      <c r="E19">
        <v>48</v>
      </c>
      <c r="F19">
        <v>42</v>
      </c>
      <c r="G19">
        <v>0</v>
      </c>
      <c r="H19">
        <v>8</v>
      </c>
      <c r="I19">
        <v>4</v>
      </c>
      <c r="J19">
        <v>48</v>
      </c>
      <c r="K19">
        <v>811</v>
      </c>
      <c r="L19">
        <v>48</v>
      </c>
      <c r="M19">
        <v>0</v>
      </c>
      <c r="N19">
        <v>0</v>
      </c>
      <c r="O19">
        <v>0</v>
      </c>
      <c r="P19">
        <v>0</v>
      </c>
      <c r="Q19">
        <v>0</v>
      </c>
      <c r="R19">
        <v>0</v>
      </c>
      <c r="S19">
        <v>33.5</v>
      </c>
      <c r="T19">
        <v>28</v>
      </c>
      <c r="U19">
        <v>0</v>
      </c>
      <c r="V19">
        <v>56.5</v>
      </c>
      <c r="W19" s="4">
        <v>890</v>
      </c>
      <c r="X19" s="4">
        <v>0</v>
      </c>
      <c r="Y19">
        <v>46</v>
      </c>
      <c r="Z19">
        <v>1</v>
      </c>
      <c r="AA19" s="4">
        <v>-5</v>
      </c>
      <c r="AB19" s="4">
        <v>585</v>
      </c>
      <c r="AC19" s="4">
        <v>827</v>
      </c>
      <c r="AD19" s="4">
        <v>817.5</v>
      </c>
      <c r="AE19" s="4">
        <v>1391.5</v>
      </c>
      <c r="AF19" s="4">
        <v>1402.5</v>
      </c>
      <c r="AG19" s="4">
        <v>1717</v>
      </c>
      <c r="AH19" s="4">
        <v>325.5</v>
      </c>
      <c r="AI19" s="4">
        <v>839</v>
      </c>
      <c r="AJ19" s="4">
        <v>839</v>
      </c>
      <c r="AK19" s="4">
        <v>989</v>
      </c>
      <c r="AL19" s="4">
        <v>150</v>
      </c>
      <c r="AM19">
        <v>811</v>
      </c>
      <c r="AN19">
        <v>265</v>
      </c>
      <c r="AO19">
        <v>536</v>
      </c>
      <c r="AP19">
        <v>10</v>
      </c>
      <c r="AQ19">
        <v>33.5</v>
      </c>
      <c r="AR19">
        <v>31</v>
      </c>
      <c r="AS19">
        <v>2</v>
      </c>
      <c r="AT19">
        <v>0.5</v>
      </c>
      <c r="AU19">
        <v>28</v>
      </c>
      <c r="AV19">
        <v>20</v>
      </c>
      <c r="AW19">
        <v>8</v>
      </c>
      <c r="AX19">
        <v>0</v>
      </c>
    </row>
    <row r="20" spans="1:51">
      <c r="A20" t="s">
        <v>16886</v>
      </c>
      <c r="B20" t="s">
        <v>16886</v>
      </c>
      <c r="C20">
        <v>0</v>
      </c>
      <c r="D20">
        <v>20</v>
      </c>
      <c r="E20">
        <v>19</v>
      </c>
      <c r="F20">
        <v>15</v>
      </c>
      <c r="G20">
        <v>20</v>
      </c>
      <c r="H20">
        <v>2</v>
      </c>
      <c r="I20">
        <v>0</v>
      </c>
      <c r="J20">
        <v>20</v>
      </c>
      <c r="K20">
        <v>205</v>
      </c>
      <c r="L20">
        <v>18</v>
      </c>
      <c r="M20">
        <v>0</v>
      </c>
      <c r="N20">
        <v>0</v>
      </c>
      <c r="O20">
        <v>1</v>
      </c>
      <c r="P20">
        <v>0</v>
      </c>
      <c r="Q20">
        <v>1</v>
      </c>
      <c r="R20">
        <v>0</v>
      </c>
      <c r="S20">
        <v>13.25</v>
      </c>
      <c r="T20">
        <v>1056.25</v>
      </c>
      <c r="U20">
        <v>0</v>
      </c>
      <c r="V20">
        <v>1069.5</v>
      </c>
      <c r="W20" s="4">
        <v>21257.5</v>
      </c>
      <c r="X20" s="4">
        <v>0</v>
      </c>
      <c r="Y20">
        <v>4</v>
      </c>
      <c r="Z20">
        <v>2</v>
      </c>
      <c r="AA20" s="4">
        <v>0</v>
      </c>
      <c r="AB20" s="4">
        <v>20997</v>
      </c>
      <c r="AC20" s="4">
        <v>318.7</v>
      </c>
      <c r="AD20" s="4">
        <v>17.829999999999998</v>
      </c>
      <c r="AE20" s="4">
        <v>462.28</v>
      </c>
      <c r="AF20" s="4">
        <v>21014.83</v>
      </c>
      <c r="AG20" s="4">
        <v>21576.2</v>
      </c>
      <c r="AH20" s="4">
        <v>21113.919999999998</v>
      </c>
      <c r="AI20" s="4">
        <v>0</v>
      </c>
      <c r="AJ20" s="4">
        <v>20770</v>
      </c>
      <c r="AK20" s="4">
        <v>20800</v>
      </c>
      <c r="AL20" s="4">
        <v>20800</v>
      </c>
      <c r="AM20">
        <v>205</v>
      </c>
      <c r="AN20">
        <v>4</v>
      </c>
      <c r="AO20">
        <v>201</v>
      </c>
      <c r="AP20">
        <v>0</v>
      </c>
      <c r="AQ20">
        <v>13.25</v>
      </c>
      <c r="AR20">
        <v>0</v>
      </c>
      <c r="AS20">
        <v>13.25</v>
      </c>
      <c r="AT20">
        <v>0</v>
      </c>
      <c r="AU20">
        <v>1056.25</v>
      </c>
      <c r="AV20">
        <v>1040</v>
      </c>
      <c r="AW20">
        <v>16.25</v>
      </c>
      <c r="AX20">
        <v>0</v>
      </c>
    </row>
    <row r="21" spans="1:51">
      <c r="A21" t="s">
        <v>16887</v>
      </c>
      <c r="B21" t="s">
        <v>16887</v>
      </c>
      <c r="C21">
        <v>0</v>
      </c>
      <c r="D21">
        <v>1</v>
      </c>
      <c r="E21">
        <v>1</v>
      </c>
      <c r="F21">
        <v>0</v>
      </c>
      <c r="G21">
        <v>1</v>
      </c>
      <c r="H21">
        <v>0</v>
      </c>
      <c r="I21">
        <v>0</v>
      </c>
      <c r="J21">
        <v>1</v>
      </c>
      <c r="K21">
        <v>1</v>
      </c>
      <c r="L21">
        <v>1</v>
      </c>
      <c r="M21">
        <v>0</v>
      </c>
      <c r="N21">
        <v>0</v>
      </c>
      <c r="O21">
        <v>0</v>
      </c>
      <c r="P21">
        <v>0</v>
      </c>
      <c r="Q21">
        <v>0</v>
      </c>
      <c r="R21">
        <v>0</v>
      </c>
      <c r="S21">
        <v>0.5</v>
      </c>
      <c r="T21">
        <v>0.5</v>
      </c>
      <c r="U21">
        <v>1</v>
      </c>
      <c r="V21">
        <v>2</v>
      </c>
      <c r="W21" s="4">
        <v>15</v>
      </c>
      <c r="X21" s="4">
        <v>0</v>
      </c>
      <c r="Y21">
        <v>1</v>
      </c>
      <c r="Z21">
        <v>0</v>
      </c>
      <c r="AA21" s="4">
        <v>0</v>
      </c>
      <c r="AB21" s="4">
        <v>0</v>
      </c>
      <c r="AC21" s="4">
        <v>2.75</v>
      </c>
      <c r="AD21" s="4">
        <v>0</v>
      </c>
      <c r="AE21" s="4">
        <v>2.75</v>
      </c>
      <c r="AF21" s="4">
        <v>0</v>
      </c>
      <c r="AG21" s="4">
        <v>37.75</v>
      </c>
      <c r="AH21" s="4">
        <v>35</v>
      </c>
      <c r="AI21" s="4">
        <v>0</v>
      </c>
      <c r="AJ21" s="4">
        <v>0</v>
      </c>
      <c r="AK21" s="4">
        <v>0</v>
      </c>
      <c r="AL21" s="4">
        <v>0</v>
      </c>
      <c r="AM21">
        <v>1</v>
      </c>
      <c r="AN21">
        <v>0</v>
      </c>
      <c r="AO21">
        <v>1</v>
      </c>
      <c r="AP21">
        <v>0</v>
      </c>
      <c r="AQ21">
        <v>0.5</v>
      </c>
      <c r="AR21">
        <v>0</v>
      </c>
      <c r="AS21">
        <v>0.5</v>
      </c>
      <c r="AT21">
        <v>0</v>
      </c>
      <c r="AU21">
        <v>0.5</v>
      </c>
      <c r="AV21">
        <v>0</v>
      </c>
      <c r="AW21">
        <v>0.5</v>
      </c>
      <c r="AX21">
        <v>0</v>
      </c>
    </row>
    <row r="22" spans="1:51">
      <c r="A22" t="s">
        <v>17207</v>
      </c>
      <c r="B22" t="s">
        <v>17208</v>
      </c>
      <c r="C22">
        <v>1</v>
      </c>
      <c r="D22">
        <v>368</v>
      </c>
      <c r="E22">
        <v>367</v>
      </c>
      <c r="F22">
        <v>307</v>
      </c>
      <c r="G22">
        <v>5</v>
      </c>
      <c r="H22">
        <v>6</v>
      </c>
      <c r="I22">
        <v>11</v>
      </c>
      <c r="J22">
        <v>366</v>
      </c>
      <c r="K22">
        <v>4031</v>
      </c>
      <c r="L22">
        <v>314</v>
      </c>
      <c r="M22">
        <v>4</v>
      </c>
      <c r="N22">
        <v>1</v>
      </c>
      <c r="O22">
        <v>45</v>
      </c>
      <c r="P22">
        <v>1</v>
      </c>
      <c r="Q22">
        <v>0</v>
      </c>
      <c r="R22">
        <v>0</v>
      </c>
      <c r="S22">
        <v>250.25</v>
      </c>
      <c r="T22">
        <v>91</v>
      </c>
      <c r="U22">
        <v>0</v>
      </c>
      <c r="V22">
        <v>341.25</v>
      </c>
      <c r="W22" s="4">
        <v>4302.54</v>
      </c>
      <c r="X22" s="4">
        <v>0</v>
      </c>
      <c r="Y22">
        <v>367</v>
      </c>
      <c r="Z22">
        <v>0</v>
      </c>
      <c r="AA22" s="4">
        <v>-10</v>
      </c>
      <c r="AB22" s="4">
        <v>2415.04</v>
      </c>
      <c r="AC22" s="4">
        <v>154.55000000000001</v>
      </c>
      <c r="AD22" s="4">
        <v>146.55000000000001</v>
      </c>
      <c r="AE22" s="4">
        <v>525.76</v>
      </c>
      <c r="AF22" s="4">
        <v>2543.59</v>
      </c>
      <c r="AG22" s="4">
        <v>4453.54</v>
      </c>
      <c r="AH22" s="4">
        <v>3944.91</v>
      </c>
      <c r="AI22" s="4">
        <v>47.75</v>
      </c>
      <c r="AJ22" s="4">
        <v>85</v>
      </c>
      <c r="AK22" s="4">
        <v>120</v>
      </c>
      <c r="AL22" s="4">
        <v>72.25</v>
      </c>
      <c r="AM22">
        <v>4031</v>
      </c>
      <c r="AN22">
        <v>90</v>
      </c>
      <c r="AO22">
        <v>3936</v>
      </c>
      <c r="AP22">
        <v>5</v>
      </c>
      <c r="AQ22">
        <v>250.25</v>
      </c>
      <c r="AR22">
        <v>5.5</v>
      </c>
      <c r="AS22">
        <v>243.75</v>
      </c>
      <c r="AT22">
        <v>1</v>
      </c>
      <c r="AU22">
        <v>91</v>
      </c>
      <c r="AV22">
        <v>3</v>
      </c>
      <c r="AW22">
        <v>87.5</v>
      </c>
      <c r="AX22">
        <v>0.5</v>
      </c>
      <c r="AY22">
        <v>0</v>
      </c>
    </row>
    <row r="23" spans="1:51">
      <c r="A23" t="s">
        <v>17219</v>
      </c>
      <c r="B23" t="s">
        <v>17220</v>
      </c>
      <c r="C23">
        <v>1</v>
      </c>
      <c r="D23">
        <v>42</v>
      </c>
      <c r="E23">
        <v>38</v>
      </c>
      <c r="F23">
        <v>37</v>
      </c>
      <c r="G23">
        <v>7</v>
      </c>
      <c r="H23">
        <v>16</v>
      </c>
      <c r="I23">
        <v>4</v>
      </c>
      <c r="J23">
        <v>38</v>
      </c>
      <c r="K23">
        <v>1009</v>
      </c>
      <c r="L23">
        <v>25</v>
      </c>
      <c r="M23">
        <v>0</v>
      </c>
      <c r="N23">
        <v>7</v>
      </c>
      <c r="O23">
        <v>3</v>
      </c>
      <c r="P23">
        <v>2</v>
      </c>
      <c r="Q23">
        <v>1</v>
      </c>
      <c r="R23">
        <v>0</v>
      </c>
      <c r="S23">
        <v>36.5</v>
      </c>
      <c r="T23">
        <v>190.26</v>
      </c>
      <c r="U23">
        <v>23.25</v>
      </c>
      <c r="V23">
        <v>250.01</v>
      </c>
      <c r="W23" s="4">
        <v>4167.7</v>
      </c>
      <c r="X23" s="4">
        <v>0</v>
      </c>
      <c r="Y23">
        <v>17</v>
      </c>
      <c r="Z23">
        <v>24</v>
      </c>
      <c r="AA23" s="4">
        <v>-2.5</v>
      </c>
      <c r="AB23" s="4">
        <v>3260.2</v>
      </c>
      <c r="AC23" s="4">
        <v>1334.77</v>
      </c>
      <c r="AD23" s="4">
        <v>1334.77</v>
      </c>
      <c r="AE23" s="4">
        <v>1602.11</v>
      </c>
      <c r="AF23" s="4">
        <v>4594.97</v>
      </c>
      <c r="AG23" s="4">
        <v>5102.22</v>
      </c>
      <c r="AH23" s="4">
        <v>3928.36</v>
      </c>
      <c r="AI23" s="4">
        <v>1134.3599999999999</v>
      </c>
      <c r="AJ23" s="4">
        <v>3760.47</v>
      </c>
      <c r="AK23" s="4">
        <v>4790.47</v>
      </c>
      <c r="AL23" s="4">
        <v>3656.1</v>
      </c>
      <c r="AM23">
        <v>1009</v>
      </c>
      <c r="AN23">
        <v>698</v>
      </c>
      <c r="AO23">
        <v>310</v>
      </c>
      <c r="AP23">
        <v>1</v>
      </c>
      <c r="AQ23">
        <v>36.5</v>
      </c>
      <c r="AR23">
        <v>30.5</v>
      </c>
      <c r="AS23">
        <v>5.75</v>
      </c>
      <c r="AT23">
        <v>0.25</v>
      </c>
      <c r="AU23">
        <v>190.26</v>
      </c>
      <c r="AV23">
        <v>154.01</v>
      </c>
      <c r="AW23">
        <v>36.25</v>
      </c>
      <c r="AX23">
        <v>0</v>
      </c>
      <c r="AY23">
        <v>30000</v>
      </c>
    </row>
    <row r="24" spans="1:51">
      <c r="A24" t="s">
        <v>17209</v>
      </c>
      <c r="B24" t="s">
        <v>17209</v>
      </c>
      <c r="C24">
        <v>2</v>
      </c>
      <c r="D24">
        <v>6</v>
      </c>
      <c r="E24">
        <v>6</v>
      </c>
      <c r="F24">
        <v>5</v>
      </c>
      <c r="G24">
        <v>1</v>
      </c>
      <c r="H24">
        <v>1</v>
      </c>
      <c r="I24">
        <v>0</v>
      </c>
      <c r="J24">
        <v>6</v>
      </c>
      <c r="K24">
        <v>45</v>
      </c>
      <c r="L24">
        <v>0</v>
      </c>
      <c r="M24">
        <v>0</v>
      </c>
      <c r="N24">
        <v>0</v>
      </c>
      <c r="O24">
        <v>0</v>
      </c>
      <c r="P24">
        <v>0</v>
      </c>
      <c r="Q24">
        <v>3</v>
      </c>
      <c r="R24">
        <v>0</v>
      </c>
      <c r="S24">
        <v>3</v>
      </c>
      <c r="T24">
        <v>0</v>
      </c>
      <c r="U24">
        <v>0.5</v>
      </c>
      <c r="V24">
        <v>3.5</v>
      </c>
      <c r="W24" s="4">
        <v>20</v>
      </c>
      <c r="X24" s="4">
        <v>0</v>
      </c>
      <c r="Y24">
        <v>4</v>
      </c>
      <c r="Z24">
        <v>0</v>
      </c>
      <c r="AA24" s="4">
        <v>-10</v>
      </c>
      <c r="AB24" s="4">
        <v>0</v>
      </c>
      <c r="AC24" s="4">
        <v>0</v>
      </c>
      <c r="AD24" s="4">
        <v>0</v>
      </c>
      <c r="AE24" s="4">
        <v>0</v>
      </c>
      <c r="AF24" s="4">
        <v>0</v>
      </c>
      <c r="AG24" s="4">
        <v>30</v>
      </c>
      <c r="AH24" s="4">
        <v>30</v>
      </c>
      <c r="AI24" s="4">
        <v>0</v>
      </c>
      <c r="AJ24" s="4">
        <v>0</v>
      </c>
      <c r="AK24" s="4">
        <v>0</v>
      </c>
      <c r="AL24" s="4">
        <v>0</v>
      </c>
      <c r="AM24">
        <v>45</v>
      </c>
      <c r="AN24">
        <v>11</v>
      </c>
      <c r="AO24">
        <v>32</v>
      </c>
      <c r="AP24">
        <v>2</v>
      </c>
      <c r="AQ24">
        <v>3</v>
      </c>
      <c r="AR24">
        <v>0</v>
      </c>
      <c r="AS24">
        <v>2</v>
      </c>
      <c r="AT24">
        <v>1</v>
      </c>
      <c r="AU24">
        <v>0</v>
      </c>
      <c r="AV24">
        <v>0</v>
      </c>
      <c r="AW24">
        <v>0</v>
      </c>
      <c r="AX24">
        <v>0</v>
      </c>
    </row>
    <row r="25" spans="1:51">
      <c r="A25" t="s">
        <v>16888</v>
      </c>
      <c r="B25" t="s">
        <v>16888</v>
      </c>
      <c r="C25">
        <v>0</v>
      </c>
      <c r="D25">
        <v>1</v>
      </c>
      <c r="E25">
        <v>1</v>
      </c>
      <c r="F25">
        <v>1</v>
      </c>
      <c r="G25">
        <v>0</v>
      </c>
      <c r="H25">
        <v>0</v>
      </c>
      <c r="I25">
        <v>0</v>
      </c>
      <c r="J25">
        <v>1</v>
      </c>
      <c r="K25">
        <v>7</v>
      </c>
      <c r="L25">
        <v>0</v>
      </c>
      <c r="M25">
        <v>0</v>
      </c>
      <c r="N25">
        <v>0</v>
      </c>
      <c r="O25">
        <v>0</v>
      </c>
      <c r="P25">
        <v>0</v>
      </c>
      <c r="Q25">
        <v>1</v>
      </c>
      <c r="R25">
        <v>0</v>
      </c>
      <c r="S25">
        <v>1</v>
      </c>
      <c r="T25">
        <v>1</v>
      </c>
      <c r="U25">
        <v>0</v>
      </c>
      <c r="V25">
        <v>2</v>
      </c>
      <c r="W25" s="4">
        <v>30</v>
      </c>
      <c r="X25" s="4">
        <v>0</v>
      </c>
      <c r="Y25">
        <v>0</v>
      </c>
      <c r="Z25">
        <v>1</v>
      </c>
      <c r="AA25" s="4">
        <v>0</v>
      </c>
      <c r="AB25" s="4">
        <v>0</v>
      </c>
      <c r="AC25" s="4">
        <v>2</v>
      </c>
      <c r="AD25" s="4">
        <v>1</v>
      </c>
      <c r="AE25" s="4">
        <v>0</v>
      </c>
      <c r="AF25" s="4">
        <v>1</v>
      </c>
      <c r="AG25" s="4">
        <v>32</v>
      </c>
      <c r="AH25" s="4">
        <v>32</v>
      </c>
      <c r="AI25" s="4">
        <v>0</v>
      </c>
      <c r="AJ25" s="4">
        <v>0</v>
      </c>
      <c r="AK25" s="4">
        <v>0</v>
      </c>
      <c r="AL25" s="4">
        <v>0</v>
      </c>
      <c r="AM25">
        <v>7</v>
      </c>
      <c r="AN25">
        <v>0</v>
      </c>
      <c r="AO25">
        <v>7</v>
      </c>
      <c r="AP25">
        <v>0</v>
      </c>
      <c r="AQ25">
        <v>1</v>
      </c>
      <c r="AR25">
        <v>0</v>
      </c>
      <c r="AS25">
        <v>1</v>
      </c>
      <c r="AT25">
        <v>0</v>
      </c>
      <c r="AU25">
        <v>1</v>
      </c>
      <c r="AV25">
        <v>0</v>
      </c>
      <c r="AW25">
        <v>1</v>
      </c>
      <c r="AX25">
        <v>0</v>
      </c>
    </row>
    <row r="26" spans="1:51">
      <c r="A26" t="s">
        <v>17355</v>
      </c>
      <c r="B26" t="s">
        <v>17356</v>
      </c>
      <c r="C26">
        <v>1</v>
      </c>
      <c r="D26">
        <v>3</v>
      </c>
      <c r="E26">
        <v>0</v>
      </c>
      <c r="F26">
        <v>3</v>
      </c>
      <c r="G26">
        <v>0</v>
      </c>
      <c r="H26">
        <v>0</v>
      </c>
      <c r="I26">
        <v>0</v>
      </c>
      <c r="J26">
        <v>3</v>
      </c>
      <c r="K26">
        <v>49</v>
      </c>
      <c r="L26">
        <v>3</v>
      </c>
      <c r="M26">
        <v>0</v>
      </c>
      <c r="N26">
        <v>0</v>
      </c>
      <c r="O26">
        <v>0</v>
      </c>
      <c r="P26">
        <v>0</v>
      </c>
      <c r="Q26">
        <v>0</v>
      </c>
      <c r="R26">
        <v>0</v>
      </c>
      <c r="S26">
        <v>12</v>
      </c>
      <c r="T26">
        <v>9</v>
      </c>
      <c r="U26">
        <v>0</v>
      </c>
      <c r="V26">
        <v>21</v>
      </c>
      <c r="W26" s="4">
        <v>300</v>
      </c>
      <c r="X26" s="4">
        <v>0</v>
      </c>
      <c r="Y26">
        <v>1</v>
      </c>
      <c r="Z26">
        <v>2</v>
      </c>
      <c r="AA26" s="4">
        <v>-20</v>
      </c>
      <c r="AB26" s="4">
        <v>160</v>
      </c>
      <c r="AC26" s="4">
        <v>39.5</v>
      </c>
      <c r="AD26" s="4">
        <v>0</v>
      </c>
      <c r="AE26" s="4">
        <v>199.5</v>
      </c>
      <c r="AF26" s="4">
        <v>160</v>
      </c>
      <c r="AG26" s="4">
        <v>339.5</v>
      </c>
      <c r="AH26" s="4">
        <v>140</v>
      </c>
      <c r="AI26" s="4">
        <v>0</v>
      </c>
      <c r="AJ26" s="4">
        <v>0</v>
      </c>
      <c r="AK26" s="4">
        <v>0</v>
      </c>
      <c r="AL26" s="4">
        <v>0</v>
      </c>
      <c r="AM26">
        <v>49</v>
      </c>
      <c r="AN26">
        <v>0</v>
      </c>
      <c r="AO26">
        <v>26</v>
      </c>
      <c r="AP26">
        <v>23</v>
      </c>
      <c r="AQ26">
        <v>12</v>
      </c>
      <c r="AR26">
        <v>0</v>
      </c>
      <c r="AS26">
        <v>10</v>
      </c>
      <c r="AT26">
        <v>2</v>
      </c>
      <c r="AU26">
        <v>9</v>
      </c>
      <c r="AV26">
        <v>0</v>
      </c>
      <c r="AW26">
        <v>9</v>
      </c>
      <c r="AX26">
        <v>0</v>
      </c>
    </row>
    <row r="27" spans="1:51">
      <c r="A27" t="s">
        <v>17355</v>
      </c>
      <c r="B27" t="s">
        <v>17356</v>
      </c>
      <c r="C27">
        <v>0</v>
      </c>
      <c r="D27">
        <v>4</v>
      </c>
      <c r="E27">
        <v>0</v>
      </c>
      <c r="F27">
        <v>4</v>
      </c>
      <c r="G27">
        <v>0</v>
      </c>
      <c r="H27">
        <v>0</v>
      </c>
      <c r="I27">
        <v>0</v>
      </c>
      <c r="J27">
        <v>1</v>
      </c>
      <c r="K27">
        <v>5</v>
      </c>
      <c r="L27">
        <v>1</v>
      </c>
      <c r="M27">
        <v>0</v>
      </c>
      <c r="N27">
        <v>0</v>
      </c>
      <c r="O27">
        <v>0</v>
      </c>
      <c r="P27">
        <v>0</v>
      </c>
      <c r="Q27">
        <v>1</v>
      </c>
      <c r="R27">
        <v>0</v>
      </c>
      <c r="S27">
        <v>2.5</v>
      </c>
      <c r="T27">
        <v>1</v>
      </c>
      <c r="U27">
        <v>1</v>
      </c>
      <c r="V27">
        <v>4.5</v>
      </c>
      <c r="W27" s="4">
        <v>45</v>
      </c>
      <c r="X27" s="4">
        <v>0</v>
      </c>
      <c r="Y27">
        <v>0</v>
      </c>
      <c r="Z27">
        <v>0</v>
      </c>
      <c r="AA27" s="4">
        <v>0</v>
      </c>
      <c r="AB27" s="4">
        <v>45</v>
      </c>
      <c r="AC27" s="4">
        <v>0</v>
      </c>
      <c r="AD27" s="4">
        <v>0</v>
      </c>
      <c r="AE27" s="4">
        <v>0</v>
      </c>
      <c r="AF27" s="4">
        <v>45</v>
      </c>
      <c r="AG27" s="4">
        <v>65</v>
      </c>
      <c r="AH27" s="4">
        <v>65</v>
      </c>
      <c r="AI27" s="4">
        <v>0</v>
      </c>
      <c r="AJ27" s="4">
        <v>0</v>
      </c>
      <c r="AK27" s="4">
        <v>0</v>
      </c>
      <c r="AL27" s="4">
        <v>0</v>
      </c>
      <c r="AM27">
        <v>5</v>
      </c>
      <c r="AN27">
        <v>0</v>
      </c>
      <c r="AO27">
        <v>5</v>
      </c>
      <c r="AP27">
        <v>0</v>
      </c>
      <c r="AQ27">
        <v>2.5</v>
      </c>
      <c r="AR27">
        <v>0</v>
      </c>
      <c r="AS27">
        <v>2.5</v>
      </c>
      <c r="AT27">
        <v>0</v>
      </c>
      <c r="AU27">
        <v>1</v>
      </c>
      <c r="AV27">
        <v>0</v>
      </c>
      <c r="AW27">
        <v>1</v>
      </c>
      <c r="AX27">
        <v>0</v>
      </c>
    </row>
    <row r="28" spans="1:51">
      <c r="A28" t="s">
        <v>17228</v>
      </c>
      <c r="B28" t="s">
        <v>17229</v>
      </c>
      <c r="C28">
        <v>0</v>
      </c>
      <c r="D28">
        <v>975</v>
      </c>
      <c r="E28">
        <v>0</v>
      </c>
      <c r="F28">
        <v>382</v>
      </c>
      <c r="G28">
        <v>1</v>
      </c>
      <c r="H28">
        <v>0</v>
      </c>
      <c r="I28">
        <v>0</v>
      </c>
      <c r="J28">
        <v>883</v>
      </c>
      <c r="K28">
        <v>28346</v>
      </c>
      <c r="L28">
        <v>857</v>
      </c>
      <c r="M28">
        <v>16</v>
      </c>
      <c r="N28">
        <v>0</v>
      </c>
      <c r="O28">
        <v>0</v>
      </c>
      <c r="P28">
        <v>2</v>
      </c>
      <c r="Q28">
        <v>4</v>
      </c>
      <c r="R28">
        <v>0</v>
      </c>
      <c r="S28">
        <v>242.25399999999999</v>
      </c>
      <c r="T28">
        <v>0</v>
      </c>
      <c r="U28">
        <v>0</v>
      </c>
      <c r="V28" t="e">
        <v>#VALUE!</v>
      </c>
      <c r="W28" s="4" t="e">
        <v>#VALUE!</v>
      </c>
      <c r="X28" s="4">
        <v>0</v>
      </c>
      <c r="Y28">
        <v>0</v>
      </c>
      <c r="Z28">
        <v>0</v>
      </c>
      <c r="AA28" s="4">
        <v>0</v>
      </c>
      <c r="AB28" s="4">
        <v>2415.29</v>
      </c>
      <c r="AC28" s="4">
        <v>496.18999999999772</v>
      </c>
      <c r="AD28" s="4">
        <v>0</v>
      </c>
      <c r="AE28" s="4">
        <v>2059.5</v>
      </c>
      <c r="AF28" s="4">
        <v>2415.29</v>
      </c>
      <c r="AG28" s="4">
        <v>2907.9800000000046</v>
      </c>
      <c r="AH28" s="4">
        <v>1514.3300000000017</v>
      </c>
      <c r="AI28" s="4">
        <v>0</v>
      </c>
      <c r="AJ28" s="4">
        <v>0</v>
      </c>
      <c r="AK28" s="4">
        <v>0</v>
      </c>
      <c r="AL28" s="4">
        <v>0</v>
      </c>
      <c r="AM28">
        <v>28346</v>
      </c>
      <c r="AN28">
        <v>0</v>
      </c>
      <c r="AO28">
        <v>28346</v>
      </c>
      <c r="AP28">
        <v>0</v>
      </c>
      <c r="AQ28">
        <v>242.25399999999999</v>
      </c>
      <c r="AR28">
        <v>0</v>
      </c>
      <c r="AS28">
        <v>242.25399999999999</v>
      </c>
      <c r="AT28">
        <v>0</v>
      </c>
      <c r="AU28">
        <v>0</v>
      </c>
      <c r="AV28">
        <v>0</v>
      </c>
      <c r="AW28">
        <v>0</v>
      </c>
      <c r="AX28">
        <v>0</v>
      </c>
      <c r="AY28">
        <v>975</v>
      </c>
    </row>
    <row r="29" spans="1:51">
      <c r="A29" t="s">
        <v>16889</v>
      </c>
      <c r="B29" t="s">
        <v>16889</v>
      </c>
      <c r="C29">
        <v>0</v>
      </c>
      <c r="D29">
        <v>17</v>
      </c>
      <c r="E29">
        <v>17</v>
      </c>
      <c r="F29">
        <v>10</v>
      </c>
      <c r="G29">
        <v>5</v>
      </c>
      <c r="H29">
        <v>0</v>
      </c>
      <c r="I29">
        <v>0</v>
      </c>
      <c r="J29">
        <v>16</v>
      </c>
      <c r="K29">
        <v>213</v>
      </c>
      <c r="L29">
        <v>12</v>
      </c>
      <c r="M29">
        <v>1</v>
      </c>
      <c r="N29">
        <v>3</v>
      </c>
      <c r="O29">
        <v>2</v>
      </c>
      <c r="P29">
        <v>0</v>
      </c>
      <c r="Q29">
        <v>0</v>
      </c>
      <c r="R29">
        <v>0</v>
      </c>
      <c r="S29">
        <v>565.95000000000005</v>
      </c>
      <c r="T29">
        <v>213.85</v>
      </c>
      <c r="U29">
        <v>0</v>
      </c>
      <c r="V29">
        <v>779.8</v>
      </c>
      <c r="W29" s="4">
        <v>9936.5</v>
      </c>
      <c r="X29" s="4">
        <v>0</v>
      </c>
      <c r="Y29">
        <v>12</v>
      </c>
      <c r="Z29">
        <v>0</v>
      </c>
      <c r="AA29" s="4">
        <v>0</v>
      </c>
      <c r="AB29" s="4">
        <v>9780</v>
      </c>
      <c r="AC29" s="4">
        <v>10.25</v>
      </c>
      <c r="AD29" s="4">
        <v>0</v>
      </c>
      <c r="AE29" s="4">
        <v>0</v>
      </c>
      <c r="AF29" s="4">
        <v>9780</v>
      </c>
      <c r="AG29" s="4">
        <v>9946.75</v>
      </c>
      <c r="AH29" s="4">
        <v>9946.75</v>
      </c>
      <c r="AI29" s="4">
        <v>0</v>
      </c>
      <c r="AJ29" s="4">
        <v>0</v>
      </c>
      <c r="AK29" s="4">
        <v>0</v>
      </c>
      <c r="AL29" s="4">
        <v>0</v>
      </c>
      <c r="AM29">
        <v>213</v>
      </c>
      <c r="AN29">
        <v>0</v>
      </c>
      <c r="AO29">
        <v>213</v>
      </c>
      <c r="AP29">
        <v>0</v>
      </c>
      <c r="AQ29">
        <v>565.95000000000005</v>
      </c>
      <c r="AR29">
        <v>0</v>
      </c>
      <c r="AS29">
        <v>565.95000000000005</v>
      </c>
      <c r="AT29">
        <v>0</v>
      </c>
      <c r="AU29">
        <v>213.85</v>
      </c>
      <c r="AV29">
        <v>0</v>
      </c>
      <c r="AW29">
        <v>213.85</v>
      </c>
      <c r="AX29">
        <v>0</v>
      </c>
    </row>
    <row r="30" spans="1:51">
      <c r="A30" t="s">
        <v>16890</v>
      </c>
      <c r="B30" t="s">
        <v>16891</v>
      </c>
      <c r="C30">
        <v>0</v>
      </c>
      <c r="D30">
        <v>29</v>
      </c>
      <c r="E30">
        <v>29</v>
      </c>
      <c r="F30">
        <v>14</v>
      </c>
      <c r="G30">
        <v>7</v>
      </c>
      <c r="H30">
        <v>0</v>
      </c>
      <c r="I30">
        <v>0</v>
      </c>
      <c r="J30">
        <v>29</v>
      </c>
      <c r="K30">
        <v>725</v>
      </c>
      <c r="L30">
        <v>15</v>
      </c>
      <c r="M30">
        <v>1</v>
      </c>
      <c r="N30">
        <v>3</v>
      </c>
      <c r="O30">
        <v>3</v>
      </c>
      <c r="P30">
        <v>5</v>
      </c>
      <c r="Q30">
        <v>3</v>
      </c>
      <c r="R30">
        <v>0</v>
      </c>
      <c r="S30">
        <v>31</v>
      </c>
      <c r="T30">
        <v>12.5</v>
      </c>
      <c r="U30">
        <v>0</v>
      </c>
      <c r="V30">
        <v>43.5</v>
      </c>
      <c r="X30" s="4">
        <v>0</v>
      </c>
      <c r="Y30">
        <v>25</v>
      </c>
      <c r="Z30">
        <v>0</v>
      </c>
      <c r="AA30" s="4">
        <v>0</v>
      </c>
      <c r="AB30" s="4">
        <v>195</v>
      </c>
      <c r="AC30" s="4">
        <v>917.75</v>
      </c>
      <c r="AD30" s="4">
        <v>917.75</v>
      </c>
      <c r="AE30" s="4">
        <v>986.25</v>
      </c>
      <c r="AF30" s="4">
        <v>1099.75</v>
      </c>
      <c r="AG30" s="4">
        <v>1444.75</v>
      </c>
      <c r="AH30" s="4">
        <v>471.5</v>
      </c>
      <c r="AI30" s="4">
        <v>0</v>
      </c>
      <c r="AJ30" s="4">
        <v>0</v>
      </c>
      <c r="AK30" s="4">
        <v>0</v>
      </c>
      <c r="AL30" s="4">
        <v>0</v>
      </c>
      <c r="AM30">
        <v>725</v>
      </c>
      <c r="AN30">
        <v>0</v>
      </c>
      <c r="AO30">
        <v>715</v>
      </c>
      <c r="AP30">
        <v>0</v>
      </c>
      <c r="AQ30">
        <v>31</v>
      </c>
      <c r="AR30">
        <v>0</v>
      </c>
      <c r="AS30">
        <v>30.5</v>
      </c>
      <c r="AT30">
        <v>0</v>
      </c>
      <c r="AU30">
        <v>12.5</v>
      </c>
      <c r="AV30">
        <v>0</v>
      </c>
      <c r="AW30">
        <v>11.75</v>
      </c>
      <c r="AX30">
        <v>0</v>
      </c>
    </row>
    <row r="31" spans="1:51">
      <c r="A31" t="s">
        <v>16892</v>
      </c>
      <c r="B31" t="s">
        <v>16893</v>
      </c>
      <c r="C31">
        <v>1</v>
      </c>
      <c r="D31">
        <v>1</v>
      </c>
      <c r="E31">
        <v>1</v>
      </c>
      <c r="F31">
        <v>1</v>
      </c>
      <c r="G31">
        <v>0</v>
      </c>
      <c r="H31">
        <v>0</v>
      </c>
      <c r="I31">
        <v>0</v>
      </c>
      <c r="J31">
        <v>1</v>
      </c>
      <c r="K31">
        <v>3</v>
      </c>
      <c r="L31">
        <v>1</v>
      </c>
      <c r="M31">
        <v>0</v>
      </c>
      <c r="N31">
        <v>0</v>
      </c>
      <c r="O31">
        <v>0</v>
      </c>
      <c r="P31">
        <v>0</v>
      </c>
      <c r="Q31">
        <v>0</v>
      </c>
      <c r="R31">
        <v>0</v>
      </c>
      <c r="S31">
        <v>0.5</v>
      </c>
      <c r="T31">
        <v>0.5</v>
      </c>
      <c r="U31">
        <v>0.5</v>
      </c>
      <c r="V31">
        <v>1.5</v>
      </c>
      <c r="W31" s="4">
        <v>0</v>
      </c>
      <c r="X31" s="4">
        <v>0</v>
      </c>
      <c r="Y31">
        <v>1</v>
      </c>
      <c r="Z31">
        <v>0</v>
      </c>
      <c r="AA31" s="4">
        <v>-15</v>
      </c>
      <c r="AB31" s="4">
        <v>0</v>
      </c>
      <c r="AC31" s="4">
        <v>0</v>
      </c>
      <c r="AD31" s="4">
        <v>0</v>
      </c>
      <c r="AE31" s="4">
        <v>0</v>
      </c>
      <c r="AF31" s="4">
        <v>0</v>
      </c>
      <c r="AG31" s="4">
        <v>10</v>
      </c>
      <c r="AH31" s="4">
        <v>10</v>
      </c>
      <c r="AI31" s="4">
        <v>0</v>
      </c>
      <c r="AJ31" s="4">
        <v>0</v>
      </c>
      <c r="AK31" s="4">
        <v>0</v>
      </c>
      <c r="AL31" s="4">
        <v>0</v>
      </c>
      <c r="AM31">
        <v>3</v>
      </c>
      <c r="AN31">
        <v>0</v>
      </c>
      <c r="AO31">
        <v>0</v>
      </c>
      <c r="AP31">
        <v>3</v>
      </c>
      <c r="AQ31">
        <v>0.5</v>
      </c>
      <c r="AR31">
        <v>0</v>
      </c>
      <c r="AS31">
        <v>0</v>
      </c>
      <c r="AT31">
        <v>0.5</v>
      </c>
      <c r="AU31">
        <v>0.5</v>
      </c>
      <c r="AV31">
        <v>0</v>
      </c>
      <c r="AW31">
        <v>0</v>
      </c>
      <c r="AX31">
        <v>0.5</v>
      </c>
    </row>
    <row r="32" spans="1:51">
      <c r="A32" t="s">
        <v>16894</v>
      </c>
      <c r="B32" t="s">
        <v>17416</v>
      </c>
      <c r="C32">
        <v>2</v>
      </c>
      <c r="D32">
        <v>2</v>
      </c>
      <c r="E32">
        <v>2</v>
      </c>
      <c r="F32">
        <v>1</v>
      </c>
      <c r="G32">
        <v>0</v>
      </c>
      <c r="H32">
        <v>0</v>
      </c>
      <c r="I32">
        <v>0</v>
      </c>
      <c r="J32">
        <v>2</v>
      </c>
      <c r="K32">
        <v>18</v>
      </c>
      <c r="L32">
        <v>1</v>
      </c>
      <c r="M32">
        <v>1</v>
      </c>
      <c r="N32">
        <v>0</v>
      </c>
      <c r="O32">
        <v>0</v>
      </c>
      <c r="P32">
        <v>0</v>
      </c>
      <c r="Q32">
        <v>0</v>
      </c>
      <c r="R32">
        <v>0</v>
      </c>
      <c r="S32">
        <v>1.25</v>
      </c>
      <c r="T32">
        <v>0</v>
      </c>
      <c r="U32">
        <v>0</v>
      </c>
      <c r="V32">
        <v>1.25</v>
      </c>
      <c r="W32" s="4">
        <v>0</v>
      </c>
      <c r="X32" s="4">
        <v>0</v>
      </c>
      <c r="Y32">
        <v>2</v>
      </c>
      <c r="Z32">
        <v>0</v>
      </c>
      <c r="AA32" s="4">
        <v>-12.5</v>
      </c>
      <c r="AB32" s="4">
        <v>0</v>
      </c>
      <c r="AC32" s="4">
        <v>0</v>
      </c>
      <c r="AD32" s="4">
        <v>0</v>
      </c>
      <c r="AE32" s="4">
        <v>0</v>
      </c>
      <c r="AF32" s="4">
        <v>0</v>
      </c>
      <c r="AG32" s="4">
        <v>0</v>
      </c>
      <c r="AH32" s="4">
        <v>0</v>
      </c>
      <c r="AI32" s="4">
        <v>0</v>
      </c>
      <c r="AJ32" s="4">
        <v>0</v>
      </c>
      <c r="AK32" s="4">
        <v>0</v>
      </c>
      <c r="AL32" s="4">
        <v>0</v>
      </c>
      <c r="AM32">
        <v>18</v>
      </c>
      <c r="AN32">
        <v>0</v>
      </c>
      <c r="AO32">
        <v>0</v>
      </c>
      <c r="AP32">
        <v>18</v>
      </c>
      <c r="AQ32">
        <v>1.25</v>
      </c>
      <c r="AR32">
        <v>0</v>
      </c>
      <c r="AS32">
        <v>0</v>
      </c>
      <c r="AT32">
        <v>1.25</v>
      </c>
      <c r="AU32">
        <v>0</v>
      </c>
      <c r="AV32">
        <v>0</v>
      </c>
      <c r="AW32">
        <v>0</v>
      </c>
      <c r="AX32">
        <v>0</v>
      </c>
    </row>
    <row r="33" spans="1:51">
      <c r="A33" t="s">
        <v>16894</v>
      </c>
      <c r="B33" t="s">
        <v>16895</v>
      </c>
      <c r="C33">
        <v>0</v>
      </c>
      <c r="D33">
        <v>5</v>
      </c>
      <c r="E33">
        <v>5</v>
      </c>
      <c r="F33">
        <v>5</v>
      </c>
      <c r="G33">
        <v>0</v>
      </c>
      <c r="H33">
        <v>0</v>
      </c>
      <c r="I33">
        <v>0</v>
      </c>
      <c r="J33">
        <v>5</v>
      </c>
      <c r="K33">
        <v>31</v>
      </c>
      <c r="L33">
        <v>2</v>
      </c>
      <c r="M33">
        <v>1</v>
      </c>
      <c r="N33">
        <v>2</v>
      </c>
      <c r="O33">
        <v>0</v>
      </c>
      <c r="P33">
        <v>1</v>
      </c>
      <c r="Q33">
        <v>1</v>
      </c>
      <c r="R33">
        <v>0</v>
      </c>
      <c r="S33">
        <v>4.25</v>
      </c>
      <c r="T33">
        <v>0</v>
      </c>
      <c r="U33">
        <v>0</v>
      </c>
      <c r="V33">
        <v>4.25</v>
      </c>
      <c r="W33" s="4">
        <v>42.5</v>
      </c>
      <c r="X33" s="4">
        <v>0</v>
      </c>
      <c r="Y33">
        <v>2</v>
      </c>
      <c r="Z33">
        <v>0</v>
      </c>
      <c r="AA33" s="4">
        <v>0</v>
      </c>
      <c r="AB33" s="4">
        <v>40</v>
      </c>
      <c r="AC33" s="4">
        <v>0.98</v>
      </c>
      <c r="AD33" s="4">
        <v>0.98</v>
      </c>
      <c r="AE33" s="4">
        <v>0</v>
      </c>
      <c r="AF33" s="4">
        <v>40.980000000000004</v>
      </c>
      <c r="AG33" s="4">
        <v>43.480000000000004</v>
      </c>
      <c r="AH33" s="4">
        <v>43.480000000000004</v>
      </c>
      <c r="AI33" s="4">
        <v>0</v>
      </c>
      <c r="AJ33" s="4">
        <v>0</v>
      </c>
      <c r="AK33" s="4">
        <v>0</v>
      </c>
      <c r="AL33" s="4">
        <v>0</v>
      </c>
      <c r="AM33">
        <v>31</v>
      </c>
      <c r="AN33">
        <v>0</v>
      </c>
      <c r="AO33">
        <v>31</v>
      </c>
      <c r="AP33">
        <v>0</v>
      </c>
      <c r="AQ33">
        <v>4.25</v>
      </c>
      <c r="AR33">
        <v>0</v>
      </c>
      <c r="AS33">
        <v>4.25</v>
      </c>
      <c r="AT33">
        <v>0</v>
      </c>
      <c r="AU33">
        <v>0</v>
      </c>
      <c r="AV33">
        <v>0</v>
      </c>
      <c r="AW33">
        <v>0</v>
      </c>
      <c r="AX33">
        <v>0</v>
      </c>
    </row>
    <row r="34" spans="1:51">
      <c r="A34" t="s">
        <v>16896</v>
      </c>
      <c r="B34" t="s">
        <v>16897</v>
      </c>
      <c r="C34">
        <v>0</v>
      </c>
      <c r="D34">
        <v>0</v>
      </c>
      <c r="E34">
        <v>0</v>
      </c>
      <c r="F34">
        <v>0</v>
      </c>
      <c r="G34">
        <v>0</v>
      </c>
      <c r="H34">
        <v>0</v>
      </c>
      <c r="I34">
        <v>0</v>
      </c>
      <c r="J34">
        <v>0</v>
      </c>
      <c r="K34">
        <v>0</v>
      </c>
      <c r="L34">
        <v>0</v>
      </c>
      <c r="M34">
        <v>0</v>
      </c>
      <c r="N34">
        <v>0</v>
      </c>
      <c r="O34">
        <v>0</v>
      </c>
      <c r="P34">
        <v>0</v>
      </c>
      <c r="Q34">
        <v>0</v>
      </c>
      <c r="R34">
        <v>0</v>
      </c>
      <c r="S34">
        <v>0</v>
      </c>
      <c r="T34">
        <v>0</v>
      </c>
      <c r="U34">
        <v>0</v>
      </c>
      <c r="V34">
        <v>0</v>
      </c>
      <c r="W34" s="4">
        <v>0</v>
      </c>
      <c r="X34" s="4">
        <v>0</v>
      </c>
      <c r="Y34">
        <v>0</v>
      </c>
      <c r="Z34">
        <v>0</v>
      </c>
      <c r="AA34" s="4">
        <v>0</v>
      </c>
      <c r="AB34" s="4">
        <v>0</v>
      </c>
      <c r="AC34" s="4">
        <v>0</v>
      </c>
      <c r="AD34" s="4">
        <v>0</v>
      </c>
      <c r="AE34" s="4">
        <v>0</v>
      </c>
      <c r="AF34" s="4">
        <v>0</v>
      </c>
      <c r="AG34" s="4">
        <v>0</v>
      </c>
      <c r="AH34" s="4">
        <v>0</v>
      </c>
      <c r="AI34" s="4">
        <v>0</v>
      </c>
      <c r="AJ34" s="4">
        <v>0</v>
      </c>
      <c r="AK34" s="4">
        <v>0</v>
      </c>
      <c r="AL34" s="4">
        <v>0</v>
      </c>
      <c r="AM34">
        <v>0</v>
      </c>
      <c r="AN34">
        <v>0</v>
      </c>
      <c r="AO34">
        <v>0</v>
      </c>
      <c r="AP34">
        <v>0</v>
      </c>
      <c r="AQ34">
        <v>0</v>
      </c>
      <c r="AR34">
        <v>0</v>
      </c>
      <c r="AS34">
        <v>0</v>
      </c>
      <c r="AT34">
        <v>0</v>
      </c>
      <c r="AU34">
        <v>0</v>
      </c>
      <c r="AV34">
        <v>0</v>
      </c>
      <c r="AW34">
        <v>0</v>
      </c>
      <c r="AX34">
        <v>0</v>
      </c>
      <c r="AY34">
        <v>0</v>
      </c>
    </row>
    <row r="35" spans="1:51">
      <c r="A35" t="s">
        <v>16900</v>
      </c>
      <c r="B35" t="s">
        <v>16901</v>
      </c>
      <c r="C35">
        <v>0</v>
      </c>
      <c r="D35">
        <v>1</v>
      </c>
      <c r="E35">
        <v>1</v>
      </c>
      <c r="F35">
        <v>1</v>
      </c>
      <c r="G35">
        <v>0</v>
      </c>
      <c r="H35">
        <v>0</v>
      </c>
      <c r="I35">
        <v>0</v>
      </c>
      <c r="J35">
        <v>1</v>
      </c>
      <c r="K35">
        <v>3</v>
      </c>
      <c r="L35">
        <v>1</v>
      </c>
      <c r="M35">
        <v>0</v>
      </c>
      <c r="N35">
        <v>0</v>
      </c>
      <c r="O35">
        <v>0</v>
      </c>
      <c r="P35">
        <v>0</v>
      </c>
      <c r="Q35">
        <v>0</v>
      </c>
      <c r="R35">
        <v>0</v>
      </c>
      <c r="S35">
        <v>0.75</v>
      </c>
      <c r="T35">
        <v>0</v>
      </c>
      <c r="U35">
        <v>0</v>
      </c>
      <c r="V35">
        <v>0.75</v>
      </c>
      <c r="W35" s="4">
        <v>7.5</v>
      </c>
      <c r="X35" s="4">
        <v>0</v>
      </c>
      <c r="Y35">
        <v>0</v>
      </c>
      <c r="Z35">
        <v>0</v>
      </c>
      <c r="AA35" s="4">
        <v>0</v>
      </c>
      <c r="AB35" s="4">
        <v>7.5</v>
      </c>
      <c r="AC35" s="4">
        <v>0</v>
      </c>
      <c r="AD35" s="4">
        <v>0</v>
      </c>
      <c r="AE35" s="4">
        <v>0</v>
      </c>
      <c r="AF35" s="4">
        <v>7.5</v>
      </c>
      <c r="AG35" s="4">
        <v>7.5</v>
      </c>
      <c r="AH35" s="4">
        <v>7.5</v>
      </c>
      <c r="AI35" s="4">
        <v>0</v>
      </c>
      <c r="AJ35" s="4">
        <v>0</v>
      </c>
      <c r="AK35" s="4">
        <v>0</v>
      </c>
      <c r="AL35" s="4">
        <v>0</v>
      </c>
      <c r="AM35">
        <v>3</v>
      </c>
      <c r="AN35">
        <v>0</v>
      </c>
      <c r="AO35">
        <v>3</v>
      </c>
      <c r="AP35">
        <v>0</v>
      </c>
      <c r="AQ35">
        <v>0.75</v>
      </c>
      <c r="AR35">
        <v>0</v>
      </c>
      <c r="AS35">
        <v>0.75</v>
      </c>
      <c r="AT35">
        <v>0</v>
      </c>
      <c r="AU35">
        <v>0</v>
      </c>
      <c r="AV35">
        <v>0</v>
      </c>
      <c r="AW35">
        <v>0</v>
      </c>
      <c r="AX35">
        <v>0</v>
      </c>
    </row>
    <row r="36" spans="1:51">
      <c r="A36" t="s">
        <v>16900</v>
      </c>
      <c r="B36" t="s">
        <v>16901</v>
      </c>
      <c r="C36">
        <v>0</v>
      </c>
      <c r="D36">
        <v>1</v>
      </c>
      <c r="E36">
        <v>1</v>
      </c>
      <c r="F36">
        <v>1</v>
      </c>
      <c r="G36">
        <v>0</v>
      </c>
      <c r="H36">
        <v>0</v>
      </c>
      <c r="I36">
        <v>0</v>
      </c>
      <c r="J36">
        <v>1</v>
      </c>
      <c r="K36">
        <v>1</v>
      </c>
      <c r="L36">
        <v>1</v>
      </c>
      <c r="M36">
        <v>0</v>
      </c>
      <c r="N36">
        <v>0</v>
      </c>
      <c r="O36">
        <v>0</v>
      </c>
      <c r="P36">
        <v>0</v>
      </c>
      <c r="Q36">
        <v>0</v>
      </c>
      <c r="R36">
        <v>0</v>
      </c>
      <c r="S36">
        <v>0.5</v>
      </c>
      <c r="T36">
        <v>0</v>
      </c>
      <c r="U36">
        <v>0</v>
      </c>
      <c r="V36">
        <v>0.5</v>
      </c>
      <c r="W36" s="4">
        <v>5</v>
      </c>
      <c r="X36" s="4">
        <v>0</v>
      </c>
      <c r="Y36">
        <v>0</v>
      </c>
      <c r="Z36">
        <v>0</v>
      </c>
      <c r="AA36" s="4">
        <v>0</v>
      </c>
      <c r="AB36" s="4">
        <v>5</v>
      </c>
      <c r="AC36" s="4">
        <v>0</v>
      </c>
      <c r="AD36" s="4">
        <v>0</v>
      </c>
      <c r="AE36" s="4">
        <v>0</v>
      </c>
      <c r="AF36" s="4">
        <v>5</v>
      </c>
      <c r="AG36" s="4">
        <v>5</v>
      </c>
      <c r="AH36" s="4">
        <v>5</v>
      </c>
      <c r="AI36" s="4">
        <v>0</v>
      </c>
      <c r="AJ36" s="4">
        <v>0</v>
      </c>
      <c r="AK36" s="4">
        <v>0</v>
      </c>
      <c r="AL36" s="4">
        <v>0</v>
      </c>
      <c r="AM36">
        <v>1</v>
      </c>
      <c r="AN36">
        <v>0</v>
      </c>
      <c r="AO36">
        <v>1</v>
      </c>
      <c r="AP36">
        <v>0</v>
      </c>
      <c r="AQ36">
        <v>0.5</v>
      </c>
      <c r="AR36">
        <v>0</v>
      </c>
      <c r="AS36">
        <v>0.5</v>
      </c>
      <c r="AT36">
        <v>0</v>
      </c>
      <c r="AU36">
        <v>0</v>
      </c>
      <c r="AV36">
        <v>0</v>
      </c>
      <c r="AW36">
        <v>0</v>
      </c>
      <c r="AX36">
        <v>0</v>
      </c>
      <c r="AY36">
        <v>0</v>
      </c>
    </row>
    <row r="37" spans="1:51">
      <c r="A37" t="s">
        <v>16902</v>
      </c>
      <c r="B37" t="s">
        <v>16903</v>
      </c>
      <c r="C37">
        <v>0</v>
      </c>
      <c r="D37">
        <v>0</v>
      </c>
      <c r="E37">
        <v>0</v>
      </c>
      <c r="F37">
        <v>0</v>
      </c>
      <c r="G37">
        <v>0</v>
      </c>
      <c r="H37">
        <v>0</v>
      </c>
      <c r="I37">
        <v>0</v>
      </c>
      <c r="J37">
        <v>0</v>
      </c>
      <c r="K37">
        <v>0</v>
      </c>
      <c r="L37">
        <v>0</v>
      </c>
      <c r="M37">
        <v>0</v>
      </c>
      <c r="N37">
        <v>0</v>
      </c>
      <c r="O37">
        <v>0</v>
      </c>
      <c r="P37">
        <v>0</v>
      </c>
      <c r="Q37">
        <v>0</v>
      </c>
      <c r="R37">
        <v>0</v>
      </c>
      <c r="S37">
        <v>0</v>
      </c>
      <c r="T37">
        <v>0</v>
      </c>
      <c r="U37">
        <v>0</v>
      </c>
      <c r="V37">
        <v>0</v>
      </c>
      <c r="W37" s="4">
        <v>0</v>
      </c>
      <c r="X37" s="4">
        <v>0</v>
      </c>
      <c r="Y37">
        <v>0</v>
      </c>
      <c r="Z37">
        <v>0</v>
      </c>
      <c r="AA37" s="4">
        <v>0</v>
      </c>
      <c r="AB37" s="4">
        <v>0</v>
      </c>
      <c r="AC37" s="4">
        <v>0</v>
      </c>
      <c r="AD37" s="4">
        <v>0</v>
      </c>
      <c r="AE37" s="4">
        <v>0</v>
      </c>
      <c r="AF37" s="4">
        <v>0</v>
      </c>
      <c r="AG37" s="4">
        <v>0</v>
      </c>
      <c r="AH37" s="4">
        <v>0</v>
      </c>
      <c r="AI37" s="4">
        <v>0</v>
      </c>
      <c r="AJ37" s="4">
        <v>0</v>
      </c>
      <c r="AK37" s="4">
        <v>0</v>
      </c>
      <c r="AL37" s="4">
        <v>0</v>
      </c>
      <c r="AM37">
        <v>0</v>
      </c>
      <c r="AN37">
        <v>0</v>
      </c>
      <c r="AO37">
        <v>0</v>
      </c>
      <c r="AP37">
        <v>0</v>
      </c>
      <c r="AQ37">
        <v>0</v>
      </c>
      <c r="AR37">
        <v>0</v>
      </c>
      <c r="AS37">
        <v>0</v>
      </c>
      <c r="AT37">
        <v>0</v>
      </c>
      <c r="AU37">
        <v>0</v>
      </c>
      <c r="AV37">
        <v>0</v>
      </c>
      <c r="AW37">
        <v>0</v>
      </c>
      <c r="AX37">
        <v>0</v>
      </c>
      <c r="AY37">
        <v>2</v>
      </c>
    </row>
    <row r="38" spans="1:51">
      <c r="A38" t="s">
        <v>16904</v>
      </c>
      <c r="B38" t="s">
        <v>16905</v>
      </c>
      <c r="C38">
        <v>1</v>
      </c>
      <c r="D38">
        <v>157</v>
      </c>
      <c r="E38">
        <v>155</v>
      </c>
      <c r="F38">
        <v>148</v>
      </c>
      <c r="G38">
        <v>69</v>
      </c>
      <c r="H38">
        <v>98</v>
      </c>
      <c r="I38">
        <v>90</v>
      </c>
      <c r="J38">
        <v>143</v>
      </c>
      <c r="K38">
        <v>667</v>
      </c>
      <c r="L38">
        <v>101</v>
      </c>
      <c r="M38">
        <v>0</v>
      </c>
      <c r="N38">
        <v>0</v>
      </c>
      <c r="O38">
        <v>47</v>
      </c>
      <c r="P38">
        <v>12</v>
      </c>
      <c r="Q38">
        <v>2</v>
      </c>
      <c r="R38">
        <v>0</v>
      </c>
      <c r="S38">
        <v>85.5</v>
      </c>
      <c r="T38">
        <v>0</v>
      </c>
      <c r="U38">
        <v>0</v>
      </c>
      <c r="V38">
        <v>85.5</v>
      </c>
      <c r="W38" s="4">
        <v>850</v>
      </c>
      <c r="X38" s="4">
        <v>0</v>
      </c>
      <c r="Y38">
        <v>87</v>
      </c>
      <c r="Z38">
        <v>0</v>
      </c>
      <c r="AA38" s="4">
        <v>-5</v>
      </c>
      <c r="AB38" s="4">
        <v>20</v>
      </c>
      <c r="AC38" s="4">
        <v>27.2</v>
      </c>
      <c r="AD38" s="4">
        <v>40</v>
      </c>
      <c r="AE38" s="4">
        <v>31</v>
      </c>
      <c r="AF38" s="4">
        <v>60</v>
      </c>
      <c r="AG38" s="4">
        <v>877.2</v>
      </c>
      <c r="AH38" s="4">
        <v>846.2</v>
      </c>
      <c r="AI38" s="4">
        <v>31</v>
      </c>
      <c r="AJ38" s="4">
        <v>31</v>
      </c>
      <c r="AK38" s="4">
        <v>523.20000000000005</v>
      </c>
      <c r="AL38" s="4">
        <v>492.2</v>
      </c>
      <c r="AM38">
        <v>667</v>
      </c>
      <c r="AN38">
        <v>513</v>
      </c>
      <c r="AO38">
        <v>153</v>
      </c>
      <c r="AP38">
        <v>1</v>
      </c>
      <c r="AQ38">
        <v>85.5</v>
      </c>
      <c r="AR38">
        <v>50.5</v>
      </c>
      <c r="AS38">
        <v>34.5</v>
      </c>
      <c r="AT38">
        <v>0.5</v>
      </c>
      <c r="AU38">
        <v>0</v>
      </c>
      <c r="AV38">
        <v>0</v>
      </c>
      <c r="AW38">
        <v>0</v>
      </c>
      <c r="AX38">
        <v>0</v>
      </c>
      <c r="AY38">
        <v>508</v>
      </c>
    </row>
    <row r="39" spans="1:51">
      <c r="A39" t="s">
        <v>16906</v>
      </c>
      <c r="B39" t="s">
        <v>16907</v>
      </c>
      <c r="C39">
        <v>0</v>
      </c>
      <c r="D39">
        <v>0</v>
      </c>
      <c r="E39">
        <v>0</v>
      </c>
      <c r="F39">
        <v>0</v>
      </c>
      <c r="G39">
        <v>0</v>
      </c>
      <c r="H39">
        <v>0</v>
      </c>
      <c r="I39">
        <v>0</v>
      </c>
      <c r="J39">
        <v>0</v>
      </c>
      <c r="K39">
        <v>0</v>
      </c>
      <c r="L39">
        <v>0</v>
      </c>
      <c r="M39">
        <v>0</v>
      </c>
      <c r="N39">
        <v>0</v>
      </c>
      <c r="O39">
        <v>0</v>
      </c>
      <c r="P39">
        <v>0</v>
      </c>
      <c r="Q39">
        <v>0</v>
      </c>
      <c r="R39">
        <v>0</v>
      </c>
      <c r="S39">
        <v>0</v>
      </c>
      <c r="T39">
        <v>0</v>
      </c>
      <c r="U39">
        <v>0</v>
      </c>
      <c r="V39">
        <v>0</v>
      </c>
      <c r="W39" s="4">
        <v>0</v>
      </c>
      <c r="X39" s="4">
        <v>0</v>
      </c>
      <c r="Y39">
        <v>0</v>
      </c>
      <c r="Z39">
        <v>0</v>
      </c>
      <c r="AA39" s="4">
        <v>0</v>
      </c>
      <c r="AB39" s="4">
        <v>0</v>
      </c>
      <c r="AC39" s="4">
        <v>0</v>
      </c>
      <c r="AD39" s="4">
        <v>0</v>
      </c>
      <c r="AE39" s="4">
        <v>0</v>
      </c>
      <c r="AF39" s="4">
        <v>0</v>
      </c>
      <c r="AG39" s="4">
        <v>0</v>
      </c>
      <c r="AH39" s="4">
        <v>0</v>
      </c>
      <c r="AI39" s="4">
        <v>0</v>
      </c>
      <c r="AJ39" s="4">
        <v>0</v>
      </c>
      <c r="AK39" s="4">
        <v>0</v>
      </c>
      <c r="AL39" s="4">
        <v>0</v>
      </c>
      <c r="AM39">
        <v>0</v>
      </c>
      <c r="AN39">
        <v>0</v>
      </c>
      <c r="AO39">
        <v>0</v>
      </c>
      <c r="AP39">
        <v>0</v>
      </c>
      <c r="AQ39">
        <v>0</v>
      </c>
      <c r="AR39">
        <v>0</v>
      </c>
      <c r="AS39">
        <v>0</v>
      </c>
      <c r="AT39">
        <v>0</v>
      </c>
      <c r="AU39">
        <v>0</v>
      </c>
      <c r="AV39">
        <v>0</v>
      </c>
      <c r="AW39">
        <v>0</v>
      </c>
      <c r="AX39">
        <v>0</v>
      </c>
      <c r="AY39">
        <v>0</v>
      </c>
    </row>
    <row r="40" spans="1:51">
      <c r="A40" t="s">
        <v>16908</v>
      </c>
      <c r="B40" t="s">
        <v>16909</v>
      </c>
      <c r="C40">
        <v>0</v>
      </c>
      <c r="D40">
        <v>15</v>
      </c>
      <c r="E40">
        <v>15</v>
      </c>
      <c r="F40">
        <v>12</v>
      </c>
      <c r="G40">
        <v>0</v>
      </c>
      <c r="H40">
        <v>0</v>
      </c>
      <c r="I40">
        <v>0</v>
      </c>
      <c r="J40">
        <v>15</v>
      </c>
      <c r="K40">
        <v>123</v>
      </c>
      <c r="L40">
        <v>13</v>
      </c>
      <c r="M40">
        <v>0</v>
      </c>
      <c r="N40">
        <v>0</v>
      </c>
      <c r="O40">
        <v>2</v>
      </c>
      <c r="P40">
        <v>0</v>
      </c>
      <c r="Q40">
        <v>0</v>
      </c>
      <c r="R40">
        <v>0</v>
      </c>
      <c r="S40">
        <v>0</v>
      </c>
      <c r="T40">
        <v>0</v>
      </c>
      <c r="U40">
        <v>0.25</v>
      </c>
      <c r="V40">
        <v>0.25</v>
      </c>
      <c r="W40" s="4">
        <v>0</v>
      </c>
      <c r="X40" s="4">
        <v>0</v>
      </c>
      <c r="Y40">
        <v>10</v>
      </c>
      <c r="Z40">
        <v>1</v>
      </c>
      <c r="AA40" s="4">
        <v>0</v>
      </c>
      <c r="AB40" s="4">
        <v>0</v>
      </c>
      <c r="AC40" s="4">
        <v>0</v>
      </c>
      <c r="AD40" s="4">
        <v>0</v>
      </c>
      <c r="AE40" s="4">
        <v>0</v>
      </c>
      <c r="AF40" s="4">
        <v>0</v>
      </c>
      <c r="AG40" s="4">
        <v>5</v>
      </c>
      <c r="AH40" s="4">
        <v>5</v>
      </c>
      <c r="AI40" s="4">
        <v>0</v>
      </c>
      <c r="AJ40" s="4">
        <v>0</v>
      </c>
      <c r="AK40" s="4">
        <v>0</v>
      </c>
      <c r="AL40" s="4">
        <v>0</v>
      </c>
      <c r="AM40">
        <v>123</v>
      </c>
      <c r="AN40">
        <v>0</v>
      </c>
      <c r="AO40">
        <v>123</v>
      </c>
      <c r="AP40">
        <v>0</v>
      </c>
      <c r="AQ40">
        <v>0</v>
      </c>
      <c r="AR40">
        <v>0</v>
      </c>
      <c r="AS40">
        <v>0</v>
      </c>
      <c r="AT40">
        <v>0</v>
      </c>
      <c r="AU40">
        <v>0</v>
      </c>
      <c r="AV40">
        <v>0</v>
      </c>
      <c r="AW40">
        <v>0</v>
      </c>
      <c r="AX40">
        <v>0</v>
      </c>
    </row>
    <row r="41" spans="1:51">
      <c r="A41" t="s">
        <v>16908</v>
      </c>
      <c r="B41" t="s">
        <v>16909</v>
      </c>
      <c r="C41">
        <v>0</v>
      </c>
      <c r="D41">
        <v>8</v>
      </c>
      <c r="E41">
        <v>8</v>
      </c>
      <c r="F41">
        <v>8</v>
      </c>
      <c r="G41">
        <v>0</v>
      </c>
      <c r="H41">
        <v>0</v>
      </c>
      <c r="I41">
        <v>0</v>
      </c>
      <c r="J41">
        <v>8</v>
      </c>
      <c r="K41">
        <v>27</v>
      </c>
      <c r="L41">
        <v>7</v>
      </c>
      <c r="M41">
        <v>0</v>
      </c>
      <c r="N41">
        <v>0</v>
      </c>
      <c r="O41">
        <v>1</v>
      </c>
      <c r="P41">
        <v>0</v>
      </c>
      <c r="Q41">
        <v>0</v>
      </c>
      <c r="R41">
        <v>0</v>
      </c>
      <c r="S41">
        <v>0</v>
      </c>
      <c r="T41">
        <v>0</v>
      </c>
      <c r="U41">
        <v>0</v>
      </c>
      <c r="V41">
        <v>0</v>
      </c>
      <c r="W41" s="4">
        <v>0</v>
      </c>
      <c r="X41" s="4">
        <v>0</v>
      </c>
      <c r="Y41">
        <v>8</v>
      </c>
      <c r="Z41">
        <v>0</v>
      </c>
      <c r="AA41" s="4">
        <v>0</v>
      </c>
      <c r="AB41" s="4">
        <v>0</v>
      </c>
      <c r="AC41" s="4">
        <v>0</v>
      </c>
      <c r="AD41" s="4">
        <v>0</v>
      </c>
      <c r="AE41" s="4">
        <v>0</v>
      </c>
      <c r="AF41" s="4">
        <v>0</v>
      </c>
      <c r="AG41" s="4">
        <v>0</v>
      </c>
      <c r="AH41" s="4">
        <v>0</v>
      </c>
      <c r="AI41" s="4">
        <v>0</v>
      </c>
      <c r="AJ41" s="4">
        <v>0</v>
      </c>
      <c r="AK41" s="4">
        <v>0</v>
      </c>
      <c r="AL41" s="4">
        <v>0</v>
      </c>
      <c r="AM41">
        <v>27</v>
      </c>
      <c r="AN41">
        <v>0</v>
      </c>
      <c r="AO41">
        <v>27</v>
      </c>
      <c r="AP41">
        <v>0</v>
      </c>
      <c r="AQ41">
        <v>0</v>
      </c>
      <c r="AR41">
        <v>0</v>
      </c>
      <c r="AS41">
        <v>0</v>
      </c>
      <c r="AT41">
        <v>0</v>
      </c>
      <c r="AU41">
        <v>0</v>
      </c>
      <c r="AV41">
        <v>0</v>
      </c>
      <c r="AW41">
        <v>0</v>
      </c>
      <c r="AX41">
        <v>0</v>
      </c>
      <c r="AY41">
        <v>0</v>
      </c>
    </row>
    <row r="42" spans="1:51">
      <c r="A42" t="s">
        <v>17221</v>
      </c>
      <c r="B42" t="s">
        <v>17221</v>
      </c>
      <c r="C42">
        <v>8</v>
      </c>
      <c r="D42">
        <v>111</v>
      </c>
      <c r="E42">
        <v>32</v>
      </c>
      <c r="F42">
        <v>104</v>
      </c>
      <c r="G42">
        <v>2</v>
      </c>
      <c r="H42">
        <v>3</v>
      </c>
      <c r="I42">
        <v>2</v>
      </c>
      <c r="J42">
        <v>109</v>
      </c>
      <c r="K42">
        <v>1196</v>
      </c>
      <c r="L42">
        <v>107</v>
      </c>
      <c r="M42">
        <v>0</v>
      </c>
      <c r="N42">
        <v>1</v>
      </c>
      <c r="O42">
        <v>1</v>
      </c>
      <c r="P42">
        <v>0</v>
      </c>
      <c r="Q42">
        <v>1</v>
      </c>
      <c r="R42">
        <v>0</v>
      </c>
      <c r="S42">
        <v>512.25</v>
      </c>
      <c r="T42">
        <v>0</v>
      </c>
      <c r="U42">
        <v>0</v>
      </c>
      <c r="V42">
        <v>512.25</v>
      </c>
      <c r="W42" s="4">
        <v>5077.5</v>
      </c>
      <c r="X42" s="4">
        <v>27.1</v>
      </c>
      <c r="Y42">
        <v>3</v>
      </c>
      <c r="Z42">
        <v>2</v>
      </c>
      <c r="AA42" s="4">
        <v>-45</v>
      </c>
      <c r="AB42" s="4">
        <v>4956.7</v>
      </c>
      <c r="AC42" s="4">
        <v>5934.2599999999993</v>
      </c>
      <c r="AD42" s="4">
        <v>5904.2599999999993</v>
      </c>
      <c r="AE42" s="4">
        <v>54061.46</v>
      </c>
      <c r="AF42" s="4">
        <v>7833.36</v>
      </c>
      <c r="AG42" s="4">
        <v>7861.26</v>
      </c>
      <c r="AH42" s="4">
        <v>554.9</v>
      </c>
      <c r="AI42" s="4">
        <v>32295.200000000001</v>
      </c>
      <c r="AJ42" s="4">
        <v>1285</v>
      </c>
      <c r="AK42" s="4">
        <v>1285</v>
      </c>
      <c r="AL42" s="4">
        <v>0</v>
      </c>
      <c r="AM42">
        <v>1196</v>
      </c>
      <c r="AN42">
        <v>579</v>
      </c>
      <c r="AO42">
        <v>592</v>
      </c>
      <c r="AP42">
        <v>25</v>
      </c>
      <c r="AQ42">
        <v>512.25</v>
      </c>
      <c r="AR42">
        <v>144.5</v>
      </c>
      <c r="AS42">
        <v>363.25</v>
      </c>
      <c r="AT42">
        <v>4.5</v>
      </c>
      <c r="AU42">
        <v>0</v>
      </c>
      <c r="AV42">
        <v>0</v>
      </c>
      <c r="AW42">
        <v>0</v>
      </c>
      <c r="AX42">
        <v>0</v>
      </c>
      <c r="AY42">
        <v>3750</v>
      </c>
    </row>
    <row r="43" spans="1:51">
      <c r="A43" t="s">
        <v>16910</v>
      </c>
      <c r="B43" t="s">
        <v>16911</v>
      </c>
      <c r="C43">
        <v>0</v>
      </c>
      <c r="D43">
        <v>1</v>
      </c>
      <c r="E43">
        <v>1</v>
      </c>
      <c r="F43">
        <v>1</v>
      </c>
      <c r="G43">
        <v>0</v>
      </c>
      <c r="H43">
        <v>0</v>
      </c>
      <c r="I43">
        <v>0</v>
      </c>
      <c r="J43">
        <v>1</v>
      </c>
      <c r="K43">
        <v>10</v>
      </c>
      <c r="L43">
        <v>1</v>
      </c>
      <c r="M43">
        <v>0</v>
      </c>
      <c r="N43">
        <v>0</v>
      </c>
      <c r="O43">
        <v>0</v>
      </c>
      <c r="P43">
        <v>0</v>
      </c>
      <c r="Q43">
        <v>0</v>
      </c>
      <c r="R43">
        <v>0</v>
      </c>
      <c r="S43">
        <v>0.25</v>
      </c>
      <c r="T43">
        <v>0</v>
      </c>
      <c r="U43">
        <v>0</v>
      </c>
      <c r="V43">
        <v>0.25</v>
      </c>
      <c r="W43" s="4">
        <v>2.5</v>
      </c>
      <c r="X43" s="4">
        <v>0</v>
      </c>
      <c r="Y43">
        <v>0</v>
      </c>
      <c r="Z43">
        <v>0</v>
      </c>
      <c r="AA43" s="4">
        <v>0</v>
      </c>
      <c r="AB43" s="4">
        <v>2.5</v>
      </c>
      <c r="AC43" s="4">
        <v>0</v>
      </c>
      <c r="AD43" s="4">
        <v>0</v>
      </c>
      <c r="AE43" s="4">
        <v>0</v>
      </c>
      <c r="AF43" s="4">
        <v>2.5</v>
      </c>
      <c r="AG43" s="4">
        <v>2.5</v>
      </c>
      <c r="AH43" s="4">
        <v>2.5</v>
      </c>
      <c r="AI43" s="4">
        <v>0</v>
      </c>
      <c r="AJ43" s="4">
        <v>0</v>
      </c>
      <c r="AK43" s="4">
        <v>0</v>
      </c>
      <c r="AL43" s="4">
        <v>0</v>
      </c>
      <c r="AM43">
        <v>10</v>
      </c>
      <c r="AN43">
        <v>0</v>
      </c>
      <c r="AO43">
        <v>10</v>
      </c>
      <c r="AP43">
        <v>0</v>
      </c>
      <c r="AQ43">
        <v>0.25</v>
      </c>
      <c r="AR43">
        <v>0</v>
      </c>
      <c r="AS43">
        <v>0.25</v>
      </c>
      <c r="AT43">
        <v>0</v>
      </c>
      <c r="AU43">
        <v>0</v>
      </c>
      <c r="AV43">
        <v>0</v>
      </c>
      <c r="AW43">
        <v>0</v>
      </c>
      <c r="AX43">
        <v>0</v>
      </c>
      <c r="AY43">
        <v>83</v>
      </c>
    </row>
    <row r="44" spans="1:51">
      <c r="A44" t="s">
        <v>16912</v>
      </c>
      <c r="B44" t="s">
        <v>16913</v>
      </c>
      <c r="C44">
        <v>0</v>
      </c>
      <c r="D44">
        <v>0</v>
      </c>
      <c r="E44">
        <v>0</v>
      </c>
      <c r="F44">
        <v>0</v>
      </c>
      <c r="G44">
        <v>0</v>
      </c>
      <c r="H44">
        <v>0</v>
      </c>
      <c r="I44">
        <v>0</v>
      </c>
      <c r="J44">
        <v>0</v>
      </c>
      <c r="K44">
        <v>0</v>
      </c>
      <c r="L44">
        <v>0</v>
      </c>
      <c r="M44">
        <v>0</v>
      </c>
      <c r="N44">
        <v>0</v>
      </c>
      <c r="O44">
        <v>0</v>
      </c>
      <c r="P44">
        <v>0</v>
      </c>
      <c r="Q44">
        <v>0</v>
      </c>
      <c r="R44">
        <v>0</v>
      </c>
      <c r="S44">
        <v>0</v>
      </c>
      <c r="T44">
        <v>0</v>
      </c>
      <c r="U44">
        <v>0</v>
      </c>
      <c r="V44">
        <v>0</v>
      </c>
      <c r="W44" s="4">
        <v>0</v>
      </c>
      <c r="X44" s="4">
        <v>0</v>
      </c>
      <c r="Y44">
        <v>0</v>
      </c>
      <c r="Z44">
        <v>0</v>
      </c>
      <c r="AA44" s="4">
        <v>0</v>
      </c>
      <c r="AB44" s="4">
        <v>0</v>
      </c>
      <c r="AC44" s="4">
        <v>0</v>
      </c>
      <c r="AD44" s="4">
        <v>0</v>
      </c>
      <c r="AE44" s="4">
        <v>0</v>
      </c>
      <c r="AF44" s="4">
        <v>0</v>
      </c>
      <c r="AG44" s="4">
        <v>0</v>
      </c>
      <c r="AH44" s="4">
        <v>0</v>
      </c>
      <c r="AI44" s="4">
        <v>0</v>
      </c>
      <c r="AJ44" s="4">
        <v>0</v>
      </c>
      <c r="AK44" s="4">
        <v>0</v>
      </c>
      <c r="AL44" s="4">
        <v>0</v>
      </c>
      <c r="AM44">
        <v>0</v>
      </c>
      <c r="AN44">
        <v>0</v>
      </c>
      <c r="AO44">
        <v>0</v>
      </c>
      <c r="AP44">
        <v>0</v>
      </c>
      <c r="AQ44">
        <v>0</v>
      </c>
      <c r="AR44">
        <v>0</v>
      </c>
      <c r="AS44">
        <v>0</v>
      </c>
      <c r="AT44">
        <v>0</v>
      </c>
      <c r="AU44">
        <v>0</v>
      </c>
      <c r="AV44">
        <v>0</v>
      </c>
      <c r="AW44">
        <v>0</v>
      </c>
      <c r="AX44">
        <v>0</v>
      </c>
      <c r="AY44">
        <v>483</v>
      </c>
    </row>
    <row r="45" spans="1:51">
      <c r="A45" t="s">
        <v>16914</v>
      </c>
      <c r="B45" t="s">
        <v>16915</v>
      </c>
      <c r="C45">
        <v>0</v>
      </c>
      <c r="D45">
        <v>5</v>
      </c>
      <c r="E45">
        <v>2</v>
      </c>
      <c r="F45">
        <v>5</v>
      </c>
      <c r="G45">
        <v>0</v>
      </c>
      <c r="H45">
        <v>1</v>
      </c>
      <c r="I45">
        <v>0</v>
      </c>
      <c r="J45">
        <v>5</v>
      </c>
      <c r="K45">
        <v>98</v>
      </c>
      <c r="L45">
        <v>3</v>
      </c>
      <c r="M45">
        <v>0</v>
      </c>
      <c r="N45">
        <v>2</v>
      </c>
      <c r="O45">
        <v>0</v>
      </c>
      <c r="P45">
        <v>0</v>
      </c>
      <c r="Q45">
        <v>0</v>
      </c>
      <c r="R45">
        <v>0</v>
      </c>
      <c r="S45">
        <v>2</v>
      </c>
      <c r="T45">
        <v>9.5</v>
      </c>
      <c r="U45">
        <v>0</v>
      </c>
      <c r="V45">
        <v>11.5</v>
      </c>
      <c r="W45" s="4">
        <v>210</v>
      </c>
      <c r="X45" s="4">
        <v>0</v>
      </c>
      <c r="Y45">
        <v>1</v>
      </c>
      <c r="Z45">
        <v>0</v>
      </c>
      <c r="AA45" s="4">
        <v>0</v>
      </c>
      <c r="AB45" s="4">
        <v>180</v>
      </c>
      <c r="AC45" s="4">
        <v>215.15</v>
      </c>
      <c r="AD45" s="4">
        <v>215.15</v>
      </c>
      <c r="AE45" s="4">
        <v>380</v>
      </c>
      <c r="AF45" s="4">
        <v>395.15</v>
      </c>
      <c r="AG45" s="4">
        <v>425.15</v>
      </c>
      <c r="AH45" s="4">
        <v>45.15</v>
      </c>
      <c r="AI45" s="4">
        <v>377.75</v>
      </c>
      <c r="AJ45" s="4">
        <v>377.75</v>
      </c>
      <c r="AK45" s="4">
        <v>407.75</v>
      </c>
      <c r="AL45" s="4">
        <v>30</v>
      </c>
      <c r="AM45">
        <v>98</v>
      </c>
      <c r="AN45">
        <v>21</v>
      </c>
      <c r="AO45">
        <v>77</v>
      </c>
      <c r="AP45">
        <v>0</v>
      </c>
      <c r="AQ45">
        <v>2</v>
      </c>
      <c r="AR45">
        <v>2</v>
      </c>
      <c r="AS45">
        <v>0</v>
      </c>
      <c r="AT45">
        <v>0</v>
      </c>
      <c r="AU45">
        <v>9.5</v>
      </c>
      <c r="AV45">
        <v>9.5</v>
      </c>
      <c r="AW45">
        <v>0</v>
      </c>
      <c r="AX45">
        <v>0</v>
      </c>
      <c r="AY45">
        <v>0</v>
      </c>
    </row>
    <row r="46" spans="1:51">
      <c r="A46" t="s">
        <v>16916</v>
      </c>
      <c r="B46" t="s">
        <v>16917</v>
      </c>
      <c r="C46">
        <v>0</v>
      </c>
      <c r="D46">
        <v>0</v>
      </c>
      <c r="E46">
        <v>0</v>
      </c>
      <c r="F46">
        <v>0</v>
      </c>
      <c r="G46">
        <v>0</v>
      </c>
      <c r="H46">
        <v>0</v>
      </c>
      <c r="I46">
        <v>0</v>
      </c>
      <c r="J46">
        <v>0</v>
      </c>
      <c r="K46">
        <v>0</v>
      </c>
      <c r="L46">
        <v>0</v>
      </c>
      <c r="M46">
        <v>0</v>
      </c>
      <c r="N46">
        <v>0</v>
      </c>
      <c r="O46">
        <v>0</v>
      </c>
      <c r="P46">
        <v>0</v>
      </c>
      <c r="Q46">
        <v>0</v>
      </c>
      <c r="R46">
        <v>0</v>
      </c>
      <c r="S46">
        <v>0</v>
      </c>
      <c r="T46">
        <v>0</v>
      </c>
      <c r="U46">
        <v>0</v>
      </c>
      <c r="V46">
        <v>0</v>
      </c>
      <c r="W46" s="4">
        <v>0</v>
      </c>
      <c r="X46" s="4">
        <v>0</v>
      </c>
      <c r="Y46">
        <v>0</v>
      </c>
      <c r="Z46">
        <v>0</v>
      </c>
      <c r="AA46" s="4">
        <v>0</v>
      </c>
      <c r="AB46" s="4">
        <v>0</v>
      </c>
      <c r="AC46" s="4">
        <v>0</v>
      </c>
      <c r="AD46" s="4">
        <v>0</v>
      </c>
      <c r="AE46" s="4">
        <v>0</v>
      </c>
      <c r="AF46" s="4">
        <v>0</v>
      </c>
      <c r="AG46" s="4">
        <v>0</v>
      </c>
      <c r="AH46" s="4">
        <v>0</v>
      </c>
      <c r="AI46" s="4">
        <v>0</v>
      </c>
      <c r="AJ46" s="4">
        <v>0</v>
      </c>
      <c r="AK46" s="4">
        <v>0</v>
      </c>
      <c r="AL46" s="4">
        <v>0</v>
      </c>
      <c r="AM46">
        <v>0</v>
      </c>
      <c r="AN46">
        <v>0</v>
      </c>
      <c r="AO46">
        <v>0</v>
      </c>
      <c r="AP46">
        <v>0</v>
      </c>
      <c r="AQ46">
        <v>0</v>
      </c>
      <c r="AR46">
        <v>0</v>
      </c>
      <c r="AS46">
        <v>0</v>
      </c>
      <c r="AT46">
        <v>0</v>
      </c>
      <c r="AU46">
        <v>0</v>
      </c>
      <c r="AV46">
        <v>0</v>
      </c>
      <c r="AW46">
        <v>0</v>
      </c>
      <c r="AX46">
        <v>0</v>
      </c>
      <c r="AY46">
        <v>0</v>
      </c>
    </row>
    <row r="47" spans="1:51">
      <c r="A47" t="s">
        <v>16918</v>
      </c>
      <c r="B47" t="s">
        <v>16919</v>
      </c>
      <c r="C47">
        <v>0</v>
      </c>
      <c r="D47">
        <v>0</v>
      </c>
      <c r="E47">
        <v>0</v>
      </c>
      <c r="F47">
        <v>0</v>
      </c>
      <c r="G47">
        <v>0</v>
      </c>
      <c r="H47">
        <v>0</v>
      </c>
      <c r="I47">
        <v>0</v>
      </c>
      <c r="J47">
        <v>0</v>
      </c>
      <c r="K47">
        <v>0</v>
      </c>
      <c r="L47">
        <v>0</v>
      </c>
      <c r="M47">
        <v>0</v>
      </c>
      <c r="N47">
        <v>0</v>
      </c>
      <c r="O47">
        <v>0</v>
      </c>
      <c r="P47">
        <v>0</v>
      </c>
      <c r="Q47">
        <v>0</v>
      </c>
      <c r="R47">
        <v>0</v>
      </c>
      <c r="S47">
        <v>0</v>
      </c>
      <c r="T47">
        <v>0</v>
      </c>
      <c r="U47">
        <v>0</v>
      </c>
      <c r="V47">
        <v>0</v>
      </c>
      <c r="W47" s="4">
        <v>0</v>
      </c>
      <c r="X47" s="4">
        <v>0</v>
      </c>
      <c r="Y47">
        <v>0</v>
      </c>
      <c r="Z47">
        <v>0</v>
      </c>
      <c r="AA47" s="4">
        <v>0</v>
      </c>
      <c r="AB47" s="4">
        <v>0</v>
      </c>
      <c r="AC47" s="4">
        <v>0</v>
      </c>
      <c r="AD47" s="4">
        <v>0</v>
      </c>
      <c r="AE47" s="4">
        <v>0</v>
      </c>
      <c r="AF47" s="4">
        <v>0</v>
      </c>
      <c r="AG47" s="4">
        <v>0</v>
      </c>
      <c r="AH47" s="4">
        <v>0</v>
      </c>
      <c r="AI47" s="4">
        <v>0</v>
      </c>
      <c r="AJ47" s="4">
        <v>0</v>
      </c>
      <c r="AK47" s="4">
        <v>0</v>
      </c>
      <c r="AL47" s="4">
        <v>0</v>
      </c>
      <c r="AM47">
        <v>0</v>
      </c>
      <c r="AN47">
        <v>0</v>
      </c>
      <c r="AO47">
        <v>0</v>
      </c>
      <c r="AP47">
        <v>0</v>
      </c>
      <c r="AQ47">
        <v>0</v>
      </c>
      <c r="AR47">
        <v>0</v>
      </c>
      <c r="AS47">
        <v>0</v>
      </c>
      <c r="AT47">
        <v>0</v>
      </c>
      <c r="AU47">
        <v>0</v>
      </c>
      <c r="AV47">
        <v>0</v>
      </c>
      <c r="AW47">
        <v>0</v>
      </c>
      <c r="AX47">
        <v>0</v>
      </c>
      <c r="AY47">
        <v>1</v>
      </c>
    </row>
    <row r="48" spans="1:51">
      <c r="A48" t="s">
        <v>16941</v>
      </c>
      <c r="B48" t="s">
        <v>16942</v>
      </c>
      <c r="C48">
        <v>0</v>
      </c>
      <c r="D48">
        <v>14</v>
      </c>
      <c r="E48">
        <v>0</v>
      </c>
      <c r="F48">
        <v>0</v>
      </c>
      <c r="G48">
        <v>0</v>
      </c>
      <c r="H48">
        <v>0</v>
      </c>
      <c r="I48">
        <v>0</v>
      </c>
      <c r="J48">
        <v>14</v>
      </c>
      <c r="K48">
        <v>104</v>
      </c>
      <c r="L48">
        <v>0</v>
      </c>
      <c r="M48">
        <v>0</v>
      </c>
      <c r="N48">
        <v>0</v>
      </c>
      <c r="O48">
        <v>0</v>
      </c>
      <c r="P48">
        <v>0</v>
      </c>
      <c r="Q48">
        <v>0</v>
      </c>
      <c r="R48">
        <v>0</v>
      </c>
      <c r="S48">
        <v>0</v>
      </c>
      <c r="T48">
        <v>0</v>
      </c>
      <c r="U48">
        <v>0</v>
      </c>
      <c r="V48">
        <v>0</v>
      </c>
      <c r="W48" s="4">
        <v>0</v>
      </c>
      <c r="X48" s="4">
        <v>0</v>
      </c>
      <c r="Y48">
        <v>0</v>
      </c>
      <c r="Z48">
        <v>0</v>
      </c>
      <c r="AA48" s="4">
        <v>0</v>
      </c>
      <c r="AB48" s="4">
        <v>0</v>
      </c>
      <c r="AC48" s="4">
        <v>0</v>
      </c>
      <c r="AD48" s="4">
        <v>0</v>
      </c>
      <c r="AE48" s="4">
        <v>0</v>
      </c>
      <c r="AF48" s="4">
        <v>0</v>
      </c>
      <c r="AG48" s="4">
        <v>0</v>
      </c>
      <c r="AH48" s="4">
        <v>0</v>
      </c>
      <c r="AI48" s="4">
        <v>0</v>
      </c>
      <c r="AJ48" s="4">
        <v>0</v>
      </c>
      <c r="AK48" s="4">
        <v>0</v>
      </c>
      <c r="AL48" s="4">
        <v>0</v>
      </c>
      <c r="AM48">
        <v>104</v>
      </c>
      <c r="AN48">
        <v>0</v>
      </c>
      <c r="AO48">
        <v>104</v>
      </c>
      <c r="AP48">
        <v>0</v>
      </c>
      <c r="AQ48">
        <v>0</v>
      </c>
      <c r="AR48">
        <v>0</v>
      </c>
      <c r="AS48">
        <v>0</v>
      </c>
      <c r="AT48">
        <v>0</v>
      </c>
      <c r="AU48">
        <v>0</v>
      </c>
      <c r="AV48">
        <v>0</v>
      </c>
      <c r="AW48">
        <v>0</v>
      </c>
      <c r="AX48">
        <v>0</v>
      </c>
      <c r="AY48">
        <v>0</v>
      </c>
    </row>
    <row r="49" spans="1:51">
      <c r="A49" t="s">
        <v>16920</v>
      </c>
      <c r="B49" t="s">
        <v>16921</v>
      </c>
      <c r="C49">
        <v>0</v>
      </c>
      <c r="D49">
        <v>0</v>
      </c>
      <c r="E49">
        <v>0</v>
      </c>
      <c r="F49">
        <v>0</v>
      </c>
      <c r="G49">
        <v>0</v>
      </c>
      <c r="H49">
        <v>0</v>
      </c>
      <c r="I49">
        <v>0</v>
      </c>
      <c r="J49">
        <v>0</v>
      </c>
      <c r="K49">
        <v>0</v>
      </c>
      <c r="L49">
        <v>0</v>
      </c>
      <c r="M49">
        <v>0</v>
      </c>
      <c r="N49">
        <v>0</v>
      </c>
      <c r="O49">
        <v>0</v>
      </c>
      <c r="P49">
        <v>0</v>
      </c>
      <c r="Q49">
        <v>0</v>
      </c>
      <c r="R49">
        <v>0</v>
      </c>
      <c r="S49">
        <v>0</v>
      </c>
      <c r="T49">
        <v>0</v>
      </c>
      <c r="U49">
        <v>0</v>
      </c>
      <c r="V49">
        <v>0</v>
      </c>
      <c r="W49" s="4">
        <v>0</v>
      </c>
      <c r="X49" s="4">
        <v>0</v>
      </c>
      <c r="Y49">
        <v>0</v>
      </c>
      <c r="Z49">
        <v>0</v>
      </c>
      <c r="AA49" s="4">
        <v>0</v>
      </c>
      <c r="AB49" s="4">
        <v>0</v>
      </c>
      <c r="AC49" s="4">
        <v>0</v>
      </c>
      <c r="AD49" s="4">
        <v>0</v>
      </c>
      <c r="AE49" s="4">
        <v>0</v>
      </c>
      <c r="AF49" s="4">
        <v>0</v>
      </c>
      <c r="AG49" s="4">
        <v>0</v>
      </c>
      <c r="AH49" s="4">
        <v>0</v>
      </c>
      <c r="AI49" s="4">
        <v>0</v>
      </c>
      <c r="AJ49" s="4">
        <v>0</v>
      </c>
      <c r="AK49" s="4">
        <v>0</v>
      </c>
      <c r="AL49" s="4">
        <v>0</v>
      </c>
      <c r="AM49">
        <v>0</v>
      </c>
      <c r="AN49">
        <v>0</v>
      </c>
      <c r="AO49">
        <v>0</v>
      </c>
      <c r="AP49">
        <v>0</v>
      </c>
      <c r="AQ49">
        <v>0</v>
      </c>
      <c r="AR49">
        <v>0</v>
      </c>
      <c r="AS49">
        <v>0</v>
      </c>
      <c r="AT49">
        <v>0</v>
      </c>
      <c r="AU49">
        <v>0</v>
      </c>
      <c r="AV49">
        <v>0</v>
      </c>
      <c r="AW49">
        <v>0</v>
      </c>
      <c r="AX49">
        <v>0</v>
      </c>
      <c r="AY49">
        <v>0</v>
      </c>
    </row>
    <row r="50" spans="1:51">
      <c r="A50" t="s">
        <v>16922</v>
      </c>
      <c r="B50" t="s">
        <v>16923</v>
      </c>
      <c r="C50">
        <v>1</v>
      </c>
      <c r="D50">
        <v>29</v>
      </c>
      <c r="E50">
        <v>28</v>
      </c>
      <c r="F50">
        <v>29</v>
      </c>
      <c r="G50">
        <v>0</v>
      </c>
      <c r="H50">
        <v>0</v>
      </c>
      <c r="I50">
        <v>0</v>
      </c>
      <c r="J50">
        <v>28</v>
      </c>
      <c r="K50">
        <v>0</v>
      </c>
      <c r="L50">
        <v>28</v>
      </c>
      <c r="M50">
        <v>0</v>
      </c>
      <c r="N50">
        <v>0</v>
      </c>
      <c r="O50">
        <v>0</v>
      </c>
      <c r="P50">
        <v>0</v>
      </c>
      <c r="Q50">
        <v>0</v>
      </c>
      <c r="R50">
        <v>0</v>
      </c>
      <c r="S50">
        <v>4.5</v>
      </c>
      <c r="T50">
        <v>0</v>
      </c>
      <c r="U50">
        <v>0</v>
      </c>
      <c r="V50">
        <v>4.5</v>
      </c>
      <c r="W50" s="4">
        <v>43.5</v>
      </c>
      <c r="X50" s="4">
        <v>0</v>
      </c>
      <c r="Y50">
        <v>0</v>
      </c>
      <c r="Z50">
        <v>0</v>
      </c>
      <c r="AA50" s="4">
        <v>0</v>
      </c>
      <c r="AB50" s="4">
        <v>43.5</v>
      </c>
      <c r="AC50" s="4">
        <v>0</v>
      </c>
      <c r="AD50" s="4">
        <v>0</v>
      </c>
      <c r="AE50" s="4">
        <v>0</v>
      </c>
      <c r="AF50" s="4">
        <v>43.5</v>
      </c>
      <c r="AG50" s="4">
        <v>43.5</v>
      </c>
      <c r="AH50" s="4">
        <v>43.5</v>
      </c>
      <c r="AI50" s="4">
        <v>0</v>
      </c>
      <c r="AJ50" s="4">
        <v>0</v>
      </c>
      <c r="AK50" s="4">
        <v>0</v>
      </c>
      <c r="AL50" s="4">
        <v>0</v>
      </c>
      <c r="AM50">
        <v>0</v>
      </c>
      <c r="AN50">
        <v>0</v>
      </c>
      <c r="AO50">
        <v>0</v>
      </c>
      <c r="AP50">
        <v>0</v>
      </c>
      <c r="AQ50">
        <v>0</v>
      </c>
      <c r="AR50">
        <v>0</v>
      </c>
      <c r="AS50">
        <v>0</v>
      </c>
      <c r="AT50">
        <v>0.15</v>
      </c>
      <c r="AU50">
        <v>0</v>
      </c>
      <c r="AV50">
        <v>0</v>
      </c>
      <c r="AW50">
        <v>0</v>
      </c>
      <c r="AX50">
        <v>0</v>
      </c>
    </row>
    <row r="51" spans="1:51">
      <c r="A51" t="s">
        <v>16922</v>
      </c>
      <c r="B51" t="s">
        <v>16923</v>
      </c>
      <c r="C51">
        <v>0</v>
      </c>
      <c r="D51">
        <v>11</v>
      </c>
      <c r="E51">
        <v>11</v>
      </c>
      <c r="F51">
        <v>11</v>
      </c>
      <c r="G51">
        <v>0</v>
      </c>
      <c r="H51">
        <v>0</v>
      </c>
      <c r="I51">
        <v>0</v>
      </c>
      <c r="J51">
        <v>11</v>
      </c>
      <c r="K51">
        <v>36</v>
      </c>
      <c r="L51">
        <v>10</v>
      </c>
      <c r="M51">
        <v>0</v>
      </c>
      <c r="N51">
        <v>0</v>
      </c>
      <c r="O51">
        <v>0</v>
      </c>
      <c r="P51">
        <v>0</v>
      </c>
      <c r="Q51">
        <v>0</v>
      </c>
      <c r="R51">
        <v>0</v>
      </c>
      <c r="T51">
        <v>0</v>
      </c>
      <c r="U51">
        <v>0</v>
      </c>
      <c r="V51">
        <v>1.2</v>
      </c>
      <c r="W51" s="4">
        <v>12</v>
      </c>
      <c r="X51" s="4">
        <v>0</v>
      </c>
      <c r="Y51">
        <v>0</v>
      </c>
      <c r="Z51">
        <v>0</v>
      </c>
      <c r="AA51" s="4">
        <v>0</v>
      </c>
      <c r="AB51" s="4">
        <v>12</v>
      </c>
      <c r="AC51" s="4">
        <v>0</v>
      </c>
      <c r="AD51" s="4">
        <v>0</v>
      </c>
      <c r="AE51" s="4">
        <v>0</v>
      </c>
      <c r="AF51" s="4">
        <v>12</v>
      </c>
      <c r="AG51" s="4">
        <v>12</v>
      </c>
      <c r="AH51" s="4">
        <v>12</v>
      </c>
      <c r="AI51" s="4">
        <v>0</v>
      </c>
      <c r="AJ51" s="4">
        <v>0</v>
      </c>
      <c r="AK51" s="4">
        <v>0</v>
      </c>
      <c r="AL51" s="4">
        <v>0</v>
      </c>
      <c r="AM51">
        <v>36</v>
      </c>
      <c r="AN51">
        <v>0</v>
      </c>
      <c r="AO51">
        <v>36</v>
      </c>
      <c r="AP51">
        <v>0</v>
      </c>
      <c r="AQ51">
        <v>0</v>
      </c>
      <c r="AR51">
        <v>0</v>
      </c>
      <c r="AS51">
        <v>0</v>
      </c>
      <c r="AT51">
        <v>0</v>
      </c>
      <c r="AU51">
        <v>0</v>
      </c>
      <c r="AV51">
        <v>0</v>
      </c>
      <c r="AW51">
        <v>0</v>
      </c>
      <c r="AX51">
        <v>0</v>
      </c>
      <c r="AY51">
        <v>60</v>
      </c>
    </row>
    <row r="52" spans="1:51">
      <c r="A52" t="s">
        <v>16924</v>
      </c>
      <c r="B52" t="s">
        <v>16925</v>
      </c>
      <c r="C52">
        <v>0</v>
      </c>
      <c r="D52">
        <v>0</v>
      </c>
      <c r="E52">
        <v>0</v>
      </c>
      <c r="F52">
        <v>0</v>
      </c>
      <c r="G52">
        <v>0</v>
      </c>
      <c r="H52">
        <v>0</v>
      </c>
      <c r="I52">
        <v>0</v>
      </c>
      <c r="J52">
        <v>0</v>
      </c>
      <c r="K52">
        <v>0</v>
      </c>
      <c r="L52">
        <v>0</v>
      </c>
      <c r="M52">
        <v>0</v>
      </c>
      <c r="N52">
        <v>0</v>
      </c>
      <c r="O52">
        <v>0</v>
      </c>
      <c r="P52">
        <v>0</v>
      </c>
      <c r="Q52">
        <v>0</v>
      </c>
      <c r="R52">
        <v>0</v>
      </c>
      <c r="S52">
        <v>0</v>
      </c>
      <c r="T52">
        <v>0</v>
      </c>
      <c r="U52">
        <v>0</v>
      </c>
      <c r="V52">
        <v>0</v>
      </c>
      <c r="W52" s="4">
        <v>0</v>
      </c>
      <c r="X52" s="4">
        <v>0</v>
      </c>
      <c r="Y52">
        <v>0</v>
      </c>
      <c r="Z52">
        <v>0</v>
      </c>
      <c r="AA52" s="4">
        <v>0</v>
      </c>
      <c r="AB52" s="4">
        <v>0</v>
      </c>
      <c r="AC52" s="4">
        <v>0</v>
      </c>
      <c r="AD52" s="4">
        <v>0</v>
      </c>
      <c r="AE52" s="4">
        <v>0</v>
      </c>
      <c r="AF52" s="4">
        <v>0</v>
      </c>
      <c r="AG52" s="4">
        <v>0</v>
      </c>
      <c r="AH52" s="4">
        <v>0</v>
      </c>
      <c r="AI52" s="4">
        <v>0</v>
      </c>
      <c r="AJ52" s="4">
        <v>0</v>
      </c>
      <c r="AK52" s="4">
        <v>0</v>
      </c>
      <c r="AL52" s="4">
        <v>0</v>
      </c>
      <c r="AM52">
        <v>0</v>
      </c>
      <c r="AN52">
        <v>0</v>
      </c>
      <c r="AO52">
        <v>0</v>
      </c>
      <c r="AP52">
        <v>0</v>
      </c>
      <c r="AQ52">
        <v>0</v>
      </c>
      <c r="AR52">
        <v>0</v>
      </c>
      <c r="AS52">
        <v>0</v>
      </c>
      <c r="AT52">
        <v>0</v>
      </c>
      <c r="AU52">
        <v>0</v>
      </c>
      <c r="AV52">
        <v>0</v>
      </c>
      <c r="AW52">
        <v>0</v>
      </c>
      <c r="AX52">
        <v>0</v>
      </c>
      <c r="AY52">
        <v>658</v>
      </c>
    </row>
    <row r="53" spans="1:51">
      <c r="A53" t="s">
        <v>16926</v>
      </c>
      <c r="B53" t="s">
        <v>16927</v>
      </c>
      <c r="C53">
        <v>0</v>
      </c>
      <c r="D53">
        <v>0</v>
      </c>
      <c r="E53">
        <v>0</v>
      </c>
      <c r="F53">
        <v>0</v>
      </c>
      <c r="G53">
        <v>0</v>
      </c>
      <c r="H53">
        <v>0</v>
      </c>
      <c r="I53">
        <v>0</v>
      </c>
      <c r="J53">
        <v>0</v>
      </c>
      <c r="K53">
        <v>0</v>
      </c>
      <c r="L53">
        <v>0</v>
      </c>
      <c r="M53">
        <v>0</v>
      </c>
      <c r="N53">
        <v>0</v>
      </c>
      <c r="O53">
        <v>0</v>
      </c>
      <c r="P53">
        <v>0</v>
      </c>
      <c r="Q53">
        <v>0</v>
      </c>
      <c r="R53">
        <v>0</v>
      </c>
      <c r="S53">
        <v>0</v>
      </c>
      <c r="T53">
        <v>0</v>
      </c>
      <c r="U53">
        <v>0</v>
      </c>
      <c r="V53">
        <v>0</v>
      </c>
      <c r="W53" s="4">
        <v>0</v>
      </c>
      <c r="X53" s="4">
        <v>0</v>
      </c>
      <c r="Y53">
        <v>0</v>
      </c>
      <c r="Z53">
        <v>0</v>
      </c>
      <c r="AA53" s="4">
        <v>0</v>
      </c>
      <c r="AB53" s="4">
        <v>0</v>
      </c>
      <c r="AC53" s="4">
        <v>0</v>
      </c>
      <c r="AD53" s="4">
        <v>0</v>
      </c>
      <c r="AE53" s="4">
        <v>0</v>
      </c>
      <c r="AF53" s="4">
        <v>0</v>
      </c>
      <c r="AG53" s="4">
        <v>0</v>
      </c>
      <c r="AH53" s="4">
        <v>0</v>
      </c>
      <c r="AI53" s="4">
        <v>0</v>
      </c>
      <c r="AJ53" s="4">
        <v>0</v>
      </c>
      <c r="AK53" s="4">
        <v>0</v>
      </c>
      <c r="AL53" s="4">
        <v>0</v>
      </c>
      <c r="AM53">
        <v>0</v>
      </c>
      <c r="AN53">
        <v>0</v>
      </c>
      <c r="AO53">
        <v>0</v>
      </c>
      <c r="AP53">
        <v>0</v>
      </c>
      <c r="AQ53">
        <v>0</v>
      </c>
      <c r="AR53">
        <v>0</v>
      </c>
      <c r="AS53">
        <v>0</v>
      </c>
      <c r="AT53">
        <v>0</v>
      </c>
      <c r="AU53">
        <v>0</v>
      </c>
      <c r="AV53">
        <v>0</v>
      </c>
      <c r="AW53">
        <v>0</v>
      </c>
      <c r="AX53">
        <v>0</v>
      </c>
      <c r="AY53">
        <v>8363</v>
      </c>
    </row>
    <row r="54" spans="1:51">
      <c r="A54" t="s">
        <v>16928</v>
      </c>
      <c r="B54" t="s">
        <v>16929</v>
      </c>
      <c r="C54">
        <v>0</v>
      </c>
      <c r="D54">
        <v>0</v>
      </c>
      <c r="E54">
        <v>0</v>
      </c>
      <c r="F54">
        <v>0</v>
      </c>
      <c r="G54">
        <v>0</v>
      </c>
      <c r="H54">
        <v>0</v>
      </c>
      <c r="I54">
        <v>0</v>
      </c>
      <c r="J54">
        <v>0</v>
      </c>
      <c r="K54">
        <v>0</v>
      </c>
      <c r="L54">
        <v>0</v>
      </c>
      <c r="M54">
        <v>0</v>
      </c>
      <c r="N54">
        <v>0</v>
      </c>
      <c r="O54">
        <v>0</v>
      </c>
      <c r="P54">
        <v>0</v>
      </c>
      <c r="Q54">
        <v>0</v>
      </c>
      <c r="R54">
        <v>0</v>
      </c>
      <c r="S54">
        <v>0</v>
      </c>
      <c r="T54">
        <v>0</v>
      </c>
      <c r="U54">
        <v>0</v>
      </c>
      <c r="V54">
        <v>0</v>
      </c>
      <c r="W54" s="4">
        <v>0</v>
      </c>
      <c r="X54" s="4">
        <v>0</v>
      </c>
      <c r="Y54">
        <v>0</v>
      </c>
      <c r="Z54">
        <v>0</v>
      </c>
      <c r="AA54" s="4">
        <v>0</v>
      </c>
      <c r="AB54" s="4">
        <v>0</v>
      </c>
      <c r="AC54" s="4">
        <v>0</v>
      </c>
      <c r="AD54" s="4">
        <v>0</v>
      </c>
      <c r="AE54" s="4">
        <v>0</v>
      </c>
      <c r="AF54" s="4">
        <v>0</v>
      </c>
      <c r="AG54" s="4">
        <v>0</v>
      </c>
      <c r="AH54" s="4">
        <v>0</v>
      </c>
      <c r="AI54" s="4">
        <v>0</v>
      </c>
      <c r="AJ54" s="4">
        <v>0</v>
      </c>
      <c r="AK54" s="4">
        <v>0</v>
      </c>
      <c r="AL54" s="4">
        <v>0</v>
      </c>
      <c r="AM54">
        <v>0</v>
      </c>
      <c r="AN54">
        <v>0</v>
      </c>
      <c r="AO54">
        <v>0</v>
      </c>
      <c r="AP54">
        <v>0</v>
      </c>
      <c r="AQ54">
        <v>0</v>
      </c>
      <c r="AR54">
        <v>0</v>
      </c>
      <c r="AS54">
        <v>0</v>
      </c>
      <c r="AT54">
        <v>0</v>
      </c>
      <c r="AU54">
        <v>0</v>
      </c>
      <c r="AV54">
        <v>0</v>
      </c>
      <c r="AW54">
        <v>0</v>
      </c>
      <c r="AX54">
        <v>0</v>
      </c>
      <c r="AY54">
        <v>4943</v>
      </c>
    </row>
    <row r="55" spans="1:51">
      <c r="A55" t="s">
        <v>16930</v>
      </c>
      <c r="B55" t="s">
        <v>16931</v>
      </c>
      <c r="C55">
        <v>0</v>
      </c>
      <c r="D55">
        <v>0</v>
      </c>
      <c r="E55">
        <v>0</v>
      </c>
      <c r="F55">
        <v>0</v>
      </c>
      <c r="G55">
        <v>0</v>
      </c>
      <c r="H55">
        <v>0</v>
      </c>
      <c r="I55">
        <v>0</v>
      </c>
      <c r="J55">
        <v>0</v>
      </c>
      <c r="K55">
        <v>0</v>
      </c>
      <c r="L55">
        <v>0</v>
      </c>
      <c r="M55">
        <v>0</v>
      </c>
      <c r="N55">
        <v>0</v>
      </c>
      <c r="O55">
        <v>0</v>
      </c>
      <c r="P55">
        <v>0</v>
      </c>
      <c r="Q55">
        <v>0</v>
      </c>
      <c r="R55">
        <v>0</v>
      </c>
      <c r="S55">
        <v>0</v>
      </c>
      <c r="T55">
        <v>0</v>
      </c>
      <c r="U55">
        <v>0</v>
      </c>
      <c r="V55">
        <v>0</v>
      </c>
      <c r="W55" s="4">
        <v>0</v>
      </c>
      <c r="X55" s="4">
        <v>0</v>
      </c>
      <c r="Y55">
        <v>0</v>
      </c>
      <c r="Z55">
        <v>0</v>
      </c>
      <c r="AA55" s="4">
        <v>0</v>
      </c>
      <c r="AB55" s="4">
        <v>0</v>
      </c>
      <c r="AC55" s="4">
        <v>0</v>
      </c>
      <c r="AD55" s="4">
        <v>0</v>
      </c>
      <c r="AE55" s="4">
        <v>0</v>
      </c>
      <c r="AF55" s="4">
        <v>0</v>
      </c>
      <c r="AG55" s="4">
        <v>0</v>
      </c>
      <c r="AH55" s="4">
        <v>0</v>
      </c>
      <c r="AI55" s="4">
        <v>0</v>
      </c>
      <c r="AJ55" s="4">
        <v>0</v>
      </c>
      <c r="AK55" s="4">
        <v>0</v>
      </c>
      <c r="AL55" s="4">
        <v>0</v>
      </c>
      <c r="AM55">
        <v>0</v>
      </c>
      <c r="AN55">
        <v>0</v>
      </c>
      <c r="AO55">
        <v>0</v>
      </c>
      <c r="AP55">
        <v>0</v>
      </c>
      <c r="AQ55">
        <v>0</v>
      </c>
      <c r="AR55">
        <v>0</v>
      </c>
      <c r="AS55">
        <v>0</v>
      </c>
      <c r="AT55">
        <v>0</v>
      </c>
      <c r="AU55">
        <v>0</v>
      </c>
      <c r="AV55">
        <v>0</v>
      </c>
      <c r="AW55">
        <v>0</v>
      </c>
      <c r="AX55">
        <v>0</v>
      </c>
      <c r="AY55">
        <v>0</v>
      </c>
    </row>
    <row r="56" spans="1:51">
      <c r="A56" t="s">
        <v>17222</v>
      </c>
      <c r="B56" t="s">
        <v>17223</v>
      </c>
      <c r="C56">
        <v>31</v>
      </c>
      <c r="D56">
        <v>31</v>
      </c>
      <c r="E56">
        <v>31</v>
      </c>
      <c r="F56">
        <v>2</v>
      </c>
      <c r="G56">
        <v>3</v>
      </c>
      <c r="H56">
        <v>3</v>
      </c>
      <c r="I56">
        <v>2</v>
      </c>
      <c r="J56">
        <v>29</v>
      </c>
      <c r="K56">
        <v>462</v>
      </c>
      <c r="L56">
        <v>2</v>
      </c>
      <c r="M56">
        <v>2</v>
      </c>
      <c r="N56">
        <v>1</v>
      </c>
      <c r="O56">
        <v>1</v>
      </c>
      <c r="P56">
        <v>2</v>
      </c>
      <c r="Q56">
        <v>0</v>
      </c>
      <c r="R56">
        <v>0</v>
      </c>
      <c r="S56">
        <v>30</v>
      </c>
      <c r="T56">
        <v>8</v>
      </c>
      <c r="U56">
        <v>0</v>
      </c>
      <c r="V56">
        <v>38</v>
      </c>
      <c r="W56" s="4">
        <v>0</v>
      </c>
      <c r="X56" s="4">
        <v>0</v>
      </c>
      <c r="Y56">
        <v>21</v>
      </c>
      <c r="Z56">
        <v>0</v>
      </c>
      <c r="AA56" s="4">
        <v>-340</v>
      </c>
      <c r="AB56" s="4">
        <v>0</v>
      </c>
      <c r="AC56" s="4">
        <v>0</v>
      </c>
      <c r="AD56" s="4">
        <v>1947.57</v>
      </c>
      <c r="AE56" s="4">
        <v>1908.2</v>
      </c>
      <c r="AF56" s="4">
        <v>1947.57</v>
      </c>
      <c r="AG56" s="4">
        <v>0</v>
      </c>
      <c r="AH56" s="4">
        <v>0</v>
      </c>
      <c r="AI56" s="4">
        <v>7.7</v>
      </c>
      <c r="AJ56" s="4">
        <v>1.6</v>
      </c>
      <c r="AK56" s="4">
        <v>0</v>
      </c>
      <c r="AL56" s="4">
        <v>10</v>
      </c>
      <c r="AM56">
        <v>462</v>
      </c>
      <c r="AN56">
        <v>64</v>
      </c>
      <c r="AO56">
        <v>0</v>
      </c>
      <c r="AP56">
        <v>462</v>
      </c>
      <c r="AQ56">
        <v>30.25</v>
      </c>
      <c r="AR56">
        <v>2</v>
      </c>
      <c r="AS56">
        <v>0</v>
      </c>
      <c r="AT56">
        <v>30.25</v>
      </c>
      <c r="AU56">
        <v>8</v>
      </c>
      <c r="AV56">
        <v>1</v>
      </c>
      <c r="AW56">
        <v>0</v>
      </c>
      <c r="AX56">
        <v>8</v>
      </c>
    </row>
    <row r="57" spans="1:51">
      <c r="A57" t="s">
        <v>17222</v>
      </c>
      <c r="B57" t="s">
        <v>17223</v>
      </c>
      <c r="C57">
        <v>9</v>
      </c>
      <c r="D57">
        <v>20</v>
      </c>
      <c r="E57">
        <v>13</v>
      </c>
      <c r="F57">
        <v>8</v>
      </c>
      <c r="G57">
        <v>0</v>
      </c>
      <c r="H57">
        <v>4</v>
      </c>
      <c r="I57">
        <v>0</v>
      </c>
      <c r="J57">
        <v>15</v>
      </c>
      <c r="K57">
        <v>167</v>
      </c>
      <c r="L57">
        <v>15</v>
      </c>
      <c r="M57">
        <v>1</v>
      </c>
      <c r="N57">
        <v>2</v>
      </c>
      <c r="O57">
        <v>1</v>
      </c>
      <c r="P57">
        <v>1</v>
      </c>
      <c r="Q57">
        <v>0</v>
      </c>
      <c r="R57">
        <v>0</v>
      </c>
      <c r="S57">
        <v>8.6999999999999993</v>
      </c>
      <c r="T57">
        <v>4.07</v>
      </c>
      <c r="U57">
        <v>0</v>
      </c>
      <c r="V57">
        <v>12.22</v>
      </c>
      <c r="W57" s="4">
        <v>17</v>
      </c>
      <c r="X57" s="4">
        <v>-17</v>
      </c>
      <c r="Y57">
        <v>11</v>
      </c>
      <c r="Z57">
        <v>0</v>
      </c>
      <c r="AA57" s="4">
        <v>-151.4</v>
      </c>
      <c r="AB57" s="4">
        <v>0</v>
      </c>
      <c r="AC57" s="4">
        <v>97.3</v>
      </c>
      <c r="AD57" s="4">
        <v>87.2</v>
      </c>
      <c r="AE57" s="4">
        <v>14.1</v>
      </c>
      <c r="AF57" s="4">
        <v>87.2</v>
      </c>
      <c r="AG57" s="4">
        <v>97.3</v>
      </c>
      <c r="AH57" s="4">
        <v>83.2</v>
      </c>
      <c r="AI57" s="4">
        <v>0</v>
      </c>
      <c r="AJ57" s="4">
        <v>7.5</v>
      </c>
      <c r="AK57" s="4">
        <v>5</v>
      </c>
      <c r="AL57" s="4">
        <v>5</v>
      </c>
      <c r="AM57">
        <v>167</v>
      </c>
      <c r="AN57">
        <v>82</v>
      </c>
      <c r="AO57">
        <v>3</v>
      </c>
      <c r="AP57">
        <v>164</v>
      </c>
      <c r="AQ57">
        <v>8.6999999999999993</v>
      </c>
      <c r="AR57">
        <v>5</v>
      </c>
      <c r="AS57">
        <v>0.7</v>
      </c>
      <c r="AT57">
        <v>8</v>
      </c>
      <c r="AU57">
        <v>4.07</v>
      </c>
      <c r="AV57">
        <v>1.25</v>
      </c>
      <c r="AW57">
        <v>0.5</v>
      </c>
      <c r="AX57">
        <v>3.57</v>
      </c>
      <c r="AY57">
        <v>16</v>
      </c>
    </row>
    <row r="58" spans="1:51">
      <c r="A58" t="s">
        <v>16943</v>
      </c>
      <c r="B58" t="s">
        <v>16944</v>
      </c>
      <c r="C58">
        <v>0</v>
      </c>
      <c r="D58">
        <v>0</v>
      </c>
      <c r="E58">
        <v>0</v>
      </c>
      <c r="F58">
        <v>1</v>
      </c>
      <c r="G58">
        <v>0</v>
      </c>
      <c r="H58">
        <v>0</v>
      </c>
      <c r="I58">
        <v>0</v>
      </c>
      <c r="J58">
        <v>1</v>
      </c>
      <c r="K58">
        <v>2</v>
      </c>
      <c r="L58">
        <v>1</v>
      </c>
      <c r="M58">
        <v>0</v>
      </c>
      <c r="N58">
        <v>0</v>
      </c>
      <c r="O58">
        <v>0</v>
      </c>
      <c r="P58">
        <v>0</v>
      </c>
      <c r="Q58">
        <v>0</v>
      </c>
      <c r="R58">
        <v>0</v>
      </c>
      <c r="S58">
        <v>0.75</v>
      </c>
      <c r="T58">
        <v>0</v>
      </c>
      <c r="U58">
        <v>0</v>
      </c>
      <c r="V58">
        <v>0.75</v>
      </c>
      <c r="W58" s="4">
        <v>7.5</v>
      </c>
      <c r="X58" s="4">
        <v>0</v>
      </c>
      <c r="Y58">
        <v>0</v>
      </c>
      <c r="Z58">
        <v>0</v>
      </c>
      <c r="AA58" s="4">
        <v>0</v>
      </c>
      <c r="AB58" s="4">
        <v>7.5</v>
      </c>
      <c r="AC58" s="4">
        <v>0</v>
      </c>
      <c r="AD58" s="4">
        <v>0</v>
      </c>
      <c r="AE58" s="4">
        <v>0</v>
      </c>
      <c r="AF58" s="4">
        <v>7.5</v>
      </c>
      <c r="AG58" s="4">
        <v>7.5</v>
      </c>
      <c r="AH58" s="4">
        <v>7.5</v>
      </c>
      <c r="AI58" s="4">
        <v>0</v>
      </c>
      <c r="AJ58" s="4">
        <v>0</v>
      </c>
      <c r="AK58" s="4">
        <v>0</v>
      </c>
      <c r="AL58" s="4">
        <v>0</v>
      </c>
      <c r="AM58">
        <v>2</v>
      </c>
      <c r="AN58">
        <v>0</v>
      </c>
      <c r="AO58">
        <v>2</v>
      </c>
      <c r="AP58">
        <v>0</v>
      </c>
      <c r="AQ58">
        <v>0.75</v>
      </c>
      <c r="AR58">
        <v>0</v>
      </c>
      <c r="AS58">
        <v>0.75</v>
      </c>
      <c r="AT58">
        <v>0</v>
      </c>
      <c r="AU58">
        <v>0</v>
      </c>
      <c r="AV58">
        <v>0</v>
      </c>
      <c r="AW58">
        <v>0</v>
      </c>
      <c r="AX58">
        <v>0</v>
      </c>
      <c r="AY58">
        <v>0</v>
      </c>
    </row>
    <row r="59" spans="1:51">
      <c r="A59" t="s">
        <v>17224</v>
      </c>
      <c r="B59" t="s">
        <v>17225</v>
      </c>
      <c r="C59">
        <v>0</v>
      </c>
      <c r="D59">
        <v>7</v>
      </c>
      <c r="E59">
        <v>7</v>
      </c>
      <c r="F59">
        <v>7</v>
      </c>
      <c r="G59">
        <v>1</v>
      </c>
      <c r="H59">
        <v>2</v>
      </c>
      <c r="I59">
        <v>1</v>
      </c>
      <c r="J59">
        <v>7</v>
      </c>
      <c r="K59">
        <v>62</v>
      </c>
      <c r="L59">
        <v>7</v>
      </c>
      <c r="M59">
        <v>0</v>
      </c>
      <c r="N59">
        <v>0</v>
      </c>
      <c r="O59">
        <v>0</v>
      </c>
      <c r="P59">
        <v>0</v>
      </c>
      <c r="Q59">
        <v>0</v>
      </c>
      <c r="R59">
        <v>0</v>
      </c>
      <c r="S59">
        <v>18.25</v>
      </c>
      <c r="T59">
        <v>26.5</v>
      </c>
      <c r="U59">
        <v>4</v>
      </c>
      <c r="V59">
        <v>48.75</v>
      </c>
      <c r="W59" s="4">
        <v>712.5</v>
      </c>
      <c r="X59" s="4">
        <v>0</v>
      </c>
      <c r="Y59">
        <v>4</v>
      </c>
      <c r="Z59">
        <v>1</v>
      </c>
      <c r="AA59" s="4">
        <v>0</v>
      </c>
      <c r="AB59" s="4">
        <v>582.5</v>
      </c>
      <c r="AC59" s="4">
        <v>194.35</v>
      </c>
      <c r="AD59" s="4">
        <v>178.9</v>
      </c>
      <c r="AE59" s="4">
        <v>306.84999999999997</v>
      </c>
      <c r="AF59" s="4">
        <v>761.4</v>
      </c>
      <c r="AG59" s="4">
        <v>986.85</v>
      </c>
      <c r="AH59" s="4">
        <v>680</v>
      </c>
      <c r="AI59" s="4">
        <v>291.39999999999998</v>
      </c>
      <c r="AJ59" s="4">
        <v>761.4</v>
      </c>
      <c r="AK59" s="4">
        <v>931.4</v>
      </c>
      <c r="AL59" s="4">
        <v>640</v>
      </c>
      <c r="AM59">
        <v>62</v>
      </c>
      <c r="AN59">
        <v>31</v>
      </c>
      <c r="AO59">
        <v>31</v>
      </c>
      <c r="AP59">
        <v>0</v>
      </c>
      <c r="AQ59">
        <v>18.25</v>
      </c>
      <c r="AR59">
        <v>15.75</v>
      </c>
      <c r="AS59">
        <v>2.5</v>
      </c>
      <c r="AT59">
        <v>0</v>
      </c>
      <c r="AU59">
        <v>26.5</v>
      </c>
      <c r="AV59">
        <v>25.75</v>
      </c>
      <c r="AW59">
        <v>0.75</v>
      </c>
      <c r="AX59">
        <v>0</v>
      </c>
      <c r="AY59">
        <v>150</v>
      </c>
    </row>
    <row r="60" spans="1:51">
      <c r="A60" t="s">
        <v>17450</v>
      </c>
      <c r="B60" t="s">
        <v>17199</v>
      </c>
      <c r="C60">
        <v>70</v>
      </c>
      <c r="D60">
        <v>120</v>
      </c>
      <c r="E60">
        <v>120</v>
      </c>
      <c r="F60">
        <v>108</v>
      </c>
      <c r="G60">
        <v>0</v>
      </c>
      <c r="H60">
        <v>0</v>
      </c>
      <c r="I60">
        <v>0</v>
      </c>
      <c r="J60">
        <v>120</v>
      </c>
      <c r="K60">
        <v>751</v>
      </c>
      <c r="L60">
        <v>4</v>
      </c>
      <c r="M60">
        <v>0</v>
      </c>
      <c r="N60">
        <v>96</v>
      </c>
      <c r="O60">
        <v>20</v>
      </c>
      <c r="P60">
        <v>0</v>
      </c>
      <c r="Q60">
        <v>0</v>
      </c>
      <c r="R60">
        <v>0</v>
      </c>
      <c r="S60">
        <v>8.25</v>
      </c>
      <c r="T60">
        <v>7.75</v>
      </c>
      <c r="U60">
        <v>0</v>
      </c>
      <c r="V60">
        <v>16</v>
      </c>
      <c r="W60" s="4">
        <v>60</v>
      </c>
      <c r="X60" s="4">
        <v>0</v>
      </c>
      <c r="Y60">
        <v>11</v>
      </c>
      <c r="Z60">
        <v>0</v>
      </c>
      <c r="AA60" s="4">
        <v>-177.5</v>
      </c>
      <c r="AB60" s="4">
        <v>37.5</v>
      </c>
      <c r="AC60" s="4">
        <v>144</v>
      </c>
      <c r="AD60" s="4">
        <v>119</v>
      </c>
      <c r="AE60" s="4">
        <v>122.5</v>
      </c>
      <c r="AF60" s="4">
        <v>156.5</v>
      </c>
      <c r="AG60" s="4">
        <v>204</v>
      </c>
      <c r="AH60" s="4">
        <v>90.5</v>
      </c>
      <c r="AI60" s="4">
        <v>0</v>
      </c>
      <c r="AJ60" s="4">
        <v>0</v>
      </c>
      <c r="AK60" s="4">
        <v>0</v>
      </c>
      <c r="AL60" s="4">
        <v>0</v>
      </c>
      <c r="AM60">
        <v>751</v>
      </c>
      <c r="AN60">
        <v>0</v>
      </c>
      <c r="AO60">
        <v>0</v>
      </c>
      <c r="AP60">
        <v>441</v>
      </c>
      <c r="AQ60">
        <v>8.25</v>
      </c>
      <c r="AR60">
        <v>0</v>
      </c>
      <c r="AS60">
        <v>0</v>
      </c>
      <c r="AT60">
        <v>6.25</v>
      </c>
      <c r="AU60">
        <v>7.75</v>
      </c>
      <c r="AV60">
        <v>0</v>
      </c>
      <c r="AW60">
        <v>0</v>
      </c>
      <c r="AX60">
        <v>5.75</v>
      </c>
      <c r="AY60">
        <v>2590</v>
      </c>
    </row>
    <row r="61" spans="1:51">
      <c r="A61" t="s">
        <v>16945</v>
      </c>
      <c r="B61" t="s">
        <v>16946</v>
      </c>
      <c r="C61">
        <v>0</v>
      </c>
      <c r="D61">
        <v>0</v>
      </c>
      <c r="E61">
        <v>0</v>
      </c>
      <c r="F61">
        <v>0</v>
      </c>
      <c r="G61">
        <v>0</v>
      </c>
      <c r="H61">
        <v>0</v>
      </c>
      <c r="I61">
        <v>0</v>
      </c>
      <c r="J61">
        <v>0</v>
      </c>
      <c r="K61">
        <v>0</v>
      </c>
      <c r="L61">
        <v>0</v>
      </c>
      <c r="M61">
        <v>0</v>
      </c>
      <c r="N61">
        <v>0</v>
      </c>
      <c r="O61">
        <v>0</v>
      </c>
      <c r="P61">
        <v>0</v>
      </c>
      <c r="Q61">
        <v>0</v>
      </c>
      <c r="R61">
        <v>0</v>
      </c>
      <c r="S61">
        <v>0</v>
      </c>
      <c r="T61">
        <v>0</v>
      </c>
      <c r="U61">
        <v>0</v>
      </c>
      <c r="V61">
        <v>0</v>
      </c>
      <c r="W61" s="4">
        <v>0</v>
      </c>
      <c r="X61" s="4">
        <v>0</v>
      </c>
      <c r="Y61">
        <v>0</v>
      </c>
      <c r="Z61">
        <v>0</v>
      </c>
      <c r="AA61" s="4">
        <v>0</v>
      </c>
      <c r="AB61" s="4">
        <v>0</v>
      </c>
      <c r="AC61" s="4">
        <v>0</v>
      </c>
      <c r="AD61" s="4">
        <v>0</v>
      </c>
      <c r="AE61" s="4">
        <v>0</v>
      </c>
      <c r="AF61" s="4">
        <v>0</v>
      </c>
      <c r="AG61" s="4">
        <v>0</v>
      </c>
      <c r="AH61" s="4">
        <v>0</v>
      </c>
      <c r="AI61" s="4">
        <v>0</v>
      </c>
      <c r="AJ61" s="4">
        <v>0</v>
      </c>
      <c r="AK61" s="4">
        <v>0</v>
      </c>
      <c r="AL61" s="4">
        <v>0</v>
      </c>
      <c r="AM61">
        <v>0</v>
      </c>
      <c r="AN61">
        <v>0</v>
      </c>
      <c r="AO61">
        <v>0</v>
      </c>
      <c r="AP61">
        <v>0</v>
      </c>
      <c r="AQ61">
        <v>0</v>
      </c>
      <c r="AR61">
        <v>0</v>
      </c>
      <c r="AS61">
        <v>0</v>
      </c>
      <c r="AT61">
        <v>0</v>
      </c>
      <c r="AU61">
        <v>0</v>
      </c>
      <c r="AV61">
        <v>0</v>
      </c>
      <c r="AW61">
        <v>0</v>
      </c>
      <c r="AX61">
        <v>0</v>
      </c>
    </row>
    <row r="62" spans="1:51">
      <c r="A62" t="s">
        <v>16947</v>
      </c>
      <c r="B62" t="s">
        <v>16948</v>
      </c>
      <c r="C62">
        <v>0</v>
      </c>
      <c r="D62">
        <v>4</v>
      </c>
      <c r="E62">
        <v>4</v>
      </c>
      <c r="F62">
        <v>4</v>
      </c>
      <c r="G62">
        <v>0</v>
      </c>
      <c r="H62">
        <v>0</v>
      </c>
      <c r="I62">
        <v>0</v>
      </c>
      <c r="J62">
        <v>4</v>
      </c>
      <c r="K62">
        <v>13</v>
      </c>
      <c r="L62">
        <v>4</v>
      </c>
      <c r="M62">
        <v>0</v>
      </c>
      <c r="N62">
        <v>0</v>
      </c>
      <c r="O62">
        <v>0</v>
      </c>
      <c r="P62">
        <v>0</v>
      </c>
      <c r="Q62">
        <v>0</v>
      </c>
      <c r="R62">
        <v>0</v>
      </c>
      <c r="S62">
        <v>1</v>
      </c>
      <c r="T62">
        <v>1</v>
      </c>
      <c r="U62">
        <v>0</v>
      </c>
      <c r="V62">
        <v>2</v>
      </c>
      <c r="W62" s="4">
        <v>30</v>
      </c>
      <c r="X62" s="4">
        <v>0</v>
      </c>
      <c r="Y62">
        <v>4</v>
      </c>
      <c r="Z62">
        <v>0</v>
      </c>
      <c r="AA62" s="4">
        <v>0</v>
      </c>
      <c r="AB62" s="4">
        <v>0</v>
      </c>
      <c r="AC62" s="4">
        <v>0</v>
      </c>
      <c r="AD62" s="4">
        <v>0</v>
      </c>
      <c r="AE62" s="4">
        <v>0</v>
      </c>
      <c r="AF62" s="4">
        <v>0</v>
      </c>
      <c r="AG62" s="4">
        <v>30</v>
      </c>
      <c r="AH62" s="4">
        <v>30</v>
      </c>
      <c r="AI62" s="4">
        <v>0</v>
      </c>
      <c r="AJ62" s="4">
        <v>0</v>
      </c>
      <c r="AK62" s="4">
        <v>0</v>
      </c>
      <c r="AL62" s="4">
        <v>0</v>
      </c>
      <c r="AM62">
        <v>13</v>
      </c>
      <c r="AN62">
        <v>0</v>
      </c>
      <c r="AO62">
        <v>13</v>
      </c>
      <c r="AP62">
        <v>0</v>
      </c>
      <c r="AQ62">
        <v>1</v>
      </c>
      <c r="AR62">
        <v>0</v>
      </c>
      <c r="AS62">
        <v>1</v>
      </c>
      <c r="AT62">
        <v>0</v>
      </c>
      <c r="AU62">
        <v>1</v>
      </c>
      <c r="AV62">
        <v>0</v>
      </c>
      <c r="AW62">
        <v>1</v>
      </c>
      <c r="AX62">
        <v>0</v>
      </c>
    </row>
    <row r="63" spans="1:51">
      <c r="A63" t="s">
        <v>16949</v>
      </c>
      <c r="B63" t="s">
        <v>16950</v>
      </c>
      <c r="C63">
        <v>0</v>
      </c>
      <c r="D63">
        <v>0</v>
      </c>
      <c r="E63">
        <v>0</v>
      </c>
      <c r="F63">
        <v>0</v>
      </c>
      <c r="G63">
        <v>0</v>
      </c>
      <c r="H63">
        <v>0</v>
      </c>
      <c r="I63">
        <v>0</v>
      </c>
      <c r="J63">
        <v>0</v>
      </c>
      <c r="K63">
        <v>0</v>
      </c>
      <c r="L63">
        <v>0</v>
      </c>
      <c r="M63">
        <v>0</v>
      </c>
      <c r="N63">
        <v>0</v>
      </c>
      <c r="O63">
        <v>0</v>
      </c>
      <c r="P63">
        <v>0</v>
      </c>
      <c r="Q63">
        <v>0</v>
      </c>
      <c r="R63">
        <v>0</v>
      </c>
      <c r="S63">
        <v>0</v>
      </c>
      <c r="T63">
        <v>0</v>
      </c>
      <c r="U63">
        <v>0</v>
      </c>
      <c r="V63">
        <v>0</v>
      </c>
      <c r="W63" s="4">
        <v>0</v>
      </c>
      <c r="X63" s="4">
        <v>0</v>
      </c>
      <c r="Y63">
        <v>0</v>
      </c>
      <c r="Z63">
        <v>0</v>
      </c>
      <c r="AA63" s="4">
        <v>0</v>
      </c>
      <c r="AB63" s="4">
        <v>0</v>
      </c>
      <c r="AC63" s="4">
        <v>0</v>
      </c>
      <c r="AD63" s="4">
        <v>0</v>
      </c>
      <c r="AE63" s="4">
        <v>0</v>
      </c>
      <c r="AF63" s="4">
        <v>0</v>
      </c>
      <c r="AG63" s="4">
        <v>0</v>
      </c>
      <c r="AH63" s="4">
        <v>0</v>
      </c>
      <c r="AI63" s="4">
        <v>0</v>
      </c>
      <c r="AJ63" s="4">
        <v>0</v>
      </c>
      <c r="AK63" s="4">
        <v>0</v>
      </c>
      <c r="AL63" s="4">
        <v>0</v>
      </c>
      <c r="AM63">
        <v>0</v>
      </c>
      <c r="AN63">
        <v>0</v>
      </c>
      <c r="AO63">
        <v>0</v>
      </c>
      <c r="AP63">
        <v>0</v>
      </c>
      <c r="AQ63">
        <v>0</v>
      </c>
      <c r="AR63">
        <v>0</v>
      </c>
      <c r="AS63">
        <v>0</v>
      </c>
      <c r="AT63">
        <v>0</v>
      </c>
      <c r="AU63">
        <v>0</v>
      </c>
      <c r="AV63">
        <v>0</v>
      </c>
      <c r="AW63">
        <v>0</v>
      </c>
      <c r="AX63">
        <v>0</v>
      </c>
    </row>
    <row r="64" spans="1:51">
      <c r="A64" t="s">
        <v>16951</v>
      </c>
      <c r="B64" t="s">
        <v>16951</v>
      </c>
      <c r="C64">
        <v>0</v>
      </c>
      <c r="D64">
        <v>4</v>
      </c>
      <c r="E64">
        <v>4</v>
      </c>
      <c r="F64">
        <v>4</v>
      </c>
      <c r="G64">
        <v>0</v>
      </c>
      <c r="H64">
        <v>0</v>
      </c>
      <c r="I64">
        <v>0</v>
      </c>
      <c r="J64">
        <v>4</v>
      </c>
      <c r="K64">
        <v>31</v>
      </c>
      <c r="L64">
        <v>3</v>
      </c>
      <c r="M64">
        <v>0</v>
      </c>
      <c r="N64">
        <v>1</v>
      </c>
      <c r="O64">
        <v>0</v>
      </c>
      <c r="P64">
        <v>0</v>
      </c>
      <c r="Q64">
        <v>0</v>
      </c>
      <c r="R64">
        <v>0</v>
      </c>
      <c r="S64">
        <v>0</v>
      </c>
      <c r="T64">
        <v>0</v>
      </c>
      <c r="U64">
        <v>0</v>
      </c>
      <c r="V64">
        <v>0</v>
      </c>
      <c r="W64" s="4">
        <v>0</v>
      </c>
      <c r="X64" s="4">
        <v>0</v>
      </c>
      <c r="Y64">
        <v>1</v>
      </c>
      <c r="Z64">
        <v>0</v>
      </c>
      <c r="AA64" s="4">
        <v>0</v>
      </c>
      <c r="AB64" s="4">
        <v>0</v>
      </c>
      <c r="AC64" s="4">
        <v>19.5</v>
      </c>
      <c r="AD64" s="4">
        <v>19.5</v>
      </c>
      <c r="AE64" s="4">
        <v>24.5</v>
      </c>
      <c r="AF64" s="4">
        <v>19.5</v>
      </c>
      <c r="AG64" s="4">
        <v>19.5</v>
      </c>
      <c r="AH64" s="4">
        <v>0</v>
      </c>
      <c r="AI64" s="4">
        <v>0</v>
      </c>
      <c r="AJ64" s="4">
        <v>0</v>
      </c>
      <c r="AK64" s="4">
        <v>0</v>
      </c>
      <c r="AL64" s="4">
        <v>0</v>
      </c>
      <c r="AM64">
        <v>31</v>
      </c>
      <c r="AN64">
        <v>0</v>
      </c>
      <c r="AO64">
        <v>31</v>
      </c>
      <c r="AP64">
        <v>0</v>
      </c>
      <c r="AQ64">
        <v>0</v>
      </c>
      <c r="AR64">
        <v>0</v>
      </c>
      <c r="AS64">
        <v>0</v>
      </c>
      <c r="AT64">
        <v>0</v>
      </c>
      <c r="AU64">
        <v>0</v>
      </c>
      <c r="AV64">
        <v>0</v>
      </c>
      <c r="AW64">
        <v>0</v>
      </c>
      <c r="AX64">
        <v>0</v>
      </c>
    </row>
    <row r="65" spans="1:50">
      <c r="A65" t="s">
        <v>16952</v>
      </c>
      <c r="B65" t="s">
        <v>16953</v>
      </c>
      <c r="C65">
        <v>0</v>
      </c>
      <c r="D65">
        <v>0</v>
      </c>
      <c r="E65">
        <v>0</v>
      </c>
      <c r="F65">
        <v>0</v>
      </c>
      <c r="G65">
        <v>0</v>
      </c>
      <c r="H65">
        <v>0</v>
      </c>
      <c r="I65">
        <v>0</v>
      </c>
      <c r="J65">
        <v>0</v>
      </c>
      <c r="K65">
        <v>0</v>
      </c>
      <c r="L65">
        <v>0</v>
      </c>
      <c r="M65">
        <v>0</v>
      </c>
      <c r="N65">
        <v>0</v>
      </c>
      <c r="O65">
        <v>0</v>
      </c>
      <c r="P65">
        <v>0</v>
      </c>
      <c r="Q65">
        <v>0</v>
      </c>
      <c r="R65">
        <v>0</v>
      </c>
      <c r="S65">
        <v>0</v>
      </c>
      <c r="T65">
        <v>0</v>
      </c>
      <c r="U65">
        <v>0</v>
      </c>
      <c r="V65">
        <v>0</v>
      </c>
      <c r="W65" s="4">
        <v>0</v>
      </c>
      <c r="X65" s="4">
        <v>0</v>
      </c>
      <c r="Y65">
        <v>0</v>
      </c>
      <c r="Z65">
        <v>0</v>
      </c>
      <c r="AA65" s="4">
        <v>0</v>
      </c>
      <c r="AB65" s="4">
        <v>0</v>
      </c>
      <c r="AC65" s="4">
        <v>0</v>
      </c>
      <c r="AD65" s="4">
        <v>0</v>
      </c>
      <c r="AE65" s="4">
        <v>0</v>
      </c>
      <c r="AF65" s="4">
        <v>0</v>
      </c>
      <c r="AG65" s="4">
        <v>0</v>
      </c>
      <c r="AH65" s="4">
        <v>0</v>
      </c>
      <c r="AI65" s="4">
        <v>0</v>
      </c>
      <c r="AJ65" s="4">
        <v>0</v>
      </c>
      <c r="AK65" s="4">
        <v>0</v>
      </c>
      <c r="AL65" s="4">
        <v>0</v>
      </c>
      <c r="AM65">
        <v>0</v>
      </c>
      <c r="AN65">
        <v>0</v>
      </c>
      <c r="AO65">
        <v>0</v>
      </c>
      <c r="AP65">
        <v>0</v>
      </c>
      <c r="AQ65">
        <v>0</v>
      </c>
      <c r="AR65">
        <v>0</v>
      </c>
      <c r="AS65">
        <v>0</v>
      </c>
      <c r="AT65">
        <v>0</v>
      </c>
      <c r="AU65">
        <v>0</v>
      </c>
      <c r="AV65">
        <v>0</v>
      </c>
      <c r="AW65">
        <v>0</v>
      </c>
      <c r="AX65">
        <v>0</v>
      </c>
    </row>
    <row r="66" spans="1:50">
      <c r="A66" t="s">
        <v>16954</v>
      </c>
      <c r="B66" t="s">
        <v>16955</v>
      </c>
      <c r="C66">
        <v>0</v>
      </c>
      <c r="D66">
        <v>17</v>
      </c>
      <c r="E66">
        <v>17</v>
      </c>
      <c r="F66">
        <v>16</v>
      </c>
      <c r="G66">
        <v>0</v>
      </c>
      <c r="H66">
        <v>1</v>
      </c>
      <c r="I66">
        <v>0</v>
      </c>
      <c r="J66">
        <v>15</v>
      </c>
      <c r="K66">
        <v>55</v>
      </c>
      <c r="L66">
        <v>11</v>
      </c>
      <c r="M66">
        <v>0</v>
      </c>
      <c r="N66">
        <v>1</v>
      </c>
      <c r="O66">
        <v>3</v>
      </c>
      <c r="P66">
        <v>0</v>
      </c>
      <c r="Q66">
        <v>3</v>
      </c>
      <c r="R66">
        <v>0</v>
      </c>
      <c r="S66">
        <v>16</v>
      </c>
      <c r="T66">
        <v>102</v>
      </c>
      <c r="U66">
        <v>0</v>
      </c>
      <c r="V66">
        <v>118</v>
      </c>
      <c r="W66" s="4">
        <v>2200</v>
      </c>
      <c r="X66" s="4">
        <v>0</v>
      </c>
      <c r="Y66">
        <v>8</v>
      </c>
      <c r="Z66">
        <v>0</v>
      </c>
      <c r="AA66" s="4">
        <v>0</v>
      </c>
      <c r="AB66" s="4">
        <v>2080</v>
      </c>
      <c r="AC66" s="4">
        <v>11.5</v>
      </c>
      <c r="AD66" s="4">
        <v>11.5</v>
      </c>
      <c r="AE66" s="4">
        <v>101.5</v>
      </c>
      <c r="AF66" s="4">
        <v>2091.5</v>
      </c>
      <c r="AG66" s="4">
        <v>2211.5</v>
      </c>
      <c r="AH66" s="4">
        <v>2110</v>
      </c>
      <c r="AI66" s="4">
        <v>90</v>
      </c>
      <c r="AJ66" s="4">
        <v>90</v>
      </c>
      <c r="AK66" s="4">
        <v>120</v>
      </c>
      <c r="AL66" s="4">
        <v>30</v>
      </c>
      <c r="AM66">
        <v>55</v>
      </c>
      <c r="AN66">
        <v>23</v>
      </c>
      <c r="AO66">
        <v>32</v>
      </c>
      <c r="AP66">
        <v>0</v>
      </c>
      <c r="AQ66">
        <v>16</v>
      </c>
      <c r="AR66">
        <v>0</v>
      </c>
      <c r="AS66">
        <v>16</v>
      </c>
      <c r="AT66">
        <v>0</v>
      </c>
      <c r="AU66">
        <v>102</v>
      </c>
      <c r="AV66">
        <v>6</v>
      </c>
      <c r="AW66">
        <v>96</v>
      </c>
      <c r="AX66">
        <v>0</v>
      </c>
    </row>
    <row r="67" spans="1:50">
      <c r="A67" t="s">
        <v>16956</v>
      </c>
      <c r="B67" t="s">
        <v>16957</v>
      </c>
      <c r="C67">
        <v>0</v>
      </c>
      <c r="D67">
        <v>0</v>
      </c>
      <c r="E67">
        <v>0</v>
      </c>
      <c r="F67">
        <v>0</v>
      </c>
      <c r="G67">
        <v>0</v>
      </c>
      <c r="H67">
        <v>0</v>
      </c>
      <c r="I67">
        <v>0</v>
      </c>
      <c r="J67">
        <v>0</v>
      </c>
      <c r="K67">
        <v>0</v>
      </c>
      <c r="L67">
        <v>0</v>
      </c>
      <c r="M67">
        <v>0</v>
      </c>
      <c r="N67">
        <v>0</v>
      </c>
      <c r="O67">
        <v>0</v>
      </c>
      <c r="P67">
        <v>0</v>
      </c>
      <c r="Q67">
        <v>0</v>
      </c>
      <c r="R67">
        <v>0</v>
      </c>
      <c r="S67">
        <v>0</v>
      </c>
      <c r="T67">
        <v>0</v>
      </c>
      <c r="U67">
        <v>0</v>
      </c>
      <c r="V67">
        <v>0</v>
      </c>
      <c r="W67" s="4">
        <v>0</v>
      </c>
      <c r="X67" s="4">
        <v>0</v>
      </c>
      <c r="Y67">
        <v>0</v>
      </c>
      <c r="Z67">
        <v>0</v>
      </c>
      <c r="AA67" s="4">
        <v>0</v>
      </c>
      <c r="AB67" s="4">
        <v>0</v>
      </c>
      <c r="AC67" s="4">
        <v>0</v>
      </c>
      <c r="AD67" s="4">
        <v>0</v>
      </c>
      <c r="AE67" s="4">
        <v>0</v>
      </c>
      <c r="AF67" s="4">
        <v>0</v>
      </c>
      <c r="AG67" s="4">
        <v>0</v>
      </c>
      <c r="AH67" s="4">
        <v>0</v>
      </c>
      <c r="AI67" s="4">
        <v>0</v>
      </c>
      <c r="AJ67" s="4">
        <v>0</v>
      </c>
      <c r="AK67" s="4">
        <v>0</v>
      </c>
      <c r="AL67" s="4">
        <v>0</v>
      </c>
      <c r="AM67">
        <v>0</v>
      </c>
      <c r="AN67">
        <v>0</v>
      </c>
      <c r="AO67">
        <v>0</v>
      </c>
      <c r="AP67">
        <v>0</v>
      </c>
      <c r="AQ67">
        <v>0</v>
      </c>
      <c r="AR67">
        <v>0</v>
      </c>
      <c r="AS67">
        <v>0</v>
      </c>
      <c r="AT67">
        <v>0</v>
      </c>
      <c r="AU67">
        <v>0</v>
      </c>
      <c r="AV67">
        <v>0</v>
      </c>
      <c r="AW67">
        <v>0</v>
      </c>
      <c r="AX67">
        <v>0</v>
      </c>
    </row>
    <row r="68" spans="1:50">
      <c r="A68" t="s">
        <v>16958</v>
      </c>
      <c r="B68" t="s">
        <v>16959</v>
      </c>
      <c r="C68">
        <v>0</v>
      </c>
      <c r="D68">
        <v>3</v>
      </c>
      <c r="E68">
        <v>3</v>
      </c>
      <c r="F68">
        <v>3</v>
      </c>
      <c r="G68">
        <v>0</v>
      </c>
      <c r="H68">
        <v>0</v>
      </c>
      <c r="I68">
        <v>0</v>
      </c>
      <c r="J68">
        <v>0</v>
      </c>
      <c r="K68">
        <v>17</v>
      </c>
      <c r="L68">
        <v>0</v>
      </c>
      <c r="M68">
        <v>0</v>
      </c>
      <c r="N68">
        <v>0</v>
      </c>
      <c r="O68">
        <v>0</v>
      </c>
      <c r="P68">
        <v>0</v>
      </c>
      <c r="Q68">
        <v>0</v>
      </c>
      <c r="R68">
        <v>0</v>
      </c>
      <c r="S68">
        <v>0</v>
      </c>
      <c r="T68">
        <v>0</v>
      </c>
      <c r="U68">
        <v>0</v>
      </c>
      <c r="V68">
        <v>0</v>
      </c>
      <c r="W68" s="4">
        <v>0</v>
      </c>
      <c r="X68" s="4">
        <v>0</v>
      </c>
      <c r="Y68">
        <v>0</v>
      </c>
      <c r="Z68">
        <v>0</v>
      </c>
      <c r="AA68" s="4">
        <v>0</v>
      </c>
      <c r="AB68" s="4">
        <v>0</v>
      </c>
      <c r="AC68" s="4">
        <v>0</v>
      </c>
      <c r="AD68" s="4">
        <v>0</v>
      </c>
      <c r="AE68" s="4">
        <v>0</v>
      </c>
      <c r="AF68" s="4">
        <v>0</v>
      </c>
      <c r="AG68" s="4">
        <v>0</v>
      </c>
      <c r="AH68" s="4">
        <v>0</v>
      </c>
      <c r="AI68" s="4">
        <v>0</v>
      </c>
      <c r="AJ68" s="4">
        <v>0</v>
      </c>
      <c r="AK68" s="4">
        <v>0</v>
      </c>
      <c r="AL68" s="4">
        <v>0</v>
      </c>
      <c r="AM68">
        <v>17</v>
      </c>
      <c r="AN68">
        <v>0</v>
      </c>
      <c r="AO68">
        <v>17</v>
      </c>
      <c r="AP68">
        <v>0</v>
      </c>
      <c r="AQ68">
        <v>0</v>
      </c>
      <c r="AR68">
        <v>0</v>
      </c>
      <c r="AS68">
        <v>0</v>
      </c>
      <c r="AT68">
        <v>0</v>
      </c>
      <c r="AU68">
        <v>0</v>
      </c>
      <c r="AV68">
        <v>0</v>
      </c>
      <c r="AW68">
        <v>0</v>
      </c>
      <c r="AX68">
        <v>0</v>
      </c>
    </row>
    <row r="69" spans="1:50">
      <c r="A69" t="s">
        <v>16960</v>
      </c>
      <c r="B69" t="s">
        <v>16960</v>
      </c>
      <c r="C69">
        <v>0</v>
      </c>
      <c r="D69">
        <v>18</v>
      </c>
      <c r="E69">
        <v>1</v>
      </c>
      <c r="F69">
        <v>18</v>
      </c>
      <c r="G69">
        <v>1</v>
      </c>
      <c r="H69">
        <v>1</v>
      </c>
      <c r="I69">
        <v>0</v>
      </c>
      <c r="J69">
        <v>17</v>
      </c>
      <c r="K69">
        <v>65</v>
      </c>
      <c r="L69">
        <v>14</v>
      </c>
      <c r="M69">
        <v>0</v>
      </c>
      <c r="N69">
        <v>4</v>
      </c>
      <c r="O69">
        <v>0</v>
      </c>
      <c r="P69">
        <v>0</v>
      </c>
      <c r="Q69">
        <v>0</v>
      </c>
      <c r="R69">
        <v>0</v>
      </c>
      <c r="S69">
        <v>4.6500000000000004</v>
      </c>
      <c r="T69">
        <v>1.05</v>
      </c>
      <c r="U69">
        <v>0.15</v>
      </c>
      <c r="V69">
        <v>5.55</v>
      </c>
      <c r="W69" s="4">
        <v>67.5</v>
      </c>
      <c r="X69" s="4">
        <v>0</v>
      </c>
      <c r="Y69">
        <v>0</v>
      </c>
      <c r="Z69">
        <v>0</v>
      </c>
      <c r="AA69" s="4">
        <v>0</v>
      </c>
      <c r="AB69" s="4">
        <v>64.5</v>
      </c>
      <c r="AC69" s="4">
        <v>11.5</v>
      </c>
      <c r="AD69" s="4">
        <v>25.5</v>
      </c>
      <c r="AE69" s="4">
        <v>18</v>
      </c>
      <c r="AF69" s="4">
        <v>85</v>
      </c>
      <c r="AG69" s="4">
        <v>77.5</v>
      </c>
      <c r="AH69" s="4">
        <v>61.5</v>
      </c>
      <c r="AI69" s="4">
        <v>0</v>
      </c>
      <c r="AJ69" s="4">
        <v>0</v>
      </c>
      <c r="AK69" s="4">
        <v>0</v>
      </c>
      <c r="AL69" s="4">
        <v>0</v>
      </c>
      <c r="AM69">
        <v>65</v>
      </c>
      <c r="AN69">
        <v>0</v>
      </c>
      <c r="AO69">
        <v>65</v>
      </c>
      <c r="AP69">
        <v>0</v>
      </c>
      <c r="AQ69">
        <v>4.6500000000000004</v>
      </c>
      <c r="AR69">
        <v>0</v>
      </c>
      <c r="AS69">
        <v>4.6500000000000004</v>
      </c>
      <c r="AT69">
        <v>0</v>
      </c>
      <c r="AU69">
        <v>0.9</v>
      </c>
      <c r="AV69">
        <v>0</v>
      </c>
      <c r="AW69">
        <v>0.9</v>
      </c>
      <c r="AX69">
        <v>0</v>
      </c>
    </row>
    <row r="70" spans="1:50">
      <c r="A70" t="s">
        <v>16961</v>
      </c>
      <c r="B70" t="s">
        <v>16962</v>
      </c>
      <c r="C70">
        <v>0</v>
      </c>
      <c r="D70">
        <v>1</v>
      </c>
      <c r="E70">
        <v>1</v>
      </c>
      <c r="F70">
        <v>1</v>
      </c>
      <c r="G70">
        <v>0</v>
      </c>
      <c r="H70">
        <v>0</v>
      </c>
      <c r="I70">
        <v>0</v>
      </c>
      <c r="J70">
        <v>0</v>
      </c>
      <c r="K70">
        <v>17</v>
      </c>
      <c r="L70">
        <v>0</v>
      </c>
      <c r="M70">
        <v>0</v>
      </c>
      <c r="N70">
        <v>0</v>
      </c>
      <c r="O70">
        <v>0</v>
      </c>
      <c r="P70">
        <v>0</v>
      </c>
      <c r="Q70">
        <v>0</v>
      </c>
      <c r="R70">
        <v>0</v>
      </c>
      <c r="S70">
        <v>0</v>
      </c>
      <c r="T70">
        <v>0</v>
      </c>
      <c r="U70">
        <v>0</v>
      </c>
      <c r="V70">
        <v>0</v>
      </c>
      <c r="W70" s="4">
        <v>0</v>
      </c>
      <c r="X70" s="4">
        <v>0</v>
      </c>
      <c r="Y70">
        <v>0</v>
      </c>
      <c r="Z70">
        <v>0</v>
      </c>
      <c r="AA70" s="4">
        <v>0</v>
      </c>
      <c r="AB70" s="4">
        <v>0</v>
      </c>
      <c r="AC70" s="4">
        <v>0</v>
      </c>
      <c r="AD70" s="4">
        <v>0</v>
      </c>
      <c r="AE70" s="4">
        <v>0</v>
      </c>
      <c r="AF70" s="4">
        <v>0</v>
      </c>
      <c r="AG70" s="4">
        <v>0</v>
      </c>
      <c r="AH70" s="4">
        <v>0</v>
      </c>
      <c r="AI70" s="4">
        <v>0</v>
      </c>
      <c r="AJ70" s="4">
        <v>0</v>
      </c>
      <c r="AK70" s="4">
        <v>0</v>
      </c>
      <c r="AL70" s="4">
        <v>0</v>
      </c>
      <c r="AM70">
        <v>17</v>
      </c>
      <c r="AN70">
        <v>0</v>
      </c>
      <c r="AO70">
        <v>17</v>
      </c>
      <c r="AP70">
        <v>0</v>
      </c>
      <c r="AQ70">
        <v>0</v>
      </c>
      <c r="AR70">
        <v>0</v>
      </c>
      <c r="AS70">
        <v>0</v>
      </c>
      <c r="AT70">
        <v>0</v>
      </c>
      <c r="AU70">
        <v>0</v>
      </c>
      <c r="AV70">
        <v>0</v>
      </c>
      <c r="AW70">
        <v>0</v>
      </c>
      <c r="AX70">
        <v>0</v>
      </c>
    </row>
    <row r="71" spans="1:50">
      <c r="A71" t="s">
        <v>17395</v>
      </c>
      <c r="B71" t="s">
        <v>17396</v>
      </c>
      <c r="C71">
        <v>0</v>
      </c>
      <c r="D71">
        <v>1</v>
      </c>
      <c r="E71">
        <v>1</v>
      </c>
      <c r="F71">
        <v>1</v>
      </c>
      <c r="G71">
        <v>0</v>
      </c>
      <c r="H71">
        <v>0</v>
      </c>
      <c r="I71">
        <v>0</v>
      </c>
      <c r="J71">
        <v>0</v>
      </c>
      <c r="K71">
        <v>1</v>
      </c>
      <c r="L71">
        <v>1</v>
      </c>
      <c r="M71">
        <v>0</v>
      </c>
      <c r="N71">
        <v>0</v>
      </c>
      <c r="O71">
        <v>0</v>
      </c>
      <c r="P71">
        <v>0</v>
      </c>
      <c r="Q71">
        <v>0</v>
      </c>
      <c r="R71">
        <v>0</v>
      </c>
      <c r="S71">
        <v>1</v>
      </c>
      <c r="T71">
        <v>0</v>
      </c>
      <c r="U71">
        <v>0</v>
      </c>
      <c r="V71">
        <v>0</v>
      </c>
      <c r="W71" s="4">
        <v>0</v>
      </c>
      <c r="X71" s="4">
        <v>0</v>
      </c>
      <c r="Y71">
        <v>0</v>
      </c>
      <c r="Z71">
        <v>0</v>
      </c>
      <c r="AA71" s="4">
        <v>0</v>
      </c>
      <c r="AB71" s="4">
        <v>0</v>
      </c>
      <c r="AC71" s="4">
        <v>0</v>
      </c>
      <c r="AD71" s="4">
        <v>0</v>
      </c>
      <c r="AE71" s="4">
        <v>0</v>
      </c>
      <c r="AF71" s="4">
        <v>0</v>
      </c>
      <c r="AG71" s="4">
        <v>0</v>
      </c>
      <c r="AH71" s="4">
        <v>0</v>
      </c>
      <c r="AI71" s="4">
        <v>0</v>
      </c>
      <c r="AJ71" s="4">
        <v>0</v>
      </c>
      <c r="AK71" s="4">
        <v>0</v>
      </c>
      <c r="AL71" s="4">
        <v>0</v>
      </c>
      <c r="AM71">
        <v>1</v>
      </c>
      <c r="AN71">
        <v>0</v>
      </c>
      <c r="AO71">
        <v>0</v>
      </c>
      <c r="AP71">
        <v>0</v>
      </c>
      <c r="AQ71">
        <v>1</v>
      </c>
      <c r="AR71">
        <v>0</v>
      </c>
      <c r="AS71">
        <v>1</v>
      </c>
      <c r="AT71">
        <v>0</v>
      </c>
      <c r="AU71">
        <v>0</v>
      </c>
      <c r="AV71">
        <v>0</v>
      </c>
      <c r="AW71">
        <v>0</v>
      </c>
      <c r="AX71">
        <v>0</v>
      </c>
    </row>
    <row r="72" spans="1:50">
      <c r="A72" t="s">
        <v>16963</v>
      </c>
      <c r="B72" t="s">
        <v>16964</v>
      </c>
      <c r="C72">
        <v>0</v>
      </c>
      <c r="D72">
        <v>1</v>
      </c>
      <c r="E72">
        <v>1</v>
      </c>
      <c r="F72">
        <v>1</v>
      </c>
      <c r="G72">
        <v>1</v>
      </c>
      <c r="H72">
        <v>0</v>
      </c>
      <c r="I72">
        <v>0</v>
      </c>
      <c r="J72">
        <v>1</v>
      </c>
      <c r="K72">
        <v>22</v>
      </c>
      <c r="L72">
        <v>0</v>
      </c>
      <c r="M72">
        <v>0</v>
      </c>
      <c r="N72">
        <v>1</v>
      </c>
      <c r="O72">
        <v>0</v>
      </c>
      <c r="P72">
        <v>0</v>
      </c>
      <c r="Q72">
        <v>0</v>
      </c>
      <c r="R72">
        <v>0</v>
      </c>
      <c r="S72">
        <v>0</v>
      </c>
      <c r="T72">
        <v>0</v>
      </c>
      <c r="U72">
        <v>0</v>
      </c>
      <c r="V72">
        <v>0</v>
      </c>
      <c r="W72" s="4">
        <v>0</v>
      </c>
      <c r="X72" s="4">
        <v>0</v>
      </c>
      <c r="Y72">
        <v>0</v>
      </c>
      <c r="Z72">
        <v>0</v>
      </c>
      <c r="AA72" s="4">
        <v>0</v>
      </c>
      <c r="AB72" s="4">
        <v>0</v>
      </c>
      <c r="AC72" s="4">
        <v>0</v>
      </c>
      <c r="AD72" s="4">
        <v>0</v>
      </c>
      <c r="AE72" s="4">
        <v>0</v>
      </c>
      <c r="AF72" s="4">
        <v>0</v>
      </c>
      <c r="AG72" s="4">
        <v>0</v>
      </c>
      <c r="AH72" s="4">
        <v>0</v>
      </c>
      <c r="AI72" s="4">
        <v>0</v>
      </c>
      <c r="AJ72" s="4">
        <v>0</v>
      </c>
      <c r="AK72" s="4">
        <v>0</v>
      </c>
      <c r="AL72" s="4">
        <v>0</v>
      </c>
      <c r="AM72">
        <v>22</v>
      </c>
      <c r="AN72">
        <v>0</v>
      </c>
      <c r="AO72">
        <v>22</v>
      </c>
      <c r="AP72">
        <v>0</v>
      </c>
      <c r="AQ72">
        <v>0</v>
      </c>
      <c r="AR72">
        <v>0</v>
      </c>
      <c r="AS72">
        <v>0</v>
      </c>
      <c r="AT72">
        <v>0</v>
      </c>
      <c r="AU72">
        <v>0</v>
      </c>
      <c r="AV72">
        <v>0</v>
      </c>
      <c r="AW72">
        <v>0</v>
      </c>
      <c r="AX72">
        <v>0</v>
      </c>
    </row>
    <row r="73" spans="1:50">
      <c r="A73" t="s">
        <v>16965</v>
      </c>
      <c r="B73" t="s">
        <v>16966</v>
      </c>
      <c r="C73">
        <v>0</v>
      </c>
      <c r="D73">
        <v>0</v>
      </c>
      <c r="E73">
        <v>0</v>
      </c>
      <c r="F73">
        <v>0</v>
      </c>
      <c r="G73">
        <v>0</v>
      </c>
      <c r="H73">
        <v>0</v>
      </c>
      <c r="I73">
        <v>0</v>
      </c>
      <c r="J73">
        <v>0</v>
      </c>
      <c r="K73">
        <v>0</v>
      </c>
      <c r="L73">
        <v>0</v>
      </c>
      <c r="M73">
        <v>0</v>
      </c>
      <c r="N73">
        <v>0</v>
      </c>
      <c r="O73">
        <v>0</v>
      </c>
      <c r="P73">
        <v>0</v>
      </c>
      <c r="Q73">
        <v>0</v>
      </c>
      <c r="R73">
        <v>0</v>
      </c>
      <c r="S73">
        <v>0</v>
      </c>
      <c r="T73">
        <v>0</v>
      </c>
      <c r="U73">
        <v>0</v>
      </c>
      <c r="V73">
        <v>0</v>
      </c>
      <c r="W73" s="4">
        <v>0</v>
      </c>
      <c r="X73" s="4">
        <v>0</v>
      </c>
      <c r="Y73">
        <v>0</v>
      </c>
      <c r="Z73">
        <v>0</v>
      </c>
      <c r="AA73" s="4">
        <v>0</v>
      </c>
      <c r="AB73" s="4">
        <v>0</v>
      </c>
      <c r="AC73" s="4">
        <v>0</v>
      </c>
      <c r="AD73" s="4">
        <v>0</v>
      </c>
      <c r="AE73" s="4">
        <v>0</v>
      </c>
      <c r="AF73" s="4">
        <v>0</v>
      </c>
      <c r="AG73" s="4">
        <v>0</v>
      </c>
      <c r="AH73" s="4">
        <v>0</v>
      </c>
      <c r="AI73" s="4">
        <v>0</v>
      </c>
      <c r="AJ73" s="4">
        <v>0</v>
      </c>
      <c r="AK73" s="4">
        <v>0</v>
      </c>
      <c r="AL73" s="4">
        <v>0</v>
      </c>
      <c r="AM73">
        <v>0</v>
      </c>
      <c r="AN73">
        <v>0</v>
      </c>
      <c r="AO73">
        <v>0</v>
      </c>
      <c r="AP73">
        <v>0</v>
      </c>
      <c r="AQ73">
        <v>0</v>
      </c>
      <c r="AR73">
        <v>0</v>
      </c>
      <c r="AS73">
        <v>0</v>
      </c>
      <c r="AT73">
        <v>0</v>
      </c>
      <c r="AU73">
        <v>0</v>
      </c>
      <c r="AV73">
        <v>0</v>
      </c>
      <c r="AW73">
        <v>0</v>
      </c>
      <c r="AX73">
        <v>0</v>
      </c>
    </row>
    <row r="74" spans="1:50">
      <c r="A74" t="s">
        <v>17226</v>
      </c>
      <c r="B74" t="s">
        <v>17227</v>
      </c>
      <c r="C74">
        <v>1</v>
      </c>
      <c r="D74">
        <v>2</v>
      </c>
      <c r="E74">
        <v>1</v>
      </c>
      <c r="F74">
        <v>1</v>
      </c>
      <c r="G74">
        <v>2</v>
      </c>
      <c r="H74">
        <v>1</v>
      </c>
      <c r="I74">
        <v>0</v>
      </c>
      <c r="J74">
        <v>0</v>
      </c>
      <c r="K74">
        <v>0</v>
      </c>
      <c r="L74">
        <v>0</v>
      </c>
      <c r="M74">
        <v>0</v>
      </c>
      <c r="N74">
        <v>0</v>
      </c>
      <c r="O74">
        <v>0</v>
      </c>
      <c r="P74">
        <v>0</v>
      </c>
      <c r="Q74">
        <v>0</v>
      </c>
      <c r="R74">
        <v>0</v>
      </c>
      <c r="S74">
        <v>0</v>
      </c>
      <c r="T74">
        <v>0</v>
      </c>
      <c r="U74">
        <v>0</v>
      </c>
      <c r="V74">
        <v>0</v>
      </c>
      <c r="W74" s="4">
        <v>0</v>
      </c>
      <c r="X74" s="4">
        <v>0</v>
      </c>
      <c r="Y74">
        <v>0</v>
      </c>
      <c r="Z74">
        <v>0</v>
      </c>
      <c r="AA74" s="4">
        <v>0</v>
      </c>
      <c r="AB74" s="4">
        <v>0</v>
      </c>
      <c r="AC74" s="4">
        <v>0</v>
      </c>
      <c r="AD74" s="4">
        <v>0</v>
      </c>
      <c r="AE74" s="4">
        <v>0</v>
      </c>
      <c r="AF74" s="4">
        <v>0</v>
      </c>
      <c r="AG74" s="4">
        <v>0</v>
      </c>
      <c r="AH74" s="4">
        <v>0</v>
      </c>
      <c r="AI74" s="4">
        <v>0</v>
      </c>
      <c r="AJ74" s="4">
        <v>0</v>
      </c>
      <c r="AK74" s="4">
        <v>0</v>
      </c>
      <c r="AL74" s="4">
        <v>0</v>
      </c>
      <c r="AM74">
        <v>0</v>
      </c>
      <c r="AN74">
        <v>0</v>
      </c>
      <c r="AO74">
        <v>0</v>
      </c>
      <c r="AP74">
        <v>0</v>
      </c>
      <c r="AQ74">
        <v>0</v>
      </c>
      <c r="AR74">
        <v>0</v>
      </c>
      <c r="AS74">
        <v>0</v>
      </c>
      <c r="AT74">
        <v>0</v>
      </c>
      <c r="AU74">
        <v>0</v>
      </c>
      <c r="AV74">
        <v>0</v>
      </c>
      <c r="AW74">
        <v>0</v>
      </c>
      <c r="AX74">
        <v>0</v>
      </c>
    </row>
    <row r="75" spans="1:50">
      <c r="A75" t="s">
        <v>17373</v>
      </c>
      <c r="B75" t="s">
        <v>17417</v>
      </c>
      <c r="C75">
        <v>3</v>
      </c>
      <c r="D75">
        <v>15</v>
      </c>
      <c r="E75">
        <v>12</v>
      </c>
      <c r="F75">
        <v>11</v>
      </c>
      <c r="G75">
        <v>2</v>
      </c>
      <c r="H75">
        <v>0</v>
      </c>
      <c r="I75">
        <v>1</v>
      </c>
      <c r="J75">
        <v>14</v>
      </c>
      <c r="K75">
        <v>287</v>
      </c>
      <c r="L75">
        <v>9</v>
      </c>
      <c r="M75">
        <v>0</v>
      </c>
      <c r="N75">
        <v>2</v>
      </c>
      <c r="O75">
        <v>1</v>
      </c>
      <c r="P75">
        <v>2</v>
      </c>
      <c r="Q75">
        <v>0</v>
      </c>
      <c r="R75">
        <v>0</v>
      </c>
      <c r="S75">
        <v>3.75</v>
      </c>
      <c r="T75">
        <v>3.75</v>
      </c>
      <c r="U75">
        <v>0.25</v>
      </c>
      <c r="V75">
        <v>7.75</v>
      </c>
      <c r="W75" s="4">
        <v>90</v>
      </c>
      <c r="X75" s="4">
        <v>0</v>
      </c>
      <c r="Y75">
        <v>8</v>
      </c>
      <c r="Z75">
        <v>0</v>
      </c>
      <c r="AA75" s="4">
        <v>-22.5</v>
      </c>
      <c r="AB75" s="4">
        <v>0</v>
      </c>
      <c r="AC75" s="4">
        <v>298.25</v>
      </c>
      <c r="AD75" s="4">
        <v>150.4</v>
      </c>
      <c r="AE75" s="4">
        <v>150.4</v>
      </c>
      <c r="AF75" s="4">
        <v>150.4</v>
      </c>
      <c r="AG75" s="4">
        <v>393.25</v>
      </c>
      <c r="AH75" s="4">
        <v>242.85</v>
      </c>
      <c r="AI75" s="4">
        <v>0</v>
      </c>
      <c r="AJ75" s="4">
        <v>0</v>
      </c>
      <c r="AK75" s="4">
        <v>0</v>
      </c>
      <c r="AL75" s="4">
        <v>0</v>
      </c>
      <c r="AM75">
        <v>287</v>
      </c>
      <c r="AN75">
        <v>0</v>
      </c>
      <c r="AO75">
        <v>256</v>
      </c>
      <c r="AP75">
        <v>31</v>
      </c>
      <c r="AQ75">
        <v>3.75</v>
      </c>
      <c r="AR75">
        <v>0</v>
      </c>
      <c r="AS75">
        <v>3</v>
      </c>
      <c r="AT75">
        <v>0.75</v>
      </c>
      <c r="AU75">
        <v>3.75</v>
      </c>
      <c r="AV75">
        <v>0</v>
      </c>
      <c r="AW75">
        <v>3</v>
      </c>
      <c r="AX75">
        <v>0.75</v>
      </c>
    </row>
    <row r="76" spans="1:50">
      <c r="A76" t="s">
        <v>16967</v>
      </c>
      <c r="B76" t="s">
        <v>16968</v>
      </c>
      <c r="C76">
        <v>0</v>
      </c>
      <c r="D76">
        <v>0</v>
      </c>
      <c r="E76">
        <v>0</v>
      </c>
      <c r="F76">
        <v>0</v>
      </c>
      <c r="G76">
        <v>0</v>
      </c>
      <c r="H76">
        <v>0</v>
      </c>
      <c r="I76">
        <v>0</v>
      </c>
      <c r="J76">
        <v>0</v>
      </c>
      <c r="K76">
        <v>0</v>
      </c>
      <c r="L76">
        <v>0</v>
      </c>
      <c r="M76">
        <v>0</v>
      </c>
      <c r="N76">
        <v>0</v>
      </c>
      <c r="O76">
        <v>0</v>
      </c>
      <c r="P76">
        <v>0</v>
      </c>
      <c r="Q76">
        <v>0</v>
      </c>
      <c r="R76">
        <v>0</v>
      </c>
      <c r="S76">
        <v>0</v>
      </c>
      <c r="T76">
        <v>0</v>
      </c>
      <c r="U76">
        <v>0</v>
      </c>
      <c r="V76">
        <v>0</v>
      </c>
      <c r="W76" s="4">
        <v>0</v>
      </c>
      <c r="X76" s="4">
        <v>0</v>
      </c>
      <c r="Y76">
        <v>0</v>
      </c>
      <c r="Z76">
        <v>0</v>
      </c>
      <c r="AA76" s="4">
        <v>0</v>
      </c>
      <c r="AB76" s="4">
        <v>0</v>
      </c>
      <c r="AC76" s="4">
        <v>0</v>
      </c>
      <c r="AD76" s="4">
        <v>0</v>
      </c>
      <c r="AE76" s="4">
        <v>0</v>
      </c>
      <c r="AF76" s="4">
        <v>0</v>
      </c>
      <c r="AG76" s="4">
        <v>0</v>
      </c>
      <c r="AH76" s="4">
        <v>0</v>
      </c>
      <c r="AI76" s="4">
        <v>0</v>
      </c>
      <c r="AJ76" s="4">
        <v>0</v>
      </c>
      <c r="AK76" s="4">
        <v>0</v>
      </c>
      <c r="AL76" s="4">
        <v>0</v>
      </c>
      <c r="AM76">
        <v>0</v>
      </c>
      <c r="AN76">
        <v>0</v>
      </c>
      <c r="AO76">
        <v>0</v>
      </c>
      <c r="AP76">
        <v>0</v>
      </c>
      <c r="AQ76">
        <v>0</v>
      </c>
      <c r="AR76">
        <v>0</v>
      </c>
      <c r="AS76">
        <v>0</v>
      </c>
      <c r="AT76">
        <v>0</v>
      </c>
      <c r="AU76">
        <v>0</v>
      </c>
      <c r="AV76">
        <v>0</v>
      </c>
      <c r="AW76">
        <v>0</v>
      </c>
      <c r="AX76">
        <v>0</v>
      </c>
    </row>
    <row r="77" spans="1:50">
      <c r="A77" t="s">
        <v>16971</v>
      </c>
      <c r="B77" t="s">
        <v>16971</v>
      </c>
      <c r="C77">
        <v>3</v>
      </c>
      <c r="D77">
        <v>11</v>
      </c>
      <c r="E77">
        <v>11</v>
      </c>
      <c r="F77">
        <v>9</v>
      </c>
      <c r="G77">
        <v>2</v>
      </c>
      <c r="H77">
        <v>3</v>
      </c>
      <c r="I77">
        <v>2</v>
      </c>
      <c r="J77">
        <v>8</v>
      </c>
      <c r="K77">
        <v>57</v>
      </c>
      <c r="L77">
        <v>11</v>
      </c>
      <c r="M77">
        <v>0</v>
      </c>
      <c r="N77">
        <v>0</v>
      </c>
      <c r="O77">
        <v>0</v>
      </c>
      <c r="P77">
        <v>0</v>
      </c>
      <c r="Q77">
        <v>0</v>
      </c>
      <c r="R77">
        <v>0</v>
      </c>
      <c r="S77">
        <v>28.35</v>
      </c>
      <c r="T77">
        <v>13.35</v>
      </c>
      <c r="U77">
        <v>4</v>
      </c>
      <c r="V77">
        <v>45.7</v>
      </c>
      <c r="W77" s="4">
        <v>538</v>
      </c>
      <c r="X77" s="4">
        <v>0</v>
      </c>
      <c r="Y77">
        <v>4</v>
      </c>
      <c r="Z77">
        <v>0</v>
      </c>
      <c r="AA77" s="4">
        <v>-7.5</v>
      </c>
      <c r="AB77" s="4">
        <v>400</v>
      </c>
      <c r="AC77" s="4">
        <v>0</v>
      </c>
      <c r="AD77" s="4">
        <v>60</v>
      </c>
      <c r="AE77" s="4">
        <v>255</v>
      </c>
      <c r="AF77" s="4">
        <v>460</v>
      </c>
      <c r="AG77" s="4">
        <v>618</v>
      </c>
      <c r="AH77" s="4">
        <v>363</v>
      </c>
      <c r="AI77" s="4">
        <v>250</v>
      </c>
      <c r="AJ77" s="4">
        <v>450</v>
      </c>
      <c r="AK77" s="4">
        <v>530</v>
      </c>
      <c r="AL77" s="4">
        <v>280</v>
      </c>
      <c r="AM77">
        <v>57</v>
      </c>
      <c r="AN77">
        <v>28</v>
      </c>
      <c r="AO77">
        <v>23</v>
      </c>
      <c r="AP77">
        <v>6</v>
      </c>
      <c r="AQ77">
        <v>28.35</v>
      </c>
      <c r="AR77">
        <v>21</v>
      </c>
      <c r="AS77">
        <v>6.1</v>
      </c>
      <c r="AT77">
        <v>1.25</v>
      </c>
      <c r="AU77">
        <v>13.35</v>
      </c>
      <c r="AV77">
        <v>12</v>
      </c>
      <c r="AW77">
        <v>1.35</v>
      </c>
      <c r="AX77">
        <v>0</v>
      </c>
    </row>
    <row r="78" spans="1:50">
      <c r="A78" t="s">
        <v>16972</v>
      </c>
      <c r="B78" t="s">
        <v>16973</v>
      </c>
      <c r="C78">
        <v>0</v>
      </c>
      <c r="D78">
        <v>0</v>
      </c>
      <c r="E78">
        <v>0</v>
      </c>
      <c r="F78">
        <v>0</v>
      </c>
      <c r="G78">
        <v>0</v>
      </c>
      <c r="H78">
        <v>0</v>
      </c>
      <c r="I78">
        <v>0</v>
      </c>
      <c r="J78">
        <v>0</v>
      </c>
      <c r="K78">
        <v>0</v>
      </c>
      <c r="L78">
        <v>0</v>
      </c>
      <c r="M78">
        <v>0</v>
      </c>
      <c r="N78">
        <v>0</v>
      </c>
      <c r="O78">
        <v>0</v>
      </c>
      <c r="P78">
        <v>0</v>
      </c>
      <c r="Q78">
        <v>0</v>
      </c>
      <c r="R78">
        <v>0</v>
      </c>
      <c r="S78">
        <v>0</v>
      </c>
      <c r="T78">
        <v>0</v>
      </c>
      <c r="U78">
        <v>0</v>
      </c>
      <c r="V78">
        <v>0</v>
      </c>
      <c r="W78" s="4">
        <v>0</v>
      </c>
      <c r="X78" s="4">
        <v>0</v>
      </c>
      <c r="Y78">
        <v>0</v>
      </c>
      <c r="Z78">
        <v>0</v>
      </c>
      <c r="AA78" s="4">
        <v>0</v>
      </c>
      <c r="AB78" s="4">
        <v>0</v>
      </c>
      <c r="AC78" s="4">
        <v>0</v>
      </c>
      <c r="AD78" s="4">
        <v>0</v>
      </c>
      <c r="AE78" s="4">
        <v>0</v>
      </c>
      <c r="AF78" s="4">
        <v>0</v>
      </c>
      <c r="AG78" s="4">
        <v>0</v>
      </c>
      <c r="AH78" s="4">
        <v>0</v>
      </c>
      <c r="AI78" s="4">
        <v>0</v>
      </c>
      <c r="AJ78" s="4">
        <v>0</v>
      </c>
      <c r="AK78" s="4">
        <v>0</v>
      </c>
      <c r="AL78" s="4">
        <v>0</v>
      </c>
      <c r="AM78">
        <v>0</v>
      </c>
      <c r="AN78">
        <v>0</v>
      </c>
      <c r="AO78">
        <v>0</v>
      </c>
      <c r="AP78">
        <v>0</v>
      </c>
      <c r="AQ78">
        <v>0</v>
      </c>
      <c r="AR78">
        <v>0</v>
      </c>
      <c r="AS78">
        <v>0</v>
      </c>
      <c r="AT78">
        <v>0</v>
      </c>
      <c r="AU78">
        <v>0</v>
      </c>
      <c r="AV78">
        <v>0</v>
      </c>
      <c r="AW78">
        <v>0</v>
      </c>
      <c r="AX78">
        <v>0</v>
      </c>
    </row>
    <row r="79" spans="1:50">
      <c r="A79" t="s">
        <v>16976</v>
      </c>
      <c r="B79" t="s">
        <v>16976</v>
      </c>
      <c r="C79">
        <v>0</v>
      </c>
      <c r="D79">
        <v>2</v>
      </c>
      <c r="E79">
        <v>1</v>
      </c>
      <c r="F79">
        <v>1</v>
      </c>
      <c r="G79">
        <v>0</v>
      </c>
      <c r="H79">
        <v>0</v>
      </c>
      <c r="I79">
        <v>0</v>
      </c>
      <c r="J79">
        <v>1</v>
      </c>
      <c r="K79">
        <v>14</v>
      </c>
      <c r="L79">
        <v>1</v>
      </c>
      <c r="M79">
        <v>0</v>
      </c>
      <c r="N79">
        <v>0</v>
      </c>
      <c r="O79">
        <v>0</v>
      </c>
      <c r="P79">
        <v>0</v>
      </c>
      <c r="Q79">
        <v>0</v>
      </c>
      <c r="R79">
        <v>0</v>
      </c>
      <c r="S79">
        <v>0</v>
      </c>
      <c r="T79">
        <v>1.5</v>
      </c>
      <c r="U79">
        <v>0</v>
      </c>
      <c r="V79">
        <v>1.5</v>
      </c>
      <c r="W79" s="4">
        <v>30</v>
      </c>
      <c r="X79" s="4">
        <v>0</v>
      </c>
      <c r="Y79">
        <v>1</v>
      </c>
      <c r="Z79">
        <v>0</v>
      </c>
      <c r="AA79" s="4">
        <v>0</v>
      </c>
      <c r="AB79" s="4">
        <v>0</v>
      </c>
      <c r="AC79" s="4">
        <v>103.41</v>
      </c>
      <c r="AD79" s="4">
        <v>103.41</v>
      </c>
      <c r="AE79" s="4">
        <v>97.25</v>
      </c>
      <c r="AF79" s="4">
        <v>103.41</v>
      </c>
      <c r="AG79" s="4">
        <v>133.41</v>
      </c>
      <c r="AH79" s="4">
        <v>36.159999999999997</v>
      </c>
      <c r="AI79" s="4">
        <v>0</v>
      </c>
      <c r="AJ79" s="4">
        <v>0</v>
      </c>
      <c r="AK79" s="4">
        <v>0</v>
      </c>
      <c r="AL79" s="4">
        <v>0</v>
      </c>
      <c r="AM79">
        <v>14</v>
      </c>
      <c r="AN79">
        <v>0</v>
      </c>
      <c r="AO79">
        <v>14</v>
      </c>
      <c r="AP79">
        <v>0</v>
      </c>
      <c r="AQ79">
        <v>0</v>
      </c>
      <c r="AR79">
        <v>0</v>
      </c>
      <c r="AS79">
        <v>0</v>
      </c>
      <c r="AT79">
        <v>0</v>
      </c>
      <c r="AU79">
        <v>1.5</v>
      </c>
      <c r="AV79">
        <v>0</v>
      </c>
      <c r="AW79">
        <v>1.5</v>
      </c>
      <c r="AX79">
        <v>0</v>
      </c>
    </row>
    <row r="80" spans="1:50">
      <c r="A80" t="s">
        <v>16935</v>
      </c>
      <c r="B80" t="s">
        <v>16935</v>
      </c>
      <c r="C80">
        <v>0</v>
      </c>
      <c r="D80">
        <v>18</v>
      </c>
      <c r="E80">
        <v>18</v>
      </c>
      <c r="F80">
        <v>15</v>
      </c>
      <c r="G80">
        <v>3</v>
      </c>
      <c r="H80">
        <v>0</v>
      </c>
      <c r="I80">
        <v>0</v>
      </c>
      <c r="J80">
        <v>18</v>
      </c>
      <c r="K80">
        <v>368</v>
      </c>
      <c r="L80">
        <v>7</v>
      </c>
      <c r="M80">
        <v>3</v>
      </c>
      <c r="N80">
        <v>3</v>
      </c>
      <c r="O80">
        <v>5</v>
      </c>
      <c r="P80">
        <v>0</v>
      </c>
      <c r="Q80">
        <v>0</v>
      </c>
      <c r="R80">
        <v>0</v>
      </c>
      <c r="S80">
        <v>39.5</v>
      </c>
      <c r="T80">
        <v>177.5</v>
      </c>
      <c r="U80">
        <v>2.75</v>
      </c>
      <c r="V80">
        <v>219.75</v>
      </c>
      <c r="W80" s="4">
        <v>3945</v>
      </c>
      <c r="X80" s="4">
        <v>0</v>
      </c>
      <c r="Y80">
        <v>17</v>
      </c>
      <c r="Z80">
        <v>1</v>
      </c>
      <c r="AA80" s="4">
        <v>0</v>
      </c>
      <c r="AB80" s="4">
        <v>3660</v>
      </c>
      <c r="AC80" s="4">
        <v>6273.25</v>
      </c>
      <c r="AD80" s="4">
        <v>200.75</v>
      </c>
      <c r="AE80" s="4">
        <v>202.3</v>
      </c>
      <c r="AF80" s="4">
        <v>3860.75</v>
      </c>
      <c r="AG80" s="4">
        <v>7073.25</v>
      </c>
      <c r="AH80" s="4">
        <v>6878.75</v>
      </c>
      <c r="AI80" s="4">
        <v>0</v>
      </c>
      <c r="AJ80" s="4">
        <v>0</v>
      </c>
      <c r="AK80" s="4">
        <v>0</v>
      </c>
      <c r="AL80" s="4">
        <v>0</v>
      </c>
      <c r="AM80">
        <v>368</v>
      </c>
      <c r="AN80">
        <v>0</v>
      </c>
      <c r="AO80">
        <v>368</v>
      </c>
      <c r="AP80">
        <v>0</v>
      </c>
      <c r="AQ80">
        <v>39.5</v>
      </c>
      <c r="AR80">
        <v>0</v>
      </c>
      <c r="AS80">
        <v>39.5</v>
      </c>
      <c r="AT80">
        <v>0</v>
      </c>
      <c r="AU80">
        <v>177.5</v>
      </c>
      <c r="AV80">
        <v>0</v>
      </c>
      <c r="AW80">
        <v>177.5</v>
      </c>
      <c r="AX80">
        <v>0</v>
      </c>
    </row>
    <row r="81" spans="1:50">
      <c r="A81" t="s">
        <v>16936</v>
      </c>
      <c r="B81" t="s">
        <v>16937</v>
      </c>
      <c r="C81">
        <v>0</v>
      </c>
      <c r="D81">
        <v>1</v>
      </c>
      <c r="E81">
        <v>1</v>
      </c>
      <c r="F81">
        <v>0</v>
      </c>
      <c r="G81">
        <v>0</v>
      </c>
      <c r="H81">
        <v>0</v>
      </c>
      <c r="I81">
        <v>0</v>
      </c>
      <c r="J81">
        <v>1</v>
      </c>
      <c r="K81">
        <v>6</v>
      </c>
      <c r="L81">
        <v>0</v>
      </c>
      <c r="M81">
        <v>0</v>
      </c>
      <c r="N81">
        <v>0</v>
      </c>
      <c r="O81">
        <v>0</v>
      </c>
      <c r="P81">
        <v>0</v>
      </c>
      <c r="Q81">
        <v>1</v>
      </c>
      <c r="R81">
        <v>0</v>
      </c>
      <c r="S81">
        <v>2</v>
      </c>
      <c r="T81">
        <v>0</v>
      </c>
      <c r="U81">
        <v>0</v>
      </c>
      <c r="V81">
        <v>2</v>
      </c>
      <c r="W81" s="4">
        <v>20</v>
      </c>
      <c r="X81" s="4">
        <v>0</v>
      </c>
      <c r="Y81">
        <v>1</v>
      </c>
      <c r="Z81">
        <v>0</v>
      </c>
      <c r="AA81" s="4">
        <v>0</v>
      </c>
      <c r="AB81" s="4">
        <v>0</v>
      </c>
      <c r="AC81" s="4">
        <v>0</v>
      </c>
      <c r="AD81" s="4">
        <v>0</v>
      </c>
      <c r="AE81" s="4">
        <v>0</v>
      </c>
      <c r="AF81" s="4">
        <v>0</v>
      </c>
      <c r="AG81" s="4">
        <v>20</v>
      </c>
      <c r="AH81" s="4">
        <v>20</v>
      </c>
      <c r="AI81" s="4">
        <v>0</v>
      </c>
      <c r="AJ81" s="4">
        <v>0</v>
      </c>
      <c r="AK81" s="4">
        <v>0</v>
      </c>
      <c r="AL81" s="4">
        <v>0</v>
      </c>
      <c r="AM81">
        <v>6</v>
      </c>
      <c r="AN81">
        <v>0</v>
      </c>
      <c r="AO81">
        <v>6</v>
      </c>
      <c r="AP81">
        <v>0</v>
      </c>
      <c r="AQ81">
        <v>2</v>
      </c>
      <c r="AR81">
        <v>0</v>
      </c>
      <c r="AS81">
        <v>2</v>
      </c>
      <c r="AT81">
        <v>0</v>
      </c>
      <c r="AU81">
        <v>0</v>
      </c>
      <c r="AV81">
        <v>0</v>
      </c>
      <c r="AW81">
        <v>0</v>
      </c>
      <c r="AX81">
        <v>0</v>
      </c>
    </row>
    <row r="82" spans="1:50">
      <c r="A82" t="s">
        <v>16938</v>
      </c>
      <c r="B82" t="s">
        <v>16939</v>
      </c>
      <c r="C82">
        <v>0</v>
      </c>
      <c r="D82">
        <v>3</v>
      </c>
      <c r="E82">
        <v>3</v>
      </c>
      <c r="F82">
        <v>2</v>
      </c>
      <c r="G82">
        <v>0</v>
      </c>
      <c r="H82">
        <v>0</v>
      </c>
      <c r="I82">
        <v>0</v>
      </c>
      <c r="J82">
        <v>3</v>
      </c>
      <c r="K82">
        <v>37</v>
      </c>
      <c r="L82">
        <v>2</v>
      </c>
      <c r="M82">
        <v>1</v>
      </c>
      <c r="N82">
        <v>0</v>
      </c>
      <c r="O82">
        <v>0</v>
      </c>
      <c r="P82">
        <v>0</v>
      </c>
      <c r="Q82">
        <v>0</v>
      </c>
      <c r="R82">
        <v>0</v>
      </c>
      <c r="S82">
        <v>6.5</v>
      </c>
      <c r="T82">
        <v>3</v>
      </c>
      <c r="U82">
        <v>0</v>
      </c>
      <c r="V82">
        <v>9.5</v>
      </c>
      <c r="W82" s="4">
        <v>125</v>
      </c>
      <c r="X82" s="4">
        <v>0</v>
      </c>
      <c r="Y82">
        <v>2</v>
      </c>
      <c r="Z82">
        <v>0</v>
      </c>
      <c r="AA82" s="4">
        <v>0</v>
      </c>
      <c r="AB82" s="4">
        <v>70</v>
      </c>
      <c r="AC82" s="4">
        <v>22.75</v>
      </c>
      <c r="AD82" s="4">
        <v>0</v>
      </c>
      <c r="AE82" s="4">
        <v>92.75</v>
      </c>
      <c r="AF82" s="4">
        <v>70</v>
      </c>
      <c r="AG82" s="4">
        <v>147.75</v>
      </c>
      <c r="AH82" s="4">
        <v>55</v>
      </c>
      <c r="AI82" s="4">
        <v>0</v>
      </c>
      <c r="AJ82" s="4">
        <v>0</v>
      </c>
      <c r="AK82" s="4">
        <v>0</v>
      </c>
      <c r="AL82" s="4">
        <v>0</v>
      </c>
      <c r="AM82">
        <v>37</v>
      </c>
      <c r="AN82">
        <v>0</v>
      </c>
      <c r="AO82">
        <v>37</v>
      </c>
      <c r="AP82">
        <v>0</v>
      </c>
      <c r="AQ82">
        <v>6.5</v>
      </c>
      <c r="AR82">
        <v>0</v>
      </c>
      <c r="AS82">
        <v>6.5</v>
      </c>
      <c r="AT82">
        <v>0</v>
      </c>
      <c r="AU82">
        <v>3</v>
      </c>
      <c r="AV82">
        <v>0</v>
      </c>
      <c r="AW82">
        <v>3</v>
      </c>
      <c r="AX82">
        <v>0</v>
      </c>
    </row>
    <row r="83" spans="1:50">
      <c r="A83" t="s">
        <v>16977</v>
      </c>
      <c r="B83" t="s">
        <v>16977</v>
      </c>
      <c r="C83">
        <v>0</v>
      </c>
      <c r="D83">
        <v>6</v>
      </c>
      <c r="E83">
        <v>6</v>
      </c>
      <c r="F83">
        <v>4</v>
      </c>
      <c r="G83">
        <v>2</v>
      </c>
      <c r="H83">
        <v>0</v>
      </c>
      <c r="I83">
        <v>0</v>
      </c>
      <c r="J83">
        <v>6</v>
      </c>
      <c r="K83">
        <v>92</v>
      </c>
      <c r="L83">
        <v>2</v>
      </c>
      <c r="M83">
        <v>1</v>
      </c>
      <c r="N83">
        <v>3</v>
      </c>
      <c r="O83">
        <v>0</v>
      </c>
      <c r="P83">
        <v>0</v>
      </c>
      <c r="Q83">
        <v>0</v>
      </c>
      <c r="R83">
        <v>0</v>
      </c>
      <c r="S83">
        <v>7.75</v>
      </c>
      <c r="T83">
        <v>5.25</v>
      </c>
      <c r="U83">
        <v>2</v>
      </c>
      <c r="V83">
        <v>15</v>
      </c>
      <c r="W83" s="4">
        <v>182.5</v>
      </c>
      <c r="X83" s="4">
        <v>0</v>
      </c>
      <c r="Y83">
        <v>4</v>
      </c>
      <c r="Z83">
        <v>2</v>
      </c>
      <c r="AA83" s="4">
        <v>0</v>
      </c>
      <c r="AB83" s="4">
        <v>60</v>
      </c>
      <c r="AC83" s="4">
        <v>10</v>
      </c>
      <c r="AD83" s="4">
        <v>0</v>
      </c>
      <c r="AE83" s="4">
        <v>0</v>
      </c>
      <c r="AF83" s="4">
        <v>60</v>
      </c>
      <c r="AG83" s="4">
        <v>232.5</v>
      </c>
      <c r="AH83" s="4">
        <v>232.5</v>
      </c>
      <c r="AI83" s="4">
        <v>0</v>
      </c>
      <c r="AJ83" s="4">
        <v>0</v>
      </c>
      <c r="AK83" s="4">
        <v>0</v>
      </c>
      <c r="AL83" s="4">
        <v>0</v>
      </c>
      <c r="AM83">
        <v>92</v>
      </c>
      <c r="AN83">
        <v>0</v>
      </c>
      <c r="AO83">
        <v>92</v>
      </c>
      <c r="AP83">
        <v>0</v>
      </c>
      <c r="AQ83">
        <v>7.75</v>
      </c>
      <c r="AR83">
        <v>0</v>
      </c>
      <c r="AS83">
        <v>7.75</v>
      </c>
      <c r="AT83">
        <v>0</v>
      </c>
      <c r="AU83">
        <v>5.25</v>
      </c>
      <c r="AV83">
        <v>0</v>
      </c>
      <c r="AW83">
        <v>5.25</v>
      </c>
      <c r="AX83">
        <v>0</v>
      </c>
    </row>
    <row r="84" spans="1:50">
      <c r="A84" t="s">
        <v>16980</v>
      </c>
      <c r="B84" t="s">
        <v>16981</v>
      </c>
      <c r="C84">
        <v>1</v>
      </c>
      <c r="D84">
        <v>1</v>
      </c>
      <c r="E84">
        <v>1</v>
      </c>
      <c r="F84">
        <v>1</v>
      </c>
      <c r="G84">
        <v>0</v>
      </c>
      <c r="H84">
        <v>0</v>
      </c>
      <c r="I84">
        <v>0</v>
      </c>
      <c r="J84">
        <v>1</v>
      </c>
      <c r="K84">
        <v>4</v>
      </c>
      <c r="L84">
        <v>0</v>
      </c>
      <c r="M84">
        <v>0</v>
      </c>
      <c r="N84">
        <v>0</v>
      </c>
      <c r="O84">
        <v>0</v>
      </c>
      <c r="P84">
        <v>0</v>
      </c>
      <c r="Q84">
        <v>1</v>
      </c>
      <c r="R84">
        <v>0</v>
      </c>
      <c r="S84">
        <v>0.5</v>
      </c>
      <c r="T84">
        <v>0.25</v>
      </c>
      <c r="U84">
        <v>0</v>
      </c>
      <c r="V84">
        <v>0.75</v>
      </c>
      <c r="W84" s="4">
        <v>0</v>
      </c>
      <c r="X84" s="4">
        <v>0</v>
      </c>
      <c r="Y84">
        <v>0</v>
      </c>
      <c r="Z84">
        <v>0</v>
      </c>
      <c r="AA84" s="4">
        <v>-10</v>
      </c>
      <c r="AB84" s="4">
        <v>0</v>
      </c>
      <c r="AC84" s="4">
        <v>51.5</v>
      </c>
      <c r="AD84" s="4">
        <v>0</v>
      </c>
      <c r="AE84" s="4">
        <v>0</v>
      </c>
      <c r="AF84" s="4">
        <v>0</v>
      </c>
      <c r="AG84" s="4">
        <v>51.5</v>
      </c>
      <c r="AH84" s="4">
        <v>51.5</v>
      </c>
      <c r="AI84" s="4">
        <v>0</v>
      </c>
      <c r="AJ84" s="4">
        <v>0</v>
      </c>
      <c r="AK84" s="4">
        <v>0</v>
      </c>
      <c r="AL84" s="4">
        <v>0</v>
      </c>
      <c r="AM84">
        <v>4</v>
      </c>
      <c r="AN84">
        <v>0</v>
      </c>
      <c r="AO84">
        <v>0</v>
      </c>
      <c r="AP84">
        <v>4</v>
      </c>
      <c r="AQ84">
        <v>0.5</v>
      </c>
      <c r="AR84">
        <v>0</v>
      </c>
      <c r="AS84">
        <v>0</v>
      </c>
      <c r="AT84">
        <v>0.5</v>
      </c>
      <c r="AU84">
        <v>0.25</v>
      </c>
      <c r="AV84">
        <v>0</v>
      </c>
      <c r="AW84">
        <v>0</v>
      </c>
      <c r="AX84">
        <v>0.25</v>
      </c>
    </row>
    <row r="85" spans="1:50">
      <c r="A85" t="s">
        <v>16982</v>
      </c>
      <c r="B85" t="s">
        <v>16982</v>
      </c>
      <c r="C85">
        <v>0</v>
      </c>
      <c r="D85">
        <v>1</v>
      </c>
      <c r="E85">
        <v>1</v>
      </c>
      <c r="F85">
        <v>1</v>
      </c>
      <c r="G85">
        <v>0</v>
      </c>
      <c r="H85">
        <v>0</v>
      </c>
      <c r="I85">
        <v>0</v>
      </c>
      <c r="J85">
        <v>1</v>
      </c>
      <c r="K85">
        <v>9</v>
      </c>
      <c r="L85">
        <v>0</v>
      </c>
      <c r="M85">
        <v>0</v>
      </c>
      <c r="N85">
        <v>1</v>
      </c>
      <c r="O85">
        <v>0</v>
      </c>
      <c r="P85">
        <v>0</v>
      </c>
      <c r="Q85">
        <v>0</v>
      </c>
      <c r="R85">
        <v>0</v>
      </c>
      <c r="S85">
        <v>0.25</v>
      </c>
      <c r="T85">
        <v>0.25</v>
      </c>
      <c r="U85">
        <v>0</v>
      </c>
      <c r="V85">
        <v>0.5</v>
      </c>
      <c r="W85" s="4">
        <v>7.5</v>
      </c>
      <c r="X85" s="4">
        <v>0</v>
      </c>
      <c r="Y85">
        <v>1</v>
      </c>
      <c r="Z85">
        <v>0</v>
      </c>
      <c r="AA85" s="4">
        <v>0</v>
      </c>
      <c r="AB85" s="4">
        <v>0</v>
      </c>
      <c r="AC85" s="4">
        <v>0</v>
      </c>
      <c r="AD85" s="4">
        <v>0</v>
      </c>
      <c r="AE85" s="4">
        <v>0</v>
      </c>
      <c r="AF85" s="4">
        <v>0</v>
      </c>
      <c r="AG85" s="4">
        <v>7.5</v>
      </c>
      <c r="AH85" s="4">
        <v>7.5</v>
      </c>
      <c r="AI85" s="4">
        <v>0</v>
      </c>
      <c r="AJ85" s="4">
        <v>0</v>
      </c>
      <c r="AK85" s="4">
        <v>0</v>
      </c>
      <c r="AL85" s="4">
        <v>0</v>
      </c>
      <c r="AM85">
        <v>9</v>
      </c>
      <c r="AN85">
        <v>0</v>
      </c>
      <c r="AO85">
        <v>9</v>
      </c>
      <c r="AP85">
        <v>0</v>
      </c>
      <c r="AQ85">
        <v>0.25</v>
      </c>
      <c r="AR85">
        <v>0</v>
      </c>
      <c r="AS85">
        <v>0.25</v>
      </c>
      <c r="AT85">
        <v>0</v>
      </c>
      <c r="AU85">
        <v>0.25</v>
      </c>
      <c r="AV85">
        <v>0</v>
      </c>
      <c r="AW85">
        <v>0.25</v>
      </c>
      <c r="AX85">
        <v>0</v>
      </c>
    </row>
    <row r="86" spans="1:50">
      <c r="A86" t="s">
        <v>16983</v>
      </c>
      <c r="B86" t="s">
        <v>16984</v>
      </c>
      <c r="C86">
        <v>0</v>
      </c>
      <c r="D86">
        <v>2</v>
      </c>
      <c r="E86">
        <v>2</v>
      </c>
      <c r="F86">
        <v>2</v>
      </c>
      <c r="G86">
        <v>1</v>
      </c>
      <c r="H86">
        <v>0</v>
      </c>
      <c r="I86">
        <v>0</v>
      </c>
      <c r="J86">
        <v>2</v>
      </c>
      <c r="K86">
        <v>22</v>
      </c>
      <c r="L86">
        <v>0</v>
      </c>
      <c r="M86">
        <v>0</v>
      </c>
      <c r="N86">
        <v>1</v>
      </c>
      <c r="O86">
        <v>0</v>
      </c>
      <c r="P86">
        <v>0</v>
      </c>
      <c r="Q86">
        <v>1</v>
      </c>
      <c r="R86">
        <v>0</v>
      </c>
      <c r="S86">
        <v>23</v>
      </c>
      <c r="T86">
        <v>9</v>
      </c>
      <c r="U86">
        <v>0</v>
      </c>
      <c r="V86">
        <v>32</v>
      </c>
      <c r="W86" s="4">
        <v>410</v>
      </c>
      <c r="X86" s="4">
        <v>0</v>
      </c>
      <c r="Y86">
        <v>2</v>
      </c>
      <c r="Z86">
        <v>0</v>
      </c>
      <c r="AA86" s="4">
        <v>0</v>
      </c>
      <c r="AB86" s="4">
        <v>350</v>
      </c>
      <c r="AC86" s="4">
        <v>20</v>
      </c>
      <c r="AD86" s="4">
        <v>0</v>
      </c>
      <c r="AE86" s="4">
        <v>20</v>
      </c>
      <c r="AF86" s="4">
        <v>350</v>
      </c>
      <c r="AG86" s="4">
        <v>430</v>
      </c>
      <c r="AH86" s="4">
        <v>410</v>
      </c>
      <c r="AI86" s="4">
        <v>0</v>
      </c>
      <c r="AJ86" s="4">
        <v>0</v>
      </c>
      <c r="AK86" s="4">
        <v>0</v>
      </c>
      <c r="AL86" s="4">
        <v>0</v>
      </c>
      <c r="AM86">
        <v>22</v>
      </c>
      <c r="AN86">
        <v>0</v>
      </c>
      <c r="AO86">
        <v>22</v>
      </c>
      <c r="AP86">
        <v>0</v>
      </c>
      <c r="AQ86">
        <v>23</v>
      </c>
      <c r="AR86">
        <v>0</v>
      </c>
      <c r="AS86">
        <v>23</v>
      </c>
      <c r="AT86">
        <v>0</v>
      </c>
      <c r="AU86">
        <v>9</v>
      </c>
      <c r="AV86">
        <v>0</v>
      </c>
      <c r="AW86">
        <v>9</v>
      </c>
      <c r="AX86">
        <v>0</v>
      </c>
    </row>
    <row r="87" spans="1:50">
      <c r="A87" t="s">
        <v>16985</v>
      </c>
      <c r="B87" t="s">
        <v>16986</v>
      </c>
      <c r="C87">
        <v>0</v>
      </c>
      <c r="D87">
        <v>8</v>
      </c>
      <c r="E87">
        <v>8</v>
      </c>
      <c r="F87">
        <v>7</v>
      </c>
      <c r="G87">
        <v>5</v>
      </c>
      <c r="H87">
        <v>0</v>
      </c>
      <c r="I87">
        <v>0</v>
      </c>
      <c r="J87">
        <v>8</v>
      </c>
      <c r="K87">
        <v>63</v>
      </c>
      <c r="L87">
        <v>2</v>
      </c>
      <c r="M87">
        <v>1</v>
      </c>
      <c r="N87">
        <v>5</v>
      </c>
      <c r="O87">
        <v>0</v>
      </c>
      <c r="P87">
        <v>0</v>
      </c>
      <c r="Q87">
        <v>0</v>
      </c>
      <c r="R87">
        <v>0</v>
      </c>
      <c r="S87">
        <v>16</v>
      </c>
      <c r="T87">
        <v>101</v>
      </c>
      <c r="U87">
        <v>0</v>
      </c>
      <c r="V87">
        <v>117</v>
      </c>
      <c r="W87" s="4">
        <v>2180</v>
      </c>
      <c r="X87" s="4">
        <v>0</v>
      </c>
      <c r="Y87">
        <v>7</v>
      </c>
      <c r="Z87">
        <v>0</v>
      </c>
      <c r="AA87" s="4">
        <v>0</v>
      </c>
      <c r="AB87" s="4">
        <v>2000</v>
      </c>
      <c r="AC87" s="4">
        <v>1235.25</v>
      </c>
      <c r="AD87" s="4">
        <v>0</v>
      </c>
      <c r="AE87" s="4">
        <v>1.5</v>
      </c>
      <c r="AF87" s="4">
        <v>2000</v>
      </c>
      <c r="AG87" s="4">
        <v>3415.25</v>
      </c>
      <c r="AH87" s="4">
        <v>3413.75</v>
      </c>
      <c r="AI87" s="4">
        <v>0</v>
      </c>
      <c r="AJ87" s="4">
        <v>0</v>
      </c>
      <c r="AK87" s="4">
        <v>0</v>
      </c>
      <c r="AL87" s="4">
        <v>0</v>
      </c>
      <c r="AM87">
        <v>63</v>
      </c>
      <c r="AN87">
        <v>0</v>
      </c>
      <c r="AO87">
        <v>63</v>
      </c>
      <c r="AP87">
        <v>0</v>
      </c>
      <c r="AQ87">
        <v>16</v>
      </c>
      <c r="AR87">
        <v>0</v>
      </c>
      <c r="AS87">
        <v>16</v>
      </c>
      <c r="AT87">
        <v>0</v>
      </c>
      <c r="AU87">
        <v>101</v>
      </c>
      <c r="AV87">
        <v>0</v>
      </c>
      <c r="AW87">
        <v>101</v>
      </c>
      <c r="AX87">
        <v>0</v>
      </c>
    </row>
    <row r="88" spans="1:50">
      <c r="A88" t="s">
        <v>16987</v>
      </c>
      <c r="B88" t="s">
        <v>16987</v>
      </c>
      <c r="C88">
        <v>0</v>
      </c>
      <c r="D88">
        <v>1</v>
      </c>
      <c r="E88">
        <v>1</v>
      </c>
      <c r="F88">
        <v>1</v>
      </c>
      <c r="G88">
        <v>0</v>
      </c>
      <c r="H88">
        <v>0</v>
      </c>
      <c r="I88">
        <v>0</v>
      </c>
      <c r="J88">
        <v>1</v>
      </c>
      <c r="K88">
        <v>11</v>
      </c>
      <c r="L88">
        <v>0</v>
      </c>
      <c r="M88">
        <v>0</v>
      </c>
      <c r="N88">
        <v>0</v>
      </c>
      <c r="O88">
        <v>0</v>
      </c>
      <c r="P88">
        <v>1</v>
      </c>
      <c r="Q88">
        <v>0</v>
      </c>
      <c r="R88">
        <v>0</v>
      </c>
      <c r="S88">
        <v>90.75</v>
      </c>
      <c r="T88">
        <v>84.25</v>
      </c>
      <c r="U88">
        <v>0</v>
      </c>
      <c r="V88">
        <v>175</v>
      </c>
      <c r="W88" s="4">
        <v>2592.5</v>
      </c>
      <c r="X88" s="4">
        <v>0</v>
      </c>
      <c r="Y88">
        <v>1</v>
      </c>
      <c r="Z88">
        <v>0</v>
      </c>
      <c r="AA88" s="4">
        <v>0</v>
      </c>
      <c r="AB88" s="4">
        <v>2562.5</v>
      </c>
      <c r="AC88" s="4">
        <v>2323.75</v>
      </c>
      <c r="AD88" s="4">
        <v>0</v>
      </c>
      <c r="AE88" s="4">
        <v>0</v>
      </c>
      <c r="AF88" s="4">
        <v>2562.5</v>
      </c>
      <c r="AG88" s="4">
        <v>2323.75</v>
      </c>
      <c r="AH88" s="4">
        <v>2323.75</v>
      </c>
      <c r="AI88" s="4">
        <v>0</v>
      </c>
      <c r="AJ88" s="4">
        <v>0</v>
      </c>
      <c r="AK88" s="4">
        <v>0</v>
      </c>
      <c r="AL88" s="4">
        <v>0</v>
      </c>
      <c r="AM88">
        <v>11</v>
      </c>
      <c r="AN88">
        <v>0</v>
      </c>
      <c r="AO88">
        <v>11</v>
      </c>
      <c r="AP88">
        <v>0</v>
      </c>
      <c r="AQ88">
        <v>90.75</v>
      </c>
      <c r="AR88">
        <v>0</v>
      </c>
      <c r="AS88">
        <v>90.75</v>
      </c>
      <c r="AT88">
        <v>0</v>
      </c>
      <c r="AU88">
        <v>84.25</v>
      </c>
      <c r="AV88">
        <v>0</v>
      </c>
      <c r="AW88">
        <v>84.25</v>
      </c>
      <c r="AX88">
        <v>0</v>
      </c>
    </row>
    <row r="89" spans="1:50">
      <c r="A89" t="s">
        <v>16988</v>
      </c>
      <c r="B89" t="s">
        <v>16989</v>
      </c>
      <c r="C89">
        <v>0</v>
      </c>
      <c r="D89">
        <v>0</v>
      </c>
      <c r="E89">
        <v>0</v>
      </c>
      <c r="F89">
        <v>0</v>
      </c>
      <c r="G89">
        <v>0</v>
      </c>
      <c r="H89">
        <v>0</v>
      </c>
      <c r="I89">
        <v>0</v>
      </c>
      <c r="J89">
        <v>0</v>
      </c>
      <c r="K89">
        <v>0</v>
      </c>
      <c r="L89">
        <v>0</v>
      </c>
      <c r="M89">
        <v>0</v>
      </c>
      <c r="N89">
        <v>0</v>
      </c>
      <c r="O89">
        <v>0</v>
      </c>
      <c r="P89">
        <v>0</v>
      </c>
      <c r="Q89">
        <v>0</v>
      </c>
      <c r="R89">
        <v>0</v>
      </c>
      <c r="S89">
        <v>0</v>
      </c>
      <c r="T89">
        <v>0</v>
      </c>
      <c r="U89">
        <v>0</v>
      </c>
      <c r="V89">
        <v>0</v>
      </c>
      <c r="W89" s="4">
        <v>0</v>
      </c>
      <c r="X89" s="4">
        <v>0</v>
      </c>
      <c r="Y89">
        <v>0</v>
      </c>
      <c r="Z89">
        <v>0</v>
      </c>
      <c r="AA89" s="4">
        <v>0</v>
      </c>
      <c r="AB89" s="4">
        <v>0</v>
      </c>
      <c r="AC89" s="4">
        <v>0</v>
      </c>
      <c r="AD89" s="4">
        <v>0</v>
      </c>
      <c r="AE89" s="4">
        <v>0</v>
      </c>
      <c r="AF89" s="4">
        <v>0</v>
      </c>
      <c r="AG89" s="4">
        <v>0</v>
      </c>
      <c r="AH89" s="4">
        <v>0</v>
      </c>
      <c r="AI89" s="4">
        <v>0</v>
      </c>
      <c r="AJ89" s="4">
        <v>0</v>
      </c>
      <c r="AK89" s="4">
        <v>0</v>
      </c>
      <c r="AL89" s="4">
        <v>0</v>
      </c>
      <c r="AM89">
        <v>0</v>
      </c>
      <c r="AN89">
        <v>0</v>
      </c>
      <c r="AO89">
        <v>0</v>
      </c>
      <c r="AP89">
        <v>0</v>
      </c>
      <c r="AQ89">
        <v>0</v>
      </c>
      <c r="AR89">
        <v>0</v>
      </c>
      <c r="AS89">
        <v>0</v>
      </c>
      <c r="AT89">
        <v>0</v>
      </c>
      <c r="AU89">
        <v>0</v>
      </c>
      <c r="AV89">
        <v>0</v>
      </c>
      <c r="AW89">
        <v>0</v>
      </c>
      <c r="AX89">
        <v>0</v>
      </c>
    </row>
    <row r="90" spans="1:50">
      <c r="A90" t="s">
        <v>17344</v>
      </c>
      <c r="B90" t="s">
        <v>17345</v>
      </c>
      <c r="C90">
        <v>0</v>
      </c>
      <c r="D90">
        <v>5</v>
      </c>
      <c r="E90">
        <v>3</v>
      </c>
      <c r="F90">
        <v>3</v>
      </c>
      <c r="G90">
        <v>2</v>
      </c>
      <c r="H90">
        <v>0</v>
      </c>
      <c r="I90">
        <v>0</v>
      </c>
      <c r="J90">
        <v>5</v>
      </c>
      <c r="K90">
        <v>65</v>
      </c>
      <c r="L90">
        <v>0</v>
      </c>
      <c r="M90">
        <v>0</v>
      </c>
      <c r="N90">
        <v>3</v>
      </c>
      <c r="O90">
        <v>0</v>
      </c>
      <c r="P90">
        <v>2</v>
      </c>
      <c r="Q90">
        <v>0</v>
      </c>
      <c r="R90">
        <v>0</v>
      </c>
      <c r="S90">
        <v>3.5</v>
      </c>
      <c r="T90">
        <v>1.25</v>
      </c>
      <c r="U90">
        <v>0</v>
      </c>
      <c r="V90">
        <v>4.75</v>
      </c>
      <c r="W90" s="4">
        <v>60</v>
      </c>
      <c r="X90" s="4">
        <v>0</v>
      </c>
      <c r="Y90">
        <v>3</v>
      </c>
      <c r="Z90">
        <v>0</v>
      </c>
      <c r="AA90" s="4">
        <v>0</v>
      </c>
      <c r="AB90" s="4">
        <v>0</v>
      </c>
      <c r="AC90" s="4">
        <v>74.75</v>
      </c>
      <c r="AD90" s="4">
        <v>0</v>
      </c>
      <c r="AE90" s="4">
        <v>74.75</v>
      </c>
      <c r="AF90" s="4">
        <v>0</v>
      </c>
      <c r="AG90" s="4">
        <v>134.75</v>
      </c>
      <c r="AH90" s="4">
        <v>60</v>
      </c>
      <c r="AI90" s="4">
        <v>0</v>
      </c>
      <c r="AJ90" s="4">
        <v>0</v>
      </c>
      <c r="AK90" s="4">
        <v>0</v>
      </c>
      <c r="AL90" s="4">
        <v>0</v>
      </c>
      <c r="AM90">
        <v>65</v>
      </c>
      <c r="AN90">
        <v>0</v>
      </c>
      <c r="AO90">
        <v>65</v>
      </c>
      <c r="AP90">
        <v>0</v>
      </c>
      <c r="AQ90">
        <v>3.5</v>
      </c>
      <c r="AR90">
        <v>0</v>
      </c>
      <c r="AS90">
        <v>3.5</v>
      </c>
      <c r="AT90">
        <v>0</v>
      </c>
      <c r="AU90">
        <v>1.25</v>
      </c>
      <c r="AV90">
        <v>0</v>
      </c>
      <c r="AW90">
        <v>1.25</v>
      </c>
      <c r="AX90">
        <v>0</v>
      </c>
    </row>
    <row r="91" spans="1:50">
      <c r="A91" t="s">
        <v>16990</v>
      </c>
      <c r="B91" t="s">
        <v>16990</v>
      </c>
      <c r="C91">
        <v>0</v>
      </c>
      <c r="D91">
        <v>17</v>
      </c>
      <c r="E91">
        <v>17</v>
      </c>
      <c r="F91">
        <v>15</v>
      </c>
      <c r="G91">
        <v>1</v>
      </c>
      <c r="H91">
        <v>0</v>
      </c>
      <c r="I91">
        <v>0</v>
      </c>
      <c r="J91">
        <v>17</v>
      </c>
      <c r="K91">
        <v>152</v>
      </c>
      <c r="L91">
        <v>6</v>
      </c>
      <c r="M91">
        <v>3</v>
      </c>
      <c r="N91">
        <v>4</v>
      </c>
      <c r="O91">
        <v>4</v>
      </c>
      <c r="P91">
        <v>0</v>
      </c>
      <c r="Q91">
        <v>0</v>
      </c>
      <c r="R91">
        <v>0</v>
      </c>
      <c r="S91">
        <v>2.5</v>
      </c>
      <c r="T91">
        <v>2</v>
      </c>
      <c r="U91">
        <v>10</v>
      </c>
      <c r="V91">
        <v>14.5</v>
      </c>
      <c r="W91" s="4">
        <v>65</v>
      </c>
      <c r="X91" s="4">
        <v>0</v>
      </c>
      <c r="Y91">
        <v>17</v>
      </c>
      <c r="Z91">
        <v>0</v>
      </c>
      <c r="AA91" s="4">
        <v>0</v>
      </c>
      <c r="AB91" s="4">
        <v>0</v>
      </c>
      <c r="AC91" s="4">
        <v>19.11</v>
      </c>
      <c r="AD91" s="4">
        <v>9.85</v>
      </c>
      <c r="AE91" s="4">
        <v>19.350000000000001</v>
      </c>
      <c r="AF91" s="4">
        <v>9.85</v>
      </c>
      <c r="AG91" s="4">
        <v>284.11</v>
      </c>
      <c r="AH91" s="4">
        <v>267</v>
      </c>
      <c r="AI91" s="4">
        <v>0</v>
      </c>
      <c r="AJ91" s="4">
        <v>0</v>
      </c>
      <c r="AK91" s="4">
        <v>0</v>
      </c>
      <c r="AL91" s="4">
        <v>0</v>
      </c>
      <c r="AM91">
        <v>152</v>
      </c>
      <c r="AN91">
        <v>0</v>
      </c>
      <c r="AO91">
        <v>152</v>
      </c>
      <c r="AP91">
        <v>0</v>
      </c>
      <c r="AQ91">
        <v>2.5</v>
      </c>
      <c r="AR91">
        <v>0</v>
      </c>
      <c r="AS91">
        <v>2.5</v>
      </c>
      <c r="AT91">
        <v>0</v>
      </c>
      <c r="AU91">
        <v>2</v>
      </c>
      <c r="AV91">
        <v>0</v>
      </c>
      <c r="AW91">
        <v>2</v>
      </c>
      <c r="AX91">
        <v>0</v>
      </c>
    </row>
    <row r="92" spans="1:50">
      <c r="A92" t="s">
        <v>16991</v>
      </c>
      <c r="B92" t="s">
        <v>16991</v>
      </c>
      <c r="C92">
        <v>0</v>
      </c>
      <c r="D92">
        <v>0</v>
      </c>
      <c r="E92">
        <v>0</v>
      </c>
      <c r="F92">
        <v>0</v>
      </c>
      <c r="G92">
        <v>0</v>
      </c>
      <c r="H92">
        <v>0</v>
      </c>
      <c r="I92">
        <v>0</v>
      </c>
      <c r="J92">
        <v>0</v>
      </c>
      <c r="K92">
        <v>0</v>
      </c>
      <c r="L92">
        <v>0</v>
      </c>
      <c r="M92">
        <v>0</v>
      </c>
      <c r="N92">
        <v>0</v>
      </c>
      <c r="O92">
        <v>0</v>
      </c>
      <c r="P92">
        <v>0</v>
      </c>
      <c r="Q92">
        <v>0</v>
      </c>
      <c r="R92">
        <v>0</v>
      </c>
      <c r="S92">
        <v>0</v>
      </c>
      <c r="T92">
        <v>0</v>
      </c>
      <c r="U92">
        <v>0</v>
      </c>
      <c r="V92">
        <v>0</v>
      </c>
      <c r="W92" s="4">
        <v>0</v>
      </c>
      <c r="X92" s="4">
        <v>0</v>
      </c>
      <c r="Y92">
        <v>0</v>
      </c>
      <c r="Z92">
        <v>0</v>
      </c>
      <c r="AA92" s="4">
        <v>0</v>
      </c>
      <c r="AB92" s="4">
        <v>0</v>
      </c>
      <c r="AC92" s="4">
        <v>0</v>
      </c>
      <c r="AD92" s="4">
        <v>0</v>
      </c>
      <c r="AE92" s="4">
        <v>0</v>
      </c>
      <c r="AF92" s="4">
        <v>0</v>
      </c>
      <c r="AG92" s="4">
        <v>0</v>
      </c>
      <c r="AH92" s="4">
        <v>0</v>
      </c>
      <c r="AI92" s="4">
        <v>0</v>
      </c>
      <c r="AJ92" s="4">
        <v>0</v>
      </c>
      <c r="AK92" s="4">
        <v>0</v>
      </c>
      <c r="AL92" s="4">
        <v>0</v>
      </c>
      <c r="AM92">
        <v>0</v>
      </c>
      <c r="AN92">
        <v>0</v>
      </c>
      <c r="AO92">
        <v>0</v>
      </c>
      <c r="AP92">
        <v>0</v>
      </c>
      <c r="AQ92">
        <v>0</v>
      </c>
      <c r="AR92">
        <v>0</v>
      </c>
      <c r="AS92">
        <v>0</v>
      </c>
      <c r="AT92">
        <v>0</v>
      </c>
      <c r="AU92">
        <v>0</v>
      </c>
      <c r="AV92">
        <v>0</v>
      </c>
      <c r="AW92">
        <v>0</v>
      </c>
      <c r="AX92">
        <v>0</v>
      </c>
    </row>
    <row r="93" spans="1:50">
      <c r="A93" t="s">
        <v>16992</v>
      </c>
      <c r="B93" t="s">
        <v>16992</v>
      </c>
      <c r="C93">
        <v>0</v>
      </c>
      <c r="D93">
        <v>5</v>
      </c>
      <c r="E93">
        <v>4</v>
      </c>
      <c r="F93">
        <v>4</v>
      </c>
      <c r="G93">
        <v>0</v>
      </c>
      <c r="H93">
        <v>0</v>
      </c>
      <c r="I93">
        <v>0</v>
      </c>
      <c r="J93">
        <v>5</v>
      </c>
      <c r="K93">
        <v>51</v>
      </c>
      <c r="L93">
        <v>0</v>
      </c>
      <c r="M93">
        <v>0</v>
      </c>
      <c r="N93">
        <v>2</v>
      </c>
      <c r="O93">
        <v>0</v>
      </c>
      <c r="P93">
        <v>3</v>
      </c>
      <c r="Q93">
        <v>0</v>
      </c>
      <c r="R93">
        <v>0</v>
      </c>
      <c r="S93">
        <v>1.5</v>
      </c>
      <c r="T93">
        <v>1.5</v>
      </c>
      <c r="U93">
        <v>0</v>
      </c>
      <c r="V93">
        <v>3</v>
      </c>
      <c r="W93" s="4">
        <v>45</v>
      </c>
      <c r="X93" s="4">
        <v>0</v>
      </c>
      <c r="Y93">
        <v>5</v>
      </c>
      <c r="Z93">
        <v>0</v>
      </c>
      <c r="AA93" s="4">
        <v>0</v>
      </c>
      <c r="AB93" s="4">
        <v>0</v>
      </c>
      <c r="AC93" s="4">
        <v>14.75</v>
      </c>
      <c r="AD93" s="4">
        <v>0</v>
      </c>
      <c r="AE93" s="4">
        <v>14.75</v>
      </c>
      <c r="AF93" s="4">
        <v>0</v>
      </c>
      <c r="AG93" s="4">
        <v>59.75</v>
      </c>
      <c r="AH93" s="4">
        <v>45</v>
      </c>
      <c r="AI93" s="4">
        <v>0</v>
      </c>
      <c r="AJ93" s="4">
        <v>0</v>
      </c>
      <c r="AK93" s="4">
        <v>0</v>
      </c>
      <c r="AL93" s="4">
        <v>0</v>
      </c>
      <c r="AM93">
        <v>51</v>
      </c>
      <c r="AN93">
        <v>0</v>
      </c>
      <c r="AO93">
        <v>51</v>
      </c>
      <c r="AP93">
        <v>0</v>
      </c>
      <c r="AQ93">
        <v>1.5</v>
      </c>
      <c r="AR93">
        <v>0</v>
      </c>
      <c r="AS93">
        <v>1.5</v>
      </c>
      <c r="AT93">
        <v>0</v>
      </c>
      <c r="AU93">
        <v>1.5</v>
      </c>
      <c r="AV93">
        <v>0</v>
      </c>
      <c r="AW93">
        <v>1.5</v>
      </c>
      <c r="AX93">
        <v>0</v>
      </c>
    </row>
    <row r="94" spans="1:50">
      <c r="A94" t="s">
        <v>16993</v>
      </c>
      <c r="B94" t="s">
        <v>16994</v>
      </c>
      <c r="C94">
        <v>0</v>
      </c>
      <c r="D94">
        <v>0</v>
      </c>
      <c r="E94">
        <v>0</v>
      </c>
      <c r="F94">
        <v>0</v>
      </c>
      <c r="G94">
        <v>0</v>
      </c>
      <c r="H94">
        <v>0</v>
      </c>
      <c r="I94">
        <v>0</v>
      </c>
      <c r="J94">
        <v>0</v>
      </c>
      <c r="K94">
        <v>0</v>
      </c>
      <c r="L94">
        <v>0</v>
      </c>
      <c r="M94">
        <v>0</v>
      </c>
      <c r="N94">
        <v>0</v>
      </c>
      <c r="O94">
        <v>0</v>
      </c>
      <c r="P94">
        <v>0</v>
      </c>
      <c r="Q94">
        <v>0</v>
      </c>
      <c r="R94">
        <v>0</v>
      </c>
      <c r="S94">
        <v>0</v>
      </c>
      <c r="T94">
        <v>0</v>
      </c>
      <c r="U94">
        <v>0</v>
      </c>
      <c r="V94">
        <v>0</v>
      </c>
      <c r="W94" s="4">
        <v>0</v>
      </c>
      <c r="X94" s="4">
        <v>0</v>
      </c>
      <c r="Y94">
        <v>0</v>
      </c>
      <c r="Z94">
        <v>0</v>
      </c>
      <c r="AA94" s="4">
        <v>0</v>
      </c>
      <c r="AB94" s="4">
        <v>0</v>
      </c>
      <c r="AC94" s="4">
        <v>0</v>
      </c>
      <c r="AD94" s="4">
        <v>0</v>
      </c>
      <c r="AE94" s="4">
        <v>0</v>
      </c>
      <c r="AF94" s="4">
        <v>0</v>
      </c>
      <c r="AG94" s="4">
        <v>0</v>
      </c>
      <c r="AH94" s="4">
        <v>0</v>
      </c>
      <c r="AI94" s="4">
        <v>0</v>
      </c>
      <c r="AJ94" s="4">
        <v>0</v>
      </c>
      <c r="AK94" s="4">
        <v>0</v>
      </c>
      <c r="AL94" s="4">
        <v>0</v>
      </c>
      <c r="AM94">
        <v>0</v>
      </c>
      <c r="AN94">
        <v>0</v>
      </c>
      <c r="AO94">
        <v>0</v>
      </c>
      <c r="AP94">
        <v>0</v>
      </c>
      <c r="AQ94">
        <v>0</v>
      </c>
      <c r="AR94">
        <v>0</v>
      </c>
      <c r="AS94">
        <v>0</v>
      </c>
      <c r="AT94">
        <v>0</v>
      </c>
      <c r="AU94">
        <v>0</v>
      </c>
      <c r="AV94">
        <v>0</v>
      </c>
      <c r="AW94">
        <v>0</v>
      </c>
      <c r="AX94">
        <v>0</v>
      </c>
    </row>
    <row r="95" spans="1:50">
      <c r="A95" t="s">
        <v>16995</v>
      </c>
      <c r="B95" t="s">
        <v>16996</v>
      </c>
      <c r="C95">
        <v>0</v>
      </c>
      <c r="D95">
        <v>0</v>
      </c>
      <c r="E95">
        <v>0</v>
      </c>
      <c r="F95">
        <v>0</v>
      </c>
      <c r="G95">
        <v>0</v>
      </c>
      <c r="H95">
        <v>0</v>
      </c>
      <c r="I95">
        <v>0</v>
      </c>
      <c r="J95">
        <v>0</v>
      </c>
      <c r="K95">
        <v>0</v>
      </c>
      <c r="L95">
        <v>0</v>
      </c>
      <c r="M95">
        <v>0</v>
      </c>
      <c r="N95">
        <v>0</v>
      </c>
      <c r="O95">
        <v>0</v>
      </c>
      <c r="P95">
        <v>0</v>
      </c>
      <c r="Q95">
        <v>0</v>
      </c>
      <c r="R95">
        <v>0</v>
      </c>
      <c r="S95">
        <v>0</v>
      </c>
      <c r="T95">
        <v>0</v>
      </c>
      <c r="U95">
        <v>0</v>
      </c>
      <c r="V95">
        <v>0</v>
      </c>
      <c r="W95" s="4">
        <v>0</v>
      </c>
      <c r="X95" s="4">
        <v>0</v>
      </c>
      <c r="Y95">
        <v>0</v>
      </c>
      <c r="Z95">
        <v>0</v>
      </c>
      <c r="AA95" s="4">
        <v>0</v>
      </c>
      <c r="AB95" s="4">
        <v>0</v>
      </c>
      <c r="AC95" s="4">
        <v>0</v>
      </c>
      <c r="AD95" s="4">
        <v>0</v>
      </c>
      <c r="AE95" s="4">
        <v>0</v>
      </c>
      <c r="AF95" s="4">
        <v>0</v>
      </c>
      <c r="AG95" s="4">
        <v>0</v>
      </c>
      <c r="AH95" s="4">
        <v>0</v>
      </c>
      <c r="AI95" s="4">
        <v>0</v>
      </c>
      <c r="AJ95" s="4">
        <v>0</v>
      </c>
      <c r="AK95" s="4">
        <v>0</v>
      </c>
      <c r="AL95" s="4">
        <v>0</v>
      </c>
      <c r="AM95">
        <v>0</v>
      </c>
      <c r="AN95">
        <v>0</v>
      </c>
      <c r="AO95">
        <v>0</v>
      </c>
      <c r="AP95">
        <v>0</v>
      </c>
      <c r="AQ95">
        <v>0</v>
      </c>
      <c r="AR95">
        <v>0</v>
      </c>
      <c r="AS95">
        <v>0</v>
      </c>
      <c r="AT95">
        <v>0</v>
      </c>
      <c r="AU95">
        <v>0</v>
      </c>
      <c r="AV95">
        <v>0</v>
      </c>
      <c r="AW95">
        <v>0</v>
      </c>
      <c r="AX95">
        <v>0</v>
      </c>
    </row>
    <row r="96" spans="1:50">
      <c r="A96" t="s">
        <v>16997</v>
      </c>
      <c r="B96" t="s">
        <v>16998</v>
      </c>
      <c r="C96">
        <v>0</v>
      </c>
      <c r="D96">
        <v>0</v>
      </c>
      <c r="E96">
        <v>0</v>
      </c>
      <c r="F96">
        <v>0</v>
      </c>
      <c r="G96">
        <v>0</v>
      </c>
      <c r="H96">
        <v>0</v>
      </c>
      <c r="I96">
        <v>0</v>
      </c>
      <c r="J96">
        <v>0</v>
      </c>
      <c r="K96">
        <v>0</v>
      </c>
      <c r="L96">
        <v>0</v>
      </c>
      <c r="M96">
        <v>0</v>
      </c>
      <c r="N96">
        <v>0</v>
      </c>
      <c r="O96">
        <v>0</v>
      </c>
      <c r="P96">
        <v>0</v>
      </c>
      <c r="Q96">
        <v>0</v>
      </c>
      <c r="R96">
        <v>0</v>
      </c>
      <c r="S96">
        <v>0</v>
      </c>
      <c r="T96">
        <v>0</v>
      </c>
      <c r="U96">
        <v>0</v>
      </c>
      <c r="V96">
        <v>0</v>
      </c>
      <c r="W96" s="4">
        <v>0</v>
      </c>
      <c r="X96" s="4">
        <v>0</v>
      </c>
      <c r="Y96">
        <v>0</v>
      </c>
      <c r="Z96">
        <v>0</v>
      </c>
      <c r="AA96" s="4">
        <v>0</v>
      </c>
      <c r="AB96" s="4">
        <v>0</v>
      </c>
      <c r="AC96" s="4">
        <v>0</v>
      </c>
      <c r="AD96" s="4">
        <v>0</v>
      </c>
      <c r="AE96" s="4">
        <v>0</v>
      </c>
      <c r="AF96" s="4">
        <v>0</v>
      </c>
      <c r="AG96" s="4">
        <v>0</v>
      </c>
      <c r="AH96" s="4">
        <v>0</v>
      </c>
      <c r="AI96" s="4">
        <v>0</v>
      </c>
      <c r="AJ96" s="4">
        <v>0</v>
      </c>
      <c r="AK96" s="4">
        <v>0</v>
      </c>
      <c r="AL96" s="4">
        <v>0</v>
      </c>
      <c r="AM96">
        <v>0</v>
      </c>
      <c r="AN96">
        <v>0</v>
      </c>
      <c r="AO96">
        <v>0</v>
      </c>
      <c r="AP96">
        <v>0</v>
      </c>
      <c r="AQ96">
        <v>0</v>
      </c>
      <c r="AR96">
        <v>0</v>
      </c>
      <c r="AS96">
        <v>0</v>
      </c>
      <c r="AT96">
        <v>0</v>
      </c>
      <c r="AU96">
        <v>0</v>
      </c>
      <c r="AV96">
        <v>0</v>
      </c>
      <c r="AW96">
        <v>0</v>
      </c>
      <c r="AX96">
        <v>0</v>
      </c>
    </row>
    <row r="97" spans="1:51">
      <c r="A97" t="s">
        <v>16999</v>
      </c>
      <c r="B97" t="s">
        <v>17000</v>
      </c>
      <c r="C97">
        <v>1</v>
      </c>
      <c r="D97">
        <v>33</v>
      </c>
      <c r="E97">
        <v>31</v>
      </c>
      <c r="F97">
        <v>26</v>
      </c>
      <c r="G97">
        <v>8</v>
      </c>
      <c r="H97">
        <v>6</v>
      </c>
      <c r="I97">
        <v>1</v>
      </c>
      <c r="J97">
        <v>25</v>
      </c>
      <c r="K97">
        <v>283</v>
      </c>
      <c r="L97">
        <v>22</v>
      </c>
      <c r="M97">
        <v>5</v>
      </c>
      <c r="N97">
        <v>2</v>
      </c>
      <c r="O97">
        <v>1</v>
      </c>
      <c r="P97">
        <v>0</v>
      </c>
      <c r="Q97">
        <v>4</v>
      </c>
      <c r="R97">
        <v>0</v>
      </c>
      <c r="S97">
        <v>31.75</v>
      </c>
      <c r="T97">
        <v>104</v>
      </c>
      <c r="U97">
        <v>2</v>
      </c>
      <c r="V97">
        <v>137.5</v>
      </c>
      <c r="W97" s="4">
        <v>2395</v>
      </c>
      <c r="X97" s="4">
        <v>0</v>
      </c>
      <c r="Y97">
        <v>0</v>
      </c>
      <c r="Z97">
        <v>0</v>
      </c>
      <c r="AA97" s="4">
        <v>-2.5</v>
      </c>
      <c r="AB97" s="4">
        <v>3725</v>
      </c>
      <c r="AC97" s="4">
        <v>129.05000000000001</v>
      </c>
      <c r="AD97" s="4">
        <v>17.95</v>
      </c>
      <c r="AE97" s="4">
        <v>1683.65</v>
      </c>
      <c r="AF97" s="4">
        <v>3742.95</v>
      </c>
      <c r="AG97" s="4">
        <v>2564.0500000000002</v>
      </c>
      <c r="AH97" s="4">
        <v>880.4</v>
      </c>
      <c r="AI97" s="4">
        <v>17.95</v>
      </c>
      <c r="AJ97" s="4">
        <v>790.45</v>
      </c>
      <c r="AK97" s="4">
        <v>565.85</v>
      </c>
      <c r="AL97" s="4">
        <v>547.9</v>
      </c>
      <c r="AM97">
        <v>283</v>
      </c>
      <c r="AN97">
        <v>81</v>
      </c>
      <c r="AO97">
        <v>202</v>
      </c>
      <c r="AP97">
        <v>0</v>
      </c>
      <c r="AQ97">
        <v>31.75</v>
      </c>
      <c r="AR97">
        <v>18.25</v>
      </c>
      <c r="AS97">
        <v>13.25</v>
      </c>
      <c r="AT97">
        <v>0.25</v>
      </c>
      <c r="AU97">
        <v>104</v>
      </c>
      <c r="AV97">
        <v>16</v>
      </c>
      <c r="AW97">
        <v>88</v>
      </c>
      <c r="AX97">
        <v>0</v>
      </c>
    </row>
    <row r="98" spans="1:51">
      <c r="A98" t="s">
        <v>16969</v>
      </c>
      <c r="B98" t="s">
        <v>16970</v>
      </c>
      <c r="C98">
        <v>0</v>
      </c>
      <c r="D98">
        <v>0</v>
      </c>
      <c r="E98">
        <v>0</v>
      </c>
      <c r="F98">
        <v>0</v>
      </c>
      <c r="G98">
        <v>0</v>
      </c>
      <c r="H98">
        <v>0</v>
      </c>
      <c r="I98">
        <v>0</v>
      </c>
      <c r="J98">
        <v>0</v>
      </c>
      <c r="K98">
        <v>0</v>
      </c>
      <c r="L98">
        <v>0</v>
      </c>
      <c r="M98">
        <v>0</v>
      </c>
      <c r="N98">
        <v>0</v>
      </c>
      <c r="O98">
        <v>0</v>
      </c>
      <c r="P98">
        <v>0</v>
      </c>
      <c r="Q98">
        <v>0</v>
      </c>
      <c r="R98">
        <v>0</v>
      </c>
      <c r="S98">
        <v>0</v>
      </c>
      <c r="T98">
        <v>0</v>
      </c>
      <c r="U98">
        <v>0</v>
      </c>
      <c r="V98">
        <v>0</v>
      </c>
      <c r="W98" s="4">
        <v>0</v>
      </c>
      <c r="X98" s="4">
        <v>0</v>
      </c>
      <c r="Y98">
        <v>0</v>
      </c>
      <c r="Z98">
        <v>0</v>
      </c>
      <c r="AA98" s="4">
        <v>0</v>
      </c>
      <c r="AB98" s="4">
        <v>0</v>
      </c>
      <c r="AC98" s="4">
        <v>0</v>
      </c>
      <c r="AD98" s="4">
        <v>0</v>
      </c>
      <c r="AE98" s="4">
        <v>0</v>
      </c>
      <c r="AF98" s="4">
        <v>0</v>
      </c>
      <c r="AG98" s="4">
        <v>0</v>
      </c>
      <c r="AH98" s="4">
        <v>0</v>
      </c>
      <c r="AI98" s="4">
        <v>0</v>
      </c>
      <c r="AJ98" s="4">
        <v>0</v>
      </c>
      <c r="AK98" s="4">
        <v>0</v>
      </c>
      <c r="AL98" s="4">
        <v>0</v>
      </c>
      <c r="AM98">
        <v>0</v>
      </c>
      <c r="AN98">
        <v>0</v>
      </c>
      <c r="AO98">
        <v>0</v>
      </c>
      <c r="AP98">
        <v>0</v>
      </c>
      <c r="AQ98">
        <v>0</v>
      </c>
      <c r="AR98">
        <v>0</v>
      </c>
      <c r="AS98">
        <v>0</v>
      </c>
      <c r="AT98">
        <v>0</v>
      </c>
      <c r="AU98">
        <v>0</v>
      </c>
      <c r="AV98">
        <v>0</v>
      </c>
      <c r="AW98">
        <v>0</v>
      </c>
      <c r="AX98">
        <v>0</v>
      </c>
    </row>
    <row r="99" spans="1:51">
      <c r="A99" t="s">
        <v>16969</v>
      </c>
      <c r="B99" t="s">
        <v>17406</v>
      </c>
      <c r="C99">
        <v>0</v>
      </c>
      <c r="D99">
        <v>20</v>
      </c>
      <c r="E99">
        <v>3</v>
      </c>
      <c r="F99">
        <v>20</v>
      </c>
      <c r="G99">
        <v>0</v>
      </c>
      <c r="H99">
        <v>1</v>
      </c>
      <c r="I99">
        <v>1</v>
      </c>
      <c r="J99">
        <v>20</v>
      </c>
      <c r="K99">
        <v>78</v>
      </c>
      <c r="L99">
        <v>16</v>
      </c>
      <c r="M99">
        <v>0</v>
      </c>
      <c r="N99">
        <v>4</v>
      </c>
      <c r="O99">
        <v>0</v>
      </c>
      <c r="P99">
        <v>0</v>
      </c>
      <c r="Q99">
        <v>0</v>
      </c>
      <c r="R99">
        <v>0</v>
      </c>
      <c r="S99">
        <v>11.5</v>
      </c>
      <c r="T99">
        <v>12.75</v>
      </c>
      <c r="U99">
        <v>0</v>
      </c>
      <c r="V99">
        <v>24.25</v>
      </c>
      <c r="W99" s="4">
        <v>370</v>
      </c>
      <c r="X99" s="4">
        <v>0</v>
      </c>
      <c r="Y99">
        <v>0</v>
      </c>
      <c r="Z99">
        <v>20</v>
      </c>
      <c r="AA99" s="4">
        <v>0</v>
      </c>
      <c r="AB99" s="4">
        <v>0</v>
      </c>
      <c r="AC99" s="4">
        <v>0</v>
      </c>
      <c r="AD99" s="4">
        <v>0</v>
      </c>
      <c r="AE99" s="4">
        <v>0</v>
      </c>
      <c r="AF99" s="4">
        <v>0</v>
      </c>
      <c r="AG99" s="4">
        <v>370</v>
      </c>
      <c r="AH99" s="4">
        <v>370</v>
      </c>
      <c r="AI99" s="4">
        <v>0</v>
      </c>
      <c r="AJ99" s="4">
        <v>0</v>
      </c>
      <c r="AK99" s="4">
        <v>60</v>
      </c>
      <c r="AL99" s="4">
        <v>60</v>
      </c>
      <c r="AM99">
        <v>78</v>
      </c>
      <c r="AN99">
        <v>13</v>
      </c>
      <c r="AO99">
        <v>65</v>
      </c>
      <c r="AP99">
        <v>0</v>
      </c>
      <c r="AQ99">
        <v>11.5</v>
      </c>
      <c r="AR99">
        <v>4</v>
      </c>
      <c r="AS99">
        <v>7.5</v>
      </c>
      <c r="AT99">
        <v>0</v>
      </c>
      <c r="AU99">
        <v>12.75</v>
      </c>
      <c r="AV99">
        <v>1</v>
      </c>
      <c r="AW99">
        <v>11.75</v>
      </c>
      <c r="AX99">
        <v>0</v>
      </c>
    </row>
    <row r="100" spans="1:51">
      <c r="A100" t="s">
        <v>16969</v>
      </c>
      <c r="B100" t="s">
        <v>17002</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s="4">
        <v>0</v>
      </c>
      <c r="X100" s="4">
        <v>0</v>
      </c>
      <c r="Y100">
        <v>0</v>
      </c>
      <c r="Z100">
        <v>0</v>
      </c>
      <c r="AA100" s="4">
        <v>0</v>
      </c>
      <c r="AB100" s="4">
        <v>0</v>
      </c>
      <c r="AC100" s="4">
        <v>0</v>
      </c>
      <c r="AD100" s="4">
        <v>0</v>
      </c>
      <c r="AE100" s="4">
        <v>0</v>
      </c>
      <c r="AF100" s="4">
        <v>0</v>
      </c>
      <c r="AG100" s="4">
        <v>0</v>
      </c>
      <c r="AH100" s="4">
        <v>0</v>
      </c>
      <c r="AI100" s="4">
        <v>0</v>
      </c>
      <c r="AJ100" s="4">
        <v>0</v>
      </c>
      <c r="AK100" s="4">
        <v>0</v>
      </c>
      <c r="AL100" s="4">
        <v>0</v>
      </c>
      <c r="AM100">
        <v>0</v>
      </c>
      <c r="AN100">
        <v>0</v>
      </c>
      <c r="AO100">
        <v>0</v>
      </c>
      <c r="AP100">
        <v>0</v>
      </c>
      <c r="AQ100">
        <v>0</v>
      </c>
      <c r="AR100">
        <v>0</v>
      </c>
      <c r="AS100">
        <v>0</v>
      </c>
      <c r="AT100">
        <v>0</v>
      </c>
      <c r="AU100">
        <v>0</v>
      </c>
      <c r="AV100">
        <v>0</v>
      </c>
      <c r="AW100">
        <v>0</v>
      </c>
      <c r="AX100">
        <v>0</v>
      </c>
      <c r="AY100">
        <v>999</v>
      </c>
    </row>
    <row r="101" spans="1:51">
      <c r="A101" t="s">
        <v>16969</v>
      </c>
      <c r="B101" t="s">
        <v>17003</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s="4">
        <v>0</v>
      </c>
      <c r="X101" s="4">
        <v>0</v>
      </c>
      <c r="Y101">
        <v>0</v>
      </c>
      <c r="Z101">
        <v>0</v>
      </c>
      <c r="AA101" s="4">
        <v>0</v>
      </c>
      <c r="AB101" s="4">
        <v>0</v>
      </c>
      <c r="AC101" s="4">
        <v>0</v>
      </c>
      <c r="AD101" s="4">
        <v>0</v>
      </c>
      <c r="AE101" s="4">
        <v>0</v>
      </c>
      <c r="AF101" s="4">
        <v>0</v>
      </c>
      <c r="AG101" s="4">
        <v>0</v>
      </c>
      <c r="AH101" s="4">
        <v>0</v>
      </c>
      <c r="AI101" s="4">
        <v>0</v>
      </c>
      <c r="AJ101" s="4">
        <v>0</v>
      </c>
      <c r="AK101" s="4">
        <v>0</v>
      </c>
      <c r="AL101" s="4">
        <v>0</v>
      </c>
      <c r="AM101">
        <v>0</v>
      </c>
      <c r="AN101">
        <v>0</v>
      </c>
      <c r="AO101">
        <v>0</v>
      </c>
      <c r="AP101">
        <v>0</v>
      </c>
      <c r="AQ101">
        <v>0</v>
      </c>
      <c r="AR101">
        <v>0</v>
      </c>
      <c r="AS101">
        <v>0</v>
      </c>
      <c r="AT101">
        <v>0</v>
      </c>
      <c r="AU101">
        <v>0</v>
      </c>
      <c r="AV101">
        <v>0</v>
      </c>
      <c r="AW101">
        <v>0</v>
      </c>
      <c r="AX101">
        <v>0</v>
      </c>
    </row>
    <row r="102" spans="1:51">
      <c r="A102" t="s">
        <v>16969</v>
      </c>
      <c r="B102" t="s">
        <v>17004</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s="4">
        <v>0</v>
      </c>
      <c r="X102" s="4">
        <v>0</v>
      </c>
      <c r="Y102">
        <v>0</v>
      </c>
      <c r="Z102">
        <v>0</v>
      </c>
      <c r="AA102" s="4">
        <v>0</v>
      </c>
      <c r="AB102" s="4">
        <v>0</v>
      </c>
      <c r="AC102" s="4">
        <v>0</v>
      </c>
      <c r="AD102" s="4">
        <v>0</v>
      </c>
      <c r="AE102" s="4">
        <v>0</v>
      </c>
      <c r="AF102" s="4">
        <v>0</v>
      </c>
      <c r="AG102" s="4">
        <v>0</v>
      </c>
      <c r="AH102" s="4">
        <v>0</v>
      </c>
      <c r="AI102" s="4">
        <v>0</v>
      </c>
      <c r="AJ102" s="4">
        <v>0</v>
      </c>
      <c r="AK102" s="4">
        <v>0</v>
      </c>
      <c r="AL102" s="4">
        <v>0</v>
      </c>
      <c r="AM102">
        <v>0</v>
      </c>
      <c r="AN102">
        <v>0</v>
      </c>
      <c r="AO102">
        <v>0</v>
      </c>
      <c r="AP102">
        <v>0</v>
      </c>
      <c r="AQ102">
        <v>0</v>
      </c>
      <c r="AR102">
        <v>0</v>
      </c>
      <c r="AS102">
        <v>0</v>
      </c>
      <c r="AT102">
        <v>0</v>
      </c>
      <c r="AU102">
        <v>0</v>
      </c>
      <c r="AV102">
        <v>0</v>
      </c>
      <c r="AW102">
        <v>0</v>
      </c>
      <c r="AX102">
        <v>0</v>
      </c>
    </row>
    <row r="103" spans="1:51">
      <c r="A103" t="s">
        <v>16969</v>
      </c>
      <c r="B103" t="s">
        <v>17006</v>
      </c>
      <c r="C103">
        <v>0</v>
      </c>
      <c r="D103">
        <v>1</v>
      </c>
      <c r="E103">
        <v>0</v>
      </c>
      <c r="F103">
        <v>0</v>
      </c>
      <c r="G103">
        <v>0</v>
      </c>
      <c r="H103">
        <v>0</v>
      </c>
      <c r="I103">
        <v>0</v>
      </c>
      <c r="J103">
        <v>1</v>
      </c>
      <c r="K103">
        <v>8</v>
      </c>
      <c r="L103">
        <v>1</v>
      </c>
      <c r="M103">
        <v>0</v>
      </c>
      <c r="N103">
        <v>0</v>
      </c>
      <c r="O103">
        <v>0</v>
      </c>
      <c r="P103">
        <v>0</v>
      </c>
      <c r="Q103">
        <v>0</v>
      </c>
      <c r="R103">
        <v>0</v>
      </c>
      <c r="S103">
        <v>2</v>
      </c>
      <c r="T103">
        <v>0</v>
      </c>
      <c r="U103">
        <v>0</v>
      </c>
      <c r="V103">
        <v>2</v>
      </c>
      <c r="W103" s="4">
        <v>20</v>
      </c>
      <c r="X103" s="4">
        <v>0</v>
      </c>
      <c r="Y103">
        <v>1</v>
      </c>
      <c r="Z103">
        <v>0</v>
      </c>
      <c r="AA103" s="4">
        <v>0</v>
      </c>
      <c r="AB103" s="4">
        <v>0</v>
      </c>
      <c r="AC103" s="4">
        <v>2.95</v>
      </c>
      <c r="AD103" s="4">
        <v>0</v>
      </c>
      <c r="AE103" s="4">
        <v>2.95</v>
      </c>
      <c r="AF103" s="4">
        <v>0</v>
      </c>
      <c r="AG103" s="4">
        <v>22.95</v>
      </c>
      <c r="AH103" s="4">
        <v>20</v>
      </c>
      <c r="AI103" s="4">
        <v>0</v>
      </c>
      <c r="AJ103" s="4">
        <v>0</v>
      </c>
      <c r="AK103" s="4">
        <v>0</v>
      </c>
      <c r="AL103" s="4">
        <v>0</v>
      </c>
      <c r="AM103">
        <v>8</v>
      </c>
      <c r="AN103">
        <v>0</v>
      </c>
      <c r="AO103">
        <v>8</v>
      </c>
      <c r="AP103">
        <v>0</v>
      </c>
      <c r="AQ103">
        <v>2</v>
      </c>
      <c r="AR103">
        <v>0</v>
      </c>
      <c r="AS103">
        <v>2</v>
      </c>
      <c r="AT103">
        <v>0</v>
      </c>
      <c r="AU103">
        <v>0</v>
      </c>
      <c r="AV103">
        <v>0</v>
      </c>
      <c r="AW103">
        <v>0</v>
      </c>
      <c r="AX103">
        <v>0</v>
      </c>
    </row>
    <row r="104" spans="1:51">
      <c r="A104" t="s">
        <v>16969</v>
      </c>
      <c r="B104" t="s">
        <v>17008</v>
      </c>
      <c r="C104">
        <v>0</v>
      </c>
      <c r="D104">
        <v>1</v>
      </c>
      <c r="E104">
        <v>1</v>
      </c>
      <c r="F104">
        <v>1</v>
      </c>
      <c r="G104">
        <v>0</v>
      </c>
      <c r="H104">
        <v>0</v>
      </c>
      <c r="I104">
        <v>0</v>
      </c>
      <c r="J104">
        <v>1</v>
      </c>
      <c r="K104">
        <v>2</v>
      </c>
      <c r="L104">
        <v>0</v>
      </c>
      <c r="M104">
        <v>0</v>
      </c>
      <c r="N104">
        <v>1</v>
      </c>
      <c r="O104">
        <v>0</v>
      </c>
      <c r="P104">
        <v>0</v>
      </c>
      <c r="Q104">
        <v>0</v>
      </c>
      <c r="R104">
        <v>0</v>
      </c>
      <c r="S104">
        <v>0.25</v>
      </c>
      <c r="T104">
        <v>2</v>
      </c>
      <c r="U104">
        <v>1</v>
      </c>
      <c r="V104">
        <v>3.25</v>
      </c>
      <c r="W104" s="4">
        <v>42.5</v>
      </c>
      <c r="X104" s="4">
        <v>0</v>
      </c>
      <c r="Y104">
        <v>0</v>
      </c>
      <c r="Z104">
        <v>1</v>
      </c>
      <c r="AA104" s="4">
        <v>0</v>
      </c>
      <c r="AB104" s="4">
        <v>0</v>
      </c>
      <c r="AC104" s="4">
        <v>0</v>
      </c>
      <c r="AD104" s="4">
        <v>0</v>
      </c>
      <c r="AE104" s="4">
        <v>0</v>
      </c>
      <c r="AF104" s="4">
        <v>0</v>
      </c>
      <c r="AG104" s="4">
        <v>62.5</v>
      </c>
      <c r="AH104" s="4">
        <v>62.5</v>
      </c>
      <c r="AI104" s="4">
        <v>0</v>
      </c>
      <c r="AJ104" s="4">
        <v>0</v>
      </c>
      <c r="AK104" s="4">
        <v>0</v>
      </c>
      <c r="AL104" s="4">
        <v>0</v>
      </c>
      <c r="AM104">
        <v>2</v>
      </c>
      <c r="AN104">
        <v>0</v>
      </c>
      <c r="AO104">
        <v>2</v>
      </c>
      <c r="AP104">
        <v>0</v>
      </c>
      <c r="AQ104">
        <v>0.25</v>
      </c>
      <c r="AR104">
        <v>0</v>
      </c>
      <c r="AS104">
        <v>0.25</v>
      </c>
      <c r="AT104">
        <v>0</v>
      </c>
      <c r="AU104">
        <v>2</v>
      </c>
      <c r="AV104">
        <v>0</v>
      </c>
      <c r="AW104">
        <v>2</v>
      </c>
      <c r="AX104">
        <v>0</v>
      </c>
    </row>
    <row r="105" spans="1:51">
      <c r="A105" t="s">
        <v>16969</v>
      </c>
      <c r="B105" t="s">
        <v>17012</v>
      </c>
      <c r="C105">
        <v>0</v>
      </c>
      <c r="D105">
        <v>3</v>
      </c>
      <c r="E105">
        <v>3</v>
      </c>
      <c r="F105">
        <v>3</v>
      </c>
      <c r="G105">
        <v>0</v>
      </c>
      <c r="H105">
        <v>0</v>
      </c>
      <c r="I105">
        <v>0</v>
      </c>
      <c r="J105">
        <v>2</v>
      </c>
      <c r="K105">
        <v>10</v>
      </c>
      <c r="L105">
        <v>2</v>
      </c>
      <c r="M105">
        <v>0</v>
      </c>
      <c r="N105">
        <v>0</v>
      </c>
      <c r="O105">
        <v>1</v>
      </c>
      <c r="P105">
        <v>0</v>
      </c>
      <c r="Q105">
        <v>0</v>
      </c>
      <c r="R105">
        <v>0</v>
      </c>
      <c r="S105">
        <v>3.5</v>
      </c>
      <c r="T105">
        <v>0.75</v>
      </c>
      <c r="U105">
        <v>0</v>
      </c>
      <c r="V105">
        <v>4.25</v>
      </c>
      <c r="W105" s="4">
        <v>50</v>
      </c>
      <c r="X105" s="4">
        <v>0</v>
      </c>
      <c r="Y105">
        <v>0</v>
      </c>
      <c r="Z105">
        <v>2</v>
      </c>
      <c r="AA105" s="4">
        <v>0</v>
      </c>
      <c r="AB105" s="4">
        <v>0</v>
      </c>
      <c r="AC105" s="4">
        <v>0</v>
      </c>
      <c r="AD105" s="4">
        <v>0</v>
      </c>
      <c r="AE105" s="4">
        <v>0</v>
      </c>
      <c r="AF105" s="4">
        <v>0</v>
      </c>
      <c r="AG105" s="4">
        <v>50</v>
      </c>
      <c r="AH105" s="4">
        <v>50</v>
      </c>
      <c r="AI105" s="4">
        <v>0</v>
      </c>
      <c r="AJ105" s="4">
        <v>0</v>
      </c>
      <c r="AK105" s="4">
        <v>0</v>
      </c>
      <c r="AL105" s="4">
        <v>0</v>
      </c>
      <c r="AM105">
        <v>10</v>
      </c>
      <c r="AN105">
        <v>0</v>
      </c>
      <c r="AO105">
        <v>10</v>
      </c>
      <c r="AP105">
        <v>0</v>
      </c>
      <c r="AQ105">
        <v>3.5</v>
      </c>
      <c r="AR105">
        <v>0</v>
      </c>
      <c r="AS105">
        <v>3.5</v>
      </c>
      <c r="AT105">
        <v>0</v>
      </c>
      <c r="AU105">
        <v>0.75</v>
      </c>
      <c r="AV105">
        <v>0</v>
      </c>
      <c r="AW105">
        <v>0.75</v>
      </c>
      <c r="AX105">
        <v>0</v>
      </c>
    </row>
    <row r="106" spans="1:51">
      <c r="A106" t="s">
        <v>16969</v>
      </c>
      <c r="B106" t="s">
        <v>17013</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s="4">
        <v>0</v>
      </c>
      <c r="X106" s="4">
        <v>0</v>
      </c>
      <c r="Y106">
        <v>0</v>
      </c>
      <c r="Z106">
        <v>0</v>
      </c>
      <c r="AA106" s="4">
        <v>0</v>
      </c>
      <c r="AB106" s="4">
        <v>0</v>
      </c>
      <c r="AC106" s="4">
        <v>0</v>
      </c>
      <c r="AD106" s="4">
        <v>0</v>
      </c>
      <c r="AE106" s="4">
        <v>0</v>
      </c>
      <c r="AF106" s="4">
        <v>0</v>
      </c>
      <c r="AG106" s="4">
        <v>0</v>
      </c>
      <c r="AH106" s="4">
        <v>0</v>
      </c>
      <c r="AI106" s="4">
        <v>0</v>
      </c>
      <c r="AJ106" s="4">
        <v>0</v>
      </c>
      <c r="AK106" s="4">
        <v>0</v>
      </c>
      <c r="AL106" s="4">
        <v>0</v>
      </c>
      <c r="AM106">
        <v>0</v>
      </c>
      <c r="AN106">
        <v>0</v>
      </c>
      <c r="AO106">
        <v>0</v>
      </c>
      <c r="AP106">
        <v>0</v>
      </c>
      <c r="AQ106">
        <v>0</v>
      </c>
      <c r="AR106">
        <v>0</v>
      </c>
      <c r="AS106">
        <v>0</v>
      </c>
      <c r="AT106">
        <v>0</v>
      </c>
      <c r="AU106">
        <v>0</v>
      </c>
      <c r="AV106">
        <v>0</v>
      </c>
      <c r="AW106">
        <v>0</v>
      </c>
      <c r="AX106">
        <v>0</v>
      </c>
    </row>
    <row r="107" spans="1:51">
      <c r="A107" t="s">
        <v>16969</v>
      </c>
      <c r="B107" t="s">
        <v>17014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s="4">
        <v>0</v>
      </c>
      <c r="X107" s="4">
        <v>0</v>
      </c>
      <c r="Y107">
        <v>0</v>
      </c>
      <c r="Z107">
        <v>0</v>
      </c>
      <c r="AA107" s="4">
        <v>0</v>
      </c>
      <c r="AB107" s="4">
        <v>0</v>
      </c>
      <c r="AC107" s="4">
        <v>0</v>
      </c>
      <c r="AD107" s="4">
        <v>0</v>
      </c>
      <c r="AE107" s="4">
        <v>0</v>
      </c>
      <c r="AF107" s="4">
        <v>0</v>
      </c>
      <c r="AG107" s="4">
        <v>0</v>
      </c>
      <c r="AH107" s="4">
        <v>0</v>
      </c>
      <c r="AI107" s="4">
        <v>0</v>
      </c>
      <c r="AJ107" s="4">
        <v>0</v>
      </c>
      <c r="AK107" s="4">
        <v>0</v>
      </c>
      <c r="AL107" s="4">
        <v>0</v>
      </c>
      <c r="AM107">
        <v>0</v>
      </c>
      <c r="AN107">
        <v>0</v>
      </c>
      <c r="AO107">
        <v>0</v>
      </c>
      <c r="AP107">
        <v>0</v>
      </c>
      <c r="AQ107">
        <v>0</v>
      </c>
      <c r="AR107">
        <v>0</v>
      </c>
      <c r="AS107">
        <v>0</v>
      </c>
      <c r="AT107">
        <v>0</v>
      </c>
      <c r="AU107">
        <v>0</v>
      </c>
      <c r="AV107">
        <v>0</v>
      </c>
      <c r="AW107">
        <v>0</v>
      </c>
      <c r="AX107">
        <v>0</v>
      </c>
    </row>
    <row r="108" spans="1:51">
      <c r="A108" t="s">
        <v>16969</v>
      </c>
      <c r="B108" t="s">
        <v>17015</v>
      </c>
      <c r="C108">
        <v>0</v>
      </c>
      <c r="D108">
        <v>2</v>
      </c>
      <c r="E108">
        <v>2</v>
      </c>
      <c r="F108">
        <v>2</v>
      </c>
      <c r="G108">
        <v>0</v>
      </c>
      <c r="H108">
        <v>0</v>
      </c>
      <c r="I108">
        <v>0</v>
      </c>
      <c r="J108">
        <v>2</v>
      </c>
      <c r="K108">
        <v>3</v>
      </c>
      <c r="L108">
        <v>2</v>
      </c>
      <c r="M108">
        <v>0</v>
      </c>
      <c r="N108">
        <v>0</v>
      </c>
      <c r="O108">
        <v>0</v>
      </c>
      <c r="P108">
        <v>0</v>
      </c>
      <c r="Q108">
        <v>0</v>
      </c>
      <c r="R108">
        <v>0</v>
      </c>
      <c r="S108">
        <v>0.5</v>
      </c>
      <c r="T108">
        <v>0</v>
      </c>
      <c r="U108">
        <v>0</v>
      </c>
      <c r="V108">
        <v>0.5</v>
      </c>
      <c r="W108" s="4">
        <v>5</v>
      </c>
      <c r="X108" s="4">
        <v>0</v>
      </c>
      <c r="Y108">
        <v>1</v>
      </c>
      <c r="Z108">
        <v>1</v>
      </c>
      <c r="AA108" s="4">
        <v>0</v>
      </c>
      <c r="AB108" s="4">
        <v>0</v>
      </c>
      <c r="AC108" s="4">
        <v>0</v>
      </c>
      <c r="AD108" s="4">
        <v>0</v>
      </c>
      <c r="AE108" s="4">
        <v>0</v>
      </c>
      <c r="AF108" s="4">
        <v>0</v>
      </c>
      <c r="AG108" s="4">
        <v>5</v>
      </c>
      <c r="AH108" s="4">
        <v>5</v>
      </c>
      <c r="AI108" s="4">
        <v>0</v>
      </c>
      <c r="AJ108" s="4">
        <v>0</v>
      </c>
      <c r="AK108" s="4">
        <v>0</v>
      </c>
      <c r="AL108" s="4">
        <v>0</v>
      </c>
      <c r="AM108">
        <v>3</v>
      </c>
      <c r="AN108">
        <v>0</v>
      </c>
      <c r="AO108">
        <v>3</v>
      </c>
      <c r="AP108">
        <v>0</v>
      </c>
      <c r="AQ108">
        <v>0.5</v>
      </c>
      <c r="AR108">
        <v>0</v>
      </c>
      <c r="AS108">
        <v>0.5</v>
      </c>
      <c r="AT108">
        <v>0</v>
      </c>
      <c r="AU108">
        <v>0</v>
      </c>
      <c r="AV108">
        <v>0</v>
      </c>
      <c r="AW108">
        <v>0</v>
      </c>
      <c r="AX108">
        <v>0</v>
      </c>
    </row>
    <row r="109" spans="1:51">
      <c r="A109" t="s">
        <v>16969</v>
      </c>
      <c r="B109" t="s">
        <v>17016</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s="4">
        <v>0</v>
      </c>
      <c r="X109" s="4">
        <v>0</v>
      </c>
      <c r="Y109">
        <v>0</v>
      </c>
      <c r="Z109">
        <v>0</v>
      </c>
      <c r="AA109" s="4">
        <v>0</v>
      </c>
      <c r="AB109" s="4">
        <v>0</v>
      </c>
      <c r="AC109" s="4">
        <v>0</v>
      </c>
      <c r="AD109" s="4">
        <v>0</v>
      </c>
      <c r="AE109" s="4">
        <v>0</v>
      </c>
      <c r="AF109" s="4">
        <v>0</v>
      </c>
      <c r="AG109" s="4">
        <v>0</v>
      </c>
      <c r="AH109" s="4">
        <v>0</v>
      </c>
      <c r="AI109" s="4">
        <v>0</v>
      </c>
      <c r="AJ109" s="4">
        <v>0</v>
      </c>
      <c r="AK109" s="4">
        <v>0</v>
      </c>
      <c r="AL109" s="4">
        <v>0</v>
      </c>
      <c r="AM109">
        <v>0</v>
      </c>
      <c r="AN109">
        <v>0</v>
      </c>
      <c r="AO109">
        <v>0</v>
      </c>
      <c r="AP109">
        <v>0</v>
      </c>
      <c r="AQ109">
        <v>0</v>
      </c>
      <c r="AR109">
        <v>0</v>
      </c>
      <c r="AS109">
        <v>0</v>
      </c>
      <c r="AT109">
        <v>0</v>
      </c>
      <c r="AU109">
        <v>0</v>
      </c>
      <c r="AV109">
        <v>0</v>
      </c>
      <c r="AW109">
        <v>0</v>
      </c>
      <c r="AX109">
        <v>0</v>
      </c>
    </row>
    <row r="110" spans="1:51">
      <c r="A110" t="s">
        <v>16969</v>
      </c>
      <c r="B110" t="s">
        <v>17017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s="4">
        <v>0</v>
      </c>
      <c r="X110" s="4">
        <v>0</v>
      </c>
      <c r="Y110">
        <v>0</v>
      </c>
      <c r="Z110">
        <v>0</v>
      </c>
      <c r="AA110" s="4">
        <v>0</v>
      </c>
      <c r="AB110" s="4">
        <v>0</v>
      </c>
      <c r="AC110" s="4">
        <v>0</v>
      </c>
      <c r="AD110" s="4">
        <v>0</v>
      </c>
      <c r="AE110" s="4">
        <v>0</v>
      </c>
      <c r="AF110" s="4">
        <v>0</v>
      </c>
      <c r="AG110" s="4">
        <v>0</v>
      </c>
      <c r="AH110" s="4">
        <v>0</v>
      </c>
      <c r="AI110" s="4">
        <v>0</v>
      </c>
      <c r="AJ110" s="4">
        <v>0</v>
      </c>
      <c r="AK110" s="4">
        <v>0</v>
      </c>
      <c r="AL110" s="4">
        <v>0</v>
      </c>
      <c r="AM110">
        <v>0</v>
      </c>
      <c r="AN110">
        <v>0</v>
      </c>
      <c r="AO110">
        <v>0</v>
      </c>
      <c r="AP110">
        <v>0</v>
      </c>
      <c r="AQ110">
        <v>0</v>
      </c>
      <c r="AR110">
        <v>0</v>
      </c>
      <c r="AS110">
        <v>0</v>
      </c>
      <c r="AT110">
        <v>0</v>
      </c>
      <c r="AU110">
        <v>0</v>
      </c>
      <c r="AV110">
        <v>0</v>
      </c>
      <c r="AW110">
        <v>0</v>
      </c>
      <c r="AX110">
        <v>0</v>
      </c>
    </row>
    <row r="111" spans="1:51">
      <c r="A111" t="s">
        <v>16969</v>
      </c>
      <c r="B111" t="s">
        <v>17018</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s="4">
        <v>0</v>
      </c>
      <c r="X111" s="4">
        <v>0</v>
      </c>
      <c r="Y111">
        <v>0</v>
      </c>
      <c r="Z111">
        <v>0</v>
      </c>
      <c r="AA111" s="4">
        <v>0</v>
      </c>
      <c r="AB111" s="4">
        <v>0</v>
      </c>
      <c r="AC111" s="4">
        <v>0</v>
      </c>
      <c r="AD111" s="4">
        <v>0</v>
      </c>
      <c r="AE111" s="4">
        <v>0</v>
      </c>
      <c r="AF111" s="4">
        <v>0</v>
      </c>
      <c r="AG111" s="4">
        <v>0</v>
      </c>
      <c r="AH111" s="4">
        <v>0</v>
      </c>
      <c r="AI111" s="4">
        <v>0</v>
      </c>
      <c r="AJ111" s="4">
        <v>0</v>
      </c>
      <c r="AK111" s="4">
        <v>0</v>
      </c>
      <c r="AL111" s="4">
        <v>0</v>
      </c>
      <c r="AM111">
        <v>0</v>
      </c>
      <c r="AN111">
        <v>0</v>
      </c>
      <c r="AO111">
        <v>0</v>
      </c>
      <c r="AP111">
        <v>0</v>
      </c>
      <c r="AQ111">
        <v>0</v>
      </c>
      <c r="AR111">
        <v>0</v>
      </c>
      <c r="AS111">
        <v>0</v>
      </c>
      <c r="AT111">
        <v>0</v>
      </c>
      <c r="AU111">
        <v>0</v>
      </c>
      <c r="AV111">
        <v>0</v>
      </c>
      <c r="AW111">
        <v>0</v>
      </c>
      <c r="AX111">
        <v>0</v>
      </c>
    </row>
    <row r="112" spans="1:51">
      <c r="A112" t="s">
        <v>16969</v>
      </c>
      <c r="B112" t="s">
        <v>17019</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s="4">
        <v>0</v>
      </c>
      <c r="X112" s="4">
        <v>0</v>
      </c>
      <c r="Y112">
        <v>0</v>
      </c>
      <c r="Z112">
        <v>0</v>
      </c>
      <c r="AA112" s="4">
        <v>0</v>
      </c>
      <c r="AB112" s="4">
        <v>0</v>
      </c>
      <c r="AC112" s="4">
        <v>0</v>
      </c>
      <c r="AD112" s="4">
        <v>0</v>
      </c>
      <c r="AE112" s="4">
        <v>0</v>
      </c>
      <c r="AF112" s="4">
        <v>0</v>
      </c>
      <c r="AG112" s="4">
        <v>0</v>
      </c>
      <c r="AH112" s="4">
        <v>0</v>
      </c>
      <c r="AI112" s="4">
        <v>0</v>
      </c>
      <c r="AJ112" s="4">
        <v>0</v>
      </c>
      <c r="AK112" s="4">
        <v>0</v>
      </c>
      <c r="AL112" s="4">
        <v>0</v>
      </c>
      <c r="AM112">
        <v>0</v>
      </c>
      <c r="AN112">
        <v>0</v>
      </c>
      <c r="AO112">
        <v>0</v>
      </c>
      <c r="AP112">
        <v>0</v>
      </c>
      <c r="AQ112">
        <v>0</v>
      </c>
      <c r="AR112">
        <v>0</v>
      </c>
      <c r="AS112">
        <v>0</v>
      </c>
      <c r="AT112">
        <v>0</v>
      </c>
      <c r="AU112">
        <v>0</v>
      </c>
      <c r="AV112">
        <v>0</v>
      </c>
      <c r="AW112">
        <v>0</v>
      </c>
      <c r="AX112">
        <v>0</v>
      </c>
      <c r="AY112">
        <v>625</v>
      </c>
    </row>
    <row r="113" spans="1:50">
      <c r="A113" t="s">
        <v>16969</v>
      </c>
      <c r="B113" t="s">
        <v>17020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s="4">
        <v>0</v>
      </c>
      <c r="X113" s="4">
        <v>0</v>
      </c>
      <c r="Y113">
        <v>0</v>
      </c>
      <c r="Z113">
        <v>0</v>
      </c>
      <c r="AA113" s="4">
        <v>0</v>
      </c>
      <c r="AB113" s="4">
        <v>0</v>
      </c>
      <c r="AC113" s="4">
        <v>0</v>
      </c>
      <c r="AD113" s="4">
        <v>0</v>
      </c>
      <c r="AE113" s="4">
        <v>0</v>
      </c>
      <c r="AF113" s="4">
        <v>0</v>
      </c>
      <c r="AG113" s="4">
        <v>0</v>
      </c>
      <c r="AH113" s="4">
        <v>0</v>
      </c>
      <c r="AI113" s="4">
        <v>0</v>
      </c>
      <c r="AJ113" s="4">
        <v>0</v>
      </c>
      <c r="AK113" s="4">
        <v>0</v>
      </c>
      <c r="AL113" s="4">
        <v>0</v>
      </c>
      <c r="AM113">
        <v>0</v>
      </c>
      <c r="AN113">
        <v>0</v>
      </c>
      <c r="AO113">
        <v>0</v>
      </c>
      <c r="AP113">
        <v>0</v>
      </c>
      <c r="AQ113">
        <v>0</v>
      </c>
      <c r="AR113">
        <v>0</v>
      </c>
      <c r="AS113">
        <v>0</v>
      </c>
      <c r="AT113">
        <v>0</v>
      </c>
      <c r="AU113">
        <v>0</v>
      </c>
      <c r="AV113">
        <v>0</v>
      </c>
      <c r="AW113">
        <v>0</v>
      </c>
      <c r="AX113">
        <v>0</v>
      </c>
    </row>
    <row r="114" spans="1:50">
      <c r="A114" t="s">
        <v>16969</v>
      </c>
      <c r="B114" t="s">
        <v>17021</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s="4">
        <v>0</v>
      </c>
      <c r="X114" s="4">
        <v>0</v>
      </c>
      <c r="Y114">
        <v>0</v>
      </c>
      <c r="Z114">
        <v>0</v>
      </c>
      <c r="AA114" s="4">
        <v>0</v>
      </c>
      <c r="AB114" s="4">
        <v>0</v>
      </c>
      <c r="AC114" s="4">
        <v>0</v>
      </c>
      <c r="AD114" s="4">
        <v>0</v>
      </c>
      <c r="AE114" s="4">
        <v>0</v>
      </c>
      <c r="AF114" s="4">
        <v>0</v>
      </c>
      <c r="AG114" s="4">
        <v>0</v>
      </c>
      <c r="AH114" s="4">
        <v>0</v>
      </c>
      <c r="AI114" s="4">
        <v>0</v>
      </c>
      <c r="AJ114" s="4">
        <v>0</v>
      </c>
      <c r="AK114" s="4">
        <v>0</v>
      </c>
      <c r="AL114" s="4">
        <v>0</v>
      </c>
      <c r="AM114">
        <v>0</v>
      </c>
      <c r="AN114">
        <v>0</v>
      </c>
      <c r="AO114">
        <v>0</v>
      </c>
      <c r="AP114">
        <v>0</v>
      </c>
      <c r="AQ114">
        <v>0</v>
      </c>
      <c r="AR114">
        <v>0</v>
      </c>
      <c r="AS114">
        <v>0</v>
      </c>
      <c r="AT114">
        <v>0</v>
      </c>
      <c r="AU114">
        <v>0</v>
      </c>
      <c r="AV114">
        <v>0</v>
      </c>
      <c r="AW114">
        <v>0</v>
      </c>
      <c r="AX114">
        <v>0</v>
      </c>
    </row>
    <row r="115" spans="1:50">
      <c r="A115" t="s">
        <v>16969</v>
      </c>
      <c r="B115" t="s">
        <v>17022</v>
      </c>
      <c r="C115">
        <v>0</v>
      </c>
      <c r="D115">
        <v>2</v>
      </c>
      <c r="E115">
        <v>2</v>
      </c>
      <c r="F115">
        <v>2</v>
      </c>
      <c r="G115">
        <v>2</v>
      </c>
      <c r="H115">
        <v>0</v>
      </c>
      <c r="I115">
        <v>1</v>
      </c>
      <c r="J115">
        <v>2</v>
      </c>
      <c r="K115">
        <v>21</v>
      </c>
      <c r="L115">
        <v>2</v>
      </c>
      <c r="M115">
        <v>0</v>
      </c>
      <c r="N115">
        <v>0</v>
      </c>
      <c r="O115">
        <v>0</v>
      </c>
      <c r="P115">
        <v>0</v>
      </c>
      <c r="Q115">
        <v>0</v>
      </c>
      <c r="R115">
        <v>0</v>
      </c>
      <c r="S115">
        <v>2.5</v>
      </c>
      <c r="T115">
        <v>1.75</v>
      </c>
      <c r="U115">
        <v>0</v>
      </c>
      <c r="V115">
        <v>4.25</v>
      </c>
      <c r="W115" s="4">
        <v>60</v>
      </c>
      <c r="X115" s="4">
        <v>0</v>
      </c>
      <c r="Y115">
        <v>2</v>
      </c>
      <c r="Z115">
        <v>0</v>
      </c>
      <c r="AA115" s="4">
        <v>0</v>
      </c>
      <c r="AB115" s="4">
        <v>0</v>
      </c>
      <c r="AC115" s="4">
        <v>0</v>
      </c>
      <c r="AD115" s="4">
        <v>0</v>
      </c>
      <c r="AE115" s="4">
        <v>0</v>
      </c>
      <c r="AF115" s="4">
        <v>0</v>
      </c>
      <c r="AG115" s="4">
        <v>60</v>
      </c>
      <c r="AH115" s="4">
        <v>60</v>
      </c>
      <c r="AI115" s="4">
        <v>0</v>
      </c>
      <c r="AJ115" s="4">
        <v>0</v>
      </c>
      <c r="AK115" s="4">
        <v>0</v>
      </c>
      <c r="AL115" s="4">
        <v>0</v>
      </c>
      <c r="AM115" s="8">
        <v>21</v>
      </c>
      <c r="AN115" s="8">
        <v>0</v>
      </c>
      <c r="AO115" s="8">
        <v>21</v>
      </c>
      <c r="AP115">
        <v>0</v>
      </c>
      <c r="AQ115">
        <v>2.5</v>
      </c>
      <c r="AR115">
        <v>0</v>
      </c>
      <c r="AS115">
        <v>2.5</v>
      </c>
      <c r="AT115">
        <v>0</v>
      </c>
      <c r="AU115">
        <v>1.75</v>
      </c>
      <c r="AV115">
        <v>0</v>
      </c>
      <c r="AW115">
        <v>1.75</v>
      </c>
      <c r="AX115">
        <v>0</v>
      </c>
    </row>
    <row r="116" spans="1:50">
      <c r="A116" t="s">
        <v>16969</v>
      </c>
      <c r="B116" t="s">
        <v>17023</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s="4">
        <v>0</v>
      </c>
      <c r="X116" s="4">
        <v>0</v>
      </c>
      <c r="Y116">
        <v>0</v>
      </c>
      <c r="Z116">
        <v>0</v>
      </c>
      <c r="AA116" s="4">
        <v>0</v>
      </c>
      <c r="AB116" s="4">
        <v>0</v>
      </c>
      <c r="AC116" s="4">
        <v>0</v>
      </c>
      <c r="AD116" s="4">
        <v>0</v>
      </c>
      <c r="AE116" s="4">
        <v>0</v>
      </c>
      <c r="AF116" s="4">
        <v>0</v>
      </c>
      <c r="AG116" s="4">
        <v>0</v>
      </c>
      <c r="AH116" s="4">
        <v>0</v>
      </c>
      <c r="AI116" s="4">
        <v>0</v>
      </c>
      <c r="AJ116" s="4">
        <v>0</v>
      </c>
      <c r="AK116" s="4">
        <v>0</v>
      </c>
      <c r="AL116" s="4">
        <v>0</v>
      </c>
      <c r="AM116">
        <v>0</v>
      </c>
      <c r="AN116">
        <v>0</v>
      </c>
      <c r="AO116">
        <v>0</v>
      </c>
      <c r="AP116">
        <v>8</v>
      </c>
      <c r="AQ116">
        <v>0</v>
      </c>
      <c r="AR116">
        <v>0</v>
      </c>
      <c r="AS116">
        <v>0</v>
      </c>
      <c r="AT116">
        <v>4</v>
      </c>
      <c r="AU116">
        <v>0</v>
      </c>
      <c r="AV116">
        <v>0</v>
      </c>
      <c r="AW116">
        <v>0</v>
      </c>
      <c r="AX116">
        <v>0</v>
      </c>
    </row>
    <row r="117" spans="1:50">
      <c r="A117" t="s">
        <v>16969</v>
      </c>
      <c r="B117" t="s">
        <v>17024</v>
      </c>
      <c r="C117">
        <v>0</v>
      </c>
      <c r="D117">
        <v>7</v>
      </c>
      <c r="E117">
        <v>7</v>
      </c>
      <c r="F117">
        <v>3</v>
      </c>
      <c r="G117">
        <v>0</v>
      </c>
      <c r="H117">
        <v>1</v>
      </c>
      <c r="I117">
        <v>0</v>
      </c>
      <c r="J117">
        <v>7</v>
      </c>
      <c r="K117">
        <v>88</v>
      </c>
      <c r="L117">
        <v>3</v>
      </c>
      <c r="M117">
        <v>0</v>
      </c>
      <c r="N117">
        <v>0</v>
      </c>
      <c r="O117">
        <v>4</v>
      </c>
      <c r="P117">
        <v>0</v>
      </c>
      <c r="Q117">
        <v>0</v>
      </c>
      <c r="R117">
        <v>0</v>
      </c>
      <c r="S117">
        <v>2</v>
      </c>
      <c r="T117">
        <v>2</v>
      </c>
      <c r="U117">
        <v>0</v>
      </c>
      <c r="V117">
        <v>4</v>
      </c>
      <c r="W117" s="4">
        <v>60</v>
      </c>
      <c r="X117" s="4">
        <v>0</v>
      </c>
      <c r="Y117">
        <v>0</v>
      </c>
      <c r="Z117">
        <v>7</v>
      </c>
      <c r="AA117" s="4">
        <v>0</v>
      </c>
      <c r="AB117" s="4">
        <v>0</v>
      </c>
      <c r="AC117" s="4">
        <v>0</v>
      </c>
      <c r="AD117" s="4">
        <v>0</v>
      </c>
      <c r="AE117" s="4">
        <v>0</v>
      </c>
      <c r="AF117" s="4">
        <v>0</v>
      </c>
      <c r="AG117" s="4">
        <v>60</v>
      </c>
      <c r="AH117" s="4">
        <v>60</v>
      </c>
      <c r="AI117" s="4">
        <v>0</v>
      </c>
      <c r="AJ117" s="4">
        <v>0</v>
      </c>
      <c r="AK117" s="4">
        <v>0</v>
      </c>
      <c r="AL117" s="4">
        <v>0</v>
      </c>
      <c r="AM117">
        <v>88</v>
      </c>
      <c r="AN117">
        <v>21</v>
      </c>
      <c r="AO117">
        <v>67</v>
      </c>
      <c r="AP117">
        <v>0</v>
      </c>
      <c r="AQ117">
        <v>2</v>
      </c>
      <c r="AR117">
        <v>0</v>
      </c>
      <c r="AS117">
        <v>2</v>
      </c>
      <c r="AT117">
        <v>0</v>
      </c>
      <c r="AU117">
        <v>2</v>
      </c>
      <c r="AV117">
        <v>0</v>
      </c>
      <c r="AW117">
        <v>2</v>
      </c>
      <c r="AX117">
        <v>0</v>
      </c>
    </row>
    <row r="118" spans="1:50">
      <c r="A118" t="s">
        <v>16969</v>
      </c>
      <c r="B118" t="s">
        <v>17025</v>
      </c>
      <c r="C118">
        <v>0</v>
      </c>
      <c r="D118">
        <v>15</v>
      </c>
      <c r="E118">
        <v>15</v>
      </c>
      <c r="F118">
        <v>15</v>
      </c>
      <c r="G118">
        <v>0</v>
      </c>
      <c r="H118">
        <v>0</v>
      </c>
      <c r="I118">
        <v>1</v>
      </c>
      <c r="J118">
        <v>15</v>
      </c>
      <c r="K118">
        <v>64</v>
      </c>
      <c r="L118">
        <v>12</v>
      </c>
      <c r="M118">
        <v>0</v>
      </c>
      <c r="N118">
        <v>0</v>
      </c>
      <c r="O118">
        <v>3</v>
      </c>
      <c r="P118">
        <v>0</v>
      </c>
      <c r="Q118">
        <v>0</v>
      </c>
      <c r="R118">
        <v>0</v>
      </c>
      <c r="S118">
        <v>11</v>
      </c>
      <c r="T118">
        <v>30.25</v>
      </c>
      <c r="U118">
        <v>0</v>
      </c>
      <c r="V118">
        <v>41.25</v>
      </c>
      <c r="W118" s="4">
        <v>715</v>
      </c>
      <c r="X118" s="4">
        <v>0</v>
      </c>
      <c r="Y118">
        <v>15</v>
      </c>
      <c r="Z118">
        <v>0</v>
      </c>
      <c r="AA118" s="4">
        <v>0</v>
      </c>
      <c r="AB118" s="4">
        <v>570</v>
      </c>
      <c r="AC118" s="4">
        <v>52.5</v>
      </c>
      <c r="AD118" s="4">
        <v>4.5</v>
      </c>
      <c r="AE118" s="4">
        <v>652.5</v>
      </c>
      <c r="AF118" s="4">
        <v>574.5</v>
      </c>
      <c r="AG118" s="4">
        <v>767.5</v>
      </c>
      <c r="AH118" s="4">
        <v>115</v>
      </c>
      <c r="AI118" s="4">
        <v>0</v>
      </c>
      <c r="AJ118" s="4">
        <v>0</v>
      </c>
      <c r="AK118" s="4">
        <v>0</v>
      </c>
      <c r="AL118" s="4">
        <v>0</v>
      </c>
      <c r="AM118">
        <v>64</v>
      </c>
      <c r="AN118">
        <v>0</v>
      </c>
      <c r="AO118">
        <v>64</v>
      </c>
      <c r="AP118">
        <v>0</v>
      </c>
      <c r="AQ118">
        <v>11</v>
      </c>
      <c r="AR118">
        <v>0</v>
      </c>
      <c r="AS118">
        <v>11</v>
      </c>
      <c r="AT118">
        <v>0</v>
      </c>
      <c r="AU118">
        <v>30.25</v>
      </c>
      <c r="AV118">
        <v>0</v>
      </c>
      <c r="AW118">
        <v>30.25</v>
      </c>
      <c r="AX118">
        <v>0</v>
      </c>
    </row>
    <row r="119" spans="1:50">
      <c r="A119" t="s">
        <v>16969</v>
      </c>
      <c r="B119" t="s">
        <v>17026</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s="4">
        <v>0</v>
      </c>
      <c r="X119" s="4">
        <v>0</v>
      </c>
      <c r="Y119">
        <v>0</v>
      </c>
      <c r="Z119">
        <v>0</v>
      </c>
      <c r="AA119" s="4">
        <v>0</v>
      </c>
      <c r="AB119" s="4">
        <v>0</v>
      </c>
      <c r="AC119" s="4">
        <v>0</v>
      </c>
      <c r="AD119" s="4">
        <v>0</v>
      </c>
      <c r="AE119" s="4">
        <v>0</v>
      </c>
      <c r="AF119" s="4">
        <v>0</v>
      </c>
      <c r="AG119" s="4">
        <v>0</v>
      </c>
      <c r="AH119" s="4">
        <v>0</v>
      </c>
      <c r="AI119" s="4">
        <v>0</v>
      </c>
      <c r="AJ119" s="4">
        <v>0</v>
      </c>
      <c r="AK119" s="4">
        <v>0</v>
      </c>
      <c r="AL119" s="4">
        <v>0</v>
      </c>
      <c r="AM119">
        <v>0</v>
      </c>
      <c r="AN119">
        <v>0</v>
      </c>
      <c r="AO119">
        <v>0</v>
      </c>
      <c r="AP119">
        <v>0</v>
      </c>
      <c r="AQ119">
        <v>0</v>
      </c>
      <c r="AR119">
        <v>0</v>
      </c>
      <c r="AS119">
        <v>0</v>
      </c>
      <c r="AT119">
        <v>0</v>
      </c>
      <c r="AU119">
        <v>0</v>
      </c>
      <c r="AV119">
        <v>0</v>
      </c>
      <c r="AW119">
        <v>0</v>
      </c>
      <c r="AX119">
        <v>0</v>
      </c>
    </row>
    <row r="120" spans="1:50">
      <c r="A120" t="s">
        <v>16969</v>
      </c>
      <c r="B120" t="s">
        <v>17027</v>
      </c>
      <c r="C120">
        <v>0</v>
      </c>
      <c r="D120">
        <v>1</v>
      </c>
      <c r="E120">
        <v>1</v>
      </c>
      <c r="F120">
        <v>1</v>
      </c>
      <c r="G120">
        <v>0</v>
      </c>
      <c r="H120">
        <v>0</v>
      </c>
      <c r="I120">
        <v>0</v>
      </c>
      <c r="J120">
        <v>1</v>
      </c>
      <c r="K120">
        <v>3</v>
      </c>
      <c r="L120">
        <v>1</v>
      </c>
      <c r="M120">
        <v>0</v>
      </c>
      <c r="N120">
        <v>0</v>
      </c>
      <c r="O120">
        <v>0</v>
      </c>
      <c r="P120">
        <v>0</v>
      </c>
      <c r="Q120">
        <v>0</v>
      </c>
      <c r="R120">
        <v>0</v>
      </c>
      <c r="S120">
        <v>0</v>
      </c>
      <c r="T120">
        <v>0</v>
      </c>
      <c r="U120">
        <v>0</v>
      </c>
      <c r="V120">
        <v>0</v>
      </c>
      <c r="W120" s="4">
        <v>2.5</v>
      </c>
      <c r="X120" s="4">
        <v>0</v>
      </c>
      <c r="Y120">
        <v>1</v>
      </c>
      <c r="Z120">
        <v>0</v>
      </c>
      <c r="AA120" s="4">
        <v>0</v>
      </c>
      <c r="AB120" s="4">
        <v>0</v>
      </c>
      <c r="AC120" s="4">
        <v>0</v>
      </c>
      <c r="AD120" s="4">
        <v>0</v>
      </c>
      <c r="AE120" s="4">
        <v>0</v>
      </c>
      <c r="AF120" s="4">
        <v>0</v>
      </c>
      <c r="AG120" s="4">
        <v>2.5</v>
      </c>
      <c r="AH120" s="4">
        <v>2.5</v>
      </c>
      <c r="AI120" s="4">
        <v>0</v>
      </c>
      <c r="AJ120" s="4">
        <v>0</v>
      </c>
      <c r="AK120" s="4">
        <v>0</v>
      </c>
      <c r="AL120" s="4">
        <v>0</v>
      </c>
      <c r="AM120">
        <v>3</v>
      </c>
      <c r="AN120">
        <v>0</v>
      </c>
      <c r="AO120">
        <v>3</v>
      </c>
      <c r="AP120">
        <v>0</v>
      </c>
      <c r="AQ120">
        <v>0</v>
      </c>
      <c r="AR120">
        <v>0</v>
      </c>
      <c r="AS120">
        <v>0</v>
      </c>
      <c r="AT120">
        <v>0</v>
      </c>
      <c r="AU120">
        <v>0</v>
      </c>
      <c r="AV120">
        <v>0</v>
      </c>
      <c r="AX120">
        <v>0</v>
      </c>
    </row>
    <row r="121" spans="1:50">
      <c r="A121" t="s">
        <v>16969</v>
      </c>
      <c r="B121" t="s">
        <v>17029</v>
      </c>
      <c r="C121">
        <v>0</v>
      </c>
      <c r="D121">
        <v>4</v>
      </c>
      <c r="E121">
        <v>4</v>
      </c>
      <c r="F121">
        <v>3</v>
      </c>
      <c r="G121">
        <v>0</v>
      </c>
      <c r="H121">
        <v>0</v>
      </c>
      <c r="I121">
        <v>1</v>
      </c>
      <c r="J121">
        <v>4</v>
      </c>
      <c r="K121">
        <v>28</v>
      </c>
      <c r="L121">
        <v>3</v>
      </c>
      <c r="M121">
        <v>1</v>
      </c>
      <c r="N121">
        <v>0</v>
      </c>
      <c r="O121">
        <v>0</v>
      </c>
      <c r="P121">
        <v>0</v>
      </c>
      <c r="Q121">
        <v>0</v>
      </c>
      <c r="R121">
        <v>0</v>
      </c>
      <c r="S121">
        <v>11</v>
      </c>
      <c r="T121">
        <v>5</v>
      </c>
      <c r="U121">
        <v>0</v>
      </c>
      <c r="V121">
        <v>16</v>
      </c>
      <c r="W121" s="4">
        <v>210</v>
      </c>
      <c r="X121" s="4">
        <v>0</v>
      </c>
      <c r="Y121">
        <v>4</v>
      </c>
      <c r="Z121">
        <v>0</v>
      </c>
      <c r="AA121" s="4">
        <v>0</v>
      </c>
      <c r="AB121" s="4">
        <v>90</v>
      </c>
      <c r="AC121" s="4">
        <v>0</v>
      </c>
      <c r="AD121" s="4">
        <v>0</v>
      </c>
      <c r="AE121" s="4">
        <v>0</v>
      </c>
      <c r="AF121" s="4">
        <v>90</v>
      </c>
      <c r="AG121" s="4">
        <v>210</v>
      </c>
      <c r="AH121" s="4">
        <v>210</v>
      </c>
      <c r="AI121" s="4">
        <v>0</v>
      </c>
      <c r="AJ121" s="4">
        <v>0</v>
      </c>
      <c r="AK121" s="4">
        <v>0</v>
      </c>
      <c r="AL121" s="4">
        <v>0</v>
      </c>
      <c r="AM121">
        <v>28</v>
      </c>
      <c r="AN121">
        <v>0</v>
      </c>
      <c r="AO121">
        <v>28</v>
      </c>
      <c r="AP121">
        <v>0</v>
      </c>
      <c r="AQ121">
        <v>11</v>
      </c>
      <c r="AR121">
        <v>0</v>
      </c>
      <c r="AS121">
        <v>11</v>
      </c>
      <c r="AT121">
        <v>0</v>
      </c>
      <c r="AU121">
        <v>5</v>
      </c>
      <c r="AV121">
        <v>0</v>
      </c>
      <c r="AW121">
        <v>5</v>
      </c>
      <c r="AX121">
        <v>0</v>
      </c>
    </row>
    <row r="122" spans="1:50">
      <c r="A122" t="s">
        <v>16969</v>
      </c>
      <c r="B122" t="s">
        <v>17030</v>
      </c>
      <c r="C122">
        <v>0</v>
      </c>
      <c r="D122">
        <v>27</v>
      </c>
      <c r="E122">
        <v>26</v>
      </c>
      <c r="F122">
        <v>26</v>
      </c>
      <c r="G122">
        <v>0</v>
      </c>
      <c r="H122">
        <v>0</v>
      </c>
      <c r="I122">
        <v>0</v>
      </c>
      <c r="J122">
        <v>26</v>
      </c>
      <c r="K122">
        <v>113</v>
      </c>
      <c r="L122">
        <v>12</v>
      </c>
      <c r="M122">
        <v>4</v>
      </c>
      <c r="N122">
        <v>6</v>
      </c>
      <c r="O122">
        <v>4</v>
      </c>
      <c r="P122">
        <v>0</v>
      </c>
      <c r="Q122">
        <v>0</v>
      </c>
      <c r="R122">
        <v>0</v>
      </c>
      <c r="S122">
        <v>16.25</v>
      </c>
      <c r="T122">
        <v>0.5</v>
      </c>
      <c r="U122">
        <v>0</v>
      </c>
      <c r="V122">
        <v>16.75</v>
      </c>
      <c r="W122" s="4">
        <v>172.5</v>
      </c>
      <c r="X122" s="4">
        <v>0</v>
      </c>
      <c r="Y122">
        <v>26</v>
      </c>
      <c r="Z122">
        <v>0</v>
      </c>
      <c r="AA122" s="4">
        <v>0</v>
      </c>
      <c r="AB122" s="4">
        <v>0</v>
      </c>
      <c r="AC122" s="4">
        <v>0</v>
      </c>
      <c r="AD122" s="4">
        <v>0</v>
      </c>
      <c r="AE122" s="4">
        <v>0</v>
      </c>
      <c r="AF122" s="4">
        <v>0</v>
      </c>
      <c r="AG122" s="4">
        <v>172.5</v>
      </c>
      <c r="AH122" s="4">
        <v>172.5</v>
      </c>
      <c r="AI122" s="4">
        <v>0</v>
      </c>
      <c r="AJ122" s="4">
        <v>0</v>
      </c>
      <c r="AK122" s="4">
        <v>0</v>
      </c>
      <c r="AL122" s="4">
        <v>0</v>
      </c>
      <c r="AM122">
        <v>113</v>
      </c>
      <c r="AN122">
        <v>0</v>
      </c>
      <c r="AO122">
        <v>113</v>
      </c>
      <c r="AP122">
        <v>0</v>
      </c>
      <c r="AQ122">
        <v>16.25</v>
      </c>
      <c r="AR122">
        <v>0</v>
      </c>
      <c r="AS122">
        <v>16.25</v>
      </c>
      <c r="AT122">
        <v>0</v>
      </c>
      <c r="AU122">
        <v>0.5</v>
      </c>
      <c r="AV122">
        <v>0</v>
      </c>
      <c r="AW122">
        <v>0.5</v>
      </c>
      <c r="AX122">
        <v>0</v>
      </c>
    </row>
    <row r="123" spans="1:50">
      <c r="A123" t="s">
        <v>16969</v>
      </c>
      <c r="B123" t="s">
        <v>17005</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s="4">
        <v>0</v>
      </c>
      <c r="X123" s="4">
        <v>0</v>
      </c>
      <c r="Y123">
        <v>0</v>
      </c>
      <c r="Z123">
        <v>0</v>
      </c>
      <c r="AA123" s="4">
        <v>0</v>
      </c>
      <c r="AB123" s="4">
        <v>0</v>
      </c>
      <c r="AC123" s="4">
        <v>0</v>
      </c>
      <c r="AD123" s="4">
        <v>0</v>
      </c>
      <c r="AE123" s="4">
        <v>0</v>
      </c>
      <c r="AF123" s="4">
        <v>0</v>
      </c>
      <c r="AG123" s="4">
        <v>0</v>
      </c>
      <c r="AH123" s="4">
        <v>0</v>
      </c>
      <c r="AI123" s="4">
        <v>0</v>
      </c>
      <c r="AJ123" s="4">
        <v>0</v>
      </c>
      <c r="AK123" s="4">
        <v>0</v>
      </c>
      <c r="AL123" s="4">
        <v>0</v>
      </c>
      <c r="AM123">
        <v>0</v>
      </c>
      <c r="AN123">
        <v>0</v>
      </c>
      <c r="AO123">
        <v>0</v>
      </c>
      <c r="AP123">
        <v>0</v>
      </c>
      <c r="AQ123">
        <v>0</v>
      </c>
      <c r="AR123">
        <v>0</v>
      </c>
      <c r="AS123">
        <v>0</v>
      </c>
      <c r="AT123">
        <v>0</v>
      </c>
      <c r="AU123">
        <v>0</v>
      </c>
      <c r="AV123">
        <v>0</v>
      </c>
      <c r="AW123">
        <v>0</v>
      </c>
      <c r="AX123">
        <v>0</v>
      </c>
    </row>
    <row r="124" spans="1:50">
      <c r="A124" t="s">
        <v>16969</v>
      </c>
      <c r="B124" t="s">
        <v>17028</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s="4">
        <v>0</v>
      </c>
      <c r="X124" s="4">
        <v>0</v>
      </c>
      <c r="Y124">
        <v>0</v>
      </c>
      <c r="Z124">
        <v>0</v>
      </c>
      <c r="AA124" s="4">
        <v>0</v>
      </c>
      <c r="AB124" s="4">
        <v>0</v>
      </c>
      <c r="AC124" s="4">
        <v>0</v>
      </c>
      <c r="AD124" s="4">
        <v>0</v>
      </c>
      <c r="AE124" s="4">
        <v>0</v>
      </c>
      <c r="AF124" s="4">
        <v>0</v>
      </c>
      <c r="AG124" s="4">
        <v>0</v>
      </c>
      <c r="AH124" s="4">
        <v>0</v>
      </c>
      <c r="AI124" s="4">
        <v>0</v>
      </c>
      <c r="AJ124" s="4">
        <v>0</v>
      </c>
      <c r="AK124" s="4">
        <v>0</v>
      </c>
      <c r="AL124" s="4">
        <v>0</v>
      </c>
      <c r="AM124">
        <v>0</v>
      </c>
      <c r="AN124">
        <v>0</v>
      </c>
      <c r="AO124">
        <v>0</v>
      </c>
      <c r="AP124">
        <v>0</v>
      </c>
      <c r="AQ124">
        <v>0</v>
      </c>
      <c r="AR124">
        <v>0</v>
      </c>
      <c r="AS124">
        <v>0</v>
      </c>
      <c r="AT124">
        <v>0</v>
      </c>
      <c r="AU124">
        <v>0</v>
      </c>
      <c r="AV124">
        <v>0</v>
      </c>
      <c r="AW124">
        <v>0</v>
      </c>
      <c r="AX124">
        <v>0</v>
      </c>
    </row>
    <row r="125" spans="1:50">
      <c r="A125" t="s">
        <v>16898</v>
      </c>
      <c r="B125" t="s">
        <v>16934</v>
      </c>
      <c r="C125">
        <v>1</v>
      </c>
      <c r="D125">
        <v>1</v>
      </c>
      <c r="E125">
        <v>1</v>
      </c>
      <c r="F125">
        <v>1</v>
      </c>
      <c r="G125">
        <v>0</v>
      </c>
      <c r="H125">
        <v>0</v>
      </c>
      <c r="I125">
        <v>0</v>
      </c>
      <c r="J125">
        <v>1</v>
      </c>
      <c r="K125">
        <v>10</v>
      </c>
      <c r="L125">
        <v>1</v>
      </c>
      <c r="M125">
        <v>0</v>
      </c>
      <c r="N125">
        <v>0</v>
      </c>
      <c r="O125">
        <v>0</v>
      </c>
      <c r="P125">
        <v>0</v>
      </c>
      <c r="Q125">
        <v>0</v>
      </c>
      <c r="R125">
        <v>0</v>
      </c>
      <c r="S125">
        <v>10</v>
      </c>
      <c r="T125">
        <v>2</v>
      </c>
      <c r="U125">
        <v>0</v>
      </c>
      <c r="V125">
        <v>12</v>
      </c>
      <c r="W125" s="4">
        <v>0</v>
      </c>
      <c r="X125" s="4">
        <v>0</v>
      </c>
      <c r="Y125">
        <v>0</v>
      </c>
      <c r="Z125">
        <v>1</v>
      </c>
      <c r="AA125" s="4">
        <v>-140</v>
      </c>
      <c r="AB125" s="4">
        <v>0</v>
      </c>
      <c r="AC125" s="4">
        <v>0</v>
      </c>
      <c r="AD125" s="4">
        <v>0</v>
      </c>
      <c r="AE125" s="4">
        <v>80</v>
      </c>
      <c r="AF125" s="4">
        <v>0</v>
      </c>
      <c r="AG125" s="4">
        <v>0</v>
      </c>
      <c r="AH125" s="4">
        <v>0</v>
      </c>
      <c r="AI125" s="4">
        <v>0</v>
      </c>
      <c r="AJ125" s="4">
        <v>0</v>
      </c>
      <c r="AK125" s="4">
        <v>0</v>
      </c>
      <c r="AL125" s="4">
        <v>0</v>
      </c>
      <c r="AM125">
        <v>10</v>
      </c>
      <c r="AN125">
        <v>0</v>
      </c>
      <c r="AO125">
        <v>0</v>
      </c>
      <c r="AP125">
        <v>10</v>
      </c>
      <c r="AQ125">
        <v>10</v>
      </c>
      <c r="AR125">
        <v>0</v>
      </c>
      <c r="AS125">
        <v>0</v>
      </c>
      <c r="AT125">
        <v>10</v>
      </c>
      <c r="AU125">
        <v>2</v>
      </c>
      <c r="AV125">
        <v>0</v>
      </c>
      <c r="AW125">
        <v>0</v>
      </c>
      <c r="AX125">
        <v>2</v>
      </c>
    </row>
    <row r="126" spans="1:50">
      <c r="A126" t="s">
        <v>16898</v>
      </c>
      <c r="B126" t="s">
        <v>16899</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s="4">
        <v>0</v>
      </c>
      <c r="X126" s="4">
        <v>0</v>
      </c>
      <c r="Y126">
        <v>0</v>
      </c>
      <c r="Z126">
        <v>0</v>
      </c>
      <c r="AA126" s="4">
        <v>0</v>
      </c>
      <c r="AB126" s="4">
        <v>0</v>
      </c>
      <c r="AC126" s="4">
        <v>0</v>
      </c>
      <c r="AD126" s="4">
        <v>0</v>
      </c>
      <c r="AE126" s="4">
        <v>0</v>
      </c>
      <c r="AF126" s="4">
        <v>0</v>
      </c>
      <c r="AG126" s="4">
        <v>0</v>
      </c>
      <c r="AH126" s="4">
        <v>0</v>
      </c>
      <c r="AI126" s="4">
        <v>0</v>
      </c>
      <c r="AJ126" s="4">
        <v>0</v>
      </c>
      <c r="AK126" s="4">
        <v>0</v>
      </c>
      <c r="AL126" s="4">
        <v>0</v>
      </c>
      <c r="AM126">
        <v>0</v>
      </c>
      <c r="AN126">
        <v>0</v>
      </c>
      <c r="AO126">
        <v>0</v>
      </c>
      <c r="AP126">
        <v>0</v>
      </c>
      <c r="AQ126">
        <v>0</v>
      </c>
      <c r="AR126">
        <v>0</v>
      </c>
      <c r="AS126">
        <v>0</v>
      </c>
      <c r="AT126">
        <v>0</v>
      </c>
      <c r="AU126">
        <v>0</v>
      </c>
      <c r="AV126">
        <v>0</v>
      </c>
      <c r="AW126">
        <v>0</v>
      </c>
      <c r="AX126">
        <v>0</v>
      </c>
    </row>
    <row r="127" spans="1:50">
      <c r="A127" t="s">
        <v>16898</v>
      </c>
      <c r="B127" t="s">
        <v>17031</v>
      </c>
      <c r="C127">
        <v>0</v>
      </c>
      <c r="D127">
        <v>6</v>
      </c>
      <c r="E127">
        <v>6</v>
      </c>
      <c r="F127">
        <v>5</v>
      </c>
      <c r="G127">
        <v>1</v>
      </c>
      <c r="H127">
        <v>0</v>
      </c>
      <c r="I127">
        <v>0</v>
      </c>
      <c r="J127">
        <v>6</v>
      </c>
      <c r="K127">
        <v>56</v>
      </c>
      <c r="L127">
        <v>6</v>
      </c>
      <c r="M127">
        <v>0</v>
      </c>
      <c r="N127">
        <v>0</v>
      </c>
      <c r="O127">
        <v>0</v>
      </c>
      <c r="P127">
        <v>0</v>
      </c>
      <c r="Q127">
        <v>0</v>
      </c>
      <c r="R127">
        <v>0</v>
      </c>
      <c r="S127">
        <v>2.5</v>
      </c>
      <c r="T127">
        <v>0</v>
      </c>
      <c r="U127">
        <v>0</v>
      </c>
      <c r="V127">
        <v>2.5</v>
      </c>
      <c r="W127" s="4">
        <v>25</v>
      </c>
      <c r="X127" s="4">
        <v>0</v>
      </c>
      <c r="Y127">
        <v>4</v>
      </c>
      <c r="Z127">
        <v>0</v>
      </c>
      <c r="AA127" s="4">
        <v>0</v>
      </c>
      <c r="AB127" s="4">
        <v>5</v>
      </c>
      <c r="AC127" s="4">
        <v>1.4</v>
      </c>
      <c r="AD127" s="4">
        <v>0</v>
      </c>
      <c r="AE127" s="4">
        <v>0</v>
      </c>
      <c r="AF127" s="4">
        <v>5</v>
      </c>
      <c r="AG127" s="4">
        <v>26.4</v>
      </c>
      <c r="AH127" s="4">
        <v>26.4</v>
      </c>
      <c r="AI127" s="4">
        <v>0</v>
      </c>
      <c r="AJ127" s="4">
        <v>0</v>
      </c>
      <c r="AK127" s="4">
        <v>0</v>
      </c>
      <c r="AL127" s="4">
        <v>0</v>
      </c>
      <c r="AM127">
        <v>56</v>
      </c>
      <c r="AN127">
        <v>0</v>
      </c>
      <c r="AO127">
        <v>56</v>
      </c>
      <c r="AP127">
        <v>0</v>
      </c>
      <c r="AQ127">
        <v>2.5</v>
      </c>
      <c r="AR127">
        <v>0</v>
      </c>
      <c r="AS127">
        <v>2.5</v>
      </c>
      <c r="AT127">
        <v>0</v>
      </c>
      <c r="AU127">
        <v>0</v>
      </c>
      <c r="AV127">
        <v>0</v>
      </c>
      <c r="AW127">
        <v>0</v>
      </c>
      <c r="AX127">
        <v>0</v>
      </c>
    </row>
    <row r="128" spans="1:50">
      <c r="A128" t="s">
        <v>16898</v>
      </c>
      <c r="B128" t="s">
        <v>17007</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s="4">
        <v>0</v>
      </c>
      <c r="X128" s="4">
        <v>0</v>
      </c>
      <c r="Z128">
        <v>0</v>
      </c>
      <c r="AA128" s="4">
        <v>0</v>
      </c>
      <c r="AB128" s="4">
        <v>0</v>
      </c>
      <c r="AC128" s="4">
        <v>0</v>
      </c>
      <c r="AD128" s="4">
        <v>0</v>
      </c>
      <c r="AE128" s="4">
        <v>0</v>
      </c>
      <c r="AF128" s="4">
        <v>0</v>
      </c>
      <c r="AG128" s="4">
        <v>0</v>
      </c>
      <c r="AH128" s="4">
        <v>0</v>
      </c>
      <c r="AI128" s="4">
        <v>0</v>
      </c>
      <c r="AJ128" s="4">
        <v>0</v>
      </c>
      <c r="AK128" s="4">
        <v>0</v>
      </c>
      <c r="AL128" s="4">
        <v>0</v>
      </c>
      <c r="AN128">
        <v>0</v>
      </c>
      <c r="AO128">
        <v>0</v>
      </c>
      <c r="AP128">
        <v>0</v>
      </c>
      <c r="AQ128">
        <v>0</v>
      </c>
      <c r="AR128">
        <v>0</v>
      </c>
      <c r="AS128">
        <v>0</v>
      </c>
      <c r="AT128">
        <v>0</v>
      </c>
      <c r="AU128">
        <v>0</v>
      </c>
      <c r="AV128">
        <v>0</v>
      </c>
      <c r="AW128">
        <v>0</v>
      </c>
      <c r="AX128">
        <v>0</v>
      </c>
    </row>
    <row r="129" spans="1:51">
      <c r="A129" t="s">
        <v>16898</v>
      </c>
      <c r="B129" t="s">
        <v>17032</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s="4">
        <v>0</v>
      </c>
      <c r="X129" s="4">
        <v>0</v>
      </c>
      <c r="Y129">
        <v>0</v>
      </c>
      <c r="Z129">
        <v>0</v>
      </c>
      <c r="AA129" s="4">
        <v>0</v>
      </c>
      <c r="AB129" s="4">
        <v>0</v>
      </c>
      <c r="AC129" s="4">
        <v>0</v>
      </c>
      <c r="AD129" s="4">
        <v>0</v>
      </c>
      <c r="AE129" s="4">
        <v>0</v>
      </c>
      <c r="AF129" s="4">
        <v>0</v>
      </c>
      <c r="AG129" s="4">
        <v>0</v>
      </c>
      <c r="AH129" s="4">
        <v>0</v>
      </c>
      <c r="AI129" s="4">
        <v>0</v>
      </c>
      <c r="AJ129" s="4">
        <v>0</v>
      </c>
      <c r="AK129" s="4">
        <v>0</v>
      </c>
      <c r="AL129" s="4">
        <v>0</v>
      </c>
      <c r="AM129">
        <v>0</v>
      </c>
      <c r="AN129">
        <v>0</v>
      </c>
      <c r="AO129">
        <v>0</v>
      </c>
      <c r="AP129">
        <v>0</v>
      </c>
      <c r="AQ129">
        <v>0</v>
      </c>
      <c r="AR129">
        <v>0</v>
      </c>
      <c r="AS129">
        <v>0</v>
      </c>
      <c r="AT129">
        <v>0</v>
      </c>
      <c r="AU129">
        <v>0</v>
      </c>
      <c r="AV129">
        <v>0</v>
      </c>
      <c r="AW129">
        <v>0</v>
      </c>
      <c r="AX129">
        <v>0</v>
      </c>
    </row>
    <row r="130" spans="1:51">
      <c r="A130" t="s">
        <v>16898</v>
      </c>
      <c r="B130" t="s">
        <v>17009</v>
      </c>
      <c r="C130">
        <v>0</v>
      </c>
      <c r="D130">
        <v>3</v>
      </c>
      <c r="E130">
        <v>1</v>
      </c>
      <c r="F130">
        <v>3</v>
      </c>
      <c r="G130">
        <v>1</v>
      </c>
      <c r="H130">
        <v>0</v>
      </c>
      <c r="I130">
        <v>1</v>
      </c>
      <c r="J130">
        <v>3</v>
      </c>
      <c r="K130">
        <v>29</v>
      </c>
      <c r="L130">
        <v>3</v>
      </c>
      <c r="M130">
        <v>0</v>
      </c>
      <c r="N130">
        <v>0</v>
      </c>
      <c r="O130">
        <v>0</v>
      </c>
      <c r="P130">
        <v>0</v>
      </c>
      <c r="Q130">
        <v>0</v>
      </c>
      <c r="R130">
        <v>0</v>
      </c>
      <c r="S130">
        <v>1.5</v>
      </c>
      <c r="T130">
        <v>2</v>
      </c>
      <c r="U130">
        <v>0</v>
      </c>
      <c r="V130">
        <v>3.5</v>
      </c>
      <c r="W130" s="4">
        <v>55</v>
      </c>
      <c r="X130" s="4">
        <v>0</v>
      </c>
      <c r="Y130">
        <v>3</v>
      </c>
      <c r="Z130">
        <v>0</v>
      </c>
      <c r="AA130" s="4">
        <v>0</v>
      </c>
      <c r="AB130" s="4">
        <v>0</v>
      </c>
      <c r="AC130" s="4">
        <v>34.75</v>
      </c>
      <c r="AD130" s="4">
        <v>20</v>
      </c>
      <c r="AE130" s="4">
        <v>20</v>
      </c>
      <c r="AF130" s="4">
        <v>20</v>
      </c>
      <c r="AG130" s="4">
        <v>89.75</v>
      </c>
      <c r="AH130" s="4">
        <v>69.75</v>
      </c>
      <c r="AI130" s="4">
        <v>0</v>
      </c>
      <c r="AJ130" s="4">
        <v>0</v>
      </c>
      <c r="AK130" s="4">
        <v>0</v>
      </c>
      <c r="AL130" s="4">
        <v>0</v>
      </c>
      <c r="AM130">
        <v>29</v>
      </c>
      <c r="AN130">
        <v>0</v>
      </c>
      <c r="AO130">
        <v>29</v>
      </c>
      <c r="AP130">
        <v>0</v>
      </c>
      <c r="AQ130">
        <v>1.5</v>
      </c>
      <c r="AR130">
        <v>0</v>
      </c>
      <c r="AS130">
        <v>1.5</v>
      </c>
      <c r="AT130">
        <v>0</v>
      </c>
      <c r="AU130">
        <v>2</v>
      </c>
      <c r="AV130">
        <v>0</v>
      </c>
      <c r="AW130">
        <v>2</v>
      </c>
      <c r="AX130">
        <v>0</v>
      </c>
    </row>
    <row r="131" spans="1:51">
      <c r="A131" t="s">
        <v>16898</v>
      </c>
      <c r="B131" t="s">
        <v>17205</v>
      </c>
      <c r="C131">
        <v>0</v>
      </c>
      <c r="D131">
        <v>4</v>
      </c>
      <c r="E131">
        <v>4</v>
      </c>
      <c r="F131">
        <v>0</v>
      </c>
      <c r="G131">
        <v>1</v>
      </c>
      <c r="H131">
        <v>2</v>
      </c>
      <c r="I131">
        <v>1</v>
      </c>
      <c r="J131">
        <v>4</v>
      </c>
      <c r="K131">
        <v>124</v>
      </c>
      <c r="L131">
        <v>3</v>
      </c>
      <c r="M131">
        <v>0</v>
      </c>
      <c r="N131">
        <v>0</v>
      </c>
      <c r="O131">
        <v>0</v>
      </c>
      <c r="P131">
        <v>0</v>
      </c>
      <c r="Q131">
        <v>0</v>
      </c>
      <c r="R131">
        <v>0</v>
      </c>
      <c r="S131">
        <v>0.25</v>
      </c>
      <c r="T131">
        <v>4.5</v>
      </c>
      <c r="U131">
        <v>0</v>
      </c>
      <c r="V131">
        <v>4.75</v>
      </c>
      <c r="W131" s="4">
        <v>92.5</v>
      </c>
      <c r="X131" s="4">
        <v>0</v>
      </c>
      <c r="Y131">
        <v>3</v>
      </c>
      <c r="Z131">
        <v>0</v>
      </c>
      <c r="AA131" s="4">
        <v>0</v>
      </c>
      <c r="AB131" s="4">
        <v>52.5</v>
      </c>
      <c r="AC131" s="4">
        <v>24.19</v>
      </c>
      <c r="AD131" s="4">
        <v>0</v>
      </c>
      <c r="AE131" s="4">
        <v>5.49</v>
      </c>
      <c r="AF131" s="4">
        <v>52.5</v>
      </c>
      <c r="AG131" s="4">
        <v>116.69</v>
      </c>
      <c r="AH131" s="4">
        <v>111.2</v>
      </c>
      <c r="AI131" s="4">
        <v>0</v>
      </c>
      <c r="AJ131" s="4">
        <v>0</v>
      </c>
      <c r="AK131" s="4">
        <v>0</v>
      </c>
      <c r="AL131" s="4">
        <v>0</v>
      </c>
      <c r="AM131">
        <v>124</v>
      </c>
      <c r="AN131">
        <v>108</v>
      </c>
      <c r="AO131">
        <v>16</v>
      </c>
      <c r="AP131">
        <v>0</v>
      </c>
      <c r="AQ131">
        <v>0.25</v>
      </c>
      <c r="AR131">
        <v>0</v>
      </c>
      <c r="AS131">
        <v>0.25</v>
      </c>
      <c r="AT131">
        <v>0</v>
      </c>
      <c r="AU131">
        <v>4.5</v>
      </c>
      <c r="AV131">
        <v>0</v>
      </c>
      <c r="AW131">
        <v>4.5</v>
      </c>
      <c r="AX131">
        <v>0</v>
      </c>
    </row>
    <row r="132" spans="1:51">
      <c r="A132" t="s">
        <v>16898</v>
      </c>
      <c r="B132" t="s">
        <v>17010</v>
      </c>
      <c r="C132">
        <v>0</v>
      </c>
      <c r="D132">
        <v>27</v>
      </c>
      <c r="E132">
        <v>0</v>
      </c>
      <c r="F132">
        <v>26</v>
      </c>
      <c r="G132">
        <v>0</v>
      </c>
      <c r="H132">
        <v>0</v>
      </c>
      <c r="I132">
        <v>0</v>
      </c>
      <c r="J132">
        <v>27</v>
      </c>
      <c r="K132">
        <v>89</v>
      </c>
      <c r="L132">
        <v>22</v>
      </c>
      <c r="M132">
        <v>4</v>
      </c>
      <c r="N132">
        <v>1</v>
      </c>
      <c r="O132">
        <v>0</v>
      </c>
      <c r="P132">
        <v>0</v>
      </c>
      <c r="Q132">
        <v>0</v>
      </c>
      <c r="R132">
        <v>0</v>
      </c>
      <c r="S132">
        <v>7.75</v>
      </c>
      <c r="T132">
        <v>0</v>
      </c>
      <c r="U132">
        <v>0</v>
      </c>
      <c r="V132">
        <v>7.75</v>
      </c>
      <c r="W132" s="4">
        <v>77.5</v>
      </c>
      <c r="X132" s="4">
        <v>0</v>
      </c>
      <c r="Y132">
        <v>6</v>
      </c>
      <c r="Z132">
        <v>0</v>
      </c>
      <c r="AA132" s="4">
        <v>0</v>
      </c>
      <c r="AB132" s="4">
        <v>57.5</v>
      </c>
      <c r="AC132" s="4">
        <v>0</v>
      </c>
      <c r="AD132" s="4">
        <v>0</v>
      </c>
      <c r="AE132" s="4">
        <v>0</v>
      </c>
      <c r="AF132" s="4">
        <v>57.5</v>
      </c>
      <c r="AG132" s="4">
        <v>77.5</v>
      </c>
      <c r="AH132" s="4">
        <v>77.5</v>
      </c>
      <c r="AI132" s="4">
        <v>0</v>
      </c>
      <c r="AJ132" s="4">
        <v>0</v>
      </c>
      <c r="AK132" s="4">
        <v>0</v>
      </c>
      <c r="AL132" s="4">
        <v>0</v>
      </c>
      <c r="AM132">
        <v>89</v>
      </c>
      <c r="AN132">
        <v>0</v>
      </c>
      <c r="AO132">
        <v>89</v>
      </c>
      <c r="AP132">
        <v>0</v>
      </c>
      <c r="AQ132">
        <v>7.75</v>
      </c>
      <c r="AR132">
        <v>0</v>
      </c>
      <c r="AS132">
        <v>7.75</v>
      </c>
      <c r="AT132">
        <v>0</v>
      </c>
      <c r="AU132">
        <v>0</v>
      </c>
      <c r="AV132">
        <v>0</v>
      </c>
      <c r="AW132">
        <v>0</v>
      </c>
      <c r="AX132">
        <v>0</v>
      </c>
    </row>
    <row r="133" spans="1:51">
      <c r="A133" t="s">
        <v>16898</v>
      </c>
      <c r="B133" t="s">
        <v>17011</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s="4">
        <v>0</v>
      </c>
      <c r="X133" s="4">
        <v>0</v>
      </c>
      <c r="Y133">
        <v>0</v>
      </c>
      <c r="Z133">
        <v>0</v>
      </c>
      <c r="AA133" s="4">
        <v>0</v>
      </c>
      <c r="AB133" s="4">
        <v>0</v>
      </c>
      <c r="AC133" s="4">
        <v>0</v>
      </c>
      <c r="AD133" s="4">
        <v>0</v>
      </c>
      <c r="AE133" s="4">
        <v>0</v>
      </c>
      <c r="AF133" s="4">
        <v>0</v>
      </c>
      <c r="AG133" s="4">
        <v>0</v>
      </c>
      <c r="AH133" s="4">
        <v>0</v>
      </c>
      <c r="AI133" s="4">
        <v>0</v>
      </c>
      <c r="AJ133" s="4">
        <v>0</v>
      </c>
      <c r="AK133" s="4">
        <v>0</v>
      </c>
      <c r="AL133" s="4">
        <v>0</v>
      </c>
      <c r="AM133">
        <v>0</v>
      </c>
      <c r="AN133">
        <v>0</v>
      </c>
      <c r="AO133">
        <v>0</v>
      </c>
      <c r="AP133">
        <v>0</v>
      </c>
      <c r="AQ133">
        <v>0</v>
      </c>
      <c r="AR133">
        <v>0</v>
      </c>
      <c r="AS133">
        <v>0</v>
      </c>
      <c r="AT133">
        <v>0</v>
      </c>
      <c r="AU133">
        <v>0</v>
      </c>
      <c r="AV133">
        <v>0</v>
      </c>
      <c r="AW133">
        <v>0</v>
      </c>
      <c r="AX133">
        <v>0</v>
      </c>
    </row>
    <row r="134" spans="1:51">
      <c r="A134" t="s">
        <v>16898</v>
      </c>
      <c r="B134" t="s">
        <v>17033</v>
      </c>
      <c r="C134">
        <v>0</v>
      </c>
      <c r="D134">
        <v>8</v>
      </c>
      <c r="E134">
        <v>8</v>
      </c>
      <c r="F134">
        <v>4</v>
      </c>
      <c r="G134">
        <v>2</v>
      </c>
      <c r="H134">
        <v>3</v>
      </c>
      <c r="I134">
        <v>0</v>
      </c>
      <c r="J134">
        <v>8</v>
      </c>
      <c r="K134">
        <v>96</v>
      </c>
      <c r="L134">
        <v>1</v>
      </c>
      <c r="M134">
        <v>0</v>
      </c>
      <c r="N134">
        <v>6</v>
      </c>
      <c r="O134">
        <v>1</v>
      </c>
      <c r="P134">
        <v>0</v>
      </c>
      <c r="Q134">
        <v>0</v>
      </c>
      <c r="R134">
        <v>0</v>
      </c>
      <c r="S134">
        <v>10.45</v>
      </c>
      <c r="T134">
        <v>10.63</v>
      </c>
      <c r="U134">
        <v>0</v>
      </c>
      <c r="V134">
        <v>21.08</v>
      </c>
      <c r="W134" s="4">
        <v>317.10000000000002</v>
      </c>
      <c r="X134" s="4">
        <v>0</v>
      </c>
      <c r="Y134">
        <v>7</v>
      </c>
      <c r="Z134">
        <v>0</v>
      </c>
      <c r="AA134" s="4">
        <v>0</v>
      </c>
      <c r="AB134" s="4">
        <v>169</v>
      </c>
      <c r="AC134" s="4">
        <v>6.55</v>
      </c>
      <c r="AD134" s="4">
        <v>6.4</v>
      </c>
      <c r="AE134" s="4">
        <v>119.7</v>
      </c>
      <c r="AF134" s="4">
        <v>175.4</v>
      </c>
      <c r="AG134" s="4">
        <v>323.64999999999998</v>
      </c>
      <c r="AH134" s="4">
        <v>203.95</v>
      </c>
      <c r="AI134" s="4">
        <v>107.2</v>
      </c>
      <c r="AJ134" s="4">
        <v>162.9</v>
      </c>
      <c r="AK134" s="4">
        <v>232.05</v>
      </c>
      <c r="AL134" s="4">
        <v>124.85</v>
      </c>
      <c r="AM134">
        <v>96</v>
      </c>
      <c r="AN134">
        <v>47</v>
      </c>
      <c r="AO134">
        <v>49</v>
      </c>
      <c r="AP134">
        <v>0</v>
      </c>
      <c r="AQ134">
        <v>10.45</v>
      </c>
      <c r="AR134">
        <v>4.95</v>
      </c>
      <c r="AS134">
        <v>5.5</v>
      </c>
      <c r="AT134">
        <v>0</v>
      </c>
      <c r="AU134">
        <v>10.63</v>
      </c>
      <c r="AV134">
        <v>8.8000000000000007</v>
      </c>
      <c r="AW134">
        <v>1.83</v>
      </c>
      <c r="AX134">
        <v>0</v>
      </c>
    </row>
    <row r="135" spans="1:51">
      <c r="A135" t="s">
        <v>16898</v>
      </c>
      <c r="B135" t="s">
        <v>17034</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s="4">
        <v>0</v>
      </c>
      <c r="X135" s="4">
        <v>0</v>
      </c>
      <c r="Y135">
        <v>0</v>
      </c>
      <c r="Z135">
        <v>0</v>
      </c>
      <c r="AA135" s="4">
        <v>0</v>
      </c>
      <c r="AB135" s="4">
        <v>0</v>
      </c>
      <c r="AC135" s="4">
        <v>0</v>
      </c>
      <c r="AD135" s="4">
        <v>0</v>
      </c>
      <c r="AE135" s="4">
        <v>0</v>
      </c>
      <c r="AF135" s="4">
        <v>0</v>
      </c>
      <c r="AG135" s="4">
        <v>0</v>
      </c>
      <c r="AH135" s="4">
        <v>0</v>
      </c>
      <c r="AI135" s="4">
        <v>0</v>
      </c>
      <c r="AJ135" s="4">
        <v>0</v>
      </c>
      <c r="AK135" s="4">
        <v>0</v>
      </c>
      <c r="AL135" s="4">
        <v>0</v>
      </c>
      <c r="AM135">
        <v>0</v>
      </c>
      <c r="AN135">
        <v>0</v>
      </c>
      <c r="AO135">
        <v>0</v>
      </c>
      <c r="AP135">
        <v>0</v>
      </c>
      <c r="AQ135">
        <v>0</v>
      </c>
      <c r="AR135">
        <v>0</v>
      </c>
      <c r="AS135">
        <v>0</v>
      </c>
      <c r="AT135">
        <v>0</v>
      </c>
      <c r="AU135">
        <v>0</v>
      </c>
      <c r="AV135">
        <v>0</v>
      </c>
      <c r="AW135">
        <v>0</v>
      </c>
      <c r="AX135">
        <v>0</v>
      </c>
    </row>
    <row r="136" spans="1:51">
      <c r="A136" t="s">
        <v>17035</v>
      </c>
      <c r="B136" t="s">
        <v>17035</v>
      </c>
      <c r="C136">
        <v>0</v>
      </c>
      <c r="D136">
        <v>9</v>
      </c>
      <c r="E136">
        <v>8</v>
      </c>
      <c r="F136">
        <v>7</v>
      </c>
      <c r="G136">
        <v>0</v>
      </c>
      <c r="H136">
        <v>0</v>
      </c>
      <c r="I136">
        <v>0</v>
      </c>
      <c r="J136">
        <v>9</v>
      </c>
      <c r="K136">
        <v>141</v>
      </c>
      <c r="L136">
        <v>4</v>
      </c>
      <c r="M136">
        <v>3</v>
      </c>
      <c r="N136">
        <v>0</v>
      </c>
      <c r="O136">
        <v>2</v>
      </c>
      <c r="P136">
        <v>0</v>
      </c>
      <c r="Q136">
        <v>0</v>
      </c>
      <c r="R136">
        <v>0</v>
      </c>
      <c r="S136">
        <v>2.25</v>
      </c>
      <c r="T136">
        <v>4.5</v>
      </c>
      <c r="U136">
        <v>0</v>
      </c>
      <c r="V136">
        <v>6.75</v>
      </c>
      <c r="W136" s="4">
        <v>112.5</v>
      </c>
      <c r="X136" s="4">
        <v>0</v>
      </c>
      <c r="Y136">
        <v>7</v>
      </c>
      <c r="Z136">
        <v>2</v>
      </c>
      <c r="AA136" s="4">
        <v>0</v>
      </c>
      <c r="AB136" s="4">
        <v>10</v>
      </c>
      <c r="AC136" s="4">
        <v>0</v>
      </c>
      <c r="AD136" s="4">
        <v>0</v>
      </c>
      <c r="AE136" s="4">
        <v>0</v>
      </c>
      <c r="AF136" s="4">
        <v>10</v>
      </c>
      <c r="AG136" s="4">
        <v>112.5</v>
      </c>
      <c r="AH136" s="4">
        <v>112.5</v>
      </c>
      <c r="AI136" s="4">
        <v>0</v>
      </c>
      <c r="AJ136" s="4">
        <v>0</v>
      </c>
      <c r="AK136" s="4">
        <v>0</v>
      </c>
      <c r="AL136" s="4">
        <v>0</v>
      </c>
      <c r="AM136">
        <v>141</v>
      </c>
      <c r="AN136">
        <v>0</v>
      </c>
      <c r="AO136">
        <v>141</v>
      </c>
      <c r="AP136">
        <v>0</v>
      </c>
      <c r="AQ136">
        <v>2.25</v>
      </c>
      <c r="AR136">
        <v>0</v>
      </c>
      <c r="AS136">
        <v>2.25</v>
      </c>
      <c r="AT136">
        <v>0</v>
      </c>
      <c r="AU136">
        <v>4.5</v>
      </c>
      <c r="AV136">
        <v>0</v>
      </c>
      <c r="AW136">
        <v>4.5</v>
      </c>
      <c r="AX136">
        <v>0</v>
      </c>
    </row>
    <row r="137" spans="1:51">
      <c r="A137" t="s">
        <v>17035</v>
      </c>
      <c r="B137" t="s">
        <v>17035</v>
      </c>
      <c r="C137">
        <v>1</v>
      </c>
      <c r="D137">
        <v>21</v>
      </c>
      <c r="E137">
        <v>20</v>
      </c>
      <c r="F137">
        <v>19</v>
      </c>
      <c r="G137">
        <v>1</v>
      </c>
      <c r="H137">
        <v>0</v>
      </c>
      <c r="I137">
        <v>1</v>
      </c>
      <c r="J137">
        <v>21</v>
      </c>
      <c r="K137">
        <v>290</v>
      </c>
      <c r="L137">
        <v>11</v>
      </c>
      <c r="M137">
        <v>2</v>
      </c>
      <c r="N137">
        <v>2</v>
      </c>
      <c r="O137">
        <v>4</v>
      </c>
      <c r="P137">
        <v>2</v>
      </c>
      <c r="Q137">
        <v>0</v>
      </c>
      <c r="R137">
        <v>0</v>
      </c>
      <c r="S137">
        <v>18.75</v>
      </c>
      <c r="T137">
        <v>27</v>
      </c>
      <c r="U137">
        <v>0</v>
      </c>
      <c r="V137">
        <v>45.75</v>
      </c>
      <c r="W137" s="4">
        <v>677.5</v>
      </c>
      <c r="X137" s="4">
        <v>0</v>
      </c>
      <c r="Y137">
        <v>20</v>
      </c>
      <c r="Z137">
        <v>0</v>
      </c>
      <c r="AA137" s="4">
        <v>-50</v>
      </c>
      <c r="AB137" s="4">
        <v>392.5</v>
      </c>
      <c r="AC137" s="4">
        <v>7.96</v>
      </c>
      <c r="AD137" s="4">
        <v>0</v>
      </c>
      <c r="AE137" s="4">
        <v>0</v>
      </c>
      <c r="AF137" s="4">
        <v>392.5</v>
      </c>
      <c r="AG137" s="4">
        <v>685.45999999999992</v>
      </c>
      <c r="AH137" s="4">
        <v>685.45999999999992</v>
      </c>
      <c r="AI137" s="4">
        <v>0</v>
      </c>
      <c r="AJ137" s="4">
        <v>0</v>
      </c>
      <c r="AK137" s="4">
        <v>0</v>
      </c>
      <c r="AL137" s="4">
        <v>0</v>
      </c>
      <c r="AM137">
        <v>290</v>
      </c>
      <c r="AN137">
        <v>0</v>
      </c>
      <c r="AO137">
        <v>278</v>
      </c>
      <c r="AP137">
        <v>12</v>
      </c>
      <c r="AQ137">
        <v>18.75</v>
      </c>
      <c r="AR137">
        <v>0</v>
      </c>
      <c r="AS137">
        <v>16.75</v>
      </c>
      <c r="AT137">
        <v>2</v>
      </c>
      <c r="AU137">
        <v>27</v>
      </c>
      <c r="AV137">
        <v>0</v>
      </c>
      <c r="AW137">
        <v>25.5</v>
      </c>
      <c r="AX137">
        <v>1.5</v>
      </c>
    </row>
    <row r="138" spans="1:51">
      <c r="A138" t="s">
        <v>16932</v>
      </c>
      <c r="B138" t="s">
        <v>17036</v>
      </c>
      <c r="C138">
        <v>0</v>
      </c>
      <c r="D138">
        <v>45</v>
      </c>
      <c r="E138">
        <v>45</v>
      </c>
      <c r="F138">
        <v>45</v>
      </c>
      <c r="G138">
        <v>2</v>
      </c>
      <c r="H138">
        <v>1</v>
      </c>
      <c r="I138">
        <v>1</v>
      </c>
      <c r="J138">
        <v>45</v>
      </c>
      <c r="K138">
        <v>354</v>
      </c>
      <c r="L138">
        <v>36</v>
      </c>
      <c r="M138">
        <v>0</v>
      </c>
      <c r="N138">
        <v>4</v>
      </c>
      <c r="O138">
        <v>2</v>
      </c>
      <c r="P138">
        <v>1</v>
      </c>
      <c r="Q138">
        <v>10</v>
      </c>
      <c r="R138">
        <v>0</v>
      </c>
      <c r="S138">
        <v>89</v>
      </c>
      <c r="T138">
        <v>90.25</v>
      </c>
      <c r="U138">
        <v>9</v>
      </c>
      <c r="V138">
        <v>188.25</v>
      </c>
      <c r="W138" s="4">
        <v>2695</v>
      </c>
      <c r="X138" s="4">
        <v>0</v>
      </c>
      <c r="Y138">
        <v>18</v>
      </c>
      <c r="Z138">
        <v>2</v>
      </c>
      <c r="AA138" s="4">
        <v>0</v>
      </c>
      <c r="AB138" s="4">
        <v>1865</v>
      </c>
      <c r="AC138" s="4">
        <v>181</v>
      </c>
      <c r="AD138" s="4">
        <v>62.5</v>
      </c>
      <c r="AE138" s="4">
        <v>0</v>
      </c>
      <c r="AF138" s="4">
        <v>1927.5</v>
      </c>
      <c r="AG138" s="4">
        <v>3056</v>
      </c>
      <c r="AH138" s="4">
        <v>3056</v>
      </c>
      <c r="AI138" s="4">
        <v>0</v>
      </c>
      <c r="AJ138" s="4">
        <v>1135</v>
      </c>
      <c r="AK138" s="4">
        <v>1165</v>
      </c>
      <c r="AL138" s="4">
        <v>1165</v>
      </c>
      <c r="AM138">
        <v>354</v>
      </c>
      <c r="AN138">
        <v>70</v>
      </c>
      <c r="AO138">
        <v>284</v>
      </c>
      <c r="AP138">
        <v>0</v>
      </c>
      <c r="AQ138">
        <v>89</v>
      </c>
      <c r="AR138">
        <v>50.5</v>
      </c>
      <c r="AS138">
        <v>38.5</v>
      </c>
      <c r="AT138">
        <v>0</v>
      </c>
      <c r="AU138">
        <v>90.25</v>
      </c>
      <c r="AV138">
        <v>33</v>
      </c>
      <c r="AW138">
        <v>57.25</v>
      </c>
      <c r="AX138">
        <v>0</v>
      </c>
      <c r="AY138">
        <v>0</v>
      </c>
    </row>
    <row r="139" spans="1:51">
      <c r="A139" t="s">
        <v>16932</v>
      </c>
      <c r="B139" t="s">
        <v>16933</v>
      </c>
      <c r="C139">
        <v>1</v>
      </c>
      <c r="D139">
        <v>1</v>
      </c>
      <c r="E139">
        <v>1</v>
      </c>
      <c r="F139">
        <v>1</v>
      </c>
      <c r="G139">
        <v>1</v>
      </c>
      <c r="H139">
        <v>1</v>
      </c>
      <c r="I139">
        <v>0</v>
      </c>
      <c r="J139">
        <v>1</v>
      </c>
      <c r="K139">
        <v>23</v>
      </c>
      <c r="L139">
        <v>0</v>
      </c>
      <c r="M139">
        <v>0</v>
      </c>
      <c r="N139">
        <v>0</v>
      </c>
      <c r="O139">
        <v>0</v>
      </c>
      <c r="P139">
        <v>1</v>
      </c>
      <c r="Q139">
        <v>0</v>
      </c>
      <c r="R139">
        <v>0</v>
      </c>
      <c r="S139">
        <v>0</v>
      </c>
      <c r="T139">
        <v>0</v>
      </c>
      <c r="U139">
        <v>0</v>
      </c>
      <c r="V139">
        <v>0</v>
      </c>
      <c r="W139" s="4">
        <v>0</v>
      </c>
      <c r="X139" s="4">
        <v>0</v>
      </c>
      <c r="Y139">
        <v>0</v>
      </c>
      <c r="Z139">
        <v>0</v>
      </c>
      <c r="AA139" s="4">
        <v>0</v>
      </c>
      <c r="AB139" s="4">
        <v>0</v>
      </c>
      <c r="AC139" s="4">
        <v>0</v>
      </c>
      <c r="AD139" s="4">
        <v>0</v>
      </c>
      <c r="AE139" s="4">
        <v>0</v>
      </c>
      <c r="AF139" s="4">
        <v>0</v>
      </c>
      <c r="AG139" s="4">
        <v>0</v>
      </c>
      <c r="AH139" s="4">
        <v>0</v>
      </c>
      <c r="AI139" s="4">
        <v>0</v>
      </c>
      <c r="AJ139" s="4">
        <v>0</v>
      </c>
      <c r="AK139" s="4">
        <v>0</v>
      </c>
      <c r="AL139" s="4">
        <v>0</v>
      </c>
      <c r="AM139">
        <v>23</v>
      </c>
      <c r="AN139">
        <v>23</v>
      </c>
      <c r="AO139">
        <v>0</v>
      </c>
      <c r="AP139">
        <v>23</v>
      </c>
      <c r="AQ139">
        <v>0</v>
      </c>
      <c r="AR139">
        <v>0</v>
      </c>
      <c r="AS139">
        <v>0</v>
      </c>
      <c r="AT139">
        <v>0</v>
      </c>
      <c r="AU139">
        <v>0</v>
      </c>
      <c r="AV139">
        <v>0</v>
      </c>
      <c r="AW139">
        <v>0</v>
      </c>
      <c r="AX139">
        <v>0</v>
      </c>
      <c r="AY139">
        <v>0</v>
      </c>
    </row>
    <row r="140" spans="1:51">
      <c r="A140" t="s">
        <v>16932</v>
      </c>
      <c r="B140" t="s">
        <v>17037</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s="4">
        <v>0</v>
      </c>
      <c r="X140" s="4">
        <v>0</v>
      </c>
      <c r="Y140">
        <v>0</v>
      </c>
      <c r="Z140">
        <v>0</v>
      </c>
      <c r="AA140" s="4">
        <v>0</v>
      </c>
      <c r="AB140" s="4">
        <v>0</v>
      </c>
      <c r="AC140" s="4">
        <v>0</v>
      </c>
      <c r="AD140" s="4">
        <v>0</v>
      </c>
      <c r="AE140" s="4">
        <v>0</v>
      </c>
      <c r="AF140" s="4">
        <v>0</v>
      </c>
      <c r="AG140" s="4">
        <v>0</v>
      </c>
      <c r="AH140" s="4">
        <v>0</v>
      </c>
      <c r="AI140" s="4">
        <v>0</v>
      </c>
      <c r="AJ140" s="4">
        <v>0</v>
      </c>
      <c r="AK140" s="4">
        <v>0</v>
      </c>
      <c r="AL140" s="4">
        <v>0</v>
      </c>
      <c r="AM140">
        <v>0</v>
      </c>
      <c r="AN140">
        <v>0</v>
      </c>
      <c r="AO140">
        <v>0</v>
      </c>
      <c r="AP140">
        <v>0</v>
      </c>
      <c r="AQ140">
        <v>0</v>
      </c>
      <c r="AR140">
        <v>0</v>
      </c>
      <c r="AS140">
        <v>0</v>
      </c>
      <c r="AT140">
        <v>0</v>
      </c>
      <c r="AU140">
        <v>0</v>
      </c>
      <c r="AV140">
        <v>0</v>
      </c>
      <c r="AW140">
        <v>0</v>
      </c>
      <c r="AX140">
        <v>0</v>
      </c>
      <c r="AY140">
        <v>0</v>
      </c>
    </row>
    <row r="141" spans="1:51">
      <c r="A141" t="s">
        <v>16932</v>
      </c>
      <c r="B141" t="s">
        <v>17038</v>
      </c>
      <c r="C141">
        <v>0</v>
      </c>
      <c r="D141">
        <v>4</v>
      </c>
      <c r="E141">
        <v>4</v>
      </c>
      <c r="F141">
        <v>2</v>
      </c>
      <c r="G141">
        <v>1</v>
      </c>
      <c r="H141">
        <v>2</v>
      </c>
      <c r="I141">
        <v>0</v>
      </c>
      <c r="J141">
        <v>3</v>
      </c>
      <c r="K141">
        <v>98</v>
      </c>
      <c r="L141">
        <v>0</v>
      </c>
      <c r="M141">
        <v>0</v>
      </c>
      <c r="N141">
        <v>0</v>
      </c>
      <c r="O141">
        <v>1</v>
      </c>
      <c r="P141">
        <v>2</v>
      </c>
      <c r="Q141">
        <v>0</v>
      </c>
      <c r="R141">
        <v>0</v>
      </c>
      <c r="S141">
        <v>0</v>
      </c>
      <c r="T141">
        <v>0</v>
      </c>
      <c r="U141">
        <v>0</v>
      </c>
      <c r="V141">
        <v>0</v>
      </c>
      <c r="W141" s="4">
        <v>0</v>
      </c>
      <c r="X141" s="4">
        <v>0</v>
      </c>
      <c r="Y141">
        <v>0</v>
      </c>
      <c r="Z141">
        <v>0</v>
      </c>
      <c r="AA141" s="4">
        <v>0</v>
      </c>
      <c r="AB141" s="4">
        <v>0</v>
      </c>
      <c r="AC141" s="4">
        <v>0</v>
      </c>
      <c r="AD141" s="4">
        <v>0</v>
      </c>
      <c r="AE141" s="4">
        <v>0</v>
      </c>
      <c r="AF141" s="4">
        <v>0</v>
      </c>
      <c r="AG141" s="4">
        <v>0</v>
      </c>
      <c r="AH141" s="4">
        <v>0</v>
      </c>
      <c r="AI141" s="4">
        <v>0</v>
      </c>
      <c r="AJ141" s="4">
        <v>0</v>
      </c>
      <c r="AK141" s="4">
        <v>0</v>
      </c>
      <c r="AL141" s="4">
        <v>0</v>
      </c>
      <c r="AM141">
        <v>98</v>
      </c>
      <c r="AN141">
        <v>90</v>
      </c>
      <c r="AO141">
        <v>8</v>
      </c>
      <c r="AP141">
        <v>0</v>
      </c>
      <c r="AQ141">
        <v>0</v>
      </c>
      <c r="AR141">
        <v>0</v>
      </c>
      <c r="AS141">
        <v>0</v>
      </c>
      <c r="AT141">
        <v>0</v>
      </c>
      <c r="AU141">
        <v>0</v>
      </c>
      <c r="AV141">
        <v>0</v>
      </c>
      <c r="AW141">
        <v>0</v>
      </c>
      <c r="AX141">
        <v>0</v>
      </c>
      <c r="AY141">
        <v>0</v>
      </c>
    </row>
    <row r="142" spans="1:51">
      <c r="A142" t="s">
        <v>16932</v>
      </c>
      <c r="B142" t="s">
        <v>17093</v>
      </c>
      <c r="C142">
        <v>0</v>
      </c>
      <c r="D142">
        <v>6</v>
      </c>
      <c r="E142">
        <v>6</v>
      </c>
      <c r="F142">
        <v>6</v>
      </c>
      <c r="G142">
        <v>0</v>
      </c>
      <c r="H142">
        <v>0</v>
      </c>
      <c r="I142">
        <v>0</v>
      </c>
      <c r="J142">
        <v>6</v>
      </c>
      <c r="K142">
        <v>95</v>
      </c>
      <c r="L142">
        <v>4</v>
      </c>
      <c r="M142">
        <v>0</v>
      </c>
      <c r="N142">
        <v>2</v>
      </c>
      <c r="O142">
        <v>0</v>
      </c>
      <c r="P142">
        <v>0</v>
      </c>
      <c r="Q142">
        <v>0</v>
      </c>
      <c r="R142">
        <v>0</v>
      </c>
      <c r="S142">
        <v>10</v>
      </c>
      <c r="T142">
        <v>15</v>
      </c>
      <c r="U142">
        <v>0</v>
      </c>
      <c r="V142">
        <v>25</v>
      </c>
      <c r="W142" s="4">
        <v>400</v>
      </c>
      <c r="X142" s="4">
        <v>0</v>
      </c>
      <c r="Y142">
        <v>6</v>
      </c>
      <c r="Z142">
        <v>0</v>
      </c>
      <c r="AA142" s="4">
        <v>0</v>
      </c>
      <c r="AB142" s="4">
        <v>220</v>
      </c>
      <c r="AC142" s="4">
        <v>385.25</v>
      </c>
      <c r="AD142" s="4">
        <v>385.25</v>
      </c>
      <c r="AE142" s="4">
        <v>352.5</v>
      </c>
      <c r="AF142" s="4">
        <v>605.25</v>
      </c>
      <c r="AG142" s="4">
        <v>785.25</v>
      </c>
      <c r="AH142" s="4">
        <v>250</v>
      </c>
      <c r="AI142" s="4">
        <v>0</v>
      </c>
      <c r="AJ142" s="4">
        <v>0</v>
      </c>
      <c r="AK142" s="4">
        <v>0</v>
      </c>
      <c r="AL142" s="4">
        <v>0</v>
      </c>
      <c r="AM142">
        <v>95</v>
      </c>
      <c r="AN142">
        <v>0</v>
      </c>
      <c r="AO142">
        <v>95</v>
      </c>
      <c r="AP142">
        <v>0</v>
      </c>
      <c r="AQ142">
        <v>10</v>
      </c>
      <c r="AR142">
        <v>0</v>
      </c>
      <c r="AS142">
        <v>10</v>
      </c>
      <c r="AT142">
        <v>0</v>
      </c>
      <c r="AU142">
        <v>15</v>
      </c>
      <c r="AV142">
        <v>0</v>
      </c>
      <c r="AW142">
        <v>15</v>
      </c>
      <c r="AX142">
        <v>0</v>
      </c>
      <c r="AY142">
        <v>0</v>
      </c>
    </row>
    <row r="143" spans="1:51">
      <c r="A143" t="s">
        <v>16932</v>
      </c>
      <c r="B143" t="s">
        <v>17095</v>
      </c>
      <c r="C143">
        <v>0</v>
      </c>
      <c r="D143">
        <v>17</v>
      </c>
      <c r="E143">
        <v>0</v>
      </c>
      <c r="F143">
        <v>11</v>
      </c>
      <c r="G143">
        <v>5</v>
      </c>
      <c r="H143">
        <v>0</v>
      </c>
      <c r="I143">
        <v>0</v>
      </c>
      <c r="J143">
        <v>17</v>
      </c>
      <c r="K143">
        <v>283</v>
      </c>
      <c r="L143">
        <v>13</v>
      </c>
      <c r="M143">
        <v>4</v>
      </c>
      <c r="N143">
        <v>0</v>
      </c>
      <c r="O143">
        <v>0</v>
      </c>
      <c r="P143">
        <v>0</v>
      </c>
      <c r="Q143">
        <v>0</v>
      </c>
      <c r="R143">
        <v>0</v>
      </c>
      <c r="S143">
        <v>0</v>
      </c>
      <c r="T143">
        <v>0</v>
      </c>
      <c r="U143">
        <v>0</v>
      </c>
      <c r="V143">
        <v>0</v>
      </c>
      <c r="W143" s="4">
        <v>0</v>
      </c>
      <c r="X143" s="4">
        <v>0</v>
      </c>
      <c r="Y143">
        <v>15</v>
      </c>
      <c r="Z143">
        <v>0</v>
      </c>
      <c r="AA143" s="4">
        <v>0</v>
      </c>
      <c r="AB143" s="4">
        <v>0</v>
      </c>
      <c r="AC143" s="4">
        <v>0</v>
      </c>
      <c r="AD143" s="4">
        <v>0</v>
      </c>
      <c r="AE143" s="4">
        <v>0</v>
      </c>
      <c r="AF143" s="4">
        <v>0</v>
      </c>
      <c r="AG143" s="4">
        <v>0</v>
      </c>
      <c r="AH143" s="4">
        <v>0</v>
      </c>
      <c r="AI143" s="4">
        <v>0</v>
      </c>
      <c r="AJ143" s="4">
        <v>0</v>
      </c>
      <c r="AK143" s="4">
        <v>0</v>
      </c>
      <c r="AL143" s="4">
        <v>0</v>
      </c>
      <c r="AM143">
        <v>283</v>
      </c>
      <c r="AN143">
        <v>0</v>
      </c>
      <c r="AO143">
        <v>283</v>
      </c>
      <c r="AP143">
        <v>0</v>
      </c>
      <c r="AQ143">
        <v>0</v>
      </c>
      <c r="AR143">
        <v>0</v>
      </c>
      <c r="AS143">
        <v>0</v>
      </c>
      <c r="AT143">
        <v>0</v>
      </c>
      <c r="AU143">
        <v>0</v>
      </c>
      <c r="AV143">
        <v>0</v>
      </c>
      <c r="AW143">
        <v>0</v>
      </c>
      <c r="AX143">
        <v>0</v>
      </c>
      <c r="AY143">
        <v>12</v>
      </c>
    </row>
    <row r="144" spans="1:51">
      <c r="A144" t="s">
        <v>16932</v>
      </c>
      <c r="B144" t="s">
        <v>17094</v>
      </c>
      <c r="C144">
        <v>0</v>
      </c>
      <c r="D144">
        <v>1</v>
      </c>
      <c r="E144">
        <v>1</v>
      </c>
      <c r="F144">
        <v>1</v>
      </c>
      <c r="G144">
        <v>1</v>
      </c>
      <c r="H144">
        <v>0</v>
      </c>
      <c r="I144">
        <v>0</v>
      </c>
      <c r="J144">
        <v>1</v>
      </c>
      <c r="K144">
        <v>28</v>
      </c>
      <c r="L144">
        <v>1</v>
      </c>
      <c r="M144">
        <v>0</v>
      </c>
      <c r="N144">
        <v>0</v>
      </c>
      <c r="O144">
        <v>0</v>
      </c>
      <c r="P144">
        <v>0</v>
      </c>
      <c r="Q144">
        <v>0</v>
      </c>
      <c r="R144">
        <v>0</v>
      </c>
      <c r="S144">
        <v>0.5</v>
      </c>
      <c r="T144">
        <v>2.5</v>
      </c>
      <c r="U144">
        <v>0</v>
      </c>
      <c r="V144">
        <v>3</v>
      </c>
      <c r="W144" s="4">
        <v>55</v>
      </c>
      <c r="X144" s="4">
        <v>0</v>
      </c>
      <c r="Y144">
        <v>1</v>
      </c>
      <c r="Z144">
        <v>0</v>
      </c>
      <c r="AA144" s="4">
        <v>0</v>
      </c>
      <c r="AB144" s="4">
        <v>25</v>
      </c>
      <c r="AC144" s="4">
        <v>10</v>
      </c>
      <c r="AD144" s="4">
        <v>50</v>
      </c>
      <c r="AE144" s="4">
        <v>59</v>
      </c>
      <c r="AF144" s="4">
        <v>75</v>
      </c>
      <c r="AG144" s="4">
        <v>65</v>
      </c>
      <c r="AH144" s="4">
        <v>6</v>
      </c>
      <c r="AI144" s="4">
        <v>0</v>
      </c>
      <c r="AJ144" s="4">
        <v>0</v>
      </c>
      <c r="AK144" s="4">
        <v>0</v>
      </c>
      <c r="AL144" s="4">
        <v>0</v>
      </c>
      <c r="AM144">
        <v>28</v>
      </c>
      <c r="AN144">
        <v>0</v>
      </c>
      <c r="AO144">
        <v>28</v>
      </c>
      <c r="AP144">
        <v>0</v>
      </c>
      <c r="AQ144">
        <v>0.5</v>
      </c>
      <c r="AR144">
        <v>0</v>
      </c>
      <c r="AS144">
        <v>0.5</v>
      </c>
      <c r="AT144">
        <v>0</v>
      </c>
      <c r="AU144">
        <v>2.5</v>
      </c>
      <c r="AV144">
        <v>0</v>
      </c>
      <c r="AW144">
        <v>2.5</v>
      </c>
      <c r="AX144">
        <v>0</v>
      </c>
      <c r="AY144">
        <v>0</v>
      </c>
    </row>
    <row r="145" spans="1:51">
      <c r="A145" t="s">
        <v>16932</v>
      </c>
      <c r="B145" t="s">
        <v>17051</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s="4">
        <v>0</v>
      </c>
      <c r="X145" s="4">
        <v>0</v>
      </c>
      <c r="Y145">
        <v>0</v>
      </c>
      <c r="Z145">
        <v>0</v>
      </c>
      <c r="AA145" s="4">
        <v>0</v>
      </c>
      <c r="AB145" s="4">
        <v>0</v>
      </c>
      <c r="AC145" s="4">
        <v>0</v>
      </c>
      <c r="AD145" s="4">
        <v>0</v>
      </c>
      <c r="AE145" s="4">
        <v>0</v>
      </c>
      <c r="AF145" s="4">
        <v>0</v>
      </c>
      <c r="AG145" s="4">
        <v>0</v>
      </c>
      <c r="AH145" s="4">
        <v>0</v>
      </c>
      <c r="AI145" s="4">
        <v>0</v>
      </c>
      <c r="AJ145" s="4">
        <v>0</v>
      </c>
      <c r="AK145" s="4">
        <v>0</v>
      </c>
      <c r="AL145" s="4">
        <v>0</v>
      </c>
      <c r="AM145">
        <v>0</v>
      </c>
      <c r="AN145">
        <v>0</v>
      </c>
      <c r="AO145">
        <v>0</v>
      </c>
      <c r="AP145">
        <v>0</v>
      </c>
      <c r="AQ145">
        <v>0</v>
      </c>
      <c r="AR145">
        <v>0</v>
      </c>
      <c r="AS145">
        <v>0</v>
      </c>
      <c r="AT145">
        <v>0</v>
      </c>
      <c r="AU145">
        <v>0</v>
      </c>
      <c r="AV145">
        <v>0</v>
      </c>
      <c r="AW145">
        <v>0</v>
      </c>
      <c r="AX145">
        <v>0</v>
      </c>
      <c r="AY145">
        <v>0</v>
      </c>
    </row>
    <row r="146" spans="1:51">
      <c r="A146" t="s">
        <v>16932</v>
      </c>
      <c r="B146" t="s">
        <v>16940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s="4">
        <v>0</v>
      </c>
      <c r="X146" s="4">
        <v>0</v>
      </c>
      <c r="Y146">
        <v>0</v>
      </c>
      <c r="Z146">
        <v>0</v>
      </c>
      <c r="AA146" s="4">
        <v>0</v>
      </c>
      <c r="AB146" s="4">
        <v>0</v>
      </c>
      <c r="AC146" s="4">
        <v>0</v>
      </c>
      <c r="AD146" s="4">
        <v>0</v>
      </c>
      <c r="AE146" s="4">
        <v>0</v>
      </c>
      <c r="AF146" s="4">
        <v>0</v>
      </c>
      <c r="AG146" s="4">
        <v>0</v>
      </c>
      <c r="AH146" s="4">
        <v>0</v>
      </c>
      <c r="AI146" s="4">
        <v>0</v>
      </c>
      <c r="AJ146" s="4">
        <v>0</v>
      </c>
      <c r="AK146" s="4">
        <v>0</v>
      </c>
      <c r="AL146" s="4">
        <v>0</v>
      </c>
      <c r="AM146">
        <v>0</v>
      </c>
      <c r="AN146">
        <v>0</v>
      </c>
      <c r="AO146">
        <v>0</v>
      </c>
      <c r="AP146">
        <v>0</v>
      </c>
      <c r="AQ146">
        <v>0</v>
      </c>
      <c r="AR146">
        <v>0</v>
      </c>
      <c r="AS146">
        <v>0</v>
      </c>
      <c r="AT146">
        <v>0</v>
      </c>
      <c r="AU146">
        <v>0</v>
      </c>
      <c r="AV146">
        <v>0</v>
      </c>
      <c r="AW146">
        <v>0</v>
      </c>
      <c r="AX146">
        <v>0</v>
      </c>
      <c r="AY146">
        <v>0</v>
      </c>
    </row>
    <row r="147" spans="1:51">
      <c r="A147" t="s">
        <v>16932</v>
      </c>
      <c r="B147" t="s">
        <v>17190</v>
      </c>
      <c r="C147">
        <v>0</v>
      </c>
      <c r="D147">
        <v>2</v>
      </c>
      <c r="E147">
        <v>2</v>
      </c>
      <c r="F147">
        <v>1</v>
      </c>
      <c r="G147">
        <v>1</v>
      </c>
      <c r="H147">
        <v>1</v>
      </c>
      <c r="I147">
        <v>0</v>
      </c>
      <c r="J147">
        <v>2</v>
      </c>
      <c r="K147">
        <v>18</v>
      </c>
      <c r="L147">
        <v>0</v>
      </c>
      <c r="M147">
        <v>1</v>
      </c>
      <c r="N147">
        <v>1</v>
      </c>
      <c r="O147">
        <v>0</v>
      </c>
      <c r="P147">
        <v>0</v>
      </c>
      <c r="Q147">
        <v>0</v>
      </c>
      <c r="R147">
        <v>0</v>
      </c>
      <c r="S147">
        <v>1</v>
      </c>
      <c r="T147">
        <v>1</v>
      </c>
      <c r="U147">
        <v>0</v>
      </c>
      <c r="V147">
        <v>2</v>
      </c>
      <c r="W147" s="4">
        <v>30</v>
      </c>
      <c r="X147" s="4">
        <v>0</v>
      </c>
      <c r="Y147">
        <v>1</v>
      </c>
      <c r="Z147">
        <v>0</v>
      </c>
      <c r="AA147" s="4">
        <v>0</v>
      </c>
      <c r="AB147" s="4">
        <v>0</v>
      </c>
      <c r="AC147" s="4">
        <v>65.989999999999995</v>
      </c>
      <c r="AD147" s="4">
        <v>65.989999999999995</v>
      </c>
      <c r="AE147" s="4">
        <v>0</v>
      </c>
      <c r="AF147" s="4">
        <v>65.989999999999995</v>
      </c>
      <c r="AG147" s="4">
        <v>95.99</v>
      </c>
      <c r="AH147" s="4">
        <v>95.99</v>
      </c>
      <c r="AI147" s="4">
        <v>0</v>
      </c>
      <c r="AJ147" s="4">
        <v>0</v>
      </c>
      <c r="AK147" s="4">
        <v>0</v>
      </c>
      <c r="AL147" s="4">
        <v>0</v>
      </c>
      <c r="AM147">
        <v>18</v>
      </c>
      <c r="AN147">
        <v>12</v>
      </c>
      <c r="AO147">
        <v>6</v>
      </c>
      <c r="AP147">
        <v>0</v>
      </c>
      <c r="AQ147">
        <v>1</v>
      </c>
      <c r="AR147">
        <v>0</v>
      </c>
      <c r="AS147">
        <v>1</v>
      </c>
      <c r="AT147">
        <v>0</v>
      </c>
      <c r="AU147">
        <v>1</v>
      </c>
      <c r="AV147">
        <v>0</v>
      </c>
      <c r="AW147">
        <v>1</v>
      </c>
      <c r="AX147">
        <v>0</v>
      </c>
      <c r="AY147">
        <v>93</v>
      </c>
    </row>
    <row r="148" spans="1:51">
      <c r="A148" t="s">
        <v>17041</v>
      </c>
      <c r="B148" t="s">
        <v>17039</v>
      </c>
      <c r="C148">
        <v>0</v>
      </c>
      <c r="D148">
        <v>1</v>
      </c>
      <c r="E148">
        <v>1</v>
      </c>
      <c r="F148">
        <v>1</v>
      </c>
      <c r="G148">
        <v>0</v>
      </c>
      <c r="H148">
        <v>0</v>
      </c>
      <c r="I148">
        <v>0</v>
      </c>
      <c r="J148">
        <v>1</v>
      </c>
      <c r="K148">
        <v>9</v>
      </c>
      <c r="L148">
        <v>1</v>
      </c>
      <c r="M148">
        <v>0</v>
      </c>
      <c r="N148">
        <v>0</v>
      </c>
      <c r="O148">
        <v>0</v>
      </c>
      <c r="P148">
        <v>0</v>
      </c>
      <c r="Q148">
        <v>0</v>
      </c>
      <c r="R148">
        <v>0</v>
      </c>
      <c r="S148">
        <v>0</v>
      </c>
      <c r="T148">
        <v>4</v>
      </c>
      <c r="U148">
        <v>0</v>
      </c>
      <c r="V148">
        <v>4</v>
      </c>
      <c r="W148" s="4">
        <v>80</v>
      </c>
      <c r="X148" s="4">
        <v>0</v>
      </c>
      <c r="Y148">
        <v>0</v>
      </c>
      <c r="Z148">
        <v>1</v>
      </c>
      <c r="AA148" s="4">
        <v>0</v>
      </c>
      <c r="AB148" s="4">
        <v>20</v>
      </c>
      <c r="AC148" s="4">
        <v>0</v>
      </c>
      <c r="AD148" s="4">
        <v>0</v>
      </c>
      <c r="AE148" s="4">
        <v>20</v>
      </c>
      <c r="AF148" s="4">
        <v>20</v>
      </c>
      <c r="AG148" s="4">
        <v>80</v>
      </c>
      <c r="AH148" s="4">
        <v>60</v>
      </c>
      <c r="AI148" s="4">
        <v>0</v>
      </c>
      <c r="AJ148" s="4">
        <v>0</v>
      </c>
      <c r="AK148" s="4">
        <v>0</v>
      </c>
      <c r="AL148" s="4">
        <v>0</v>
      </c>
      <c r="AM148">
        <v>9</v>
      </c>
      <c r="AN148">
        <v>0</v>
      </c>
      <c r="AO148">
        <v>9</v>
      </c>
      <c r="AP148">
        <v>0</v>
      </c>
      <c r="AQ148">
        <v>0</v>
      </c>
      <c r="AR148">
        <v>0</v>
      </c>
      <c r="AS148">
        <v>0</v>
      </c>
      <c r="AT148">
        <v>0</v>
      </c>
      <c r="AU148">
        <v>4</v>
      </c>
      <c r="AV148">
        <v>0</v>
      </c>
      <c r="AW148">
        <v>4</v>
      </c>
      <c r="AX148">
        <v>0</v>
      </c>
      <c r="AY148">
        <v>1</v>
      </c>
    </row>
    <row r="149" spans="1:51">
      <c r="A149" t="s">
        <v>17041</v>
      </c>
      <c r="B149" t="s">
        <v>17042</v>
      </c>
      <c r="C149">
        <v>0</v>
      </c>
      <c r="D149">
        <v>6</v>
      </c>
      <c r="E149">
        <v>6</v>
      </c>
      <c r="F149">
        <v>5</v>
      </c>
      <c r="G149">
        <v>0</v>
      </c>
      <c r="H149">
        <v>0</v>
      </c>
      <c r="I149">
        <v>1</v>
      </c>
      <c r="J149">
        <v>6</v>
      </c>
      <c r="K149">
        <v>35</v>
      </c>
      <c r="L149">
        <v>6</v>
      </c>
      <c r="M149">
        <v>0</v>
      </c>
      <c r="N149">
        <v>0</v>
      </c>
      <c r="O149">
        <v>0</v>
      </c>
      <c r="P149">
        <v>0</v>
      </c>
      <c r="Q149">
        <v>0</v>
      </c>
      <c r="R149">
        <v>0</v>
      </c>
      <c r="S149">
        <v>2.75</v>
      </c>
      <c r="T149">
        <v>3</v>
      </c>
      <c r="U149">
        <v>0</v>
      </c>
      <c r="V149">
        <v>5.75</v>
      </c>
      <c r="W149" s="4">
        <v>87.5</v>
      </c>
      <c r="X149" s="4">
        <v>0</v>
      </c>
      <c r="Y149">
        <v>4</v>
      </c>
      <c r="Z149">
        <v>2</v>
      </c>
      <c r="AA149" s="4">
        <v>0</v>
      </c>
      <c r="AB149" s="4">
        <v>0</v>
      </c>
      <c r="AC149" s="4">
        <v>0</v>
      </c>
      <c r="AD149" s="4">
        <v>0</v>
      </c>
      <c r="AE149" s="4">
        <v>0</v>
      </c>
      <c r="AF149" s="4">
        <v>0</v>
      </c>
      <c r="AG149" s="4">
        <v>87.5</v>
      </c>
      <c r="AH149" s="4">
        <v>87.5</v>
      </c>
      <c r="AI149" s="4">
        <v>0</v>
      </c>
      <c r="AJ149" s="4">
        <v>0</v>
      </c>
      <c r="AK149" s="4">
        <v>0</v>
      </c>
      <c r="AL149" s="4">
        <v>0</v>
      </c>
      <c r="AM149">
        <v>35</v>
      </c>
      <c r="AN149">
        <v>0</v>
      </c>
      <c r="AO149">
        <v>35</v>
      </c>
      <c r="AP149">
        <v>0</v>
      </c>
      <c r="AQ149">
        <v>2.75</v>
      </c>
      <c r="AR149">
        <v>0</v>
      </c>
      <c r="AS149">
        <v>2.75</v>
      </c>
      <c r="AT149">
        <v>0</v>
      </c>
      <c r="AU149">
        <v>3</v>
      </c>
      <c r="AV149">
        <v>0</v>
      </c>
      <c r="AW149">
        <v>3</v>
      </c>
      <c r="AX149">
        <v>0</v>
      </c>
      <c r="AY149">
        <v>6</v>
      </c>
    </row>
    <row r="150" spans="1:51">
      <c r="A150" t="s">
        <v>17041</v>
      </c>
      <c r="B150" t="s">
        <v>17043</v>
      </c>
      <c r="C150">
        <v>0</v>
      </c>
      <c r="D150">
        <v>1</v>
      </c>
      <c r="E150">
        <v>1</v>
      </c>
      <c r="F150">
        <v>0</v>
      </c>
      <c r="G150">
        <v>0</v>
      </c>
      <c r="H150">
        <v>1</v>
      </c>
      <c r="I150">
        <v>0</v>
      </c>
      <c r="J150">
        <v>1</v>
      </c>
      <c r="K150">
        <v>24</v>
      </c>
      <c r="L150">
        <v>1</v>
      </c>
      <c r="M150">
        <v>0</v>
      </c>
      <c r="N150">
        <v>0</v>
      </c>
      <c r="O150">
        <v>0</v>
      </c>
      <c r="P150">
        <v>0</v>
      </c>
      <c r="Q150">
        <v>0</v>
      </c>
      <c r="R150">
        <v>0</v>
      </c>
      <c r="S150">
        <v>3.5</v>
      </c>
      <c r="T150">
        <v>1</v>
      </c>
      <c r="U150">
        <v>0</v>
      </c>
      <c r="V150">
        <v>4.5</v>
      </c>
      <c r="W150" s="4">
        <v>55</v>
      </c>
      <c r="X150" s="4">
        <v>0</v>
      </c>
      <c r="Y150">
        <v>0</v>
      </c>
      <c r="Z150">
        <v>1</v>
      </c>
      <c r="AA150" s="4">
        <v>0</v>
      </c>
      <c r="AB150" s="4">
        <v>0</v>
      </c>
      <c r="AC150" s="4">
        <v>0.2</v>
      </c>
      <c r="AD150" s="4">
        <v>0.2</v>
      </c>
      <c r="AE150" s="4">
        <v>0</v>
      </c>
      <c r="AF150" s="4">
        <v>0</v>
      </c>
      <c r="AG150" s="4">
        <v>55.2</v>
      </c>
      <c r="AH150" s="4">
        <v>55.2</v>
      </c>
      <c r="AI150" s="4">
        <v>0</v>
      </c>
      <c r="AJ150" s="4">
        <v>0</v>
      </c>
      <c r="AK150" s="4">
        <v>55.2</v>
      </c>
      <c r="AL150" s="4">
        <v>55.2</v>
      </c>
      <c r="AM150">
        <v>24</v>
      </c>
      <c r="AN150">
        <v>24</v>
      </c>
      <c r="AO150">
        <v>0</v>
      </c>
      <c r="AP150">
        <v>0</v>
      </c>
      <c r="AQ150">
        <v>3.5</v>
      </c>
      <c r="AR150">
        <v>3.5</v>
      </c>
      <c r="AS150">
        <v>0</v>
      </c>
      <c r="AT150">
        <v>0</v>
      </c>
      <c r="AU150">
        <v>1</v>
      </c>
      <c r="AV150">
        <v>1</v>
      </c>
      <c r="AW150">
        <v>0</v>
      </c>
      <c r="AX150">
        <v>0</v>
      </c>
    </row>
    <row r="151" spans="1:51">
      <c r="A151" t="s">
        <v>17041</v>
      </c>
      <c r="B151" t="s">
        <v>17101</v>
      </c>
      <c r="C151">
        <v>0</v>
      </c>
      <c r="D151">
        <v>7</v>
      </c>
      <c r="E151">
        <v>7</v>
      </c>
      <c r="F151">
        <v>6</v>
      </c>
      <c r="G151">
        <v>0</v>
      </c>
      <c r="H151">
        <v>3</v>
      </c>
      <c r="I151">
        <v>1</v>
      </c>
      <c r="J151">
        <v>6</v>
      </c>
      <c r="K151">
        <v>158</v>
      </c>
      <c r="L151">
        <v>5</v>
      </c>
      <c r="M151">
        <v>1</v>
      </c>
      <c r="N151">
        <v>0</v>
      </c>
      <c r="O151">
        <v>0</v>
      </c>
      <c r="P151">
        <v>0</v>
      </c>
      <c r="Q151">
        <v>0</v>
      </c>
      <c r="R151">
        <v>0</v>
      </c>
      <c r="S151">
        <v>1.75</v>
      </c>
      <c r="T151">
        <v>5</v>
      </c>
      <c r="U151">
        <v>4.25</v>
      </c>
      <c r="V151">
        <v>11</v>
      </c>
      <c r="W151" s="4">
        <v>117.5</v>
      </c>
      <c r="X151" s="4">
        <v>0</v>
      </c>
      <c r="Y151">
        <v>1</v>
      </c>
      <c r="Z151">
        <v>5</v>
      </c>
      <c r="AA151" s="4">
        <v>0</v>
      </c>
      <c r="AB151" s="4">
        <v>0</v>
      </c>
      <c r="AC151" s="4">
        <v>11.9</v>
      </c>
      <c r="AD151" s="4">
        <v>11.9</v>
      </c>
      <c r="AE151" s="4">
        <v>11.5</v>
      </c>
      <c r="AF151" s="4">
        <v>11.9</v>
      </c>
      <c r="AG151" s="4">
        <v>214.4</v>
      </c>
      <c r="AH151" s="4">
        <v>202.9</v>
      </c>
      <c r="AI151" s="4">
        <v>9.5</v>
      </c>
      <c r="AJ151" s="4">
        <v>9.5</v>
      </c>
      <c r="AK151" s="4">
        <v>129.5</v>
      </c>
      <c r="AL151" s="4">
        <v>120</v>
      </c>
      <c r="AM151">
        <v>158</v>
      </c>
      <c r="AN151">
        <v>117</v>
      </c>
      <c r="AO151">
        <v>41</v>
      </c>
      <c r="AP151">
        <v>0</v>
      </c>
      <c r="AQ151">
        <v>1.75</v>
      </c>
      <c r="AR151">
        <v>1</v>
      </c>
      <c r="AS151">
        <v>0.75</v>
      </c>
      <c r="AT151">
        <v>0</v>
      </c>
      <c r="AU151">
        <v>5</v>
      </c>
      <c r="AV151">
        <v>3.5</v>
      </c>
      <c r="AW151">
        <v>1.5</v>
      </c>
      <c r="AX151">
        <v>0</v>
      </c>
      <c r="AY151">
        <v>7</v>
      </c>
    </row>
    <row r="152" spans="1:51">
      <c r="A152" t="s">
        <v>17044</v>
      </c>
      <c r="B152" t="s">
        <v>17045</v>
      </c>
      <c r="C152">
        <v>0</v>
      </c>
      <c r="D152">
        <v>1</v>
      </c>
      <c r="E152">
        <v>1</v>
      </c>
      <c r="F152">
        <v>1</v>
      </c>
      <c r="G152">
        <v>0</v>
      </c>
      <c r="H152">
        <v>0</v>
      </c>
      <c r="I152">
        <v>0</v>
      </c>
      <c r="J152">
        <v>1</v>
      </c>
      <c r="K152">
        <v>10</v>
      </c>
      <c r="L152">
        <v>0</v>
      </c>
      <c r="M152">
        <v>0</v>
      </c>
      <c r="N152">
        <v>0</v>
      </c>
      <c r="O152">
        <v>0</v>
      </c>
      <c r="P152">
        <v>0</v>
      </c>
      <c r="Q152">
        <v>0</v>
      </c>
      <c r="R152">
        <v>0</v>
      </c>
      <c r="S152">
        <v>1</v>
      </c>
      <c r="T152">
        <v>0.25</v>
      </c>
      <c r="U152">
        <v>0</v>
      </c>
      <c r="V152">
        <v>1.25</v>
      </c>
      <c r="W152" s="4">
        <v>15</v>
      </c>
      <c r="X152" s="4">
        <v>0</v>
      </c>
      <c r="Y152">
        <v>0</v>
      </c>
      <c r="Z152">
        <v>0</v>
      </c>
      <c r="AA152" s="4">
        <v>0</v>
      </c>
      <c r="AB152" s="4">
        <v>15</v>
      </c>
      <c r="AC152" s="4">
        <v>0</v>
      </c>
      <c r="AD152" s="4">
        <v>0</v>
      </c>
      <c r="AE152" s="4">
        <v>0</v>
      </c>
      <c r="AF152" s="4">
        <v>15</v>
      </c>
      <c r="AG152" s="4">
        <v>15</v>
      </c>
      <c r="AH152" s="4">
        <v>15</v>
      </c>
      <c r="AI152" s="4">
        <v>0</v>
      </c>
      <c r="AJ152" s="4">
        <v>0</v>
      </c>
      <c r="AK152" s="4">
        <v>0</v>
      </c>
      <c r="AL152" s="4">
        <v>0</v>
      </c>
      <c r="AM152">
        <v>10</v>
      </c>
      <c r="AN152">
        <v>0</v>
      </c>
      <c r="AO152">
        <v>10</v>
      </c>
      <c r="AP152">
        <v>0</v>
      </c>
      <c r="AQ152">
        <v>1</v>
      </c>
      <c r="AR152">
        <v>0</v>
      </c>
      <c r="AS152">
        <v>1</v>
      </c>
      <c r="AT152">
        <v>0</v>
      </c>
      <c r="AU152">
        <v>0.25</v>
      </c>
      <c r="AV152">
        <v>0</v>
      </c>
      <c r="AW152">
        <v>0.25</v>
      </c>
      <c r="AX152">
        <v>0</v>
      </c>
    </row>
    <row r="153" spans="1:51">
      <c r="A153" t="s">
        <v>17044</v>
      </c>
      <c r="B153" t="s">
        <v>17204</v>
      </c>
      <c r="C153">
        <v>1</v>
      </c>
      <c r="D153">
        <v>2</v>
      </c>
      <c r="E153">
        <v>0</v>
      </c>
      <c r="F153">
        <v>2</v>
      </c>
      <c r="G153">
        <v>0</v>
      </c>
      <c r="H153">
        <v>1</v>
      </c>
      <c r="I153">
        <v>0</v>
      </c>
      <c r="J153">
        <v>0</v>
      </c>
      <c r="K153">
        <v>0</v>
      </c>
      <c r="L153">
        <v>2</v>
      </c>
      <c r="M153">
        <v>0</v>
      </c>
      <c r="N153">
        <v>0</v>
      </c>
      <c r="O153">
        <v>0</v>
      </c>
      <c r="P153">
        <v>0</v>
      </c>
      <c r="Q153">
        <v>0</v>
      </c>
      <c r="R153">
        <v>0</v>
      </c>
      <c r="S153">
        <v>0.25</v>
      </c>
      <c r="T153">
        <v>3.75</v>
      </c>
      <c r="U153">
        <v>5</v>
      </c>
      <c r="V153">
        <v>9</v>
      </c>
      <c r="W153" s="4">
        <v>60</v>
      </c>
      <c r="X153" s="4">
        <v>0</v>
      </c>
      <c r="Y153">
        <v>0</v>
      </c>
      <c r="Z153">
        <v>0</v>
      </c>
      <c r="AA153" s="4">
        <v>-17.5</v>
      </c>
      <c r="AB153" s="4">
        <v>60</v>
      </c>
      <c r="AC153" s="4">
        <v>50.25</v>
      </c>
      <c r="AD153" s="4">
        <v>50.25</v>
      </c>
      <c r="AE153" s="4">
        <v>0</v>
      </c>
      <c r="AF153" s="4">
        <v>110.25</v>
      </c>
      <c r="AG153" s="4">
        <v>210.25</v>
      </c>
      <c r="AH153" s="4">
        <v>210.25</v>
      </c>
      <c r="AI153" s="4">
        <v>0</v>
      </c>
      <c r="AJ153" s="4">
        <v>110.25</v>
      </c>
      <c r="AK153" s="4">
        <v>210.25</v>
      </c>
      <c r="AL153" s="4">
        <v>210.25</v>
      </c>
      <c r="AM153">
        <v>0</v>
      </c>
      <c r="AN153">
        <v>0</v>
      </c>
      <c r="AO153">
        <v>0</v>
      </c>
      <c r="AP153">
        <v>0</v>
      </c>
      <c r="AQ153">
        <v>0.25</v>
      </c>
      <c r="AR153">
        <v>0</v>
      </c>
      <c r="AS153">
        <v>0</v>
      </c>
      <c r="AT153">
        <v>0.25</v>
      </c>
      <c r="AU153">
        <v>3.75</v>
      </c>
      <c r="AV153">
        <v>3</v>
      </c>
      <c r="AW153">
        <v>0</v>
      </c>
      <c r="AX153">
        <v>0.75</v>
      </c>
    </row>
    <row r="154" spans="1:51">
      <c r="A154" t="s">
        <v>17044</v>
      </c>
      <c r="B154" t="s">
        <v>17046</v>
      </c>
      <c r="C154">
        <v>0</v>
      </c>
      <c r="D154">
        <v>1</v>
      </c>
      <c r="E154">
        <v>1</v>
      </c>
      <c r="F154">
        <v>1</v>
      </c>
      <c r="G154">
        <v>1</v>
      </c>
      <c r="H154">
        <v>0</v>
      </c>
      <c r="I154">
        <v>0</v>
      </c>
      <c r="J154">
        <v>1</v>
      </c>
      <c r="K154">
        <v>10</v>
      </c>
      <c r="L154">
        <v>1</v>
      </c>
      <c r="M154">
        <v>0</v>
      </c>
      <c r="N154">
        <v>0</v>
      </c>
      <c r="O154">
        <v>0</v>
      </c>
      <c r="P154">
        <v>0</v>
      </c>
      <c r="Q154">
        <v>0</v>
      </c>
      <c r="R154">
        <v>0</v>
      </c>
      <c r="S154">
        <v>1</v>
      </c>
      <c r="U154">
        <v>0</v>
      </c>
      <c r="V154">
        <v>1.25</v>
      </c>
      <c r="W154" s="4">
        <v>15</v>
      </c>
      <c r="X154" s="4">
        <v>0</v>
      </c>
      <c r="Y154">
        <v>0</v>
      </c>
      <c r="Z154">
        <v>0</v>
      </c>
      <c r="AA154" s="4">
        <v>0</v>
      </c>
      <c r="AB154" s="4">
        <v>15</v>
      </c>
      <c r="AC154" s="4">
        <v>0</v>
      </c>
      <c r="AD154" s="4">
        <v>0</v>
      </c>
      <c r="AE154" s="4">
        <v>120</v>
      </c>
      <c r="AF154" s="4">
        <v>15</v>
      </c>
      <c r="AG154" s="4">
        <v>15</v>
      </c>
      <c r="AH154" s="4">
        <v>0</v>
      </c>
      <c r="AI154" s="4">
        <v>0</v>
      </c>
      <c r="AJ154" s="4">
        <v>0</v>
      </c>
      <c r="AK154" s="4">
        <v>0</v>
      </c>
      <c r="AL154" s="4">
        <v>0</v>
      </c>
      <c r="AM154">
        <v>10</v>
      </c>
      <c r="AN154">
        <v>0</v>
      </c>
      <c r="AO154">
        <v>10</v>
      </c>
      <c r="AP154">
        <v>0</v>
      </c>
      <c r="AQ154">
        <v>1</v>
      </c>
      <c r="AR154">
        <v>0</v>
      </c>
      <c r="AS154">
        <v>1</v>
      </c>
      <c r="AT154">
        <v>0</v>
      </c>
      <c r="AV154">
        <v>0</v>
      </c>
      <c r="AX154">
        <v>0</v>
      </c>
    </row>
    <row r="155" spans="1:51">
      <c r="A155" t="s">
        <v>17044</v>
      </c>
      <c r="B155" t="s">
        <v>17047</v>
      </c>
      <c r="C155">
        <v>0</v>
      </c>
      <c r="D155">
        <v>2</v>
      </c>
      <c r="E155">
        <v>2</v>
      </c>
      <c r="F155">
        <v>2</v>
      </c>
      <c r="G155">
        <v>1</v>
      </c>
      <c r="H155">
        <v>0</v>
      </c>
      <c r="I155">
        <v>0</v>
      </c>
      <c r="J155">
        <v>2</v>
      </c>
      <c r="K155">
        <v>14</v>
      </c>
      <c r="L155">
        <v>1</v>
      </c>
      <c r="M155">
        <v>0</v>
      </c>
      <c r="N155">
        <v>0</v>
      </c>
      <c r="O155">
        <v>0</v>
      </c>
      <c r="P155">
        <v>0</v>
      </c>
      <c r="Q155">
        <v>1</v>
      </c>
      <c r="R155">
        <v>0</v>
      </c>
      <c r="S155">
        <v>2.25</v>
      </c>
      <c r="T155">
        <v>0.75</v>
      </c>
      <c r="U155">
        <v>0</v>
      </c>
      <c r="V155">
        <v>3</v>
      </c>
      <c r="W155" s="4">
        <v>37.5</v>
      </c>
      <c r="X155" s="4">
        <v>0</v>
      </c>
      <c r="Y155">
        <v>0</v>
      </c>
      <c r="Z155">
        <v>2</v>
      </c>
      <c r="AA155" s="4">
        <v>0</v>
      </c>
      <c r="AB155" s="4">
        <v>0</v>
      </c>
      <c r="AC155" s="4">
        <v>149.5</v>
      </c>
      <c r="AD155" s="4">
        <v>29.5</v>
      </c>
      <c r="AE155" s="4">
        <v>0</v>
      </c>
      <c r="AF155" s="4">
        <v>29.5</v>
      </c>
      <c r="AG155" s="4">
        <v>187</v>
      </c>
      <c r="AH155" s="4">
        <v>187</v>
      </c>
      <c r="AI155" s="4">
        <v>0</v>
      </c>
      <c r="AJ155" s="4">
        <v>0</v>
      </c>
      <c r="AK155" s="4">
        <v>0</v>
      </c>
      <c r="AL155" s="4">
        <v>0</v>
      </c>
      <c r="AM155">
        <v>14</v>
      </c>
      <c r="AN155">
        <v>0</v>
      </c>
      <c r="AO155">
        <v>14</v>
      </c>
      <c r="AP155">
        <v>0</v>
      </c>
      <c r="AQ155">
        <v>2.25</v>
      </c>
      <c r="AR155">
        <v>0</v>
      </c>
      <c r="AS155">
        <v>2.25</v>
      </c>
      <c r="AT155">
        <v>0</v>
      </c>
      <c r="AU155">
        <v>0.75</v>
      </c>
      <c r="AV155">
        <v>0</v>
      </c>
      <c r="AW155">
        <v>0.75</v>
      </c>
      <c r="AX155">
        <v>0</v>
      </c>
    </row>
    <row r="156" spans="1:51">
      <c r="A156" t="s">
        <v>17044</v>
      </c>
      <c r="B156" t="s">
        <v>17048</v>
      </c>
      <c r="C156">
        <v>0</v>
      </c>
      <c r="D156">
        <v>1</v>
      </c>
      <c r="E156">
        <v>1</v>
      </c>
      <c r="F156">
        <v>1</v>
      </c>
      <c r="G156">
        <v>1</v>
      </c>
      <c r="H156">
        <v>0</v>
      </c>
      <c r="I156">
        <v>0</v>
      </c>
      <c r="J156">
        <v>1</v>
      </c>
      <c r="K156">
        <v>10</v>
      </c>
      <c r="L156">
        <v>1</v>
      </c>
      <c r="M156">
        <v>0</v>
      </c>
      <c r="N156">
        <v>0</v>
      </c>
      <c r="O156">
        <v>0</v>
      </c>
      <c r="P156">
        <v>0</v>
      </c>
      <c r="Q156">
        <v>0</v>
      </c>
      <c r="R156">
        <v>0</v>
      </c>
      <c r="S156">
        <v>1</v>
      </c>
      <c r="T156">
        <v>0.25</v>
      </c>
      <c r="U156">
        <v>0</v>
      </c>
      <c r="V156">
        <v>1.25</v>
      </c>
      <c r="W156" s="4">
        <v>15</v>
      </c>
      <c r="X156" s="4">
        <v>0</v>
      </c>
      <c r="Y156">
        <v>0</v>
      </c>
      <c r="Z156">
        <v>1</v>
      </c>
      <c r="AA156" s="4">
        <v>0</v>
      </c>
      <c r="AB156" s="4">
        <v>0</v>
      </c>
      <c r="AC156" s="4">
        <v>0</v>
      </c>
      <c r="AD156" s="4">
        <v>0</v>
      </c>
      <c r="AE156" s="4">
        <v>0</v>
      </c>
      <c r="AF156" s="4">
        <v>0</v>
      </c>
      <c r="AG156" s="4">
        <v>15</v>
      </c>
      <c r="AH156" s="4">
        <v>15</v>
      </c>
      <c r="AI156" s="4">
        <v>0</v>
      </c>
      <c r="AJ156" s="4">
        <v>0</v>
      </c>
      <c r="AK156" s="4">
        <v>0</v>
      </c>
      <c r="AL156" s="4">
        <v>0</v>
      </c>
      <c r="AM156">
        <v>10</v>
      </c>
      <c r="AN156">
        <v>0</v>
      </c>
      <c r="AO156">
        <v>10</v>
      </c>
      <c r="AP156">
        <v>0</v>
      </c>
      <c r="AQ156">
        <v>1</v>
      </c>
      <c r="AR156">
        <v>0</v>
      </c>
      <c r="AS156">
        <v>1</v>
      </c>
      <c r="AT156">
        <v>0</v>
      </c>
      <c r="AU156">
        <v>0.25</v>
      </c>
      <c r="AV156">
        <v>0</v>
      </c>
      <c r="AW156">
        <v>0.25</v>
      </c>
      <c r="AX156">
        <v>0</v>
      </c>
    </row>
    <row r="157" spans="1:51">
      <c r="A157" t="s">
        <v>17044</v>
      </c>
      <c r="B157" t="s">
        <v>17049</v>
      </c>
      <c r="C157">
        <v>0</v>
      </c>
      <c r="D157">
        <v>8</v>
      </c>
      <c r="E157">
        <v>8</v>
      </c>
      <c r="F157">
        <v>6</v>
      </c>
      <c r="G157">
        <v>1</v>
      </c>
      <c r="H157">
        <v>0</v>
      </c>
      <c r="I157">
        <v>0</v>
      </c>
      <c r="J157">
        <v>7</v>
      </c>
      <c r="K157">
        <v>162</v>
      </c>
      <c r="L157">
        <v>3</v>
      </c>
      <c r="M157">
        <v>0</v>
      </c>
      <c r="N157">
        <v>1</v>
      </c>
      <c r="O157">
        <v>0</v>
      </c>
      <c r="P157">
        <v>0</v>
      </c>
      <c r="Q157">
        <v>4</v>
      </c>
      <c r="R157">
        <v>0</v>
      </c>
      <c r="S157">
        <v>2</v>
      </c>
      <c r="T157">
        <v>2</v>
      </c>
      <c r="U157">
        <v>0</v>
      </c>
      <c r="V157">
        <v>4</v>
      </c>
      <c r="W157" s="4">
        <v>60</v>
      </c>
      <c r="X157" s="4">
        <v>0</v>
      </c>
      <c r="Y157">
        <v>8</v>
      </c>
      <c r="Z157">
        <v>0</v>
      </c>
      <c r="AA157" s="4">
        <v>0</v>
      </c>
      <c r="AB157" s="4">
        <v>0</v>
      </c>
      <c r="AC157" s="4">
        <v>25.75</v>
      </c>
      <c r="AD157" s="4">
        <v>25.75</v>
      </c>
      <c r="AE157" s="4">
        <v>25.75</v>
      </c>
      <c r="AF157" s="4">
        <v>25.75</v>
      </c>
      <c r="AG157" s="4">
        <v>85.75</v>
      </c>
      <c r="AH157" s="4">
        <v>60</v>
      </c>
      <c r="AI157" s="4">
        <v>0</v>
      </c>
      <c r="AJ157" s="4">
        <v>0</v>
      </c>
      <c r="AK157" s="4">
        <v>0</v>
      </c>
      <c r="AL157" s="4">
        <v>0</v>
      </c>
      <c r="AM157">
        <v>162</v>
      </c>
      <c r="AN157">
        <v>0</v>
      </c>
      <c r="AO157">
        <v>162</v>
      </c>
      <c r="AP157">
        <v>0</v>
      </c>
      <c r="AQ157">
        <v>2</v>
      </c>
      <c r="AR157">
        <v>0</v>
      </c>
      <c r="AS157">
        <v>2</v>
      </c>
      <c r="AT157">
        <v>0</v>
      </c>
      <c r="AU157">
        <v>2</v>
      </c>
      <c r="AV157">
        <v>0</v>
      </c>
      <c r="AW157">
        <v>2</v>
      </c>
      <c r="AX157">
        <v>0</v>
      </c>
    </row>
    <row r="158" spans="1:51">
      <c r="A158" t="s">
        <v>17044</v>
      </c>
      <c r="B158" t="s">
        <v>17049</v>
      </c>
      <c r="C158">
        <v>0</v>
      </c>
      <c r="D158">
        <v>3</v>
      </c>
      <c r="E158">
        <v>1</v>
      </c>
      <c r="F158">
        <v>1</v>
      </c>
      <c r="G158">
        <v>0</v>
      </c>
      <c r="H158">
        <v>0</v>
      </c>
      <c r="I158">
        <v>0</v>
      </c>
      <c r="J158">
        <v>2</v>
      </c>
      <c r="K158">
        <v>20</v>
      </c>
      <c r="L158">
        <v>2</v>
      </c>
      <c r="M158">
        <v>0</v>
      </c>
      <c r="N158">
        <v>0</v>
      </c>
      <c r="O158">
        <v>0</v>
      </c>
      <c r="P158">
        <v>0</v>
      </c>
      <c r="Q158">
        <v>1</v>
      </c>
      <c r="R158">
        <v>0</v>
      </c>
      <c r="S158">
        <v>0</v>
      </c>
      <c r="T158">
        <v>0</v>
      </c>
      <c r="U158">
        <v>0</v>
      </c>
      <c r="V158">
        <v>0</v>
      </c>
      <c r="W158" s="4">
        <v>0</v>
      </c>
      <c r="X158" s="4">
        <v>0</v>
      </c>
      <c r="Y158">
        <v>0</v>
      </c>
      <c r="Z158">
        <v>0</v>
      </c>
      <c r="AA158" s="4">
        <v>0</v>
      </c>
      <c r="AB158" s="4">
        <v>0</v>
      </c>
      <c r="AC158" s="4">
        <v>0</v>
      </c>
      <c r="AD158" s="4">
        <v>0</v>
      </c>
      <c r="AE158" s="4">
        <v>0</v>
      </c>
      <c r="AF158" s="4">
        <v>0</v>
      </c>
      <c r="AG158" s="4">
        <v>0</v>
      </c>
      <c r="AH158" s="4">
        <v>0</v>
      </c>
      <c r="AI158" s="4">
        <v>0</v>
      </c>
      <c r="AJ158" s="4">
        <v>0</v>
      </c>
      <c r="AK158" s="4">
        <v>0</v>
      </c>
      <c r="AL158" s="4">
        <v>0</v>
      </c>
      <c r="AM158">
        <v>20</v>
      </c>
      <c r="AN158">
        <v>0</v>
      </c>
      <c r="AO158">
        <v>20</v>
      </c>
      <c r="AP158">
        <v>0</v>
      </c>
      <c r="AQ158">
        <v>0</v>
      </c>
      <c r="AR158">
        <v>0</v>
      </c>
      <c r="AS158">
        <v>0</v>
      </c>
      <c r="AT158">
        <v>0</v>
      </c>
      <c r="AU158">
        <v>0</v>
      </c>
      <c r="AV158">
        <v>0</v>
      </c>
      <c r="AW158">
        <v>0</v>
      </c>
      <c r="AX158">
        <v>0</v>
      </c>
    </row>
    <row r="159" spans="1:51">
      <c r="A159" t="s">
        <v>17044</v>
      </c>
      <c r="B159" t="s">
        <v>17050</v>
      </c>
      <c r="C159">
        <v>0</v>
      </c>
      <c r="D159">
        <v>12</v>
      </c>
      <c r="E159">
        <v>12</v>
      </c>
      <c r="F159">
        <v>12</v>
      </c>
      <c r="G159">
        <v>0</v>
      </c>
      <c r="H159">
        <v>0</v>
      </c>
      <c r="I159">
        <v>0</v>
      </c>
      <c r="J159">
        <v>12</v>
      </c>
      <c r="K159">
        <v>12</v>
      </c>
      <c r="L159">
        <v>3</v>
      </c>
      <c r="M159">
        <v>1</v>
      </c>
      <c r="N159">
        <v>4</v>
      </c>
      <c r="O159">
        <v>0</v>
      </c>
      <c r="P159">
        <v>1</v>
      </c>
      <c r="Q159">
        <v>3</v>
      </c>
      <c r="R159">
        <v>0</v>
      </c>
      <c r="S159">
        <v>13.75</v>
      </c>
      <c r="T159">
        <v>7.75</v>
      </c>
      <c r="U159">
        <v>0</v>
      </c>
      <c r="V159">
        <v>21.5</v>
      </c>
      <c r="W159" s="4">
        <v>292.5</v>
      </c>
      <c r="X159" s="4">
        <v>0</v>
      </c>
      <c r="Y159">
        <v>12</v>
      </c>
      <c r="Z159">
        <v>0</v>
      </c>
      <c r="AA159" s="4">
        <v>0</v>
      </c>
      <c r="AB159" s="4">
        <v>100</v>
      </c>
      <c r="AC159" s="4">
        <v>697.6</v>
      </c>
      <c r="AD159" s="4">
        <v>697.6</v>
      </c>
      <c r="AE159" s="4">
        <v>690.85</v>
      </c>
      <c r="AF159" s="4">
        <v>797.6</v>
      </c>
      <c r="AG159" s="4">
        <v>990.1</v>
      </c>
      <c r="AH159" s="4">
        <v>299.25</v>
      </c>
      <c r="AI159" s="4">
        <v>0</v>
      </c>
      <c r="AJ159" s="4">
        <v>0</v>
      </c>
      <c r="AK159" s="4">
        <v>0</v>
      </c>
      <c r="AL159" s="4">
        <v>0</v>
      </c>
      <c r="AM159">
        <v>12</v>
      </c>
      <c r="AN159">
        <v>0</v>
      </c>
      <c r="AO159">
        <v>12</v>
      </c>
      <c r="AP159">
        <v>0</v>
      </c>
      <c r="AQ159">
        <v>13.75</v>
      </c>
      <c r="AR159">
        <v>0</v>
      </c>
      <c r="AS159">
        <v>13.75</v>
      </c>
      <c r="AT159">
        <v>0</v>
      </c>
      <c r="AU159">
        <v>7.75</v>
      </c>
      <c r="AV159">
        <v>0</v>
      </c>
      <c r="AW159">
        <v>7.75</v>
      </c>
      <c r="AX159">
        <v>0</v>
      </c>
    </row>
    <row r="160" spans="1:51">
      <c r="A160" t="s">
        <v>17044</v>
      </c>
      <c r="B160" t="s">
        <v>17052</v>
      </c>
      <c r="C160">
        <v>0</v>
      </c>
      <c r="D160">
        <v>4</v>
      </c>
      <c r="E160">
        <v>4</v>
      </c>
      <c r="F160">
        <v>4</v>
      </c>
      <c r="G160">
        <v>4</v>
      </c>
      <c r="H160">
        <v>0</v>
      </c>
      <c r="I160">
        <v>4</v>
      </c>
      <c r="J160">
        <v>8</v>
      </c>
      <c r="K160">
        <v>2</v>
      </c>
      <c r="L160">
        <v>0</v>
      </c>
      <c r="M160">
        <v>0</v>
      </c>
      <c r="N160">
        <v>0</v>
      </c>
      <c r="O160">
        <v>0</v>
      </c>
      <c r="P160">
        <v>2</v>
      </c>
      <c r="Q160">
        <v>0</v>
      </c>
      <c r="R160">
        <v>10</v>
      </c>
      <c r="S160">
        <v>30.25</v>
      </c>
      <c r="T160">
        <v>1</v>
      </c>
      <c r="U160">
        <v>41.25</v>
      </c>
      <c r="V160">
        <v>705</v>
      </c>
      <c r="W160" s="4">
        <v>0</v>
      </c>
      <c r="X160" s="4">
        <v>3</v>
      </c>
      <c r="Y160">
        <v>1</v>
      </c>
      <c r="Z160">
        <v>0</v>
      </c>
      <c r="AA160" s="4">
        <v>555</v>
      </c>
      <c r="AB160" s="4">
        <v>1276.44</v>
      </c>
      <c r="AC160" s="4">
        <v>885.68</v>
      </c>
      <c r="AD160" s="4">
        <v>1355.2</v>
      </c>
      <c r="AE160" s="4">
        <v>1505.68</v>
      </c>
      <c r="AF160" s="4">
        <v>2001.44</v>
      </c>
      <c r="AG160" s="4">
        <v>646.24</v>
      </c>
    </row>
    <row r="161" spans="1:51">
      <c r="A161" t="s">
        <v>17044</v>
      </c>
      <c r="B161" t="s">
        <v>17057</v>
      </c>
      <c r="C161">
        <v>82</v>
      </c>
      <c r="D161">
        <v>119</v>
      </c>
      <c r="E161">
        <v>116</v>
      </c>
      <c r="F161">
        <v>113</v>
      </c>
      <c r="G161">
        <v>8</v>
      </c>
      <c r="H161">
        <v>8</v>
      </c>
      <c r="I161">
        <v>5</v>
      </c>
      <c r="J161">
        <v>118</v>
      </c>
      <c r="K161">
        <v>1581</v>
      </c>
      <c r="L161">
        <v>57</v>
      </c>
      <c r="M161">
        <v>4</v>
      </c>
      <c r="N161">
        <v>44</v>
      </c>
      <c r="O161">
        <v>7</v>
      </c>
      <c r="P161">
        <v>4</v>
      </c>
      <c r="Q161">
        <v>3</v>
      </c>
      <c r="R161">
        <v>0</v>
      </c>
      <c r="S161">
        <v>42.7</v>
      </c>
      <c r="T161">
        <v>59.75</v>
      </c>
      <c r="U161">
        <v>0</v>
      </c>
      <c r="V161">
        <v>102.45</v>
      </c>
      <c r="W161" s="4">
        <v>965</v>
      </c>
      <c r="X161" s="4">
        <v>3</v>
      </c>
      <c r="Y161">
        <v>25</v>
      </c>
      <c r="Z161">
        <v>3</v>
      </c>
      <c r="AA161" s="4">
        <v>-625.45000000000005</v>
      </c>
      <c r="AB161" s="4">
        <v>507.5</v>
      </c>
      <c r="AC161" s="4">
        <v>1235.6199999999999</v>
      </c>
      <c r="AD161" s="4">
        <v>957.11</v>
      </c>
      <c r="AE161" s="4">
        <v>1042.3</v>
      </c>
      <c r="AF161" s="4">
        <v>1682.61</v>
      </c>
      <c r="AG161" s="4">
        <v>2203.37</v>
      </c>
      <c r="AH161" s="4">
        <v>1215.01</v>
      </c>
      <c r="AI161" s="4">
        <v>775.91</v>
      </c>
      <c r="AJ161" s="4">
        <v>1112.1600000000001</v>
      </c>
      <c r="AK161" s="4">
        <v>1401.91</v>
      </c>
      <c r="AL161" s="4">
        <v>626</v>
      </c>
      <c r="AM161">
        <v>1581</v>
      </c>
      <c r="AN161">
        <v>109</v>
      </c>
      <c r="AO161">
        <v>161</v>
      </c>
      <c r="AP161">
        <v>1311</v>
      </c>
      <c r="AQ161">
        <v>42.7</v>
      </c>
      <c r="AR161">
        <v>9.25</v>
      </c>
      <c r="AS161">
        <v>9.75</v>
      </c>
      <c r="AT161">
        <v>23.695</v>
      </c>
      <c r="AU161">
        <v>59.75</v>
      </c>
      <c r="AV161">
        <v>27.75</v>
      </c>
      <c r="AW161">
        <v>11</v>
      </c>
      <c r="AX161">
        <v>21</v>
      </c>
    </row>
    <row r="162" spans="1:51">
      <c r="A162" t="s">
        <v>17044</v>
      </c>
      <c r="B162" t="s">
        <v>17058</v>
      </c>
      <c r="C162">
        <v>60</v>
      </c>
      <c r="D162">
        <v>101</v>
      </c>
      <c r="E162">
        <v>101</v>
      </c>
      <c r="F162">
        <v>100</v>
      </c>
      <c r="G162">
        <v>8</v>
      </c>
      <c r="H162">
        <v>1</v>
      </c>
      <c r="I162">
        <v>0</v>
      </c>
      <c r="J162">
        <v>101</v>
      </c>
      <c r="K162">
        <v>459</v>
      </c>
      <c r="L162">
        <v>29</v>
      </c>
      <c r="M162">
        <v>14</v>
      </c>
      <c r="N162">
        <v>25</v>
      </c>
      <c r="O162">
        <v>15</v>
      </c>
      <c r="P162">
        <v>4</v>
      </c>
      <c r="Q162">
        <v>14</v>
      </c>
      <c r="R162">
        <v>0</v>
      </c>
      <c r="S162">
        <v>2</v>
      </c>
      <c r="T162">
        <v>1.5</v>
      </c>
      <c r="U162">
        <v>0</v>
      </c>
      <c r="V162">
        <v>3.5</v>
      </c>
      <c r="W162" s="4">
        <v>35</v>
      </c>
      <c r="X162" s="4">
        <v>0</v>
      </c>
      <c r="Y162">
        <v>39</v>
      </c>
      <c r="Z162">
        <v>2</v>
      </c>
      <c r="AA162" s="4">
        <v>-15</v>
      </c>
      <c r="AB162" s="4">
        <v>0</v>
      </c>
      <c r="AC162" s="4">
        <v>926.5</v>
      </c>
      <c r="AD162" s="4">
        <v>445.55</v>
      </c>
      <c r="AE162" s="4">
        <v>133.55000000000001</v>
      </c>
      <c r="AF162" s="4">
        <v>445.55</v>
      </c>
      <c r="AG162" s="4">
        <v>961.5</v>
      </c>
      <c r="AH162" s="4">
        <v>827.95</v>
      </c>
      <c r="AI162" s="4">
        <v>0</v>
      </c>
      <c r="AJ162" s="4">
        <v>0.5</v>
      </c>
      <c r="AK162" s="4">
        <v>1</v>
      </c>
      <c r="AL162" s="4">
        <v>1</v>
      </c>
      <c r="AM162">
        <v>459</v>
      </c>
      <c r="AN162">
        <v>19</v>
      </c>
      <c r="AO162">
        <v>130</v>
      </c>
      <c r="AP162">
        <v>310</v>
      </c>
      <c r="AQ162">
        <v>2</v>
      </c>
      <c r="AR162">
        <v>0</v>
      </c>
      <c r="AS162">
        <v>1.5</v>
      </c>
      <c r="AT162">
        <v>0.5</v>
      </c>
      <c r="AU162">
        <v>1.5</v>
      </c>
      <c r="AV162">
        <v>0</v>
      </c>
      <c r="AW162">
        <v>1</v>
      </c>
      <c r="AX162">
        <v>0.5</v>
      </c>
      <c r="AY162">
        <v>1737</v>
      </c>
    </row>
    <row r="163" spans="1:51">
      <c r="A163" t="s">
        <v>17059</v>
      </c>
      <c r="B163" t="s">
        <v>17060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s="4">
        <v>0</v>
      </c>
      <c r="X163" s="4">
        <v>0</v>
      </c>
      <c r="Y163">
        <v>0</v>
      </c>
      <c r="Z163">
        <v>0</v>
      </c>
      <c r="AA163" s="4">
        <v>0</v>
      </c>
      <c r="AB163" s="4">
        <v>0</v>
      </c>
      <c r="AC163" s="4">
        <v>0</v>
      </c>
      <c r="AD163" s="4">
        <v>0</v>
      </c>
      <c r="AE163" s="4">
        <v>0</v>
      </c>
      <c r="AF163" s="4">
        <v>0</v>
      </c>
      <c r="AG163" s="4">
        <v>0</v>
      </c>
      <c r="AH163" s="4">
        <v>0</v>
      </c>
      <c r="AI163" s="4">
        <v>0</v>
      </c>
      <c r="AJ163" s="4">
        <v>0</v>
      </c>
      <c r="AK163" s="4">
        <v>0</v>
      </c>
      <c r="AL163" s="4">
        <v>0</v>
      </c>
      <c r="AM163">
        <v>0</v>
      </c>
      <c r="AN163">
        <v>0</v>
      </c>
      <c r="AO163">
        <v>0</v>
      </c>
      <c r="AP163">
        <v>0</v>
      </c>
      <c r="AQ163">
        <v>0</v>
      </c>
      <c r="AR163">
        <v>0</v>
      </c>
      <c r="AS163">
        <v>0</v>
      </c>
      <c r="AT163">
        <v>0</v>
      </c>
      <c r="AU163">
        <v>0</v>
      </c>
      <c r="AV163">
        <v>0</v>
      </c>
      <c r="AW163">
        <v>0</v>
      </c>
      <c r="AX163">
        <v>0</v>
      </c>
    </row>
    <row r="164" spans="1:51">
      <c r="A164" t="s">
        <v>16978</v>
      </c>
      <c r="B164" t="s">
        <v>17001</v>
      </c>
      <c r="C164">
        <v>5</v>
      </c>
      <c r="D164">
        <v>7</v>
      </c>
      <c r="E164">
        <v>2</v>
      </c>
      <c r="F164">
        <v>5</v>
      </c>
      <c r="G164">
        <v>2</v>
      </c>
      <c r="H164">
        <v>0</v>
      </c>
      <c r="I164">
        <v>0</v>
      </c>
      <c r="J164">
        <v>7</v>
      </c>
      <c r="K164">
        <v>45</v>
      </c>
      <c r="L164">
        <v>7</v>
      </c>
      <c r="M164">
        <v>0</v>
      </c>
      <c r="N164">
        <v>0</v>
      </c>
      <c r="O164">
        <v>0</v>
      </c>
      <c r="P164">
        <v>0</v>
      </c>
      <c r="Q164">
        <v>0</v>
      </c>
      <c r="R164">
        <v>0</v>
      </c>
      <c r="S164">
        <v>2</v>
      </c>
      <c r="T164">
        <v>0</v>
      </c>
      <c r="U164">
        <v>0</v>
      </c>
      <c r="V164">
        <v>2</v>
      </c>
      <c r="W164" s="4">
        <v>5</v>
      </c>
      <c r="X164" s="4">
        <v>0</v>
      </c>
      <c r="Y164">
        <v>0</v>
      </c>
      <c r="Z164">
        <v>0</v>
      </c>
      <c r="AA164" s="4">
        <v>-15</v>
      </c>
      <c r="AB164" s="4">
        <v>5</v>
      </c>
      <c r="AC164" s="4">
        <v>0</v>
      </c>
      <c r="AD164" s="4">
        <v>0</v>
      </c>
      <c r="AE164" s="4">
        <v>0</v>
      </c>
      <c r="AF164" s="4">
        <v>5</v>
      </c>
      <c r="AG164" s="4">
        <v>5</v>
      </c>
      <c r="AH164" s="4">
        <v>5</v>
      </c>
      <c r="AI164" s="4">
        <v>0</v>
      </c>
      <c r="AJ164" s="4">
        <v>0</v>
      </c>
      <c r="AK164" s="4">
        <v>0</v>
      </c>
      <c r="AL164" s="4">
        <v>0</v>
      </c>
      <c r="AM164">
        <v>45</v>
      </c>
      <c r="AN164">
        <v>0</v>
      </c>
      <c r="AO164">
        <v>4</v>
      </c>
      <c r="AP164">
        <v>41</v>
      </c>
      <c r="AQ164">
        <v>2</v>
      </c>
      <c r="AR164">
        <v>0</v>
      </c>
      <c r="AS164">
        <v>0.5</v>
      </c>
      <c r="AT164">
        <v>1.5</v>
      </c>
      <c r="AU164">
        <v>0</v>
      </c>
      <c r="AV164">
        <v>0</v>
      </c>
      <c r="AW164">
        <v>0</v>
      </c>
      <c r="AX164">
        <v>0</v>
      </c>
      <c r="AY164">
        <v>5</v>
      </c>
    </row>
    <row r="165" spans="1:51">
      <c r="A165" t="s">
        <v>16978</v>
      </c>
      <c r="B165" t="s">
        <v>17061</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s="4">
        <v>0</v>
      </c>
      <c r="X165" s="4">
        <v>0</v>
      </c>
      <c r="Y165">
        <v>0</v>
      </c>
      <c r="Z165">
        <v>0</v>
      </c>
      <c r="AA165" s="4">
        <v>0</v>
      </c>
      <c r="AB165" s="4">
        <v>0</v>
      </c>
      <c r="AC165" s="4">
        <v>0</v>
      </c>
      <c r="AD165" s="4">
        <v>0</v>
      </c>
      <c r="AE165" s="4">
        <v>0</v>
      </c>
      <c r="AF165" s="4">
        <v>0</v>
      </c>
      <c r="AG165" s="4">
        <v>0</v>
      </c>
      <c r="AH165" s="4">
        <v>0</v>
      </c>
      <c r="AI165" s="4">
        <v>0</v>
      </c>
      <c r="AJ165" s="4">
        <v>0</v>
      </c>
      <c r="AK165" s="4">
        <v>0</v>
      </c>
      <c r="AL165" s="4">
        <v>0</v>
      </c>
      <c r="AM165">
        <v>0</v>
      </c>
      <c r="AN165">
        <v>0</v>
      </c>
      <c r="AO165">
        <v>0</v>
      </c>
      <c r="AP165">
        <v>0</v>
      </c>
      <c r="AQ165">
        <v>0</v>
      </c>
      <c r="AR165">
        <v>0</v>
      </c>
      <c r="AS165">
        <v>0</v>
      </c>
      <c r="AT165">
        <v>0</v>
      </c>
      <c r="AU165">
        <v>0</v>
      </c>
      <c r="AV165">
        <v>0</v>
      </c>
      <c r="AW165">
        <v>0</v>
      </c>
      <c r="AX165">
        <v>0</v>
      </c>
      <c r="AY165">
        <v>130</v>
      </c>
    </row>
    <row r="166" spans="1:51">
      <c r="A166" t="s">
        <v>16978</v>
      </c>
      <c r="B166" t="s">
        <v>17062</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s="4">
        <v>0</v>
      </c>
      <c r="X166" s="4">
        <v>0</v>
      </c>
      <c r="Y166">
        <v>0</v>
      </c>
      <c r="Z166">
        <v>0</v>
      </c>
      <c r="AA166" s="4">
        <v>0</v>
      </c>
      <c r="AB166" s="4">
        <v>0</v>
      </c>
      <c r="AC166" s="4">
        <v>0</v>
      </c>
      <c r="AD166" s="4">
        <v>0</v>
      </c>
      <c r="AE166" s="4">
        <v>0</v>
      </c>
      <c r="AF166" s="4">
        <v>0</v>
      </c>
      <c r="AG166" s="4">
        <v>0</v>
      </c>
      <c r="AH166" s="4">
        <v>0</v>
      </c>
      <c r="AI166" s="4">
        <v>0</v>
      </c>
      <c r="AJ166" s="4">
        <v>0</v>
      </c>
      <c r="AK166" s="4">
        <v>0</v>
      </c>
      <c r="AL166" s="4">
        <v>0</v>
      </c>
      <c r="AM166">
        <v>0</v>
      </c>
      <c r="AN166">
        <v>0</v>
      </c>
      <c r="AO166">
        <v>0</v>
      </c>
      <c r="AP166">
        <v>0</v>
      </c>
      <c r="AQ166">
        <v>0</v>
      </c>
      <c r="AR166">
        <v>0</v>
      </c>
      <c r="AS166">
        <v>0</v>
      </c>
      <c r="AT166">
        <v>0</v>
      </c>
      <c r="AU166">
        <v>0</v>
      </c>
      <c r="AV166">
        <v>0</v>
      </c>
      <c r="AW166">
        <v>0</v>
      </c>
      <c r="AX166">
        <v>0</v>
      </c>
      <c r="AY166">
        <v>8</v>
      </c>
    </row>
    <row r="167" spans="1:51">
      <c r="A167" t="s">
        <v>16978</v>
      </c>
      <c r="B167" t="s">
        <v>17063</v>
      </c>
      <c r="C167">
        <v>1</v>
      </c>
      <c r="D167">
        <v>1</v>
      </c>
      <c r="E167">
        <v>1</v>
      </c>
      <c r="F167">
        <v>1</v>
      </c>
      <c r="G167">
        <v>0</v>
      </c>
      <c r="H167">
        <v>0</v>
      </c>
      <c r="I167">
        <v>0</v>
      </c>
      <c r="J167">
        <v>0</v>
      </c>
      <c r="K167">
        <v>0</v>
      </c>
      <c r="L167">
        <v>0</v>
      </c>
      <c r="M167">
        <v>0</v>
      </c>
      <c r="N167">
        <v>0</v>
      </c>
      <c r="O167">
        <v>0</v>
      </c>
      <c r="P167">
        <v>0</v>
      </c>
      <c r="Q167">
        <v>0</v>
      </c>
      <c r="R167">
        <v>0</v>
      </c>
      <c r="S167">
        <v>0</v>
      </c>
      <c r="T167">
        <v>0</v>
      </c>
      <c r="U167">
        <v>0</v>
      </c>
      <c r="V167">
        <v>0</v>
      </c>
      <c r="W167" s="4">
        <v>0</v>
      </c>
      <c r="X167" s="4">
        <v>0</v>
      </c>
      <c r="Y167">
        <v>0</v>
      </c>
      <c r="Z167">
        <v>0</v>
      </c>
      <c r="AA167" s="4">
        <v>0</v>
      </c>
      <c r="AB167" s="4">
        <v>0</v>
      </c>
      <c r="AC167" s="4">
        <v>0</v>
      </c>
      <c r="AD167" s="4">
        <v>0</v>
      </c>
      <c r="AE167" s="4">
        <v>0</v>
      </c>
      <c r="AF167" s="4">
        <v>0</v>
      </c>
      <c r="AG167" s="4">
        <v>0</v>
      </c>
      <c r="AH167" s="4">
        <v>0</v>
      </c>
      <c r="AI167" s="4">
        <v>0</v>
      </c>
      <c r="AJ167" s="4">
        <v>0</v>
      </c>
      <c r="AK167" s="4">
        <v>0</v>
      </c>
      <c r="AL167" s="4">
        <v>0</v>
      </c>
      <c r="AM167">
        <v>0</v>
      </c>
      <c r="AN167">
        <v>0</v>
      </c>
      <c r="AO167">
        <v>0</v>
      </c>
      <c r="AP167">
        <v>0</v>
      </c>
      <c r="AQ167">
        <v>0</v>
      </c>
      <c r="AR167">
        <v>0</v>
      </c>
      <c r="AS167">
        <v>0</v>
      </c>
      <c r="AT167">
        <v>0</v>
      </c>
      <c r="AU167">
        <v>0</v>
      </c>
      <c r="AV167">
        <v>0</v>
      </c>
      <c r="AW167">
        <v>0</v>
      </c>
      <c r="AX167">
        <v>0</v>
      </c>
      <c r="AY167">
        <v>0</v>
      </c>
    </row>
    <row r="168" spans="1:51">
      <c r="A168" t="s">
        <v>16978</v>
      </c>
      <c r="B168" t="s">
        <v>17064</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s="4">
        <v>0</v>
      </c>
      <c r="X168" s="4">
        <v>0</v>
      </c>
      <c r="Y168">
        <v>0</v>
      </c>
      <c r="Z168">
        <v>0</v>
      </c>
      <c r="AA168" s="4">
        <v>0</v>
      </c>
      <c r="AB168" s="4">
        <v>0</v>
      </c>
      <c r="AC168" s="4">
        <v>0</v>
      </c>
      <c r="AD168" s="4">
        <v>0</v>
      </c>
      <c r="AE168" s="4">
        <v>0</v>
      </c>
      <c r="AF168" s="4">
        <v>0</v>
      </c>
      <c r="AG168" s="4">
        <v>0</v>
      </c>
      <c r="AH168" s="4">
        <v>0</v>
      </c>
      <c r="AI168" s="4">
        <v>0</v>
      </c>
      <c r="AJ168" s="4">
        <v>0</v>
      </c>
      <c r="AK168" s="4">
        <v>0</v>
      </c>
      <c r="AL168" s="4">
        <v>0</v>
      </c>
      <c r="AM168">
        <v>0</v>
      </c>
      <c r="AN168">
        <v>0</v>
      </c>
      <c r="AO168">
        <v>0</v>
      </c>
      <c r="AP168">
        <v>0</v>
      </c>
      <c r="AQ168">
        <v>0</v>
      </c>
      <c r="AR168">
        <v>0</v>
      </c>
      <c r="AS168">
        <v>0</v>
      </c>
      <c r="AT168">
        <v>0</v>
      </c>
      <c r="AU168">
        <v>0</v>
      </c>
      <c r="AV168">
        <v>0</v>
      </c>
      <c r="AW168">
        <v>0</v>
      </c>
      <c r="AX168">
        <v>0</v>
      </c>
      <c r="AY168">
        <v>1</v>
      </c>
    </row>
    <row r="169" spans="1:51">
      <c r="A169" t="s">
        <v>16978</v>
      </c>
      <c r="B169" t="s">
        <v>17065</v>
      </c>
      <c r="C169">
        <v>0</v>
      </c>
      <c r="D169">
        <v>4</v>
      </c>
      <c r="E169">
        <v>2</v>
      </c>
      <c r="F169">
        <v>4</v>
      </c>
      <c r="G169">
        <v>0</v>
      </c>
      <c r="H169">
        <v>0</v>
      </c>
      <c r="I169">
        <v>0</v>
      </c>
      <c r="J169">
        <v>4</v>
      </c>
      <c r="K169">
        <v>11</v>
      </c>
      <c r="L169">
        <v>0</v>
      </c>
      <c r="M169">
        <v>1</v>
      </c>
      <c r="N169">
        <v>3</v>
      </c>
      <c r="O169">
        <v>0</v>
      </c>
      <c r="P169">
        <v>0</v>
      </c>
      <c r="Q169">
        <v>0</v>
      </c>
      <c r="R169">
        <v>0</v>
      </c>
      <c r="S169">
        <v>1</v>
      </c>
      <c r="T169">
        <v>0</v>
      </c>
      <c r="U169">
        <v>0</v>
      </c>
      <c r="V169">
        <v>1</v>
      </c>
      <c r="W169" s="4">
        <v>10</v>
      </c>
      <c r="X169" s="4">
        <v>0</v>
      </c>
      <c r="Y169">
        <v>4</v>
      </c>
      <c r="Z169">
        <v>0</v>
      </c>
      <c r="AA169" s="4">
        <v>0</v>
      </c>
      <c r="AB169" s="4">
        <v>0</v>
      </c>
      <c r="AC169" s="4">
        <v>0</v>
      </c>
      <c r="AD169" s="4">
        <v>0</v>
      </c>
      <c r="AE169" s="4">
        <v>0</v>
      </c>
      <c r="AF169" s="4">
        <v>0</v>
      </c>
      <c r="AG169" s="4">
        <v>10</v>
      </c>
      <c r="AH169" s="4">
        <v>10</v>
      </c>
      <c r="AI169" s="4">
        <v>0</v>
      </c>
      <c r="AJ169" s="4">
        <v>0</v>
      </c>
      <c r="AK169" s="4">
        <v>0</v>
      </c>
      <c r="AL169" s="4">
        <v>0</v>
      </c>
      <c r="AM169">
        <v>11</v>
      </c>
      <c r="AN169">
        <v>0</v>
      </c>
      <c r="AO169">
        <v>11</v>
      </c>
      <c r="AP169">
        <v>0</v>
      </c>
      <c r="AQ169">
        <v>1</v>
      </c>
      <c r="AR169">
        <v>0</v>
      </c>
      <c r="AS169">
        <v>1</v>
      </c>
      <c r="AT169">
        <v>0</v>
      </c>
      <c r="AU169">
        <v>0</v>
      </c>
      <c r="AV169">
        <v>0</v>
      </c>
      <c r="AW169">
        <v>0</v>
      </c>
      <c r="AX169">
        <v>0</v>
      </c>
    </row>
    <row r="170" spans="1:51">
      <c r="A170" t="s">
        <v>16978</v>
      </c>
      <c r="B170" t="s">
        <v>17066</v>
      </c>
      <c r="C170">
        <v>0</v>
      </c>
      <c r="D170">
        <v>2</v>
      </c>
      <c r="E170">
        <v>2</v>
      </c>
      <c r="F170">
        <v>2</v>
      </c>
      <c r="G170">
        <v>0</v>
      </c>
      <c r="H170">
        <v>0</v>
      </c>
      <c r="I170">
        <v>0</v>
      </c>
      <c r="J170">
        <v>2</v>
      </c>
      <c r="K170">
        <v>7</v>
      </c>
      <c r="L170">
        <v>2</v>
      </c>
      <c r="M170">
        <v>0</v>
      </c>
      <c r="N170">
        <v>0</v>
      </c>
      <c r="O170">
        <v>0</v>
      </c>
      <c r="P170">
        <v>0</v>
      </c>
      <c r="Q170">
        <v>0</v>
      </c>
      <c r="R170">
        <v>0</v>
      </c>
      <c r="S170">
        <v>1</v>
      </c>
      <c r="T170">
        <v>0.5</v>
      </c>
      <c r="U170">
        <v>0.1</v>
      </c>
      <c r="V170">
        <v>1.6</v>
      </c>
      <c r="W170" s="4">
        <v>20</v>
      </c>
      <c r="X170" s="4">
        <v>0</v>
      </c>
      <c r="Y170">
        <v>0</v>
      </c>
      <c r="Z170">
        <v>0</v>
      </c>
      <c r="AA170" s="4">
        <v>0</v>
      </c>
      <c r="AB170" s="4">
        <v>20</v>
      </c>
      <c r="AC170" s="4">
        <v>0</v>
      </c>
      <c r="AD170" s="4">
        <v>0</v>
      </c>
      <c r="AE170" s="4">
        <v>0</v>
      </c>
      <c r="AF170" s="4">
        <v>20</v>
      </c>
      <c r="AG170" s="4">
        <v>22</v>
      </c>
      <c r="AH170" s="4">
        <v>22</v>
      </c>
      <c r="AI170" s="4">
        <v>0</v>
      </c>
      <c r="AJ170" s="4">
        <v>0</v>
      </c>
      <c r="AK170" s="4">
        <v>0</v>
      </c>
      <c r="AL170" s="4">
        <v>0</v>
      </c>
      <c r="AM170">
        <v>7</v>
      </c>
      <c r="AN170">
        <v>0</v>
      </c>
      <c r="AO170">
        <v>7</v>
      </c>
      <c r="AP170">
        <v>0</v>
      </c>
      <c r="AQ170">
        <v>1</v>
      </c>
      <c r="AR170">
        <v>0</v>
      </c>
      <c r="AS170">
        <v>1</v>
      </c>
      <c r="AT170">
        <v>0</v>
      </c>
      <c r="AU170">
        <v>0.5</v>
      </c>
      <c r="AV170">
        <v>0</v>
      </c>
      <c r="AW170">
        <v>0.5</v>
      </c>
      <c r="AX170">
        <v>0</v>
      </c>
      <c r="AY170">
        <v>0</v>
      </c>
    </row>
    <row r="171" spans="1:51">
      <c r="A171" t="s">
        <v>16978</v>
      </c>
      <c r="B171" t="s">
        <v>17067</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s="4">
        <v>0</v>
      </c>
      <c r="X171" s="4">
        <v>0</v>
      </c>
      <c r="Y171">
        <v>0</v>
      </c>
      <c r="Z171">
        <v>0</v>
      </c>
      <c r="AA171" s="4">
        <v>0</v>
      </c>
      <c r="AB171" s="4">
        <v>0</v>
      </c>
      <c r="AC171" s="4">
        <v>0</v>
      </c>
      <c r="AD171" s="4">
        <v>0</v>
      </c>
      <c r="AE171" s="4">
        <v>0</v>
      </c>
      <c r="AF171" s="4">
        <v>0</v>
      </c>
      <c r="AG171" s="4">
        <v>0</v>
      </c>
      <c r="AH171" s="4">
        <v>0</v>
      </c>
      <c r="AI171" s="4">
        <v>0</v>
      </c>
      <c r="AJ171" s="4">
        <v>0</v>
      </c>
      <c r="AK171" s="4">
        <v>0</v>
      </c>
      <c r="AL171" s="4">
        <v>0</v>
      </c>
      <c r="AM171">
        <v>0</v>
      </c>
      <c r="AN171">
        <v>0</v>
      </c>
      <c r="AO171">
        <v>0</v>
      </c>
      <c r="AP171">
        <v>0</v>
      </c>
      <c r="AQ171">
        <v>0</v>
      </c>
      <c r="AR171">
        <v>0</v>
      </c>
      <c r="AS171">
        <v>0</v>
      </c>
      <c r="AT171">
        <v>0</v>
      </c>
      <c r="AU171">
        <v>0</v>
      </c>
      <c r="AV171">
        <v>0</v>
      </c>
      <c r="AW171">
        <v>0</v>
      </c>
      <c r="AX171">
        <v>0</v>
      </c>
      <c r="AY171">
        <v>0</v>
      </c>
    </row>
    <row r="172" spans="1:51">
      <c r="A172" t="s">
        <v>16978</v>
      </c>
      <c r="B172" t="s">
        <v>17071</v>
      </c>
      <c r="C172">
        <v>10</v>
      </c>
      <c r="D172">
        <v>14</v>
      </c>
      <c r="E172">
        <v>0</v>
      </c>
      <c r="F172">
        <v>14</v>
      </c>
      <c r="G172">
        <v>0</v>
      </c>
      <c r="H172">
        <v>0</v>
      </c>
      <c r="I172">
        <v>0</v>
      </c>
      <c r="J172">
        <v>14</v>
      </c>
      <c r="K172">
        <v>30</v>
      </c>
      <c r="L172">
        <v>14</v>
      </c>
      <c r="M172">
        <v>0</v>
      </c>
      <c r="N172">
        <v>0</v>
      </c>
      <c r="O172">
        <v>0</v>
      </c>
      <c r="P172">
        <v>0</v>
      </c>
      <c r="Q172">
        <v>0</v>
      </c>
      <c r="R172">
        <v>0</v>
      </c>
      <c r="S172">
        <v>6.75</v>
      </c>
      <c r="T172">
        <v>3</v>
      </c>
      <c r="U172">
        <v>0</v>
      </c>
      <c r="V172">
        <v>9.75</v>
      </c>
      <c r="W172" s="4">
        <v>40</v>
      </c>
      <c r="X172" s="4">
        <v>0</v>
      </c>
      <c r="Y172">
        <v>0</v>
      </c>
      <c r="Z172">
        <v>0</v>
      </c>
      <c r="AA172" s="4">
        <v>-80</v>
      </c>
      <c r="AB172" s="4">
        <v>40</v>
      </c>
      <c r="AC172" s="4">
        <v>0.35</v>
      </c>
      <c r="AD172" s="4">
        <v>0</v>
      </c>
      <c r="AE172" s="4">
        <v>0</v>
      </c>
      <c r="AF172" s="4">
        <v>40</v>
      </c>
      <c r="AG172" s="4">
        <v>40.35</v>
      </c>
      <c r="AH172" s="4">
        <v>40.35</v>
      </c>
      <c r="AI172" s="4">
        <v>0</v>
      </c>
      <c r="AJ172" s="4">
        <v>0</v>
      </c>
      <c r="AK172" s="4">
        <v>0</v>
      </c>
      <c r="AL172" s="4">
        <v>0</v>
      </c>
      <c r="AM172">
        <v>30</v>
      </c>
      <c r="AN172">
        <v>0</v>
      </c>
      <c r="AO172">
        <v>8</v>
      </c>
      <c r="AP172">
        <v>22</v>
      </c>
      <c r="AQ172">
        <v>6.75</v>
      </c>
      <c r="AR172">
        <v>0</v>
      </c>
      <c r="AS172">
        <v>2.5</v>
      </c>
      <c r="AT172">
        <v>4.25</v>
      </c>
      <c r="AU172">
        <v>3</v>
      </c>
      <c r="AV172">
        <v>0</v>
      </c>
      <c r="AW172">
        <v>0.75</v>
      </c>
      <c r="AX172">
        <v>2.25</v>
      </c>
      <c r="AY172">
        <v>11</v>
      </c>
    </row>
    <row r="173" spans="1:51">
      <c r="A173" t="s">
        <v>16978</v>
      </c>
      <c r="B173" t="s">
        <v>17072</v>
      </c>
      <c r="C173">
        <v>0</v>
      </c>
      <c r="D173">
        <v>100</v>
      </c>
      <c r="E173">
        <v>100</v>
      </c>
      <c r="F173">
        <v>97</v>
      </c>
      <c r="G173">
        <v>42</v>
      </c>
      <c r="H173">
        <v>1</v>
      </c>
      <c r="I173">
        <v>5</v>
      </c>
      <c r="J173">
        <v>100</v>
      </c>
      <c r="K173">
        <v>332</v>
      </c>
      <c r="L173">
        <v>95</v>
      </c>
      <c r="M173">
        <v>3</v>
      </c>
      <c r="N173">
        <v>0</v>
      </c>
      <c r="O173">
        <v>1</v>
      </c>
      <c r="P173">
        <v>1</v>
      </c>
      <c r="Q173">
        <v>0</v>
      </c>
      <c r="R173">
        <v>0</v>
      </c>
      <c r="S173">
        <v>5.5</v>
      </c>
      <c r="T173">
        <v>7.25</v>
      </c>
      <c r="U173">
        <v>312</v>
      </c>
      <c r="V173">
        <v>324.75</v>
      </c>
      <c r="W173" s="4">
        <v>200</v>
      </c>
      <c r="X173" s="4">
        <v>0</v>
      </c>
      <c r="Y173">
        <v>0</v>
      </c>
      <c r="Z173">
        <v>0</v>
      </c>
      <c r="AA173" s="4">
        <v>0</v>
      </c>
      <c r="AB173" s="4">
        <v>200</v>
      </c>
      <c r="AC173" s="4">
        <v>0</v>
      </c>
      <c r="AD173" s="4">
        <v>0</v>
      </c>
      <c r="AE173" s="4">
        <v>0</v>
      </c>
      <c r="AF173" s="4">
        <v>170</v>
      </c>
      <c r="AG173" s="4">
        <v>6380</v>
      </c>
      <c r="AH173" s="4">
        <v>6380</v>
      </c>
      <c r="AI173" s="4">
        <v>0</v>
      </c>
      <c r="AJ173" s="4">
        <v>0</v>
      </c>
      <c r="AK173" s="4">
        <v>300</v>
      </c>
      <c r="AL173" s="4">
        <v>300</v>
      </c>
      <c r="AM173">
        <v>332</v>
      </c>
      <c r="AN173">
        <v>1</v>
      </c>
      <c r="AO173">
        <v>331</v>
      </c>
      <c r="AP173">
        <v>0</v>
      </c>
      <c r="AQ173">
        <v>5.5</v>
      </c>
      <c r="AR173">
        <v>0</v>
      </c>
      <c r="AS173">
        <v>5.5</v>
      </c>
      <c r="AT173">
        <v>0</v>
      </c>
      <c r="AU173">
        <v>5.75</v>
      </c>
      <c r="AV173">
        <v>0</v>
      </c>
      <c r="AW173">
        <v>5.75</v>
      </c>
      <c r="AX173">
        <v>0</v>
      </c>
      <c r="AY173">
        <v>100</v>
      </c>
    </row>
    <row r="174" spans="1:51">
      <c r="A174" t="s">
        <v>16978</v>
      </c>
      <c r="B174" t="s">
        <v>17068</v>
      </c>
      <c r="C174">
        <v>1</v>
      </c>
      <c r="D174">
        <v>2</v>
      </c>
      <c r="E174">
        <v>0</v>
      </c>
      <c r="F174">
        <v>1</v>
      </c>
      <c r="G174">
        <v>1</v>
      </c>
      <c r="H174">
        <v>0</v>
      </c>
      <c r="I174">
        <v>0</v>
      </c>
      <c r="J174">
        <v>2</v>
      </c>
      <c r="K174">
        <v>56</v>
      </c>
      <c r="L174">
        <v>1</v>
      </c>
      <c r="M174">
        <v>0</v>
      </c>
      <c r="N174">
        <v>1</v>
      </c>
      <c r="O174">
        <v>0</v>
      </c>
      <c r="P174">
        <v>0</v>
      </c>
      <c r="Q174">
        <v>0</v>
      </c>
      <c r="R174">
        <v>0</v>
      </c>
      <c r="S174">
        <v>18</v>
      </c>
      <c r="T174">
        <v>0</v>
      </c>
      <c r="U174">
        <v>0</v>
      </c>
      <c r="V174">
        <v>18</v>
      </c>
      <c r="W174" s="4">
        <v>160</v>
      </c>
      <c r="X174" s="4">
        <v>0</v>
      </c>
      <c r="Y174">
        <v>1</v>
      </c>
      <c r="Z174">
        <v>0</v>
      </c>
      <c r="AA174" s="4">
        <v>-20</v>
      </c>
      <c r="AB174" s="4">
        <v>130</v>
      </c>
      <c r="AC174" s="4">
        <v>0</v>
      </c>
      <c r="AD174" s="4">
        <v>0</v>
      </c>
      <c r="AE174" s="4">
        <v>0</v>
      </c>
      <c r="AF174" s="4">
        <v>130</v>
      </c>
      <c r="AG174" s="4">
        <v>160</v>
      </c>
      <c r="AH174" s="4">
        <v>160</v>
      </c>
      <c r="AI174" s="4">
        <v>0</v>
      </c>
      <c r="AJ174" s="4">
        <v>0</v>
      </c>
      <c r="AK174" s="4">
        <v>0</v>
      </c>
      <c r="AL174" s="4">
        <v>0</v>
      </c>
      <c r="AM174">
        <v>56</v>
      </c>
      <c r="AN174">
        <v>0</v>
      </c>
      <c r="AO174">
        <v>50</v>
      </c>
      <c r="AP174">
        <v>6</v>
      </c>
      <c r="AQ174">
        <v>18</v>
      </c>
      <c r="AR174">
        <v>0</v>
      </c>
      <c r="AS174">
        <v>16</v>
      </c>
      <c r="AT174">
        <v>2</v>
      </c>
      <c r="AU174">
        <v>0</v>
      </c>
      <c r="AV174">
        <v>0</v>
      </c>
      <c r="AW174">
        <v>0</v>
      </c>
      <c r="AX174">
        <v>0</v>
      </c>
      <c r="AY174">
        <v>0</v>
      </c>
    </row>
    <row r="175" spans="1:51">
      <c r="A175" t="s">
        <v>16978</v>
      </c>
      <c r="B175" t="s">
        <v>17070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s="4">
        <v>0</v>
      </c>
      <c r="X175" s="4">
        <v>0</v>
      </c>
      <c r="Y175">
        <v>0</v>
      </c>
      <c r="Z175">
        <v>0</v>
      </c>
      <c r="AA175" s="4">
        <v>0</v>
      </c>
      <c r="AB175" s="4">
        <v>0</v>
      </c>
      <c r="AC175" s="4">
        <v>0</v>
      </c>
      <c r="AD175" s="4">
        <v>0</v>
      </c>
      <c r="AE175" s="4">
        <v>0</v>
      </c>
      <c r="AF175" s="4">
        <v>0</v>
      </c>
      <c r="AG175" s="4">
        <v>0</v>
      </c>
      <c r="AH175" s="4">
        <v>0</v>
      </c>
      <c r="AI175" s="4">
        <v>0</v>
      </c>
      <c r="AJ175" s="4">
        <v>0</v>
      </c>
      <c r="AK175" s="4">
        <v>0</v>
      </c>
      <c r="AL175" s="4">
        <v>0</v>
      </c>
      <c r="AM175">
        <v>0</v>
      </c>
      <c r="AN175">
        <v>0</v>
      </c>
      <c r="AO175">
        <v>0</v>
      </c>
      <c r="AP175">
        <v>0</v>
      </c>
      <c r="AQ175">
        <v>0</v>
      </c>
      <c r="AR175">
        <v>0</v>
      </c>
      <c r="AS175">
        <v>0</v>
      </c>
      <c r="AT175">
        <v>0</v>
      </c>
      <c r="AU175">
        <v>0</v>
      </c>
      <c r="AV175">
        <v>0</v>
      </c>
      <c r="AW175">
        <v>0</v>
      </c>
      <c r="AX175">
        <v>0</v>
      </c>
      <c r="AY175">
        <v>0</v>
      </c>
    </row>
    <row r="176" spans="1:51">
      <c r="A176" t="s">
        <v>16978</v>
      </c>
      <c r="B176" t="s">
        <v>17069</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s="4">
        <v>0</v>
      </c>
      <c r="X176" s="4">
        <v>0</v>
      </c>
      <c r="Y176">
        <v>0</v>
      </c>
      <c r="Z176">
        <v>0</v>
      </c>
      <c r="AA176" s="4">
        <v>0</v>
      </c>
      <c r="AB176" s="4">
        <v>0</v>
      </c>
      <c r="AC176" s="4">
        <v>0</v>
      </c>
      <c r="AD176" s="4">
        <v>0</v>
      </c>
      <c r="AE176" s="4">
        <v>0</v>
      </c>
      <c r="AF176" s="4">
        <v>0</v>
      </c>
      <c r="AG176" s="4">
        <v>0</v>
      </c>
      <c r="AH176" s="4">
        <v>0</v>
      </c>
      <c r="AI176" s="4">
        <v>0</v>
      </c>
      <c r="AJ176" s="4">
        <v>0</v>
      </c>
      <c r="AK176" s="4">
        <v>0</v>
      </c>
      <c r="AL176" s="4">
        <v>0</v>
      </c>
      <c r="AM176">
        <v>0</v>
      </c>
      <c r="AN176">
        <v>0</v>
      </c>
      <c r="AO176">
        <v>0</v>
      </c>
      <c r="AP176">
        <v>0</v>
      </c>
      <c r="AQ176">
        <v>0</v>
      </c>
      <c r="AR176">
        <v>0</v>
      </c>
      <c r="AS176">
        <v>0</v>
      </c>
      <c r="AT176">
        <v>0</v>
      </c>
      <c r="AU176">
        <v>0</v>
      </c>
      <c r="AV176">
        <v>0</v>
      </c>
      <c r="AW176">
        <v>0</v>
      </c>
      <c r="AX176">
        <v>0</v>
      </c>
      <c r="AY176">
        <v>0</v>
      </c>
    </row>
    <row r="177" spans="1:51">
      <c r="A177" t="s">
        <v>16978</v>
      </c>
      <c r="B177" t="s">
        <v>17073</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s="4">
        <v>0</v>
      </c>
      <c r="X177" s="4">
        <v>0</v>
      </c>
      <c r="Y177">
        <v>0</v>
      </c>
      <c r="Z177">
        <v>0</v>
      </c>
      <c r="AA177" s="4">
        <v>0</v>
      </c>
      <c r="AB177" s="4">
        <v>0</v>
      </c>
      <c r="AC177" s="4">
        <v>0</v>
      </c>
      <c r="AD177" s="4">
        <v>0</v>
      </c>
      <c r="AE177" s="4">
        <v>0</v>
      </c>
      <c r="AF177" s="4">
        <v>0</v>
      </c>
      <c r="AG177" s="4">
        <v>0</v>
      </c>
      <c r="AH177" s="4">
        <v>0</v>
      </c>
      <c r="AI177" s="4">
        <v>0</v>
      </c>
      <c r="AJ177" s="4">
        <v>0</v>
      </c>
      <c r="AK177" s="4">
        <v>0</v>
      </c>
      <c r="AL177" s="4">
        <v>0</v>
      </c>
      <c r="AM177">
        <v>0</v>
      </c>
      <c r="AN177">
        <v>0</v>
      </c>
      <c r="AO177">
        <v>0</v>
      </c>
      <c r="AP177">
        <v>0</v>
      </c>
      <c r="AQ177">
        <v>0</v>
      </c>
      <c r="AR177">
        <v>0</v>
      </c>
      <c r="AS177">
        <v>0</v>
      </c>
      <c r="AT177">
        <v>0</v>
      </c>
      <c r="AU177">
        <v>0</v>
      </c>
      <c r="AV177">
        <v>0</v>
      </c>
      <c r="AW177">
        <v>0</v>
      </c>
      <c r="AX177">
        <v>0</v>
      </c>
      <c r="AY177">
        <v>0</v>
      </c>
    </row>
    <row r="178" spans="1:51">
      <c r="A178" t="s">
        <v>16978</v>
      </c>
      <c r="B178" t="s">
        <v>17074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s="4">
        <v>0</v>
      </c>
      <c r="X178" s="4">
        <v>0</v>
      </c>
      <c r="Y178">
        <v>0</v>
      </c>
      <c r="Z178">
        <v>0</v>
      </c>
      <c r="AA178" s="4">
        <v>0</v>
      </c>
      <c r="AB178" s="4">
        <v>0</v>
      </c>
      <c r="AC178" s="4">
        <v>0</v>
      </c>
      <c r="AD178" s="4">
        <v>0</v>
      </c>
      <c r="AE178" s="4">
        <v>0</v>
      </c>
      <c r="AF178" s="4">
        <v>0</v>
      </c>
      <c r="AG178" s="4">
        <v>0</v>
      </c>
      <c r="AH178" s="4">
        <v>0</v>
      </c>
      <c r="AI178" s="4">
        <v>0</v>
      </c>
      <c r="AJ178" s="4">
        <v>0</v>
      </c>
      <c r="AK178" s="4">
        <v>0</v>
      </c>
      <c r="AL178" s="4">
        <v>0</v>
      </c>
      <c r="AM178">
        <v>0</v>
      </c>
      <c r="AN178">
        <v>0</v>
      </c>
      <c r="AO178">
        <v>0</v>
      </c>
      <c r="AP178">
        <v>0</v>
      </c>
      <c r="AQ178">
        <v>0</v>
      </c>
      <c r="AR178">
        <v>0</v>
      </c>
      <c r="AS178">
        <v>0</v>
      </c>
      <c r="AT178">
        <v>0</v>
      </c>
      <c r="AU178">
        <v>0</v>
      </c>
      <c r="AV178">
        <v>0</v>
      </c>
      <c r="AW178">
        <v>0</v>
      </c>
      <c r="AX178">
        <v>0</v>
      </c>
      <c r="AY178">
        <v>0</v>
      </c>
    </row>
    <row r="179" spans="1:51">
      <c r="A179" t="s">
        <v>16978</v>
      </c>
      <c r="B179" t="s">
        <v>17076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s="4">
        <v>0</v>
      </c>
      <c r="X179" s="4">
        <v>0</v>
      </c>
      <c r="Y179">
        <v>0</v>
      </c>
      <c r="Z179">
        <v>0</v>
      </c>
      <c r="AA179" s="4">
        <v>0</v>
      </c>
      <c r="AB179" s="4">
        <v>0</v>
      </c>
      <c r="AC179" s="4">
        <v>0</v>
      </c>
      <c r="AD179" s="4">
        <v>0</v>
      </c>
      <c r="AE179" s="4">
        <v>0</v>
      </c>
      <c r="AF179" s="4">
        <v>0</v>
      </c>
      <c r="AG179" s="4">
        <v>0</v>
      </c>
      <c r="AH179" s="4">
        <v>0</v>
      </c>
      <c r="AI179" s="4">
        <v>0</v>
      </c>
      <c r="AJ179" s="4">
        <v>0</v>
      </c>
      <c r="AK179" s="4">
        <v>0</v>
      </c>
      <c r="AL179" s="4">
        <v>0</v>
      </c>
      <c r="AM179">
        <v>0</v>
      </c>
      <c r="AN179">
        <v>0</v>
      </c>
      <c r="AO179">
        <v>0</v>
      </c>
      <c r="AP179">
        <v>0</v>
      </c>
      <c r="AQ179">
        <v>0</v>
      </c>
      <c r="AR179">
        <v>0</v>
      </c>
      <c r="AS179">
        <v>0</v>
      </c>
      <c r="AT179">
        <v>0</v>
      </c>
      <c r="AU179">
        <v>0</v>
      </c>
      <c r="AV179">
        <v>0</v>
      </c>
      <c r="AW179">
        <v>0</v>
      </c>
      <c r="AX179">
        <v>0</v>
      </c>
      <c r="AY179">
        <v>0</v>
      </c>
    </row>
    <row r="180" spans="1:51">
      <c r="A180" t="s">
        <v>16978</v>
      </c>
      <c r="B180" t="s">
        <v>17077</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s="4">
        <v>0</v>
      </c>
      <c r="X180" s="4">
        <v>0</v>
      </c>
      <c r="Y180">
        <v>0</v>
      </c>
      <c r="Z180">
        <v>0</v>
      </c>
      <c r="AA180" s="4">
        <v>0</v>
      </c>
      <c r="AB180" s="4">
        <v>0</v>
      </c>
      <c r="AC180" s="4">
        <v>0</v>
      </c>
      <c r="AD180" s="4">
        <v>0</v>
      </c>
      <c r="AE180" s="4">
        <v>0</v>
      </c>
      <c r="AF180" s="4">
        <v>0</v>
      </c>
      <c r="AG180" s="4">
        <v>0</v>
      </c>
      <c r="AH180" s="4">
        <v>0</v>
      </c>
      <c r="AI180" s="4">
        <v>0</v>
      </c>
      <c r="AJ180" s="4">
        <v>0</v>
      </c>
      <c r="AK180" s="4">
        <v>0</v>
      </c>
      <c r="AL180" s="4">
        <v>0</v>
      </c>
      <c r="AM180">
        <v>0</v>
      </c>
      <c r="AN180">
        <v>0</v>
      </c>
      <c r="AO180">
        <v>0</v>
      </c>
      <c r="AP180">
        <v>0</v>
      </c>
      <c r="AQ180">
        <v>0</v>
      </c>
      <c r="AR180">
        <v>0</v>
      </c>
      <c r="AS180">
        <v>0</v>
      </c>
      <c r="AT180">
        <v>0</v>
      </c>
      <c r="AU180">
        <v>0</v>
      </c>
      <c r="AV180">
        <v>0</v>
      </c>
      <c r="AW180">
        <v>0</v>
      </c>
      <c r="AX180">
        <v>0</v>
      </c>
      <c r="AY180">
        <v>130</v>
      </c>
    </row>
    <row r="181" spans="1:51">
      <c r="A181" t="s">
        <v>16978</v>
      </c>
      <c r="B181" t="s">
        <v>17075</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s="4">
        <v>0</v>
      </c>
      <c r="X181" s="4">
        <v>0</v>
      </c>
      <c r="Y181">
        <v>0</v>
      </c>
      <c r="Z181">
        <v>0</v>
      </c>
      <c r="AA181" s="4">
        <v>0</v>
      </c>
      <c r="AB181" s="4">
        <v>0</v>
      </c>
      <c r="AC181" s="4">
        <v>0</v>
      </c>
      <c r="AD181" s="4">
        <v>0</v>
      </c>
      <c r="AE181" s="4">
        <v>0</v>
      </c>
      <c r="AF181" s="4">
        <v>0</v>
      </c>
      <c r="AG181" s="4">
        <v>0</v>
      </c>
      <c r="AH181" s="4">
        <v>0</v>
      </c>
      <c r="AI181" s="4">
        <v>0</v>
      </c>
      <c r="AJ181" s="4">
        <v>0</v>
      </c>
      <c r="AK181" s="4">
        <v>0</v>
      </c>
      <c r="AL181" s="4">
        <v>0</v>
      </c>
      <c r="AM181">
        <v>0</v>
      </c>
      <c r="AN181">
        <v>0</v>
      </c>
      <c r="AO181">
        <v>0</v>
      </c>
      <c r="AP181">
        <v>0</v>
      </c>
      <c r="AQ181">
        <v>0</v>
      </c>
      <c r="AR181">
        <v>0</v>
      </c>
      <c r="AS181">
        <v>0</v>
      </c>
      <c r="AT181">
        <v>0</v>
      </c>
      <c r="AU181">
        <v>0</v>
      </c>
      <c r="AV181">
        <v>0</v>
      </c>
      <c r="AW181">
        <v>0</v>
      </c>
      <c r="AX181">
        <v>0</v>
      </c>
      <c r="AY181">
        <v>0</v>
      </c>
    </row>
    <row r="182" spans="1:51">
      <c r="A182" t="s">
        <v>16978</v>
      </c>
      <c r="B182" t="s">
        <v>17078</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s="4">
        <v>0</v>
      </c>
      <c r="X182" s="4">
        <v>0</v>
      </c>
      <c r="Y182">
        <v>0</v>
      </c>
      <c r="Z182">
        <v>0</v>
      </c>
      <c r="AA182" s="4">
        <v>0</v>
      </c>
      <c r="AB182" s="4">
        <v>0</v>
      </c>
      <c r="AC182" s="4">
        <v>0</v>
      </c>
      <c r="AD182" s="4">
        <v>0</v>
      </c>
      <c r="AE182" s="4">
        <v>0</v>
      </c>
      <c r="AF182" s="4">
        <v>0</v>
      </c>
      <c r="AG182" s="4">
        <v>0</v>
      </c>
      <c r="AH182" s="4">
        <v>0</v>
      </c>
      <c r="AI182" s="4">
        <v>0</v>
      </c>
      <c r="AJ182" s="4">
        <v>0</v>
      </c>
      <c r="AK182" s="4">
        <v>0</v>
      </c>
      <c r="AL182" s="4">
        <v>0</v>
      </c>
      <c r="AM182">
        <v>0</v>
      </c>
      <c r="AN182">
        <v>0</v>
      </c>
      <c r="AO182">
        <v>0</v>
      </c>
      <c r="AP182">
        <v>0</v>
      </c>
      <c r="AQ182">
        <v>0</v>
      </c>
      <c r="AR182">
        <v>0</v>
      </c>
      <c r="AS182">
        <v>0</v>
      </c>
      <c r="AT182">
        <v>0</v>
      </c>
      <c r="AU182">
        <v>0</v>
      </c>
      <c r="AV182">
        <v>0</v>
      </c>
      <c r="AW182">
        <v>0</v>
      </c>
      <c r="AX182">
        <v>0</v>
      </c>
      <c r="AY182">
        <v>240</v>
      </c>
    </row>
    <row r="183" spans="1:51">
      <c r="A183" t="s">
        <v>16978</v>
      </c>
      <c r="B183" t="s">
        <v>17079</v>
      </c>
      <c r="C183">
        <v>0</v>
      </c>
      <c r="D183">
        <v>1</v>
      </c>
      <c r="E183">
        <v>0</v>
      </c>
      <c r="F183">
        <v>1</v>
      </c>
      <c r="G183">
        <v>0</v>
      </c>
      <c r="H183">
        <v>0</v>
      </c>
      <c r="I183">
        <v>0</v>
      </c>
      <c r="J183">
        <v>1</v>
      </c>
      <c r="K183">
        <v>1</v>
      </c>
      <c r="L183">
        <v>1</v>
      </c>
      <c r="M183">
        <v>0</v>
      </c>
      <c r="N183">
        <v>0</v>
      </c>
      <c r="O183">
        <v>0</v>
      </c>
      <c r="P183">
        <v>0</v>
      </c>
      <c r="Q183">
        <v>0</v>
      </c>
      <c r="R183">
        <v>0</v>
      </c>
      <c r="S183">
        <v>1</v>
      </c>
      <c r="T183">
        <v>1</v>
      </c>
      <c r="U183">
        <v>0</v>
      </c>
      <c r="V183">
        <v>2</v>
      </c>
      <c r="W183" s="4">
        <v>30</v>
      </c>
      <c r="X183" s="4">
        <v>0</v>
      </c>
      <c r="Y183">
        <v>1</v>
      </c>
      <c r="Z183">
        <v>0</v>
      </c>
      <c r="AA183" s="4">
        <v>0</v>
      </c>
      <c r="AB183" s="4">
        <v>0</v>
      </c>
      <c r="AC183" s="4">
        <v>0</v>
      </c>
      <c r="AD183" s="4">
        <v>0</v>
      </c>
      <c r="AE183" s="4">
        <v>0</v>
      </c>
      <c r="AF183" s="4">
        <v>0</v>
      </c>
      <c r="AG183" s="4">
        <v>30</v>
      </c>
      <c r="AH183" s="4">
        <v>30</v>
      </c>
      <c r="AI183" s="4">
        <v>0</v>
      </c>
      <c r="AJ183" s="4">
        <v>0</v>
      </c>
      <c r="AK183" s="4">
        <v>0</v>
      </c>
      <c r="AL183" s="4">
        <v>0</v>
      </c>
      <c r="AM183">
        <v>1</v>
      </c>
      <c r="AN183">
        <v>0</v>
      </c>
      <c r="AO183">
        <v>1</v>
      </c>
      <c r="AP183">
        <v>0</v>
      </c>
      <c r="AQ183">
        <v>1</v>
      </c>
      <c r="AR183">
        <v>0</v>
      </c>
      <c r="AS183">
        <v>1</v>
      </c>
      <c r="AT183">
        <v>0</v>
      </c>
      <c r="AU183">
        <v>1</v>
      </c>
      <c r="AV183">
        <v>0</v>
      </c>
      <c r="AW183">
        <v>1</v>
      </c>
      <c r="AX183">
        <v>0</v>
      </c>
      <c r="AY183">
        <v>0</v>
      </c>
    </row>
    <row r="184" spans="1:51">
      <c r="A184" t="s">
        <v>16978</v>
      </c>
      <c r="B184" t="s">
        <v>16979</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s="4">
        <v>0</v>
      </c>
      <c r="X184" s="4">
        <v>0</v>
      </c>
      <c r="Y184">
        <v>0</v>
      </c>
      <c r="Z184">
        <v>0</v>
      </c>
      <c r="AA184" s="4">
        <v>0</v>
      </c>
      <c r="AB184" s="4">
        <v>0</v>
      </c>
      <c r="AC184" s="4">
        <v>0</v>
      </c>
      <c r="AD184" s="4">
        <v>0</v>
      </c>
      <c r="AE184" s="4">
        <v>0</v>
      </c>
      <c r="AF184" s="4">
        <v>0</v>
      </c>
      <c r="AG184" s="4">
        <v>0</v>
      </c>
      <c r="AH184" s="4">
        <v>0</v>
      </c>
      <c r="AI184" s="4">
        <v>0</v>
      </c>
      <c r="AJ184" s="4">
        <v>0</v>
      </c>
      <c r="AK184" s="4">
        <v>0</v>
      </c>
      <c r="AL184" s="4">
        <v>0</v>
      </c>
      <c r="AM184">
        <v>0</v>
      </c>
      <c r="AN184">
        <v>0</v>
      </c>
      <c r="AO184">
        <v>0</v>
      </c>
      <c r="AP184">
        <v>0</v>
      </c>
      <c r="AQ184">
        <v>0</v>
      </c>
      <c r="AR184">
        <v>0</v>
      </c>
      <c r="AS184">
        <v>0</v>
      </c>
      <c r="AT184">
        <v>0</v>
      </c>
      <c r="AU184">
        <v>0</v>
      </c>
      <c r="AV184">
        <v>0</v>
      </c>
      <c r="AW184">
        <v>0</v>
      </c>
      <c r="AX184">
        <v>0</v>
      </c>
      <c r="AY184">
        <v>0</v>
      </c>
    </row>
    <row r="185" spans="1:51">
      <c r="A185" t="s">
        <v>16978</v>
      </c>
      <c r="B185" t="s">
        <v>17053</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s="4">
        <v>0</v>
      </c>
      <c r="X185" s="4">
        <v>0</v>
      </c>
      <c r="Y185">
        <v>0</v>
      </c>
      <c r="Z185">
        <v>0</v>
      </c>
      <c r="AA185" s="4">
        <v>0</v>
      </c>
      <c r="AB185" s="4">
        <v>0</v>
      </c>
      <c r="AC185" s="4">
        <v>0</v>
      </c>
      <c r="AD185" s="4">
        <v>0</v>
      </c>
      <c r="AE185" s="4">
        <v>0</v>
      </c>
      <c r="AF185" s="4">
        <v>0</v>
      </c>
      <c r="AG185" s="4">
        <v>0</v>
      </c>
      <c r="AH185" s="4">
        <v>0</v>
      </c>
      <c r="AI185" s="4">
        <v>0</v>
      </c>
      <c r="AJ185" s="4">
        <v>0</v>
      </c>
      <c r="AK185" s="4">
        <v>0</v>
      </c>
      <c r="AL185" s="4">
        <v>0</v>
      </c>
      <c r="AM185">
        <v>0</v>
      </c>
      <c r="AN185">
        <v>0</v>
      </c>
      <c r="AO185">
        <v>0</v>
      </c>
      <c r="AP185">
        <v>0</v>
      </c>
      <c r="AQ185">
        <v>0</v>
      </c>
      <c r="AR185">
        <v>0</v>
      </c>
      <c r="AS185">
        <v>0</v>
      </c>
      <c r="AT185">
        <v>0</v>
      </c>
      <c r="AU185">
        <v>0</v>
      </c>
      <c r="AV185">
        <v>0</v>
      </c>
      <c r="AW185">
        <v>0</v>
      </c>
      <c r="AX185">
        <v>0</v>
      </c>
      <c r="AY185">
        <v>0</v>
      </c>
    </row>
    <row r="186" spans="1:51">
      <c r="A186" t="s">
        <v>16978</v>
      </c>
      <c r="B186" t="s">
        <v>17054</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s="4">
        <v>0</v>
      </c>
      <c r="X186" s="4">
        <v>0</v>
      </c>
      <c r="Y186">
        <v>0</v>
      </c>
      <c r="Z186">
        <v>0</v>
      </c>
      <c r="AA186" s="4">
        <v>0</v>
      </c>
      <c r="AB186" s="4">
        <v>0</v>
      </c>
      <c r="AC186" s="4">
        <v>0</v>
      </c>
      <c r="AD186" s="4">
        <v>0</v>
      </c>
      <c r="AE186" s="4">
        <v>0</v>
      </c>
      <c r="AF186" s="4">
        <v>0</v>
      </c>
      <c r="AG186" s="4">
        <v>0</v>
      </c>
      <c r="AH186" s="4">
        <v>0</v>
      </c>
      <c r="AI186" s="4">
        <v>0</v>
      </c>
      <c r="AJ186" s="4">
        <v>0</v>
      </c>
      <c r="AK186" s="4">
        <v>0</v>
      </c>
      <c r="AL186" s="4">
        <v>0</v>
      </c>
      <c r="AM186">
        <v>0</v>
      </c>
      <c r="AN186">
        <v>0</v>
      </c>
      <c r="AO186">
        <v>0</v>
      </c>
      <c r="AP186">
        <v>0</v>
      </c>
      <c r="AQ186">
        <v>0</v>
      </c>
      <c r="AR186">
        <v>0</v>
      </c>
      <c r="AS186">
        <v>0</v>
      </c>
      <c r="AT186">
        <v>0</v>
      </c>
      <c r="AU186">
        <v>0</v>
      </c>
      <c r="AV186">
        <v>0</v>
      </c>
      <c r="AW186">
        <v>0</v>
      </c>
      <c r="AX186">
        <v>0</v>
      </c>
      <c r="AY186">
        <v>0</v>
      </c>
    </row>
    <row r="187" spans="1:51">
      <c r="A187" t="s">
        <v>16978</v>
      </c>
      <c r="B187" t="s">
        <v>17056</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s="4">
        <v>0</v>
      </c>
      <c r="X187" s="4">
        <v>0</v>
      </c>
      <c r="Y187">
        <v>0</v>
      </c>
      <c r="Z187">
        <v>0</v>
      </c>
      <c r="AA187" s="4">
        <v>0</v>
      </c>
      <c r="AB187" s="4">
        <v>0</v>
      </c>
      <c r="AC187" s="4">
        <v>0</v>
      </c>
      <c r="AD187" s="4">
        <v>0</v>
      </c>
      <c r="AE187" s="4">
        <v>0</v>
      </c>
      <c r="AF187" s="4">
        <v>0</v>
      </c>
      <c r="AG187" s="4">
        <v>0</v>
      </c>
      <c r="AH187" s="4">
        <v>0</v>
      </c>
      <c r="AI187" s="4">
        <v>0</v>
      </c>
      <c r="AJ187" s="4">
        <v>0</v>
      </c>
      <c r="AK187" s="4">
        <v>0</v>
      </c>
      <c r="AL187" s="4">
        <v>0</v>
      </c>
      <c r="AM187">
        <v>0</v>
      </c>
      <c r="AN187">
        <v>0</v>
      </c>
      <c r="AO187">
        <v>0</v>
      </c>
      <c r="AP187">
        <v>0</v>
      </c>
      <c r="AQ187">
        <v>0</v>
      </c>
      <c r="AR187">
        <v>0</v>
      </c>
      <c r="AS187">
        <v>0</v>
      </c>
      <c r="AT187">
        <v>0</v>
      </c>
      <c r="AU187">
        <v>0</v>
      </c>
      <c r="AV187">
        <v>0</v>
      </c>
      <c r="AW187">
        <v>0</v>
      </c>
      <c r="AX187">
        <v>0</v>
      </c>
      <c r="AY187">
        <v>0</v>
      </c>
    </row>
    <row r="188" spans="1:51">
      <c r="A188" t="s">
        <v>16978</v>
      </c>
      <c r="B188" t="s">
        <v>17080</v>
      </c>
      <c r="C188">
        <v>31</v>
      </c>
      <c r="D188">
        <v>56</v>
      </c>
      <c r="E188">
        <v>56</v>
      </c>
      <c r="F188">
        <v>0</v>
      </c>
      <c r="G188">
        <v>0</v>
      </c>
      <c r="H188">
        <v>0</v>
      </c>
      <c r="I188">
        <v>0</v>
      </c>
      <c r="J188">
        <v>56</v>
      </c>
      <c r="K188">
        <v>116</v>
      </c>
      <c r="L188">
        <v>56</v>
      </c>
      <c r="M188">
        <v>0</v>
      </c>
      <c r="N188">
        <v>0</v>
      </c>
      <c r="O188">
        <v>0</v>
      </c>
      <c r="P188">
        <v>0</v>
      </c>
      <c r="Q188">
        <v>0</v>
      </c>
      <c r="R188">
        <v>0</v>
      </c>
      <c r="S188">
        <v>23</v>
      </c>
      <c r="T188">
        <v>0</v>
      </c>
      <c r="U188">
        <v>0</v>
      </c>
      <c r="V188">
        <v>22.75</v>
      </c>
      <c r="W188" s="4">
        <v>107.5</v>
      </c>
      <c r="X188" s="4">
        <v>0</v>
      </c>
      <c r="Y188">
        <v>0</v>
      </c>
      <c r="Z188">
        <v>0</v>
      </c>
      <c r="AA188" s="4">
        <v>-105</v>
      </c>
      <c r="AB188" s="4">
        <v>107.5</v>
      </c>
      <c r="AC188" s="4">
        <v>0</v>
      </c>
      <c r="AD188" s="4">
        <v>0</v>
      </c>
      <c r="AE188" s="4">
        <v>0</v>
      </c>
      <c r="AF188" s="4">
        <v>107.5</v>
      </c>
      <c r="AG188" s="4">
        <v>107.5</v>
      </c>
      <c r="AH188" s="4">
        <v>107.5</v>
      </c>
      <c r="AI188" s="4">
        <v>0</v>
      </c>
      <c r="AJ188" s="4">
        <v>0</v>
      </c>
      <c r="AK188" s="4">
        <v>0</v>
      </c>
      <c r="AL188" s="4">
        <v>0</v>
      </c>
      <c r="AM188">
        <v>116</v>
      </c>
      <c r="AN188">
        <v>0</v>
      </c>
      <c r="AO188">
        <v>77</v>
      </c>
      <c r="AP188">
        <v>39</v>
      </c>
      <c r="AQ188">
        <v>22.75</v>
      </c>
      <c r="AR188">
        <v>0</v>
      </c>
      <c r="AS188">
        <v>10.75</v>
      </c>
      <c r="AT188">
        <v>12</v>
      </c>
      <c r="AU188">
        <v>0</v>
      </c>
      <c r="AV188">
        <v>0</v>
      </c>
      <c r="AW188">
        <v>0</v>
      </c>
      <c r="AX188">
        <v>0</v>
      </c>
      <c r="AY188">
        <v>49</v>
      </c>
    </row>
    <row r="189" spans="1:51">
      <c r="A189" t="s">
        <v>16978</v>
      </c>
      <c r="B189" t="s">
        <v>17081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s="4">
        <v>0</v>
      </c>
      <c r="X189" s="4">
        <v>0</v>
      </c>
      <c r="Y189">
        <v>0</v>
      </c>
      <c r="Z189">
        <v>0</v>
      </c>
      <c r="AA189" s="4">
        <v>0</v>
      </c>
      <c r="AB189" s="4">
        <v>0</v>
      </c>
      <c r="AC189" s="4">
        <v>0</v>
      </c>
      <c r="AD189" s="4">
        <v>0</v>
      </c>
      <c r="AE189" s="4">
        <v>0</v>
      </c>
      <c r="AF189" s="4">
        <v>0</v>
      </c>
      <c r="AG189" s="4">
        <v>0</v>
      </c>
      <c r="AH189" s="4">
        <v>0</v>
      </c>
      <c r="AI189" s="4">
        <v>0</v>
      </c>
      <c r="AJ189" s="4">
        <v>0</v>
      </c>
      <c r="AK189" s="4">
        <v>0</v>
      </c>
      <c r="AL189" s="4">
        <v>0</v>
      </c>
      <c r="AM189">
        <v>0</v>
      </c>
      <c r="AN189">
        <v>0</v>
      </c>
      <c r="AO189">
        <v>0</v>
      </c>
      <c r="AP189">
        <v>0</v>
      </c>
      <c r="AQ189">
        <v>0</v>
      </c>
      <c r="AR189">
        <v>0</v>
      </c>
      <c r="AS189">
        <v>0</v>
      </c>
      <c r="AT189">
        <v>0</v>
      </c>
      <c r="AU189">
        <v>0</v>
      </c>
      <c r="AV189">
        <v>0</v>
      </c>
      <c r="AW189">
        <v>0</v>
      </c>
      <c r="AX189">
        <v>0</v>
      </c>
      <c r="AY189">
        <v>0</v>
      </c>
    </row>
    <row r="190" spans="1:51">
      <c r="A190" t="s">
        <v>16978</v>
      </c>
      <c r="B190" t="s">
        <v>17082</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s="4">
        <v>0</v>
      </c>
      <c r="X190" s="4">
        <v>0</v>
      </c>
      <c r="Y190">
        <v>0</v>
      </c>
      <c r="Z190">
        <v>0</v>
      </c>
      <c r="AA190" s="4">
        <v>0</v>
      </c>
      <c r="AB190" s="4">
        <v>0</v>
      </c>
      <c r="AC190" s="4">
        <v>0</v>
      </c>
      <c r="AD190" s="4">
        <v>0</v>
      </c>
      <c r="AE190" s="4">
        <v>0</v>
      </c>
      <c r="AF190" s="4">
        <v>0</v>
      </c>
      <c r="AG190" s="4">
        <v>0</v>
      </c>
      <c r="AH190" s="4">
        <v>0</v>
      </c>
      <c r="AI190" s="4">
        <v>0</v>
      </c>
      <c r="AJ190" s="4">
        <v>0</v>
      </c>
      <c r="AK190" s="4">
        <v>0</v>
      </c>
      <c r="AL190" s="4">
        <v>0</v>
      </c>
      <c r="AM190">
        <v>0</v>
      </c>
      <c r="AN190">
        <v>0</v>
      </c>
      <c r="AO190">
        <v>0</v>
      </c>
      <c r="AP190">
        <v>0</v>
      </c>
      <c r="AQ190">
        <v>0</v>
      </c>
      <c r="AR190">
        <v>0</v>
      </c>
      <c r="AS190">
        <v>0</v>
      </c>
      <c r="AT190">
        <v>0</v>
      </c>
      <c r="AU190">
        <v>0</v>
      </c>
      <c r="AV190">
        <v>0</v>
      </c>
      <c r="AW190">
        <v>0</v>
      </c>
      <c r="AX190">
        <v>0</v>
      </c>
      <c r="AY190">
        <v>181</v>
      </c>
    </row>
    <row r="191" spans="1:51">
      <c r="A191" t="s">
        <v>16978</v>
      </c>
      <c r="B191" t="s">
        <v>17083</v>
      </c>
      <c r="C191">
        <v>5</v>
      </c>
      <c r="D191">
        <v>3</v>
      </c>
      <c r="E191">
        <v>0</v>
      </c>
      <c r="F191">
        <v>0</v>
      </c>
      <c r="G191">
        <v>0</v>
      </c>
      <c r="H191">
        <v>2</v>
      </c>
      <c r="I191">
        <v>0</v>
      </c>
      <c r="J191">
        <v>3</v>
      </c>
      <c r="K191">
        <v>2</v>
      </c>
      <c r="L191">
        <v>5</v>
      </c>
      <c r="M191">
        <v>0</v>
      </c>
      <c r="N191">
        <v>0</v>
      </c>
      <c r="O191">
        <v>0</v>
      </c>
      <c r="P191">
        <v>0</v>
      </c>
      <c r="Q191">
        <v>0</v>
      </c>
      <c r="R191">
        <v>0</v>
      </c>
      <c r="S191">
        <v>0</v>
      </c>
      <c r="T191">
        <v>0</v>
      </c>
      <c r="U191">
        <v>0</v>
      </c>
      <c r="V191">
        <v>0</v>
      </c>
      <c r="W191" s="4">
        <v>0</v>
      </c>
      <c r="X191" s="4">
        <v>0</v>
      </c>
      <c r="Y191">
        <v>0</v>
      </c>
      <c r="Z191">
        <v>0</v>
      </c>
      <c r="AA191" s="4">
        <v>0</v>
      </c>
      <c r="AB191" s="4">
        <v>0</v>
      </c>
      <c r="AC191" s="4">
        <v>0</v>
      </c>
      <c r="AD191" s="4">
        <v>0</v>
      </c>
      <c r="AE191" s="4">
        <v>0</v>
      </c>
      <c r="AF191" s="4">
        <v>0</v>
      </c>
      <c r="AG191" s="4">
        <v>0</v>
      </c>
      <c r="AH191" s="4">
        <v>0</v>
      </c>
      <c r="AI191" s="4">
        <v>0</v>
      </c>
      <c r="AJ191" s="4">
        <v>0</v>
      </c>
      <c r="AK191" s="4">
        <v>0</v>
      </c>
      <c r="AL191" s="4">
        <v>0</v>
      </c>
      <c r="AM191">
        <v>2</v>
      </c>
      <c r="AN191">
        <v>0</v>
      </c>
      <c r="AO191">
        <v>2</v>
      </c>
      <c r="AP191">
        <v>0</v>
      </c>
      <c r="AQ191">
        <v>0</v>
      </c>
      <c r="AR191">
        <v>0</v>
      </c>
      <c r="AS191">
        <v>0</v>
      </c>
      <c r="AT191">
        <v>0</v>
      </c>
      <c r="AU191">
        <v>0</v>
      </c>
      <c r="AV191">
        <v>0</v>
      </c>
      <c r="AW191">
        <v>0</v>
      </c>
      <c r="AX191">
        <v>0</v>
      </c>
      <c r="AY191">
        <v>0</v>
      </c>
    </row>
    <row r="192" spans="1:51">
      <c r="A192" t="s">
        <v>16978</v>
      </c>
      <c r="B192" t="s">
        <v>17084</v>
      </c>
      <c r="C192">
        <v>3</v>
      </c>
      <c r="D192">
        <v>61</v>
      </c>
      <c r="E192">
        <v>60</v>
      </c>
      <c r="F192">
        <v>60</v>
      </c>
      <c r="G192">
        <v>2</v>
      </c>
      <c r="H192">
        <v>0</v>
      </c>
      <c r="I192">
        <v>0</v>
      </c>
      <c r="J192">
        <v>61</v>
      </c>
      <c r="K192">
        <v>1166</v>
      </c>
      <c r="L192">
        <v>23</v>
      </c>
      <c r="M192">
        <v>4</v>
      </c>
      <c r="N192">
        <v>18</v>
      </c>
      <c r="O192">
        <v>14</v>
      </c>
      <c r="P192">
        <v>2</v>
      </c>
      <c r="Q192">
        <v>0</v>
      </c>
      <c r="R192">
        <v>0</v>
      </c>
      <c r="S192">
        <v>35.75</v>
      </c>
      <c r="T192">
        <v>21.65</v>
      </c>
      <c r="U192">
        <v>0</v>
      </c>
      <c r="V192">
        <v>57.4</v>
      </c>
      <c r="W192" s="4">
        <v>743</v>
      </c>
      <c r="X192" s="4">
        <v>0</v>
      </c>
      <c r="Y192">
        <v>45</v>
      </c>
      <c r="Z192">
        <v>0</v>
      </c>
      <c r="AA192" s="4">
        <v>-47.5</v>
      </c>
      <c r="AB192" s="4">
        <v>0</v>
      </c>
      <c r="AC192" s="4">
        <v>2037.24</v>
      </c>
      <c r="AD192" s="4">
        <v>2037.24</v>
      </c>
      <c r="AE192" s="4">
        <v>2037.24</v>
      </c>
      <c r="AF192" s="4">
        <v>2037.24</v>
      </c>
      <c r="AG192" s="4">
        <v>2780.24</v>
      </c>
      <c r="AH192" s="4">
        <v>743</v>
      </c>
      <c r="AI192" s="4">
        <v>0</v>
      </c>
      <c r="AJ192" s="4">
        <v>0</v>
      </c>
      <c r="AK192" s="4">
        <v>0</v>
      </c>
      <c r="AL192" s="4">
        <v>0</v>
      </c>
      <c r="AM192">
        <v>1166</v>
      </c>
      <c r="AN192">
        <v>0</v>
      </c>
      <c r="AO192">
        <v>1056</v>
      </c>
      <c r="AP192">
        <v>110</v>
      </c>
      <c r="AQ192">
        <v>35.75</v>
      </c>
      <c r="AR192">
        <v>0</v>
      </c>
      <c r="AS192">
        <v>33.5</v>
      </c>
      <c r="AT192">
        <v>2.25</v>
      </c>
      <c r="AU192">
        <v>21.65</v>
      </c>
      <c r="AV192">
        <v>0</v>
      </c>
      <c r="AW192">
        <v>20.399999999999999</v>
      </c>
      <c r="AX192">
        <v>1.25</v>
      </c>
    </row>
    <row r="193" spans="1:51">
      <c r="A193" t="s">
        <v>16978</v>
      </c>
      <c r="B193" t="s">
        <v>17086</v>
      </c>
      <c r="C193">
        <v>0</v>
      </c>
      <c r="D193">
        <v>9</v>
      </c>
      <c r="E193">
        <v>0</v>
      </c>
      <c r="F193">
        <v>8</v>
      </c>
      <c r="G193">
        <v>1</v>
      </c>
      <c r="H193">
        <v>0</v>
      </c>
      <c r="I193">
        <v>0</v>
      </c>
      <c r="J193">
        <v>9</v>
      </c>
      <c r="K193">
        <v>62</v>
      </c>
      <c r="L193">
        <v>9</v>
      </c>
      <c r="M193">
        <v>0</v>
      </c>
      <c r="N193">
        <v>0</v>
      </c>
      <c r="O193">
        <v>0</v>
      </c>
      <c r="P193">
        <v>0</v>
      </c>
      <c r="Q193">
        <v>0</v>
      </c>
      <c r="R193">
        <v>0</v>
      </c>
      <c r="S193">
        <v>11</v>
      </c>
      <c r="T193">
        <v>1</v>
      </c>
      <c r="U193">
        <v>0</v>
      </c>
      <c r="V193">
        <v>12</v>
      </c>
      <c r="W193" s="4">
        <v>130</v>
      </c>
      <c r="X193" s="4">
        <v>0</v>
      </c>
      <c r="Y193">
        <v>9</v>
      </c>
      <c r="Z193">
        <v>0</v>
      </c>
      <c r="AA193" s="4">
        <v>0</v>
      </c>
      <c r="AB193" s="4">
        <v>40</v>
      </c>
      <c r="AC193" s="4">
        <v>0</v>
      </c>
      <c r="AD193" s="4">
        <v>0</v>
      </c>
      <c r="AE193" s="4">
        <v>0</v>
      </c>
      <c r="AF193" s="4">
        <v>40</v>
      </c>
      <c r="AG193" s="4">
        <v>130</v>
      </c>
      <c r="AH193" s="4">
        <v>130</v>
      </c>
      <c r="AI193" s="4">
        <v>0</v>
      </c>
      <c r="AJ193" s="4">
        <v>0</v>
      </c>
      <c r="AK193" s="4">
        <v>0</v>
      </c>
      <c r="AL193" s="4">
        <v>0</v>
      </c>
      <c r="AM193">
        <v>62</v>
      </c>
      <c r="AN193">
        <v>0</v>
      </c>
      <c r="AO193">
        <v>62</v>
      </c>
      <c r="AP193">
        <v>0</v>
      </c>
      <c r="AQ193">
        <v>11</v>
      </c>
      <c r="AR193">
        <v>0</v>
      </c>
      <c r="AS193">
        <v>11</v>
      </c>
      <c r="AT193">
        <v>0</v>
      </c>
      <c r="AU193">
        <v>1</v>
      </c>
      <c r="AV193">
        <v>0</v>
      </c>
      <c r="AW193">
        <v>1</v>
      </c>
      <c r="AX193">
        <v>0</v>
      </c>
      <c r="AY193">
        <v>0</v>
      </c>
    </row>
    <row r="194" spans="1:51">
      <c r="A194" t="s">
        <v>16978</v>
      </c>
      <c r="B194" t="s">
        <v>17087</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s="4">
        <v>0</v>
      </c>
      <c r="X194" s="4">
        <v>0</v>
      </c>
      <c r="Y194">
        <v>0</v>
      </c>
      <c r="Z194">
        <v>0</v>
      </c>
      <c r="AA194" s="4">
        <v>0</v>
      </c>
      <c r="AB194" s="4">
        <v>0</v>
      </c>
      <c r="AC194" s="4">
        <v>0</v>
      </c>
      <c r="AD194" s="4">
        <v>0</v>
      </c>
      <c r="AE194" s="4">
        <v>0</v>
      </c>
      <c r="AF194" s="4">
        <v>0</v>
      </c>
      <c r="AG194" s="4">
        <v>0</v>
      </c>
      <c r="AH194" s="4">
        <v>0</v>
      </c>
      <c r="AI194" s="4">
        <v>0</v>
      </c>
      <c r="AJ194" s="4">
        <v>0</v>
      </c>
      <c r="AK194" s="4">
        <v>0</v>
      </c>
      <c r="AL194" s="4">
        <v>0</v>
      </c>
      <c r="AM194">
        <v>0</v>
      </c>
      <c r="AN194">
        <v>0</v>
      </c>
      <c r="AO194">
        <v>0</v>
      </c>
      <c r="AP194">
        <v>0</v>
      </c>
      <c r="AQ194">
        <v>0</v>
      </c>
      <c r="AR194">
        <v>0</v>
      </c>
      <c r="AS194">
        <v>0</v>
      </c>
      <c r="AT194">
        <v>0</v>
      </c>
      <c r="AU194">
        <v>0</v>
      </c>
      <c r="AV194">
        <v>0</v>
      </c>
      <c r="AW194">
        <v>0</v>
      </c>
      <c r="AX194">
        <v>0</v>
      </c>
      <c r="AY194">
        <v>0</v>
      </c>
    </row>
    <row r="195" spans="1:51">
      <c r="A195" t="s">
        <v>16978</v>
      </c>
      <c r="B195" t="s">
        <v>17088</v>
      </c>
      <c r="C195">
        <v>0</v>
      </c>
      <c r="D195">
        <v>2</v>
      </c>
      <c r="E195">
        <v>2</v>
      </c>
      <c r="F195">
        <v>0</v>
      </c>
      <c r="G195">
        <v>0</v>
      </c>
      <c r="H195">
        <v>0</v>
      </c>
      <c r="I195">
        <v>0</v>
      </c>
      <c r="J195">
        <v>2</v>
      </c>
      <c r="K195">
        <v>25</v>
      </c>
      <c r="L195">
        <v>0</v>
      </c>
      <c r="M195">
        <v>0</v>
      </c>
      <c r="N195">
        <v>0</v>
      </c>
      <c r="O195">
        <v>0</v>
      </c>
      <c r="P195">
        <v>0</v>
      </c>
      <c r="Q195">
        <v>0</v>
      </c>
      <c r="R195">
        <v>0</v>
      </c>
      <c r="S195">
        <v>0</v>
      </c>
      <c r="T195">
        <v>0</v>
      </c>
      <c r="U195">
        <v>0</v>
      </c>
      <c r="V195">
        <v>0</v>
      </c>
      <c r="W195" s="4">
        <v>0</v>
      </c>
      <c r="X195" s="4">
        <v>0</v>
      </c>
      <c r="Y195">
        <v>0</v>
      </c>
      <c r="Z195">
        <v>0</v>
      </c>
      <c r="AA195" s="4">
        <v>0</v>
      </c>
      <c r="AB195" s="4">
        <v>0</v>
      </c>
      <c r="AC195" s="4">
        <v>0</v>
      </c>
      <c r="AD195" s="4">
        <v>0</v>
      </c>
      <c r="AE195" s="4">
        <v>0</v>
      </c>
      <c r="AF195" s="4">
        <v>0</v>
      </c>
      <c r="AG195" s="4">
        <v>0</v>
      </c>
      <c r="AH195" s="4">
        <v>0</v>
      </c>
      <c r="AI195" s="4">
        <v>0</v>
      </c>
      <c r="AJ195" s="4">
        <v>0</v>
      </c>
      <c r="AK195" s="4">
        <v>0</v>
      </c>
      <c r="AL195" s="4">
        <v>0</v>
      </c>
      <c r="AM195">
        <v>25</v>
      </c>
      <c r="AN195">
        <v>0</v>
      </c>
      <c r="AO195">
        <v>25</v>
      </c>
      <c r="AP195">
        <v>0</v>
      </c>
      <c r="AQ195">
        <v>0</v>
      </c>
      <c r="AR195">
        <v>0</v>
      </c>
      <c r="AS195">
        <v>0</v>
      </c>
      <c r="AT195">
        <v>0</v>
      </c>
      <c r="AU195">
        <v>0</v>
      </c>
      <c r="AV195">
        <v>0</v>
      </c>
      <c r="AW195">
        <v>0</v>
      </c>
      <c r="AX195">
        <v>0</v>
      </c>
      <c r="AY195">
        <v>0</v>
      </c>
    </row>
    <row r="196" spans="1:51">
      <c r="A196" t="s">
        <v>16978</v>
      </c>
      <c r="B196" t="s">
        <v>17089</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s="4">
        <v>0</v>
      </c>
      <c r="X196" s="4">
        <v>0</v>
      </c>
      <c r="Y196">
        <v>0</v>
      </c>
      <c r="Z196">
        <v>0</v>
      </c>
      <c r="AA196" s="4">
        <v>0</v>
      </c>
      <c r="AB196" s="4">
        <v>0</v>
      </c>
      <c r="AC196" s="4">
        <v>0</v>
      </c>
      <c r="AD196" s="4">
        <v>0</v>
      </c>
      <c r="AE196" s="4">
        <v>0</v>
      </c>
      <c r="AF196" s="4">
        <v>0</v>
      </c>
      <c r="AG196" s="4">
        <v>0</v>
      </c>
      <c r="AH196" s="4">
        <v>0</v>
      </c>
      <c r="AI196" s="4">
        <v>0</v>
      </c>
      <c r="AJ196" s="4">
        <v>0</v>
      </c>
      <c r="AK196" s="4">
        <v>0</v>
      </c>
      <c r="AL196" s="4">
        <v>0</v>
      </c>
      <c r="AM196">
        <v>0</v>
      </c>
      <c r="AN196">
        <v>0</v>
      </c>
      <c r="AO196">
        <v>0</v>
      </c>
      <c r="AP196">
        <v>0</v>
      </c>
      <c r="AQ196">
        <v>0</v>
      </c>
      <c r="AR196">
        <v>0</v>
      </c>
      <c r="AS196">
        <v>0</v>
      </c>
      <c r="AT196">
        <v>0</v>
      </c>
      <c r="AU196">
        <v>0</v>
      </c>
      <c r="AV196">
        <v>0</v>
      </c>
      <c r="AW196">
        <v>0</v>
      </c>
      <c r="AX196">
        <v>0</v>
      </c>
      <c r="AY196">
        <v>0</v>
      </c>
    </row>
    <row r="197" spans="1:51">
      <c r="A197" t="s">
        <v>16978</v>
      </c>
      <c r="B197" t="s">
        <v>17090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s="4">
        <v>0</v>
      </c>
      <c r="X197" s="4">
        <v>0</v>
      </c>
      <c r="Y197">
        <v>0</v>
      </c>
      <c r="Z197">
        <v>0</v>
      </c>
      <c r="AA197" s="4">
        <v>0</v>
      </c>
      <c r="AB197" s="4">
        <v>0</v>
      </c>
      <c r="AC197" s="4">
        <v>0</v>
      </c>
      <c r="AD197" s="4">
        <v>0</v>
      </c>
      <c r="AE197" s="4">
        <v>0</v>
      </c>
      <c r="AF197" s="4">
        <v>0</v>
      </c>
      <c r="AG197" s="4">
        <v>0</v>
      </c>
      <c r="AH197" s="4">
        <v>0</v>
      </c>
      <c r="AI197" s="4">
        <v>0</v>
      </c>
      <c r="AJ197" s="4">
        <v>0</v>
      </c>
      <c r="AK197" s="4">
        <v>0</v>
      </c>
      <c r="AL197" s="4">
        <v>0</v>
      </c>
      <c r="AM197">
        <v>0</v>
      </c>
      <c r="AN197">
        <v>0</v>
      </c>
      <c r="AO197">
        <v>0</v>
      </c>
      <c r="AP197">
        <v>0</v>
      </c>
      <c r="AQ197">
        <v>0</v>
      </c>
      <c r="AR197">
        <v>0</v>
      </c>
      <c r="AS197">
        <v>0</v>
      </c>
      <c r="AT197">
        <v>0</v>
      </c>
      <c r="AU197">
        <v>0</v>
      </c>
      <c r="AV197">
        <v>0</v>
      </c>
      <c r="AW197">
        <v>0</v>
      </c>
      <c r="AX197">
        <v>0</v>
      </c>
      <c r="AY197">
        <v>35</v>
      </c>
    </row>
    <row r="198" spans="1:51">
      <c r="A198" t="s">
        <v>16978</v>
      </c>
      <c r="B198" t="s">
        <v>17091</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s="4">
        <v>0</v>
      </c>
      <c r="X198" s="4">
        <v>0</v>
      </c>
      <c r="Y198">
        <v>0</v>
      </c>
      <c r="Z198">
        <v>0</v>
      </c>
      <c r="AA198" s="4">
        <v>0</v>
      </c>
      <c r="AB198" s="4">
        <v>0</v>
      </c>
      <c r="AC198" s="4">
        <v>0</v>
      </c>
      <c r="AD198" s="4">
        <v>0</v>
      </c>
      <c r="AE198" s="4">
        <v>0</v>
      </c>
      <c r="AF198" s="4">
        <v>0</v>
      </c>
      <c r="AG198" s="4">
        <v>0</v>
      </c>
      <c r="AH198" s="4">
        <v>0</v>
      </c>
      <c r="AI198" s="4">
        <v>0</v>
      </c>
      <c r="AJ198" s="4">
        <v>0</v>
      </c>
      <c r="AK198" s="4">
        <v>0</v>
      </c>
      <c r="AL198" s="4">
        <v>0</v>
      </c>
      <c r="AM198">
        <v>0</v>
      </c>
      <c r="AN198">
        <v>0</v>
      </c>
      <c r="AO198">
        <v>0</v>
      </c>
      <c r="AP198">
        <v>0</v>
      </c>
      <c r="AQ198">
        <v>0</v>
      </c>
      <c r="AR198">
        <v>0</v>
      </c>
      <c r="AS198">
        <v>0</v>
      </c>
      <c r="AT198">
        <v>0</v>
      </c>
      <c r="AU198">
        <v>0</v>
      </c>
      <c r="AV198">
        <v>0</v>
      </c>
      <c r="AW198">
        <v>0</v>
      </c>
      <c r="AX198">
        <v>0</v>
      </c>
      <c r="AY198">
        <v>0</v>
      </c>
    </row>
    <row r="199" spans="1:51">
      <c r="A199" t="s">
        <v>16978</v>
      </c>
      <c r="B199" t="s">
        <v>17092</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s="4">
        <v>0</v>
      </c>
      <c r="X199" s="4">
        <v>0</v>
      </c>
      <c r="Y199">
        <v>0</v>
      </c>
      <c r="Z199">
        <v>0</v>
      </c>
      <c r="AA199" s="4">
        <v>0</v>
      </c>
      <c r="AB199" s="4">
        <v>0</v>
      </c>
      <c r="AC199" s="4">
        <v>0</v>
      </c>
      <c r="AD199" s="4">
        <v>0</v>
      </c>
      <c r="AE199" s="4">
        <v>0</v>
      </c>
      <c r="AF199" s="4">
        <v>0</v>
      </c>
      <c r="AG199" s="4">
        <v>0</v>
      </c>
      <c r="AH199" s="4">
        <v>0</v>
      </c>
      <c r="AI199" s="4">
        <v>0</v>
      </c>
      <c r="AJ199" s="4">
        <v>0</v>
      </c>
      <c r="AK199" s="4">
        <v>0</v>
      </c>
      <c r="AL199" s="4">
        <v>0</v>
      </c>
      <c r="AM199">
        <v>0</v>
      </c>
      <c r="AN199">
        <v>0</v>
      </c>
      <c r="AO199">
        <v>0</v>
      </c>
      <c r="AP199">
        <v>0</v>
      </c>
      <c r="AQ199">
        <v>0</v>
      </c>
      <c r="AR199">
        <v>0</v>
      </c>
      <c r="AS199">
        <v>0</v>
      </c>
      <c r="AT199">
        <v>0</v>
      </c>
      <c r="AU199">
        <v>0</v>
      </c>
      <c r="AV199">
        <v>0</v>
      </c>
      <c r="AW199">
        <v>0</v>
      </c>
      <c r="AX199">
        <v>0</v>
      </c>
      <c r="AY199">
        <v>0</v>
      </c>
    </row>
    <row r="200" spans="1:51">
      <c r="A200" t="s">
        <v>17097</v>
      </c>
      <c r="B200" t="s">
        <v>17098</v>
      </c>
      <c r="C200">
        <v>0</v>
      </c>
      <c r="D200">
        <v>43</v>
      </c>
      <c r="E200">
        <v>42</v>
      </c>
      <c r="F200">
        <v>36</v>
      </c>
      <c r="G200">
        <v>7</v>
      </c>
      <c r="H200">
        <v>2</v>
      </c>
      <c r="I200">
        <v>0</v>
      </c>
      <c r="J200">
        <v>43</v>
      </c>
      <c r="K200">
        <v>457</v>
      </c>
      <c r="L200">
        <v>10</v>
      </c>
      <c r="M200">
        <v>0</v>
      </c>
      <c r="N200">
        <v>17</v>
      </c>
      <c r="O200">
        <v>11</v>
      </c>
      <c r="P200">
        <v>0</v>
      </c>
      <c r="Q200">
        <v>5</v>
      </c>
      <c r="R200">
        <v>0</v>
      </c>
      <c r="S200">
        <v>24.75</v>
      </c>
      <c r="T200">
        <v>14.5</v>
      </c>
      <c r="U200">
        <v>14</v>
      </c>
      <c r="V200">
        <v>52.75</v>
      </c>
      <c r="W200" s="4">
        <v>510</v>
      </c>
      <c r="X200" s="4">
        <v>455</v>
      </c>
      <c r="Y200">
        <v>3</v>
      </c>
      <c r="Z200">
        <v>20</v>
      </c>
      <c r="AA200" s="4">
        <v>0</v>
      </c>
      <c r="AB200" s="4">
        <v>145</v>
      </c>
      <c r="AC200" s="4">
        <v>46.3</v>
      </c>
      <c r="AD200" s="4">
        <v>18.25</v>
      </c>
      <c r="AE200" s="4">
        <v>18.3</v>
      </c>
      <c r="AF200" s="4">
        <v>160.44999999999999</v>
      </c>
      <c r="AG200" s="4">
        <v>1207.3</v>
      </c>
      <c r="AH200" s="4">
        <v>1182.9000000000001</v>
      </c>
      <c r="AI200" s="4">
        <v>1.6</v>
      </c>
      <c r="AJ200" s="4">
        <v>66.59</v>
      </c>
      <c r="AK200" s="4">
        <v>170</v>
      </c>
      <c r="AL200" s="4">
        <v>168.4</v>
      </c>
      <c r="AM200">
        <v>457</v>
      </c>
      <c r="AN200">
        <v>37</v>
      </c>
      <c r="AO200">
        <v>385</v>
      </c>
      <c r="AP200">
        <v>0</v>
      </c>
      <c r="AQ200">
        <v>24</v>
      </c>
      <c r="AR200">
        <v>7.25</v>
      </c>
      <c r="AS200">
        <v>16.5</v>
      </c>
      <c r="AT200">
        <v>0</v>
      </c>
      <c r="AU200">
        <v>13.5</v>
      </c>
      <c r="AV200">
        <v>0.75</v>
      </c>
      <c r="AW200">
        <v>10</v>
      </c>
      <c r="AX200">
        <v>0</v>
      </c>
    </row>
    <row r="201" spans="1:51">
      <c r="A201" t="s">
        <v>17099</v>
      </c>
      <c r="B201" t="s">
        <v>17100</v>
      </c>
      <c r="C201">
        <v>0</v>
      </c>
      <c r="D201">
        <v>22</v>
      </c>
      <c r="E201">
        <v>22</v>
      </c>
      <c r="F201">
        <v>19</v>
      </c>
      <c r="G201">
        <v>0</v>
      </c>
      <c r="H201">
        <v>1</v>
      </c>
      <c r="I201">
        <v>0</v>
      </c>
      <c r="J201">
        <v>22</v>
      </c>
      <c r="K201">
        <v>491</v>
      </c>
      <c r="L201">
        <v>20</v>
      </c>
      <c r="M201">
        <v>1</v>
      </c>
      <c r="N201">
        <v>1</v>
      </c>
      <c r="O201">
        <v>0</v>
      </c>
      <c r="P201">
        <v>1</v>
      </c>
      <c r="Q201">
        <v>0</v>
      </c>
      <c r="R201">
        <v>0</v>
      </c>
      <c r="S201">
        <v>18.25</v>
      </c>
      <c r="T201">
        <v>15.25</v>
      </c>
      <c r="U201">
        <v>0</v>
      </c>
      <c r="V201">
        <v>33.5</v>
      </c>
      <c r="W201" s="4">
        <v>487.5</v>
      </c>
      <c r="X201" s="4">
        <v>0</v>
      </c>
      <c r="Y201">
        <v>15</v>
      </c>
      <c r="Z201">
        <v>2</v>
      </c>
      <c r="AA201" s="4">
        <v>0</v>
      </c>
      <c r="AB201" s="4">
        <v>102.5</v>
      </c>
      <c r="AC201" s="4">
        <v>156.79</v>
      </c>
      <c r="AD201" s="4">
        <v>47.59</v>
      </c>
      <c r="AE201" s="4">
        <v>211.79</v>
      </c>
      <c r="AF201" s="4">
        <v>150.09</v>
      </c>
      <c r="AG201" s="4">
        <v>644.29</v>
      </c>
      <c r="AH201" s="4">
        <v>432.5</v>
      </c>
      <c r="AI201" s="4">
        <v>0</v>
      </c>
      <c r="AJ201" s="4">
        <v>0</v>
      </c>
      <c r="AK201" s="4">
        <v>0</v>
      </c>
      <c r="AL201" s="4">
        <v>0</v>
      </c>
      <c r="AM201">
        <v>491</v>
      </c>
      <c r="AN201">
        <v>4</v>
      </c>
      <c r="AO201">
        <v>487</v>
      </c>
      <c r="AP201">
        <v>0</v>
      </c>
      <c r="AQ201">
        <v>18.25</v>
      </c>
      <c r="AR201">
        <v>0</v>
      </c>
      <c r="AS201">
        <v>18.25</v>
      </c>
      <c r="AT201">
        <v>0</v>
      </c>
      <c r="AU201">
        <v>15.25</v>
      </c>
      <c r="AV201">
        <v>0</v>
      </c>
      <c r="AW201">
        <v>15.25</v>
      </c>
      <c r="AX201">
        <v>0</v>
      </c>
    </row>
    <row r="202" spans="1:51">
      <c r="A202" t="s">
        <v>16974</v>
      </c>
      <c r="B202" t="s">
        <v>17129</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s="4">
        <v>0</v>
      </c>
      <c r="X202" s="4">
        <v>0</v>
      </c>
      <c r="Y202">
        <v>0</v>
      </c>
      <c r="Z202">
        <v>0</v>
      </c>
      <c r="AA202" s="4">
        <v>0</v>
      </c>
      <c r="AB202" s="4">
        <v>0</v>
      </c>
      <c r="AC202" s="4">
        <v>0</v>
      </c>
      <c r="AD202" s="4">
        <v>0</v>
      </c>
      <c r="AE202" s="4">
        <v>0</v>
      </c>
      <c r="AF202" s="4">
        <v>0</v>
      </c>
      <c r="AG202" s="4">
        <v>0</v>
      </c>
      <c r="AH202" s="4">
        <v>0</v>
      </c>
      <c r="AI202" s="4">
        <v>0</v>
      </c>
      <c r="AJ202" s="4">
        <v>0</v>
      </c>
      <c r="AK202" s="4">
        <v>0</v>
      </c>
      <c r="AL202" s="4">
        <v>0</v>
      </c>
      <c r="AM202">
        <v>0</v>
      </c>
      <c r="AN202">
        <v>0</v>
      </c>
      <c r="AO202">
        <v>0</v>
      </c>
      <c r="AP202">
        <v>0</v>
      </c>
      <c r="AQ202">
        <v>0</v>
      </c>
      <c r="AR202">
        <v>0</v>
      </c>
      <c r="AS202">
        <v>0</v>
      </c>
      <c r="AT202">
        <v>0</v>
      </c>
      <c r="AU202">
        <v>0</v>
      </c>
      <c r="AV202">
        <v>0</v>
      </c>
      <c r="AW202">
        <v>0</v>
      </c>
      <c r="AX202">
        <v>0</v>
      </c>
    </row>
    <row r="203" spans="1:51">
      <c r="A203" t="s">
        <v>16974</v>
      </c>
      <c r="B203" t="s">
        <v>17055</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s="4">
        <v>0</v>
      </c>
      <c r="X203" s="4">
        <v>0</v>
      </c>
      <c r="Y203">
        <v>0</v>
      </c>
      <c r="Z203">
        <v>0</v>
      </c>
      <c r="AA203" s="4">
        <v>0</v>
      </c>
      <c r="AB203" s="4">
        <v>0</v>
      </c>
      <c r="AC203" s="4">
        <v>0</v>
      </c>
      <c r="AD203" s="4">
        <v>0</v>
      </c>
      <c r="AE203" s="4">
        <v>0</v>
      </c>
      <c r="AF203" s="4">
        <v>0</v>
      </c>
      <c r="AG203" s="4">
        <v>0</v>
      </c>
      <c r="AH203" s="4">
        <v>0</v>
      </c>
      <c r="AI203" s="4">
        <v>0</v>
      </c>
      <c r="AJ203" s="4">
        <v>0</v>
      </c>
      <c r="AK203" s="4">
        <v>0</v>
      </c>
      <c r="AL203" s="4">
        <v>0</v>
      </c>
      <c r="AM203">
        <v>0</v>
      </c>
      <c r="AN203">
        <v>0</v>
      </c>
      <c r="AO203">
        <v>0</v>
      </c>
      <c r="AP203">
        <v>0</v>
      </c>
      <c r="AQ203">
        <v>0</v>
      </c>
      <c r="AR203">
        <v>0</v>
      </c>
      <c r="AS203">
        <v>0</v>
      </c>
      <c r="AT203">
        <v>0</v>
      </c>
      <c r="AU203">
        <v>0</v>
      </c>
      <c r="AV203">
        <v>0</v>
      </c>
      <c r="AW203">
        <v>0</v>
      </c>
      <c r="AX203">
        <v>0</v>
      </c>
    </row>
    <row r="204" spans="1:51">
      <c r="A204" t="s">
        <v>16974</v>
      </c>
      <c r="B204" t="s">
        <v>17102</v>
      </c>
      <c r="C204">
        <v>0</v>
      </c>
      <c r="D204">
        <v>2</v>
      </c>
      <c r="E204">
        <v>2</v>
      </c>
      <c r="F204">
        <v>1</v>
      </c>
      <c r="G204">
        <v>0</v>
      </c>
      <c r="H204">
        <v>0</v>
      </c>
      <c r="I204">
        <v>0</v>
      </c>
      <c r="J204">
        <v>2</v>
      </c>
      <c r="K204">
        <v>24</v>
      </c>
      <c r="L204">
        <v>1</v>
      </c>
      <c r="M204">
        <v>0</v>
      </c>
      <c r="N204">
        <v>1</v>
      </c>
      <c r="O204">
        <v>0</v>
      </c>
      <c r="P204">
        <v>0</v>
      </c>
      <c r="Q204">
        <v>0</v>
      </c>
      <c r="R204">
        <v>0</v>
      </c>
      <c r="S204">
        <v>0.5</v>
      </c>
      <c r="T204">
        <v>0.5</v>
      </c>
      <c r="U204">
        <v>0</v>
      </c>
      <c r="V204">
        <v>1</v>
      </c>
      <c r="W204" s="4">
        <v>15</v>
      </c>
      <c r="X204" s="4">
        <v>0</v>
      </c>
      <c r="Y204">
        <v>2</v>
      </c>
      <c r="Z204">
        <v>0</v>
      </c>
      <c r="AA204" s="4">
        <v>0</v>
      </c>
      <c r="AB204" s="4">
        <v>0</v>
      </c>
      <c r="AC204" s="4">
        <v>14.55</v>
      </c>
      <c r="AD204" s="4">
        <v>14.55</v>
      </c>
      <c r="AE204" s="4">
        <v>14.05</v>
      </c>
      <c r="AF204" s="4">
        <v>14.55</v>
      </c>
      <c r="AG204" s="4">
        <v>29.55</v>
      </c>
      <c r="AH204" s="4">
        <v>15.5</v>
      </c>
      <c r="AI204" s="4">
        <v>0</v>
      </c>
      <c r="AJ204" s="4">
        <v>0</v>
      </c>
      <c r="AK204" s="4">
        <v>0</v>
      </c>
      <c r="AL204" s="4">
        <v>0</v>
      </c>
      <c r="AM204">
        <v>24</v>
      </c>
      <c r="AN204">
        <v>0</v>
      </c>
      <c r="AO204">
        <v>24</v>
      </c>
      <c r="AP204">
        <v>0</v>
      </c>
      <c r="AQ204">
        <v>0.5</v>
      </c>
      <c r="AR204">
        <v>0</v>
      </c>
      <c r="AS204">
        <v>0.5</v>
      </c>
      <c r="AT204">
        <v>0</v>
      </c>
      <c r="AU204">
        <v>0.5</v>
      </c>
      <c r="AV204">
        <v>0</v>
      </c>
      <c r="AW204">
        <v>0.5</v>
      </c>
      <c r="AX204">
        <v>0</v>
      </c>
      <c r="AY204">
        <v>0</v>
      </c>
    </row>
    <row r="205" spans="1:51">
      <c r="A205" t="s">
        <v>16974</v>
      </c>
      <c r="B205" t="s">
        <v>17103</v>
      </c>
      <c r="C205">
        <v>0</v>
      </c>
      <c r="D205">
        <v>1</v>
      </c>
      <c r="E205">
        <v>1</v>
      </c>
      <c r="F205">
        <v>0</v>
      </c>
      <c r="G205">
        <v>1</v>
      </c>
      <c r="H205">
        <v>0</v>
      </c>
      <c r="I205">
        <v>0</v>
      </c>
      <c r="J205">
        <v>1</v>
      </c>
      <c r="K205">
        <v>7</v>
      </c>
      <c r="L205">
        <v>1</v>
      </c>
      <c r="M205">
        <v>0</v>
      </c>
      <c r="N205">
        <v>0</v>
      </c>
      <c r="O205">
        <v>0</v>
      </c>
      <c r="P205">
        <v>0</v>
      </c>
      <c r="Q205">
        <v>0</v>
      </c>
      <c r="R205">
        <v>0</v>
      </c>
      <c r="S205">
        <v>0.5</v>
      </c>
      <c r="T205">
        <v>0</v>
      </c>
      <c r="U205">
        <v>0.5</v>
      </c>
      <c r="V205">
        <v>1</v>
      </c>
      <c r="W205" s="4">
        <v>5</v>
      </c>
      <c r="X205" s="4">
        <v>0</v>
      </c>
      <c r="Y205">
        <v>1</v>
      </c>
      <c r="Z205">
        <v>0</v>
      </c>
      <c r="AA205" s="4">
        <v>0</v>
      </c>
      <c r="AB205" s="4">
        <v>0</v>
      </c>
      <c r="AC205" s="4">
        <v>0</v>
      </c>
      <c r="AD205" s="4">
        <v>0</v>
      </c>
      <c r="AE205" s="4">
        <v>0</v>
      </c>
      <c r="AF205" s="4">
        <v>0</v>
      </c>
      <c r="AG205" s="4">
        <v>15</v>
      </c>
      <c r="AH205" s="4">
        <v>15</v>
      </c>
      <c r="AI205" s="4">
        <v>0</v>
      </c>
      <c r="AJ205" s="4">
        <v>0</v>
      </c>
      <c r="AK205" s="4">
        <v>0</v>
      </c>
      <c r="AL205" s="4">
        <v>0</v>
      </c>
      <c r="AM205">
        <v>7</v>
      </c>
      <c r="AN205">
        <v>0</v>
      </c>
      <c r="AO205">
        <v>7</v>
      </c>
      <c r="AP205">
        <v>0</v>
      </c>
      <c r="AQ205">
        <v>0.5</v>
      </c>
      <c r="AR205">
        <v>0</v>
      </c>
      <c r="AS205">
        <v>0.5</v>
      </c>
      <c r="AT205">
        <v>0</v>
      </c>
      <c r="AU205">
        <v>0</v>
      </c>
      <c r="AV205">
        <v>0</v>
      </c>
      <c r="AW205">
        <v>0</v>
      </c>
      <c r="AX205">
        <v>0</v>
      </c>
    </row>
    <row r="206" spans="1:51">
      <c r="A206" t="s">
        <v>16974</v>
      </c>
      <c r="B206" t="s">
        <v>17412</v>
      </c>
      <c r="C206">
        <v>0</v>
      </c>
      <c r="D206">
        <v>39</v>
      </c>
      <c r="E206">
        <v>16</v>
      </c>
      <c r="F206">
        <v>15</v>
      </c>
      <c r="G206">
        <v>1</v>
      </c>
      <c r="H206">
        <v>1</v>
      </c>
      <c r="I206">
        <v>1</v>
      </c>
      <c r="J206">
        <v>39</v>
      </c>
      <c r="K206">
        <v>263</v>
      </c>
      <c r="L206">
        <v>36</v>
      </c>
      <c r="M206">
        <v>0</v>
      </c>
      <c r="N206">
        <v>0</v>
      </c>
      <c r="O206">
        <v>2</v>
      </c>
      <c r="P206">
        <v>0</v>
      </c>
      <c r="Q206">
        <v>0</v>
      </c>
      <c r="R206">
        <v>0</v>
      </c>
      <c r="S206">
        <v>95.25</v>
      </c>
      <c r="T206">
        <v>49.75</v>
      </c>
      <c r="U206">
        <v>40</v>
      </c>
      <c r="V206">
        <v>185</v>
      </c>
      <c r="W206" s="4">
        <v>1927.5</v>
      </c>
      <c r="X206" s="4">
        <v>0</v>
      </c>
      <c r="Y206">
        <v>40</v>
      </c>
      <c r="Z206">
        <v>0</v>
      </c>
      <c r="AA206" s="4">
        <v>0</v>
      </c>
      <c r="AB206" s="4">
        <v>1570</v>
      </c>
      <c r="AC206" s="4">
        <v>240.99999999999997</v>
      </c>
      <c r="AD206" s="4">
        <v>250.99999999999997</v>
      </c>
      <c r="AE206" s="4">
        <v>239.79999999999998</v>
      </c>
      <c r="AF206" s="4">
        <v>1821</v>
      </c>
      <c r="AG206" s="4">
        <v>2968.5</v>
      </c>
      <c r="AH206" s="4">
        <v>2738.7</v>
      </c>
      <c r="AI206" s="4">
        <v>239.79999999999998</v>
      </c>
      <c r="AJ206" s="4">
        <v>1809.8</v>
      </c>
      <c r="AK206" s="4">
        <v>2639.8</v>
      </c>
      <c r="AL206" s="4">
        <v>2400</v>
      </c>
      <c r="AM206">
        <v>263</v>
      </c>
      <c r="AN206">
        <v>18</v>
      </c>
      <c r="AO206">
        <v>245</v>
      </c>
      <c r="AP206">
        <v>0</v>
      </c>
      <c r="AQ206">
        <v>95.25</v>
      </c>
      <c r="AR206">
        <v>80</v>
      </c>
      <c r="AS206">
        <v>15.25</v>
      </c>
      <c r="AT206">
        <v>0</v>
      </c>
      <c r="AU206">
        <v>49.75</v>
      </c>
      <c r="AV206">
        <v>40</v>
      </c>
      <c r="AW206">
        <v>9.75</v>
      </c>
      <c r="AX206">
        <v>0</v>
      </c>
    </row>
    <row r="207" spans="1:51">
      <c r="A207" t="s">
        <v>16974</v>
      </c>
      <c r="B207" t="s">
        <v>17413</v>
      </c>
      <c r="C207">
        <v>0</v>
      </c>
      <c r="D207">
        <v>3</v>
      </c>
      <c r="E207">
        <v>3</v>
      </c>
      <c r="F207">
        <v>3</v>
      </c>
      <c r="G207">
        <v>0</v>
      </c>
      <c r="H207">
        <v>1</v>
      </c>
      <c r="I207">
        <v>2</v>
      </c>
      <c r="J207">
        <v>2</v>
      </c>
      <c r="K207">
        <v>79</v>
      </c>
      <c r="L207">
        <v>2</v>
      </c>
      <c r="M207">
        <v>0</v>
      </c>
      <c r="N207">
        <v>0</v>
      </c>
      <c r="O207">
        <v>1</v>
      </c>
      <c r="P207">
        <v>0</v>
      </c>
      <c r="Q207">
        <v>0</v>
      </c>
      <c r="R207">
        <v>0</v>
      </c>
      <c r="S207">
        <v>24</v>
      </c>
      <c r="T207">
        <v>0</v>
      </c>
      <c r="U207">
        <v>0</v>
      </c>
      <c r="V207">
        <v>24</v>
      </c>
      <c r="W207" s="4">
        <v>240</v>
      </c>
      <c r="X207" s="4">
        <v>0</v>
      </c>
      <c r="Y207">
        <v>0</v>
      </c>
      <c r="Z207">
        <v>1</v>
      </c>
      <c r="AA207" s="4">
        <v>0</v>
      </c>
      <c r="AB207" s="4">
        <v>180</v>
      </c>
      <c r="AC207" s="4">
        <v>480</v>
      </c>
      <c r="AD207" s="4">
        <v>480</v>
      </c>
      <c r="AE207" s="4">
        <v>480</v>
      </c>
      <c r="AF207" s="4">
        <v>660</v>
      </c>
      <c r="AG207" s="4">
        <v>720</v>
      </c>
      <c r="AH207" s="4">
        <v>240</v>
      </c>
      <c r="AI207" s="4">
        <v>480</v>
      </c>
      <c r="AJ207" s="4">
        <v>480</v>
      </c>
      <c r="AK207" s="4">
        <v>480</v>
      </c>
      <c r="AL207" s="4">
        <v>0</v>
      </c>
      <c r="AM207">
        <v>79</v>
      </c>
      <c r="AN207">
        <v>76</v>
      </c>
      <c r="AO207">
        <v>3</v>
      </c>
      <c r="AP207">
        <v>0</v>
      </c>
      <c r="AQ207">
        <v>24</v>
      </c>
      <c r="AR207">
        <v>0</v>
      </c>
      <c r="AS207">
        <v>24</v>
      </c>
      <c r="AT207">
        <v>0</v>
      </c>
      <c r="AU207">
        <v>0</v>
      </c>
      <c r="AV207">
        <v>0</v>
      </c>
      <c r="AW207">
        <v>0</v>
      </c>
      <c r="AX207">
        <v>0</v>
      </c>
    </row>
    <row r="208" spans="1:51">
      <c r="A208" t="s">
        <v>16974</v>
      </c>
      <c r="B208" t="s">
        <v>17108</v>
      </c>
      <c r="C208">
        <v>0</v>
      </c>
      <c r="D208">
        <v>6</v>
      </c>
      <c r="E208">
        <v>6</v>
      </c>
      <c r="F208">
        <v>6</v>
      </c>
      <c r="G208">
        <v>6</v>
      </c>
      <c r="H208">
        <v>0</v>
      </c>
      <c r="I208">
        <v>0</v>
      </c>
      <c r="J208">
        <v>6</v>
      </c>
      <c r="K208">
        <v>14</v>
      </c>
      <c r="L208">
        <v>6</v>
      </c>
      <c r="M208">
        <v>0</v>
      </c>
      <c r="N208">
        <v>0</v>
      </c>
      <c r="O208">
        <v>0</v>
      </c>
      <c r="P208">
        <v>0</v>
      </c>
      <c r="Q208">
        <v>0</v>
      </c>
      <c r="R208">
        <v>0</v>
      </c>
      <c r="S208">
        <v>1.75</v>
      </c>
      <c r="T208">
        <v>0</v>
      </c>
      <c r="U208">
        <v>0</v>
      </c>
      <c r="V208">
        <v>1.75</v>
      </c>
      <c r="W208" s="4">
        <v>17.5</v>
      </c>
      <c r="X208" s="4">
        <v>0</v>
      </c>
      <c r="Y208">
        <v>6</v>
      </c>
      <c r="Z208">
        <v>0</v>
      </c>
      <c r="AA208" s="4">
        <v>0</v>
      </c>
      <c r="AB208" s="4">
        <v>0</v>
      </c>
      <c r="AC208" s="4">
        <v>0</v>
      </c>
      <c r="AD208" s="4">
        <v>0</v>
      </c>
      <c r="AE208" s="4">
        <v>0</v>
      </c>
      <c r="AF208" s="4">
        <v>0</v>
      </c>
      <c r="AG208" s="4">
        <v>17.5</v>
      </c>
      <c r="AH208" s="4">
        <v>17.5</v>
      </c>
      <c r="AI208" s="4">
        <v>0</v>
      </c>
      <c r="AJ208" s="4">
        <v>0</v>
      </c>
      <c r="AK208" s="4">
        <v>0</v>
      </c>
      <c r="AL208" s="4">
        <v>0</v>
      </c>
      <c r="AM208">
        <v>14</v>
      </c>
      <c r="AN208">
        <v>0</v>
      </c>
      <c r="AO208">
        <v>14</v>
      </c>
      <c r="AP208">
        <v>0</v>
      </c>
      <c r="AQ208">
        <v>1.75</v>
      </c>
      <c r="AR208">
        <v>0</v>
      </c>
      <c r="AS208">
        <v>1.75</v>
      </c>
      <c r="AT208">
        <v>0</v>
      </c>
      <c r="AU208">
        <v>0</v>
      </c>
      <c r="AV208">
        <v>0</v>
      </c>
      <c r="AW208">
        <v>0</v>
      </c>
      <c r="AX208">
        <v>0</v>
      </c>
    </row>
    <row r="209" spans="1:51">
      <c r="A209" t="s">
        <v>16974</v>
      </c>
      <c r="B209" t="s">
        <v>17108</v>
      </c>
      <c r="C209">
        <v>5</v>
      </c>
      <c r="D209">
        <v>13</v>
      </c>
      <c r="E209">
        <v>13</v>
      </c>
      <c r="F209">
        <v>10</v>
      </c>
      <c r="G209">
        <v>12</v>
      </c>
      <c r="H209">
        <v>0</v>
      </c>
      <c r="I209">
        <v>0</v>
      </c>
      <c r="J209">
        <v>13</v>
      </c>
      <c r="K209">
        <v>214</v>
      </c>
      <c r="L209">
        <v>13</v>
      </c>
      <c r="M209">
        <v>0</v>
      </c>
      <c r="N209">
        <v>0</v>
      </c>
      <c r="O209">
        <v>0</v>
      </c>
      <c r="P209">
        <v>0</v>
      </c>
      <c r="Q209">
        <v>0</v>
      </c>
      <c r="R209">
        <v>0</v>
      </c>
      <c r="S209">
        <v>6.25</v>
      </c>
      <c r="T209">
        <v>0</v>
      </c>
      <c r="U209">
        <v>0</v>
      </c>
      <c r="V209">
        <v>6.25</v>
      </c>
      <c r="W209" s="4">
        <v>50</v>
      </c>
      <c r="X209" s="4">
        <v>0</v>
      </c>
      <c r="Y209">
        <v>13</v>
      </c>
      <c r="Z209">
        <v>0</v>
      </c>
      <c r="AA209" s="4">
        <v>-12.5</v>
      </c>
      <c r="AB209" s="4">
        <v>0</v>
      </c>
      <c r="AC209" s="4">
        <v>0</v>
      </c>
      <c r="AD209" s="4">
        <v>0</v>
      </c>
      <c r="AE209" s="4">
        <v>0</v>
      </c>
      <c r="AF209" s="4">
        <v>0</v>
      </c>
      <c r="AG209" s="4">
        <v>50</v>
      </c>
      <c r="AH209" s="4">
        <v>50</v>
      </c>
      <c r="AI209" s="4">
        <v>0</v>
      </c>
      <c r="AJ209" s="4">
        <v>0</v>
      </c>
      <c r="AK209" s="4">
        <v>0</v>
      </c>
      <c r="AL209" s="4">
        <v>0</v>
      </c>
      <c r="AM209">
        <v>214</v>
      </c>
      <c r="AN209">
        <v>0</v>
      </c>
      <c r="AO209">
        <v>103</v>
      </c>
      <c r="AP209">
        <v>111</v>
      </c>
      <c r="AQ209">
        <v>6.25</v>
      </c>
      <c r="AR209">
        <v>0</v>
      </c>
      <c r="AS209">
        <v>5</v>
      </c>
      <c r="AT209">
        <v>1.25</v>
      </c>
      <c r="AU209">
        <v>0</v>
      </c>
      <c r="AV209">
        <v>0</v>
      </c>
      <c r="AW209">
        <v>0</v>
      </c>
      <c r="AX209">
        <v>0</v>
      </c>
      <c r="AY209">
        <v>13</v>
      </c>
    </row>
    <row r="210" spans="1:51">
      <c r="A210" t="s">
        <v>16974</v>
      </c>
      <c r="B210" t="s">
        <v>17109</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s="4">
        <v>0</v>
      </c>
      <c r="X210" s="4">
        <v>0</v>
      </c>
      <c r="Y210">
        <v>0</v>
      </c>
      <c r="Z210">
        <v>0</v>
      </c>
      <c r="AA210" s="4">
        <v>0</v>
      </c>
      <c r="AB210" s="4">
        <v>0</v>
      </c>
      <c r="AC210" s="4">
        <v>0</v>
      </c>
      <c r="AD210" s="4">
        <v>0</v>
      </c>
      <c r="AE210" s="4">
        <v>0</v>
      </c>
      <c r="AF210" s="4">
        <v>0</v>
      </c>
      <c r="AG210" s="4">
        <v>0</v>
      </c>
      <c r="AH210" s="4">
        <v>0</v>
      </c>
      <c r="AI210" s="4">
        <v>0</v>
      </c>
      <c r="AJ210" s="4">
        <v>0</v>
      </c>
      <c r="AK210" s="4">
        <v>0</v>
      </c>
      <c r="AL210" s="4">
        <v>0</v>
      </c>
      <c r="AM210">
        <v>0</v>
      </c>
      <c r="AN210">
        <v>0</v>
      </c>
      <c r="AO210">
        <v>0</v>
      </c>
      <c r="AP210">
        <v>0</v>
      </c>
      <c r="AQ210">
        <v>0</v>
      </c>
      <c r="AR210">
        <v>0</v>
      </c>
      <c r="AS210">
        <v>0</v>
      </c>
      <c r="AT210">
        <v>0</v>
      </c>
      <c r="AU210">
        <v>0</v>
      </c>
      <c r="AV210">
        <v>0</v>
      </c>
      <c r="AW210">
        <v>0</v>
      </c>
      <c r="AX210">
        <v>0</v>
      </c>
      <c r="AY210">
        <v>0</v>
      </c>
    </row>
    <row r="211" spans="1:51">
      <c r="A211" t="s">
        <v>16974</v>
      </c>
      <c r="B211" t="s">
        <v>17110</v>
      </c>
      <c r="C211">
        <v>0</v>
      </c>
      <c r="D211">
        <v>12</v>
      </c>
      <c r="E211">
        <v>12</v>
      </c>
      <c r="F211">
        <v>12</v>
      </c>
      <c r="G211">
        <v>0</v>
      </c>
      <c r="H211">
        <v>0</v>
      </c>
      <c r="I211">
        <v>0</v>
      </c>
      <c r="J211">
        <v>12</v>
      </c>
      <c r="K211">
        <v>15</v>
      </c>
      <c r="L211">
        <v>11</v>
      </c>
      <c r="M211">
        <v>0</v>
      </c>
      <c r="N211">
        <v>0</v>
      </c>
      <c r="O211">
        <v>0</v>
      </c>
      <c r="P211">
        <v>0</v>
      </c>
      <c r="Q211">
        <v>0</v>
      </c>
      <c r="R211">
        <v>0</v>
      </c>
      <c r="S211">
        <v>2.75</v>
      </c>
      <c r="T211">
        <v>2.75</v>
      </c>
      <c r="U211">
        <v>0</v>
      </c>
      <c r="V211">
        <v>5.5</v>
      </c>
      <c r="W211" s="4">
        <v>82.5</v>
      </c>
      <c r="X211" s="4">
        <v>0</v>
      </c>
      <c r="Y211">
        <v>11</v>
      </c>
      <c r="Z211">
        <v>0</v>
      </c>
      <c r="AA211" s="4">
        <v>0</v>
      </c>
      <c r="AB211" s="4">
        <v>0</v>
      </c>
      <c r="AC211" s="4">
        <v>0</v>
      </c>
      <c r="AD211" s="4">
        <v>0</v>
      </c>
      <c r="AE211" s="4">
        <v>0</v>
      </c>
      <c r="AF211" s="4">
        <v>0</v>
      </c>
      <c r="AG211" s="4">
        <v>82.5</v>
      </c>
      <c r="AH211" s="4">
        <v>82.5</v>
      </c>
      <c r="AI211" s="4">
        <v>0</v>
      </c>
      <c r="AJ211" s="4">
        <v>0</v>
      </c>
      <c r="AK211" s="4">
        <v>0</v>
      </c>
      <c r="AL211" s="4">
        <v>0</v>
      </c>
      <c r="AM211">
        <v>15</v>
      </c>
      <c r="AN211">
        <v>0</v>
      </c>
      <c r="AO211">
        <v>15</v>
      </c>
      <c r="AP211">
        <v>0</v>
      </c>
      <c r="AQ211">
        <v>2.75</v>
      </c>
      <c r="AR211">
        <v>0</v>
      </c>
      <c r="AS211">
        <v>2.75</v>
      </c>
      <c r="AT211">
        <v>0</v>
      </c>
      <c r="AU211">
        <v>2.75</v>
      </c>
      <c r="AV211">
        <v>0</v>
      </c>
      <c r="AW211">
        <v>2.75</v>
      </c>
      <c r="AX211">
        <v>0</v>
      </c>
      <c r="AY211">
        <v>0</v>
      </c>
    </row>
    <row r="212" spans="1:51">
      <c r="A212" t="s">
        <v>16974</v>
      </c>
      <c r="B212" t="s">
        <v>17111</v>
      </c>
      <c r="C212">
        <v>0</v>
      </c>
      <c r="D212">
        <v>11</v>
      </c>
      <c r="E212">
        <v>0</v>
      </c>
      <c r="F212">
        <v>0</v>
      </c>
      <c r="G212">
        <v>0</v>
      </c>
      <c r="H212">
        <v>0</v>
      </c>
      <c r="I212">
        <v>0</v>
      </c>
      <c r="J212">
        <v>11</v>
      </c>
      <c r="K212">
        <v>36</v>
      </c>
      <c r="L212">
        <v>8</v>
      </c>
      <c r="M212">
        <v>0</v>
      </c>
      <c r="N212">
        <v>2</v>
      </c>
      <c r="O212">
        <v>1</v>
      </c>
      <c r="P212">
        <v>0</v>
      </c>
      <c r="Q212">
        <v>0</v>
      </c>
      <c r="R212">
        <v>0</v>
      </c>
      <c r="S212">
        <v>3.75</v>
      </c>
      <c r="T212">
        <v>0</v>
      </c>
      <c r="U212">
        <v>0</v>
      </c>
      <c r="V212">
        <v>3.75</v>
      </c>
      <c r="W212" s="4">
        <v>37.5</v>
      </c>
      <c r="X212" s="4">
        <v>0</v>
      </c>
      <c r="Y212">
        <v>0</v>
      </c>
      <c r="Z212">
        <v>0</v>
      </c>
      <c r="AA212" s="4">
        <v>0</v>
      </c>
      <c r="AB212" s="4">
        <v>37.5</v>
      </c>
      <c r="AC212" s="4">
        <v>11</v>
      </c>
      <c r="AD212" s="4">
        <v>3</v>
      </c>
      <c r="AE212" s="4">
        <v>2.5</v>
      </c>
      <c r="AF212" s="4">
        <v>40.5</v>
      </c>
      <c r="AG212" s="4">
        <v>48.5</v>
      </c>
      <c r="AH212" s="4">
        <v>46</v>
      </c>
      <c r="AI212" s="4">
        <v>0</v>
      </c>
      <c r="AJ212" s="4">
        <v>0</v>
      </c>
      <c r="AK212" s="4">
        <v>0</v>
      </c>
      <c r="AL212" s="4">
        <v>0</v>
      </c>
      <c r="AM212">
        <v>36</v>
      </c>
      <c r="AN212">
        <v>0</v>
      </c>
      <c r="AO212">
        <v>36</v>
      </c>
      <c r="AP212">
        <v>0</v>
      </c>
      <c r="AQ212">
        <v>3.75</v>
      </c>
      <c r="AR212">
        <v>0</v>
      </c>
      <c r="AS212">
        <v>3.75</v>
      </c>
      <c r="AT212">
        <v>0</v>
      </c>
      <c r="AU212">
        <v>0</v>
      </c>
      <c r="AV212">
        <v>0</v>
      </c>
      <c r="AW212">
        <v>0</v>
      </c>
      <c r="AX212">
        <v>0</v>
      </c>
      <c r="AY212">
        <v>11</v>
      </c>
    </row>
    <row r="213" spans="1:51">
      <c r="A213" t="s">
        <v>16974</v>
      </c>
      <c r="B213" t="s">
        <v>17115</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s="4">
        <v>0</v>
      </c>
      <c r="X213" s="4">
        <v>0</v>
      </c>
      <c r="Y213">
        <v>0</v>
      </c>
      <c r="Z213">
        <v>0</v>
      </c>
      <c r="AA213" s="4">
        <v>0</v>
      </c>
      <c r="AB213" s="4">
        <v>0</v>
      </c>
      <c r="AC213" s="4">
        <v>0</v>
      </c>
      <c r="AD213" s="4">
        <v>0</v>
      </c>
      <c r="AE213" s="4">
        <v>0</v>
      </c>
      <c r="AF213" s="4">
        <v>0</v>
      </c>
      <c r="AG213" s="4">
        <v>0</v>
      </c>
      <c r="AH213" s="4">
        <v>0</v>
      </c>
      <c r="AI213" s="4">
        <v>0</v>
      </c>
      <c r="AJ213" s="4">
        <v>0</v>
      </c>
      <c r="AK213" s="4">
        <v>0</v>
      </c>
      <c r="AL213" s="4">
        <v>0</v>
      </c>
      <c r="AM213">
        <v>0</v>
      </c>
      <c r="AN213">
        <v>0</v>
      </c>
      <c r="AO213">
        <v>0</v>
      </c>
      <c r="AP213">
        <v>0</v>
      </c>
      <c r="AQ213">
        <v>0</v>
      </c>
      <c r="AR213">
        <v>0</v>
      </c>
      <c r="AS213">
        <v>0</v>
      </c>
      <c r="AT213">
        <v>0</v>
      </c>
      <c r="AU213">
        <v>0</v>
      </c>
      <c r="AV213">
        <v>0</v>
      </c>
      <c r="AW213">
        <v>0</v>
      </c>
      <c r="AX213">
        <v>0</v>
      </c>
    </row>
    <row r="214" spans="1:51">
      <c r="A214" t="s">
        <v>16974</v>
      </c>
      <c r="B214" t="s">
        <v>17116</v>
      </c>
      <c r="C214">
        <v>1</v>
      </c>
      <c r="D214">
        <v>2</v>
      </c>
      <c r="E214">
        <v>2</v>
      </c>
      <c r="F214">
        <v>2</v>
      </c>
      <c r="G214">
        <v>0</v>
      </c>
      <c r="H214">
        <v>0</v>
      </c>
      <c r="I214">
        <v>0</v>
      </c>
      <c r="J214">
        <v>2</v>
      </c>
      <c r="K214">
        <v>16</v>
      </c>
      <c r="L214">
        <v>1</v>
      </c>
      <c r="M214">
        <v>0</v>
      </c>
      <c r="N214">
        <v>0</v>
      </c>
      <c r="O214">
        <v>1</v>
      </c>
      <c r="P214">
        <v>0</v>
      </c>
      <c r="Q214">
        <v>0</v>
      </c>
      <c r="R214">
        <v>0</v>
      </c>
      <c r="S214">
        <v>0</v>
      </c>
      <c r="T214">
        <v>0</v>
      </c>
      <c r="U214">
        <v>0</v>
      </c>
      <c r="V214">
        <v>0</v>
      </c>
      <c r="W214" s="4">
        <v>0</v>
      </c>
      <c r="X214" s="4">
        <v>0</v>
      </c>
      <c r="Y214">
        <v>0</v>
      </c>
      <c r="Z214">
        <v>0</v>
      </c>
      <c r="AA214" s="4">
        <v>0</v>
      </c>
      <c r="AB214" s="4">
        <v>0</v>
      </c>
      <c r="AC214" s="4">
        <v>96</v>
      </c>
      <c r="AD214" s="4">
        <v>96</v>
      </c>
      <c r="AE214" s="4">
        <v>96</v>
      </c>
      <c r="AF214" s="4">
        <v>96</v>
      </c>
      <c r="AG214" s="4">
        <v>96</v>
      </c>
      <c r="AH214" s="4">
        <v>0</v>
      </c>
      <c r="AI214" s="4">
        <v>0</v>
      </c>
      <c r="AJ214" s="4">
        <v>0</v>
      </c>
      <c r="AK214" s="4">
        <v>0</v>
      </c>
      <c r="AL214" s="4">
        <v>0</v>
      </c>
      <c r="AM214">
        <v>16</v>
      </c>
      <c r="AN214">
        <v>0</v>
      </c>
      <c r="AO214">
        <v>11</v>
      </c>
      <c r="AP214">
        <v>5</v>
      </c>
      <c r="AQ214">
        <v>0</v>
      </c>
      <c r="AR214">
        <v>0</v>
      </c>
      <c r="AS214">
        <v>0</v>
      </c>
      <c r="AT214">
        <v>0</v>
      </c>
      <c r="AU214">
        <v>0</v>
      </c>
      <c r="AV214">
        <v>0</v>
      </c>
      <c r="AW214">
        <v>0</v>
      </c>
      <c r="AX214">
        <v>0</v>
      </c>
    </row>
    <row r="215" spans="1:51">
      <c r="A215" t="s">
        <v>16974</v>
      </c>
      <c r="B215" t="s">
        <v>17117</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s="4">
        <v>0</v>
      </c>
      <c r="X215" s="4">
        <v>0</v>
      </c>
      <c r="Y215">
        <v>0</v>
      </c>
      <c r="Z215">
        <v>0</v>
      </c>
      <c r="AA215" s="4">
        <v>0</v>
      </c>
      <c r="AB215" s="4">
        <v>0</v>
      </c>
      <c r="AC215" s="4">
        <v>0</v>
      </c>
      <c r="AD215" s="4">
        <v>0</v>
      </c>
      <c r="AE215" s="4">
        <v>0</v>
      </c>
      <c r="AF215" s="4">
        <v>0</v>
      </c>
      <c r="AG215" s="4">
        <v>0</v>
      </c>
      <c r="AH215" s="4">
        <v>0</v>
      </c>
      <c r="AI215" s="4">
        <v>0</v>
      </c>
      <c r="AJ215" s="4">
        <v>0</v>
      </c>
      <c r="AK215" s="4">
        <v>0</v>
      </c>
      <c r="AL215" s="4">
        <v>0</v>
      </c>
      <c r="AM215">
        <v>0</v>
      </c>
      <c r="AN215">
        <v>0</v>
      </c>
      <c r="AO215">
        <v>0</v>
      </c>
      <c r="AP215">
        <v>0</v>
      </c>
      <c r="AQ215">
        <v>0</v>
      </c>
      <c r="AR215">
        <v>0</v>
      </c>
      <c r="AS215">
        <v>0</v>
      </c>
      <c r="AT215">
        <v>0</v>
      </c>
      <c r="AU215">
        <v>0</v>
      </c>
      <c r="AV215">
        <v>0</v>
      </c>
      <c r="AW215">
        <v>0</v>
      </c>
      <c r="AX215">
        <v>0</v>
      </c>
    </row>
    <row r="216" spans="1:51">
      <c r="A216" t="s">
        <v>16974</v>
      </c>
      <c r="B216" t="s">
        <v>17118</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s="4">
        <v>0</v>
      </c>
      <c r="X216" s="4">
        <v>0</v>
      </c>
      <c r="Y216">
        <v>0</v>
      </c>
      <c r="Z216">
        <v>0</v>
      </c>
      <c r="AA216" s="4">
        <v>0</v>
      </c>
      <c r="AB216" s="4">
        <v>0</v>
      </c>
      <c r="AC216" s="4">
        <v>0</v>
      </c>
      <c r="AD216" s="4">
        <v>0</v>
      </c>
      <c r="AE216" s="4">
        <v>0</v>
      </c>
      <c r="AF216" s="4">
        <v>0</v>
      </c>
      <c r="AG216" s="4">
        <v>0</v>
      </c>
      <c r="AH216" s="4">
        <v>0</v>
      </c>
      <c r="AI216" s="4">
        <v>0</v>
      </c>
      <c r="AJ216" s="4">
        <v>0</v>
      </c>
      <c r="AK216" s="4">
        <v>0</v>
      </c>
      <c r="AL216" s="4">
        <v>0</v>
      </c>
      <c r="AM216">
        <v>0</v>
      </c>
      <c r="AN216">
        <v>0</v>
      </c>
      <c r="AO216">
        <v>0</v>
      </c>
      <c r="AP216">
        <v>0</v>
      </c>
      <c r="AQ216">
        <v>0</v>
      </c>
      <c r="AR216">
        <v>0</v>
      </c>
      <c r="AS216">
        <v>0</v>
      </c>
      <c r="AT216">
        <v>0</v>
      </c>
      <c r="AU216">
        <v>0</v>
      </c>
      <c r="AV216">
        <v>0</v>
      </c>
      <c r="AW216">
        <v>0</v>
      </c>
      <c r="AX216">
        <v>0</v>
      </c>
    </row>
    <row r="217" spans="1:51">
      <c r="A217" t="s">
        <v>16974</v>
      </c>
      <c r="B217" t="s">
        <v>17119</v>
      </c>
      <c r="C217">
        <v>0</v>
      </c>
      <c r="D217">
        <v>11</v>
      </c>
      <c r="E217">
        <v>11</v>
      </c>
      <c r="F217">
        <v>11</v>
      </c>
      <c r="G217">
        <v>0</v>
      </c>
      <c r="H217">
        <v>0</v>
      </c>
      <c r="I217">
        <v>0</v>
      </c>
      <c r="J217">
        <v>11</v>
      </c>
      <c r="K217">
        <v>62</v>
      </c>
      <c r="L217">
        <v>11</v>
      </c>
      <c r="M217">
        <v>0</v>
      </c>
      <c r="N217">
        <v>0</v>
      </c>
      <c r="O217">
        <v>0</v>
      </c>
      <c r="P217">
        <v>0</v>
      </c>
      <c r="Q217">
        <v>0</v>
      </c>
      <c r="R217">
        <v>0</v>
      </c>
      <c r="S217">
        <v>3</v>
      </c>
      <c r="T217">
        <v>3.25</v>
      </c>
      <c r="U217">
        <v>0</v>
      </c>
      <c r="V217">
        <v>6.25</v>
      </c>
      <c r="W217" s="4">
        <v>95</v>
      </c>
      <c r="X217" s="4">
        <v>0</v>
      </c>
      <c r="Y217">
        <v>11</v>
      </c>
      <c r="Z217">
        <v>0</v>
      </c>
      <c r="AA217" s="4">
        <v>0</v>
      </c>
      <c r="AB217" s="4">
        <v>0</v>
      </c>
      <c r="AC217" s="4">
        <v>14.5</v>
      </c>
      <c r="AD217" s="4">
        <v>14.5</v>
      </c>
      <c r="AE217" s="4">
        <v>0</v>
      </c>
      <c r="AF217" s="4">
        <v>14.5</v>
      </c>
      <c r="AG217" s="4">
        <v>109.5</v>
      </c>
      <c r="AH217" s="4">
        <v>109.5</v>
      </c>
      <c r="AI217" s="4">
        <v>0</v>
      </c>
      <c r="AJ217" s="4">
        <v>0</v>
      </c>
      <c r="AK217" s="4">
        <v>0</v>
      </c>
      <c r="AL217" s="4">
        <v>0</v>
      </c>
      <c r="AM217">
        <v>62</v>
      </c>
      <c r="AN217">
        <v>0</v>
      </c>
      <c r="AO217">
        <v>62</v>
      </c>
      <c r="AP217">
        <v>0</v>
      </c>
      <c r="AQ217">
        <v>3</v>
      </c>
      <c r="AR217">
        <v>0</v>
      </c>
      <c r="AS217">
        <v>3</v>
      </c>
      <c r="AT217">
        <v>0</v>
      </c>
      <c r="AU217">
        <v>3.25</v>
      </c>
      <c r="AV217">
        <v>0</v>
      </c>
      <c r="AW217">
        <v>3.25</v>
      </c>
      <c r="AX217">
        <v>0</v>
      </c>
      <c r="AY217">
        <v>0</v>
      </c>
    </row>
    <row r="218" spans="1:51">
      <c r="A218" t="s">
        <v>16974</v>
      </c>
      <c r="B218" t="s">
        <v>17096</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s="4">
        <v>0</v>
      </c>
      <c r="X218" s="4">
        <v>0</v>
      </c>
      <c r="Y218">
        <v>0</v>
      </c>
      <c r="Z218">
        <v>0</v>
      </c>
      <c r="AA218" s="4">
        <v>0</v>
      </c>
      <c r="AB218" s="4">
        <v>0</v>
      </c>
      <c r="AC218" s="4">
        <v>0</v>
      </c>
      <c r="AD218" s="4">
        <v>0</v>
      </c>
      <c r="AE218" s="4">
        <v>0</v>
      </c>
      <c r="AF218" s="4">
        <v>0</v>
      </c>
      <c r="AG218" s="4">
        <v>0</v>
      </c>
      <c r="AH218" s="4">
        <v>0</v>
      </c>
      <c r="AI218" s="4">
        <v>0</v>
      </c>
      <c r="AJ218" s="4">
        <v>0</v>
      </c>
      <c r="AK218" s="4">
        <v>0</v>
      </c>
      <c r="AL218" s="4">
        <v>0</v>
      </c>
      <c r="AM218">
        <v>0</v>
      </c>
      <c r="AN218">
        <v>0</v>
      </c>
      <c r="AO218">
        <v>0</v>
      </c>
      <c r="AP218">
        <v>0</v>
      </c>
      <c r="AQ218">
        <v>0</v>
      </c>
      <c r="AR218">
        <v>0</v>
      </c>
      <c r="AS218">
        <v>0</v>
      </c>
      <c r="AT218">
        <v>0</v>
      </c>
      <c r="AU218">
        <v>0</v>
      </c>
      <c r="AV218">
        <v>0</v>
      </c>
      <c r="AW218">
        <v>0</v>
      </c>
      <c r="AX218">
        <v>0</v>
      </c>
      <c r="AY218">
        <v>0</v>
      </c>
    </row>
    <row r="219" spans="1:51">
      <c r="A219" t="s">
        <v>16974</v>
      </c>
      <c r="B219" t="s">
        <v>17120</v>
      </c>
      <c r="C219">
        <v>0</v>
      </c>
      <c r="D219">
        <v>3</v>
      </c>
      <c r="E219">
        <v>2</v>
      </c>
      <c r="F219">
        <v>0</v>
      </c>
      <c r="G219">
        <v>0</v>
      </c>
      <c r="H219">
        <v>2</v>
      </c>
      <c r="I219">
        <v>0</v>
      </c>
      <c r="J219">
        <v>3</v>
      </c>
      <c r="K219">
        <v>80</v>
      </c>
      <c r="L219">
        <v>2</v>
      </c>
      <c r="M219">
        <v>1</v>
      </c>
      <c r="N219">
        <v>0</v>
      </c>
      <c r="O219">
        <v>0</v>
      </c>
      <c r="P219">
        <v>0</v>
      </c>
      <c r="Q219">
        <v>0</v>
      </c>
      <c r="R219">
        <v>0</v>
      </c>
      <c r="S219">
        <v>2.25</v>
      </c>
      <c r="T219">
        <v>4</v>
      </c>
      <c r="U219">
        <v>0</v>
      </c>
      <c r="V219">
        <v>6.25</v>
      </c>
      <c r="W219" s="4">
        <v>102.5</v>
      </c>
      <c r="X219" s="4">
        <v>0</v>
      </c>
      <c r="Y219">
        <v>3</v>
      </c>
      <c r="Z219">
        <v>0</v>
      </c>
      <c r="AA219" s="4">
        <v>0</v>
      </c>
      <c r="AB219" s="4">
        <v>52.5</v>
      </c>
      <c r="AC219" s="4">
        <v>548.15</v>
      </c>
      <c r="AD219" s="4">
        <v>548.15</v>
      </c>
      <c r="AE219" s="4">
        <v>0</v>
      </c>
      <c r="AF219" s="4">
        <v>600.65</v>
      </c>
      <c r="AG219" s="4">
        <v>650.65</v>
      </c>
      <c r="AH219" s="4">
        <v>650.65</v>
      </c>
      <c r="AI219" s="4">
        <v>0</v>
      </c>
      <c r="AJ219" s="4">
        <v>600.65</v>
      </c>
      <c r="AK219" s="4">
        <v>640.65</v>
      </c>
      <c r="AL219" s="4">
        <v>640.65</v>
      </c>
      <c r="AM219">
        <v>80</v>
      </c>
      <c r="AN219">
        <v>64</v>
      </c>
      <c r="AO219">
        <v>16</v>
      </c>
      <c r="AP219">
        <v>0</v>
      </c>
      <c r="AQ219">
        <v>2.25</v>
      </c>
      <c r="AR219">
        <v>1.25</v>
      </c>
      <c r="AS219">
        <v>1</v>
      </c>
      <c r="AT219">
        <v>0</v>
      </c>
      <c r="AU219">
        <v>4</v>
      </c>
      <c r="AV219">
        <v>4</v>
      </c>
      <c r="AW219">
        <v>0</v>
      </c>
      <c r="AX219">
        <v>0</v>
      </c>
      <c r="AY219">
        <v>250</v>
      </c>
    </row>
    <row r="220" spans="1:51">
      <c r="A220" t="s">
        <v>16974</v>
      </c>
      <c r="B220" t="s">
        <v>17414</v>
      </c>
      <c r="C220">
        <v>0</v>
      </c>
      <c r="D220">
        <v>1</v>
      </c>
      <c r="E220">
        <v>0</v>
      </c>
      <c r="F220">
        <v>0</v>
      </c>
      <c r="G220">
        <v>0</v>
      </c>
      <c r="H220">
        <v>0</v>
      </c>
      <c r="I220">
        <v>0</v>
      </c>
      <c r="J220">
        <v>1</v>
      </c>
      <c r="K220">
        <v>28</v>
      </c>
      <c r="L220">
        <v>1</v>
      </c>
      <c r="M220">
        <v>0</v>
      </c>
      <c r="N220">
        <v>0</v>
      </c>
      <c r="O220">
        <v>0</v>
      </c>
      <c r="P220">
        <v>0</v>
      </c>
      <c r="Q220">
        <v>0</v>
      </c>
      <c r="R220">
        <v>0</v>
      </c>
      <c r="S220">
        <v>0.25</v>
      </c>
      <c r="T220">
        <v>0</v>
      </c>
      <c r="U220">
        <v>0</v>
      </c>
      <c r="V220">
        <v>0.25</v>
      </c>
      <c r="W220" s="4">
        <v>2.5</v>
      </c>
      <c r="X220" s="4">
        <v>0</v>
      </c>
      <c r="Y220">
        <v>0</v>
      </c>
      <c r="Z220">
        <v>0</v>
      </c>
      <c r="AA220" s="4">
        <v>0</v>
      </c>
      <c r="AB220" s="4">
        <v>2.5</v>
      </c>
      <c r="AC220" s="4">
        <v>0</v>
      </c>
      <c r="AD220" s="4">
        <v>0</v>
      </c>
      <c r="AE220" s="4">
        <v>0</v>
      </c>
      <c r="AF220" s="4">
        <v>2.5</v>
      </c>
      <c r="AG220" s="4">
        <v>2.5</v>
      </c>
      <c r="AH220" s="4">
        <v>2.5</v>
      </c>
      <c r="AI220" s="4">
        <v>0</v>
      </c>
      <c r="AJ220" s="4">
        <v>0</v>
      </c>
      <c r="AK220" s="4">
        <v>0</v>
      </c>
      <c r="AL220" s="4">
        <v>0</v>
      </c>
      <c r="AM220">
        <v>28</v>
      </c>
      <c r="AN220">
        <v>0</v>
      </c>
      <c r="AO220">
        <v>28</v>
      </c>
      <c r="AP220">
        <v>0</v>
      </c>
      <c r="AQ220">
        <v>0.25</v>
      </c>
      <c r="AR220">
        <v>0</v>
      </c>
      <c r="AS220">
        <v>0.25</v>
      </c>
      <c r="AT220">
        <v>0</v>
      </c>
      <c r="AU220">
        <v>0</v>
      </c>
      <c r="AV220">
        <v>0</v>
      </c>
      <c r="AW220">
        <v>0</v>
      </c>
      <c r="AX220">
        <v>0</v>
      </c>
    </row>
    <row r="221" spans="1:51">
      <c r="A221" t="s">
        <v>16974</v>
      </c>
      <c r="B221" t="s">
        <v>17121</v>
      </c>
      <c r="C221">
        <v>0</v>
      </c>
      <c r="D221">
        <v>3</v>
      </c>
      <c r="E221">
        <v>3</v>
      </c>
      <c r="F221">
        <v>3</v>
      </c>
      <c r="G221">
        <v>0</v>
      </c>
      <c r="H221">
        <v>0</v>
      </c>
      <c r="I221">
        <v>0</v>
      </c>
      <c r="J221">
        <v>3</v>
      </c>
      <c r="K221">
        <v>27</v>
      </c>
      <c r="L221">
        <v>3</v>
      </c>
      <c r="M221">
        <v>0</v>
      </c>
      <c r="N221">
        <v>0</v>
      </c>
      <c r="O221">
        <v>0</v>
      </c>
      <c r="P221">
        <v>0</v>
      </c>
      <c r="Q221">
        <v>0</v>
      </c>
      <c r="R221">
        <v>0</v>
      </c>
      <c r="S221">
        <v>0</v>
      </c>
      <c r="T221">
        <v>0</v>
      </c>
      <c r="U221">
        <v>0</v>
      </c>
      <c r="V221">
        <v>0</v>
      </c>
      <c r="W221" s="4">
        <v>0</v>
      </c>
      <c r="X221" s="4">
        <v>0</v>
      </c>
      <c r="Y221">
        <v>0</v>
      </c>
      <c r="Z221">
        <v>0</v>
      </c>
      <c r="AA221" s="4">
        <v>0</v>
      </c>
      <c r="AB221" s="4">
        <v>0</v>
      </c>
      <c r="AC221" s="4">
        <v>0</v>
      </c>
      <c r="AD221" s="4">
        <v>0</v>
      </c>
      <c r="AE221" s="4">
        <v>105.35</v>
      </c>
      <c r="AF221" s="4">
        <v>0</v>
      </c>
      <c r="AG221" s="4">
        <v>0</v>
      </c>
      <c r="AH221" s="4">
        <v>0</v>
      </c>
      <c r="AI221" s="4">
        <v>0</v>
      </c>
      <c r="AJ221" s="4">
        <v>0</v>
      </c>
      <c r="AK221" s="4">
        <v>0</v>
      </c>
      <c r="AL221" s="4">
        <v>0</v>
      </c>
      <c r="AM221">
        <v>27</v>
      </c>
      <c r="AN221">
        <v>0</v>
      </c>
      <c r="AO221">
        <v>27</v>
      </c>
      <c r="AP221">
        <v>0</v>
      </c>
      <c r="AQ221">
        <v>0</v>
      </c>
      <c r="AR221">
        <v>0</v>
      </c>
      <c r="AS221">
        <v>0</v>
      </c>
      <c r="AT221">
        <v>0</v>
      </c>
      <c r="AU221">
        <v>0</v>
      </c>
      <c r="AV221">
        <v>0</v>
      </c>
      <c r="AW221">
        <v>0</v>
      </c>
      <c r="AX221">
        <v>0</v>
      </c>
      <c r="AY221">
        <v>60</v>
      </c>
    </row>
    <row r="222" spans="1:51">
      <c r="A222" t="s">
        <v>16974</v>
      </c>
      <c r="B222" t="s">
        <v>17122</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s="4">
        <v>0</v>
      </c>
      <c r="X222" s="4">
        <v>0</v>
      </c>
      <c r="Y222">
        <v>0</v>
      </c>
      <c r="Z222">
        <v>0</v>
      </c>
      <c r="AA222" s="4">
        <v>0</v>
      </c>
      <c r="AB222" s="4">
        <v>0</v>
      </c>
      <c r="AC222" s="4">
        <v>0</v>
      </c>
      <c r="AD222" s="4">
        <v>0</v>
      </c>
      <c r="AE222" s="4">
        <v>0</v>
      </c>
      <c r="AF222" s="4">
        <v>0</v>
      </c>
      <c r="AG222" s="4">
        <v>0</v>
      </c>
      <c r="AH222" s="4">
        <v>0</v>
      </c>
      <c r="AI222" s="4">
        <v>0</v>
      </c>
      <c r="AJ222" s="4">
        <v>0</v>
      </c>
      <c r="AK222" s="4">
        <v>0</v>
      </c>
      <c r="AL222" s="4">
        <v>0</v>
      </c>
      <c r="AM222">
        <v>0</v>
      </c>
      <c r="AN222">
        <v>0</v>
      </c>
      <c r="AO222">
        <v>0</v>
      </c>
      <c r="AP222">
        <v>0</v>
      </c>
      <c r="AQ222">
        <v>0</v>
      </c>
      <c r="AR222">
        <v>0</v>
      </c>
      <c r="AS222">
        <v>0</v>
      </c>
      <c r="AT222">
        <v>0</v>
      </c>
      <c r="AU222">
        <v>0</v>
      </c>
      <c r="AV222">
        <v>0</v>
      </c>
      <c r="AW222">
        <v>0</v>
      </c>
      <c r="AX222">
        <v>0</v>
      </c>
    </row>
    <row r="223" spans="1:51">
      <c r="A223" t="s">
        <v>16974</v>
      </c>
      <c r="B223" t="s">
        <v>17125</v>
      </c>
      <c r="C223">
        <v>0</v>
      </c>
      <c r="D223">
        <v>31</v>
      </c>
      <c r="E223">
        <v>31</v>
      </c>
      <c r="F223">
        <v>18</v>
      </c>
      <c r="G223">
        <v>0</v>
      </c>
      <c r="H223">
        <v>1</v>
      </c>
      <c r="I223">
        <v>0</v>
      </c>
      <c r="J223">
        <v>31</v>
      </c>
      <c r="K223">
        <v>362</v>
      </c>
      <c r="L223">
        <v>21</v>
      </c>
      <c r="M223">
        <v>0</v>
      </c>
      <c r="N223">
        <v>0</v>
      </c>
      <c r="O223">
        <v>10</v>
      </c>
      <c r="P223">
        <v>0</v>
      </c>
      <c r="Q223">
        <v>0</v>
      </c>
      <c r="R223">
        <v>0</v>
      </c>
      <c r="S223">
        <v>53.9</v>
      </c>
      <c r="T223">
        <v>0</v>
      </c>
      <c r="U223">
        <v>0</v>
      </c>
      <c r="V223">
        <v>53.9</v>
      </c>
      <c r="W223" s="4">
        <v>539</v>
      </c>
      <c r="X223" s="4">
        <v>0</v>
      </c>
      <c r="Y223">
        <v>0</v>
      </c>
      <c r="Z223">
        <v>0</v>
      </c>
      <c r="AA223" s="4">
        <v>0</v>
      </c>
      <c r="AB223" s="4">
        <v>539</v>
      </c>
      <c r="AC223" s="4">
        <v>0</v>
      </c>
      <c r="AD223" s="4">
        <v>0</v>
      </c>
      <c r="AE223" s="4">
        <v>81</v>
      </c>
      <c r="AF223" s="4">
        <v>539</v>
      </c>
      <c r="AG223" s="4">
        <v>539</v>
      </c>
      <c r="AH223" s="4">
        <v>473.5</v>
      </c>
      <c r="AI223" s="4">
        <v>0</v>
      </c>
      <c r="AJ223" s="4">
        <v>30</v>
      </c>
      <c r="AK223" s="4">
        <v>30</v>
      </c>
      <c r="AL223" s="4">
        <v>30</v>
      </c>
      <c r="AM223">
        <v>362</v>
      </c>
      <c r="AN223">
        <v>24</v>
      </c>
      <c r="AO223">
        <v>338</v>
      </c>
      <c r="AP223">
        <v>0</v>
      </c>
      <c r="AQ223">
        <v>53.9</v>
      </c>
      <c r="AR223">
        <v>3</v>
      </c>
      <c r="AS223">
        <v>50.9</v>
      </c>
      <c r="AT223">
        <v>0</v>
      </c>
      <c r="AU223">
        <v>0</v>
      </c>
      <c r="AV223">
        <v>0</v>
      </c>
      <c r="AW223">
        <v>0</v>
      </c>
      <c r="AX223">
        <v>0</v>
      </c>
    </row>
    <row r="224" spans="1:51">
      <c r="A224" t="s">
        <v>16974</v>
      </c>
      <c r="B224" t="s">
        <v>17126</v>
      </c>
      <c r="C224">
        <v>0</v>
      </c>
      <c r="D224">
        <v>6</v>
      </c>
      <c r="E224">
        <v>6</v>
      </c>
      <c r="F224">
        <v>6</v>
      </c>
      <c r="G224">
        <v>0</v>
      </c>
      <c r="H224">
        <v>0</v>
      </c>
      <c r="I224">
        <v>0</v>
      </c>
      <c r="J224">
        <v>6</v>
      </c>
      <c r="K224">
        <v>26</v>
      </c>
      <c r="L224">
        <v>6</v>
      </c>
      <c r="M224">
        <v>0</v>
      </c>
      <c r="N224">
        <v>0</v>
      </c>
      <c r="O224">
        <v>0</v>
      </c>
      <c r="P224">
        <v>0</v>
      </c>
      <c r="Q224">
        <v>0</v>
      </c>
      <c r="R224">
        <v>0</v>
      </c>
      <c r="S224">
        <v>14.5</v>
      </c>
      <c r="T224">
        <v>10</v>
      </c>
      <c r="U224">
        <v>0</v>
      </c>
      <c r="V224">
        <v>24.5</v>
      </c>
      <c r="W224" s="4">
        <v>345</v>
      </c>
      <c r="X224" s="4">
        <v>0</v>
      </c>
      <c r="Y224">
        <v>0</v>
      </c>
      <c r="Z224">
        <v>0</v>
      </c>
      <c r="AA224" s="4">
        <v>0</v>
      </c>
      <c r="AB224" s="4">
        <v>345</v>
      </c>
      <c r="AC224" s="4">
        <v>258</v>
      </c>
      <c r="AD224" s="4">
        <v>18</v>
      </c>
      <c r="AE224" s="4">
        <v>258</v>
      </c>
      <c r="AF224" s="4">
        <v>350.5</v>
      </c>
      <c r="AG224" s="4">
        <v>603</v>
      </c>
      <c r="AH224" s="4">
        <v>345</v>
      </c>
      <c r="AI224" s="4">
        <v>7.5</v>
      </c>
      <c r="AJ224" s="4">
        <v>0</v>
      </c>
      <c r="AK224" s="4">
        <v>0</v>
      </c>
      <c r="AL224" s="4">
        <v>0</v>
      </c>
      <c r="AM224">
        <v>26</v>
      </c>
      <c r="AN224">
        <v>0</v>
      </c>
      <c r="AO224">
        <v>26</v>
      </c>
      <c r="AP224">
        <v>0</v>
      </c>
      <c r="AQ224">
        <v>14.5</v>
      </c>
      <c r="AR224">
        <v>0</v>
      </c>
      <c r="AS224">
        <v>14.5</v>
      </c>
      <c r="AT224">
        <v>0</v>
      </c>
      <c r="AU224">
        <v>10</v>
      </c>
      <c r="AV224">
        <v>0</v>
      </c>
      <c r="AW224">
        <v>10</v>
      </c>
      <c r="AX224">
        <v>0</v>
      </c>
    </row>
    <row r="225" spans="1:51">
      <c r="A225" t="s">
        <v>16974</v>
      </c>
      <c r="B225" t="s">
        <v>17127</v>
      </c>
      <c r="C225">
        <v>0</v>
      </c>
      <c r="D225">
        <v>84</v>
      </c>
      <c r="E225">
        <v>2</v>
      </c>
      <c r="F225">
        <v>0</v>
      </c>
      <c r="G225">
        <v>0</v>
      </c>
      <c r="H225">
        <v>0</v>
      </c>
      <c r="I225">
        <v>0</v>
      </c>
      <c r="J225">
        <v>84</v>
      </c>
      <c r="K225">
        <v>703</v>
      </c>
      <c r="L225">
        <v>84</v>
      </c>
      <c r="M225">
        <v>0</v>
      </c>
      <c r="N225">
        <v>0</v>
      </c>
      <c r="O225">
        <v>0</v>
      </c>
      <c r="P225">
        <v>0</v>
      </c>
      <c r="Q225">
        <v>0</v>
      </c>
      <c r="R225">
        <v>0</v>
      </c>
      <c r="S225">
        <v>48.25</v>
      </c>
      <c r="T225">
        <v>11.5</v>
      </c>
      <c r="U225">
        <v>0</v>
      </c>
      <c r="V225">
        <v>59.75</v>
      </c>
      <c r="W225" s="4">
        <v>712.5</v>
      </c>
      <c r="X225" s="4">
        <v>0</v>
      </c>
      <c r="Y225">
        <v>0</v>
      </c>
      <c r="Z225">
        <v>0</v>
      </c>
      <c r="AA225" s="4">
        <v>0</v>
      </c>
      <c r="AB225" s="4">
        <v>712.5</v>
      </c>
      <c r="AC225" s="4">
        <v>0</v>
      </c>
      <c r="AD225" s="4">
        <v>0</v>
      </c>
      <c r="AE225" s="4">
        <v>93.5</v>
      </c>
      <c r="AF225" s="4">
        <v>652.5</v>
      </c>
      <c r="AG225" s="4">
        <v>712.5</v>
      </c>
      <c r="AH225" s="4">
        <v>626</v>
      </c>
      <c r="AI225" s="4">
        <v>0</v>
      </c>
      <c r="AJ225" s="4">
        <v>0</v>
      </c>
      <c r="AK225" s="4">
        <v>0</v>
      </c>
      <c r="AL225" s="4">
        <v>0</v>
      </c>
      <c r="AM225">
        <v>703</v>
      </c>
      <c r="AN225">
        <v>0</v>
      </c>
      <c r="AO225">
        <v>703</v>
      </c>
      <c r="AP225">
        <v>0</v>
      </c>
      <c r="AQ225">
        <v>48.25</v>
      </c>
      <c r="AR225">
        <v>0</v>
      </c>
      <c r="AS225">
        <v>48.25</v>
      </c>
      <c r="AT225">
        <v>0</v>
      </c>
      <c r="AU225">
        <v>11.5</v>
      </c>
      <c r="AV225">
        <v>0</v>
      </c>
      <c r="AW225">
        <v>11.5</v>
      </c>
      <c r="AX225">
        <v>0</v>
      </c>
    </row>
    <row r="226" spans="1:51">
      <c r="A226" t="s">
        <v>16974</v>
      </c>
      <c r="B226" t="s">
        <v>17128</v>
      </c>
      <c r="C226">
        <v>0</v>
      </c>
      <c r="D226">
        <v>102</v>
      </c>
      <c r="E226">
        <v>101</v>
      </c>
      <c r="F226">
        <v>90</v>
      </c>
      <c r="G226">
        <v>1</v>
      </c>
      <c r="H226">
        <v>3</v>
      </c>
      <c r="I226">
        <v>0</v>
      </c>
      <c r="J226">
        <v>101</v>
      </c>
      <c r="K226">
        <v>799</v>
      </c>
      <c r="L226">
        <v>96</v>
      </c>
      <c r="M226">
        <v>1</v>
      </c>
      <c r="N226">
        <v>2</v>
      </c>
      <c r="O226">
        <v>1</v>
      </c>
      <c r="P226">
        <v>0</v>
      </c>
      <c r="Q226">
        <v>0</v>
      </c>
      <c r="R226">
        <v>0</v>
      </c>
      <c r="S226">
        <v>63.4</v>
      </c>
      <c r="T226">
        <v>11</v>
      </c>
      <c r="U226">
        <v>0</v>
      </c>
      <c r="V226">
        <v>74.400000000000006</v>
      </c>
      <c r="W226" s="4">
        <v>854.02</v>
      </c>
      <c r="X226" s="4">
        <v>0</v>
      </c>
      <c r="Y226">
        <v>101</v>
      </c>
      <c r="Z226">
        <v>0</v>
      </c>
      <c r="AA226" s="4">
        <v>0</v>
      </c>
      <c r="AB226" s="4">
        <v>170</v>
      </c>
      <c r="AC226" s="4">
        <v>79.55</v>
      </c>
      <c r="AD226" s="4">
        <v>9.5500000000000007</v>
      </c>
      <c r="AE226" s="4">
        <v>9.5500000000000007</v>
      </c>
      <c r="AF226" s="4">
        <v>179.55</v>
      </c>
      <c r="AG226" s="4">
        <v>933.57</v>
      </c>
      <c r="AH226" s="4">
        <v>924.02</v>
      </c>
      <c r="AI226" s="4">
        <v>0</v>
      </c>
      <c r="AJ226" s="4">
        <v>170</v>
      </c>
      <c r="AK226" s="4">
        <v>310</v>
      </c>
      <c r="AL226" s="4">
        <v>310</v>
      </c>
      <c r="AM226">
        <v>799</v>
      </c>
      <c r="AN226">
        <v>105</v>
      </c>
      <c r="AO226">
        <v>694</v>
      </c>
      <c r="AP226">
        <v>0</v>
      </c>
      <c r="AQ226">
        <v>63.4</v>
      </c>
      <c r="AR226">
        <v>8</v>
      </c>
      <c r="AS226">
        <v>55.4</v>
      </c>
      <c r="AT226">
        <v>0</v>
      </c>
      <c r="AU226">
        <v>11</v>
      </c>
      <c r="AV226">
        <v>8</v>
      </c>
      <c r="AW226">
        <v>3</v>
      </c>
      <c r="AX226">
        <v>0</v>
      </c>
    </row>
    <row r="227" spans="1:51">
      <c r="A227" t="s">
        <v>16974</v>
      </c>
      <c r="B227" t="s">
        <v>17201</v>
      </c>
      <c r="C227">
        <v>0</v>
      </c>
      <c r="D227">
        <v>3094</v>
      </c>
      <c r="E227">
        <v>2762</v>
      </c>
      <c r="F227">
        <v>1184</v>
      </c>
      <c r="G227">
        <v>22</v>
      </c>
      <c r="H227">
        <v>324</v>
      </c>
      <c r="I227">
        <v>223</v>
      </c>
      <c r="J227">
        <v>3092</v>
      </c>
      <c r="K227">
        <v>36976</v>
      </c>
      <c r="L227">
        <v>757</v>
      </c>
      <c r="M227">
        <v>2</v>
      </c>
      <c r="N227">
        <v>31</v>
      </c>
      <c r="O227">
        <v>2271</v>
      </c>
      <c r="P227">
        <v>24</v>
      </c>
      <c r="Q227">
        <v>36</v>
      </c>
      <c r="R227">
        <v>0</v>
      </c>
      <c r="S227">
        <v>836.26</v>
      </c>
      <c r="T227">
        <v>218.75</v>
      </c>
      <c r="U227">
        <v>0</v>
      </c>
      <c r="V227">
        <v>1055.01</v>
      </c>
      <c r="W227" s="4">
        <v>12737.66</v>
      </c>
      <c r="X227" s="4">
        <v>0</v>
      </c>
      <c r="Y227">
        <v>3088</v>
      </c>
      <c r="Z227">
        <v>0</v>
      </c>
      <c r="AA227" s="4">
        <v>0</v>
      </c>
      <c r="AB227" s="4">
        <v>250</v>
      </c>
      <c r="AC227" s="4">
        <v>756.05</v>
      </c>
      <c r="AD227" s="4">
        <v>756.05</v>
      </c>
      <c r="AE227" s="4">
        <v>731</v>
      </c>
      <c r="AF227" s="4">
        <v>1006.05</v>
      </c>
      <c r="AG227" s="4">
        <v>13493.71</v>
      </c>
      <c r="AH227" s="4">
        <v>12762.71</v>
      </c>
      <c r="AI227" s="4">
        <v>75.94</v>
      </c>
      <c r="AJ227" s="4">
        <v>85.94</v>
      </c>
      <c r="AK227" s="4">
        <v>2025.95</v>
      </c>
      <c r="AL227" s="4">
        <v>1950</v>
      </c>
      <c r="AM227">
        <v>36976</v>
      </c>
      <c r="AN227">
        <v>8283</v>
      </c>
      <c r="AO227">
        <v>28693</v>
      </c>
      <c r="AP227">
        <v>0</v>
      </c>
      <c r="AQ227">
        <v>836.25</v>
      </c>
      <c r="AR227">
        <v>103.5</v>
      </c>
      <c r="AS227">
        <v>732.75</v>
      </c>
      <c r="AT227">
        <v>0</v>
      </c>
      <c r="AU227">
        <v>218.75</v>
      </c>
      <c r="AV227">
        <v>45.75</v>
      </c>
      <c r="AW227">
        <v>173</v>
      </c>
      <c r="AX227">
        <v>0</v>
      </c>
    </row>
    <row r="228" spans="1:51">
      <c r="A228" t="s">
        <v>16974</v>
      </c>
      <c r="B228" t="s">
        <v>17130</v>
      </c>
      <c r="C228">
        <v>0</v>
      </c>
      <c r="D228">
        <v>9</v>
      </c>
      <c r="E228">
        <v>2</v>
      </c>
      <c r="F228">
        <v>9</v>
      </c>
      <c r="G228">
        <v>4</v>
      </c>
      <c r="H228">
        <v>1</v>
      </c>
      <c r="I228">
        <v>2</v>
      </c>
      <c r="J228">
        <v>8</v>
      </c>
      <c r="K228">
        <v>201</v>
      </c>
      <c r="L228">
        <v>7</v>
      </c>
      <c r="M228">
        <v>0</v>
      </c>
      <c r="N228">
        <v>2</v>
      </c>
      <c r="O228">
        <v>0</v>
      </c>
      <c r="P228">
        <v>0</v>
      </c>
      <c r="Q228">
        <v>0</v>
      </c>
      <c r="R228">
        <v>0</v>
      </c>
      <c r="S228">
        <v>4</v>
      </c>
      <c r="T228">
        <v>4.75</v>
      </c>
      <c r="U228">
        <v>0</v>
      </c>
      <c r="V228">
        <v>8.75</v>
      </c>
      <c r="W228" s="4">
        <v>135</v>
      </c>
      <c r="X228" s="4">
        <v>0</v>
      </c>
      <c r="Y228">
        <v>9</v>
      </c>
      <c r="Z228">
        <v>0</v>
      </c>
      <c r="AA228" s="4">
        <v>0</v>
      </c>
      <c r="AB228" s="4">
        <v>0</v>
      </c>
      <c r="AC228" s="4">
        <v>0</v>
      </c>
      <c r="AD228" s="4">
        <v>0</v>
      </c>
      <c r="AE228" s="4">
        <v>0</v>
      </c>
      <c r="AF228" s="4">
        <v>0</v>
      </c>
      <c r="AG228" s="4">
        <v>135</v>
      </c>
      <c r="AH228" s="4">
        <v>135</v>
      </c>
      <c r="AI228" s="4">
        <v>0</v>
      </c>
      <c r="AJ228" s="4">
        <v>0</v>
      </c>
      <c r="AK228" s="4">
        <v>0</v>
      </c>
      <c r="AL228" s="4">
        <v>0</v>
      </c>
      <c r="AM228">
        <v>201</v>
      </c>
      <c r="AN228">
        <v>0</v>
      </c>
      <c r="AO228">
        <v>200</v>
      </c>
      <c r="AP228">
        <v>0</v>
      </c>
      <c r="AQ228">
        <v>4</v>
      </c>
      <c r="AR228">
        <v>0</v>
      </c>
      <c r="AS228">
        <v>4</v>
      </c>
      <c r="AT228">
        <v>0</v>
      </c>
      <c r="AU228">
        <v>4.75</v>
      </c>
      <c r="AV228">
        <v>0</v>
      </c>
      <c r="AW228">
        <v>4.75</v>
      </c>
      <c r="AX228">
        <v>0</v>
      </c>
      <c r="AY228">
        <v>712</v>
      </c>
    </row>
    <row r="229" spans="1:51">
      <c r="A229" t="s">
        <v>16974</v>
      </c>
      <c r="B229" t="s">
        <v>17131</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s="4">
        <v>0</v>
      </c>
      <c r="X229" s="4">
        <v>0</v>
      </c>
      <c r="Y229">
        <v>0</v>
      </c>
      <c r="Z229">
        <v>0</v>
      </c>
      <c r="AA229" s="4">
        <v>0</v>
      </c>
      <c r="AB229" s="4">
        <v>0</v>
      </c>
      <c r="AC229" s="4">
        <v>0</v>
      </c>
      <c r="AD229" s="4">
        <v>0</v>
      </c>
      <c r="AE229" s="4">
        <v>0</v>
      </c>
      <c r="AF229" s="4">
        <v>0</v>
      </c>
      <c r="AG229" s="4">
        <v>0</v>
      </c>
      <c r="AH229" s="4">
        <v>0</v>
      </c>
      <c r="AI229" s="4">
        <v>0</v>
      </c>
      <c r="AJ229" s="4">
        <v>0</v>
      </c>
      <c r="AK229" s="4">
        <v>0</v>
      </c>
      <c r="AL229" s="4">
        <v>0</v>
      </c>
      <c r="AM229">
        <v>0</v>
      </c>
      <c r="AN229">
        <v>0</v>
      </c>
      <c r="AO229">
        <v>0</v>
      </c>
      <c r="AP229">
        <v>0</v>
      </c>
      <c r="AQ229">
        <v>0</v>
      </c>
      <c r="AR229">
        <v>0</v>
      </c>
      <c r="AS229">
        <v>0</v>
      </c>
      <c r="AT229">
        <v>0</v>
      </c>
      <c r="AU229">
        <v>0</v>
      </c>
      <c r="AV229">
        <v>0</v>
      </c>
      <c r="AW229">
        <v>0</v>
      </c>
      <c r="AX229">
        <v>0</v>
      </c>
    </row>
    <row r="230" spans="1:51">
      <c r="A230" t="s">
        <v>16974</v>
      </c>
      <c r="B230" t="s">
        <v>17040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s="4">
        <v>0</v>
      </c>
      <c r="X230" s="4">
        <v>0</v>
      </c>
      <c r="Y230">
        <v>0</v>
      </c>
      <c r="Z230">
        <v>0</v>
      </c>
      <c r="AA230" s="4">
        <v>0</v>
      </c>
      <c r="AB230" s="4">
        <v>0</v>
      </c>
      <c r="AC230" s="4">
        <v>0</v>
      </c>
      <c r="AD230" s="4">
        <v>0</v>
      </c>
      <c r="AE230" s="4">
        <v>0</v>
      </c>
      <c r="AF230" s="4">
        <v>0</v>
      </c>
      <c r="AG230" s="4">
        <v>0</v>
      </c>
      <c r="AH230" s="4">
        <v>0</v>
      </c>
      <c r="AI230" s="4">
        <v>0</v>
      </c>
      <c r="AJ230" s="4">
        <v>0</v>
      </c>
      <c r="AK230" s="4">
        <v>0</v>
      </c>
      <c r="AL230" s="4">
        <v>0</v>
      </c>
      <c r="AM230">
        <v>0</v>
      </c>
      <c r="AN230">
        <v>0</v>
      </c>
      <c r="AO230">
        <v>0</v>
      </c>
      <c r="AP230">
        <v>0</v>
      </c>
      <c r="AQ230">
        <v>0</v>
      </c>
      <c r="AR230">
        <v>0</v>
      </c>
      <c r="AS230">
        <v>0</v>
      </c>
      <c r="AT230">
        <v>0</v>
      </c>
      <c r="AU230">
        <v>0</v>
      </c>
      <c r="AV230">
        <v>0</v>
      </c>
      <c r="AW230">
        <v>0</v>
      </c>
      <c r="AX230">
        <v>0</v>
      </c>
    </row>
    <row r="231" spans="1:51">
      <c r="A231" t="s">
        <v>16974</v>
      </c>
      <c r="B231" t="s">
        <v>16975</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s="4">
        <v>0</v>
      </c>
      <c r="X231" s="4">
        <v>0</v>
      </c>
      <c r="Y231">
        <v>0</v>
      </c>
      <c r="Z231">
        <v>0</v>
      </c>
      <c r="AA231" s="4">
        <v>0</v>
      </c>
      <c r="AB231" s="4">
        <v>0</v>
      </c>
      <c r="AC231" s="4">
        <v>0</v>
      </c>
      <c r="AD231" s="4">
        <v>0</v>
      </c>
      <c r="AE231" s="4">
        <v>0</v>
      </c>
      <c r="AF231" s="4">
        <v>0</v>
      </c>
      <c r="AG231" s="4">
        <v>0</v>
      </c>
      <c r="AH231" s="4">
        <v>0</v>
      </c>
      <c r="AI231" s="4">
        <v>0</v>
      </c>
      <c r="AJ231" s="4">
        <v>0</v>
      </c>
      <c r="AK231" s="4">
        <v>0</v>
      </c>
      <c r="AL231" s="4">
        <v>0</v>
      </c>
      <c r="AM231">
        <v>0</v>
      </c>
      <c r="AN231">
        <v>0</v>
      </c>
      <c r="AO231">
        <v>0</v>
      </c>
      <c r="AP231">
        <v>0</v>
      </c>
      <c r="AQ231">
        <v>0</v>
      </c>
      <c r="AR231">
        <v>0</v>
      </c>
      <c r="AS231">
        <v>0</v>
      </c>
      <c r="AT231">
        <v>0</v>
      </c>
      <c r="AU231">
        <v>0</v>
      </c>
      <c r="AV231">
        <v>0</v>
      </c>
      <c r="AW231">
        <v>0</v>
      </c>
      <c r="AX231">
        <v>0</v>
      </c>
    </row>
    <row r="232" spans="1:51">
      <c r="A232" t="s">
        <v>16974</v>
      </c>
      <c r="B232" t="s">
        <v>17085</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s="4">
        <v>0</v>
      </c>
      <c r="X232" s="4">
        <v>0</v>
      </c>
      <c r="Y232">
        <v>0</v>
      </c>
      <c r="Z232">
        <v>0</v>
      </c>
      <c r="AA232" s="4">
        <v>0</v>
      </c>
      <c r="AB232" s="4">
        <v>0</v>
      </c>
      <c r="AC232" s="4">
        <v>0</v>
      </c>
      <c r="AD232" s="4">
        <v>0</v>
      </c>
      <c r="AE232" s="4">
        <v>0</v>
      </c>
      <c r="AF232" s="4">
        <v>0</v>
      </c>
      <c r="AG232" s="4">
        <v>0</v>
      </c>
      <c r="AH232" s="4">
        <v>0</v>
      </c>
      <c r="AI232" s="4">
        <v>0</v>
      </c>
      <c r="AJ232" s="4">
        <v>0</v>
      </c>
      <c r="AK232" s="4">
        <v>0</v>
      </c>
      <c r="AL232" s="4">
        <v>0</v>
      </c>
      <c r="AM232">
        <v>0</v>
      </c>
      <c r="AN232">
        <v>0</v>
      </c>
      <c r="AO232">
        <v>0</v>
      </c>
      <c r="AP232">
        <v>0</v>
      </c>
      <c r="AQ232">
        <v>0</v>
      </c>
      <c r="AR232">
        <v>0</v>
      </c>
      <c r="AS232">
        <v>0</v>
      </c>
      <c r="AT232">
        <v>0</v>
      </c>
      <c r="AU232">
        <v>0</v>
      </c>
      <c r="AV232">
        <v>0</v>
      </c>
      <c r="AW232">
        <v>0</v>
      </c>
      <c r="AX232">
        <v>0</v>
      </c>
      <c r="AY232">
        <v>0</v>
      </c>
    </row>
    <row r="233" spans="1:51">
      <c r="A233" t="s">
        <v>16974</v>
      </c>
      <c r="B233" t="s">
        <v>17132</v>
      </c>
      <c r="C233">
        <v>0</v>
      </c>
      <c r="D233">
        <v>411</v>
      </c>
      <c r="E233">
        <v>411</v>
      </c>
      <c r="F233">
        <v>33</v>
      </c>
      <c r="G233">
        <v>0</v>
      </c>
      <c r="H233">
        <v>0</v>
      </c>
      <c r="I233">
        <v>0</v>
      </c>
      <c r="J233">
        <v>411</v>
      </c>
      <c r="K233">
        <v>2066</v>
      </c>
      <c r="L233">
        <v>193</v>
      </c>
      <c r="M233">
        <v>1</v>
      </c>
      <c r="N233">
        <v>95</v>
      </c>
      <c r="O233">
        <v>120</v>
      </c>
      <c r="P233">
        <v>0</v>
      </c>
      <c r="Q233">
        <v>0</v>
      </c>
      <c r="R233">
        <v>0</v>
      </c>
      <c r="S233">
        <v>421.75</v>
      </c>
      <c r="T233">
        <v>0</v>
      </c>
      <c r="U233">
        <v>0</v>
      </c>
      <c r="V233">
        <v>421.75</v>
      </c>
      <c r="W233" s="4">
        <v>4208.5</v>
      </c>
      <c r="X233" s="4">
        <v>0</v>
      </c>
      <c r="Y233">
        <v>14</v>
      </c>
      <c r="Z233">
        <v>0</v>
      </c>
      <c r="AA233" s="4">
        <v>0</v>
      </c>
      <c r="AB233" s="4">
        <v>4028.5</v>
      </c>
      <c r="AC233" s="4">
        <v>0</v>
      </c>
      <c r="AD233" s="4">
        <v>0</v>
      </c>
      <c r="AE233" s="4">
        <v>0</v>
      </c>
      <c r="AF233" s="4">
        <v>4028.5</v>
      </c>
      <c r="AG233" s="4">
        <v>4208.5</v>
      </c>
      <c r="AH233" s="4">
        <v>4208.5</v>
      </c>
      <c r="AI233" s="4">
        <v>0</v>
      </c>
      <c r="AJ233" s="4">
        <v>0</v>
      </c>
      <c r="AK233" s="4">
        <v>0</v>
      </c>
      <c r="AL233" s="4">
        <v>0</v>
      </c>
      <c r="AM233">
        <v>2066</v>
      </c>
      <c r="AN233">
        <v>0</v>
      </c>
      <c r="AO233">
        <v>2066</v>
      </c>
      <c r="AP233">
        <v>0</v>
      </c>
      <c r="AQ233">
        <v>421.75</v>
      </c>
      <c r="AR233">
        <v>0</v>
      </c>
      <c r="AS233">
        <v>421.75</v>
      </c>
      <c r="AT233">
        <v>0</v>
      </c>
      <c r="AU233">
        <v>0</v>
      </c>
      <c r="AV233">
        <v>0</v>
      </c>
      <c r="AW233">
        <v>0</v>
      </c>
      <c r="AX233">
        <v>0</v>
      </c>
    </row>
    <row r="234" spans="1:51">
      <c r="A234" t="s">
        <v>16974</v>
      </c>
      <c r="B234" t="s">
        <v>17133</v>
      </c>
      <c r="C234">
        <v>0</v>
      </c>
      <c r="D234">
        <v>5</v>
      </c>
      <c r="E234">
        <v>4</v>
      </c>
      <c r="F234">
        <v>3</v>
      </c>
      <c r="G234">
        <v>0</v>
      </c>
      <c r="H234">
        <v>0</v>
      </c>
      <c r="I234">
        <v>0</v>
      </c>
      <c r="J234">
        <v>4</v>
      </c>
      <c r="K234">
        <v>84</v>
      </c>
      <c r="L234">
        <v>0</v>
      </c>
      <c r="M234">
        <v>0</v>
      </c>
      <c r="N234">
        <v>3</v>
      </c>
      <c r="O234">
        <v>1</v>
      </c>
      <c r="P234">
        <v>1</v>
      </c>
      <c r="Q234">
        <v>0</v>
      </c>
      <c r="R234">
        <v>0</v>
      </c>
      <c r="S234">
        <v>1</v>
      </c>
      <c r="T234">
        <v>4</v>
      </c>
      <c r="U234">
        <v>0</v>
      </c>
      <c r="V234">
        <v>5</v>
      </c>
      <c r="W234" s="4">
        <v>90</v>
      </c>
      <c r="X234" s="4">
        <v>0</v>
      </c>
      <c r="Y234">
        <v>4</v>
      </c>
      <c r="Z234">
        <v>0</v>
      </c>
      <c r="AA234" s="4">
        <v>0</v>
      </c>
      <c r="AB234" s="4">
        <v>2.5</v>
      </c>
      <c r="AC234" s="4">
        <v>115.5</v>
      </c>
      <c r="AD234" s="4">
        <v>115.5</v>
      </c>
      <c r="AE234" s="4">
        <v>118</v>
      </c>
      <c r="AF234" s="4">
        <v>118</v>
      </c>
      <c r="AG234" s="4">
        <v>205.5</v>
      </c>
      <c r="AH234" s="4">
        <v>87.5</v>
      </c>
      <c r="AI234" s="4">
        <v>0</v>
      </c>
      <c r="AJ234" s="4">
        <v>0</v>
      </c>
      <c r="AK234" s="4">
        <v>0</v>
      </c>
      <c r="AL234" s="4">
        <v>0</v>
      </c>
      <c r="AM234">
        <v>84</v>
      </c>
      <c r="AN234">
        <v>0</v>
      </c>
      <c r="AO234">
        <v>84</v>
      </c>
      <c r="AP234">
        <v>0</v>
      </c>
      <c r="AQ234">
        <v>1</v>
      </c>
      <c r="AR234">
        <v>0</v>
      </c>
      <c r="AS234">
        <v>1</v>
      </c>
      <c r="AT234">
        <v>0</v>
      </c>
      <c r="AU234">
        <v>4</v>
      </c>
      <c r="AV234">
        <v>0</v>
      </c>
      <c r="AW234">
        <v>4</v>
      </c>
      <c r="AX234">
        <v>0</v>
      </c>
      <c r="AY234">
        <v>5</v>
      </c>
    </row>
    <row r="235" spans="1:51">
      <c r="A235" t="s">
        <v>16974</v>
      </c>
      <c r="B235" t="s">
        <v>17134</v>
      </c>
      <c r="C235">
        <v>0</v>
      </c>
      <c r="D235">
        <v>1</v>
      </c>
      <c r="E235">
        <v>1</v>
      </c>
      <c r="F235">
        <v>1</v>
      </c>
      <c r="G235">
        <v>1</v>
      </c>
      <c r="H235">
        <v>1</v>
      </c>
      <c r="I235">
        <v>1</v>
      </c>
      <c r="J235">
        <v>0</v>
      </c>
      <c r="K235">
        <v>0</v>
      </c>
      <c r="L235">
        <v>0</v>
      </c>
      <c r="M235">
        <v>0</v>
      </c>
      <c r="N235">
        <v>0</v>
      </c>
      <c r="O235">
        <v>1</v>
      </c>
      <c r="P235">
        <v>0</v>
      </c>
      <c r="Q235">
        <v>0</v>
      </c>
      <c r="R235">
        <v>0</v>
      </c>
      <c r="S235">
        <v>0</v>
      </c>
      <c r="T235">
        <v>0</v>
      </c>
      <c r="U235">
        <v>0</v>
      </c>
      <c r="V235">
        <v>0</v>
      </c>
      <c r="W235" s="4">
        <v>0</v>
      </c>
      <c r="X235" s="4">
        <v>0</v>
      </c>
      <c r="Y235">
        <v>0</v>
      </c>
      <c r="Z235">
        <v>0</v>
      </c>
      <c r="AA235" s="4">
        <v>0</v>
      </c>
      <c r="AB235" s="4">
        <v>0</v>
      </c>
      <c r="AC235" s="4">
        <v>0</v>
      </c>
      <c r="AD235" s="4">
        <v>0</v>
      </c>
      <c r="AE235" s="4">
        <v>0</v>
      </c>
      <c r="AF235" s="4">
        <v>0</v>
      </c>
      <c r="AG235" s="4">
        <v>0</v>
      </c>
      <c r="AH235" s="4">
        <v>0</v>
      </c>
      <c r="AI235" s="4">
        <v>0</v>
      </c>
      <c r="AJ235" s="4">
        <v>0</v>
      </c>
      <c r="AK235" s="4">
        <v>0</v>
      </c>
      <c r="AL235" s="4">
        <v>0</v>
      </c>
      <c r="AM235">
        <v>0</v>
      </c>
      <c r="AN235">
        <v>0</v>
      </c>
      <c r="AO235">
        <v>0</v>
      </c>
      <c r="AP235">
        <v>0</v>
      </c>
      <c r="AQ235">
        <v>0</v>
      </c>
      <c r="AR235">
        <v>0</v>
      </c>
      <c r="AS235">
        <v>0</v>
      </c>
      <c r="AT235">
        <v>0</v>
      </c>
      <c r="AU235">
        <v>0</v>
      </c>
      <c r="AV235">
        <v>0</v>
      </c>
      <c r="AW235">
        <v>0</v>
      </c>
      <c r="AX235">
        <v>0</v>
      </c>
    </row>
    <row r="236" spans="1:51">
      <c r="A236" t="s">
        <v>16974</v>
      </c>
      <c r="B236" t="s">
        <v>17135</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s="4">
        <v>0</v>
      </c>
      <c r="X236" s="4">
        <v>0</v>
      </c>
      <c r="Y236">
        <v>0</v>
      </c>
      <c r="Z236">
        <v>0</v>
      </c>
      <c r="AA236" s="4">
        <v>0</v>
      </c>
      <c r="AB236" s="4">
        <v>0</v>
      </c>
      <c r="AC236" s="4">
        <v>0</v>
      </c>
      <c r="AD236" s="4">
        <v>0</v>
      </c>
      <c r="AE236" s="4">
        <v>0</v>
      </c>
      <c r="AF236" s="4">
        <v>0</v>
      </c>
      <c r="AG236" s="4">
        <v>0</v>
      </c>
      <c r="AH236" s="4">
        <v>0</v>
      </c>
      <c r="AI236" s="4">
        <v>0</v>
      </c>
      <c r="AJ236" s="4">
        <v>0</v>
      </c>
      <c r="AK236" s="4">
        <v>0</v>
      </c>
      <c r="AL236" s="4">
        <v>0</v>
      </c>
      <c r="AM236">
        <v>0</v>
      </c>
      <c r="AN236">
        <v>0</v>
      </c>
      <c r="AO236">
        <v>0</v>
      </c>
      <c r="AP236">
        <v>0</v>
      </c>
      <c r="AQ236">
        <v>0</v>
      </c>
      <c r="AR236">
        <v>0</v>
      </c>
      <c r="AS236">
        <v>0</v>
      </c>
      <c r="AT236">
        <v>0</v>
      </c>
      <c r="AU236">
        <v>0</v>
      </c>
      <c r="AV236">
        <v>0</v>
      </c>
      <c r="AW236">
        <v>0</v>
      </c>
      <c r="AX236">
        <v>0</v>
      </c>
    </row>
    <row r="237" spans="1:51">
      <c r="A237" t="s">
        <v>16974</v>
      </c>
      <c r="B237" t="s">
        <v>17136</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s="4">
        <v>0</v>
      </c>
      <c r="X237" s="4">
        <v>0</v>
      </c>
      <c r="Y237">
        <v>0</v>
      </c>
      <c r="Z237">
        <v>0</v>
      </c>
      <c r="AA237" s="4">
        <v>0</v>
      </c>
      <c r="AB237" s="4">
        <v>0</v>
      </c>
      <c r="AC237" s="4">
        <v>0</v>
      </c>
      <c r="AD237" s="4">
        <v>0</v>
      </c>
      <c r="AE237" s="4">
        <v>0</v>
      </c>
      <c r="AF237" s="4">
        <v>0</v>
      </c>
      <c r="AG237" s="4">
        <v>0</v>
      </c>
      <c r="AH237" s="4">
        <v>0</v>
      </c>
      <c r="AI237" s="4">
        <v>0</v>
      </c>
      <c r="AJ237" s="4">
        <v>0</v>
      </c>
      <c r="AK237" s="4">
        <v>0</v>
      </c>
      <c r="AL237" s="4">
        <v>0</v>
      </c>
      <c r="AM237">
        <v>0</v>
      </c>
      <c r="AN237">
        <v>0</v>
      </c>
      <c r="AO237">
        <v>0</v>
      </c>
      <c r="AP237">
        <v>0</v>
      </c>
      <c r="AQ237">
        <v>0</v>
      </c>
      <c r="AR237">
        <v>0</v>
      </c>
      <c r="AS237">
        <v>0</v>
      </c>
      <c r="AT237">
        <v>0</v>
      </c>
      <c r="AU237">
        <v>0</v>
      </c>
      <c r="AV237">
        <v>0</v>
      </c>
      <c r="AW237">
        <v>0</v>
      </c>
      <c r="AX237">
        <v>0</v>
      </c>
    </row>
    <row r="238" spans="1:51">
      <c r="A238" t="s">
        <v>16974</v>
      </c>
      <c r="B238" t="s">
        <v>17137</v>
      </c>
      <c r="C238">
        <v>234</v>
      </c>
      <c r="D238">
        <v>234</v>
      </c>
      <c r="E238">
        <v>0</v>
      </c>
      <c r="F238">
        <v>234</v>
      </c>
      <c r="G238">
        <v>0</v>
      </c>
      <c r="H238">
        <v>0</v>
      </c>
      <c r="I238">
        <v>0</v>
      </c>
      <c r="J238">
        <v>234</v>
      </c>
      <c r="K238">
        <v>1155</v>
      </c>
      <c r="L238">
        <v>234</v>
      </c>
      <c r="M238">
        <v>0</v>
      </c>
      <c r="N238">
        <v>0</v>
      </c>
      <c r="O238">
        <v>0</v>
      </c>
      <c r="P238">
        <v>0</v>
      </c>
      <c r="Q238">
        <v>0</v>
      </c>
      <c r="R238">
        <v>0</v>
      </c>
      <c r="S238">
        <v>234</v>
      </c>
      <c r="T238">
        <v>0</v>
      </c>
      <c r="U238">
        <v>0</v>
      </c>
      <c r="V238">
        <v>234</v>
      </c>
      <c r="W238" s="4">
        <v>0</v>
      </c>
      <c r="X238" s="4">
        <v>0</v>
      </c>
      <c r="Y238">
        <v>0</v>
      </c>
      <c r="Z238">
        <v>0</v>
      </c>
      <c r="AA238" s="4">
        <v>-2310</v>
      </c>
      <c r="AB238" s="4">
        <v>0</v>
      </c>
      <c r="AC238" s="4">
        <v>0</v>
      </c>
      <c r="AD238" s="4">
        <v>35</v>
      </c>
      <c r="AE238" s="4">
        <v>0</v>
      </c>
      <c r="AF238" s="4">
        <v>35</v>
      </c>
      <c r="AG238" s="4">
        <v>0</v>
      </c>
      <c r="AH238" s="4">
        <v>0</v>
      </c>
      <c r="AI238" s="4">
        <v>0</v>
      </c>
      <c r="AJ238" s="4">
        <v>0</v>
      </c>
      <c r="AK238" s="4">
        <v>0</v>
      </c>
      <c r="AL238" s="4">
        <v>0</v>
      </c>
      <c r="AM238">
        <v>1155</v>
      </c>
      <c r="AN238">
        <v>0</v>
      </c>
      <c r="AO238">
        <v>0</v>
      </c>
      <c r="AP238">
        <v>1155</v>
      </c>
      <c r="AQ238">
        <v>234</v>
      </c>
      <c r="AR238">
        <v>0</v>
      </c>
      <c r="AS238">
        <v>0</v>
      </c>
      <c r="AT238">
        <v>234</v>
      </c>
      <c r="AU238">
        <v>0</v>
      </c>
      <c r="AV238">
        <v>0</v>
      </c>
      <c r="AW238">
        <v>0</v>
      </c>
      <c r="AX238">
        <v>0</v>
      </c>
      <c r="AY238">
        <v>318</v>
      </c>
    </row>
    <row r="239" spans="1:51">
      <c r="A239" t="s">
        <v>16974</v>
      </c>
      <c r="B239" t="s">
        <v>17138</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s="4">
        <v>0</v>
      </c>
      <c r="X239" s="4">
        <v>0</v>
      </c>
      <c r="Y239">
        <v>0</v>
      </c>
      <c r="Z239">
        <v>0</v>
      </c>
      <c r="AA239" s="4">
        <v>0</v>
      </c>
      <c r="AB239" s="4">
        <v>0</v>
      </c>
      <c r="AC239" s="4">
        <v>0</v>
      </c>
      <c r="AD239" s="4">
        <v>0</v>
      </c>
      <c r="AE239" s="4">
        <v>0</v>
      </c>
      <c r="AF239" s="4">
        <v>0</v>
      </c>
      <c r="AG239" s="4">
        <v>0</v>
      </c>
      <c r="AH239" s="4">
        <v>0</v>
      </c>
      <c r="AI239" s="4">
        <v>0</v>
      </c>
      <c r="AJ239" s="4">
        <v>0</v>
      </c>
      <c r="AK239" s="4">
        <v>0</v>
      </c>
      <c r="AL239" s="4">
        <v>0</v>
      </c>
      <c r="AM239">
        <v>0</v>
      </c>
      <c r="AN239">
        <v>0</v>
      </c>
      <c r="AO239">
        <v>0</v>
      </c>
      <c r="AP239">
        <v>0</v>
      </c>
      <c r="AQ239">
        <v>0</v>
      </c>
      <c r="AR239">
        <v>0</v>
      </c>
      <c r="AS239">
        <v>0</v>
      </c>
      <c r="AT239">
        <v>0</v>
      </c>
      <c r="AU239">
        <v>0</v>
      </c>
      <c r="AV239">
        <v>0</v>
      </c>
      <c r="AW239">
        <v>0</v>
      </c>
      <c r="AX239">
        <v>0</v>
      </c>
      <c r="AY239">
        <v>0</v>
      </c>
    </row>
    <row r="240" spans="1:51">
      <c r="A240" t="s">
        <v>16974</v>
      </c>
      <c r="B240" t="s">
        <v>17139</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s="4">
        <v>0</v>
      </c>
      <c r="X240" s="4">
        <v>0</v>
      </c>
      <c r="Y240">
        <v>0</v>
      </c>
      <c r="Z240">
        <v>0</v>
      </c>
      <c r="AA240" s="4">
        <v>0</v>
      </c>
      <c r="AB240" s="4">
        <v>0</v>
      </c>
      <c r="AC240" s="4">
        <v>0</v>
      </c>
      <c r="AD240" s="4">
        <v>0</v>
      </c>
      <c r="AE240" s="4">
        <v>0</v>
      </c>
      <c r="AF240" s="4">
        <v>0</v>
      </c>
      <c r="AG240" s="4">
        <v>0</v>
      </c>
      <c r="AH240" s="4">
        <v>0</v>
      </c>
      <c r="AI240" s="4">
        <v>0</v>
      </c>
      <c r="AJ240" s="4">
        <v>0</v>
      </c>
      <c r="AK240" s="4">
        <v>0</v>
      </c>
      <c r="AL240" s="4">
        <v>0</v>
      </c>
      <c r="AM240">
        <v>0</v>
      </c>
      <c r="AN240">
        <v>0</v>
      </c>
      <c r="AO240">
        <v>0</v>
      </c>
      <c r="AP240">
        <v>0</v>
      </c>
      <c r="AQ240">
        <v>0</v>
      </c>
      <c r="AR240">
        <v>0</v>
      </c>
      <c r="AS240">
        <v>0</v>
      </c>
      <c r="AT240">
        <v>0</v>
      </c>
      <c r="AU240">
        <v>0</v>
      </c>
      <c r="AV240">
        <v>0</v>
      </c>
      <c r="AW240">
        <v>0</v>
      </c>
      <c r="AX240">
        <v>0</v>
      </c>
      <c r="AY240">
        <v>0</v>
      </c>
    </row>
    <row r="241" spans="1:51">
      <c r="A241" t="s">
        <v>16974</v>
      </c>
      <c r="B241" t="s">
        <v>17142</v>
      </c>
      <c r="C241">
        <v>3</v>
      </c>
      <c r="D241">
        <v>9</v>
      </c>
      <c r="E241">
        <v>9</v>
      </c>
      <c r="F241">
        <v>9</v>
      </c>
      <c r="G241">
        <v>1</v>
      </c>
      <c r="H241">
        <v>1</v>
      </c>
      <c r="I241">
        <v>1</v>
      </c>
      <c r="J241">
        <v>9</v>
      </c>
      <c r="K241">
        <v>102</v>
      </c>
      <c r="L241">
        <v>9</v>
      </c>
      <c r="M241">
        <v>0</v>
      </c>
      <c r="N241">
        <v>0</v>
      </c>
      <c r="O241">
        <v>0</v>
      </c>
      <c r="P241">
        <v>0</v>
      </c>
      <c r="Q241">
        <v>0</v>
      </c>
      <c r="R241">
        <v>0</v>
      </c>
      <c r="S241">
        <v>7</v>
      </c>
      <c r="T241">
        <v>40.5</v>
      </c>
      <c r="U241">
        <v>0</v>
      </c>
      <c r="V241">
        <v>47.5</v>
      </c>
      <c r="W241" s="4">
        <v>830</v>
      </c>
      <c r="X241" s="4">
        <v>0</v>
      </c>
      <c r="Y241">
        <v>7</v>
      </c>
      <c r="Z241">
        <v>0</v>
      </c>
      <c r="AA241" s="4">
        <v>-20</v>
      </c>
      <c r="AB241" s="4">
        <v>715</v>
      </c>
      <c r="AC241" s="4">
        <v>167.93</v>
      </c>
      <c r="AD241" s="4">
        <v>167.93</v>
      </c>
      <c r="AE241" s="4">
        <v>879.93</v>
      </c>
      <c r="AF241" s="4">
        <v>882.93</v>
      </c>
      <c r="AG241" s="4">
        <v>997.93</v>
      </c>
      <c r="AH241" s="4">
        <v>118</v>
      </c>
      <c r="AI241" s="4">
        <v>847</v>
      </c>
      <c r="AJ241" s="4">
        <v>840.5</v>
      </c>
      <c r="AK241" s="4">
        <v>870.5</v>
      </c>
      <c r="AL241" s="4">
        <v>23.5</v>
      </c>
      <c r="AM241">
        <v>102</v>
      </c>
      <c r="AN241">
        <v>48</v>
      </c>
      <c r="AO241">
        <v>39</v>
      </c>
      <c r="AP241">
        <v>15</v>
      </c>
      <c r="AQ241">
        <v>7</v>
      </c>
      <c r="AR241">
        <v>2</v>
      </c>
      <c r="AS241">
        <v>2.5</v>
      </c>
      <c r="AT241">
        <v>2.5</v>
      </c>
      <c r="AU241">
        <v>40.5</v>
      </c>
      <c r="AV241">
        <v>36.25</v>
      </c>
      <c r="AW241">
        <v>3</v>
      </c>
      <c r="AX241">
        <v>1.25</v>
      </c>
      <c r="AY241">
        <v>9</v>
      </c>
    </row>
    <row r="242" spans="1:51">
      <c r="A242" t="s">
        <v>16974</v>
      </c>
      <c r="B242" t="s">
        <v>17143</v>
      </c>
      <c r="C242">
        <v>0</v>
      </c>
      <c r="D242">
        <v>5</v>
      </c>
      <c r="E242">
        <v>5</v>
      </c>
      <c r="F242">
        <v>5</v>
      </c>
      <c r="G242">
        <v>3</v>
      </c>
      <c r="H242">
        <v>1</v>
      </c>
      <c r="I242">
        <v>1</v>
      </c>
      <c r="J242">
        <v>5</v>
      </c>
      <c r="K242">
        <v>91</v>
      </c>
      <c r="L242">
        <v>4</v>
      </c>
      <c r="M242">
        <v>0</v>
      </c>
      <c r="N242">
        <v>1</v>
      </c>
      <c r="O242">
        <v>0</v>
      </c>
      <c r="P242">
        <v>0</v>
      </c>
      <c r="Q242">
        <v>0</v>
      </c>
      <c r="R242">
        <v>0</v>
      </c>
      <c r="S242">
        <v>2.5</v>
      </c>
      <c r="T242">
        <v>38.25</v>
      </c>
      <c r="U242">
        <v>0</v>
      </c>
      <c r="V242">
        <v>40.75</v>
      </c>
      <c r="W242" s="4">
        <v>790</v>
      </c>
      <c r="X242" s="4">
        <v>0</v>
      </c>
      <c r="Y242">
        <v>3</v>
      </c>
      <c r="Z242">
        <v>0</v>
      </c>
      <c r="AA242" s="4">
        <v>0</v>
      </c>
      <c r="AB242" s="4">
        <v>715</v>
      </c>
      <c r="AC242" s="4">
        <v>136.43</v>
      </c>
      <c r="AD242" s="4">
        <v>136.43</v>
      </c>
      <c r="AE242" s="4">
        <v>857.93</v>
      </c>
      <c r="AF242" s="4">
        <v>851.43</v>
      </c>
      <c r="AG242" s="4">
        <v>926.43</v>
      </c>
      <c r="AH242" s="4">
        <v>68.5</v>
      </c>
      <c r="AI242" s="4">
        <v>847</v>
      </c>
      <c r="AJ242" s="4">
        <v>840.5</v>
      </c>
      <c r="AK242" s="4">
        <v>870.5</v>
      </c>
      <c r="AL242" s="4">
        <v>23.5</v>
      </c>
      <c r="AM242">
        <v>91</v>
      </c>
      <c r="AN242">
        <v>48</v>
      </c>
      <c r="AO242">
        <v>43</v>
      </c>
      <c r="AP242">
        <v>0</v>
      </c>
      <c r="AQ242">
        <v>2.5</v>
      </c>
      <c r="AR242">
        <v>2</v>
      </c>
      <c r="AS242">
        <v>0.5</v>
      </c>
      <c r="AT242">
        <v>0</v>
      </c>
      <c r="AU242">
        <v>38.25</v>
      </c>
      <c r="AV242">
        <v>36.25</v>
      </c>
      <c r="AW242">
        <v>2</v>
      </c>
      <c r="AX242">
        <v>0</v>
      </c>
    </row>
    <row r="243" spans="1:51">
      <c r="A243" t="s">
        <v>16974</v>
      </c>
      <c r="B243" t="s">
        <v>17144</v>
      </c>
      <c r="C243">
        <v>0</v>
      </c>
      <c r="D243">
        <v>9</v>
      </c>
      <c r="E243">
        <v>0</v>
      </c>
      <c r="F243">
        <v>9</v>
      </c>
      <c r="G243">
        <v>0</v>
      </c>
      <c r="H243">
        <v>0</v>
      </c>
      <c r="I243">
        <v>0</v>
      </c>
      <c r="J243">
        <v>9</v>
      </c>
      <c r="K243">
        <v>9</v>
      </c>
      <c r="L243">
        <v>9</v>
      </c>
      <c r="M243">
        <v>0</v>
      </c>
      <c r="N243">
        <v>0</v>
      </c>
      <c r="O243">
        <v>0</v>
      </c>
      <c r="P243">
        <v>0</v>
      </c>
      <c r="Q243">
        <v>0</v>
      </c>
      <c r="R243">
        <v>0</v>
      </c>
      <c r="S243">
        <v>2.25</v>
      </c>
      <c r="T243">
        <v>0</v>
      </c>
      <c r="U243">
        <v>0</v>
      </c>
      <c r="V243">
        <v>2.25</v>
      </c>
      <c r="W243" s="4">
        <v>22.5</v>
      </c>
      <c r="X243" s="4">
        <v>0</v>
      </c>
      <c r="Y243">
        <v>0</v>
      </c>
      <c r="Z243">
        <v>0</v>
      </c>
      <c r="AA243" s="4">
        <v>0</v>
      </c>
      <c r="AB243" s="4">
        <v>22.5</v>
      </c>
      <c r="AC243" s="4">
        <v>0</v>
      </c>
      <c r="AD243" s="4">
        <v>0</v>
      </c>
      <c r="AE243" s="4">
        <v>0</v>
      </c>
      <c r="AF243" s="4">
        <v>22.5</v>
      </c>
      <c r="AG243" s="4">
        <v>22.5</v>
      </c>
      <c r="AH243" s="4">
        <v>22.5</v>
      </c>
      <c r="AI243" s="4">
        <v>0</v>
      </c>
      <c r="AJ243" s="4">
        <v>0</v>
      </c>
      <c r="AK243" s="4">
        <v>0</v>
      </c>
      <c r="AL243" s="4">
        <v>0</v>
      </c>
      <c r="AM243">
        <v>9</v>
      </c>
      <c r="AN243">
        <v>0</v>
      </c>
      <c r="AO243">
        <v>9</v>
      </c>
      <c r="AP243">
        <v>0</v>
      </c>
      <c r="AQ243">
        <v>2.25</v>
      </c>
      <c r="AR243">
        <v>0</v>
      </c>
      <c r="AS243">
        <v>2.25</v>
      </c>
      <c r="AT243">
        <v>0</v>
      </c>
      <c r="AU243">
        <v>0</v>
      </c>
      <c r="AV243">
        <v>0</v>
      </c>
      <c r="AW243">
        <v>0</v>
      </c>
      <c r="AX243">
        <v>0</v>
      </c>
      <c r="AY243">
        <v>683</v>
      </c>
    </row>
    <row r="244" spans="1:51">
      <c r="A244" t="s">
        <v>16974</v>
      </c>
      <c r="B244" t="s">
        <v>17145</v>
      </c>
      <c r="C244">
        <v>0</v>
      </c>
      <c r="D244">
        <v>5</v>
      </c>
      <c r="E244">
        <v>0</v>
      </c>
      <c r="F244">
        <v>4</v>
      </c>
      <c r="G244">
        <v>1</v>
      </c>
      <c r="H244">
        <v>0</v>
      </c>
      <c r="I244">
        <v>0</v>
      </c>
      <c r="J244">
        <v>5</v>
      </c>
      <c r="K244">
        <v>33</v>
      </c>
      <c r="L244">
        <v>3</v>
      </c>
      <c r="M244">
        <v>1</v>
      </c>
      <c r="N244">
        <v>1</v>
      </c>
      <c r="O244">
        <v>0</v>
      </c>
      <c r="P244">
        <v>0</v>
      </c>
      <c r="Q244">
        <v>0</v>
      </c>
      <c r="R244">
        <v>0</v>
      </c>
      <c r="S244">
        <v>2.75</v>
      </c>
      <c r="T244">
        <v>0</v>
      </c>
      <c r="U244">
        <v>0</v>
      </c>
      <c r="V244">
        <v>2.75</v>
      </c>
      <c r="W244" s="4">
        <v>27.5</v>
      </c>
      <c r="X244" s="4">
        <v>0</v>
      </c>
      <c r="Y244">
        <v>5</v>
      </c>
      <c r="Z244">
        <v>0</v>
      </c>
      <c r="AA244" s="4">
        <v>0</v>
      </c>
      <c r="AB244" s="4">
        <v>0</v>
      </c>
      <c r="AC244" s="4">
        <v>0</v>
      </c>
      <c r="AD244" s="4">
        <v>0</v>
      </c>
      <c r="AE244" s="4">
        <v>0</v>
      </c>
      <c r="AF244" s="4">
        <v>0</v>
      </c>
      <c r="AG244" s="4">
        <v>27.5</v>
      </c>
      <c r="AH244" s="4">
        <v>27.5</v>
      </c>
      <c r="AI244" s="4">
        <v>0</v>
      </c>
      <c r="AJ244" s="4">
        <v>0</v>
      </c>
      <c r="AK244" s="4">
        <v>0</v>
      </c>
      <c r="AL244" s="4">
        <v>0</v>
      </c>
      <c r="AM244">
        <v>33</v>
      </c>
      <c r="AN244">
        <v>0</v>
      </c>
      <c r="AO244">
        <v>33</v>
      </c>
      <c r="AP244">
        <v>0</v>
      </c>
      <c r="AQ244">
        <v>2.75</v>
      </c>
      <c r="AR244">
        <v>0</v>
      </c>
      <c r="AS244">
        <v>2.75</v>
      </c>
      <c r="AT244">
        <v>0</v>
      </c>
      <c r="AU244">
        <v>0</v>
      </c>
      <c r="AV244">
        <v>0</v>
      </c>
      <c r="AW244">
        <v>0</v>
      </c>
      <c r="AX244">
        <v>0</v>
      </c>
      <c r="AY244">
        <v>5</v>
      </c>
    </row>
    <row r="245" spans="1:51">
      <c r="A245" t="s">
        <v>16974</v>
      </c>
      <c r="B245" t="s">
        <v>17146</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s="4">
        <v>0</v>
      </c>
      <c r="X245" s="4">
        <v>0</v>
      </c>
      <c r="Y245">
        <v>0</v>
      </c>
      <c r="Z245">
        <v>0</v>
      </c>
      <c r="AA245" s="4">
        <v>0</v>
      </c>
      <c r="AB245" s="4">
        <v>0</v>
      </c>
      <c r="AC245" s="4">
        <v>0</v>
      </c>
      <c r="AD245" s="4">
        <v>0</v>
      </c>
      <c r="AE245" s="4">
        <v>0</v>
      </c>
      <c r="AF245" s="4">
        <v>0</v>
      </c>
      <c r="AG245" s="4">
        <v>0</v>
      </c>
      <c r="AH245" s="4">
        <v>0</v>
      </c>
      <c r="AI245" s="4">
        <v>0</v>
      </c>
      <c r="AJ245" s="4">
        <v>0</v>
      </c>
      <c r="AK245" s="4">
        <v>0</v>
      </c>
      <c r="AL245" s="4">
        <v>0</v>
      </c>
      <c r="AM245">
        <v>0</v>
      </c>
      <c r="AN245">
        <v>0</v>
      </c>
      <c r="AO245">
        <v>0</v>
      </c>
      <c r="AP245">
        <v>0</v>
      </c>
      <c r="AQ245">
        <v>0</v>
      </c>
      <c r="AR245">
        <v>0</v>
      </c>
      <c r="AS245">
        <v>0</v>
      </c>
      <c r="AT245">
        <v>0</v>
      </c>
      <c r="AU245">
        <v>0</v>
      </c>
      <c r="AV245">
        <v>0</v>
      </c>
      <c r="AW245">
        <v>0</v>
      </c>
      <c r="AX245">
        <v>0</v>
      </c>
      <c r="AY245">
        <v>0</v>
      </c>
    </row>
    <row r="246" spans="1:51">
      <c r="A246" t="s">
        <v>16974</v>
      </c>
      <c r="B246" t="s">
        <v>17123</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s="4">
        <v>0</v>
      </c>
      <c r="X246" s="4">
        <v>0</v>
      </c>
      <c r="Y246">
        <v>0</v>
      </c>
      <c r="Z246">
        <v>0</v>
      </c>
      <c r="AA246" s="4">
        <v>0</v>
      </c>
      <c r="AB246" s="4">
        <v>0</v>
      </c>
      <c r="AC246" s="4">
        <v>0</v>
      </c>
      <c r="AD246" s="4">
        <v>0</v>
      </c>
      <c r="AE246" s="4">
        <v>0</v>
      </c>
      <c r="AF246" s="4">
        <v>0</v>
      </c>
      <c r="AG246" s="4">
        <v>0</v>
      </c>
      <c r="AH246" s="4">
        <v>0</v>
      </c>
      <c r="AI246" s="4">
        <v>0</v>
      </c>
      <c r="AJ246" s="4">
        <v>0</v>
      </c>
      <c r="AK246" s="4">
        <v>0</v>
      </c>
      <c r="AL246" s="4">
        <v>0</v>
      </c>
      <c r="AM246">
        <v>0</v>
      </c>
      <c r="AN246">
        <v>0</v>
      </c>
      <c r="AO246">
        <v>0</v>
      </c>
      <c r="AP246">
        <v>0</v>
      </c>
      <c r="AQ246">
        <v>0</v>
      </c>
      <c r="AR246">
        <v>0</v>
      </c>
      <c r="AS246">
        <v>0</v>
      </c>
      <c r="AT246">
        <v>0</v>
      </c>
      <c r="AU246">
        <v>0</v>
      </c>
      <c r="AV246">
        <v>0</v>
      </c>
      <c r="AW246">
        <v>0</v>
      </c>
      <c r="AX246">
        <v>0</v>
      </c>
      <c r="AY246">
        <v>80000</v>
      </c>
    </row>
    <row r="247" spans="1:51">
      <c r="A247" t="s">
        <v>16974</v>
      </c>
      <c r="B247" t="s">
        <v>17104</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s="4">
        <v>0</v>
      </c>
      <c r="X247" s="4">
        <v>0</v>
      </c>
      <c r="Y247">
        <v>0</v>
      </c>
      <c r="Z247">
        <v>0</v>
      </c>
      <c r="AA247" s="4">
        <v>0</v>
      </c>
      <c r="AB247" s="4">
        <v>0</v>
      </c>
      <c r="AC247" s="4">
        <v>0</v>
      </c>
      <c r="AD247" s="4">
        <v>0</v>
      </c>
      <c r="AE247" s="4">
        <v>0</v>
      </c>
      <c r="AF247" s="4">
        <v>0</v>
      </c>
      <c r="AG247" s="4">
        <v>0</v>
      </c>
      <c r="AH247" s="4">
        <v>0</v>
      </c>
      <c r="AI247" s="4">
        <v>0</v>
      </c>
      <c r="AJ247" s="4">
        <v>0</v>
      </c>
      <c r="AK247" s="4">
        <v>0</v>
      </c>
      <c r="AL247" s="4">
        <v>0</v>
      </c>
      <c r="AM247">
        <v>0</v>
      </c>
      <c r="AN247">
        <v>0</v>
      </c>
      <c r="AO247">
        <v>0</v>
      </c>
      <c r="AP247">
        <v>0</v>
      </c>
      <c r="AQ247">
        <v>0</v>
      </c>
      <c r="AR247">
        <v>0</v>
      </c>
      <c r="AS247">
        <v>0</v>
      </c>
      <c r="AT247">
        <v>0</v>
      </c>
      <c r="AU247">
        <v>0</v>
      </c>
      <c r="AV247">
        <v>0</v>
      </c>
      <c r="AW247">
        <v>0</v>
      </c>
      <c r="AX247">
        <v>0</v>
      </c>
      <c r="AY247">
        <v>0</v>
      </c>
    </row>
    <row r="248" spans="1:51">
      <c r="A248" t="s">
        <v>16974</v>
      </c>
      <c r="B248" t="s">
        <v>17105</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s="4">
        <v>0</v>
      </c>
      <c r="X248" s="4">
        <v>0</v>
      </c>
      <c r="Y248">
        <v>0</v>
      </c>
      <c r="Z248">
        <v>0</v>
      </c>
      <c r="AA248" s="4">
        <v>0</v>
      </c>
      <c r="AB248" s="4">
        <v>0</v>
      </c>
      <c r="AC248" s="4">
        <v>0</v>
      </c>
      <c r="AD248" s="4">
        <v>0</v>
      </c>
      <c r="AE248" s="4">
        <v>0</v>
      </c>
      <c r="AF248" s="4">
        <v>0</v>
      </c>
      <c r="AG248" s="4">
        <v>0</v>
      </c>
      <c r="AH248" s="4">
        <v>0</v>
      </c>
      <c r="AI248" s="4">
        <v>0</v>
      </c>
      <c r="AJ248" s="4">
        <v>0</v>
      </c>
      <c r="AK248" s="4">
        <v>0</v>
      </c>
      <c r="AL248" s="4">
        <v>0</v>
      </c>
      <c r="AM248">
        <v>0</v>
      </c>
      <c r="AN248">
        <v>0</v>
      </c>
      <c r="AO248">
        <v>0</v>
      </c>
      <c r="AP248">
        <v>0</v>
      </c>
      <c r="AQ248">
        <v>0</v>
      </c>
      <c r="AR248">
        <v>0</v>
      </c>
      <c r="AS248">
        <v>0</v>
      </c>
      <c r="AT248">
        <v>0</v>
      </c>
      <c r="AU248">
        <v>0</v>
      </c>
      <c r="AV248">
        <v>0</v>
      </c>
      <c r="AW248">
        <v>0</v>
      </c>
      <c r="AX248">
        <v>0</v>
      </c>
      <c r="AY248">
        <v>0</v>
      </c>
    </row>
    <row r="249" spans="1:51">
      <c r="A249" t="s">
        <v>16974</v>
      </c>
      <c r="B249" t="s">
        <v>17106</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s="4">
        <v>0</v>
      </c>
      <c r="X249" s="4">
        <v>0</v>
      </c>
      <c r="Y249">
        <v>0</v>
      </c>
      <c r="Z249">
        <v>0</v>
      </c>
      <c r="AA249" s="4">
        <v>0</v>
      </c>
      <c r="AB249" s="4">
        <v>0</v>
      </c>
      <c r="AC249" s="4">
        <v>0</v>
      </c>
      <c r="AD249" s="4">
        <v>0</v>
      </c>
      <c r="AE249" s="4">
        <v>0</v>
      </c>
      <c r="AF249" s="4">
        <v>0</v>
      </c>
      <c r="AG249" s="4">
        <v>0</v>
      </c>
      <c r="AH249" s="4">
        <v>0</v>
      </c>
      <c r="AI249" s="4">
        <v>0</v>
      </c>
      <c r="AJ249" s="4">
        <v>0</v>
      </c>
      <c r="AK249" s="4">
        <v>0</v>
      </c>
      <c r="AL249" s="4">
        <v>0</v>
      </c>
      <c r="AM249">
        <v>0</v>
      </c>
      <c r="AN249">
        <v>0</v>
      </c>
      <c r="AO249">
        <v>0</v>
      </c>
      <c r="AP249">
        <v>0</v>
      </c>
      <c r="AQ249">
        <v>0</v>
      </c>
      <c r="AR249">
        <v>0</v>
      </c>
      <c r="AS249">
        <v>0</v>
      </c>
      <c r="AT249">
        <v>0</v>
      </c>
      <c r="AU249">
        <v>0</v>
      </c>
      <c r="AV249">
        <v>0</v>
      </c>
      <c r="AW249">
        <v>0</v>
      </c>
      <c r="AX249">
        <v>0</v>
      </c>
      <c r="AY249">
        <v>784</v>
      </c>
    </row>
    <row r="250" spans="1:51">
      <c r="A250" t="s">
        <v>16974</v>
      </c>
      <c r="B250" t="s">
        <v>17107</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s="4">
        <v>0</v>
      </c>
      <c r="X250" s="4">
        <v>0</v>
      </c>
      <c r="Y250">
        <v>0</v>
      </c>
      <c r="Z250">
        <v>0</v>
      </c>
      <c r="AA250" s="4">
        <v>0</v>
      </c>
      <c r="AB250" s="4">
        <v>0</v>
      </c>
      <c r="AC250" s="4">
        <v>0</v>
      </c>
      <c r="AD250" s="4">
        <v>0</v>
      </c>
      <c r="AE250" s="4">
        <v>0</v>
      </c>
      <c r="AF250" s="4">
        <v>0</v>
      </c>
      <c r="AG250" s="4">
        <v>0</v>
      </c>
      <c r="AH250" s="4">
        <v>0</v>
      </c>
      <c r="AI250" s="4">
        <v>0</v>
      </c>
      <c r="AJ250" s="4">
        <v>0</v>
      </c>
      <c r="AK250" s="4">
        <v>0</v>
      </c>
      <c r="AL250" s="4">
        <v>0</v>
      </c>
      <c r="AM250">
        <v>0</v>
      </c>
      <c r="AN250">
        <v>0</v>
      </c>
      <c r="AO250">
        <v>0</v>
      </c>
      <c r="AP250">
        <v>0</v>
      </c>
      <c r="AQ250">
        <v>0</v>
      </c>
      <c r="AR250">
        <v>0</v>
      </c>
      <c r="AS250">
        <v>0</v>
      </c>
      <c r="AT250">
        <v>0</v>
      </c>
      <c r="AU250">
        <v>0</v>
      </c>
      <c r="AV250">
        <v>0</v>
      </c>
      <c r="AW250">
        <v>0</v>
      </c>
      <c r="AX250">
        <v>0</v>
      </c>
      <c r="AY250">
        <v>0</v>
      </c>
    </row>
    <row r="251" spans="1:51">
      <c r="A251" t="s">
        <v>16974</v>
      </c>
      <c r="B251" t="s">
        <v>17112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s="4">
        <v>0</v>
      </c>
      <c r="X251" s="4">
        <v>0</v>
      </c>
      <c r="Y251">
        <v>0</v>
      </c>
      <c r="Z251">
        <v>0</v>
      </c>
      <c r="AA251" s="4">
        <v>0</v>
      </c>
      <c r="AB251" s="4">
        <v>0</v>
      </c>
      <c r="AC251" s="4">
        <v>0</v>
      </c>
      <c r="AD251" s="4">
        <v>0</v>
      </c>
      <c r="AE251" s="4">
        <v>0</v>
      </c>
      <c r="AF251" s="4">
        <v>0</v>
      </c>
      <c r="AG251" s="4">
        <v>0</v>
      </c>
      <c r="AH251" s="4">
        <v>0</v>
      </c>
      <c r="AI251" s="4">
        <v>0</v>
      </c>
      <c r="AJ251" s="4">
        <v>0</v>
      </c>
      <c r="AK251" s="4">
        <v>0</v>
      </c>
      <c r="AL251" s="4">
        <v>0</v>
      </c>
      <c r="AM251">
        <v>0</v>
      </c>
      <c r="AN251">
        <v>0</v>
      </c>
      <c r="AO251">
        <v>0</v>
      </c>
      <c r="AP251">
        <v>0</v>
      </c>
      <c r="AQ251">
        <v>0</v>
      </c>
      <c r="AR251">
        <v>0</v>
      </c>
      <c r="AS251">
        <v>0</v>
      </c>
      <c r="AT251">
        <v>0</v>
      </c>
      <c r="AU251">
        <v>0</v>
      </c>
      <c r="AV251">
        <v>0</v>
      </c>
      <c r="AW251">
        <v>0</v>
      </c>
      <c r="AX251">
        <v>0</v>
      </c>
      <c r="AY251">
        <v>0</v>
      </c>
    </row>
    <row r="252" spans="1:51">
      <c r="A252" t="s">
        <v>16974</v>
      </c>
      <c r="B252" t="s">
        <v>17113</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s="4">
        <v>0</v>
      </c>
      <c r="X252" s="4">
        <v>0</v>
      </c>
      <c r="Y252">
        <v>0</v>
      </c>
      <c r="Z252">
        <v>0</v>
      </c>
      <c r="AA252" s="4">
        <v>0</v>
      </c>
      <c r="AB252" s="4">
        <v>0</v>
      </c>
      <c r="AC252" s="4">
        <v>0</v>
      </c>
      <c r="AE252" s="4">
        <v>0</v>
      </c>
      <c r="AF252" s="4">
        <v>0</v>
      </c>
      <c r="AG252" s="4">
        <v>0</v>
      </c>
      <c r="AH252" s="4">
        <v>0</v>
      </c>
      <c r="AI252" s="4">
        <v>0</v>
      </c>
      <c r="AJ252" s="4">
        <v>0</v>
      </c>
      <c r="AK252" s="4">
        <v>0</v>
      </c>
      <c r="AL252" s="4">
        <v>0</v>
      </c>
      <c r="AM252">
        <v>0</v>
      </c>
      <c r="AN252">
        <v>0</v>
      </c>
      <c r="AO252">
        <v>0</v>
      </c>
      <c r="AP252">
        <v>0</v>
      </c>
      <c r="AQ252">
        <v>0</v>
      </c>
      <c r="AR252">
        <v>0</v>
      </c>
      <c r="AS252">
        <v>0</v>
      </c>
      <c r="AT252">
        <v>0</v>
      </c>
      <c r="AU252">
        <v>0</v>
      </c>
      <c r="AV252">
        <v>0</v>
      </c>
      <c r="AW252">
        <v>0</v>
      </c>
      <c r="AX252">
        <v>0</v>
      </c>
      <c r="AY252">
        <v>0</v>
      </c>
    </row>
    <row r="253" spans="1:51">
      <c r="A253" t="s">
        <v>16974</v>
      </c>
      <c r="B253" t="s">
        <v>17114</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s="4">
        <v>0</v>
      </c>
      <c r="X253" s="4">
        <v>0</v>
      </c>
      <c r="Y253">
        <v>0</v>
      </c>
      <c r="Z253">
        <v>0</v>
      </c>
      <c r="AA253" s="4">
        <v>0</v>
      </c>
      <c r="AB253" s="4">
        <v>0</v>
      </c>
      <c r="AC253" s="4">
        <v>0</v>
      </c>
      <c r="AD253" s="4">
        <v>0</v>
      </c>
      <c r="AE253" s="4">
        <v>0</v>
      </c>
      <c r="AF253" s="4">
        <v>0</v>
      </c>
      <c r="AG253" s="4">
        <v>0</v>
      </c>
      <c r="AH253" s="4">
        <v>0</v>
      </c>
      <c r="AI253" s="4">
        <v>0</v>
      </c>
      <c r="AJ253" s="4">
        <v>0</v>
      </c>
      <c r="AK253" s="4">
        <v>0</v>
      </c>
      <c r="AL253" s="4">
        <v>0</v>
      </c>
      <c r="AM253">
        <v>0</v>
      </c>
      <c r="AN253">
        <v>0</v>
      </c>
      <c r="AO253">
        <v>0</v>
      </c>
      <c r="AP253">
        <v>0</v>
      </c>
      <c r="AQ253">
        <v>0</v>
      </c>
      <c r="AR253">
        <v>0</v>
      </c>
      <c r="AS253">
        <v>0</v>
      </c>
      <c r="AT253">
        <v>0</v>
      </c>
      <c r="AU253">
        <v>0</v>
      </c>
      <c r="AV253">
        <v>0</v>
      </c>
      <c r="AW253">
        <v>0</v>
      </c>
      <c r="AX253">
        <v>0</v>
      </c>
      <c r="AY253">
        <v>0</v>
      </c>
    </row>
    <row r="254" spans="1:51">
      <c r="A254" t="s">
        <v>16974</v>
      </c>
      <c r="B254" t="s">
        <v>17147</v>
      </c>
      <c r="C254">
        <v>2</v>
      </c>
      <c r="D254">
        <v>4</v>
      </c>
      <c r="E254">
        <v>4</v>
      </c>
      <c r="F254">
        <v>4</v>
      </c>
      <c r="G254">
        <v>0</v>
      </c>
      <c r="H254">
        <v>0</v>
      </c>
      <c r="I254">
        <v>0</v>
      </c>
      <c r="J254">
        <v>4</v>
      </c>
      <c r="K254">
        <v>29</v>
      </c>
      <c r="L254">
        <v>4</v>
      </c>
      <c r="M254">
        <v>0</v>
      </c>
      <c r="N254">
        <v>0</v>
      </c>
      <c r="O254">
        <v>0</v>
      </c>
      <c r="P254">
        <v>0</v>
      </c>
      <c r="Q254">
        <v>0</v>
      </c>
      <c r="R254">
        <v>0</v>
      </c>
      <c r="S254">
        <v>4.5</v>
      </c>
      <c r="T254">
        <v>2.25</v>
      </c>
      <c r="U254">
        <v>0</v>
      </c>
      <c r="V254">
        <v>6.75</v>
      </c>
      <c r="W254" s="4">
        <v>40</v>
      </c>
      <c r="X254" s="4">
        <v>0</v>
      </c>
      <c r="Y254">
        <v>4</v>
      </c>
      <c r="Z254">
        <v>0</v>
      </c>
      <c r="AA254" s="4">
        <v>-53</v>
      </c>
      <c r="AB254" s="4">
        <v>0</v>
      </c>
      <c r="AC254" s="4">
        <v>31.5</v>
      </c>
      <c r="AD254" s="4">
        <v>31.5</v>
      </c>
      <c r="AE254" s="4">
        <v>22</v>
      </c>
      <c r="AF254" s="4">
        <v>31.5</v>
      </c>
      <c r="AG254" s="4">
        <v>71.5</v>
      </c>
      <c r="AH254" s="4">
        <v>49.5</v>
      </c>
      <c r="AI254" s="4">
        <v>0</v>
      </c>
      <c r="AJ254" s="4">
        <v>0</v>
      </c>
      <c r="AK254" s="4">
        <v>0</v>
      </c>
      <c r="AL254" s="4">
        <v>0</v>
      </c>
      <c r="AM254">
        <v>29</v>
      </c>
      <c r="AN254">
        <v>0</v>
      </c>
      <c r="AO254">
        <v>18</v>
      </c>
      <c r="AP254">
        <v>11</v>
      </c>
      <c r="AQ254">
        <v>4.5</v>
      </c>
      <c r="AR254">
        <v>0</v>
      </c>
      <c r="AS254">
        <v>2</v>
      </c>
      <c r="AT254">
        <v>2.5</v>
      </c>
      <c r="AU254">
        <v>2.25</v>
      </c>
      <c r="AV254">
        <v>0</v>
      </c>
      <c r="AW254">
        <v>1</v>
      </c>
      <c r="AX254">
        <v>1.25</v>
      </c>
    </row>
    <row r="255" spans="1:51">
      <c r="A255" t="s">
        <v>16974</v>
      </c>
      <c r="B255" t="s">
        <v>17124</v>
      </c>
      <c r="C255">
        <v>0</v>
      </c>
      <c r="D255">
        <v>0</v>
      </c>
      <c r="E255">
        <v>0</v>
      </c>
      <c r="F255">
        <v>0</v>
      </c>
      <c r="G255">
        <v>0</v>
      </c>
      <c r="H255">
        <v>0</v>
      </c>
      <c r="I255">
        <v>0</v>
      </c>
      <c r="J255">
        <v>0</v>
      </c>
      <c r="K255">
        <v>0</v>
      </c>
      <c r="L255">
        <v>0</v>
      </c>
      <c r="M255">
        <v>0</v>
      </c>
      <c r="N255">
        <v>0</v>
      </c>
      <c r="O255">
        <v>0</v>
      </c>
      <c r="P255">
        <v>0</v>
      </c>
      <c r="Q255">
        <v>0</v>
      </c>
      <c r="R255">
        <v>0</v>
      </c>
      <c r="S255">
        <v>0</v>
      </c>
      <c r="V255">
        <v>0</v>
      </c>
      <c r="W255" s="4">
        <v>0</v>
      </c>
      <c r="X255" s="4">
        <v>0</v>
      </c>
      <c r="AA255" s="4">
        <v>0</v>
      </c>
      <c r="AB255" s="4">
        <v>0</v>
      </c>
      <c r="AC255" s="4">
        <v>0</v>
      </c>
      <c r="AD255" s="4">
        <v>0</v>
      </c>
      <c r="AE255" s="4">
        <v>0</v>
      </c>
      <c r="AF255" s="4">
        <v>0</v>
      </c>
      <c r="AG255" s="4">
        <v>0</v>
      </c>
      <c r="AH255" s="4">
        <v>0</v>
      </c>
      <c r="AI255" s="4">
        <v>0</v>
      </c>
      <c r="AJ255" s="4">
        <v>0</v>
      </c>
      <c r="AK255" s="4">
        <v>0</v>
      </c>
      <c r="AL255" s="4">
        <v>0</v>
      </c>
      <c r="AM255">
        <v>0</v>
      </c>
      <c r="AN255">
        <v>0</v>
      </c>
      <c r="AO255">
        <v>0</v>
      </c>
      <c r="AP255">
        <v>0</v>
      </c>
      <c r="AQ255">
        <v>0</v>
      </c>
      <c r="AR255">
        <v>0</v>
      </c>
      <c r="AS255">
        <v>0</v>
      </c>
      <c r="AT255">
        <v>0</v>
      </c>
      <c r="AY255">
        <v>0</v>
      </c>
    </row>
    <row r="256" spans="1:51">
      <c r="A256" t="s">
        <v>17148</v>
      </c>
      <c r="B256" t="s">
        <v>17149</v>
      </c>
      <c r="C256">
        <v>0</v>
      </c>
      <c r="D256">
        <v>9</v>
      </c>
      <c r="E256">
        <v>9</v>
      </c>
      <c r="F256">
        <v>8</v>
      </c>
      <c r="G256">
        <v>1</v>
      </c>
      <c r="H256">
        <v>0</v>
      </c>
      <c r="I256">
        <v>0</v>
      </c>
      <c r="J256">
        <v>9</v>
      </c>
      <c r="K256">
        <v>23</v>
      </c>
      <c r="L256">
        <v>8</v>
      </c>
      <c r="M256">
        <v>1</v>
      </c>
      <c r="N256">
        <v>0</v>
      </c>
      <c r="O256">
        <v>0</v>
      </c>
      <c r="P256">
        <v>0</v>
      </c>
      <c r="Q256">
        <v>0</v>
      </c>
      <c r="R256">
        <v>0</v>
      </c>
      <c r="S256">
        <v>5</v>
      </c>
      <c r="T256">
        <v>3</v>
      </c>
      <c r="U256">
        <v>0</v>
      </c>
      <c r="V256">
        <v>8</v>
      </c>
      <c r="W256" s="4">
        <v>110</v>
      </c>
      <c r="X256" s="4">
        <v>2.5</v>
      </c>
      <c r="Y256">
        <v>3</v>
      </c>
      <c r="Z256">
        <v>6</v>
      </c>
      <c r="AA256" s="4">
        <v>0</v>
      </c>
      <c r="AB256" s="4">
        <v>0</v>
      </c>
      <c r="AC256" s="4">
        <v>0</v>
      </c>
      <c r="AD256" s="4">
        <v>0</v>
      </c>
      <c r="AE256" s="4">
        <v>0</v>
      </c>
      <c r="AF256" s="4">
        <v>0</v>
      </c>
      <c r="AG256" s="4">
        <v>112.5</v>
      </c>
      <c r="AH256" s="4">
        <v>112.5</v>
      </c>
      <c r="AI256" s="4">
        <v>0</v>
      </c>
      <c r="AJ256" s="4">
        <v>0</v>
      </c>
      <c r="AK256" s="4">
        <v>0</v>
      </c>
      <c r="AL256" s="4">
        <v>0</v>
      </c>
      <c r="AM256">
        <v>23</v>
      </c>
      <c r="AN256">
        <v>0</v>
      </c>
      <c r="AO256">
        <v>23</v>
      </c>
      <c r="AP256">
        <v>0</v>
      </c>
      <c r="AQ256">
        <v>5</v>
      </c>
      <c r="AR256">
        <v>0</v>
      </c>
      <c r="AS256">
        <v>5</v>
      </c>
      <c r="AT256">
        <v>0</v>
      </c>
      <c r="AU256">
        <v>3</v>
      </c>
      <c r="AV256">
        <v>0</v>
      </c>
      <c r="AW256">
        <v>3</v>
      </c>
      <c r="AX256">
        <v>0</v>
      </c>
      <c r="AY256">
        <v>2</v>
      </c>
    </row>
    <row r="257" spans="1:51">
      <c r="A257" t="s">
        <v>17150</v>
      </c>
      <c r="B257" t="s">
        <v>17407</v>
      </c>
      <c r="C257">
        <v>0</v>
      </c>
      <c r="D257">
        <v>7</v>
      </c>
      <c r="E257">
        <v>7</v>
      </c>
      <c r="F257">
        <v>7</v>
      </c>
      <c r="G257">
        <v>0</v>
      </c>
      <c r="H257">
        <v>0</v>
      </c>
      <c r="I257">
        <v>0</v>
      </c>
      <c r="J257">
        <v>7</v>
      </c>
      <c r="K257">
        <v>29</v>
      </c>
      <c r="L257">
        <v>7</v>
      </c>
      <c r="M257">
        <v>0</v>
      </c>
      <c r="N257">
        <v>0</v>
      </c>
      <c r="O257">
        <v>0</v>
      </c>
      <c r="P257">
        <v>0</v>
      </c>
      <c r="Q257">
        <v>0</v>
      </c>
      <c r="R257">
        <v>0</v>
      </c>
      <c r="S257">
        <v>1.75</v>
      </c>
      <c r="T257">
        <v>0</v>
      </c>
      <c r="U257">
        <v>0</v>
      </c>
      <c r="V257">
        <v>1.75</v>
      </c>
      <c r="W257" s="4">
        <v>17.5</v>
      </c>
      <c r="X257" s="4">
        <v>0</v>
      </c>
      <c r="Y257">
        <v>7</v>
      </c>
      <c r="Z257">
        <v>0</v>
      </c>
      <c r="AA257" s="4">
        <v>0</v>
      </c>
      <c r="AB257" s="4">
        <v>0</v>
      </c>
      <c r="AC257" s="4">
        <v>0</v>
      </c>
      <c r="AD257" s="4">
        <v>0</v>
      </c>
      <c r="AE257" s="4">
        <v>0</v>
      </c>
      <c r="AF257" s="4">
        <v>0</v>
      </c>
      <c r="AG257" s="4">
        <v>17.5</v>
      </c>
      <c r="AH257" s="4">
        <v>17.5</v>
      </c>
      <c r="AI257" s="4">
        <v>0</v>
      </c>
      <c r="AJ257" s="4">
        <v>0</v>
      </c>
      <c r="AK257" s="4">
        <v>0</v>
      </c>
      <c r="AL257" s="4">
        <v>0</v>
      </c>
      <c r="AM257">
        <v>29</v>
      </c>
      <c r="AN257">
        <v>0</v>
      </c>
      <c r="AO257">
        <v>29</v>
      </c>
      <c r="AP257">
        <v>0</v>
      </c>
      <c r="AQ257">
        <v>1.75</v>
      </c>
      <c r="AR257">
        <v>0</v>
      </c>
      <c r="AS257">
        <v>1.75</v>
      </c>
      <c r="AT257">
        <v>0</v>
      </c>
      <c r="AU257">
        <v>0</v>
      </c>
      <c r="AV257">
        <v>0</v>
      </c>
      <c r="AW257">
        <v>0</v>
      </c>
      <c r="AX257">
        <v>0</v>
      </c>
    </row>
    <row r="258" spans="1:51">
      <c r="A258" t="s">
        <v>17150</v>
      </c>
      <c r="B258" t="s">
        <v>17151</v>
      </c>
      <c r="C258">
        <v>0</v>
      </c>
      <c r="D258">
        <v>1</v>
      </c>
      <c r="E258">
        <v>1</v>
      </c>
      <c r="F258">
        <v>1</v>
      </c>
      <c r="G258">
        <v>0</v>
      </c>
      <c r="H258">
        <v>0</v>
      </c>
      <c r="I258">
        <v>0</v>
      </c>
      <c r="J258">
        <v>1</v>
      </c>
      <c r="K258">
        <v>6</v>
      </c>
      <c r="L258">
        <v>1</v>
      </c>
      <c r="M258">
        <v>0</v>
      </c>
      <c r="N258">
        <v>0</v>
      </c>
      <c r="O258">
        <v>0</v>
      </c>
      <c r="P258">
        <v>0</v>
      </c>
      <c r="Q258">
        <v>0</v>
      </c>
      <c r="R258">
        <v>0</v>
      </c>
      <c r="S258">
        <v>0</v>
      </c>
      <c r="T258">
        <v>0</v>
      </c>
      <c r="U258">
        <v>0</v>
      </c>
      <c r="V258">
        <v>0</v>
      </c>
      <c r="W258" s="4">
        <v>0</v>
      </c>
      <c r="X258" s="4">
        <v>0</v>
      </c>
      <c r="Y258">
        <v>1</v>
      </c>
      <c r="Z258">
        <v>0</v>
      </c>
      <c r="AA258" s="4">
        <v>0</v>
      </c>
      <c r="AB258" s="4">
        <v>0</v>
      </c>
      <c r="AC258" s="4">
        <v>0</v>
      </c>
      <c r="AD258" s="4">
        <v>0</v>
      </c>
      <c r="AE258" s="4">
        <v>0</v>
      </c>
      <c r="AF258" s="4">
        <v>0</v>
      </c>
      <c r="AG258" s="4">
        <v>0</v>
      </c>
      <c r="AH258" s="4">
        <v>0</v>
      </c>
      <c r="AI258" s="4">
        <v>0</v>
      </c>
      <c r="AJ258" s="4">
        <v>0</v>
      </c>
      <c r="AK258" s="4">
        <v>0</v>
      </c>
      <c r="AL258" s="4">
        <v>0</v>
      </c>
      <c r="AM258">
        <v>6</v>
      </c>
      <c r="AN258">
        <v>0</v>
      </c>
      <c r="AO258">
        <v>6</v>
      </c>
      <c r="AP258">
        <v>0</v>
      </c>
      <c r="AQ258">
        <v>0</v>
      </c>
      <c r="AR258">
        <v>0</v>
      </c>
      <c r="AS258">
        <v>0</v>
      </c>
      <c r="AT258">
        <v>0</v>
      </c>
      <c r="AU258">
        <v>0</v>
      </c>
      <c r="AV258">
        <v>0</v>
      </c>
      <c r="AW258">
        <v>0</v>
      </c>
      <c r="AX258">
        <v>0</v>
      </c>
    </row>
    <row r="259" spans="1:51">
      <c r="A259" t="s">
        <v>17150</v>
      </c>
      <c r="B259" t="s">
        <v>17408</v>
      </c>
      <c r="C259">
        <v>0</v>
      </c>
      <c r="D259">
        <v>4</v>
      </c>
      <c r="E259">
        <v>4</v>
      </c>
      <c r="F259">
        <v>4</v>
      </c>
      <c r="G259">
        <v>0</v>
      </c>
      <c r="H259">
        <v>0</v>
      </c>
      <c r="I259">
        <v>0</v>
      </c>
      <c r="J259">
        <v>4</v>
      </c>
      <c r="K259">
        <v>19</v>
      </c>
      <c r="L259">
        <v>4</v>
      </c>
      <c r="M259">
        <v>0</v>
      </c>
      <c r="N259">
        <v>0</v>
      </c>
      <c r="O259">
        <v>0</v>
      </c>
      <c r="P259">
        <v>0</v>
      </c>
      <c r="Q259">
        <v>0</v>
      </c>
      <c r="R259">
        <v>0</v>
      </c>
      <c r="S259">
        <v>1.75</v>
      </c>
      <c r="T259">
        <v>0</v>
      </c>
      <c r="U259">
        <v>0</v>
      </c>
      <c r="V259">
        <v>1.75</v>
      </c>
      <c r="W259" s="4">
        <v>17.5</v>
      </c>
      <c r="X259" s="4">
        <v>0</v>
      </c>
      <c r="Y259">
        <v>4</v>
      </c>
      <c r="Z259">
        <v>0</v>
      </c>
      <c r="AA259" s="4">
        <v>0</v>
      </c>
      <c r="AB259" s="4">
        <v>0</v>
      </c>
      <c r="AC259" s="4">
        <v>0</v>
      </c>
      <c r="AD259" s="4">
        <v>0</v>
      </c>
      <c r="AE259" s="4">
        <v>0</v>
      </c>
      <c r="AF259" s="4">
        <v>0</v>
      </c>
      <c r="AG259" s="4">
        <v>17.5</v>
      </c>
      <c r="AH259" s="4">
        <v>17.5</v>
      </c>
      <c r="AI259" s="4">
        <v>0</v>
      </c>
      <c r="AJ259" s="4">
        <v>0</v>
      </c>
      <c r="AK259" s="4">
        <v>0</v>
      </c>
      <c r="AL259" s="4">
        <v>0</v>
      </c>
      <c r="AM259">
        <v>19</v>
      </c>
      <c r="AN259">
        <v>0</v>
      </c>
      <c r="AO259">
        <v>19</v>
      </c>
      <c r="AP259">
        <v>0</v>
      </c>
      <c r="AQ259">
        <v>1.75</v>
      </c>
      <c r="AR259">
        <v>0</v>
      </c>
      <c r="AS259">
        <v>1.75</v>
      </c>
      <c r="AT259">
        <v>0</v>
      </c>
      <c r="AU259">
        <v>0</v>
      </c>
      <c r="AV259">
        <v>0</v>
      </c>
      <c r="AW259">
        <v>0</v>
      </c>
      <c r="AX259">
        <v>0</v>
      </c>
    </row>
    <row r="260" spans="1:51">
      <c r="A260" t="s">
        <v>17150</v>
      </c>
      <c r="B260" t="s">
        <v>17152</v>
      </c>
      <c r="C260">
        <v>0</v>
      </c>
      <c r="D260">
        <v>20</v>
      </c>
      <c r="E260">
        <v>20</v>
      </c>
      <c r="F260">
        <v>20</v>
      </c>
      <c r="G260">
        <v>1</v>
      </c>
      <c r="H260">
        <v>0</v>
      </c>
      <c r="I260">
        <v>0</v>
      </c>
      <c r="J260">
        <v>20</v>
      </c>
      <c r="K260">
        <v>189</v>
      </c>
      <c r="L260">
        <v>18</v>
      </c>
      <c r="M260">
        <v>1</v>
      </c>
      <c r="N260">
        <v>0</v>
      </c>
      <c r="O260">
        <v>1</v>
      </c>
      <c r="P260">
        <v>0</v>
      </c>
      <c r="Q260">
        <v>6</v>
      </c>
      <c r="R260">
        <v>0</v>
      </c>
      <c r="S260">
        <v>4.5</v>
      </c>
      <c r="T260">
        <v>2.25</v>
      </c>
      <c r="U260">
        <v>0</v>
      </c>
      <c r="V260">
        <v>6.75</v>
      </c>
      <c r="W260" s="4">
        <v>90</v>
      </c>
      <c r="X260" s="4">
        <v>0</v>
      </c>
      <c r="Y260">
        <v>7</v>
      </c>
      <c r="Z260">
        <v>0</v>
      </c>
      <c r="AA260" s="4">
        <v>0</v>
      </c>
      <c r="AB260" s="4">
        <v>32.5</v>
      </c>
      <c r="AC260" s="4">
        <v>37.75</v>
      </c>
      <c r="AD260" s="4">
        <v>131.75</v>
      </c>
      <c r="AE260" s="4">
        <v>39.75</v>
      </c>
      <c r="AF260" s="4">
        <v>164.25</v>
      </c>
      <c r="AG260" s="4">
        <v>127.75</v>
      </c>
      <c r="AH260" s="4">
        <v>88</v>
      </c>
      <c r="AI260" s="4">
        <v>0</v>
      </c>
      <c r="AJ260" s="4">
        <v>0</v>
      </c>
      <c r="AK260" s="4">
        <v>0</v>
      </c>
      <c r="AL260" s="4">
        <v>0</v>
      </c>
      <c r="AM260">
        <v>189</v>
      </c>
      <c r="AN260">
        <v>0</v>
      </c>
      <c r="AO260">
        <v>189</v>
      </c>
      <c r="AP260">
        <v>0</v>
      </c>
      <c r="AQ260">
        <v>4.5</v>
      </c>
      <c r="AR260">
        <v>0</v>
      </c>
      <c r="AS260">
        <v>4.5</v>
      </c>
      <c r="AT260">
        <v>0</v>
      </c>
      <c r="AU260">
        <v>2.25</v>
      </c>
      <c r="AV260">
        <v>0</v>
      </c>
      <c r="AW260">
        <v>2.25</v>
      </c>
      <c r="AX260">
        <v>0</v>
      </c>
    </row>
    <row r="261" spans="1:51">
      <c r="A261" t="s">
        <v>17150</v>
      </c>
      <c r="B261" t="s">
        <v>17410</v>
      </c>
      <c r="C261">
        <v>2</v>
      </c>
      <c r="D261">
        <v>11</v>
      </c>
      <c r="E261">
        <v>11</v>
      </c>
      <c r="F261">
        <v>0</v>
      </c>
      <c r="G261">
        <v>0</v>
      </c>
      <c r="H261">
        <v>5</v>
      </c>
      <c r="I261">
        <v>0</v>
      </c>
      <c r="J261">
        <v>11</v>
      </c>
      <c r="K261">
        <v>59</v>
      </c>
      <c r="L261">
        <v>11</v>
      </c>
      <c r="M261">
        <v>0</v>
      </c>
      <c r="N261">
        <v>0</v>
      </c>
      <c r="O261">
        <v>0</v>
      </c>
      <c r="P261">
        <v>0</v>
      </c>
      <c r="Q261">
        <v>0</v>
      </c>
      <c r="R261">
        <v>0</v>
      </c>
      <c r="S261">
        <v>0</v>
      </c>
      <c r="T261">
        <v>0</v>
      </c>
      <c r="U261">
        <v>0</v>
      </c>
      <c r="V261">
        <v>0</v>
      </c>
      <c r="W261" s="4">
        <v>0</v>
      </c>
      <c r="X261" s="4">
        <v>0</v>
      </c>
      <c r="Y261">
        <v>0</v>
      </c>
      <c r="Z261">
        <v>0</v>
      </c>
      <c r="AA261" s="4">
        <v>0</v>
      </c>
      <c r="AB261" s="4">
        <v>0</v>
      </c>
      <c r="AC261" s="4">
        <v>0</v>
      </c>
      <c r="AD261" s="4">
        <v>0</v>
      </c>
      <c r="AE261" s="4">
        <v>0</v>
      </c>
      <c r="AF261" s="4">
        <v>0</v>
      </c>
      <c r="AG261" s="4">
        <v>0</v>
      </c>
      <c r="AH261" s="4">
        <v>0</v>
      </c>
      <c r="AI261" s="4">
        <v>0</v>
      </c>
      <c r="AJ261" s="4">
        <v>0</v>
      </c>
      <c r="AK261" s="4">
        <v>0</v>
      </c>
      <c r="AL261" s="4">
        <v>0</v>
      </c>
      <c r="AM261">
        <v>59</v>
      </c>
      <c r="AN261">
        <v>47</v>
      </c>
      <c r="AO261">
        <v>9</v>
      </c>
      <c r="AP261">
        <v>3</v>
      </c>
      <c r="AQ261">
        <v>0</v>
      </c>
      <c r="AR261">
        <v>0</v>
      </c>
      <c r="AS261">
        <v>0</v>
      </c>
      <c r="AT261">
        <v>0</v>
      </c>
      <c r="AU261">
        <v>0</v>
      </c>
      <c r="AV261">
        <v>0</v>
      </c>
      <c r="AW261">
        <v>0</v>
      </c>
      <c r="AX261">
        <v>0</v>
      </c>
    </row>
    <row r="262" spans="1:51">
      <c r="A262" t="s">
        <v>17150</v>
      </c>
      <c r="B262" t="s">
        <v>17410</v>
      </c>
      <c r="C262">
        <v>0</v>
      </c>
      <c r="D262">
        <v>8</v>
      </c>
      <c r="E262">
        <v>8</v>
      </c>
      <c r="F262">
        <v>6</v>
      </c>
      <c r="G262">
        <v>0</v>
      </c>
      <c r="H262">
        <v>0</v>
      </c>
      <c r="I262">
        <v>0</v>
      </c>
      <c r="J262">
        <v>7</v>
      </c>
      <c r="K262">
        <v>103</v>
      </c>
      <c r="L262">
        <v>3</v>
      </c>
      <c r="M262">
        <v>2</v>
      </c>
      <c r="N262">
        <v>1</v>
      </c>
      <c r="O262">
        <v>1</v>
      </c>
      <c r="P262">
        <v>0</v>
      </c>
      <c r="Q262">
        <v>0</v>
      </c>
      <c r="R262">
        <v>0</v>
      </c>
      <c r="S262">
        <v>1.75</v>
      </c>
      <c r="T262">
        <v>0</v>
      </c>
      <c r="U262">
        <v>0</v>
      </c>
      <c r="V262">
        <v>1.75</v>
      </c>
      <c r="W262" s="4">
        <v>17.5</v>
      </c>
      <c r="X262" s="4">
        <v>0</v>
      </c>
      <c r="Y262">
        <v>0</v>
      </c>
      <c r="Z262">
        <v>0</v>
      </c>
      <c r="AA262" s="4">
        <v>0</v>
      </c>
      <c r="AB262" s="4">
        <v>17.5</v>
      </c>
      <c r="AC262" s="4">
        <v>0</v>
      </c>
      <c r="AD262" s="4">
        <v>0</v>
      </c>
      <c r="AE262" s="4">
        <v>0</v>
      </c>
      <c r="AF262" s="4">
        <v>17.5</v>
      </c>
      <c r="AG262" s="4">
        <v>17.5</v>
      </c>
      <c r="AH262" s="4">
        <v>17.5</v>
      </c>
      <c r="AI262" s="4">
        <v>0</v>
      </c>
      <c r="AJ262" s="4">
        <v>0</v>
      </c>
      <c r="AK262" s="4">
        <v>0</v>
      </c>
      <c r="AL262" s="4">
        <v>0</v>
      </c>
      <c r="AM262">
        <v>103</v>
      </c>
      <c r="AN262">
        <v>0</v>
      </c>
      <c r="AO262">
        <v>103</v>
      </c>
      <c r="AP262">
        <v>0</v>
      </c>
      <c r="AQ262">
        <v>1.75</v>
      </c>
      <c r="AR262">
        <v>0</v>
      </c>
      <c r="AS262">
        <v>1.75</v>
      </c>
      <c r="AT262">
        <v>0</v>
      </c>
      <c r="AU262">
        <v>0</v>
      </c>
      <c r="AV262">
        <v>0</v>
      </c>
      <c r="AW262">
        <v>0</v>
      </c>
      <c r="AX262">
        <v>0</v>
      </c>
    </row>
    <row r="263" spans="1:51">
      <c r="A263" t="s">
        <v>17150</v>
      </c>
      <c r="B263" t="s">
        <v>17153</v>
      </c>
      <c r="C263">
        <v>0</v>
      </c>
      <c r="D263">
        <v>9</v>
      </c>
      <c r="E263">
        <v>9</v>
      </c>
      <c r="F263">
        <v>6</v>
      </c>
      <c r="G263">
        <v>0</v>
      </c>
      <c r="H263">
        <v>0</v>
      </c>
      <c r="I263">
        <v>2</v>
      </c>
      <c r="J263">
        <v>9</v>
      </c>
      <c r="K263">
        <v>91</v>
      </c>
      <c r="L263">
        <v>3</v>
      </c>
      <c r="M263">
        <v>0</v>
      </c>
      <c r="N263">
        <v>4</v>
      </c>
      <c r="O263">
        <v>2</v>
      </c>
      <c r="P263">
        <v>0</v>
      </c>
      <c r="Q263">
        <v>0</v>
      </c>
      <c r="R263">
        <v>0</v>
      </c>
      <c r="S263">
        <v>3</v>
      </c>
      <c r="T263">
        <v>6.25</v>
      </c>
      <c r="U263">
        <v>3.5</v>
      </c>
      <c r="V263">
        <v>12.75</v>
      </c>
      <c r="W263" s="4">
        <v>155</v>
      </c>
      <c r="X263" s="4">
        <v>0</v>
      </c>
      <c r="Y263">
        <v>8</v>
      </c>
      <c r="Z263">
        <v>1</v>
      </c>
      <c r="AA263" s="4">
        <v>0</v>
      </c>
      <c r="AB263" s="4">
        <v>32.5</v>
      </c>
      <c r="AC263" s="4">
        <v>2.38</v>
      </c>
      <c r="AD263" s="4">
        <v>0</v>
      </c>
      <c r="AE263" s="4">
        <v>32.380000000000003</v>
      </c>
      <c r="AF263" s="4">
        <v>32.5</v>
      </c>
      <c r="AG263" s="4">
        <v>227.38</v>
      </c>
      <c r="AH263" s="4">
        <v>195</v>
      </c>
      <c r="AI263" s="4">
        <v>0</v>
      </c>
      <c r="AJ263" s="4">
        <v>0</v>
      </c>
      <c r="AK263" s="4">
        <v>0</v>
      </c>
      <c r="AL263" s="4">
        <v>0</v>
      </c>
      <c r="AM263">
        <v>91</v>
      </c>
      <c r="AN263">
        <v>0</v>
      </c>
      <c r="AO263">
        <v>91</v>
      </c>
      <c r="AP263">
        <v>0</v>
      </c>
      <c r="AQ263">
        <v>3</v>
      </c>
      <c r="AR263">
        <v>0</v>
      </c>
      <c r="AS263">
        <v>3</v>
      </c>
      <c r="AT263">
        <v>0</v>
      </c>
      <c r="AU263">
        <v>6.25</v>
      </c>
      <c r="AV263">
        <v>0</v>
      </c>
      <c r="AW263">
        <v>6.25</v>
      </c>
      <c r="AX263">
        <v>0</v>
      </c>
    </row>
    <row r="264" spans="1:51">
      <c r="A264" t="s">
        <v>17150</v>
      </c>
      <c r="B264" t="s">
        <v>17154</v>
      </c>
      <c r="C264">
        <v>4</v>
      </c>
      <c r="D264">
        <v>10</v>
      </c>
      <c r="E264">
        <v>10</v>
      </c>
      <c r="F264">
        <v>7</v>
      </c>
      <c r="G264">
        <v>1</v>
      </c>
      <c r="H264">
        <v>4</v>
      </c>
      <c r="I264">
        <v>1</v>
      </c>
      <c r="J264">
        <v>10</v>
      </c>
      <c r="K264">
        <v>130</v>
      </c>
      <c r="L264">
        <v>5</v>
      </c>
      <c r="M264">
        <v>3</v>
      </c>
      <c r="N264">
        <v>1</v>
      </c>
      <c r="O264">
        <v>0</v>
      </c>
      <c r="P264">
        <v>0</v>
      </c>
      <c r="Q264">
        <v>1</v>
      </c>
      <c r="R264">
        <v>0</v>
      </c>
      <c r="S264">
        <v>15.25</v>
      </c>
      <c r="T264">
        <v>4</v>
      </c>
      <c r="U264">
        <v>4</v>
      </c>
      <c r="V264">
        <v>23.25</v>
      </c>
      <c r="W264" s="4">
        <v>17.5</v>
      </c>
      <c r="X264" s="4">
        <v>0</v>
      </c>
      <c r="Y264">
        <v>6</v>
      </c>
      <c r="Z264">
        <v>0</v>
      </c>
      <c r="AA264" s="4">
        <v>-215</v>
      </c>
      <c r="AB264" s="4">
        <v>0</v>
      </c>
      <c r="AC264" s="4">
        <v>106.9</v>
      </c>
      <c r="AD264" s="4">
        <v>0</v>
      </c>
      <c r="AE264" s="4">
        <v>0</v>
      </c>
      <c r="AF264" s="4">
        <v>0</v>
      </c>
      <c r="AG264" s="4">
        <v>204.4</v>
      </c>
      <c r="AH264" s="4">
        <v>204.4</v>
      </c>
      <c r="AI264" s="4">
        <v>0</v>
      </c>
      <c r="AJ264" s="4">
        <v>0</v>
      </c>
      <c r="AK264" s="4">
        <v>163.1</v>
      </c>
      <c r="AL264" s="4">
        <v>163.1</v>
      </c>
      <c r="AM264">
        <v>130</v>
      </c>
      <c r="AN264">
        <v>78</v>
      </c>
      <c r="AO264">
        <v>38</v>
      </c>
      <c r="AP264">
        <v>76</v>
      </c>
      <c r="AQ264">
        <v>15.25</v>
      </c>
      <c r="AR264">
        <v>1</v>
      </c>
      <c r="AS264">
        <v>1.25</v>
      </c>
      <c r="AT264">
        <v>13.5</v>
      </c>
      <c r="AU264">
        <v>4</v>
      </c>
      <c r="AV264">
        <v>4</v>
      </c>
      <c r="AW264">
        <v>0</v>
      </c>
      <c r="AX264">
        <v>4</v>
      </c>
    </row>
    <row r="265" spans="1:51">
      <c r="A265" t="s">
        <v>17150</v>
      </c>
      <c r="B265" t="s">
        <v>17409</v>
      </c>
      <c r="C265">
        <v>0</v>
      </c>
      <c r="D265">
        <v>1</v>
      </c>
      <c r="E265">
        <v>1</v>
      </c>
      <c r="F265">
        <v>1</v>
      </c>
      <c r="G265">
        <v>0</v>
      </c>
      <c r="H265">
        <v>0</v>
      </c>
      <c r="I265">
        <v>0</v>
      </c>
      <c r="J265">
        <v>1</v>
      </c>
      <c r="K265">
        <v>5</v>
      </c>
      <c r="L265">
        <v>1</v>
      </c>
      <c r="M265">
        <v>0</v>
      </c>
      <c r="N265">
        <v>0</v>
      </c>
      <c r="O265">
        <v>0</v>
      </c>
      <c r="P265">
        <v>0</v>
      </c>
      <c r="Q265">
        <v>0</v>
      </c>
      <c r="R265">
        <v>0</v>
      </c>
      <c r="S265">
        <v>0</v>
      </c>
      <c r="T265">
        <v>0</v>
      </c>
      <c r="U265">
        <v>0</v>
      </c>
      <c r="V265">
        <v>0</v>
      </c>
      <c r="W265" s="4">
        <v>0</v>
      </c>
      <c r="X265" s="4">
        <v>0</v>
      </c>
      <c r="Y265">
        <v>0</v>
      </c>
      <c r="Z265">
        <v>0</v>
      </c>
      <c r="AA265" s="4">
        <v>0</v>
      </c>
      <c r="AB265" s="4">
        <v>0</v>
      </c>
      <c r="AC265" s="4">
        <v>0</v>
      </c>
      <c r="AD265" s="4">
        <v>0</v>
      </c>
      <c r="AE265" s="4">
        <v>0</v>
      </c>
      <c r="AF265" s="4">
        <v>0</v>
      </c>
      <c r="AG265" s="4">
        <v>0</v>
      </c>
      <c r="AH265" s="4">
        <v>0</v>
      </c>
      <c r="AI265" s="4">
        <v>0</v>
      </c>
      <c r="AJ265" s="4">
        <v>0</v>
      </c>
      <c r="AK265" s="4">
        <v>0</v>
      </c>
      <c r="AL265" s="4">
        <v>0</v>
      </c>
      <c r="AM265">
        <v>5</v>
      </c>
      <c r="AN265">
        <v>0</v>
      </c>
      <c r="AO265">
        <v>5</v>
      </c>
      <c r="AP265">
        <v>0</v>
      </c>
      <c r="AQ265">
        <v>0</v>
      </c>
      <c r="AR265">
        <v>0</v>
      </c>
      <c r="AS265">
        <v>0</v>
      </c>
      <c r="AT265">
        <v>0</v>
      </c>
      <c r="AU265">
        <v>0</v>
      </c>
      <c r="AV265">
        <v>0</v>
      </c>
      <c r="AW265">
        <v>0</v>
      </c>
      <c r="AX265">
        <v>0</v>
      </c>
    </row>
    <row r="266" spans="1:51">
      <c r="A266" t="s">
        <v>17202</v>
      </c>
      <c r="B266" t="s">
        <v>17203</v>
      </c>
      <c r="C266">
        <v>2</v>
      </c>
      <c r="D266">
        <v>14</v>
      </c>
      <c r="E266">
        <v>12</v>
      </c>
      <c r="F266">
        <v>12</v>
      </c>
      <c r="G266">
        <v>0</v>
      </c>
      <c r="H266">
        <v>0</v>
      </c>
      <c r="I266">
        <v>0</v>
      </c>
      <c r="J266">
        <v>14</v>
      </c>
      <c r="K266">
        <v>131</v>
      </c>
      <c r="L266">
        <v>9</v>
      </c>
      <c r="M266">
        <v>1</v>
      </c>
      <c r="N266">
        <v>3</v>
      </c>
      <c r="O266">
        <v>0</v>
      </c>
      <c r="P266">
        <v>1</v>
      </c>
      <c r="Q266">
        <v>0</v>
      </c>
      <c r="R266">
        <v>0</v>
      </c>
      <c r="S266">
        <v>37.75</v>
      </c>
      <c r="T266">
        <v>13.75</v>
      </c>
      <c r="U266">
        <v>2.75</v>
      </c>
      <c r="V266">
        <v>54</v>
      </c>
      <c r="W266" s="4">
        <v>625</v>
      </c>
      <c r="X266" s="4">
        <v>0</v>
      </c>
      <c r="Y266">
        <v>11</v>
      </c>
      <c r="Z266">
        <v>2</v>
      </c>
      <c r="AA266" s="4">
        <v>-15</v>
      </c>
      <c r="AB266" s="4">
        <v>412.5</v>
      </c>
      <c r="AC266" s="4">
        <v>0.15</v>
      </c>
      <c r="AD266" s="4">
        <v>0.15</v>
      </c>
      <c r="AE266" s="4">
        <v>412.5</v>
      </c>
      <c r="AF266" s="4">
        <v>412.65</v>
      </c>
      <c r="AG266" s="4">
        <v>680.15</v>
      </c>
      <c r="AH266" s="4">
        <v>267.64999999999998</v>
      </c>
      <c r="AI266" s="4">
        <v>0</v>
      </c>
      <c r="AJ266" s="4">
        <v>0</v>
      </c>
      <c r="AK266" s="4">
        <v>0</v>
      </c>
      <c r="AL266" s="4">
        <v>0</v>
      </c>
      <c r="AM266">
        <v>131</v>
      </c>
      <c r="AN266">
        <v>0</v>
      </c>
      <c r="AO266">
        <v>123</v>
      </c>
      <c r="AP266">
        <v>8</v>
      </c>
      <c r="AQ266">
        <v>37.75</v>
      </c>
      <c r="AR266">
        <v>0</v>
      </c>
      <c r="AS266">
        <v>35.5</v>
      </c>
      <c r="AT266">
        <v>2</v>
      </c>
      <c r="AU266">
        <v>13.75</v>
      </c>
      <c r="AV266">
        <v>0</v>
      </c>
      <c r="AW266">
        <v>13.5</v>
      </c>
      <c r="AX266">
        <v>0.25</v>
      </c>
    </row>
    <row r="267" spans="1:51">
      <c r="A267" t="s">
        <v>17140</v>
      </c>
      <c r="B267" t="s">
        <v>17155</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s="4">
        <v>0</v>
      </c>
      <c r="X267" s="4">
        <v>0</v>
      </c>
      <c r="Y267">
        <v>0</v>
      </c>
      <c r="Z267">
        <v>0</v>
      </c>
      <c r="AA267" s="4">
        <v>0</v>
      </c>
      <c r="AB267" s="4">
        <v>0</v>
      </c>
      <c r="AC267" s="4">
        <v>0</v>
      </c>
      <c r="AD267" s="4">
        <v>0</v>
      </c>
      <c r="AE267" s="4">
        <v>0</v>
      </c>
      <c r="AF267" s="4">
        <v>0</v>
      </c>
      <c r="AG267" s="4">
        <v>0</v>
      </c>
      <c r="AH267" s="4">
        <v>0</v>
      </c>
      <c r="AI267" s="4">
        <v>0</v>
      </c>
      <c r="AJ267" s="4">
        <v>0</v>
      </c>
      <c r="AK267" s="4">
        <v>0</v>
      </c>
      <c r="AL267" s="4">
        <v>0</v>
      </c>
      <c r="AM267">
        <v>0</v>
      </c>
      <c r="AN267">
        <v>0</v>
      </c>
      <c r="AO267">
        <v>0</v>
      </c>
      <c r="AP267">
        <v>0</v>
      </c>
      <c r="AQ267">
        <v>0</v>
      </c>
      <c r="AR267">
        <v>0</v>
      </c>
      <c r="AS267">
        <v>0</v>
      </c>
      <c r="AT267">
        <v>0</v>
      </c>
      <c r="AU267">
        <v>0</v>
      </c>
      <c r="AV267">
        <v>0</v>
      </c>
      <c r="AW267">
        <v>0</v>
      </c>
      <c r="AX267">
        <v>0</v>
      </c>
      <c r="AY267">
        <v>0</v>
      </c>
    </row>
    <row r="268" spans="1:51">
      <c r="A268" t="s">
        <v>17140</v>
      </c>
      <c r="B268" t="s">
        <v>17156</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s="4">
        <v>0</v>
      </c>
      <c r="X268" s="4">
        <v>0</v>
      </c>
      <c r="Y268">
        <v>0</v>
      </c>
      <c r="Z268">
        <v>0</v>
      </c>
      <c r="AA268" s="4">
        <v>0</v>
      </c>
      <c r="AB268" s="4">
        <v>0</v>
      </c>
      <c r="AC268" s="4">
        <v>0</v>
      </c>
      <c r="AD268" s="4">
        <v>0</v>
      </c>
      <c r="AE268" s="4">
        <v>0</v>
      </c>
      <c r="AF268" s="4">
        <v>0</v>
      </c>
      <c r="AG268" s="4">
        <v>0</v>
      </c>
      <c r="AH268" s="4">
        <v>0</v>
      </c>
      <c r="AI268" s="4">
        <v>0</v>
      </c>
      <c r="AJ268" s="4">
        <v>0</v>
      </c>
      <c r="AK268" s="4">
        <v>0</v>
      </c>
      <c r="AL268" s="4">
        <v>0</v>
      </c>
      <c r="AM268">
        <v>0</v>
      </c>
      <c r="AN268">
        <v>0</v>
      </c>
      <c r="AO268">
        <v>0</v>
      </c>
      <c r="AP268">
        <v>0</v>
      </c>
      <c r="AQ268">
        <v>0</v>
      </c>
      <c r="AR268">
        <v>0</v>
      </c>
      <c r="AS268">
        <v>0</v>
      </c>
      <c r="AT268">
        <v>0</v>
      </c>
      <c r="AU268">
        <v>0</v>
      </c>
      <c r="AV268">
        <v>0</v>
      </c>
      <c r="AW268">
        <v>0</v>
      </c>
      <c r="AX268">
        <v>0</v>
      </c>
      <c r="AY268">
        <v>0</v>
      </c>
    </row>
    <row r="269" spans="1:51">
      <c r="A269" t="s">
        <v>17140</v>
      </c>
      <c r="B269" t="s">
        <v>17157</v>
      </c>
      <c r="C269">
        <v>0</v>
      </c>
      <c r="D269">
        <v>1</v>
      </c>
      <c r="E269">
        <v>1</v>
      </c>
      <c r="F269">
        <v>1</v>
      </c>
      <c r="G269">
        <v>0</v>
      </c>
      <c r="H269">
        <v>1</v>
      </c>
      <c r="I269">
        <v>0</v>
      </c>
      <c r="J269">
        <v>1</v>
      </c>
      <c r="K269">
        <v>23</v>
      </c>
      <c r="L269">
        <v>0</v>
      </c>
      <c r="M269">
        <v>0</v>
      </c>
      <c r="N269">
        <v>0</v>
      </c>
      <c r="O269">
        <v>0</v>
      </c>
      <c r="P269">
        <v>0</v>
      </c>
      <c r="Q269">
        <v>0</v>
      </c>
      <c r="R269">
        <v>0</v>
      </c>
      <c r="S269">
        <v>24</v>
      </c>
      <c r="T269">
        <v>0</v>
      </c>
      <c r="U269">
        <v>0</v>
      </c>
      <c r="V269">
        <v>24</v>
      </c>
      <c r="W269" s="4">
        <v>240</v>
      </c>
      <c r="X269" s="4">
        <v>0</v>
      </c>
      <c r="Y269">
        <v>1</v>
      </c>
      <c r="Z269">
        <v>0</v>
      </c>
      <c r="AA269" s="4">
        <v>0</v>
      </c>
      <c r="AB269" s="4">
        <v>210</v>
      </c>
      <c r="AC269" s="4">
        <v>0</v>
      </c>
      <c r="AD269" s="4">
        <v>0</v>
      </c>
      <c r="AE269" s="4">
        <v>0</v>
      </c>
      <c r="AF269" s="4">
        <v>210</v>
      </c>
      <c r="AG269" s="4">
        <v>240</v>
      </c>
      <c r="AH269" s="4">
        <v>240</v>
      </c>
      <c r="AI269" s="4">
        <v>0</v>
      </c>
      <c r="AJ269" s="4">
        <v>210</v>
      </c>
      <c r="AK269" s="4">
        <v>240</v>
      </c>
      <c r="AL269" s="4">
        <v>240</v>
      </c>
      <c r="AM269">
        <v>23</v>
      </c>
      <c r="AN269">
        <v>23</v>
      </c>
      <c r="AO269">
        <v>0</v>
      </c>
      <c r="AP269">
        <v>0</v>
      </c>
      <c r="AQ269">
        <v>24</v>
      </c>
      <c r="AR269">
        <v>24</v>
      </c>
      <c r="AS269">
        <v>0</v>
      </c>
      <c r="AT269">
        <v>0</v>
      </c>
      <c r="AU269">
        <v>0</v>
      </c>
      <c r="AV269">
        <v>0</v>
      </c>
      <c r="AW269">
        <v>0</v>
      </c>
      <c r="AX269">
        <v>0</v>
      </c>
      <c r="AY269">
        <v>0</v>
      </c>
    </row>
    <row r="270" spans="1:51">
      <c r="A270" t="s">
        <v>17140</v>
      </c>
      <c r="B270" t="s">
        <v>17158</v>
      </c>
      <c r="C270">
        <v>2</v>
      </c>
      <c r="D270">
        <v>2</v>
      </c>
      <c r="E270">
        <v>2</v>
      </c>
      <c r="F270">
        <v>2</v>
      </c>
      <c r="G270">
        <v>0</v>
      </c>
      <c r="H270">
        <v>0</v>
      </c>
      <c r="I270">
        <v>0</v>
      </c>
      <c r="J270">
        <v>2</v>
      </c>
      <c r="K270">
        <v>4</v>
      </c>
      <c r="L270">
        <v>0</v>
      </c>
      <c r="M270">
        <v>2</v>
      </c>
      <c r="N270">
        <v>0</v>
      </c>
      <c r="O270">
        <v>0</v>
      </c>
      <c r="P270">
        <v>0</v>
      </c>
      <c r="Q270">
        <v>0</v>
      </c>
      <c r="R270">
        <v>1</v>
      </c>
      <c r="S270">
        <v>0.75</v>
      </c>
      <c r="T270">
        <v>0</v>
      </c>
      <c r="U270">
        <v>0.5</v>
      </c>
      <c r="V270">
        <v>1.25</v>
      </c>
      <c r="W270" s="4">
        <v>0</v>
      </c>
      <c r="X270" s="4">
        <v>0</v>
      </c>
      <c r="Y270">
        <v>0</v>
      </c>
      <c r="Z270">
        <v>0</v>
      </c>
      <c r="AA270" s="4">
        <v>-7.5</v>
      </c>
      <c r="AB270" s="4">
        <v>0</v>
      </c>
      <c r="AC270" s="4">
        <v>0</v>
      </c>
      <c r="AD270" s="4">
        <v>0</v>
      </c>
      <c r="AE270" s="4">
        <v>0</v>
      </c>
      <c r="AF270" s="4">
        <v>0</v>
      </c>
      <c r="AG270" s="4">
        <v>10</v>
      </c>
      <c r="AH270" s="4">
        <v>10</v>
      </c>
      <c r="AI270" s="4">
        <v>0</v>
      </c>
      <c r="AJ270" s="4">
        <v>0</v>
      </c>
      <c r="AK270" s="4">
        <v>0</v>
      </c>
      <c r="AL270" s="4">
        <v>0</v>
      </c>
      <c r="AM270">
        <v>4</v>
      </c>
      <c r="AN270">
        <v>0</v>
      </c>
      <c r="AO270">
        <v>0</v>
      </c>
      <c r="AP270">
        <v>4</v>
      </c>
      <c r="AQ270">
        <v>0.75</v>
      </c>
      <c r="AR270">
        <v>0</v>
      </c>
      <c r="AS270">
        <v>0</v>
      </c>
      <c r="AT270">
        <v>0.75</v>
      </c>
      <c r="AU270">
        <v>0</v>
      </c>
      <c r="AV270">
        <v>0</v>
      </c>
      <c r="AW270">
        <v>0</v>
      </c>
      <c r="AX270">
        <v>0</v>
      </c>
      <c r="AY270">
        <v>485</v>
      </c>
    </row>
    <row r="271" spans="1:51">
      <c r="A271" t="s">
        <v>17140</v>
      </c>
      <c r="B271" t="s">
        <v>17159</v>
      </c>
      <c r="C271">
        <v>0</v>
      </c>
      <c r="D271">
        <v>10</v>
      </c>
      <c r="E271">
        <v>10</v>
      </c>
      <c r="F271">
        <v>0</v>
      </c>
      <c r="G271">
        <v>0</v>
      </c>
      <c r="H271">
        <v>0</v>
      </c>
      <c r="I271">
        <v>0</v>
      </c>
      <c r="J271">
        <v>10</v>
      </c>
      <c r="K271">
        <v>11</v>
      </c>
      <c r="L271">
        <v>10</v>
      </c>
      <c r="M271">
        <v>0</v>
      </c>
      <c r="N271">
        <v>0</v>
      </c>
      <c r="O271">
        <v>0</v>
      </c>
      <c r="P271">
        <v>0</v>
      </c>
      <c r="Q271">
        <v>0</v>
      </c>
      <c r="R271">
        <v>0</v>
      </c>
      <c r="S271">
        <v>2.5</v>
      </c>
      <c r="T271">
        <v>2.5</v>
      </c>
      <c r="U271">
        <v>0</v>
      </c>
      <c r="V271">
        <v>5</v>
      </c>
      <c r="W271" s="4">
        <v>75</v>
      </c>
      <c r="X271" s="4">
        <v>0</v>
      </c>
      <c r="Y271">
        <v>10</v>
      </c>
      <c r="Z271">
        <v>0</v>
      </c>
      <c r="AA271" s="4">
        <v>0</v>
      </c>
      <c r="AB271" s="4">
        <v>0</v>
      </c>
      <c r="AC271" s="4">
        <v>0</v>
      </c>
      <c r="AD271" s="4">
        <v>0</v>
      </c>
      <c r="AE271" s="4">
        <v>0</v>
      </c>
      <c r="AF271" s="4">
        <v>0</v>
      </c>
      <c r="AG271" s="4">
        <v>75</v>
      </c>
      <c r="AH271" s="4">
        <v>75</v>
      </c>
      <c r="AI271" s="4">
        <v>0</v>
      </c>
      <c r="AJ271" s="4">
        <v>0</v>
      </c>
      <c r="AK271" s="4">
        <v>0</v>
      </c>
      <c r="AL271" s="4">
        <v>0</v>
      </c>
      <c r="AM271">
        <v>11</v>
      </c>
      <c r="AN271">
        <v>0</v>
      </c>
      <c r="AO271">
        <v>11</v>
      </c>
      <c r="AP271">
        <v>0</v>
      </c>
      <c r="AQ271">
        <v>2.5</v>
      </c>
      <c r="AR271">
        <v>0</v>
      </c>
      <c r="AS271">
        <v>2.5</v>
      </c>
      <c r="AT271">
        <v>0</v>
      </c>
      <c r="AU271">
        <v>2.5</v>
      </c>
      <c r="AV271">
        <v>0</v>
      </c>
      <c r="AW271">
        <v>2.5</v>
      </c>
      <c r="AX271">
        <v>0</v>
      </c>
    </row>
    <row r="272" spans="1:51">
      <c r="A272" t="s">
        <v>17140</v>
      </c>
      <c r="B272" t="s">
        <v>17160</v>
      </c>
      <c r="C272">
        <v>0</v>
      </c>
      <c r="D272">
        <v>1</v>
      </c>
      <c r="E272">
        <v>1</v>
      </c>
      <c r="F272">
        <v>1</v>
      </c>
      <c r="G272">
        <v>0</v>
      </c>
      <c r="H272">
        <v>0</v>
      </c>
      <c r="I272">
        <v>0</v>
      </c>
      <c r="J272">
        <v>1</v>
      </c>
      <c r="K272">
        <v>2</v>
      </c>
      <c r="L272">
        <v>0</v>
      </c>
      <c r="M272">
        <v>0</v>
      </c>
      <c r="N272">
        <v>0</v>
      </c>
      <c r="O272">
        <v>1</v>
      </c>
      <c r="P272">
        <v>0</v>
      </c>
      <c r="Q272">
        <v>0</v>
      </c>
      <c r="R272">
        <v>0</v>
      </c>
      <c r="S272">
        <v>0.25</v>
      </c>
      <c r="T272">
        <v>0</v>
      </c>
      <c r="U272">
        <v>0</v>
      </c>
      <c r="V272">
        <v>0.25</v>
      </c>
      <c r="W272" s="4">
        <v>2.5</v>
      </c>
      <c r="X272" s="4">
        <v>0</v>
      </c>
      <c r="Y272">
        <v>1</v>
      </c>
      <c r="Z272">
        <v>0</v>
      </c>
      <c r="AA272" s="4">
        <v>0</v>
      </c>
      <c r="AB272" s="4">
        <v>0</v>
      </c>
      <c r="AC272" s="4">
        <v>0</v>
      </c>
      <c r="AD272" s="4">
        <v>0</v>
      </c>
      <c r="AE272" s="4">
        <v>0</v>
      </c>
      <c r="AF272" s="4">
        <v>0</v>
      </c>
      <c r="AG272" s="4">
        <v>2.5</v>
      </c>
      <c r="AH272" s="4">
        <v>2.5</v>
      </c>
      <c r="AI272" s="4">
        <v>0</v>
      </c>
      <c r="AJ272" s="4">
        <v>0</v>
      </c>
      <c r="AK272" s="4">
        <v>0</v>
      </c>
      <c r="AL272" s="4">
        <v>0</v>
      </c>
      <c r="AM272">
        <v>2</v>
      </c>
      <c r="AN272">
        <v>0</v>
      </c>
      <c r="AO272">
        <v>2</v>
      </c>
      <c r="AP272">
        <v>0</v>
      </c>
      <c r="AQ272">
        <v>0.25</v>
      </c>
      <c r="AR272">
        <v>0</v>
      </c>
      <c r="AS272">
        <v>0.25</v>
      </c>
      <c r="AT272">
        <v>0</v>
      </c>
      <c r="AU272">
        <v>0</v>
      </c>
      <c r="AV272">
        <v>0</v>
      </c>
      <c r="AW272">
        <v>0</v>
      </c>
      <c r="AX272">
        <v>0</v>
      </c>
    </row>
    <row r="273" spans="1:51">
      <c r="A273" t="s">
        <v>17140</v>
      </c>
      <c r="B273" t="s">
        <v>17161</v>
      </c>
      <c r="C273">
        <v>0</v>
      </c>
      <c r="D273">
        <v>38</v>
      </c>
      <c r="E273">
        <v>38</v>
      </c>
      <c r="F273">
        <v>19</v>
      </c>
      <c r="G273">
        <v>2</v>
      </c>
      <c r="H273">
        <v>26</v>
      </c>
      <c r="I273">
        <v>0</v>
      </c>
      <c r="J273">
        <v>38</v>
      </c>
      <c r="K273">
        <v>529</v>
      </c>
      <c r="L273">
        <v>5</v>
      </c>
      <c r="M273">
        <v>4</v>
      </c>
      <c r="N273">
        <v>1</v>
      </c>
      <c r="O273">
        <v>25</v>
      </c>
      <c r="P273">
        <v>0</v>
      </c>
      <c r="Q273">
        <v>3</v>
      </c>
      <c r="R273">
        <v>0</v>
      </c>
      <c r="S273">
        <v>9</v>
      </c>
      <c r="T273">
        <v>8.25</v>
      </c>
      <c r="U273">
        <v>0.5</v>
      </c>
      <c r="V273">
        <v>17.75</v>
      </c>
      <c r="W273" s="4">
        <v>255</v>
      </c>
      <c r="X273" s="4">
        <v>0</v>
      </c>
      <c r="Y273">
        <v>38</v>
      </c>
      <c r="Z273">
        <v>0</v>
      </c>
      <c r="AA273" s="4">
        <v>0</v>
      </c>
      <c r="AB273" s="4">
        <v>0</v>
      </c>
      <c r="AC273" s="4">
        <v>22.75</v>
      </c>
      <c r="AD273" s="4">
        <v>22.75</v>
      </c>
      <c r="AE273" s="4">
        <v>22.05</v>
      </c>
      <c r="AF273" s="4">
        <v>22.75</v>
      </c>
      <c r="AG273" s="4">
        <v>287.75</v>
      </c>
      <c r="AH273" s="4">
        <v>267.3</v>
      </c>
      <c r="AI273" s="4">
        <v>17.25</v>
      </c>
      <c r="AJ273" s="4">
        <v>17.95</v>
      </c>
      <c r="AK273" s="4">
        <v>212.95</v>
      </c>
      <c r="AL273" s="4">
        <v>195.7</v>
      </c>
      <c r="AM273">
        <v>529</v>
      </c>
      <c r="AN273">
        <v>393</v>
      </c>
      <c r="AO273">
        <v>136</v>
      </c>
      <c r="AP273">
        <v>0</v>
      </c>
      <c r="AQ273">
        <v>9</v>
      </c>
      <c r="AR273">
        <v>6.5</v>
      </c>
      <c r="AS273">
        <v>2.5</v>
      </c>
      <c r="AT273">
        <v>0</v>
      </c>
      <c r="AU273">
        <v>8.25</v>
      </c>
      <c r="AV273">
        <v>6.5</v>
      </c>
      <c r="AW273">
        <v>1.75</v>
      </c>
      <c r="AX273">
        <v>0</v>
      </c>
    </row>
    <row r="274" spans="1:51">
      <c r="A274" t="s">
        <v>17140</v>
      </c>
      <c r="B274" t="s">
        <v>17141</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s="4">
        <v>0</v>
      </c>
      <c r="X274" s="4">
        <v>0</v>
      </c>
      <c r="Y274">
        <v>0</v>
      </c>
      <c r="Z274">
        <v>0</v>
      </c>
      <c r="AA274" s="4">
        <v>0</v>
      </c>
      <c r="AB274" s="4">
        <v>0</v>
      </c>
      <c r="AC274" s="4">
        <v>0</v>
      </c>
      <c r="AD274" s="4">
        <v>0</v>
      </c>
      <c r="AE274" s="4">
        <v>0</v>
      </c>
      <c r="AF274" s="4">
        <v>0</v>
      </c>
      <c r="AG274" s="4">
        <v>0</v>
      </c>
      <c r="AH274" s="4">
        <v>0</v>
      </c>
      <c r="AI274" s="4">
        <v>0</v>
      </c>
      <c r="AJ274" s="4">
        <v>0</v>
      </c>
      <c r="AK274" s="4">
        <v>0</v>
      </c>
      <c r="AL274" s="4">
        <v>0</v>
      </c>
      <c r="AM274">
        <v>0</v>
      </c>
      <c r="AN274">
        <v>0</v>
      </c>
      <c r="AO274">
        <v>0</v>
      </c>
      <c r="AP274">
        <v>0</v>
      </c>
      <c r="AQ274">
        <v>0</v>
      </c>
      <c r="AR274">
        <v>0</v>
      </c>
      <c r="AS274">
        <v>0</v>
      </c>
      <c r="AT274">
        <v>0</v>
      </c>
      <c r="AU274">
        <v>0</v>
      </c>
      <c r="AV274">
        <v>0</v>
      </c>
      <c r="AW274">
        <v>0</v>
      </c>
      <c r="AX274">
        <v>0</v>
      </c>
      <c r="AY274">
        <v>0</v>
      </c>
    </row>
    <row r="275" spans="1:51">
      <c r="A275" t="s">
        <v>17140</v>
      </c>
      <c r="B275" t="s">
        <v>17162</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s="4">
        <v>0</v>
      </c>
      <c r="X275" s="4">
        <v>0</v>
      </c>
      <c r="Y275">
        <v>0</v>
      </c>
      <c r="Z275">
        <v>0</v>
      </c>
      <c r="AA275" s="4">
        <v>0</v>
      </c>
      <c r="AB275" s="4">
        <v>0</v>
      </c>
      <c r="AC275" s="4">
        <v>0</v>
      </c>
      <c r="AD275" s="4">
        <v>0</v>
      </c>
      <c r="AE275" s="4">
        <v>0</v>
      </c>
      <c r="AF275" s="4">
        <v>0</v>
      </c>
      <c r="AG275" s="4">
        <v>0</v>
      </c>
      <c r="AH275" s="4">
        <v>0</v>
      </c>
      <c r="AI275" s="4">
        <v>0</v>
      </c>
      <c r="AJ275" s="4">
        <v>0</v>
      </c>
      <c r="AK275" s="4">
        <v>0</v>
      </c>
      <c r="AL275" s="4">
        <v>0</v>
      </c>
      <c r="AM275">
        <v>0</v>
      </c>
      <c r="AN275">
        <v>0</v>
      </c>
      <c r="AO275">
        <v>0</v>
      </c>
      <c r="AP275">
        <v>0</v>
      </c>
      <c r="AQ275">
        <v>0</v>
      </c>
      <c r="AR275">
        <v>0</v>
      </c>
      <c r="AS275">
        <v>0</v>
      </c>
      <c r="AT275">
        <v>0</v>
      </c>
      <c r="AU275">
        <v>0</v>
      </c>
      <c r="AV275">
        <v>0</v>
      </c>
      <c r="AW275">
        <v>0</v>
      </c>
      <c r="AX275">
        <v>0</v>
      </c>
      <c r="AY275">
        <v>0</v>
      </c>
    </row>
    <row r="276" spans="1:51">
      <c r="A276" t="s">
        <v>17140</v>
      </c>
      <c r="B276" t="s">
        <v>17163</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s="4">
        <v>0</v>
      </c>
      <c r="X276" s="4">
        <v>0</v>
      </c>
      <c r="Y276">
        <v>0</v>
      </c>
      <c r="Z276">
        <v>0</v>
      </c>
      <c r="AA276" s="4">
        <v>0</v>
      </c>
      <c r="AB276" s="4">
        <v>0</v>
      </c>
      <c r="AC276" s="4">
        <v>0</v>
      </c>
      <c r="AD276" s="4">
        <v>0</v>
      </c>
      <c r="AE276" s="4">
        <v>0</v>
      </c>
      <c r="AF276" s="4">
        <v>0</v>
      </c>
      <c r="AG276" s="4">
        <v>0</v>
      </c>
      <c r="AH276" s="4">
        <v>0</v>
      </c>
      <c r="AI276" s="4">
        <v>0</v>
      </c>
      <c r="AJ276" s="4">
        <v>0</v>
      </c>
      <c r="AK276" s="4">
        <v>0</v>
      </c>
      <c r="AL276" s="4">
        <v>0</v>
      </c>
      <c r="AM276">
        <v>0</v>
      </c>
      <c r="AN276">
        <v>0</v>
      </c>
      <c r="AO276">
        <v>0</v>
      </c>
      <c r="AP276">
        <v>0</v>
      </c>
      <c r="AQ276">
        <v>0</v>
      </c>
      <c r="AR276">
        <v>0</v>
      </c>
      <c r="AS276">
        <v>0</v>
      </c>
      <c r="AT276">
        <v>0</v>
      </c>
      <c r="AU276">
        <v>0</v>
      </c>
      <c r="AV276">
        <v>0</v>
      </c>
      <c r="AW276">
        <v>0</v>
      </c>
      <c r="AX276">
        <v>0</v>
      </c>
      <c r="AY276">
        <v>0</v>
      </c>
    </row>
    <row r="277" spans="1:51">
      <c r="A277" t="s">
        <v>17140</v>
      </c>
      <c r="B277" t="s">
        <v>17164</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s="4">
        <v>0</v>
      </c>
      <c r="X277" s="4">
        <v>0</v>
      </c>
      <c r="Y277">
        <v>0</v>
      </c>
      <c r="Z277">
        <v>0</v>
      </c>
      <c r="AA277" s="4">
        <v>0</v>
      </c>
      <c r="AB277" s="4">
        <v>0</v>
      </c>
      <c r="AC277" s="4">
        <v>0</v>
      </c>
      <c r="AD277" s="4">
        <v>0</v>
      </c>
      <c r="AE277" s="4">
        <v>0</v>
      </c>
      <c r="AF277" s="4">
        <v>0</v>
      </c>
      <c r="AG277" s="4">
        <v>0</v>
      </c>
      <c r="AH277" s="4">
        <v>0</v>
      </c>
      <c r="AI277" s="4">
        <v>0</v>
      </c>
      <c r="AJ277" s="4">
        <v>0</v>
      </c>
      <c r="AK277" s="4">
        <v>0</v>
      </c>
      <c r="AL277" s="4">
        <v>0</v>
      </c>
      <c r="AM277">
        <v>0</v>
      </c>
      <c r="AN277">
        <v>0</v>
      </c>
      <c r="AO277">
        <v>0</v>
      </c>
      <c r="AP277">
        <v>0</v>
      </c>
      <c r="AQ277">
        <v>0</v>
      </c>
      <c r="AR277">
        <v>0</v>
      </c>
      <c r="AS277">
        <v>0</v>
      </c>
      <c r="AT277">
        <v>0</v>
      </c>
      <c r="AU277">
        <v>0</v>
      </c>
      <c r="AV277">
        <v>0</v>
      </c>
      <c r="AW277">
        <v>0</v>
      </c>
      <c r="AX277">
        <v>0</v>
      </c>
      <c r="AY277">
        <v>0</v>
      </c>
    </row>
    <row r="278" spans="1:51">
      <c r="A278" t="s">
        <v>17140</v>
      </c>
      <c r="B278" t="s">
        <v>17165</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s="4">
        <v>0</v>
      </c>
      <c r="X278" s="4">
        <v>0</v>
      </c>
      <c r="Y278">
        <v>0</v>
      </c>
      <c r="Z278">
        <v>0</v>
      </c>
      <c r="AA278" s="4">
        <v>0</v>
      </c>
      <c r="AB278" s="4">
        <v>0</v>
      </c>
      <c r="AC278" s="4">
        <v>0</v>
      </c>
      <c r="AD278" s="4">
        <v>0</v>
      </c>
      <c r="AE278" s="4">
        <v>0</v>
      </c>
      <c r="AF278" s="4">
        <v>0</v>
      </c>
      <c r="AG278" s="4">
        <v>0</v>
      </c>
      <c r="AH278" s="4">
        <v>0</v>
      </c>
      <c r="AI278" s="4">
        <v>0</v>
      </c>
      <c r="AJ278" s="4">
        <v>0</v>
      </c>
      <c r="AK278" s="4">
        <v>0</v>
      </c>
      <c r="AL278" s="4">
        <v>0</v>
      </c>
      <c r="AM278">
        <v>0</v>
      </c>
      <c r="AN278">
        <v>0</v>
      </c>
      <c r="AO278">
        <v>0</v>
      </c>
      <c r="AP278">
        <v>0</v>
      </c>
      <c r="AQ278">
        <v>0</v>
      </c>
      <c r="AR278">
        <v>0</v>
      </c>
      <c r="AS278">
        <v>0</v>
      </c>
      <c r="AT278">
        <v>0</v>
      </c>
      <c r="AU278">
        <v>0</v>
      </c>
      <c r="AV278">
        <v>0</v>
      </c>
      <c r="AW278">
        <v>0</v>
      </c>
      <c r="AX278">
        <v>0</v>
      </c>
      <c r="AY278">
        <v>0</v>
      </c>
    </row>
    <row r="279" spans="1:51">
      <c r="A279" t="s">
        <v>17140</v>
      </c>
      <c r="B279" t="s">
        <v>17166</v>
      </c>
      <c r="C279">
        <v>0</v>
      </c>
      <c r="D279">
        <v>6</v>
      </c>
      <c r="E279">
        <v>6</v>
      </c>
      <c r="F279">
        <v>6</v>
      </c>
      <c r="G279">
        <v>0</v>
      </c>
      <c r="H279">
        <v>0</v>
      </c>
      <c r="I279">
        <v>0</v>
      </c>
      <c r="J279">
        <v>5</v>
      </c>
      <c r="K279">
        <v>43</v>
      </c>
      <c r="L279">
        <v>2</v>
      </c>
      <c r="M279">
        <v>0</v>
      </c>
      <c r="N279">
        <v>3</v>
      </c>
      <c r="O279">
        <v>0</v>
      </c>
      <c r="P279">
        <v>0</v>
      </c>
      <c r="Q279">
        <v>0</v>
      </c>
      <c r="R279">
        <v>0</v>
      </c>
      <c r="S279">
        <v>4.75</v>
      </c>
      <c r="T279">
        <v>4.75</v>
      </c>
      <c r="U279">
        <v>0</v>
      </c>
      <c r="V279">
        <v>9.5</v>
      </c>
      <c r="W279" s="4">
        <v>142.5</v>
      </c>
      <c r="X279" s="4">
        <v>0</v>
      </c>
      <c r="Y279">
        <v>3</v>
      </c>
      <c r="Z279">
        <v>0</v>
      </c>
      <c r="AA279" s="4">
        <v>0</v>
      </c>
      <c r="AB279" s="4">
        <v>60</v>
      </c>
      <c r="AC279" s="4">
        <v>10.45</v>
      </c>
      <c r="AD279" s="4">
        <v>5.25</v>
      </c>
      <c r="AE279" s="4">
        <v>70.45</v>
      </c>
      <c r="AF279" s="4">
        <v>65.25</v>
      </c>
      <c r="AG279" s="4">
        <v>152.94999999999999</v>
      </c>
      <c r="AH279" s="4">
        <v>82.5</v>
      </c>
      <c r="AI279" s="4">
        <v>0</v>
      </c>
      <c r="AJ279" s="4">
        <v>0</v>
      </c>
      <c r="AK279" s="4">
        <v>0</v>
      </c>
      <c r="AL279" s="4">
        <v>0</v>
      </c>
      <c r="AM279">
        <v>43</v>
      </c>
      <c r="AN279">
        <v>55</v>
      </c>
      <c r="AO279">
        <v>43</v>
      </c>
      <c r="AP279">
        <v>0</v>
      </c>
      <c r="AQ279">
        <v>4.75</v>
      </c>
      <c r="AR279">
        <v>0</v>
      </c>
      <c r="AS279">
        <v>4.75</v>
      </c>
      <c r="AT279">
        <v>0</v>
      </c>
      <c r="AU279">
        <v>4.75</v>
      </c>
      <c r="AV279">
        <v>0</v>
      </c>
      <c r="AW279">
        <v>4.75</v>
      </c>
      <c r="AX279">
        <v>0</v>
      </c>
      <c r="AY279">
        <v>0</v>
      </c>
    </row>
    <row r="280" spans="1:51">
      <c r="A280" t="s">
        <v>17140</v>
      </c>
      <c r="B280" t="s">
        <v>17167</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s="4">
        <v>0</v>
      </c>
      <c r="X280" s="4">
        <v>0</v>
      </c>
      <c r="Y280">
        <v>0</v>
      </c>
      <c r="Z280">
        <v>0</v>
      </c>
      <c r="AA280" s="4">
        <v>0</v>
      </c>
      <c r="AB280" s="4">
        <v>0</v>
      </c>
      <c r="AC280" s="4">
        <v>0</v>
      </c>
      <c r="AD280" s="4">
        <v>0</v>
      </c>
      <c r="AE280" s="4">
        <v>0</v>
      </c>
      <c r="AF280" s="4">
        <v>0</v>
      </c>
      <c r="AG280" s="4">
        <v>0</v>
      </c>
      <c r="AH280" s="4">
        <v>0</v>
      </c>
      <c r="AI280" s="4">
        <v>0</v>
      </c>
      <c r="AJ280" s="4">
        <v>0</v>
      </c>
      <c r="AK280" s="4">
        <v>0</v>
      </c>
      <c r="AL280" s="4">
        <v>0</v>
      </c>
      <c r="AM280">
        <v>0</v>
      </c>
      <c r="AN280">
        <v>0</v>
      </c>
      <c r="AO280">
        <v>0</v>
      </c>
      <c r="AP280">
        <v>0</v>
      </c>
      <c r="AQ280">
        <v>0</v>
      </c>
      <c r="AR280">
        <v>0</v>
      </c>
      <c r="AS280">
        <v>0</v>
      </c>
      <c r="AT280">
        <v>0</v>
      </c>
      <c r="AU280">
        <v>0</v>
      </c>
      <c r="AV280">
        <v>0</v>
      </c>
      <c r="AW280">
        <v>0</v>
      </c>
      <c r="AX280">
        <v>0</v>
      </c>
      <c r="AY280">
        <v>0</v>
      </c>
    </row>
    <row r="281" spans="1:51">
      <c r="A281" t="s">
        <v>17140</v>
      </c>
      <c r="B281" t="s">
        <v>17168</v>
      </c>
      <c r="C281">
        <v>0</v>
      </c>
      <c r="D281">
        <v>3</v>
      </c>
      <c r="E281">
        <v>0</v>
      </c>
      <c r="F281">
        <v>0</v>
      </c>
      <c r="G281">
        <v>0</v>
      </c>
      <c r="H281">
        <v>0</v>
      </c>
      <c r="I281">
        <v>0</v>
      </c>
      <c r="J281">
        <v>3</v>
      </c>
      <c r="K281">
        <v>31</v>
      </c>
      <c r="L281">
        <v>0</v>
      </c>
      <c r="M281">
        <v>0</v>
      </c>
      <c r="N281">
        <v>0</v>
      </c>
      <c r="O281">
        <v>0</v>
      </c>
      <c r="P281">
        <v>0</v>
      </c>
      <c r="Q281">
        <v>0</v>
      </c>
      <c r="R281">
        <v>0</v>
      </c>
      <c r="S281">
        <v>0</v>
      </c>
      <c r="T281">
        <v>0</v>
      </c>
      <c r="U281">
        <v>0</v>
      </c>
      <c r="V281">
        <v>0</v>
      </c>
      <c r="W281" s="4">
        <v>0</v>
      </c>
      <c r="X281" s="4">
        <v>0</v>
      </c>
      <c r="Y281">
        <v>0</v>
      </c>
      <c r="Z281">
        <v>0</v>
      </c>
      <c r="AA281" s="4">
        <v>0</v>
      </c>
      <c r="AB281" s="4">
        <v>0</v>
      </c>
      <c r="AC281" s="4">
        <v>0</v>
      </c>
      <c r="AD281" s="4">
        <v>0</v>
      </c>
      <c r="AE281" s="4">
        <v>0</v>
      </c>
      <c r="AF281" s="4">
        <v>0</v>
      </c>
      <c r="AG281" s="4">
        <v>0</v>
      </c>
      <c r="AH281" s="4">
        <v>0</v>
      </c>
      <c r="AI281" s="4">
        <v>0</v>
      </c>
      <c r="AJ281" s="4">
        <v>0</v>
      </c>
      <c r="AK281" s="4">
        <v>0</v>
      </c>
      <c r="AL281" s="4">
        <v>0</v>
      </c>
      <c r="AM281">
        <v>31</v>
      </c>
      <c r="AN281">
        <v>0</v>
      </c>
      <c r="AO281">
        <v>31</v>
      </c>
      <c r="AP281">
        <v>0</v>
      </c>
      <c r="AQ281">
        <v>0</v>
      </c>
      <c r="AR281">
        <v>0</v>
      </c>
      <c r="AS281">
        <v>0</v>
      </c>
      <c r="AT281">
        <v>0</v>
      </c>
      <c r="AU281">
        <v>0</v>
      </c>
      <c r="AV281">
        <v>0</v>
      </c>
      <c r="AW281">
        <v>0</v>
      </c>
      <c r="AX281">
        <v>0</v>
      </c>
      <c r="AY281">
        <v>0</v>
      </c>
    </row>
    <row r="282" spans="1:51">
      <c r="A282" t="s">
        <v>17169</v>
      </c>
      <c r="B282" t="s">
        <v>17170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s="4">
        <v>0</v>
      </c>
      <c r="X282" s="4">
        <v>0</v>
      </c>
      <c r="Y282">
        <v>0</v>
      </c>
      <c r="Z282">
        <v>0</v>
      </c>
      <c r="AA282" s="4">
        <v>0</v>
      </c>
      <c r="AB282" s="4">
        <v>0</v>
      </c>
      <c r="AC282" s="4">
        <v>0</v>
      </c>
      <c r="AD282" s="4">
        <v>0</v>
      </c>
      <c r="AE282" s="4">
        <v>0</v>
      </c>
      <c r="AF282" s="4">
        <v>0</v>
      </c>
      <c r="AG282" s="4">
        <v>0</v>
      </c>
      <c r="AH282" s="4">
        <v>0</v>
      </c>
      <c r="AI282" s="4">
        <v>0</v>
      </c>
      <c r="AJ282" s="4">
        <v>0</v>
      </c>
      <c r="AK282" s="4">
        <v>0</v>
      </c>
      <c r="AL282" s="4">
        <v>0</v>
      </c>
      <c r="AM282">
        <v>0</v>
      </c>
      <c r="AN282">
        <v>0</v>
      </c>
      <c r="AO282">
        <v>0</v>
      </c>
      <c r="AP282">
        <v>0</v>
      </c>
      <c r="AQ282">
        <v>0</v>
      </c>
      <c r="AR282">
        <v>0</v>
      </c>
      <c r="AS282">
        <v>0</v>
      </c>
      <c r="AT282">
        <v>0</v>
      </c>
      <c r="AU282">
        <v>0</v>
      </c>
      <c r="AV282">
        <v>0</v>
      </c>
      <c r="AW282">
        <v>0</v>
      </c>
      <c r="AX282">
        <v>0</v>
      </c>
    </row>
    <row r="283" spans="1:51">
      <c r="A283" t="s">
        <v>17169</v>
      </c>
      <c r="B283" t="s">
        <v>17171</v>
      </c>
      <c r="C283">
        <v>0</v>
      </c>
      <c r="D283">
        <v>5</v>
      </c>
      <c r="E283">
        <v>5</v>
      </c>
      <c r="F283">
        <v>5</v>
      </c>
      <c r="G283">
        <v>1</v>
      </c>
      <c r="H283">
        <v>0</v>
      </c>
      <c r="I283">
        <v>0</v>
      </c>
      <c r="J283">
        <v>5</v>
      </c>
      <c r="K283">
        <v>43</v>
      </c>
      <c r="L283">
        <v>5</v>
      </c>
      <c r="M283">
        <v>0</v>
      </c>
      <c r="N283">
        <v>0</v>
      </c>
      <c r="O283">
        <v>0</v>
      </c>
      <c r="P283">
        <v>0</v>
      </c>
      <c r="Q283">
        <v>0</v>
      </c>
      <c r="R283">
        <v>0</v>
      </c>
      <c r="S283">
        <v>0</v>
      </c>
      <c r="T283">
        <v>0</v>
      </c>
      <c r="U283">
        <v>0</v>
      </c>
      <c r="V283">
        <v>0</v>
      </c>
      <c r="W283" s="4">
        <v>0</v>
      </c>
      <c r="X283" s="4">
        <v>0</v>
      </c>
      <c r="Y283">
        <v>0</v>
      </c>
      <c r="Z283">
        <v>0</v>
      </c>
      <c r="AA283" s="4">
        <v>0</v>
      </c>
      <c r="AB283" s="4">
        <v>0</v>
      </c>
      <c r="AC283" s="4">
        <v>0</v>
      </c>
      <c r="AD283" s="4">
        <v>0</v>
      </c>
      <c r="AE283" s="4">
        <v>0</v>
      </c>
      <c r="AF283" s="4">
        <v>0</v>
      </c>
      <c r="AG283" s="4">
        <v>0</v>
      </c>
      <c r="AH283" s="4">
        <v>0</v>
      </c>
      <c r="AI283" s="4">
        <v>0</v>
      </c>
      <c r="AJ283" s="4">
        <v>0</v>
      </c>
      <c r="AK283" s="4">
        <v>0</v>
      </c>
      <c r="AL283" s="4">
        <v>0</v>
      </c>
      <c r="AM283">
        <v>43</v>
      </c>
      <c r="AN283">
        <v>0</v>
      </c>
      <c r="AO283">
        <v>43</v>
      </c>
      <c r="AP283">
        <v>0</v>
      </c>
      <c r="AQ283">
        <v>0</v>
      </c>
      <c r="AR283">
        <v>0</v>
      </c>
      <c r="AS283">
        <v>0</v>
      </c>
      <c r="AT283">
        <v>0</v>
      </c>
      <c r="AU283">
        <v>0</v>
      </c>
      <c r="AV283">
        <v>0</v>
      </c>
      <c r="AW283">
        <v>0</v>
      </c>
      <c r="AX283">
        <v>0</v>
      </c>
    </row>
    <row r="284" spans="1:51">
      <c r="A284" t="s">
        <v>17169</v>
      </c>
      <c r="B284" t="s">
        <v>17172</v>
      </c>
      <c r="C284">
        <v>0</v>
      </c>
      <c r="D284">
        <v>6</v>
      </c>
      <c r="E284">
        <v>6</v>
      </c>
      <c r="F284">
        <v>3</v>
      </c>
      <c r="G284">
        <v>0</v>
      </c>
      <c r="H284">
        <v>0</v>
      </c>
      <c r="I284">
        <v>0</v>
      </c>
      <c r="J284">
        <v>6</v>
      </c>
      <c r="K284">
        <v>148</v>
      </c>
      <c r="L284">
        <v>2</v>
      </c>
      <c r="M284">
        <v>1</v>
      </c>
      <c r="N284">
        <v>1</v>
      </c>
      <c r="O284">
        <v>1</v>
      </c>
      <c r="P284">
        <v>0</v>
      </c>
      <c r="Q284">
        <v>1</v>
      </c>
      <c r="R284">
        <v>0</v>
      </c>
      <c r="S284">
        <v>20.25</v>
      </c>
      <c r="T284">
        <v>82.25</v>
      </c>
      <c r="U284">
        <v>0</v>
      </c>
      <c r="V284">
        <v>102.5</v>
      </c>
      <c r="W284" s="4">
        <v>1847.5</v>
      </c>
      <c r="X284" s="4">
        <v>0</v>
      </c>
      <c r="Y284">
        <v>6</v>
      </c>
      <c r="Z284">
        <v>0</v>
      </c>
      <c r="AA284" s="4">
        <v>0</v>
      </c>
      <c r="AB284" s="4">
        <v>1785</v>
      </c>
      <c r="AC284" s="4">
        <v>3403</v>
      </c>
      <c r="AD284" s="4">
        <v>3403</v>
      </c>
      <c r="AE284" s="4">
        <v>13</v>
      </c>
      <c r="AF284" s="4">
        <v>5188</v>
      </c>
      <c r="AG284" s="4">
        <v>5250.5</v>
      </c>
      <c r="AH284" s="4">
        <v>5237.5</v>
      </c>
      <c r="AI284" s="4">
        <v>0</v>
      </c>
      <c r="AJ284" s="4">
        <v>0</v>
      </c>
      <c r="AK284" s="4">
        <v>0</v>
      </c>
      <c r="AL284" s="4">
        <v>0</v>
      </c>
      <c r="AM284">
        <v>148</v>
      </c>
      <c r="AN284">
        <v>0</v>
      </c>
      <c r="AO284">
        <v>148</v>
      </c>
      <c r="AP284">
        <v>0</v>
      </c>
      <c r="AQ284">
        <v>20.25</v>
      </c>
      <c r="AR284">
        <v>0</v>
      </c>
      <c r="AS284">
        <v>20.25</v>
      </c>
      <c r="AT284">
        <v>0</v>
      </c>
      <c r="AU284">
        <v>82.25</v>
      </c>
      <c r="AV284">
        <v>0</v>
      </c>
      <c r="AW284">
        <v>82.25</v>
      </c>
      <c r="AX284">
        <v>0</v>
      </c>
    </row>
    <row r="285" spans="1:51">
      <c r="A285" t="s">
        <v>17169</v>
      </c>
      <c r="B285" t="s">
        <v>17173</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s="4">
        <v>0</v>
      </c>
      <c r="X285" s="4">
        <v>0</v>
      </c>
      <c r="Y285">
        <v>0</v>
      </c>
      <c r="Z285">
        <v>0</v>
      </c>
      <c r="AA285" s="4">
        <v>0</v>
      </c>
      <c r="AB285" s="4">
        <v>0</v>
      </c>
      <c r="AC285" s="4">
        <v>0</v>
      </c>
      <c r="AD285" s="4">
        <v>0</v>
      </c>
      <c r="AE285" s="4">
        <v>0</v>
      </c>
      <c r="AF285" s="4">
        <v>0</v>
      </c>
      <c r="AG285" s="4">
        <v>0</v>
      </c>
      <c r="AH285" s="4">
        <v>0</v>
      </c>
      <c r="AI285" s="4">
        <v>0</v>
      </c>
      <c r="AJ285" s="4">
        <v>0</v>
      </c>
      <c r="AK285" s="4">
        <v>0</v>
      </c>
      <c r="AL285" s="4">
        <v>0</v>
      </c>
      <c r="AM285">
        <v>0</v>
      </c>
      <c r="AN285">
        <v>0</v>
      </c>
      <c r="AO285">
        <v>0</v>
      </c>
      <c r="AP285">
        <v>0</v>
      </c>
      <c r="AQ285">
        <v>0</v>
      </c>
      <c r="AR285">
        <v>0</v>
      </c>
      <c r="AS285">
        <v>0</v>
      </c>
      <c r="AT285">
        <v>0</v>
      </c>
      <c r="AU285">
        <v>0</v>
      </c>
      <c r="AV285">
        <v>0</v>
      </c>
      <c r="AW285">
        <v>0</v>
      </c>
      <c r="AX285">
        <v>0</v>
      </c>
    </row>
    <row r="286" spans="1:51">
      <c r="A286" t="s">
        <v>17169</v>
      </c>
      <c r="B286" t="s">
        <v>17174</v>
      </c>
      <c r="C286">
        <v>0</v>
      </c>
      <c r="D286">
        <v>1</v>
      </c>
      <c r="E286">
        <v>0</v>
      </c>
      <c r="F286">
        <v>1</v>
      </c>
      <c r="G286">
        <v>0</v>
      </c>
      <c r="H286">
        <v>0</v>
      </c>
      <c r="I286">
        <v>0</v>
      </c>
      <c r="J286">
        <v>1</v>
      </c>
      <c r="K286">
        <v>2</v>
      </c>
      <c r="L286">
        <v>1</v>
      </c>
      <c r="M286">
        <v>0</v>
      </c>
      <c r="N286">
        <v>0</v>
      </c>
      <c r="O286">
        <v>0</v>
      </c>
      <c r="P286">
        <v>0</v>
      </c>
      <c r="Q286">
        <v>0</v>
      </c>
      <c r="R286">
        <v>0</v>
      </c>
      <c r="S286">
        <v>1</v>
      </c>
      <c r="T286">
        <v>0</v>
      </c>
      <c r="U286">
        <v>0</v>
      </c>
      <c r="V286">
        <v>1</v>
      </c>
      <c r="W286" s="4">
        <v>10</v>
      </c>
      <c r="X286" s="4">
        <v>0</v>
      </c>
      <c r="Y286">
        <v>1</v>
      </c>
      <c r="Z286">
        <v>0</v>
      </c>
      <c r="AA286" s="4">
        <v>0</v>
      </c>
      <c r="AB286" s="4">
        <v>0</v>
      </c>
      <c r="AC286" s="4">
        <v>0</v>
      </c>
      <c r="AD286" s="4">
        <v>0</v>
      </c>
      <c r="AE286" s="4">
        <v>0</v>
      </c>
      <c r="AF286" s="4">
        <v>0</v>
      </c>
      <c r="AG286" s="4">
        <v>10</v>
      </c>
      <c r="AH286" s="4">
        <v>10</v>
      </c>
      <c r="AI286" s="4">
        <v>0</v>
      </c>
      <c r="AJ286" s="4">
        <v>0</v>
      </c>
      <c r="AK286" s="4">
        <v>0</v>
      </c>
      <c r="AL286" s="4">
        <v>0</v>
      </c>
      <c r="AM286">
        <v>2</v>
      </c>
      <c r="AN286">
        <v>0</v>
      </c>
      <c r="AO286">
        <v>2</v>
      </c>
      <c r="AP286">
        <v>0</v>
      </c>
      <c r="AQ286">
        <v>1</v>
      </c>
      <c r="AR286">
        <v>0</v>
      </c>
      <c r="AS286">
        <v>1</v>
      </c>
      <c r="AT286">
        <v>0</v>
      </c>
      <c r="AU286">
        <v>0</v>
      </c>
      <c r="AV286">
        <v>0</v>
      </c>
      <c r="AW286">
        <v>0</v>
      </c>
      <c r="AX286">
        <v>0</v>
      </c>
    </row>
    <row r="287" spans="1:51">
      <c r="A287" t="s">
        <v>17169</v>
      </c>
      <c r="B287" t="s">
        <v>17175</v>
      </c>
      <c r="C287">
        <v>1</v>
      </c>
      <c r="D287">
        <v>2</v>
      </c>
      <c r="E287">
        <v>2</v>
      </c>
      <c r="F287">
        <v>0</v>
      </c>
      <c r="G287">
        <v>0</v>
      </c>
      <c r="H287">
        <v>0</v>
      </c>
      <c r="I287">
        <v>0</v>
      </c>
      <c r="J287">
        <v>2</v>
      </c>
      <c r="K287">
        <v>152</v>
      </c>
      <c r="L287">
        <v>1</v>
      </c>
      <c r="M287">
        <v>1</v>
      </c>
      <c r="N287">
        <v>0</v>
      </c>
      <c r="O287">
        <v>0</v>
      </c>
      <c r="P287">
        <v>0</v>
      </c>
      <c r="Q287">
        <v>0</v>
      </c>
      <c r="R287">
        <v>0</v>
      </c>
      <c r="S287">
        <v>0</v>
      </c>
      <c r="T287">
        <v>0</v>
      </c>
      <c r="U287">
        <v>0</v>
      </c>
      <c r="V287">
        <v>0</v>
      </c>
      <c r="W287" s="4">
        <v>0</v>
      </c>
      <c r="X287" s="4">
        <v>0</v>
      </c>
      <c r="Y287">
        <v>1</v>
      </c>
      <c r="Z287">
        <v>0</v>
      </c>
      <c r="AA287" s="4">
        <v>0</v>
      </c>
      <c r="AB287" s="4">
        <v>0</v>
      </c>
      <c r="AC287" s="4">
        <v>0</v>
      </c>
      <c r="AD287" s="4">
        <v>0</v>
      </c>
      <c r="AE287" s="4">
        <v>0</v>
      </c>
      <c r="AF287" s="4">
        <v>0</v>
      </c>
      <c r="AG287" s="4">
        <v>0</v>
      </c>
      <c r="AH287" s="4">
        <v>0</v>
      </c>
      <c r="AI287" s="4">
        <v>0</v>
      </c>
      <c r="AJ287" s="4">
        <v>0</v>
      </c>
      <c r="AK287" s="4">
        <v>0</v>
      </c>
      <c r="AL287" s="4">
        <v>0</v>
      </c>
      <c r="AM287">
        <v>152</v>
      </c>
      <c r="AN287">
        <v>0</v>
      </c>
      <c r="AO287">
        <v>2</v>
      </c>
      <c r="AP287">
        <v>150</v>
      </c>
      <c r="AQ287">
        <v>0</v>
      </c>
      <c r="AR287">
        <v>0</v>
      </c>
      <c r="AS287">
        <v>0</v>
      </c>
      <c r="AT287">
        <v>0</v>
      </c>
      <c r="AU287">
        <v>0</v>
      </c>
      <c r="AV287">
        <v>0</v>
      </c>
      <c r="AW287">
        <v>0</v>
      </c>
      <c r="AX287">
        <v>0</v>
      </c>
    </row>
    <row r="288" spans="1:51">
      <c r="A288" t="s">
        <v>17169</v>
      </c>
      <c r="B288" t="s">
        <v>17176</v>
      </c>
      <c r="C288">
        <v>0</v>
      </c>
      <c r="D288">
        <v>5</v>
      </c>
      <c r="E288">
        <v>5</v>
      </c>
      <c r="F288">
        <v>5</v>
      </c>
      <c r="G288">
        <v>5</v>
      </c>
      <c r="H288">
        <v>0</v>
      </c>
      <c r="I288">
        <v>0</v>
      </c>
      <c r="J288">
        <v>5</v>
      </c>
      <c r="K288">
        <v>64</v>
      </c>
      <c r="L288">
        <v>5</v>
      </c>
      <c r="M288">
        <v>0</v>
      </c>
      <c r="N288">
        <v>0</v>
      </c>
      <c r="O288">
        <v>0</v>
      </c>
      <c r="P288">
        <v>0</v>
      </c>
      <c r="Q288">
        <v>0</v>
      </c>
      <c r="R288">
        <v>0</v>
      </c>
      <c r="S288">
        <v>0.5</v>
      </c>
      <c r="T288">
        <v>0.75</v>
      </c>
      <c r="U288">
        <v>0</v>
      </c>
      <c r="V288">
        <v>1.25</v>
      </c>
      <c r="W288" s="4">
        <v>20</v>
      </c>
      <c r="X288" s="4">
        <v>0</v>
      </c>
      <c r="Y288">
        <v>2</v>
      </c>
      <c r="Z288">
        <v>0</v>
      </c>
      <c r="AA288" s="4">
        <v>0</v>
      </c>
      <c r="AB288" s="4">
        <v>0</v>
      </c>
      <c r="AC288" s="4">
        <v>0</v>
      </c>
      <c r="AD288" s="4">
        <v>0</v>
      </c>
      <c r="AE288" s="4">
        <v>0</v>
      </c>
      <c r="AF288" s="4">
        <v>0</v>
      </c>
      <c r="AG288" s="4">
        <v>20</v>
      </c>
      <c r="AH288" s="4">
        <v>20</v>
      </c>
      <c r="AI288" s="4">
        <v>0</v>
      </c>
      <c r="AJ288" s="4">
        <v>0</v>
      </c>
      <c r="AK288" s="4">
        <v>0</v>
      </c>
      <c r="AL288" s="4">
        <v>0</v>
      </c>
      <c r="AM288">
        <v>64</v>
      </c>
      <c r="AN288">
        <v>0</v>
      </c>
      <c r="AO288">
        <v>64</v>
      </c>
      <c r="AP288">
        <v>0</v>
      </c>
      <c r="AQ288">
        <v>0.5</v>
      </c>
      <c r="AR288">
        <v>0</v>
      </c>
      <c r="AS288">
        <v>0.5</v>
      </c>
      <c r="AT288">
        <v>0</v>
      </c>
      <c r="AU288">
        <v>0.75</v>
      </c>
      <c r="AV288">
        <v>0</v>
      </c>
      <c r="AW288">
        <v>0.75</v>
      </c>
      <c r="AX288">
        <v>0</v>
      </c>
    </row>
    <row r="289" spans="1:51">
      <c r="A289" t="s">
        <v>17169</v>
      </c>
      <c r="B289" t="s">
        <v>17177</v>
      </c>
      <c r="C289">
        <v>0</v>
      </c>
      <c r="D289">
        <v>11</v>
      </c>
      <c r="E289">
        <v>11</v>
      </c>
      <c r="F289">
        <v>11</v>
      </c>
      <c r="G289">
        <v>1</v>
      </c>
      <c r="H289">
        <v>0</v>
      </c>
      <c r="I289">
        <v>0</v>
      </c>
      <c r="J289">
        <v>11</v>
      </c>
      <c r="K289">
        <v>40</v>
      </c>
      <c r="L289">
        <v>6</v>
      </c>
      <c r="M289">
        <v>0</v>
      </c>
      <c r="N289">
        <v>3</v>
      </c>
      <c r="O289">
        <v>1</v>
      </c>
      <c r="P289">
        <v>0</v>
      </c>
      <c r="Q289">
        <v>1</v>
      </c>
      <c r="R289">
        <v>0</v>
      </c>
      <c r="S289">
        <v>3.75</v>
      </c>
      <c r="T289">
        <v>0.5</v>
      </c>
      <c r="U289">
        <v>0</v>
      </c>
      <c r="V289">
        <v>4.25</v>
      </c>
      <c r="W289" s="4">
        <v>47.5</v>
      </c>
      <c r="X289" s="4">
        <v>0</v>
      </c>
      <c r="Y289">
        <v>10</v>
      </c>
      <c r="Z289">
        <v>1</v>
      </c>
      <c r="AA289" s="4">
        <v>0</v>
      </c>
      <c r="AB289" s="4">
        <v>0</v>
      </c>
      <c r="AC289" s="4">
        <v>19</v>
      </c>
      <c r="AD289" s="4">
        <v>0</v>
      </c>
      <c r="AE289" s="4">
        <v>19</v>
      </c>
      <c r="AF289" s="4">
        <v>0</v>
      </c>
      <c r="AG289" s="4">
        <v>66.5</v>
      </c>
      <c r="AH289" s="4">
        <v>47.5</v>
      </c>
      <c r="AI289" s="4">
        <v>0</v>
      </c>
      <c r="AJ289" s="4">
        <v>0</v>
      </c>
      <c r="AK289" s="4">
        <v>0</v>
      </c>
      <c r="AL289" s="4">
        <v>0</v>
      </c>
      <c r="AM289">
        <v>40</v>
      </c>
      <c r="AN289">
        <v>0</v>
      </c>
      <c r="AO289">
        <v>40</v>
      </c>
      <c r="AP289">
        <v>0</v>
      </c>
      <c r="AQ289">
        <v>3.75</v>
      </c>
      <c r="AR289">
        <v>0</v>
      </c>
      <c r="AS289">
        <v>3.75</v>
      </c>
      <c r="AT289">
        <v>0</v>
      </c>
      <c r="AU289">
        <v>0.5</v>
      </c>
      <c r="AV289">
        <v>0</v>
      </c>
      <c r="AW289">
        <v>0.5</v>
      </c>
      <c r="AX289">
        <v>0</v>
      </c>
    </row>
    <row r="290" spans="1:51">
      <c r="A290" t="s">
        <v>17169</v>
      </c>
      <c r="B290" t="s">
        <v>17178</v>
      </c>
      <c r="C290">
        <v>0</v>
      </c>
      <c r="D290">
        <v>8</v>
      </c>
      <c r="E290">
        <v>8</v>
      </c>
      <c r="F290">
        <v>7</v>
      </c>
      <c r="G290">
        <v>0</v>
      </c>
      <c r="H290">
        <v>0</v>
      </c>
      <c r="I290">
        <v>0</v>
      </c>
      <c r="J290">
        <v>8</v>
      </c>
      <c r="K290">
        <v>44</v>
      </c>
      <c r="L290">
        <v>6</v>
      </c>
      <c r="M290">
        <v>0</v>
      </c>
      <c r="N290">
        <v>1</v>
      </c>
      <c r="O290">
        <v>1</v>
      </c>
      <c r="P290">
        <v>0</v>
      </c>
      <c r="Q290">
        <v>0</v>
      </c>
      <c r="R290">
        <v>0</v>
      </c>
      <c r="S290">
        <v>3</v>
      </c>
      <c r="T290">
        <v>2.75</v>
      </c>
      <c r="U290">
        <v>0</v>
      </c>
      <c r="V290">
        <v>5.75</v>
      </c>
      <c r="W290" s="4">
        <v>85</v>
      </c>
      <c r="X290" s="4">
        <v>0</v>
      </c>
      <c r="Y290">
        <v>7</v>
      </c>
      <c r="Z290">
        <v>0</v>
      </c>
      <c r="AA290" s="4">
        <v>0</v>
      </c>
      <c r="AB290" s="4">
        <v>0</v>
      </c>
      <c r="AC290" s="4">
        <v>262.5</v>
      </c>
      <c r="AD290" s="4">
        <v>262.5</v>
      </c>
      <c r="AE290" s="4">
        <v>262.5</v>
      </c>
      <c r="AF290" s="4">
        <v>262.5</v>
      </c>
      <c r="AG290" s="4">
        <v>347.5</v>
      </c>
      <c r="AH290" s="4">
        <v>85</v>
      </c>
      <c r="AI290" s="4">
        <v>0</v>
      </c>
      <c r="AJ290" s="4">
        <v>0</v>
      </c>
      <c r="AK290" s="4">
        <v>0</v>
      </c>
      <c r="AL290" s="4">
        <v>0</v>
      </c>
      <c r="AM290">
        <v>44</v>
      </c>
      <c r="AN290">
        <v>0</v>
      </c>
      <c r="AO290">
        <v>44</v>
      </c>
      <c r="AP290">
        <v>0</v>
      </c>
      <c r="AQ290">
        <v>3</v>
      </c>
      <c r="AR290">
        <v>0</v>
      </c>
      <c r="AS290">
        <v>3</v>
      </c>
      <c r="AT290">
        <v>0</v>
      </c>
      <c r="AU290">
        <v>2.75</v>
      </c>
      <c r="AV290">
        <v>0</v>
      </c>
      <c r="AW290">
        <v>2.75</v>
      </c>
      <c r="AX290">
        <v>0</v>
      </c>
      <c r="AY290">
        <v>1200</v>
      </c>
    </row>
    <row r="291" spans="1:51">
      <c r="A291" t="s">
        <v>17169</v>
      </c>
      <c r="B291" t="s">
        <v>17179</v>
      </c>
      <c r="C291">
        <v>0</v>
      </c>
      <c r="D291">
        <v>6</v>
      </c>
      <c r="E291">
        <v>6</v>
      </c>
      <c r="F291">
        <v>4</v>
      </c>
      <c r="G291">
        <v>0</v>
      </c>
      <c r="H291">
        <v>5</v>
      </c>
      <c r="I291">
        <v>0</v>
      </c>
      <c r="J291">
        <v>6</v>
      </c>
      <c r="K291">
        <v>107</v>
      </c>
      <c r="L291">
        <v>6</v>
      </c>
      <c r="M291">
        <v>0</v>
      </c>
      <c r="N291">
        <v>0</v>
      </c>
      <c r="O291">
        <v>0</v>
      </c>
      <c r="P291">
        <v>0</v>
      </c>
      <c r="Q291">
        <v>0</v>
      </c>
      <c r="R291">
        <v>0</v>
      </c>
      <c r="S291">
        <v>52</v>
      </c>
      <c r="T291">
        <v>21.5</v>
      </c>
      <c r="U291">
        <v>0</v>
      </c>
      <c r="V291">
        <v>73.5</v>
      </c>
      <c r="W291" s="4">
        <v>950</v>
      </c>
      <c r="X291" s="4">
        <v>0</v>
      </c>
      <c r="Y291">
        <v>6</v>
      </c>
      <c r="Z291">
        <v>0</v>
      </c>
      <c r="AA291" s="4">
        <v>0</v>
      </c>
      <c r="AB291" s="4">
        <v>770</v>
      </c>
      <c r="AC291" s="4">
        <v>0</v>
      </c>
      <c r="AD291" s="4">
        <v>0</v>
      </c>
      <c r="AE291" s="4">
        <v>0</v>
      </c>
      <c r="AF291" s="4">
        <v>770</v>
      </c>
      <c r="AG291" s="4">
        <v>950</v>
      </c>
      <c r="AH291" s="4">
        <v>950</v>
      </c>
      <c r="AI291" s="4">
        <v>0</v>
      </c>
      <c r="AJ291" s="4">
        <v>770</v>
      </c>
      <c r="AK291" s="4">
        <v>920</v>
      </c>
      <c r="AL291" s="4">
        <v>920</v>
      </c>
      <c r="AM291">
        <v>107</v>
      </c>
      <c r="AN291">
        <v>103</v>
      </c>
      <c r="AO291">
        <v>4</v>
      </c>
      <c r="AP291">
        <v>0</v>
      </c>
      <c r="AQ291">
        <v>52</v>
      </c>
      <c r="AR291">
        <v>50</v>
      </c>
      <c r="AS291">
        <v>2</v>
      </c>
      <c r="AT291">
        <v>0</v>
      </c>
      <c r="AU291">
        <v>21.5</v>
      </c>
      <c r="AV291">
        <v>21</v>
      </c>
      <c r="AW291">
        <v>0.5</v>
      </c>
      <c r="AX291">
        <v>0</v>
      </c>
    </row>
    <row r="292" spans="1:51">
      <c r="A292" t="s">
        <v>17169</v>
      </c>
      <c r="B292" t="s">
        <v>17180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s="4">
        <v>0</v>
      </c>
      <c r="X292" s="4">
        <v>0</v>
      </c>
      <c r="Y292">
        <v>0</v>
      </c>
      <c r="Z292">
        <v>0</v>
      </c>
      <c r="AA292" s="4">
        <v>0</v>
      </c>
      <c r="AB292" s="4">
        <v>0</v>
      </c>
      <c r="AC292" s="4">
        <v>0</v>
      </c>
      <c r="AD292" s="4">
        <v>330</v>
      </c>
      <c r="AE292" s="4">
        <v>330</v>
      </c>
      <c r="AF292" s="4">
        <v>330</v>
      </c>
      <c r="AG292" s="4">
        <v>0</v>
      </c>
      <c r="AH292" s="4">
        <v>0</v>
      </c>
      <c r="AI292" s="4">
        <v>0</v>
      </c>
      <c r="AJ292" s="4">
        <v>0</v>
      </c>
      <c r="AK292" s="4">
        <v>0</v>
      </c>
      <c r="AL292" s="4">
        <v>0</v>
      </c>
      <c r="AM292">
        <v>0</v>
      </c>
      <c r="AN292">
        <v>0</v>
      </c>
      <c r="AO292">
        <v>0</v>
      </c>
      <c r="AP292">
        <v>0</v>
      </c>
      <c r="AQ292">
        <v>0</v>
      </c>
      <c r="AR292">
        <v>0</v>
      </c>
      <c r="AS292">
        <v>0</v>
      </c>
      <c r="AT292">
        <v>0</v>
      </c>
      <c r="AU292">
        <v>0</v>
      </c>
      <c r="AV292">
        <v>0</v>
      </c>
      <c r="AW292">
        <v>0</v>
      </c>
      <c r="AX292">
        <v>0</v>
      </c>
    </row>
    <row r="293" spans="1:51">
      <c r="A293" t="s">
        <v>17169</v>
      </c>
      <c r="B293" t="s">
        <v>17181</v>
      </c>
      <c r="C293">
        <v>0</v>
      </c>
      <c r="D293">
        <v>4</v>
      </c>
      <c r="E293">
        <v>4</v>
      </c>
      <c r="F293">
        <v>4</v>
      </c>
      <c r="G293">
        <v>1</v>
      </c>
      <c r="H293">
        <v>0</v>
      </c>
      <c r="I293">
        <v>0</v>
      </c>
      <c r="J293">
        <v>4</v>
      </c>
      <c r="K293">
        <v>37</v>
      </c>
      <c r="L293">
        <v>2</v>
      </c>
      <c r="M293">
        <v>0</v>
      </c>
      <c r="N293">
        <v>0</v>
      </c>
      <c r="O293">
        <v>1</v>
      </c>
      <c r="P293">
        <v>0</v>
      </c>
      <c r="Q293">
        <v>1</v>
      </c>
      <c r="R293">
        <v>0</v>
      </c>
      <c r="S293">
        <v>9</v>
      </c>
      <c r="T293">
        <v>8</v>
      </c>
      <c r="U293">
        <v>0</v>
      </c>
      <c r="V293">
        <v>17</v>
      </c>
      <c r="W293" s="4">
        <v>250</v>
      </c>
      <c r="X293" s="4">
        <v>0</v>
      </c>
      <c r="Y293">
        <v>1</v>
      </c>
      <c r="Z293">
        <v>3</v>
      </c>
      <c r="AA293" s="4">
        <v>0</v>
      </c>
      <c r="AB293" s="4">
        <v>110</v>
      </c>
      <c r="AC293" s="4">
        <v>0</v>
      </c>
      <c r="AD293" s="4">
        <v>0</v>
      </c>
      <c r="AE293" s="4">
        <v>110</v>
      </c>
      <c r="AF293" s="4">
        <v>110</v>
      </c>
      <c r="AG293" s="4">
        <v>250</v>
      </c>
      <c r="AH293" s="4">
        <v>140</v>
      </c>
      <c r="AI293" s="4">
        <v>0</v>
      </c>
      <c r="AJ293" s="4">
        <v>0</v>
      </c>
      <c r="AK293" s="4">
        <v>0</v>
      </c>
      <c r="AL293" s="4">
        <v>0</v>
      </c>
      <c r="AM293">
        <v>37</v>
      </c>
      <c r="AN293">
        <v>0</v>
      </c>
      <c r="AO293">
        <v>37</v>
      </c>
      <c r="AP293">
        <v>0</v>
      </c>
      <c r="AQ293">
        <v>9</v>
      </c>
      <c r="AR293">
        <v>0</v>
      </c>
      <c r="AS293">
        <v>9</v>
      </c>
      <c r="AT293">
        <v>0</v>
      </c>
      <c r="AU293">
        <v>8</v>
      </c>
      <c r="AV293">
        <v>0</v>
      </c>
      <c r="AW293">
        <v>8</v>
      </c>
      <c r="AX293">
        <v>0</v>
      </c>
    </row>
    <row r="294" spans="1:51">
      <c r="A294" t="s">
        <v>17169</v>
      </c>
      <c r="B294" t="s">
        <v>17182</v>
      </c>
      <c r="C294">
        <v>0</v>
      </c>
      <c r="D294">
        <v>2</v>
      </c>
      <c r="E294">
        <v>1</v>
      </c>
      <c r="F294">
        <v>2</v>
      </c>
      <c r="G294">
        <v>0</v>
      </c>
      <c r="H294">
        <v>0</v>
      </c>
      <c r="I294">
        <v>0</v>
      </c>
      <c r="J294">
        <v>2</v>
      </c>
      <c r="K294">
        <v>27</v>
      </c>
      <c r="L294">
        <v>0</v>
      </c>
      <c r="M294">
        <v>0</v>
      </c>
      <c r="N294">
        <v>0</v>
      </c>
      <c r="O294">
        <v>0</v>
      </c>
      <c r="P294">
        <v>0</v>
      </c>
      <c r="Q294">
        <v>0</v>
      </c>
      <c r="R294">
        <v>0</v>
      </c>
      <c r="S294">
        <v>0</v>
      </c>
      <c r="T294">
        <v>0</v>
      </c>
      <c r="U294">
        <v>0</v>
      </c>
      <c r="V294">
        <v>0</v>
      </c>
      <c r="W294" s="4">
        <v>0</v>
      </c>
      <c r="X294" s="4">
        <v>0</v>
      </c>
      <c r="Y294">
        <v>2</v>
      </c>
      <c r="Z294">
        <v>0</v>
      </c>
      <c r="AA294" s="4">
        <v>0</v>
      </c>
      <c r="AB294" s="4">
        <v>0</v>
      </c>
      <c r="AC294" s="4">
        <v>218</v>
      </c>
      <c r="AD294" s="4">
        <v>218</v>
      </c>
      <c r="AE294" s="4">
        <v>218</v>
      </c>
      <c r="AF294" s="4">
        <v>218</v>
      </c>
      <c r="AG294" s="4">
        <v>218</v>
      </c>
      <c r="AH294" s="4">
        <v>0</v>
      </c>
      <c r="AI294" s="4">
        <v>0</v>
      </c>
      <c r="AJ294" s="4">
        <v>0</v>
      </c>
      <c r="AK294" s="4">
        <v>0</v>
      </c>
      <c r="AL294" s="4">
        <v>0</v>
      </c>
      <c r="AM294">
        <v>27</v>
      </c>
      <c r="AN294">
        <v>0</v>
      </c>
      <c r="AO294">
        <v>27</v>
      </c>
      <c r="AP294">
        <v>0</v>
      </c>
      <c r="AQ294">
        <v>0</v>
      </c>
      <c r="AR294">
        <v>0</v>
      </c>
      <c r="AS294">
        <v>0</v>
      </c>
      <c r="AT294">
        <v>0</v>
      </c>
      <c r="AU294">
        <v>0</v>
      </c>
      <c r="AV294">
        <v>0</v>
      </c>
      <c r="AW294">
        <v>0</v>
      </c>
      <c r="AX294">
        <v>0</v>
      </c>
    </row>
    <row r="295" spans="1:51">
      <c r="A295" t="s">
        <v>17169</v>
      </c>
      <c r="B295" t="s">
        <v>17183</v>
      </c>
      <c r="C295">
        <v>2</v>
      </c>
      <c r="D295">
        <v>8</v>
      </c>
      <c r="E295">
        <v>8</v>
      </c>
      <c r="F295">
        <v>8</v>
      </c>
      <c r="G295">
        <v>0</v>
      </c>
      <c r="H295">
        <v>0</v>
      </c>
      <c r="I295">
        <v>0</v>
      </c>
      <c r="J295">
        <v>8</v>
      </c>
      <c r="K295">
        <v>126</v>
      </c>
      <c r="L295">
        <v>3</v>
      </c>
      <c r="M295">
        <v>1</v>
      </c>
      <c r="N295">
        <v>0</v>
      </c>
      <c r="O295">
        <v>3</v>
      </c>
      <c r="P295">
        <v>1</v>
      </c>
      <c r="Q295">
        <v>0</v>
      </c>
      <c r="R295">
        <v>0</v>
      </c>
      <c r="S295">
        <v>0</v>
      </c>
      <c r="T295">
        <v>0</v>
      </c>
      <c r="U295">
        <v>0</v>
      </c>
      <c r="V295">
        <v>0</v>
      </c>
      <c r="W295" s="4">
        <v>0</v>
      </c>
      <c r="X295" s="4">
        <v>0</v>
      </c>
      <c r="Y295">
        <v>7</v>
      </c>
      <c r="Z295">
        <v>1</v>
      </c>
      <c r="AA295" s="4">
        <v>0</v>
      </c>
      <c r="AB295" s="4">
        <v>0</v>
      </c>
      <c r="AC295" s="4">
        <v>0</v>
      </c>
      <c r="AD295" s="4">
        <v>330</v>
      </c>
      <c r="AE295" s="4">
        <v>330</v>
      </c>
      <c r="AF295" s="4">
        <v>330</v>
      </c>
      <c r="AG295" s="4">
        <v>0</v>
      </c>
      <c r="AH295" s="4">
        <v>0</v>
      </c>
      <c r="AI295" s="4">
        <v>0</v>
      </c>
      <c r="AJ295" s="4">
        <v>0</v>
      </c>
      <c r="AK295" s="4">
        <v>0</v>
      </c>
      <c r="AL295" s="4">
        <v>0</v>
      </c>
      <c r="AM295">
        <v>126</v>
      </c>
      <c r="AN295">
        <v>0</v>
      </c>
      <c r="AO295">
        <v>91</v>
      </c>
      <c r="AP295">
        <v>35</v>
      </c>
      <c r="AQ295">
        <v>0</v>
      </c>
      <c r="AR295">
        <v>0</v>
      </c>
      <c r="AS295">
        <v>0</v>
      </c>
      <c r="AT295">
        <v>0</v>
      </c>
      <c r="AU295">
        <v>0</v>
      </c>
      <c r="AV295">
        <v>0</v>
      </c>
      <c r="AW295">
        <v>0</v>
      </c>
      <c r="AX295">
        <v>0</v>
      </c>
    </row>
    <row r="296" spans="1:51">
      <c r="A296" t="s">
        <v>17169</v>
      </c>
      <c r="B296" t="s">
        <v>17184</v>
      </c>
      <c r="C296">
        <v>1</v>
      </c>
      <c r="D296">
        <v>1</v>
      </c>
      <c r="E296">
        <v>0</v>
      </c>
      <c r="F296">
        <v>1</v>
      </c>
      <c r="G296">
        <v>0</v>
      </c>
      <c r="H296">
        <v>0</v>
      </c>
      <c r="I296">
        <v>0</v>
      </c>
      <c r="J296">
        <v>1</v>
      </c>
      <c r="K296">
        <v>1</v>
      </c>
      <c r="L296">
        <v>1</v>
      </c>
      <c r="M296">
        <v>0</v>
      </c>
      <c r="N296">
        <v>0</v>
      </c>
      <c r="O296">
        <v>0</v>
      </c>
      <c r="P296">
        <v>0</v>
      </c>
      <c r="Q296">
        <v>0</v>
      </c>
      <c r="R296">
        <v>0</v>
      </c>
      <c r="S296">
        <v>0</v>
      </c>
      <c r="T296">
        <v>0</v>
      </c>
      <c r="U296">
        <v>0</v>
      </c>
      <c r="V296">
        <v>0</v>
      </c>
      <c r="W296" s="4">
        <v>0</v>
      </c>
      <c r="X296" s="4">
        <v>0</v>
      </c>
      <c r="Y296">
        <v>0</v>
      </c>
      <c r="Z296">
        <v>0</v>
      </c>
      <c r="AA296" s="4">
        <v>0</v>
      </c>
      <c r="AB296" s="4">
        <v>0</v>
      </c>
      <c r="AC296" s="4">
        <v>0</v>
      </c>
      <c r="AD296" s="4">
        <v>0</v>
      </c>
      <c r="AE296" s="4">
        <v>0</v>
      </c>
      <c r="AF296" s="4">
        <v>0</v>
      </c>
      <c r="AG296" s="4">
        <v>0</v>
      </c>
      <c r="AH296" s="4">
        <v>0</v>
      </c>
      <c r="AI296" s="4">
        <v>0</v>
      </c>
      <c r="AJ296" s="4">
        <v>0</v>
      </c>
      <c r="AK296" s="4">
        <v>0</v>
      </c>
      <c r="AL296" s="4">
        <v>0</v>
      </c>
      <c r="AM296">
        <v>1</v>
      </c>
      <c r="AN296">
        <v>0</v>
      </c>
      <c r="AO296">
        <v>0</v>
      </c>
      <c r="AP296">
        <v>1</v>
      </c>
      <c r="AQ296">
        <v>0</v>
      </c>
      <c r="AR296">
        <v>0</v>
      </c>
      <c r="AS296">
        <v>0</v>
      </c>
      <c r="AT296">
        <v>0</v>
      </c>
      <c r="AU296">
        <v>0</v>
      </c>
      <c r="AV296">
        <v>0</v>
      </c>
      <c r="AW296">
        <v>0</v>
      </c>
      <c r="AX296">
        <v>0</v>
      </c>
    </row>
    <row r="297" spans="1:51">
      <c r="A297" t="s">
        <v>17169</v>
      </c>
      <c r="B297" t="s">
        <v>17411</v>
      </c>
      <c r="C297">
        <v>1</v>
      </c>
      <c r="D297">
        <v>6</v>
      </c>
      <c r="E297">
        <v>4</v>
      </c>
      <c r="F297">
        <v>4</v>
      </c>
      <c r="G297">
        <v>0</v>
      </c>
      <c r="H297">
        <v>2</v>
      </c>
      <c r="I297">
        <v>0</v>
      </c>
      <c r="J297">
        <v>4</v>
      </c>
      <c r="K297">
        <v>28</v>
      </c>
      <c r="L297">
        <v>1</v>
      </c>
      <c r="M297">
        <v>0</v>
      </c>
      <c r="N297">
        <v>4</v>
      </c>
      <c r="O297">
        <v>0</v>
      </c>
      <c r="P297">
        <v>0</v>
      </c>
      <c r="Q297">
        <v>1</v>
      </c>
      <c r="R297">
        <v>1</v>
      </c>
      <c r="S297">
        <v>16.75</v>
      </c>
      <c r="T297">
        <v>5.5</v>
      </c>
      <c r="U297">
        <v>3</v>
      </c>
      <c r="V297">
        <v>25.25</v>
      </c>
      <c r="W297" s="4">
        <v>277.5</v>
      </c>
      <c r="X297" s="4">
        <v>10</v>
      </c>
      <c r="Y297">
        <v>5</v>
      </c>
      <c r="Z297">
        <v>0</v>
      </c>
      <c r="AA297" s="4">
        <v>0</v>
      </c>
      <c r="AB297" s="4">
        <v>155</v>
      </c>
      <c r="AC297" s="4">
        <v>212.5</v>
      </c>
      <c r="AD297" s="4">
        <v>212.5</v>
      </c>
      <c r="AE297" s="4">
        <v>212.5</v>
      </c>
      <c r="AF297" s="4">
        <v>367.5</v>
      </c>
      <c r="AG297" s="4">
        <v>560</v>
      </c>
      <c r="AH297" s="4">
        <v>347.5</v>
      </c>
      <c r="AI297" s="4">
        <v>0</v>
      </c>
      <c r="AJ297" s="4">
        <v>120</v>
      </c>
      <c r="AK297" s="4">
        <v>240</v>
      </c>
      <c r="AL297" s="4">
        <v>240</v>
      </c>
      <c r="AM297">
        <v>28</v>
      </c>
      <c r="AN297">
        <v>11</v>
      </c>
      <c r="AO297">
        <v>17</v>
      </c>
      <c r="AP297">
        <v>0</v>
      </c>
      <c r="AQ297">
        <v>16.75</v>
      </c>
      <c r="AR297">
        <v>12</v>
      </c>
      <c r="AS297">
        <v>4.75</v>
      </c>
      <c r="AT297">
        <v>0</v>
      </c>
      <c r="AU297">
        <v>5.5</v>
      </c>
      <c r="AV297">
        <v>3</v>
      </c>
      <c r="AW297">
        <v>2.5</v>
      </c>
      <c r="AX297">
        <v>0</v>
      </c>
    </row>
    <row r="298" spans="1:51">
      <c r="A298" t="s">
        <v>17185</v>
      </c>
      <c r="B298" t="s">
        <v>17186</v>
      </c>
      <c r="C298">
        <v>7</v>
      </c>
      <c r="D298">
        <v>44</v>
      </c>
      <c r="E298">
        <v>44</v>
      </c>
      <c r="F298">
        <v>40</v>
      </c>
      <c r="G298">
        <v>2</v>
      </c>
      <c r="H298">
        <v>1</v>
      </c>
      <c r="I298">
        <v>2</v>
      </c>
      <c r="J298">
        <v>44</v>
      </c>
      <c r="K298">
        <v>355</v>
      </c>
      <c r="L298">
        <v>26</v>
      </c>
      <c r="M298">
        <v>1</v>
      </c>
      <c r="N298">
        <v>9</v>
      </c>
      <c r="O298">
        <v>8</v>
      </c>
      <c r="P298">
        <v>0</v>
      </c>
      <c r="Q298">
        <v>1</v>
      </c>
      <c r="R298">
        <v>0</v>
      </c>
      <c r="S298">
        <v>13.75</v>
      </c>
      <c r="T298">
        <v>16</v>
      </c>
      <c r="U298">
        <v>2.5</v>
      </c>
      <c r="V298">
        <v>32.25</v>
      </c>
      <c r="W298" s="4">
        <v>385</v>
      </c>
      <c r="X298" s="4">
        <v>0</v>
      </c>
      <c r="Y298">
        <v>34</v>
      </c>
      <c r="Z298">
        <v>3</v>
      </c>
      <c r="AA298" s="4">
        <v>-55</v>
      </c>
      <c r="AB298" s="4">
        <v>20</v>
      </c>
      <c r="AC298" s="4">
        <v>14.33</v>
      </c>
      <c r="AD298" s="4">
        <v>15.17</v>
      </c>
      <c r="AE298" s="4">
        <v>17.29</v>
      </c>
      <c r="AF298" s="4">
        <v>35.17</v>
      </c>
      <c r="AG298" s="4">
        <v>449.33</v>
      </c>
      <c r="AH298" s="4">
        <v>432.04</v>
      </c>
      <c r="AI298" s="4">
        <v>0</v>
      </c>
      <c r="AJ298" s="4">
        <v>0</v>
      </c>
      <c r="AK298" s="4">
        <v>0</v>
      </c>
      <c r="AL298" s="4">
        <v>0</v>
      </c>
      <c r="AM298">
        <v>355</v>
      </c>
      <c r="AN298">
        <v>41</v>
      </c>
      <c r="AO298">
        <v>235</v>
      </c>
      <c r="AP298">
        <v>120</v>
      </c>
      <c r="AQ298">
        <v>13.75</v>
      </c>
      <c r="AR298">
        <v>1</v>
      </c>
      <c r="AS298">
        <v>10.5</v>
      </c>
      <c r="AT298">
        <v>3.25</v>
      </c>
      <c r="AU298">
        <v>16</v>
      </c>
      <c r="AV298">
        <v>1</v>
      </c>
      <c r="AW298">
        <v>14</v>
      </c>
      <c r="AX298">
        <v>2</v>
      </c>
      <c r="AY298">
        <v>19</v>
      </c>
    </row>
    <row r="299" spans="1:51">
      <c r="A299" t="s">
        <v>17185</v>
      </c>
      <c r="B299" t="s">
        <v>17187</v>
      </c>
      <c r="C299">
        <v>0</v>
      </c>
      <c r="D299">
        <v>3</v>
      </c>
      <c r="E299">
        <v>2</v>
      </c>
      <c r="F299">
        <v>3</v>
      </c>
      <c r="G299">
        <v>0</v>
      </c>
      <c r="H299">
        <v>0</v>
      </c>
      <c r="I299">
        <v>0</v>
      </c>
      <c r="J299">
        <v>3</v>
      </c>
      <c r="K299">
        <v>18</v>
      </c>
      <c r="L299">
        <v>2</v>
      </c>
      <c r="M299">
        <v>0</v>
      </c>
      <c r="N299">
        <v>0</v>
      </c>
      <c r="O299">
        <v>0</v>
      </c>
      <c r="P299">
        <v>0</v>
      </c>
      <c r="Q299">
        <v>1</v>
      </c>
      <c r="R299">
        <v>0</v>
      </c>
      <c r="S299">
        <v>1</v>
      </c>
      <c r="T299">
        <v>0</v>
      </c>
      <c r="U299">
        <v>0</v>
      </c>
      <c r="V299">
        <v>1</v>
      </c>
      <c r="W299" s="4">
        <v>10</v>
      </c>
      <c r="X299" s="4">
        <v>0</v>
      </c>
      <c r="Y299">
        <v>3</v>
      </c>
      <c r="Z299">
        <v>0</v>
      </c>
      <c r="AA299" s="4">
        <v>0</v>
      </c>
      <c r="AB299" s="4">
        <v>0</v>
      </c>
      <c r="AC299" s="4">
        <v>4.8600000000000003</v>
      </c>
      <c r="AD299" s="4">
        <v>4.8600000000000003</v>
      </c>
      <c r="AE299" s="4">
        <v>0</v>
      </c>
      <c r="AF299" s="4">
        <v>4.8600000000000003</v>
      </c>
      <c r="AG299" s="4">
        <v>14.86</v>
      </c>
      <c r="AH299" s="4">
        <v>14.86</v>
      </c>
      <c r="AI299" s="4">
        <v>0</v>
      </c>
      <c r="AJ299" s="4">
        <v>0</v>
      </c>
      <c r="AK299" s="4">
        <v>0</v>
      </c>
      <c r="AL299" s="4">
        <v>0</v>
      </c>
      <c r="AM299">
        <v>18</v>
      </c>
      <c r="AN299">
        <v>0</v>
      </c>
      <c r="AO299">
        <v>18</v>
      </c>
      <c r="AP299">
        <v>0</v>
      </c>
      <c r="AQ299">
        <v>1</v>
      </c>
      <c r="AR299">
        <v>0</v>
      </c>
      <c r="AS299">
        <v>1</v>
      </c>
      <c r="AT299">
        <v>0</v>
      </c>
      <c r="AU299">
        <v>0</v>
      </c>
      <c r="AV299">
        <v>0</v>
      </c>
      <c r="AW299">
        <v>0</v>
      </c>
      <c r="AX299">
        <v>0</v>
      </c>
    </row>
    <row r="300" spans="1:51">
      <c r="A300" t="s">
        <v>17188</v>
      </c>
      <c r="B300" t="s">
        <v>17189</v>
      </c>
      <c r="C300">
        <v>3</v>
      </c>
      <c r="D300">
        <v>43</v>
      </c>
      <c r="E300">
        <v>14</v>
      </c>
      <c r="F300">
        <v>19</v>
      </c>
      <c r="G300">
        <v>8</v>
      </c>
      <c r="H300">
        <v>3</v>
      </c>
      <c r="I300">
        <v>0</v>
      </c>
      <c r="J300">
        <v>41</v>
      </c>
      <c r="K300">
        <v>413</v>
      </c>
      <c r="L300">
        <v>11</v>
      </c>
      <c r="M300">
        <v>5</v>
      </c>
      <c r="N300">
        <v>5</v>
      </c>
      <c r="O300">
        <v>3</v>
      </c>
      <c r="P300">
        <v>5</v>
      </c>
      <c r="Q300">
        <v>8</v>
      </c>
      <c r="R300">
        <v>0</v>
      </c>
      <c r="S300">
        <v>71.5</v>
      </c>
      <c r="T300">
        <v>333.5</v>
      </c>
      <c r="U300">
        <v>2</v>
      </c>
      <c r="V300">
        <v>407</v>
      </c>
      <c r="W300" s="4">
        <v>7385</v>
      </c>
      <c r="X300" s="4">
        <v>0</v>
      </c>
      <c r="Y300">
        <v>10</v>
      </c>
      <c r="Z300">
        <v>17</v>
      </c>
      <c r="AA300" s="4">
        <v>0</v>
      </c>
      <c r="AB300" s="4">
        <v>6975</v>
      </c>
      <c r="AC300" s="4">
        <v>2286</v>
      </c>
      <c r="AD300" s="4">
        <v>1474.5</v>
      </c>
      <c r="AE300" s="4">
        <v>0</v>
      </c>
      <c r="AF300" s="4">
        <v>8449.5</v>
      </c>
      <c r="AG300" s="4">
        <v>9711</v>
      </c>
      <c r="AH300" s="4">
        <v>9711</v>
      </c>
      <c r="AI300" s="4">
        <v>0</v>
      </c>
      <c r="AJ300" s="4">
        <v>5350</v>
      </c>
      <c r="AK300" s="4">
        <v>5670</v>
      </c>
      <c r="AL300" s="4">
        <v>5670</v>
      </c>
      <c r="AM300">
        <v>413</v>
      </c>
      <c r="AN300">
        <v>11</v>
      </c>
      <c r="AO300">
        <v>351</v>
      </c>
      <c r="AP300">
        <v>51</v>
      </c>
      <c r="AQ300">
        <v>71.5</v>
      </c>
      <c r="AR300">
        <v>37</v>
      </c>
      <c r="AS300">
        <v>34.5</v>
      </c>
      <c r="AT300">
        <v>0</v>
      </c>
      <c r="AU300">
        <v>333.5</v>
      </c>
      <c r="AV300">
        <v>245</v>
      </c>
      <c r="AW300">
        <v>88.5</v>
      </c>
      <c r="AX300">
        <v>0</v>
      </c>
    </row>
    <row r="301" spans="1:51">
      <c r="A301" t="s">
        <v>17191</v>
      </c>
      <c r="B301" t="s">
        <v>17192</v>
      </c>
      <c r="C301">
        <v>0</v>
      </c>
      <c r="D301">
        <v>6</v>
      </c>
      <c r="E301">
        <v>6</v>
      </c>
      <c r="F301">
        <v>6</v>
      </c>
      <c r="G301">
        <v>0</v>
      </c>
      <c r="H301">
        <v>4</v>
      </c>
      <c r="I301">
        <v>0</v>
      </c>
      <c r="J301">
        <v>6</v>
      </c>
      <c r="K301">
        <v>210</v>
      </c>
      <c r="L301">
        <v>1</v>
      </c>
      <c r="M301">
        <v>1</v>
      </c>
      <c r="N301">
        <v>3</v>
      </c>
      <c r="O301">
        <v>1</v>
      </c>
      <c r="P301">
        <v>0</v>
      </c>
      <c r="Q301">
        <v>0</v>
      </c>
      <c r="R301">
        <v>0</v>
      </c>
      <c r="S301">
        <v>3.5</v>
      </c>
      <c r="T301">
        <v>3</v>
      </c>
      <c r="U301">
        <v>4</v>
      </c>
      <c r="V301">
        <v>10.5</v>
      </c>
      <c r="W301" s="4">
        <v>95</v>
      </c>
      <c r="X301" s="4">
        <v>0</v>
      </c>
      <c r="Y301">
        <v>0</v>
      </c>
      <c r="Z301">
        <v>0</v>
      </c>
      <c r="AA301" s="4">
        <v>0</v>
      </c>
      <c r="AB301" s="4">
        <v>95</v>
      </c>
      <c r="AC301" s="4">
        <v>0</v>
      </c>
      <c r="AD301" s="4">
        <v>0</v>
      </c>
      <c r="AE301" s="4">
        <v>0</v>
      </c>
      <c r="AF301" s="4">
        <v>95</v>
      </c>
      <c r="AG301" s="4">
        <v>175</v>
      </c>
      <c r="AH301" s="4">
        <v>175</v>
      </c>
      <c r="AI301" s="4">
        <v>0</v>
      </c>
      <c r="AJ301" s="4">
        <v>90</v>
      </c>
      <c r="AK301" s="4">
        <v>130</v>
      </c>
      <c r="AL301" s="4">
        <v>130</v>
      </c>
      <c r="AM301">
        <v>210</v>
      </c>
      <c r="AN301">
        <v>154</v>
      </c>
      <c r="AO301">
        <v>56</v>
      </c>
      <c r="AP301">
        <v>0</v>
      </c>
      <c r="AQ301">
        <v>3.5</v>
      </c>
      <c r="AR301">
        <v>3</v>
      </c>
      <c r="AS301">
        <v>0.5</v>
      </c>
      <c r="AT301">
        <v>0</v>
      </c>
      <c r="AU301">
        <v>3</v>
      </c>
      <c r="AV301">
        <v>3</v>
      </c>
      <c r="AW301">
        <v>0</v>
      </c>
      <c r="AX301">
        <v>0</v>
      </c>
    </row>
    <row r="302" spans="1:51">
      <c r="A302" t="s">
        <v>17193</v>
      </c>
      <c r="B302" t="s">
        <v>17194</v>
      </c>
      <c r="C302">
        <v>0</v>
      </c>
      <c r="D302">
        <v>12</v>
      </c>
      <c r="E302">
        <v>8</v>
      </c>
      <c r="F302">
        <v>9</v>
      </c>
      <c r="G302">
        <v>0</v>
      </c>
      <c r="H302">
        <v>1</v>
      </c>
      <c r="I302">
        <v>0</v>
      </c>
      <c r="J302">
        <v>11</v>
      </c>
      <c r="K302">
        <v>199</v>
      </c>
      <c r="L302">
        <v>6</v>
      </c>
      <c r="M302">
        <v>2</v>
      </c>
      <c r="N302">
        <v>0</v>
      </c>
      <c r="O302">
        <v>1</v>
      </c>
      <c r="P302">
        <v>0</v>
      </c>
      <c r="Q302">
        <v>2</v>
      </c>
      <c r="R302">
        <v>0</v>
      </c>
      <c r="S302">
        <v>9.5</v>
      </c>
      <c r="T302">
        <v>8.5</v>
      </c>
      <c r="U302">
        <v>0</v>
      </c>
      <c r="V302">
        <v>17</v>
      </c>
      <c r="W302" s="4">
        <v>265</v>
      </c>
      <c r="X302" s="4">
        <v>0</v>
      </c>
      <c r="Y302">
        <v>10</v>
      </c>
      <c r="Z302">
        <v>0</v>
      </c>
      <c r="AA302" s="4">
        <v>0</v>
      </c>
      <c r="AB302" s="4">
        <v>145</v>
      </c>
      <c r="AC302" s="4">
        <v>14.5</v>
      </c>
      <c r="AD302" s="4">
        <v>14.5</v>
      </c>
      <c r="AE302" s="4">
        <v>39.5</v>
      </c>
      <c r="AF302" s="4">
        <v>159.5</v>
      </c>
      <c r="AG302" s="4">
        <v>279.5</v>
      </c>
      <c r="AH302" s="4">
        <v>240</v>
      </c>
      <c r="AI302" s="4">
        <v>0</v>
      </c>
      <c r="AJ302" s="4">
        <v>0</v>
      </c>
      <c r="AK302" s="4">
        <v>0</v>
      </c>
      <c r="AL302" s="4">
        <v>0</v>
      </c>
      <c r="AM302">
        <v>199</v>
      </c>
      <c r="AN302">
        <v>0</v>
      </c>
      <c r="AO302">
        <v>199</v>
      </c>
      <c r="AP302">
        <v>0</v>
      </c>
      <c r="AQ302">
        <v>9.5</v>
      </c>
      <c r="AR302">
        <v>0</v>
      </c>
      <c r="AS302">
        <v>9.5</v>
      </c>
      <c r="AT302">
        <v>0</v>
      </c>
      <c r="AU302">
        <v>8.5</v>
      </c>
      <c r="AV302">
        <v>0</v>
      </c>
      <c r="AW302">
        <v>8.5</v>
      </c>
      <c r="AX302">
        <v>0</v>
      </c>
    </row>
    <row r="303" spans="1:51">
      <c r="A303" t="s">
        <v>17193</v>
      </c>
      <c r="B303" t="s">
        <v>17195</v>
      </c>
      <c r="C303">
        <v>0</v>
      </c>
      <c r="D303">
        <v>7</v>
      </c>
      <c r="E303">
        <v>7</v>
      </c>
      <c r="F303">
        <v>6</v>
      </c>
      <c r="G303">
        <v>1</v>
      </c>
      <c r="H303">
        <v>2</v>
      </c>
      <c r="I303">
        <v>1</v>
      </c>
      <c r="J303">
        <v>7</v>
      </c>
      <c r="K303">
        <v>91</v>
      </c>
      <c r="L303">
        <v>3</v>
      </c>
      <c r="M303">
        <v>0</v>
      </c>
      <c r="N303">
        <v>3</v>
      </c>
      <c r="O303">
        <v>0</v>
      </c>
      <c r="P303">
        <v>1</v>
      </c>
      <c r="Q303">
        <v>0</v>
      </c>
      <c r="R303">
        <v>0</v>
      </c>
      <c r="S303">
        <v>11.25</v>
      </c>
      <c r="T303">
        <v>3</v>
      </c>
      <c r="U303">
        <v>0</v>
      </c>
      <c r="V303">
        <v>14.25</v>
      </c>
      <c r="W303" s="4">
        <v>172.5</v>
      </c>
      <c r="X303" s="4">
        <v>0</v>
      </c>
      <c r="Y303">
        <v>7</v>
      </c>
      <c r="Z303">
        <v>0</v>
      </c>
      <c r="AA303" s="4">
        <v>0</v>
      </c>
      <c r="AB303" s="4">
        <v>45</v>
      </c>
      <c r="AC303" s="4">
        <v>166.25</v>
      </c>
      <c r="AD303" s="4">
        <v>166.25</v>
      </c>
      <c r="AE303" s="4">
        <v>211.25</v>
      </c>
      <c r="AF303" s="4">
        <v>211.25</v>
      </c>
      <c r="AG303" s="4">
        <v>338.75</v>
      </c>
      <c r="AH303" s="4">
        <v>127.5</v>
      </c>
      <c r="AI303" s="4">
        <v>47.75</v>
      </c>
      <c r="AJ303" s="4">
        <v>47.75</v>
      </c>
      <c r="AK303" s="4">
        <v>52.75</v>
      </c>
      <c r="AL303" s="4">
        <v>5</v>
      </c>
      <c r="AM303">
        <v>91</v>
      </c>
      <c r="AN303">
        <v>21</v>
      </c>
      <c r="AO303">
        <v>70</v>
      </c>
      <c r="AP303">
        <v>0</v>
      </c>
      <c r="AQ303">
        <v>11.25</v>
      </c>
      <c r="AR303">
        <v>0.5</v>
      </c>
      <c r="AS303">
        <v>10.75</v>
      </c>
      <c r="AT303">
        <v>0</v>
      </c>
      <c r="AU303">
        <v>3</v>
      </c>
      <c r="AV303">
        <v>0</v>
      </c>
      <c r="AW303">
        <v>3</v>
      </c>
      <c r="AX303">
        <v>0</v>
      </c>
      <c r="AY303">
        <v>0</v>
      </c>
    </row>
    <row r="304" spans="1:51">
      <c r="A304" t="s">
        <v>17193</v>
      </c>
      <c r="B304" t="s">
        <v>17196</v>
      </c>
      <c r="C304">
        <v>0</v>
      </c>
      <c r="D304">
        <v>3</v>
      </c>
      <c r="E304">
        <v>2</v>
      </c>
      <c r="F304">
        <v>3</v>
      </c>
      <c r="G304">
        <v>0</v>
      </c>
      <c r="H304">
        <v>0</v>
      </c>
      <c r="I304">
        <v>0</v>
      </c>
      <c r="J304">
        <v>3</v>
      </c>
      <c r="K304">
        <v>11</v>
      </c>
      <c r="L304">
        <v>2</v>
      </c>
      <c r="M304">
        <v>0</v>
      </c>
      <c r="N304">
        <v>0</v>
      </c>
      <c r="O304">
        <v>1</v>
      </c>
      <c r="P304">
        <v>0</v>
      </c>
      <c r="Q304">
        <v>0</v>
      </c>
      <c r="R304">
        <v>0</v>
      </c>
      <c r="S304">
        <v>0.75</v>
      </c>
      <c r="T304">
        <v>0</v>
      </c>
      <c r="U304">
        <v>0</v>
      </c>
      <c r="V304">
        <v>0.75</v>
      </c>
      <c r="W304" s="4">
        <v>7.5</v>
      </c>
      <c r="X304" s="4">
        <v>0</v>
      </c>
      <c r="Y304">
        <v>3</v>
      </c>
      <c r="Z304">
        <v>0</v>
      </c>
      <c r="AA304" s="4">
        <v>0</v>
      </c>
      <c r="AB304" s="4">
        <v>0</v>
      </c>
      <c r="AC304" s="4">
        <v>0</v>
      </c>
      <c r="AD304" s="4">
        <v>0</v>
      </c>
      <c r="AE304" s="4">
        <v>0</v>
      </c>
      <c r="AF304" s="4">
        <v>0</v>
      </c>
      <c r="AG304" s="4">
        <v>7.5</v>
      </c>
      <c r="AH304" s="4">
        <v>7.5</v>
      </c>
      <c r="AI304" s="4">
        <v>0</v>
      </c>
      <c r="AJ304" s="4">
        <v>0</v>
      </c>
      <c r="AK304" s="4">
        <v>0</v>
      </c>
      <c r="AL304" s="4">
        <v>0</v>
      </c>
      <c r="AM304">
        <v>11</v>
      </c>
      <c r="AN304">
        <v>0</v>
      </c>
      <c r="AO304">
        <v>11</v>
      </c>
      <c r="AP304">
        <v>0</v>
      </c>
      <c r="AQ304">
        <v>0.75</v>
      </c>
      <c r="AR304">
        <v>0</v>
      </c>
      <c r="AS304">
        <v>0.75</v>
      </c>
      <c r="AT304">
        <v>0</v>
      </c>
      <c r="AU304">
        <v>0</v>
      </c>
      <c r="AV304">
        <v>0</v>
      </c>
      <c r="AW304">
        <v>0</v>
      </c>
      <c r="AX304">
        <v>0</v>
      </c>
    </row>
    <row r="305" spans="1:51">
      <c r="A305" t="s">
        <v>17193</v>
      </c>
      <c r="B305" t="s">
        <v>17206</v>
      </c>
      <c r="C305">
        <v>0</v>
      </c>
      <c r="D305">
        <v>44</v>
      </c>
      <c r="E305">
        <v>18</v>
      </c>
      <c r="F305">
        <v>30</v>
      </c>
      <c r="G305">
        <v>2</v>
      </c>
      <c r="H305">
        <v>4</v>
      </c>
      <c r="I305">
        <v>1</v>
      </c>
      <c r="J305">
        <v>44</v>
      </c>
      <c r="K305">
        <v>1255</v>
      </c>
      <c r="L305">
        <v>32</v>
      </c>
      <c r="M305">
        <v>4</v>
      </c>
      <c r="N305">
        <v>1</v>
      </c>
      <c r="O305">
        <v>1</v>
      </c>
      <c r="P305">
        <v>1</v>
      </c>
      <c r="Q305">
        <v>5</v>
      </c>
      <c r="R305">
        <v>0</v>
      </c>
      <c r="S305">
        <v>73.25</v>
      </c>
      <c r="T305">
        <v>46.5</v>
      </c>
      <c r="U305">
        <v>0</v>
      </c>
      <c r="V305">
        <v>119.75</v>
      </c>
      <c r="W305" s="4">
        <v>1662.5</v>
      </c>
      <c r="X305" s="4">
        <v>0</v>
      </c>
      <c r="Y305">
        <v>32</v>
      </c>
      <c r="Z305">
        <v>3</v>
      </c>
      <c r="AA305" s="4">
        <v>0</v>
      </c>
      <c r="AB305" s="4">
        <v>655</v>
      </c>
      <c r="AC305" s="4">
        <v>25723.67</v>
      </c>
      <c r="AD305" s="4">
        <v>25722.67</v>
      </c>
      <c r="AE305" s="4">
        <v>26226.67</v>
      </c>
      <c r="AF305" s="4">
        <v>26552.27</v>
      </c>
      <c r="AG305" s="4">
        <v>27386.17</v>
      </c>
      <c r="AH305" s="4">
        <v>1159.5</v>
      </c>
      <c r="AI305" s="4">
        <v>424</v>
      </c>
      <c r="AJ305" s="4">
        <v>426.5</v>
      </c>
      <c r="AK305" s="4">
        <v>491.5</v>
      </c>
      <c r="AL305" s="4">
        <v>67.5</v>
      </c>
      <c r="AM305">
        <v>1255</v>
      </c>
      <c r="AN305">
        <v>109</v>
      </c>
      <c r="AO305">
        <v>1146</v>
      </c>
      <c r="AP305">
        <v>0</v>
      </c>
      <c r="AQ305">
        <v>73.25</v>
      </c>
      <c r="AR305">
        <v>19.75</v>
      </c>
      <c r="AS305">
        <v>53.5</v>
      </c>
      <c r="AT305">
        <v>0</v>
      </c>
      <c r="AU305">
        <v>46.5</v>
      </c>
      <c r="AV305">
        <v>13</v>
      </c>
      <c r="AW305">
        <v>32.5</v>
      </c>
      <c r="AX305">
        <v>0</v>
      </c>
      <c r="AY305">
        <v>89</v>
      </c>
    </row>
    <row r="306" spans="1:51">
      <c r="A306" t="s">
        <v>17197</v>
      </c>
      <c r="B306" t="s">
        <v>17198</v>
      </c>
      <c r="C306">
        <v>0</v>
      </c>
      <c r="D306">
        <v>27</v>
      </c>
      <c r="E306">
        <v>25</v>
      </c>
      <c r="F306">
        <v>12</v>
      </c>
      <c r="G306">
        <v>0</v>
      </c>
      <c r="H306">
        <v>2</v>
      </c>
      <c r="I306">
        <v>2</v>
      </c>
      <c r="J306">
        <v>24</v>
      </c>
      <c r="K306">
        <v>377</v>
      </c>
      <c r="L306">
        <v>10</v>
      </c>
      <c r="M306">
        <v>4</v>
      </c>
      <c r="N306">
        <v>5</v>
      </c>
      <c r="O306">
        <v>2</v>
      </c>
      <c r="P306">
        <v>1</v>
      </c>
      <c r="Q306">
        <v>1</v>
      </c>
      <c r="R306">
        <v>0</v>
      </c>
      <c r="S306">
        <v>0</v>
      </c>
      <c r="T306">
        <v>0</v>
      </c>
      <c r="U306">
        <v>0</v>
      </c>
      <c r="V306">
        <v>0</v>
      </c>
      <c r="W306" s="4">
        <v>0</v>
      </c>
      <c r="X306" s="4">
        <v>0</v>
      </c>
      <c r="Y306">
        <v>18</v>
      </c>
      <c r="Z306">
        <v>0</v>
      </c>
      <c r="AA306" s="4">
        <v>0</v>
      </c>
      <c r="AB306" s="4">
        <v>0</v>
      </c>
      <c r="AC306" s="4">
        <v>0</v>
      </c>
      <c r="AD306" s="4">
        <v>0</v>
      </c>
      <c r="AE306" s="4">
        <v>0</v>
      </c>
      <c r="AF306" s="4">
        <v>0</v>
      </c>
      <c r="AG306" s="4">
        <v>0</v>
      </c>
      <c r="AH306" s="4">
        <v>0</v>
      </c>
      <c r="AI306" s="4">
        <v>0</v>
      </c>
      <c r="AJ306" s="4">
        <v>0</v>
      </c>
      <c r="AK306" s="4">
        <v>0</v>
      </c>
      <c r="AL306" s="4">
        <v>0</v>
      </c>
      <c r="AM306">
        <v>377</v>
      </c>
      <c r="AN306">
        <v>28</v>
      </c>
      <c r="AO306">
        <v>349</v>
      </c>
      <c r="AP306">
        <v>0</v>
      </c>
      <c r="AQ306">
        <v>0</v>
      </c>
      <c r="AR306">
        <v>0</v>
      </c>
      <c r="AS306">
        <v>0</v>
      </c>
      <c r="AT306">
        <v>0</v>
      </c>
      <c r="AU306">
        <v>0</v>
      </c>
      <c r="AV306">
        <v>0</v>
      </c>
      <c r="AW306">
        <v>0</v>
      </c>
      <c r="AX306">
        <v>0</v>
      </c>
    </row>
  </sheetData>
  <sortState xmlns:xlrd2="http://schemas.microsoft.com/office/spreadsheetml/2017/richdata2" ref="A2:AY292">
    <sortCondition ref="A2:A292"/>
    <sortCondition ref="B2:B292"/>
  </sortState>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300"/>
  <sheetViews>
    <sheetView workbookViewId="0"/>
  </sheetViews>
  <sheetFormatPr baseColWidth="10" defaultColWidth="11.5" defaultRowHeight="15"/>
  <cols>
    <col min="1" max="1" width="40.5" customWidth="1"/>
    <col min="2" max="2" width="71.5" customWidth="1"/>
    <col min="3" max="4" width="24.33203125" customWidth="1"/>
    <col min="5" max="51" width="14.83203125" customWidth="1"/>
  </cols>
  <sheetData>
    <row r="1" spans="1:51">
      <c r="A1" t="s">
        <v>17292</v>
      </c>
      <c r="B1" t="s">
        <v>16796</v>
      </c>
      <c r="C1" t="s">
        <v>16820</v>
      </c>
      <c r="D1" t="s">
        <v>16821</v>
      </c>
      <c r="E1" t="s">
        <v>16822</v>
      </c>
      <c r="F1" t="s">
        <v>16823</v>
      </c>
      <c r="G1" t="s">
        <v>17293</v>
      </c>
      <c r="H1" t="s">
        <v>16825</v>
      </c>
      <c r="I1" t="s">
        <v>17294</v>
      </c>
      <c r="J1" t="s">
        <v>17295</v>
      </c>
      <c r="K1" t="s">
        <v>16828</v>
      </c>
      <c r="L1" t="s">
        <v>16829</v>
      </c>
      <c r="M1" t="s">
        <v>16830</v>
      </c>
      <c r="N1" t="s">
        <v>17296</v>
      </c>
      <c r="O1" t="s">
        <v>16832</v>
      </c>
      <c r="P1" t="s">
        <v>16833</v>
      </c>
      <c r="Q1" t="s">
        <v>17297</v>
      </c>
      <c r="R1" t="s">
        <v>17298</v>
      </c>
      <c r="S1" t="s">
        <v>16836</v>
      </c>
      <c r="T1" t="s">
        <v>16837</v>
      </c>
      <c r="U1" t="s">
        <v>16838</v>
      </c>
      <c r="V1" t="s">
        <v>16839</v>
      </c>
      <c r="W1" t="s">
        <v>16840</v>
      </c>
      <c r="X1" t="s">
        <v>16841</v>
      </c>
      <c r="Y1" t="s">
        <v>17299</v>
      </c>
      <c r="Z1" t="s">
        <v>16843</v>
      </c>
      <c r="AA1" t="s">
        <v>16844</v>
      </c>
      <c r="AB1" t="s">
        <v>16845</v>
      </c>
      <c r="AC1" t="s">
        <v>16846</v>
      </c>
      <c r="AD1" t="s">
        <v>16847</v>
      </c>
      <c r="AE1" t="s">
        <v>16848</v>
      </c>
      <c r="AF1" t="s">
        <v>16849</v>
      </c>
      <c r="AG1" t="s">
        <v>16850</v>
      </c>
      <c r="AH1" t="s">
        <v>16851</v>
      </c>
      <c r="AI1" t="s">
        <v>16852</v>
      </c>
      <c r="AJ1" t="s">
        <v>16853</v>
      </c>
      <c r="AK1" t="s">
        <v>16854</v>
      </c>
      <c r="AL1" t="s">
        <v>16855</v>
      </c>
      <c r="AM1" t="s">
        <v>16856</v>
      </c>
      <c r="AN1" t="s">
        <v>16857</v>
      </c>
      <c r="AO1" t="s">
        <v>16858</v>
      </c>
      <c r="AP1" t="s">
        <v>16859</v>
      </c>
      <c r="AQ1" t="s">
        <v>16860</v>
      </c>
      <c r="AR1" t="s">
        <v>16861</v>
      </c>
      <c r="AS1" t="s">
        <v>16862</v>
      </c>
      <c r="AT1" t="s">
        <v>16863</v>
      </c>
      <c r="AU1" t="s">
        <v>16864</v>
      </c>
      <c r="AV1" t="s">
        <v>16865</v>
      </c>
      <c r="AW1" t="s">
        <v>16866</v>
      </c>
      <c r="AX1" t="s">
        <v>16867</v>
      </c>
      <c r="AY1" t="s">
        <v>16868</v>
      </c>
    </row>
    <row r="2" spans="1:51">
      <c r="A2" t="s">
        <v>16869</v>
      </c>
      <c r="B2" t="s">
        <v>17346</v>
      </c>
      <c r="C2">
        <v>0</v>
      </c>
      <c r="D2">
        <v>9</v>
      </c>
      <c r="E2">
        <v>9</v>
      </c>
      <c r="F2">
        <v>9</v>
      </c>
      <c r="G2">
        <v>1</v>
      </c>
      <c r="H2">
        <v>7</v>
      </c>
      <c r="I2">
        <v>0</v>
      </c>
      <c r="J2">
        <v>9</v>
      </c>
      <c r="K2">
        <v>93</v>
      </c>
      <c r="L2">
        <v>0</v>
      </c>
      <c r="M2">
        <v>0</v>
      </c>
      <c r="N2">
        <v>0</v>
      </c>
      <c r="O2">
        <v>1</v>
      </c>
      <c r="P2">
        <v>0</v>
      </c>
      <c r="Q2">
        <v>0</v>
      </c>
      <c r="R2">
        <v>0</v>
      </c>
      <c r="S2">
        <v>16.5</v>
      </c>
      <c r="T2">
        <v>14</v>
      </c>
      <c r="U2">
        <v>0</v>
      </c>
      <c r="V2">
        <v>30.5</v>
      </c>
      <c r="W2" s="4">
        <v>445</v>
      </c>
      <c r="X2" s="4">
        <v>0</v>
      </c>
      <c r="Y2">
        <v>3</v>
      </c>
      <c r="Z2">
        <v>5</v>
      </c>
      <c r="AA2" s="4">
        <v>0</v>
      </c>
      <c r="AB2" s="4">
        <v>110</v>
      </c>
      <c r="AC2" s="4">
        <v>0</v>
      </c>
      <c r="AD2" s="4">
        <v>0</v>
      </c>
      <c r="AE2" s="4">
        <v>110</v>
      </c>
      <c r="AF2" s="4">
        <v>110</v>
      </c>
      <c r="AG2" s="4">
        <v>445</v>
      </c>
      <c r="AH2" s="4">
        <v>335</v>
      </c>
      <c r="AI2" s="4">
        <v>110</v>
      </c>
      <c r="AJ2" s="4">
        <v>110</v>
      </c>
      <c r="AK2" s="4">
        <v>415</v>
      </c>
      <c r="AL2" s="4">
        <v>305</v>
      </c>
      <c r="AM2">
        <v>93</v>
      </c>
      <c r="AN2">
        <v>78</v>
      </c>
      <c r="AO2">
        <v>15</v>
      </c>
      <c r="AP2">
        <v>0</v>
      </c>
      <c r="AQ2">
        <v>16.5</v>
      </c>
      <c r="AR2">
        <v>15.5</v>
      </c>
      <c r="AS2">
        <v>1</v>
      </c>
      <c r="AT2">
        <v>0</v>
      </c>
      <c r="AU2">
        <v>14</v>
      </c>
      <c r="AV2">
        <v>13</v>
      </c>
      <c r="AW2">
        <v>1</v>
      </c>
      <c r="AX2">
        <v>0</v>
      </c>
      <c r="AY2">
        <v>0</v>
      </c>
    </row>
    <row r="3" spans="1:51">
      <c r="A3" t="s">
        <v>16869</v>
      </c>
      <c r="B3" t="s">
        <v>16871</v>
      </c>
      <c r="C3">
        <v>0</v>
      </c>
      <c r="D3">
        <v>25</v>
      </c>
      <c r="E3">
        <v>24</v>
      </c>
      <c r="F3">
        <v>5</v>
      </c>
      <c r="G3">
        <v>0</v>
      </c>
      <c r="H3">
        <v>0</v>
      </c>
      <c r="I3">
        <v>0</v>
      </c>
      <c r="J3">
        <v>17</v>
      </c>
      <c r="K3">
        <v>198</v>
      </c>
      <c r="L3">
        <v>13</v>
      </c>
      <c r="M3">
        <v>3</v>
      </c>
      <c r="N3">
        <v>4</v>
      </c>
      <c r="O3">
        <v>0</v>
      </c>
      <c r="P3">
        <v>0</v>
      </c>
      <c r="Q3">
        <v>0</v>
      </c>
      <c r="R3">
        <v>0</v>
      </c>
      <c r="S3">
        <v>27</v>
      </c>
      <c r="T3">
        <v>33.75</v>
      </c>
      <c r="U3">
        <v>0</v>
      </c>
      <c r="V3">
        <v>60.75</v>
      </c>
      <c r="W3" s="4">
        <v>945</v>
      </c>
      <c r="X3" s="4">
        <v>0</v>
      </c>
      <c r="Y3">
        <v>8</v>
      </c>
      <c r="Z3">
        <v>7</v>
      </c>
      <c r="AA3" s="4">
        <v>0</v>
      </c>
      <c r="AB3" s="4">
        <v>410</v>
      </c>
      <c r="AC3" s="4">
        <v>1966.25</v>
      </c>
      <c r="AD3" s="4">
        <v>1966.25</v>
      </c>
      <c r="AE3" s="4">
        <v>0</v>
      </c>
      <c r="AF3" s="4">
        <v>2376.25</v>
      </c>
      <c r="AG3" s="4">
        <v>2911.25</v>
      </c>
      <c r="AH3" s="4">
        <v>2911.25</v>
      </c>
      <c r="AI3" s="4">
        <v>0</v>
      </c>
      <c r="AJ3" s="4">
        <v>0</v>
      </c>
      <c r="AK3" s="4">
        <v>0</v>
      </c>
      <c r="AL3" s="4">
        <v>0</v>
      </c>
      <c r="AM3">
        <v>198</v>
      </c>
      <c r="AN3">
        <v>0</v>
      </c>
      <c r="AO3">
        <v>198</v>
      </c>
      <c r="AP3">
        <v>0</v>
      </c>
      <c r="AQ3">
        <v>27</v>
      </c>
      <c r="AR3">
        <v>0</v>
      </c>
      <c r="AS3">
        <v>27</v>
      </c>
      <c r="AT3">
        <v>0</v>
      </c>
      <c r="AU3">
        <v>33.75</v>
      </c>
      <c r="AV3">
        <v>0</v>
      </c>
      <c r="AW3">
        <v>33.75</v>
      </c>
      <c r="AX3">
        <v>0</v>
      </c>
      <c r="AY3">
        <v>0</v>
      </c>
    </row>
    <row r="4" spans="1:51">
      <c r="A4" t="s">
        <v>16869</v>
      </c>
      <c r="B4" t="s">
        <v>17498</v>
      </c>
      <c r="C4">
        <v>0</v>
      </c>
      <c r="D4">
        <v>2</v>
      </c>
      <c r="E4">
        <v>2</v>
      </c>
      <c r="F4">
        <v>2</v>
      </c>
      <c r="G4">
        <v>2</v>
      </c>
      <c r="H4">
        <v>1</v>
      </c>
      <c r="I4">
        <v>0</v>
      </c>
      <c r="J4">
        <v>2</v>
      </c>
      <c r="K4">
        <v>29</v>
      </c>
      <c r="L4">
        <v>1</v>
      </c>
      <c r="M4">
        <v>0</v>
      </c>
      <c r="N4">
        <v>1</v>
      </c>
      <c r="O4">
        <v>0</v>
      </c>
      <c r="P4">
        <v>0</v>
      </c>
      <c r="Q4">
        <v>0</v>
      </c>
      <c r="R4">
        <v>0</v>
      </c>
      <c r="S4">
        <v>5</v>
      </c>
      <c r="T4">
        <v>10</v>
      </c>
      <c r="U4">
        <v>0</v>
      </c>
      <c r="V4">
        <v>15</v>
      </c>
      <c r="W4" s="4">
        <v>250</v>
      </c>
      <c r="X4" s="4">
        <v>0</v>
      </c>
      <c r="Y4">
        <v>2</v>
      </c>
      <c r="Z4">
        <v>0</v>
      </c>
      <c r="AA4" s="4">
        <v>0</v>
      </c>
      <c r="AB4" s="4">
        <v>210</v>
      </c>
      <c r="AC4" s="4">
        <v>0</v>
      </c>
      <c r="AD4" s="4">
        <v>1966.25</v>
      </c>
      <c r="AE4" s="4">
        <v>2176.25</v>
      </c>
      <c r="AF4" s="4">
        <v>2176.25</v>
      </c>
      <c r="AG4" s="4">
        <v>250</v>
      </c>
      <c r="AH4" s="4">
        <v>10</v>
      </c>
      <c r="AI4" s="4">
        <v>2176.25</v>
      </c>
      <c r="AJ4" s="4">
        <v>2176.25</v>
      </c>
      <c r="AK4" s="4">
        <v>240</v>
      </c>
      <c r="AL4" s="4">
        <v>0</v>
      </c>
      <c r="AM4">
        <v>29</v>
      </c>
      <c r="AN4">
        <v>23</v>
      </c>
      <c r="AO4">
        <v>6</v>
      </c>
      <c r="AP4">
        <v>0</v>
      </c>
      <c r="AQ4">
        <v>5</v>
      </c>
      <c r="AR4">
        <v>4</v>
      </c>
      <c r="AS4">
        <v>1</v>
      </c>
      <c r="AT4">
        <v>0</v>
      </c>
      <c r="AU4">
        <v>10</v>
      </c>
      <c r="AV4">
        <v>10</v>
      </c>
      <c r="AW4">
        <v>0</v>
      </c>
      <c r="AX4">
        <v>0</v>
      </c>
    </row>
    <row r="5" spans="1:51">
      <c r="A5" t="s">
        <v>16869</v>
      </c>
      <c r="B5" t="s">
        <v>17469</v>
      </c>
      <c r="C5">
        <v>0</v>
      </c>
      <c r="D5">
        <v>347</v>
      </c>
      <c r="E5">
        <v>0</v>
      </c>
      <c r="F5">
        <v>337</v>
      </c>
      <c r="G5">
        <v>6</v>
      </c>
      <c r="H5">
        <v>2</v>
      </c>
      <c r="I5">
        <v>1</v>
      </c>
      <c r="J5">
        <v>347</v>
      </c>
      <c r="K5">
        <v>1203</v>
      </c>
      <c r="L5">
        <v>328</v>
      </c>
      <c r="M5">
        <v>0</v>
      </c>
      <c r="N5">
        <v>1</v>
      </c>
      <c r="O5">
        <v>4</v>
      </c>
      <c r="P5">
        <v>6</v>
      </c>
      <c r="Q5">
        <v>5</v>
      </c>
      <c r="R5">
        <v>0</v>
      </c>
      <c r="S5">
        <v>176.75</v>
      </c>
      <c r="T5">
        <v>2.5</v>
      </c>
      <c r="U5">
        <v>0</v>
      </c>
      <c r="V5">
        <v>179.25</v>
      </c>
      <c r="W5" s="4">
        <v>1817.5</v>
      </c>
      <c r="X5" s="4">
        <v>0</v>
      </c>
      <c r="Y5">
        <v>347</v>
      </c>
      <c r="Z5">
        <v>0</v>
      </c>
      <c r="AA5" s="4">
        <v>0</v>
      </c>
      <c r="AB5" s="4">
        <v>30</v>
      </c>
      <c r="AC5" s="4">
        <v>2534.338999999999</v>
      </c>
      <c r="AD5" s="4">
        <v>2534.338999999999</v>
      </c>
      <c r="AE5" s="4">
        <v>2555.0789999999988</v>
      </c>
      <c r="AF5" s="4">
        <v>2564.338999999999</v>
      </c>
      <c r="AG5" s="4">
        <v>4351.8389999999981</v>
      </c>
      <c r="AH5" s="4">
        <v>1825.3300000000002</v>
      </c>
      <c r="AI5" s="4">
        <v>10.5</v>
      </c>
      <c r="AJ5" s="4">
        <v>20.5</v>
      </c>
      <c r="AK5" s="4">
        <v>75.5</v>
      </c>
      <c r="AL5" s="4">
        <v>65</v>
      </c>
      <c r="AM5">
        <v>1203</v>
      </c>
      <c r="AN5">
        <v>26</v>
      </c>
      <c r="AO5">
        <v>1177</v>
      </c>
      <c r="AP5">
        <v>0</v>
      </c>
      <c r="AQ5">
        <v>176.75</v>
      </c>
      <c r="AR5">
        <v>4.5</v>
      </c>
      <c r="AS5">
        <v>172.25</v>
      </c>
      <c r="AT5">
        <v>0</v>
      </c>
      <c r="AU5">
        <v>2.5</v>
      </c>
      <c r="AV5">
        <v>1</v>
      </c>
      <c r="AW5">
        <v>1.5</v>
      </c>
      <c r="AX5">
        <v>0</v>
      </c>
    </row>
    <row r="6" spans="1:51">
      <c r="A6" t="s">
        <v>16869</v>
      </c>
      <c r="B6" t="s">
        <v>16872</v>
      </c>
      <c r="C6">
        <v>94</v>
      </c>
      <c r="D6">
        <v>94</v>
      </c>
      <c r="E6">
        <v>94</v>
      </c>
      <c r="F6">
        <v>94</v>
      </c>
      <c r="G6">
        <v>0</v>
      </c>
      <c r="H6">
        <v>0</v>
      </c>
      <c r="I6">
        <v>0</v>
      </c>
      <c r="J6">
        <v>58</v>
      </c>
      <c r="K6">
        <v>555</v>
      </c>
      <c r="L6">
        <v>33</v>
      </c>
      <c r="M6">
        <v>1</v>
      </c>
      <c r="N6">
        <v>24</v>
      </c>
      <c r="O6">
        <v>0</v>
      </c>
      <c r="P6">
        <v>4</v>
      </c>
      <c r="Q6">
        <v>0</v>
      </c>
      <c r="R6">
        <v>0</v>
      </c>
      <c r="S6">
        <v>23.338000000000001</v>
      </c>
      <c r="T6">
        <v>43.001999999999995</v>
      </c>
      <c r="U6">
        <v>4</v>
      </c>
      <c r="V6">
        <v>70.34</v>
      </c>
      <c r="W6" s="4">
        <v>0</v>
      </c>
      <c r="X6" s="4">
        <v>0</v>
      </c>
      <c r="Y6">
        <v>55</v>
      </c>
      <c r="Z6">
        <v>0</v>
      </c>
      <c r="AA6" s="4">
        <v>-1093.42</v>
      </c>
      <c r="AB6" s="4">
        <v>0</v>
      </c>
      <c r="AC6" s="4">
        <v>3422.5</v>
      </c>
      <c r="AD6" s="4">
        <v>3475.98</v>
      </c>
      <c r="AE6" s="4">
        <v>3475.98</v>
      </c>
      <c r="AF6" s="4">
        <v>3475.98</v>
      </c>
      <c r="AG6" s="4">
        <v>3502.5</v>
      </c>
      <c r="AH6" s="4">
        <v>26.519999999999982</v>
      </c>
      <c r="AI6" s="4">
        <v>0</v>
      </c>
      <c r="AJ6" s="4">
        <v>0</v>
      </c>
      <c r="AK6" s="4">
        <v>0</v>
      </c>
      <c r="AL6" s="4">
        <v>0</v>
      </c>
      <c r="AM6">
        <v>555</v>
      </c>
      <c r="AN6">
        <v>0</v>
      </c>
      <c r="AO6">
        <v>0</v>
      </c>
      <c r="AP6">
        <v>555</v>
      </c>
      <c r="AQ6">
        <v>23.338000000000001</v>
      </c>
      <c r="AR6">
        <v>0</v>
      </c>
      <c r="AS6">
        <v>0</v>
      </c>
      <c r="AT6">
        <v>23.338000000000001</v>
      </c>
      <c r="AU6">
        <v>43.001999999999995</v>
      </c>
      <c r="AV6">
        <v>0</v>
      </c>
      <c r="AW6">
        <v>0</v>
      </c>
      <c r="AX6">
        <v>43.001999999999995</v>
      </c>
    </row>
    <row r="7" spans="1:51">
      <c r="A7" t="s">
        <v>16869</v>
      </c>
      <c r="B7" t="s">
        <v>16873</v>
      </c>
      <c r="C7">
        <v>0</v>
      </c>
      <c r="D7">
        <v>1</v>
      </c>
      <c r="E7">
        <v>1</v>
      </c>
      <c r="F7">
        <v>1</v>
      </c>
      <c r="G7">
        <v>0</v>
      </c>
      <c r="H7">
        <v>1</v>
      </c>
      <c r="I7">
        <v>0</v>
      </c>
      <c r="J7">
        <v>1</v>
      </c>
      <c r="K7">
        <v>6</v>
      </c>
      <c r="L7">
        <v>0</v>
      </c>
      <c r="M7">
        <v>1</v>
      </c>
      <c r="N7">
        <v>0</v>
      </c>
      <c r="O7">
        <v>1</v>
      </c>
      <c r="P7">
        <v>0</v>
      </c>
      <c r="Q7">
        <v>0</v>
      </c>
      <c r="R7">
        <v>0</v>
      </c>
      <c r="S7">
        <v>1</v>
      </c>
      <c r="T7">
        <v>0</v>
      </c>
      <c r="U7">
        <v>0</v>
      </c>
      <c r="V7">
        <v>1</v>
      </c>
      <c r="W7" s="4">
        <v>10</v>
      </c>
      <c r="X7" s="4">
        <v>0</v>
      </c>
      <c r="Y7">
        <v>0</v>
      </c>
      <c r="Z7">
        <v>0</v>
      </c>
      <c r="AA7" s="4">
        <v>0</v>
      </c>
      <c r="AB7" s="4">
        <v>10</v>
      </c>
      <c r="AC7" s="4">
        <v>0</v>
      </c>
      <c r="AD7" s="4">
        <v>0</v>
      </c>
      <c r="AE7" s="4">
        <v>0</v>
      </c>
      <c r="AF7" s="4">
        <v>10</v>
      </c>
      <c r="AG7" s="4">
        <v>10</v>
      </c>
      <c r="AH7" s="4">
        <v>10</v>
      </c>
      <c r="AI7" s="4">
        <v>0</v>
      </c>
      <c r="AJ7" s="4">
        <v>10</v>
      </c>
      <c r="AK7" s="4">
        <v>10</v>
      </c>
      <c r="AL7" s="4">
        <v>10</v>
      </c>
      <c r="AM7">
        <v>6</v>
      </c>
      <c r="AN7">
        <v>6</v>
      </c>
      <c r="AO7">
        <v>0</v>
      </c>
      <c r="AP7">
        <v>0</v>
      </c>
      <c r="AQ7">
        <v>1</v>
      </c>
      <c r="AR7">
        <v>1</v>
      </c>
      <c r="AS7">
        <v>0</v>
      </c>
      <c r="AT7">
        <v>0</v>
      </c>
      <c r="AU7">
        <v>0</v>
      </c>
      <c r="AV7">
        <v>0</v>
      </c>
      <c r="AW7">
        <v>0</v>
      </c>
      <c r="AX7">
        <v>0</v>
      </c>
    </row>
    <row r="8" spans="1:51">
      <c r="A8" t="s">
        <v>16869</v>
      </c>
      <c r="B8" t="s">
        <v>17415</v>
      </c>
      <c r="C8">
        <v>40</v>
      </c>
      <c r="D8">
        <v>50</v>
      </c>
      <c r="E8">
        <v>50</v>
      </c>
      <c r="F8">
        <v>50</v>
      </c>
      <c r="G8">
        <v>0</v>
      </c>
      <c r="H8">
        <v>1</v>
      </c>
      <c r="I8">
        <v>0</v>
      </c>
      <c r="J8">
        <v>50</v>
      </c>
      <c r="K8">
        <v>355</v>
      </c>
      <c r="L8">
        <v>12</v>
      </c>
      <c r="M8">
        <v>3</v>
      </c>
      <c r="N8">
        <v>8</v>
      </c>
      <c r="O8">
        <v>0</v>
      </c>
      <c r="P8">
        <v>0</v>
      </c>
      <c r="Q8">
        <v>27</v>
      </c>
      <c r="R8">
        <v>0</v>
      </c>
      <c r="S8">
        <v>32.75</v>
      </c>
      <c r="T8">
        <v>8.5</v>
      </c>
      <c r="U8">
        <v>0.5</v>
      </c>
      <c r="V8">
        <v>41.75</v>
      </c>
      <c r="W8" s="4">
        <v>237.5</v>
      </c>
      <c r="X8" s="4">
        <v>0</v>
      </c>
      <c r="Y8">
        <v>12</v>
      </c>
      <c r="Z8">
        <v>0</v>
      </c>
      <c r="AA8" s="4">
        <v>-260</v>
      </c>
      <c r="AB8" s="4">
        <v>102.5</v>
      </c>
      <c r="AC8" s="4">
        <v>106.75</v>
      </c>
      <c r="AD8" s="4">
        <v>92.5</v>
      </c>
      <c r="AE8" s="4">
        <v>532.75</v>
      </c>
      <c r="AF8" s="4">
        <v>195</v>
      </c>
      <c r="AG8" s="4">
        <v>354.25</v>
      </c>
      <c r="AH8" s="4">
        <v>159.75</v>
      </c>
      <c r="AI8" s="4">
        <v>0</v>
      </c>
      <c r="AJ8" s="4">
        <v>0</v>
      </c>
      <c r="AK8" s="4">
        <v>0</v>
      </c>
      <c r="AL8" s="4">
        <v>0</v>
      </c>
      <c r="AM8">
        <v>355</v>
      </c>
      <c r="AN8">
        <v>11</v>
      </c>
      <c r="AO8">
        <v>91</v>
      </c>
      <c r="AP8">
        <v>264</v>
      </c>
      <c r="AQ8">
        <v>32.75</v>
      </c>
      <c r="AR8">
        <v>0</v>
      </c>
      <c r="AS8">
        <v>13.25</v>
      </c>
      <c r="AT8">
        <v>19.5</v>
      </c>
      <c r="AU8">
        <v>8.5</v>
      </c>
      <c r="AV8">
        <v>0</v>
      </c>
      <c r="AW8">
        <v>5.25</v>
      </c>
      <c r="AX8">
        <v>3.25</v>
      </c>
    </row>
    <row r="9" spans="1:51">
      <c r="A9" t="s">
        <v>16874</v>
      </c>
      <c r="B9" t="s">
        <v>17418</v>
      </c>
      <c r="C9">
        <v>0</v>
      </c>
      <c r="D9">
        <v>7</v>
      </c>
      <c r="E9">
        <v>7</v>
      </c>
      <c r="F9">
        <v>7</v>
      </c>
      <c r="G9">
        <v>0</v>
      </c>
      <c r="H9">
        <v>0</v>
      </c>
      <c r="I9">
        <v>0</v>
      </c>
      <c r="J9">
        <v>7</v>
      </c>
      <c r="K9">
        <v>24</v>
      </c>
      <c r="L9">
        <v>1</v>
      </c>
      <c r="M9">
        <v>1</v>
      </c>
      <c r="N9">
        <v>0</v>
      </c>
      <c r="O9">
        <v>5</v>
      </c>
      <c r="P9">
        <v>0</v>
      </c>
      <c r="Q9">
        <v>0</v>
      </c>
      <c r="R9">
        <v>0</v>
      </c>
      <c r="S9">
        <v>0</v>
      </c>
      <c r="T9">
        <v>0</v>
      </c>
      <c r="U9">
        <v>0</v>
      </c>
      <c r="V9">
        <v>0</v>
      </c>
      <c r="W9" s="4">
        <v>0</v>
      </c>
      <c r="X9" s="4">
        <v>0</v>
      </c>
      <c r="Y9">
        <v>0</v>
      </c>
      <c r="Z9">
        <v>0</v>
      </c>
      <c r="AA9" s="4">
        <v>0</v>
      </c>
      <c r="AB9" s="4">
        <v>0</v>
      </c>
      <c r="AC9" s="4">
        <v>0</v>
      </c>
      <c r="AD9" s="4">
        <v>0</v>
      </c>
      <c r="AE9" s="4">
        <v>0</v>
      </c>
      <c r="AF9" s="4">
        <v>0</v>
      </c>
      <c r="AG9" s="4">
        <v>0</v>
      </c>
      <c r="AH9" s="4">
        <v>0</v>
      </c>
      <c r="AI9" s="4">
        <v>0</v>
      </c>
      <c r="AJ9" s="4">
        <v>0</v>
      </c>
      <c r="AK9" s="4">
        <v>0</v>
      </c>
      <c r="AL9" s="4">
        <v>0</v>
      </c>
      <c r="AM9">
        <v>24</v>
      </c>
      <c r="AN9">
        <v>0</v>
      </c>
      <c r="AO9">
        <v>24</v>
      </c>
      <c r="AP9">
        <v>0</v>
      </c>
      <c r="AQ9">
        <v>0</v>
      </c>
      <c r="AR9">
        <v>0</v>
      </c>
      <c r="AS9">
        <v>0</v>
      </c>
      <c r="AT9">
        <v>0</v>
      </c>
      <c r="AU9">
        <v>0</v>
      </c>
      <c r="AV9">
        <v>0</v>
      </c>
      <c r="AW9">
        <v>0</v>
      </c>
      <c r="AX9">
        <v>0</v>
      </c>
    </row>
    <row r="10" spans="1:51">
      <c r="A10" t="s">
        <v>17496</v>
      </c>
      <c r="B10" t="s">
        <v>17497</v>
      </c>
      <c r="C10">
        <v>0</v>
      </c>
      <c r="D10">
        <v>6</v>
      </c>
      <c r="E10">
        <v>6</v>
      </c>
      <c r="F10">
        <v>3</v>
      </c>
      <c r="G10">
        <v>0</v>
      </c>
      <c r="H10">
        <v>0</v>
      </c>
      <c r="I10">
        <v>0</v>
      </c>
      <c r="J10">
        <v>6</v>
      </c>
      <c r="K10">
        <v>62</v>
      </c>
      <c r="L10">
        <v>2</v>
      </c>
      <c r="M10">
        <v>0</v>
      </c>
      <c r="N10">
        <v>2</v>
      </c>
      <c r="O10">
        <v>2</v>
      </c>
      <c r="P10">
        <v>0</v>
      </c>
      <c r="Q10">
        <v>0</v>
      </c>
      <c r="R10">
        <v>0</v>
      </c>
      <c r="S10">
        <v>4.75</v>
      </c>
      <c r="T10">
        <v>4</v>
      </c>
      <c r="U10">
        <v>0</v>
      </c>
      <c r="V10">
        <v>8.75</v>
      </c>
      <c r="W10" s="4">
        <v>127.5</v>
      </c>
      <c r="X10" s="4">
        <v>0</v>
      </c>
      <c r="Y10">
        <v>4</v>
      </c>
      <c r="Z10">
        <v>0</v>
      </c>
      <c r="AA10" s="4">
        <v>0</v>
      </c>
      <c r="AB10" s="4">
        <v>50</v>
      </c>
      <c r="AC10" s="4">
        <v>13</v>
      </c>
      <c r="AD10" s="4">
        <v>13</v>
      </c>
      <c r="AE10" s="4">
        <v>0</v>
      </c>
      <c r="AF10" s="4">
        <v>63</v>
      </c>
      <c r="AG10" s="4">
        <v>140.5</v>
      </c>
      <c r="AH10" s="4">
        <v>140.5</v>
      </c>
      <c r="AI10" s="4">
        <v>0</v>
      </c>
      <c r="AJ10" s="4">
        <v>0</v>
      </c>
      <c r="AK10" s="4">
        <v>0</v>
      </c>
      <c r="AL10" s="4">
        <v>0</v>
      </c>
      <c r="AM10">
        <v>62</v>
      </c>
      <c r="AN10">
        <v>0</v>
      </c>
      <c r="AO10">
        <v>62</v>
      </c>
      <c r="AP10">
        <v>0</v>
      </c>
      <c r="AQ10">
        <v>4.75</v>
      </c>
      <c r="AR10">
        <v>0</v>
      </c>
      <c r="AS10">
        <v>4.75</v>
      </c>
      <c r="AT10">
        <v>0</v>
      </c>
      <c r="AU10">
        <v>4</v>
      </c>
      <c r="AV10">
        <v>0</v>
      </c>
      <c r="AW10">
        <v>4</v>
      </c>
      <c r="AX10">
        <v>0</v>
      </c>
    </row>
    <row r="11" spans="1:51">
      <c r="A11" t="s">
        <v>16878</v>
      </c>
      <c r="B11" t="s">
        <v>17347</v>
      </c>
      <c r="C11">
        <v>0</v>
      </c>
      <c r="D11">
        <v>3</v>
      </c>
      <c r="E11">
        <v>0</v>
      </c>
      <c r="F11">
        <v>0</v>
      </c>
      <c r="G11">
        <v>0</v>
      </c>
      <c r="H11">
        <v>0</v>
      </c>
      <c r="I11">
        <v>0</v>
      </c>
      <c r="J11">
        <v>0</v>
      </c>
      <c r="K11">
        <v>0</v>
      </c>
      <c r="L11">
        <v>0</v>
      </c>
      <c r="M11">
        <v>0</v>
      </c>
      <c r="N11">
        <v>0</v>
      </c>
      <c r="O11">
        <v>1</v>
      </c>
      <c r="P11">
        <v>0</v>
      </c>
      <c r="Q11">
        <v>0</v>
      </c>
      <c r="R11">
        <v>0</v>
      </c>
      <c r="S11">
        <v>0.5</v>
      </c>
      <c r="T11">
        <v>1</v>
      </c>
      <c r="U11">
        <v>0</v>
      </c>
      <c r="V11">
        <v>1.5</v>
      </c>
      <c r="W11" s="4">
        <v>25</v>
      </c>
      <c r="X11" s="4">
        <v>0</v>
      </c>
      <c r="Y11">
        <v>0</v>
      </c>
      <c r="Z11">
        <v>1</v>
      </c>
      <c r="AA11" s="4">
        <v>0</v>
      </c>
      <c r="AB11" s="4">
        <v>0</v>
      </c>
      <c r="AC11" s="4">
        <v>0</v>
      </c>
      <c r="AD11" s="4">
        <v>0</v>
      </c>
      <c r="AE11" s="4">
        <v>0</v>
      </c>
      <c r="AF11" s="4">
        <v>0</v>
      </c>
      <c r="AG11" s="4">
        <v>0</v>
      </c>
      <c r="AH11" s="4">
        <v>0</v>
      </c>
      <c r="AI11" s="4">
        <v>0</v>
      </c>
      <c r="AJ11" s="4">
        <v>0</v>
      </c>
      <c r="AK11" s="4">
        <v>0</v>
      </c>
      <c r="AL11" s="4">
        <v>0</v>
      </c>
      <c r="AM11">
        <v>0</v>
      </c>
      <c r="AN11">
        <v>0</v>
      </c>
      <c r="AO11">
        <v>0</v>
      </c>
      <c r="AP11">
        <v>0</v>
      </c>
      <c r="AQ11">
        <v>0</v>
      </c>
      <c r="AR11">
        <v>0</v>
      </c>
      <c r="AS11">
        <v>0</v>
      </c>
      <c r="AT11">
        <v>0</v>
      </c>
      <c r="AU11">
        <v>0</v>
      </c>
      <c r="AV11">
        <v>0</v>
      </c>
      <c r="AW11">
        <v>0</v>
      </c>
      <c r="AX11">
        <v>0</v>
      </c>
      <c r="AY11">
        <v>3</v>
      </c>
    </row>
    <row r="12" spans="1:51">
      <c r="A12" t="s">
        <v>17210</v>
      </c>
      <c r="B12" t="s">
        <v>17211</v>
      </c>
      <c r="C12">
        <v>0</v>
      </c>
      <c r="D12">
        <v>8</v>
      </c>
      <c r="E12">
        <v>8</v>
      </c>
      <c r="F12">
        <v>7</v>
      </c>
      <c r="G12">
        <v>0</v>
      </c>
      <c r="H12">
        <v>0</v>
      </c>
      <c r="I12">
        <v>0</v>
      </c>
      <c r="J12">
        <v>8</v>
      </c>
      <c r="K12">
        <v>152</v>
      </c>
      <c r="L12">
        <v>1</v>
      </c>
      <c r="M12">
        <v>0</v>
      </c>
      <c r="N12">
        <v>4</v>
      </c>
      <c r="O12">
        <v>2</v>
      </c>
      <c r="P12">
        <v>1</v>
      </c>
      <c r="Q12">
        <v>0</v>
      </c>
      <c r="R12">
        <v>0</v>
      </c>
      <c r="S12">
        <v>21.75</v>
      </c>
      <c r="T12">
        <v>6.75</v>
      </c>
      <c r="U12">
        <v>0</v>
      </c>
      <c r="V12">
        <v>28.5</v>
      </c>
      <c r="W12" s="4">
        <v>352.5</v>
      </c>
      <c r="X12" s="4">
        <v>0</v>
      </c>
      <c r="Y12">
        <v>1</v>
      </c>
      <c r="Z12">
        <v>4</v>
      </c>
      <c r="AA12" s="4">
        <v>0</v>
      </c>
      <c r="AB12" s="4">
        <v>120</v>
      </c>
      <c r="AC12" s="4">
        <v>56.5</v>
      </c>
      <c r="AD12" s="4">
        <v>56.5</v>
      </c>
      <c r="AE12" s="4">
        <v>146.5</v>
      </c>
      <c r="AF12" s="4">
        <v>176.5</v>
      </c>
      <c r="AG12" s="4">
        <v>409</v>
      </c>
      <c r="AH12" s="4">
        <v>262.5</v>
      </c>
      <c r="AI12" s="4">
        <v>0</v>
      </c>
      <c r="AJ12" s="4">
        <v>0</v>
      </c>
      <c r="AK12" s="4">
        <v>0</v>
      </c>
      <c r="AL12" s="4">
        <v>0</v>
      </c>
      <c r="AM12">
        <v>152</v>
      </c>
      <c r="AN12">
        <v>0</v>
      </c>
      <c r="AO12">
        <v>152</v>
      </c>
      <c r="AP12">
        <v>0</v>
      </c>
      <c r="AQ12">
        <v>21.75</v>
      </c>
      <c r="AR12">
        <v>0</v>
      </c>
      <c r="AS12">
        <v>21.75</v>
      </c>
      <c r="AT12">
        <v>0</v>
      </c>
      <c r="AU12">
        <v>6.75</v>
      </c>
      <c r="AV12">
        <v>0</v>
      </c>
      <c r="AW12">
        <v>6.75</v>
      </c>
      <c r="AX12">
        <v>0</v>
      </c>
      <c r="AY12">
        <v>0</v>
      </c>
    </row>
    <row r="13" spans="1:51">
      <c r="A13" t="s">
        <v>16881</v>
      </c>
      <c r="B13" t="s">
        <v>16882</v>
      </c>
      <c r="C13">
        <v>0</v>
      </c>
      <c r="D13">
        <v>10</v>
      </c>
      <c r="E13">
        <v>10</v>
      </c>
      <c r="F13">
        <v>9</v>
      </c>
      <c r="G13">
        <v>0</v>
      </c>
      <c r="H13">
        <v>0</v>
      </c>
      <c r="I13">
        <v>0</v>
      </c>
      <c r="J13">
        <v>10</v>
      </c>
      <c r="K13">
        <v>48</v>
      </c>
      <c r="L13">
        <v>2</v>
      </c>
      <c r="M13">
        <v>3</v>
      </c>
      <c r="N13">
        <v>0</v>
      </c>
      <c r="O13">
        <v>5</v>
      </c>
      <c r="P13">
        <v>0</v>
      </c>
      <c r="Q13">
        <v>0</v>
      </c>
      <c r="R13">
        <v>0</v>
      </c>
      <c r="S13">
        <v>0.5</v>
      </c>
      <c r="T13">
        <v>0</v>
      </c>
      <c r="U13">
        <v>0</v>
      </c>
      <c r="V13">
        <v>0.5</v>
      </c>
      <c r="W13" s="4">
        <v>5</v>
      </c>
      <c r="X13" s="4">
        <v>0</v>
      </c>
      <c r="Y13">
        <v>1</v>
      </c>
      <c r="Z13">
        <v>0</v>
      </c>
      <c r="AA13" s="4">
        <v>0</v>
      </c>
      <c r="AB13" s="4">
        <v>0</v>
      </c>
      <c r="AC13" s="4">
        <v>0</v>
      </c>
      <c r="AD13" s="4">
        <v>0</v>
      </c>
      <c r="AE13" s="4">
        <v>0</v>
      </c>
      <c r="AF13" s="4">
        <v>0</v>
      </c>
      <c r="AG13" s="4">
        <v>0</v>
      </c>
      <c r="AH13" s="4">
        <v>0</v>
      </c>
      <c r="AI13" s="4">
        <v>0</v>
      </c>
      <c r="AJ13" s="4">
        <v>0</v>
      </c>
      <c r="AK13" s="4">
        <v>0</v>
      </c>
      <c r="AL13" s="4">
        <v>0</v>
      </c>
      <c r="AM13">
        <v>48</v>
      </c>
      <c r="AN13">
        <v>0</v>
      </c>
      <c r="AO13">
        <v>48</v>
      </c>
      <c r="AP13">
        <v>0</v>
      </c>
      <c r="AQ13">
        <v>0</v>
      </c>
      <c r="AR13">
        <v>0</v>
      </c>
      <c r="AS13">
        <v>0</v>
      </c>
      <c r="AT13">
        <v>0</v>
      </c>
      <c r="AU13">
        <v>0</v>
      </c>
      <c r="AV13">
        <v>0</v>
      </c>
      <c r="AW13">
        <v>0</v>
      </c>
      <c r="AX13">
        <v>0</v>
      </c>
      <c r="AY13">
        <v>10</v>
      </c>
    </row>
    <row r="14" spans="1:51">
      <c r="A14" t="s">
        <v>17212</v>
      </c>
      <c r="B14" t="s">
        <v>17213</v>
      </c>
      <c r="C14">
        <v>0</v>
      </c>
      <c r="D14">
        <v>18</v>
      </c>
      <c r="E14">
        <v>18</v>
      </c>
      <c r="F14">
        <v>18</v>
      </c>
      <c r="G14">
        <v>0</v>
      </c>
      <c r="H14">
        <v>0</v>
      </c>
      <c r="I14">
        <v>0</v>
      </c>
      <c r="J14">
        <v>18</v>
      </c>
      <c r="K14">
        <v>134</v>
      </c>
      <c r="L14">
        <v>8</v>
      </c>
      <c r="M14">
        <v>0</v>
      </c>
      <c r="N14">
        <v>1</v>
      </c>
      <c r="O14">
        <v>4</v>
      </c>
      <c r="P14">
        <v>0</v>
      </c>
      <c r="Q14">
        <v>4</v>
      </c>
      <c r="R14">
        <v>0</v>
      </c>
      <c r="S14">
        <v>49</v>
      </c>
      <c r="T14">
        <v>2.75</v>
      </c>
      <c r="U14">
        <v>0.5</v>
      </c>
      <c r="V14">
        <v>51.75</v>
      </c>
      <c r="W14" s="4">
        <v>540</v>
      </c>
      <c r="X14" s="4">
        <v>0</v>
      </c>
      <c r="Y14">
        <v>14</v>
      </c>
      <c r="Z14">
        <v>2</v>
      </c>
      <c r="AA14" s="4">
        <v>0</v>
      </c>
      <c r="AB14" s="4">
        <v>250</v>
      </c>
      <c r="AC14" s="4">
        <v>7013.75</v>
      </c>
      <c r="AD14" s="4">
        <v>7015.5</v>
      </c>
      <c r="AE14" s="4">
        <v>1420.25</v>
      </c>
      <c r="AF14" s="4">
        <v>7243.25</v>
      </c>
      <c r="AG14" s="4">
        <v>7541.5</v>
      </c>
      <c r="AH14" s="4">
        <v>6112.75</v>
      </c>
      <c r="AI14" s="4">
        <v>0</v>
      </c>
      <c r="AJ14" s="4">
        <v>0</v>
      </c>
      <c r="AK14" s="4">
        <v>0</v>
      </c>
      <c r="AL14" s="4">
        <v>0</v>
      </c>
      <c r="AM14">
        <v>134</v>
      </c>
      <c r="AN14">
        <v>0</v>
      </c>
      <c r="AO14">
        <v>134</v>
      </c>
      <c r="AP14">
        <v>0</v>
      </c>
      <c r="AQ14">
        <v>48.5</v>
      </c>
      <c r="AR14">
        <v>0</v>
      </c>
      <c r="AS14">
        <v>48.5</v>
      </c>
      <c r="AT14">
        <v>0</v>
      </c>
      <c r="AU14">
        <v>2.75</v>
      </c>
      <c r="AV14">
        <v>0</v>
      </c>
      <c r="AW14">
        <v>2.75</v>
      </c>
      <c r="AX14">
        <v>0</v>
      </c>
      <c r="AY14">
        <v>7</v>
      </c>
    </row>
    <row r="15" spans="1:51">
      <c r="A15" t="s">
        <v>16883</v>
      </c>
      <c r="B15" t="s">
        <v>17348</v>
      </c>
      <c r="C15">
        <v>0</v>
      </c>
      <c r="D15">
        <v>0</v>
      </c>
      <c r="E15">
        <v>0</v>
      </c>
      <c r="F15">
        <v>0</v>
      </c>
      <c r="G15">
        <v>0</v>
      </c>
      <c r="H15">
        <v>0</v>
      </c>
      <c r="I15">
        <v>0</v>
      </c>
      <c r="J15">
        <v>0</v>
      </c>
      <c r="K15">
        <v>0</v>
      </c>
      <c r="L15">
        <v>0</v>
      </c>
      <c r="M15">
        <v>0</v>
      </c>
      <c r="N15">
        <v>0</v>
      </c>
      <c r="O15">
        <v>0</v>
      </c>
      <c r="P15">
        <v>0</v>
      </c>
      <c r="Q15">
        <v>0</v>
      </c>
      <c r="R15">
        <v>0</v>
      </c>
      <c r="S15">
        <v>0</v>
      </c>
      <c r="T15">
        <v>0</v>
      </c>
      <c r="U15">
        <v>0</v>
      </c>
      <c r="V15">
        <v>0</v>
      </c>
      <c r="W15" s="4">
        <v>0</v>
      </c>
      <c r="X15" s="4">
        <v>0</v>
      </c>
      <c r="Y15">
        <v>0</v>
      </c>
      <c r="Z15">
        <v>0</v>
      </c>
      <c r="AA15" s="4">
        <v>0</v>
      </c>
      <c r="AB15" s="4">
        <v>0</v>
      </c>
      <c r="AC15" s="4">
        <v>0</v>
      </c>
      <c r="AD15" s="4">
        <v>0</v>
      </c>
      <c r="AE15" s="4">
        <v>0</v>
      </c>
      <c r="AF15" s="4">
        <v>0</v>
      </c>
      <c r="AG15" s="4">
        <v>0</v>
      </c>
      <c r="AH15" s="4">
        <v>0</v>
      </c>
      <c r="AI15" s="4">
        <v>0</v>
      </c>
      <c r="AJ15" s="4">
        <v>0</v>
      </c>
      <c r="AK15" s="4">
        <v>0</v>
      </c>
      <c r="AL15" s="4">
        <v>0</v>
      </c>
      <c r="AM15">
        <v>0</v>
      </c>
      <c r="AN15">
        <v>0</v>
      </c>
      <c r="AO15">
        <v>0</v>
      </c>
      <c r="AP15">
        <v>0</v>
      </c>
      <c r="AQ15">
        <v>0</v>
      </c>
      <c r="AR15">
        <v>0</v>
      </c>
      <c r="AS15">
        <v>0</v>
      </c>
      <c r="AT15">
        <v>0</v>
      </c>
      <c r="AU15">
        <v>0</v>
      </c>
      <c r="AV15">
        <v>0</v>
      </c>
      <c r="AW15">
        <v>0</v>
      </c>
      <c r="AX15">
        <v>0</v>
      </c>
      <c r="AY15">
        <v>0</v>
      </c>
    </row>
    <row r="16" spans="1:51">
      <c r="A16" t="s">
        <v>17214</v>
      </c>
      <c r="B16" t="s">
        <v>17215</v>
      </c>
      <c r="C16">
        <v>0</v>
      </c>
      <c r="D16">
        <v>8</v>
      </c>
      <c r="E16">
        <v>8</v>
      </c>
      <c r="F16">
        <v>8</v>
      </c>
      <c r="G16">
        <v>6</v>
      </c>
      <c r="H16">
        <v>5</v>
      </c>
      <c r="I16">
        <v>0</v>
      </c>
      <c r="J16">
        <v>6</v>
      </c>
      <c r="K16">
        <v>42</v>
      </c>
      <c r="L16">
        <v>6</v>
      </c>
      <c r="M16">
        <v>2</v>
      </c>
      <c r="N16">
        <v>0</v>
      </c>
      <c r="O16">
        <v>0</v>
      </c>
      <c r="P16">
        <v>0</v>
      </c>
      <c r="Q16">
        <v>0</v>
      </c>
      <c r="R16">
        <v>0</v>
      </c>
      <c r="S16">
        <v>8</v>
      </c>
      <c r="T16">
        <v>13.5</v>
      </c>
      <c r="U16">
        <v>0</v>
      </c>
      <c r="V16">
        <v>21.5</v>
      </c>
      <c r="W16" s="4">
        <v>350</v>
      </c>
      <c r="X16" s="4">
        <v>0</v>
      </c>
      <c r="Y16">
        <v>0</v>
      </c>
      <c r="Z16">
        <v>6</v>
      </c>
      <c r="AA16" s="4">
        <v>0</v>
      </c>
      <c r="AB16" s="4">
        <v>175</v>
      </c>
      <c r="AC16" s="4">
        <v>144.5</v>
      </c>
      <c r="AD16" s="4">
        <v>0</v>
      </c>
      <c r="AE16" s="4">
        <v>199.5</v>
      </c>
      <c r="AF16" s="4">
        <v>175</v>
      </c>
      <c r="AG16" s="4">
        <v>494.5</v>
      </c>
      <c r="AH16" s="4">
        <v>295</v>
      </c>
      <c r="AI16" s="4">
        <v>55</v>
      </c>
      <c r="AJ16" s="4">
        <v>175</v>
      </c>
      <c r="AK16" s="4">
        <v>310</v>
      </c>
      <c r="AL16" s="4">
        <v>255</v>
      </c>
      <c r="AM16">
        <v>42</v>
      </c>
      <c r="AN16">
        <v>30</v>
      </c>
      <c r="AO16">
        <v>12</v>
      </c>
      <c r="AP16">
        <v>0</v>
      </c>
      <c r="AQ16">
        <v>8</v>
      </c>
      <c r="AR16">
        <v>6</v>
      </c>
      <c r="AS16">
        <v>2</v>
      </c>
      <c r="AT16">
        <v>0</v>
      </c>
      <c r="AU16">
        <v>13.5</v>
      </c>
      <c r="AV16">
        <v>12.5</v>
      </c>
      <c r="AW16">
        <v>1</v>
      </c>
      <c r="AX16">
        <v>0</v>
      </c>
      <c r="AY16">
        <v>8</v>
      </c>
    </row>
    <row r="17" spans="1:51">
      <c r="A17" t="s">
        <v>16884</v>
      </c>
      <c r="B17" t="s">
        <v>16885</v>
      </c>
      <c r="C17">
        <v>0</v>
      </c>
      <c r="D17">
        <v>21</v>
      </c>
      <c r="E17">
        <v>19</v>
      </c>
      <c r="F17">
        <v>20</v>
      </c>
      <c r="G17">
        <v>4</v>
      </c>
      <c r="H17">
        <v>4</v>
      </c>
      <c r="I17">
        <v>0</v>
      </c>
      <c r="J17">
        <v>21</v>
      </c>
      <c r="K17">
        <v>155</v>
      </c>
      <c r="L17">
        <v>17</v>
      </c>
      <c r="M17">
        <v>0</v>
      </c>
      <c r="N17">
        <v>2</v>
      </c>
      <c r="O17">
        <v>1</v>
      </c>
      <c r="P17">
        <v>3</v>
      </c>
      <c r="Q17">
        <v>2</v>
      </c>
      <c r="R17">
        <v>0</v>
      </c>
      <c r="S17">
        <v>411.25</v>
      </c>
      <c r="T17">
        <v>26.25</v>
      </c>
      <c r="U17">
        <v>0</v>
      </c>
      <c r="V17">
        <v>437.5</v>
      </c>
      <c r="W17" s="4">
        <v>4637.5</v>
      </c>
      <c r="X17" s="4">
        <v>0</v>
      </c>
      <c r="Y17">
        <v>9</v>
      </c>
      <c r="Z17">
        <v>7</v>
      </c>
      <c r="AA17" s="4">
        <v>0</v>
      </c>
      <c r="AB17" s="4">
        <v>4180</v>
      </c>
      <c r="AC17" s="4">
        <v>330</v>
      </c>
      <c r="AD17" s="4">
        <v>330</v>
      </c>
      <c r="AE17" s="4">
        <v>258.25</v>
      </c>
      <c r="AF17" s="4">
        <v>4510</v>
      </c>
      <c r="AG17" s="4">
        <v>4967.5</v>
      </c>
      <c r="AH17" s="4">
        <v>4709.25</v>
      </c>
      <c r="AI17" s="4">
        <v>22</v>
      </c>
      <c r="AJ17" s="4">
        <v>4282.25</v>
      </c>
      <c r="AK17" s="4">
        <v>4432.25</v>
      </c>
      <c r="AL17" s="4">
        <v>4410.25</v>
      </c>
      <c r="AM17">
        <v>155</v>
      </c>
      <c r="AN17">
        <v>37</v>
      </c>
      <c r="AO17">
        <v>118</v>
      </c>
      <c r="AP17">
        <v>0</v>
      </c>
      <c r="AQ17">
        <v>411.25</v>
      </c>
      <c r="AR17">
        <v>394</v>
      </c>
      <c r="AS17">
        <v>17.25</v>
      </c>
      <c r="AT17">
        <v>0</v>
      </c>
      <c r="AU17">
        <v>26.25</v>
      </c>
      <c r="AV17">
        <v>18.5</v>
      </c>
      <c r="AW17">
        <v>7.75</v>
      </c>
      <c r="AX17">
        <v>0</v>
      </c>
      <c r="AY17">
        <v>106</v>
      </c>
    </row>
    <row r="18" spans="1:51">
      <c r="A18" t="s">
        <v>17352</v>
      </c>
      <c r="B18" t="s">
        <v>17353</v>
      </c>
      <c r="C18">
        <v>0</v>
      </c>
      <c r="D18">
        <v>16</v>
      </c>
      <c r="E18">
        <v>16</v>
      </c>
      <c r="F18">
        <v>16</v>
      </c>
      <c r="G18">
        <v>0</v>
      </c>
      <c r="H18">
        <v>0</v>
      </c>
      <c r="I18">
        <v>1</v>
      </c>
      <c r="J18">
        <v>15</v>
      </c>
      <c r="K18">
        <v>151</v>
      </c>
      <c r="L18">
        <v>6</v>
      </c>
      <c r="M18">
        <v>2</v>
      </c>
      <c r="N18">
        <v>5</v>
      </c>
      <c r="O18">
        <v>0</v>
      </c>
      <c r="P18">
        <v>0</v>
      </c>
      <c r="Q18">
        <v>2</v>
      </c>
      <c r="R18">
        <v>0</v>
      </c>
      <c r="S18">
        <v>10.25</v>
      </c>
      <c r="T18">
        <v>12</v>
      </c>
      <c r="U18">
        <v>0</v>
      </c>
      <c r="V18">
        <v>22.25</v>
      </c>
      <c r="W18" s="4">
        <v>342.5</v>
      </c>
      <c r="X18" s="4">
        <v>0</v>
      </c>
      <c r="Y18">
        <v>0</v>
      </c>
      <c r="Z18">
        <v>12</v>
      </c>
      <c r="AA18" s="4">
        <v>0</v>
      </c>
      <c r="AB18" s="4">
        <v>30</v>
      </c>
      <c r="AC18" s="4">
        <v>0</v>
      </c>
      <c r="AD18" s="4">
        <v>0</v>
      </c>
      <c r="AE18" s="4">
        <v>0</v>
      </c>
      <c r="AF18" s="4">
        <v>30</v>
      </c>
      <c r="AG18" s="4">
        <v>342.5</v>
      </c>
      <c r="AH18" s="4">
        <v>342.5</v>
      </c>
      <c r="AI18" s="4">
        <v>0</v>
      </c>
      <c r="AJ18" s="4">
        <v>0</v>
      </c>
      <c r="AK18" s="4">
        <v>0</v>
      </c>
      <c r="AL18" s="4">
        <v>0</v>
      </c>
      <c r="AM18">
        <v>151</v>
      </c>
      <c r="AN18">
        <v>0</v>
      </c>
      <c r="AO18">
        <v>151</v>
      </c>
      <c r="AP18">
        <v>0</v>
      </c>
      <c r="AQ18">
        <v>10.25</v>
      </c>
      <c r="AR18">
        <v>0</v>
      </c>
      <c r="AS18">
        <v>10.25</v>
      </c>
      <c r="AT18">
        <v>0</v>
      </c>
      <c r="AU18">
        <v>12</v>
      </c>
      <c r="AV18">
        <v>0</v>
      </c>
      <c r="AW18">
        <v>12</v>
      </c>
      <c r="AX18">
        <v>0</v>
      </c>
      <c r="AY18">
        <v>0</v>
      </c>
    </row>
    <row r="19" spans="1:51">
      <c r="A19" t="s">
        <v>17216</v>
      </c>
      <c r="B19" t="s">
        <v>17217</v>
      </c>
      <c r="C19">
        <v>0</v>
      </c>
      <c r="D19">
        <v>6</v>
      </c>
      <c r="E19">
        <v>5</v>
      </c>
      <c r="F19">
        <v>5</v>
      </c>
      <c r="G19">
        <v>4</v>
      </c>
      <c r="H19">
        <v>2</v>
      </c>
      <c r="I19">
        <v>2</v>
      </c>
      <c r="J19">
        <v>5</v>
      </c>
      <c r="K19">
        <v>68</v>
      </c>
      <c r="L19">
        <v>3</v>
      </c>
      <c r="M19">
        <v>0</v>
      </c>
      <c r="N19">
        <v>0</v>
      </c>
      <c r="O19">
        <v>2</v>
      </c>
      <c r="P19">
        <v>0</v>
      </c>
      <c r="Q19">
        <v>0</v>
      </c>
      <c r="R19">
        <v>0</v>
      </c>
      <c r="S19">
        <v>0.25</v>
      </c>
      <c r="T19">
        <v>0</v>
      </c>
      <c r="U19">
        <v>0</v>
      </c>
      <c r="V19">
        <v>0.25</v>
      </c>
      <c r="W19" s="4">
        <v>2.5</v>
      </c>
      <c r="X19" s="4">
        <v>0</v>
      </c>
      <c r="Y19">
        <v>1</v>
      </c>
      <c r="Z19">
        <v>0</v>
      </c>
      <c r="AA19" s="4">
        <v>0</v>
      </c>
      <c r="AB19" s="4">
        <v>0</v>
      </c>
      <c r="AC19" s="4">
        <v>0</v>
      </c>
      <c r="AD19" s="4">
        <v>0</v>
      </c>
      <c r="AE19" s="4">
        <v>0</v>
      </c>
      <c r="AF19" s="4">
        <v>0</v>
      </c>
      <c r="AG19" s="4">
        <v>2.5</v>
      </c>
      <c r="AH19" s="4">
        <v>2.5</v>
      </c>
      <c r="AI19" s="4">
        <v>0</v>
      </c>
      <c r="AJ19" s="4">
        <v>0</v>
      </c>
      <c r="AK19" s="4">
        <v>0</v>
      </c>
      <c r="AL19" s="4">
        <v>0</v>
      </c>
      <c r="AM19">
        <v>68</v>
      </c>
      <c r="AN19">
        <v>43</v>
      </c>
      <c r="AO19">
        <v>25</v>
      </c>
      <c r="AP19">
        <v>0</v>
      </c>
      <c r="AQ19">
        <v>0.25</v>
      </c>
      <c r="AR19">
        <v>0</v>
      </c>
      <c r="AS19">
        <v>0.25</v>
      </c>
      <c r="AT19">
        <v>0</v>
      </c>
      <c r="AU19">
        <v>0</v>
      </c>
      <c r="AV19">
        <v>0</v>
      </c>
      <c r="AW19">
        <v>0</v>
      </c>
      <c r="AX19">
        <v>0</v>
      </c>
      <c r="AY19">
        <v>6</v>
      </c>
    </row>
    <row r="20" spans="1:51">
      <c r="A20" t="s">
        <v>17218</v>
      </c>
      <c r="B20" t="s">
        <v>17218</v>
      </c>
      <c r="C20">
        <v>0</v>
      </c>
      <c r="D20">
        <v>26</v>
      </c>
      <c r="E20">
        <v>25</v>
      </c>
      <c r="F20">
        <v>7</v>
      </c>
      <c r="G20">
        <v>0</v>
      </c>
      <c r="H20">
        <v>0</v>
      </c>
      <c r="I20">
        <v>0</v>
      </c>
      <c r="J20">
        <v>26</v>
      </c>
      <c r="K20">
        <v>443</v>
      </c>
      <c r="L20">
        <v>10</v>
      </c>
      <c r="M20">
        <v>4</v>
      </c>
      <c r="N20">
        <v>8</v>
      </c>
      <c r="O20">
        <v>2</v>
      </c>
      <c r="P20">
        <v>2</v>
      </c>
      <c r="Q20">
        <v>0</v>
      </c>
      <c r="R20">
        <v>0</v>
      </c>
      <c r="S20">
        <v>32.25</v>
      </c>
      <c r="T20">
        <v>14.25</v>
      </c>
      <c r="U20">
        <v>0</v>
      </c>
      <c r="V20">
        <v>46.5</v>
      </c>
      <c r="W20" s="4">
        <v>607.5</v>
      </c>
      <c r="X20" s="4">
        <v>0</v>
      </c>
      <c r="Y20">
        <v>11</v>
      </c>
      <c r="Z20">
        <v>3</v>
      </c>
      <c r="AA20" s="4">
        <v>0</v>
      </c>
      <c r="AB20" s="4">
        <v>180</v>
      </c>
      <c r="AC20" s="4">
        <v>0</v>
      </c>
      <c r="AD20" s="4">
        <v>191.75</v>
      </c>
      <c r="AE20" s="4">
        <v>0</v>
      </c>
      <c r="AF20" s="4">
        <v>371.75</v>
      </c>
      <c r="AG20" s="4">
        <v>607.5</v>
      </c>
      <c r="AH20" s="4">
        <v>607.5</v>
      </c>
      <c r="AI20" s="4">
        <v>0</v>
      </c>
      <c r="AJ20" s="4">
        <v>0</v>
      </c>
      <c r="AK20" s="4">
        <v>0</v>
      </c>
      <c r="AL20" s="4">
        <v>0</v>
      </c>
      <c r="AM20">
        <v>443</v>
      </c>
      <c r="AN20">
        <v>0</v>
      </c>
      <c r="AO20">
        <v>443</v>
      </c>
      <c r="AP20">
        <v>0</v>
      </c>
      <c r="AQ20">
        <v>32.25</v>
      </c>
      <c r="AR20">
        <v>0</v>
      </c>
      <c r="AS20">
        <v>32.25</v>
      </c>
      <c r="AT20">
        <v>0</v>
      </c>
      <c r="AU20">
        <v>14.25</v>
      </c>
      <c r="AV20">
        <v>0</v>
      </c>
      <c r="AW20">
        <v>14.25</v>
      </c>
      <c r="AX20">
        <v>0</v>
      </c>
    </row>
    <row r="21" spans="1:51">
      <c r="A21" t="s">
        <v>16886</v>
      </c>
      <c r="B21" t="s">
        <v>16886</v>
      </c>
      <c r="C21">
        <v>0</v>
      </c>
      <c r="D21">
        <v>32</v>
      </c>
      <c r="E21">
        <v>30</v>
      </c>
      <c r="F21">
        <v>23</v>
      </c>
      <c r="G21">
        <v>0</v>
      </c>
      <c r="H21">
        <v>2</v>
      </c>
      <c r="I21">
        <v>4</v>
      </c>
      <c r="J21">
        <v>31</v>
      </c>
      <c r="K21">
        <v>520</v>
      </c>
      <c r="L21">
        <v>21</v>
      </c>
      <c r="M21">
        <v>0</v>
      </c>
      <c r="N21">
        <v>2</v>
      </c>
      <c r="O21">
        <v>1</v>
      </c>
      <c r="P21">
        <v>1</v>
      </c>
      <c r="Q21">
        <v>6</v>
      </c>
      <c r="R21">
        <v>0</v>
      </c>
      <c r="S21">
        <v>12.75</v>
      </c>
      <c r="T21">
        <v>15</v>
      </c>
      <c r="U21">
        <v>0</v>
      </c>
      <c r="V21">
        <v>27.75</v>
      </c>
      <c r="W21" s="4">
        <v>427.5</v>
      </c>
      <c r="X21" s="4">
        <v>0</v>
      </c>
      <c r="Y21">
        <v>17</v>
      </c>
      <c r="Z21">
        <v>0</v>
      </c>
      <c r="AA21" s="4">
        <v>0</v>
      </c>
      <c r="AB21" s="4">
        <v>147.5</v>
      </c>
      <c r="AC21" s="4">
        <v>331.36</v>
      </c>
      <c r="AD21" s="4">
        <v>327.75</v>
      </c>
      <c r="AE21" s="4">
        <v>345.75</v>
      </c>
      <c r="AF21" s="4">
        <v>475.25</v>
      </c>
      <c r="AG21" s="4">
        <v>758.86</v>
      </c>
      <c r="AH21" s="4">
        <v>413.11</v>
      </c>
      <c r="AI21" s="4">
        <v>0</v>
      </c>
      <c r="AJ21" s="4">
        <v>0</v>
      </c>
      <c r="AK21" s="4">
        <v>0</v>
      </c>
      <c r="AL21" s="4">
        <v>0</v>
      </c>
      <c r="AM21">
        <v>520</v>
      </c>
      <c r="AN21">
        <v>82</v>
      </c>
      <c r="AO21">
        <v>438</v>
      </c>
      <c r="AP21">
        <v>0</v>
      </c>
      <c r="AQ21">
        <v>12.75</v>
      </c>
      <c r="AR21">
        <v>0</v>
      </c>
      <c r="AS21">
        <v>12.75</v>
      </c>
      <c r="AT21">
        <v>0</v>
      </c>
      <c r="AU21">
        <v>15</v>
      </c>
      <c r="AV21">
        <v>0</v>
      </c>
      <c r="AW21">
        <v>15</v>
      </c>
      <c r="AX21">
        <v>0</v>
      </c>
    </row>
    <row r="22" spans="1:51">
      <c r="A22" t="s">
        <v>16887</v>
      </c>
      <c r="B22" t="s">
        <v>17354</v>
      </c>
      <c r="C22">
        <v>0</v>
      </c>
      <c r="D22">
        <v>0</v>
      </c>
      <c r="E22">
        <v>0</v>
      </c>
      <c r="F22">
        <v>0</v>
      </c>
      <c r="G22">
        <v>0</v>
      </c>
      <c r="H22">
        <v>0</v>
      </c>
      <c r="I22">
        <v>0</v>
      </c>
      <c r="J22">
        <v>0</v>
      </c>
      <c r="K22">
        <v>0</v>
      </c>
      <c r="L22">
        <v>0</v>
      </c>
      <c r="M22">
        <v>0</v>
      </c>
      <c r="N22">
        <v>0</v>
      </c>
      <c r="O22">
        <v>0</v>
      </c>
      <c r="P22">
        <v>0</v>
      </c>
      <c r="Q22">
        <v>0</v>
      </c>
      <c r="R22">
        <v>0</v>
      </c>
      <c r="S22">
        <v>0</v>
      </c>
      <c r="T22">
        <v>0</v>
      </c>
      <c r="U22">
        <v>0</v>
      </c>
      <c r="V22">
        <v>0</v>
      </c>
      <c r="W22" s="4">
        <v>0</v>
      </c>
      <c r="X22" s="4">
        <v>0</v>
      </c>
      <c r="Y22">
        <v>0</v>
      </c>
      <c r="Z22">
        <v>0</v>
      </c>
      <c r="AA22" s="4">
        <v>0</v>
      </c>
      <c r="AB22" s="4">
        <v>0</v>
      </c>
      <c r="AC22" s="4">
        <v>0</v>
      </c>
      <c r="AD22" s="4">
        <v>0</v>
      </c>
      <c r="AE22" s="4">
        <v>0</v>
      </c>
      <c r="AF22" s="4">
        <v>0</v>
      </c>
      <c r="AG22" s="4">
        <v>0</v>
      </c>
      <c r="AH22" s="4">
        <v>0</v>
      </c>
      <c r="AI22" s="4">
        <v>0</v>
      </c>
      <c r="AJ22" s="4">
        <v>0</v>
      </c>
      <c r="AK22" s="4">
        <v>0</v>
      </c>
      <c r="AL22" s="4">
        <v>0</v>
      </c>
      <c r="AM22">
        <v>0</v>
      </c>
      <c r="AN22">
        <v>0</v>
      </c>
      <c r="AO22">
        <v>0</v>
      </c>
      <c r="AP22">
        <v>0</v>
      </c>
      <c r="AQ22">
        <v>0</v>
      </c>
      <c r="AR22">
        <v>0</v>
      </c>
      <c r="AS22">
        <v>0</v>
      </c>
      <c r="AT22">
        <v>0</v>
      </c>
      <c r="AU22">
        <v>0</v>
      </c>
      <c r="AV22">
        <v>0</v>
      </c>
      <c r="AW22">
        <v>0</v>
      </c>
      <c r="AX22">
        <v>0</v>
      </c>
      <c r="AY22">
        <v>0</v>
      </c>
    </row>
    <row r="23" spans="1:51">
      <c r="A23" t="s">
        <v>17207</v>
      </c>
      <c r="B23" t="s">
        <v>17208</v>
      </c>
      <c r="C23">
        <v>0</v>
      </c>
      <c r="D23">
        <v>289</v>
      </c>
      <c r="E23">
        <v>289</v>
      </c>
      <c r="F23">
        <v>260</v>
      </c>
      <c r="G23">
        <v>0</v>
      </c>
      <c r="H23">
        <v>0</v>
      </c>
      <c r="I23">
        <v>26</v>
      </c>
      <c r="J23">
        <v>289</v>
      </c>
      <c r="K23">
        <v>3115</v>
      </c>
      <c r="L23">
        <v>251</v>
      </c>
      <c r="M23">
        <v>1</v>
      </c>
      <c r="N23">
        <v>0</v>
      </c>
      <c r="O23">
        <v>37</v>
      </c>
      <c r="P23">
        <v>0</v>
      </c>
      <c r="Q23">
        <v>1</v>
      </c>
      <c r="R23">
        <v>0</v>
      </c>
      <c r="S23">
        <v>179.75</v>
      </c>
      <c r="T23">
        <v>59.252000000000002</v>
      </c>
      <c r="U23">
        <v>0</v>
      </c>
      <c r="V23">
        <v>234.00200000000001</v>
      </c>
      <c r="W23" s="4">
        <v>2912.54</v>
      </c>
      <c r="X23" s="4">
        <v>0</v>
      </c>
      <c r="Y23">
        <v>0</v>
      </c>
      <c r="Z23">
        <v>0</v>
      </c>
      <c r="AA23" s="4">
        <v>-10</v>
      </c>
      <c r="AB23" s="4">
        <v>2892.54</v>
      </c>
      <c r="AC23" s="4">
        <v>64.25</v>
      </c>
      <c r="AD23" s="4">
        <v>64.25</v>
      </c>
      <c r="AE23" s="4">
        <v>271.75</v>
      </c>
      <c r="AF23" s="4">
        <v>2956.79</v>
      </c>
      <c r="AG23" s="4">
        <v>2999.29</v>
      </c>
      <c r="AH23" s="4">
        <v>2731.29</v>
      </c>
      <c r="AI23" s="4">
        <v>0</v>
      </c>
      <c r="AJ23" s="4">
        <v>0</v>
      </c>
      <c r="AK23" s="4">
        <v>0</v>
      </c>
      <c r="AL23" s="4">
        <v>0</v>
      </c>
      <c r="AM23">
        <v>3115</v>
      </c>
      <c r="AN23">
        <v>0</v>
      </c>
      <c r="AO23">
        <v>3115</v>
      </c>
      <c r="AP23">
        <v>0</v>
      </c>
      <c r="AQ23">
        <v>175.75</v>
      </c>
      <c r="AR23">
        <v>0</v>
      </c>
      <c r="AS23">
        <v>175.75</v>
      </c>
      <c r="AT23">
        <v>0</v>
      </c>
      <c r="AU23">
        <v>56.752000000000002</v>
      </c>
      <c r="AV23">
        <v>0</v>
      </c>
      <c r="AW23">
        <v>56.752000000000002</v>
      </c>
      <c r="AX23">
        <v>0</v>
      </c>
    </row>
    <row r="24" spans="1:51">
      <c r="A24" t="s">
        <v>17207</v>
      </c>
      <c r="B24" t="s">
        <v>17208</v>
      </c>
      <c r="C24">
        <v>0</v>
      </c>
      <c r="D24">
        <v>278</v>
      </c>
      <c r="E24">
        <v>134</v>
      </c>
      <c r="F24">
        <v>278</v>
      </c>
      <c r="G24">
        <v>4</v>
      </c>
      <c r="H24">
        <v>2</v>
      </c>
      <c r="I24">
        <v>0</v>
      </c>
      <c r="J24">
        <v>278</v>
      </c>
      <c r="K24">
        <v>3331</v>
      </c>
      <c r="L24">
        <v>249</v>
      </c>
      <c r="M24">
        <v>10</v>
      </c>
      <c r="N24">
        <v>2</v>
      </c>
      <c r="O24">
        <v>15</v>
      </c>
      <c r="P24">
        <v>3</v>
      </c>
      <c r="Q24">
        <v>0</v>
      </c>
      <c r="R24">
        <v>0</v>
      </c>
      <c r="S24">
        <v>135.75</v>
      </c>
      <c r="T24">
        <v>8</v>
      </c>
      <c r="U24">
        <v>0</v>
      </c>
      <c r="V24">
        <v>143.75</v>
      </c>
      <c r="W24" s="4">
        <v>1517.52</v>
      </c>
      <c r="X24" s="4">
        <v>0</v>
      </c>
      <c r="Y24">
        <v>230</v>
      </c>
      <c r="Z24">
        <v>0</v>
      </c>
      <c r="AA24" s="4">
        <v>0</v>
      </c>
      <c r="AB24" s="4">
        <v>70</v>
      </c>
      <c r="AC24" s="4">
        <v>178.5</v>
      </c>
      <c r="AD24" s="4">
        <v>178.5</v>
      </c>
      <c r="AE24" s="4">
        <v>248.5</v>
      </c>
      <c r="AF24" s="4">
        <v>248.5</v>
      </c>
      <c r="AG24" s="4">
        <v>1696.02</v>
      </c>
      <c r="AH24" s="4">
        <v>1447.52</v>
      </c>
      <c r="AI24" s="4">
        <v>0</v>
      </c>
      <c r="AJ24" s="4">
        <v>0</v>
      </c>
      <c r="AK24" s="4">
        <v>20</v>
      </c>
      <c r="AL24" s="4">
        <v>20</v>
      </c>
      <c r="AM24">
        <v>3331</v>
      </c>
      <c r="AN24">
        <v>39</v>
      </c>
      <c r="AO24">
        <v>3292</v>
      </c>
      <c r="AP24">
        <v>0</v>
      </c>
      <c r="AQ24">
        <v>135.75</v>
      </c>
      <c r="AR24">
        <v>2</v>
      </c>
      <c r="AS24">
        <v>133.75</v>
      </c>
      <c r="AT24">
        <v>0</v>
      </c>
      <c r="AU24">
        <v>8</v>
      </c>
      <c r="AV24">
        <v>0</v>
      </c>
      <c r="AW24">
        <v>8</v>
      </c>
      <c r="AX24">
        <v>0</v>
      </c>
      <c r="AY24">
        <v>278</v>
      </c>
    </row>
    <row r="25" spans="1:51">
      <c r="A25" t="s">
        <v>17219</v>
      </c>
      <c r="B25" t="s">
        <v>17220</v>
      </c>
      <c r="C25">
        <v>0</v>
      </c>
      <c r="D25">
        <v>28</v>
      </c>
      <c r="E25">
        <v>26</v>
      </c>
      <c r="F25">
        <v>25</v>
      </c>
      <c r="G25">
        <v>6</v>
      </c>
      <c r="H25">
        <v>4</v>
      </c>
      <c r="I25">
        <v>1</v>
      </c>
      <c r="J25">
        <v>25</v>
      </c>
      <c r="K25">
        <v>431</v>
      </c>
      <c r="L25">
        <v>14</v>
      </c>
      <c r="M25">
        <v>3</v>
      </c>
      <c r="N25">
        <v>2</v>
      </c>
      <c r="O25">
        <v>3</v>
      </c>
      <c r="P25">
        <v>0</v>
      </c>
      <c r="Q25">
        <v>2</v>
      </c>
      <c r="R25">
        <v>0</v>
      </c>
      <c r="S25">
        <v>1</v>
      </c>
      <c r="T25">
        <v>3</v>
      </c>
      <c r="U25">
        <v>3</v>
      </c>
      <c r="V25">
        <v>7</v>
      </c>
      <c r="W25" s="4">
        <v>70</v>
      </c>
      <c r="X25" s="4">
        <v>0</v>
      </c>
      <c r="Y25">
        <v>2</v>
      </c>
      <c r="Z25">
        <v>0</v>
      </c>
      <c r="AA25" s="4">
        <v>0</v>
      </c>
      <c r="AB25" s="4">
        <v>12.5</v>
      </c>
      <c r="AC25" s="4">
        <v>88</v>
      </c>
      <c r="AD25" s="4">
        <v>73.75</v>
      </c>
      <c r="AE25" s="4">
        <v>85</v>
      </c>
      <c r="AF25" s="4">
        <v>86.25</v>
      </c>
      <c r="AG25" s="4">
        <v>218</v>
      </c>
      <c r="AH25" s="4">
        <v>133</v>
      </c>
      <c r="AI25" s="4">
        <v>35.75</v>
      </c>
      <c r="AJ25" s="4">
        <v>35.75</v>
      </c>
      <c r="AK25" s="4">
        <v>35.75</v>
      </c>
      <c r="AL25" s="4">
        <v>0</v>
      </c>
      <c r="AM25">
        <v>431</v>
      </c>
      <c r="AN25">
        <v>151</v>
      </c>
      <c r="AO25">
        <v>280</v>
      </c>
      <c r="AP25">
        <v>0</v>
      </c>
      <c r="AQ25">
        <v>1</v>
      </c>
      <c r="AR25">
        <v>0</v>
      </c>
      <c r="AS25">
        <v>1</v>
      </c>
      <c r="AT25">
        <v>0</v>
      </c>
      <c r="AU25">
        <v>3</v>
      </c>
      <c r="AV25">
        <v>0</v>
      </c>
      <c r="AW25">
        <v>3</v>
      </c>
      <c r="AX25">
        <v>0</v>
      </c>
      <c r="AY25">
        <v>37500</v>
      </c>
    </row>
    <row r="26" spans="1:51">
      <c r="A26" t="s">
        <v>17209</v>
      </c>
      <c r="B26" t="s">
        <v>17349</v>
      </c>
      <c r="C26">
        <v>2</v>
      </c>
      <c r="D26">
        <v>3</v>
      </c>
      <c r="E26">
        <v>3</v>
      </c>
      <c r="F26">
        <v>3</v>
      </c>
      <c r="G26">
        <v>1</v>
      </c>
      <c r="H26">
        <v>0</v>
      </c>
      <c r="I26">
        <v>0</v>
      </c>
      <c r="J26">
        <v>1</v>
      </c>
      <c r="K26">
        <v>3</v>
      </c>
      <c r="L26">
        <v>2</v>
      </c>
      <c r="M26">
        <v>0</v>
      </c>
      <c r="N26">
        <v>0</v>
      </c>
      <c r="O26">
        <v>1</v>
      </c>
      <c r="P26">
        <v>0</v>
      </c>
      <c r="Q26">
        <v>0</v>
      </c>
      <c r="R26">
        <v>0</v>
      </c>
      <c r="S26">
        <v>9.5</v>
      </c>
      <c r="T26">
        <v>9.25</v>
      </c>
      <c r="U26">
        <v>0</v>
      </c>
      <c r="V26">
        <v>18.75</v>
      </c>
      <c r="W26" s="4">
        <v>180</v>
      </c>
      <c r="X26" s="4">
        <v>0</v>
      </c>
      <c r="Y26">
        <v>0</v>
      </c>
      <c r="Z26">
        <v>0</v>
      </c>
      <c r="AA26" s="4">
        <v>-10</v>
      </c>
      <c r="AB26" s="4">
        <v>180</v>
      </c>
      <c r="AC26" s="4">
        <v>0</v>
      </c>
      <c r="AD26" s="4">
        <v>0</v>
      </c>
      <c r="AE26" s="4">
        <v>0</v>
      </c>
      <c r="AF26" s="4">
        <v>180</v>
      </c>
      <c r="AG26" s="4">
        <v>180</v>
      </c>
      <c r="AH26" s="4">
        <v>180</v>
      </c>
      <c r="AI26" s="4">
        <v>0</v>
      </c>
      <c r="AJ26" s="4">
        <v>0</v>
      </c>
      <c r="AK26" s="4">
        <v>0</v>
      </c>
      <c r="AL26" s="4">
        <v>0</v>
      </c>
      <c r="AM26">
        <v>3</v>
      </c>
      <c r="AN26">
        <v>0</v>
      </c>
      <c r="AO26">
        <v>3</v>
      </c>
      <c r="AP26">
        <v>0</v>
      </c>
      <c r="AQ26">
        <v>9.5</v>
      </c>
      <c r="AR26">
        <v>0</v>
      </c>
      <c r="AS26">
        <v>7.5</v>
      </c>
      <c r="AT26">
        <v>2</v>
      </c>
      <c r="AU26">
        <v>9.25</v>
      </c>
      <c r="AV26">
        <v>0</v>
      </c>
      <c r="AW26">
        <v>5.25</v>
      </c>
      <c r="AX26">
        <v>4</v>
      </c>
      <c r="AY26">
        <v>4</v>
      </c>
    </row>
    <row r="27" spans="1:51">
      <c r="A27" t="s">
        <v>16888</v>
      </c>
      <c r="B27" t="s">
        <v>17350</v>
      </c>
      <c r="C27">
        <v>0</v>
      </c>
      <c r="D27">
        <v>0</v>
      </c>
      <c r="E27">
        <v>0</v>
      </c>
      <c r="F27">
        <v>0</v>
      </c>
      <c r="G27">
        <v>0</v>
      </c>
      <c r="H27">
        <v>0</v>
      </c>
      <c r="I27">
        <v>0</v>
      </c>
      <c r="J27">
        <v>0</v>
      </c>
      <c r="K27">
        <v>0</v>
      </c>
      <c r="L27">
        <v>0</v>
      </c>
      <c r="M27">
        <v>0</v>
      </c>
      <c r="N27">
        <v>0</v>
      </c>
      <c r="O27">
        <v>0</v>
      </c>
      <c r="P27">
        <v>0</v>
      </c>
      <c r="Q27">
        <v>0</v>
      </c>
      <c r="R27">
        <v>0</v>
      </c>
      <c r="S27">
        <v>0</v>
      </c>
      <c r="T27">
        <v>0</v>
      </c>
      <c r="U27">
        <v>0</v>
      </c>
      <c r="V27">
        <v>0</v>
      </c>
      <c r="W27" s="4">
        <v>0</v>
      </c>
      <c r="X27" s="4">
        <v>0</v>
      </c>
      <c r="Y27">
        <v>0</v>
      </c>
      <c r="Z27">
        <v>0</v>
      </c>
      <c r="AA27" s="4">
        <v>0</v>
      </c>
      <c r="AB27" s="4">
        <v>0</v>
      </c>
      <c r="AC27" s="4">
        <v>0</v>
      </c>
      <c r="AD27" s="4">
        <v>0</v>
      </c>
      <c r="AE27" s="4">
        <v>0</v>
      </c>
      <c r="AF27" s="4">
        <v>0</v>
      </c>
      <c r="AG27" s="4">
        <v>0</v>
      </c>
      <c r="AH27" s="4">
        <v>0</v>
      </c>
      <c r="AI27" s="4">
        <v>0</v>
      </c>
      <c r="AJ27" s="4">
        <v>0</v>
      </c>
      <c r="AK27" s="4">
        <v>0</v>
      </c>
      <c r="AL27" s="4">
        <v>0</v>
      </c>
      <c r="AM27">
        <v>0</v>
      </c>
      <c r="AN27">
        <v>0</v>
      </c>
      <c r="AO27">
        <v>0</v>
      </c>
      <c r="AP27">
        <v>0</v>
      </c>
      <c r="AQ27">
        <v>0</v>
      </c>
      <c r="AR27">
        <v>0</v>
      </c>
      <c r="AS27">
        <v>0</v>
      </c>
      <c r="AT27">
        <v>0</v>
      </c>
      <c r="AU27">
        <v>0</v>
      </c>
      <c r="AV27">
        <v>0</v>
      </c>
      <c r="AW27">
        <v>0</v>
      </c>
      <c r="AX27">
        <v>0</v>
      </c>
      <c r="AY27">
        <v>0</v>
      </c>
    </row>
    <row r="28" spans="1:51">
      <c r="A28" t="s">
        <v>17355</v>
      </c>
      <c r="B28" t="s">
        <v>17356</v>
      </c>
      <c r="C28">
        <v>0</v>
      </c>
      <c r="D28">
        <v>18</v>
      </c>
      <c r="E28">
        <v>18</v>
      </c>
      <c r="F28">
        <v>11</v>
      </c>
      <c r="G28">
        <v>3</v>
      </c>
      <c r="H28">
        <v>1</v>
      </c>
      <c r="I28">
        <v>2</v>
      </c>
      <c r="J28">
        <v>18</v>
      </c>
      <c r="K28">
        <v>172</v>
      </c>
      <c r="L28">
        <v>8</v>
      </c>
      <c r="M28">
        <v>1</v>
      </c>
      <c r="N28">
        <v>1</v>
      </c>
      <c r="O28">
        <v>9</v>
      </c>
      <c r="P28">
        <v>0</v>
      </c>
      <c r="Q28">
        <v>0</v>
      </c>
      <c r="R28">
        <v>0</v>
      </c>
      <c r="S28">
        <v>8.25</v>
      </c>
      <c r="T28">
        <v>8</v>
      </c>
      <c r="U28">
        <v>0</v>
      </c>
      <c r="V28">
        <v>16.25</v>
      </c>
      <c r="W28" s="4">
        <v>242.5</v>
      </c>
      <c r="X28" s="4">
        <v>0</v>
      </c>
      <c r="Y28">
        <v>7</v>
      </c>
      <c r="Z28">
        <v>0</v>
      </c>
      <c r="AA28" s="4">
        <v>0</v>
      </c>
      <c r="AB28" s="4">
        <v>85</v>
      </c>
      <c r="AC28" s="4">
        <v>1</v>
      </c>
      <c r="AD28" s="4">
        <v>1</v>
      </c>
      <c r="AE28" s="4">
        <v>86</v>
      </c>
      <c r="AF28" s="4">
        <v>86</v>
      </c>
      <c r="AG28" s="4">
        <v>243.5</v>
      </c>
      <c r="AH28" s="4">
        <v>157.5</v>
      </c>
      <c r="AI28" s="4">
        <v>85</v>
      </c>
      <c r="AJ28" s="4">
        <v>85</v>
      </c>
      <c r="AK28" s="4">
        <v>85</v>
      </c>
      <c r="AL28" s="4">
        <v>0</v>
      </c>
      <c r="AM28">
        <v>172</v>
      </c>
      <c r="AN28">
        <v>13</v>
      </c>
      <c r="AO28">
        <v>159</v>
      </c>
      <c r="AP28">
        <v>0</v>
      </c>
      <c r="AQ28">
        <v>8.25</v>
      </c>
      <c r="AR28">
        <v>0.5</v>
      </c>
      <c r="AS28">
        <v>7.75</v>
      </c>
      <c r="AT28">
        <v>0</v>
      </c>
      <c r="AU28">
        <v>8</v>
      </c>
      <c r="AV28">
        <v>4</v>
      </c>
      <c r="AW28">
        <v>4</v>
      </c>
      <c r="AX28">
        <v>0</v>
      </c>
      <c r="AY28">
        <v>0</v>
      </c>
    </row>
    <row r="29" spans="1:51">
      <c r="A29" t="s">
        <v>17228</v>
      </c>
      <c r="B29" t="s">
        <v>17229</v>
      </c>
      <c r="C29">
        <v>0</v>
      </c>
      <c r="D29">
        <v>893</v>
      </c>
      <c r="E29">
        <v>0</v>
      </c>
      <c r="F29">
        <v>312</v>
      </c>
      <c r="G29">
        <v>0</v>
      </c>
      <c r="H29">
        <v>0</v>
      </c>
      <c r="I29">
        <v>0</v>
      </c>
      <c r="J29">
        <v>640</v>
      </c>
      <c r="K29">
        <v>18026</v>
      </c>
      <c r="L29">
        <v>627</v>
      </c>
      <c r="M29">
        <v>4</v>
      </c>
      <c r="N29">
        <v>0</v>
      </c>
      <c r="O29">
        <v>0</v>
      </c>
      <c r="P29">
        <v>0</v>
      </c>
      <c r="Q29">
        <v>4</v>
      </c>
      <c r="R29">
        <v>0</v>
      </c>
      <c r="S29">
        <v>223.25</v>
      </c>
      <c r="T29">
        <v>0</v>
      </c>
      <c r="U29">
        <v>0</v>
      </c>
      <c r="V29">
        <v>223</v>
      </c>
      <c r="W29" s="4">
        <v>2230</v>
      </c>
      <c r="X29" s="4">
        <v>0</v>
      </c>
      <c r="Y29">
        <v>0</v>
      </c>
      <c r="Z29">
        <v>0</v>
      </c>
      <c r="AA29" s="4">
        <v>0</v>
      </c>
      <c r="AB29" s="4">
        <v>2230</v>
      </c>
      <c r="AC29" s="4">
        <v>274.9499999999997</v>
      </c>
      <c r="AD29" s="4">
        <v>0</v>
      </c>
      <c r="AE29" s="4">
        <v>1924</v>
      </c>
      <c r="AF29" s="4">
        <v>2230</v>
      </c>
      <c r="AG29" s="4">
        <v>2504.9500000000025</v>
      </c>
      <c r="AH29" s="4">
        <v>1361.98</v>
      </c>
      <c r="AI29" s="4">
        <v>0</v>
      </c>
      <c r="AJ29" s="4">
        <v>0</v>
      </c>
      <c r="AK29" s="4">
        <v>0</v>
      </c>
      <c r="AL29" s="4">
        <v>0</v>
      </c>
      <c r="AM29">
        <v>18026</v>
      </c>
      <c r="AN29">
        <v>0</v>
      </c>
      <c r="AO29">
        <v>18026</v>
      </c>
      <c r="AP29">
        <v>0</v>
      </c>
      <c r="AQ29">
        <v>223.25</v>
      </c>
      <c r="AR29">
        <v>0</v>
      </c>
      <c r="AS29">
        <v>223.25</v>
      </c>
      <c r="AT29">
        <v>0</v>
      </c>
      <c r="AU29">
        <v>0</v>
      </c>
      <c r="AV29">
        <v>0</v>
      </c>
      <c r="AW29">
        <v>0</v>
      </c>
      <c r="AX29">
        <v>0</v>
      </c>
      <c r="AY29">
        <v>893</v>
      </c>
    </row>
    <row r="30" spans="1:51">
      <c r="A30" t="s">
        <v>16889</v>
      </c>
      <c r="B30" t="s">
        <v>17351</v>
      </c>
      <c r="C30">
        <v>0</v>
      </c>
      <c r="D30">
        <v>10</v>
      </c>
      <c r="E30">
        <v>0</v>
      </c>
      <c r="F30">
        <v>10</v>
      </c>
      <c r="G30">
        <v>0</v>
      </c>
      <c r="H30">
        <v>0</v>
      </c>
      <c r="I30">
        <v>0</v>
      </c>
      <c r="J30">
        <v>10</v>
      </c>
      <c r="K30">
        <v>100</v>
      </c>
      <c r="L30">
        <v>6</v>
      </c>
      <c r="M30">
        <v>0</v>
      </c>
      <c r="N30">
        <v>2</v>
      </c>
      <c r="O30">
        <v>2</v>
      </c>
      <c r="P30">
        <v>0</v>
      </c>
      <c r="Q30">
        <v>0</v>
      </c>
      <c r="R30">
        <v>0</v>
      </c>
      <c r="S30">
        <v>1</v>
      </c>
      <c r="T30">
        <v>1</v>
      </c>
      <c r="U30">
        <v>0</v>
      </c>
      <c r="V30">
        <v>1.5</v>
      </c>
      <c r="W30" s="4">
        <v>30</v>
      </c>
      <c r="X30" s="4">
        <v>0</v>
      </c>
      <c r="Y30">
        <v>2</v>
      </c>
      <c r="Z30">
        <v>0</v>
      </c>
      <c r="AA30" s="4">
        <v>0</v>
      </c>
      <c r="AB30" s="4">
        <v>0</v>
      </c>
      <c r="AC30" s="4">
        <v>19.990000000000002</v>
      </c>
      <c r="AD30" s="4">
        <v>19.990000000000002</v>
      </c>
      <c r="AE30" s="4">
        <v>19.990000000000002</v>
      </c>
      <c r="AF30" s="4">
        <v>12.5</v>
      </c>
      <c r="AG30" s="4">
        <v>27.5</v>
      </c>
      <c r="AH30" s="4">
        <v>15</v>
      </c>
      <c r="AI30" s="4">
        <v>0</v>
      </c>
      <c r="AJ30" s="4">
        <v>0</v>
      </c>
      <c r="AK30" s="4">
        <v>0</v>
      </c>
      <c r="AL30" s="4">
        <v>0</v>
      </c>
      <c r="AM30">
        <v>100</v>
      </c>
      <c r="AN30">
        <v>0</v>
      </c>
      <c r="AO30">
        <v>12</v>
      </c>
      <c r="AP30">
        <v>0</v>
      </c>
      <c r="AQ30">
        <v>0.5</v>
      </c>
      <c r="AR30">
        <v>0</v>
      </c>
      <c r="AS30">
        <v>0.5</v>
      </c>
      <c r="AT30">
        <v>0</v>
      </c>
      <c r="AU30">
        <v>0.5</v>
      </c>
      <c r="AV30">
        <v>0</v>
      </c>
      <c r="AW30">
        <v>0.5</v>
      </c>
      <c r="AX30">
        <v>0</v>
      </c>
      <c r="AY30">
        <v>0</v>
      </c>
    </row>
    <row r="31" spans="1:51">
      <c r="A31" t="s">
        <v>16890</v>
      </c>
      <c r="B31" t="s">
        <v>16891</v>
      </c>
      <c r="C31">
        <v>0</v>
      </c>
      <c r="D31">
        <v>28</v>
      </c>
      <c r="E31">
        <v>27</v>
      </c>
      <c r="F31">
        <v>27</v>
      </c>
      <c r="G31">
        <v>6</v>
      </c>
      <c r="H31">
        <v>2</v>
      </c>
      <c r="I31">
        <v>1</v>
      </c>
      <c r="J31">
        <v>28</v>
      </c>
      <c r="K31">
        <v>373</v>
      </c>
      <c r="L31">
        <v>18</v>
      </c>
      <c r="M31">
        <v>0</v>
      </c>
      <c r="N31">
        <v>8</v>
      </c>
      <c r="O31">
        <v>1</v>
      </c>
      <c r="P31">
        <v>1</v>
      </c>
      <c r="Q31">
        <v>0</v>
      </c>
      <c r="R31">
        <v>0</v>
      </c>
      <c r="S31">
        <v>38.25</v>
      </c>
      <c r="T31">
        <v>13.25</v>
      </c>
      <c r="U31">
        <v>0</v>
      </c>
      <c r="V31">
        <v>51.5</v>
      </c>
      <c r="W31" s="4">
        <v>647.5</v>
      </c>
      <c r="X31" s="4">
        <v>0</v>
      </c>
      <c r="Y31">
        <v>27</v>
      </c>
      <c r="Z31">
        <v>0</v>
      </c>
      <c r="AA31" s="4">
        <v>0</v>
      </c>
      <c r="AB31" s="4">
        <v>65</v>
      </c>
      <c r="AC31" s="4">
        <v>2181.75</v>
      </c>
      <c r="AD31" s="4">
        <v>2095.5</v>
      </c>
      <c r="AE31" s="4">
        <v>2221.75</v>
      </c>
      <c r="AF31" s="4">
        <v>2160.5</v>
      </c>
      <c r="AG31" s="4">
        <v>2829.25</v>
      </c>
      <c r="AH31" s="4">
        <v>607.5</v>
      </c>
      <c r="AI31" s="4">
        <v>256</v>
      </c>
      <c r="AJ31" s="4">
        <v>255.25</v>
      </c>
      <c r="AK31" s="4">
        <v>303.5</v>
      </c>
      <c r="AL31" s="4">
        <v>47.5</v>
      </c>
      <c r="AM31">
        <v>373</v>
      </c>
      <c r="AN31">
        <v>61</v>
      </c>
      <c r="AO31">
        <v>312</v>
      </c>
      <c r="AP31">
        <v>0</v>
      </c>
      <c r="AQ31">
        <v>38.25</v>
      </c>
      <c r="AR31">
        <v>2.25</v>
      </c>
      <c r="AS31">
        <v>36</v>
      </c>
      <c r="AT31">
        <v>0</v>
      </c>
      <c r="AU31">
        <v>13.25</v>
      </c>
      <c r="AV31">
        <v>1.25</v>
      </c>
      <c r="AW31">
        <v>12</v>
      </c>
      <c r="AX31">
        <v>0</v>
      </c>
      <c r="AY31">
        <v>24551</v>
      </c>
    </row>
    <row r="32" spans="1:51">
      <c r="A32" t="s">
        <v>16892</v>
      </c>
      <c r="B32" t="s">
        <v>16893</v>
      </c>
      <c r="C32">
        <v>0</v>
      </c>
      <c r="D32">
        <v>0</v>
      </c>
      <c r="E32">
        <v>0</v>
      </c>
      <c r="F32">
        <v>0</v>
      </c>
      <c r="G32">
        <v>0</v>
      </c>
      <c r="H32">
        <v>0</v>
      </c>
      <c r="I32">
        <v>0</v>
      </c>
      <c r="J32">
        <v>0</v>
      </c>
      <c r="K32">
        <v>0</v>
      </c>
      <c r="L32">
        <v>0</v>
      </c>
      <c r="M32">
        <v>0</v>
      </c>
      <c r="N32">
        <v>0</v>
      </c>
      <c r="O32">
        <v>0</v>
      </c>
      <c r="P32">
        <v>0</v>
      </c>
      <c r="Q32">
        <v>0</v>
      </c>
      <c r="R32">
        <v>0</v>
      </c>
      <c r="S32">
        <v>0</v>
      </c>
      <c r="T32">
        <v>0</v>
      </c>
      <c r="U32">
        <v>0</v>
      </c>
      <c r="V32">
        <v>0</v>
      </c>
      <c r="W32" s="4">
        <v>0</v>
      </c>
      <c r="X32" s="4">
        <v>0</v>
      </c>
      <c r="Y32">
        <v>0</v>
      </c>
      <c r="Z32">
        <v>0</v>
      </c>
      <c r="AA32" s="4">
        <v>0</v>
      </c>
      <c r="AB32" s="4">
        <v>0</v>
      </c>
      <c r="AC32" s="4">
        <v>0</v>
      </c>
      <c r="AD32" s="4">
        <v>0</v>
      </c>
      <c r="AE32" s="4">
        <v>0</v>
      </c>
      <c r="AF32" s="4">
        <v>0</v>
      </c>
      <c r="AG32" s="4">
        <v>0</v>
      </c>
      <c r="AH32" s="4">
        <v>0</v>
      </c>
      <c r="AI32" s="4">
        <v>0</v>
      </c>
      <c r="AJ32" s="4">
        <v>0</v>
      </c>
      <c r="AK32" s="4">
        <v>0</v>
      </c>
      <c r="AL32" s="4">
        <v>0</v>
      </c>
      <c r="AM32">
        <v>0</v>
      </c>
      <c r="AN32">
        <v>0</v>
      </c>
      <c r="AO32">
        <v>0</v>
      </c>
      <c r="AP32">
        <v>0</v>
      </c>
      <c r="AQ32">
        <v>0</v>
      </c>
      <c r="AR32">
        <v>0</v>
      </c>
      <c r="AS32">
        <v>0</v>
      </c>
      <c r="AT32">
        <v>0</v>
      </c>
      <c r="AU32">
        <v>0</v>
      </c>
      <c r="AV32">
        <v>0</v>
      </c>
      <c r="AW32">
        <v>0</v>
      </c>
      <c r="AX32">
        <v>0</v>
      </c>
      <c r="AY32">
        <v>0</v>
      </c>
    </row>
    <row r="33" spans="1:51">
      <c r="A33" t="s">
        <v>16894</v>
      </c>
      <c r="B33" t="s">
        <v>16895</v>
      </c>
      <c r="C33">
        <v>0</v>
      </c>
      <c r="D33">
        <v>10</v>
      </c>
      <c r="E33">
        <v>5</v>
      </c>
      <c r="F33">
        <v>10</v>
      </c>
      <c r="G33">
        <v>0</v>
      </c>
      <c r="H33">
        <v>1</v>
      </c>
      <c r="I33">
        <v>0</v>
      </c>
      <c r="J33">
        <v>10</v>
      </c>
      <c r="K33">
        <v>53</v>
      </c>
      <c r="L33">
        <v>5</v>
      </c>
      <c r="M33">
        <v>0</v>
      </c>
      <c r="N33">
        <v>2</v>
      </c>
      <c r="O33">
        <v>3</v>
      </c>
      <c r="P33">
        <v>0</v>
      </c>
      <c r="Q33">
        <v>0</v>
      </c>
      <c r="R33">
        <v>0</v>
      </c>
      <c r="S33">
        <v>3.5</v>
      </c>
      <c r="T33">
        <v>4.25</v>
      </c>
      <c r="U33">
        <v>0</v>
      </c>
      <c r="V33">
        <v>7.75</v>
      </c>
      <c r="W33" s="4">
        <v>120</v>
      </c>
      <c r="X33" s="4">
        <v>0</v>
      </c>
      <c r="Y33">
        <v>6</v>
      </c>
      <c r="Z33">
        <v>1</v>
      </c>
      <c r="AA33" s="4">
        <v>0</v>
      </c>
      <c r="AB33" s="4">
        <v>50</v>
      </c>
      <c r="AC33" s="4">
        <v>79.25</v>
      </c>
      <c r="AD33" s="4">
        <v>79.25</v>
      </c>
      <c r="AE33" s="4">
        <v>129.25</v>
      </c>
      <c r="AF33" s="4">
        <v>129.25</v>
      </c>
      <c r="AG33" s="4">
        <v>199.25</v>
      </c>
      <c r="AH33" s="4">
        <v>70</v>
      </c>
      <c r="AI33" s="4">
        <v>129.25</v>
      </c>
      <c r="AJ33" s="4">
        <v>129.25</v>
      </c>
      <c r="AK33" s="4">
        <v>159.25</v>
      </c>
      <c r="AL33" s="4">
        <v>30</v>
      </c>
      <c r="AM33">
        <v>53</v>
      </c>
      <c r="AN33">
        <v>10</v>
      </c>
      <c r="AO33">
        <v>43</v>
      </c>
      <c r="AP33">
        <v>0</v>
      </c>
      <c r="AQ33">
        <v>2.75</v>
      </c>
      <c r="AR33">
        <v>2</v>
      </c>
      <c r="AS33">
        <v>0.75</v>
      </c>
      <c r="AT33">
        <v>0</v>
      </c>
      <c r="AU33">
        <v>4.25</v>
      </c>
      <c r="AV33">
        <v>3</v>
      </c>
      <c r="AW33">
        <v>1.25</v>
      </c>
      <c r="AX33">
        <v>0</v>
      </c>
      <c r="AY33">
        <v>0</v>
      </c>
    </row>
    <row r="34" spans="1:51">
      <c r="A34" t="s">
        <v>16896</v>
      </c>
      <c r="B34" t="s">
        <v>16897</v>
      </c>
      <c r="C34">
        <v>0</v>
      </c>
      <c r="D34">
        <v>0</v>
      </c>
      <c r="E34">
        <v>0</v>
      </c>
      <c r="F34">
        <v>0</v>
      </c>
      <c r="G34">
        <v>0</v>
      </c>
      <c r="H34">
        <v>0</v>
      </c>
      <c r="I34">
        <v>0</v>
      </c>
      <c r="J34">
        <v>0</v>
      </c>
      <c r="K34">
        <v>0</v>
      </c>
      <c r="L34">
        <v>0</v>
      </c>
      <c r="M34">
        <v>0</v>
      </c>
      <c r="N34">
        <v>0</v>
      </c>
      <c r="O34">
        <v>0</v>
      </c>
      <c r="P34">
        <v>0</v>
      </c>
      <c r="Q34">
        <v>0</v>
      </c>
      <c r="R34">
        <v>0</v>
      </c>
      <c r="S34">
        <v>0</v>
      </c>
      <c r="T34">
        <v>0</v>
      </c>
      <c r="U34">
        <v>0</v>
      </c>
      <c r="V34">
        <v>0</v>
      </c>
      <c r="W34" s="4">
        <v>0</v>
      </c>
      <c r="X34" s="4">
        <v>0</v>
      </c>
      <c r="Y34">
        <v>0</v>
      </c>
      <c r="Z34">
        <v>0</v>
      </c>
      <c r="AA34" s="4">
        <v>0</v>
      </c>
      <c r="AB34" s="4">
        <v>0</v>
      </c>
      <c r="AC34" s="4">
        <v>0</v>
      </c>
      <c r="AD34" s="4">
        <v>0</v>
      </c>
      <c r="AE34" s="4">
        <v>0</v>
      </c>
      <c r="AF34" s="4">
        <v>0</v>
      </c>
      <c r="AG34" s="4">
        <v>0</v>
      </c>
      <c r="AH34" s="4">
        <v>0</v>
      </c>
      <c r="AI34" s="4">
        <v>0</v>
      </c>
      <c r="AJ34" s="4">
        <v>0</v>
      </c>
      <c r="AK34" s="4">
        <v>0</v>
      </c>
      <c r="AL34" s="4">
        <v>0</v>
      </c>
      <c r="AM34">
        <v>0</v>
      </c>
      <c r="AN34">
        <v>0</v>
      </c>
      <c r="AO34">
        <v>0</v>
      </c>
      <c r="AP34">
        <v>0</v>
      </c>
      <c r="AQ34">
        <v>0</v>
      </c>
      <c r="AR34">
        <v>0</v>
      </c>
      <c r="AS34">
        <v>0</v>
      </c>
      <c r="AT34">
        <v>0</v>
      </c>
      <c r="AU34">
        <v>0</v>
      </c>
      <c r="AV34">
        <v>0</v>
      </c>
      <c r="AW34">
        <v>0</v>
      </c>
      <c r="AX34">
        <v>0</v>
      </c>
      <c r="AY34">
        <v>0</v>
      </c>
    </row>
    <row r="35" spans="1:51">
      <c r="A35" t="s">
        <v>16900</v>
      </c>
      <c r="B35" t="s">
        <v>16901</v>
      </c>
      <c r="C35">
        <v>0</v>
      </c>
      <c r="D35">
        <v>2</v>
      </c>
      <c r="E35">
        <v>2</v>
      </c>
      <c r="F35">
        <v>2</v>
      </c>
      <c r="G35">
        <v>0</v>
      </c>
      <c r="H35">
        <v>0</v>
      </c>
      <c r="I35">
        <v>0</v>
      </c>
      <c r="J35">
        <v>2</v>
      </c>
      <c r="K35">
        <v>10</v>
      </c>
      <c r="L35">
        <v>1</v>
      </c>
      <c r="M35">
        <v>1</v>
      </c>
      <c r="N35">
        <v>0</v>
      </c>
      <c r="O35">
        <v>0</v>
      </c>
      <c r="P35">
        <v>0</v>
      </c>
      <c r="Q35">
        <v>0</v>
      </c>
      <c r="R35">
        <v>0</v>
      </c>
      <c r="S35">
        <v>1</v>
      </c>
      <c r="T35">
        <v>0</v>
      </c>
      <c r="U35">
        <v>0</v>
      </c>
      <c r="V35">
        <v>1</v>
      </c>
      <c r="W35" s="4">
        <v>10</v>
      </c>
      <c r="X35" s="4">
        <v>0</v>
      </c>
      <c r="Y35">
        <v>2</v>
      </c>
      <c r="Z35">
        <v>0</v>
      </c>
      <c r="AA35" s="4">
        <v>0</v>
      </c>
      <c r="AB35" s="4">
        <v>0</v>
      </c>
      <c r="AC35" s="4">
        <v>0</v>
      </c>
      <c r="AD35" s="4">
        <v>0</v>
      </c>
      <c r="AE35" s="4">
        <v>0</v>
      </c>
      <c r="AF35" s="4">
        <v>0</v>
      </c>
      <c r="AG35" s="4">
        <v>10</v>
      </c>
      <c r="AH35" s="4">
        <v>10</v>
      </c>
      <c r="AI35" s="4">
        <v>0</v>
      </c>
      <c r="AJ35" s="4">
        <v>0</v>
      </c>
      <c r="AK35" s="4">
        <v>0</v>
      </c>
      <c r="AL35" s="4">
        <v>0</v>
      </c>
      <c r="AM35">
        <v>10</v>
      </c>
      <c r="AN35">
        <v>0</v>
      </c>
      <c r="AO35">
        <v>10</v>
      </c>
      <c r="AP35">
        <v>0</v>
      </c>
      <c r="AQ35">
        <v>1</v>
      </c>
      <c r="AR35">
        <v>0</v>
      </c>
      <c r="AS35">
        <v>1</v>
      </c>
      <c r="AT35">
        <v>0</v>
      </c>
      <c r="AU35">
        <v>0</v>
      </c>
      <c r="AV35">
        <v>0</v>
      </c>
      <c r="AW35">
        <v>0</v>
      </c>
      <c r="AX35">
        <v>0</v>
      </c>
      <c r="AY35">
        <v>0</v>
      </c>
    </row>
    <row r="36" spans="1:51">
      <c r="A36" t="s">
        <v>16902</v>
      </c>
      <c r="B36" t="s">
        <v>16903</v>
      </c>
      <c r="C36">
        <v>0</v>
      </c>
      <c r="D36">
        <v>5</v>
      </c>
      <c r="E36">
        <v>1</v>
      </c>
      <c r="F36">
        <v>5</v>
      </c>
      <c r="G36">
        <v>0</v>
      </c>
      <c r="H36">
        <v>0</v>
      </c>
      <c r="I36">
        <v>0</v>
      </c>
      <c r="J36">
        <v>5</v>
      </c>
      <c r="K36">
        <v>19</v>
      </c>
      <c r="L36">
        <v>4</v>
      </c>
      <c r="M36">
        <v>0</v>
      </c>
      <c r="N36">
        <v>1</v>
      </c>
      <c r="O36">
        <v>0</v>
      </c>
      <c r="P36">
        <v>0</v>
      </c>
      <c r="Q36">
        <v>0</v>
      </c>
      <c r="R36">
        <v>0</v>
      </c>
      <c r="S36">
        <v>3.75</v>
      </c>
      <c r="T36">
        <v>5.75</v>
      </c>
      <c r="U36">
        <v>4</v>
      </c>
      <c r="V36">
        <v>13.5</v>
      </c>
      <c r="W36" s="4">
        <v>152.5</v>
      </c>
      <c r="X36" s="4">
        <v>0</v>
      </c>
      <c r="Y36">
        <v>5</v>
      </c>
      <c r="Z36">
        <v>0</v>
      </c>
      <c r="AA36" s="4">
        <v>0</v>
      </c>
      <c r="AB36" s="4">
        <v>30</v>
      </c>
      <c r="AC36" s="4">
        <v>0</v>
      </c>
      <c r="AD36" s="4">
        <v>0</v>
      </c>
      <c r="AE36" s="4">
        <v>0</v>
      </c>
      <c r="AF36" s="4">
        <v>30</v>
      </c>
      <c r="AG36" s="4">
        <v>232.5</v>
      </c>
      <c r="AH36" s="4">
        <v>232.5</v>
      </c>
      <c r="AI36" s="4">
        <v>0</v>
      </c>
      <c r="AJ36" s="4">
        <v>0</v>
      </c>
      <c r="AK36" s="4">
        <v>0</v>
      </c>
      <c r="AL36" s="4">
        <v>0</v>
      </c>
      <c r="AM36">
        <v>19</v>
      </c>
      <c r="AN36">
        <v>0</v>
      </c>
      <c r="AO36">
        <v>19</v>
      </c>
      <c r="AP36">
        <v>0</v>
      </c>
      <c r="AQ36">
        <v>3.75</v>
      </c>
      <c r="AR36">
        <v>0</v>
      </c>
      <c r="AS36">
        <v>3.75</v>
      </c>
      <c r="AT36">
        <v>0</v>
      </c>
      <c r="AU36">
        <v>5.75</v>
      </c>
      <c r="AV36">
        <v>0</v>
      </c>
      <c r="AW36">
        <v>5.75</v>
      </c>
      <c r="AX36">
        <v>0</v>
      </c>
      <c r="AY36">
        <v>7</v>
      </c>
    </row>
    <row r="37" spans="1:51">
      <c r="A37" t="s">
        <v>16904</v>
      </c>
      <c r="B37" t="s">
        <v>16905</v>
      </c>
      <c r="C37">
        <v>0</v>
      </c>
      <c r="D37">
        <v>7</v>
      </c>
      <c r="E37">
        <v>7</v>
      </c>
      <c r="F37">
        <v>7</v>
      </c>
      <c r="G37">
        <v>6</v>
      </c>
      <c r="H37">
        <v>7</v>
      </c>
      <c r="I37">
        <v>5</v>
      </c>
      <c r="J37">
        <v>7</v>
      </c>
      <c r="K37">
        <v>28</v>
      </c>
      <c r="L37">
        <v>6</v>
      </c>
      <c r="M37">
        <v>0</v>
      </c>
      <c r="N37">
        <v>0</v>
      </c>
      <c r="O37">
        <v>0</v>
      </c>
      <c r="P37">
        <v>0</v>
      </c>
      <c r="Q37">
        <v>1</v>
      </c>
      <c r="R37">
        <v>0</v>
      </c>
      <c r="S37">
        <v>14</v>
      </c>
      <c r="T37">
        <v>0</v>
      </c>
      <c r="U37">
        <v>0</v>
      </c>
      <c r="V37">
        <v>14</v>
      </c>
      <c r="W37" s="4">
        <v>140</v>
      </c>
      <c r="X37" s="4">
        <v>0</v>
      </c>
      <c r="Y37">
        <v>5</v>
      </c>
      <c r="Z37">
        <v>2</v>
      </c>
      <c r="AA37" s="4">
        <v>0</v>
      </c>
      <c r="AB37" s="4">
        <v>0</v>
      </c>
      <c r="AC37" s="4">
        <v>3</v>
      </c>
      <c r="AD37" s="4">
        <v>3</v>
      </c>
      <c r="AE37" s="4">
        <v>3</v>
      </c>
      <c r="AF37" s="4">
        <v>3</v>
      </c>
      <c r="AG37" s="4">
        <v>143</v>
      </c>
      <c r="AH37" s="4">
        <v>140</v>
      </c>
      <c r="AI37" s="4">
        <v>3</v>
      </c>
      <c r="AJ37" s="4">
        <v>3</v>
      </c>
      <c r="AK37" s="4">
        <v>143</v>
      </c>
      <c r="AL37" s="4">
        <v>140</v>
      </c>
      <c r="AM37">
        <v>28</v>
      </c>
      <c r="AN37">
        <v>28</v>
      </c>
      <c r="AO37">
        <v>0</v>
      </c>
      <c r="AP37">
        <v>0</v>
      </c>
      <c r="AQ37">
        <v>14</v>
      </c>
      <c r="AR37">
        <v>14</v>
      </c>
      <c r="AS37">
        <v>0</v>
      </c>
      <c r="AT37">
        <v>0</v>
      </c>
      <c r="AU37">
        <v>0</v>
      </c>
      <c r="AV37">
        <v>0</v>
      </c>
      <c r="AW37">
        <v>0</v>
      </c>
      <c r="AX37">
        <v>0</v>
      </c>
      <c r="AY37">
        <v>87</v>
      </c>
    </row>
    <row r="38" spans="1:51">
      <c r="A38" t="s">
        <v>16906</v>
      </c>
      <c r="B38" t="s">
        <v>16907</v>
      </c>
      <c r="C38">
        <v>0</v>
      </c>
      <c r="D38">
        <v>0</v>
      </c>
      <c r="E38">
        <v>0</v>
      </c>
      <c r="F38">
        <v>0</v>
      </c>
      <c r="G38">
        <v>0</v>
      </c>
      <c r="H38">
        <v>0</v>
      </c>
      <c r="I38">
        <v>0</v>
      </c>
      <c r="J38">
        <v>0</v>
      </c>
      <c r="K38">
        <v>0</v>
      </c>
      <c r="L38">
        <v>0</v>
      </c>
      <c r="M38">
        <v>0</v>
      </c>
      <c r="N38">
        <v>0</v>
      </c>
      <c r="O38">
        <v>0</v>
      </c>
      <c r="P38">
        <v>0</v>
      </c>
      <c r="Q38">
        <v>0</v>
      </c>
      <c r="R38">
        <v>0</v>
      </c>
      <c r="S38">
        <v>0</v>
      </c>
      <c r="T38">
        <v>0</v>
      </c>
      <c r="U38">
        <v>0</v>
      </c>
      <c r="V38">
        <v>0</v>
      </c>
      <c r="W38" s="4">
        <v>0</v>
      </c>
      <c r="X38" s="4">
        <v>0</v>
      </c>
      <c r="Y38">
        <v>0</v>
      </c>
      <c r="Z38">
        <v>0</v>
      </c>
      <c r="AA38" s="4">
        <v>0</v>
      </c>
      <c r="AB38" s="4">
        <v>0</v>
      </c>
      <c r="AC38" s="4">
        <v>0</v>
      </c>
      <c r="AD38" s="4">
        <v>0</v>
      </c>
      <c r="AE38" s="4">
        <v>0</v>
      </c>
      <c r="AF38" s="4">
        <v>0</v>
      </c>
      <c r="AG38" s="4">
        <v>0</v>
      </c>
      <c r="AH38" s="4">
        <v>0</v>
      </c>
      <c r="AI38" s="4">
        <v>0</v>
      </c>
      <c r="AJ38" s="4">
        <v>0</v>
      </c>
      <c r="AK38" s="4">
        <v>0</v>
      </c>
      <c r="AL38" s="4">
        <v>0</v>
      </c>
      <c r="AM38">
        <v>0</v>
      </c>
      <c r="AN38">
        <v>0</v>
      </c>
      <c r="AO38">
        <v>0</v>
      </c>
      <c r="AP38">
        <v>0</v>
      </c>
      <c r="AQ38">
        <v>0</v>
      </c>
      <c r="AR38">
        <v>0</v>
      </c>
      <c r="AS38">
        <v>0</v>
      </c>
      <c r="AT38">
        <v>0</v>
      </c>
      <c r="AU38">
        <v>0</v>
      </c>
      <c r="AV38">
        <v>0</v>
      </c>
      <c r="AW38">
        <v>0</v>
      </c>
      <c r="AX38">
        <v>0</v>
      </c>
      <c r="AY38">
        <v>257</v>
      </c>
    </row>
    <row r="39" spans="1:51">
      <c r="A39" t="s">
        <v>16908</v>
      </c>
      <c r="B39" t="s">
        <v>16909</v>
      </c>
      <c r="C39">
        <v>0</v>
      </c>
      <c r="D39">
        <v>23</v>
      </c>
      <c r="E39">
        <v>23</v>
      </c>
      <c r="F39">
        <v>20</v>
      </c>
      <c r="G39">
        <v>1</v>
      </c>
      <c r="H39">
        <v>0</v>
      </c>
      <c r="I39">
        <v>0</v>
      </c>
      <c r="J39">
        <v>23</v>
      </c>
      <c r="K39">
        <v>111</v>
      </c>
      <c r="L39">
        <v>22</v>
      </c>
      <c r="M39">
        <v>0</v>
      </c>
      <c r="N39">
        <v>0</v>
      </c>
      <c r="O39">
        <v>1</v>
      </c>
      <c r="P39">
        <v>0</v>
      </c>
      <c r="Q39">
        <v>0</v>
      </c>
      <c r="R39">
        <v>0</v>
      </c>
      <c r="S39">
        <v>0</v>
      </c>
      <c r="T39">
        <v>0</v>
      </c>
      <c r="U39">
        <v>0</v>
      </c>
      <c r="V39">
        <v>0</v>
      </c>
      <c r="W39" s="4">
        <v>0</v>
      </c>
      <c r="X39" s="4">
        <v>0</v>
      </c>
      <c r="Y39">
        <v>0</v>
      </c>
      <c r="Z39">
        <v>0</v>
      </c>
      <c r="AA39" s="4">
        <v>0</v>
      </c>
      <c r="AB39" s="4">
        <v>0</v>
      </c>
      <c r="AC39" s="4">
        <v>11.7</v>
      </c>
      <c r="AD39" s="4">
        <v>11.7</v>
      </c>
      <c r="AE39" s="4">
        <v>11.7</v>
      </c>
      <c r="AF39" s="4">
        <v>11.7</v>
      </c>
      <c r="AG39" s="4">
        <v>11.7</v>
      </c>
      <c r="AH39" s="4">
        <v>0</v>
      </c>
      <c r="AI39" s="4">
        <v>0</v>
      </c>
      <c r="AJ39" s="4">
        <v>0</v>
      </c>
      <c r="AK39" s="4">
        <v>0</v>
      </c>
      <c r="AL39" s="4">
        <v>0</v>
      </c>
      <c r="AM39">
        <v>111</v>
      </c>
      <c r="AN39">
        <v>0</v>
      </c>
      <c r="AO39">
        <v>111</v>
      </c>
      <c r="AP39">
        <v>0</v>
      </c>
      <c r="AQ39">
        <v>0.55000000000000004</v>
      </c>
      <c r="AR39">
        <v>0</v>
      </c>
      <c r="AS39">
        <v>0.55000000000000004</v>
      </c>
      <c r="AT39">
        <v>0</v>
      </c>
      <c r="AU39">
        <v>0.55000000000000004</v>
      </c>
      <c r="AV39">
        <v>0</v>
      </c>
      <c r="AW39">
        <v>0.55000000000000004</v>
      </c>
      <c r="AX39">
        <v>0</v>
      </c>
      <c r="AY39">
        <v>0</v>
      </c>
    </row>
    <row r="40" spans="1:51">
      <c r="A40" t="s">
        <v>17221</v>
      </c>
      <c r="B40" t="s">
        <v>17405</v>
      </c>
      <c r="C40">
        <v>1</v>
      </c>
      <c r="D40">
        <v>75</v>
      </c>
      <c r="E40">
        <v>56</v>
      </c>
      <c r="F40">
        <v>40</v>
      </c>
      <c r="G40">
        <v>0</v>
      </c>
      <c r="H40">
        <v>2</v>
      </c>
      <c r="I40">
        <v>0</v>
      </c>
      <c r="J40">
        <v>71</v>
      </c>
      <c r="K40">
        <v>496</v>
      </c>
      <c r="L40">
        <v>71</v>
      </c>
      <c r="M40">
        <v>0</v>
      </c>
      <c r="N40">
        <v>0</v>
      </c>
      <c r="O40">
        <v>0</v>
      </c>
      <c r="P40">
        <v>1</v>
      </c>
      <c r="Q40">
        <v>3</v>
      </c>
      <c r="R40">
        <v>0</v>
      </c>
      <c r="S40">
        <v>191.75</v>
      </c>
      <c r="T40">
        <v>0</v>
      </c>
      <c r="U40">
        <v>0</v>
      </c>
      <c r="V40">
        <v>191.75</v>
      </c>
      <c r="W40" s="4">
        <v>1912.5</v>
      </c>
      <c r="X40" s="4">
        <v>0</v>
      </c>
      <c r="Y40">
        <v>4</v>
      </c>
      <c r="Z40">
        <v>0</v>
      </c>
      <c r="AA40" s="4">
        <v>0</v>
      </c>
      <c r="AB40" s="4">
        <v>1822.5</v>
      </c>
      <c r="AC40" s="4">
        <v>584.79999999999984</v>
      </c>
      <c r="AD40" s="4">
        <v>584.79999999999984</v>
      </c>
      <c r="AE40" s="4">
        <v>9894.8999999999978</v>
      </c>
      <c r="AF40" s="4">
        <v>2387.3000000000002</v>
      </c>
      <c r="AG40" s="4">
        <v>2497.3000000000002</v>
      </c>
      <c r="AH40" s="4">
        <v>1254</v>
      </c>
      <c r="AI40" s="4">
        <v>0</v>
      </c>
      <c r="AJ40" s="4">
        <v>210</v>
      </c>
      <c r="AK40" s="4">
        <v>270</v>
      </c>
      <c r="AL40" s="4">
        <v>270</v>
      </c>
      <c r="AM40">
        <v>496</v>
      </c>
      <c r="AN40">
        <v>53</v>
      </c>
      <c r="AO40">
        <v>434</v>
      </c>
      <c r="AP40">
        <v>9</v>
      </c>
      <c r="AQ40">
        <v>191.75</v>
      </c>
      <c r="AR40">
        <v>27</v>
      </c>
      <c r="AS40">
        <v>164.25</v>
      </c>
      <c r="AT40">
        <v>0.5</v>
      </c>
      <c r="AU40">
        <v>0</v>
      </c>
      <c r="AV40">
        <v>0</v>
      </c>
      <c r="AW40">
        <v>0</v>
      </c>
      <c r="AX40">
        <v>0</v>
      </c>
    </row>
    <row r="41" spans="1:51">
      <c r="A41" t="s">
        <v>16910</v>
      </c>
      <c r="B41" t="s">
        <v>16911</v>
      </c>
      <c r="C41">
        <v>0</v>
      </c>
      <c r="D41">
        <v>0</v>
      </c>
      <c r="E41">
        <v>0</v>
      </c>
      <c r="F41">
        <v>0</v>
      </c>
      <c r="G41">
        <v>0</v>
      </c>
      <c r="H41">
        <v>0</v>
      </c>
      <c r="I41">
        <v>0</v>
      </c>
      <c r="J41">
        <v>0</v>
      </c>
      <c r="K41">
        <v>0</v>
      </c>
      <c r="L41">
        <v>0</v>
      </c>
      <c r="M41">
        <v>0</v>
      </c>
      <c r="N41">
        <v>0</v>
      </c>
      <c r="O41">
        <v>0</v>
      </c>
      <c r="P41">
        <v>0</v>
      </c>
      <c r="Q41">
        <v>0</v>
      </c>
      <c r="R41">
        <v>0</v>
      </c>
      <c r="S41">
        <v>0</v>
      </c>
      <c r="T41">
        <v>0</v>
      </c>
      <c r="U41">
        <v>0</v>
      </c>
      <c r="V41">
        <v>0</v>
      </c>
      <c r="W41" s="4">
        <v>0</v>
      </c>
      <c r="X41" s="4">
        <v>0</v>
      </c>
      <c r="Y41">
        <v>0</v>
      </c>
      <c r="Z41">
        <v>0</v>
      </c>
      <c r="AA41" s="4">
        <v>0</v>
      </c>
      <c r="AB41" s="4">
        <v>0</v>
      </c>
      <c r="AC41" s="4">
        <v>0</v>
      </c>
      <c r="AD41" s="4">
        <v>0</v>
      </c>
      <c r="AE41" s="4">
        <v>0</v>
      </c>
      <c r="AF41" s="4">
        <v>0</v>
      </c>
      <c r="AG41" s="4">
        <v>0</v>
      </c>
      <c r="AH41" s="4">
        <v>0</v>
      </c>
      <c r="AI41" s="4">
        <v>0</v>
      </c>
      <c r="AJ41" s="4">
        <v>0</v>
      </c>
      <c r="AK41" s="4">
        <v>0</v>
      </c>
      <c r="AL41" s="4">
        <v>0</v>
      </c>
      <c r="AM41">
        <v>0</v>
      </c>
      <c r="AN41">
        <v>0</v>
      </c>
      <c r="AO41">
        <v>0</v>
      </c>
      <c r="AP41">
        <v>0</v>
      </c>
      <c r="AQ41">
        <v>0</v>
      </c>
      <c r="AR41">
        <v>0</v>
      </c>
      <c r="AS41">
        <v>0</v>
      </c>
      <c r="AT41">
        <v>0</v>
      </c>
      <c r="AU41">
        <v>0</v>
      </c>
      <c r="AV41">
        <v>0</v>
      </c>
      <c r="AW41">
        <v>0</v>
      </c>
      <c r="AX41">
        <v>0</v>
      </c>
      <c r="AY41">
        <v>97</v>
      </c>
    </row>
    <row r="42" spans="1:51">
      <c r="A42" t="s">
        <v>16912</v>
      </c>
      <c r="B42" t="s">
        <v>16913</v>
      </c>
      <c r="C42">
        <v>0</v>
      </c>
      <c r="D42">
        <v>0</v>
      </c>
      <c r="E42">
        <v>0</v>
      </c>
      <c r="F42">
        <v>0</v>
      </c>
      <c r="G42">
        <v>0</v>
      </c>
      <c r="H42">
        <v>0</v>
      </c>
      <c r="I42">
        <v>0</v>
      </c>
      <c r="J42">
        <v>0</v>
      </c>
      <c r="K42">
        <v>0</v>
      </c>
      <c r="L42">
        <v>0</v>
      </c>
      <c r="M42">
        <v>0</v>
      </c>
      <c r="N42">
        <v>0</v>
      </c>
      <c r="O42">
        <v>0</v>
      </c>
      <c r="P42">
        <v>0</v>
      </c>
      <c r="Q42">
        <v>0</v>
      </c>
      <c r="R42">
        <v>0</v>
      </c>
      <c r="S42">
        <v>0</v>
      </c>
      <c r="T42">
        <v>0</v>
      </c>
      <c r="U42">
        <v>0</v>
      </c>
      <c r="V42">
        <v>0</v>
      </c>
      <c r="W42" s="4">
        <v>0</v>
      </c>
      <c r="X42" s="4">
        <v>0</v>
      </c>
      <c r="Y42">
        <v>0</v>
      </c>
      <c r="Z42">
        <v>0</v>
      </c>
      <c r="AA42" s="4">
        <v>0</v>
      </c>
      <c r="AB42" s="4">
        <v>0</v>
      </c>
      <c r="AC42" s="4">
        <v>0</v>
      </c>
      <c r="AD42" s="4">
        <v>0</v>
      </c>
      <c r="AE42" s="4">
        <v>0</v>
      </c>
      <c r="AF42" s="4">
        <v>0</v>
      </c>
      <c r="AG42" s="4">
        <v>0</v>
      </c>
      <c r="AH42" s="4">
        <v>0</v>
      </c>
      <c r="AI42" s="4">
        <v>0</v>
      </c>
      <c r="AJ42" s="4">
        <v>0</v>
      </c>
      <c r="AK42" s="4">
        <v>0</v>
      </c>
      <c r="AL42" s="4">
        <v>0</v>
      </c>
      <c r="AM42">
        <v>0</v>
      </c>
      <c r="AN42">
        <v>0</v>
      </c>
      <c r="AO42">
        <v>0</v>
      </c>
      <c r="AP42">
        <v>0</v>
      </c>
      <c r="AQ42">
        <v>0</v>
      </c>
      <c r="AR42">
        <v>0</v>
      </c>
      <c r="AS42">
        <v>0</v>
      </c>
      <c r="AT42">
        <v>0</v>
      </c>
      <c r="AU42">
        <v>0</v>
      </c>
      <c r="AV42">
        <v>0</v>
      </c>
      <c r="AW42">
        <v>0</v>
      </c>
      <c r="AX42">
        <v>0</v>
      </c>
      <c r="AY42">
        <v>500</v>
      </c>
    </row>
    <row r="43" spans="1:51">
      <c r="A43" t="s">
        <v>16914</v>
      </c>
      <c r="B43" t="s">
        <v>16915</v>
      </c>
      <c r="C43">
        <v>0</v>
      </c>
      <c r="D43">
        <v>4</v>
      </c>
      <c r="E43">
        <v>4</v>
      </c>
      <c r="F43">
        <v>4</v>
      </c>
      <c r="G43">
        <v>0</v>
      </c>
      <c r="H43">
        <v>1</v>
      </c>
      <c r="I43">
        <v>0</v>
      </c>
      <c r="J43">
        <v>4</v>
      </c>
      <c r="K43">
        <v>42</v>
      </c>
      <c r="L43">
        <v>2</v>
      </c>
      <c r="M43">
        <v>0</v>
      </c>
      <c r="N43">
        <v>1</v>
      </c>
      <c r="O43">
        <v>0</v>
      </c>
      <c r="P43">
        <v>0</v>
      </c>
      <c r="Q43">
        <v>1</v>
      </c>
      <c r="R43">
        <v>0</v>
      </c>
      <c r="S43">
        <v>3</v>
      </c>
      <c r="T43">
        <v>3</v>
      </c>
      <c r="U43">
        <v>0</v>
      </c>
      <c r="V43">
        <v>6</v>
      </c>
      <c r="W43" s="4">
        <v>90</v>
      </c>
      <c r="X43" s="4">
        <v>0</v>
      </c>
      <c r="Y43">
        <v>0</v>
      </c>
      <c r="Z43">
        <v>2</v>
      </c>
      <c r="AA43" s="4">
        <v>0</v>
      </c>
      <c r="AB43" s="4">
        <v>0</v>
      </c>
      <c r="AC43" s="4">
        <v>6.3</v>
      </c>
      <c r="AD43" s="4">
        <v>6.3</v>
      </c>
      <c r="AE43" s="4">
        <v>0</v>
      </c>
      <c r="AF43" s="4">
        <v>6.3</v>
      </c>
      <c r="AG43" s="4">
        <v>96.3</v>
      </c>
      <c r="AH43" s="4">
        <v>96.3</v>
      </c>
      <c r="AI43" s="4">
        <v>0</v>
      </c>
      <c r="AJ43" s="4">
        <v>0</v>
      </c>
      <c r="AK43" s="4">
        <v>60</v>
      </c>
      <c r="AL43" s="4">
        <v>60</v>
      </c>
      <c r="AM43">
        <v>42</v>
      </c>
      <c r="AN43">
        <v>27</v>
      </c>
      <c r="AO43">
        <v>15</v>
      </c>
      <c r="AP43">
        <v>0</v>
      </c>
      <c r="AQ43">
        <v>3</v>
      </c>
      <c r="AR43">
        <v>0</v>
      </c>
      <c r="AS43">
        <v>3</v>
      </c>
      <c r="AT43">
        <v>0</v>
      </c>
      <c r="AU43">
        <v>3</v>
      </c>
      <c r="AV43">
        <v>3</v>
      </c>
      <c r="AW43">
        <v>0</v>
      </c>
      <c r="AX43">
        <v>0</v>
      </c>
      <c r="AY43">
        <v>0</v>
      </c>
    </row>
    <row r="44" spans="1:51">
      <c r="A44" t="s">
        <v>16916</v>
      </c>
      <c r="B44" t="s">
        <v>16917</v>
      </c>
      <c r="C44">
        <v>0</v>
      </c>
      <c r="D44">
        <v>0</v>
      </c>
      <c r="E44">
        <v>0</v>
      </c>
      <c r="F44">
        <v>0</v>
      </c>
      <c r="G44">
        <v>0</v>
      </c>
      <c r="H44">
        <v>0</v>
      </c>
      <c r="I44">
        <v>0</v>
      </c>
      <c r="J44">
        <v>0</v>
      </c>
      <c r="K44">
        <v>0</v>
      </c>
      <c r="L44">
        <v>0</v>
      </c>
      <c r="M44">
        <v>0</v>
      </c>
      <c r="N44">
        <v>0</v>
      </c>
      <c r="O44">
        <v>0</v>
      </c>
      <c r="P44">
        <v>0</v>
      </c>
      <c r="Q44">
        <v>0</v>
      </c>
      <c r="R44">
        <v>0</v>
      </c>
      <c r="S44">
        <v>0</v>
      </c>
      <c r="T44">
        <v>0</v>
      </c>
      <c r="U44">
        <v>0</v>
      </c>
      <c r="V44">
        <v>0</v>
      </c>
      <c r="W44" s="4">
        <v>0</v>
      </c>
      <c r="X44" s="4">
        <v>0</v>
      </c>
      <c r="Y44">
        <v>0</v>
      </c>
      <c r="Z44">
        <v>0</v>
      </c>
      <c r="AA44" s="4">
        <v>0</v>
      </c>
      <c r="AB44" s="4">
        <v>0</v>
      </c>
      <c r="AC44" s="4">
        <v>0</v>
      </c>
      <c r="AD44" s="4">
        <v>0</v>
      </c>
      <c r="AE44" s="4">
        <v>0</v>
      </c>
      <c r="AF44" s="4">
        <v>0</v>
      </c>
      <c r="AG44" s="4">
        <v>0</v>
      </c>
      <c r="AH44" s="4">
        <v>0</v>
      </c>
      <c r="AI44" s="4">
        <v>0</v>
      </c>
      <c r="AJ44" s="4">
        <v>0</v>
      </c>
      <c r="AK44" s="4">
        <v>0</v>
      </c>
      <c r="AL44" s="4">
        <v>0</v>
      </c>
      <c r="AM44">
        <v>0</v>
      </c>
      <c r="AN44">
        <v>0</v>
      </c>
      <c r="AO44">
        <v>0</v>
      </c>
      <c r="AP44">
        <v>0</v>
      </c>
      <c r="AQ44">
        <v>0</v>
      </c>
      <c r="AR44">
        <v>0</v>
      </c>
      <c r="AS44">
        <v>0</v>
      </c>
      <c r="AT44">
        <v>0</v>
      </c>
      <c r="AU44">
        <v>0</v>
      </c>
      <c r="AV44">
        <v>0</v>
      </c>
      <c r="AW44">
        <v>0</v>
      </c>
      <c r="AX44">
        <v>0</v>
      </c>
      <c r="AY44">
        <v>0</v>
      </c>
    </row>
    <row r="45" spans="1:51">
      <c r="A45" t="s">
        <v>16918</v>
      </c>
      <c r="B45" t="s">
        <v>16919</v>
      </c>
      <c r="C45">
        <v>0</v>
      </c>
      <c r="D45">
        <v>1</v>
      </c>
      <c r="E45">
        <v>1</v>
      </c>
      <c r="F45">
        <v>1</v>
      </c>
      <c r="G45">
        <v>0</v>
      </c>
      <c r="H45">
        <v>0</v>
      </c>
      <c r="I45">
        <v>0</v>
      </c>
      <c r="J45">
        <v>1</v>
      </c>
      <c r="K45">
        <v>2</v>
      </c>
      <c r="L45">
        <v>0</v>
      </c>
      <c r="M45">
        <v>0</v>
      </c>
      <c r="N45">
        <v>1</v>
      </c>
      <c r="O45">
        <v>0</v>
      </c>
      <c r="P45">
        <v>0</v>
      </c>
      <c r="Q45">
        <v>0</v>
      </c>
      <c r="R45">
        <v>0</v>
      </c>
      <c r="S45">
        <v>0.25</v>
      </c>
      <c r="T45">
        <v>0</v>
      </c>
      <c r="U45">
        <v>0</v>
      </c>
      <c r="V45">
        <v>0.25</v>
      </c>
      <c r="W45" s="4">
        <v>2.5</v>
      </c>
      <c r="X45" s="4">
        <v>0</v>
      </c>
      <c r="Y45">
        <v>1</v>
      </c>
      <c r="Z45">
        <v>0</v>
      </c>
      <c r="AA45" s="4">
        <v>0</v>
      </c>
      <c r="AB45" s="4">
        <v>0</v>
      </c>
      <c r="AC45" s="4">
        <v>0</v>
      </c>
      <c r="AD45" s="4">
        <v>0</v>
      </c>
      <c r="AE45" s="4">
        <v>0</v>
      </c>
      <c r="AF45" s="4">
        <v>0</v>
      </c>
      <c r="AG45" s="4">
        <v>2.5</v>
      </c>
      <c r="AH45" s="4">
        <v>2.5</v>
      </c>
      <c r="AI45" s="4">
        <v>0</v>
      </c>
      <c r="AJ45" s="4">
        <v>0</v>
      </c>
      <c r="AK45" s="4">
        <v>0</v>
      </c>
      <c r="AL45" s="4">
        <v>0</v>
      </c>
      <c r="AM45">
        <v>2</v>
      </c>
      <c r="AN45">
        <v>0</v>
      </c>
      <c r="AO45">
        <v>2</v>
      </c>
      <c r="AP45">
        <v>0</v>
      </c>
      <c r="AQ45">
        <v>0.25</v>
      </c>
      <c r="AR45">
        <v>0</v>
      </c>
      <c r="AS45">
        <v>0.25</v>
      </c>
      <c r="AT45">
        <v>0</v>
      </c>
      <c r="AU45">
        <v>0</v>
      </c>
      <c r="AV45">
        <v>0</v>
      </c>
      <c r="AW45">
        <v>0</v>
      </c>
      <c r="AX45">
        <v>0</v>
      </c>
      <c r="AY45">
        <v>1</v>
      </c>
    </row>
    <row r="46" spans="1:51">
      <c r="A46" t="s">
        <v>16941</v>
      </c>
      <c r="B46" t="s">
        <v>16942</v>
      </c>
      <c r="C46">
        <v>0</v>
      </c>
      <c r="D46">
        <v>6</v>
      </c>
      <c r="E46">
        <v>0</v>
      </c>
      <c r="F46">
        <v>6</v>
      </c>
      <c r="G46">
        <v>0</v>
      </c>
      <c r="H46">
        <v>1</v>
      </c>
      <c r="I46">
        <v>0</v>
      </c>
      <c r="J46">
        <v>6</v>
      </c>
      <c r="K46">
        <v>19</v>
      </c>
      <c r="L46">
        <v>6</v>
      </c>
      <c r="M46">
        <v>0</v>
      </c>
      <c r="N46">
        <v>0</v>
      </c>
      <c r="O46">
        <v>0</v>
      </c>
      <c r="P46">
        <v>0</v>
      </c>
      <c r="Q46">
        <v>0</v>
      </c>
      <c r="R46">
        <v>0</v>
      </c>
      <c r="S46">
        <v>0.65</v>
      </c>
      <c r="T46">
        <v>0.65</v>
      </c>
      <c r="U46">
        <v>0</v>
      </c>
      <c r="V46">
        <v>1.3</v>
      </c>
      <c r="W46" s="4">
        <v>19.5</v>
      </c>
      <c r="X46" s="4">
        <v>0</v>
      </c>
      <c r="Y46">
        <v>2</v>
      </c>
      <c r="Z46">
        <v>0</v>
      </c>
      <c r="AA46" s="4">
        <v>0</v>
      </c>
      <c r="AB46" s="4">
        <v>0</v>
      </c>
      <c r="AC46" s="4">
        <v>0</v>
      </c>
      <c r="AD46" s="4">
        <v>0</v>
      </c>
      <c r="AE46" s="4">
        <v>0</v>
      </c>
      <c r="AF46" s="4">
        <v>0</v>
      </c>
      <c r="AG46" s="4">
        <v>19.5</v>
      </c>
      <c r="AH46" s="4">
        <v>19.5</v>
      </c>
      <c r="AI46" s="4">
        <v>0</v>
      </c>
      <c r="AJ46" s="4">
        <v>0</v>
      </c>
      <c r="AK46" s="4">
        <v>15</v>
      </c>
      <c r="AL46" s="4">
        <v>15</v>
      </c>
      <c r="AM46">
        <v>19</v>
      </c>
      <c r="AN46">
        <v>11</v>
      </c>
      <c r="AO46">
        <v>8</v>
      </c>
      <c r="AP46">
        <v>0</v>
      </c>
      <c r="AQ46">
        <v>0.65</v>
      </c>
      <c r="AR46">
        <v>0.5</v>
      </c>
      <c r="AS46">
        <v>0.15</v>
      </c>
      <c r="AT46">
        <v>0</v>
      </c>
      <c r="AU46">
        <v>0.65</v>
      </c>
      <c r="AV46">
        <v>0.5</v>
      </c>
      <c r="AW46">
        <v>0.15</v>
      </c>
      <c r="AX46">
        <v>0</v>
      </c>
      <c r="AY46">
        <v>6</v>
      </c>
    </row>
    <row r="47" spans="1:51">
      <c r="A47" t="s">
        <v>16920</v>
      </c>
      <c r="B47" t="s">
        <v>16921</v>
      </c>
      <c r="C47">
        <v>0</v>
      </c>
      <c r="D47">
        <v>0</v>
      </c>
      <c r="E47">
        <v>0</v>
      </c>
      <c r="F47">
        <v>0</v>
      </c>
      <c r="G47">
        <v>0</v>
      </c>
      <c r="H47">
        <v>0</v>
      </c>
      <c r="I47">
        <v>0</v>
      </c>
      <c r="J47">
        <v>0</v>
      </c>
      <c r="K47">
        <v>0</v>
      </c>
      <c r="L47">
        <v>0</v>
      </c>
      <c r="M47">
        <v>0</v>
      </c>
      <c r="N47">
        <v>0</v>
      </c>
      <c r="O47">
        <v>0</v>
      </c>
      <c r="P47">
        <v>0</v>
      </c>
      <c r="Q47">
        <v>0</v>
      </c>
      <c r="R47">
        <v>0</v>
      </c>
      <c r="S47">
        <v>0</v>
      </c>
      <c r="T47">
        <v>0</v>
      </c>
      <c r="U47">
        <v>0</v>
      </c>
      <c r="V47">
        <v>0</v>
      </c>
      <c r="W47" s="4">
        <v>0</v>
      </c>
      <c r="X47" s="4">
        <v>0</v>
      </c>
      <c r="Y47">
        <v>0</v>
      </c>
      <c r="Z47">
        <v>0</v>
      </c>
      <c r="AA47" s="4">
        <v>0</v>
      </c>
      <c r="AB47" s="4">
        <v>0</v>
      </c>
      <c r="AC47" s="4">
        <v>0</v>
      </c>
      <c r="AD47" s="4">
        <v>0</v>
      </c>
      <c r="AE47" s="4">
        <v>0</v>
      </c>
      <c r="AF47" s="4">
        <v>0</v>
      </c>
      <c r="AG47" s="4">
        <v>0</v>
      </c>
      <c r="AH47" s="4">
        <v>0</v>
      </c>
      <c r="AI47" s="4">
        <v>0</v>
      </c>
      <c r="AJ47" s="4">
        <v>0</v>
      </c>
      <c r="AK47" s="4">
        <v>0</v>
      </c>
      <c r="AL47" s="4">
        <v>0</v>
      </c>
      <c r="AM47">
        <v>0</v>
      </c>
      <c r="AN47">
        <v>0</v>
      </c>
      <c r="AO47">
        <v>0</v>
      </c>
      <c r="AP47">
        <v>0</v>
      </c>
      <c r="AQ47">
        <v>0</v>
      </c>
      <c r="AR47">
        <v>0</v>
      </c>
      <c r="AS47">
        <v>0</v>
      </c>
      <c r="AT47">
        <v>0</v>
      </c>
      <c r="AU47">
        <v>0</v>
      </c>
      <c r="AV47">
        <v>0</v>
      </c>
      <c r="AW47">
        <v>0</v>
      </c>
      <c r="AX47">
        <v>0</v>
      </c>
      <c r="AY47">
        <v>515</v>
      </c>
    </row>
    <row r="48" spans="1:51">
      <c r="A48" t="s">
        <v>16922</v>
      </c>
      <c r="B48" t="s">
        <v>16923</v>
      </c>
      <c r="C48">
        <v>0</v>
      </c>
      <c r="D48">
        <v>57</v>
      </c>
      <c r="E48">
        <v>57</v>
      </c>
      <c r="F48">
        <v>57</v>
      </c>
      <c r="G48">
        <v>0</v>
      </c>
      <c r="H48">
        <v>0</v>
      </c>
      <c r="I48">
        <v>0</v>
      </c>
      <c r="J48">
        <v>57</v>
      </c>
      <c r="K48">
        <v>412</v>
      </c>
      <c r="L48">
        <v>57</v>
      </c>
      <c r="M48">
        <v>0</v>
      </c>
      <c r="N48">
        <v>0</v>
      </c>
      <c r="O48">
        <v>0</v>
      </c>
      <c r="P48">
        <v>0</v>
      </c>
      <c r="Q48">
        <v>0</v>
      </c>
      <c r="R48">
        <v>0</v>
      </c>
      <c r="S48">
        <v>8.75</v>
      </c>
      <c r="T48">
        <v>0</v>
      </c>
      <c r="U48">
        <v>0</v>
      </c>
      <c r="V48">
        <v>8.75</v>
      </c>
      <c r="W48" s="4">
        <v>87.5</v>
      </c>
      <c r="X48" s="4">
        <v>0</v>
      </c>
      <c r="Y48">
        <v>35</v>
      </c>
      <c r="Z48">
        <v>0</v>
      </c>
      <c r="AA48" s="4">
        <v>0</v>
      </c>
      <c r="AB48" s="4">
        <v>0</v>
      </c>
      <c r="AC48" s="4">
        <v>0</v>
      </c>
      <c r="AD48" s="4">
        <v>0</v>
      </c>
      <c r="AE48" s="4">
        <v>0</v>
      </c>
      <c r="AF48" s="4">
        <v>0</v>
      </c>
      <c r="AG48" s="4">
        <v>87.5</v>
      </c>
      <c r="AH48" s="4">
        <v>87.5</v>
      </c>
      <c r="AI48" s="4">
        <v>0</v>
      </c>
      <c r="AJ48" s="4">
        <v>0</v>
      </c>
      <c r="AK48" s="4">
        <v>0</v>
      </c>
      <c r="AL48" s="4">
        <v>0</v>
      </c>
      <c r="AM48">
        <v>412</v>
      </c>
      <c r="AN48">
        <v>0</v>
      </c>
      <c r="AO48">
        <v>412</v>
      </c>
      <c r="AP48">
        <v>0</v>
      </c>
      <c r="AQ48">
        <v>0</v>
      </c>
      <c r="AR48">
        <v>0</v>
      </c>
      <c r="AS48">
        <v>0</v>
      </c>
      <c r="AT48">
        <v>0</v>
      </c>
      <c r="AU48">
        <v>0</v>
      </c>
      <c r="AV48">
        <v>0</v>
      </c>
      <c r="AW48">
        <v>0</v>
      </c>
      <c r="AX48">
        <v>0</v>
      </c>
      <c r="AY48">
        <v>10</v>
      </c>
    </row>
    <row r="49" spans="1:51">
      <c r="A49" t="s">
        <v>16924</v>
      </c>
      <c r="B49" t="s">
        <v>16925</v>
      </c>
      <c r="C49">
        <v>0</v>
      </c>
      <c r="D49">
        <v>3</v>
      </c>
      <c r="E49">
        <v>3</v>
      </c>
      <c r="F49">
        <v>3</v>
      </c>
      <c r="G49">
        <v>0</v>
      </c>
      <c r="H49">
        <v>0</v>
      </c>
      <c r="I49">
        <v>0</v>
      </c>
      <c r="J49">
        <v>3</v>
      </c>
      <c r="K49">
        <v>29</v>
      </c>
      <c r="L49">
        <v>1</v>
      </c>
      <c r="M49">
        <v>0</v>
      </c>
      <c r="N49">
        <v>2</v>
      </c>
      <c r="O49">
        <v>0</v>
      </c>
      <c r="P49">
        <v>0</v>
      </c>
      <c r="Q49">
        <v>0</v>
      </c>
      <c r="R49">
        <v>0</v>
      </c>
      <c r="S49">
        <v>3.25</v>
      </c>
      <c r="T49">
        <v>6.5</v>
      </c>
      <c r="U49">
        <v>0</v>
      </c>
      <c r="V49">
        <v>9.75</v>
      </c>
      <c r="W49" s="4">
        <v>162.5</v>
      </c>
      <c r="X49" s="4">
        <v>0</v>
      </c>
      <c r="Y49">
        <v>1</v>
      </c>
      <c r="Z49">
        <v>2</v>
      </c>
      <c r="AA49" s="4">
        <v>0</v>
      </c>
      <c r="AB49" s="4">
        <v>75</v>
      </c>
      <c r="AC49" s="4">
        <v>6.1</v>
      </c>
      <c r="AD49" s="4">
        <v>6.1</v>
      </c>
      <c r="AE49" s="4">
        <v>81.099999999999994</v>
      </c>
      <c r="AF49" s="4">
        <v>81.099999999999994</v>
      </c>
      <c r="AG49" s="4">
        <v>168.6</v>
      </c>
      <c r="AH49" s="4">
        <v>87.5</v>
      </c>
      <c r="AI49" s="4">
        <v>0</v>
      </c>
      <c r="AJ49" s="4">
        <v>0</v>
      </c>
      <c r="AK49" s="4">
        <v>0</v>
      </c>
      <c r="AL49" s="4">
        <v>0</v>
      </c>
      <c r="AM49">
        <v>29</v>
      </c>
      <c r="AN49">
        <v>0</v>
      </c>
      <c r="AO49">
        <v>29</v>
      </c>
      <c r="AP49">
        <v>0</v>
      </c>
      <c r="AQ49">
        <v>3.25</v>
      </c>
      <c r="AR49">
        <v>0</v>
      </c>
      <c r="AS49">
        <v>3.25</v>
      </c>
      <c r="AT49">
        <v>0</v>
      </c>
      <c r="AU49">
        <v>6.5</v>
      </c>
      <c r="AV49">
        <v>0</v>
      </c>
      <c r="AW49">
        <v>6.5</v>
      </c>
      <c r="AX49">
        <v>0</v>
      </c>
      <c r="AY49">
        <v>589</v>
      </c>
    </row>
    <row r="50" spans="1:51">
      <c r="A50" t="s">
        <v>16926</v>
      </c>
      <c r="B50" t="s">
        <v>16927</v>
      </c>
      <c r="C50">
        <v>2</v>
      </c>
      <c r="D50">
        <v>2</v>
      </c>
      <c r="E50">
        <v>2</v>
      </c>
      <c r="F50">
        <v>1</v>
      </c>
      <c r="G50">
        <v>1</v>
      </c>
      <c r="H50">
        <v>1</v>
      </c>
      <c r="I50">
        <v>0</v>
      </c>
      <c r="J50">
        <v>2</v>
      </c>
      <c r="K50">
        <v>38</v>
      </c>
      <c r="L50">
        <v>2</v>
      </c>
      <c r="M50">
        <v>0</v>
      </c>
      <c r="N50">
        <v>0</v>
      </c>
      <c r="O50">
        <v>0</v>
      </c>
      <c r="P50">
        <v>0</v>
      </c>
      <c r="Q50">
        <v>0</v>
      </c>
      <c r="R50">
        <v>0</v>
      </c>
      <c r="S50">
        <v>2.5</v>
      </c>
      <c r="T50">
        <v>1</v>
      </c>
      <c r="U50">
        <v>3.5</v>
      </c>
      <c r="V50">
        <v>7</v>
      </c>
      <c r="W50" s="4">
        <v>0</v>
      </c>
      <c r="X50" s="4">
        <v>0</v>
      </c>
      <c r="Y50">
        <v>0</v>
      </c>
      <c r="Z50">
        <v>0</v>
      </c>
      <c r="AA50" s="4">
        <v>-45</v>
      </c>
      <c r="AB50" s="4">
        <v>0</v>
      </c>
      <c r="AC50" s="4">
        <v>0</v>
      </c>
      <c r="AD50" s="4">
        <v>0</v>
      </c>
      <c r="AE50" s="4">
        <v>0</v>
      </c>
      <c r="AF50" s="4">
        <v>0</v>
      </c>
      <c r="AG50" s="4">
        <v>70</v>
      </c>
      <c r="AH50" s="4">
        <v>70</v>
      </c>
      <c r="AI50" s="4">
        <v>0</v>
      </c>
      <c r="AJ50" s="4">
        <v>0</v>
      </c>
      <c r="AK50" s="4">
        <v>60</v>
      </c>
      <c r="AL50" s="4">
        <v>60</v>
      </c>
      <c r="AM50">
        <v>38</v>
      </c>
      <c r="AN50">
        <v>34</v>
      </c>
      <c r="AO50">
        <v>0</v>
      </c>
      <c r="AP50">
        <v>38</v>
      </c>
      <c r="AQ50">
        <v>2.5</v>
      </c>
      <c r="AR50">
        <v>2</v>
      </c>
      <c r="AS50">
        <v>0</v>
      </c>
      <c r="AT50">
        <v>2.5</v>
      </c>
      <c r="AU50">
        <v>1</v>
      </c>
      <c r="AV50">
        <v>1</v>
      </c>
      <c r="AW50">
        <v>0</v>
      </c>
      <c r="AX50">
        <v>1</v>
      </c>
      <c r="AY50">
        <v>9236</v>
      </c>
    </row>
    <row r="51" spans="1:51">
      <c r="A51" t="s">
        <v>16928</v>
      </c>
      <c r="B51" t="s">
        <v>16929</v>
      </c>
      <c r="C51">
        <v>1</v>
      </c>
      <c r="D51">
        <v>1</v>
      </c>
      <c r="E51">
        <v>0</v>
      </c>
      <c r="F51">
        <v>0</v>
      </c>
      <c r="G51">
        <v>0</v>
      </c>
      <c r="H51">
        <v>0</v>
      </c>
      <c r="I51">
        <v>0</v>
      </c>
      <c r="J51">
        <v>1</v>
      </c>
      <c r="K51">
        <v>42</v>
      </c>
      <c r="L51">
        <v>0</v>
      </c>
      <c r="M51">
        <v>1</v>
      </c>
      <c r="N51">
        <v>0</v>
      </c>
      <c r="O51">
        <v>0</v>
      </c>
      <c r="P51">
        <v>0</v>
      </c>
      <c r="Q51">
        <v>0</v>
      </c>
      <c r="R51">
        <v>0</v>
      </c>
      <c r="S51">
        <v>0</v>
      </c>
      <c r="T51">
        <v>0</v>
      </c>
      <c r="U51">
        <v>0</v>
      </c>
      <c r="V51">
        <v>0</v>
      </c>
      <c r="W51" s="4">
        <v>0</v>
      </c>
      <c r="X51" s="4">
        <v>0</v>
      </c>
      <c r="Y51">
        <v>0</v>
      </c>
      <c r="Z51">
        <v>0</v>
      </c>
      <c r="AA51" s="4">
        <v>0</v>
      </c>
      <c r="AB51" s="4">
        <v>0</v>
      </c>
      <c r="AC51" s="4">
        <v>0</v>
      </c>
      <c r="AD51" s="4">
        <v>0</v>
      </c>
      <c r="AE51" s="4">
        <v>0</v>
      </c>
      <c r="AF51" s="4">
        <v>0</v>
      </c>
      <c r="AG51" s="4">
        <v>0</v>
      </c>
      <c r="AH51" s="4">
        <v>0</v>
      </c>
      <c r="AI51" s="4">
        <v>0</v>
      </c>
      <c r="AJ51" s="4">
        <v>0</v>
      </c>
      <c r="AK51" s="4">
        <v>0</v>
      </c>
      <c r="AL51" s="4">
        <v>0</v>
      </c>
      <c r="AM51">
        <v>42</v>
      </c>
      <c r="AN51">
        <v>0</v>
      </c>
      <c r="AO51">
        <v>0</v>
      </c>
      <c r="AP51">
        <v>42</v>
      </c>
      <c r="AQ51">
        <v>0</v>
      </c>
      <c r="AR51">
        <v>0</v>
      </c>
      <c r="AS51">
        <v>0</v>
      </c>
      <c r="AT51">
        <v>0</v>
      </c>
      <c r="AU51">
        <v>0</v>
      </c>
      <c r="AV51">
        <v>0</v>
      </c>
      <c r="AW51">
        <v>0</v>
      </c>
      <c r="AX51">
        <v>0</v>
      </c>
      <c r="AY51">
        <v>5482</v>
      </c>
    </row>
    <row r="52" spans="1:51">
      <c r="A52" t="s">
        <v>16930</v>
      </c>
      <c r="B52" t="s">
        <v>16931</v>
      </c>
      <c r="C52">
        <v>1</v>
      </c>
      <c r="D52">
        <v>1</v>
      </c>
      <c r="E52">
        <v>1</v>
      </c>
      <c r="F52">
        <v>1</v>
      </c>
      <c r="G52">
        <v>1</v>
      </c>
      <c r="H52">
        <v>0</v>
      </c>
      <c r="I52">
        <v>1</v>
      </c>
      <c r="J52">
        <v>1</v>
      </c>
      <c r="K52">
        <v>11</v>
      </c>
      <c r="L52">
        <v>0</v>
      </c>
      <c r="M52">
        <v>0</v>
      </c>
      <c r="N52">
        <v>1</v>
      </c>
      <c r="O52">
        <v>0</v>
      </c>
      <c r="P52">
        <v>0</v>
      </c>
      <c r="Q52">
        <v>0</v>
      </c>
      <c r="R52">
        <v>0</v>
      </c>
      <c r="S52">
        <v>0</v>
      </c>
      <c r="T52">
        <v>0</v>
      </c>
      <c r="U52">
        <v>1</v>
      </c>
      <c r="V52">
        <v>1</v>
      </c>
      <c r="W52" s="4">
        <v>0</v>
      </c>
      <c r="X52" s="4">
        <v>0</v>
      </c>
      <c r="Y52">
        <v>0</v>
      </c>
      <c r="Z52">
        <v>0</v>
      </c>
      <c r="AA52" s="4">
        <v>0</v>
      </c>
      <c r="AB52" s="4">
        <v>0</v>
      </c>
      <c r="AC52" s="4">
        <v>1.6</v>
      </c>
      <c r="AD52" s="4">
        <v>1.6</v>
      </c>
      <c r="AE52" s="4">
        <v>0</v>
      </c>
      <c r="AF52" s="4">
        <v>1.6</v>
      </c>
      <c r="AG52" s="4">
        <v>21.6</v>
      </c>
      <c r="AH52" s="4">
        <v>21.6</v>
      </c>
      <c r="AI52" s="4">
        <v>0</v>
      </c>
      <c r="AJ52" s="4">
        <v>0</v>
      </c>
      <c r="AK52" s="4">
        <v>0</v>
      </c>
      <c r="AL52" s="4">
        <v>0</v>
      </c>
      <c r="AM52">
        <v>11</v>
      </c>
      <c r="AN52">
        <v>0</v>
      </c>
      <c r="AO52">
        <v>0</v>
      </c>
      <c r="AP52">
        <v>11</v>
      </c>
      <c r="AQ52">
        <v>0</v>
      </c>
      <c r="AR52">
        <v>0</v>
      </c>
      <c r="AS52">
        <v>0</v>
      </c>
      <c r="AT52">
        <v>0</v>
      </c>
      <c r="AU52">
        <v>0</v>
      </c>
      <c r="AV52">
        <v>0</v>
      </c>
      <c r="AW52">
        <v>0</v>
      </c>
      <c r="AX52">
        <v>0</v>
      </c>
      <c r="AY52">
        <v>1</v>
      </c>
    </row>
    <row r="53" spans="1:51">
      <c r="A53" t="s">
        <v>17222</v>
      </c>
      <c r="B53" t="s">
        <v>17223</v>
      </c>
      <c r="C53">
        <v>3</v>
      </c>
      <c r="D53">
        <v>53</v>
      </c>
      <c r="E53">
        <v>41</v>
      </c>
      <c r="F53">
        <v>37</v>
      </c>
      <c r="G53">
        <v>2</v>
      </c>
      <c r="H53">
        <v>11</v>
      </c>
      <c r="I53">
        <v>1</v>
      </c>
      <c r="J53">
        <v>50</v>
      </c>
      <c r="K53">
        <v>641</v>
      </c>
      <c r="L53">
        <v>20</v>
      </c>
      <c r="M53">
        <v>3</v>
      </c>
      <c r="N53">
        <v>18</v>
      </c>
      <c r="O53">
        <v>5</v>
      </c>
      <c r="P53">
        <v>1</v>
      </c>
      <c r="Q53">
        <v>1</v>
      </c>
      <c r="R53">
        <v>0</v>
      </c>
      <c r="S53">
        <v>10.75</v>
      </c>
      <c r="T53">
        <v>10</v>
      </c>
      <c r="U53">
        <v>0</v>
      </c>
      <c r="V53">
        <v>20.75</v>
      </c>
      <c r="W53" s="4">
        <v>290</v>
      </c>
      <c r="X53" s="4">
        <v>0</v>
      </c>
      <c r="Y53">
        <v>19</v>
      </c>
      <c r="Z53">
        <v>0</v>
      </c>
      <c r="AA53" s="4">
        <v>0</v>
      </c>
      <c r="AB53" s="4">
        <v>80</v>
      </c>
      <c r="AC53" s="4">
        <v>65.55</v>
      </c>
      <c r="AD53" s="4">
        <v>59.55</v>
      </c>
      <c r="AE53" s="4">
        <v>97.45</v>
      </c>
      <c r="AF53" s="4">
        <v>59.95</v>
      </c>
      <c r="AG53" s="4">
        <v>310.19</v>
      </c>
      <c r="AH53" s="4">
        <v>173.5</v>
      </c>
      <c r="AI53" s="4">
        <v>93.95</v>
      </c>
      <c r="AJ53" s="4">
        <v>45.85</v>
      </c>
      <c r="AK53" s="4">
        <v>163.59</v>
      </c>
      <c r="AL53" s="4">
        <v>97.5</v>
      </c>
      <c r="AM53">
        <v>641</v>
      </c>
      <c r="AN53">
        <v>195</v>
      </c>
      <c r="AO53">
        <v>426</v>
      </c>
      <c r="AP53">
        <v>20</v>
      </c>
      <c r="AQ53">
        <v>10.5</v>
      </c>
      <c r="AR53">
        <v>5.25</v>
      </c>
      <c r="AS53">
        <v>5.25</v>
      </c>
      <c r="AT53">
        <v>0</v>
      </c>
      <c r="AU53">
        <v>10</v>
      </c>
      <c r="AV53">
        <v>6.75</v>
      </c>
      <c r="AW53">
        <v>3.25</v>
      </c>
      <c r="AX53">
        <v>0</v>
      </c>
      <c r="AY53">
        <v>8935</v>
      </c>
    </row>
    <row r="54" spans="1:51">
      <c r="A54" t="s">
        <v>16943</v>
      </c>
      <c r="B54" t="s">
        <v>16944</v>
      </c>
      <c r="C54">
        <v>0</v>
      </c>
      <c r="D54">
        <v>0</v>
      </c>
      <c r="E54">
        <v>0</v>
      </c>
      <c r="F54">
        <v>0</v>
      </c>
      <c r="G54">
        <v>0</v>
      </c>
      <c r="H54">
        <v>0</v>
      </c>
      <c r="I54">
        <v>0</v>
      </c>
      <c r="J54">
        <v>0</v>
      </c>
      <c r="K54">
        <v>0</v>
      </c>
      <c r="L54">
        <v>0</v>
      </c>
      <c r="M54">
        <v>0</v>
      </c>
      <c r="N54">
        <v>0</v>
      </c>
      <c r="O54">
        <v>0</v>
      </c>
      <c r="P54">
        <v>0</v>
      </c>
      <c r="Q54">
        <v>0</v>
      </c>
      <c r="R54">
        <v>0</v>
      </c>
      <c r="S54">
        <v>0</v>
      </c>
      <c r="T54">
        <v>0</v>
      </c>
      <c r="U54">
        <v>0</v>
      </c>
      <c r="V54">
        <v>0</v>
      </c>
      <c r="W54" s="4">
        <v>0</v>
      </c>
      <c r="X54" s="4">
        <v>0</v>
      </c>
      <c r="Y54">
        <v>0</v>
      </c>
      <c r="Z54">
        <v>0</v>
      </c>
      <c r="AA54" s="4">
        <v>0</v>
      </c>
      <c r="AB54" s="4">
        <v>0</v>
      </c>
      <c r="AC54" s="4">
        <v>0</v>
      </c>
      <c r="AD54" s="4">
        <v>0</v>
      </c>
      <c r="AE54" s="4">
        <v>0</v>
      </c>
      <c r="AF54" s="4">
        <v>0</v>
      </c>
      <c r="AG54" s="4">
        <v>0</v>
      </c>
      <c r="AH54" s="4">
        <v>0</v>
      </c>
      <c r="AI54" s="4">
        <v>0</v>
      </c>
      <c r="AJ54" s="4">
        <v>0</v>
      </c>
      <c r="AK54" s="4">
        <v>0</v>
      </c>
      <c r="AL54" s="4">
        <v>0</v>
      </c>
      <c r="AM54">
        <v>0</v>
      </c>
      <c r="AN54">
        <v>0</v>
      </c>
      <c r="AO54">
        <v>0</v>
      </c>
      <c r="AP54">
        <v>0</v>
      </c>
      <c r="AQ54">
        <v>0</v>
      </c>
      <c r="AR54">
        <v>0</v>
      </c>
      <c r="AS54">
        <v>0</v>
      </c>
      <c r="AT54">
        <v>0</v>
      </c>
      <c r="AU54">
        <v>0</v>
      </c>
      <c r="AV54">
        <v>0</v>
      </c>
      <c r="AW54">
        <v>0</v>
      </c>
      <c r="AX54">
        <v>0</v>
      </c>
      <c r="AY54">
        <v>0</v>
      </c>
    </row>
    <row r="55" spans="1:51">
      <c r="A55" t="s">
        <v>17224</v>
      </c>
      <c r="B55" t="s">
        <v>17225</v>
      </c>
      <c r="C55">
        <v>0</v>
      </c>
      <c r="D55">
        <v>6</v>
      </c>
      <c r="E55">
        <v>6</v>
      </c>
      <c r="F55">
        <v>6</v>
      </c>
      <c r="G55">
        <v>2</v>
      </c>
      <c r="H55">
        <v>1</v>
      </c>
      <c r="I55">
        <v>1</v>
      </c>
      <c r="J55">
        <v>6</v>
      </c>
      <c r="K55">
        <v>23</v>
      </c>
      <c r="L55">
        <v>5</v>
      </c>
      <c r="M55">
        <v>0</v>
      </c>
      <c r="N55">
        <v>0</v>
      </c>
      <c r="O55">
        <v>0</v>
      </c>
      <c r="P55">
        <v>1</v>
      </c>
      <c r="Q55">
        <v>0</v>
      </c>
      <c r="R55">
        <v>0</v>
      </c>
      <c r="S55">
        <v>0.75</v>
      </c>
      <c r="T55">
        <v>0</v>
      </c>
      <c r="U55">
        <v>0</v>
      </c>
      <c r="V55">
        <v>0.75</v>
      </c>
      <c r="W55" s="4">
        <v>7.5</v>
      </c>
      <c r="X55" s="4">
        <v>0</v>
      </c>
      <c r="Y55">
        <v>2</v>
      </c>
      <c r="Z55">
        <v>0</v>
      </c>
      <c r="AA55" s="4">
        <v>0</v>
      </c>
      <c r="AB55" s="4">
        <v>0</v>
      </c>
      <c r="AC55" s="4">
        <v>0</v>
      </c>
      <c r="AD55" s="4">
        <v>0</v>
      </c>
      <c r="AE55" s="4">
        <v>0</v>
      </c>
      <c r="AF55" s="4">
        <v>0</v>
      </c>
      <c r="AG55" s="4">
        <v>7.5</v>
      </c>
      <c r="AH55" s="4">
        <v>7.5</v>
      </c>
      <c r="AI55" s="4">
        <v>0</v>
      </c>
      <c r="AJ55" s="4">
        <v>0</v>
      </c>
      <c r="AK55" s="4">
        <v>0</v>
      </c>
      <c r="AL55" s="4">
        <v>0</v>
      </c>
      <c r="AM55">
        <v>23</v>
      </c>
      <c r="AN55">
        <v>4</v>
      </c>
      <c r="AO55">
        <v>19</v>
      </c>
      <c r="AP55">
        <v>0</v>
      </c>
      <c r="AQ55">
        <v>0.75</v>
      </c>
      <c r="AR55">
        <v>0</v>
      </c>
      <c r="AS55">
        <v>0.75</v>
      </c>
      <c r="AT55">
        <v>0</v>
      </c>
      <c r="AU55">
        <v>0</v>
      </c>
      <c r="AV55">
        <v>0</v>
      </c>
      <c r="AW55">
        <v>0</v>
      </c>
      <c r="AX55">
        <v>0</v>
      </c>
      <c r="AY55">
        <v>150</v>
      </c>
    </row>
    <row r="56" spans="1:51">
      <c r="A56" t="s">
        <v>16945</v>
      </c>
      <c r="B56" t="s">
        <v>16946</v>
      </c>
      <c r="C56">
        <v>0</v>
      </c>
      <c r="D56">
        <v>0</v>
      </c>
      <c r="E56">
        <v>0</v>
      </c>
      <c r="F56">
        <v>0</v>
      </c>
      <c r="G56">
        <v>0</v>
      </c>
      <c r="H56">
        <v>0</v>
      </c>
      <c r="I56">
        <v>0</v>
      </c>
      <c r="J56">
        <v>0</v>
      </c>
      <c r="K56">
        <v>0</v>
      </c>
      <c r="L56">
        <v>0</v>
      </c>
      <c r="M56">
        <v>0</v>
      </c>
      <c r="N56">
        <v>0</v>
      </c>
      <c r="O56">
        <v>0</v>
      </c>
      <c r="P56">
        <v>0</v>
      </c>
      <c r="Q56">
        <v>0</v>
      </c>
      <c r="R56">
        <v>0</v>
      </c>
      <c r="S56">
        <v>0</v>
      </c>
      <c r="T56">
        <v>0</v>
      </c>
      <c r="U56">
        <v>0</v>
      </c>
      <c r="V56">
        <v>0</v>
      </c>
      <c r="W56" s="4">
        <v>0</v>
      </c>
      <c r="X56" s="4">
        <v>0</v>
      </c>
      <c r="Y56">
        <v>0</v>
      </c>
      <c r="Z56">
        <v>0</v>
      </c>
      <c r="AA56" s="4">
        <v>0</v>
      </c>
      <c r="AB56" s="4">
        <v>0</v>
      </c>
      <c r="AC56" s="4">
        <v>0</v>
      </c>
      <c r="AD56" s="4">
        <v>0</v>
      </c>
      <c r="AE56" s="4">
        <v>0</v>
      </c>
      <c r="AF56" s="4">
        <v>0</v>
      </c>
      <c r="AG56" s="4">
        <v>0</v>
      </c>
      <c r="AH56" s="4">
        <v>0</v>
      </c>
      <c r="AI56" s="4">
        <v>0</v>
      </c>
      <c r="AJ56" s="4">
        <v>0</v>
      </c>
      <c r="AK56" s="4">
        <v>0</v>
      </c>
      <c r="AL56" s="4">
        <v>0</v>
      </c>
      <c r="AM56">
        <v>0</v>
      </c>
      <c r="AN56">
        <v>0</v>
      </c>
      <c r="AO56">
        <v>0</v>
      </c>
      <c r="AP56">
        <v>0</v>
      </c>
      <c r="AQ56">
        <v>0</v>
      </c>
      <c r="AR56">
        <v>0</v>
      </c>
      <c r="AS56">
        <v>0</v>
      </c>
      <c r="AT56">
        <v>0</v>
      </c>
      <c r="AU56">
        <v>0</v>
      </c>
      <c r="AV56">
        <v>0</v>
      </c>
      <c r="AW56">
        <v>0</v>
      </c>
      <c r="AX56">
        <v>0</v>
      </c>
      <c r="AY56">
        <v>0</v>
      </c>
    </row>
    <row r="57" spans="1:51">
      <c r="A57" t="s">
        <v>16949</v>
      </c>
      <c r="B57" t="s">
        <v>16950</v>
      </c>
      <c r="C57">
        <v>0</v>
      </c>
      <c r="D57">
        <v>0</v>
      </c>
      <c r="E57">
        <v>0</v>
      </c>
      <c r="F57">
        <v>0</v>
      </c>
      <c r="G57">
        <v>0</v>
      </c>
      <c r="H57">
        <v>0</v>
      </c>
      <c r="I57">
        <v>0</v>
      </c>
      <c r="J57">
        <v>0</v>
      </c>
      <c r="K57">
        <v>0</v>
      </c>
      <c r="L57">
        <v>0</v>
      </c>
      <c r="M57">
        <v>0</v>
      </c>
      <c r="N57">
        <v>0</v>
      </c>
      <c r="O57">
        <v>0</v>
      </c>
      <c r="P57">
        <v>0</v>
      </c>
      <c r="Q57">
        <v>0</v>
      </c>
      <c r="R57">
        <v>0</v>
      </c>
      <c r="S57">
        <v>0</v>
      </c>
      <c r="T57">
        <v>0</v>
      </c>
      <c r="U57">
        <v>0</v>
      </c>
      <c r="V57">
        <v>0</v>
      </c>
      <c r="W57" s="4">
        <v>0</v>
      </c>
      <c r="X57" s="4">
        <v>0</v>
      </c>
      <c r="Y57">
        <v>0</v>
      </c>
      <c r="Z57">
        <v>0</v>
      </c>
      <c r="AA57" s="4">
        <v>0</v>
      </c>
      <c r="AB57" s="4">
        <v>0</v>
      </c>
      <c r="AC57" s="4">
        <v>0</v>
      </c>
      <c r="AD57" s="4">
        <v>0</v>
      </c>
      <c r="AE57" s="4">
        <v>0</v>
      </c>
      <c r="AF57" s="4">
        <v>0</v>
      </c>
      <c r="AG57" s="4">
        <v>0</v>
      </c>
      <c r="AH57" s="4">
        <v>0</v>
      </c>
      <c r="AI57" s="4">
        <v>0</v>
      </c>
      <c r="AJ57" s="4">
        <v>0</v>
      </c>
      <c r="AK57" s="4">
        <v>0</v>
      </c>
      <c r="AL57" s="4">
        <v>0</v>
      </c>
      <c r="AM57">
        <v>0</v>
      </c>
      <c r="AN57">
        <v>0</v>
      </c>
      <c r="AO57">
        <v>0</v>
      </c>
      <c r="AP57">
        <v>0</v>
      </c>
      <c r="AQ57">
        <v>0</v>
      </c>
      <c r="AR57">
        <v>0</v>
      </c>
      <c r="AS57">
        <v>0</v>
      </c>
      <c r="AT57">
        <v>0</v>
      </c>
      <c r="AU57">
        <v>0</v>
      </c>
      <c r="AV57">
        <v>0</v>
      </c>
      <c r="AW57">
        <v>0</v>
      </c>
      <c r="AX57">
        <v>0</v>
      </c>
      <c r="AY57">
        <v>0</v>
      </c>
    </row>
    <row r="58" spans="1:51">
      <c r="A58" t="s">
        <v>16951</v>
      </c>
      <c r="B58" t="s">
        <v>17398</v>
      </c>
      <c r="C58">
        <v>0</v>
      </c>
      <c r="D58">
        <v>0</v>
      </c>
      <c r="E58">
        <v>0</v>
      </c>
      <c r="F58">
        <v>0</v>
      </c>
      <c r="G58">
        <v>0</v>
      </c>
      <c r="H58">
        <v>0</v>
      </c>
      <c r="I58">
        <v>0</v>
      </c>
      <c r="J58">
        <v>0</v>
      </c>
      <c r="K58">
        <v>0</v>
      </c>
      <c r="L58">
        <v>0</v>
      </c>
      <c r="M58">
        <v>0</v>
      </c>
      <c r="N58">
        <v>0</v>
      </c>
      <c r="O58">
        <v>0</v>
      </c>
      <c r="P58">
        <v>0</v>
      </c>
      <c r="Q58">
        <v>0</v>
      </c>
      <c r="R58">
        <v>0</v>
      </c>
      <c r="S58">
        <v>0</v>
      </c>
      <c r="T58">
        <v>0</v>
      </c>
      <c r="U58">
        <v>0</v>
      </c>
      <c r="V58">
        <v>0</v>
      </c>
      <c r="W58" s="4">
        <v>0</v>
      </c>
      <c r="X58" s="4">
        <v>0</v>
      </c>
      <c r="Y58">
        <v>0</v>
      </c>
      <c r="Z58">
        <v>0</v>
      </c>
      <c r="AA58" s="4">
        <v>0</v>
      </c>
      <c r="AB58" s="4">
        <v>0</v>
      </c>
      <c r="AC58" s="4">
        <v>0</v>
      </c>
      <c r="AD58" s="4">
        <v>0</v>
      </c>
      <c r="AE58" s="4">
        <v>0</v>
      </c>
      <c r="AF58" s="4">
        <v>0</v>
      </c>
      <c r="AG58" s="4">
        <v>0</v>
      </c>
      <c r="AH58" s="4">
        <v>0</v>
      </c>
      <c r="AI58" s="4">
        <v>0</v>
      </c>
      <c r="AJ58" s="4">
        <v>0</v>
      </c>
      <c r="AK58" s="4">
        <v>0</v>
      </c>
      <c r="AL58" s="4">
        <v>0</v>
      </c>
      <c r="AM58">
        <v>0</v>
      </c>
      <c r="AN58">
        <v>0</v>
      </c>
      <c r="AO58">
        <v>0</v>
      </c>
      <c r="AP58">
        <v>0</v>
      </c>
      <c r="AQ58">
        <v>0</v>
      </c>
      <c r="AR58">
        <v>0</v>
      </c>
      <c r="AS58">
        <v>0</v>
      </c>
      <c r="AT58">
        <v>0</v>
      </c>
      <c r="AU58">
        <v>0</v>
      </c>
      <c r="AV58">
        <v>0</v>
      </c>
      <c r="AW58">
        <v>0</v>
      </c>
      <c r="AX58">
        <v>0</v>
      </c>
      <c r="AY58">
        <v>0</v>
      </c>
    </row>
    <row r="59" spans="1:51">
      <c r="A59" t="s">
        <v>16952</v>
      </c>
      <c r="B59" t="s">
        <v>16953</v>
      </c>
      <c r="C59">
        <v>0</v>
      </c>
      <c r="D59">
        <v>0</v>
      </c>
      <c r="E59">
        <v>0</v>
      </c>
      <c r="F59">
        <v>0</v>
      </c>
      <c r="G59">
        <v>0</v>
      </c>
      <c r="H59">
        <v>0</v>
      </c>
      <c r="I59">
        <v>0</v>
      </c>
      <c r="J59">
        <v>0</v>
      </c>
      <c r="K59">
        <v>0</v>
      </c>
      <c r="L59">
        <v>0</v>
      </c>
      <c r="M59">
        <v>0</v>
      </c>
      <c r="N59">
        <v>0</v>
      </c>
      <c r="O59">
        <v>0</v>
      </c>
      <c r="P59">
        <v>0</v>
      </c>
      <c r="Q59">
        <v>0</v>
      </c>
      <c r="R59">
        <v>0</v>
      </c>
      <c r="S59">
        <v>0</v>
      </c>
      <c r="T59">
        <v>0</v>
      </c>
      <c r="U59">
        <v>0</v>
      </c>
      <c r="V59">
        <v>0</v>
      </c>
      <c r="W59" s="4">
        <v>0</v>
      </c>
      <c r="X59" s="4">
        <v>0</v>
      </c>
      <c r="Y59">
        <v>0</v>
      </c>
      <c r="Z59">
        <v>0</v>
      </c>
      <c r="AA59" s="4">
        <v>0</v>
      </c>
      <c r="AB59" s="4">
        <v>0</v>
      </c>
      <c r="AC59" s="4">
        <v>0</v>
      </c>
      <c r="AD59" s="4">
        <v>0</v>
      </c>
      <c r="AE59" s="4">
        <v>0</v>
      </c>
      <c r="AF59" s="4">
        <v>0</v>
      </c>
      <c r="AG59" s="4">
        <v>0</v>
      </c>
      <c r="AH59" s="4">
        <v>0</v>
      </c>
      <c r="AI59" s="4">
        <v>0</v>
      </c>
      <c r="AJ59" s="4">
        <v>0</v>
      </c>
      <c r="AK59" s="4">
        <v>0</v>
      </c>
      <c r="AL59" s="4">
        <v>0</v>
      </c>
      <c r="AM59">
        <v>0</v>
      </c>
      <c r="AN59">
        <v>0</v>
      </c>
      <c r="AO59">
        <v>0</v>
      </c>
      <c r="AP59">
        <v>0</v>
      </c>
      <c r="AQ59">
        <v>0</v>
      </c>
      <c r="AR59">
        <v>0</v>
      </c>
      <c r="AS59">
        <v>0</v>
      </c>
      <c r="AT59">
        <v>0</v>
      </c>
      <c r="AU59">
        <v>0</v>
      </c>
      <c r="AV59">
        <v>0</v>
      </c>
      <c r="AW59">
        <v>0</v>
      </c>
      <c r="AX59">
        <v>0</v>
      </c>
      <c r="AY59">
        <v>0</v>
      </c>
    </row>
    <row r="60" spans="1:51">
      <c r="A60" t="s">
        <v>16954</v>
      </c>
      <c r="B60" t="s">
        <v>16955</v>
      </c>
      <c r="C60">
        <v>0</v>
      </c>
      <c r="D60">
        <v>12</v>
      </c>
      <c r="E60">
        <v>12</v>
      </c>
      <c r="F60">
        <v>12</v>
      </c>
      <c r="G60">
        <v>0</v>
      </c>
      <c r="H60">
        <v>2</v>
      </c>
      <c r="I60">
        <v>0</v>
      </c>
      <c r="J60">
        <v>12</v>
      </c>
      <c r="K60">
        <v>32</v>
      </c>
      <c r="L60">
        <v>9</v>
      </c>
      <c r="M60">
        <v>0</v>
      </c>
      <c r="N60">
        <v>1</v>
      </c>
      <c r="O60">
        <v>2</v>
      </c>
      <c r="P60">
        <v>0</v>
      </c>
      <c r="Q60">
        <v>0</v>
      </c>
      <c r="R60">
        <v>0</v>
      </c>
      <c r="S60">
        <v>74.25</v>
      </c>
      <c r="T60">
        <v>36</v>
      </c>
      <c r="U60">
        <v>0</v>
      </c>
      <c r="V60">
        <v>110.25</v>
      </c>
      <c r="W60" s="4">
        <v>1462.5</v>
      </c>
      <c r="X60" s="4">
        <v>0</v>
      </c>
      <c r="Y60">
        <v>11</v>
      </c>
      <c r="Z60">
        <v>1</v>
      </c>
      <c r="AA60" s="4">
        <v>0</v>
      </c>
      <c r="AB60" s="4">
        <v>1322.5</v>
      </c>
      <c r="AC60" s="4">
        <v>8.75</v>
      </c>
      <c r="AD60" s="4">
        <v>8.75</v>
      </c>
      <c r="AE60" s="4">
        <v>1328.75</v>
      </c>
      <c r="AF60" s="4">
        <v>1331.25</v>
      </c>
      <c r="AG60" s="4">
        <v>1471.25</v>
      </c>
      <c r="AH60" s="4">
        <v>142.5</v>
      </c>
      <c r="AI60" s="4">
        <v>1230</v>
      </c>
      <c r="AJ60" s="4">
        <v>1232.5</v>
      </c>
      <c r="AK60" s="4">
        <v>1322.5</v>
      </c>
      <c r="AL60" s="4">
        <v>92.5</v>
      </c>
      <c r="AM60">
        <v>32</v>
      </c>
      <c r="AN60">
        <v>20</v>
      </c>
      <c r="AO60">
        <v>12</v>
      </c>
      <c r="AP60">
        <v>0</v>
      </c>
      <c r="AQ60">
        <v>74.25</v>
      </c>
      <c r="AR60">
        <v>72.25</v>
      </c>
      <c r="AS60">
        <v>2</v>
      </c>
      <c r="AT60">
        <v>0</v>
      </c>
      <c r="AU60">
        <v>36</v>
      </c>
      <c r="AV60">
        <v>30</v>
      </c>
      <c r="AW60">
        <v>6</v>
      </c>
      <c r="AX60">
        <v>0</v>
      </c>
      <c r="AY60">
        <v>0</v>
      </c>
    </row>
    <row r="61" spans="1:51">
      <c r="A61" t="s">
        <v>16956</v>
      </c>
      <c r="B61" t="s">
        <v>16957</v>
      </c>
      <c r="C61">
        <v>0</v>
      </c>
      <c r="D61">
        <v>0</v>
      </c>
      <c r="E61">
        <v>0</v>
      </c>
      <c r="F61">
        <v>0</v>
      </c>
      <c r="G61">
        <v>0</v>
      </c>
      <c r="H61">
        <v>0</v>
      </c>
      <c r="I61">
        <v>0</v>
      </c>
      <c r="J61">
        <v>0</v>
      </c>
      <c r="K61">
        <v>0</v>
      </c>
      <c r="L61">
        <v>0</v>
      </c>
      <c r="M61">
        <v>0</v>
      </c>
      <c r="N61">
        <v>0</v>
      </c>
      <c r="O61">
        <v>0</v>
      </c>
      <c r="P61">
        <v>0</v>
      </c>
      <c r="Q61">
        <v>0</v>
      </c>
      <c r="R61">
        <v>0</v>
      </c>
      <c r="S61">
        <v>0</v>
      </c>
      <c r="T61">
        <v>0</v>
      </c>
      <c r="U61">
        <v>0</v>
      </c>
      <c r="V61">
        <v>0</v>
      </c>
      <c r="W61" s="4">
        <v>0</v>
      </c>
      <c r="X61" s="4">
        <v>0</v>
      </c>
      <c r="Y61">
        <v>0</v>
      </c>
      <c r="Z61">
        <v>0</v>
      </c>
      <c r="AA61" s="4">
        <v>0</v>
      </c>
      <c r="AB61" s="4">
        <v>0</v>
      </c>
      <c r="AC61" s="4">
        <v>0</v>
      </c>
      <c r="AD61" s="4">
        <v>0</v>
      </c>
      <c r="AE61" s="4">
        <v>0</v>
      </c>
      <c r="AF61" s="4">
        <v>0</v>
      </c>
      <c r="AG61" s="4">
        <v>0</v>
      </c>
      <c r="AH61" s="4">
        <v>0</v>
      </c>
      <c r="AI61" s="4">
        <v>0</v>
      </c>
      <c r="AJ61" s="4">
        <v>0</v>
      </c>
      <c r="AK61" s="4">
        <v>0</v>
      </c>
      <c r="AL61" s="4">
        <v>0</v>
      </c>
      <c r="AM61">
        <v>0</v>
      </c>
      <c r="AN61">
        <v>0</v>
      </c>
      <c r="AO61">
        <v>0</v>
      </c>
      <c r="AP61">
        <v>0</v>
      </c>
      <c r="AQ61">
        <v>0</v>
      </c>
      <c r="AR61">
        <v>0</v>
      </c>
      <c r="AS61">
        <v>0</v>
      </c>
      <c r="AT61">
        <v>0</v>
      </c>
      <c r="AU61">
        <v>0</v>
      </c>
      <c r="AV61">
        <v>0</v>
      </c>
      <c r="AW61">
        <v>0</v>
      </c>
      <c r="AX61">
        <v>0</v>
      </c>
      <c r="AY61">
        <v>0</v>
      </c>
    </row>
    <row r="62" spans="1:51">
      <c r="A62" t="s">
        <v>16960</v>
      </c>
      <c r="B62" t="s">
        <v>16960</v>
      </c>
      <c r="C62">
        <v>0</v>
      </c>
      <c r="D62">
        <v>5</v>
      </c>
      <c r="E62">
        <v>0</v>
      </c>
      <c r="F62">
        <v>5</v>
      </c>
      <c r="G62">
        <v>0</v>
      </c>
      <c r="H62">
        <v>0</v>
      </c>
      <c r="I62">
        <v>0</v>
      </c>
      <c r="J62">
        <v>5</v>
      </c>
      <c r="K62">
        <v>26</v>
      </c>
      <c r="L62">
        <v>4</v>
      </c>
      <c r="M62">
        <v>0</v>
      </c>
      <c r="N62">
        <v>0</v>
      </c>
      <c r="O62">
        <v>1</v>
      </c>
      <c r="P62">
        <v>0</v>
      </c>
      <c r="Q62">
        <v>0</v>
      </c>
      <c r="R62">
        <v>0</v>
      </c>
      <c r="S62">
        <v>1.5</v>
      </c>
      <c r="T62">
        <v>0</v>
      </c>
      <c r="U62">
        <v>0</v>
      </c>
      <c r="V62">
        <v>1.5</v>
      </c>
      <c r="W62" s="4">
        <v>15</v>
      </c>
      <c r="X62" s="4">
        <v>0</v>
      </c>
      <c r="Y62">
        <v>3</v>
      </c>
      <c r="Z62">
        <v>0</v>
      </c>
      <c r="AA62" s="4">
        <v>0</v>
      </c>
      <c r="AB62" s="4">
        <v>0</v>
      </c>
      <c r="AC62" s="4">
        <v>9.5</v>
      </c>
      <c r="AD62" s="4">
        <v>9.5</v>
      </c>
      <c r="AE62" s="4">
        <v>6</v>
      </c>
      <c r="AF62" s="4">
        <v>9.5</v>
      </c>
      <c r="AG62" s="4">
        <v>24.5</v>
      </c>
      <c r="AH62" s="4">
        <v>18.5</v>
      </c>
      <c r="AI62" s="4">
        <v>0</v>
      </c>
      <c r="AJ62" s="4">
        <v>0</v>
      </c>
      <c r="AK62" s="4">
        <v>0</v>
      </c>
      <c r="AL62" s="4">
        <v>0</v>
      </c>
      <c r="AM62">
        <v>26</v>
      </c>
      <c r="AN62">
        <v>0</v>
      </c>
      <c r="AO62">
        <v>26</v>
      </c>
      <c r="AP62">
        <v>0</v>
      </c>
      <c r="AQ62">
        <v>1.5</v>
      </c>
      <c r="AR62">
        <v>0</v>
      </c>
      <c r="AS62">
        <v>1.5</v>
      </c>
      <c r="AT62">
        <v>0</v>
      </c>
      <c r="AU62">
        <v>0</v>
      </c>
      <c r="AV62">
        <v>0</v>
      </c>
      <c r="AW62">
        <v>0</v>
      </c>
      <c r="AX62">
        <v>0</v>
      </c>
    </row>
    <row r="63" spans="1:51">
      <c r="A63" t="s">
        <v>16961</v>
      </c>
      <c r="B63" t="s">
        <v>16962</v>
      </c>
      <c r="C63">
        <v>0</v>
      </c>
      <c r="D63">
        <v>0</v>
      </c>
      <c r="E63">
        <v>0</v>
      </c>
      <c r="F63">
        <v>0</v>
      </c>
      <c r="G63">
        <v>0</v>
      </c>
      <c r="H63">
        <v>0</v>
      </c>
      <c r="I63">
        <v>0</v>
      </c>
      <c r="J63">
        <v>0</v>
      </c>
      <c r="K63">
        <v>0</v>
      </c>
      <c r="L63">
        <v>0</v>
      </c>
      <c r="M63">
        <v>0</v>
      </c>
      <c r="N63">
        <v>0</v>
      </c>
      <c r="O63">
        <v>0</v>
      </c>
      <c r="P63">
        <v>0</v>
      </c>
      <c r="Q63">
        <v>0</v>
      </c>
      <c r="R63">
        <v>0</v>
      </c>
      <c r="S63">
        <v>0</v>
      </c>
      <c r="T63">
        <v>0</v>
      </c>
      <c r="U63">
        <v>0</v>
      </c>
      <c r="V63">
        <v>0</v>
      </c>
      <c r="W63" s="4">
        <v>0</v>
      </c>
      <c r="X63" s="4">
        <v>0</v>
      </c>
      <c r="Y63">
        <v>0</v>
      </c>
      <c r="Z63">
        <v>0</v>
      </c>
      <c r="AA63" s="4">
        <v>0</v>
      </c>
      <c r="AB63" s="4">
        <v>0</v>
      </c>
      <c r="AC63" s="4">
        <v>0</v>
      </c>
      <c r="AD63" s="4">
        <v>0</v>
      </c>
      <c r="AE63" s="4">
        <v>0</v>
      </c>
      <c r="AF63" s="4">
        <v>0</v>
      </c>
      <c r="AG63" s="4">
        <v>0</v>
      </c>
      <c r="AH63" s="4">
        <v>0</v>
      </c>
      <c r="AI63" s="4">
        <v>0</v>
      </c>
      <c r="AJ63" s="4">
        <v>0</v>
      </c>
      <c r="AK63" s="4">
        <v>0</v>
      </c>
      <c r="AL63" s="4">
        <v>0</v>
      </c>
      <c r="AM63">
        <v>0</v>
      </c>
      <c r="AN63">
        <v>0</v>
      </c>
      <c r="AO63">
        <v>0</v>
      </c>
      <c r="AP63">
        <v>0</v>
      </c>
      <c r="AQ63">
        <v>0</v>
      </c>
      <c r="AR63">
        <v>0</v>
      </c>
      <c r="AS63">
        <v>0</v>
      </c>
      <c r="AT63">
        <v>0</v>
      </c>
      <c r="AU63">
        <v>0</v>
      </c>
      <c r="AV63">
        <v>0</v>
      </c>
      <c r="AW63">
        <v>0</v>
      </c>
      <c r="AX63">
        <v>0</v>
      </c>
      <c r="AY63">
        <v>0</v>
      </c>
    </row>
    <row r="64" spans="1:51">
      <c r="A64" t="s">
        <v>17395</v>
      </c>
      <c r="B64" t="s">
        <v>17396</v>
      </c>
      <c r="C64">
        <v>0</v>
      </c>
      <c r="D64">
        <v>2</v>
      </c>
      <c r="E64">
        <v>2</v>
      </c>
      <c r="F64">
        <v>2</v>
      </c>
      <c r="G64">
        <v>0</v>
      </c>
      <c r="H64">
        <v>0</v>
      </c>
      <c r="I64">
        <v>0</v>
      </c>
      <c r="J64">
        <v>2</v>
      </c>
      <c r="K64">
        <v>2</v>
      </c>
      <c r="L64">
        <v>2</v>
      </c>
      <c r="M64">
        <v>0</v>
      </c>
      <c r="N64">
        <v>0</v>
      </c>
      <c r="O64">
        <v>0</v>
      </c>
      <c r="P64">
        <v>0</v>
      </c>
      <c r="Q64">
        <v>0</v>
      </c>
      <c r="R64">
        <v>0</v>
      </c>
      <c r="S64">
        <v>2</v>
      </c>
      <c r="T64">
        <v>0</v>
      </c>
      <c r="U64">
        <v>0</v>
      </c>
      <c r="V64">
        <v>2</v>
      </c>
      <c r="W64" s="4">
        <v>20</v>
      </c>
      <c r="X64" s="4">
        <v>0</v>
      </c>
      <c r="Y64">
        <v>2</v>
      </c>
      <c r="Z64">
        <v>0</v>
      </c>
      <c r="AA64" s="4">
        <v>0</v>
      </c>
      <c r="AB64" s="4">
        <v>0</v>
      </c>
      <c r="AC64" s="4">
        <v>0</v>
      </c>
      <c r="AD64" s="4">
        <v>0</v>
      </c>
      <c r="AE64" s="4">
        <v>0</v>
      </c>
      <c r="AF64" s="4">
        <v>0</v>
      </c>
      <c r="AG64" s="4">
        <v>20</v>
      </c>
      <c r="AH64" s="4">
        <v>20</v>
      </c>
      <c r="AI64" s="4">
        <v>0</v>
      </c>
      <c r="AJ64" s="4">
        <v>0</v>
      </c>
      <c r="AK64" s="4">
        <v>0</v>
      </c>
      <c r="AL64" s="4">
        <v>0</v>
      </c>
      <c r="AM64">
        <v>2</v>
      </c>
      <c r="AN64">
        <v>0</v>
      </c>
      <c r="AO64">
        <v>2</v>
      </c>
      <c r="AP64">
        <v>0</v>
      </c>
      <c r="AQ64">
        <v>1</v>
      </c>
      <c r="AR64">
        <v>0</v>
      </c>
      <c r="AS64">
        <v>1</v>
      </c>
      <c r="AT64">
        <v>0</v>
      </c>
      <c r="AU64">
        <v>0</v>
      </c>
      <c r="AV64">
        <v>0</v>
      </c>
      <c r="AW64">
        <v>0</v>
      </c>
      <c r="AX64">
        <v>0</v>
      </c>
      <c r="AY64">
        <v>0</v>
      </c>
    </row>
    <row r="65" spans="1:51">
      <c r="A65" t="s">
        <v>16963</v>
      </c>
      <c r="B65" t="s">
        <v>16964</v>
      </c>
      <c r="C65">
        <v>0</v>
      </c>
      <c r="D65">
        <v>2</v>
      </c>
      <c r="E65">
        <v>2</v>
      </c>
      <c r="F65">
        <v>2</v>
      </c>
      <c r="G65">
        <v>0</v>
      </c>
      <c r="H65">
        <v>0</v>
      </c>
      <c r="I65">
        <v>0</v>
      </c>
      <c r="J65">
        <v>2</v>
      </c>
      <c r="K65">
        <v>2</v>
      </c>
      <c r="L65">
        <v>2</v>
      </c>
      <c r="M65">
        <v>0</v>
      </c>
      <c r="N65">
        <v>0</v>
      </c>
      <c r="O65">
        <v>0</v>
      </c>
      <c r="P65">
        <v>0</v>
      </c>
      <c r="Q65">
        <v>0</v>
      </c>
      <c r="R65">
        <v>0</v>
      </c>
      <c r="S65">
        <v>0.5</v>
      </c>
      <c r="T65">
        <v>0.5</v>
      </c>
      <c r="U65">
        <v>0</v>
      </c>
      <c r="V65">
        <v>1</v>
      </c>
      <c r="W65" s="4">
        <v>15</v>
      </c>
      <c r="X65" s="4">
        <v>0</v>
      </c>
      <c r="Y65">
        <v>2</v>
      </c>
      <c r="Z65">
        <v>0</v>
      </c>
      <c r="AA65" s="4">
        <v>0</v>
      </c>
      <c r="AB65" s="4">
        <v>0</v>
      </c>
      <c r="AC65" s="4">
        <v>0</v>
      </c>
      <c r="AD65" s="4">
        <v>0</v>
      </c>
      <c r="AE65" s="4">
        <v>0</v>
      </c>
      <c r="AF65" s="4">
        <v>0</v>
      </c>
      <c r="AG65" s="4">
        <v>15</v>
      </c>
      <c r="AH65" s="4">
        <v>15</v>
      </c>
      <c r="AI65" s="4">
        <v>0</v>
      </c>
      <c r="AJ65" s="4">
        <v>0</v>
      </c>
      <c r="AK65" s="4">
        <v>0</v>
      </c>
      <c r="AL65" s="4">
        <v>0</v>
      </c>
      <c r="AM65">
        <v>2</v>
      </c>
      <c r="AN65">
        <v>0</v>
      </c>
      <c r="AO65">
        <v>2</v>
      </c>
      <c r="AP65">
        <v>0</v>
      </c>
      <c r="AQ65">
        <v>0.5</v>
      </c>
      <c r="AR65">
        <v>0</v>
      </c>
      <c r="AS65">
        <v>0.5</v>
      </c>
      <c r="AT65">
        <v>0</v>
      </c>
      <c r="AU65">
        <v>0.5</v>
      </c>
      <c r="AV65">
        <v>0</v>
      </c>
      <c r="AW65">
        <v>0.5</v>
      </c>
      <c r="AX65">
        <v>0</v>
      </c>
      <c r="AY65">
        <v>0</v>
      </c>
    </row>
    <row r="66" spans="1:51">
      <c r="A66" t="s">
        <v>16965</v>
      </c>
      <c r="B66" t="s">
        <v>16966</v>
      </c>
      <c r="C66">
        <v>0</v>
      </c>
      <c r="D66">
        <v>0</v>
      </c>
      <c r="E66">
        <v>0</v>
      </c>
      <c r="F66">
        <v>0</v>
      </c>
      <c r="G66">
        <v>0</v>
      </c>
      <c r="H66">
        <v>0</v>
      </c>
      <c r="I66">
        <v>0</v>
      </c>
      <c r="J66">
        <v>0</v>
      </c>
      <c r="K66">
        <v>0</v>
      </c>
      <c r="L66">
        <v>0</v>
      </c>
      <c r="M66">
        <v>0</v>
      </c>
      <c r="N66">
        <v>0</v>
      </c>
      <c r="O66">
        <v>0</v>
      </c>
      <c r="P66">
        <v>0</v>
      </c>
      <c r="Q66">
        <v>0</v>
      </c>
      <c r="R66">
        <v>0</v>
      </c>
      <c r="S66">
        <v>0</v>
      </c>
      <c r="T66">
        <v>0</v>
      </c>
      <c r="U66">
        <v>0</v>
      </c>
      <c r="V66">
        <v>0</v>
      </c>
      <c r="W66" s="4">
        <v>0</v>
      </c>
      <c r="X66" s="4">
        <v>0</v>
      </c>
      <c r="Y66">
        <v>0</v>
      </c>
      <c r="Z66">
        <v>0</v>
      </c>
      <c r="AA66" s="4">
        <v>0</v>
      </c>
      <c r="AB66" s="4">
        <v>0</v>
      </c>
      <c r="AC66" s="4">
        <v>0</v>
      </c>
      <c r="AD66" s="4">
        <v>0</v>
      </c>
      <c r="AE66" s="4">
        <v>0</v>
      </c>
      <c r="AF66" s="4">
        <v>0</v>
      </c>
      <c r="AG66" s="4">
        <v>0</v>
      </c>
      <c r="AH66" s="4">
        <v>0</v>
      </c>
      <c r="AI66" s="4">
        <v>0</v>
      </c>
      <c r="AJ66" s="4">
        <v>0</v>
      </c>
      <c r="AK66" s="4">
        <v>0</v>
      </c>
      <c r="AL66" s="4">
        <v>0</v>
      </c>
      <c r="AM66">
        <v>0</v>
      </c>
      <c r="AN66">
        <v>0</v>
      </c>
      <c r="AO66">
        <v>0</v>
      </c>
      <c r="AP66">
        <v>0</v>
      </c>
      <c r="AQ66">
        <v>0</v>
      </c>
      <c r="AR66">
        <v>0</v>
      </c>
      <c r="AS66">
        <v>0</v>
      </c>
      <c r="AT66">
        <v>0</v>
      </c>
      <c r="AU66">
        <v>0</v>
      </c>
      <c r="AV66">
        <v>0</v>
      </c>
      <c r="AW66">
        <v>0</v>
      </c>
      <c r="AX66">
        <v>0</v>
      </c>
      <c r="AY66">
        <v>0</v>
      </c>
    </row>
    <row r="67" spans="1:51">
      <c r="A67" t="s">
        <v>17226</v>
      </c>
      <c r="B67" t="s">
        <v>17227</v>
      </c>
      <c r="C67">
        <v>0</v>
      </c>
      <c r="D67">
        <v>2</v>
      </c>
      <c r="E67">
        <v>0</v>
      </c>
      <c r="F67">
        <v>0</v>
      </c>
      <c r="G67">
        <v>0</v>
      </c>
      <c r="H67">
        <v>0</v>
      </c>
      <c r="I67">
        <v>0</v>
      </c>
      <c r="J67">
        <v>2</v>
      </c>
      <c r="K67">
        <v>50</v>
      </c>
      <c r="L67">
        <v>2</v>
      </c>
      <c r="M67">
        <v>0</v>
      </c>
      <c r="N67">
        <v>0</v>
      </c>
      <c r="O67">
        <v>0</v>
      </c>
      <c r="P67">
        <v>0</v>
      </c>
      <c r="Q67">
        <v>0</v>
      </c>
      <c r="R67">
        <v>0</v>
      </c>
      <c r="S67">
        <v>7</v>
      </c>
      <c r="T67">
        <v>6</v>
      </c>
      <c r="U67">
        <v>0</v>
      </c>
      <c r="V67">
        <v>13</v>
      </c>
      <c r="W67" s="4">
        <v>190</v>
      </c>
      <c r="X67" s="4">
        <v>0</v>
      </c>
      <c r="Y67">
        <v>0</v>
      </c>
      <c r="Z67">
        <v>0</v>
      </c>
      <c r="AA67" s="4">
        <v>0</v>
      </c>
      <c r="AB67" s="4">
        <v>190</v>
      </c>
      <c r="AC67" s="4">
        <v>0</v>
      </c>
      <c r="AD67" s="4">
        <v>0</v>
      </c>
      <c r="AE67" s="4">
        <v>0</v>
      </c>
      <c r="AF67" s="4">
        <v>190</v>
      </c>
      <c r="AG67" s="4">
        <v>190</v>
      </c>
      <c r="AH67" s="4">
        <v>190</v>
      </c>
      <c r="AI67" s="4">
        <v>0</v>
      </c>
      <c r="AJ67" s="4">
        <v>0</v>
      </c>
      <c r="AK67" s="4">
        <v>0</v>
      </c>
      <c r="AL67" s="4">
        <v>0</v>
      </c>
      <c r="AM67">
        <v>50</v>
      </c>
      <c r="AN67">
        <v>0</v>
      </c>
      <c r="AO67">
        <v>50</v>
      </c>
      <c r="AP67">
        <v>0</v>
      </c>
      <c r="AQ67">
        <v>7</v>
      </c>
      <c r="AR67">
        <v>0</v>
      </c>
      <c r="AS67">
        <v>7</v>
      </c>
      <c r="AT67">
        <v>0</v>
      </c>
      <c r="AU67">
        <v>6</v>
      </c>
      <c r="AV67">
        <v>0</v>
      </c>
      <c r="AW67">
        <v>6</v>
      </c>
      <c r="AX67">
        <v>0</v>
      </c>
    </row>
    <row r="68" spans="1:51">
      <c r="A68" t="s">
        <v>17373</v>
      </c>
      <c r="B68" t="s">
        <v>17374</v>
      </c>
      <c r="C68">
        <v>0</v>
      </c>
      <c r="D68">
        <v>25</v>
      </c>
      <c r="E68">
        <v>17</v>
      </c>
      <c r="F68">
        <v>16</v>
      </c>
      <c r="G68">
        <v>0</v>
      </c>
      <c r="H68">
        <v>3</v>
      </c>
      <c r="I68">
        <v>0</v>
      </c>
      <c r="J68">
        <v>21</v>
      </c>
      <c r="K68">
        <v>221</v>
      </c>
      <c r="L68">
        <v>10</v>
      </c>
      <c r="M68">
        <v>0</v>
      </c>
      <c r="N68">
        <v>1</v>
      </c>
      <c r="O68">
        <v>8</v>
      </c>
      <c r="P68">
        <v>2</v>
      </c>
      <c r="Q68">
        <v>1</v>
      </c>
      <c r="R68">
        <v>0</v>
      </c>
      <c r="S68">
        <v>4.25</v>
      </c>
      <c r="T68">
        <v>5.25</v>
      </c>
      <c r="U68">
        <v>0.5</v>
      </c>
      <c r="V68">
        <v>10</v>
      </c>
      <c r="W68" s="4">
        <v>147.5</v>
      </c>
      <c r="X68" s="4">
        <v>0</v>
      </c>
      <c r="Y68">
        <v>16</v>
      </c>
      <c r="Z68">
        <v>0</v>
      </c>
      <c r="AA68" s="4">
        <v>0</v>
      </c>
      <c r="AB68" s="4">
        <v>0</v>
      </c>
      <c r="AC68" s="4">
        <v>218.35</v>
      </c>
      <c r="AD68" s="4">
        <v>208.85</v>
      </c>
      <c r="AE68" s="4">
        <v>204.35</v>
      </c>
      <c r="AF68" s="4">
        <v>208.85</v>
      </c>
      <c r="AG68" s="4">
        <v>375.85</v>
      </c>
      <c r="AH68" s="4">
        <v>171.5</v>
      </c>
      <c r="AI68" s="4">
        <v>0</v>
      </c>
      <c r="AJ68" s="4">
        <v>0</v>
      </c>
      <c r="AK68" s="4">
        <v>22.5</v>
      </c>
      <c r="AL68" s="4">
        <v>22.5</v>
      </c>
      <c r="AM68">
        <v>221</v>
      </c>
      <c r="AN68">
        <v>52</v>
      </c>
      <c r="AO68">
        <v>169</v>
      </c>
      <c r="AP68">
        <v>0</v>
      </c>
      <c r="AQ68">
        <v>4.25</v>
      </c>
      <c r="AR68">
        <v>0.75</v>
      </c>
      <c r="AS68">
        <v>3.5</v>
      </c>
      <c r="AT68">
        <v>0</v>
      </c>
      <c r="AU68">
        <v>5.25</v>
      </c>
      <c r="AV68">
        <v>0.75</v>
      </c>
      <c r="AW68">
        <v>4.5</v>
      </c>
      <c r="AX68">
        <v>0</v>
      </c>
      <c r="AY68">
        <v>0</v>
      </c>
    </row>
    <row r="69" spans="1:51">
      <c r="A69" t="s">
        <v>17376</v>
      </c>
      <c r="B69" t="s">
        <v>17377</v>
      </c>
      <c r="C69">
        <v>66</v>
      </c>
      <c r="D69">
        <v>114</v>
      </c>
      <c r="E69">
        <v>112</v>
      </c>
      <c r="F69">
        <v>107</v>
      </c>
      <c r="G69">
        <v>0</v>
      </c>
      <c r="H69">
        <v>0</v>
      </c>
      <c r="I69">
        <v>0</v>
      </c>
      <c r="J69">
        <v>114</v>
      </c>
      <c r="K69">
        <v>560</v>
      </c>
      <c r="L69">
        <v>2</v>
      </c>
      <c r="M69">
        <v>0</v>
      </c>
      <c r="N69">
        <v>86</v>
      </c>
      <c r="O69">
        <v>26</v>
      </c>
      <c r="P69">
        <v>0</v>
      </c>
      <c r="Q69">
        <v>0</v>
      </c>
      <c r="R69">
        <v>0</v>
      </c>
      <c r="S69">
        <v>218.75</v>
      </c>
      <c r="T69">
        <v>200</v>
      </c>
      <c r="U69">
        <v>0.25</v>
      </c>
      <c r="V69">
        <v>419</v>
      </c>
      <c r="W69" s="4">
        <v>6187.5</v>
      </c>
      <c r="X69" s="4">
        <v>0</v>
      </c>
      <c r="Y69">
        <v>40</v>
      </c>
      <c r="Z69">
        <v>0</v>
      </c>
      <c r="AA69" s="4">
        <v>-372.5</v>
      </c>
      <c r="AB69" s="4">
        <v>15</v>
      </c>
      <c r="AC69" s="4">
        <v>649.75</v>
      </c>
      <c r="AD69" s="4">
        <v>673.15</v>
      </c>
      <c r="AE69" s="4">
        <v>593.65</v>
      </c>
      <c r="AF69" s="4">
        <v>688.15</v>
      </c>
      <c r="AG69" s="4">
        <v>989.75</v>
      </c>
      <c r="AH69" s="4">
        <v>513.5</v>
      </c>
      <c r="AI69" s="4">
        <v>0</v>
      </c>
      <c r="AJ69" s="4">
        <v>0</v>
      </c>
      <c r="AK69" s="4">
        <v>0</v>
      </c>
      <c r="AL69" s="4">
        <v>0</v>
      </c>
      <c r="AM69">
        <v>560</v>
      </c>
      <c r="AN69">
        <v>0</v>
      </c>
      <c r="AO69">
        <v>316</v>
      </c>
      <c r="AP69">
        <v>244</v>
      </c>
      <c r="AQ69">
        <v>22.5</v>
      </c>
      <c r="AR69">
        <v>0</v>
      </c>
      <c r="AS69">
        <v>10</v>
      </c>
      <c r="AT69">
        <v>12.5</v>
      </c>
      <c r="AU69">
        <v>24.5</v>
      </c>
      <c r="AV69">
        <v>0</v>
      </c>
      <c r="AW69">
        <v>11.75</v>
      </c>
      <c r="AX69">
        <v>12.75</v>
      </c>
      <c r="AY69">
        <v>1037</v>
      </c>
    </row>
    <row r="70" spans="1:51">
      <c r="A70" t="s">
        <v>16967</v>
      </c>
      <c r="B70" t="s">
        <v>16968</v>
      </c>
      <c r="C70">
        <v>0</v>
      </c>
      <c r="D70">
        <v>0</v>
      </c>
      <c r="E70">
        <v>0</v>
      </c>
      <c r="F70">
        <v>0</v>
      </c>
      <c r="G70">
        <v>0</v>
      </c>
      <c r="H70">
        <v>0</v>
      </c>
      <c r="I70">
        <v>0</v>
      </c>
      <c r="J70">
        <v>0</v>
      </c>
      <c r="K70">
        <v>0</v>
      </c>
      <c r="L70">
        <v>0</v>
      </c>
      <c r="M70">
        <v>0</v>
      </c>
      <c r="N70">
        <v>0</v>
      </c>
      <c r="O70">
        <v>0</v>
      </c>
      <c r="P70">
        <v>0</v>
      </c>
      <c r="Q70">
        <v>0</v>
      </c>
      <c r="R70">
        <v>0</v>
      </c>
      <c r="S70">
        <v>0</v>
      </c>
      <c r="T70">
        <v>0</v>
      </c>
      <c r="U70">
        <v>0</v>
      </c>
      <c r="V70">
        <v>0</v>
      </c>
      <c r="W70" s="4">
        <v>0</v>
      </c>
      <c r="X70" s="4">
        <v>0</v>
      </c>
      <c r="Y70">
        <v>0</v>
      </c>
      <c r="Z70">
        <v>0</v>
      </c>
      <c r="AA70" s="4">
        <v>0</v>
      </c>
      <c r="AB70" s="4">
        <v>0</v>
      </c>
      <c r="AC70" s="4">
        <v>0</v>
      </c>
      <c r="AD70" s="4">
        <v>0</v>
      </c>
      <c r="AE70" s="4">
        <v>0</v>
      </c>
      <c r="AF70" s="4">
        <v>0</v>
      </c>
      <c r="AG70" s="4">
        <v>0</v>
      </c>
      <c r="AH70" s="4">
        <v>0</v>
      </c>
      <c r="AI70" s="4">
        <v>0</v>
      </c>
      <c r="AJ70" s="4">
        <v>0</v>
      </c>
      <c r="AK70" s="4">
        <v>0</v>
      </c>
      <c r="AL70" s="4">
        <v>0</v>
      </c>
      <c r="AM70">
        <v>0</v>
      </c>
      <c r="AN70">
        <v>0</v>
      </c>
      <c r="AO70">
        <v>0</v>
      </c>
      <c r="AP70">
        <v>0</v>
      </c>
      <c r="AQ70">
        <v>0</v>
      </c>
      <c r="AR70">
        <v>0</v>
      </c>
      <c r="AS70">
        <v>0</v>
      </c>
      <c r="AT70">
        <v>0</v>
      </c>
      <c r="AU70">
        <v>0</v>
      </c>
      <c r="AV70">
        <v>0</v>
      </c>
      <c r="AW70">
        <v>0</v>
      </c>
      <c r="AX70">
        <v>0</v>
      </c>
      <c r="AY70">
        <v>0</v>
      </c>
    </row>
    <row r="71" spans="1:51">
      <c r="A71" t="s">
        <v>16971</v>
      </c>
      <c r="B71" t="s">
        <v>17397</v>
      </c>
      <c r="C71">
        <v>0</v>
      </c>
      <c r="D71">
        <v>2</v>
      </c>
      <c r="E71">
        <v>2</v>
      </c>
      <c r="F71">
        <v>2</v>
      </c>
      <c r="G71">
        <v>0</v>
      </c>
      <c r="H71">
        <v>1</v>
      </c>
      <c r="I71">
        <v>0</v>
      </c>
      <c r="J71">
        <v>2</v>
      </c>
      <c r="K71">
        <v>4</v>
      </c>
      <c r="L71">
        <v>1</v>
      </c>
      <c r="M71">
        <v>1</v>
      </c>
      <c r="N71">
        <v>0</v>
      </c>
      <c r="O71">
        <v>0</v>
      </c>
      <c r="P71">
        <v>0</v>
      </c>
      <c r="Q71">
        <v>0</v>
      </c>
      <c r="R71">
        <v>0</v>
      </c>
      <c r="S71">
        <v>1.5</v>
      </c>
      <c r="T71">
        <v>1</v>
      </c>
      <c r="U71">
        <v>0.5</v>
      </c>
      <c r="V71">
        <v>3</v>
      </c>
      <c r="W71" s="4">
        <v>35</v>
      </c>
      <c r="X71" s="4">
        <v>0</v>
      </c>
      <c r="Y71">
        <v>2</v>
      </c>
      <c r="Z71">
        <v>0</v>
      </c>
      <c r="AA71" s="4">
        <v>0</v>
      </c>
      <c r="AB71" s="4">
        <v>0</v>
      </c>
      <c r="AC71" s="4">
        <v>9</v>
      </c>
      <c r="AD71" s="4">
        <v>9</v>
      </c>
      <c r="AE71" s="4">
        <v>9</v>
      </c>
      <c r="AF71" s="4">
        <v>0</v>
      </c>
      <c r="AG71" s="4">
        <v>15</v>
      </c>
      <c r="AH71" s="4">
        <v>15</v>
      </c>
      <c r="AI71" s="4">
        <v>0</v>
      </c>
      <c r="AJ71" s="4">
        <v>0</v>
      </c>
      <c r="AK71" s="4">
        <v>15</v>
      </c>
      <c r="AL71" s="4">
        <v>15</v>
      </c>
      <c r="AM71">
        <v>4</v>
      </c>
      <c r="AN71">
        <v>3</v>
      </c>
      <c r="AO71">
        <v>1</v>
      </c>
      <c r="AP71">
        <v>0</v>
      </c>
      <c r="AQ71">
        <v>1.5</v>
      </c>
      <c r="AR71">
        <v>0.5</v>
      </c>
      <c r="AS71">
        <v>1</v>
      </c>
      <c r="AT71">
        <v>0</v>
      </c>
      <c r="AU71">
        <v>1</v>
      </c>
      <c r="AV71">
        <v>0</v>
      </c>
      <c r="AW71">
        <v>1</v>
      </c>
      <c r="AX71">
        <v>0</v>
      </c>
      <c r="AY71">
        <v>0</v>
      </c>
    </row>
    <row r="72" spans="1:51">
      <c r="A72" t="s">
        <v>16972</v>
      </c>
      <c r="B72" t="s">
        <v>16973</v>
      </c>
      <c r="C72">
        <v>0</v>
      </c>
      <c r="D72">
        <v>0</v>
      </c>
      <c r="E72">
        <v>0</v>
      </c>
      <c r="F72">
        <v>0</v>
      </c>
      <c r="G72">
        <v>0</v>
      </c>
      <c r="H72">
        <v>0</v>
      </c>
      <c r="I72">
        <v>0</v>
      </c>
      <c r="J72">
        <v>0</v>
      </c>
      <c r="K72">
        <v>0</v>
      </c>
      <c r="L72">
        <v>0</v>
      </c>
      <c r="M72">
        <v>0</v>
      </c>
      <c r="N72">
        <v>0</v>
      </c>
      <c r="O72">
        <v>0</v>
      </c>
      <c r="P72">
        <v>0</v>
      </c>
      <c r="Q72">
        <v>0</v>
      </c>
      <c r="R72">
        <v>0</v>
      </c>
      <c r="S72">
        <v>0</v>
      </c>
      <c r="T72">
        <v>0</v>
      </c>
      <c r="U72">
        <v>0</v>
      </c>
      <c r="V72">
        <v>0</v>
      </c>
      <c r="W72" s="4">
        <v>0</v>
      </c>
      <c r="X72" s="4">
        <v>0</v>
      </c>
      <c r="Y72">
        <v>0</v>
      </c>
      <c r="Z72">
        <v>0</v>
      </c>
      <c r="AA72" s="4">
        <v>0</v>
      </c>
      <c r="AB72" s="4">
        <v>0</v>
      </c>
      <c r="AC72" s="4">
        <v>0</v>
      </c>
      <c r="AD72" s="4">
        <v>0</v>
      </c>
      <c r="AE72" s="4">
        <v>0</v>
      </c>
      <c r="AF72" s="4">
        <v>0</v>
      </c>
      <c r="AG72" s="4">
        <v>0</v>
      </c>
      <c r="AH72" s="4">
        <v>0</v>
      </c>
      <c r="AI72" s="4">
        <v>0</v>
      </c>
      <c r="AJ72" s="4">
        <v>0</v>
      </c>
      <c r="AK72" s="4">
        <v>0</v>
      </c>
      <c r="AL72" s="4">
        <v>0</v>
      </c>
      <c r="AM72">
        <v>0</v>
      </c>
      <c r="AN72">
        <v>0</v>
      </c>
      <c r="AO72">
        <v>0</v>
      </c>
      <c r="AP72">
        <v>0</v>
      </c>
      <c r="AQ72">
        <v>0</v>
      </c>
      <c r="AR72">
        <v>0</v>
      </c>
      <c r="AS72">
        <v>0</v>
      </c>
      <c r="AT72">
        <v>0</v>
      </c>
      <c r="AU72">
        <v>0</v>
      </c>
      <c r="AV72">
        <v>0</v>
      </c>
      <c r="AW72">
        <v>0</v>
      </c>
      <c r="AX72">
        <v>0</v>
      </c>
      <c r="AY72">
        <v>0</v>
      </c>
    </row>
    <row r="73" spans="1:51">
      <c r="A73" t="s">
        <v>17226</v>
      </c>
      <c r="B73" t="s">
        <v>17226</v>
      </c>
      <c r="C73">
        <v>0</v>
      </c>
      <c r="D73">
        <v>2</v>
      </c>
      <c r="E73">
        <v>0</v>
      </c>
      <c r="F73">
        <v>0</v>
      </c>
      <c r="G73">
        <v>0</v>
      </c>
      <c r="H73">
        <v>0</v>
      </c>
      <c r="I73">
        <v>0</v>
      </c>
      <c r="J73">
        <v>2</v>
      </c>
      <c r="K73">
        <v>50</v>
      </c>
      <c r="L73">
        <v>2</v>
      </c>
      <c r="M73">
        <v>0</v>
      </c>
      <c r="N73">
        <v>0</v>
      </c>
      <c r="O73">
        <v>0</v>
      </c>
      <c r="P73">
        <v>0</v>
      </c>
      <c r="Q73">
        <v>0</v>
      </c>
      <c r="R73">
        <v>0</v>
      </c>
      <c r="S73">
        <v>7</v>
      </c>
      <c r="T73">
        <v>6</v>
      </c>
      <c r="U73">
        <v>0</v>
      </c>
      <c r="V73">
        <v>13</v>
      </c>
      <c r="W73" s="4">
        <v>190</v>
      </c>
      <c r="X73" s="4">
        <v>0</v>
      </c>
      <c r="Y73">
        <v>2</v>
      </c>
      <c r="Z73">
        <v>0</v>
      </c>
      <c r="AA73" s="4">
        <v>0</v>
      </c>
      <c r="AB73" s="4">
        <v>130</v>
      </c>
      <c r="AC73" s="4">
        <v>0</v>
      </c>
      <c r="AD73" s="4">
        <v>0</v>
      </c>
      <c r="AE73" s="4">
        <v>0</v>
      </c>
      <c r="AF73" s="4">
        <v>130</v>
      </c>
      <c r="AG73" s="4">
        <v>190</v>
      </c>
      <c r="AH73" s="4">
        <v>190</v>
      </c>
      <c r="AI73" s="4">
        <v>0</v>
      </c>
      <c r="AJ73" s="4">
        <v>0</v>
      </c>
      <c r="AK73" s="4">
        <v>0</v>
      </c>
      <c r="AL73" s="4">
        <v>0</v>
      </c>
      <c r="AM73">
        <v>50</v>
      </c>
      <c r="AN73">
        <v>0</v>
      </c>
      <c r="AO73">
        <v>50</v>
      </c>
      <c r="AP73">
        <v>0</v>
      </c>
      <c r="AQ73">
        <v>7</v>
      </c>
      <c r="AR73">
        <v>0</v>
      </c>
      <c r="AS73">
        <v>7</v>
      </c>
      <c r="AT73">
        <v>0</v>
      </c>
      <c r="AU73">
        <v>6</v>
      </c>
      <c r="AV73">
        <v>0</v>
      </c>
      <c r="AW73">
        <v>6</v>
      </c>
      <c r="AX73">
        <v>0</v>
      </c>
      <c r="AY73">
        <v>0</v>
      </c>
    </row>
    <row r="74" spans="1:51">
      <c r="A74" t="s">
        <v>17383</v>
      </c>
      <c r="B74" t="s">
        <v>17384</v>
      </c>
      <c r="C74">
        <v>0</v>
      </c>
      <c r="D74">
        <v>0</v>
      </c>
      <c r="E74">
        <v>0</v>
      </c>
      <c r="F74">
        <v>0</v>
      </c>
      <c r="G74">
        <v>0</v>
      </c>
      <c r="H74">
        <v>0</v>
      </c>
      <c r="I74">
        <v>0</v>
      </c>
      <c r="J74">
        <v>0</v>
      </c>
      <c r="K74">
        <v>0</v>
      </c>
      <c r="L74">
        <v>0</v>
      </c>
      <c r="M74">
        <v>0</v>
      </c>
      <c r="N74">
        <v>0</v>
      </c>
      <c r="O74">
        <v>0</v>
      </c>
      <c r="P74">
        <v>0</v>
      </c>
      <c r="Q74">
        <v>0</v>
      </c>
      <c r="R74">
        <v>0</v>
      </c>
      <c r="S74">
        <v>0</v>
      </c>
      <c r="T74">
        <v>0</v>
      </c>
      <c r="U74">
        <v>0</v>
      </c>
      <c r="V74">
        <v>0</v>
      </c>
      <c r="W74" s="4">
        <v>0</v>
      </c>
      <c r="X74" s="4">
        <v>0</v>
      </c>
      <c r="Y74">
        <v>0</v>
      </c>
      <c r="Z74">
        <v>0</v>
      </c>
      <c r="AA74" s="4">
        <v>0</v>
      </c>
      <c r="AB74" s="4">
        <v>0</v>
      </c>
      <c r="AC74" s="4">
        <v>0</v>
      </c>
      <c r="AD74" s="4">
        <v>0</v>
      </c>
      <c r="AE74" s="4">
        <v>0</v>
      </c>
      <c r="AF74" s="4">
        <v>0</v>
      </c>
      <c r="AG74" s="4">
        <v>0</v>
      </c>
      <c r="AH74" s="4">
        <v>0</v>
      </c>
      <c r="AI74" s="4">
        <v>0</v>
      </c>
      <c r="AJ74" s="4">
        <v>0</v>
      </c>
      <c r="AK74" s="4">
        <v>0</v>
      </c>
      <c r="AL74" s="4">
        <v>0</v>
      </c>
      <c r="AM74">
        <v>0</v>
      </c>
      <c r="AN74">
        <v>0</v>
      </c>
      <c r="AO74">
        <v>0</v>
      </c>
      <c r="AP74">
        <v>0</v>
      </c>
      <c r="AQ74">
        <v>0</v>
      </c>
      <c r="AR74">
        <v>0</v>
      </c>
      <c r="AS74">
        <v>0</v>
      </c>
      <c r="AT74">
        <v>0</v>
      </c>
      <c r="AU74">
        <v>0</v>
      </c>
      <c r="AV74">
        <v>0</v>
      </c>
      <c r="AW74">
        <v>0</v>
      </c>
      <c r="AX74">
        <v>0</v>
      </c>
      <c r="AY74">
        <v>0</v>
      </c>
    </row>
    <row r="75" spans="1:51">
      <c r="A75" t="s">
        <v>16935</v>
      </c>
      <c r="B75" t="s">
        <v>17389</v>
      </c>
      <c r="C75">
        <v>1</v>
      </c>
      <c r="D75">
        <v>1</v>
      </c>
      <c r="E75">
        <v>1</v>
      </c>
      <c r="F75">
        <v>1</v>
      </c>
      <c r="G75">
        <v>0</v>
      </c>
      <c r="H75">
        <v>0</v>
      </c>
      <c r="I75">
        <v>0</v>
      </c>
      <c r="J75">
        <v>1</v>
      </c>
      <c r="K75">
        <v>3</v>
      </c>
      <c r="L75">
        <v>1</v>
      </c>
      <c r="M75">
        <v>0</v>
      </c>
      <c r="N75">
        <v>0</v>
      </c>
      <c r="O75">
        <v>0</v>
      </c>
      <c r="P75">
        <v>0</v>
      </c>
      <c r="Q75">
        <v>0</v>
      </c>
      <c r="R75">
        <v>0</v>
      </c>
      <c r="S75">
        <v>0.25</v>
      </c>
      <c r="T75">
        <v>0.25</v>
      </c>
      <c r="U75">
        <v>1</v>
      </c>
      <c r="V75">
        <v>1.5</v>
      </c>
      <c r="W75" s="4">
        <v>0</v>
      </c>
      <c r="X75" s="4">
        <v>0</v>
      </c>
      <c r="Y75">
        <v>1</v>
      </c>
      <c r="Z75">
        <v>0</v>
      </c>
      <c r="AA75" s="4">
        <v>-7.5</v>
      </c>
      <c r="AB75" s="4">
        <v>0</v>
      </c>
      <c r="AC75" s="4">
        <v>3</v>
      </c>
      <c r="AD75" s="4">
        <v>3</v>
      </c>
      <c r="AE75" s="4">
        <v>0</v>
      </c>
      <c r="AF75" s="4">
        <v>3</v>
      </c>
      <c r="AG75" s="4">
        <v>23</v>
      </c>
      <c r="AH75" s="4">
        <v>23</v>
      </c>
      <c r="AI75" s="4">
        <v>0</v>
      </c>
      <c r="AJ75" s="4">
        <v>0</v>
      </c>
      <c r="AK75" s="4">
        <v>0</v>
      </c>
      <c r="AL75" s="4">
        <v>0</v>
      </c>
      <c r="AM75">
        <v>3</v>
      </c>
      <c r="AN75">
        <v>0</v>
      </c>
      <c r="AO75">
        <v>0</v>
      </c>
      <c r="AP75">
        <v>3</v>
      </c>
      <c r="AQ75">
        <v>0.25</v>
      </c>
      <c r="AR75">
        <v>0</v>
      </c>
      <c r="AS75">
        <v>0</v>
      </c>
      <c r="AT75">
        <v>0.25</v>
      </c>
      <c r="AU75">
        <v>0.25</v>
      </c>
      <c r="AV75">
        <v>0</v>
      </c>
      <c r="AW75">
        <v>0</v>
      </c>
      <c r="AX75">
        <v>0.25</v>
      </c>
      <c r="AY75">
        <v>0</v>
      </c>
    </row>
    <row r="76" spans="1:51">
      <c r="A76" t="s">
        <v>17390</v>
      </c>
      <c r="B76" t="s">
        <v>17391</v>
      </c>
      <c r="C76">
        <v>0</v>
      </c>
      <c r="D76">
        <v>0</v>
      </c>
      <c r="E76">
        <v>0</v>
      </c>
      <c r="F76">
        <v>0</v>
      </c>
      <c r="G76">
        <v>0</v>
      </c>
      <c r="H76">
        <v>0</v>
      </c>
      <c r="I76">
        <v>0</v>
      </c>
      <c r="J76">
        <v>0</v>
      </c>
      <c r="K76">
        <v>0</v>
      </c>
      <c r="L76">
        <v>0</v>
      </c>
      <c r="M76">
        <v>0</v>
      </c>
      <c r="N76">
        <v>0</v>
      </c>
      <c r="O76">
        <v>0</v>
      </c>
      <c r="P76">
        <v>0</v>
      </c>
      <c r="Q76">
        <v>0</v>
      </c>
      <c r="R76">
        <v>0</v>
      </c>
      <c r="S76">
        <v>0</v>
      </c>
      <c r="T76">
        <v>0</v>
      </c>
      <c r="U76">
        <v>0</v>
      </c>
      <c r="V76">
        <v>0</v>
      </c>
      <c r="W76" s="4">
        <v>0</v>
      </c>
      <c r="X76" s="4">
        <v>0</v>
      </c>
      <c r="Y76">
        <v>0</v>
      </c>
      <c r="Z76">
        <v>0</v>
      </c>
      <c r="AA76" s="4">
        <v>0</v>
      </c>
      <c r="AB76" s="4">
        <v>0</v>
      </c>
      <c r="AC76" s="4">
        <v>0</v>
      </c>
      <c r="AD76" s="4">
        <v>0</v>
      </c>
      <c r="AE76" s="4">
        <v>0</v>
      </c>
      <c r="AF76" s="4">
        <v>0</v>
      </c>
      <c r="AG76" s="4">
        <v>0</v>
      </c>
      <c r="AH76" s="4">
        <v>0</v>
      </c>
      <c r="AI76" s="4">
        <v>0</v>
      </c>
      <c r="AJ76" s="4">
        <v>0</v>
      </c>
      <c r="AK76" s="4">
        <v>0</v>
      </c>
      <c r="AL76" s="4">
        <v>0</v>
      </c>
      <c r="AM76">
        <v>0</v>
      </c>
      <c r="AN76">
        <v>0</v>
      </c>
      <c r="AO76">
        <v>0</v>
      </c>
      <c r="AP76">
        <v>0</v>
      </c>
      <c r="AQ76">
        <v>0</v>
      </c>
      <c r="AR76">
        <v>0</v>
      </c>
      <c r="AS76">
        <v>0</v>
      </c>
      <c r="AT76">
        <v>0</v>
      </c>
      <c r="AU76">
        <v>0</v>
      </c>
      <c r="AV76">
        <v>0</v>
      </c>
      <c r="AW76">
        <v>0</v>
      </c>
      <c r="AX76">
        <v>0</v>
      </c>
      <c r="AY76">
        <v>2500</v>
      </c>
    </row>
    <row r="77" spans="1:51">
      <c r="A77" t="s">
        <v>16936</v>
      </c>
      <c r="B77" t="s">
        <v>16937</v>
      </c>
      <c r="C77">
        <v>0</v>
      </c>
      <c r="D77">
        <v>1</v>
      </c>
      <c r="E77">
        <v>0</v>
      </c>
      <c r="F77">
        <v>1</v>
      </c>
      <c r="G77">
        <v>0</v>
      </c>
      <c r="H77">
        <v>1</v>
      </c>
      <c r="I77">
        <v>0</v>
      </c>
      <c r="J77">
        <v>1</v>
      </c>
      <c r="K77">
        <v>41</v>
      </c>
      <c r="L77">
        <v>0</v>
      </c>
      <c r="M77">
        <v>0</v>
      </c>
      <c r="N77">
        <v>0</v>
      </c>
      <c r="O77">
        <v>0</v>
      </c>
      <c r="P77">
        <v>0</v>
      </c>
      <c r="Q77">
        <v>1</v>
      </c>
      <c r="R77">
        <v>0</v>
      </c>
      <c r="S77">
        <v>0</v>
      </c>
      <c r="T77">
        <v>0</v>
      </c>
      <c r="U77">
        <v>0</v>
      </c>
      <c r="V77">
        <v>0</v>
      </c>
      <c r="W77" s="4">
        <v>0</v>
      </c>
      <c r="X77" s="4">
        <v>0</v>
      </c>
      <c r="Y77">
        <v>0</v>
      </c>
      <c r="Z77">
        <v>0</v>
      </c>
      <c r="AA77" s="4">
        <v>0</v>
      </c>
      <c r="AB77" s="4">
        <v>0</v>
      </c>
      <c r="AC77" s="4">
        <v>0</v>
      </c>
      <c r="AD77" s="4">
        <v>0</v>
      </c>
      <c r="AE77" s="4">
        <v>0</v>
      </c>
      <c r="AF77" s="4">
        <v>0</v>
      </c>
      <c r="AG77" s="4">
        <v>0</v>
      </c>
      <c r="AH77" s="4">
        <v>0</v>
      </c>
      <c r="AI77" s="4">
        <v>0</v>
      </c>
      <c r="AJ77" s="4">
        <v>0</v>
      </c>
      <c r="AK77" s="4">
        <v>0</v>
      </c>
      <c r="AL77" s="4">
        <v>0</v>
      </c>
      <c r="AM77">
        <v>41</v>
      </c>
      <c r="AN77">
        <v>41</v>
      </c>
      <c r="AO77">
        <v>0</v>
      </c>
      <c r="AP77">
        <v>0</v>
      </c>
      <c r="AQ77">
        <v>0</v>
      </c>
      <c r="AR77">
        <v>0</v>
      </c>
      <c r="AS77">
        <v>0</v>
      </c>
      <c r="AT77">
        <v>0</v>
      </c>
      <c r="AU77">
        <v>0</v>
      </c>
      <c r="AV77">
        <v>0</v>
      </c>
      <c r="AW77">
        <v>0</v>
      </c>
      <c r="AX77">
        <v>0</v>
      </c>
      <c r="AY77">
        <v>0</v>
      </c>
    </row>
    <row r="78" spans="1:51">
      <c r="A78" t="s">
        <v>16936</v>
      </c>
      <c r="B78" t="s">
        <v>16937</v>
      </c>
      <c r="C78">
        <v>0</v>
      </c>
      <c r="D78">
        <v>4</v>
      </c>
      <c r="E78">
        <v>3</v>
      </c>
      <c r="F78">
        <v>2</v>
      </c>
      <c r="G78">
        <v>0</v>
      </c>
      <c r="H78">
        <v>0</v>
      </c>
      <c r="I78">
        <v>0</v>
      </c>
      <c r="J78">
        <v>4</v>
      </c>
      <c r="K78">
        <v>68</v>
      </c>
      <c r="L78">
        <v>2</v>
      </c>
      <c r="M78">
        <v>0</v>
      </c>
      <c r="N78">
        <v>1</v>
      </c>
      <c r="O78">
        <v>0</v>
      </c>
      <c r="P78">
        <v>0</v>
      </c>
      <c r="Q78">
        <v>1</v>
      </c>
      <c r="R78">
        <v>0</v>
      </c>
      <c r="S78">
        <v>13</v>
      </c>
      <c r="T78">
        <v>0</v>
      </c>
      <c r="U78">
        <v>0</v>
      </c>
      <c r="V78">
        <v>13</v>
      </c>
      <c r="W78" s="4">
        <v>130</v>
      </c>
      <c r="X78" s="4">
        <v>0</v>
      </c>
      <c r="Y78">
        <v>4</v>
      </c>
      <c r="Z78">
        <v>0</v>
      </c>
      <c r="AA78" s="4">
        <v>0</v>
      </c>
      <c r="AB78" s="4">
        <v>40</v>
      </c>
      <c r="AC78" s="4">
        <v>0</v>
      </c>
      <c r="AD78" s="4">
        <v>0</v>
      </c>
      <c r="AE78" s="4">
        <v>0</v>
      </c>
      <c r="AF78" s="4">
        <v>40</v>
      </c>
      <c r="AG78" s="4">
        <v>130</v>
      </c>
      <c r="AH78" s="4">
        <v>130</v>
      </c>
      <c r="AI78" s="4">
        <v>0</v>
      </c>
      <c r="AJ78" s="4">
        <v>0</v>
      </c>
      <c r="AK78" s="4">
        <v>0</v>
      </c>
      <c r="AL78" s="4">
        <v>0</v>
      </c>
      <c r="AM78">
        <v>68</v>
      </c>
      <c r="AN78">
        <v>0</v>
      </c>
      <c r="AO78">
        <v>68</v>
      </c>
      <c r="AP78">
        <v>0</v>
      </c>
      <c r="AQ78">
        <v>13</v>
      </c>
      <c r="AR78">
        <v>0</v>
      </c>
      <c r="AS78">
        <v>13</v>
      </c>
      <c r="AT78">
        <v>0</v>
      </c>
      <c r="AU78">
        <v>0</v>
      </c>
      <c r="AV78">
        <v>0</v>
      </c>
      <c r="AW78">
        <v>0</v>
      </c>
      <c r="AX78">
        <v>0</v>
      </c>
    </row>
    <row r="79" spans="1:51">
      <c r="A79" t="s">
        <v>16938</v>
      </c>
      <c r="B79" t="s">
        <v>16939</v>
      </c>
      <c r="C79">
        <v>0</v>
      </c>
      <c r="D79">
        <v>1</v>
      </c>
      <c r="E79">
        <v>1</v>
      </c>
      <c r="F79">
        <v>1</v>
      </c>
      <c r="G79">
        <v>0</v>
      </c>
      <c r="H79">
        <v>1</v>
      </c>
      <c r="I79">
        <v>0</v>
      </c>
      <c r="J79">
        <v>1</v>
      </c>
      <c r="K79">
        <v>23</v>
      </c>
      <c r="L79">
        <v>0</v>
      </c>
      <c r="M79">
        <v>0</v>
      </c>
      <c r="N79">
        <v>1</v>
      </c>
      <c r="O79">
        <v>0</v>
      </c>
      <c r="P79">
        <v>0</v>
      </c>
      <c r="Q79">
        <v>0</v>
      </c>
      <c r="R79">
        <v>0</v>
      </c>
      <c r="S79">
        <v>1</v>
      </c>
      <c r="T79">
        <v>1</v>
      </c>
      <c r="U79">
        <v>1</v>
      </c>
      <c r="V79">
        <v>3</v>
      </c>
      <c r="W79" s="4">
        <v>30</v>
      </c>
      <c r="X79" s="4">
        <v>0</v>
      </c>
      <c r="Y79">
        <v>1</v>
      </c>
      <c r="Z79">
        <v>0</v>
      </c>
      <c r="AA79" s="4">
        <v>0</v>
      </c>
      <c r="AB79" s="4">
        <v>0</v>
      </c>
      <c r="AC79" s="4">
        <v>0</v>
      </c>
      <c r="AD79" s="4">
        <v>0</v>
      </c>
      <c r="AE79" s="4">
        <v>0</v>
      </c>
      <c r="AF79" s="4">
        <v>0</v>
      </c>
      <c r="AG79" s="4">
        <v>50</v>
      </c>
      <c r="AH79" s="4">
        <v>50</v>
      </c>
      <c r="AI79" s="4">
        <v>0</v>
      </c>
      <c r="AJ79" s="4">
        <v>0</v>
      </c>
      <c r="AK79" s="4">
        <v>50</v>
      </c>
      <c r="AL79" s="4">
        <v>50</v>
      </c>
      <c r="AM79">
        <v>23</v>
      </c>
      <c r="AN79">
        <v>23</v>
      </c>
      <c r="AO79">
        <v>0</v>
      </c>
      <c r="AP79">
        <v>0</v>
      </c>
      <c r="AQ79">
        <v>1</v>
      </c>
      <c r="AR79">
        <v>1</v>
      </c>
      <c r="AS79">
        <v>0</v>
      </c>
      <c r="AT79">
        <v>0</v>
      </c>
      <c r="AU79">
        <v>1</v>
      </c>
      <c r="AV79">
        <v>1</v>
      </c>
      <c r="AW79">
        <v>0</v>
      </c>
      <c r="AX79">
        <v>0</v>
      </c>
      <c r="AY79">
        <v>1200</v>
      </c>
    </row>
    <row r="80" spans="1:51">
      <c r="A80" t="s">
        <v>16977</v>
      </c>
      <c r="B80" t="s">
        <v>17380</v>
      </c>
      <c r="C80">
        <v>0</v>
      </c>
      <c r="D80">
        <v>2</v>
      </c>
      <c r="E80">
        <v>2</v>
      </c>
      <c r="F80">
        <v>1</v>
      </c>
      <c r="G80">
        <v>0</v>
      </c>
      <c r="H80">
        <v>0</v>
      </c>
      <c r="I80">
        <v>0</v>
      </c>
      <c r="J80">
        <v>2</v>
      </c>
      <c r="K80">
        <v>29</v>
      </c>
      <c r="L80">
        <v>1</v>
      </c>
      <c r="M80">
        <v>1</v>
      </c>
      <c r="N80">
        <v>0</v>
      </c>
      <c r="O80">
        <v>0</v>
      </c>
      <c r="P80">
        <v>0</v>
      </c>
      <c r="Q80">
        <v>0</v>
      </c>
      <c r="R80">
        <v>0</v>
      </c>
      <c r="S80">
        <v>0</v>
      </c>
      <c r="T80">
        <v>0</v>
      </c>
      <c r="U80">
        <v>0</v>
      </c>
      <c r="V80">
        <v>0</v>
      </c>
      <c r="W80" s="4">
        <v>0</v>
      </c>
      <c r="X80" s="4">
        <v>0</v>
      </c>
      <c r="Y80">
        <v>0</v>
      </c>
      <c r="Z80">
        <v>0</v>
      </c>
      <c r="AA80" s="4">
        <v>0</v>
      </c>
      <c r="AB80" s="4">
        <v>0</v>
      </c>
      <c r="AC80" s="4">
        <v>0</v>
      </c>
      <c r="AD80" s="4">
        <v>0</v>
      </c>
      <c r="AE80" s="4">
        <v>0</v>
      </c>
      <c r="AF80" s="4">
        <v>0</v>
      </c>
      <c r="AG80" s="4">
        <v>0</v>
      </c>
      <c r="AH80" s="4">
        <v>0</v>
      </c>
      <c r="AI80" s="4">
        <v>0</v>
      </c>
      <c r="AJ80" s="4">
        <v>0</v>
      </c>
      <c r="AK80" s="4">
        <v>0</v>
      </c>
      <c r="AL80" s="4">
        <v>0</v>
      </c>
      <c r="AM80">
        <v>29</v>
      </c>
      <c r="AN80">
        <v>0</v>
      </c>
      <c r="AO80">
        <v>29</v>
      </c>
      <c r="AP80">
        <v>0</v>
      </c>
      <c r="AQ80">
        <v>0</v>
      </c>
      <c r="AR80">
        <v>0</v>
      </c>
      <c r="AS80">
        <v>0</v>
      </c>
      <c r="AT80">
        <v>0</v>
      </c>
      <c r="AU80">
        <v>0</v>
      </c>
      <c r="AV80">
        <v>0</v>
      </c>
      <c r="AW80">
        <v>0</v>
      </c>
      <c r="AX80">
        <v>0</v>
      </c>
    </row>
    <row r="81" spans="1:51">
      <c r="A81" t="s">
        <v>16980</v>
      </c>
      <c r="B81" t="s">
        <v>16981</v>
      </c>
      <c r="C81">
        <v>0</v>
      </c>
      <c r="D81">
        <v>1</v>
      </c>
      <c r="E81">
        <v>0</v>
      </c>
      <c r="F81">
        <v>0</v>
      </c>
      <c r="G81">
        <v>1</v>
      </c>
      <c r="H81">
        <v>1</v>
      </c>
      <c r="I81">
        <v>0</v>
      </c>
      <c r="J81">
        <v>1</v>
      </c>
      <c r="K81">
        <v>41</v>
      </c>
      <c r="L81">
        <v>1</v>
      </c>
      <c r="M81">
        <v>0</v>
      </c>
      <c r="N81">
        <v>0</v>
      </c>
      <c r="O81">
        <v>0</v>
      </c>
      <c r="P81">
        <v>0</v>
      </c>
      <c r="Q81">
        <v>0</v>
      </c>
      <c r="R81">
        <v>0</v>
      </c>
      <c r="S81">
        <v>5</v>
      </c>
      <c r="T81">
        <v>10</v>
      </c>
      <c r="U81">
        <v>0</v>
      </c>
      <c r="V81">
        <v>15</v>
      </c>
      <c r="W81" s="4">
        <v>250</v>
      </c>
      <c r="X81" s="4">
        <v>0</v>
      </c>
      <c r="Y81">
        <v>1</v>
      </c>
      <c r="Z81">
        <v>0</v>
      </c>
      <c r="AA81" s="4">
        <v>0</v>
      </c>
      <c r="AB81" s="4">
        <v>220</v>
      </c>
      <c r="AC81" s="4">
        <v>313.25</v>
      </c>
      <c r="AD81" s="4">
        <v>313.25</v>
      </c>
      <c r="AE81" s="4">
        <v>533.25</v>
      </c>
      <c r="AF81" s="4">
        <v>533.25</v>
      </c>
      <c r="AG81" s="4">
        <v>563.25</v>
      </c>
      <c r="AH81" s="4">
        <v>30</v>
      </c>
      <c r="AI81" s="4">
        <v>533.25</v>
      </c>
      <c r="AJ81" s="4">
        <v>533.25</v>
      </c>
      <c r="AK81" s="4">
        <v>563.25</v>
      </c>
      <c r="AL81" s="4">
        <v>30</v>
      </c>
      <c r="AM81">
        <v>41</v>
      </c>
      <c r="AN81">
        <v>41</v>
      </c>
      <c r="AO81">
        <v>0</v>
      </c>
      <c r="AP81">
        <v>0</v>
      </c>
      <c r="AQ81">
        <v>5</v>
      </c>
      <c r="AR81">
        <v>5</v>
      </c>
      <c r="AS81">
        <v>0</v>
      </c>
      <c r="AT81">
        <v>0</v>
      </c>
      <c r="AU81">
        <v>10</v>
      </c>
      <c r="AV81">
        <v>10</v>
      </c>
      <c r="AW81">
        <v>0</v>
      </c>
      <c r="AX81">
        <v>0</v>
      </c>
    </row>
    <row r="82" spans="1:51">
      <c r="A82" t="s">
        <v>16982</v>
      </c>
      <c r="B82" t="s">
        <v>17343</v>
      </c>
      <c r="C82">
        <v>0</v>
      </c>
      <c r="D82">
        <v>2</v>
      </c>
      <c r="E82">
        <v>1</v>
      </c>
      <c r="F82">
        <v>2</v>
      </c>
      <c r="G82">
        <v>1</v>
      </c>
      <c r="H82">
        <v>1</v>
      </c>
      <c r="I82">
        <v>0</v>
      </c>
      <c r="J82">
        <v>2</v>
      </c>
      <c r="K82">
        <v>244</v>
      </c>
      <c r="L82">
        <v>1</v>
      </c>
      <c r="M82">
        <v>0</v>
      </c>
      <c r="N82">
        <v>0</v>
      </c>
      <c r="O82">
        <v>1</v>
      </c>
      <c r="P82">
        <v>0</v>
      </c>
      <c r="Q82">
        <v>0</v>
      </c>
      <c r="R82">
        <v>0</v>
      </c>
      <c r="S82">
        <v>1</v>
      </c>
      <c r="T82">
        <v>0</v>
      </c>
      <c r="U82">
        <v>0</v>
      </c>
      <c r="V82">
        <v>1</v>
      </c>
      <c r="W82" s="4">
        <v>10</v>
      </c>
      <c r="X82" s="4">
        <v>0</v>
      </c>
      <c r="Y82">
        <v>2</v>
      </c>
      <c r="Z82">
        <v>0</v>
      </c>
      <c r="AA82" s="4">
        <v>0</v>
      </c>
      <c r="AB82" s="4">
        <v>0</v>
      </c>
      <c r="AC82" s="4">
        <v>0</v>
      </c>
      <c r="AD82" s="4">
        <v>0</v>
      </c>
      <c r="AE82" s="4">
        <v>0</v>
      </c>
      <c r="AF82" s="4">
        <v>0</v>
      </c>
      <c r="AG82" s="4">
        <v>10</v>
      </c>
      <c r="AH82" s="4">
        <v>10</v>
      </c>
      <c r="AI82" s="4">
        <v>0</v>
      </c>
      <c r="AJ82" s="4">
        <v>0</v>
      </c>
      <c r="AK82" s="4">
        <v>5</v>
      </c>
      <c r="AL82" s="4">
        <v>5</v>
      </c>
      <c r="AM82">
        <v>244</v>
      </c>
      <c r="AN82">
        <v>241</v>
      </c>
      <c r="AO82">
        <v>3</v>
      </c>
      <c r="AP82">
        <v>0</v>
      </c>
      <c r="AQ82">
        <v>1</v>
      </c>
      <c r="AR82">
        <v>0.5</v>
      </c>
      <c r="AS82">
        <v>0.5</v>
      </c>
      <c r="AT82">
        <v>0</v>
      </c>
      <c r="AU82">
        <v>0</v>
      </c>
      <c r="AV82">
        <v>0</v>
      </c>
      <c r="AW82">
        <v>0</v>
      </c>
      <c r="AX82">
        <v>0</v>
      </c>
      <c r="AY82">
        <v>25</v>
      </c>
    </row>
    <row r="83" spans="1:51">
      <c r="A83" t="s">
        <v>16983</v>
      </c>
      <c r="B83" t="s">
        <v>16984</v>
      </c>
      <c r="C83">
        <v>0</v>
      </c>
      <c r="D83">
        <v>0</v>
      </c>
      <c r="E83">
        <v>0</v>
      </c>
      <c r="F83">
        <v>0</v>
      </c>
      <c r="G83">
        <v>0</v>
      </c>
      <c r="H83">
        <v>0</v>
      </c>
      <c r="I83">
        <v>0</v>
      </c>
      <c r="J83">
        <v>0</v>
      </c>
      <c r="K83">
        <v>0</v>
      </c>
      <c r="L83">
        <v>0</v>
      </c>
      <c r="M83">
        <v>0</v>
      </c>
      <c r="N83">
        <v>0</v>
      </c>
      <c r="O83">
        <v>0</v>
      </c>
      <c r="P83">
        <v>0</v>
      </c>
      <c r="Q83">
        <v>0</v>
      </c>
      <c r="R83">
        <v>0</v>
      </c>
      <c r="S83">
        <v>0</v>
      </c>
      <c r="T83">
        <v>0</v>
      </c>
      <c r="U83">
        <v>0</v>
      </c>
      <c r="V83">
        <v>0</v>
      </c>
      <c r="W83" s="4">
        <v>0</v>
      </c>
      <c r="X83" s="4">
        <v>0</v>
      </c>
      <c r="Y83">
        <v>0</v>
      </c>
      <c r="Z83">
        <v>0</v>
      </c>
      <c r="AA83" s="4">
        <v>0</v>
      </c>
      <c r="AB83" s="4">
        <v>0</v>
      </c>
      <c r="AC83" s="4">
        <v>0</v>
      </c>
      <c r="AD83" s="4">
        <v>0</v>
      </c>
      <c r="AE83" s="4">
        <v>0</v>
      </c>
      <c r="AF83" s="4">
        <v>0</v>
      </c>
      <c r="AG83" s="4">
        <v>0</v>
      </c>
      <c r="AH83" s="4">
        <v>0</v>
      </c>
      <c r="AI83" s="4">
        <v>0</v>
      </c>
      <c r="AJ83" s="4">
        <v>0</v>
      </c>
      <c r="AK83" s="4">
        <v>0</v>
      </c>
      <c r="AL83" s="4">
        <v>0</v>
      </c>
      <c r="AM83">
        <v>0</v>
      </c>
      <c r="AN83">
        <v>0</v>
      </c>
      <c r="AO83">
        <v>0</v>
      </c>
      <c r="AP83">
        <v>0</v>
      </c>
      <c r="AQ83">
        <v>0</v>
      </c>
      <c r="AR83">
        <v>0</v>
      </c>
      <c r="AS83">
        <v>0</v>
      </c>
      <c r="AT83">
        <v>0</v>
      </c>
      <c r="AU83">
        <v>0</v>
      </c>
      <c r="AV83">
        <v>0</v>
      </c>
      <c r="AW83">
        <v>0</v>
      </c>
      <c r="AX83">
        <v>0</v>
      </c>
      <c r="AY83">
        <v>0</v>
      </c>
    </row>
    <row r="84" spans="1:51">
      <c r="A84" t="s">
        <v>17393</v>
      </c>
      <c r="B84" t="s">
        <v>17394</v>
      </c>
      <c r="C84">
        <v>0</v>
      </c>
      <c r="D84">
        <v>0</v>
      </c>
      <c r="E84">
        <v>0</v>
      </c>
      <c r="F84">
        <v>0</v>
      </c>
      <c r="G84">
        <v>0</v>
      </c>
      <c r="H84">
        <v>0</v>
      </c>
      <c r="I84">
        <v>0</v>
      </c>
      <c r="J84">
        <v>0</v>
      </c>
      <c r="K84">
        <v>0</v>
      </c>
      <c r="L84">
        <v>0</v>
      </c>
      <c r="M84">
        <v>0</v>
      </c>
      <c r="N84">
        <v>0</v>
      </c>
      <c r="O84">
        <v>0</v>
      </c>
      <c r="P84">
        <v>0</v>
      </c>
      <c r="Q84">
        <v>0</v>
      </c>
      <c r="R84">
        <v>0</v>
      </c>
      <c r="S84">
        <v>0</v>
      </c>
      <c r="T84">
        <v>0</v>
      </c>
      <c r="U84">
        <v>0</v>
      </c>
      <c r="V84">
        <v>0</v>
      </c>
      <c r="W84" s="4">
        <v>0</v>
      </c>
      <c r="X84" s="4">
        <v>0</v>
      </c>
      <c r="Y84">
        <v>0</v>
      </c>
      <c r="Z84">
        <v>0</v>
      </c>
      <c r="AA84" s="4">
        <v>0</v>
      </c>
      <c r="AB84" s="4">
        <v>0</v>
      </c>
      <c r="AC84" s="4">
        <v>0</v>
      </c>
      <c r="AD84" s="4">
        <v>0</v>
      </c>
      <c r="AE84" s="4">
        <v>0</v>
      </c>
      <c r="AF84" s="4">
        <v>0</v>
      </c>
      <c r="AG84" s="4">
        <v>0</v>
      </c>
      <c r="AH84" s="4">
        <v>0</v>
      </c>
      <c r="AI84" s="4">
        <v>0</v>
      </c>
      <c r="AJ84" s="4">
        <v>0</v>
      </c>
      <c r="AK84" s="4">
        <v>0</v>
      </c>
      <c r="AL84" s="4">
        <v>0</v>
      </c>
      <c r="AM84">
        <v>0</v>
      </c>
      <c r="AN84">
        <v>0</v>
      </c>
      <c r="AO84">
        <v>0</v>
      </c>
      <c r="AP84">
        <v>0</v>
      </c>
      <c r="AQ84">
        <v>0</v>
      </c>
      <c r="AR84">
        <v>0</v>
      </c>
      <c r="AS84">
        <v>0</v>
      </c>
      <c r="AT84">
        <v>0</v>
      </c>
      <c r="AU84">
        <v>0</v>
      </c>
      <c r="AV84">
        <v>0</v>
      </c>
      <c r="AW84">
        <v>0</v>
      </c>
      <c r="AX84">
        <v>0</v>
      </c>
      <c r="AY84">
        <v>0</v>
      </c>
    </row>
    <row r="85" spans="1:51">
      <c r="A85" t="s">
        <v>16985</v>
      </c>
      <c r="B85" t="s">
        <v>16986</v>
      </c>
      <c r="C85">
        <v>0</v>
      </c>
      <c r="D85">
        <v>8</v>
      </c>
      <c r="E85">
        <v>8</v>
      </c>
      <c r="F85">
        <v>7</v>
      </c>
      <c r="G85">
        <v>5</v>
      </c>
      <c r="H85">
        <v>0</v>
      </c>
      <c r="I85">
        <v>0</v>
      </c>
      <c r="J85">
        <v>8</v>
      </c>
      <c r="K85">
        <v>63</v>
      </c>
      <c r="L85">
        <v>2</v>
      </c>
      <c r="M85">
        <v>1</v>
      </c>
      <c r="N85">
        <v>5</v>
      </c>
      <c r="O85">
        <v>0</v>
      </c>
      <c r="P85">
        <v>0</v>
      </c>
      <c r="Q85">
        <v>0</v>
      </c>
      <c r="R85">
        <v>0</v>
      </c>
      <c r="S85">
        <v>16</v>
      </c>
      <c r="T85">
        <v>101</v>
      </c>
      <c r="U85">
        <v>0</v>
      </c>
      <c r="V85">
        <v>117</v>
      </c>
      <c r="W85" s="4">
        <v>2180</v>
      </c>
      <c r="X85" s="4">
        <v>0</v>
      </c>
      <c r="Y85">
        <v>7</v>
      </c>
      <c r="Z85">
        <v>0</v>
      </c>
      <c r="AA85" s="4">
        <v>0</v>
      </c>
      <c r="AB85" s="4">
        <v>2000</v>
      </c>
      <c r="AC85" s="4">
        <v>1235.25</v>
      </c>
      <c r="AD85" s="4">
        <v>0</v>
      </c>
      <c r="AE85" s="4">
        <v>1.5</v>
      </c>
      <c r="AF85" s="4">
        <v>2000</v>
      </c>
      <c r="AG85" s="4">
        <v>3415.25</v>
      </c>
      <c r="AH85" s="4">
        <v>3413.75</v>
      </c>
      <c r="AI85" s="4">
        <v>0</v>
      </c>
      <c r="AJ85" s="4">
        <v>0</v>
      </c>
      <c r="AK85" s="4">
        <v>0</v>
      </c>
      <c r="AL85" s="4">
        <v>0</v>
      </c>
      <c r="AM85">
        <v>63</v>
      </c>
      <c r="AN85">
        <v>0</v>
      </c>
      <c r="AO85">
        <v>63</v>
      </c>
      <c r="AP85">
        <v>0</v>
      </c>
      <c r="AQ85">
        <v>16</v>
      </c>
      <c r="AR85">
        <v>0</v>
      </c>
      <c r="AS85">
        <v>16</v>
      </c>
      <c r="AT85">
        <v>0</v>
      </c>
      <c r="AU85">
        <v>101</v>
      </c>
      <c r="AV85">
        <v>0</v>
      </c>
      <c r="AW85">
        <v>101</v>
      </c>
      <c r="AX85">
        <v>0</v>
      </c>
    </row>
    <row r="86" spans="1:51">
      <c r="A86" t="s">
        <v>16987</v>
      </c>
      <c r="B86" t="s">
        <v>17382</v>
      </c>
      <c r="C86">
        <v>0</v>
      </c>
      <c r="D86">
        <v>1</v>
      </c>
      <c r="E86">
        <v>1</v>
      </c>
      <c r="F86">
        <v>1</v>
      </c>
      <c r="G86">
        <v>0</v>
      </c>
      <c r="H86">
        <v>0</v>
      </c>
      <c r="I86">
        <v>0</v>
      </c>
      <c r="J86">
        <v>1</v>
      </c>
      <c r="K86">
        <v>1</v>
      </c>
      <c r="L86">
        <v>1</v>
      </c>
      <c r="M86">
        <v>0</v>
      </c>
      <c r="N86">
        <v>0</v>
      </c>
      <c r="O86">
        <v>0</v>
      </c>
      <c r="P86">
        <v>0</v>
      </c>
      <c r="Q86">
        <v>0</v>
      </c>
      <c r="R86">
        <v>0</v>
      </c>
      <c r="S86">
        <v>0.25</v>
      </c>
      <c r="T86">
        <v>0</v>
      </c>
      <c r="U86">
        <v>0</v>
      </c>
      <c r="V86">
        <v>0.25</v>
      </c>
      <c r="W86" s="4">
        <v>2.5</v>
      </c>
      <c r="X86" s="4">
        <v>0</v>
      </c>
      <c r="Y86">
        <v>1</v>
      </c>
      <c r="Z86">
        <v>0</v>
      </c>
      <c r="AA86" s="4">
        <v>0</v>
      </c>
      <c r="AB86" s="4">
        <v>0</v>
      </c>
      <c r="AC86" s="4">
        <v>0</v>
      </c>
      <c r="AD86" s="4">
        <v>0</v>
      </c>
      <c r="AE86" s="4">
        <v>0</v>
      </c>
      <c r="AF86" s="4">
        <v>0</v>
      </c>
      <c r="AG86" s="4">
        <v>2.5</v>
      </c>
      <c r="AH86" s="4">
        <v>2.5</v>
      </c>
      <c r="AI86" s="4">
        <v>0</v>
      </c>
      <c r="AJ86" s="4">
        <v>0</v>
      </c>
      <c r="AK86" s="4">
        <v>0</v>
      </c>
      <c r="AL86" s="4">
        <v>0</v>
      </c>
      <c r="AM86">
        <v>1</v>
      </c>
      <c r="AN86">
        <v>0</v>
      </c>
      <c r="AO86">
        <v>1</v>
      </c>
      <c r="AP86">
        <v>0</v>
      </c>
      <c r="AQ86">
        <v>0.25</v>
      </c>
      <c r="AR86">
        <v>0</v>
      </c>
      <c r="AS86">
        <v>0.25</v>
      </c>
      <c r="AT86">
        <v>0</v>
      </c>
      <c r="AU86">
        <v>0</v>
      </c>
      <c r="AV86">
        <v>0</v>
      </c>
      <c r="AW86">
        <v>0</v>
      </c>
      <c r="AX86">
        <v>0</v>
      </c>
      <c r="AY86">
        <v>0</v>
      </c>
    </row>
    <row r="87" spans="1:51">
      <c r="A87" t="s">
        <v>16988</v>
      </c>
      <c r="B87" t="s">
        <v>16989</v>
      </c>
      <c r="C87">
        <v>0</v>
      </c>
      <c r="D87">
        <v>0</v>
      </c>
      <c r="E87">
        <v>0</v>
      </c>
      <c r="F87">
        <v>0</v>
      </c>
      <c r="G87">
        <v>0</v>
      </c>
      <c r="H87">
        <v>0</v>
      </c>
      <c r="I87">
        <v>0</v>
      </c>
      <c r="J87">
        <v>0</v>
      </c>
      <c r="K87">
        <v>0</v>
      </c>
      <c r="L87">
        <v>0</v>
      </c>
      <c r="M87">
        <v>0</v>
      </c>
      <c r="N87">
        <v>0</v>
      </c>
      <c r="O87">
        <v>0</v>
      </c>
      <c r="P87">
        <v>0</v>
      </c>
      <c r="Q87">
        <v>0</v>
      </c>
      <c r="R87">
        <v>0</v>
      </c>
      <c r="S87">
        <v>0</v>
      </c>
      <c r="T87">
        <v>0</v>
      </c>
      <c r="U87">
        <v>0</v>
      </c>
      <c r="V87">
        <v>0</v>
      </c>
      <c r="W87" s="4">
        <v>0</v>
      </c>
      <c r="X87" s="4">
        <v>0</v>
      </c>
      <c r="Y87">
        <v>0</v>
      </c>
      <c r="Z87">
        <v>0</v>
      </c>
      <c r="AA87" s="4">
        <v>0</v>
      </c>
      <c r="AB87" s="4">
        <v>0</v>
      </c>
      <c r="AC87" s="4">
        <v>0</v>
      </c>
      <c r="AD87" s="4">
        <v>0</v>
      </c>
      <c r="AE87" s="4">
        <v>0</v>
      </c>
      <c r="AF87" s="4">
        <v>0</v>
      </c>
      <c r="AG87" s="4">
        <v>0</v>
      </c>
      <c r="AH87" s="4">
        <v>0</v>
      </c>
      <c r="AI87" s="4">
        <v>0</v>
      </c>
      <c r="AJ87" s="4">
        <v>0</v>
      </c>
      <c r="AK87" s="4">
        <v>0</v>
      </c>
      <c r="AL87" s="4">
        <v>0</v>
      </c>
      <c r="AM87">
        <v>0</v>
      </c>
      <c r="AN87">
        <v>0</v>
      </c>
      <c r="AO87">
        <v>0</v>
      </c>
      <c r="AP87">
        <v>0</v>
      </c>
      <c r="AQ87">
        <v>0</v>
      </c>
      <c r="AR87">
        <v>0</v>
      </c>
      <c r="AS87">
        <v>0</v>
      </c>
      <c r="AT87">
        <v>0</v>
      </c>
      <c r="AU87">
        <v>0</v>
      </c>
      <c r="AV87">
        <v>0</v>
      </c>
      <c r="AW87">
        <v>0</v>
      </c>
      <c r="AX87">
        <v>0</v>
      </c>
      <c r="AY87">
        <v>75</v>
      </c>
    </row>
    <row r="88" spans="1:51">
      <c r="A88" t="s">
        <v>17344</v>
      </c>
      <c r="B88" t="s">
        <v>17345</v>
      </c>
      <c r="C88">
        <v>0</v>
      </c>
      <c r="D88">
        <v>94</v>
      </c>
      <c r="E88">
        <v>0</v>
      </c>
      <c r="F88">
        <v>61</v>
      </c>
      <c r="G88">
        <v>6</v>
      </c>
      <c r="H88">
        <v>26</v>
      </c>
      <c r="I88">
        <v>2</v>
      </c>
      <c r="J88">
        <v>89</v>
      </c>
      <c r="K88">
        <v>876</v>
      </c>
      <c r="L88">
        <v>75</v>
      </c>
      <c r="M88">
        <v>0</v>
      </c>
      <c r="N88">
        <v>4</v>
      </c>
      <c r="O88">
        <v>9</v>
      </c>
      <c r="P88">
        <v>1</v>
      </c>
      <c r="Q88">
        <v>1</v>
      </c>
      <c r="R88">
        <v>0</v>
      </c>
      <c r="S88">
        <v>0</v>
      </c>
      <c r="T88">
        <v>0</v>
      </c>
      <c r="U88">
        <v>0</v>
      </c>
      <c r="V88">
        <v>0</v>
      </c>
      <c r="W88" s="4">
        <v>0</v>
      </c>
      <c r="X88" s="4">
        <v>0</v>
      </c>
      <c r="Y88">
        <v>0</v>
      </c>
      <c r="Z88">
        <v>0</v>
      </c>
      <c r="AA88" s="4">
        <v>0</v>
      </c>
      <c r="AB88" s="4">
        <v>0</v>
      </c>
      <c r="AC88" s="4">
        <v>0</v>
      </c>
      <c r="AD88" s="4">
        <v>998.5</v>
      </c>
      <c r="AE88" s="4">
        <v>998.5</v>
      </c>
      <c r="AF88" s="4">
        <v>998.5</v>
      </c>
      <c r="AG88" s="4">
        <v>0</v>
      </c>
      <c r="AH88" s="4">
        <v>0</v>
      </c>
      <c r="AI88" s="4">
        <v>932.25</v>
      </c>
      <c r="AJ88" s="4">
        <v>932.25</v>
      </c>
      <c r="AK88" s="4">
        <v>0</v>
      </c>
      <c r="AL88" s="4">
        <v>0</v>
      </c>
      <c r="AM88">
        <v>876</v>
      </c>
      <c r="AN88">
        <v>568</v>
      </c>
      <c r="AO88">
        <v>308</v>
      </c>
      <c r="AP88">
        <v>0</v>
      </c>
      <c r="AQ88">
        <v>0</v>
      </c>
      <c r="AR88">
        <v>0</v>
      </c>
      <c r="AS88">
        <v>0</v>
      </c>
      <c r="AT88">
        <v>0</v>
      </c>
      <c r="AU88">
        <v>0</v>
      </c>
      <c r="AV88">
        <v>0</v>
      </c>
      <c r="AW88">
        <v>0</v>
      </c>
      <c r="AX88">
        <v>0</v>
      </c>
      <c r="AY88">
        <v>3107</v>
      </c>
    </row>
    <row r="89" spans="1:51">
      <c r="A89" t="s">
        <v>16990</v>
      </c>
      <c r="B89" t="s">
        <v>17359</v>
      </c>
      <c r="C89">
        <v>13</v>
      </c>
      <c r="D89">
        <v>37</v>
      </c>
      <c r="E89">
        <v>37</v>
      </c>
      <c r="F89">
        <v>36</v>
      </c>
      <c r="G89">
        <v>4</v>
      </c>
      <c r="H89">
        <v>0</v>
      </c>
      <c r="I89">
        <v>0</v>
      </c>
      <c r="J89">
        <v>37</v>
      </c>
      <c r="K89">
        <v>280</v>
      </c>
      <c r="L89">
        <v>15</v>
      </c>
      <c r="M89">
        <v>12</v>
      </c>
      <c r="N89">
        <v>2</v>
      </c>
      <c r="O89">
        <v>5</v>
      </c>
      <c r="P89">
        <v>2</v>
      </c>
      <c r="Q89">
        <v>1</v>
      </c>
      <c r="R89">
        <v>0</v>
      </c>
      <c r="S89">
        <v>16.25</v>
      </c>
      <c r="T89">
        <v>20.5</v>
      </c>
      <c r="U89">
        <v>2.75</v>
      </c>
      <c r="V89">
        <v>39.5</v>
      </c>
      <c r="W89" s="4">
        <v>342.5</v>
      </c>
      <c r="X89" s="4">
        <v>10</v>
      </c>
      <c r="Y89">
        <v>23</v>
      </c>
      <c r="Z89">
        <v>0</v>
      </c>
      <c r="AA89" s="4">
        <v>-230</v>
      </c>
      <c r="AB89" s="4">
        <v>135</v>
      </c>
      <c r="AC89" s="4">
        <v>167</v>
      </c>
      <c r="AD89" s="4">
        <v>167</v>
      </c>
      <c r="AE89" s="4">
        <v>170</v>
      </c>
      <c r="AF89" s="4">
        <v>302</v>
      </c>
      <c r="AG89" s="4">
        <v>574.5</v>
      </c>
      <c r="AH89" s="4">
        <v>404.5</v>
      </c>
      <c r="AI89" s="4">
        <v>0</v>
      </c>
      <c r="AJ89" s="4">
        <v>0</v>
      </c>
      <c r="AK89" s="4">
        <v>0</v>
      </c>
      <c r="AL89" s="4">
        <v>0</v>
      </c>
      <c r="AM89">
        <v>280</v>
      </c>
      <c r="AN89">
        <v>0</v>
      </c>
      <c r="AO89">
        <v>152</v>
      </c>
      <c r="AP89">
        <v>128</v>
      </c>
      <c r="AQ89">
        <v>16.25</v>
      </c>
      <c r="AR89">
        <v>0</v>
      </c>
      <c r="AS89">
        <v>10.25</v>
      </c>
      <c r="AT89">
        <v>6</v>
      </c>
      <c r="AU89">
        <v>20.5</v>
      </c>
      <c r="AV89">
        <v>0</v>
      </c>
      <c r="AW89">
        <v>12</v>
      </c>
      <c r="AX89">
        <v>8.5</v>
      </c>
      <c r="AY89">
        <v>29780</v>
      </c>
    </row>
    <row r="90" spans="1:51">
      <c r="A90" t="s">
        <v>16991</v>
      </c>
      <c r="B90" t="s">
        <v>17379</v>
      </c>
      <c r="C90">
        <v>0</v>
      </c>
      <c r="D90">
        <v>0</v>
      </c>
      <c r="E90">
        <v>0</v>
      </c>
      <c r="F90">
        <v>0</v>
      </c>
      <c r="G90">
        <v>0</v>
      </c>
      <c r="H90">
        <v>0</v>
      </c>
      <c r="I90">
        <v>0</v>
      </c>
      <c r="J90">
        <v>0</v>
      </c>
      <c r="K90">
        <v>0</v>
      </c>
      <c r="L90">
        <v>0</v>
      </c>
      <c r="M90">
        <v>0</v>
      </c>
      <c r="N90">
        <v>0</v>
      </c>
      <c r="O90">
        <v>0</v>
      </c>
      <c r="P90">
        <v>0</v>
      </c>
      <c r="Q90">
        <v>0</v>
      </c>
      <c r="R90">
        <v>0</v>
      </c>
      <c r="S90">
        <v>0</v>
      </c>
      <c r="T90">
        <v>0</v>
      </c>
      <c r="U90">
        <v>0</v>
      </c>
      <c r="V90">
        <v>0</v>
      </c>
      <c r="W90" s="4">
        <v>0</v>
      </c>
      <c r="X90" s="4">
        <v>0</v>
      </c>
      <c r="Y90">
        <v>0</v>
      </c>
      <c r="Z90">
        <v>0</v>
      </c>
      <c r="AA90" s="4">
        <v>0</v>
      </c>
      <c r="AB90" s="4">
        <v>0</v>
      </c>
      <c r="AC90" s="4">
        <v>0</v>
      </c>
      <c r="AD90" s="4">
        <v>0</v>
      </c>
      <c r="AE90" s="4">
        <v>0</v>
      </c>
      <c r="AF90" s="4">
        <v>0</v>
      </c>
      <c r="AG90" s="4">
        <v>0</v>
      </c>
      <c r="AH90" s="4">
        <v>0</v>
      </c>
      <c r="AI90" s="4">
        <v>0</v>
      </c>
      <c r="AJ90" s="4">
        <v>0</v>
      </c>
      <c r="AK90" s="4">
        <v>0</v>
      </c>
      <c r="AL90" s="4">
        <v>0</v>
      </c>
      <c r="AM90">
        <v>0</v>
      </c>
      <c r="AN90">
        <v>0</v>
      </c>
      <c r="AO90">
        <v>0</v>
      </c>
      <c r="AP90">
        <v>0</v>
      </c>
      <c r="AQ90">
        <v>0</v>
      </c>
      <c r="AR90">
        <v>0</v>
      </c>
      <c r="AS90">
        <v>0</v>
      </c>
      <c r="AT90">
        <v>0</v>
      </c>
      <c r="AU90">
        <v>0</v>
      </c>
      <c r="AV90">
        <v>0</v>
      </c>
      <c r="AW90">
        <v>0</v>
      </c>
      <c r="AX90">
        <v>0</v>
      </c>
      <c r="AY90">
        <v>0</v>
      </c>
    </row>
    <row r="91" spans="1:51">
      <c r="A91" t="s">
        <v>16992</v>
      </c>
      <c r="B91" t="s">
        <v>16992</v>
      </c>
      <c r="C91">
        <v>0</v>
      </c>
      <c r="D91">
        <v>3</v>
      </c>
      <c r="E91">
        <v>0</v>
      </c>
      <c r="F91">
        <v>0</v>
      </c>
      <c r="G91">
        <v>0</v>
      </c>
      <c r="H91">
        <v>0</v>
      </c>
      <c r="I91">
        <v>0</v>
      </c>
      <c r="J91">
        <v>2</v>
      </c>
      <c r="K91">
        <v>109</v>
      </c>
      <c r="L91">
        <v>3</v>
      </c>
      <c r="M91">
        <v>0</v>
      </c>
      <c r="N91">
        <v>0</v>
      </c>
      <c r="O91">
        <v>0</v>
      </c>
      <c r="P91">
        <v>0</v>
      </c>
      <c r="Q91">
        <v>0</v>
      </c>
      <c r="R91">
        <v>0</v>
      </c>
      <c r="S91">
        <v>0</v>
      </c>
      <c r="T91">
        <v>0</v>
      </c>
      <c r="U91">
        <v>0</v>
      </c>
      <c r="V91">
        <v>0</v>
      </c>
      <c r="W91" s="4">
        <v>0</v>
      </c>
      <c r="X91" s="4">
        <v>0</v>
      </c>
      <c r="Y91">
        <v>0</v>
      </c>
      <c r="Z91">
        <v>0</v>
      </c>
      <c r="AA91" s="4">
        <v>0</v>
      </c>
      <c r="AB91" s="4">
        <v>0</v>
      </c>
      <c r="AC91" s="4">
        <v>0</v>
      </c>
      <c r="AD91" s="4">
        <v>0</v>
      </c>
      <c r="AE91" s="4">
        <v>0</v>
      </c>
      <c r="AF91" s="4">
        <v>0</v>
      </c>
      <c r="AG91" s="4">
        <v>0</v>
      </c>
      <c r="AH91" s="4">
        <v>0</v>
      </c>
      <c r="AI91" s="4">
        <v>0</v>
      </c>
      <c r="AJ91" s="4">
        <v>0</v>
      </c>
      <c r="AK91" s="4">
        <v>0</v>
      </c>
      <c r="AL91" s="4">
        <v>0</v>
      </c>
      <c r="AM91">
        <v>109</v>
      </c>
      <c r="AN91">
        <v>0</v>
      </c>
      <c r="AO91">
        <v>109</v>
      </c>
      <c r="AP91">
        <v>0</v>
      </c>
      <c r="AQ91">
        <v>0</v>
      </c>
      <c r="AR91">
        <v>0</v>
      </c>
      <c r="AS91">
        <v>0</v>
      </c>
      <c r="AT91">
        <v>0</v>
      </c>
      <c r="AU91">
        <v>0</v>
      </c>
      <c r="AV91">
        <v>0</v>
      </c>
      <c r="AW91">
        <v>0</v>
      </c>
      <c r="AX91">
        <v>0</v>
      </c>
    </row>
    <row r="92" spans="1:51">
      <c r="A92" t="s">
        <v>16993</v>
      </c>
      <c r="B92" t="s">
        <v>16994</v>
      </c>
      <c r="C92">
        <v>0</v>
      </c>
      <c r="D92">
        <v>1</v>
      </c>
      <c r="E92">
        <v>0</v>
      </c>
      <c r="F92">
        <v>1</v>
      </c>
      <c r="G92">
        <v>0</v>
      </c>
      <c r="H92">
        <v>0</v>
      </c>
      <c r="I92">
        <v>0</v>
      </c>
      <c r="J92">
        <v>1</v>
      </c>
      <c r="K92">
        <v>1</v>
      </c>
      <c r="L92">
        <v>1</v>
      </c>
      <c r="M92">
        <v>0</v>
      </c>
      <c r="N92">
        <v>0</v>
      </c>
      <c r="O92">
        <v>0</v>
      </c>
      <c r="P92">
        <v>0</v>
      </c>
      <c r="Q92">
        <v>0</v>
      </c>
      <c r="R92">
        <v>0</v>
      </c>
      <c r="S92">
        <v>0.5</v>
      </c>
      <c r="T92">
        <v>0.25</v>
      </c>
      <c r="U92">
        <v>0</v>
      </c>
      <c r="V92">
        <v>0.75</v>
      </c>
      <c r="W92" s="4">
        <v>10</v>
      </c>
      <c r="X92" s="4">
        <v>0</v>
      </c>
      <c r="Y92">
        <v>1</v>
      </c>
      <c r="Z92">
        <v>0</v>
      </c>
      <c r="AA92" s="4">
        <v>0</v>
      </c>
      <c r="AB92" s="4">
        <v>0</v>
      </c>
      <c r="AC92" s="4">
        <v>0</v>
      </c>
      <c r="AD92" s="4">
        <v>0</v>
      </c>
      <c r="AE92" s="4">
        <v>0</v>
      </c>
      <c r="AF92" s="4">
        <v>0</v>
      </c>
      <c r="AG92" s="4">
        <v>10</v>
      </c>
      <c r="AH92" s="4">
        <v>10</v>
      </c>
      <c r="AI92" s="4">
        <v>0</v>
      </c>
      <c r="AJ92" s="4">
        <v>0</v>
      </c>
      <c r="AK92" s="4">
        <v>0</v>
      </c>
      <c r="AL92" s="4">
        <v>0</v>
      </c>
      <c r="AM92">
        <v>1</v>
      </c>
      <c r="AN92">
        <v>0</v>
      </c>
      <c r="AO92">
        <v>1</v>
      </c>
      <c r="AP92">
        <v>0</v>
      </c>
      <c r="AQ92">
        <v>0.5</v>
      </c>
      <c r="AR92">
        <v>0</v>
      </c>
      <c r="AS92">
        <v>0.5</v>
      </c>
      <c r="AT92">
        <v>0</v>
      </c>
      <c r="AU92">
        <v>0.25</v>
      </c>
      <c r="AV92">
        <v>0</v>
      </c>
      <c r="AW92">
        <v>0.25</v>
      </c>
      <c r="AX92">
        <v>0</v>
      </c>
      <c r="AY92">
        <v>10</v>
      </c>
    </row>
    <row r="93" spans="1:51">
      <c r="A93" t="s">
        <v>16995</v>
      </c>
      <c r="B93" t="s">
        <v>16996</v>
      </c>
      <c r="C93">
        <v>2</v>
      </c>
      <c r="D93">
        <v>3</v>
      </c>
      <c r="E93">
        <v>1</v>
      </c>
      <c r="F93">
        <v>3</v>
      </c>
      <c r="G93">
        <v>0</v>
      </c>
      <c r="H93">
        <v>0</v>
      </c>
      <c r="I93">
        <v>0</v>
      </c>
      <c r="J93">
        <v>3</v>
      </c>
      <c r="K93">
        <v>10</v>
      </c>
      <c r="L93">
        <v>3</v>
      </c>
      <c r="M93">
        <v>0</v>
      </c>
      <c r="N93">
        <v>0</v>
      </c>
      <c r="O93">
        <v>0</v>
      </c>
      <c r="P93">
        <v>0</v>
      </c>
      <c r="Q93">
        <v>0</v>
      </c>
      <c r="R93">
        <v>0</v>
      </c>
      <c r="S93">
        <v>9.25</v>
      </c>
      <c r="T93">
        <v>0</v>
      </c>
      <c r="U93">
        <v>0</v>
      </c>
      <c r="V93">
        <v>9.25</v>
      </c>
      <c r="W93" s="4">
        <v>2.5</v>
      </c>
      <c r="X93" s="4">
        <v>0</v>
      </c>
      <c r="Y93">
        <v>1</v>
      </c>
      <c r="Z93">
        <v>0</v>
      </c>
      <c r="AA93" s="4">
        <v>-90</v>
      </c>
      <c r="AB93" s="4">
        <v>0</v>
      </c>
      <c r="AC93" s="4">
        <v>29.75</v>
      </c>
      <c r="AD93" s="4">
        <v>29.75</v>
      </c>
      <c r="AE93" s="4">
        <v>0</v>
      </c>
      <c r="AF93" s="4">
        <v>29.75</v>
      </c>
      <c r="AG93" s="4">
        <v>32.25</v>
      </c>
      <c r="AH93" s="4">
        <v>32.25</v>
      </c>
      <c r="AI93" s="4">
        <v>0</v>
      </c>
      <c r="AJ93" s="4">
        <v>0</v>
      </c>
      <c r="AK93" s="4">
        <v>0</v>
      </c>
      <c r="AL93" s="4">
        <v>0</v>
      </c>
      <c r="AM93">
        <v>10</v>
      </c>
      <c r="AN93">
        <v>0</v>
      </c>
      <c r="AO93">
        <v>1</v>
      </c>
      <c r="AP93">
        <v>9</v>
      </c>
      <c r="AQ93">
        <v>9.25</v>
      </c>
      <c r="AR93">
        <v>0</v>
      </c>
      <c r="AS93">
        <v>0.25</v>
      </c>
      <c r="AT93">
        <v>9</v>
      </c>
      <c r="AU93">
        <v>0</v>
      </c>
      <c r="AV93">
        <v>0</v>
      </c>
      <c r="AW93">
        <v>0</v>
      </c>
      <c r="AX93">
        <v>0</v>
      </c>
      <c r="AY93">
        <v>0</v>
      </c>
    </row>
    <row r="94" spans="1:51">
      <c r="A94" t="s">
        <v>16999</v>
      </c>
      <c r="B94" t="s">
        <v>17000</v>
      </c>
      <c r="C94">
        <v>1</v>
      </c>
      <c r="D94">
        <v>26</v>
      </c>
      <c r="E94">
        <v>8</v>
      </c>
      <c r="F94">
        <v>20</v>
      </c>
      <c r="G94">
        <v>3</v>
      </c>
      <c r="H94">
        <v>3</v>
      </c>
      <c r="I94">
        <v>0</v>
      </c>
      <c r="J94">
        <v>26</v>
      </c>
      <c r="K94">
        <v>174</v>
      </c>
      <c r="L94">
        <v>21</v>
      </c>
      <c r="M94">
        <v>1</v>
      </c>
      <c r="N94">
        <v>0</v>
      </c>
      <c r="O94">
        <v>1</v>
      </c>
      <c r="P94">
        <v>2</v>
      </c>
      <c r="Q94">
        <v>1</v>
      </c>
      <c r="R94">
        <v>0</v>
      </c>
      <c r="S94">
        <v>49.5</v>
      </c>
      <c r="T94">
        <v>1</v>
      </c>
      <c r="U94">
        <v>3</v>
      </c>
      <c r="V94">
        <v>53.5</v>
      </c>
      <c r="W94" s="4">
        <v>512.5</v>
      </c>
      <c r="X94" s="4">
        <v>0</v>
      </c>
      <c r="Y94">
        <v>18</v>
      </c>
      <c r="Z94">
        <v>4</v>
      </c>
      <c r="AA94" s="4">
        <v>-2.5</v>
      </c>
      <c r="AB94" s="4">
        <v>135</v>
      </c>
      <c r="AC94" s="4">
        <v>33.99</v>
      </c>
      <c r="AD94" s="4">
        <v>11.74</v>
      </c>
      <c r="AE94" s="4">
        <v>22.25</v>
      </c>
      <c r="AF94" s="4">
        <v>146.74</v>
      </c>
      <c r="AG94" s="4">
        <v>606.49</v>
      </c>
      <c r="AH94" s="4">
        <v>584.24</v>
      </c>
      <c r="AI94" s="4">
        <v>22.25</v>
      </c>
      <c r="AJ94" s="4">
        <v>130</v>
      </c>
      <c r="AK94" s="4">
        <v>292.25</v>
      </c>
      <c r="AL94" s="4">
        <v>270</v>
      </c>
      <c r="AM94">
        <v>174</v>
      </c>
      <c r="AN94">
        <v>34</v>
      </c>
      <c r="AO94">
        <v>138</v>
      </c>
      <c r="AP94">
        <v>2</v>
      </c>
      <c r="AQ94">
        <v>49.5</v>
      </c>
      <c r="AR94">
        <v>21</v>
      </c>
      <c r="AS94">
        <v>28.25</v>
      </c>
      <c r="AT94">
        <v>0.25</v>
      </c>
      <c r="AU94">
        <v>1</v>
      </c>
      <c r="AV94">
        <v>0</v>
      </c>
      <c r="AW94">
        <v>1</v>
      </c>
      <c r="AX94">
        <v>0</v>
      </c>
      <c r="AY94">
        <v>1200</v>
      </c>
    </row>
    <row r="95" spans="1:51">
      <c r="A95" t="s">
        <v>16969</v>
      </c>
      <c r="B95" t="s">
        <v>16970</v>
      </c>
      <c r="C95">
        <v>0</v>
      </c>
      <c r="D95">
        <v>0</v>
      </c>
      <c r="E95">
        <v>0</v>
      </c>
      <c r="F95">
        <v>0</v>
      </c>
      <c r="G95">
        <v>0</v>
      </c>
      <c r="H95">
        <v>0</v>
      </c>
      <c r="I95">
        <v>0</v>
      </c>
      <c r="J95">
        <v>0</v>
      </c>
      <c r="K95">
        <v>0</v>
      </c>
      <c r="L95">
        <v>0</v>
      </c>
      <c r="M95">
        <v>0</v>
      </c>
      <c r="N95">
        <v>0</v>
      </c>
      <c r="O95">
        <v>0</v>
      </c>
      <c r="P95">
        <v>0</v>
      </c>
      <c r="Q95">
        <v>0</v>
      </c>
      <c r="R95">
        <v>0</v>
      </c>
      <c r="S95">
        <v>0</v>
      </c>
      <c r="T95">
        <v>0</v>
      </c>
      <c r="U95">
        <v>0</v>
      </c>
      <c r="V95">
        <v>0</v>
      </c>
      <c r="W95" s="4">
        <v>0</v>
      </c>
      <c r="X95" s="4">
        <v>0</v>
      </c>
      <c r="Y95">
        <v>0</v>
      </c>
      <c r="Z95">
        <v>0</v>
      </c>
      <c r="AA95" s="4">
        <v>0</v>
      </c>
      <c r="AB95" s="4">
        <v>0</v>
      </c>
      <c r="AC95" s="4">
        <v>0</v>
      </c>
      <c r="AD95" s="4">
        <v>0</v>
      </c>
      <c r="AE95" s="4">
        <v>0</v>
      </c>
      <c r="AF95" s="4">
        <v>0</v>
      </c>
      <c r="AG95" s="4">
        <v>0</v>
      </c>
      <c r="AH95" s="4">
        <v>0</v>
      </c>
      <c r="AI95" s="4">
        <v>0</v>
      </c>
      <c r="AJ95" s="4">
        <v>0</v>
      </c>
      <c r="AK95" s="4">
        <v>0</v>
      </c>
      <c r="AL95" s="4">
        <v>0</v>
      </c>
      <c r="AM95">
        <v>0</v>
      </c>
      <c r="AN95">
        <v>0</v>
      </c>
      <c r="AO95">
        <v>0</v>
      </c>
      <c r="AP95">
        <v>0</v>
      </c>
      <c r="AQ95">
        <v>0</v>
      </c>
      <c r="AR95">
        <v>0</v>
      </c>
      <c r="AS95">
        <v>0</v>
      </c>
      <c r="AT95">
        <v>0</v>
      </c>
      <c r="AU95">
        <v>0</v>
      </c>
      <c r="AV95">
        <v>0</v>
      </c>
      <c r="AW95">
        <v>0</v>
      </c>
      <c r="AX95">
        <v>0</v>
      </c>
      <c r="AY95">
        <v>0</v>
      </c>
    </row>
    <row r="96" spans="1:51">
      <c r="A96" t="s">
        <v>16969</v>
      </c>
      <c r="B96" t="s">
        <v>17326</v>
      </c>
      <c r="C96">
        <v>0</v>
      </c>
      <c r="D96">
        <v>23</v>
      </c>
      <c r="E96">
        <v>1</v>
      </c>
      <c r="F96">
        <v>23</v>
      </c>
      <c r="G96">
        <v>0</v>
      </c>
      <c r="H96">
        <v>0</v>
      </c>
      <c r="I96">
        <v>0</v>
      </c>
      <c r="J96">
        <v>23</v>
      </c>
      <c r="K96">
        <v>71</v>
      </c>
      <c r="L96">
        <v>21</v>
      </c>
      <c r="M96">
        <v>0</v>
      </c>
      <c r="N96">
        <v>2</v>
      </c>
      <c r="O96">
        <v>0</v>
      </c>
      <c r="P96">
        <v>0</v>
      </c>
      <c r="Q96">
        <v>0</v>
      </c>
      <c r="R96">
        <v>0</v>
      </c>
      <c r="S96">
        <v>8</v>
      </c>
      <c r="T96">
        <v>12.5</v>
      </c>
      <c r="U96">
        <v>0</v>
      </c>
      <c r="V96">
        <v>20.5</v>
      </c>
      <c r="W96" s="4">
        <v>330</v>
      </c>
      <c r="X96" s="4">
        <v>0</v>
      </c>
      <c r="Y96">
        <v>0</v>
      </c>
      <c r="Z96">
        <v>23</v>
      </c>
      <c r="AA96" s="4">
        <v>0</v>
      </c>
      <c r="AB96" s="4">
        <v>0</v>
      </c>
      <c r="AC96" s="4">
        <v>0</v>
      </c>
      <c r="AD96" s="4">
        <v>0</v>
      </c>
      <c r="AE96" s="4">
        <v>0</v>
      </c>
      <c r="AF96" s="4">
        <v>0</v>
      </c>
      <c r="AG96" s="4">
        <v>330</v>
      </c>
      <c r="AH96" s="4">
        <v>330</v>
      </c>
      <c r="AI96" s="4">
        <v>0</v>
      </c>
      <c r="AJ96" s="4">
        <v>0</v>
      </c>
      <c r="AK96" s="4">
        <v>0</v>
      </c>
      <c r="AL96" s="4">
        <v>0</v>
      </c>
      <c r="AM96">
        <v>71</v>
      </c>
      <c r="AN96">
        <v>0</v>
      </c>
      <c r="AO96">
        <v>71</v>
      </c>
      <c r="AP96">
        <v>0</v>
      </c>
      <c r="AQ96">
        <v>8</v>
      </c>
      <c r="AR96">
        <v>0</v>
      </c>
      <c r="AS96">
        <v>8</v>
      </c>
      <c r="AT96">
        <v>0</v>
      </c>
      <c r="AU96">
        <v>12.5</v>
      </c>
      <c r="AV96">
        <v>0</v>
      </c>
      <c r="AW96">
        <v>12.5</v>
      </c>
      <c r="AX96">
        <v>0</v>
      </c>
      <c r="AY96">
        <v>0</v>
      </c>
    </row>
    <row r="97" spans="1:51">
      <c r="A97" t="s">
        <v>16969</v>
      </c>
      <c r="B97" t="s">
        <v>17002</v>
      </c>
      <c r="C97">
        <v>0</v>
      </c>
      <c r="D97">
        <v>0</v>
      </c>
      <c r="E97">
        <v>0</v>
      </c>
      <c r="F97">
        <v>0</v>
      </c>
      <c r="G97">
        <v>0</v>
      </c>
      <c r="H97">
        <v>0</v>
      </c>
      <c r="I97">
        <v>0</v>
      </c>
      <c r="J97">
        <v>0</v>
      </c>
      <c r="K97">
        <v>0</v>
      </c>
      <c r="L97">
        <v>0</v>
      </c>
      <c r="M97">
        <v>0</v>
      </c>
      <c r="N97">
        <v>0</v>
      </c>
      <c r="O97">
        <v>0</v>
      </c>
      <c r="P97">
        <v>0</v>
      </c>
      <c r="Q97">
        <v>0</v>
      </c>
      <c r="R97">
        <v>0</v>
      </c>
      <c r="S97">
        <v>0</v>
      </c>
      <c r="T97">
        <v>0</v>
      </c>
      <c r="U97">
        <v>0</v>
      </c>
      <c r="V97">
        <v>0</v>
      </c>
      <c r="W97" s="4">
        <v>0</v>
      </c>
      <c r="X97" s="4">
        <v>0</v>
      </c>
      <c r="Y97">
        <v>0</v>
      </c>
      <c r="Z97">
        <v>0</v>
      </c>
      <c r="AA97" s="4">
        <v>0</v>
      </c>
      <c r="AB97" s="4">
        <v>0</v>
      </c>
      <c r="AC97" s="4">
        <v>0</v>
      </c>
      <c r="AD97" s="4">
        <v>0</v>
      </c>
      <c r="AE97" s="4">
        <v>0</v>
      </c>
      <c r="AF97" s="4">
        <v>0</v>
      </c>
      <c r="AG97" s="4">
        <v>0</v>
      </c>
      <c r="AH97" s="4">
        <v>0</v>
      </c>
      <c r="AI97" s="4">
        <v>0</v>
      </c>
      <c r="AJ97" s="4">
        <v>0</v>
      </c>
      <c r="AK97" s="4">
        <v>0</v>
      </c>
      <c r="AL97" s="4">
        <v>0</v>
      </c>
      <c r="AM97">
        <v>0</v>
      </c>
      <c r="AN97">
        <v>0</v>
      </c>
      <c r="AO97">
        <v>0</v>
      </c>
      <c r="AP97">
        <v>0</v>
      </c>
      <c r="AQ97">
        <v>0</v>
      </c>
      <c r="AR97">
        <v>0</v>
      </c>
      <c r="AS97">
        <v>0</v>
      </c>
      <c r="AT97">
        <v>0</v>
      </c>
      <c r="AU97">
        <v>0</v>
      </c>
      <c r="AV97">
        <v>0</v>
      </c>
      <c r="AW97">
        <v>0</v>
      </c>
      <c r="AX97">
        <v>0</v>
      </c>
      <c r="AY97">
        <v>808</v>
      </c>
    </row>
    <row r="98" spans="1:51">
      <c r="A98" t="s">
        <v>16969</v>
      </c>
      <c r="B98" t="s">
        <v>17003</v>
      </c>
      <c r="C98">
        <v>0</v>
      </c>
      <c r="D98">
        <v>0</v>
      </c>
      <c r="E98">
        <v>0</v>
      </c>
      <c r="F98">
        <v>0</v>
      </c>
      <c r="G98">
        <v>0</v>
      </c>
      <c r="H98">
        <v>0</v>
      </c>
      <c r="I98">
        <v>0</v>
      </c>
      <c r="J98">
        <v>0</v>
      </c>
      <c r="K98">
        <v>0</v>
      </c>
      <c r="L98">
        <v>0</v>
      </c>
      <c r="M98">
        <v>0</v>
      </c>
      <c r="N98">
        <v>0</v>
      </c>
      <c r="O98">
        <v>0</v>
      </c>
      <c r="P98">
        <v>0</v>
      </c>
      <c r="Q98">
        <v>0</v>
      </c>
      <c r="R98">
        <v>0</v>
      </c>
      <c r="S98">
        <v>0</v>
      </c>
      <c r="T98">
        <v>0</v>
      </c>
      <c r="U98">
        <v>0</v>
      </c>
      <c r="V98">
        <v>0</v>
      </c>
      <c r="W98" s="4">
        <v>0</v>
      </c>
      <c r="X98" s="4">
        <v>0</v>
      </c>
      <c r="Y98">
        <v>0</v>
      </c>
      <c r="Z98">
        <v>0</v>
      </c>
      <c r="AA98" s="4">
        <v>0</v>
      </c>
      <c r="AB98" s="4">
        <v>0</v>
      </c>
      <c r="AC98" s="4">
        <v>0</v>
      </c>
      <c r="AD98" s="4">
        <v>0</v>
      </c>
      <c r="AE98" s="4">
        <v>0</v>
      </c>
      <c r="AF98" s="4">
        <v>0</v>
      </c>
      <c r="AG98" s="4">
        <v>0</v>
      </c>
      <c r="AH98" s="4">
        <v>0</v>
      </c>
      <c r="AI98" s="4">
        <v>0</v>
      </c>
      <c r="AJ98" s="4">
        <v>0</v>
      </c>
      <c r="AK98" s="4">
        <v>0</v>
      </c>
      <c r="AL98" s="4">
        <v>0</v>
      </c>
      <c r="AM98">
        <v>0</v>
      </c>
      <c r="AN98">
        <v>0</v>
      </c>
      <c r="AO98">
        <v>0</v>
      </c>
      <c r="AP98">
        <v>0</v>
      </c>
      <c r="AQ98">
        <v>0</v>
      </c>
      <c r="AR98">
        <v>0</v>
      </c>
      <c r="AS98">
        <v>0</v>
      </c>
      <c r="AT98">
        <v>0</v>
      </c>
      <c r="AU98">
        <v>0</v>
      </c>
      <c r="AV98">
        <v>0</v>
      </c>
      <c r="AW98">
        <v>0</v>
      </c>
      <c r="AX98">
        <v>0</v>
      </c>
      <c r="AY98">
        <v>0</v>
      </c>
    </row>
    <row r="99" spans="1:51">
      <c r="A99" t="s">
        <v>16969</v>
      </c>
      <c r="B99" t="s">
        <v>17004</v>
      </c>
      <c r="C99">
        <v>0</v>
      </c>
      <c r="D99">
        <v>0</v>
      </c>
      <c r="E99">
        <v>0</v>
      </c>
      <c r="F99">
        <v>0</v>
      </c>
      <c r="G99">
        <v>0</v>
      </c>
      <c r="H99">
        <v>0</v>
      </c>
      <c r="I99">
        <v>0</v>
      </c>
      <c r="J99">
        <v>0</v>
      </c>
      <c r="K99">
        <v>0</v>
      </c>
      <c r="L99">
        <v>0</v>
      </c>
      <c r="M99">
        <v>0</v>
      </c>
      <c r="N99">
        <v>0</v>
      </c>
      <c r="O99">
        <v>0</v>
      </c>
      <c r="P99">
        <v>0</v>
      </c>
      <c r="Q99">
        <v>0</v>
      </c>
      <c r="R99">
        <v>0</v>
      </c>
      <c r="S99">
        <v>0</v>
      </c>
      <c r="T99">
        <v>0</v>
      </c>
      <c r="U99">
        <v>0</v>
      </c>
      <c r="V99">
        <v>0</v>
      </c>
      <c r="W99" s="4">
        <v>0</v>
      </c>
      <c r="X99" s="4">
        <v>0</v>
      </c>
      <c r="Y99">
        <v>0</v>
      </c>
      <c r="Z99">
        <v>0</v>
      </c>
      <c r="AA99" s="4">
        <v>0</v>
      </c>
      <c r="AB99" s="4">
        <v>0</v>
      </c>
      <c r="AC99" s="4">
        <v>0</v>
      </c>
      <c r="AD99" s="4">
        <v>0</v>
      </c>
      <c r="AE99" s="4">
        <v>0</v>
      </c>
      <c r="AF99" s="4">
        <v>0</v>
      </c>
      <c r="AG99" s="4">
        <v>0</v>
      </c>
      <c r="AH99" s="4">
        <v>0</v>
      </c>
      <c r="AI99" s="4">
        <v>0</v>
      </c>
      <c r="AJ99" s="4">
        <v>0</v>
      </c>
      <c r="AK99" s="4">
        <v>0</v>
      </c>
      <c r="AL99" s="4">
        <v>0</v>
      </c>
      <c r="AM99">
        <v>0</v>
      </c>
      <c r="AN99">
        <v>0</v>
      </c>
      <c r="AO99">
        <v>0</v>
      </c>
      <c r="AP99">
        <v>0</v>
      </c>
      <c r="AQ99">
        <v>0</v>
      </c>
      <c r="AR99">
        <v>0</v>
      </c>
      <c r="AS99">
        <v>0</v>
      </c>
      <c r="AT99">
        <v>0</v>
      </c>
      <c r="AU99">
        <v>0</v>
      </c>
      <c r="AV99">
        <v>0</v>
      </c>
      <c r="AW99">
        <v>0</v>
      </c>
      <c r="AX99">
        <v>0</v>
      </c>
      <c r="AY99">
        <v>0</v>
      </c>
    </row>
    <row r="100" spans="1:51">
      <c r="A100" t="s">
        <v>16969</v>
      </c>
      <c r="B100" t="s">
        <v>17006</v>
      </c>
      <c r="C100">
        <v>0</v>
      </c>
      <c r="D100">
        <v>1</v>
      </c>
      <c r="E100">
        <v>1</v>
      </c>
      <c r="F100">
        <v>0</v>
      </c>
      <c r="G100">
        <v>0</v>
      </c>
      <c r="H100">
        <v>0</v>
      </c>
      <c r="I100">
        <v>0</v>
      </c>
      <c r="J100">
        <v>1</v>
      </c>
      <c r="K100">
        <v>29</v>
      </c>
      <c r="L100">
        <v>1</v>
      </c>
      <c r="M100">
        <v>0</v>
      </c>
      <c r="N100">
        <v>0</v>
      </c>
      <c r="O100">
        <v>0</v>
      </c>
      <c r="P100">
        <v>0</v>
      </c>
      <c r="Q100">
        <v>0</v>
      </c>
      <c r="R100">
        <v>0</v>
      </c>
      <c r="S100">
        <v>3.75</v>
      </c>
      <c r="T100">
        <v>0</v>
      </c>
      <c r="U100">
        <v>0</v>
      </c>
      <c r="V100">
        <v>3.75</v>
      </c>
      <c r="W100" s="4">
        <v>37.5</v>
      </c>
      <c r="X100" s="4">
        <v>0</v>
      </c>
      <c r="Y100">
        <v>1</v>
      </c>
      <c r="Z100">
        <v>0</v>
      </c>
      <c r="AA100" s="4">
        <v>0</v>
      </c>
      <c r="AB100" s="4">
        <v>7.5</v>
      </c>
      <c r="AC100" s="4">
        <v>0</v>
      </c>
      <c r="AD100" s="4">
        <v>0</v>
      </c>
      <c r="AE100" s="4">
        <v>0</v>
      </c>
      <c r="AF100" s="4">
        <v>7.5</v>
      </c>
      <c r="AG100" s="4">
        <v>37.5</v>
      </c>
      <c r="AH100" s="4">
        <v>37.5</v>
      </c>
      <c r="AI100" s="4">
        <v>0</v>
      </c>
      <c r="AJ100" s="4">
        <v>0</v>
      </c>
      <c r="AK100" s="4">
        <v>0</v>
      </c>
      <c r="AL100" s="4">
        <v>0</v>
      </c>
      <c r="AM100">
        <v>29</v>
      </c>
      <c r="AN100">
        <v>0</v>
      </c>
      <c r="AO100">
        <v>29</v>
      </c>
      <c r="AP100">
        <v>0</v>
      </c>
      <c r="AQ100">
        <v>3.75</v>
      </c>
      <c r="AR100">
        <v>0</v>
      </c>
      <c r="AS100">
        <v>3.75</v>
      </c>
      <c r="AT100">
        <v>0</v>
      </c>
      <c r="AU100">
        <v>0</v>
      </c>
      <c r="AV100">
        <v>0</v>
      </c>
      <c r="AW100">
        <v>0</v>
      </c>
      <c r="AX100">
        <v>0</v>
      </c>
      <c r="AY100">
        <v>0</v>
      </c>
    </row>
    <row r="101" spans="1:51">
      <c r="A101" t="s">
        <v>16969</v>
      </c>
      <c r="B101" t="s">
        <v>17008</v>
      </c>
      <c r="C101">
        <v>0</v>
      </c>
      <c r="D101">
        <v>1</v>
      </c>
      <c r="E101">
        <v>1</v>
      </c>
      <c r="F101">
        <v>1</v>
      </c>
      <c r="G101">
        <v>0</v>
      </c>
      <c r="H101">
        <v>0</v>
      </c>
      <c r="I101">
        <v>0</v>
      </c>
      <c r="J101">
        <v>1</v>
      </c>
      <c r="K101">
        <v>7</v>
      </c>
      <c r="L101">
        <v>0</v>
      </c>
      <c r="M101">
        <v>1</v>
      </c>
      <c r="N101">
        <v>0</v>
      </c>
      <c r="O101">
        <v>0</v>
      </c>
      <c r="P101">
        <v>0</v>
      </c>
      <c r="Q101">
        <v>0</v>
      </c>
      <c r="R101">
        <v>0</v>
      </c>
      <c r="S101">
        <v>0.5</v>
      </c>
      <c r="T101">
        <v>1</v>
      </c>
      <c r="U101">
        <v>0</v>
      </c>
      <c r="V101">
        <v>1.5</v>
      </c>
      <c r="W101" s="4">
        <v>25</v>
      </c>
      <c r="X101" s="4">
        <v>0</v>
      </c>
      <c r="Y101">
        <v>1</v>
      </c>
      <c r="Z101">
        <v>0</v>
      </c>
      <c r="AA101" s="4">
        <v>0</v>
      </c>
      <c r="AB101" s="4">
        <v>0</v>
      </c>
      <c r="AC101" s="4">
        <v>0</v>
      </c>
      <c r="AD101" s="4">
        <v>0</v>
      </c>
      <c r="AE101" s="4">
        <v>0</v>
      </c>
      <c r="AF101" s="4">
        <v>0</v>
      </c>
      <c r="AG101" s="4">
        <v>25</v>
      </c>
      <c r="AH101" s="4">
        <v>25</v>
      </c>
      <c r="AI101" s="4">
        <v>0</v>
      </c>
      <c r="AJ101" s="4">
        <v>0</v>
      </c>
      <c r="AK101" s="4">
        <v>0</v>
      </c>
      <c r="AL101" s="4">
        <v>0</v>
      </c>
      <c r="AM101">
        <v>7</v>
      </c>
      <c r="AN101">
        <v>0</v>
      </c>
      <c r="AO101">
        <v>7</v>
      </c>
      <c r="AP101">
        <v>0</v>
      </c>
      <c r="AQ101">
        <v>0.5</v>
      </c>
      <c r="AR101">
        <v>0</v>
      </c>
      <c r="AS101">
        <v>0.5</v>
      </c>
      <c r="AT101">
        <v>0</v>
      </c>
      <c r="AU101">
        <v>1</v>
      </c>
      <c r="AV101">
        <v>0</v>
      </c>
      <c r="AW101">
        <v>1</v>
      </c>
      <c r="AX101">
        <v>0</v>
      </c>
      <c r="AY101">
        <v>0</v>
      </c>
    </row>
    <row r="102" spans="1:51">
      <c r="A102" t="s">
        <v>16969</v>
      </c>
      <c r="B102" t="s">
        <v>17012</v>
      </c>
      <c r="C102">
        <v>0</v>
      </c>
      <c r="D102">
        <v>1</v>
      </c>
      <c r="E102">
        <v>1</v>
      </c>
      <c r="F102">
        <v>1</v>
      </c>
      <c r="G102">
        <v>0</v>
      </c>
      <c r="H102">
        <v>0</v>
      </c>
      <c r="I102">
        <v>0</v>
      </c>
      <c r="J102">
        <v>1</v>
      </c>
      <c r="K102">
        <v>3</v>
      </c>
      <c r="L102">
        <v>1</v>
      </c>
      <c r="M102">
        <v>0</v>
      </c>
      <c r="N102">
        <v>0</v>
      </c>
      <c r="O102">
        <v>0</v>
      </c>
      <c r="P102">
        <v>0</v>
      </c>
      <c r="Q102">
        <v>0</v>
      </c>
      <c r="R102">
        <v>0</v>
      </c>
      <c r="S102">
        <v>0</v>
      </c>
      <c r="T102">
        <v>0.5</v>
      </c>
      <c r="U102">
        <v>0</v>
      </c>
      <c r="V102">
        <v>0.5</v>
      </c>
      <c r="W102" s="4">
        <v>10</v>
      </c>
      <c r="X102" s="4">
        <v>0</v>
      </c>
      <c r="Y102">
        <v>0</v>
      </c>
      <c r="Z102">
        <v>1</v>
      </c>
      <c r="AA102" s="4">
        <v>0</v>
      </c>
      <c r="AB102" s="4">
        <v>0</v>
      </c>
      <c r="AC102" s="4">
        <v>0</v>
      </c>
      <c r="AD102" s="4">
        <v>0</v>
      </c>
      <c r="AE102" s="4">
        <v>0</v>
      </c>
      <c r="AF102" s="4">
        <v>0</v>
      </c>
      <c r="AG102" s="4">
        <v>10</v>
      </c>
      <c r="AH102" s="4">
        <v>10</v>
      </c>
      <c r="AI102" s="4">
        <v>0</v>
      </c>
      <c r="AJ102" s="4">
        <v>0</v>
      </c>
      <c r="AK102" s="4">
        <v>0</v>
      </c>
      <c r="AL102" s="4">
        <v>0</v>
      </c>
      <c r="AM102">
        <v>3</v>
      </c>
      <c r="AN102">
        <v>0</v>
      </c>
      <c r="AO102">
        <v>3</v>
      </c>
      <c r="AP102">
        <v>0</v>
      </c>
      <c r="AQ102">
        <v>0</v>
      </c>
      <c r="AR102">
        <v>0</v>
      </c>
      <c r="AS102">
        <v>0</v>
      </c>
      <c r="AT102">
        <v>0</v>
      </c>
      <c r="AU102">
        <v>0.5</v>
      </c>
      <c r="AV102">
        <v>0</v>
      </c>
      <c r="AW102">
        <v>0.5</v>
      </c>
      <c r="AX102">
        <v>0</v>
      </c>
      <c r="AY102">
        <v>0</v>
      </c>
    </row>
    <row r="103" spans="1:51">
      <c r="A103" t="s">
        <v>16969</v>
      </c>
      <c r="B103" t="s">
        <v>17013</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s="4">
        <v>0</v>
      </c>
      <c r="X103" s="4">
        <v>0</v>
      </c>
      <c r="Y103">
        <v>0</v>
      </c>
      <c r="Z103">
        <v>0</v>
      </c>
      <c r="AA103" s="4">
        <v>0</v>
      </c>
      <c r="AB103" s="4">
        <v>0</v>
      </c>
      <c r="AC103" s="4">
        <v>0</v>
      </c>
      <c r="AD103" s="4">
        <v>0</v>
      </c>
      <c r="AE103" s="4">
        <v>0</v>
      </c>
      <c r="AF103" s="4">
        <v>0</v>
      </c>
      <c r="AG103" s="4">
        <v>0</v>
      </c>
      <c r="AH103" s="4">
        <v>0</v>
      </c>
      <c r="AI103" s="4">
        <v>0</v>
      </c>
      <c r="AJ103" s="4">
        <v>0</v>
      </c>
      <c r="AK103" s="4">
        <v>0</v>
      </c>
      <c r="AL103" s="4">
        <v>0</v>
      </c>
      <c r="AM103">
        <v>0</v>
      </c>
      <c r="AN103">
        <v>0</v>
      </c>
      <c r="AO103">
        <v>0</v>
      </c>
      <c r="AP103">
        <v>0</v>
      </c>
      <c r="AQ103">
        <v>0</v>
      </c>
      <c r="AR103">
        <v>0</v>
      </c>
      <c r="AS103">
        <v>0</v>
      </c>
      <c r="AT103">
        <v>0</v>
      </c>
      <c r="AU103">
        <v>0</v>
      </c>
      <c r="AV103">
        <v>0</v>
      </c>
      <c r="AW103">
        <v>0</v>
      </c>
      <c r="AX103">
        <v>0</v>
      </c>
      <c r="AY103">
        <v>0</v>
      </c>
    </row>
    <row r="104" spans="1:51">
      <c r="A104" t="s">
        <v>16969</v>
      </c>
      <c r="B104" t="s">
        <v>17014</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s="4">
        <v>0</v>
      </c>
      <c r="X104" s="4">
        <v>0</v>
      </c>
      <c r="Y104">
        <v>0</v>
      </c>
      <c r="Z104">
        <v>0</v>
      </c>
      <c r="AA104" s="4">
        <v>0</v>
      </c>
      <c r="AB104" s="4">
        <v>0</v>
      </c>
      <c r="AC104" s="4">
        <v>0</v>
      </c>
      <c r="AD104" s="4">
        <v>0</v>
      </c>
      <c r="AE104" s="4">
        <v>0</v>
      </c>
      <c r="AF104" s="4">
        <v>0</v>
      </c>
      <c r="AG104" s="4">
        <v>0</v>
      </c>
      <c r="AH104" s="4">
        <v>0</v>
      </c>
      <c r="AI104" s="4">
        <v>0</v>
      </c>
      <c r="AJ104" s="4">
        <v>0</v>
      </c>
      <c r="AK104" s="4">
        <v>0</v>
      </c>
      <c r="AL104" s="4">
        <v>0</v>
      </c>
      <c r="AM104">
        <v>0</v>
      </c>
      <c r="AN104">
        <v>0</v>
      </c>
      <c r="AO104">
        <v>0</v>
      </c>
      <c r="AP104">
        <v>0</v>
      </c>
      <c r="AQ104">
        <v>0</v>
      </c>
      <c r="AR104">
        <v>0</v>
      </c>
      <c r="AS104">
        <v>0</v>
      </c>
      <c r="AT104">
        <v>0</v>
      </c>
      <c r="AU104">
        <v>0</v>
      </c>
      <c r="AV104">
        <v>0</v>
      </c>
      <c r="AW104">
        <v>0</v>
      </c>
      <c r="AX104">
        <v>0</v>
      </c>
      <c r="AY104">
        <v>0</v>
      </c>
    </row>
    <row r="105" spans="1:51">
      <c r="A105" t="s">
        <v>16969</v>
      </c>
      <c r="B105" t="s">
        <v>17015</v>
      </c>
      <c r="C105">
        <v>0</v>
      </c>
      <c r="D105">
        <v>1</v>
      </c>
      <c r="E105">
        <v>1</v>
      </c>
      <c r="F105">
        <v>1</v>
      </c>
      <c r="G105">
        <v>0</v>
      </c>
      <c r="H105">
        <v>0</v>
      </c>
      <c r="I105">
        <v>0</v>
      </c>
      <c r="J105">
        <v>1</v>
      </c>
      <c r="K105">
        <v>3</v>
      </c>
      <c r="L105">
        <v>1</v>
      </c>
      <c r="M105">
        <v>0</v>
      </c>
      <c r="N105">
        <v>0</v>
      </c>
      <c r="O105">
        <v>0</v>
      </c>
      <c r="P105">
        <v>0</v>
      </c>
      <c r="Q105">
        <v>0</v>
      </c>
      <c r="R105">
        <v>0</v>
      </c>
      <c r="S105">
        <v>0.25</v>
      </c>
      <c r="T105">
        <v>0</v>
      </c>
      <c r="U105">
        <v>0</v>
      </c>
      <c r="V105">
        <v>0.25</v>
      </c>
      <c r="W105" s="4">
        <v>2.5</v>
      </c>
      <c r="X105" s="4">
        <v>0</v>
      </c>
      <c r="Y105">
        <v>1</v>
      </c>
      <c r="Z105">
        <v>0</v>
      </c>
      <c r="AA105" s="4">
        <v>0</v>
      </c>
      <c r="AB105" s="4">
        <v>0</v>
      </c>
      <c r="AC105" s="4">
        <v>0</v>
      </c>
      <c r="AD105" s="4">
        <v>0</v>
      </c>
      <c r="AE105" s="4">
        <v>0</v>
      </c>
      <c r="AF105" s="4">
        <v>0</v>
      </c>
      <c r="AG105" s="4">
        <v>2.5</v>
      </c>
      <c r="AH105" s="4">
        <v>2.5</v>
      </c>
      <c r="AI105" s="4">
        <v>0</v>
      </c>
      <c r="AJ105" s="4">
        <v>0</v>
      </c>
      <c r="AK105" s="4">
        <v>0</v>
      </c>
      <c r="AL105" s="4">
        <v>0</v>
      </c>
      <c r="AM105">
        <v>3</v>
      </c>
      <c r="AN105">
        <v>0</v>
      </c>
      <c r="AO105">
        <v>3</v>
      </c>
      <c r="AP105">
        <v>0</v>
      </c>
      <c r="AQ105">
        <v>0.25</v>
      </c>
      <c r="AR105">
        <v>0</v>
      </c>
      <c r="AS105">
        <v>0.25</v>
      </c>
      <c r="AT105">
        <v>0</v>
      </c>
      <c r="AU105">
        <v>0</v>
      </c>
      <c r="AV105">
        <v>0</v>
      </c>
      <c r="AW105">
        <v>0</v>
      </c>
      <c r="AX105">
        <v>0</v>
      </c>
      <c r="AY105">
        <v>0</v>
      </c>
    </row>
    <row r="106" spans="1:51">
      <c r="A106" t="s">
        <v>16969</v>
      </c>
      <c r="B106" t="s">
        <v>17016</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s="4">
        <v>0</v>
      </c>
      <c r="X106" s="4">
        <v>0</v>
      </c>
      <c r="Y106">
        <v>0</v>
      </c>
      <c r="Z106">
        <v>0</v>
      </c>
      <c r="AA106" s="4">
        <v>0</v>
      </c>
      <c r="AB106" s="4">
        <v>0</v>
      </c>
      <c r="AC106" s="4">
        <v>0</v>
      </c>
      <c r="AD106" s="4">
        <v>0</v>
      </c>
      <c r="AE106" s="4">
        <v>0</v>
      </c>
      <c r="AF106" s="4">
        <v>0</v>
      </c>
      <c r="AG106" s="4">
        <v>0</v>
      </c>
      <c r="AH106" s="4">
        <v>0</v>
      </c>
      <c r="AI106" s="4">
        <v>0</v>
      </c>
      <c r="AJ106" s="4">
        <v>0</v>
      </c>
      <c r="AK106" s="4">
        <v>0</v>
      </c>
      <c r="AL106" s="4">
        <v>0</v>
      </c>
      <c r="AM106">
        <v>0</v>
      </c>
      <c r="AN106">
        <v>0</v>
      </c>
      <c r="AO106">
        <v>0</v>
      </c>
      <c r="AP106">
        <v>0</v>
      </c>
      <c r="AQ106">
        <v>0</v>
      </c>
      <c r="AR106">
        <v>0</v>
      </c>
      <c r="AS106">
        <v>0</v>
      </c>
      <c r="AT106">
        <v>0</v>
      </c>
      <c r="AU106">
        <v>0</v>
      </c>
      <c r="AV106">
        <v>0</v>
      </c>
      <c r="AW106">
        <v>0</v>
      </c>
      <c r="AX106">
        <v>0</v>
      </c>
      <c r="AY106">
        <v>0</v>
      </c>
    </row>
    <row r="107" spans="1:51">
      <c r="A107" t="s">
        <v>16969</v>
      </c>
      <c r="B107" t="s">
        <v>17017</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s="4">
        <v>0</v>
      </c>
      <c r="X107" s="4">
        <v>0</v>
      </c>
      <c r="Y107">
        <v>0</v>
      </c>
      <c r="Z107">
        <v>0</v>
      </c>
      <c r="AA107" s="4">
        <v>0</v>
      </c>
      <c r="AB107" s="4">
        <v>0</v>
      </c>
      <c r="AC107" s="4">
        <v>0</v>
      </c>
      <c r="AD107" s="4">
        <v>0</v>
      </c>
      <c r="AE107" s="4">
        <v>0</v>
      </c>
      <c r="AF107" s="4">
        <v>0</v>
      </c>
      <c r="AG107" s="4">
        <v>0</v>
      </c>
      <c r="AH107" s="4">
        <v>0</v>
      </c>
      <c r="AI107" s="4">
        <v>0</v>
      </c>
      <c r="AJ107" s="4">
        <v>0</v>
      </c>
      <c r="AK107" s="4">
        <v>0</v>
      </c>
      <c r="AL107" s="4">
        <v>0</v>
      </c>
      <c r="AM107">
        <v>0</v>
      </c>
      <c r="AN107">
        <v>0</v>
      </c>
      <c r="AO107">
        <v>0</v>
      </c>
      <c r="AP107">
        <v>0</v>
      </c>
      <c r="AQ107">
        <v>0</v>
      </c>
      <c r="AR107">
        <v>0</v>
      </c>
      <c r="AS107">
        <v>0</v>
      </c>
      <c r="AT107">
        <v>0</v>
      </c>
      <c r="AU107">
        <v>0</v>
      </c>
      <c r="AV107">
        <v>0</v>
      </c>
      <c r="AW107">
        <v>0</v>
      </c>
      <c r="AX107">
        <v>0</v>
      </c>
      <c r="AY107">
        <v>0</v>
      </c>
    </row>
    <row r="108" spans="1:51">
      <c r="A108" t="s">
        <v>16969</v>
      </c>
      <c r="B108" t="s">
        <v>17018</v>
      </c>
      <c r="C108">
        <v>0</v>
      </c>
      <c r="D108">
        <v>2</v>
      </c>
      <c r="E108">
        <v>2</v>
      </c>
      <c r="F108">
        <v>2</v>
      </c>
      <c r="G108">
        <v>0</v>
      </c>
      <c r="H108">
        <v>0</v>
      </c>
      <c r="I108">
        <v>0</v>
      </c>
      <c r="J108">
        <v>2</v>
      </c>
      <c r="K108">
        <v>12</v>
      </c>
      <c r="L108">
        <v>2</v>
      </c>
      <c r="M108">
        <v>0</v>
      </c>
      <c r="N108">
        <v>0</v>
      </c>
      <c r="O108">
        <v>0</v>
      </c>
      <c r="P108">
        <v>0</v>
      </c>
      <c r="Q108">
        <v>0</v>
      </c>
      <c r="R108">
        <v>0</v>
      </c>
      <c r="S108">
        <v>0</v>
      </c>
      <c r="T108">
        <v>22.5</v>
      </c>
      <c r="U108">
        <v>0</v>
      </c>
      <c r="V108">
        <v>22.5</v>
      </c>
      <c r="W108" s="4">
        <v>450</v>
      </c>
      <c r="X108" s="4">
        <v>0</v>
      </c>
      <c r="Y108">
        <v>0</v>
      </c>
      <c r="Z108">
        <v>2</v>
      </c>
      <c r="AA108" s="4">
        <v>0</v>
      </c>
      <c r="AB108" s="4">
        <v>330</v>
      </c>
      <c r="AC108" s="4">
        <v>0</v>
      </c>
      <c r="AD108" s="4">
        <v>0</v>
      </c>
      <c r="AE108" s="4">
        <v>0</v>
      </c>
      <c r="AF108" s="4">
        <v>330</v>
      </c>
      <c r="AG108" s="4">
        <v>450</v>
      </c>
      <c r="AH108" s="4">
        <v>450</v>
      </c>
      <c r="AI108" s="4">
        <v>0</v>
      </c>
      <c r="AJ108" s="4">
        <v>0</v>
      </c>
      <c r="AK108" s="4">
        <v>0</v>
      </c>
      <c r="AL108" s="4">
        <v>0</v>
      </c>
      <c r="AM108">
        <v>12</v>
      </c>
      <c r="AN108">
        <v>0</v>
      </c>
      <c r="AO108">
        <v>12</v>
      </c>
      <c r="AP108">
        <v>0</v>
      </c>
      <c r="AQ108">
        <v>0</v>
      </c>
      <c r="AR108">
        <v>0</v>
      </c>
      <c r="AS108">
        <v>0</v>
      </c>
      <c r="AT108">
        <v>0</v>
      </c>
      <c r="AU108">
        <v>22.5</v>
      </c>
      <c r="AV108">
        <v>0</v>
      </c>
      <c r="AW108">
        <v>22.5</v>
      </c>
      <c r="AX108">
        <v>0</v>
      </c>
      <c r="AY108">
        <v>0</v>
      </c>
    </row>
    <row r="109" spans="1:51">
      <c r="A109" t="s">
        <v>16969</v>
      </c>
      <c r="B109" t="s">
        <v>17019</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s="4">
        <v>0</v>
      </c>
      <c r="X109" s="4">
        <v>0</v>
      </c>
      <c r="Y109">
        <v>0</v>
      </c>
      <c r="Z109">
        <v>0</v>
      </c>
      <c r="AA109" s="4">
        <v>0</v>
      </c>
      <c r="AB109" s="4">
        <v>0</v>
      </c>
      <c r="AC109" s="4">
        <v>0</v>
      </c>
      <c r="AD109" s="4">
        <v>0</v>
      </c>
      <c r="AE109" s="4">
        <v>0</v>
      </c>
      <c r="AF109" s="4">
        <v>0</v>
      </c>
      <c r="AG109" s="4">
        <v>0</v>
      </c>
      <c r="AH109" s="4">
        <v>0</v>
      </c>
      <c r="AI109" s="4">
        <v>0</v>
      </c>
      <c r="AJ109" s="4">
        <v>0</v>
      </c>
      <c r="AK109" s="4">
        <v>0</v>
      </c>
      <c r="AL109" s="4">
        <v>0</v>
      </c>
      <c r="AM109">
        <v>0</v>
      </c>
      <c r="AN109">
        <v>0</v>
      </c>
      <c r="AO109">
        <v>0</v>
      </c>
      <c r="AP109">
        <v>0</v>
      </c>
      <c r="AQ109">
        <v>0</v>
      </c>
      <c r="AR109">
        <v>0</v>
      </c>
      <c r="AS109">
        <v>0</v>
      </c>
      <c r="AT109">
        <v>0</v>
      </c>
      <c r="AU109">
        <v>0</v>
      </c>
      <c r="AV109">
        <v>0</v>
      </c>
      <c r="AW109">
        <v>0</v>
      </c>
      <c r="AX109">
        <v>0</v>
      </c>
      <c r="AY109">
        <v>543</v>
      </c>
    </row>
    <row r="110" spans="1:51">
      <c r="A110" t="s">
        <v>16969</v>
      </c>
      <c r="B110" t="s">
        <v>17020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s="4">
        <v>0</v>
      </c>
      <c r="X110" s="4">
        <v>0</v>
      </c>
      <c r="Y110">
        <v>0</v>
      </c>
      <c r="Z110">
        <v>0</v>
      </c>
      <c r="AA110" s="4">
        <v>0</v>
      </c>
      <c r="AB110" s="4">
        <v>0</v>
      </c>
      <c r="AC110" s="4">
        <v>0</v>
      </c>
      <c r="AD110" s="4">
        <v>0</v>
      </c>
      <c r="AE110" s="4">
        <v>0</v>
      </c>
      <c r="AF110" s="4">
        <v>0</v>
      </c>
      <c r="AG110" s="4">
        <v>0</v>
      </c>
      <c r="AH110" s="4">
        <v>0</v>
      </c>
      <c r="AI110" s="4">
        <v>0</v>
      </c>
      <c r="AJ110" s="4">
        <v>0</v>
      </c>
      <c r="AK110" s="4">
        <v>0</v>
      </c>
      <c r="AL110" s="4">
        <v>0</v>
      </c>
      <c r="AM110">
        <v>0</v>
      </c>
      <c r="AN110">
        <v>0</v>
      </c>
      <c r="AO110">
        <v>0</v>
      </c>
      <c r="AP110">
        <v>0</v>
      </c>
      <c r="AQ110">
        <v>0</v>
      </c>
      <c r="AR110">
        <v>0</v>
      </c>
      <c r="AS110">
        <v>0</v>
      </c>
      <c r="AT110">
        <v>0</v>
      </c>
      <c r="AU110">
        <v>0</v>
      </c>
      <c r="AV110">
        <v>0</v>
      </c>
      <c r="AW110">
        <v>0</v>
      </c>
      <c r="AX110">
        <v>0</v>
      </c>
      <c r="AY110">
        <v>0</v>
      </c>
    </row>
    <row r="111" spans="1:51">
      <c r="A111" t="s">
        <v>16969</v>
      </c>
      <c r="B111" t="s">
        <v>17021</v>
      </c>
      <c r="C111">
        <v>1</v>
      </c>
      <c r="D111">
        <v>2</v>
      </c>
      <c r="E111">
        <v>0</v>
      </c>
      <c r="F111">
        <v>2</v>
      </c>
      <c r="G111">
        <v>0</v>
      </c>
      <c r="H111">
        <v>0</v>
      </c>
      <c r="I111">
        <v>0</v>
      </c>
      <c r="J111">
        <v>2</v>
      </c>
      <c r="K111">
        <v>2</v>
      </c>
      <c r="L111">
        <v>2</v>
      </c>
      <c r="M111">
        <v>0</v>
      </c>
      <c r="N111">
        <v>0</v>
      </c>
      <c r="O111">
        <v>0</v>
      </c>
      <c r="P111">
        <v>0</v>
      </c>
      <c r="Q111">
        <v>0</v>
      </c>
      <c r="R111">
        <v>0</v>
      </c>
      <c r="S111">
        <v>0.5</v>
      </c>
      <c r="T111">
        <v>0.5</v>
      </c>
      <c r="U111">
        <v>0</v>
      </c>
      <c r="V111">
        <v>1</v>
      </c>
      <c r="W111" s="4">
        <v>7.5</v>
      </c>
      <c r="X111" s="4">
        <v>0</v>
      </c>
      <c r="Y111">
        <v>1</v>
      </c>
      <c r="Z111">
        <v>0</v>
      </c>
      <c r="AA111" s="4">
        <v>-7.5</v>
      </c>
      <c r="AB111" s="4">
        <v>0</v>
      </c>
      <c r="AC111" s="4">
        <v>0</v>
      </c>
      <c r="AD111" s="4">
        <v>0</v>
      </c>
      <c r="AE111" s="4">
        <v>0</v>
      </c>
      <c r="AF111" s="4">
        <v>0</v>
      </c>
      <c r="AG111" s="4">
        <v>7.5</v>
      </c>
      <c r="AH111" s="4">
        <v>7.5</v>
      </c>
      <c r="AI111" s="4">
        <v>0</v>
      </c>
      <c r="AJ111" s="4">
        <v>0</v>
      </c>
      <c r="AK111" s="4">
        <v>0</v>
      </c>
      <c r="AL111" s="4">
        <v>0</v>
      </c>
      <c r="AM111">
        <v>2</v>
      </c>
      <c r="AN111">
        <v>0</v>
      </c>
      <c r="AO111">
        <v>1</v>
      </c>
      <c r="AP111">
        <v>1</v>
      </c>
      <c r="AQ111">
        <v>0.5</v>
      </c>
      <c r="AR111">
        <v>0</v>
      </c>
      <c r="AS111">
        <v>0.25</v>
      </c>
      <c r="AT111">
        <v>0.25</v>
      </c>
      <c r="AU111">
        <v>0.5</v>
      </c>
      <c r="AV111">
        <v>0</v>
      </c>
      <c r="AW111">
        <v>0.25</v>
      </c>
      <c r="AX111">
        <v>0.25</v>
      </c>
      <c r="AY111">
        <v>0</v>
      </c>
    </row>
    <row r="112" spans="1:51">
      <c r="A112" t="s">
        <v>16969</v>
      </c>
      <c r="B112" t="s">
        <v>17022</v>
      </c>
      <c r="C112">
        <v>0</v>
      </c>
      <c r="D112">
        <v>5</v>
      </c>
      <c r="E112">
        <v>5</v>
      </c>
      <c r="F112">
        <v>3</v>
      </c>
      <c r="G112">
        <v>4</v>
      </c>
      <c r="H112">
        <v>0</v>
      </c>
      <c r="I112">
        <v>0</v>
      </c>
      <c r="J112">
        <v>5</v>
      </c>
      <c r="K112">
        <v>74</v>
      </c>
      <c r="L112">
        <v>1</v>
      </c>
      <c r="M112">
        <v>3</v>
      </c>
      <c r="N112">
        <v>1</v>
      </c>
      <c r="O112">
        <v>0</v>
      </c>
      <c r="P112">
        <v>0</v>
      </c>
      <c r="Q112">
        <v>0</v>
      </c>
      <c r="R112">
        <v>0</v>
      </c>
      <c r="S112">
        <v>4</v>
      </c>
      <c r="T112">
        <v>0</v>
      </c>
      <c r="U112">
        <v>1.5</v>
      </c>
      <c r="V112">
        <v>5.5</v>
      </c>
      <c r="W112" s="4">
        <v>40</v>
      </c>
      <c r="X112" s="4">
        <v>0</v>
      </c>
      <c r="Y112">
        <v>5</v>
      </c>
      <c r="Z112">
        <v>0</v>
      </c>
      <c r="AA112" s="4">
        <v>0</v>
      </c>
      <c r="AB112" s="4">
        <v>0</v>
      </c>
      <c r="AC112" s="4">
        <v>0</v>
      </c>
      <c r="AD112" s="4">
        <v>0</v>
      </c>
      <c r="AE112" s="4">
        <v>0</v>
      </c>
      <c r="AF112" s="4">
        <v>0</v>
      </c>
      <c r="AG112" s="4">
        <v>70</v>
      </c>
      <c r="AH112" s="4">
        <v>70</v>
      </c>
      <c r="AI112" s="4">
        <v>0</v>
      </c>
      <c r="AJ112" s="4">
        <v>0</v>
      </c>
      <c r="AK112" s="4">
        <v>0</v>
      </c>
      <c r="AL112" s="4">
        <v>0</v>
      </c>
      <c r="AM112">
        <v>74</v>
      </c>
      <c r="AN112">
        <v>0</v>
      </c>
      <c r="AO112">
        <v>74</v>
      </c>
      <c r="AP112">
        <v>0</v>
      </c>
      <c r="AQ112">
        <v>4</v>
      </c>
      <c r="AR112">
        <v>0</v>
      </c>
      <c r="AS112">
        <v>4</v>
      </c>
      <c r="AT112">
        <v>0</v>
      </c>
      <c r="AU112">
        <v>0</v>
      </c>
      <c r="AV112">
        <v>0</v>
      </c>
      <c r="AW112">
        <v>0</v>
      </c>
      <c r="AX112">
        <v>0</v>
      </c>
      <c r="AY112">
        <v>0</v>
      </c>
    </row>
    <row r="113" spans="1:51">
      <c r="A113" t="s">
        <v>16969</v>
      </c>
      <c r="B113" t="s">
        <v>17023</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s="4">
        <v>0</v>
      </c>
      <c r="X113" s="4">
        <v>0</v>
      </c>
      <c r="Y113">
        <v>0</v>
      </c>
      <c r="Z113">
        <v>0</v>
      </c>
      <c r="AA113" s="4">
        <v>0</v>
      </c>
      <c r="AB113" s="4">
        <v>0</v>
      </c>
      <c r="AC113" s="4">
        <v>0</v>
      </c>
      <c r="AD113" s="4">
        <v>0</v>
      </c>
      <c r="AE113" s="4">
        <v>0</v>
      </c>
      <c r="AF113" s="4">
        <v>0</v>
      </c>
      <c r="AG113" s="4">
        <v>0</v>
      </c>
      <c r="AH113" s="4">
        <v>0</v>
      </c>
      <c r="AI113" s="4">
        <v>0</v>
      </c>
      <c r="AJ113" s="4">
        <v>0</v>
      </c>
      <c r="AK113" s="4">
        <v>0</v>
      </c>
      <c r="AL113" s="4">
        <v>0</v>
      </c>
      <c r="AM113">
        <v>0</v>
      </c>
      <c r="AN113">
        <v>0</v>
      </c>
      <c r="AO113">
        <v>0</v>
      </c>
      <c r="AP113">
        <v>0</v>
      </c>
      <c r="AQ113">
        <v>0</v>
      </c>
      <c r="AR113">
        <v>0</v>
      </c>
      <c r="AS113">
        <v>0</v>
      </c>
      <c r="AT113">
        <v>0</v>
      </c>
      <c r="AU113">
        <v>0</v>
      </c>
      <c r="AV113">
        <v>0</v>
      </c>
      <c r="AW113">
        <v>0</v>
      </c>
      <c r="AX113">
        <v>0</v>
      </c>
      <c r="AY113">
        <v>0</v>
      </c>
    </row>
    <row r="114" spans="1:51">
      <c r="A114" t="s">
        <v>16969</v>
      </c>
      <c r="B114" t="s">
        <v>17024</v>
      </c>
      <c r="C114">
        <v>10</v>
      </c>
      <c r="D114">
        <v>10</v>
      </c>
      <c r="E114">
        <v>10</v>
      </c>
      <c r="F114">
        <v>10</v>
      </c>
      <c r="G114">
        <v>0</v>
      </c>
      <c r="H114">
        <v>0</v>
      </c>
      <c r="I114">
        <v>0</v>
      </c>
      <c r="J114">
        <v>10</v>
      </c>
      <c r="K114">
        <v>306</v>
      </c>
      <c r="L114">
        <v>4</v>
      </c>
      <c r="M114">
        <v>1</v>
      </c>
      <c r="N114">
        <v>0</v>
      </c>
      <c r="O114">
        <v>3</v>
      </c>
      <c r="P114">
        <v>2</v>
      </c>
      <c r="Q114">
        <v>0</v>
      </c>
      <c r="R114">
        <v>0</v>
      </c>
      <c r="S114">
        <v>4.25</v>
      </c>
      <c r="T114">
        <v>3.25</v>
      </c>
      <c r="U114">
        <v>0</v>
      </c>
      <c r="V114">
        <v>7.5</v>
      </c>
      <c r="W114" s="4">
        <v>0</v>
      </c>
      <c r="X114" s="4">
        <v>0</v>
      </c>
      <c r="Y114">
        <v>0</v>
      </c>
      <c r="Z114">
        <v>0</v>
      </c>
      <c r="AA114" s="4">
        <v>-107.5</v>
      </c>
      <c r="AB114" s="4">
        <v>0</v>
      </c>
      <c r="AC114" s="4">
        <v>0</v>
      </c>
      <c r="AD114" s="4">
        <v>0</v>
      </c>
      <c r="AE114" s="4">
        <v>0</v>
      </c>
      <c r="AF114" s="4">
        <v>0</v>
      </c>
      <c r="AG114" s="4">
        <v>0</v>
      </c>
      <c r="AH114" s="4">
        <v>0</v>
      </c>
      <c r="AI114" s="4">
        <v>0</v>
      </c>
      <c r="AJ114" s="4">
        <v>0</v>
      </c>
      <c r="AK114" s="4">
        <v>0</v>
      </c>
      <c r="AL114" s="4">
        <v>0</v>
      </c>
      <c r="AM114">
        <v>306</v>
      </c>
      <c r="AN114">
        <v>0</v>
      </c>
      <c r="AO114">
        <v>0</v>
      </c>
      <c r="AP114">
        <v>306</v>
      </c>
      <c r="AQ114">
        <v>4.25</v>
      </c>
      <c r="AR114">
        <v>0</v>
      </c>
      <c r="AS114">
        <v>0</v>
      </c>
      <c r="AT114">
        <v>4.25</v>
      </c>
      <c r="AU114">
        <v>3.25</v>
      </c>
      <c r="AV114">
        <v>0</v>
      </c>
      <c r="AW114">
        <v>0</v>
      </c>
      <c r="AX114">
        <v>3.25</v>
      </c>
      <c r="AY114">
        <v>0</v>
      </c>
    </row>
    <row r="115" spans="1:51">
      <c r="A115" t="s">
        <v>16969</v>
      </c>
      <c r="B115" t="s">
        <v>17328</v>
      </c>
      <c r="C115">
        <v>0</v>
      </c>
      <c r="D115">
        <v>19</v>
      </c>
      <c r="E115">
        <v>19</v>
      </c>
      <c r="F115">
        <v>19</v>
      </c>
      <c r="G115">
        <v>0</v>
      </c>
      <c r="H115">
        <v>1</v>
      </c>
      <c r="I115">
        <v>0</v>
      </c>
      <c r="J115">
        <v>19</v>
      </c>
      <c r="K115">
        <v>50</v>
      </c>
      <c r="L115">
        <v>17</v>
      </c>
      <c r="M115">
        <v>1</v>
      </c>
      <c r="N115">
        <v>0</v>
      </c>
      <c r="O115">
        <v>0</v>
      </c>
      <c r="P115">
        <v>1</v>
      </c>
      <c r="Q115">
        <v>0</v>
      </c>
      <c r="R115">
        <v>0</v>
      </c>
      <c r="S115">
        <v>7</v>
      </c>
      <c r="T115">
        <v>2.25</v>
      </c>
      <c r="U115">
        <v>0</v>
      </c>
      <c r="V115">
        <v>9.25</v>
      </c>
      <c r="W115" s="4">
        <v>115</v>
      </c>
      <c r="X115" s="4">
        <v>0</v>
      </c>
      <c r="Y115">
        <v>19</v>
      </c>
      <c r="Z115">
        <v>0</v>
      </c>
      <c r="AA115" s="4">
        <v>0</v>
      </c>
      <c r="AB115" s="4">
        <v>0</v>
      </c>
      <c r="AC115" s="4">
        <v>232</v>
      </c>
      <c r="AD115" s="4">
        <v>232</v>
      </c>
      <c r="AE115" s="4">
        <v>232</v>
      </c>
      <c r="AF115" s="4">
        <v>232</v>
      </c>
      <c r="AG115" s="4">
        <v>347</v>
      </c>
      <c r="AH115" s="4">
        <v>115</v>
      </c>
      <c r="AI115" s="4">
        <v>15</v>
      </c>
      <c r="AJ115" s="4">
        <v>15</v>
      </c>
      <c r="AK115" s="4">
        <v>25</v>
      </c>
      <c r="AL115" s="4">
        <v>10</v>
      </c>
      <c r="AM115">
        <v>50</v>
      </c>
      <c r="AN115">
        <v>5</v>
      </c>
      <c r="AO115">
        <v>45</v>
      </c>
      <c r="AP115">
        <v>0</v>
      </c>
      <c r="AQ115">
        <v>7</v>
      </c>
      <c r="AR115">
        <v>0.5</v>
      </c>
      <c r="AS115">
        <v>6.5</v>
      </c>
      <c r="AT115">
        <v>0</v>
      </c>
      <c r="AU115">
        <v>2.25</v>
      </c>
      <c r="AV115">
        <v>0.25</v>
      </c>
      <c r="AW115">
        <v>2</v>
      </c>
      <c r="AX115">
        <v>0</v>
      </c>
      <c r="AY115">
        <v>0</v>
      </c>
    </row>
    <row r="116" spans="1:51">
      <c r="A116" t="s">
        <v>16969</v>
      </c>
      <c r="B116" t="s">
        <v>17327</v>
      </c>
      <c r="C116">
        <v>0</v>
      </c>
      <c r="D116">
        <v>1</v>
      </c>
      <c r="E116">
        <v>1</v>
      </c>
      <c r="F116">
        <v>1</v>
      </c>
      <c r="G116">
        <v>0</v>
      </c>
      <c r="H116">
        <v>0</v>
      </c>
      <c r="I116">
        <v>0</v>
      </c>
      <c r="J116">
        <v>1</v>
      </c>
      <c r="K116">
        <v>0</v>
      </c>
      <c r="L116">
        <v>0</v>
      </c>
      <c r="M116">
        <v>1</v>
      </c>
      <c r="N116">
        <v>0</v>
      </c>
      <c r="O116">
        <v>0</v>
      </c>
      <c r="P116">
        <v>0</v>
      </c>
      <c r="Q116">
        <v>0</v>
      </c>
      <c r="R116">
        <v>0</v>
      </c>
      <c r="S116">
        <v>0.25</v>
      </c>
      <c r="T116">
        <v>0.25</v>
      </c>
      <c r="U116">
        <v>0</v>
      </c>
      <c r="V116">
        <v>0.5</v>
      </c>
      <c r="W116" s="4">
        <v>7.5</v>
      </c>
      <c r="X116" s="4">
        <v>0</v>
      </c>
      <c r="Y116">
        <v>0</v>
      </c>
      <c r="Z116">
        <v>0</v>
      </c>
      <c r="AA116" s="4">
        <v>0</v>
      </c>
      <c r="AB116" s="4">
        <v>0</v>
      </c>
      <c r="AC116" s="4">
        <v>0</v>
      </c>
      <c r="AD116" s="4">
        <v>0</v>
      </c>
      <c r="AE116" s="4">
        <v>0</v>
      </c>
      <c r="AF116" s="4">
        <v>0</v>
      </c>
      <c r="AG116" s="4">
        <v>7.5</v>
      </c>
      <c r="AH116" s="4">
        <v>7.5</v>
      </c>
      <c r="AI116" s="4">
        <v>0</v>
      </c>
      <c r="AJ116" s="4">
        <v>0</v>
      </c>
      <c r="AK116" s="4">
        <v>0</v>
      </c>
      <c r="AL116" s="4">
        <v>0</v>
      </c>
      <c r="AM116">
        <v>0</v>
      </c>
      <c r="AN116">
        <v>0</v>
      </c>
      <c r="AO116">
        <v>0</v>
      </c>
      <c r="AP116">
        <v>0</v>
      </c>
      <c r="AQ116">
        <v>0.25</v>
      </c>
      <c r="AR116">
        <v>0</v>
      </c>
      <c r="AS116">
        <v>0.25</v>
      </c>
      <c r="AT116">
        <v>0</v>
      </c>
      <c r="AU116">
        <v>0.25</v>
      </c>
      <c r="AV116">
        <v>0</v>
      </c>
      <c r="AW116">
        <v>0.25</v>
      </c>
      <c r="AX116">
        <v>0</v>
      </c>
      <c r="AY116">
        <v>0</v>
      </c>
    </row>
    <row r="117" spans="1:51">
      <c r="A117" t="s">
        <v>16969</v>
      </c>
      <c r="B117" t="s">
        <v>17027</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s="4">
        <v>0</v>
      </c>
      <c r="X117" s="4">
        <v>0</v>
      </c>
      <c r="Y117">
        <v>0</v>
      </c>
      <c r="Z117">
        <v>0</v>
      </c>
      <c r="AA117" s="4">
        <v>0</v>
      </c>
      <c r="AB117" s="4">
        <v>0</v>
      </c>
      <c r="AC117" s="4">
        <v>0</v>
      </c>
      <c r="AD117" s="4">
        <v>0</v>
      </c>
      <c r="AE117" s="4">
        <v>0</v>
      </c>
      <c r="AF117" s="4">
        <v>0</v>
      </c>
      <c r="AG117" s="4">
        <v>0</v>
      </c>
      <c r="AH117" s="4">
        <v>0</v>
      </c>
      <c r="AI117" s="4">
        <v>0</v>
      </c>
      <c r="AJ117" s="4">
        <v>0</v>
      </c>
      <c r="AK117" s="4">
        <v>0</v>
      </c>
      <c r="AL117" s="4">
        <v>0</v>
      </c>
      <c r="AM117">
        <v>0</v>
      </c>
      <c r="AN117">
        <v>0</v>
      </c>
      <c r="AO117">
        <v>0</v>
      </c>
      <c r="AP117">
        <v>0</v>
      </c>
      <c r="AQ117">
        <v>0</v>
      </c>
      <c r="AR117">
        <v>0</v>
      </c>
      <c r="AS117">
        <v>0</v>
      </c>
      <c r="AT117">
        <v>0</v>
      </c>
      <c r="AU117">
        <v>0</v>
      </c>
      <c r="AV117">
        <v>0</v>
      </c>
      <c r="AW117">
        <v>0</v>
      </c>
      <c r="AX117">
        <v>0</v>
      </c>
      <c r="AY117">
        <v>0</v>
      </c>
    </row>
    <row r="118" spans="1:51">
      <c r="A118" t="s">
        <v>16969</v>
      </c>
      <c r="B118" t="s">
        <v>17029</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s="4">
        <v>0</v>
      </c>
      <c r="X118" s="4">
        <v>0</v>
      </c>
      <c r="Y118">
        <v>0</v>
      </c>
      <c r="Z118">
        <v>0</v>
      </c>
      <c r="AA118" s="4">
        <v>0</v>
      </c>
      <c r="AB118" s="4">
        <v>0</v>
      </c>
      <c r="AC118" s="4">
        <v>0</v>
      </c>
      <c r="AD118" s="4">
        <v>0</v>
      </c>
      <c r="AE118" s="4">
        <v>0</v>
      </c>
      <c r="AF118" s="4">
        <v>0</v>
      </c>
      <c r="AG118" s="4">
        <v>0</v>
      </c>
      <c r="AH118" s="4">
        <v>0</v>
      </c>
      <c r="AI118" s="4">
        <v>0</v>
      </c>
      <c r="AJ118" s="4">
        <v>0</v>
      </c>
      <c r="AK118" s="4">
        <v>0</v>
      </c>
      <c r="AL118" s="4">
        <v>0</v>
      </c>
      <c r="AM118">
        <v>0</v>
      </c>
      <c r="AN118">
        <v>0</v>
      </c>
      <c r="AO118">
        <v>0</v>
      </c>
      <c r="AP118">
        <v>0</v>
      </c>
      <c r="AQ118">
        <v>0</v>
      </c>
      <c r="AR118">
        <v>0</v>
      </c>
      <c r="AS118">
        <v>0</v>
      </c>
      <c r="AT118">
        <v>0</v>
      </c>
      <c r="AU118">
        <v>0</v>
      </c>
      <c r="AV118">
        <v>0</v>
      </c>
      <c r="AW118">
        <v>0</v>
      </c>
      <c r="AX118">
        <v>0</v>
      </c>
      <c r="AY118">
        <v>0</v>
      </c>
    </row>
    <row r="119" spans="1:51">
      <c r="A119" t="s">
        <v>16969</v>
      </c>
      <c r="B119" t="s">
        <v>17030</v>
      </c>
      <c r="C119">
        <v>0</v>
      </c>
      <c r="D119">
        <v>21</v>
      </c>
      <c r="E119">
        <v>21</v>
      </c>
      <c r="F119">
        <v>19</v>
      </c>
      <c r="G119">
        <v>2</v>
      </c>
      <c r="H119">
        <v>2</v>
      </c>
      <c r="I119">
        <v>0</v>
      </c>
      <c r="J119">
        <v>21</v>
      </c>
      <c r="K119">
        <v>114</v>
      </c>
      <c r="L119">
        <v>8</v>
      </c>
      <c r="M119">
        <v>0</v>
      </c>
      <c r="N119">
        <v>4</v>
      </c>
      <c r="O119">
        <v>9</v>
      </c>
      <c r="P119">
        <v>0</v>
      </c>
      <c r="Q119">
        <v>0</v>
      </c>
      <c r="R119">
        <v>0</v>
      </c>
      <c r="S119">
        <v>6.25</v>
      </c>
      <c r="T119">
        <v>12.5</v>
      </c>
      <c r="U119">
        <v>0</v>
      </c>
      <c r="V119">
        <v>14.75</v>
      </c>
      <c r="W119" s="4">
        <v>312.5</v>
      </c>
      <c r="X119" s="4">
        <v>0</v>
      </c>
      <c r="Y119">
        <v>20</v>
      </c>
      <c r="Z119">
        <v>1</v>
      </c>
      <c r="AA119" s="4">
        <v>0</v>
      </c>
      <c r="AB119" s="4">
        <v>110</v>
      </c>
      <c r="AC119" s="4">
        <v>181.68</v>
      </c>
      <c r="AD119" s="4">
        <v>181.68</v>
      </c>
      <c r="AE119" s="4">
        <v>222</v>
      </c>
      <c r="AF119" s="4">
        <v>291.68</v>
      </c>
      <c r="AG119" s="4">
        <v>494.18</v>
      </c>
      <c r="AH119" s="4">
        <v>272.18</v>
      </c>
      <c r="AI119" s="4">
        <v>222</v>
      </c>
      <c r="AJ119" s="4">
        <v>221.68</v>
      </c>
      <c r="AK119" s="4">
        <v>271.68</v>
      </c>
      <c r="AL119" s="4">
        <v>49.68</v>
      </c>
      <c r="AM119">
        <v>114</v>
      </c>
      <c r="AN119">
        <v>31</v>
      </c>
      <c r="AO119">
        <v>83</v>
      </c>
      <c r="AP119">
        <v>0</v>
      </c>
      <c r="AQ119">
        <v>6.25</v>
      </c>
      <c r="AR119">
        <v>2</v>
      </c>
      <c r="AS119">
        <v>4.25</v>
      </c>
      <c r="AT119">
        <v>0</v>
      </c>
      <c r="AU119">
        <v>12.5</v>
      </c>
      <c r="AV119">
        <v>3.5</v>
      </c>
      <c r="AW119">
        <v>9</v>
      </c>
      <c r="AX119">
        <v>0</v>
      </c>
      <c r="AY119">
        <v>0</v>
      </c>
    </row>
    <row r="120" spans="1:51">
      <c r="A120" t="s">
        <v>16969</v>
      </c>
      <c r="B120" t="s">
        <v>17005</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s="4">
        <v>0</v>
      </c>
      <c r="X120" s="4">
        <v>0</v>
      </c>
      <c r="Y120">
        <v>0</v>
      </c>
      <c r="Z120">
        <v>0</v>
      </c>
      <c r="AA120" s="4">
        <v>0</v>
      </c>
      <c r="AB120" s="4">
        <v>0</v>
      </c>
      <c r="AC120" s="4">
        <v>0</v>
      </c>
      <c r="AD120" s="4">
        <v>0</v>
      </c>
      <c r="AE120" s="4">
        <v>0</v>
      </c>
      <c r="AF120" s="4">
        <v>0</v>
      </c>
      <c r="AG120" s="4">
        <v>0</v>
      </c>
      <c r="AH120" s="4">
        <v>0</v>
      </c>
      <c r="AI120" s="4">
        <v>0</v>
      </c>
      <c r="AJ120" s="4">
        <v>0</v>
      </c>
      <c r="AK120" s="4">
        <v>0</v>
      </c>
      <c r="AL120" s="4">
        <v>0</v>
      </c>
      <c r="AM120">
        <v>0</v>
      </c>
      <c r="AN120">
        <v>0</v>
      </c>
      <c r="AO120">
        <v>0</v>
      </c>
      <c r="AP120">
        <v>0</v>
      </c>
      <c r="AQ120">
        <v>0</v>
      </c>
      <c r="AR120">
        <v>0</v>
      </c>
      <c r="AS120">
        <v>0</v>
      </c>
      <c r="AT120">
        <v>0</v>
      </c>
      <c r="AU120">
        <v>0</v>
      </c>
      <c r="AV120">
        <v>0</v>
      </c>
      <c r="AW120">
        <v>0</v>
      </c>
      <c r="AX120">
        <v>0</v>
      </c>
      <c r="AY120">
        <v>0</v>
      </c>
    </row>
    <row r="121" spans="1:51">
      <c r="A121" t="s">
        <v>16969</v>
      </c>
      <c r="B121" t="s">
        <v>17028</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s="4">
        <v>0</v>
      </c>
      <c r="X121" s="4">
        <v>0</v>
      </c>
      <c r="Y121">
        <v>0</v>
      </c>
      <c r="Z121">
        <v>0</v>
      </c>
      <c r="AA121" s="4">
        <v>0</v>
      </c>
      <c r="AB121" s="4">
        <v>0</v>
      </c>
      <c r="AC121" s="4">
        <v>0</v>
      </c>
      <c r="AD121" s="4">
        <v>0</v>
      </c>
      <c r="AE121" s="4">
        <v>0</v>
      </c>
      <c r="AF121" s="4">
        <v>0</v>
      </c>
      <c r="AG121" s="4">
        <v>0</v>
      </c>
      <c r="AH121" s="4">
        <v>0</v>
      </c>
      <c r="AI121" s="4">
        <v>0</v>
      </c>
      <c r="AJ121" s="4">
        <v>0</v>
      </c>
      <c r="AK121" s="4">
        <v>0</v>
      </c>
      <c r="AL121" s="4">
        <v>0</v>
      </c>
      <c r="AM121">
        <v>0</v>
      </c>
      <c r="AN121">
        <v>0</v>
      </c>
      <c r="AO121">
        <v>0</v>
      </c>
      <c r="AP121">
        <v>0</v>
      </c>
      <c r="AQ121">
        <v>0</v>
      </c>
      <c r="AR121">
        <v>0</v>
      </c>
      <c r="AS121">
        <v>0</v>
      </c>
      <c r="AT121">
        <v>0</v>
      </c>
      <c r="AU121">
        <v>0</v>
      </c>
      <c r="AV121">
        <v>0</v>
      </c>
      <c r="AW121">
        <v>0</v>
      </c>
      <c r="AX121">
        <v>0</v>
      </c>
      <c r="AY121">
        <v>0</v>
      </c>
    </row>
    <row r="122" spans="1:51">
      <c r="A122" t="s">
        <v>16898</v>
      </c>
      <c r="B122" t="s">
        <v>16899</v>
      </c>
      <c r="C122">
        <v>0</v>
      </c>
      <c r="D122">
        <v>1</v>
      </c>
      <c r="E122">
        <v>0</v>
      </c>
      <c r="F122">
        <v>1</v>
      </c>
      <c r="G122">
        <v>1</v>
      </c>
      <c r="H122">
        <v>0</v>
      </c>
      <c r="I122">
        <v>0</v>
      </c>
      <c r="J122">
        <v>1</v>
      </c>
      <c r="K122">
        <v>8</v>
      </c>
      <c r="L122">
        <v>1</v>
      </c>
      <c r="M122">
        <v>0</v>
      </c>
      <c r="N122">
        <v>0</v>
      </c>
      <c r="O122">
        <v>0</v>
      </c>
      <c r="P122">
        <v>0</v>
      </c>
      <c r="Q122">
        <v>0</v>
      </c>
      <c r="R122">
        <v>0</v>
      </c>
      <c r="S122">
        <v>0.25</v>
      </c>
      <c r="T122">
        <v>0</v>
      </c>
      <c r="U122">
        <v>0</v>
      </c>
      <c r="V122">
        <v>0.25</v>
      </c>
      <c r="W122" s="4">
        <v>2.5</v>
      </c>
      <c r="X122" s="4">
        <v>0</v>
      </c>
      <c r="Y122">
        <v>1</v>
      </c>
      <c r="Z122">
        <v>0</v>
      </c>
      <c r="AA122" s="4">
        <v>0</v>
      </c>
      <c r="AB122" s="4">
        <v>0</v>
      </c>
      <c r="AC122" s="4">
        <v>0</v>
      </c>
      <c r="AD122" s="4">
        <v>0</v>
      </c>
      <c r="AE122" s="4">
        <v>0</v>
      </c>
      <c r="AF122" s="4">
        <v>0</v>
      </c>
      <c r="AG122" s="4">
        <v>2.5</v>
      </c>
      <c r="AH122" s="4">
        <v>2.5</v>
      </c>
      <c r="AI122" s="4">
        <v>0</v>
      </c>
      <c r="AJ122" s="4">
        <v>0</v>
      </c>
      <c r="AK122" s="4">
        <v>0</v>
      </c>
      <c r="AL122" s="4">
        <v>0</v>
      </c>
      <c r="AM122">
        <v>8</v>
      </c>
      <c r="AN122">
        <v>0</v>
      </c>
      <c r="AO122">
        <v>8</v>
      </c>
      <c r="AP122">
        <v>0</v>
      </c>
      <c r="AQ122">
        <v>0.25</v>
      </c>
      <c r="AR122">
        <v>0</v>
      </c>
      <c r="AS122">
        <v>0.25</v>
      </c>
      <c r="AT122">
        <v>0</v>
      </c>
      <c r="AU122">
        <v>0</v>
      </c>
      <c r="AV122">
        <v>0</v>
      </c>
      <c r="AW122">
        <v>0</v>
      </c>
      <c r="AX122">
        <v>0</v>
      </c>
      <c r="AY122">
        <v>50</v>
      </c>
    </row>
    <row r="123" spans="1:51">
      <c r="A123" t="s">
        <v>16898</v>
      </c>
      <c r="B123" t="s">
        <v>17031</v>
      </c>
      <c r="C123">
        <v>0</v>
      </c>
      <c r="D123">
        <v>3</v>
      </c>
      <c r="E123">
        <v>3</v>
      </c>
      <c r="F123">
        <v>3</v>
      </c>
      <c r="G123">
        <v>0</v>
      </c>
      <c r="H123">
        <v>0</v>
      </c>
      <c r="I123">
        <v>0</v>
      </c>
      <c r="J123">
        <v>3</v>
      </c>
      <c r="K123">
        <v>27</v>
      </c>
      <c r="L123">
        <v>3</v>
      </c>
      <c r="M123">
        <v>0</v>
      </c>
      <c r="N123">
        <v>0</v>
      </c>
      <c r="O123">
        <v>0</v>
      </c>
      <c r="P123">
        <v>0</v>
      </c>
      <c r="Q123">
        <v>0</v>
      </c>
      <c r="R123">
        <v>0</v>
      </c>
      <c r="S123">
        <v>0.5</v>
      </c>
      <c r="T123">
        <v>0</v>
      </c>
      <c r="U123">
        <v>0.25</v>
      </c>
      <c r="V123">
        <v>0.75</v>
      </c>
      <c r="W123" s="4">
        <v>5</v>
      </c>
      <c r="X123" s="4">
        <v>0</v>
      </c>
      <c r="Y123">
        <v>1</v>
      </c>
      <c r="Z123">
        <v>0</v>
      </c>
      <c r="AA123" s="4">
        <v>0</v>
      </c>
      <c r="AB123" s="4">
        <v>0</v>
      </c>
      <c r="AC123" s="4">
        <v>0</v>
      </c>
      <c r="AD123" s="4">
        <v>0</v>
      </c>
      <c r="AE123" s="4">
        <v>0</v>
      </c>
      <c r="AF123" s="4">
        <v>0</v>
      </c>
      <c r="AG123" s="4">
        <v>10</v>
      </c>
      <c r="AH123" s="4">
        <v>10</v>
      </c>
      <c r="AI123" s="4">
        <v>0</v>
      </c>
      <c r="AJ123" s="4">
        <v>0</v>
      </c>
      <c r="AK123" s="4">
        <v>0</v>
      </c>
      <c r="AL123" s="4">
        <v>0</v>
      </c>
      <c r="AM123">
        <v>27</v>
      </c>
      <c r="AN123">
        <v>0</v>
      </c>
      <c r="AO123">
        <v>27</v>
      </c>
      <c r="AP123">
        <v>0</v>
      </c>
      <c r="AQ123">
        <v>0.5</v>
      </c>
      <c r="AR123">
        <v>0</v>
      </c>
      <c r="AS123">
        <v>0.5</v>
      </c>
      <c r="AT123">
        <v>0</v>
      </c>
      <c r="AU123">
        <v>0</v>
      </c>
      <c r="AV123">
        <v>0</v>
      </c>
      <c r="AW123">
        <v>0</v>
      </c>
      <c r="AX123">
        <v>0</v>
      </c>
      <c r="AY123">
        <v>3</v>
      </c>
    </row>
    <row r="124" spans="1:51">
      <c r="A124" t="s">
        <v>16898</v>
      </c>
      <c r="B124" t="s">
        <v>17007</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s="4">
        <v>0</v>
      </c>
      <c r="X124" s="4">
        <v>0</v>
      </c>
      <c r="Y124">
        <v>0</v>
      </c>
      <c r="Z124">
        <v>0</v>
      </c>
      <c r="AA124" s="4">
        <v>0</v>
      </c>
      <c r="AB124" s="4">
        <v>0</v>
      </c>
      <c r="AC124" s="4">
        <v>0</v>
      </c>
      <c r="AD124" s="4">
        <v>0</v>
      </c>
      <c r="AE124" s="4">
        <v>0</v>
      </c>
      <c r="AF124" s="4">
        <v>0</v>
      </c>
      <c r="AG124" s="4">
        <v>0</v>
      </c>
      <c r="AH124" s="4">
        <v>0</v>
      </c>
      <c r="AI124" s="4">
        <v>0</v>
      </c>
      <c r="AJ124" s="4">
        <v>0</v>
      </c>
      <c r="AK124" s="4">
        <v>0</v>
      </c>
      <c r="AL124" s="4">
        <v>0</v>
      </c>
      <c r="AM124">
        <v>0</v>
      </c>
      <c r="AN124">
        <v>0</v>
      </c>
      <c r="AO124">
        <v>0</v>
      </c>
      <c r="AP124">
        <v>0</v>
      </c>
      <c r="AQ124">
        <v>0</v>
      </c>
      <c r="AR124">
        <v>0</v>
      </c>
      <c r="AS124">
        <v>0</v>
      </c>
      <c r="AT124">
        <v>0</v>
      </c>
      <c r="AU124">
        <v>0</v>
      </c>
      <c r="AV124">
        <v>0</v>
      </c>
      <c r="AW124">
        <v>0</v>
      </c>
      <c r="AX124">
        <v>0</v>
      </c>
      <c r="AY124">
        <v>0</v>
      </c>
    </row>
    <row r="125" spans="1:51">
      <c r="A125" t="s">
        <v>16898</v>
      </c>
      <c r="B125" t="s">
        <v>17032</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s="4">
        <v>0</v>
      </c>
      <c r="X125" s="4">
        <v>0</v>
      </c>
      <c r="Y125">
        <v>0</v>
      </c>
      <c r="Z125">
        <v>0</v>
      </c>
      <c r="AA125" s="4">
        <v>0</v>
      </c>
      <c r="AB125" s="4">
        <v>0</v>
      </c>
      <c r="AC125" s="4">
        <v>0</v>
      </c>
      <c r="AD125" s="4">
        <v>0</v>
      </c>
      <c r="AE125" s="4">
        <v>0</v>
      </c>
      <c r="AF125" s="4">
        <v>0</v>
      </c>
      <c r="AG125" s="4">
        <v>0</v>
      </c>
      <c r="AH125" s="4">
        <v>0</v>
      </c>
      <c r="AI125" s="4">
        <v>0</v>
      </c>
      <c r="AJ125" s="4">
        <v>0</v>
      </c>
      <c r="AK125" s="4">
        <v>0</v>
      </c>
      <c r="AL125" s="4">
        <v>0</v>
      </c>
      <c r="AM125">
        <v>0</v>
      </c>
      <c r="AN125">
        <v>0</v>
      </c>
      <c r="AO125">
        <v>0</v>
      </c>
      <c r="AP125">
        <v>0</v>
      </c>
      <c r="AQ125">
        <v>0</v>
      </c>
      <c r="AR125">
        <v>0</v>
      </c>
      <c r="AS125">
        <v>0</v>
      </c>
      <c r="AT125">
        <v>0</v>
      </c>
      <c r="AU125">
        <v>0</v>
      </c>
      <c r="AV125">
        <v>0</v>
      </c>
      <c r="AW125">
        <v>0</v>
      </c>
      <c r="AX125">
        <v>0</v>
      </c>
      <c r="AY125">
        <v>0</v>
      </c>
    </row>
    <row r="126" spans="1:51">
      <c r="A126" t="s">
        <v>16898</v>
      </c>
      <c r="B126" t="s">
        <v>17333</v>
      </c>
      <c r="C126">
        <v>0</v>
      </c>
      <c r="D126">
        <v>7</v>
      </c>
      <c r="E126">
        <v>1</v>
      </c>
      <c r="F126">
        <v>3</v>
      </c>
      <c r="G126">
        <v>0</v>
      </c>
      <c r="H126">
        <v>0</v>
      </c>
      <c r="I126">
        <v>0</v>
      </c>
      <c r="J126">
        <v>7</v>
      </c>
      <c r="K126">
        <v>39</v>
      </c>
      <c r="L126">
        <v>6</v>
      </c>
      <c r="M126">
        <v>1</v>
      </c>
      <c r="N126">
        <v>0</v>
      </c>
      <c r="O126">
        <v>0</v>
      </c>
      <c r="P126">
        <v>0</v>
      </c>
      <c r="Q126">
        <v>0</v>
      </c>
      <c r="R126">
        <v>0</v>
      </c>
      <c r="S126">
        <v>6.25</v>
      </c>
      <c r="T126">
        <v>4</v>
      </c>
      <c r="U126">
        <v>0</v>
      </c>
      <c r="V126">
        <v>10.25</v>
      </c>
      <c r="W126" s="4">
        <v>142.5</v>
      </c>
      <c r="X126" s="4">
        <v>0</v>
      </c>
      <c r="Y126">
        <v>6</v>
      </c>
      <c r="Z126">
        <v>0</v>
      </c>
      <c r="AA126" s="4">
        <v>0</v>
      </c>
      <c r="AB126" s="4">
        <v>25</v>
      </c>
      <c r="AC126" s="4">
        <v>53.91</v>
      </c>
      <c r="AD126" s="4">
        <v>30.91</v>
      </c>
      <c r="AE126" s="4">
        <v>55.61</v>
      </c>
      <c r="AF126" s="4">
        <v>55.91</v>
      </c>
      <c r="AG126" s="4">
        <v>196.41</v>
      </c>
      <c r="AH126" s="4">
        <v>140.80000000000001</v>
      </c>
      <c r="AI126" s="4">
        <v>0</v>
      </c>
      <c r="AJ126" s="4">
        <v>0</v>
      </c>
      <c r="AK126" s="4">
        <v>0</v>
      </c>
      <c r="AL126" s="4">
        <v>0</v>
      </c>
      <c r="AM126">
        <v>39</v>
      </c>
      <c r="AN126">
        <v>0</v>
      </c>
      <c r="AO126">
        <v>39</v>
      </c>
      <c r="AP126">
        <v>0</v>
      </c>
      <c r="AQ126">
        <v>6.25</v>
      </c>
      <c r="AR126">
        <v>0</v>
      </c>
      <c r="AS126">
        <v>6.25</v>
      </c>
      <c r="AT126">
        <v>0</v>
      </c>
      <c r="AU126">
        <v>4</v>
      </c>
      <c r="AV126">
        <v>0</v>
      </c>
      <c r="AW126">
        <v>4</v>
      </c>
      <c r="AX126">
        <v>0</v>
      </c>
      <c r="AY126">
        <v>0</v>
      </c>
    </row>
    <row r="127" spans="1:51">
      <c r="A127" t="s">
        <v>16898</v>
      </c>
      <c r="B127" t="s">
        <v>17419</v>
      </c>
      <c r="C127">
        <v>0</v>
      </c>
      <c r="D127">
        <v>1</v>
      </c>
      <c r="E127">
        <v>1</v>
      </c>
      <c r="F127">
        <v>1</v>
      </c>
      <c r="G127">
        <v>1</v>
      </c>
      <c r="H127">
        <v>1</v>
      </c>
      <c r="I127">
        <v>0</v>
      </c>
      <c r="J127">
        <v>1</v>
      </c>
      <c r="K127">
        <v>52</v>
      </c>
      <c r="L127">
        <v>1</v>
      </c>
      <c r="M127">
        <v>0</v>
      </c>
      <c r="N127">
        <v>0</v>
      </c>
      <c r="O127">
        <v>0</v>
      </c>
      <c r="P127">
        <v>0</v>
      </c>
      <c r="Q127">
        <v>0</v>
      </c>
      <c r="R127">
        <v>0</v>
      </c>
      <c r="S127">
        <v>10</v>
      </c>
      <c r="T127">
        <v>2</v>
      </c>
      <c r="U127">
        <v>2</v>
      </c>
      <c r="V127">
        <v>14</v>
      </c>
      <c r="W127" s="4">
        <v>140</v>
      </c>
      <c r="X127" s="4">
        <v>0</v>
      </c>
      <c r="Y127">
        <v>1</v>
      </c>
      <c r="Z127">
        <v>0</v>
      </c>
      <c r="AA127" s="4">
        <v>0</v>
      </c>
      <c r="AB127" s="4">
        <v>110</v>
      </c>
      <c r="AC127" s="4">
        <v>75</v>
      </c>
      <c r="AD127" s="4">
        <v>75</v>
      </c>
      <c r="AE127" s="4">
        <v>290.76</v>
      </c>
      <c r="AF127" s="4">
        <v>185</v>
      </c>
      <c r="AG127" s="4">
        <v>255</v>
      </c>
      <c r="AH127" s="4">
        <v>0</v>
      </c>
      <c r="AI127" s="4">
        <v>290.76</v>
      </c>
      <c r="AJ127" s="4">
        <v>185</v>
      </c>
      <c r="AK127" s="4">
        <v>255</v>
      </c>
      <c r="AL127" s="4">
        <v>0</v>
      </c>
      <c r="AM127">
        <v>52</v>
      </c>
      <c r="AN127">
        <v>52</v>
      </c>
      <c r="AO127">
        <v>0</v>
      </c>
      <c r="AP127">
        <v>0</v>
      </c>
      <c r="AQ127">
        <v>10</v>
      </c>
      <c r="AR127">
        <v>10</v>
      </c>
      <c r="AS127">
        <v>0</v>
      </c>
      <c r="AT127">
        <v>0</v>
      </c>
      <c r="AU127">
        <v>2</v>
      </c>
      <c r="AV127">
        <v>2</v>
      </c>
      <c r="AW127">
        <v>0</v>
      </c>
      <c r="AX127">
        <v>0</v>
      </c>
    </row>
    <row r="128" spans="1:51">
      <c r="A128" t="s">
        <v>16898</v>
      </c>
      <c r="B128" t="s">
        <v>17205</v>
      </c>
      <c r="C128">
        <v>0</v>
      </c>
      <c r="D128">
        <v>21</v>
      </c>
      <c r="E128">
        <v>0</v>
      </c>
      <c r="F128">
        <v>21</v>
      </c>
      <c r="G128">
        <v>1</v>
      </c>
      <c r="H128">
        <v>0</v>
      </c>
      <c r="I128">
        <v>3</v>
      </c>
      <c r="J128">
        <v>21</v>
      </c>
      <c r="K128">
        <v>345</v>
      </c>
      <c r="L128">
        <v>11</v>
      </c>
      <c r="M128">
        <v>1</v>
      </c>
      <c r="N128">
        <v>5</v>
      </c>
      <c r="O128">
        <v>1</v>
      </c>
      <c r="P128">
        <v>0</v>
      </c>
      <c r="Q128">
        <v>3</v>
      </c>
      <c r="R128">
        <v>0</v>
      </c>
      <c r="S128">
        <v>28.25</v>
      </c>
      <c r="T128">
        <v>51.75</v>
      </c>
      <c r="U128">
        <v>0</v>
      </c>
      <c r="V128">
        <v>76.75</v>
      </c>
      <c r="W128" s="4">
        <v>1255</v>
      </c>
      <c r="X128" s="4">
        <v>0</v>
      </c>
      <c r="Y128">
        <v>13</v>
      </c>
      <c r="Z128">
        <v>0</v>
      </c>
      <c r="AA128" s="4">
        <v>0</v>
      </c>
      <c r="AB128" s="4">
        <v>970</v>
      </c>
      <c r="AC128" s="4">
        <v>102.9</v>
      </c>
      <c r="AD128" s="4">
        <v>91.3</v>
      </c>
      <c r="AE128" s="4">
        <v>785.89</v>
      </c>
      <c r="AF128" s="4">
        <v>1061.3</v>
      </c>
      <c r="AG128" s="4">
        <v>1357.9</v>
      </c>
      <c r="AH128" s="4">
        <v>572.01</v>
      </c>
      <c r="AI128" s="4">
        <v>0</v>
      </c>
      <c r="AJ128" s="4">
        <v>0</v>
      </c>
      <c r="AK128" s="4">
        <v>0</v>
      </c>
      <c r="AL128" s="4">
        <v>0</v>
      </c>
      <c r="AM128">
        <v>345</v>
      </c>
      <c r="AN128">
        <v>0</v>
      </c>
      <c r="AO128">
        <v>345</v>
      </c>
      <c r="AP128">
        <v>0</v>
      </c>
      <c r="AQ128">
        <v>28.25</v>
      </c>
      <c r="AR128">
        <v>0</v>
      </c>
      <c r="AS128">
        <v>28</v>
      </c>
      <c r="AT128">
        <v>0</v>
      </c>
      <c r="AU128">
        <v>48.75</v>
      </c>
      <c r="AV128">
        <v>0</v>
      </c>
      <c r="AW128">
        <v>48.75</v>
      </c>
      <c r="AX128">
        <v>0</v>
      </c>
      <c r="AY128">
        <v>3</v>
      </c>
    </row>
    <row r="129" spans="1:51">
      <c r="A129" t="s">
        <v>16898</v>
      </c>
      <c r="B129" t="s">
        <v>17010</v>
      </c>
      <c r="C129">
        <v>40</v>
      </c>
      <c r="D129">
        <v>81</v>
      </c>
      <c r="E129">
        <v>41</v>
      </c>
      <c r="F129">
        <v>81</v>
      </c>
      <c r="G129">
        <v>8</v>
      </c>
      <c r="H129">
        <v>3</v>
      </c>
      <c r="I129">
        <v>2</v>
      </c>
      <c r="J129">
        <v>80</v>
      </c>
      <c r="K129">
        <v>685</v>
      </c>
      <c r="L129">
        <v>50</v>
      </c>
      <c r="M129">
        <v>9</v>
      </c>
      <c r="N129">
        <v>18</v>
      </c>
      <c r="O129">
        <v>0</v>
      </c>
      <c r="P129">
        <v>2</v>
      </c>
      <c r="Q129">
        <v>2</v>
      </c>
      <c r="R129">
        <v>0</v>
      </c>
      <c r="S129">
        <v>64.25</v>
      </c>
      <c r="T129">
        <v>254</v>
      </c>
      <c r="U129">
        <v>0</v>
      </c>
      <c r="V129">
        <v>318.25</v>
      </c>
      <c r="W129" s="4">
        <v>5527.5</v>
      </c>
      <c r="X129" s="4">
        <v>0</v>
      </c>
      <c r="Y129">
        <v>19</v>
      </c>
      <c r="Z129">
        <v>13</v>
      </c>
      <c r="AA129" s="4">
        <v>-185</v>
      </c>
      <c r="AB129" s="4">
        <v>4780</v>
      </c>
      <c r="AC129" s="4">
        <v>98.22</v>
      </c>
      <c r="AD129" s="4">
        <v>98.22</v>
      </c>
      <c r="AE129" s="4">
        <v>623.27</v>
      </c>
      <c r="AF129" s="4">
        <v>4878.22</v>
      </c>
      <c r="AG129" s="4">
        <v>5625.72</v>
      </c>
      <c r="AH129" s="4">
        <v>5002.45</v>
      </c>
      <c r="AI129" s="4">
        <v>280.14</v>
      </c>
      <c r="AJ129" s="4">
        <v>280.14</v>
      </c>
      <c r="AK129" s="4">
        <v>357.65</v>
      </c>
      <c r="AL129" s="4">
        <v>77.5</v>
      </c>
      <c r="AM129">
        <v>685</v>
      </c>
      <c r="AN129">
        <v>87</v>
      </c>
      <c r="AO129">
        <v>423</v>
      </c>
      <c r="AP129">
        <v>175</v>
      </c>
      <c r="AQ129">
        <v>64.25</v>
      </c>
      <c r="AR129">
        <v>16.25</v>
      </c>
      <c r="AS129">
        <v>28.5</v>
      </c>
      <c r="AT129">
        <v>19.5</v>
      </c>
      <c r="AU129">
        <v>254</v>
      </c>
      <c r="AV129">
        <v>9.5</v>
      </c>
      <c r="AW129">
        <v>244.5</v>
      </c>
      <c r="AX129">
        <v>0</v>
      </c>
      <c r="AY129">
        <v>81</v>
      </c>
    </row>
    <row r="130" spans="1:51">
      <c r="A130" t="s">
        <v>16898</v>
      </c>
      <c r="B130" t="s">
        <v>17011</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s="4">
        <v>0</v>
      </c>
      <c r="X130" s="4">
        <v>0</v>
      </c>
      <c r="Y130">
        <v>0</v>
      </c>
      <c r="Z130">
        <v>0</v>
      </c>
      <c r="AA130" s="4">
        <v>0</v>
      </c>
      <c r="AB130" s="4">
        <v>0</v>
      </c>
      <c r="AC130" s="4">
        <v>0</v>
      </c>
      <c r="AD130" s="4">
        <v>0</v>
      </c>
      <c r="AE130" s="4">
        <v>0</v>
      </c>
      <c r="AF130" s="4">
        <v>0</v>
      </c>
      <c r="AG130" s="4">
        <v>0</v>
      </c>
      <c r="AH130" s="4">
        <v>0</v>
      </c>
      <c r="AI130" s="4">
        <v>0</v>
      </c>
      <c r="AJ130" s="4">
        <v>0</v>
      </c>
      <c r="AK130" s="4">
        <v>0</v>
      </c>
      <c r="AL130" s="4">
        <v>0</v>
      </c>
      <c r="AM130">
        <v>0</v>
      </c>
      <c r="AN130">
        <v>0</v>
      </c>
      <c r="AO130">
        <v>0</v>
      </c>
      <c r="AP130">
        <v>0</v>
      </c>
      <c r="AQ130">
        <v>0</v>
      </c>
      <c r="AR130">
        <v>0</v>
      </c>
      <c r="AS130">
        <v>0</v>
      </c>
      <c r="AT130">
        <v>0</v>
      </c>
      <c r="AU130">
        <v>0</v>
      </c>
      <c r="AV130">
        <v>0</v>
      </c>
      <c r="AW130">
        <v>0</v>
      </c>
      <c r="AX130">
        <v>0</v>
      </c>
      <c r="AY130">
        <v>16900</v>
      </c>
    </row>
    <row r="131" spans="1:51">
      <c r="A131" t="s">
        <v>16898</v>
      </c>
      <c r="B131" t="s">
        <v>17033</v>
      </c>
      <c r="C131">
        <v>0</v>
      </c>
      <c r="D131">
        <v>3</v>
      </c>
      <c r="E131">
        <v>3</v>
      </c>
      <c r="F131">
        <v>3</v>
      </c>
      <c r="G131">
        <v>3</v>
      </c>
      <c r="H131">
        <v>0</v>
      </c>
      <c r="I131">
        <v>0</v>
      </c>
      <c r="J131">
        <v>3</v>
      </c>
      <c r="K131">
        <v>17</v>
      </c>
      <c r="L131">
        <v>0</v>
      </c>
      <c r="M131">
        <v>0</v>
      </c>
      <c r="N131">
        <v>3</v>
      </c>
      <c r="O131">
        <v>0</v>
      </c>
      <c r="P131">
        <v>0</v>
      </c>
      <c r="Q131">
        <v>0</v>
      </c>
      <c r="R131">
        <v>0</v>
      </c>
      <c r="S131">
        <v>1.25</v>
      </c>
      <c r="T131">
        <v>3.25</v>
      </c>
      <c r="U131">
        <v>0</v>
      </c>
      <c r="V131">
        <v>4.5</v>
      </c>
      <c r="W131" s="4">
        <v>77.5</v>
      </c>
      <c r="X131" s="4">
        <v>0</v>
      </c>
      <c r="Y131">
        <v>3</v>
      </c>
      <c r="Z131">
        <v>0</v>
      </c>
      <c r="AA131" s="4">
        <v>0</v>
      </c>
      <c r="AB131" s="4">
        <v>10</v>
      </c>
      <c r="AC131" s="4">
        <v>0</v>
      </c>
      <c r="AD131" s="4">
        <v>0</v>
      </c>
      <c r="AE131" s="4">
        <v>10</v>
      </c>
      <c r="AF131" s="4">
        <v>10</v>
      </c>
      <c r="AG131" s="4">
        <v>77.5</v>
      </c>
      <c r="AH131" s="4">
        <v>67.5</v>
      </c>
      <c r="AI131" s="4">
        <v>0</v>
      </c>
      <c r="AJ131" s="4">
        <v>0</v>
      </c>
      <c r="AK131" s="4">
        <v>0</v>
      </c>
      <c r="AL131" s="4">
        <v>0</v>
      </c>
      <c r="AM131">
        <v>17</v>
      </c>
      <c r="AN131">
        <v>0</v>
      </c>
      <c r="AO131">
        <v>17</v>
      </c>
      <c r="AP131">
        <v>0</v>
      </c>
      <c r="AQ131">
        <v>1.25</v>
      </c>
      <c r="AR131">
        <v>0</v>
      </c>
      <c r="AS131">
        <v>1.25</v>
      </c>
      <c r="AT131">
        <v>0</v>
      </c>
      <c r="AU131">
        <v>3.25</v>
      </c>
      <c r="AV131">
        <v>0</v>
      </c>
      <c r="AW131">
        <v>3.25</v>
      </c>
      <c r="AX131">
        <v>0</v>
      </c>
      <c r="AY131">
        <v>3</v>
      </c>
    </row>
    <row r="132" spans="1:51">
      <c r="A132" t="s">
        <v>16898</v>
      </c>
      <c r="B132" t="s">
        <v>17034</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s="4">
        <v>0</v>
      </c>
      <c r="X132" s="4">
        <v>0</v>
      </c>
      <c r="Y132">
        <v>0</v>
      </c>
      <c r="Z132">
        <v>0</v>
      </c>
      <c r="AA132" s="4">
        <v>0</v>
      </c>
      <c r="AB132" s="4">
        <v>0</v>
      </c>
      <c r="AC132" s="4">
        <v>0</v>
      </c>
      <c r="AD132" s="4">
        <v>0</v>
      </c>
      <c r="AE132" s="4">
        <v>0</v>
      </c>
      <c r="AF132" s="4">
        <v>0</v>
      </c>
      <c r="AG132" s="4">
        <v>0</v>
      </c>
      <c r="AH132" s="4">
        <v>0</v>
      </c>
      <c r="AI132" s="4">
        <v>0</v>
      </c>
      <c r="AJ132" s="4">
        <v>0</v>
      </c>
      <c r="AK132" s="4">
        <v>0</v>
      </c>
      <c r="AL132" s="4">
        <v>0</v>
      </c>
      <c r="AM132">
        <v>0</v>
      </c>
      <c r="AN132">
        <v>0</v>
      </c>
      <c r="AO132">
        <v>0</v>
      </c>
      <c r="AP132">
        <v>0</v>
      </c>
      <c r="AQ132">
        <v>0</v>
      </c>
      <c r="AR132">
        <v>0</v>
      </c>
      <c r="AS132">
        <v>0</v>
      </c>
      <c r="AT132">
        <v>0</v>
      </c>
      <c r="AU132">
        <v>0</v>
      </c>
      <c r="AV132">
        <v>0</v>
      </c>
      <c r="AW132">
        <v>0</v>
      </c>
      <c r="AX132">
        <v>0</v>
      </c>
      <c r="AY132">
        <v>0</v>
      </c>
    </row>
    <row r="133" spans="1:51">
      <c r="A133" t="s">
        <v>17035</v>
      </c>
      <c r="B133" t="s">
        <v>17507</v>
      </c>
      <c r="C133">
        <v>1</v>
      </c>
      <c r="D133">
        <v>29</v>
      </c>
      <c r="E133">
        <v>14</v>
      </c>
      <c r="F133">
        <v>10</v>
      </c>
      <c r="G133">
        <v>1</v>
      </c>
      <c r="H133">
        <v>0</v>
      </c>
      <c r="I133">
        <v>0</v>
      </c>
      <c r="J133">
        <v>29</v>
      </c>
      <c r="K133">
        <v>289</v>
      </c>
      <c r="L133">
        <v>8</v>
      </c>
      <c r="M133">
        <v>1</v>
      </c>
      <c r="N133">
        <v>1</v>
      </c>
      <c r="O133">
        <v>17</v>
      </c>
      <c r="P133">
        <v>1</v>
      </c>
      <c r="Q133">
        <v>0</v>
      </c>
      <c r="R133">
        <v>0</v>
      </c>
      <c r="S133">
        <v>24.5</v>
      </c>
      <c r="T133">
        <v>0</v>
      </c>
      <c r="U133">
        <v>0</v>
      </c>
      <c r="V133">
        <v>24.5</v>
      </c>
      <c r="W133" s="4">
        <v>245</v>
      </c>
      <c r="X133" s="4">
        <v>0</v>
      </c>
      <c r="Y133">
        <v>22</v>
      </c>
      <c r="Z133">
        <v>0</v>
      </c>
      <c r="AA133" s="4">
        <v>0</v>
      </c>
      <c r="AB133" s="4">
        <v>0</v>
      </c>
      <c r="AC133" s="4">
        <v>0</v>
      </c>
      <c r="AD133" s="4">
        <v>0</v>
      </c>
      <c r="AE133" s="4">
        <v>0</v>
      </c>
      <c r="AF133" s="4">
        <v>0</v>
      </c>
      <c r="AG133" s="4">
        <v>245</v>
      </c>
      <c r="AH133" s="4">
        <v>245</v>
      </c>
      <c r="AI133" s="4">
        <v>0</v>
      </c>
      <c r="AJ133" s="4">
        <v>0</v>
      </c>
      <c r="AK133" s="4">
        <v>0</v>
      </c>
      <c r="AL133" s="4">
        <v>0</v>
      </c>
      <c r="AM133">
        <v>289</v>
      </c>
      <c r="AN133">
        <v>0</v>
      </c>
      <c r="AO133">
        <v>275</v>
      </c>
      <c r="AP133">
        <v>14</v>
      </c>
      <c r="AQ133">
        <v>24.5</v>
      </c>
      <c r="AR133">
        <v>0</v>
      </c>
      <c r="AS133">
        <v>24.5</v>
      </c>
      <c r="AT133">
        <v>0</v>
      </c>
      <c r="AU133">
        <v>0</v>
      </c>
      <c r="AV133">
        <v>0</v>
      </c>
      <c r="AW133">
        <v>0</v>
      </c>
      <c r="AX133">
        <v>0</v>
      </c>
      <c r="AY133">
        <v>0</v>
      </c>
    </row>
    <row r="134" spans="1:51">
      <c r="A134" t="s">
        <v>16932</v>
      </c>
      <c r="B134" t="s">
        <v>17371</v>
      </c>
      <c r="C134">
        <v>0</v>
      </c>
      <c r="D134">
        <v>1</v>
      </c>
      <c r="E134">
        <v>1</v>
      </c>
      <c r="F134">
        <v>1</v>
      </c>
      <c r="G134">
        <v>0</v>
      </c>
      <c r="H134">
        <v>0</v>
      </c>
      <c r="I134">
        <v>0</v>
      </c>
      <c r="J134">
        <v>1</v>
      </c>
      <c r="K134">
        <v>10</v>
      </c>
      <c r="L134">
        <v>1</v>
      </c>
      <c r="M134">
        <v>0</v>
      </c>
      <c r="N134">
        <v>0</v>
      </c>
      <c r="O134">
        <v>0</v>
      </c>
      <c r="P134">
        <v>0</v>
      </c>
      <c r="Q134">
        <v>0</v>
      </c>
      <c r="R134">
        <v>0</v>
      </c>
      <c r="S134">
        <v>3</v>
      </c>
      <c r="T134">
        <v>0</v>
      </c>
      <c r="U134">
        <v>0</v>
      </c>
      <c r="V134">
        <v>3</v>
      </c>
      <c r="W134" s="4">
        <v>30</v>
      </c>
      <c r="X134" s="4">
        <v>0</v>
      </c>
      <c r="Y134">
        <v>1</v>
      </c>
      <c r="Z134">
        <v>0</v>
      </c>
      <c r="AA134" s="4">
        <v>0</v>
      </c>
      <c r="AB134" s="4">
        <v>0</v>
      </c>
      <c r="AC134" s="4">
        <v>0</v>
      </c>
      <c r="AD134" s="4">
        <v>0</v>
      </c>
      <c r="AE134" s="4">
        <v>0</v>
      </c>
      <c r="AF134" s="4">
        <v>0</v>
      </c>
      <c r="AG134" s="4">
        <v>30</v>
      </c>
      <c r="AH134" s="4">
        <v>30</v>
      </c>
      <c r="AI134" s="4">
        <v>0</v>
      </c>
      <c r="AJ134" s="4">
        <v>0</v>
      </c>
      <c r="AK134" s="4">
        <v>0</v>
      </c>
      <c r="AL134" s="4">
        <v>0</v>
      </c>
      <c r="AM134">
        <v>10</v>
      </c>
      <c r="AN134">
        <v>0</v>
      </c>
      <c r="AO134">
        <v>10</v>
      </c>
      <c r="AP134">
        <v>0</v>
      </c>
      <c r="AQ134">
        <v>3</v>
      </c>
      <c r="AR134">
        <v>0</v>
      </c>
      <c r="AS134">
        <v>3</v>
      </c>
      <c r="AT134">
        <v>0</v>
      </c>
      <c r="AU134">
        <v>0</v>
      </c>
      <c r="AV134">
        <v>0</v>
      </c>
      <c r="AW134">
        <v>0</v>
      </c>
      <c r="AX134">
        <v>0</v>
      </c>
      <c r="AY134">
        <v>0</v>
      </c>
    </row>
    <row r="135" spans="1:51">
      <c r="A135" t="s">
        <v>16932</v>
      </c>
      <c r="B135" t="s">
        <v>17361</v>
      </c>
      <c r="C135">
        <v>0</v>
      </c>
      <c r="D135">
        <v>4</v>
      </c>
      <c r="E135">
        <v>4</v>
      </c>
      <c r="F135">
        <v>3</v>
      </c>
      <c r="G135">
        <v>0</v>
      </c>
      <c r="H135">
        <v>0</v>
      </c>
      <c r="I135">
        <v>0</v>
      </c>
      <c r="J135">
        <v>4</v>
      </c>
      <c r="K135">
        <v>30</v>
      </c>
      <c r="L135">
        <v>4</v>
      </c>
      <c r="M135">
        <v>0</v>
      </c>
      <c r="N135">
        <v>0</v>
      </c>
      <c r="O135">
        <v>0</v>
      </c>
      <c r="P135">
        <v>0</v>
      </c>
      <c r="Q135">
        <v>0</v>
      </c>
      <c r="R135">
        <v>0</v>
      </c>
      <c r="S135">
        <v>0</v>
      </c>
      <c r="T135">
        <v>0</v>
      </c>
      <c r="U135">
        <v>0</v>
      </c>
      <c r="V135">
        <v>0</v>
      </c>
      <c r="W135" s="4">
        <v>0</v>
      </c>
      <c r="X135" s="4">
        <v>0</v>
      </c>
      <c r="Y135">
        <v>0</v>
      </c>
      <c r="Z135">
        <v>0</v>
      </c>
      <c r="AA135" s="4">
        <v>0</v>
      </c>
      <c r="AB135" s="4">
        <v>0</v>
      </c>
      <c r="AC135" s="4">
        <v>0</v>
      </c>
      <c r="AD135" s="4">
        <v>0</v>
      </c>
      <c r="AE135" s="4">
        <v>0</v>
      </c>
      <c r="AF135" s="4">
        <v>0</v>
      </c>
      <c r="AG135" s="4">
        <v>0</v>
      </c>
      <c r="AH135" s="4">
        <v>0</v>
      </c>
      <c r="AI135" s="4">
        <v>0</v>
      </c>
      <c r="AJ135" s="4">
        <v>0</v>
      </c>
      <c r="AK135" s="4">
        <v>0</v>
      </c>
      <c r="AL135" s="4">
        <v>0</v>
      </c>
      <c r="AM135">
        <v>30</v>
      </c>
      <c r="AN135">
        <v>0</v>
      </c>
      <c r="AO135">
        <v>30</v>
      </c>
      <c r="AP135">
        <v>0</v>
      </c>
      <c r="AQ135">
        <v>0</v>
      </c>
      <c r="AR135">
        <v>0</v>
      </c>
      <c r="AS135">
        <v>0</v>
      </c>
      <c r="AT135">
        <v>0</v>
      </c>
      <c r="AU135">
        <v>0</v>
      </c>
      <c r="AV135">
        <v>0</v>
      </c>
      <c r="AW135">
        <v>0</v>
      </c>
      <c r="AX135">
        <v>0</v>
      </c>
      <c r="AY135">
        <v>0</v>
      </c>
    </row>
    <row r="136" spans="1:51">
      <c r="A136" t="s">
        <v>16932</v>
      </c>
      <c r="B136" t="s">
        <v>17036</v>
      </c>
      <c r="C136">
        <v>0</v>
      </c>
      <c r="D136">
        <v>67</v>
      </c>
      <c r="E136">
        <v>66</v>
      </c>
      <c r="F136">
        <v>66</v>
      </c>
      <c r="G136">
        <v>1</v>
      </c>
      <c r="H136">
        <v>6</v>
      </c>
      <c r="I136">
        <v>5</v>
      </c>
      <c r="J136">
        <v>67</v>
      </c>
      <c r="K136">
        <v>462</v>
      </c>
      <c r="L136">
        <v>53</v>
      </c>
      <c r="M136">
        <v>6</v>
      </c>
      <c r="N136">
        <v>1</v>
      </c>
      <c r="O136">
        <v>2</v>
      </c>
      <c r="P136">
        <v>0</v>
      </c>
      <c r="Q136">
        <v>7</v>
      </c>
      <c r="R136">
        <v>0</v>
      </c>
      <c r="S136">
        <v>21.5</v>
      </c>
      <c r="T136">
        <v>41.25</v>
      </c>
      <c r="U136">
        <v>0</v>
      </c>
      <c r="V136">
        <v>62.75</v>
      </c>
      <c r="W136" s="4">
        <v>1040</v>
      </c>
      <c r="X136" s="4">
        <v>0</v>
      </c>
      <c r="Y136">
        <v>15</v>
      </c>
      <c r="Z136">
        <v>0</v>
      </c>
      <c r="AA136" s="4">
        <v>0</v>
      </c>
      <c r="AB136" s="4">
        <v>620</v>
      </c>
      <c r="AC136" s="4">
        <v>1202.6500000000001</v>
      </c>
      <c r="AD136" s="4">
        <v>1202.6500000000001</v>
      </c>
      <c r="AE136" s="4">
        <v>440.65</v>
      </c>
      <c r="AF136" s="4">
        <v>1822.65</v>
      </c>
      <c r="AG136" s="4">
        <v>2242.65</v>
      </c>
      <c r="AH136" s="4">
        <v>1802</v>
      </c>
      <c r="AI136" s="4">
        <v>5.7</v>
      </c>
      <c r="AJ136" s="4">
        <v>696.2</v>
      </c>
      <c r="AK136" s="4">
        <v>816.2</v>
      </c>
      <c r="AL136" s="4">
        <v>810.5</v>
      </c>
      <c r="AM136">
        <v>462</v>
      </c>
      <c r="AN136">
        <v>50</v>
      </c>
      <c r="AO136">
        <v>412</v>
      </c>
      <c r="AP136">
        <v>0</v>
      </c>
      <c r="AQ136">
        <v>21.5</v>
      </c>
      <c r="AR136">
        <v>6</v>
      </c>
      <c r="AS136">
        <v>15.5</v>
      </c>
      <c r="AT136">
        <v>0</v>
      </c>
      <c r="AU136">
        <v>41.25</v>
      </c>
      <c r="AV136">
        <v>23</v>
      </c>
      <c r="AW136">
        <v>18.25</v>
      </c>
      <c r="AX136">
        <v>0</v>
      </c>
      <c r="AY136">
        <v>0</v>
      </c>
    </row>
    <row r="137" spans="1:51">
      <c r="A137" t="s">
        <v>16932</v>
      </c>
      <c r="B137" t="s">
        <v>17360</v>
      </c>
      <c r="C137">
        <v>0</v>
      </c>
      <c r="D137">
        <v>4</v>
      </c>
      <c r="E137">
        <v>4</v>
      </c>
      <c r="F137">
        <v>4</v>
      </c>
      <c r="G137">
        <v>0</v>
      </c>
      <c r="H137">
        <v>0</v>
      </c>
      <c r="I137">
        <v>0</v>
      </c>
      <c r="J137">
        <v>4</v>
      </c>
      <c r="K137">
        <v>95</v>
      </c>
      <c r="L137">
        <v>3</v>
      </c>
      <c r="M137">
        <v>0</v>
      </c>
      <c r="N137">
        <v>0</v>
      </c>
      <c r="O137">
        <v>0</v>
      </c>
      <c r="P137">
        <v>0</v>
      </c>
      <c r="Q137">
        <v>1</v>
      </c>
      <c r="R137">
        <v>0</v>
      </c>
      <c r="S137">
        <v>11</v>
      </c>
      <c r="T137">
        <v>11</v>
      </c>
      <c r="U137">
        <v>0</v>
      </c>
      <c r="V137">
        <v>22</v>
      </c>
      <c r="W137" s="4">
        <v>330</v>
      </c>
      <c r="X137" s="4">
        <v>0</v>
      </c>
      <c r="Y137">
        <v>4</v>
      </c>
      <c r="Z137">
        <v>0</v>
      </c>
      <c r="AA137" s="4">
        <v>0</v>
      </c>
      <c r="AB137" s="4">
        <v>230</v>
      </c>
      <c r="AC137" s="4">
        <v>778</v>
      </c>
      <c r="AD137" s="4">
        <v>778</v>
      </c>
      <c r="AE137" s="4">
        <v>215.75</v>
      </c>
      <c r="AF137" s="4">
        <v>1008</v>
      </c>
      <c r="AG137" s="4">
        <v>1108</v>
      </c>
      <c r="AH137" s="4">
        <v>892.25</v>
      </c>
      <c r="AI137" s="4">
        <v>0</v>
      </c>
      <c r="AJ137" s="4">
        <v>0</v>
      </c>
      <c r="AK137" s="4">
        <v>0</v>
      </c>
      <c r="AL137" s="4">
        <v>0</v>
      </c>
      <c r="AM137">
        <v>95</v>
      </c>
      <c r="AN137">
        <v>0</v>
      </c>
      <c r="AO137">
        <v>95</v>
      </c>
      <c r="AP137">
        <v>0</v>
      </c>
      <c r="AQ137">
        <v>11</v>
      </c>
      <c r="AR137">
        <v>0</v>
      </c>
      <c r="AS137">
        <v>11</v>
      </c>
      <c r="AT137">
        <v>0</v>
      </c>
      <c r="AU137">
        <v>11</v>
      </c>
      <c r="AV137">
        <v>0</v>
      </c>
      <c r="AW137">
        <v>11</v>
      </c>
      <c r="AX137">
        <v>0</v>
      </c>
      <c r="AY137">
        <v>0</v>
      </c>
    </row>
    <row r="138" spans="1:51">
      <c r="A138" t="s">
        <v>16932</v>
      </c>
      <c r="B138" t="s">
        <v>17370</v>
      </c>
      <c r="C138">
        <v>0</v>
      </c>
      <c r="D138">
        <v>15</v>
      </c>
      <c r="E138">
        <v>15</v>
      </c>
      <c r="F138">
        <v>13</v>
      </c>
      <c r="G138">
        <v>0</v>
      </c>
      <c r="H138">
        <v>0</v>
      </c>
      <c r="I138">
        <v>0</v>
      </c>
      <c r="J138">
        <v>15</v>
      </c>
      <c r="K138">
        <v>108</v>
      </c>
      <c r="L138">
        <v>12</v>
      </c>
      <c r="M138">
        <v>0</v>
      </c>
      <c r="N138">
        <v>0</v>
      </c>
      <c r="O138">
        <v>3</v>
      </c>
      <c r="P138">
        <v>0</v>
      </c>
      <c r="Q138">
        <v>0</v>
      </c>
      <c r="R138">
        <v>0</v>
      </c>
      <c r="S138">
        <v>10</v>
      </c>
      <c r="T138">
        <v>5</v>
      </c>
      <c r="U138">
        <v>0</v>
      </c>
      <c r="V138">
        <v>15</v>
      </c>
      <c r="W138" s="4">
        <v>200</v>
      </c>
      <c r="X138" s="4">
        <v>28.8</v>
      </c>
      <c r="Y138">
        <v>1</v>
      </c>
      <c r="Z138">
        <v>0</v>
      </c>
      <c r="AA138" s="4">
        <v>0</v>
      </c>
      <c r="AB138" s="4">
        <v>170</v>
      </c>
      <c r="AC138" s="4">
        <v>0</v>
      </c>
      <c r="AD138" s="4">
        <v>0</v>
      </c>
      <c r="AE138" s="4">
        <v>0</v>
      </c>
      <c r="AF138" s="4">
        <v>170</v>
      </c>
      <c r="AG138" s="4">
        <v>228.8</v>
      </c>
      <c r="AH138" s="4">
        <v>228.8</v>
      </c>
      <c r="AI138" s="4">
        <v>0</v>
      </c>
      <c r="AJ138" s="4">
        <v>0</v>
      </c>
      <c r="AK138" s="4">
        <v>0</v>
      </c>
      <c r="AL138" s="4">
        <v>0</v>
      </c>
      <c r="AM138">
        <v>108</v>
      </c>
      <c r="AN138">
        <v>0</v>
      </c>
      <c r="AO138">
        <v>108</v>
      </c>
      <c r="AP138">
        <v>0</v>
      </c>
      <c r="AQ138">
        <v>10</v>
      </c>
      <c r="AR138">
        <v>0</v>
      </c>
      <c r="AS138">
        <v>10</v>
      </c>
      <c r="AT138">
        <v>0</v>
      </c>
      <c r="AU138">
        <v>5</v>
      </c>
      <c r="AV138">
        <v>0</v>
      </c>
      <c r="AW138">
        <v>5</v>
      </c>
      <c r="AX138">
        <v>0</v>
      </c>
      <c r="AY138">
        <v>24</v>
      </c>
    </row>
    <row r="139" spans="1:51">
      <c r="A139" t="s">
        <v>17041</v>
      </c>
      <c r="B139" t="s">
        <v>17325</v>
      </c>
      <c r="C139">
        <v>0</v>
      </c>
      <c r="D139">
        <v>6</v>
      </c>
      <c r="E139">
        <v>6</v>
      </c>
      <c r="F139">
        <v>6</v>
      </c>
      <c r="G139">
        <v>1</v>
      </c>
      <c r="H139">
        <v>2</v>
      </c>
      <c r="I139">
        <v>0</v>
      </c>
      <c r="J139">
        <v>6</v>
      </c>
      <c r="K139">
        <v>68</v>
      </c>
      <c r="L139">
        <v>3</v>
      </c>
      <c r="M139">
        <v>0</v>
      </c>
      <c r="N139">
        <v>1</v>
      </c>
      <c r="O139">
        <v>2</v>
      </c>
      <c r="P139">
        <v>0</v>
      </c>
      <c r="Q139">
        <v>0</v>
      </c>
      <c r="R139">
        <v>0</v>
      </c>
      <c r="S139">
        <v>8.75</v>
      </c>
      <c r="T139">
        <v>3</v>
      </c>
      <c r="U139">
        <v>3.5</v>
      </c>
      <c r="V139">
        <v>15.25</v>
      </c>
      <c r="W139" s="4">
        <v>147.5</v>
      </c>
      <c r="X139" s="4">
        <v>0</v>
      </c>
      <c r="Y139">
        <v>4</v>
      </c>
      <c r="Z139">
        <v>2</v>
      </c>
      <c r="AA139" s="4">
        <v>0</v>
      </c>
      <c r="AB139" s="4">
        <v>0</v>
      </c>
      <c r="AC139" s="4">
        <v>0</v>
      </c>
      <c r="AD139" s="4">
        <v>0</v>
      </c>
      <c r="AE139" s="4">
        <v>0</v>
      </c>
      <c r="AF139" s="4">
        <v>0</v>
      </c>
      <c r="AG139" s="4">
        <v>217.5</v>
      </c>
      <c r="AH139" s="4">
        <v>217.5</v>
      </c>
      <c r="AI139" s="4">
        <v>0</v>
      </c>
      <c r="AJ139" s="4">
        <v>0</v>
      </c>
      <c r="AK139" s="4">
        <v>120</v>
      </c>
      <c r="AL139" s="4">
        <v>120</v>
      </c>
      <c r="AM139">
        <v>68</v>
      </c>
      <c r="AN139">
        <v>36</v>
      </c>
      <c r="AO139">
        <v>32</v>
      </c>
      <c r="AP139">
        <v>0</v>
      </c>
      <c r="AQ139">
        <v>8.75</v>
      </c>
      <c r="AR139">
        <v>6</v>
      </c>
      <c r="AS139">
        <v>2.75</v>
      </c>
      <c r="AT139">
        <v>0</v>
      </c>
      <c r="AU139">
        <v>3</v>
      </c>
      <c r="AV139">
        <v>1.5</v>
      </c>
      <c r="AW139">
        <v>1.5</v>
      </c>
      <c r="AX139">
        <v>0</v>
      </c>
      <c r="AY139">
        <v>3</v>
      </c>
    </row>
    <row r="140" spans="1:51">
      <c r="A140" t="s">
        <v>17041</v>
      </c>
      <c r="B140" t="s">
        <v>17042</v>
      </c>
      <c r="C140">
        <v>0</v>
      </c>
      <c r="D140">
        <v>11</v>
      </c>
      <c r="E140">
        <v>11</v>
      </c>
      <c r="F140">
        <v>0</v>
      </c>
      <c r="G140">
        <v>0</v>
      </c>
      <c r="H140">
        <v>0</v>
      </c>
      <c r="I140">
        <v>0</v>
      </c>
      <c r="J140">
        <v>11</v>
      </c>
      <c r="K140">
        <v>63</v>
      </c>
      <c r="L140">
        <v>11</v>
      </c>
      <c r="M140">
        <v>0</v>
      </c>
      <c r="N140">
        <v>0</v>
      </c>
      <c r="O140">
        <v>0</v>
      </c>
      <c r="P140">
        <v>0</v>
      </c>
      <c r="Q140">
        <v>0</v>
      </c>
      <c r="R140">
        <v>0</v>
      </c>
      <c r="S140">
        <v>13.55</v>
      </c>
      <c r="T140">
        <v>0</v>
      </c>
      <c r="U140">
        <v>0</v>
      </c>
      <c r="V140">
        <v>13.55</v>
      </c>
      <c r="W140" s="4">
        <v>135.5</v>
      </c>
      <c r="X140" s="4">
        <v>0</v>
      </c>
      <c r="Y140">
        <v>11</v>
      </c>
      <c r="Z140">
        <v>0</v>
      </c>
      <c r="AA140" s="4">
        <v>0</v>
      </c>
      <c r="AB140" s="4">
        <v>45</v>
      </c>
      <c r="AC140" s="4">
        <v>0</v>
      </c>
      <c r="AD140" s="4">
        <v>55</v>
      </c>
      <c r="AE140" s="4">
        <v>0</v>
      </c>
      <c r="AF140" s="4">
        <v>100</v>
      </c>
      <c r="AG140" s="4">
        <v>135.5</v>
      </c>
      <c r="AH140" s="4">
        <v>135.5</v>
      </c>
      <c r="AI140" s="4">
        <v>0</v>
      </c>
      <c r="AJ140" s="4">
        <v>0</v>
      </c>
      <c r="AK140" s="4">
        <v>0</v>
      </c>
      <c r="AL140" s="4">
        <v>0</v>
      </c>
      <c r="AM140">
        <v>63</v>
      </c>
      <c r="AN140">
        <v>0</v>
      </c>
      <c r="AO140">
        <v>63</v>
      </c>
      <c r="AP140">
        <v>0</v>
      </c>
      <c r="AQ140">
        <v>13.55</v>
      </c>
      <c r="AR140">
        <v>0</v>
      </c>
      <c r="AS140">
        <v>13.55</v>
      </c>
      <c r="AT140">
        <v>0</v>
      </c>
      <c r="AU140">
        <v>0</v>
      </c>
      <c r="AV140">
        <v>0</v>
      </c>
      <c r="AW140">
        <v>0</v>
      </c>
      <c r="AX140">
        <v>0</v>
      </c>
    </row>
    <row r="141" spans="1:51">
      <c r="A141" t="s">
        <v>17041</v>
      </c>
      <c r="B141" t="s">
        <v>17495</v>
      </c>
      <c r="C141">
        <v>0</v>
      </c>
      <c r="D141">
        <v>1</v>
      </c>
      <c r="E141">
        <v>1</v>
      </c>
      <c r="F141">
        <v>1</v>
      </c>
      <c r="G141">
        <v>0</v>
      </c>
      <c r="H141">
        <v>0</v>
      </c>
      <c r="I141">
        <v>0</v>
      </c>
      <c r="J141">
        <v>1</v>
      </c>
      <c r="K141">
        <v>11</v>
      </c>
      <c r="L141">
        <v>1</v>
      </c>
      <c r="M141">
        <v>0</v>
      </c>
      <c r="N141">
        <v>0</v>
      </c>
      <c r="O141">
        <v>0</v>
      </c>
      <c r="P141">
        <v>0</v>
      </c>
      <c r="Q141">
        <v>0</v>
      </c>
      <c r="R141">
        <v>0</v>
      </c>
      <c r="S141">
        <v>1.5</v>
      </c>
      <c r="T141">
        <v>0</v>
      </c>
      <c r="U141">
        <v>0</v>
      </c>
      <c r="V141">
        <v>0</v>
      </c>
      <c r="W141" s="4">
        <v>15</v>
      </c>
      <c r="X141" s="4">
        <v>0</v>
      </c>
      <c r="Y141">
        <v>0</v>
      </c>
      <c r="Z141">
        <v>1</v>
      </c>
      <c r="AA141" s="4">
        <v>0</v>
      </c>
      <c r="AB141" s="4">
        <v>0</v>
      </c>
      <c r="AC141" s="4">
        <v>0</v>
      </c>
      <c r="AD141" s="4">
        <v>0</v>
      </c>
      <c r="AE141" s="4">
        <v>0</v>
      </c>
      <c r="AF141" s="4">
        <v>0</v>
      </c>
      <c r="AG141" s="4">
        <v>15</v>
      </c>
      <c r="AH141" s="4">
        <v>15</v>
      </c>
      <c r="AI141" s="4">
        <v>0</v>
      </c>
      <c r="AJ141" s="4">
        <v>0</v>
      </c>
      <c r="AK141" s="4">
        <v>0</v>
      </c>
      <c r="AL141" s="4">
        <v>0</v>
      </c>
      <c r="AM141">
        <v>11</v>
      </c>
      <c r="AN141">
        <v>0</v>
      </c>
      <c r="AO141">
        <v>11</v>
      </c>
      <c r="AP141">
        <v>0</v>
      </c>
      <c r="AQ141">
        <v>1.5</v>
      </c>
      <c r="AR141">
        <v>0</v>
      </c>
      <c r="AS141">
        <v>1.5</v>
      </c>
      <c r="AT141">
        <v>0</v>
      </c>
      <c r="AU141">
        <v>0</v>
      </c>
      <c r="AV141">
        <v>0</v>
      </c>
      <c r="AW141">
        <v>0</v>
      </c>
      <c r="AX141">
        <v>0</v>
      </c>
    </row>
    <row r="142" spans="1:51">
      <c r="A142" t="s">
        <v>17041</v>
      </c>
      <c r="B142" t="s">
        <v>17043</v>
      </c>
      <c r="C142">
        <v>0</v>
      </c>
      <c r="D142">
        <v>2</v>
      </c>
      <c r="E142">
        <v>2</v>
      </c>
      <c r="F142">
        <v>2</v>
      </c>
      <c r="G142">
        <v>0</v>
      </c>
      <c r="H142">
        <v>0</v>
      </c>
      <c r="I142">
        <v>0</v>
      </c>
      <c r="J142">
        <v>2</v>
      </c>
      <c r="K142">
        <v>15</v>
      </c>
      <c r="L142">
        <v>1</v>
      </c>
      <c r="M142">
        <v>0</v>
      </c>
      <c r="N142">
        <v>1</v>
      </c>
      <c r="O142">
        <v>0</v>
      </c>
      <c r="P142">
        <v>0</v>
      </c>
      <c r="Q142">
        <v>0</v>
      </c>
      <c r="R142">
        <v>0</v>
      </c>
      <c r="S142">
        <v>0.75</v>
      </c>
      <c r="T142">
        <v>0</v>
      </c>
      <c r="U142">
        <v>0</v>
      </c>
      <c r="V142">
        <v>0.75</v>
      </c>
      <c r="W142" s="4">
        <v>7.5</v>
      </c>
      <c r="X142" s="4">
        <v>0</v>
      </c>
      <c r="Y142">
        <v>0</v>
      </c>
      <c r="Z142">
        <v>2</v>
      </c>
      <c r="AA142" s="4">
        <v>0</v>
      </c>
      <c r="AB142" s="4">
        <v>0</v>
      </c>
      <c r="AC142" s="4">
        <v>0</v>
      </c>
      <c r="AD142" s="4">
        <v>0</v>
      </c>
      <c r="AE142" s="4">
        <v>0</v>
      </c>
      <c r="AF142" s="4">
        <v>0</v>
      </c>
      <c r="AG142" s="4">
        <v>7.5</v>
      </c>
      <c r="AH142" s="4">
        <v>7.5</v>
      </c>
      <c r="AI142" s="4">
        <v>0</v>
      </c>
      <c r="AJ142" s="4">
        <v>0</v>
      </c>
      <c r="AK142" s="4">
        <v>0</v>
      </c>
      <c r="AL142" s="4">
        <v>0</v>
      </c>
      <c r="AM142">
        <v>15</v>
      </c>
      <c r="AN142">
        <v>0</v>
      </c>
      <c r="AO142">
        <v>15</v>
      </c>
      <c r="AP142">
        <v>0</v>
      </c>
      <c r="AQ142">
        <v>0.75</v>
      </c>
      <c r="AR142">
        <v>0</v>
      </c>
      <c r="AS142">
        <v>0.75</v>
      </c>
      <c r="AT142">
        <v>0</v>
      </c>
      <c r="AU142">
        <v>0</v>
      </c>
      <c r="AV142">
        <v>0</v>
      </c>
      <c r="AW142">
        <v>0</v>
      </c>
      <c r="AX142">
        <v>0</v>
      </c>
    </row>
    <row r="143" spans="1:51">
      <c r="A143" t="s">
        <v>17041</v>
      </c>
      <c r="B143" t="s">
        <v>17303</v>
      </c>
      <c r="C143">
        <v>0</v>
      </c>
      <c r="D143">
        <v>4</v>
      </c>
      <c r="E143">
        <v>4</v>
      </c>
      <c r="F143">
        <v>4</v>
      </c>
      <c r="G143">
        <v>0</v>
      </c>
      <c r="H143">
        <v>0</v>
      </c>
      <c r="I143">
        <v>0</v>
      </c>
      <c r="J143">
        <v>4</v>
      </c>
      <c r="K143">
        <v>21</v>
      </c>
      <c r="L143">
        <v>4</v>
      </c>
      <c r="M143">
        <v>0</v>
      </c>
      <c r="N143">
        <v>0</v>
      </c>
      <c r="O143">
        <v>0</v>
      </c>
      <c r="P143">
        <v>0</v>
      </c>
      <c r="Q143">
        <v>0</v>
      </c>
      <c r="R143">
        <v>0</v>
      </c>
      <c r="S143">
        <v>52.25</v>
      </c>
      <c r="T143">
        <v>0</v>
      </c>
      <c r="U143">
        <v>0</v>
      </c>
      <c r="V143">
        <v>52.25</v>
      </c>
      <c r="W143" s="4">
        <v>522.5</v>
      </c>
      <c r="X143" s="4">
        <v>0</v>
      </c>
      <c r="Y143">
        <v>4</v>
      </c>
      <c r="Z143">
        <v>0</v>
      </c>
      <c r="AA143" s="4">
        <v>0</v>
      </c>
      <c r="AB143" s="4">
        <v>430</v>
      </c>
      <c r="AC143" s="4">
        <v>0</v>
      </c>
      <c r="AD143" s="4">
        <v>0</v>
      </c>
      <c r="AE143" s="4">
        <v>0</v>
      </c>
      <c r="AF143" s="4">
        <v>430</v>
      </c>
      <c r="AG143" s="4">
        <v>522.5</v>
      </c>
      <c r="AH143" s="4">
        <v>522.5</v>
      </c>
      <c r="AI143" s="4">
        <v>0</v>
      </c>
      <c r="AJ143" s="4">
        <v>0</v>
      </c>
      <c r="AK143" s="4">
        <v>0</v>
      </c>
      <c r="AL143" s="4">
        <v>0</v>
      </c>
      <c r="AM143">
        <v>21</v>
      </c>
      <c r="AN143">
        <v>0</v>
      </c>
      <c r="AO143">
        <v>21</v>
      </c>
      <c r="AP143">
        <v>0</v>
      </c>
      <c r="AQ143">
        <v>52.25</v>
      </c>
      <c r="AR143">
        <v>0</v>
      </c>
      <c r="AS143">
        <v>52.25</v>
      </c>
      <c r="AT143">
        <v>0</v>
      </c>
      <c r="AU143">
        <v>0</v>
      </c>
      <c r="AV143">
        <v>0</v>
      </c>
      <c r="AW143">
        <v>0</v>
      </c>
      <c r="AX143">
        <v>0</v>
      </c>
      <c r="AY143">
        <v>47</v>
      </c>
    </row>
    <row r="144" spans="1:51">
      <c r="A144" t="s">
        <v>17044</v>
      </c>
      <c r="B144" t="s">
        <v>17046</v>
      </c>
      <c r="C144">
        <v>0</v>
      </c>
      <c r="D144">
        <v>3</v>
      </c>
      <c r="E144">
        <v>3</v>
      </c>
      <c r="F144">
        <v>3</v>
      </c>
      <c r="G144">
        <v>0</v>
      </c>
      <c r="H144">
        <v>0</v>
      </c>
      <c r="I144">
        <v>0</v>
      </c>
      <c r="J144">
        <v>3</v>
      </c>
      <c r="K144">
        <v>20</v>
      </c>
      <c r="L144">
        <v>2</v>
      </c>
      <c r="M144">
        <v>0</v>
      </c>
      <c r="N144">
        <v>0</v>
      </c>
      <c r="O144">
        <v>1</v>
      </c>
      <c r="P144">
        <v>0</v>
      </c>
      <c r="Q144">
        <v>0</v>
      </c>
      <c r="R144">
        <v>0</v>
      </c>
      <c r="S144">
        <v>0</v>
      </c>
      <c r="T144">
        <v>0</v>
      </c>
      <c r="U144">
        <v>0</v>
      </c>
      <c r="V144">
        <v>0</v>
      </c>
      <c r="W144" s="4">
        <v>0</v>
      </c>
      <c r="X144" s="4">
        <v>0</v>
      </c>
      <c r="Y144">
        <v>0</v>
      </c>
      <c r="Z144">
        <v>0</v>
      </c>
      <c r="AA144" s="4">
        <v>0</v>
      </c>
      <c r="AB144" s="4">
        <v>0</v>
      </c>
      <c r="AC144" s="4">
        <v>0</v>
      </c>
      <c r="AD144" s="4">
        <v>0</v>
      </c>
      <c r="AE144" s="4">
        <v>0</v>
      </c>
      <c r="AF144" s="4">
        <v>0</v>
      </c>
      <c r="AG144" s="4">
        <v>0</v>
      </c>
      <c r="AH144" s="4">
        <v>0</v>
      </c>
      <c r="AI144" s="4">
        <v>0</v>
      </c>
      <c r="AJ144" s="4">
        <v>0</v>
      </c>
      <c r="AK144" s="4">
        <v>0</v>
      </c>
      <c r="AL144" s="4">
        <v>0</v>
      </c>
      <c r="AM144">
        <v>20</v>
      </c>
      <c r="AN144">
        <v>0</v>
      </c>
      <c r="AO144">
        <v>20</v>
      </c>
      <c r="AP144">
        <v>0</v>
      </c>
      <c r="AQ144">
        <v>0</v>
      </c>
      <c r="AR144">
        <v>0</v>
      </c>
      <c r="AS144">
        <v>0</v>
      </c>
      <c r="AT144">
        <v>0</v>
      </c>
      <c r="AU144">
        <v>0</v>
      </c>
      <c r="AV144">
        <v>0</v>
      </c>
      <c r="AW144">
        <v>0</v>
      </c>
      <c r="AX144">
        <v>0</v>
      </c>
      <c r="AY144">
        <v>0</v>
      </c>
    </row>
    <row r="145" spans="1:51">
      <c r="A145" t="s">
        <v>17044</v>
      </c>
      <c r="B145" t="s">
        <v>17047</v>
      </c>
      <c r="C145">
        <v>0</v>
      </c>
      <c r="D145">
        <v>1</v>
      </c>
      <c r="E145">
        <v>1</v>
      </c>
      <c r="F145">
        <v>1</v>
      </c>
      <c r="G145">
        <v>0</v>
      </c>
      <c r="H145">
        <v>0</v>
      </c>
      <c r="I145">
        <v>0</v>
      </c>
      <c r="J145">
        <v>1</v>
      </c>
      <c r="K145">
        <v>6</v>
      </c>
      <c r="L145">
        <v>1</v>
      </c>
      <c r="M145">
        <v>0</v>
      </c>
      <c r="N145">
        <v>0</v>
      </c>
      <c r="O145">
        <v>0</v>
      </c>
      <c r="P145">
        <v>0</v>
      </c>
      <c r="Q145">
        <v>0</v>
      </c>
      <c r="R145">
        <v>0</v>
      </c>
      <c r="S145">
        <v>0.25</v>
      </c>
      <c r="T145">
        <v>0.5</v>
      </c>
      <c r="U145">
        <v>0</v>
      </c>
      <c r="V145">
        <v>0.75</v>
      </c>
      <c r="W145" s="4">
        <v>12.5</v>
      </c>
      <c r="X145" s="4">
        <v>0</v>
      </c>
      <c r="Y145">
        <v>1</v>
      </c>
      <c r="Z145">
        <v>0</v>
      </c>
      <c r="AA145" s="4">
        <v>0</v>
      </c>
      <c r="AB145" s="4">
        <v>0</v>
      </c>
      <c r="AC145" s="4">
        <v>65.5</v>
      </c>
      <c r="AD145" s="4">
        <v>65.5</v>
      </c>
      <c r="AE145" s="4">
        <v>65.5</v>
      </c>
      <c r="AF145" s="4">
        <v>65.5</v>
      </c>
      <c r="AG145" s="4">
        <v>78</v>
      </c>
      <c r="AH145" s="4">
        <v>12.5</v>
      </c>
      <c r="AI145" s="4">
        <v>0</v>
      </c>
      <c r="AJ145" s="4">
        <v>0</v>
      </c>
      <c r="AK145" s="4">
        <v>0</v>
      </c>
      <c r="AL145" s="4">
        <v>0</v>
      </c>
      <c r="AM145">
        <v>6</v>
      </c>
      <c r="AN145">
        <v>0</v>
      </c>
      <c r="AO145">
        <v>6</v>
      </c>
      <c r="AP145">
        <v>0</v>
      </c>
      <c r="AQ145">
        <v>0.25</v>
      </c>
      <c r="AR145">
        <v>0</v>
      </c>
      <c r="AS145">
        <v>0.25</v>
      </c>
      <c r="AT145">
        <v>0</v>
      </c>
      <c r="AU145">
        <v>0.5</v>
      </c>
      <c r="AV145">
        <v>0</v>
      </c>
      <c r="AW145">
        <v>0.5</v>
      </c>
      <c r="AX145">
        <v>0</v>
      </c>
      <c r="AY145">
        <v>1</v>
      </c>
    </row>
    <row r="146" spans="1:51">
      <c r="A146" t="s">
        <v>17044</v>
      </c>
      <c r="B146" t="s">
        <v>17048</v>
      </c>
      <c r="C146">
        <v>0</v>
      </c>
      <c r="D146">
        <v>1</v>
      </c>
      <c r="E146">
        <v>1</v>
      </c>
      <c r="F146">
        <v>1</v>
      </c>
      <c r="G146">
        <v>0</v>
      </c>
      <c r="H146">
        <v>0</v>
      </c>
      <c r="I146">
        <v>0</v>
      </c>
      <c r="J146">
        <v>1</v>
      </c>
      <c r="K146">
        <v>9</v>
      </c>
      <c r="L146">
        <v>0</v>
      </c>
      <c r="M146">
        <v>0</v>
      </c>
      <c r="N146">
        <v>0</v>
      </c>
      <c r="O146">
        <v>1</v>
      </c>
      <c r="P146">
        <v>0</v>
      </c>
      <c r="Q146">
        <v>0</v>
      </c>
      <c r="R146">
        <v>0</v>
      </c>
      <c r="S146">
        <v>5</v>
      </c>
      <c r="T146">
        <v>0</v>
      </c>
      <c r="U146">
        <v>0</v>
      </c>
      <c r="V146">
        <v>5</v>
      </c>
      <c r="W146" s="4">
        <v>50</v>
      </c>
      <c r="X146" s="4">
        <v>0</v>
      </c>
      <c r="Y146">
        <v>1</v>
      </c>
      <c r="Z146">
        <v>0</v>
      </c>
      <c r="AA146" s="4">
        <v>0</v>
      </c>
      <c r="AB146" s="4">
        <v>20</v>
      </c>
      <c r="AC146" s="4">
        <v>0</v>
      </c>
      <c r="AD146" s="4">
        <v>0</v>
      </c>
      <c r="AE146" s="4">
        <v>20</v>
      </c>
      <c r="AF146" s="4">
        <v>20</v>
      </c>
      <c r="AG146" s="4">
        <v>50</v>
      </c>
      <c r="AH146" s="4">
        <v>30</v>
      </c>
      <c r="AI146" s="4">
        <v>0</v>
      </c>
      <c r="AJ146" s="4">
        <v>0</v>
      </c>
      <c r="AK146" s="4">
        <v>0</v>
      </c>
      <c r="AL146" s="4">
        <v>0</v>
      </c>
      <c r="AM146">
        <v>9</v>
      </c>
      <c r="AN146">
        <v>0</v>
      </c>
      <c r="AO146">
        <v>9</v>
      </c>
      <c r="AP146">
        <v>0</v>
      </c>
      <c r="AQ146">
        <v>5</v>
      </c>
      <c r="AR146">
        <v>0</v>
      </c>
      <c r="AS146">
        <v>5</v>
      </c>
      <c r="AT146">
        <v>0</v>
      </c>
      <c r="AU146">
        <v>0</v>
      </c>
      <c r="AV146">
        <v>0</v>
      </c>
      <c r="AW146">
        <v>0</v>
      </c>
      <c r="AX146">
        <v>0</v>
      </c>
      <c r="AY146">
        <v>0</v>
      </c>
    </row>
    <row r="147" spans="1:51">
      <c r="A147" t="s">
        <v>17044</v>
      </c>
      <c r="B147" t="s">
        <v>17049</v>
      </c>
      <c r="C147">
        <v>0</v>
      </c>
      <c r="D147">
        <v>16</v>
      </c>
      <c r="E147">
        <v>16</v>
      </c>
      <c r="F147">
        <v>14</v>
      </c>
      <c r="G147">
        <v>3</v>
      </c>
      <c r="H147">
        <v>0</v>
      </c>
      <c r="I147">
        <v>0</v>
      </c>
      <c r="J147">
        <v>16</v>
      </c>
      <c r="K147">
        <v>169</v>
      </c>
      <c r="L147">
        <v>3</v>
      </c>
      <c r="M147">
        <v>1</v>
      </c>
      <c r="N147">
        <v>5</v>
      </c>
      <c r="O147">
        <v>1</v>
      </c>
      <c r="P147">
        <v>0</v>
      </c>
      <c r="Q147">
        <v>6</v>
      </c>
      <c r="R147">
        <v>0</v>
      </c>
      <c r="S147">
        <v>4.5</v>
      </c>
      <c r="T147">
        <v>4</v>
      </c>
      <c r="U147">
        <v>0</v>
      </c>
      <c r="V147">
        <v>8.5</v>
      </c>
      <c r="W147" s="4">
        <v>125</v>
      </c>
      <c r="X147" s="4">
        <v>0</v>
      </c>
      <c r="Y147">
        <v>10</v>
      </c>
      <c r="Z147">
        <v>0</v>
      </c>
      <c r="AA147" s="4">
        <v>0</v>
      </c>
      <c r="AB147" s="4">
        <v>0</v>
      </c>
      <c r="AC147" s="4">
        <v>77.25</v>
      </c>
      <c r="AD147" s="4">
        <v>77.25</v>
      </c>
      <c r="AE147" s="4">
        <v>77.25</v>
      </c>
      <c r="AF147" s="4">
        <v>77.25</v>
      </c>
      <c r="AG147" s="4">
        <v>202.25</v>
      </c>
      <c r="AH147" s="4">
        <v>125</v>
      </c>
      <c r="AI147" s="4">
        <v>0</v>
      </c>
      <c r="AJ147" s="4">
        <v>0</v>
      </c>
      <c r="AK147" s="4">
        <v>0</v>
      </c>
      <c r="AL147" s="4">
        <v>0</v>
      </c>
      <c r="AM147">
        <v>169</v>
      </c>
      <c r="AN147">
        <v>0</v>
      </c>
      <c r="AO147">
        <v>169</v>
      </c>
      <c r="AP147">
        <v>0</v>
      </c>
      <c r="AQ147">
        <v>4.5</v>
      </c>
      <c r="AR147">
        <v>0</v>
      </c>
      <c r="AS147">
        <v>4.5</v>
      </c>
      <c r="AT147">
        <v>0</v>
      </c>
      <c r="AU147">
        <v>4</v>
      </c>
      <c r="AV147">
        <v>0</v>
      </c>
      <c r="AW147">
        <v>4</v>
      </c>
      <c r="AX147">
        <v>0</v>
      </c>
      <c r="AY147">
        <v>0</v>
      </c>
    </row>
    <row r="148" spans="1:51">
      <c r="A148" t="s">
        <v>17044</v>
      </c>
      <c r="B148" t="s">
        <v>17050</v>
      </c>
      <c r="C148">
        <v>1</v>
      </c>
      <c r="D148">
        <v>16</v>
      </c>
      <c r="E148">
        <v>16</v>
      </c>
      <c r="F148">
        <v>16</v>
      </c>
      <c r="G148">
        <v>2</v>
      </c>
      <c r="H148">
        <v>0</v>
      </c>
      <c r="I148">
        <v>0</v>
      </c>
      <c r="J148">
        <v>16</v>
      </c>
      <c r="K148">
        <v>99</v>
      </c>
      <c r="L148">
        <v>7</v>
      </c>
      <c r="M148">
        <v>0</v>
      </c>
      <c r="N148">
        <v>2</v>
      </c>
      <c r="O148">
        <v>4</v>
      </c>
      <c r="P148">
        <v>0</v>
      </c>
      <c r="Q148">
        <v>3</v>
      </c>
      <c r="R148">
        <v>0</v>
      </c>
      <c r="S148">
        <v>4.5</v>
      </c>
      <c r="T148">
        <v>9.5</v>
      </c>
      <c r="U148">
        <v>0</v>
      </c>
      <c r="V148">
        <v>14</v>
      </c>
      <c r="W148" s="4">
        <v>235</v>
      </c>
      <c r="X148" s="4">
        <v>0</v>
      </c>
      <c r="Y148">
        <v>4</v>
      </c>
      <c r="Z148">
        <v>0</v>
      </c>
      <c r="AA148" s="4">
        <v>0</v>
      </c>
      <c r="AB148" s="4">
        <v>140</v>
      </c>
      <c r="AC148" s="4">
        <v>332.75</v>
      </c>
      <c r="AD148" s="4">
        <v>332.75</v>
      </c>
      <c r="AE148" s="4">
        <v>387.75</v>
      </c>
      <c r="AF148" s="4">
        <v>472.75</v>
      </c>
      <c r="AG148" s="4">
        <v>567.75</v>
      </c>
      <c r="AH148" s="4">
        <v>180</v>
      </c>
      <c r="AI148" s="4">
        <v>0</v>
      </c>
      <c r="AJ148" s="4">
        <v>0</v>
      </c>
      <c r="AK148" s="4">
        <v>0</v>
      </c>
      <c r="AL148" s="4">
        <v>0</v>
      </c>
      <c r="AM148">
        <v>99</v>
      </c>
      <c r="AN148">
        <v>0</v>
      </c>
      <c r="AO148">
        <v>93</v>
      </c>
      <c r="AP148">
        <v>6</v>
      </c>
      <c r="AQ148">
        <v>4.5</v>
      </c>
      <c r="AR148">
        <v>0</v>
      </c>
      <c r="AS148">
        <v>4.5</v>
      </c>
      <c r="AT148">
        <v>0</v>
      </c>
      <c r="AU148">
        <v>9.5</v>
      </c>
      <c r="AV148">
        <v>0</v>
      </c>
      <c r="AW148">
        <v>9.5</v>
      </c>
      <c r="AX148">
        <v>0</v>
      </c>
      <c r="AY148">
        <v>3737</v>
      </c>
    </row>
    <row r="149" spans="1:51">
      <c r="A149" t="s">
        <v>17044</v>
      </c>
      <c r="B149" t="s">
        <v>17341</v>
      </c>
      <c r="C149">
        <v>0</v>
      </c>
      <c r="D149">
        <v>2</v>
      </c>
      <c r="E149">
        <v>2</v>
      </c>
      <c r="F149">
        <v>2</v>
      </c>
      <c r="G149">
        <v>0</v>
      </c>
      <c r="H149">
        <v>0</v>
      </c>
      <c r="I149">
        <v>1</v>
      </c>
      <c r="J149">
        <v>2</v>
      </c>
      <c r="K149">
        <v>9</v>
      </c>
      <c r="L149">
        <v>2</v>
      </c>
      <c r="M149">
        <v>0</v>
      </c>
      <c r="N149">
        <v>0</v>
      </c>
      <c r="O149">
        <v>0</v>
      </c>
      <c r="P149">
        <v>0</v>
      </c>
      <c r="Q149">
        <v>0</v>
      </c>
      <c r="R149">
        <v>0</v>
      </c>
      <c r="S149">
        <v>4</v>
      </c>
      <c r="T149">
        <v>0</v>
      </c>
      <c r="U149">
        <v>0</v>
      </c>
      <c r="V149">
        <v>4</v>
      </c>
      <c r="W149" s="4">
        <v>40</v>
      </c>
      <c r="X149" s="4">
        <v>0</v>
      </c>
      <c r="Y149">
        <v>2</v>
      </c>
      <c r="Z149">
        <v>0</v>
      </c>
      <c r="AA149" s="4">
        <v>0</v>
      </c>
      <c r="AB149" s="4">
        <v>0</v>
      </c>
      <c r="AC149" s="4">
        <v>0</v>
      </c>
      <c r="AD149" s="4">
        <v>0</v>
      </c>
      <c r="AE149" s="4">
        <v>0</v>
      </c>
      <c r="AF149" s="4">
        <v>0</v>
      </c>
      <c r="AG149" s="4">
        <v>40</v>
      </c>
      <c r="AH149" s="4">
        <v>40</v>
      </c>
      <c r="AI149" s="4">
        <v>0</v>
      </c>
      <c r="AJ149" s="4">
        <v>0</v>
      </c>
      <c r="AK149" s="4">
        <v>0</v>
      </c>
      <c r="AL149" s="4">
        <v>0</v>
      </c>
      <c r="AM149">
        <v>9</v>
      </c>
      <c r="AN149">
        <v>0</v>
      </c>
      <c r="AO149">
        <v>9</v>
      </c>
      <c r="AP149">
        <v>0</v>
      </c>
      <c r="AQ149">
        <v>4</v>
      </c>
      <c r="AR149">
        <v>0</v>
      </c>
      <c r="AS149">
        <v>4</v>
      </c>
      <c r="AT149">
        <v>0</v>
      </c>
      <c r="AU149">
        <v>0</v>
      </c>
      <c r="AV149">
        <v>0</v>
      </c>
      <c r="AW149">
        <v>0</v>
      </c>
      <c r="AX149">
        <v>0</v>
      </c>
      <c r="AY149">
        <v>74</v>
      </c>
    </row>
    <row r="150" spans="1:51">
      <c r="A150" t="s">
        <v>17044</v>
      </c>
      <c r="B150" t="s">
        <v>17342</v>
      </c>
      <c r="C150">
        <v>1</v>
      </c>
      <c r="D150">
        <v>7</v>
      </c>
      <c r="E150">
        <v>7</v>
      </c>
      <c r="F150">
        <v>5</v>
      </c>
      <c r="G150">
        <v>1</v>
      </c>
      <c r="H150">
        <v>1</v>
      </c>
      <c r="I150">
        <v>1</v>
      </c>
      <c r="J150">
        <v>7</v>
      </c>
      <c r="K150">
        <v>77</v>
      </c>
      <c r="L150">
        <v>2</v>
      </c>
      <c r="M150">
        <v>0</v>
      </c>
      <c r="N150">
        <v>1</v>
      </c>
      <c r="O150">
        <v>3</v>
      </c>
      <c r="P150">
        <v>0</v>
      </c>
      <c r="Q150">
        <v>1</v>
      </c>
      <c r="R150">
        <v>0</v>
      </c>
      <c r="S150">
        <v>34</v>
      </c>
      <c r="T150">
        <v>3.75</v>
      </c>
      <c r="U150">
        <v>0</v>
      </c>
      <c r="V150">
        <v>37.75</v>
      </c>
      <c r="W150" s="4">
        <v>415</v>
      </c>
      <c r="X150" s="4">
        <v>0</v>
      </c>
      <c r="Y150">
        <v>1</v>
      </c>
      <c r="Z150">
        <v>1</v>
      </c>
      <c r="AA150" s="4">
        <v>0</v>
      </c>
      <c r="AB150" s="4">
        <v>325</v>
      </c>
      <c r="AC150" s="4">
        <v>239.45</v>
      </c>
      <c r="AD150" s="4">
        <v>239.45</v>
      </c>
      <c r="AE150" s="4">
        <v>351.8</v>
      </c>
      <c r="AF150" s="4">
        <v>564.45000000000005</v>
      </c>
      <c r="AG150" s="4">
        <v>654.45000000000005</v>
      </c>
      <c r="AH150" s="4">
        <v>302.64999999999998</v>
      </c>
      <c r="AI150" s="4">
        <v>316.8</v>
      </c>
      <c r="AJ150" s="4">
        <v>423.2</v>
      </c>
      <c r="AK150" s="4">
        <v>483.2</v>
      </c>
      <c r="AL150" s="4">
        <v>166.39</v>
      </c>
      <c r="AM150">
        <v>77</v>
      </c>
      <c r="AN150">
        <v>22</v>
      </c>
      <c r="AO150">
        <v>45</v>
      </c>
      <c r="AP150">
        <v>10</v>
      </c>
      <c r="AQ150">
        <v>34</v>
      </c>
      <c r="AR150">
        <v>28.25</v>
      </c>
      <c r="AS150">
        <v>5.75</v>
      </c>
      <c r="AT150">
        <v>0</v>
      </c>
      <c r="AU150">
        <v>3.75</v>
      </c>
      <c r="AV150">
        <v>3.5</v>
      </c>
      <c r="AW150">
        <v>0.25</v>
      </c>
      <c r="AX150">
        <v>0</v>
      </c>
      <c r="AY150">
        <v>0</v>
      </c>
    </row>
    <row r="151" spans="1:51">
      <c r="A151" t="s">
        <v>17044</v>
      </c>
      <c r="B151" t="s">
        <v>17057</v>
      </c>
      <c r="C151">
        <v>64</v>
      </c>
      <c r="D151">
        <v>97</v>
      </c>
      <c r="E151">
        <v>96</v>
      </c>
      <c r="F151">
        <v>90</v>
      </c>
      <c r="G151">
        <v>3</v>
      </c>
      <c r="H151">
        <v>3</v>
      </c>
      <c r="I151">
        <v>1</v>
      </c>
      <c r="J151">
        <v>97</v>
      </c>
      <c r="K151">
        <v>1036</v>
      </c>
      <c r="L151">
        <v>54</v>
      </c>
      <c r="M151">
        <v>1</v>
      </c>
      <c r="N151">
        <v>29</v>
      </c>
      <c r="O151">
        <v>2</v>
      </c>
      <c r="P151">
        <v>2</v>
      </c>
      <c r="Q151">
        <v>9</v>
      </c>
      <c r="R151">
        <v>0</v>
      </c>
      <c r="S151">
        <v>40.35</v>
      </c>
      <c r="T151">
        <v>24</v>
      </c>
      <c r="U151">
        <v>1</v>
      </c>
      <c r="V151">
        <v>65.349999999999994</v>
      </c>
      <c r="W151" s="4">
        <v>316</v>
      </c>
      <c r="X151" s="4">
        <v>0</v>
      </c>
      <c r="Y151">
        <v>32</v>
      </c>
      <c r="Z151">
        <v>0</v>
      </c>
      <c r="AA151" s="4">
        <v>-560</v>
      </c>
      <c r="AB151" s="4">
        <v>12.5</v>
      </c>
      <c r="AC151" s="4">
        <v>580.38</v>
      </c>
      <c r="AD151" s="4">
        <v>400.63</v>
      </c>
      <c r="AE151" s="4">
        <v>351.38</v>
      </c>
      <c r="AF151" s="4">
        <v>407.13</v>
      </c>
      <c r="AG151" s="4">
        <v>916.38</v>
      </c>
      <c r="AH151" s="4">
        <v>565.5</v>
      </c>
      <c r="AI151" s="4">
        <v>15.25</v>
      </c>
      <c r="AJ151" s="4">
        <v>25.24</v>
      </c>
      <c r="AK151" s="4">
        <v>90.25</v>
      </c>
      <c r="AL151" s="4">
        <v>75</v>
      </c>
      <c r="AM151">
        <v>1036</v>
      </c>
      <c r="AN151">
        <v>37</v>
      </c>
      <c r="AO151">
        <v>161</v>
      </c>
      <c r="AP151">
        <v>838</v>
      </c>
      <c r="AQ151">
        <v>40.35</v>
      </c>
      <c r="AR151">
        <v>3.5</v>
      </c>
      <c r="AS151">
        <v>12.1</v>
      </c>
      <c r="AT151">
        <v>24.75</v>
      </c>
      <c r="AU151">
        <v>24</v>
      </c>
      <c r="AV151">
        <v>2</v>
      </c>
      <c r="AW151">
        <v>6</v>
      </c>
      <c r="AX151">
        <v>16</v>
      </c>
      <c r="AY151">
        <v>8056</v>
      </c>
    </row>
    <row r="152" spans="1:51">
      <c r="A152" t="s">
        <v>17044</v>
      </c>
      <c r="B152" t="s">
        <v>17340</v>
      </c>
      <c r="C152">
        <v>0</v>
      </c>
      <c r="D152">
        <v>12</v>
      </c>
      <c r="E152">
        <v>12</v>
      </c>
      <c r="F152">
        <v>12</v>
      </c>
      <c r="G152">
        <v>4</v>
      </c>
      <c r="H152">
        <v>6</v>
      </c>
      <c r="I152">
        <v>1</v>
      </c>
      <c r="J152">
        <v>12</v>
      </c>
      <c r="K152">
        <v>187</v>
      </c>
      <c r="L152">
        <v>3</v>
      </c>
      <c r="M152">
        <v>1</v>
      </c>
      <c r="N152">
        <v>2</v>
      </c>
      <c r="O152">
        <v>2</v>
      </c>
      <c r="P152">
        <v>3</v>
      </c>
      <c r="Q152">
        <v>1</v>
      </c>
      <c r="R152">
        <v>0</v>
      </c>
      <c r="S152">
        <v>6.75</v>
      </c>
      <c r="T152">
        <v>11.5</v>
      </c>
      <c r="U152">
        <v>0</v>
      </c>
      <c r="V152">
        <v>18.25</v>
      </c>
      <c r="W152" s="4">
        <v>297.5</v>
      </c>
      <c r="X152" s="4">
        <v>0</v>
      </c>
      <c r="Y152">
        <v>12</v>
      </c>
      <c r="Z152">
        <v>0</v>
      </c>
      <c r="AA152" s="4">
        <v>0</v>
      </c>
      <c r="AB152" s="4">
        <v>90</v>
      </c>
      <c r="AC152" s="4">
        <v>343.8</v>
      </c>
      <c r="AD152" s="4">
        <v>46.3</v>
      </c>
      <c r="AE152" s="4">
        <v>136.30000000000001</v>
      </c>
      <c r="AF152" s="4">
        <v>136.30000000000001</v>
      </c>
      <c r="AG152" s="4">
        <v>641.29999999999995</v>
      </c>
      <c r="AH152" s="4">
        <v>505</v>
      </c>
      <c r="AI152" s="4">
        <v>136.30000000000001</v>
      </c>
      <c r="AJ152" s="4">
        <v>136.30000000000001</v>
      </c>
      <c r="AK152" s="4">
        <v>471.3</v>
      </c>
      <c r="AL152" s="4">
        <v>335</v>
      </c>
      <c r="AM152">
        <v>187</v>
      </c>
      <c r="AN152">
        <v>123</v>
      </c>
      <c r="AO152">
        <v>64</v>
      </c>
      <c r="AP152">
        <v>0</v>
      </c>
      <c r="AQ152">
        <v>6.75</v>
      </c>
      <c r="AR152">
        <v>5.25</v>
      </c>
      <c r="AS152">
        <v>1.5</v>
      </c>
      <c r="AT152">
        <v>0</v>
      </c>
      <c r="AU152">
        <v>11.5</v>
      </c>
      <c r="AV152">
        <v>8</v>
      </c>
      <c r="AW152">
        <v>3.5</v>
      </c>
      <c r="AX152">
        <v>0</v>
      </c>
      <c r="AY152">
        <v>94</v>
      </c>
    </row>
    <row r="153" spans="1:51">
      <c r="A153" t="s">
        <v>17044</v>
      </c>
      <c r="B153" t="s">
        <v>17058</v>
      </c>
      <c r="C153">
        <v>50</v>
      </c>
      <c r="D153">
        <v>87</v>
      </c>
      <c r="E153">
        <v>87</v>
      </c>
      <c r="F153">
        <v>87</v>
      </c>
      <c r="G153">
        <v>9</v>
      </c>
      <c r="H153">
        <v>1</v>
      </c>
      <c r="I153">
        <v>0</v>
      </c>
      <c r="J153">
        <v>87</v>
      </c>
      <c r="K153">
        <v>337</v>
      </c>
      <c r="L153">
        <v>29</v>
      </c>
      <c r="M153">
        <v>14</v>
      </c>
      <c r="N153">
        <v>30</v>
      </c>
      <c r="O153">
        <v>4</v>
      </c>
      <c r="P153">
        <v>0</v>
      </c>
      <c r="Q153">
        <v>10</v>
      </c>
      <c r="R153">
        <v>0</v>
      </c>
      <c r="S153">
        <v>23.25</v>
      </c>
      <c r="T153">
        <v>27</v>
      </c>
      <c r="U153">
        <v>0</v>
      </c>
      <c r="V153">
        <v>50.25</v>
      </c>
      <c r="W153" s="4">
        <v>400</v>
      </c>
      <c r="X153" s="4">
        <v>0</v>
      </c>
      <c r="Y153">
        <v>34</v>
      </c>
      <c r="Z153">
        <v>3</v>
      </c>
      <c r="AA153" s="4">
        <v>-350</v>
      </c>
      <c r="AB153" s="4">
        <v>87.5</v>
      </c>
      <c r="AC153" s="4">
        <v>878.25</v>
      </c>
      <c r="AD153" s="4">
        <v>418.04</v>
      </c>
      <c r="AE153" s="4">
        <v>470.79</v>
      </c>
      <c r="AF153" s="4">
        <v>505.54</v>
      </c>
      <c r="AG153" s="4">
        <v>1278.25</v>
      </c>
      <c r="AH153" s="4">
        <v>807.46</v>
      </c>
      <c r="AI153" s="4">
        <v>87.5</v>
      </c>
      <c r="AJ153" s="4">
        <v>87.5</v>
      </c>
      <c r="AK153" s="4">
        <v>147.5</v>
      </c>
      <c r="AL153" s="4">
        <v>60</v>
      </c>
      <c r="AM153">
        <v>337</v>
      </c>
      <c r="AN153">
        <v>22</v>
      </c>
      <c r="AO153">
        <v>109</v>
      </c>
      <c r="AP153">
        <v>206</v>
      </c>
      <c r="AQ153">
        <v>23.25</v>
      </c>
      <c r="AR153">
        <v>4.25</v>
      </c>
      <c r="AS153">
        <v>9.25</v>
      </c>
      <c r="AT153">
        <v>9.75</v>
      </c>
      <c r="AU153">
        <v>27</v>
      </c>
      <c r="AV153">
        <v>5.25</v>
      </c>
      <c r="AW153">
        <v>8</v>
      </c>
      <c r="AX153">
        <v>13.75</v>
      </c>
      <c r="AY153">
        <v>5071</v>
      </c>
    </row>
    <row r="154" spans="1:51">
      <c r="A154" t="s">
        <v>17059</v>
      </c>
      <c r="B154" t="s">
        <v>17060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s="4">
        <v>0</v>
      </c>
      <c r="X154" s="4">
        <v>0</v>
      </c>
      <c r="Y154">
        <v>0</v>
      </c>
      <c r="Z154">
        <v>0</v>
      </c>
      <c r="AA154" s="4">
        <v>0</v>
      </c>
      <c r="AB154" s="4">
        <v>0</v>
      </c>
      <c r="AC154" s="4">
        <v>0</v>
      </c>
      <c r="AD154" s="4">
        <v>0</v>
      </c>
      <c r="AE154" s="4">
        <v>0</v>
      </c>
      <c r="AF154" s="4">
        <v>0</v>
      </c>
      <c r="AG154" s="4">
        <v>0</v>
      </c>
      <c r="AH154" s="4">
        <v>0</v>
      </c>
      <c r="AI154" s="4">
        <v>0</v>
      </c>
      <c r="AJ154" s="4">
        <v>0</v>
      </c>
      <c r="AK154" s="4">
        <v>0</v>
      </c>
      <c r="AL154" s="4">
        <v>0</v>
      </c>
      <c r="AM154">
        <v>0</v>
      </c>
      <c r="AN154">
        <v>0</v>
      </c>
      <c r="AO154">
        <v>0</v>
      </c>
      <c r="AP154">
        <v>0</v>
      </c>
      <c r="AQ154">
        <v>0</v>
      </c>
      <c r="AR154">
        <v>0</v>
      </c>
      <c r="AS154">
        <v>0</v>
      </c>
      <c r="AT154">
        <v>0</v>
      </c>
      <c r="AU154">
        <v>0</v>
      </c>
      <c r="AV154">
        <v>0</v>
      </c>
      <c r="AW154">
        <v>0</v>
      </c>
      <c r="AX154">
        <v>0</v>
      </c>
      <c r="AY154">
        <v>0</v>
      </c>
    </row>
    <row r="155" spans="1:51">
      <c r="A155" t="s">
        <v>16978</v>
      </c>
      <c r="B155" t="s">
        <v>17061</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s="4">
        <v>0</v>
      </c>
      <c r="X155" s="4">
        <v>0</v>
      </c>
      <c r="Y155">
        <v>0</v>
      </c>
      <c r="Z155">
        <v>0</v>
      </c>
      <c r="AA155" s="4">
        <v>0</v>
      </c>
      <c r="AB155" s="4">
        <v>0</v>
      </c>
      <c r="AC155" s="4">
        <v>0</v>
      </c>
      <c r="AD155" s="4">
        <v>0</v>
      </c>
      <c r="AE155" s="4">
        <v>0</v>
      </c>
      <c r="AF155" s="4">
        <v>0</v>
      </c>
      <c r="AG155" s="4">
        <v>0</v>
      </c>
      <c r="AH155" s="4">
        <v>0</v>
      </c>
      <c r="AI155" s="4">
        <v>0</v>
      </c>
      <c r="AJ155" s="4">
        <v>0</v>
      </c>
      <c r="AK155" s="4">
        <v>0</v>
      </c>
      <c r="AL155" s="4">
        <v>0</v>
      </c>
      <c r="AM155">
        <v>0</v>
      </c>
      <c r="AN155">
        <v>0</v>
      </c>
      <c r="AO155">
        <v>0</v>
      </c>
      <c r="AP155">
        <v>0</v>
      </c>
      <c r="AQ155">
        <v>0</v>
      </c>
      <c r="AR155">
        <v>0</v>
      </c>
      <c r="AS155">
        <v>0</v>
      </c>
      <c r="AT155">
        <v>0</v>
      </c>
      <c r="AU155">
        <v>0</v>
      </c>
      <c r="AV155">
        <v>0</v>
      </c>
      <c r="AW155">
        <v>0</v>
      </c>
      <c r="AX155">
        <v>0</v>
      </c>
      <c r="AY155">
        <v>95</v>
      </c>
    </row>
    <row r="156" spans="1:51">
      <c r="A156" t="s">
        <v>16978</v>
      </c>
      <c r="B156" t="s">
        <v>17330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s="4">
        <v>0</v>
      </c>
      <c r="X156" s="4">
        <v>0</v>
      </c>
      <c r="Y156">
        <v>0</v>
      </c>
      <c r="Z156">
        <v>0</v>
      </c>
      <c r="AA156" s="4">
        <v>0</v>
      </c>
      <c r="AB156" s="4">
        <v>0</v>
      </c>
      <c r="AC156" s="4">
        <v>0</v>
      </c>
      <c r="AD156" s="4">
        <v>0</v>
      </c>
      <c r="AE156" s="4">
        <v>0</v>
      </c>
      <c r="AF156" s="4">
        <v>0</v>
      </c>
      <c r="AG156" s="4">
        <v>0</v>
      </c>
      <c r="AH156" s="4">
        <v>0</v>
      </c>
      <c r="AI156" s="4">
        <v>0</v>
      </c>
      <c r="AJ156" s="4">
        <v>0</v>
      </c>
      <c r="AK156" s="4">
        <v>0</v>
      </c>
      <c r="AL156" s="4">
        <v>0</v>
      </c>
      <c r="AM156">
        <v>0</v>
      </c>
      <c r="AN156">
        <v>0</v>
      </c>
      <c r="AO156">
        <v>0</v>
      </c>
      <c r="AP156">
        <v>0</v>
      </c>
      <c r="AQ156">
        <v>0</v>
      </c>
      <c r="AR156">
        <v>0</v>
      </c>
      <c r="AS156">
        <v>0</v>
      </c>
      <c r="AT156">
        <v>0</v>
      </c>
      <c r="AU156">
        <v>0</v>
      </c>
      <c r="AV156">
        <v>0</v>
      </c>
      <c r="AW156">
        <v>0</v>
      </c>
      <c r="AX156">
        <v>0</v>
      </c>
      <c r="AY156">
        <v>32</v>
      </c>
    </row>
    <row r="157" spans="1:51">
      <c r="A157" t="s">
        <v>16978</v>
      </c>
      <c r="B157" t="s">
        <v>17063</v>
      </c>
      <c r="C157">
        <v>1</v>
      </c>
      <c r="D157">
        <v>1</v>
      </c>
      <c r="E157">
        <v>1</v>
      </c>
      <c r="F157">
        <v>1</v>
      </c>
      <c r="G157">
        <v>0</v>
      </c>
      <c r="H157">
        <v>0</v>
      </c>
      <c r="I157">
        <v>0</v>
      </c>
      <c r="J157">
        <v>1</v>
      </c>
      <c r="K157">
        <v>17</v>
      </c>
      <c r="L157">
        <v>1</v>
      </c>
      <c r="M157">
        <v>0</v>
      </c>
      <c r="N157">
        <v>0</v>
      </c>
      <c r="O157">
        <v>0</v>
      </c>
      <c r="P157">
        <v>0</v>
      </c>
      <c r="Q157">
        <v>0</v>
      </c>
      <c r="R157">
        <v>0</v>
      </c>
      <c r="S157">
        <v>0</v>
      </c>
      <c r="T157">
        <v>0</v>
      </c>
      <c r="U157">
        <v>0</v>
      </c>
      <c r="V157">
        <v>0</v>
      </c>
      <c r="W157" s="4">
        <v>0</v>
      </c>
      <c r="X157" s="4">
        <v>0</v>
      </c>
      <c r="Y157">
        <v>0</v>
      </c>
      <c r="Z157">
        <v>0</v>
      </c>
      <c r="AA157" s="4">
        <v>0</v>
      </c>
      <c r="AB157" s="4">
        <v>0</v>
      </c>
      <c r="AC157" s="4">
        <v>0</v>
      </c>
      <c r="AD157" s="4">
        <v>0</v>
      </c>
      <c r="AE157" s="4">
        <v>0</v>
      </c>
      <c r="AF157" s="4">
        <v>0</v>
      </c>
      <c r="AG157" s="4">
        <v>0</v>
      </c>
      <c r="AH157" s="4">
        <v>0</v>
      </c>
      <c r="AI157" s="4">
        <v>0</v>
      </c>
      <c r="AJ157" s="4">
        <v>0</v>
      </c>
      <c r="AK157" s="4">
        <v>0</v>
      </c>
      <c r="AL157" s="4">
        <v>0</v>
      </c>
      <c r="AM157">
        <v>17</v>
      </c>
      <c r="AN157">
        <v>0</v>
      </c>
      <c r="AO157">
        <v>0</v>
      </c>
      <c r="AP157">
        <v>17</v>
      </c>
      <c r="AQ157">
        <v>0</v>
      </c>
      <c r="AR157">
        <v>0</v>
      </c>
      <c r="AS157">
        <v>0</v>
      </c>
      <c r="AT157">
        <v>0</v>
      </c>
      <c r="AU157">
        <v>0</v>
      </c>
      <c r="AV157">
        <v>0</v>
      </c>
      <c r="AW157">
        <v>0</v>
      </c>
      <c r="AX157">
        <v>0</v>
      </c>
      <c r="AY157">
        <v>1</v>
      </c>
    </row>
    <row r="158" spans="1:51">
      <c r="A158" t="s">
        <v>16978</v>
      </c>
      <c r="B158" t="s">
        <v>17064</v>
      </c>
      <c r="C158">
        <v>1</v>
      </c>
      <c r="D158">
        <v>1</v>
      </c>
      <c r="E158">
        <v>1</v>
      </c>
      <c r="F158">
        <v>0</v>
      </c>
      <c r="G158">
        <v>0</v>
      </c>
      <c r="H158">
        <v>0</v>
      </c>
      <c r="I158">
        <v>0</v>
      </c>
      <c r="J158">
        <v>1</v>
      </c>
      <c r="K158">
        <v>11</v>
      </c>
      <c r="L158">
        <v>0</v>
      </c>
      <c r="M158">
        <v>0</v>
      </c>
      <c r="N158">
        <v>0</v>
      </c>
      <c r="O158">
        <v>0</v>
      </c>
      <c r="P158">
        <v>1</v>
      </c>
      <c r="Q158">
        <v>0</v>
      </c>
      <c r="R158">
        <v>0</v>
      </c>
      <c r="S158">
        <v>0</v>
      </c>
      <c r="T158">
        <v>0</v>
      </c>
      <c r="U158">
        <v>0</v>
      </c>
      <c r="V158">
        <v>0</v>
      </c>
      <c r="W158" s="4">
        <v>0</v>
      </c>
      <c r="X158" s="4">
        <v>0</v>
      </c>
      <c r="Y158">
        <v>0</v>
      </c>
      <c r="Z158">
        <v>0</v>
      </c>
      <c r="AA158" s="4">
        <v>0</v>
      </c>
      <c r="AB158" s="4">
        <v>0</v>
      </c>
      <c r="AC158" s="4">
        <v>0</v>
      </c>
      <c r="AD158" s="4">
        <v>0</v>
      </c>
      <c r="AE158" s="4">
        <v>0</v>
      </c>
      <c r="AF158" s="4">
        <v>0</v>
      </c>
      <c r="AG158" s="4">
        <v>0</v>
      </c>
      <c r="AH158" s="4">
        <v>0</v>
      </c>
      <c r="AI158" s="4">
        <v>0</v>
      </c>
      <c r="AJ158" s="4">
        <v>0</v>
      </c>
      <c r="AK158" s="4">
        <v>0</v>
      </c>
      <c r="AL158" s="4">
        <v>0</v>
      </c>
      <c r="AM158">
        <v>11</v>
      </c>
      <c r="AN158">
        <v>0</v>
      </c>
      <c r="AO158">
        <v>0</v>
      </c>
      <c r="AP158">
        <v>11</v>
      </c>
      <c r="AQ158">
        <v>0</v>
      </c>
      <c r="AR158">
        <v>0</v>
      </c>
      <c r="AS158">
        <v>0</v>
      </c>
      <c r="AT158">
        <v>0</v>
      </c>
      <c r="AU158">
        <v>0</v>
      </c>
      <c r="AV158">
        <v>0</v>
      </c>
      <c r="AW158">
        <v>0</v>
      </c>
      <c r="AX158">
        <v>0</v>
      </c>
      <c r="AY158">
        <v>1</v>
      </c>
    </row>
    <row r="159" spans="1:51">
      <c r="A159" t="s">
        <v>16978</v>
      </c>
      <c r="B159" t="s">
        <v>17066</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s="4">
        <v>0</v>
      </c>
      <c r="X159" s="4">
        <v>0</v>
      </c>
      <c r="Y159">
        <v>0</v>
      </c>
      <c r="Z159">
        <v>0</v>
      </c>
      <c r="AA159" s="4">
        <v>0</v>
      </c>
      <c r="AB159" s="4">
        <v>0</v>
      </c>
      <c r="AC159" s="4">
        <v>0</v>
      </c>
      <c r="AD159" s="4">
        <v>0</v>
      </c>
      <c r="AE159" s="4">
        <v>0</v>
      </c>
      <c r="AF159" s="4">
        <v>0</v>
      </c>
      <c r="AG159" s="4">
        <v>0</v>
      </c>
      <c r="AH159" s="4">
        <v>0</v>
      </c>
      <c r="AI159" s="4">
        <v>0</v>
      </c>
      <c r="AJ159" s="4">
        <v>0</v>
      </c>
      <c r="AK159" s="4">
        <v>0</v>
      </c>
      <c r="AL159" s="4">
        <v>0</v>
      </c>
      <c r="AM159">
        <v>0</v>
      </c>
      <c r="AN159">
        <v>0</v>
      </c>
      <c r="AO159">
        <v>0</v>
      </c>
      <c r="AP159">
        <v>0</v>
      </c>
      <c r="AQ159">
        <v>0</v>
      </c>
      <c r="AR159">
        <v>0</v>
      </c>
      <c r="AS159">
        <v>0</v>
      </c>
      <c r="AT159">
        <v>0</v>
      </c>
      <c r="AU159">
        <v>0</v>
      </c>
      <c r="AV159">
        <v>0</v>
      </c>
      <c r="AW159">
        <v>0</v>
      </c>
      <c r="AX159">
        <v>0</v>
      </c>
      <c r="AY159">
        <v>0</v>
      </c>
    </row>
    <row r="160" spans="1:51">
      <c r="A160" t="s">
        <v>16978</v>
      </c>
      <c r="B160" t="s">
        <v>17331</v>
      </c>
      <c r="C160">
        <v>8</v>
      </c>
      <c r="D160">
        <v>18</v>
      </c>
      <c r="E160">
        <v>0</v>
      </c>
      <c r="F160">
        <v>0</v>
      </c>
      <c r="G160">
        <v>0</v>
      </c>
      <c r="H160">
        <v>0</v>
      </c>
      <c r="I160">
        <v>0</v>
      </c>
      <c r="J160">
        <v>17</v>
      </c>
      <c r="K160">
        <v>44</v>
      </c>
      <c r="L160">
        <v>17</v>
      </c>
      <c r="M160">
        <v>0</v>
      </c>
      <c r="N160">
        <v>0</v>
      </c>
      <c r="O160">
        <v>0</v>
      </c>
      <c r="P160">
        <v>0</v>
      </c>
      <c r="Q160">
        <v>0</v>
      </c>
      <c r="R160">
        <v>0</v>
      </c>
      <c r="S160">
        <v>13.25</v>
      </c>
      <c r="T160">
        <v>0.25</v>
      </c>
      <c r="U160">
        <v>0</v>
      </c>
      <c r="V160">
        <v>13.5</v>
      </c>
      <c r="W160" s="4">
        <v>87.5</v>
      </c>
      <c r="X160" s="4">
        <v>0</v>
      </c>
      <c r="Y160">
        <v>10</v>
      </c>
      <c r="Z160">
        <v>0</v>
      </c>
      <c r="AA160" s="4">
        <v>-50</v>
      </c>
      <c r="AB160" s="4">
        <v>0</v>
      </c>
      <c r="AC160" s="4">
        <v>0</v>
      </c>
      <c r="AD160" s="4">
        <v>0</v>
      </c>
      <c r="AE160" s="4">
        <v>0</v>
      </c>
      <c r="AF160" s="4">
        <v>0</v>
      </c>
      <c r="AG160" s="4">
        <v>87.5</v>
      </c>
      <c r="AH160" s="4">
        <v>87.5</v>
      </c>
      <c r="AI160" s="4">
        <v>0</v>
      </c>
      <c r="AJ160" s="4">
        <v>0</v>
      </c>
      <c r="AK160" s="4">
        <v>0</v>
      </c>
      <c r="AL160" s="4">
        <v>0</v>
      </c>
      <c r="AM160">
        <v>44</v>
      </c>
      <c r="AN160">
        <v>0</v>
      </c>
      <c r="AO160">
        <v>25</v>
      </c>
      <c r="AP160">
        <v>19</v>
      </c>
      <c r="AQ160">
        <v>13.25</v>
      </c>
      <c r="AR160">
        <v>0</v>
      </c>
      <c r="AS160">
        <v>8.25</v>
      </c>
      <c r="AT160">
        <v>5</v>
      </c>
      <c r="AU160">
        <v>0.25</v>
      </c>
      <c r="AV160">
        <v>0</v>
      </c>
      <c r="AW160">
        <v>0.25</v>
      </c>
      <c r="AX160">
        <v>0</v>
      </c>
      <c r="AY160">
        <v>18</v>
      </c>
    </row>
    <row r="161" spans="1:51">
      <c r="A161" t="s">
        <v>16978</v>
      </c>
      <c r="B161" t="s">
        <v>17332</v>
      </c>
      <c r="C161">
        <v>60</v>
      </c>
      <c r="D161">
        <v>60</v>
      </c>
      <c r="E161">
        <v>0</v>
      </c>
      <c r="F161">
        <v>0</v>
      </c>
      <c r="G161">
        <v>0</v>
      </c>
      <c r="H161">
        <v>0</v>
      </c>
      <c r="I161">
        <v>0</v>
      </c>
      <c r="J161">
        <v>60</v>
      </c>
      <c r="K161">
        <v>258</v>
      </c>
      <c r="L161">
        <v>60</v>
      </c>
      <c r="M161">
        <v>0</v>
      </c>
      <c r="N161">
        <v>0</v>
      </c>
      <c r="O161">
        <v>0</v>
      </c>
      <c r="P161">
        <v>0</v>
      </c>
      <c r="Q161">
        <v>0</v>
      </c>
      <c r="R161">
        <v>0</v>
      </c>
      <c r="S161">
        <v>30.75</v>
      </c>
      <c r="T161">
        <v>0</v>
      </c>
      <c r="U161">
        <v>0</v>
      </c>
      <c r="V161">
        <v>30.75</v>
      </c>
      <c r="W161" s="4">
        <v>0</v>
      </c>
      <c r="X161" s="4">
        <v>0</v>
      </c>
      <c r="Y161">
        <v>0</v>
      </c>
      <c r="Z161">
        <v>0</v>
      </c>
      <c r="AA161" s="4">
        <v>-307.5</v>
      </c>
      <c r="AB161" s="4">
        <v>0</v>
      </c>
      <c r="AC161" s="4">
        <v>53.5</v>
      </c>
      <c r="AD161" s="4">
        <v>53.5</v>
      </c>
      <c r="AE161" s="4">
        <v>53.5</v>
      </c>
      <c r="AF161" s="4">
        <v>53.5</v>
      </c>
      <c r="AG161" s="4">
        <v>53.5</v>
      </c>
      <c r="AH161" s="4">
        <v>0</v>
      </c>
      <c r="AI161" s="4">
        <v>0</v>
      </c>
      <c r="AJ161" s="4">
        <v>0</v>
      </c>
      <c r="AK161" s="4">
        <v>0</v>
      </c>
      <c r="AL161" s="4">
        <v>0</v>
      </c>
      <c r="AM161">
        <v>258</v>
      </c>
      <c r="AN161">
        <v>0</v>
      </c>
      <c r="AO161">
        <v>0</v>
      </c>
      <c r="AP161">
        <v>258</v>
      </c>
      <c r="AQ161">
        <v>30.75</v>
      </c>
      <c r="AR161">
        <v>0</v>
      </c>
      <c r="AS161">
        <v>0</v>
      </c>
      <c r="AT161">
        <v>30.75</v>
      </c>
      <c r="AU161">
        <v>0</v>
      </c>
      <c r="AV161">
        <v>0</v>
      </c>
      <c r="AW161">
        <v>0</v>
      </c>
      <c r="AX161">
        <v>0</v>
      </c>
      <c r="AY161">
        <v>70</v>
      </c>
    </row>
    <row r="162" spans="1:51">
      <c r="A162" t="s">
        <v>16978</v>
      </c>
      <c r="B162" t="s">
        <v>17068</v>
      </c>
      <c r="C162">
        <v>0</v>
      </c>
      <c r="D162">
        <v>1</v>
      </c>
      <c r="E162">
        <v>1</v>
      </c>
      <c r="F162">
        <v>0</v>
      </c>
      <c r="G162">
        <v>0</v>
      </c>
      <c r="H162">
        <v>0</v>
      </c>
      <c r="I162">
        <v>0</v>
      </c>
      <c r="J162">
        <v>1</v>
      </c>
      <c r="K162">
        <v>4</v>
      </c>
      <c r="L162">
        <v>0</v>
      </c>
      <c r="M162">
        <v>0</v>
      </c>
      <c r="N162">
        <v>0</v>
      </c>
      <c r="O162">
        <v>0</v>
      </c>
      <c r="P162">
        <v>0</v>
      </c>
      <c r="Q162">
        <v>0</v>
      </c>
      <c r="R162">
        <v>0</v>
      </c>
      <c r="S162">
        <v>0</v>
      </c>
      <c r="T162">
        <v>0</v>
      </c>
      <c r="U162">
        <v>0</v>
      </c>
      <c r="V162">
        <v>0</v>
      </c>
      <c r="W162" s="4">
        <v>0</v>
      </c>
      <c r="X162" s="4">
        <v>0</v>
      </c>
      <c r="Y162">
        <v>0</v>
      </c>
      <c r="Z162">
        <v>0</v>
      </c>
      <c r="AA162" s="4">
        <v>0</v>
      </c>
      <c r="AB162" s="4">
        <v>0</v>
      </c>
      <c r="AC162" s="4">
        <v>0</v>
      </c>
      <c r="AD162" s="4">
        <v>0</v>
      </c>
      <c r="AE162" s="4">
        <v>0</v>
      </c>
      <c r="AF162" s="4">
        <v>0</v>
      </c>
      <c r="AG162" s="4">
        <v>0</v>
      </c>
      <c r="AH162" s="4">
        <v>0</v>
      </c>
      <c r="AI162" s="4">
        <v>0</v>
      </c>
      <c r="AJ162" s="4">
        <v>0</v>
      </c>
      <c r="AK162" s="4">
        <v>0</v>
      </c>
      <c r="AL162" s="4">
        <v>0</v>
      </c>
      <c r="AM162">
        <v>4</v>
      </c>
      <c r="AN162">
        <v>0</v>
      </c>
      <c r="AO162">
        <v>4</v>
      </c>
      <c r="AP162">
        <v>0</v>
      </c>
      <c r="AQ162">
        <v>0</v>
      </c>
      <c r="AR162">
        <v>0</v>
      </c>
      <c r="AS162">
        <v>0</v>
      </c>
      <c r="AT162">
        <v>0</v>
      </c>
      <c r="AU162">
        <v>0</v>
      </c>
      <c r="AV162">
        <v>0</v>
      </c>
      <c r="AW162">
        <v>0</v>
      </c>
      <c r="AX162">
        <v>0</v>
      </c>
    </row>
    <row r="163" spans="1:51">
      <c r="A163" t="s">
        <v>16978</v>
      </c>
      <c r="B163" t="s">
        <v>17068</v>
      </c>
      <c r="C163">
        <v>0</v>
      </c>
      <c r="D163">
        <v>1</v>
      </c>
      <c r="E163">
        <v>0</v>
      </c>
      <c r="F163">
        <v>1</v>
      </c>
      <c r="G163">
        <v>0</v>
      </c>
      <c r="H163">
        <v>0</v>
      </c>
      <c r="I163">
        <v>0</v>
      </c>
      <c r="J163">
        <v>1</v>
      </c>
      <c r="K163">
        <v>9</v>
      </c>
      <c r="L163">
        <v>1</v>
      </c>
      <c r="M163">
        <v>0</v>
      </c>
      <c r="N163">
        <v>0</v>
      </c>
      <c r="O163">
        <v>0</v>
      </c>
      <c r="P163">
        <v>0</v>
      </c>
      <c r="Q163">
        <v>0</v>
      </c>
      <c r="R163">
        <v>0</v>
      </c>
      <c r="S163">
        <v>2</v>
      </c>
      <c r="T163">
        <v>0.25</v>
      </c>
      <c r="U163">
        <v>0</v>
      </c>
      <c r="V163">
        <v>2.25</v>
      </c>
      <c r="W163" s="4">
        <v>25</v>
      </c>
      <c r="X163" s="4">
        <v>0</v>
      </c>
      <c r="Y163">
        <v>1</v>
      </c>
      <c r="Z163">
        <v>0</v>
      </c>
      <c r="AA163" s="4">
        <v>0</v>
      </c>
      <c r="AB163" s="4">
        <v>0</v>
      </c>
      <c r="AC163" s="4">
        <v>0</v>
      </c>
      <c r="AD163" s="4">
        <v>0</v>
      </c>
      <c r="AE163" s="4">
        <v>0</v>
      </c>
      <c r="AF163" s="4">
        <v>0</v>
      </c>
      <c r="AG163" s="4">
        <v>25</v>
      </c>
      <c r="AH163" s="4">
        <v>25</v>
      </c>
      <c r="AI163" s="4">
        <v>0</v>
      </c>
      <c r="AJ163" s="4">
        <v>0</v>
      </c>
      <c r="AK163" s="4">
        <v>0</v>
      </c>
      <c r="AL163" s="4">
        <v>0</v>
      </c>
      <c r="AM163">
        <v>9</v>
      </c>
      <c r="AN163">
        <v>0</v>
      </c>
      <c r="AO163">
        <v>9</v>
      </c>
      <c r="AP163">
        <v>0</v>
      </c>
      <c r="AQ163">
        <v>2</v>
      </c>
      <c r="AR163">
        <v>0</v>
      </c>
      <c r="AS163">
        <v>2</v>
      </c>
      <c r="AT163">
        <v>0</v>
      </c>
      <c r="AU163">
        <v>0.25</v>
      </c>
      <c r="AV163">
        <v>0</v>
      </c>
      <c r="AW163">
        <v>0.25</v>
      </c>
      <c r="AX163">
        <v>0</v>
      </c>
    </row>
    <row r="164" spans="1:51">
      <c r="A164" t="s">
        <v>16978</v>
      </c>
      <c r="B164" t="s">
        <v>17362</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s="4">
        <v>0</v>
      </c>
      <c r="X164" s="4">
        <v>0</v>
      </c>
      <c r="Y164">
        <v>0</v>
      </c>
      <c r="Z164">
        <v>0</v>
      </c>
      <c r="AA164" s="4">
        <v>0</v>
      </c>
      <c r="AB164" s="4">
        <v>0</v>
      </c>
      <c r="AC164" s="4">
        <v>0</v>
      </c>
      <c r="AD164" s="4">
        <v>0</v>
      </c>
      <c r="AE164" s="4">
        <v>0</v>
      </c>
      <c r="AF164" s="4">
        <v>0</v>
      </c>
      <c r="AG164" s="4">
        <v>0</v>
      </c>
      <c r="AH164" s="4">
        <v>0</v>
      </c>
      <c r="AI164" s="4">
        <v>0</v>
      </c>
      <c r="AJ164" s="4">
        <v>0</v>
      </c>
      <c r="AK164" s="4">
        <v>0</v>
      </c>
      <c r="AL164" s="4">
        <v>0</v>
      </c>
      <c r="AM164">
        <v>0</v>
      </c>
      <c r="AN164">
        <v>0</v>
      </c>
      <c r="AO164">
        <v>0</v>
      </c>
      <c r="AP164">
        <v>0</v>
      </c>
      <c r="AQ164">
        <v>0</v>
      </c>
      <c r="AR164">
        <v>0</v>
      </c>
      <c r="AS164">
        <v>0</v>
      </c>
      <c r="AT164">
        <v>0</v>
      </c>
      <c r="AU164">
        <v>0</v>
      </c>
      <c r="AV164">
        <v>0</v>
      </c>
      <c r="AW164">
        <v>0</v>
      </c>
      <c r="AX164">
        <v>0</v>
      </c>
      <c r="AY164">
        <v>0</v>
      </c>
    </row>
    <row r="165" spans="1:51">
      <c r="A165" t="s">
        <v>16978</v>
      </c>
      <c r="B165" t="s">
        <v>17363</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s="4">
        <v>0</v>
      </c>
      <c r="X165" s="4">
        <v>0</v>
      </c>
      <c r="Y165">
        <v>0</v>
      </c>
      <c r="Z165">
        <v>0</v>
      </c>
      <c r="AA165" s="4">
        <v>0</v>
      </c>
      <c r="AB165" s="4">
        <v>0</v>
      </c>
      <c r="AC165" s="4">
        <v>0</v>
      </c>
      <c r="AD165" s="4">
        <v>0</v>
      </c>
      <c r="AE165" s="4">
        <v>0</v>
      </c>
      <c r="AF165" s="4">
        <v>0</v>
      </c>
      <c r="AG165" s="4">
        <v>0</v>
      </c>
      <c r="AH165" s="4">
        <v>0</v>
      </c>
      <c r="AI165" s="4">
        <v>0</v>
      </c>
      <c r="AJ165" s="4">
        <v>0</v>
      </c>
      <c r="AK165" s="4">
        <v>0</v>
      </c>
      <c r="AL165" s="4">
        <v>0</v>
      </c>
      <c r="AM165">
        <v>0</v>
      </c>
      <c r="AN165">
        <v>0</v>
      </c>
      <c r="AO165">
        <v>0</v>
      </c>
      <c r="AP165">
        <v>0</v>
      </c>
      <c r="AQ165">
        <v>0</v>
      </c>
      <c r="AR165">
        <v>0</v>
      </c>
      <c r="AS165">
        <v>0</v>
      </c>
      <c r="AT165">
        <v>0</v>
      </c>
      <c r="AU165">
        <v>0</v>
      </c>
      <c r="AV165">
        <v>0</v>
      </c>
      <c r="AW165">
        <v>0</v>
      </c>
      <c r="AX165">
        <v>0</v>
      </c>
      <c r="AY165">
        <v>0</v>
      </c>
    </row>
    <row r="166" spans="1:51">
      <c r="A166" t="s">
        <v>16978</v>
      </c>
      <c r="B166" t="s">
        <v>17069</v>
      </c>
      <c r="C166">
        <v>0</v>
      </c>
      <c r="D166">
        <v>19</v>
      </c>
      <c r="E166">
        <v>14</v>
      </c>
      <c r="F166">
        <v>9</v>
      </c>
      <c r="G166">
        <v>0</v>
      </c>
      <c r="H166">
        <v>0</v>
      </c>
      <c r="I166">
        <v>0</v>
      </c>
      <c r="J166">
        <v>18</v>
      </c>
      <c r="K166">
        <v>172</v>
      </c>
      <c r="L166">
        <v>7</v>
      </c>
      <c r="M166">
        <v>0</v>
      </c>
      <c r="N166">
        <v>1</v>
      </c>
      <c r="O166">
        <v>2</v>
      </c>
      <c r="P166">
        <v>0</v>
      </c>
      <c r="Q166">
        <v>0</v>
      </c>
      <c r="R166">
        <v>0</v>
      </c>
      <c r="S166">
        <v>26.25</v>
      </c>
      <c r="T166">
        <v>0</v>
      </c>
      <c r="U166">
        <v>0</v>
      </c>
      <c r="V166">
        <v>26.25</v>
      </c>
      <c r="W166" s="4">
        <v>262.5</v>
      </c>
      <c r="X166" s="4">
        <v>0</v>
      </c>
      <c r="Y166">
        <v>17</v>
      </c>
      <c r="Z166">
        <v>0</v>
      </c>
      <c r="AA166" s="4">
        <v>0</v>
      </c>
      <c r="AB166" s="4">
        <v>10</v>
      </c>
      <c r="AC166" s="4">
        <v>0</v>
      </c>
      <c r="AD166" s="4">
        <v>0</v>
      </c>
      <c r="AE166" s="4">
        <v>0</v>
      </c>
      <c r="AF166" s="4">
        <v>10</v>
      </c>
      <c r="AG166" s="4">
        <v>232.5</v>
      </c>
      <c r="AH166" s="4">
        <v>232.5</v>
      </c>
      <c r="AI166" s="4">
        <v>15</v>
      </c>
      <c r="AJ166" s="4">
        <v>0</v>
      </c>
      <c r="AK166" s="4">
        <v>0</v>
      </c>
      <c r="AL166" s="4">
        <v>0</v>
      </c>
      <c r="AM166">
        <v>172</v>
      </c>
      <c r="AN166">
        <v>0</v>
      </c>
      <c r="AO166">
        <v>172</v>
      </c>
      <c r="AP166">
        <v>0</v>
      </c>
      <c r="AQ166">
        <v>23.25</v>
      </c>
      <c r="AR166">
        <v>0</v>
      </c>
      <c r="AS166">
        <v>23.25</v>
      </c>
      <c r="AT166">
        <v>0</v>
      </c>
      <c r="AU166">
        <v>0</v>
      </c>
      <c r="AV166">
        <v>0</v>
      </c>
      <c r="AW166">
        <v>0</v>
      </c>
      <c r="AX166">
        <v>0</v>
      </c>
      <c r="AY166">
        <v>20</v>
      </c>
    </row>
    <row r="167" spans="1:51">
      <c r="A167" t="s">
        <v>16978</v>
      </c>
      <c r="B167" t="s">
        <v>17364</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s="4">
        <v>0</v>
      </c>
      <c r="X167" s="4">
        <v>0</v>
      </c>
      <c r="Y167">
        <v>0</v>
      </c>
      <c r="Z167">
        <v>0</v>
      </c>
      <c r="AA167" s="4">
        <v>0</v>
      </c>
      <c r="AB167" s="4">
        <v>0</v>
      </c>
      <c r="AC167" s="4">
        <v>0</v>
      </c>
      <c r="AD167" s="4">
        <v>0</v>
      </c>
      <c r="AE167" s="4">
        <v>0</v>
      </c>
      <c r="AF167" s="4">
        <v>0</v>
      </c>
      <c r="AG167" s="4">
        <v>0</v>
      </c>
      <c r="AH167" s="4">
        <v>0</v>
      </c>
      <c r="AI167" s="4">
        <v>0</v>
      </c>
      <c r="AJ167" s="4">
        <v>0</v>
      </c>
      <c r="AK167" s="4">
        <v>0</v>
      </c>
      <c r="AL167" s="4">
        <v>0</v>
      </c>
      <c r="AM167">
        <v>0</v>
      </c>
      <c r="AN167">
        <v>0</v>
      </c>
      <c r="AO167">
        <v>0</v>
      </c>
      <c r="AP167">
        <v>0</v>
      </c>
      <c r="AQ167">
        <v>0</v>
      </c>
      <c r="AR167">
        <v>0</v>
      </c>
      <c r="AS167">
        <v>0</v>
      </c>
      <c r="AT167">
        <v>0</v>
      </c>
      <c r="AU167">
        <v>0</v>
      </c>
      <c r="AV167">
        <v>0</v>
      </c>
      <c r="AW167">
        <v>0</v>
      </c>
      <c r="AX167">
        <v>0</v>
      </c>
      <c r="AY167">
        <v>0</v>
      </c>
    </row>
    <row r="168" spans="1:51">
      <c r="A168" t="s">
        <v>16978</v>
      </c>
      <c r="B168" t="s">
        <v>17365</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s="4">
        <v>0</v>
      </c>
      <c r="X168" s="4">
        <v>0</v>
      </c>
      <c r="Y168">
        <v>0</v>
      </c>
      <c r="Z168">
        <v>0</v>
      </c>
      <c r="AA168" s="4">
        <v>0</v>
      </c>
      <c r="AB168" s="4">
        <v>0</v>
      </c>
      <c r="AC168" s="4">
        <v>0</v>
      </c>
      <c r="AD168" s="4">
        <v>0</v>
      </c>
      <c r="AE168" s="4">
        <v>0</v>
      </c>
      <c r="AF168" s="4">
        <v>0</v>
      </c>
      <c r="AG168" s="4">
        <v>0</v>
      </c>
      <c r="AH168" s="4">
        <v>0</v>
      </c>
      <c r="AI168" s="4">
        <v>0</v>
      </c>
      <c r="AJ168" s="4">
        <v>0</v>
      </c>
      <c r="AK168" s="4">
        <v>0</v>
      </c>
      <c r="AL168" s="4">
        <v>0</v>
      </c>
      <c r="AM168">
        <v>0</v>
      </c>
      <c r="AN168">
        <v>0</v>
      </c>
      <c r="AO168">
        <v>0</v>
      </c>
      <c r="AP168">
        <v>0</v>
      </c>
      <c r="AQ168">
        <v>0</v>
      </c>
      <c r="AR168">
        <v>0</v>
      </c>
      <c r="AS168">
        <v>0</v>
      </c>
      <c r="AT168">
        <v>0</v>
      </c>
      <c r="AU168">
        <v>0</v>
      </c>
      <c r="AV168">
        <v>0</v>
      </c>
      <c r="AW168">
        <v>0</v>
      </c>
      <c r="AX168">
        <v>0</v>
      </c>
      <c r="AY168">
        <v>0</v>
      </c>
    </row>
    <row r="169" spans="1:51">
      <c r="A169" t="s">
        <v>16978</v>
      </c>
      <c r="B169" t="s">
        <v>17366</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s="4">
        <v>0</v>
      </c>
      <c r="X169" s="4">
        <v>0</v>
      </c>
      <c r="Y169">
        <v>0</v>
      </c>
      <c r="Z169">
        <v>0</v>
      </c>
      <c r="AA169" s="4">
        <v>0</v>
      </c>
      <c r="AB169" s="4">
        <v>0</v>
      </c>
      <c r="AC169" s="4">
        <v>0</v>
      </c>
      <c r="AD169" s="4">
        <v>0</v>
      </c>
      <c r="AE169" s="4">
        <v>0</v>
      </c>
      <c r="AF169" s="4">
        <v>0</v>
      </c>
      <c r="AG169" s="4">
        <v>0</v>
      </c>
      <c r="AH169" s="4">
        <v>0</v>
      </c>
      <c r="AI169" s="4">
        <v>0</v>
      </c>
      <c r="AJ169" s="4">
        <v>0</v>
      </c>
      <c r="AK169" s="4">
        <v>0</v>
      </c>
      <c r="AL169" s="4">
        <v>0</v>
      </c>
      <c r="AM169">
        <v>0</v>
      </c>
      <c r="AN169">
        <v>0</v>
      </c>
      <c r="AO169">
        <v>0</v>
      </c>
      <c r="AP169">
        <v>0</v>
      </c>
      <c r="AQ169">
        <v>0</v>
      </c>
      <c r="AR169">
        <v>0</v>
      </c>
      <c r="AS169">
        <v>0</v>
      </c>
      <c r="AT169">
        <v>0</v>
      </c>
      <c r="AU169">
        <v>0</v>
      </c>
      <c r="AV169">
        <v>0</v>
      </c>
      <c r="AW169">
        <v>0</v>
      </c>
      <c r="AX169">
        <v>0</v>
      </c>
      <c r="AY169">
        <v>0</v>
      </c>
    </row>
    <row r="170" spans="1:51">
      <c r="A170" t="s">
        <v>16978</v>
      </c>
      <c r="B170" t="s">
        <v>17367</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s="4">
        <v>0</v>
      </c>
      <c r="X170" s="4">
        <v>0</v>
      </c>
      <c r="Y170">
        <v>0</v>
      </c>
      <c r="Z170">
        <v>0</v>
      </c>
      <c r="AA170" s="4">
        <v>0</v>
      </c>
      <c r="AB170" s="4">
        <v>0</v>
      </c>
      <c r="AC170" s="4">
        <v>0</v>
      </c>
      <c r="AD170" s="4">
        <v>0</v>
      </c>
      <c r="AE170" s="4">
        <v>0</v>
      </c>
      <c r="AF170" s="4">
        <v>0</v>
      </c>
      <c r="AG170" s="4">
        <v>0</v>
      </c>
      <c r="AH170" s="4">
        <v>0</v>
      </c>
      <c r="AI170" s="4">
        <v>0</v>
      </c>
      <c r="AJ170" s="4">
        <v>0</v>
      </c>
      <c r="AK170" s="4">
        <v>0</v>
      </c>
      <c r="AL170" s="4">
        <v>0</v>
      </c>
      <c r="AM170">
        <v>0</v>
      </c>
      <c r="AN170">
        <v>0</v>
      </c>
      <c r="AO170">
        <v>0</v>
      </c>
      <c r="AP170">
        <v>0</v>
      </c>
      <c r="AQ170">
        <v>0</v>
      </c>
      <c r="AR170">
        <v>0</v>
      </c>
      <c r="AS170">
        <v>0</v>
      </c>
      <c r="AT170">
        <v>0</v>
      </c>
      <c r="AU170">
        <v>0</v>
      </c>
      <c r="AV170">
        <v>0</v>
      </c>
      <c r="AW170">
        <v>0</v>
      </c>
      <c r="AX170">
        <v>0</v>
      </c>
      <c r="AY170">
        <v>0</v>
      </c>
    </row>
    <row r="171" spans="1:51">
      <c r="A171" t="s">
        <v>16978</v>
      </c>
      <c r="B171" t="s">
        <v>17075</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s="4">
        <v>0</v>
      </c>
      <c r="X171" s="4">
        <v>0</v>
      </c>
      <c r="Y171">
        <v>0</v>
      </c>
      <c r="Z171">
        <v>0</v>
      </c>
      <c r="AA171" s="4">
        <v>0</v>
      </c>
      <c r="AB171" s="4">
        <v>0</v>
      </c>
      <c r="AC171" s="4">
        <v>0</v>
      </c>
      <c r="AD171" s="4">
        <v>0</v>
      </c>
      <c r="AE171" s="4">
        <v>0</v>
      </c>
      <c r="AF171" s="4">
        <v>0</v>
      </c>
      <c r="AG171" s="4">
        <v>0</v>
      </c>
      <c r="AH171" s="4">
        <v>0</v>
      </c>
      <c r="AI171" s="4">
        <v>0</v>
      </c>
      <c r="AJ171" s="4">
        <v>0</v>
      </c>
      <c r="AK171" s="4">
        <v>0</v>
      </c>
      <c r="AL171" s="4">
        <v>0</v>
      </c>
      <c r="AM171">
        <v>0</v>
      </c>
      <c r="AN171">
        <v>0</v>
      </c>
      <c r="AO171">
        <v>0</v>
      </c>
      <c r="AP171">
        <v>0</v>
      </c>
      <c r="AQ171">
        <v>0</v>
      </c>
      <c r="AR171">
        <v>0</v>
      </c>
      <c r="AS171">
        <v>0</v>
      </c>
      <c r="AT171">
        <v>0</v>
      </c>
      <c r="AU171">
        <v>0</v>
      </c>
      <c r="AV171">
        <v>0</v>
      </c>
      <c r="AW171">
        <v>0</v>
      </c>
      <c r="AX171">
        <v>0</v>
      </c>
      <c r="AY171">
        <v>0</v>
      </c>
    </row>
    <row r="172" spans="1:51">
      <c r="A172" t="s">
        <v>16978</v>
      </c>
      <c r="B172" t="s">
        <v>17079</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s="4">
        <v>0</v>
      </c>
      <c r="X172" s="4">
        <v>0</v>
      </c>
      <c r="Y172">
        <v>0</v>
      </c>
      <c r="Z172">
        <v>0</v>
      </c>
      <c r="AA172" s="4">
        <v>0</v>
      </c>
      <c r="AB172" s="4">
        <v>0</v>
      </c>
      <c r="AC172" s="4">
        <v>0</v>
      </c>
      <c r="AD172" s="4">
        <v>0</v>
      </c>
      <c r="AE172" s="4">
        <v>0</v>
      </c>
      <c r="AF172" s="4">
        <v>0</v>
      </c>
      <c r="AG172" s="4">
        <v>0</v>
      </c>
      <c r="AH172" s="4">
        <v>0</v>
      </c>
      <c r="AI172" s="4">
        <v>0</v>
      </c>
      <c r="AJ172" s="4">
        <v>0</v>
      </c>
      <c r="AK172" s="4">
        <v>0</v>
      </c>
      <c r="AL172" s="4">
        <v>0</v>
      </c>
      <c r="AM172">
        <v>0</v>
      </c>
      <c r="AN172">
        <v>0</v>
      </c>
      <c r="AO172">
        <v>0</v>
      </c>
      <c r="AP172">
        <v>0</v>
      </c>
      <c r="AQ172">
        <v>0</v>
      </c>
      <c r="AR172">
        <v>0</v>
      </c>
      <c r="AS172">
        <v>0</v>
      </c>
      <c r="AT172">
        <v>0</v>
      </c>
      <c r="AU172">
        <v>0</v>
      </c>
      <c r="AV172">
        <v>0</v>
      </c>
      <c r="AW172">
        <v>0</v>
      </c>
      <c r="AX172">
        <v>0</v>
      </c>
      <c r="AY172">
        <v>0</v>
      </c>
    </row>
    <row r="173" spans="1:51">
      <c r="A173" t="s">
        <v>16978</v>
      </c>
      <c r="B173" t="s">
        <v>17079</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s="4">
        <v>0</v>
      </c>
      <c r="X173" s="4">
        <v>0</v>
      </c>
      <c r="Y173">
        <v>0</v>
      </c>
      <c r="Z173">
        <v>0</v>
      </c>
      <c r="AA173" s="4">
        <v>0</v>
      </c>
      <c r="AB173" s="4">
        <v>0</v>
      </c>
      <c r="AC173" s="4">
        <v>0</v>
      </c>
      <c r="AD173" s="4">
        <v>0</v>
      </c>
      <c r="AE173" s="4">
        <v>0</v>
      </c>
      <c r="AF173" s="4">
        <v>0</v>
      </c>
      <c r="AG173" s="4">
        <v>0</v>
      </c>
      <c r="AH173" s="4">
        <v>0</v>
      </c>
      <c r="AI173" s="4">
        <v>0</v>
      </c>
      <c r="AJ173" s="4">
        <v>0</v>
      </c>
      <c r="AK173" s="4">
        <v>0</v>
      </c>
      <c r="AL173" s="4">
        <v>0</v>
      </c>
      <c r="AM173">
        <v>0</v>
      </c>
      <c r="AN173">
        <v>0</v>
      </c>
      <c r="AO173">
        <v>0</v>
      </c>
      <c r="AP173">
        <v>0</v>
      </c>
      <c r="AQ173">
        <v>0</v>
      </c>
      <c r="AR173">
        <v>0</v>
      </c>
      <c r="AS173">
        <v>0</v>
      </c>
      <c r="AT173">
        <v>0</v>
      </c>
      <c r="AU173">
        <v>0</v>
      </c>
      <c r="AV173">
        <v>0</v>
      </c>
      <c r="AW173">
        <v>0</v>
      </c>
      <c r="AX173">
        <v>0</v>
      </c>
      <c r="AY173">
        <v>0</v>
      </c>
    </row>
    <row r="174" spans="1:51">
      <c r="A174" t="s">
        <v>16978</v>
      </c>
      <c r="B174" t="s">
        <v>17368</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s="4">
        <v>0</v>
      </c>
      <c r="X174" s="4">
        <v>0</v>
      </c>
      <c r="Y174">
        <v>0</v>
      </c>
      <c r="Z174">
        <v>0</v>
      </c>
      <c r="AA174" s="4">
        <v>0</v>
      </c>
      <c r="AB174" s="4">
        <v>0</v>
      </c>
      <c r="AC174" s="4">
        <v>0</v>
      </c>
      <c r="AD174" s="4">
        <v>0</v>
      </c>
      <c r="AE174" s="4">
        <v>0</v>
      </c>
      <c r="AF174" s="4">
        <v>0</v>
      </c>
      <c r="AG174" s="4">
        <v>0</v>
      </c>
      <c r="AH174" s="4">
        <v>0</v>
      </c>
      <c r="AI174" s="4">
        <v>0</v>
      </c>
      <c r="AJ174" s="4">
        <v>0</v>
      </c>
      <c r="AK174" s="4">
        <v>0</v>
      </c>
      <c r="AL174" s="4">
        <v>0</v>
      </c>
      <c r="AM174">
        <v>0</v>
      </c>
      <c r="AN174">
        <v>0</v>
      </c>
      <c r="AO174">
        <v>0</v>
      </c>
      <c r="AP174">
        <v>0</v>
      </c>
      <c r="AQ174">
        <v>0</v>
      </c>
      <c r="AR174">
        <v>0</v>
      </c>
      <c r="AS174">
        <v>0</v>
      </c>
      <c r="AT174">
        <v>0</v>
      </c>
      <c r="AU174">
        <v>0</v>
      </c>
      <c r="AV174">
        <v>0</v>
      </c>
      <c r="AW174">
        <v>0</v>
      </c>
      <c r="AX174">
        <v>0</v>
      </c>
      <c r="AY174">
        <v>0</v>
      </c>
    </row>
    <row r="175" spans="1:51">
      <c r="A175" t="s">
        <v>16978</v>
      </c>
      <c r="B175" t="s">
        <v>17081</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s="4">
        <v>0</v>
      </c>
      <c r="X175" s="4">
        <v>0</v>
      </c>
      <c r="Y175">
        <v>0</v>
      </c>
      <c r="Z175">
        <v>0</v>
      </c>
      <c r="AA175" s="4">
        <v>0</v>
      </c>
      <c r="AB175" s="4">
        <v>0</v>
      </c>
      <c r="AC175" s="4">
        <v>0</v>
      </c>
      <c r="AD175" s="4">
        <v>0</v>
      </c>
      <c r="AE175" s="4">
        <v>0</v>
      </c>
      <c r="AF175" s="4">
        <v>0</v>
      </c>
      <c r="AG175" s="4">
        <v>0</v>
      </c>
      <c r="AH175" s="4">
        <v>0</v>
      </c>
      <c r="AI175" s="4">
        <v>0</v>
      </c>
      <c r="AJ175" s="4">
        <v>0</v>
      </c>
      <c r="AK175" s="4">
        <v>0</v>
      </c>
      <c r="AL175" s="4">
        <v>0</v>
      </c>
      <c r="AM175">
        <v>0</v>
      </c>
      <c r="AN175">
        <v>0</v>
      </c>
      <c r="AO175">
        <v>0</v>
      </c>
      <c r="AP175">
        <v>0</v>
      </c>
      <c r="AQ175">
        <v>0</v>
      </c>
      <c r="AR175">
        <v>0</v>
      </c>
      <c r="AS175">
        <v>0</v>
      </c>
      <c r="AT175">
        <v>0</v>
      </c>
      <c r="AU175">
        <v>0</v>
      </c>
      <c r="AV175">
        <v>0</v>
      </c>
      <c r="AW175">
        <v>0</v>
      </c>
      <c r="AX175">
        <v>0</v>
      </c>
      <c r="AY175">
        <v>0</v>
      </c>
    </row>
    <row r="176" spans="1:51">
      <c r="A176" t="s">
        <v>16978</v>
      </c>
      <c r="B176" t="s">
        <v>17082</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s="4">
        <v>0</v>
      </c>
      <c r="X176" s="4">
        <v>0</v>
      </c>
      <c r="Y176">
        <v>0</v>
      </c>
      <c r="Z176">
        <v>0</v>
      </c>
      <c r="AA176" s="4">
        <v>0</v>
      </c>
      <c r="AB176" s="4">
        <v>0</v>
      </c>
      <c r="AC176" s="4">
        <v>0</v>
      </c>
      <c r="AD176" s="4">
        <v>0</v>
      </c>
      <c r="AE176" s="4">
        <v>0</v>
      </c>
      <c r="AF176" s="4">
        <v>0</v>
      </c>
      <c r="AG176" s="4">
        <v>0</v>
      </c>
      <c r="AH176" s="4">
        <v>0</v>
      </c>
      <c r="AI176" s="4">
        <v>0</v>
      </c>
      <c r="AJ176" s="4">
        <v>0</v>
      </c>
      <c r="AK176" s="4">
        <v>0</v>
      </c>
      <c r="AL176" s="4">
        <v>0</v>
      </c>
      <c r="AM176">
        <v>0</v>
      </c>
      <c r="AN176">
        <v>0</v>
      </c>
      <c r="AO176">
        <v>0</v>
      </c>
      <c r="AP176">
        <v>0</v>
      </c>
      <c r="AQ176">
        <v>0</v>
      </c>
      <c r="AR176">
        <v>0</v>
      </c>
      <c r="AS176">
        <v>0</v>
      </c>
      <c r="AT176">
        <v>0</v>
      </c>
      <c r="AU176">
        <v>0</v>
      </c>
      <c r="AV176">
        <v>0</v>
      </c>
      <c r="AW176">
        <v>0</v>
      </c>
      <c r="AX176">
        <v>0</v>
      </c>
      <c r="AY176">
        <v>0</v>
      </c>
    </row>
    <row r="177" spans="1:51">
      <c r="A177" t="s">
        <v>16978</v>
      </c>
      <c r="B177" t="s">
        <v>17084</v>
      </c>
      <c r="C177">
        <v>9</v>
      </c>
      <c r="D177">
        <v>91</v>
      </c>
      <c r="E177">
        <v>89</v>
      </c>
      <c r="F177">
        <v>91</v>
      </c>
      <c r="G177">
        <v>3</v>
      </c>
      <c r="H177">
        <v>6</v>
      </c>
      <c r="I177">
        <v>3</v>
      </c>
      <c r="J177">
        <v>91</v>
      </c>
      <c r="K177">
        <v>1599</v>
      </c>
      <c r="L177">
        <v>23</v>
      </c>
      <c r="M177">
        <v>1</v>
      </c>
      <c r="N177">
        <v>47</v>
      </c>
      <c r="O177">
        <v>15</v>
      </c>
      <c r="P177">
        <v>1</v>
      </c>
      <c r="Q177">
        <v>4</v>
      </c>
      <c r="R177">
        <v>0</v>
      </c>
      <c r="S177">
        <v>103.9</v>
      </c>
      <c r="T177">
        <v>104</v>
      </c>
      <c r="U177">
        <v>0</v>
      </c>
      <c r="V177">
        <v>207.9</v>
      </c>
      <c r="W177" s="4">
        <v>2929</v>
      </c>
      <c r="X177" s="4">
        <v>0</v>
      </c>
      <c r="Y177">
        <v>74</v>
      </c>
      <c r="Z177">
        <v>8</v>
      </c>
      <c r="AA177" s="4">
        <v>-190</v>
      </c>
      <c r="AB177" s="4">
        <v>1615</v>
      </c>
      <c r="AC177" s="4">
        <v>1416.3</v>
      </c>
      <c r="AD177" s="4">
        <v>1416.3</v>
      </c>
      <c r="AE177" s="4">
        <v>2036.3</v>
      </c>
      <c r="AF177" s="4">
        <v>3031.3</v>
      </c>
      <c r="AG177" s="4">
        <v>4345.3</v>
      </c>
      <c r="AH177" s="4">
        <v>2309</v>
      </c>
      <c r="AI177" s="4">
        <v>807.75</v>
      </c>
      <c r="AJ177" s="4">
        <v>1532.75</v>
      </c>
      <c r="AK177" s="4">
        <v>1712.75</v>
      </c>
      <c r="AL177" s="4">
        <v>905</v>
      </c>
      <c r="AM177">
        <v>1599</v>
      </c>
      <c r="AN177">
        <v>333</v>
      </c>
      <c r="AO177">
        <v>1130</v>
      </c>
      <c r="AP177">
        <v>229</v>
      </c>
      <c r="AQ177">
        <v>103.9</v>
      </c>
      <c r="AR177">
        <v>36</v>
      </c>
      <c r="AS177">
        <v>61.4</v>
      </c>
      <c r="AT177">
        <v>8.5</v>
      </c>
      <c r="AU177">
        <v>104</v>
      </c>
      <c r="AV177">
        <v>50.5</v>
      </c>
      <c r="AW177">
        <v>48.75</v>
      </c>
      <c r="AX177">
        <v>5.25</v>
      </c>
      <c r="AY177">
        <v>0</v>
      </c>
    </row>
    <row r="178" spans="1:51">
      <c r="A178" t="s">
        <v>16978</v>
      </c>
      <c r="B178" t="s">
        <v>17369</v>
      </c>
      <c r="C178">
        <v>43</v>
      </c>
      <c r="D178">
        <v>43</v>
      </c>
      <c r="E178">
        <v>0</v>
      </c>
      <c r="F178">
        <v>43</v>
      </c>
      <c r="G178">
        <v>0</v>
      </c>
      <c r="H178">
        <v>0</v>
      </c>
      <c r="I178">
        <v>0</v>
      </c>
      <c r="J178">
        <v>34</v>
      </c>
      <c r="K178">
        <v>111</v>
      </c>
      <c r="L178">
        <v>43</v>
      </c>
      <c r="M178">
        <v>0</v>
      </c>
      <c r="N178">
        <v>0</v>
      </c>
      <c r="O178">
        <v>0</v>
      </c>
      <c r="P178">
        <v>0</v>
      </c>
      <c r="Q178">
        <v>0</v>
      </c>
      <c r="R178">
        <v>0</v>
      </c>
      <c r="S178">
        <v>10.75</v>
      </c>
      <c r="T178">
        <v>0</v>
      </c>
      <c r="U178">
        <v>0</v>
      </c>
      <c r="V178">
        <v>10.75</v>
      </c>
      <c r="W178" s="4">
        <v>0</v>
      </c>
      <c r="X178" s="4">
        <v>0</v>
      </c>
      <c r="Y178">
        <v>0</v>
      </c>
      <c r="Z178">
        <v>0</v>
      </c>
      <c r="AA178" s="4">
        <v>-100</v>
      </c>
      <c r="AB178" s="4">
        <v>0</v>
      </c>
      <c r="AC178" s="4">
        <v>0</v>
      </c>
      <c r="AD178" s="4">
        <v>0</v>
      </c>
      <c r="AE178" s="4">
        <v>0</v>
      </c>
      <c r="AF178" s="4">
        <v>0</v>
      </c>
      <c r="AG178" s="4">
        <v>0</v>
      </c>
      <c r="AH178" s="4">
        <v>0</v>
      </c>
      <c r="AI178" s="4">
        <v>0</v>
      </c>
      <c r="AJ178" s="4">
        <v>0</v>
      </c>
      <c r="AK178" s="4">
        <v>0</v>
      </c>
      <c r="AL178" s="4">
        <v>0</v>
      </c>
      <c r="AM178">
        <v>111</v>
      </c>
      <c r="AN178">
        <v>0</v>
      </c>
      <c r="AO178">
        <v>0</v>
      </c>
      <c r="AP178">
        <v>111</v>
      </c>
      <c r="AQ178">
        <v>10.75</v>
      </c>
      <c r="AR178">
        <v>0</v>
      </c>
      <c r="AS178">
        <v>0</v>
      </c>
      <c r="AT178">
        <v>10.75</v>
      </c>
      <c r="AU178">
        <v>0</v>
      </c>
      <c r="AV178">
        <v>0</v>
      </c>
      <c r="AW178">
        <v>0</v>
      </c>
      <c r="AX178">
        <v>0</v>
      </c>
      <c r="AY178">
        <v>43</v>
      </c>
    </row>
    <row r="179" spans="1:51">
      <c r="A179" t="s">
        <v>16978</v>
      </c>
      <c r="B179" t="s">
        <v>17086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s="4">
        <v>0</v>
      </c>
      <c r="X179" s="4">
        <v>0</v>
      </c>
      <c r="Y179">
        <v>0</v>
      </c>
      <c r="Z179">
        <v>0</v>
      </c>
      <c r="AA179" s="4">
        <v>0</v>
      </c>
      <c r="AB179" s="4">
        <v>0</v>
      </c>
      <c r="AC179" s="4">
        <v>0</v>
      </c>
      <c r="AD179" s="4">
        <v>0</v>
      </c>
      <c r="AE179" s="4">
        <v>0</v>
      </c>
      <c r="AF179" s="4">
        <v>0</v>
      </c>
      <c r="AG179" s="4">
        <v>0</v>
      </c>
      <c r="AH179" s="4">
        <v>0</v>
      </c>
      <c r="AI179" s="4">
        <v>0</v>
      </c>
      <c r="AJ179" s="4">
        <v>0</v>
      </c>
      <c r="AK179" s="4">
        <v>0</v>
      </c>
      <c r="AL179" s="4">
        <v>0</v>
      </c>
      <c r="AM179">
        <v>0</v>
      </c>
      <c r="AN179">
        <v>0</v>
      </c>
      <c r="AO179">
        <v>0</v>
      </c>
      <c r="AP179">
        <v>0</v>
      </c>
      <c r="AQ179">
        <v>0</v>
      </c>
      <c r="AR179">
        <v>0</v>
      </c>
      <c r="AS179">
        <v>0</v>
      </c>
      <c r="AT179">
        <v>0</v>
      </c>
      <c r="AU179">
        <v>0</v>
      </c>
      <c r="AV179">
        <v>0</v>
      </c>
      <c r="AW179">
        <v>0</v>
      </c>
      <c r="AX179">
        <v>0</v>
      </c>
      <c r="AY179">
        <v>0</v>
      </c>
    </row>
    <row r="180" spans="1:51">
      <c r="A180" t="s">
        <v>16978</v>
      </c>
      <c r="B180" t="s">
        <v>17086</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s="4">
        <v>0</v>
      </c>
      <c r="X180" s="4">
        <v>0</v>
      </c>
      <c r="Y180">
        <v>0</v>
      </c>
      <c r="Z180">
        <v>0</v>
      </c>
      <c r="AA180" s="4">
        <v>0</v>
      </c>
      <c r="AB180" s="4">
        <v>0</v>
      </c>
      <c r="AC180" s="4">
        <v>0</v>
      </c>
      <c r="AD180" s="4">
        <v>0</v>
      </c>
      <c r="AE180" s="4">
        <v>0</v>
      </c>
      <c r="AF180" s="4">
        <v>0</v>
      </c>
      <c r="AG180" s="4">
        <v>0</v>
      </c>
      <c r="AH180" s="4">
        <v>0</v>
      </c>
      <c r="AI180" s="4">
        <v>0</v>
      </c>
      <c r="AJ180" s="4">
        <v>0</v>
      </c>
      <c r="AK180" s="4">
        <v>0</v>
      </c>
      <c r="AL180" s="4">
        <v>0</v>
      </c>
      <c r="AM180">
        <v>0</v>
      </c>
      <c r="AN180">
        <v>0</v>
      </c>
      <c r="AO180">
        <v>0</v>
      </c>
      <c r="AP180">
        <v>0</v>
      </c>
      <c r="AQ180">
        <v>0</v>
      </c>
      <c r="AR180">
        <v>0</v>
      </c>
      <c r="AS180">
        <v>0</v>
      </c>
      <c r="AT180">
        <v>0</v>
      </c>
      <c r="AU180">
        <v>0</v>
      </c>
      <c r="AV180">
        <v>0</v>
      </c>
      <c r="AW180">
        <v>0</v>
      </c>
      <c r="AX180">
        <v>0</v>
      </c>
      <c r="AY180">
        <v>0</v>
      </c>
    </row>
    <row r="181" spans="1:51">
      <c r="A181" t="s">
        <v>16978</v>
      </c>
      <c r="B181" t="s">
        <v>17087</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s="4">
        <v>0</v>
      </c>
      <c r="X181" s="4">
        <v>0</v>
      </c>
      <c r="Y181">
        <v>0</v>
      </c>
      <c r="Z181">
        <v>0</v>
      </c>
      <c r="AA181" s="4">
        <v>0</v>
      </c>
      <c r="AB181" s="4">
        <v>0</v>
      </c>
      <c r="AC181" s="4">
        <v>0</v>
      </c>
      <c r="AD181" s="4">
        <v>0</v>
      </c>
      <c r="AE181" s="4">
        <v>0</v>
      </c>
      <c r="AF181" s="4">
        <v>0</v>
      </c>
      <c r="AG181" s="4">
        <v>0</v>
      </c>
      <c r="AH181" s="4">
        <v>0</v>
      </c>
      <c r="AI181" s="4">
        <v>0</v>
      </c>
      <c r="AJ181" s="4">
        <v>0</v>
      </c>
      <c r="AK181" s="4">
        <v>0</v>
      </c>
      <c r="AL181" s="4">
        <v>0</v>
      </c>
      <c r="AM181">
        <v>0</v>
      </c>
      <c r="AN181">
        <v>0</v>
      </c>
      <c r="AO181">
        <v>0</v>
      </c>
      <c r="AP181">
        <v>0</v>
      </c>
      <c r="AQ181">
        <v>0</v>
      </c>
      <c r="AR181">
        <v>0</v>
      </c>
      <c r="AS181">
        <v>0</v>
      </c>
      <c r="AT181">
        <v>0</v>
      </c>
      <c r="AU181">
        <v>0</v>
      </c>
      <c r="AV181">
        <v>0</v>
      </c>
      <c r="AW181">
        <v>0</v>
      </c>
      <c r="AX181">
        <v>0</v>
      </c>
      <c r="AY181">
        <v>0</v>
      </c>
    </row>
    <row r="182" spans="1:51">
      <c r="A182" t="s">
        <v>16978</v>
      </c>
      <c r="B182" t="s">
        <v>17088</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s="4">
        <v>0</v>
      </c>
      <c r="X182" s="4">
        <v>0</v>
      </c>
      <c r="Y182">
        <v>0</v>
      </c>
      <c r="Z182">
        <v>0</v>
      </c>
      <c r="AA182" s="4">
        <v>0</v>
      </c>
      <c r="AB182" s="4">
        <v>0</v>
      </c>
      <c r="AC182" s="4">
        <v>0</v>
      </c>
      <c r="AD182" s="4">
        <v>0</v>
      </c>
      <c r="AE182" s="4">
        <v>0</v>
      </c>
      <c r="AF182" s="4">
        <v>0</v>
      </c>
      <c r="AG182" s="4">
        <v>0</v>
      </c>
      <c r="AH182" s="4">
        <v>0</v>
      </c>
      <c r="AI182" s="4">
        <v>0</v>
      </c>
      <c r="AJ182" s="4">
        <v>0</v>
      </c>
      <c r="AK182" s="4">
        <v>0</v>
      </c>
      <c r="AL182" s="4">
        <v>0</v>
      </c>
      <c r="AM182">
        <v>0</v>
      </c>
      <c r="AN182">
        <v>0</v>
      </c>
      <c r="AO182">
        <v>0</v>
      </c>
      <c r="AP182">
        <v>0</v>
      </c>
      <c r="AQ182">
        <v>0</v>
      </c>
      <c r="AR182">
        <v>0</v>
      </c>
      <c r="AS182">
        <v>0</v>
      </c>
      <c r="AT182">
        <v>0</v>
      </c>
      <c r="AU182">
        <v>0</v>
      </c>
      <c r="AV182">
        <v>0</v>
      </c>
      <c r="AW182">
        <v>0</v>
      </c>
      <c r="AX182">
        <v>0</v>
      </c>
      <c r="AY182">
        <v>91</v>
      </c>
    </row>
    <row r="183" spans="1:51">
      <c r="A183" t="s">
        <v>16978</v>
      </c>
      <c r="B183" t="s">
        <v>17089</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s="4">
        <v>0</v>
      </c>
      <c r="X183" s="4">
        <v>0</v>
      </c>
      <c r="Y183">
        <v>0</v>
      </c>
      <c r="Z183">
        <v>0</v>
      </c>
      <c r="AA183" s="4">
        <v>0</v>
      </c>
      <c r="AB183" s="4">
        <v>0</v>
      </c>
      <c r="AC183" s="4">
        <v>0</v>
      </c>
      <c r="AD183" s="4">
        <v>0</v>
      </c>
      <c r="AE183" s="4">
        <v>0</v>
      </c>
      <c r="AF183" s="4">
        <v>0</v>
      </c>
      <c r="AG183" s="4">
        <v>0</v>
      </c>
      <c r="AH183" s="4">
        <v>0</v>
      </c>
      <c r="AI183" s="4">
        <v>0</v>
      </c>
      <c r="AJ183" s="4">
        <v>0</v>
      </c>
      <c r="AK183" s="4">
        <v>0</v>
      </c>
      <c r="AL183" s="4">
        <v>0</v>
      </c>
      <c r="AM183">
        <v>0</v>
      </c>
      <c r="AN183">
        <v>0</v>
      </c>
      <c r="AO183">
        <v>0</v>
      </c>
      <c r="AP183">
        <v>0</v>
      </c>
      <c r="AQ183">
        <v>0</v>
      </c>
      <c r="AR183">
        <v>0</v>
      </c>
      <c r="AS183">
        <v>0</v>
      </c>
      <c r="AT183">
        <v>0</v>
      </c>
      <c r="AU183">
        <v>0</v>
      </c>
      <c r="AV183">
        <v>0</v>
      </c>
      <c r="AW183">
        <v>0</v>
      </c>
      <c r="AX183">
        <v>0</v>
      </c>
      <c r="AY183">
        <v>0</v>
      </c>
    </row>
    <row r="184" spans="1:51">
      <c r="A184" t="s">
        <v>16978</v>
      </c>
      <c r="B184" t="s">
        <v>17090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s="4">
        <v>0</v>
      </c>
      <c r="X184" s="4">
        <v>0</v>
      </c>
      <c r="Y184">
        <v>0</v>
      </c>
      <c r="Z184">
        <v>0</v>
      </c>
      <c r="AA184" s="4">
        <v>0</v>
      </c>
      <c r="AB184" s="4">
        <v>0</v>
      </c>
      <c r="AC184" s="4">
        <v>0</v>
      </c>
      <c r="AD184" s="4">
        <v>0</v>
      </c>
      <c r="AE184" s="4">
        <v>0</v>
      </c>
      <c r="AF184" s="4">
        <v>0</v>
      </c>
      <c r="AG184" s="4">
        <v>0</v>
      </c>
      <c r="AH184" s="4">
        <v>0</v>
      </c>
      <c r="AI184" s="4">
        <v>0</v>
      </c>
      <c r="AJ184" s="4">
        <v>0</v>
      </c>
      <c r="AK184" s="4">
        <v>0</v>
      </c>
      <c r="AL184" s="4">
        <v>0</v>
      </c>
      <c r="AM184">
        <v>0</v>
      </c>
      <c r="AN184">
        <v>0</v>
      </c>
      <c r="AO184">
        <v>0</v>
      </c>
      <c r="AP184">
        <v>0</v>
      </c>
      <c r="AQ184">
        <v>0</v>
      </c>
      <c r="AR184">
        <v>0</v>
      </c>
      <c r="AS184">
        <v>0</v>
      </c>
      <c r="AT184">
        <v>0</v>
      </c>
      <c r="AU184">
        <v>0</v>
      </c>
      <c r="AV184">
        <v>0</v>
      </c>
      <c r="AW184">
        <v>0</v>
      </c>
      <c r="AX184">
        <v>0</v>
      </c>
      <c r="AY184">
        <v>36</v>
      </c>
    </row>
    <row r="185" spans="1:51">
      <c r="A185" t="s">
        <v>16978</v>
      </c>
      <c r="B185" t="s">
        <v>17091</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s="4">
        <v>0</v>
      </c>
      <c r="X185" s="4">
        <v>0</v>
      </c>
      <c r="Y185">
        <v>0</v>
      </c>
      <c r="Z185">
        <v>0</v>
      </c>
      <c r="AA185" s="4">
        <v>0</v>
      </c>
      <c r="AB185" s="4">
        <v>0</v>
      </c>
      <c r="AC185" s="4">
        <v>0</v>
      </c>
      <c r="AD185" s="4">
        <v>0</v>
      </c>
      <c r="AE185" s="4">
        <v>0</v>
      </c>
      <c r="AF185" s="4">
        <v>0</v>
      </c>
      <c r="AG185" s="4">
        <v>0</v>
      </c>
      <c r="AH185" s="4">
        <v>0</v>
      </c>
      <c r="AI185" s="4">
        <v>0</v>
      </c>
      <c r="AJ185" s="4">
        <v>0</v>
      </c>
      <c r="AK185" s="4">
        <v>0</v>
      </c>
      <c r="AL185" s="4">
        <v>0</v>
      </c>
      <c r="AM185">
        <v>0</v>
      </c>
      <c r="AN185">
        <v>0</v>
      </c>
      <c r="AO185">
        <v>0</v>
      </c>
      <c r="AP185">
        <v>0</v>
      </c>
      <c r="AQ185">
        <v>0</v>
      </c>
      <c r="AR185">
        <v>0</v>
      </c>
      <c r="AS185">
        <v>0</v>
      </c>
      <c r="AT185">
        <v>0</v>
      </c>
      <c r="AU185">
        <v>0</v>
      </c>
      <c r="AV185">
        <v>0</v>
      </c>
      <c r="AW185">
        <v>0</v>
      </c>
      <c r="AX185">
        <v>0</v>
      </c>
      <c r="AY185">
        <v>0</v>
      </c>
    </row>
    <row r="186" spans="1:51">
      <c r="A186" t="s">
        <v>16978</v>
      </c>
      <c r="B186" t="s">
        <v>17092</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s="4">
        <v>0</v>
      </c>
      <c r="X186" s="4">
        <v>0</v>
      </c>
      <c r="Y186">
        <v>0</v>
      </c>
      <c r="Z186">
        <v>0</v>
      </c>
      <c r="AA186" s="4">
        <v>0</v>
      </c>
      <c r="AB186" s="4">
        <v>0</v>
      </c>
      <c r="AC186" s="4">
        <v>0</v>
      </c>
      <c r="AD186" s="4">
        <v>0</v>
      </c>
      <c r="AE186" s="4">
        <v>0</v>
      </c>
      <c r="AF186" s="4">
        <v>0</v>
      </c>
      <c r="AG186" s="4">
        <v>0</v>
      </c>
      <c r="AH186" s="4">
        <v>0</v>
      </c>
      <c r="AI186" s="4">
        <v>0</v>
      </c>
      <c r="AJ186" s="4">
        <v>0</v>
      </c>
      <c r="AK186" s="4">
        <v>0</v>
      </c>
      <c r="AL186" s="4">
        <v>0</v>
      </c>
      <c r="AM186">
        <v>0</v>
      </c>
      <c r="AN186">
        <v>0</v>
      </c>
      <c r="AO186">
        <v>0</v>
      </c>
      <c r="AP186">
        <v>0</v>
      </c>
      <c r="AQ186">
        <v>0</v>
      </c>
      <c r="AR186">
        <v>0</v>
      </c>
      <c r="AS186">
        <v>0</v>
      </c>
      <c r="AT186">
        <v>0</v>
      </c>
      <c r="AU186">
        <v>0</v>
      </c>
      <c r="AV186">
        <v>0</v>
      </c>
      <c r="AW186">
        <v>0</v>
      </c>
      <c r="AX186">
        <v>0</v>
      </c>
      <c r="AY186">
        <v>0</v>
      </c>
    </row>
    <row r="187" spans="1:51">
      <c r="A187" t="s">
        <v>17097</v>
      </c>
      <c r="B187" t="s">
        <v>17305</v>
      </c>
      <c r="C187">
        <v>3</v>
      </c>
      <c r="D187">
        <v>21</v>
      </c>
      <c r="E187">
        <v>21</v>
      </c>
      <c r="F187">
        <v>20</v>
      </c>
      <c r="G187">
        <v>1</v>
      </c>
      <c r="H187">
        <v>4</v>
      </c>
      <c r="I187">
        <v>1</v>
      </c>
      <c r="J187">
        <v>21</v>
      </c>
      <c r="K187">
        <v>194</v>
      </c>
      <c r="L187">
        <v>12</v>
      </c>
      <c r="M187">
        <v>0</v>
      </c>
      <c r="N187">
        <v>4</v>
      </c>
      <c r="O187">
        <v>3</v>
      </c>
      <c r="P187">
        <v>1</v>
      </c>
      <c r="Q187">
        <v>0</v>
      </c>
      <c r="R187">
        <v>0</v>
      </c>
      <c r="S187">
        <v>22.5</v>
      </c>
      <c r="T187">
        <v>9.75</v>
      </c>
      <c r="U187">
        <v>3</v>
      </c>
      <c r="V187">
        <v>35.25</v>
      </c>
      <c r="W187" s="4">
        <v>360</v>
      </c>
      <c r="X187" s="4">
        <v>0</v>
      </c>
      <c r="Y187">
        <v>14</v>
      </c>
      <c r="Z187">
        <v>4</v>
      </c>
      <c r="AA187" s="4">
        <v>-60</v>
      </c>
      <c r="AB187" s="4">
        <v>10</v>
      </c>
      <c r="AC187" s="4">
        <v>0</v>
      </c>
      <c r="AD187" s="4">
        <v>0</v>
      </c>
      <c r="AE187" s="4">
        <v>0</v>
      </c>
      <c r="AF187" s="4">
        <v>10</v>
      </c>
      <c r="AG187" s="4">
        <v>420</v>
      </c>
      <c r="AH187" s="4">
        <v>420</v>
      </c>
      <c r="AI187" s="4">
        <v>0</v>
      </c>
      <c r="AJ187" s="4">
        <v>10</v>
      </c>
      <c r="AK187" s="4">
        <v>230</v>
      </c>
      <c r="AL187" s="4">
        <v>230</v>
      </c>
      <c r="AM187">
        <v>194</v>
      </c>
      <c r="AN187">
        <v>71</v>
      </c>
      <c r="AO187">
        <v>93</v>
      </c>
      <c r="AP187">
        <v>30</v>
      </c>
      <c r="AQ187">
        <v>22.5</v>
      </c>
      <c r="AR187">
        <v>4.5</v>
      </c>
      <c r="AS187">
        <v>13</v>
      </c>
      <c r="AT187">
        <v>5</v>
      </c>
      <c r="AU187">
        <v>9.75</v>
      </c>
      <c r="AV187">
        <v>6.25</v>
      </c>
      <c r="AW187">
        <v>3</v>
      </c>
      <c r="AX187">
        <v>0.5</v>
      </c>
      <c r="AY187">
        <v>5</v>
      </c>
    </row>
    <row r="188" spans="1:51">
      <c r="A188" t="s">
        <v>17099</v>
      </c>
      <c r="B188" t="s">
        <v>17100</v>
      </c>
      <c r="C188">
        <v>0</v>
      </c>
      <c r="D188">
        <v>39</v>
      </c>
      <c r="E188">
        <v>39</v>
      </c>
      <c r="F188">
        <v>34</v>
      </c>
      <c r="G188">
        <v>0</v>
      </c>
      <c r="H188">
        <v>0</v>
      </c>
      <c r="I188">
        <v>0</v>
      </c>
      <c r="J188">
        <v>39</v>
      </c>
      <c r="K188">
        <v>604</v>
      </c>
      <c r="L188">
        <v>37</v>
      </c>
      <c r="M188">
        <v>0</v>
      </c>
      <c r="N188">
        <v>1</v>
      </c>
      <c r="O188">
        <v>0</v>
      </c>
      <c r="P188">
        <v>1</v>
      </c>
      <c r="Q188">
        <v>0</v>
      </c>
      <c r="R188">
        <v>0</v>
      </c>
      <c r="S188">
        <v>62.5</v>
      </c>
      <c r="T188">
        <v>12.25</v>
      </c>
      <c r="U188">
        <v>0</v>
      </c>
      <c r="V188">
        <v>74.75</v>
      </c>
      <c r="W188" s="4">
        <v>870</v>
      </c>
      <c r="X188" s="4">
        <v>0</v>
      </c>
      <c r="Y188">
        <v>30</v>
      </c>
      <c r="Z188">
        <v>7</v>
      </c>
      <c r="AA188" s="4">
        <v>0</v>
      </c>
      <c r="AB188" s="4">
        <v>92.5</v>
      </c>
      <c r="AC188" s="4">
        <v>253.01</v>
      </c>
      <c r="AD188" s="4">
        <v>253.01</v>
      </c>
      <c r="AE188" s="4">
        <v>325.51</v>
      </c>
      <c r="AF188" s="4">
        <v>345.51</v>
      </c>
      <c r="AG188" s="4">
        <v>1123.01</v>
      </c>
      <c r="AH188" s="4">
        <v>797.5</v>
      </c>
      <c r="AI188" s="4">
        <v>0</v>
      </c>
      <c r="AJ188" s="4">
        <v>0</v>
      </c>
      <c r="AK188" s="4">
        <v>0</v>
      </c>
      <c r="AL188" s="4">
        <v>0</v>
      </c>
      <c r="AM188">
        <v>604</v>
      </c>
      <c r="AN188">
        <v>0</v>
      </c>
      <c r="AO188">
        <v>604</v>
      </c>
      <c r="AP188">
        <v>0</v>
      </c>
      <c r="AQ188">
        <v>62.5</v>
      </c>
      <c r="AR188">
        <v>0</v>
      </c>
      <c r="AS188">
        <v>62.5</v>
      </c>
      <c r="AT188">
        <v>0</v>
      </c>
      <c r="AU188">
        <v>12.25</v>
      </c>
      <c r="AV188">
        <v>0</v>
      </c>
      <c r="AW188">
        <v>12.25</v>
      </c>
      <c r="AX188">
        <v>0</v>
      </c>
      <c r="AY188">
        <v>0</v>
      </c>
    </row>
    <row r="189" spans="1:51">
      <c r="A189" t="s">
        <v>16974</v>
      </c>
      <c r="B189" t="s">
        <v>17129</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s="4">
        <v>0</v>
      </c>
      <c r="X189" s="4">
        <v>0</v>
      </c>
      <c r="Y189">
        <v>0</v>
      </c>
      <c r="Z189">
        <v>0</v>
      </c>
      <c r="AA189" s="4">
        <v>0</v>
      </c>
      <c r="AB189" s="4">
        <v>0</v>
      </c>
      <c r="AC189" s="4">
        <v>0</v>
      </c>
      <c r="AD189" s="4">
        <v>0</v>
      </c>
      <c r="AE189" s="4">
        <v>0</v>
      </c>
      <c r="AF189" s="4">
        <v>0</v>
      </c>
      <c r="AG189" s="4">
        <v>0</v>
      </c>
      <c r="AH189" s="4">
        <v>0</v>
      </c>
      <c r="AI189" s="4">
        <v>0</v>
      </c>
      <c r="AJ189" s="4">
        <v>0</v>
      </c>
      <c r="AK189" s="4">
        <v>0</v>
      </c>
      <c r="AL189" s="4">
        <v>0</v>
      </c>
      <c r="AM189">
        <v>0</v>
      </c>
      <c r="AN189">
        <v>0</v>
      </c>
      <c r="AO189">
        <v>0</v>
      </c>
      <c r="AP189">
        <v>0</v>
      </c>
      <c r="AQ189">
        <v>0</v>
      </c>
      <c r="AR189">
        <v>0</v>
      </c>
      <c r="AS189">
        <v>0</v>
      </c>
      <c r="AT189">
        <v>0</v>
      </c>
      <c r="AU189">
        <v>0</v>
      </c>
      <c r="AV189">
        <v>0</v>
      </c>
      <c r="AW189">
        <v>0</v>
      </c>
      <c r="AX189">
        <v>0</v>
      </c>
      <c r="AY189">
        <v>85</v>
      </c>
    </row>
    <row r="190" spans="1:51">
      <c r="A190" t="s">
        <v>16974</v>
      </c>
      <c r="B190" t="s">
        <v>17338</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s="4">
        <v>0</v>
      </c>
      <c r="X190" s="4">
        <v>0</v>
      </c>
      <c r="Y190">
        <v>0</v>
      </c>
      <c r="Z190">
        <v>0</v>
      </c>
      <c r="AA190" s="4">
        <v>0</v>
      </c>
      <c r="AB190" s="4">
        <v>0</v>
      </c>
      <c r="AC190" s="4">
        <v>0</v>
      </c>
      <c r="AD190" s="4">
        <v>0</v>
      </c>
      <c r="AE190" s="4">
        <v>0</v>
      </c>
      <c r="AF190" s="4">
        <v>0</v>
      </c>
      <c r="AG190" s="4">
        <v>0</v>
      </c>
      <c r="AH190" s="4">
        <v>0</v>
      </c>
      <c r="AI190" s="4">
        <v>0</v>
      </c>
      <c r="AJ190" s="4">
        <v>0</v>
      </c>
      <c r="AK190" s="4">
        <v>0</v>
      </c>
      <c r="AL190" s="4">
        <v>0</v>
      </c>
      <c r="AM190">
        <v>0</v>
      </c>
      <c r="AN190">
        <v>0</v>
      </c>
      <c r="AO190">
        <v>0</v>
      </c>
      <c r="AP190">
        <v>0</v>
      </c>
      <c r="AQ190">
        <v>0</v>
      </c>
      <c r="AR190">
        <v>0</v>
      </c>
      <c r="AS190">
        <v>0</v>
      </c>
      <c r="AT190">
        <v>0</v>
      </c>
      <c r="AU190">
        <v>0</v>
      </c>
      <c r="AV190">
        <v>0</v>
      </c>
      <c r="AW190">
        <v>0</v>
      </c>
      <c r="AX190">
        <v>0</v>
      </c>
      <c r="AY190">
        <v>0</v>
      </c>
    </row>
    <row r="191" spans="1:51">
      <c r="A191" t="s">
        <v>16974</v>
      </c>
      <c r="B191" t="s">
        <v>17102</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s="4">
        <v>0</v>
      </c>
      <c r="X191" s="4">
        <v>0</v>
      </c>
      <c r="Y191">
        <v>0</v>
      </c>
      <c r="Z191">
        <v>0</v>
      </c>
      <c r="AA191" s="4">
        <v>0</v>
      </c>
      <c r="AB191" s="4">
        <v>0</v>
      </c>
      <c r="AC191" s="4">
        <v>0</v>
      </c>
      <c r="AD191" s="4">
        <v>0</v>
      </c>
      <c r="AE191" s="4">
        <v>0</v>
      </c>
      <c r="AF191" s="4">
        <v>0</v>
      </c>
      <c r="AG191" s="4">
        <v>0</v>
      </c>
      <c r="AH191" s="4">
        <v>0</v>
      </c>
      <c r="AI191" s="4">
        <v>0</v>
      </c>
      <c r="AJ191" s="4">
        <v>0</v>
      </c>
      <c r="AK191" s="4">
        <v>0</v>
      </c>
      <c r="AL191" s="4">
        <v>0</v>
      </c>
      <c r="AM191">
        <v>0</v>
      </c>
      <c r="AN191">
        <v>0</v>
      </c>
      <c r="AO191">
        <v>0</v>
      </c>
      <c r="AP191">
        <v>0</v>
      </c>
      <c r="AQ191">
        <v>0</v>
      </c>
      <c r="AR191">
        <v>0</v>
      </c>
      <c r="AS191">
        <v>0</v>
      </c>
      <c r="AT191">
        <v>0</v>
      </c>
      <c r="AU191">
        <v>0</v>
      </c>
      <c r="AV191">
        <v>0</v>
      </c>
      <c r="AW191">
        <v>0</v>
      </c>
      <c r="AX191">
        <v>0</v>
      </c>
      <c r="AY191">
        <v>0</v>
      </c>
    </row>
    <row r="192" spans="1:51">
      <c r="A192" t="s">
        <v>16974</v>
      </c>
      <c r="B192" t="s">
        <v>17103</v>
      </c>
      <c r="C192">
        <v>0</v>
      </c>
      <c r="D192">
        <v>2</v>
      </c>
      <c r="E192">
        <v>2</v>
      </c>
      <c r="F192">
        <v>1</v>
      </c>
      <c r="G192">
        <v>1</v>
      </c>
      <c r="H192">
        <v>0</v>
      </c>
      <c r="I192">
        <v>0</v>
      </c>
      <c r="J192">
        <v>2</v>
      </c>
      <c r="K192">
        <v>17</v>
      </c>
      <c r="L192">
        <v>0</v>
      </c>
      <c r="M192">
        <v>0</v>
      </c>
      <c r="N192">
        <v>1</v>
      </c>
      <c r="O192">
        <v>0</v>
      </c>
      <c r="P192">
        <v>0</v>
      </c>
      <c r="Q192">
        <v>0</v>
      </c>
      <c r="R192">
        <v>0</v>
      </c>
      <c r="S192">
        <v>4</v>
      </c>
      <c r="T192">
        <v>0</v>
      </c>
      <c r="U192">
        <v>0</v>
      </c>
      <c r="V192">
        <v>4</v>
      </c>
      <c r="W192" s="4">
        <v>40</v>
      </c>
      <c r="X192" s="4">
        <v>0</v>
      </c>
      <c r="Y192">
        <v>0</v>
      </c>
      <c r="Z192">
        <v>2</v>
      </c>
      <c r="AA192" s="4">
        <v>0</v>
      </c>
      <c r="AB192" s="4">
        <v>0</v>
      </c>
      <c r="AC192" s="4">
        <v>0</v>
      </c>
      <c r="AD192" s="4">
        <v>0</v>
      </c>
      <c r="AE192" s="4">
        <v>0</v>
      </c>
      <c r="AF192" s="4">
        <v>0</v>
      </c>
      <c r="AG192" s="4">
        <v>40</v>
      </c>
      <c r="AH192" s="4">
        <v>40</v>
      </c>
      <c r="AI192" s="4">
        <v>0</v>
      </c>
      <c r="AJ192" s="4">
        <v>0</v>
      </c>
      <c r="AK192" s="4">
        <v>0</v>
      </c>
      <c r="AL192" s="4">
        <v>0</v>
      </c>
      <c r="AM192">
        <v>17</v>
      </c>
      <c r="AN192">
        <v>0</v>
      </c>
      <c r="AO192">
        <v>17</v>
      </c>
      <c r="AP192">
        <v>0</v>
      </c>
      <c r="AQ192">
        <v>4</v>
      </c>
      <c r="AR192">
        <v>0</v>
      </c>
      <c r="AS192">
        <v>4</v>
      </c>
      <c r="AT192">
        <v>0</v>
      </c>
      <c r="AU192">
        <v>0</v>
      </c>
      <c r="AV192">
        <v>0</v>
      </c>
      <c r="AW192">
        <v>0</v>
      </c>
      <c r="AX192">
        <v>0</v>
      </c>
      <c r="AY192">
        <v>120</v>
      </c>
    </row>
    <row r="193" spans="1:51">
      <c r="A193" t="s">
        <v>16974</v>
      </c>
      <c r="B193" t="s">
        <v>17315</v>
      </c>
      <c r="C193">
        <v>0</v>
      </c>
      <c r="D193">
        <v>14</v>
      </c>
      <c r="E193">
        <v>6</v>
      </c>
      <c r="F193">
        <v>14</v>
      </c>
      <c r="G193">
        <v>0</v>
      </c>
      <c r="H193">
        <v>0</v>
      </c>
      <c r="I193">
        <v>0</v>
      </c>
      <c r="J193">
        <v>14</v>
      </c>
      <c r="K193">
        <v>52</v>
      </c>
      <c r="L193">
        <v>13</v>
      </c>
      <c r="M193">
        <v>0</v>
      </c>
      <c r="N193">
        <v>0</v>
      </c>
      <c r="O193">
        <v>1</v>
      </c>
      <c r="P193">
        <v>0</v>
      </c>
      <c r="Q193">
        <v>0</v>
      </c>
      <c r="R193">
        <v>0</v>
      </c>
      <c r="S193">
        <v>6.75</v>
      </c>
      <c r="T193">
        <v>3.5</v>
      </c>
      <c r="U193">
        <v>0</v>
      </c>
      <c r="V193">
        <v>10.25</v>
      </c>
      <c r="W193" s="4">
        <v>137.5</v>
      </c>
      <c r="X193" s="4">
        <v>0</v>
      </c>
      <c r="Y193">
        <v>14</v>
      </c>
      <c r="Z193">
        <v>0</v>
      </c>
      <c r="AA193" s="4">
        <v>0</v>
      </c>
      <c r="AB193" s="4">
        <v>12.5</v>
      </c>
      <c r="AC193" s="4">
        <v>8.4</v>
      </c>
      <c r="AD193" s="4">
        <v>8.4</v>
      </c>
      <c r="AE193" s="4">
        <v>0</v>
      </c>
      <c r="AF193" s="4">
        <v>20.9</v>
      </c>
      <c r="AG193" s="4">
        <v>145.9</v>
      </c>
      <c r="AH193" s="4">
        <v>145.9</v>
      </c>
      <c r="AI193" s="4">
        <v>0</v>
      </c>
      <c r="AJ193" s="4">
        <v>0</v>
      </c>
      <c r="AK193" s="4">
        <v>0</v>
      </c>
      <c r="AL193" s="4">
        <v>0</v>
      </c>
      <c r="AM193">
        <v>51.5</v>
      </c>
      <c r="AN193">
        <v>0</v>
      </c>
      <c r="AO193">
        <v>51.5</v>
      </c>
      <c r="AP193">
        <v>0</v>
      </c>
      <c r="AQ193">
        <v>6.75</v>
      </c>
      <c r="AR193">
        <v>0</v>
      </c>
      <c r="AS193">
        <v>6.75</v>
      </c>
      <c r="AT193">
        <v>0</v>
      </c>
      <c r="AU193">
        <v>3.5</v>
      </c>
      <c r="AV193">
        <v>0</v>
      </c>
      <c r="AW193">
        <v>3.5</v>
      </c>
      <c r="AX193">
        <v>0</v>
      </c>
      <c r="AY193">
        <v>0</v>
      </c>
    </row>
    <row r="194" spans="1:51">
      <c r="A194" t="s">
        <v>16974</v>
      </c>
      <c r="B194" t="s">
        <v>17335</v>
      </c>
      <c r="C194">
        <v>1</v>
      </c>
      <c r="D194">
        <v>1</v>
      </c>
      <c r="E194">
        <v>1</v>
      </c>
      <c r="F194">
        <v>1</v>
      </c>
      <c r="G194">
        <v>0</v>
      </c>
      <c r="H194">
        <v>0</v>
      </c>
      <c r="I194">
        <v>0</v>
      </c>
      <c r="J194">
        <v>1</v>
      </c>
      <c r="K194">
        <v>11</v>
      </c>
      <c r="L194">
        <v>0</v>
      </c>
      <c r="M194">
        <v>1</v>
      </c>
      <c r="N194">
        <v>0</v>
      </c>
      <c r="O194">
        <v>0</v>
      </c>
      <c r="P194">
        <v>0</v>
      </c>
      <c r="Q194">
        <v>0</v>
      </c>
      <c r="R194">
        <v>0</v>
      </c>
      <c r="S194">
        <v>0</v>
      </c>
      <c r="T194">
        <v>0</v>
      </c>
      <c r="U194">
        <v>0</v>
      </c>
      <c r="V194">
        <v>0</v>
      </c>
      <c r="W194" s="4">
        <v>0</v>
      </c>
      <c r="X194" s="4">
        <v>0</v>
      </c>
      <c r="Y194">
        <v>0</v>
      </c>
      <c r="Z194">
        <v>0</v>
      </c>
      <c r="AA194" s="4">
        <v>0</v>
      </c>
      <c r="AB194" s="4">
        <v>0</v>
      </c>
      <c r="AC194" s="4">
        <v>0</v>
      </c>
      <c r="AD194" s="4">
        <v>0</v>
      </c>
      <c r="AE194" s="4">
        <v>0</v>
      </c>
      <c r="AF194" s="4">
        <v>0</v>
      </c>
      <c r="AG194" s="4">
        <v>0</v>
      </c>
      <c r="AH194" s="4">
        <v>0</v>
      </c>
      <c r="AI194" s="4">
        <v>0</v>
      </c>
      <c r="AJ194" s="4">
        <v>0</v>
      </c>
      <c r="AK194" s="4">
        <v>0</v>
      </c>
      <c r="AL194" s="4">
        <v>0</v>
      </c>
      <c r="AM194">
        <v>11</v>
      </c>
      <c r="AN194">
        <v>0</v>
      </c>
      <c r="AO194">
        <v>0</v>
      </c>
      <c r="AP194">
        <v>11</v>
      </c>
      <c r="AQ194">
        <v>0</v>
      </c>
      <c r="AR194">
        <v>0</v>
      </c>
      <c r="AS194">
        <v>0</v>
      </c>
      <c r="AT194">
        <v>0</v>
      </c>
      <c r="AU194">
        <v>0</v>
      </c>
      <c r="AV194">
        <v>0</v>
      </c>
      <c r="AW194">
        <v>0</v>
      </c>
      <c r="AX194">
        <v>0</v>
      </c>
      <c r="AY194">
        <v>1</v>
      </c>
    </row>
    <row r="195" spans="1:51">
      <c r="A195" t="s">
        <v>16974</v>
      </c>
      <c r="B195" t="s">
        <v>17313</v>
      </c>
      <c r="C195">
        <v>0</v>
      </c>
      <c r="D195">
        <v>2</v>
      </c>
      <c r="E195">
        <v>2</v>
      </c>
      <c r="F195">
        <v>2</v>
      </c>
      <c r="G195">
        <v>0</v>
      </c>
      <c r="H195">
        <v>1</v>
      </c>
      <c r="I195">
        <v>1</v>
      </c>
      <c r="J195">
        <v>2</v>
      </c>
      <c r="K195">
        <v>19</v>
      </c>
      <c r="L195">
        <v>2</v>
      </c>
      <c r="M195">
        <v>0</v>
      </c>
      <c r="N195">
        <v>0</v>
      </c>
      <c r="O195">
        <v>0</v>
      </c>
      <c r="P195">
        <v>0</v>
      </c>
      <c r="Q195">
        <v>0</v>
      </c>
      <c r="R195">
        <v>0</v>
      </c>
      <c r="S195">
        <v>16.5</v>
      </c>
      <c r="T195">
        <v>0.5</v>
      </c>
      <c r="U195">
        <v>0</v>
      </c>
      <c r="V195">
        <v>17</v>
      </c>
      <c r="W195" s="4">
        <v>175</v>
      </c>
      <c r="X195" s="4">
        <v>0</v>
      </c>
      <c r="Y195">
        <v>0</v>
      </c>
      <c r="Z195">
        <v>2</v>
      </c>
      <c r="AA195" s="4">
        <v>0</v>
      </c>
      <c r="AB195" s="4">
        <v>105</v>
      </c>
      <c r="AC195" s="4">
        <v>6.8</v>
      </c>
      <c r="AD195" s="4">
        <v>6.8</v>
      </c>
      <c r="AE195" s="4">
        <v>111.8</v>
      </c>
      <c r="AF195" s="4">
        <v>111.8</v>
      </c>
      <c r="AG195" s="4">
        <v>181.8</v>
      </c>
      <c r="AH195" s="4">
        <v>70</v>
      </c>
      <c r="AI195" s="4">
        <v>111.8</v>
      </c>
      <c r="AJ195" s="4">
        <v>111.8</v>
      </c>
      <c r="AK195" s="4">
        <v>171.8</v>
      </c>
      <c r="AL195" s="4">
        <v>60</v>
      </c>
      <c r="AM195">
        <v>19</v>
      </c>
      <c r="AN195">
        <v>11</v>
      </c>
      <c r="AO195">
        <v>8</v>
      </c>
      <c r="AP195">
        <v>0</v>
      </c>
      <c r="AQ195">
        <v>16.5</v>
      </c>
      <c r="AR195">
        <v>15.5</v>
      </c>
      <c r="AS195">
        <v>1</v>
      </c>
      <c r="AT195">
        <v>0</v>
      </c>
      <c r="AU195">
        <v>0.5</v>
      </c>
      <c r="AV195">
        <v>0.5</v>
      </c>
      <c r="AW195">
        <v>0</v>
      </c>
      <c r="AX195">
        <v>0</v>
      </c>
      <c r="AY195">
        <v>0</v>
      </c>
    </row>
    <row r="196" spans="1:51">
      <c r="A196" t="s">
        <v>16974</v>
      </c>
      <c r="B196" t="s">
        <v>17108</v>
      </c>
      <c r="C196">
        <v>7</v>
      </c>
      <c r="D196">
        <v>16</v>
      </c>
      <c r="E196">
        <v>15</v>
      </c>
      <c r="F196">
        <v>16</v>
      </c>
      <c r="G196">
        <v>0</v>
      </c>
      <c r="H196">
        <v>0</v>
      </c>
      <c r="I196">
        <v>0</v>
      </c>
      <c r="J196">
        <v>16</v>
      </c>
      <c r="K196">
        <v>37</v>
      </c>
      <c r="L196">
        <v>16</v>
      </c>
      <c r="M196">
        <v>0</v>
      </c>
      <c r="N196">
        <v>0</v>
      </c>
      <c r="O196">
        <v>0</v>
      </c>
      <c r="P196">
        <v>0</v>
      </c>
      <c r="Q196">
        <v>0</v>
      </c>
      <c r="R196">
        <v>0</v>
      </c>
      <c r="S196">
        <v>5</v>
      </c>
      <c r="T196">
        <v>0</v>
      </c>
      <c r="U196">
        <v>0</v>
      </c>
      <c r="V196">
        <v>5</v>
      </c>
      <c r="W196" s="4">
        <v>25</v>
      </c>
      <c r="X196" s="4">
        <v>0</v>
      </c>
      <c r="Y196">
        <v>0</v>
      </c>
      <c r="Z196">
        <v>0</v>
      </c>
      <c r="AA196" s="4">
        <v>-22.5</v>
      </c>
      <c r="AB196" s="4">
        <v>25</v>
      </c>
      <c r="AC196" s="4">
        <v>0</v>
      </c>
      <c r="AD196" s="4">
        <v>0</v>
      </c>
      <c r="AE196" s="4">
        <v>0</v>
      </c>
      <c r="AF196" s="4">
        <v>25</v>
      </c>
      <c r="AG196" s="4">
        <v>25</v>
      </c>
      <c r="AH196" s="4">
        <v>25</v>
      </c>
      <c r="AI196" s="4">
        <v>0</v>
      </c>
      <c r="AJ196" s="4">
        <v>0</v>
      </c>
      <c r="AK196" s="4">
        <v>0</v>
      </c>
      <c r="AL196" s="4">
        <v>0</v>
      </c>
      <c r="AM196">
        <v>37</v>
      </c>
      <c r="AN196">
        <v>0</v>
      </c>
      <c r="AO196">
        <v>17</v>
      </c>
      <c r="AP196">
        <v>20</v>
      </c>
      <c r="AQ196">
        <v>5</v>
      </c>
      <c r="AR196">
        <v>0</v>
      </c>
      <c r="AS196">
        <v>2.5</v>
      </c>
      <c r="AT196">
        <v>2.5</v>
      </c>
      <c r="AU196">
        <v>0</v>
      </c>
      <c r="AV196">
        <v>0</v>
      </c>
      <c r="AW196">
        <v>0</v>
      </c>
      <c r="AX196">
        <v>0</v>
      </c>
      <c r="AY196">
        <v>0</v>
      </c>
    </row>
    <row r="197" spans="1:51">
      <c r="A197" t="s">
        <v>16974</v>
      </c>
      <c r="B197" t="s">
        <v>17109</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s="4">
        <v>0</v>
      </c>
      <c r="X197" s="4">
        <v>0</v>
      </c>
      <c r="Y197">
        <v>0</v>
      </c>
      <c r="Z197">
        <v>0</v>
      </c>
      <c r="AA197" s="4">
        <v>0</v>
      </c>
      <c r="AB197" s="4">
        <v>0</v>
      </c>
      <c r="AC197" s="4">
        <v>0</v>
      </c>
      <c r="AD197" s="4">
        <v>0</v>
      </c>
      <c r="AE197" s="4">
        <v>0</v>
      </c>
      <c r="AF197" s="4">
        <v>0</v>
      </c>
      <c r="AG197" s="4">
        <v>0</v>
      </c>
      <c r="AH197" s="4">
        <v>0</v>
      </c>
      <c r="AI197" s="4">
        <v>0</v>
      </c>
      <c r="AJ197" s="4">
        <v>0</v>
      </c>
      <c r="AK197" s="4">
        <v>0</v>
      </c>
      <c r="AL197" s="4">
        <v>0</v>
      </c>
      <c r="AM197">
        <v>0</v>
      </c>
      <c r="AN197">
        <v>0</v>
      </c>
      <c r="AO197">
        <v>0</v>
      </c>
      <c r="AP197">
        <v>0</v>
      </c>
      <c r="AQ197">
        <v>0</v>
      </c>
      <c r="AR197">
        <v>0</v>
      </c>
      <c r="AS197">
        <v>0</v>
      </c>
      <c r="AT197">
        <v>0</v>
      </c>
      <c r="AU197">
        <v>0</v>
      </c>
      <c r="AV197">
        <v>0</v>
      </c>
      <c r="AW197">
        <v>0</v>
      </c>
      <c r="AX197">
        <v>0</v>
      </c>
      <c r="AY197">
        <v>0</v>
      </c>
    </row>
    <row r="198" spans="1:51">
      <c r="A198" t="s">
        <v>16974</v>
      </c>
      <c r="B198" t="s">
        <v>17312</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s="4">
        <v>0</v>
      </c>
      <c r="X198" s="4">
        <v>0</v>
      </c>
      <c r="Y198">
        <v>0</v>
      </c>
      <c r="Z198">
        <v>0</v>
      </c>
      <c r="AA198" s="4">
        <v>0</v>
      </c>
      <c r="AB198" s="4">
        <v>0</v>
      </c>
      <c r="AC198" s="4">
        <v>0</v>
      </c>
      <c r="AD198" s="4">
        <v>0</v>
      </c>
      <c r="AE198" s="4">
        <v>0</v>
      </c>
      <c r="AF198" s="4">
        <v>0</v>
      </c>
      <c r="AG198" s="4">
        <v>0</v>
      </c>
      <c r="AH198" s="4">
        <v>0</v>
      </c>
      <c r="AI198" s="4">
        <v>0</v>
      </c>
      <c r="AJ198" s="4">
        <v>0</v>
      </c>
      <c r="AK198" s="4">
        <v>0</v>
      </c>
      <c r="AL198" s="4">
        <v>0</v>
      </c>
      <c r="AM198">
        <v>0</v>
      </c>
      <c r="AN198">
        <v>0</v>
      </c>
      <c r="AO198">
        <v>0</v>
      </c>
      <c r="AP198">
        <v>0</v>
      </c>
      <c r="AQ198">
        <v>0</v>
      </c>
      <c r="AR198">
        <v>0</v>
      </c>
      <c r="AS198">
        <v>0</v>
      </c>
      <c r="AT198">
        <v>0</v>
      </c>
      <c r="AU198">
        <v>0</v>
      </c>
      <c r="AV198">
        <v>0</v>
      </c>
      <c r="AW198">
        <v>0</v>
      </c>
      <c r="AX198">
        <v>0</v>
      </c>
      <c r="AY198">
        <v>0</v>
      </c>
    </row>
    <row r="199" spans="1:51">
      <c r="A199" t="s">
        <v>16974</v>
      </c>
      <c r="B199" t="s">
        <v>17110</v>
      </c>
      <c r="C199">
        <v>0</v>
      </c>
      <c r="D199">
        <v>5</v>
      </c>
      <c r="E199">
        <v>5</v>
      </c>
      <c r="F199">
        <v>5</v>
      </c>
      <c r="G199">
        <v>0</v>
      </c>
      <c r="H199">
        <v>0</v>
      </c>
      <c r="I199">
        <v>0</v>
      </c>
      <c r="J199">
        <v>5</v>
      </c>
      <c r="K199">
        <v>6</v>
      </c>
      <c r="L199">
        <v>5</v>
      </c>
      <c r="M199">
        <v>0</v>
      </c>
      <c r="N199">
        <v>0</v>
      </c>
      <c r="O199">
        <v>0</v>
      </c>
      <c r="P199">
        <v>0</v>
      </c>
      <c r="Q199">
        <v>0</v>
      </c>
      <c r="R199">
        <v>0</v>
      </c>
      <c r="S199">
        <v>1.75</v>
      </c>
      <c r="T199">
        <v>1</v>
      </c>
      <c r="U199">
        <v>0</v>
      </c>
      <c r="V199">
        <v>2.75</v>
      </c>
      <c r="W199" s="4">
        <v>37.5</v>
      </c>
      <c r="X199" s="4">
        <v>0</v>
      </c>
      <c r="Y199">
        <v>5</v>
      </c>
      <c r="Z199">
        <v>0</v>
      </c>
      <c r="AA199" s="4">
        <v>0</v>
      </c>
      <c r="AB199" s="4">
        <v>0</v>
      </c>
      <c r="AC199" s="4">
        <v>0</v>
      </c>
      <c r="AD199" s="4">
        <v>0</v>
      </c>
      <c r="AE199" s="4">
        <v>0</v>
      </c>
      <c r="AF199" s="4">
        <v>0</v>
      </c>
      <c r="AG199" s="4">
        <v>37.5</v>
      </c>
      <c r="AH199" s="4">
        <v>37.5</v>
      </c>
      <c r="AI199" s="4">
        <v>0</v>
      </c>
      <c r="AJ199" s="4">
        <v>0</v>
      </c>
      <c r="AK199" s="4">
        <v>0</v>
      </c>
      <c r="AL199" s="4">
        <v>0</v>
      </c>
      <c r="AM199">
        <v>6</v>
      </c>
      <c r="AN199">
        <v>0</v>
      </c>
      <c r="AO199">
        <v>6</v>
      </c>
      <c r="AP199">
        <v>0</v>
      </c>
      <c r="AQ199">
        <v>1.75</v>
      </c>
      <c r="AR199">
        <v>0</v>
      </c>
      <c r="AS199">
        <v>1.75</v>
      </c>
      <c r="AT199">
        <v>0</v>
      </c>
      <c r="AU199">
        <v>1</v>
      </c>
      <c r="AV199">
        <v>0</v>
      </c>
      <c r="AW199">
        <v>1</v>
      </c>
      <c r="AX199">
        <v>0</v>
      </c>
      <c r="AY199">
        <v>0</v>
      </c>
    </row>
    <row r="200" spans="1:51">
      <c r="A200" t="s">
        <v>16974</v>
      </c>
      <c r="B200" t="s">
        <v>17111</v>
      </c>
      <c r="C200">
        <v>0</v>
      </c>
      <c r="D200">
        <v>19</v>
      </c>
      <c r="E200">
        <v>0</v>
      </c>
      <c r="F200">
        <v>0</v>
      </c>
      <c r="G200">
        <v>0</v>
      </c>
      <c r="H200">
        <v>1</v>
      </c>
      <c r="I200">
        <v>0</v>
      </c>
      <c r="J200">
        <v>19</v>
      </c>
      <c r="K200">
        <v>129</v>
      </c>
      <c r="L200">
        <v>12</v>
      </c>
      <c r="M200">
        <v>0</v>
      </c>
      <c r="N200">
        <v>1</v>
      </c>
      <c r="O200">
        <v>6</v>
      </c>
      <c r="P200">
        <v>0</v>
      </c>
      <c r="Q200">
        <v>0</v>
      </c>
      <c r="R200">
        <v>0</v>
      </c>
      <c r="S200">
        <v>6.25</v>
      </c>
      <c r="T200">
        <v>0</v>
      </c>
      <c r="U200">
        <v>0</v>
      </c>
      <c r="V200">
        <v>6.25</v>
      </c>
      <c r="W200" s="4">
        <v>62.5</v>
      </c>
      <c r="X200" s="4">
        <v>0</v>
      </c>
      <c r="Y200">
        <v>13</v>
      </c>
      <c r="Z200">
        <v>0</v>
      </c>
      <c r="AA200" s="4">
        <v>0</v>
      </c>
      <c r="AB200" s="4">
        <v>0</v>
      </c>
      <c r="AC200" s="4">
        <v>63.5</v>
      </c>
      <c r="AD200" s="4">
        <v>22</v>
      </c>
      <c r="AE200" s="4">
        <v>15.5</v>
      </c>
      <c r="AF200" s="4">
        <v>21.5</v>
      </c>
      <c r="AG200" s="4">
        <v>126</v>
      </c>
      <c r="AH200" s="4">
        <v>110.5</v>
      </c>
      <c r="AI200" s="4">
        <v>13</v>
      </c>
      <c r="AJ200" s="4">
        <v>13</v>
      </c>
      <c r="AK200" s="4">
        <v>77</v>
      </c>
      <c r="AL200" s="4">
        <v>64</v>
      </c>
      <c r="AM200">
        <v>129</v>
      </c>
      <c r="AN200">
        <v>27</v>
      </c>
      <c r="AO200">
        <v>102</v>
      </c>
      <c r="AP200">
        <v>0</v>
      </c>
      <c r="AQ200">
        <v>6.25</v>
      </c>
      <c r="AR200">
        <v>2.5</v>
      </c>
      <c r="AS200">
        <v>3.75</v>
      </c>
      <c r="AT200">
        <v>0</v>
      </c>
      <c r="AU200">
        <v>0</v>
      </c>
      <c r="AV200">
        <v>0</v>
      </c>
      <c r="AW200">
        <v>0</v>
      </c>
      <c r="AX200">
        <v>0</v>
      </c>
      <c r="AY200">
        <v>0</v>
      </c>
    </row>
    <row r="201" spans="1:51">
      <c r="A201" t="s">
        <v>16974</v>
      </c>
      <c r="B201" t="s">
        <v>17386</v>
      </c>
      <c r="C201">
        <v>3</v>
      </c>
      <c r="D201">
        <v>3</v>
      </c>
      <c r="E201">
        <v>3</v>
      </c>
      <c r="F201">
        <v>3</v>
      </c>
      <c r="G201">
        <v>2</v>
      </c>
      <c r="H201">
        <v>0</v>
      </c>
      <c r="I201">
        <v>0</v>
      </c>
      <c r="J201">
        <v>3</v>
      </c>
      <c r="K201">
        <v>32</v>
      </c>
      <c r="L201">
        <v>3</v>
      </c>
      <c r="M201">
        <v>0</v>
      </c>
      <c r="N201">
        <v>0</v>
      </c>
      <c r="O201">
        <v>0</v>
      </c>
      <c r="P201">
        <v>0</v>
      </c>
      <c r="Q201">
        <v>0</v>
      </c>
      <c r="R201">
        <v>0</v>
      </c>
      <c r="S201">
        <v>0</v>
      </c>
      <c r="T201">
        <v>0</v>
      </c>
      <c r="U201">
        <v>0</v>
      </c>
      <c r="V201">
        <v>0</v>
      </c>
      <c r="W201" s="4">
        <v>0</v>
      </c>
      <c r="X201" s="4">
        <v>0</v>
      </c>
      <c r="Y201">
        <v>0</v>
      </c>
      <c r="Z201">
        <v>0</v>
      </c>
      <c r="AA201" s="4">
        <v>0</v>
      </c>
      <c r="AB201" s="4">
        <v>0</v>
      </c>
      <c r="AC201" s="4">
        <v>0</v>
      </c>
      <c r="AD201" s="4">
        <v>0</v>
      </c>
      <c r="AE201" s="4">
        <v>0</v>
      </c>
      <c r="AF201" s="4">
        <v>0</v>
      </c>
      <c r="AG201" s="4">
        <v>0</v>
      </c>
      <c r="AH201" s="4">
        <v>0</v>
      </c>
      <c r="AI201" s="4">
        <v>0</v>
      </c>
      <c r="AJ201" s="4">
        <v>0</v>
      </c>
      <c r="AK201" s="4">
        <v>0</v>
      </c>
      <c r="AL201" s="4">
        <v>0</v>
      </c>
      <c r="AM201">
        <v>32</v>
      </c>
      <c r="AN201">
        <v>0</v>
      </c>
      <c r="AO201">
        <v>0</v>
      </c>
      <c r="AP201">
        <v>32</v>
      </c>
      <c r="AQ201">
        <v>0</v>
      </c>
      <c r="AR201">
        <v>0</v>
      </c>
      <c r="AS201">
        <v>0</v>
      </c>
      <c r="AT201">
        <v>0</v>
      </c>
      <c r="AU201">
        <v>0</v>
      </c>
      <c r="AV201">
        <v>0</v>
      </c>
      <c r="AW201">
        <v>0</v>
      </c>
      <c r="AX201">
        <v>0</v>
      </c>
      <c r="AY201">
        <v>80000</v>
      </c>
    </row>
    <row r="202" spans="1:51">
      <c r="A202" t="s">
        <v>16974</v>
      </c>
      <c r="B202" t="s">
        <v>17309</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s="4">
        <v>0</v>
      </c>
      <c r="X202" s="4">
        <v>0</v>
      </c>
      <c r="Y202">
        <v>0</v>
      </c>
      <c r="Z202">
        <v>0</v>
      </c>
      <c r="AA202" s="4">
        <v>0</v>
      </c>
      <c r="AB202" s="4">
        <v>0</v>
      </c>
      <c r="AC202" s="4">
        <v>0</v>
      </c>
      <c r="AD202" s="4">
        <v>0</v>
      </c>
      <c r="AE202" s="4">
        <v>0</v>
      </c>
      <c r="AF202" s="4">
        <v>0</v>
      </c>
      <c r="AG202" s="4">
        <v>0</v>
      </c>
      <c r="AH202" s="4">
        <v>0</v>
      </c>
      <c r="AI202" s="4">
        <v>0</v>
      </c>
      <c r="AJ202" s="4">
        <v>0</v>
      </c>
      <c r="AK202" s="4">
        <v>0</v>
      </c>
      <c r="AL202" s="4">
        <v>0</v>
      </c>
      <c r="AM202">
        <v>0</v>
      </c>
      <c r="AN202">
        <v>0</v>
      </c>
      <c r="AO202">
        <v>0</v>
      </c>
      <c r="AP202">
        <v>0</v>
      </c>
      <c r="AQ202">
        <v>0</v>
      </c>
      <c r="AR202">
        <v>0</v>
      </c>
      <c r="AS202">
        <v>0</v>
      </c>
      <c r="AT202">
        <v>0</v>
      </c>
      <c r="AU202">
        <v>0</v>
      </c>
      <c r="AV202">
        <v>0</v>
      </c>
      <c r="AW202">
        <v>0</v>
      </c>
      <c r="AX202">
        <v>0</v>
      </c>
      <c r="AY202">
        <v>0</v>
      </c>
    </row>
    <row r="203" spans="1:51">
      <c r="A203" t="s">
        <v>16974</v>
      </c>
      <c r="B203" t="s">
        <v>17321</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s="4">
        <v>0</v>
      </c>
      <c r="X203" s="4">
        <v>0</v>
      </c>
      <c r="Y203">
        <v>0</v>
      </c>
      <c r="Z203">
        <v>0</v>
      </c>
      <c r="AA203" s="4">
        <v>0</v>
      </c>
      <c r="AB203" s="4">
        <v>0</v>
      </c>
      <c r="AC203" s="4">
        <v>0</v>
      </c>
      <c r="AD203" s="4">
        <v>0</v>
      </c>
      <c r="AE203" s="4">
        <v>0</v>
      </c>
      <c r="AF203" s="4">
        <v>0</v>
      </c>
      <c r="AG203" s="4">
        <v>0</v>
      </c>
      <c r="AH203" s="4">
        <v>0</v>
      </c>
      <c r="AI203" s="4">
        <v>0</v>
      </c>
      <c r="AJ203" s="4">
        <v>0</v>
      </c>
      <c r="AK203" s="4">
        <v>0</v>
      </c>
      <c r="AL203" s="4">
        <v>0</v>
      </c>
      <c r="AM203">
        <v>0</v>
      </c>
      <c r="AN203">
        <v>0</v>
      </c>
      <c r="AO203">
        <v>0</v>
      </c>
      <c r="AP203">
        <v>0</v>
      </c>
      <c r="AQ203">
        <v>0</v>
      </c>
      <c r="AR203">
        <v>0</v>
      </c>
      <c r="AS203">
        <v>0</v>
      </c>
      <c r="AT203">
        <v>0</v>
      </c>
      <c r="AU203">
        <v>0</v>
      </c>
      <c r="AV203">
        <v>0</v>
      </c>
      <c r="AW203">
        <v>0</v>
      </c>
      <c r="AX203">
        <v>0</v>
      </c>
      <c r="AY203">
        <v>0</v>
      </c>
    </row>
    <row r="204" spans="1:51">
      <c r="A204" t="s">
        <v>16974</v>
      </c>
      <c r="B204" t="s">
        <v>17311</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s="4">
        <v>0</v>
      </c>
      <c r="X204" s="4">
        <v>0</v>
      </c>
      <c r="Y204">
        <v>0</v>
      </c>
      <c r="Z204">
        <v>0</v>
      </c>
      <c r="AA204" s="4">
        <v>0</v>
      </c>
      <c r="AB204" s="4">
        <v>0</v>
      </c>
      <c r="AC204" s="4">
        <v>0</v>
      </c>
      <c r="AD204" s="4">
        <v>0</v>
      </c>
      <c r="AE204" s="4">
        <v>0</v>
      </c>
      <c r="AF204" s="4">
        <v>0</v>
      </c>
      <c r="AG204" s="4">
        <v>0</v>
      </c>
      <c r="AH204" s="4">
        <v>0</v>
      </c>
      <c r="AI204" s="4">
        <v>0</v>
      </c>
      <c r="AJ204" s="4">
        <v>0</v>
      </c>
      <c r="AK204" s="4">
        <v>0</v>
      </c>
      <c r="AL204" s="4">
        <v>0</v>
      </c>
      <c r="AM204">
        <v>0</v>
      </c>
      <c r="AN204">
        <v>0</v>
      </c>
      <c r="AO204">
        <v>0</v>
      </c>
      <c r="AP204">
        <v>0</v>
      </c>
      <c r="AQ204">
        <v>0</v>
      </c>
      <c r="AR204">
        <v>0</v>
      </c>
      <c r="AS204">
        <v>0</v>
      </c>
      <c r="AT204">
        <v>0</v>
      </c>
      <c r="AU204">
        <v>0</v>
      </c>
      <c r="AV204">
        <v>0</v>
      </c>
      <c r="AW204">
        <v>0</v>
      </c>
      <c r="AX204">
        <v>0</v>
      </c>
      <c r="AY204">
        <v>0</v>
      </c>
    </row>
    <row r="205" spans="1:51">
      <c r="A205" t="s">
        <v>16974</v>
      </c>
      <c r="B205" t="s">
        <v>17119</v>
      </c>
      <c r="C205">
        <v>0</v>
      </c>
      <c r="D205">
        <v>1</v>
      </c>
      <c r="E205">
        <v>0</v>
      </c>
      <c r="F205">
        <v>1</v>
      </c>
      <c r="G205">
        <v>0</v>
      </c>
      <c r="H205">
        <v>0</v>
      </c>
      <c r="I205">
        <v>0</v>
      </c>
      <c r="J205">
        <v>1</v>
      </c>
      <c r="K205">
        <v>8</v>
      </c>
      <c r="L205">
        <v>1</v>
      </c>
      <c r="M205">
        <v>0</v>
      </c>
      <c r="N205">
        <v>0</v>
      </c>
      <c r="O205">
        <v>0</v>
      </c>
      <c r="P205">
        <v>0</v>
      </c>
      <c r="Q205">
        <v>0</v>
      </c>
      <c r="R205">
        <v>0</v>
      </c>
      <c r="S205">
        <v>0.25</v>
      </c>
      <c r="T205">
        <v>0</v>
      </c>
      <c r="U205">
        <v>0</v>
      </c>
      <c r="V205">
        <v>0.25</v>
      </c>
      <c r="W205" s="4">
        <v>2.5</v>
      </c>
      <c r="X205" s="4">
        <v>0</v>
      </c>
      <c r="Y205">
        <v>1</v>
      </c>
      <c r="Z205">
        <v>0</v>
      </c>
      <c r="AA205" s="4">
        <v>0</v>
      </c>
      <c r="AB205" s="4">
        <v>0</v>
      </c>
      <c r="AC205" s="4">
        <v>6.35</v>
      </c>
      <c r="AD205" s="4">
        <v>6.35</v>
      </c>
      <c r="AE205" s="4">
        <v>0</v>
      </c>
      <c r="AF205" s="4">
        <v>6.35</v>
      </c>
      <c r="AG205" s="4">
        <v>8.85</v>
      </c>
      <c r="AH205" s="4">
        <v>8.85</v>
      </c>
      <c r="AI205" s="4">
        <v>0</v>
      </c>
      <c r="AJ205" s="4">
        <v>0</v>
      </c>
      <c r="AK205" s="4">
        <v>0</v>
      </c>
      <c r="AL205" s="4">
        <v>0</v>
      </c>
      <c r="AM205">
        <v>8</v>
      </c>
      <c r="AN205">
        <v>0</v>
      </c>
      <c r="AO205">
        <v>8</v>
      </c>
      <c r="AP205">
        <v>0</v>
      </c>
      <c r="AQ205">
        <v>0.25</v>
      </c>
      <c r="AR205">
        <v>0</v>
      </c>
      <c r="AS205">
        <v>0.25</v>
      </c>
      <c r="AT205">
        <v>0</v>
      </c>
      <c r="AU205">
        <v>0</v>
      </c>
      <c r="AV205">
        <v>0</v>
      </c>
      <c r="AW205">
        <v>0</v>
      </c>
      <c r="AX205">
        <v>0</v>
      </c>
      <c r="AY205">
        <v>1</v>
      </c>
    </row>
    <row r="206" spans="1:51">
      <c r="A206" t="s">
        <v>16974</v>
      </c>
      <c r="B206" t="s">
        <v>17096</v>
      </c>
      <c r="C206">
        <v>0</v>
      </c>
      <c r="D206">
        <v>1</v>
      </c>
      <c r="E206">
        <v>1</v>
      </c>
      <c r="F206">
        <v>1</v>
      </c>
      <c r="G206">
        <v>0</v>
      </c>
      <c r="H206">
        <v>1</v>
      </c>
      <c r="I206">
        <v>1</v>
      </c>
      <c r="J206">
        <v>1</v>
      </c>
      <c r="K206">
        <v>20</v>
      </c>
      <c r="L206">
        <v>1</v>
      </c>
      <c r="M206">
        <v>0</v>
      </c>
      <c r="N206">
        <v>0</v>
      </c>
      <c r="O206">
        <v>0</v>
      </c>
      <c r="P206">
        <v>0</v>
      </c>
      <c r="Q206">
        <v>0</v>
      </c>
      <c r="R206">
        <v>0</v>
      </c>
      <c r="S206">
        <v>2</v>
      </c>
      <c r="T206">
        <v>1</v>
      </c>
      <c r="U206">
        <v>1</v>
      </c>
      <c r="V206">
        <v>4</v>
      </c>
      <c r="W206" s="4">
        <v>40</v>
      </c>
      <c r="X206" s="4">
        <v>0</v>
      </c>
      <c r="Y206">
        <v>0</v>
      </c>
      <c r="Z206">
        <v>1</v>
      </c>
      <c r="AA206" s="4">
        <v>0</v>
      </c>
      <c r="AB206" s="4">
        <v>0</v>
      </c>
      <c r="AC206" s="4">
        <v>10</v>
      </c>
      <c r="AD206" s="4">
        <v>0</v>
      </c>
      <c r="AE206" s="4">
        <v>0</v>
      </c>
      <c r="AF206" s="4">
        <v>0</v>
      </c>
      <c r="AG206" s="4">
        <v>70</v>
      </c>
      <c r="AH206" s="4">
        <v>70</v>
      </c>
      <c r="AI206" s="4">
        <v>0</v>
      </c>
      <c r="AJ206" s="4">
        <v>0</v>
      </c>
      <c r="AK206" s="4">
        <v>70</v>
      </c>
      <c r="AL206" s="4">
        <v>70</v>
      </c>
      <c r="AM206">
        <v>20</v>
      </c>
      <c r="AN206">
        <v>20</v>
      </c>
      <c r="AO206">
        <v>0</v>
      </c>
      <c r="AP206">
        <v>0</v>
      </c>
      <c r="AQ206">
        <v>2</v>
      </c>
      <c r="AR206">
        <v>2</v>
      </c>
      <c r="AS206">
        <v>0</v>
      </c>
      <c r="AT206">
        <v>0</v>
      </c>
      <c r="AU206">
        <v>1</v>
      </c>
      <c r="AV206">
        <v>1</v>
      </c>
      <c r="AW206">
        <v>0</v>
      </c>
      <c r="AX206">
        <v>0</v>
      </c>
      <c r="AY206">
        <v>5700</v>
      </c>
    </row>
    <row r="207" spans="1:51">
      <c r="A207" t="s">
        <v>16974</v>
      </c>
      <c r="B207" t="s">
        <v>17120</v>
      </c>
      <c r="C207">
        <v>0</v>
      </c>
      <c r="D207">
        <v>3</v>
      </c>
      <c r="E207">
        <v>3</v>
      </c>
      <c r="F207">
        <v>3</v>
      </c>
      <c r="G207">
        <v>0</v>
      </c>
      <c r="H207">
        <v>1</v>
      </c>
      <c r="I207">
        <v>0</v>
      </c>
      <c r="J207">
        <v>3</v>
      </c>
      <c r="K207">
        <v>52</v>
      </c>
      <c r="L207">
        <v>0</v>
      </c>
      <c r="M207">
        <v>1</v>
      </c>
      <c r="N207">
        <v>1</v>
      </c>
      <c r="O207">
        <v>1</v>
      </c>
      <c r="P207">
        <v>0</v>
      </c>
      <c r="Q207">
        <v>0</v>
      </c>
      <c r="R207">
        <v>0</v>
      </c>
      <c r="S207">
        <v>12</v>
      </c>
      <c r="T207">
        <v>4</v>
      </c>
      <c r="U207">
        <v>0</v>
      </c>
      <c r="V207">
        <v>16</v>
      </c>
      <c r="W207" s="4">
        <v>200</v>
      </c>
      <c r="X207" s="4">
        <v>0</v>
      </c>
      <c r="Y207">
        <v>1</v>
      </c>
      <c r="Z207">
        <v>0</v>
      </c>
      <c r="AA207" s="4">
        <v>0</v>
      </c>
      <c r="AB207" s="4">
        <v>170</v>
      </c>
      <c r="AC207" s="4">
        <v>0</v>
      </c>
      <c r="AD207" s="4">
        <v>0</v>
      </c>
      <c r="AE207" s="4">
        <v>0</v>
      </c>
      <c r="AF207" s="4">
        <v>170</v>
      </c>
      <c r="AG207" s="4">
        <v>200</v>
      </c>
      <c r="AH207" s="4">
        <v>200</v>
      </c>
      <c r="AI207" s="4">
        <v>0</v>
      </c>
      <c r="AJ207" s="4">
        <v>170</v>
      </c>
      <c r="AK207" s="4">
        <v>200</v>
      </c>
      <c r="AL207" s="4">
        <v>200</v>
      </c>
      <c r="AM207">
        <v>52</v>
      </c>
      <c r="AN207">
        <v>37</v>
      </c>
      <c r="AO207">
        <v>15</v>
      </c>
      <c r="AP207">
        <v>0</v>
      </c>
      <c r="AQ207">
        <v>12</v>
      </c>
      <c r="AR207">
        <v>12</v>
      </c>
      <c r="AS207">
        <v>0</v>
      </c>
      <c r="AT207">
        <v>0</v>
      </c>
      <c r="AU207">
        <v>4</v>
      </c>
      <c r="AV207">
        <v>4</v>
      </c>
      <c r="AW207">
        <v>0</v>
      </c>
      <c r="AX207">
        <v>0</v>
      </c>
      <c r="AY207">
        <v>240</v>
      </c>
    </row>
    <row r="208" spans="1:51">
      <c r="A208" t="s">
        <v>16974</v>
      </c>
      <c r="B208" t="s">
        <v>17336</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s="4">
        <v>0</v>
      </c>
      <c r="X208" s="4">
        <v>0</v>
      </c>
      <c r="Y208">
        <v>0</v>
      </c>
      <c r="Z208">
        <v>0</v>
      </c>
      <c r="AA208" s="4">
        <v>0</v>
      </c>
      <c r="AB208" s="4">
        <v>0</v>
      </c>
      <c r="AC208" s="4">
        <v>0</v>
      </c>
      <c r="AD208" s="4">
        <v>0</v>
      </c>
      <c r="AE208" s="4">
        <v>0</v>
      </c>
      <c r="AF208" s="4">
        <v>0</v>
      </c>
      <c r="AG208" s="4">
        <v>0</v>
      </c>
      <c r="AH208" s="4">
        <v>0</v>
      </c>
      <c r="AI208" s="4">
        <v>0</v>
      </c>
      <c r="AJ208" s="4">
        <v>0</v>
      </c>
      <c r="AK208" s="4">
        <v>0</v>
      </c>
      <c r="AL208" s="4">
        <v>0</v>
      </c>
      <c r="AM208">
        <v>0</v>
      </c>
      <c r="AN208">
        <v>0</v>
      </c>
      <c r="AO208">
        <v>0</v>
      </c>
      <c r="AP208">
        <v>0</v>
      </c>
      <c r="AQ208">
        <v>0</v>
      </c>
      <c r="AR208">
        <v>0</v>
      </c>
      <c r="AS208">
        <v>0</v>
      </c>
      <c r="AT208">
        <v>0</v>
      </c>
      <c r="AU208">
        <v>0</v>
      </c>
      <c r="AV208">
        <v>0</v>
      </c>
      <c r="AW208">
        <v>0</v>
      </c>
      <c r="AX208">
        <v>0</v>
      </c>
      <c r="AY208">
        <v>0</v>
      </c>
    </row>
    <row r="209" spans="1:51">
      <c r="A209" t="s">
        <v>16974</v>
      </c>
      <c r="B209" t="s">
        <v>17308</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s="4">
        <v>0</v>
      </c>
      <c r="X209" s="4">
        <v>0</v>
      </c>
      <c r="Y209">
        <v>0</v>
      </c>
      <c r="Z209">
        <v>0</v>
      </c>
      <c r="AA209" s="4">
        <v>0</v>
      </c>
      <c r="AB209" s="4">
        <v>0</v>
      </c>
      <c r="AC209" s="4">
        <v>0</v>
      </c>
      <c r="AD209" s="4">
        <v>0</v>
      </c>
      <c r="AE209" s="4">
        <v>0</v>
      </c>
      <c r="AF209" s="4">
        <v>0</v>
      </c>
      <c r="AG209" s="4">
        <v>0</v>
      </c>
      <c r="AH209" s="4">
        <v>0</v>
      </c>
      <c r="AI209" s="4">
        <v>0</v>
      </c>
      <c r="AJ209" s="4">
        <v>0</v>
      </c>
      <c r="AK209" s="4">
        <v>0</v>
      </c>
      <c r="AL209" s="4">
        <v>0</v>
      </c>
      <c r="AM209">
        <v>0</v>
      </c>
      <c r="AN209">
        <v>0</v>
      </c>
      <c r="AO209">
        <v>0</v>
      </c>
      <c r="AP209">
        <v>0</v>
      </c>
      <c r="AQ209">
        <v>0</v>
      </c>
      <c r="AR209">
        <v>0</v>
      </c>
      <c r="AS209">
        <v>0</v>
      </c>
      <c r="AT209">
        <v>0</v>
      </c>
      <c r="AU209">
        <v>0</v>
      </c>
      <c r="AV209">
        <v>0</v>
      </c>
      <c r="AW209">
        <v>0</v>
      </c>
      <c r="AX209">
        <v>0</v>
      </c>
      <c r="AY209">
        <v>25</v>
      </c>
    </row>
    <row r="210" spans="1:51">
      <c r="A210" t="s">
        <v>16974</v>
      </c>
      <c r="B210" t="s">
        <v>17121</v>
      </c>
      <c r="C210">
        <v>0</v>
      </c>
      <c r="D210">
        <v>1</v>
      </c>
      <c r="E210">
        <v>1</v>
      </c>
      <c r="F210">
        <v>1</v>
      </c>
      <c r="G210">
        <v>0</v>
      </c>
      <c r="H210">
        <v>0</v>
      </c>
      <c r="I210">
        <v>0</v>
      </c>
      <c r="J210">
        <v>1</v>
      </c>
      <c r="K210">
        <v>11</v>
      </c>
      <c r="L210">
        <v>1</v>
      </c>
      <c r="M210">
        <v>0</v>
      </c>
      <c r="N210">
        <v>0</v>
      </c>
      <c r="O210">
        <v>0</v>
      </c>
      <c r="P210">
        <v>0</v>
      </c>
      <c r="Q210">
        <v>0</v>
      </c>
      <c r="R210">
        <v>0</v>
      </c>
      <c r="S210">
        <v>0</v>
      </c>
      <c r="T210">
        <v>0</v>
      </c>
      <c r="U210">
        <v>0</v>
      </c>
      <c r="V210">
        <v>0</v>
      </c>
      <c r="W210" s="4">
        <v>0</v>
      </c>
      <c r="X210" s="4">
        <v>0</v>
      </c>
      <c r="Y210">
        <v>0</v>
      </c>
      <c r="Z210">
        <v>0</v>
      </c>
      <c r="AA210" s="4">
        <v>0</v>
      </c>
      <c r="AB210" s="4">
        <v>0</v>
      </c>
      <c r="AC210" s="4">
        <v>0</v>
      </c>
      <c r="AD210" s="4">
        <v>0</v>
      </c>
      <c r="AE210" s="4">
        <v>0</v>
      </c>
      <c r="AF210" s="4">
        <v>0</v>
      </c>
      <c r="AG210" s="4">
        <v>0</v>
      </c>
      <c r="AH210" s="4">
        <v>0</v>
      </c>
      <c r="AI210" s="4">
        <v>0</v>
      </c>
      <c r="AJ210" s="4">
        <v>0</v>
      </c>
      <c r="AK210" s="4">
        <v>0</v>
      </c>
      <c r="AL210" s="4">
        <v>0</v>
      </c>
      <c r="AM210">
        <v>11</v>
      </c>
      <c r="AN210">
        <v>0</v>
      </c>
      <c r="AO210">
        <v>11</v>
      </c>
      <c r="AP210">
        <v>0</v>
      </c>
      <c r="AQ210">
        <v>0</v>
      </c>
      <c r="AR210">
        <v>0</v>
      </c>
      <c r="AS210">
        <v>0</v>
      </c>
      <c r="AT210">
        <v>0</v>
      </c>
      <c r="AU210">
        <v>0</v>
      </c>
      <c r="AV210">
        <v>0</v>
      </c>
      <c r="AW210">
        <v>0</v>
      </c>
      <c r="AX210">
        <v>0</v>
      </c>
      <c r="AY210">
        <v>45</v>
      </c>
    </row>
    <row r="211" spans="1:51">
      <c r="A211" t="s">
        <v>16974</v>
      </c>
      <c r="B211" t="s">
        <v>17122</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s="4">
        <v>0</v>
      </c>
      <c r="X211" s="4">
        <v>0</v>
      </c>
      <c r="Y211">
        <v>0</v>
      </c>
      <c r="Z211">
        <v>0</v>
      </c>
      <c r="AA211" s="4">
        <v>0</v>
      </c>
      <c r="AB211" s="4">
        <v>0</v>
      </c>
      <c r="AC211" s="4">
        <v>0</v>
      </c>
      <c r="AD211" s="4">
        <v>0</v>
      </c>
      <c r="AE211" s="4">
        <v>0</v>
      </c>
      <c r="AF211" s="4">
        <v>0</v>
      </c>
      <c r="AG211" s="4">
        <v>0</v>
      </c>
      <c r="AH211" s="4">
        <v>0</v>
      </c>
      <c r="AI211" s="4">
        <v>0</v>
      </c>
      <c r="AJ211" s="4">
        <v>0</v>
      </c>
      <c r="AK211" s="4">
        <v>0</v>
      </c>
      <c r="AL211" s="4">
        <v>0</v>
      </c>
      <c r="AM211">
        <v>0</v>
      </c>
      <c r="AN211">
        <v>0</v>
      </c>
      <c r="AO211">
        <v>0</v>
      </c>
      <c r="AP211">
        <v>0</v>
      </c>
      <c r="AQ211">
        <v>0</v>
      </c>
      <c r="AR211">
        <v>0</v>
      </c>
      <c r="AS211">
        <v>0</v>
      </c>
      <c r="AT211">
        <v>0</v>
      </c>
      <c r="AU211">
        <v>0</v>
      </c>
      <c r="AV211">
        <v>0</v>
      </c>
      <c r="AW211">
        <v>0</v>
      </c>
      <c r="AX211">
        <v>0</v>
      </c>
      <c r="AY211">
        <v>0</v>
      </c>
    </row>
    <row r="212" spans="1:51">
      <c r="A212" t="s">
        <v>16974</v>
      </c>
      <c r="B212" t="s">
        <v>17126</v>
      </c>
      <c r="C212">
        <v>0</v>
      </c>
      <c r="D212">
        <v>1</v>
      </c>
      <c r="E212">
        <v>1</v>
      </c>
      <c r="F212">
        <v>0</v>
      </c>
      <c r="G212">
        <v>0</v>
      </c>
      <c r="H212">
        <v>1</v>
      </c>
      <c r="I212">
        <v>0</v>
      </c>
      <c r="J212">
        <v>1</v>
      </c>
      <c r="K212">
        <v>14</v>
      </c>
      <c r="L212">
        <v>1</v>
      </c>
      <c r="M212">
        <v>0</v>
      </c>
      <c r="N212">
        <v>0</v>
      </c>
      <c r="O212">
        <v>0</v>
      </c>
      <c r="P212">
        <v>0</v>
      </c>
      <c r="Q212">
        <v>0</v>
      </c>
      <c r="R212">
        <v>0</v>
      </c>
      <c r="S212">
        <v>8</v>
      </c>
      <c r="T212">
        <v>8</v>
      </c>
      <c r="U212">
        <v>0</v>
      </c>
      <c r="V212">
        <v>16</v>
      </c>
      <c r="W212" s="4">
        <v>240</v>
      </c>
      <c r="X212" s="4">
        <v>0</v>
      </c>
      <c r="Y212">
        <v>0</v>
      </c>
      <c r="Z212">
        <v>0</v>
      </c>
      <c r="AA212" s="4">
        <v>0</v>
      </c>
      <c r="AB212" s="4">
        <v>270</v>
      </c>
      <c r="AC212" s="4">
        <v>247.5</v>
      </c>
      <c r="AD212" s="4">
        <v>37.5</v>
      </c>
      <c r="AE212" s="4">
        <v>247.5</v>
      </c>
      <c r="AF212" s="4">
        <v>307.5</v>
      </c>
      <c r="AG212" s="4">
        <v>487.5</v>
      </c>
      <c r="AH212" s="4">
        <v>240</v>
      </c>
      <c r="AI212" s="4">
        <v>247.5</v>
      </c>
      <c r="AJ212" s="4">
        <v>307.5</v>
      </c>
      <c r="AK212" s="4">
        <v>487.5</v>
      </c>
      <c r="AL212" s="4">
        <v>240</v>
      </c>
      <c r="AM212">
        <v>14</v>
      </c>
      <c r="AN212">
        <v>14</v>
      </c>
      <c r="AO212">
        <v>0</v>
      </c>
      <c r="AP212">
        <v>0</v>
      </c>
      <c r="AQ212">
        <v>8</v>
      </c>
      <c r="AR212">
        <v>8</v>
      </c>
      <c r="AS212">
        <v>0</v>
      </c>
      <c r="AT212">
        <v>0</v>
      </c>
      <c r="AU212">
        <v>8</v>
      </c>
      <c r="AV212">
        <v>8</v>
      </c>
      <c r="AW212">
        <v>0</v>
      </c>
      <c r="AX212">
        <v>0</v>
      </c>
    </row>
    <row r="213" spans="1:51">
      <c r="A213" t="s">
        <v>16974</v>
      </c>
      <c r="B213" t="s">
        <v>17127</v>
      </c>
      <c r="C213">
        <v>0</v>
      </c>
      <c r="D213">
        <v>80</v>
      </c>
      <c r="E213">
        <v>0</v>
      </c>
      <c r="F213">
        <v>71</v>
      </c>
      <c r="G213">
        <v>0</v>
      </c>
      <c r="H213">
        <v>0</v>
      </c>
      <c r="I213">
        <v>0</v>
      </c>
      <c r="J213">
        <v>80</v>
      </c>
      <c r="K213">
        <v>562</v>
      </c>
      <c r="L213">
        <v>80</v>
      </c>
      <c r="M213">
        <v>0</v>
      </c>
      <c r="N213">
        <v>0</v>
      </c>
      <c r="O213">
        <v>0</v>
      </c>
      <c r="P213">
        <v>0</v>
      </c>
      <c r="Q213">
        <v>0</v>
      </c>
      <c r="R213">
        <v>0</v>
      </c>
      <c r="S213">
        <v>31.5</v>
      </c>
      <c r="T213">
        <v>15.25</v>
      </c>
      <c r="U213">
        <v>0</v>
      </c>
      <c r="V213">
        <v>46.75</v>
      </c>
      <c r="W213" s="4">
        <v>620</v>
      </c>
      <c r="X213" s="4">
        <v>0</v>
      </c>
      <c r="Y213">
        <v>52</v>
      </c>
      <c r="Z213">
        <v>1</v>
      </c>
      <c r="AA213" s="4">
        <v>0</v>
      </c>
      <c r="AB213" s="4">
        <v>150</v>
      </c>
      <c r="AC213" s="4">
        <v>83.65</v>
      </c>
      <c r="AD213" s="4">
        <v>83.65</v>
      </c>
      <c r="AE213" s="4">
        <v>233.65</v>
      </c>
      <c r="AF213" s="4">
        <v>233.65</v>
      </c>
      <c r="AG213" s="4">
        <v>703.65</v>
      </c>
      <c r="AH213" s="4">
        <v>470</v>
      </c>
      <c r="AI213" s="4">
        <v>0</v>
      </c>
      <c r="AJ213" s="4">
        <v>0</v>
      </c>
      <c r="AK213" s="4">
        <v>0</v>
      </c>
      <c r="AL213" s="4">
        <v>0</v>
      </c>
      <c r="AM213">
        <v>562</v>
      </c>
      <c r="AN213">
        <v>0</v>
      </c>
      <c r="AO213">
        <v>562</v>
      </c>
      <c r="AP213">
        <v>0</v>
      </c>
      <c r="AQ213">
        <v>31.5</v>
      </c>
      <c r="AR213">
        <v>0</v>
      </c>
      <c r="AS213">
        <v>31.5</v>
      </c>
      <c r="AT213">
        <v>0</v>
      </c>
      <c r="AU213">
        <v>15.25</v>
      </c>
      <c r="AV213">
        <v>0</v>
      </c>
      <c r="AW213">
        <v>15.25</v>
      </c>
      <c r="AX213">
        <v>0</v>
      </c>
      <c r="AY213">
        <v>75</v>
      </c>
    </row>
    <row r="214" spans="1:51">
      <c r="A214" t="s">
        <v>16974</v>
      </c>
      <c r="B214" t="s">
        <v>17128</v>
      </c>
      <c r="C214">
        <v>0</v>
      </c>
      <c r="D214">
        <v>93</v>
      </c>
      <c r="E214">
        <v>93</v>
      </c>
      <c r="F214">
        <v>87</v>
      </c>
      <c r="G214">
        <v>0</v>
      </c>
      <c r="H214">
        <v>0</v>
      </c>
      <c r="I214">
        <v>0</v>
      </c>
      <c r="J214">
        <v>93</v>
      </c>
      <c r="K214">
        <v>614</v>
      </c>
      <c r="L214">
        <v>93</v>
      </c>
      <c r="M214">
        <v>0</v>
      </c>
      <c r="N214">
        <v>0</v>
      </c>
      <c r="O214">
        <v>0</v>
      </c>
      <c r="P214">
        <v>0</v>
      </c>
      <c r="Q214">
        <v>0</v>
      </c>
      <c r="R214">
        <v>0</v>
      </c>
      <c r="S214">
        <v>40</v>
      </c>
      <c r="T214">
        <v>1.5</v>
      </c>
      <c r="U214">
        <v>0</v>
      </c>
      <c r="V214">
        <v>41.5</v>
      </c>
      <c r="W214" s="4">
        <v>430</v>
      </c>
      <c r="X214" s="4">
        <v>0</v>
      </c>
      <c r="Y214">
        <v>93</v>
      </c>
      <c r="Z214">
        <v>0</v>
      </c>
      <c r="AA214" s="4">
        <v>0</v>
      </c>
      <c r="AB214" s="4">
        <v>0</v>
      </c>
      <c r="AC214" s="4">
        <v>0</v>
      </c>
      <c r="AD214" s="4">
        <v>0</v>
      </c>
      <c r="AE214" s="4">
        <v>0</v>
      </c>
      <c r="AF214" s="4">
        <v>1.25</v>
      </c>
      <c r="AG214" s="4">
        <v>430</v>
      </c>
      <c r="AH214" s="4">
        <v>430</v>
      </c>
      <c r="AI214" s="4">
        <v>0</v>
      </c>
      <c r="AJ214" s="4">
        <v>0</v>
      </c>
      <c r="AK214" s="4">
        <v>0</v>
      </c>
      <c r="AL214" s="4">
        <v>0</v>
      </c>
      <c r="AM214">
        <v>614</v>
      </c>
      <c r="AN214">
        <v>0</v>
      </c>
      <c r="AO214">
        <v>614</v>
      </c>
      <c r="AP214">
        <v>0</v>
      </c>
      <c r="AQ214">
        <v>40</v>
      </c>
      <c r="AR214">
        <v>0</v>
      </c>
      <c r="AS214">
        <v>40</v>
      </c>
      <c r="AT214">
        <v>0</v>
      </c>
      <c r="AU214">
        <v>1.5</v>
      </c>
      <c r="AV214">
        <v>0</v>
      </c>
      <c r="AW214">
        <v>1.5</v>
      </c>
      <c r="AX214">
        <v>0</v>
      </c>
      <c r="AY214">
        <v>93</v>
      </c>
    </row>
    <row r="215" spans="1:51">
      <c r="A215" t="s">
        <v>16974</v>
      </c>
      <c r="B215" t="s">
        <v>17201</v>
      </c>
      <c r="C215">
        <v>1</v>
      </c>
      <c r="D215">
        <v>995</v>
      </c>
      <c r="E215">
        <v>982</v>
      </c>
      <c r="F215">
        <v>857</v>
      </c>
      <c r="G215">
        <v>0</v>
      </c>
      <c r="H215">
        <v>0</v>
      </c>
      <c r="I215">
        <v>0</v>
      </c>
      <c r="J215">
        <v>996</v>
      </c>
      <c r="K215">
        <v>6870</v>
      </c>
      <c r="L215">
        <v>130</v>
      </c>
      <c r="M215">
        <v>0</v>
      </c>
      <c r="N215">
        <v>15</v>
      </c>
      <c r="O215">
        <v>821</v>
      </c>
      <c r="P215">
        <v>19</v>
      </c>
      <c r="Q215">
        <v>9</v>
      </c>
      <c r="R215">
        <v>0</v>
      </c>
      <c r="S215">
        <v>274.5</v>
      </c>
      <c r="T215">
        <v>45.25</v>
      </c>
      <c r="U215">
        <v>0</v>
      </c>
      <c r="V215">
        <v>319.75</v>
      </c>
      <c r="W215" s="4">
        <v>3642.5</v>
      </c>
      <c r="X215" s="4">
        <v>0</v>
      </c>
      <c r="Y215">
        <v>996</v>
      </c>
      <c r="Z215">
        <v>0</v>
      </c>
      <c r="AA215" s="4">
        <v>0</v>
      </c>
      <c r="AB215" s="4">
        <v>20</v>
      </c>
      <c r="AC215" s="4">
        <v>23.450000000000006</v>
      </c>
      <c r="AD215" s="4">
        <v>23.450000000000006</v>
      </c>
      <c r="AE215" s="4">
        <v>21.75</v>
      </c>
      <c r="AF215" s="4">
        <v>43.45</v>
      </c>
      <c r="AG215" s="4">
        <v>3665.95</v>
      </c>
      <c r="AH215" s="4">
        <v>3644.2</v>
      </c>
      <c r="AI215" s="4">
        <v>0</v>
      </c>
      <c r="AJ215" s="4">
        <v>0</v>
      </c>
      <c r="AK215" s="4">
        <v>0</v>
      </c>
      <c r="AL215" s="4">
        <v>0</v>
      </c>
      <c r="AM215">
        <v>6870</v>
      </c>
      <c r="AN215">
        <v>0</v>
      </c>
      <c r="AO215">
        <v>6866</v>
      </c>
      <c r="AP215">
        <v>4</v>
      </c>
      <c r="AQ215">
        <v>274.5</v>
      </c>
      <c r="AR215">
        <v>0</v>
      </c>
      <c r="AS215">
        <v>274.25</v>
      </c>
      <c r="AT215">
        <v>0.25</v>
      </c>
      <c r="AU215">
        <v>45.25</v>
      </c>
      <c r="AV215">
        <v>0</v>
      </c>
      <c r="AW215">
        <v>45</v>
      </c>
      <c r="AX215">
        <v>0.25</v>
      </c>
    </row>
    <row r="216" spans="1:51">
      <c r="A216" t="s">
        <v>16974</v>
      </c>
      <c r="B216" t="s">
        <v>17201</v>
      </c>
      <c r="C216">
        <v>0</v>
      </c>
      <c r="D216">
        <v>995</v>
      </c>
      <c r="E216">
        <v>857</v>
      </c>
      <c r="F216">
        <v>623</v>
      </c>
      <c r="G216">
        <v>4</v>
      </c>
      <c r="H216">
        <v>6</v>
      </c>
      <c r="I216">
        <v>0</v>
      </c>
      <c r="J216">
        <v>995</v>
      </c>
      <c r="K216">
        <v>8044</v>
      </c>
      <c r="L216">
        <v>215</v>
      </c>
      <c r="M216">
        <v>0</v>
      </c>
      <c r="N216">
        <v>19</v>
      </c>
      <c r="O216">
        <v>634</v>
      </c>
      <c r="P216">
        <v>124</v>
      </c>
      <c r="Q216">
        <v>3</v>
      </c>
      <c r="R216">
        <v>0</v>
      </c>
      <c r="S216">
        <v>255.5</v>
      </c>
      <c r="T216">
        <v>71.75</v>
      </c>
      <c r="U216">
        <v>0</v>
      </c>
      <c r="V216" t="e">
        <v>#VALUE!</v>
      </c>
      <c r="W216" s="4" t="e">
        <v>#VALUE!</v>
      </c>
      <c r="X216" s="4">
        <v>0</v>
      </c>
      <c r="Y216">
        <v>993</v>
      </c>
      <c r="Z216">
        <v>0</v>
      </c>
      <c r="AA216" s="4">
        <v>0</v>
      </c>
      <c r="AB216" s="4">
        <v>30</v>
      </c>
      <c r="AC216" s="4">
        <v>384.8</v>
      </c>
      <c r="AD216" s="4">
        <v>384.8</v>
      </c>
      <c r="AE216" s="4">
        <v>376.55000000000007</v>
      </c>
      <c r="AF216" s="4">
        <v>414.8</v>
      </c>
      <c r="AG216" s="4">
        <v>4372.3000000000011</v>
      </c>
      <c r="AH216" s="4">
        <v>3995.75</v>
      </c>
      <c r="AI216" s="4">
        <v>24.7</v>
      </c>
      <c r="AJ216" s="4">
        <v>39.700000000000003</v>
      </c>
      <c r="AK216" s="4">
        <v>107.2</v>
      </c>
      <c r="AL216" s="4">
        <v>82.5</v>
      </c>
      <c r="AM216">
        <v>8044</v>
      </c>
      <c r="AN216">
        <v>123</v>
      </c>
      <c r="AO216">
        <v>7921</v>
      </c>
      <c r="AP216">
        <v>0</v>
      </c>
      <c r="AQ216">
        <v>255.5</v>
      </c>
      <c r="AR216">
        <v>2.25</v>
      </c>
      <c r="AS216">
        <v>253.25</v>
      </c>
      <c r="AT216">
        <v>0</v>
      </c>
      <c r="AU216">
        <v>71.75</v>
      </c>
      <c r="AV216">
        <v>3</v>
      </c>
      <c r="AW216">
        <v>68.75</v>
      </c>
      <c r="AX216">
        <v>0</v>
      </c>
    </row>
    <row r="217" spans="1:51">
      <c r="A217" t="s">
        <v>16974</v>
      </c>
      <c r="B217" t="s">
        <v>17201</v>
      </c>
      <c r="C217">
        <v>0</v>
      </c>
      <c r="D217">
        <v>327</v>
      </c>
      <c r="E217">
        <v>313</v>
      </c>
      <c r="F217">
        <v>273</v>
      </c>
      <c r="G217">
        <v>0</v>
      </c>
      <c r="H217">
        <v>0</v>
      </c>
      <c r="I217">
        <v>0</v>
      </c>
      <c r="J217">
        <v>326</v>
      </c>
      <c r="K217">
        <v>2152</v>
      </c>
      <c r="L217">
        <v>84</v>
      </c>
      <c r="M217">
        <v>0</v>
      </c>
      <c r="N217">
        <v>2</v>
      </c>
      <c r="O217">
        <v>235</v>
      </c>
      <c r="P217">
        <v>4</v>
      </c>
      <c r="Q217">
        <v>2</v>
      </c>
      <c r="R217">
        <v>0</v>
      </c>
      <c r="S217">
        <v>86.5</v>
      </c>
      <c r="T217">
        <v>27</v>
      </c>
      <c r="U217">
        <v>0</v>
      </c>
      <c r="V217">
        <v>113.5</v>
      </c>
      <c r="W217" s="4">
        <v>1405</v>
      </c>
      <c r="X217" s="4">
        <v>0</v>
      </c>
      <c r="Y217">
        <v>326</v>
      </c>
      <c r="Z217">
        <v>0</v>
      </c>
      <c r="AA217" s="4">
        <v>0</v>
      </c>
      <c r="AB217" s="4">
        <v>22.5</v>
      </c>
      <c r="AC217" s="4">
        <v>41.7</v>
      </c>
      <c r="AD217" s="4">
        <v>41.7</v>
      </c>
      <c r="AE217" s="4">
        <v>26.700000000000003</v>
      </c>
      <c r="AF217" s="4">
        <v>64.2</v>
      </c>
      <c r="AG217" s="4">
        <v>1446.7</v>
      </c>
      <c r="AH217" s="4">
        <v>1420</v>
      </c>
      <c r="AI217" s="4">
        <v>0</v>
      </c>
      <c r="AJ217" s="4">
        <v>0</v>
      </c>
      <c r="AK217" s="4">
        <v>0</v>
      </c>
      <c r="AL217" s="4">
        <v>0</v>
      </c>
      <c r="AM217">
        <v>2152</v>
      </c>
      <c r="AN217">
        <v>0</v>
      </c>
      <c r="AO217">
        <v>2152</v>
      </c>
      <c r="AP217">
        <v>0</v>
      </c>
      <c r="AQ217">
        <v>86.5</v>
      </c>
      <c r="AR217">
        <v>0</v>
      </c>
      <c r="AS217">
        <v>86.5</v>
      </c>
      <c r="AT217">
        <v>0</v>
      </c>
      <c r="AU217">
        <v>27</v>
      </c>
      <c r="AV217">
        <v>0</v>
      </c>
      <c r="AW217">
        <v>27</v>
      </c>
      <c r="AX217">
        <v>0</v>
      </c>
    </row>
    <row r="218" spans="1:51">
      <c r="A218" t="s">
        <v>16974</v>
      </c>
      <c r="B218" t="s">
        <v>17201</v>
      </c>
      <c r="C218">
        <v>0</v>
      </c>
      <c r="D218">
        <v>975</v>
      </c>
      <c r="E218">
        <v>921</v>
      </c>
      <c r="F218">
        <v>708</v>
      </c>
      <c r="G218">
        <v>18</v>
      </c>
      <c r="H218">
        <v>45</v>
      </c>
      <c r="I218">
        <v>0</v>
      </c>
      <c r="J218">
        <v>975</v>
      </c>
      <c r="K218">
        <v>10135</v>
      </c>
      <c r="L218">
        <v>280</v>
      </c>
      <c r="M218">
        <v>0</v>
      </c>
      <c r="N218">
        <v>24</v>
      </c>
      <c r="O218">
        <v>656</v>
      </c>
      <c r="P218">
        <v>5</v>
      </c>
      <c r="Q218">
        <v>1</v>
      </c>
      <c r="R218">
        <v>0</v>
      </c>
      <c r="S218">
        <v>296.00400000000002</v>
      </c>
      <c r="T218">
        <v>87</v>
      </c>
      <c r="U218">
        <v>0</v>
      </c>
      <c r="V218">
        <v>383.00400000000002</v>
      </c>
      <c r="W218" s="4">
        <v>4700.04</v>
      </c>
      <c r="X218" s="4">
        <v>0</v>
      </c>
      <c r="Y218">
        <v>964</v>
      </c>
      <c r="Z218">
        <v>0</v>
      </c>
      <c r="AA218" s="4">
        <v>0</v>
      </c>
      <c r="AB218" s="4">
        <v>92.5</v>
      </c>
      <c r="AC218" s="4">
        <v>80.900000000000006</v>
      </c>
      <c r="AD218" s="4">
        <v>80.900000000000006</v>
      </c>
      <c r="AE218" s="4">
        <v>79.900000000000006</v>
      </c>
      <c r="AF218" s="4">
        <v>173.4</v>
      </c>
      <c r="AG218" s="4">
        <v>4780.9400000000005</v>
      </c>
      <c r="AH218" s="4">
        <v>4701.04</v>
      </c>
      <c r="AI218" s="4">
        <v>0</v>
      </c>
      <c r="AJ218" s="4">
        <v>0</v>
      </c>
      <c r="AK218" s="4">
        <v>190</v>
      </c>
      <c r="AL218" s="4">
        <v>190</v>
      </c>
      <c r="AM218">
        <v>10135</v>
      </c>
      <c r="AN218">
        <v>674</v>
      </c>
      <c r="AO218">
        <v>9461</v>
      </c>
      <c r="AP218">
        <v>0</v>
      </c>
      <c r="AQ218">
        <v>296.00400000000002</v>
      </c>
      <c r="AR218">
        <v>13.5</v>
      </c>
      <c r="AS218">
        <v>282.50400000000002</v>
      </c>
      <c r="AT218">
        <v>0</v>
      </c>
      <c r="AU218">
        <v>87</v>
      </c>
      <c r="AV218">
        <v>2.75</v>
      </c>
      <c r="AW218">
        <v>84.25</v>
      </c>
      <c r="AX218">
        <v>0</v>
      </c>
    </row>
    <row r="219" spans="1:51">
      <c r="A219" t="s">
        <v>16974</v>
      </c>
      <c r="B219" t="s">
        <v>17201</v>
      </c>
      <c r="C219">
        <v>0</v>
      </c>
      <c r="D219">
        <v>977</v>
      </c>
      <c r="E219">
        <v>944</v>
      </c>
      <c r="F219">
        <v>761</v>
      </c>
      <c r="G219">
        <v>8</v>
      </c>
      <c r="H219">
        <v>0</v>
      </c>
      <c r="I219">
        <v>0</v>
      </c>
      <c r="J219">
        <v>977</v>
      </c>
      <c r="K219">
        <v>7461</v>
      </c>
      <c r="L219">
        <v>305</v>
      </c>
      <c r="M219">
        <v>0</v>
      </c>
      <c r="N219">
        <v>20</v>
      </c>
      <c r="O219">
        <v>637</v>
      </c>
      <c r="P219">
        <v>15</v>
      </c>
      <c r="Q219">
        <v>0</v>
      </c>
      <c r="R219">
        <v>0</v>
      </c>
      <c r="S219">
        <v>280.5</v>
      </c>
      <c r="T219">
        <v>84.5</v>
      </c>
      <c r="U219">
        <v>0</v>
      </c>
      <c r="V219">
        <v>365</v>
      </c>
      <c r="W219" s="4">
        <v>4495</v>
      </c>
      <c r="X219" s="4">
        <v>0</v>
      </c>
      <c r="Y219">
        <v>976</v>
      </c>
      <c r="Z219">
        <v>0</v>
      </c>
      <c r="AA219" s="4">
        <v>0</v>
      </c>
      <c r="AB219" s="4">
        <v>64.5</v>
      </c>
      <c r="AC219" s="4">
        <v>114.19999999999999</v>
      </c>
      <c r="AD219" s="4">
        <v>114.19999999999999</v>
      </c>
      <c r="AE219" s="4">
        <v>114.19999999999999</v>
      </c>
      <c r="AF219" s="4">
        <v>178.7</v>
      </c>
      <c r="AG219" s="4">
        <v>4609.2000000000007</v>
      </c>
      <c r="AH219" s="4">
        <v>4495</v>
      </c>
      <c r="AI219" s="4">
        <v>0</v>
      </c>
      <c r="AJ219" s="4">
        <v>0</v>
      </c>
      <c r="AK219" s="4">
        <v>0</v>
      </c>
      <c r="AL219" s="4">
        <v>0</v>
      </c>
      <c r="AM219">
        <v>7461</v>
      </c>
      <c r="AN219">
        <v>0</v>
      </c>
      <c r="AO219">
        <v>7461</v>
      </c>
      <c r="AP219">
        <v>0</v>
      </c>
      <c r="AQ219">
        <v>280.5</v>
      </c>
      <c r="AR219">
        <v>0</v>
      </c>
      <c r="AS219">
        <v>280.5</v>
      </c>
      <c r="AT219">
        <v>0</v>
      </c>
      <c r="AU219">
        <v>84.5</v>
      </c>
      <c r="AV219">
        <v>0</v>
      </c>
      <c r="AW219">
        <v>84.5</v>
      </c>
      <c r="AX219">
        <v>0</v>
      </c>
    </row>
    <row r="220" spans="1:51">
      <c r="A220" t="s">
        <v>16974</v>
      </c>
      <c r="B220" t="s">
        <v>17201</v>
      </c>
      <c r="C220">
        <v>1</v>
      </c>
      <c r="D220">
        <v>424</v>
      </c>
      <c r="E220">
        <v>292</v>
      </c>
      <c r="F220">
        <v>245</v>
      </c>
      <c r="G220">
        <v>12</v>
      </c>
      <c r="H220">
        <v>102</v>
      </c>
      <c r="I220">
        <v>0</v>
      </c>
      <c r="J220">
        <v>424</v>
      </c>
      <c r="K220">
        <v>4494</v>
      </c>
      <c r="L220">
        <v>157</v>
      </c>
      <c r="M220">
        <v>0</v>
      </c>
      <c r="N220">
        <v>18</v>
      </c>
      <c r="O220">
        <v>249</v>
      </c>
      <c r="P220">
        <v>0</v>
      </c>
      <c r="Q220">
        <v>0</v>
      </c>
      <c r="R220">
        <v>0</v>
      </c>
      <c r="S220">
        <v>112.752</v>
      </c>
      <c r="T220">
        <v>63.25</v>
      </c>
      <c r="U220">
        <v>0</v>
      </c>
      <c r="V220">
        <v>176.00200000000001</v>
      </c>
      <c r="W220" s="4">
        <v>2367.52</v>
      </c>
      <c r="X220" s="4">
        <v>0</v>
      </c>
      <c r="Y220">
        <v>422</v>
      </c>
      <c r="Z220">
        <v>0</v>
      </c>
      <c r="AA220" s="4">
        <v>0</v>
      </c>
      <c r="AB220" s="4">
        <v>242.5</v>
      </c>
      <c r="AC220" s="4">
        <v>84.4</v>
      </c>
      <c r="AD220" s="4">
        <v>84.4</v>
      </c>
      <c r="AE220" s="4">
        <v>84.4</v>
      </c>
      <c r="AF220" s="4">
        <v>326.89999999999998</v>
      </c>
      <c r="AG220" s="4">
        <v>2451.92</v>
      </c>
      <c r="AH220" s="4">
        <v>2367.52</v>
      </c>
      <c r="AI220" s="4">
        <v>0</v>
      </c>
      <c r="AJ220" s="4">
        <v>242.5</v>
      </c>
      <c r="AK220" s="4">
        <v>857.5</v>
      </c>
      <c r="AL220" s="4">
        <v>857.5</v>
      </c>
      <c r="AM220">
        <v>4494</v>
      </c>
      <c r="AN220">
        <v>1326</v>
      </c>
      <c r="AO220">
        <v>3160</v>
      </c>
      <c r="AP220">
        <v>8</v>
      </c>
      <c r="AQ220">
        <v>112.752</v>
      </c>
      <c r="AR220">
        <v>30.25</v>
      </c>
      <c r="AS220">
        <v>82.001999999999995</v>
      </c>
      <c r="AT220">
        <v>0.5</v>
      </c>
      <c r="AU220">
        <v>63.25</v>
      </c>
      <c r="AV220">
        <v>27.75</v>
      </c>
      <c r="AW220">
        <v>34.5</v>
      </c>
      <c r="AX220">
        <v>1</v>
      </c>
    </row>
    <row r="221" spans="1:51">
      <c r="A221" t="s">
        <v>16974</v>
      </c>
      <c r="B221" t="s">
        <v>17130</v>
      </c>
      <c r="C221">
        <v>0</v>
      </c>
      <c r="D221">
        <v>13</v>
      </c>
      <c r="E221">
        <v>13</v>
      </c>
      <c r="F221">
        <v>13</v>
      </c>
      <c r="G221">
        <v>0</v>
      </c>
      <c r="H221">
        <v>2</v>
      </c>
      <c r="I221">
        <v>0</v>
      </c>
      <c r="J221">
        <v>13</v>
      </c>
      <c r="K221">
        <v>50</v>
      </c>
      <c r="L221">
        <v>9</v>
      </c>
      <c r="M221">
        <v>0</v>
      </c>
      <c r="N221">
        <v>2</v>
      </c>
      <c r="O221">
        <v>1</v>
      </c>
      <c r="P221">
        <v>1</v>
      </c>
      <c r="Q221">
        <v>0</v>
      </c>
      <c r="R221">
        <v>0</v>
      </c>
      <c r="S221">
        <v>17.25</v>
      </c>
      <c r="T221">
        <v>18.25</v>
      </c>
      <c r="U221">
        <v>0.75</v>
      </c>
      <c r="V221">
        <v>36.25</v>
      </c>
      <c r="W221" s="4">
        <v>537.5</v>
      </c>
      <c r="X221" s="4">
        <v>0</v>
      </c>
      <c r="Y221">
        <v>11</v>
      </c>
      <c r="Z221">
        <v>2</v>
      </c>
      <c r="AA221" s="4">
        <v>0</v>
      </c>
      <c r="AB221" s="4">
        <v>300</v>
      </c>
      <c r="AC221" s="4">
        <v>0</v>
      </c>
      <c r="AD221" s="4">
        <v>0</v>
      </c>
      <c r="AE221" s="4">
        <v>0</v>
      </c>
      <c r="AF221" s="4">
        <v>300</v>
      </c>
      <c r="AG221" s="4">
        <v>552.5</v>
      </c>
      <c r="AH221" s="4">
        <v>552.5</v>
      </c>
      <c r="AI221" s="4">
        <v>0</v>
      </c>
      <c r="AJ221" s="4">
        <v>300</v>
      </c>
      <c r="AK221" s="4">
        <v>400</v>
      </c>
      <c r="AL221" s="4">
        <v>400</v>
      </c>
      <c r="AM221">
        <v>50</v>
      </c>
      <c r="AN221">
        <v>38</v>
      </c>
      <c r="AO221">
        <v>12</v>
      </c>
      <c r="AP221">
        <v>0</v>
      </c>
      <c r="AQ221">
        <v>17.25</v>
      </c>
      <c r="AR221">
        <v>10</v>
      </c>
      <c r="AS221">
        <v>7.25</v>
      </c>
      <c r="AT221">
        <v>0</v>
      </c>
      <c r="AU221">
        <v>18.25</v>
      </c>
      <c r="AV221">
        <v>14.5</v>
      </c>
      <c r="AW221">
        <v>3.75</v>
      </c>
      <c r="AX221">
        <v>0</v>
      </c>
      <c r="AY221">
        <v>0</v>
      </c>
    </row>
    <row r="222" spans="1:51">
      <c r="A222" t="s">
        <v>16974</v>
      </c>
      <c r="B222" t="s">
        <v>17131</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s="4">
        <v>0</v>
      </c>
      <c r="X222" s="4">
        <v>0</v>
      </c>
      <c r="Y222">
        <v>0</v>
      </c>
      <c r="Z222">
        <v>0</v>
      </c>
      <c r="AA222" s="4">
        <v>0</v>
      </c>
      <c r="AB222" s="4">
        <v>0</v>
      </c>
      <c r="AC222" s="4">
        <v>0</v>
      </c>
      <c r="AD222" s="4">
        <v>0</v>
      </c>
      <c r="AE222" s="4">
        <v>0</v>
      </c>
      <c r="AF222" s="4">
        <v>0</v>
      </c>
      <c r="AG222" s="4">
        <v>0</v>
      </c>
      <c r="AH222" s="4">
        <v>0</v>
      </c>
      <c r="AI222" s="4">
        <v>0</v>
      </c>
      <c r="AJ222" s="4">
        <v>0</v>
      </c>
      <c r="AK222" s="4">
        <v>0</v>
      </c>
      <c r="AL222" s="4">
        <v>0</v>
      </c>
      <c r="AM222">
        <v>0</v>
      </c>
      <c r="AN222">
        <v>0</v>
      </c>
      <c r="AO222">
        <v>0</v>
      </c>
      <c r="AP222">
        <v>0</v>
      </c>
      <c r="AQ222">
        <v>0</v>
      </c>
      <c r="AR222">
        <v>0</v>
      </c>
      <c r="AS222">
        <v>0</v>
      </c>
      <c r="AT222">
        <v>0</v>
      </c>
      <c r="AU222">
        <v>0</v>
      </c>
      <c r="AV222">
        <v>0</v>
      </c>
      <c r="AW222">
        <v>0</v>
      </c>
      <c r="AX222">
        <v>0</v>
      </c>
      <c r="AY222">
        <v>35</v>
      </c>
    </row>
    <row r="223" spans="1:51">
      <c r="A223" t="s">
        <v>16974</v>
      </c>
      <c r="B223" t="s">
        <v>17040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s="4">
        <v>0</v>
      </c>
      <c r="X223" s="4">
        <v>0</v>
      </c>
      <c r="Y223">
        <v>0</v>
      </c>
      <c r="Z223">
        <v>0</v>
      </c>
      <c r="AA223" s="4">
        <v>0</v>
      </c>
      <c r="AB223" s="4">
        <v>0</v>
      </c>
      <c r="AC223" s="4">
        <v>0</v>
      </c>
      <c r="AD223" s="4">
        <v>0</v>
      </c>
      <c r="AE223" s="4">
        <v>0</v>
      </c>
      <c r="AF223" s="4">
        <v>0</v>
      </c>
      <c r="AG223" s="4">
        <v>0</v>
      </c>
      <c r="AH223" s="4">
        <v>0</v>
      </c>
      <c r="AI223" s="4">
        <v>0</v>
      </c>
      <c r="AJ223" s="4">
        <v>0</v>
      </c>
      <c r="AK223" s="4">
        <v>0</v>
      </c>
      <c r="AL223" s="4">
        <v>0</v>
      </c>
      <c r="AM223">
        <v>0</v>
      </c>
      <c r="AN223">
        <v>0</v>
      </c>
      <c r="AO223">
        <v>0</v>
      </c>
      <c r="AP223">
        <v>0</v>
      </c>
      <c r="AQ223">
        <v>0</v>
      </c>
      <c r="AR223">
        <v>0</v>
      </c>
      <c r="AS223">
        <v>0</v>
      </c>
      <c r="AT223">
        <v>0</v>
      </c>
      <c r="AU223">
        <v>0</v>
      </c>
      <c r="AV223">
        <v>0</v>
      </c>
      <c r="AW223">
        <v>0</v>
      </c>
      <c r="AX223">
        <v>0</v>
      </c>
      <c r="AY223">
        <v>0</v>
      </c>
    </row>
    <row r="224" spans="1:51">
      <c r="A224" t="s">
        <v>16974</v>
      </c>
      <c r="B224" t="s">
        <v>16975</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s="4">
        <v>0</v>
      </c>
      <c r="X224" s="4">
        <v>0</v>
      </c>
      <c r="Y224">
        <v>0</v>
      </c>
      <c r="Z224">
        <v>0</v>
      </c>
      <c r="AA224" s="4">
        <v>0</v>
      </c>
      <c r="AB224" s="4">
        <v>0</v>
      </c>
      <c r="AC224" s="4">
        <v>0</v>
      </c>
      <c r="AD224" s="4">
        <v>0</v>
      </c>
      <c r="AE224" s="4">
        <v>0</v>
      </c>
      <c r="AF224" s="4">
        <v>0</v>
      </c>
      <c r="AG224" s="4">
        <v>0</v>
      </c>
      <c r="AH224" s="4">
        <v>0</v>
      </c>
      <c r="AI224" s="4">
        <v>0</v>
      </c>
      <c r="AJ224" s="4">
        <v>0</v>
      </c>
      <c r="AK224" s="4">
        <v>0</v>
      </c>
      <c r="AL224" s="4">
        <v>0</v>
      </c>
      <c r="AM224">
        <v>0</v>
      </c>
      <c r="AN224">
        <v>0</v>
      </c>
      <c r="AO224">
        <v>0</v>
      </c>
      <c r="AP224">
        <v>0</v>
      </c>
      <c r="AQ224">
        <v>0</v>
      </c>
      <c r="AR224">
        <v>0</v>
      </c>
      <c r="AS224">
        <v>0</v>
      </c>
      <c r="AT224">
        <v>0</v>
      </c>
      <c r="AU224">
        <v>0</v>
      </c>
      <c r="AV224">
        <v>0</v>
      </c>
      <c r="AW224">
        <v>0</v>
      </c>
      <c r="AX224">
        <v>0</v>
      </c>
      <c r="AY224">
        <v>0</v>
      </c>
    </row>
    <row r="225" spans="1:51">
      <c r="A225" t="s">
        <v>16974</v>
      </c>
      <c r="B225" t="s">
        <v>17085</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s="4">
        <v>0</v>
      </c>
      <c r="X225" s="4">
        <v>0</v>
      </c>
      <c r="Y225">
        <v>0</v>
      </c>
      <c r="Z225">
        <v>0</v>
      </c>
      <c r="AA225" s="4">
        <v>0</v>
      </c>
      <c r="AB225" s="4">
        <v>0</v>
      </c>
      <c r="AC225" s="4">
        <v>0</v>
      </c>
      <c r="AD225" s="4">
        <v>0</v>
      </c>
      <c r="AE225" s="4">
        <v>0</v>
      </c>
      <c r="AF225" s="4">
        <v>0</v>
      </c>
      <c r="AG225" s="4">
        <v>0</v>
      </c>
      <c r="AH225" s="4">
        <v>0</v>
      </c>
      <c r="AI225" s="4">
        <v>0</v>
      </c>
      <c r="AJ225" s="4">
        <v>0</v>
      </c>
      <c r="AK225" s="4">
        <v>0</v>
      </c>
      <c r="AL225" s="4">
        <v>0</v>
      </c>
      <c r="AM225">
        <v>0</v>
      </c>
      <c r="AN225">
        <v>0</v>
      </c>
      <c r="AO225">
        <v>0</v>
      </c>
      <c r="AP225">
        <v>0</v>
      </c>
      <c r="AQ225">
        <v>0</v>
      </c>
      <c r="AR225">
        <v>0</v>
      </c>
      <c r="AS225">
        <v>0</v>
      </c>
      <c r="AT225">
        <v>0</v>
      </c>
      <c r="AU225">
        <v>0</v>
      </c>
      <c r="AV225">
        <v>0</v>
      </c>
      <c r="AW225">
        <v>0</v>
      </c>
      <c r="AX225">
        <v>0</v>
      </c>
      <c r="AY225">
        <v>0</v>
      </c>
    </row>
    <row r="226" spans="1:51">
      <c r="A226" t="s">
        <v>16974</v>
      </c>
      <c r="B226" t="s">
        <v>17132</v>
      </c>
      <c r="C226">
        <v>4</v>
      </c>
      <c r="D226">
        <v>377</v>
      </c>
      <c r="E226">
        <v>377</v>
      </c>
      <c r="F226">
        <v>342</v>
      </c>
      <c r="G226">
        <v>0</v>
      </c>
      <c r="H226">
        <v>0</v>
      </c>
      <c r="I226">
        <v>0</v>
      </c>
      <c r="J226">
        <v>377</v>
      </c>
      <c r="K226">
        <v>2932</v>
      </c>
      <c r="L226">
        <v>164</v>
      </c>
      <c r="M226">
        <v>0</v>
      </c>
      <c r="N226">
        <v>84</v>
      </c>
      <c r="O226">
        <v>130</v>
      </c>
      <c r="P226">
        <v>0</v>
      </c>
      <c r="Q226">
        <v>0</v>
      </c>
      <c r="R226">
        <v>0</v>
      </c>
      <c r="S226">
        <v>248.9</v>
      </c>
      <c r="T226">
        <v>0</v>
      </c>
      <c r="U226">
        <v>0</v>
      </c>
      <c r="V226">
        <v>248.9</v>
      </c>
      <c r="W226" s="4">
        <v>2466.5</v>
      </c>
      <c r="X226" s="4">
        <v>0</v>
      </c>
      <c r="Y226">
        <v>373</v>
      </c>
      <c r="Z226">
        <v>0</v>
      </c>
      <c r="AA226" s="4">
        <v>-22.5</v>
      </c>
      <c r="AB226" s="4">
        <v>0</v>
      </c>
      <c r="AC226" s="4">
        <v>0</v>
      </c>
      <c r="AD226" s="4">
        <v>0</v>
      </c>
      <c r="AE226" s="4">
        <v>0</v>
      </c>
      <c r="AF226" s="4">
        <v>0</v>
      </c>
      <c r="AG226" s="4">
        <v>2466.5</v>
      </c>
      <c r="AH226" s="4">
        <v>2466.5</v>
      </c>
      <c r="AI226" s="4">
        <v>0</v>
      </c>
      <c r="AJ226" s="4">
        <v>0</v>
      </c>
      <c r="AK226" s="4">
        <v>0</v>
      </c>
      <c r="AL226" s="4">
        <v>0</v>
      </c>
      <c r="AM226">
        <v>2932</v>
      </c>
      <c r="AN226">
        <v>0</v>
      </c>
      <c r="AO226">
        <v>2899</v>
      </c>
      <c r="AP226">
        <v>33</v>
      </c>
      <c r="AQ226">
        <v>248.9</v>
      </c>
      <c r="AR226">
        <v>0</v>
      </c>
      <c r="AS226">
        <v>246.65</v>
      </c>
      <c r="AT226">
        <v>2.25</v>
      </c>
      <c r="AU226">
        <v>0</v>
      </c>
      <c r="AV226">
        <v>0</v>
      </c>
      <c r="AW226">
        <v>0</v>
      </c>
      <c r="AX226">
        <v>0</v>
      </c>
      <c r="AY226">
        <v>377</v>
      </c>
    </row>
    <row r="227" spans="1:51">
      <c r="A227" t="s">
        <v>16974</v>
      </c>
      <c r="B227" t="s">
        <v>17134</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s="4">
        <v>0</v>
      </c>
      <c r="X227" s="4">
        <v>0</v>
      </c>
      <c r="Y227">
        <v>0</v>
      </c>
      <c r="Z227">
        <v>0</v>
      </c>
      <c r="AA227" s="4">
        <v>0</v>
      </c>
      <c r="AB227" s="4">
        <v>0</v>
      </c>
      <c r="AC227" s="4">
        <v>0</v>
      </c>
      <c r="AD227" s="4">
        <v>0</v>
      </c>
      <c r="AE227" s="4">
        <v>0</v>
      </c>
      <c r="AF227" s="4">
        <v>0</v>
      </c>
      <c r="AG227" s="4">
        <v>0</v>
      </c>
      <c r="AH227" s="4">
        <v>0</v>
      </c>
      <c r="AI227" s="4">
        <v>0</v>
      </c>
      <c r="AJ227" s="4">
        <v>0</v>
      </c>
      <c r="AK227" s="4">
        <v>0</v>
      </c>
      <c r="AL227" s="4">
        <v>0</v>
      </c>
      <c r="AM227">
        <v>0</v>
      </c>
      <c r="AN227">
        <v>0</v>
      </c>
      <c r="AO227">
        <v>0</v>
      </c>
      <c r="AP227">
        <v>0</v>
      </c>
      <c r="AQ227">
        <v>0</v>
      </c>
      <c r="AR227">
        <v>0</v>
      </c>
      <c r="AS227">
        <v>0</v>
      </c>
      <c r="AT227">
        <v>0</v>
      </c>
      <c r="AU227">
        <v>0</v>
      </c>
      <c r="AV227">
        <v>0</v>
      </c>
      <c r="AW227">
        <v>0</v>
      </c>
      <c r="AX227">
        <v>0</v>
      </c>
      <c r="AY227">
        <v>25</v>
      </c>
    </row>
    <row r="228" spans="1:51">
      <c r="A228" t="s">
        <v>16974</v>
      </c>
      <c r="B228" t="s">
        <v>17334</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s="4">
        <v>0</v>
      </c>
      <c r="X228" s="4">
        <v>0</v>
      </c>
      <c r="Y228">
        <v>0</v>
      </c>
      <c r="Z228">
        <v>0</v>
      </c>
      <c r="AA228" s="4">
        <v>0</v>
      </c>
      <c r="AB228" s="4">
        <v>0</v>
      </c>
      <c r="AC228" s="4">
        <v>0</v>
      </c>
      <c r="AD228" s="4">
        <v>0</v>
      </c>
      <c r="AE228" s="4">
        <v>0</v>
      </c>
      <c r="AF228" s="4">
        <v>0</v>
      </c>
      <c r="AG228" s="4">
        <v>0</v>
      </c>
      <c r="AH228" s="4">
        <v>0</v>
      </c>
      <c r="AI228" s="4">
        <v>0</v>
      </c>
      <c r="AJ228" s="4">
        <v>0</v>
      </c>
      <c r="AK228" s="4">
        <v>0</v>
      </c>
      <c r="AL228" s="4">
        <v>0</v>
      </c>
      <c r="AM228">
        <v>0</v>
      </c>
      <c r="AN228">
        <v>0</v>
      </c>
      <c r="AO228">
        <v>0</v>
      </c>
      <c r="AP228">
        <v>0</v>
      </c>
      <c r="AQ228">
        <v>0</v>
      </c>
      <c r="AR228">
        <v>0</v>
      </c>
      <c r="AS228">
        <v>0</v>
      </c>
      <c r="AT228">
        <v>0</v>
      </c>
      <c r="AU228">
        <v>0</v>
      </c>
      <c r="AV228">
        <v>0</v>
      </c>
      <c r="AW228">
        <v>0</v>
      </c>
      <c r="AX228">
        <v>0</v>
      </c>
      <c r="AY228">
        <v>0</v>
      </c>
    </row>
    <row r="229" spans="1:51">
      <c r="A229" t="s">
        <v>16974</v>
      </c>
      <c r="B229" t="s">
        <v>17337</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s="4">
        <v>0</v>
      </c>
      <c r="X229" s="4">
        <v>0</v>
      </c>
      <c r="Y229">
        <v>0</v>
      </c>
      <c r="Z229">
        <v>0</v>
      </c>
      <c r="AA229" s="4">
        <v>0</v>
      </c>
      <c r="AB229" s="4">
        <v>0</v>
      </c>
      <c r="AC229" s="4">
        <v>0</v>
      </c>
      <c r="AD229" s="4">
        <v>0</v>
      </c>
      <c r="AE229" s="4">
        <v>0</v>
      </c>
      <c r="AF229" s="4">
        <v>0</v>
      </c>
      <c r="AG229" s="4">
        <v>0</v>
      </c>
      <c r="AH229" s="4">
        <v>0</v>
      </c>
      <c r="AI229" s="4">
        <v>0</v>
      </c>
      <c r="AJ229" s="4">
        <v>0</v>
      </c>
      <c r="AK229" s="4">
        <v>0</v>
      </c>
      <c r="AL229" s="4">
        <v>0</v>
      </c>
      <c r="AM229">
        <v>0</v>
      </c>
      <c r="AN229">
        <v>0</v>
      </c>
      <c r="AO229">
        <v>0</v>
      </c>
      <c r="AP229">
        <v>0</v>
      </c>
      <c r="AQ229">
        <v>0</v>
      </c>
      <c r="AR229">
        <v>0</v>
      </c>
      <c r="AS229">
        <v>0</v>
      </c>
      <c r="AT229">
        <v>0</v>
      </c>
      <c r="AU229">
        <v>0</v>
      </c>
      <c r="AV229">
        <v>0</v>
      </c>
      <c r="AW229">
        <v>0</v>
      </c>
      <c r="AX229">
        <v>0</v>
      </c>
      <c r="AY229">
        <v>0</v>
      </c>
    </row>
    <row r="230" spans="1:51">
      <c r="A230" t="s">
        <v>16974</v>
      </c>
      <c r="B230" t="s">
        <v>17138</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s="4">
        <v>0</v>
      </c>
      <c r="X230" s="4">
        <v>0</v>
      </c>
      <c r="Y230">
        <v>0</v>
      </c>
      <c r="Z230">
        <v>0</v>
      </c>
      <c r="AA230" s="4">
        <v>0</v>
      </c>
      <c r="AB230" s="4">
        <v>0</v>
      </c>
      <c r="AC230" s="4">
        <v>0</v>
      </c>
      <c r="AD230" s="4">
        <v>0</v>
      </c>
      <c r="AE230" s="4">
        <v>0</v>
      </c>
      <c r="AF230" s="4">
        <v>0</v>
      </c>
      <c r="AG230" s="4">
        <v>0</v>
      </c>
      <c r="AH230" s="4">
        <v>0</v>
      </c>
      <c r="AI230" s="4">
        <v>0</v>
      </c>
      <c r="AJ230" s="4">
        <v>0</v>
      </c>
      <c r="AK230" s="4">
        <v>0</v>
      </c>
      <c r="AL230" s="4">
        <v>0</v>
      </c>
      <c r="AM230">
        <v>0</v>
      </c>
      <c r="AN230">
        <v>0</v>
      </c>
      <c r="AO230">
        <v>0</v>
      </c>
      <c r="AP230">
        <v>0</v>
      </c>
      <c r="AQ230">
        <v>0</v>
      </c>
      <c r="AR230">
        <v>0</v>
      </c>
      <c r="AS230">
        <v>0</v>
      </c>
      <c r="AT230">
        <v>0</v>
      </c>
      <c r="AU230">
        <v>0</v>
      </c>
      <c r="AV230">
        <v>0</v>
      </c>
      <c r="AW230">
        <v>0</v>
      </c>
      <c r="AX230">
        <v>0</v>
      </c>
      <c r="AY230">
        <v>0</v>
      </c>
    </row>
    <row r="231" spans="1:51">
      <c r="A231" t="s">
        <v>16974</v>
      </c>
      <c r="B231" t="s">
        <v>17314</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s="4">
        <v>0</v>
      </c>
      <c r="X231" s="4">
        <v>0</v>
      </c>
      <c r="Y231">
        <v>0</v>
      </c>
      <c r="Z231">
        <v>0</v>
      </c>
      <c r="AA231" s="4">
        <v>0</v>
      </c>
      <c r="AB231" s="4">
        <v>0</v>
      </c>
      <c r="AC231" s="4">
        <v>0</v>
      </c>
      <c r="AD231" s="4">
        <v>0</v>
      </c>
      <c r="AE231" s="4">
        <v>0</v>
      </c>
      <c r="AF231" s="4">
        <v>0</v>
      </c>
      <c r="AG231" s="4">
        <v>0</v>
      </c>
      <c r="AH231" s="4">
        <v>0</v>
      </c>
      <c r="AI231" s="4">
        <v>0</v>
      </c>
      <c r="AJ231" s="4">
        <v>0</v>
      </c>
      <c r="AK231" s="4">
        <v>0</v>
      </c>
      <c r="AL231" s="4">
        <v>0</v>
      </c>
      <c r="AM231">
        <v>0</v>
      </c>
      <c r="AN231">
        <v>0</v>
      </c>
      <c r="AO231">
        <v>0</v>
      </c>
      <c r="AP231">
        <v>0</v>
      </c>
      <c r="AQ231">
        <v>0</v>
      </c>
      <c r="AR231">
        <v>0</v>
      </c>
      <c r="AS231">
        <v>0</v>
      </c>
      <c r="AT231">
        <v>0</v>
      </c>
      <c r="AU231">
        <v>0</v>
      </c>
      <c r="AV231">
        <v>0</v>
      </c>
      <c r="AW231">
        <v>0</v>
      </c>
      <c r="AX231">
        <v>0</v>
      </c>
      <c r="AY231">
        <v>0</v>
      </c>
    </row>
    <row r="232" spans="1:51">
      <c r="A232" t="s">
        <v>16974</v>
      </c>
      <c r="B232" t="s">
        <v>17139</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s="4">
        <v>0</v>
      </c>
      <c r="X232" s="4">
        <v>0</v>
      </c>
      <c r="Y232">
        <v>0</v>
      </c>
      <c r="Z232">
        <v>0</v>
      </c>
      <c r="AA232" s="4">
        <v>0</v>
      </c>
      <c r="AB232" s="4">
        <v>0</v>
      </c>
      <c r="AC232" s="4">
        <v>0</v>
      </c>
      <c r="AD232" s="4">
        <v>0</v>
      </c>
      <c r="AE232" s="4">
        <v>0</v>
      </c>
      <c r="AF232" s="4">
        <v>0</v>
      </c>
      <c r="AG232" s="4">
        <v>0</v>
      </c>
      <c r="AH232" s="4">
        <v>0</v>
      </c>
      <c r="AI232" s="4">
        <v>0</v>
      </c>
      <c r="AJ232" s="4">
        <v>0</v>
      </c>
      <c r="AK232" s="4">
        <v>0</v>
      </c>
      <c r="AL232" s="4">
        <v>0</v>
      </c>
      <c r="AM232">
        <v>0</v>
      </c>
      <c r="AN232">
        <v>0</v>
      </c>
      <c r="AO232">
        <v>0</v>
      </c>
      <c r="AP232">
        <v>0</v>
      </c>
      <c r="AQ232">
        <v>0</v>
      </c>
      <c r="AR232">
        <v>0</v>
      </c>
      <c r="AS232">
        <v>0</v>
      </c>
      <c r="AT232">
        <v>0</v>
      </c>
      <c r="AU232">
        <v>0</v>
      </c>
      <c r="AV232">
        <v>0</v>
      </c>
      <c r="AW232">
        <v>0</v>
      </c>
      <c r="AX232">
        <v>0</v>
      </c>
      <c r="AY232">
        <v>0</v>
      </c>
    </row>
    <row r="233" spans="1:51">
      <c r="A233" t="s">
        <v>16974</v>
      </c>
      <c r="B233" t="s">
        <v>17310</v>
      </c>
      <c r="C233">
        <v>188</v>
      </c>
      <c r="D233">
        <v>188</v>
      </c>
      <c r="E233">
        <v>0</v>
      </c>
      <c r="F233">
        <v>188</v>
      </c>
      <c r="G233">
        <v>0</v>
      </c>
      <c r="H233">
        <v>0</v>
      </c>
      <c r="I233">
        <v>0</v>
      </c>
      <c r="J233">
        <v>188</v>
      </c>
      <c r="K233">
        <v>628</v>
      </c>
      <c r="L233">
        <v>188</v>
      </c>
      <c r="M233">
        <v>0</v>
      </c>
      <c r="N233">
        <v>0</v>
      </c>
      <c r="O233">
        <v>0</v>
      </c>
      <c r="P233">
        <v>0</v>
      </c>
      <c r="Q233">
        <v>0</v>
      </c>
      <c r="R233">
        <v>0</v>
      </c>
      <c r="S233">
        <v>0</v>
      </c>
      <c r="T233">
        <v>0</v>
      </c>
      <c r="U233">
        <v>0</v>
      </c>
      <c r="V233">
        <v>0</v>
      </c>
      <c r="W233" s="4">
        <v>0</v>
      </c>
      <c r="X233" s="4">
        <v>0</v>
      </c>
      <c r="Y233">
        <v>0</v>
      </c>
      <c r="Z233">
        <v>0</v>
      </c>
      <c r="AA233" s="4">
        <v>0</v>
      </c>
      <c r="AB233" s="4">
        <v>0</v>
      </c>
      <c r="AC233" s="4">
        <v>0</v>
      </c>
      <c r="AD233" s="4">
        <v>0</v>
      </c>
      <c r="AE233" s="4">
        <v>35</v>
      </c>
      <c r="AF233" s="4">
        <v>0</v>
      </c>
      <c r="AG233" s="4">
        <v>0</v>
      </c>
      <c r="AH233" s="4">
        <v>0</v>
      </c>
      <c r="AI233" s="4">
        <v>0</v>
      </c>
      <c r="AJ233" s="4">
        <v>0</v>
      </c>
      <c r="AK233" s="4">
        <v>0</v>
      </c>
      <c r="AL233" s="4">
        <v>0</v>
      </c>
      <c r="AM233">
        <v>628</v>
      </c>
      <c r="AN233">
        <v>0</v>
      </c>
      <c r="AO233">
        <v>0</v>
      </c>
      <c r="AP233">
        <v>628</v>
      </c>
      <c r="AQ233">
        <v>0</v>
      </c>
      <c r="AR233">
        <v>0</v>
      </c>
      <c r="AS233">
        <v>0</v>
      </c>
      <c r="AT233">
        <v>0</v>
      </c>
      <c r="AU233">
        <v>0</v>
      </c>
      <c r="AV233">
        <v>0</v>
      </c>
      <c r="AW233">
        <v>0</v>
      </c>
      <c r="AX233">
        <v>0</v>
      </c>
      <c r="AY233">
        <v>195</v>
      </c>
    </row>
    <row r="234" spans="1:51">
      <c r="A234" t="s">
        <v>16974</v>
      </c>
      <c r="B234" t="s">
        <v>17142</v>
      </c>
      <c r="C234">
        <v>0</v>
      </c>
      <c r="D234">
        <v>6</v>
      </c>
      <c r="E234">
        <v>6</v>
      </c>
      <c r="F234">
        <v>6</v>
      </c>
      <c r="G234">
        <v>0</v>
      </c>
      <c r="H234">
        <v>1</v>
      </c>
      <c r="I234">
        <v>1</v>
      </c>
      <c r="J234">
        <v>5</v>
      </c>
      <c r="K234">
        <v>52</v>
      </c>
      <c r="L234">
        <v>2</v>
      </c>
      <c r="M234">
        <v>0</v>
      </c>
      <c r="N234">
        <v>0</v>
      </c>
      <c r="O234">
        <v>1</v>
      </c>
      <c r="P234">
        <v>0</v>
      </c>
      <c r="Q234">
        <v>2</v>
      </c>
      <c r="R234">
        <v>0</v>
      </c>
      <c r="S234">
        <v>1</v>
      </c>
      <c r="T234">
        <v>9</v>
      </c>
      <c r="U234">
        <v>0</v>
      </c>
      <c r="V234">
        <v>9.75</v>
      </c>
      <c r="W234" s="4">
        <v>187.5</v>
      </c>
      <c r="X234" s="4">
        <v>0</v>
      </c>
      <c r="Y234">
        <v>5</v>
      </c>
      <c r="Z234">
        <v>0</v>
      </c>
      <c r="AA234" s="4">
        <v>0</v>
      </c>
      <c r="AB234" s="4">
        <v>130</v>
      </c>
      <c r="AC234" s="4">
        <v>553.95000000000005</v>
      </c>
      <c r="AD234" s="4">
        <v>553.95000000000005</v>
      </c>
      <c r="AE234" s="4">
        <v>25.25</v>
      </c>
      <c r="AF234" s="4">
        <v>683.95</v>
      </c>
      <c r="AG234" s="4">
        <v>741.45</v>
      </c>
      <c r="AH234" s="4">
        <v>716.2</v>
      </c>
      <c r="AI234" s="4">
        <v>25.25</v>
      </c>
      <c r="AJ234" s="4">
        <v>25.25</v>
      </c>
      <c r="AK234" s="4">
        <v>47.75</v>
      </c>
      <c r="AL234" s="4">
        <v>22.5</v>
      </c>
      <c r="AM234">
        <v>52</v>
      </c>
      <c r="AN234">
        <v>37</v>
      </c>
      <c r="AO234">
        <v>15</v>
      </c>
      <c r="AP234">
        <v>0</v>
      </c>
      <c r="AQ234">
        <v>0.75</v>
      </c>
      <c r="AR234">
        <v>0.25</v>
      </c>
      <c r="AS234">
        <v>0.5</v>
      </c>
      <c r="AT234">
        <v>0</v>
      </c>
      <c r="AU234">
        <v>9</v>
      </c>
      <c r="AV234">
        <v>1</v>
      </c>
      <c r="AW234">
        <v>8</v>
      </c>
      <c r="AX234">
        <v>0</v>
      </c>
      <c r="AY234">
        <v>0</v>
      </c>
    </row>
    <row r="235" spans="1:51">
      <c r="A235" t="s">
        <v>16974</v>
      </c>
      <c r="B235" t="s">
        <v>17144</v>
      </c>
      <c r="C235">
        <v>0</v>
      </c>
      <c r="D235">
        <v>4</v>
      </c>
      <c r="E235">
        <v>4</v>
      </c>
      <c r="F235">
        <v>4</v>
      </c>
      <c r="G235">
        <v>0</v>
      </c>
      <c r="H235">
        <v>0</v>
      </c>
      <c r="I235">
        <v>0</v>
      </c>
      <c r="J235">
        <v>4</v>
      </c>
      <c r="K235">
        <v>16</v>
      </c>
      <c r="L235">
        <v>4</v>
      </c>
      <c r="M235">
        <v>0</v>
      </c>
      <c r="N235">
        <v>0</v>
      </c>
      <c r="O235">
        <v>0</v>
      </c>
      <c r="P235">
        <v>0</v>
      </c>
      <c r="Q235">
        <v>0</v>
      </c>
      <c r="R235">
        <v>0</v>
      </c>
      <c r="S235">
        <v>1.75</v>
      </c>
      <c r="T235">
        <v>1.25</v>
      </c>
      <c r="U235">
        <v>0</v>
      </c>
      <c r="V235">
        <v>3</v>
      </c>
      <c r="W235" s="4">
        <v>42.5</v>
      </c>
      <c r="X235" s="4">
        <v>0</v>
      </c>
      <c r="Y235">
        <v>3</v>
      </c>
      <c r="Z235">
        <v>1</v>
      </c>
      <c r="AA235" s="4">
        <v>0</v>
      </c>
      <c r="AB235" s="4">
        <v>0</v>
      </c>
      <c r="AC235" s="4">
        <v>0</v>
      </c>
      <c r="AD235" s="4">
        <v>0</v>
      </c>
      <c r="AE235" s="4">
        <v>0</v>
      </c>
      <c r="AF235" s="4">
        <v>0</v>
      </c>
      <c r="AG235" s="4">
        <v>42.5</v>
      </c>
      <c r="AH235" s="4">
        <v>42.5</v>
      </c>
      <c r="AI235" s="4">
        <v>0</v>
      </c>
      <c r="AJ235" s="4">
        <v>0</v>
      </c>
      <c r="AK235" s="4">
        <v>0</v>
      </c>
      <c r="AL235" s="4">
        <v>0</v>
      </c>
      <c r="AM235">
        <v>16</v>
      </c>
      <c r="AN235">
        <v>0</v>
      </c>
      <c r="AO235">
        <v>16</v>
      </c>
      <c r="AP235">
        <v>0</v>
      </c>
      <c r="AQ235">
        <v>1.75</v>
      </c>
      <c r="AR235">
        <v>0</v>
      </c>
      <c r="AS235">
        <v>1.75</v>
      </c>
      <c r="AT235">
        <v>0</v>
      </c>
      <c r="AU235">
        <v>1.25</v>
      </c>
      <c r="AV235">
        <v>0</v>
      </c>
      <c r="AW235">
        <v>1.25</v>
      </c>
      <c r="AX235">
        <v>0</v>
      </c>
      <c r="AY235">
        <v>644</v>
      </c>
    </row>
    <row r="236" spans="1:51">
      <c r="A236" t="s">
        <v>16974</v>
      </c>
      <c r="B236" t="s">
        <v>17145</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s="4">
        <v>0</v>
      </c>
      <c r="X236" s="4">
        <v>0</v>
      </c>
      <c r="Y236">
        <v>0</v>
      </c>
      <c r="Z236">
        <v>0</v>
      </c>
      <c r="AA236" s="4">
        <v>0</v>
      </c>
      <c r="AB236" s="4">
        <v>0</v>
      </c>
      <c r="AC236" s="4">
        <v>0</v>
      </c>
      <c r="AD236" s="4">
        <v>0</v>
      </c>
      <c r="AE236" s="4">
        <v>0</v>
      </c>
      <c r="AF236" s="4">
        <v>0</v>
      </c>
      <c r="AG236" s="4">
        <v>0</v>
      </c>
      <c r="AH236" s="4">
        <v>0</v>
      </c>
      <c r="AI236" s="4">
        <v>0</v>
      </c>
      <c r="AJ236" s="4">
        <v>0</v>
      </c>
      <c r="AK236" s="4">
        <v>0</v>
      </c>
      <c r="AL236" s="4">
        <v>0</v>
      </c>
      <c r="AM236">
        <v>0</v>
      </c>
      <c r="AN236">
        <v>0</v>
      </c>
      <c r="AO236">
        <v>0</v>
      </c>
      <c r="AP236">
        <v>0</v>
      </c>
      <c r="AQ236">
        <v>0</v>
      </c>
      <c r="AR236">
        <v>0</v>
      </c>
      <c r="AS236">
        <v>0</v>
      </c>
      <c r="AT236">
        <v>0</v>
      </c>
      <c r="AU236">
        <v>0</v>
      </c>
      <c r="AV236">
        <v>0</v>
      </c>
      <c r="AW236">
        <v>0</v>
      </c>
      <c r="AX236">
        <v>0</v>
      </c>
      <c r="AY236">
        <v>0</v>
      </c>
    </row>
    <row r="237" spans="1:51">
      <c r="A237" t="s">
        <v>16974</v>
      </c>
      <c r="B237" t="s">
        <v>17324</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s="4">
        <v>0</v>
      </c>
      <c r="X237" s="4">
        <v>0</v>
      </c>
      <c r="Y237">
        <v>0</v>
      </c>
      <c r="Z237">
        <v>0</v>
      </c>
      <c r="AA237" s="4">
        <v>0</v>
      </c>
      <c r="AB237" s="4">
        <v>0</v>
      </c>
      <c r="AC237" s="4">
        <v>0</v>
      </c>
      <c r="AD237" s="4">
        <v>0</v>
      </c>
      <c r="AE237" s="4">
        <v>0</v>
      </c>
      <c r="AF237" s="4">
        <v>0</v>
      </c>
      <c r="AG237" s="4">
        <v>0</v>
      </c>
      <c r="AH237" s="4">
        <v>0</v>
      </c>
      <c r="AI237" s="4">
        <v>0</v>
      </c>
      <c r="AJ237" s="4">
        <v>0</v>
      </c>
      <c r="AK237" s="4">
        <v>0</v>
      </c>
      <c r="AL237" s="4">
        <v>0</v>
      </c>
      <c r="AM237">
        <v>0</v>
      </c>
      <c r="AN237">
        <v>0</v>
      </c>
      <c r="AO237">
        <v>0</v>
      </c>
      <c r="AP237">
        <v>0</v>
      </c>
      <c r="AQ237">
        <v>0</v>
      </c>
      <c r="AR237">
        <v>0</v>
      </c>
      <c r="AS237">
        <v>0</v>
      </c>
      <c r="AT237">
        <v>0</v>
      </c>
      <c r="AU237">
        <v>0</v>
      </c>
      <c r="AV237">
        <v>0</v>
      </c>
      <c r="AW237">
        <v>0</v>
      </c>
      <c r="AX237">
        <v>0</v>
      </c>
      <c r="AY237">
        <v>0</v>
      </c>
    </row>
    <row r="238" spans="1:51">
      <c r="A238" t="s">
        <v>16974</v>
      </c>
      <c r="B238" t="s">
        <v>17322</v>
      </c>
      <c r="C238">
        <v>0</v>
      </c>
      <c r="D238">
        <v>1</v>
      </c>
      <c r="E238">
        <v>1</v>
      </c>
      <c r="F238">
        <v>1</v>
      </c>
      <c r="G238">
        <v>1</v>
      </c>
      <c r="H238">
        <v>1</v>
      </c>
      <c r="I238">
        <v>1</v>
      </c>
      <c r="J238">
        <v>0</v>
      </c>
      <c r="K238">
        <v>0</v>
      </c>
      <c r="L238">
        <v>0</v>
      </c>
      <c r="M238">
        <v>0</v>
      </c>
      <c r="N238">
        <v>0</v>
      </c>
      <c r="O238">
        <v>0</v>
      </c>
      <c r="P238">
        <v>0</v>
      </c>
      <c r="Q238">
        <v>0</v>
      </c>
      <c r="R238">
        <v>0</v>
      </c>
      <c r="S238">
        <v>0</v>
      </c>
      <c r="T238">
        <v>0</v>
      </c>
      <c r="U238">
        <v>0</v>
      </c>
      <c r="V238">
        <v>0</v>
      </c>
      <c r="W238" s="4">
        <v>0</v>
      </c>
      <c r="X238" s="4">
        <v>0</v>
      </c>
      <c r="Y238">
        <v>0</v>
      </c>
      <c r="Z238">
        <v>0</v>
      </c>
      <c r="AA238" s="4">
        <v>0</v>
      </c>
      <c r="AB238" s="4">
        <v>0</v>
      </c>
      <c r="AC238" s="4">
        <v>0</v>
      </c>
      <c r="AD238" s="4">
        <v>0</v>
      </c>
      <c r="AE238" s="4">
        <v>0</v>
      </c>
      <c r="AF238" s="4">
        <v>0</v>
      </c>
      <c r="AG238" s="4">
        <v>0</v>
      </c>
      <c r="AH238" s="4">
        <v>0</v>
      </c>
      <c r="AI238" s="4">
        <v>0</v>
      </c>
      <c r="AJ238" s="4">
        <v>0</v>
      </c>
      <c r="AK238" s="4">
        <v>0</v>
      </c>
      <c r="AL238" s="4">
        <v>0</v>
      </c>
      <c r="AM238">
        <v>0</v>
      </c>
      <c r="AN238">
        <v>0</v>
      </c>
      <c r="AO238">
        <v>0</v>
      </c>
      <c r="AP238">
        <v>0</v>
      </c>
      <c r="AQ238">
        <v>0</v>
      </c>
      <c r="AR238">
        <v>0</v>
      </c>
      <c r="AS238">
        <v>0</v>
      </c>
      <c r="AT238">
        <v>0</v>
      </c>
      <c r="AU238">
        <v>0</v>
      </c>
      <c r="AV238">
        <v>0</v>
      </c>
      <c r="AW238">
        <v>0</v>
      </c>
      <c r="AX238">
        <v>0</v>
      </c>
      <c r="AY238">
        <v>0</v>
      </c>
    </row>
    <row r="239" spans="1:51">
      <c r="A239" t="s">
        <v>16974</v>
      </c>
      <c r="B239" t="s">
        <v>17323</v>
      </c>
      <c r="C239">
        <v>0</v>
      </c>
      <c r="D239">
        <v>4</v>
      </c>
      <c r="E239">
        <v>4</v>
      </c>
      <c r="F239">
        <v>3</v>
      </c>
      <c r="G239">
        <v>1</v>
      </c>
      <c r="H239">
        <v>2</v>
      </c>
      <c r="I239">
        <v>0</v>
      </c>
      <c r="J239">
        <v>4</v>
      </c>
      <c r="K239">
        <v>29</v>
      </c>
      <c r="L239">
        <v>3</v>
      </c>
      <c r="M239">
        <v>0</v>
      </c>
      <c r="N239">
        <v>0</v>
      </c>
      <c r="O239">
        <v>0</v>
      </c>
      <c r="P239">
        <v>0</v>
      </c>
      <c r="Q239">
        <v>1</v>
      </c>
      <c r="R239">
        <v>0</v>
      </c>
      <c r="S239">
        <v>0.75</v>
      </c>
      <c r="T239">
        <v>0</v>
      </c>
      <c r="U239">
        <v>0</v>
      </c>
      <c r="V239">
        <v>1</v>
      </c>
      <c r="W239" s="4">
        <v>7.5</v>
      </c>
      <c r="X239" s="4">
        <v>0</v>
      </c>
      <c r="Y239">
        <v>3</v>
      </c>
      <c r="Z239">
        <v>0</v>
      </c>
      <c r="AA239" s="4">
        <v>0</v>
      </c>
      <c r="AB239" s="4">
        <v>0</v>
      </c>
      <c r="AC239" s="4">
        <v>0</v>
      </c>
      <c r="AD239" s="4">
        <v>0</v>
      </c>
      <c r="AE239" s="4">
        <v>0</v>
      </c>
      <c r="AF239" s="4">
        <v>0</v>
      </c>
      <c r="AG239" s="4">
        <v>7.5</v>
      </c>
      <c r="AH239" s="4">
        <v>7.5</v>
      </c>
      <c r="AI239" s="4">
        <v>0</v>
      </c>
      <c r="AJ239" s="4">
        <v>0</v>
      </c>
      <c r="AK239" s="4">
        <v>2.5</v>
      </c>
      <c r="AL239" s="4">
        <v>2.5</v>
      </c>
      <c r="AM239">
        <v>29</v>
      </c>
      <c r="AN239">
        <v>27</v>
      </c>
      <c r="AO239">
        <v>2</v>
      </c>
      <c r="AP239">
        <v>0</v>
      </c>
      <c r="AQ239">
        <v>0.75</v>
      </c>
      <c r="AR239">
        <v>0.25</v>
      </c>
      <c r="AS239">
        <v>0.5</v>
      </c>
      <c r="AT239">
        <v>0</v>
      </c>
      <c r="AU239">
        <v>0</v>
      </c>
      <c r="AV239">
        <v>0</v>
      </c>
      <c r="AW239">
        <v>0</v>
      </c>
      <c r="AX239">
        <v>0</v>
      </c>
      <c r="AY239">
        <v>4</v>
      </c>
    </row>
    <row r="240" spans="1:51">
      <c r="A240" t="s">
        <v>16974</v>
      </c>
      <c r="B240" t="s">
        <v>17320</v>
      </c>
      <c r="C240">
        <v>0</v>
      </c>
      <c r="D240">
        <v>18</v>
      </c>
      <c r="E240">
        <v>17</v>
      </c>
      <c r="F240">
        <v>13</v>
      </c>
      <c r="G240">
        <v>1</v>
      </c>
      <c r="H240">
        <v>11</v>
      </c>
      <c r="I240">
        <v>5</v>
      </c>
      <c r="J240">
        <v>14</v>
      </c>
      <c r="K240">
        <v>370</v>
      </c>
      <c r="L240">
        <v>2</v>
      </c>
      <c r="M240">
        <v>2</v>
      </c>
      <c r="N240">
        <v>9</v>
      </c>
      <c r="O240">
        <v>1</v>
      </c>
      <c r="P240">
        <v>1</v>
      </c>
      <c r="Q240">
        <v>2</v>
      </c>
      <c r="R240">
        <v>0</v>
      </c>
      <c r="S240">
        <v>6.25</v>
      </c>
      <c r="T240">
        <v>135</v>
      </c>
      <c r="U240">
        <v>0</v>
      </c>
      <c r="V240">
        <v>141.25</v>
      </c>
      <c r="W240" s="4">
        <v>2762.5</v>
      </c>
      <c r="X240" s="4">
        <v>0</v>
      </c>
      <c r="Y240">
        <v>11</v>
      </c>
      <c r="Z240">
        <v>4</v>
      </c>
      <c r="AA240" s="4">
        <v>0</v>
      </c>
      <c r="AB240" s="4">
        <v>2377.5</v>
      </c>
      <c r="AC240" s="4">
        <v>3332.5</v>
      </c>
      <c r="AD240" s="4">
        <v>1702.5</v>
      </c>
      <c r="AE240" s="4">
        <v>1677.5</v>
      </c>
      <c r="AF240" s="4">
        <v>4080</v>
      </c>
      <c r="AG240" s="4">
        <v>6095</v>
      </c>
      <c r="AH240" s="4">
        <v>4417.5</v>
      </c>
      <c r="AI240" s="4">
        <v>1180</v>
      </c>
      <c r="AJ240" s="4">
        <v>3125</v>
      </c>
      <c r="AK240" s="4">
        <v>4950</v>
      </c>
      <c r="AL240" s="4">
        <v>3770</v>
      </c>
      <c r="AM240">
        <v>319</v>
      </c>
      <c r="AN240">
        <v>187</v>
      </c>
      <c r="AO240">
        <v>132</v>
      </c>
      <c r="AP240">
        <v>0</v>
      </c>
      <c r="AQ240">
        <v>6.25</v>
      </c>
      <c r="AR240">
        <v>3.5</v>
      </c>
      <c r="AS240">
        <v>2.75</v>
      </c>
      <c r="AT240">
        <v>0</v>
      </c>
      <c r="AU240">
        <v>135</v>
      </c>
      <c r="AV240">
        <v>107</v>
      </c>
      <c r="AW240">
        <v>28</v>
      </c>
      <c r="AX240">
        <v>0</v>
      </c>
      <c r="AY240">
        <v>0</v>
      </c>
    </row>
    <row r="241" spans="1:51">
      <c r="A241" t="s">
        <v>17148</v>
      </c>
      <c r="B241" t="s">
        <v>17304</v>
      </c>
      <c r="C241">
        <v>0</v>
      </c>
      <c r="D241">
        <v>22</v>
      </c>
      <c r="E241">
        <v>22</v>
      </c>
      <c r="F241">
        <v>21</v>
      </c>
      <c r="G241">
        <v>1</v>
      </c>
      <c r="H241">
        <v>0</v>
      </c>
      <c r="I241">
        <v>0</v>
      </c>
      <c r="J241">
        <v>22</v>
      </c>
      <c r="K241">
        <v>103</v>
      </c>
      <c r="L241">
        <v>20</v>
      </c>
      <c r="M241">
        <v>0</v>
      </c>
      <c r="N241">
        <v>0</v>
      </c>
      <c r="O241">
        <v>2</v>
      </c>
      <c r="P241">
        <v>0</v>
      </c>
      <c r="Q241">
        <v>0</v>
      </c>
      <c r="R241">
        <v>0</v>
      </c>
      <c r="S241">
        <v>6</v>
      </c>
      <c r="T241">
        <v>0</v>
      </c>
      <c r="U241">
        <v>0</v>
      </c>
      <c r="V241">
        <v>6</v>
      </c>
      <c r="W241" s="4">
        <v>60</v>
      </c>
      <c r="X241" s="4">
        <v>0</v>
      </c>
      <c r="Y241">
        <v>0</v>
      </c>
      <c r="Z241">
        <v>1</v>
      </c>
      <c r="AA241" s="4">
        <v>0</v>
      </c>
      <c r="AB241" s="4">
        <v>0</v>
      </c>
      <c r="AC241" s="4">
        <v>0</v>
      </c>
      <c r="AD241" s="4">
        <v>0</v>
      </c>
      <c r="AE241" s="4">
        <v>0</v>
      </c>
      <c r="AF241" s="4">
        <v>0</v>
      </c>
      <c r="AG241" s="4">
        <v>60</v>
      </c>
      <c r="AH241" s="4">
        <v>60</v>
      </c>
      <c r="AI241" s="4">
        <v>0</v>
      </c>
      <c r="AJ241" s="4">
        <v>0</v>
      </c>
      <c r="AK241" s="4">
        <v>0</v>
      </c>
      <c r="AL241" s="4">
        <v>0</v>
      </c>
      <c r="AM241">
        <v>103</v>
      </c>
      <c r="AN241">
        <v>0</v>
      </c>
      <c r="AO241">
        <v>103</v>
      </c>
      <c r="AP241">
        <v>0</v>
      </c>
      <c r="AQ241">
        <v>6</v>
      </c>
      <c r="AR241">
        <v>0</v>
      </c>
      <c r="AS241">
        <v>6</v>
      </c>
      <c r="AT241">
        <v>0</v>
      </c>
      <c r="AU241">
        <v>0</v>
      </c>
      <c r="AV241">
        <v>0</v>
      </c>
      <c r="AW241">
        <v>0</v>
      </c>
      <c r="AX241">
        <v>0</v>
      </c>
      <c r="AY241">
        <v>3</v>
      </c>
    </row>
    <row r="242" spans="1:51">
      <c r="A242" t="s">
        <v>17150</v>
      </c>
      <c r="B242" t="s">
        <v>17392</v>
      </c>
      <c r="C242">
        <v>0</v>
      </c>
      <c r="D242">
        <v>11</v>
      </c>
      <c r="E242">
        <v>11</v>
      </c>
      <c r="F242">
        <v>9</v>
      </c>
      <c r="G242">
        <v>0</v>
      </c>
      <c r="H242">
        <v>3</v>
      </c>
      <c r="I242">
        <v>0</v>
      </c>
      <c r="J242">
        <v>11</v>
      </c>
      <c r="K242">
        <v>108</v>
      </c>
      <c r="L242">
        <v>4</v>
      </c>
      <c r="M242">
        <v>2</v>
      </c>
      <c r="N242">
        <v>2</v>
      </c>
      <c r="O242">
        <v>1</v>
      </c>
      <c r="P242">
        <v>1</v>
      </c>
      <c r="Q242">
        <v>1</v>
      </c>
      <c r="R242">
        <v>0</v>
      </c>
      <c r="S242">
        <v>37.5</v>
      </c>
      <c r="T242">
        <v>4</v>
      </c>
      <c r="U242">
        <v>0</v>
      </c>
      <c r="V242">
        <v>41.5</v>
      </c>
      <c r="W242" s="4">
        <v>455</v>
      </c>
      <c r="X242" s="4">
        <v>0</v>
      </c>
      <c r="Y242">
        <v>11</v>
      </c>
      <c r="Z242">
        <v>0</v>
      </c>
      <c r="AA242" s="4">
        <v>0</v>
      </c>
      <c r="AB242" s="4">
        <v>247.5</v>
      </c>
      <c r="AC242" s="4">
        <v>0.6</v>
      </c>
      <c r="AD242" s="4">
        <v>0.6</v>
      </c>
      <c r="AE242" s="4">
        <v>0</v>
      </c>
      <c r="AF242" s="4">
        <v>248.1</v>
      </c>
      <c r="AG242" s="4">
        <v>455.6</v>
      </c>
      <c r="AH242" s="4">
        <v>455.6</v>
      </c>
      <c r="AI242" s="4">
        <v>0</v>
      </c>
      <c r="AJ242" s="4">
        <v>167.5</v>
      </c>
      <c r="AK242" s="4">
        <v>257.5</v>
      </c>
      <c r="AL242" s="4">
        <v>257.5</v>
      </c>
      <c r="AM242">
        <v>108</v>
      </c>
      <c r="AN242">
        <v>48</v>
      </c>
      <c r="AO242">
        <v>60</v>
      </c>
      <c r="AP242">
        <v>0</v>
      </c>
      <c r="AQ242">
        <v>37.5</v>
      </c>
      <c r="AR242">
        <v>25.75</v>
      </c>
      <c r="AS242">
        <v>11.75</v>
      </c>
      <c r="AT242">
        <v>0</v>
      </c>
      <c r="AU242">
        <v>4</v>
      </c>
      <c r="AV242">
        <v>0</v>
      </c>
      <c r="AW242">
        <v>4</v>
      </c>
      <c r="AX242">
        <v>0</v>
      </c>
      <c r="AY242">
        <v>0</v>
      </c>
    </row>
    <row r="243" spans="1:51">
      <c r="A243" t="s">
        <v>17150</v>
      </c>
      <c r="B243" t="s">
        <v>17153</v>
      </c>
      <c r="C243">
        <v>0</v>
      </c>
      <c r="D243">
        <v>8</v>
      </c>
      <c r="E243">
        <v>8</v>
      </c>
      <c r="F243">
        <v>8</v>
      </c>
      <c r="G243">
        <v>0</v>
      </c>
      <c r="H243">
        <v>3</v>
      </c>
      <c r="I243">
        <v>1</v>
      </c>
      <c r="J243">
        <v>8</v>
      </c>
      <c r="K243">
        <v>158</v>
      </c>
      <c r="L243">
        <v>6</v>
      </c>
      <c r="M243">
        <v>0</v>
      </c>
      <c r="N243">
        <v>0</v>
      </c>
      <c r="O243">
        <v>2</v>
      </c>
      <c r="P243">
        <v>0</v>
      </c>
      <c r="Q243">
        <v>0</v>
      </c>
      <c r="R243">
        <v>0</v>
      </c>
      <c r="S243">
        <v>17.5</v>
      </c>
      <c r="T243">
        <v>9</v>
      </c>
      <c r="U243">
        <v>0</v>
      </c>
      <c r="V243">
        <v>26.5</v>
      </c>
      <c r="W243" s="4">
        <v>355</v>
      </c>
      <c r="X243" s="4">
        <v>0</v>
      </c>
      <c r="Y243">
        <v>8</v>
      </c>
      <c r="Z243">
        <v>0</v>
      </c>
      <c r="AA243" s="4">
        <v>0</v>
      </c>
      <c r="AB243" s="4">
        <v>175</v>
      </c>
      <c r="AC243" s="4">
        <v>0</v>
      </c>
      <c r="AD243" s="4">
        <v>0</v>
      </c>
      <c r="AE243" s="4">
        <v>0</v>
      </c>
      <c r="AF243" s="4">
        <v>175</v>
      </c>
      <c r="AG243" s="4">
        <v>355</v>
      </c>
      <c r="AH243" s="4">
        <v>355</v>
      </c>
      <c r="AI243" s="4">
        <v>0</v>
      </c>
      <c r="AJ243" s="4">
        <v>170</v>
      </c>
      <c r="AK243" s="4">
        <v>260</v>
      </c>
      <c r="AL243" s="4">
        <v>260</v>
      </c>
      <c r="AM243">
        <v>158</v>
      </c>
      <c r="AN243">
        <v>92</v>
      </c>
      <c r="AO243">
        <v>66</v>
      </c>
      <c r="AP243">
        <v>0</v>
      </c>
      <c r="AQ243">
        <v>17.5</v>
      </c>
      <c r="AR243">
        <v>10</v>
      </c>
      <c r="AS243">
        <v>7.5</v>
      </c>
      <c r="AT243">
        <v>0</v>
      </c>
      <c r="AU243">
        <v>9</v>
      </c>
      <c r="AV243">
        <v>8</v>
      </c>
      <c r="AW243">
        <v>1</v>
      </c>
      <c r="AX243">
        <v>0</v>
      </c>
      <c r="AY243">
        <v>24700</v>
      </c>
    </row>
    <row r="244" spans="1:51">
      <c r="A244" t="s">
        <v>17150</v>
      </c>
      <c r="B244" t="s">
        <v>17375</v>
      </c>
      <c r="C244">
        <v>2</v>
      </c>
      <c r="D244">
        <v>17</v>
      </c>
      <c r="E244">
        <v>17</v>
      </c>
      <c r="F244">
        <v>2</v>
      </c>
      <c r="G244">
        <v>9</v>
      </c>
      <c r="H244">
        <v>0</v>
      </c>
      <c r="I244">
        <v>0</v>
      </c>
      <c r="J244">
        <v>17</v>
      </c>
      <c r="K244">
        <v>593</v>
      </c>
      <c r="L244">
        <v>10</v>
      </c>
      <c r="M244">
        <v>0</v>
      </c>
      <c r="N244">
        <v>0</v>
      </c>
      <c r="O244">
        <v>3</v>
      </c>
      <c r="P244">
        <v>3</v>
      </c>
      <c r="Q244">
        <v>0</v>
      </c>
      <c r="R244">
        <v>0</v>
      </c>
      <c r="S244">
        <v>33.25</v>
      </c>
      <c r="T244">
        <v>4.3</v>
      </c>
      <c r="U244">
        <v>0</v>
      </c>
      <c r="V244">
        <v>37.549999999999997</v>
      </c>
      <c r="W244" s="4">
        <v>332.5</v>
      </c>
      <c r="X244" s="4">
        <v>0</v>
      </c>
      <c r="Y244">
        <v>10</v>
      </c>
      <c r="Z244">
        <v>0</v>
      </c>
      <c r="AA244" s="4">
        <v>-86</v>
      </c>
      <c r="AB244" s="4">
        <v>100</v>
      </c>
      <c r="AC244" s="4">
        <v>31.55</v>
      </c>
      <c r="AD244" s="4">
        <v>31.55</v>
      </c>
      <c r="AE244" s="4">
        <v>0</v>
      </c>
      <c r="AF244" s="4">
        <v>131.55000000000001</v>
      </c>
      <c r="AG244" s="4">
        <v>364.05</v>
      </c>
      <c r="AH244" s="4">
        <v>364.05</v>
      </c>
      <c r="AI244" s="4">
        <v>0</v>
      </c>
      <c r="AJ244" s="4">
        <v>0</v>
      </c>
      <c r="AK244" s="4">
        <v>0</v>
      </c>
      <c r="AL244" s="4">
        <v>0</v>
      </c>
      <c r="AM244">
        <v>593</v>
      </c>
      <c r="AN244">
        <v>0</v>
      </c>
      <c r="AO244">
        <v>570</v>
      </c>
      <c r="AP244">
        <v>23</v>
      </c>
      <c r="AQ244">
        <v>33.25</v>
      </c>
      <c r="AR244">
        <v>0</v>
      </c>
      <c r="AS244">
        <v>33.25</v>
      </c>
      <c r="AT244">
        <v>0</v>
      </c>
      <c r="AU244">
        <v>4.3</v>
      </c>
      <c r="AV244">
        <v>0</v>
      </c>
      <c r="AW244">
        <v>0</v>
      </c>
      <c r="AX244">
        <v>4.3</v>
      </c>
      <c r="AY244">
        <v>0</v>
      </c>
    </row>
    <row r="245" spans="1:51">
      <c r="A245" t="s">
        <v>17150</v>
      </c>
      <c r="B245" t="s">
        <v>17410</v>
      </c>
      <c r="C245">
        <v>0</v>
      </c>
      <c r="D245">
        <v>2</v>
      </c>
      <c r="E245">
        <v>0</v>
      </c>
      <c r="F245">
        <v>0</v>
      </c>
      <c r="G245">
        <v>0</v>
      </c>
      <c r="H245">
        <v>2</v>
      </c>
      <c r="I245">
        <v>0</v>
      </c>
      <c r="J245">
        <v>2</v>
      </c>
      <c r="K245">
        <v>18</v>
      </c>
      <c r="L245">
        <v>2</v>
      </c>
      <c r="M245">
        <v>0</v>
      </c>
      <c r="N245">
        <v>0</v>
      </c>
      <c r="O245">
        <v>0</v>
      </c>
      <c r="P245">
        <v>0</v>
      </c>
      <c r="Q245">
        <v>0</v>
      </c>
      <c r="R245">
        <v>0</v>
      </c>
      <c r="S245">
        <v>0</v>
      </c>
      <c r="T245">
        <v>0</v>
      </c>
      <c r="U245">
        <v>0</v>
      </c>
      <c r="V245">
        <v>0</v>
      </c>
      <c r="W245" s="4">
        <v>0</v>
      </c>
      <c r="X245" s="4">
        <v>0</v>
      </c>
      <c r="Y245">
        <v>0</v>
      </c>
      <c r="Z245">
        <v>0</v>
      </c>
      <c r="AA245" s="4">
        <v>0</v>
      </c>
      <c r="AB245" s="4">
        <v>0</v>
      </c>
      <c r="AC245" s="4">
        <v>0</v>
      </c>
      <c r="AD245" s="4">
        <v>0</v>
      </c>
      <c r="AE245" s="4">
        <v>0</v>
      </c>
      <c r="AF245" s="4">
        <v>0</v>
      </c>
      <c r="AG245" s="4">
        <v>0</v>
      </c>
      <c r="AH245" s="4">
        <v>0</v>
      </c>
      <c r="AI245" s="4">
        <v>0</v>
      </c>
      <c r="AJ245" s="4">
        <v>0</v>
      </c>
      <c r="AK245" s="4">
        <v>0</v>
      </c>
      <c r="AL245" s="4">
        <v>0</v>
      </c>
      <c r="AM245">
        <v>18</v>
      </c>
      <c r="AN245">
        <v>18</v>
      </c>
      <c r="AO245">
        <v>0</v>
      </c>
      <c r="AP245">
        <v>0</v>
      </c>
      <c r="AQ245">
        <v>0</v>
      </c>
      <c r="AR245">
        <v>0</v>
      </c>
      <c r="AS245">
        <v>0</v>
      </c>
      <c r="AT245">
        <v>0</v>
      </c>
      <c r="AU245">
        <v>0</v>
      </c>
      <c r="AV245">
        <v>0</v>
      </c>
      <c r="AW245">
        <v>0</v>
      </c>
      <c r="AX245">
        <v>0</v>
      </c>
    </row>
    <row r="246" spans="1:51">
      <c r="A246" t="s">
        <v>17150</v>
      </c>
      <c r="B246" t="s">
        <v>17154</v>
      </c>
      <c r="C246">
        <v>0</v>
      </c>
      <c r="D246">
        <v>1</v>
      </c>
      <c r="E246">
        <v>1</v>
      </c>
      <c r="F246">
        <v>1</v>
      </c>
      <c r="G246">
        <v>0</v>
      </c>
      <c r="H246">
        <v>0</v>
      </c>
      <c r="I246">
        <v>0</v>
      </c>
      <c r="J246">
        <v>1</v>
      </c>
      <c r="K246">
        <v>23</v>
      </c>
      <c r="L246">
        <v>1</v>
      </c>
      <c r="M246">
        <v>0</v>
      </c>
      <c r="N246">
        <v>0</v>
      </c>
      <c r="O246">
        <v>0</v>
      </c>
      <c r="P246">
        <v>0</v>
      </c>
      <c r="Q246">
        <v>0</v>
      </c>
      <c r="R246">
        <v>0</v>
      </c>
      <c r="S246">
        <v>0</v>
      </c>
      <c r="T246">
        <v>0</v>
      </c>
      <c r="U246">
        <v>0</v>
      </c>
      <c r="V246">
        <v>0</v>
      </c>
      <c r="W246" s="4">
        <v>0</v>
      </c>
      <c r="X246" s="4">
        <v>0</v>
      </c>
      <c r="Y246">
        <v>0</v>
      </c>
      <c r="Z246">
        <v>0</v>
      </c>
      <c r="AA246" s="4">
        <v>0</v>
      </c>
      <c r="AB246" s="4">
        <v>0</v>
      </c>
      <c r="AC246" s="4">
        <v>0</v>
      </c>
      <c r="AD246" s="4">
        <v>0</v>
      </c>
      <c r="AE246" s="4">
        <v>0</v>
      </c>
      <c r="AF246" s="4">
        <v>0</v>
      </c>
      <c r="AG246" s="4">
        <v>0</v>
      </c>
      <c r="AH246" s="4">
        <v>0</v>
      </c>
      <c r="AI246" s="4">
        <v>0</v>
      </c>
      <c r="AJ246" s="4">
        <v>0</v>
      </c>
      <c r="AK246" s="4">
        <v>0</v>
      </c>
      <c r="AL246" s="4">
        <v>0</v>
      </c>
      <c r="AM246">
        <v>23</v>
      </c>
      <c r="AN246">
        <v>0</v>
      </c>
      <c r="AO246">
        <v>23</v>
      </c>
      <c r="AP246">
        <v>0</v>
      </c>
      <c r="AQ246">
        <v>0</v>
      </c>
      <c r="AR246">
        <v>0</v>
      </c>
      <c r="AS246">
        <v>0</v>
      </c>
      <c r="AT246">
        <v>0</v>
      </c>
      <c r="AU246">
        <v>0</v>
      </c>
      <c r="AV246">
        <v>0</v>
      </c>
      <c r="AW246">
        <v>0</v>
      </c>
      <c r="AX246">
        <v>0</v>
      </c>
    </row>
    <row r="247" spans="1:51">
      <c r="A247" t="s">
        <v>17150</v>
      </c>
      <c r="B247" t="s">
        <v>17385</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s="4">
        <v>0</v>
      </c>
      <c r="X247" s="4">
        <v>0</v>
      </c>
      <c r="Y247">
        <v>0</v>
      </c>
      <c r="Z247">
        <v>0</v>
      </c>
      <c r="AA247" s="4">
        <v>0</v>
      </c>
      <c r="AB247" s="4">
        <v>0</v>
      </c>
      <c r="AC247" s="4">
        <v>0</v>
      </c>
      <c r="AD247" s="4">
        <v>0</v>
      </c>
      <c r="AE247" s="4">
        <v>0</v>
      </c>
      <c r="AF247" s="4">
        <v>0</v>
      </c>
      <c r="AG247" s="4">
        <v>0</v>
      </c>
      <c r="AH247" s="4">
        <v>0</v>
      </c>
      <c r="AI247" s="4">
        <v>0</v>
      </c>
      <c r="AJ247" s="4">
        <v>0</v>
      </c>
      <c r="AK247" s="4">
        <v>0</v>
      </c>
      <c r="AL247" s="4">
        <v>0</v>
      </c>
      <c r="AM247">
        <v>0</v>
      </c>
      <c r="AN247">
        <v>0</v>
      </c>
      <c r="AO247">
        <v>0</v>
      </c>
      <c r="AP247">
        <v>0</v>
      </c>
      <c r="AQ247">
        <v>0</v>
      </c>
      <c r="AR247">
        <v>0</v>
      </c>
      <c r="AS247">
        <v>0</v>
      </c>
      <c r="AT247">
        <v>0</v>
      </c>
      <c r="AU247">
        <v>0</v>
      </c>
      <c r="AV247">
        <v>0</v>
      </c>
      <c r="AW247">
        <v>0</v>
      </c>
      <c r="AX247">
        <v>0</v>
      </c>
      <c r="AY247">
        <v>0</v>
      </c>
    </row>
    <row r="248" spans="1:51">
      <c r="A248" t="s">
        <v>17202</v>
      </c>
      <c r="B248" t="s">
        <v>17306</v>
      </c>
      <c r="C248">
        <v>0</v>
      </c>
      <c r="D248">
        <v>8</v>
      </c>
      <c r="E248">
        <v>7</v>
      </c>
      <c r="F248">
        <v>8</v>
      </c>
      <c r="G248">
        <v>0</v>
      </c>
      <c r="H248">
        <v>0</v>
      </c>
      <c r="I248">
        <v>0</v>
      </c>
      <c r="J248">
        <v>8</v>
      </c>
      <c r="K248">
        <v>49</v>
      </c>
      <c r="L248">
        <v>5</v>
      </c>
      <c r="M248">
        <v>0</v>
      </c>
      <c r="N248">
        <v>3</v>
      </c>
      <c r="O248">
        <v>0</v>
      </c>
      <c r="P248">
        <v>0</v>
      </c>
      <c r="Q248">
        <v>0</v>
      </c>
      <c r="R248">
        <v>0</v>
      </c>
      <c r="S248">
        <v>19.25</v>
      </c>
      <c r="T248">
        <v>7.25</v>
      </c>
      <c r="U248">
        <v>2</v>
      </c>
      <c r="V248">
        <v>28.5</v>
      </c>
      <c r="W248" s="4">
        <v>337.5</v>
      </c>
      <c r="X248" s="4">
        <v>0</v>
      </c>
      <c r="Y248">
        <v>6</v>
      </c>
      <c r="Z248">
        <v>2</v>
      </c>
      <c r="AA248" s="4">
        <v>0</v>
      </c>
      <c r="AB248" s="4">
        <v>160</v>
      </c>
      <c r="AC248" s="4">
        <v>0</v>
      </c>
      <c r="AD248" s="4">
        <v>25</v>
      </c>
      <c r="AE248" s="4">
        <v>95</v>
      </c>
      <c r="AF248" s="4">
        <v>185</v>
      </c>
      <c r="AG248" s="4">
        <v>377.5</v>
      </c>
      <c r="AH248" s="4">
        <v>282.5</v>
      </c>
      <c r="AI248" s="4">
        <v>0</v>
      </c>
      <c r="AJ248" s="4">
        <v>0</v>
      </c>
      <c r="AK248" s="4">
        <v>0</v>
      </c>
      <c r="AL248" s="4">
        <v>0</v>
      </c>
      <c r="AM248">
        <v>49</v>
      </c>
      <c r="AN248">
        <v>0</v>
      </c>
      <c r="AO248">
        <v>49</v>
      </c>
      <c r="AP248">
        <v>0</v>
      </c>
      <c r="AQ248">
        <v>19.25</v>
      </c>
      <c r="AR248">
        <v>0</v>
      </c>
      <c r="AS248">
        <v>19.25</v>
      </c>
      <c r="AT248">
        <v>0</v>
      </c>
      <c r="AU248">
        <v>7.25</v>
      </c>
      <c r="AV248">
        <v>0</v>
      </c>
      <c r="AW248">
        <v>7.25</v>
      </c>
      <c r="AX248">
        <v>0</v>
      </c>
      <c r="AY248">
        <v>0</v>
      </c>
    </row>
    <row r="249" spans="1:51">
      <c r="A249" t="s">
        <v>17140</v>
      </c>
      <c r="B249" t="s">
        <v>17155</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s="4">
        <v>0</v>
      </c>
      <c r="X249" s="4">
        <v>0</v>
      </c>
      <c r="Y249">
        <v>0</v>
      </c>
      <c r="Z249">
        <v>0</v>
      </c>
      <c r="AA249" s="4">
        <v>0</v>
      </c>
      <c r="AB249" s="4">
        <v>0</v>
      </c>
      <c r="AC249" s="4">
        <v>0</v>
      </c>
      <c r="AD249" s="4">
        <v>0</v>
      </c>
      <c r="AE249" s="4">
        <v>0</v>
      </c>
      <c r="AF249" s="4">
        <v>0</v>
      </c>
      <c r="AG249" s="4">
        <v>0</v>
      </c>
      <c r="AH249" s="4">
        <v>0</v>
      </c>
      <c r="AI249" s="4">
        <v>0</v>
      </c>
      <c r="AJ249" s="4">
        <v>0</v>
      </c>
      <c r="AK249" s="4">
        <v>0</v>
      </c>
      <c r="AL249" s="4">
        <v>0</v>
      </c>
      <c r="AM249">
        <v>0</v>
      </c>
      <c r="AN249">
        <v>0</v>
      </c>
      <c r="AO249">
        <v>0</v>
      </c>
      <c r="AP249">
        <v>0</v>
      </c>
      <c r="AQ249">
        <v>0</v>
      </c>
      <c r="AR249">
        <v>0</v>
      </c>
      <c r="AS249">
        <v>0</v>
      </c>
      <c r="AT249">
        <v>0</v>
      </c>
      <c r="AU249">
        <v>0</v>
      </c>
      <c r="AV249">
        <v>0</v>
      </c>
      <c r="AW249">
        <v>0</v>
      </c>
      <c r="AX249">
        <v>0</v>
      </c>
      <c r="AY249">
        <v>0</v>
      </c>
    </row>
    <row r="250" spans="1:51">
      <c r="A250" t="s">
        <v>17140</v>
      </c>
      <c r="B250" t="s">
        <v>17156</v>
      </c>
      <c r="C250">
        <v>0</v>
      </c>
      <c r="D250">
        <v>1</v>
      </c>
      <c r="E250">
        <v>0</v>
      </c>
      <c r="F250">
        <v>1</v>
      </c>
      <c r="G250">
        <v>0</v>
      </c>
      <c r="H250">
        <v>1</v>
      </c>
      <c r="I250">
        <v>0</v>
      </c>
      <c r="J250">
        <v>1</v>
      </c>
      <c r="K250">
        <v>9</v>
      </c>
      <c r="L250">
        <v>1</v>
      </c>
      <c r="M250">
        <v>0</v>
      </c>
      <c r="N250">
        <v>0</v>
      </c>
      <c r="O250">
        <v>0</v>
      </c>
      <c r="P250">
        <v>0</v>
      </c>
      <c r="Q250">
        <v>0</v>
      </c>
      <c r="R250">
        <v>0</v>
      </c>
      <c r="S250">
        <v>1</v>
      </c>
      <c r="T250">
        <v>1</v>
      </c>
      <c r="U250">
        <v>1</v>
      </c>
      <c r="V250">
        <v>3</v>
      </c>
      <c r="W250" s="4">
        <v>30</v>
      </c>
      <c r="X250" s="4">
        <v>0</v>
      </c>
      <c r="Y250">
        <v>1</v>
      </c>
      <c r="Z250">
        <v>0</v>
      </c>
      <c r="AA250" s="4">
        <v>0</v>
      </c>
      <c r="AB250" s="4">
        <v>0</v>
      </c>
      <c r="AC250" s="4">
        <v>0</v>
      </c>
      <c r="AD250" s="4">
        <v>0</v>
      </c>
      <c r="AE250" s="4">
        <v>0</v>
      </c>
      <c r="AF250" s="4">
        <v>0</v>
      </c>
      <c r="AG250" s="4">
        <v>50</v>
      </c>
      <c r="AH250" s="4">
        <v>50</v>
      </c>
      <c r="AI250" s="4">
        <v>0</v>
      </c>
      <c r="AJ250" s="4">
        <v>0</v>
      </c>
      <c r="AK250" s="4">
        <v>50</v>
      </c>
      <c r="AL250" s="4">
        <v>50</v>
      </c>
      <c r="AM250">
        <v>9</v>
      </c>
      <c r="AN250">
        <v>9</v>
      </c>
      <c r="AO250">
        <v>0</v>
      </c>
      <c r="AP250">
        <v>0</v>
      </c>
      <c r="AQ250">
        <v>1</v>
      </c>
      <c r="AR250">
        <v>1</v>
      </c>
      <c r="AS250">
        <v>0</v>
      </c>
      <c r="AT250">
        <v>0</v>
      </c>
      <c r="AU250">
        <v>1</v>
      </c>
      <c r="AV250">
        <v>1</v>
      </c>
      <c r="AW250">
        <v>0</v>
      </c>
      <c r="AX250">
        <v>0</v>
      </c>
    </row>
    <row r="251" spans="1:51">
      <c r="A251" t="s">
        <v>17140</v>
      </c>
      <c r="B251" t="s">
        <v>17156</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s="4">
        <v>0</v>
      </c>
      <c r="X251" s="4">
        <v>0</v>
      </c>
      <c r="Y251">
        <v>0</v>
      </c>
      <c r="Z251">
        <v>0</v>
      </c>
      <c r="AA251" s="4">
        <v>0</v>
      </c>
      <c r="AB251" s="4">
        <v>0</v>
      </c>
      <c r="AC251" s="4">
        <v>0</v>
      </c>
      <c r="AD251" s="4">
        <v>0</v>
      </c>
      <c r="AE251" s="4">
        <v>0</v>
      </c>
      <c r="AF251" s="4">
        <v>0</v>
      </c>
      <c r="AG251" s="4">
        <v>0</v>
      </c>
      <c r="AH251" s="4">
        <v>0</v>
      </c>
      <c r="AI251" s="4">
        <v>0</v>
      </c>
      <c r="AJ251" s="4">
        <v>0</v>
      </c>
      <c r="AK251" s="4">
        <v>0</v>
      </c>
      <c r="AL251" s="4">
        <v>0</v>
      </c>
      <c r="AM251">
        <v>0</v>
      </c>
      <c r="AN251">
        <v>0</v>
      </c>
      <c r="AO251">
        <v>0</v>
      </c>
      <c r="AP251">
        <v>0</v>
      </c>
      <c r="AQ251">
        <v>0</v>
      </c>
      <c r="AR251">
        <v>0</v>
      </c>
      <c r="AS251">
        <v>0</v>
      </c>
      <c r="AT251">
        <v>0</v>
      </c>
      <c r="AU251">
        <v>0</v>
      </c>
      <c r="AV251">
        <v>0</v>
      </c>
      <c r="AW251">
        <v>0</v>
      </c>
      <c r="AX251">
        <v>0</v>
      </c>
      <c r="AY251">
        <v>0</v>
      </c>
    </row>
    <row r="252" spans="1:51">
      <c r="A252" t="s">
        <v>17140</v>
      </c>
      <c r="B252" t="s">
        <v>17157</v>
      </c>
      <c r="C252">
        <v>0</v>
      </c>
      <c r="D252">
        <v>4</v>
      </c>
      <c r="E252">
        <v>3</v>
      </c>
      <c r="F252">
        <v>3</v>
      </c>
      <c r="G252">
        <v>0</v>
      </c>
      <c r="H252">
        <v>1</v>
      </c>
      <c r="I252">
        <v>0</v>
      </c>
      <c r="J252">
        <v>3</v>
      </c>
      <c r="K252">
        <v>30</v>
      </c>
      <c r="L252">
        <v>1</v>
      </c>
      <c r="M252">
        <v>1</v>
      </c>
      <c r="N252">
        <v>0</v>
      </c>
      <c r="O252">
        <v>0</v>
      </c>
      <c r="P252">
        <v>1</v>
      </c>
      <c r="Q252">
        <v>0</v>
      </c>
      <c r="R252">
        <v>0</v>
      </c>
      <c r="S252">
        <v>0</v>
      </c>
      <c r="T252">
        <v>0</v>
      </c>
      <c r="U252">
        <v>0</v>
      </c>
      <c r="V252">
        <v>0</v>
      </c>
      <c r="W252" s="4">
        <v>0</v>
      </c>
      <c r="X252" s="4">
        <v>0</v>
      </c>
      <c r="Y252">
        <v>0</v>
      </c>
      <c r="Z252">
        <v>0</v>
      </c>
      <c r="AA252" s="4">
        <v>0</v>
      </c>
      <c r="AB252" s="4">
        <v>0</v>
      </c>
      <c r="AC252" s="4">
        <v>0</v>
      </c>
      <c r="AD252" s="4">
        <v>0</v>
      </c>
      <c r="AE252" s="4">
        <v>0</v>
      </c>
      <c r="AF252" s="4">
        <v>0</v>
      </c>
      <c r="AG252" s="4">
        <v>0</v>
      </c>
      <c r="AH252" s="4">
        <v>0</v>
      </c>
      <c r="AI252" s="4">
        <v>0</v>
      </c>
      <c r="AJ252" s="4">
        <v>0</v>
      </c>
      <c r="AK252" s="4">
        <v>0</v>
      </c>
      <c r="AL252" s="4">
        <v>0</v>
      </c>
      <c r="AM252">
        <v>30</v>
      </c>
      <c r="AN252">
        <v>0</v>
      </c>
      <c r="AO252">
        <v>30</v>
      </c>
      <c r="AP252">
        <v>0</v>
      </c>
      <c r="AQ252">
        <v>0</v>
      </c>
      <c r="AR252">
        <v>0</v>
      </c>
      <c r="AS252">
        <v>0</v>
      </c>
      <c r="AT252">
        <v>0</v>
      </c>
      <c r="AU252">
        <v>0</v>
      </c>
      <c r="AV252">
        <v>0</v>
      </c>
      <c r="AW252">
        <v>0</v>
      </c>
      <c r="AX252">
        <v>0</v>
      </c>
      <c r="AY252">
        <v>100</v>
      </c>
    </row>
    <row r="253" spans="1:51">
      <c r="A253" t="s">
        <v>17140</v>
      </c>
      <c r="B253" t="s">
        <v>17158</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s="4">
        <v>0</v>
      </c>
      <c r="X253" s="4">
        <v>0</v>
      </c>
      <c r="Y253">
        <v>0</v>
      </c>
      <c r="Z253">
        <v>0</v>
      </c>
      <c r="AA253" s="4">
        <v>0</v>
      </c>
      <c r="AB253" s="4">
        <v>0</v>
      </c>
      <c r="AC253" s="4">
        <v>0</v>
      </c>
      <c r="AD253" s="4">
        <v>0</v>
      </c>
      <c r="AE253" s="4">
        <v>0</v>
      </c>
      <c r="AF253" s="4">
        <v>0</v>
      </c>
      <c r="AG253" s="4">
        <v>0</v>
      </c>
      <c r="AH253" s="4">
        <v>0</v>
      </c>
      <c r="AI253" s="4">
        <v>0</v>
      </c>
      <c r="AJ253" s="4">
        <v>0</v>
      </c>
      <c r="AK253" s="4">
        <v>0</v>
      </c>
      <c r="AL253" s="4">
        <v>0</v>
      </c>
      <c r="AM253">
        <v>0</v>
      </c>
      <c r="AN253">
        <v>0</v>
      </c>
      <c r="AO253">
        <v>0</v>
      </c>
      <c r="AP253">
        <v>0</v>
      </c>
      <c r="AQ253">
        <v>0</v>
      </c>
      <c r="AR253">
        <v>0</v>
      </c>
      <c r="AS253">
        <v>0</v>
      </c>
      <c r="AT253">
        <v>0</v>
      </c>
      <c r="AU253">
        <v>0</v>
      </c>
      <c r="AV253">
        <v>0</v>
      </c>
      <c r="AW253">
        <v>0</v>
      </c>
      <c r="AX253">
        <v>0</v>
      </c>
      <c r="AY253">
        <v>150</v>
      </c>
    </row>
    <row r="254" spans="1:51">
      <c r="A254" t="s">
        <v>17140</v>
      </c>
      <c r="B254" t="s">
        <v>17317</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s="4">
        <v>0</v>
      </c>
      <c r="X254" s="4">
        <v>0</v>
      </c>
      <c r="Y254">
        <v>0</v>
      </c>
      <c r="Z254">
        <v>0</v>
      </c>
      <c r="AA254" s="4">
        <v>0</v>
      </c>
      <c r="AB254" s="4">
        <v>0</v>
      </c>
      <c r="AC254" s="4">
        <v>0</v>
      </c>
      <c r="AD254" s="4">
        <v>0</v>
      </c>
      <c r="AE254" s="4">
        <v>0</v>
      </c>
      <c r="AF254" s="4">
        <v>0</v>
      </c>
      <c r="AG254" s="4">
        <v>0</v>
      </c>
      <c r="AH254" s="4">
        <v>0</v>
      </c>
      <c r="AI254" s="4">
        <v>0</v>
      </c>
      <c r="AJ254" s="4">
        <v>0</v>
      </c>
      <c r="AK254" s="4">
        <v>0</v>
      </c>
      <c r="AL254" s="4">
        <v>0</v>
      </c>
      <c r="AM254">
        <v>0</v>
      </c>
      <c r="AN254">
        <v>0</v>
      </c>
      <c r="AO254">
        <v>0</v>
      </c>
      <c r="AP254">
        <v>0</v>
      </c>
      <c r="AQ254">
        <v>0</v>
      </c>
      <c r="AR254">
        <v>0</v>
      </c>
      <c r="AS254">
        <v>0</v>
      </c>
      <c r="AT254">
        <v>0</v>
      </c>
      <c r="AU254">
        <v>0</v>
      </c>
      <c r="AV254">
        <v>0</v>
      </c>
      <c r="AW254">
        <v>0</v>
      </c>
      <c r="AX254">
        <v>0</v>
      </c>
      <c r="AY254">
        <v>0</v>
      </c>
    </row>
    <row r="255" spans="1:51">
      <c r="A255" t="s">
        <v>17140</v>
      </c>
      <c r="B255" t="s">
        <v>17159</v>
      </c>
      <c r="C255">
        <v>0</v>
      </c>
      <c r="D255">
        <v>21</v>
      </c>
      <c r="E255">
        <v>21</v>
      </c>
      <c r="F255">
        <v>21</v>
      </c>
      <c r="G255">
        <v>0</v>
      </c>
      <c r="H255">
        <v>0</v>
      </c>
      <c r="I255">
        <v>0</v>
      </c>
      <c r="J255">
        <v>21</v>
      </c>
      <c r="K255">
        <v>24</v>
      </c>
      <c r="L255">
        <v>21</v>
      </c>
      <c r="M255">
        <v>0</v>
      </c>
      <c r="N255">
        <v>0</v>
      </c>
      <c r="O255">
        <v>0</v>
      </c>
      <c r="P255">
        <v>0</v>
      </c>
      <c r="Q255">
        <v>0</v>
      </c>
      <c r="R255">
        <v>0</v>
      </c>
      <c r="S255">
        <v>8</v>
      </c>
      <c r="T255">
        <v>0</v>
      </c>
      <c r="U255">
        <v>0</v>
      </c>
      <c r="V255">
        <v>8</v>
      </c>
      <c r="W255" s="4">
        <v>80</v>
      </c>
      <c r="X255" s="4">
        <v>0</v>
      </c>
      <c r="Y255">
        <v>21</v>
      </c>
      <c r="Z255">
        <v>0</v>
      </c>
      <c r="AA255" s="4">
        <v>0</v>
      </c>
      <c r="AB255" s="4">
        <v>0</v>
      </c>
      <c r="AC255" s="4">
        <v>0</v>
      </c>
      <c r="AD255" s="4">
        <v>0</v>
      </c>
      <c r="AE255" s="4">
        <v>0</v>
      </c>
      <c r="AF255" s="4">
        <v>0</v>
      </c>
      <c r="AG255" s="4">
        <v>80</v>
      </c>
      <c r="AH255" s="4">
        <v>80</v>
      </c>
      <c r="AI255" s="4">
        <v>0</v>
      </c>
      <c r="AJ255" s="4">
        <v>0</v>
      </c>
      <c r="AK255" s="4">
        <v>0</v>
      </c>
      <c r="AL255" s="4">
        <v>0</v>
      </c>
      <c r="AM255">
        <v>24</v>
      </c>
      <c r="AN255">
        <v>0</v>
      </c>
      <c r="AO255">
        <v>24</v>
      </c>
      <c r="AP255">
        <v>0</v>
      </c>
      <c r="AQ255">
        <v>8</v>
      </c>
      <c r="AR255">
        <v>0</v>
      </c>
      <c r="AS255">
        <v>8</v>
      </c>
      <c r="AT255">
        <v>0</v>
      </c>
      <c r="AU255">
        <v>0</v>
      </c>
      <c r="AV255">
        <v>0</v>
      </c>
      <c r="AW255">
        <v>0</v>
      </c>
      <c r="AX255">
        <v>0</v>
      </c>
      <c r="AY255">
        <v>21</v>
      </c>
    </row>
    <row r="256" spans="1:51">
      <c r="A256" t="s">
        <v>17140</v>
      </c>
      <c r="B256" t="s">
        <v>17387</v>
      </c>
      <c r="C256">
        <v>1</v>
      </c>
      <c r="D256">
        <v>1</v>
      </c>
      <c r="E256">
        <v>1</v>
      </c>
      <c r="F256">
        <v>1</v>
      </c>
      <c r="G256">
        <v>0</v>
      </c>
      <c r="H256">
        <v>0</v>
      </c>
      <c r="I256">
        <v>0</v>
      </c>
      <c r="J256">
        <v>1</v>
      </c>
      <c r="K256">
        <v>2</v>
      </c>
      <c r="L256">
        <v>1</v>
      </c>
      <c r="M256">
        <v>0</v>
      </c>
      <c r="N256">
        <v>0</v>
      </c>
      <c r="O256">
        <v>0</v>
      </c>
      <c r="P256">
        <v>0</v>
      </c>
      <c r="Q256">
        <v>0</v>
      </c>
      <c r="R256">
        <v>0</v>
      </c>
      <c r="S256">
        <v>0.5</v>
      </c>
      <c r="T256">
        <v>0.25</v>
      </c>
      <c r="U256">
        <v>0</v>
      </c>
      <c r="V256">
        <v>0.75</v>
      </c>
      <c r="W256" s="4">
        <v>0</v>
      </c>
      <c r="X256" s="4">
        <v>0</v>
      </c>
      <c r="Y256">
        <v>0</v>
      </c>
      <c r="Z256">
        <v>0</v>
      </c>
      <c r="AA256" s="4">
        <v>-10</v>
      </c>
      <c r="AB256" s="4">
        <v>0</v>
      </c>
      <c r="AC256" s="4">
        <v>0</v>
      </c>
      <c r="AD256" s="4">
        <v>0</v>
      </c>
      <c r="AE256" s="4">
        <v>0</v>
      </c>
      <c r="AF256" s="4">
        <v>0</v>
      </c>
      <c r="AG256" s="4">
        <v>0</v>
      </c>
      <c r="AH256" s="4">
        <v>0</v>
      </c>
      <c r="AI256" s="4">
        <v>0</v>
      </c>
      <c r="AJ256" s="4">
        <v>0</v>
      </c>
      <c r="AK256" s="4">
        <v>0</v>
      </c>
      <c r="AL256" s="4">
        <v>0</v>
      </c>
      <c r="AM256">
        <v>2</v>
      </c>
      <c r="AN256">
        <v>0</v>
      </c>
      <c r="AO256">
        <v>0</v>
      </c>
      <c r="AP256">
        <v>2</v>
      </c>
      <c r="AQ256">
        <v>0.5</v>
      </c>
      <c r="AR256">
        <v>0</v>
      </c>
      <c r="AS256">
        <v>0</v>
      </c>
      <c r="AT256">
        <v>0.5</v>
      </c>
      <c r="AU256">
        <v>0.25</v>
      </c>
      <c r="AV256">
        <v>0</v>
      </c>
      <c r="AW256">
        <v>0</v>
      </c>
      <c r="AX256">
        <v>0.25</v>
      </c>
      <c r="AY256">
        <v>1</v>
      </c>
    </row>
    <row r="257" spans="1:51">
      <c r="A257" t="s">
        <v>17140</v>
      </c>
      <c r="B257" t="s">
        <v>17160</v>
      </c>
      <c r="C257">
        <v>0</v>
      </c>
      <c r="D257">
        <v>1</v>
      </c>
      <c r="E257">
        <v>0</v>
      </c>
      <c r="F257">
        <v>1</v>
      </c>
      <c r="G257">
        <v>0</v>
      </c>
      <c r="H257">
        <v>0</v>
      </c>
      <c r="I257">
        <v>0</v>
      </c>
      <c r="J257">
        <v>1</v>
      </c>
      <c r="K257">
        <v>2</v>
      </c>
      <c r="L257">
        <v>0</v>
      </c>
      <c r="M257">
        <v>0</v>
      </c>
      <c r="N257">
        <v>0</v>
      </c>
      <c r="O257">
        <v>1</v>
      </c>
      <c r="P257">
        <v>0</v>
      </c>
      <c r="Q257">
        <v>0</v>
      </c>
      <c r="R257">
        <v>0</v>
      </c>
      <c r="S257">
        <v>0</v>
      </c>
      <c r="T257">
        <v>0</v>
      </c>
      <c r="U257">
        <v>0</v>
      </c>
      <c r="V257">
        <v>0</v>
      </c>
      <c r="W257" s="4">
        <v>0</v>
      </c>
      <c r="X257" s="4">
        <v>0</v>
      </c>
      <c r="Y257">
        <v>0</v>
      </c>
      <c r="Z257">
        <v>0</v>
      </c>
      <c r="AA257" s="4">
        <v>0</v>
      </c>
      <c r="AB257" s="4">
        <v>0</v>
      </c>
      <c r="AC257" s="4">
        <v>0</v>
      </c>
      <c r="AD257" s="4">
        <v>0</v>
      </c>
      <c r="AE257" s="4">
        <v>0</v>
      </c>
      <c r="AF257" s="4">
        <v>0</v>
      </c>
      <c r="AG257" s="4">
        <v>0</v>
      </c>
      <c r="AH257" s="4">
        <v>0</v>
      </c>
      <c r="AI257" s="4">
        <v>0</v>
      </c>
      <c r="AJ257" s="4">
        <v>0</v>
      </c>
      <c r="AK257" s="4">
        <v>0</v>
      </c>
      <c r="AL257" s="4">
        <v>0</v>
      </c>
      <c r="AM257">
        <v>2</v>
      </c>
      <c r="AN257">
        <v>0</v>
      </c>
      <c r="AO257">
        <v>2</v>
      </c>
      <c r="AP257">
        <v>0</v>
      </c>
      <c r="AQ257">
        <v>0</v>
      </c>
      <c r="AR257">
        <v>0</v>
      </c>
      <c r="AS257">
        <v>0</v>
      </c>
      <c r="AT257">
        <v>0</v>
      </c>
      <c r="AU257">
        <v>0</v>
      </c>
      <c r="AV257">
        <v>0</v>
      </c>
      <c r="AW257">
        <v>0</v>
      </c>
      <c r="AX257">
        <v>0</v>
      </c>
      <c r="AY257">
        <v>59</v>
      </c>
    </row>
    <row r="258" spans="1:51">
      <c r="A258" t="s">
        <v>17140</v>
      </c>
      <c r="B258" t="s">
        <v>17388</v>
      </c>
      <c r="C258">
        <v>0</v>
      </c>
      <c r="D258">
        <v>29</v>
      </c>
      <c r="E258">
        <v>29</v>
      </c>
      <c r="F258">
        <v>18</v>
      </c>
      <c r="G258">
        <v>0</v>
      </c>
      <c r="H258">
        <v>0</v>
      </c>
      <c r="I258">
        <v>0</v>
      </c>
      <c r="J258">
        <v>30</v>
      </c>
      <c r="K258">
        <v>622</v>
      </c>
      <c r="L258">
        <v>29</v>
      </c>
      <c r="M258">
        <v>0</v>
      </c>
      <c r="N258">
        <v>0</v>
      </c>
      <c r="O258">
        <v>0</v>
      </c>
      <c r="P258">
        <v>0</v>
      </c>
      <c r="Q258">
        <v>0</v>
      </c>
      <c r="R258">
        <v>0</v>
      </c>
      <c r="S258">
        <v>9</v>
      </c>
      <c r="T258">
        <v>16.75</v>
      </c>
      <c r="U258">
        <v>0</v>
      </c>
      <c r="V258">
        <v>25.75</v>
      </c>
      <c r="W258" s="4">
        <v>418.5</v>
      </c>
      <c r="X258" s="4">
        <v>0</v>
      </c>
      <c r="Y258">
        <v>29</v>
      </c>
      <c r="Z258">
        <v>0</v>
      </c>
      <c r="AA258" s="4">
        <v>0</v>
      </c>
      <c r="AB258" s="4">
        <v>0</v>
      </c>
      <c r="AC258" s="4">
        <v>182.87</v>
      </c>
      <c r="AD258" s="4">
        <v>182.87</v>
      </c>
      <c r="AE258" s="4">
        <v>182.87</v>
      </c>
      <c r="AF258" s="4">
        <v>173.32</v>
      </c>
      <c r="AG258" s="4">
        <v>599.57000000000005</v>
      </c>
      <c r="AH258" s="4">
        <v>416.72</v>
      </c>
      <c r="AI258" s="4">
        <v>0</v>
      </c>
      <c r="AJ258" s="4">
        <v>0</v>
      </c>
      <c r="AK258" s="4">
        <v>0</v>
      </c>
      <c r="AL258" s="4">
        <v>0</v>
      </c>
      <c r="AM258">
        <v>622</v>
      </c>
      <c r="AN258">
        <v>0</v>
      </c>
      <c r="AO258">
        <v>622</v>
      </c>
      <c r="AP258">
        <v>0</v>
      </c>
      <c r="AQ258">
        <v>9</v>
      </c>
      <c r="AR258">
        <v>0</v>
      </c>
      <c r="AS258">
        <v>9</v>
      </c>
      <c r="AT258">
        <v>0</v>
      </c>
      <c r="AU258">
        <v>16.75</v>
      </c>
      <c r="AV258">
        <v>0</v>
      </c>
      <c r="AW258">
        <v>16.75</v>
      </c>
      <c r="AX258">
        <v>0</v>
      </c>
      <c r="AY258">
        <v>0</v>
      </c>
    </row>
    <row r="259" spans="1:51">
      <c r="A259" t="s">
        <v>17140</v>
      </c>
      <c r="B259" t="s">
        <v>17161</v>
      </c>
      <c r="C259">
        <v>2</v>
      </c>
      <c r="D259">
        <v>27</v>
      </c>
      <c r="E259">
        <v>27</v>
      </c>
      <c r="F259">
        <v>23</v>
      </c>
      <c r="G259">
        <v>0</v>
      </c>
      <c r="H259">
        <v>0</v>
      </c>
      <c r="I259">
        <v>0</v>
      </c>
      <c r="J259">
        <v>27</v>
      </c>
      <c r="K259">
        <v>272</v>
      </c>
      <c r="L259">
        <v>11</v>
      </c>
      <c r="M259">
        <v>1</v>
      </c>
      <c r="N259">
        <v>5</v>
      </c>
      <c r="O259">
        <v>7</v>
      </c>
      <c r="P259">
        <v>0</v>
      </c>
      <c r="Q259">
        <v>3</v>
      </c>
      <c r="R259">
        <v>0</v>
      </c>
      <c r="S259">
        <v>6.75</v>
      </c>
      <c r="T259">
        <v>6.75</v>
      </c>
      <c r="U259">
        <v>1.25</v>
      </c>
      <c r="V259">
        <v>14.75</v>
      </c>
      <c r="W259" s="4">
        <v>187.5</v>
      </c>
      <c r="X259" s="4">
        <v>0</v>
      </c>
      <c r="Y259">
        <v>24</v>
      </c>
      <c r="Z259">
        <v>1</v>
      </c>
      <c r="AA259" s="4">
        <v>-15</v>
      </c>
      <c r="AB259" s="4">
        <v>0</v>
      </c>
      <c r="AC259" s="4">
        <v>190.93</v>
      </c>
      <c r="AD259" s="4">
        <v>190.93</v>
      </c>
      <c r="AE259" s="4">
        <v>162.19</v>
      </c>
      <c r="AF259" s="4">
        <v>190.93</v>
      </c>
      <c r="AG259" s="4">
        <v>403.43</v>
      </c>
      <c r="AH259" s="4">
        <v>241.24</v>
      </c>
      <c r="AI259" s="4">
        <v>0</v>
      </c>
      <c r="AJ259" s="4">
        <v>0</v>
      </c>
      <c r="AK259" s="4">
        <v>0</v>
      </c>
      <c r="AL259" s="4">
        <v>0</v>
      </c>
      <c r="AM259">
        <v>272</v>
      </c>
      <c r="AN259">
        <v>0</v>
      </c>
      <c r="AO259">
        <v>214</v>
      </c>
      <c r="AP259">
        <v>58</v>
      </c>
      <c r="AQ259">
        <v>6.75</v>
      </c>
      <c r="AR259">
        <v>0</v>
      </c>
      <c r="AS259">
        <v>6.25</v>
      </c>
      <c r="AT259">
        <v>0.5</v>
      </c>
      <c r="AU259">
        <v>6.75</v>
      </c>
      <c r="AV259">
        <v>0</v>
      </c>
      <c r="AW259">
        <v>6.25</v>
      </c>
      <c r="AX259">
        <v>0.5</v>
      </c>
      <c r="AY259">
        <v>0</v>
      </c>
    </row>
    <row r="260" spans="1:51">
      <c r="A260" t="s">
        <v>17140</v>
      </c>
      <c r="B260" t="s">
        <v>17141</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s="4">
        <v>0</v>
      </c>
      <c r="X260" s="4">
        <v>0</v>
      </c>
      <c r="Y260">
        <v>0</v>
      </c>
      <c r="Z260">
        <v>0</v>
      </c>
      <c r="AA260" s="4">
        <v>0</v>
      </c>
      <c r="AB260" s="4">
        <v>0</v>
      </c>
      <c r="AC260" s="4">
        <v>0</v>
      </c>
      <c r="AD260" s="4">
        <v>0</v>
      </c>
      <c r="AE260" s="4">
        <v>0</v>
      </c>
      <c r="AF260" s="4">
        <v>0</v>
      </c>
      <c r="AG260" s="4">
        <v>0</v>
      </c>
      <c r="AH260" s="4">
        <v>0</v>
      </c>
      <c r="AI260" s="4">
        <v>0</v>
      </c>
      <c r="AJ260" s="4">
        <v>0</v>
      </c>
      <c r="AK260" s="4">
        <v>0</v>
      </c>
      <c r="AL260" s="4">
        <v>0</v>
      </c>
      <c r="AM260">
        <v>0</v>
      </c>
      <c r="AN260">
        <v>0</v>
      </c>
      <c r="AO260">
        <v>0</v>
      </c>
      <c r="AP260">
        <v>0</v>
      </c>
      <c r="AQ260">
        <v>0</v>
      </c>
      <c r="AR260">
        <v>0</v>
      </c>
      <c r="AS260">
        <v>0</v>
      </c>
      <c r="AT260">
        <v>0</v>
      </c>
      <c r="AU260">
        <v>0</v>
      </c>
      <c r="AV260">
        <v>0</v>
      </c>
      <c r="AW260">
        <v>0</v>
      </c>
      <c r="AX260">
        <v>0</v>
      </c>
      <c r="AY260">
        <v>0</v>
      </c>
    </row>
    <row r="261" spans="1:51">
      <c r="A261" t="s">
        <v>17140</v>
      </c>
      <c r="B261" t="s">
        <v>17162</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s="4">
        <v>0</v>
      </c>
      <c r="X261" s="4">
        <v>0</v>
      </c>
      <c r="Y261">
        <v>0</v>
      </c>
      <c r="Z261">
        <v>0</v>
      </c>
      <c r="AA261" s="4">
        <v>0</v>
      </c>
      <c r="AB261" s="4">
        <v>0</v>
      </c>
      <c r="AC261" s="4">
        <v>0</v>
      </c>
      <c r="AD261" s="4">
        <v>0</v>
      </c>
      <c r="AE261" s="4">
        <v>0</v>
      </c>
      <c r="AF261" s="4">
        <v>0</v>
      </c>
      <c r="AG261" s="4">
        <v>0</v>
      </c>
      <c r="AH261" s="4">
        <v>0</v>
      </c>
      <c r="AI261" s="4">
        <v>0</v>
      </c>
      <c r="AJ261" s="4">
        <v>0</v>
      </c>
      <c r="AK261" s="4">
        <v>0</v>
      </c>
      <c r="AL261" s="4">
        <v>0</v>
      </c>
      <c r="AM261">
        <v>0</v>
      </c>
      <c r="AN261">
        <v>0</v>
      </c>
      <c r="AO261">
        <v>0</v>
      </c>
      <c r="AP261">
        <v>0</v>
      </c>
      <c r="AQ261">
        <v>0</v>
      </c>
      <c r="AR261">
        <v>0</v>
      </c>
      <c r="AS261">
        <v>0</v>
      </c>
      <c r="AT261">
        <v>0</v>
      </c>
      <c r="AU261">
        <v>0</v>
      </c>
      <c r="AV261">
        <v>0</v>
      </c>
      <c r="AW261">
        <v>0</v>
      </c>
      <c r="AX261">
        <v>0</v>
      </c>
      <c r="AY261">
        <v>0</v>
      </c>
    </row>
    <row r="262" spans="1:51">
      <c r="A262" t="s">
        <v>17140</v>
      </c>
      <c r="B262" t="s">
        <v>17163</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s="4">
        <v>0</v>
      </c>
      <c r="X262" s="4">
        <v>0</v>
      </c>
      <c r="Y262">
        <v>0</v>
      </c>
      <c r="Z262">
        <v>0</v>
      </c>
      <c r="AA262" s="4">
        <v>0</v>
      </c>
      <c r="AB262" s="4">
        <v>0</v>
      </c>
      <c r="AC262" s="4">
        <v>0</v>
      </c>
      <c r="AD262" s="4">
        <v>0</v>
      </c>
      <c r="AE262" s="4">
        <v>0</v>
      </c>
      <c r="AF262" s="4">
        <v>0</v>
      </c>
      <c r="AG262" s="4">
        <v>0</v>
      </c>
      <c r="AH262" s="4">
        <v>0</v>
      </c>
      <c r="AI262" s="4">
        <v>0</v>
      </c>
      <c r="AJ262" s="4">
        <v>0</v>
      </c>
      <c r="AK262" s="4">
        <v>0</v>
      </c>
      <c r="AL262" s="4">
        <v>0</v>
      </c>
      <c r="AM262">
        <v>0</v>
      </c>
      <c r="AN262">
        <v>0</v>
      </c>
      <c r="AO262">
        <v>0</v>
      </c>
      <c r="AP262">
        <v>0</v>
      </c>
      <c r="AQ262">
        <v>0</v>
      </c>
      <c r="AR262">
        <v>0</v>
      </c>
      <c r="AS262">
        <v>0</v>
      </c>
      <c r="AT262">
        <v>0</v>
      </c>
      <c r="AU262">
        <v>0</v>
      </c>
      <c r="AV262">
        <v>0</v>
      </c>
      <c r="AW262">
        <v>0</v>
      </c>
      <c r="AX262">
        <v>0</v>
      </c>
      <c r="AY262">
        <v>0</v>
      </c>
    </row>
    <row r="263" spans="1:51">
      <c r="A263" t="s">
        <v>17140</v>
      </c>
      <c r="B263" t="s">
        <v>17164</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s="4">
        <v>0</v>
      </c>
      <c r="X263" s="4">
        <v>0</v>
      </c>
      <c r="Y263">
        <v>0</v>
      </c>
      <c r="Z263">
        <v>0</v>
      </c>
      <c r="AA263" s="4">
        <v>0</v>
      </c>
      <c r="AB263" s="4">
        <v>0</v>
      </c>
      <c r="AC263" s="4">
        <v>0</v>
      </c>
      <c r="AD263" s="4">
        <v>0</v>
      </c>
      <c r="AE263" s="4">
        <v>0</v>
      </c>
      <c r="AF263" s="4">
        <v>0</v>
      </c>
      <c r="AG263" s="4">
        <v>0</v>
      </c>
      <c r="AH263" s="4">
        <v>0</v>
      </c>
      <c r="AI263" s="4">
        <v>0</v>
      </c>
      <c r="AJ263" s="4">
        <v>0</v>
      </c>
      <c r="AK263" s="4">
        <v>0</v>
      </c>
      <c r="AL263" s="4">
        <v>0</v>
      </c>
      <c r="AM263">
        <v>0</v>
      </c>
      <c r="AN263">
        <v>0</v>
      </c>
      <c r="AO263">
        <v>0</v>
      </c>
      <c r="AP263">
        <v>0</v>
      </c>
      <c r="AQ263">
        <v>0</v>
      </c>
      <c r="AR263">
        <v>0</v>
      </c>
      <c r="AS263">
        <v>0</v>
      </c>
      <c r="AT263">
        <v>0</v>
      </c>
      <c r="AU263">
        <v>0</v>
      </c>
      <c r="AV263">
        <v>0</v>
      </c>
      <c r="AW263">
        <v>0</v>
      </c>
      <c r="AX263">
        <v>0</v>
      </c>
      <c r="AY263">
        <v>0</v>
      </c>
    </row>
    <row r="264" spans="1:51">
      <c r="A264" t="s">
        <v>17140</v>
      </c>
      <c r="B264" t="s">
        <v>17165</v>
      </c>
      <c r="C264">
        <v>0</v>
      </c>
      <c r="D264">
        <v>1</v>
      </c>
      <c r="E264">
        <v>0</v>
      </c>
      <c r="F264">
        <v>1</v>
      </c>
      <c r="G264">
        <v>0</v>
      </c>
      <c r="H264">
        <v>0</v>
      </c>
      <c r="I264">
        <v>0</v>
      </c>
      <c r="J264">
        <v>1</v>
      </c>
      <c r="K264">
        <v>3</v>
      </c>
      <c r="L264">
        <v>0</v>
      </c>
      <c r="M264">
        <v>1</v>
      </c>
      <c r="N264">
        <v>0</v>
      </c>
      <c r="O264">
        <v>0</v>
      </c>
      <c r="P264">
        <v>0</v>
      </c>
      <c r="Q264">
        <v>0</v>
      </c>
      <c r="R264">
        <v>0</v>
      </c>
      <c r="S264">
        <v>0</v>
      </c>
      <c r="T264">
        <v>0</v>
      </c>
      <c r="U264">
        <v>0</v>
      </c>
      <c r="V264">
        <v>0</v>
      </c>
      <c r="W264" s="4">
        <v>0</v>
      </c>
      <c r="X264" s="4">
        <v>0</v>
      </c>
      <c r="Y264">
        <v>0</v>
      </c>
      <c r="Z264">
        <v>0</v>
      </c>
      <c r="AA264" s="4">
        <v>0</v>
      </c>
      <c r="AB264" s="4">
        <v>0</v>
      </c>
      <c r="AC264" s="4">
        <v>0</v>
      </c>
      <c r="AD264" s="4">
        <v>0</v>
      </c>
      <c r="AE264" s="4">
        <v>0</v>
      </c>
      <c r="AF264" s="4">
        <v>0</v>
      </c>
      <c r="AG264" s="4">
        <v>0</v>
      </c>
      <c r="AH264" s="4">
        <v>0</v>
      </c>
      <c r="AI264" s="4">
        <v>0</v>
      </c>
      <c r="AJ264" s="4">
        <v>0</v>
      </c>
      <c r="AK264" s="4">
        <v>0</v>
      </c>
      <c r="AL264" s="4">
        <v>0</v>
      </c>
      <c r="AM264">
        <v>3</v>
      </c>
      <c r="AN264">
        <v>0</v>
      </c>
      <c r="AO264">
        <v>3</v>
      </c>
      <c r="AP264">
        <v>0</v>
      </c>
      <c r="AQ264">
        <v>0</v>
      </c>
      <c r="AR264">
        <v>0</v>
      </c>
      <c r="AS264">
        <v>0</v>
      </c>
      <c r="AT264">
        <v>0</v>
      </c>
      <c r="AU264">
        <v>0</v>
      </c>
      <c r="AV264">
        <v>0</v>
      </c>
      <c r="AW264">
        <v>0</v>
      </c>
      <c r="AX264">
        <v>0</v>
      </c>
      <c r="AY264">
        <v>0</v>
      </c>
    </row>
    <row r="265" spans="1:51">
      <c r="A265" t="s">
        <v>17140</v>
      </c>
      <c r="B265" t="s">
        <v>17166</v>
      </c>
      <c r="C265">
        <v>0</v>
      </c>
      <c r="D265">
        <v>2</v>
      </c>
      <c r="E265">
        <v>2</v>
      </c>
      <c r="F265">
        <v>2</v>
      </c>
      <c r="G265">
        <v>0</v>
      </c>
      <c r="H265">
        <v>0</v>
      </c>
      <c r="I265">
        <v>0</v>
      </c>
      <c r="J265">
        <v>2</v>
      </c>
      <c r="K265">
        <v>8</v>
      </c>
      <c r="L265">
        <v>1</v>
      </c>
      <c r="M265">
        <v>0</v>
      </c>
      <c r="N265">
        <v>1</v>
      </c>
      <c r="O265">
        <v>0</v>
      </c>
      <c r="P265">
        <v>0</v>
      </c>
      <c r="Q265">
        <v>0</v>
      </c>
      <c r="R265">
        <v>0</v>
      </c>
      <c r="S265">
        <v>0</v>
      </c>
      <c r="T265">
        <v>0</v>
      </c>
      <c r="U265">
        <v>0</v>
      </c>
      <c r="V265">
        <v>0</v>
      </c>
      <c r="W265" s="4">
        <v>0</v>
      </c>
      <c r="X265" s="4">
        <v>0</v>
      </c>
      <c r="Y265">
        <v>2</v>
      </c>
      <c r="Z265">
        <v>0</v>
      </c>
      <c r="AA265" s="4">
        <v>0</v>
      </c>
      <c r="AB265" s="4">
        <v>0</v>
      </c>
      <c r="AC265" s="4">
        <v>2.35</v>
      </c>
      <c r="AD265" s="4">
        <v>0</v>
      </c>
      <c r="AE265" s="4">
        <v>0</v>
      </c>
      <c r="AF265" s="4">
        <v>0</v>
      </c>
      <c r="AG265" s="4">
        <v>2.35</v>
      </c>
      <c r="AH265" s="4">
        <v>2.35</v>
      </c>
      <c r="AI265" s="4">
        <v>0</v>
      </c>
      <c r="AJ265" s="4">
        <v>0</v>
      </c>
      <c r="AK265" s="4">
        <v>0</v>
      </c>
      <c r="AL265" s="4">
        <v>0</v>
      </c>
      <c r="AM265">
        <v>8</v>
      </c>
      <c r="AN265">
        <v>0</v>
      </c>
      <c r="AO265">
        <v>8</v>
      </c>
      <c r="AP265">
        <v>0</v>
      </c>
      <c r="AQ265">
        <v>0</v>
      </c>
      <c r="AR265">
        <v>0</v>
      </c>
      <c r="AS265">
        <v>0</v>
      </c>
      <c r="AT265">
        <v>0</v>
      </c>
      <c r="AU265">
        <v>0</v>
      </c>
      <c r="AV265">
        <v>0</v>
      </c>
      <c r="AW265">
        <v>0</v>
      </c>
      <c r="AX265">
        <v>0</v>
      </c>
      <c r="AY265">
        <v>0</v>
      </c>
    </row>
    <row r="266" spans="1:51">
      <c r="A266" t="s">
        <v>17140</v>
      </c>
      <c r="B266" t="s">
        <v>17167</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s="4">
        <v>0</v>
      </c>
      <c r="X266" s="4">
        <v>0</v>
      </c>
      <c r="Y266">
        <v>0</v>
      </c>
      <c r="Z266">
        <v>0</v>
      </c>
      <c r="AA266" s="4">
        <v>0</v>
      </c>
      <c r="AB266" s="4">
        <v>0</v>
      </c>
      <c r="AC266" s="4">
        <v>0</v>
      </c>
      <c r="AD266" s="4">
        <v>0</v>
      </c>
      <c r="AE266" s="4">
        <v>0</v>
      </c>
      <c r="AF266" s="4">
        <v>0</v>
      </c>
      <c r="AG266" s="4">
        <v>0</v>
      </c>
      <c r="AH266" s="4">
        <v>0</v>
      </c>
      <c r="AI266" s="4">
        <v>0</v>
      </c>
      <c r="AJ266" s="4">
        <v>0</v>
      </c>
      <c r="AK266" s="4">
        <v>0</v>
      </c>
      <c r="AL266" s="4">
        <v>0</v>
      </c>
      <c r="AM266">
        <v>0</v>
      </c>
      <c r="AN266">
        <v>0</v>
      </c>
      <c r="AO266">
        <v>0</v>
      </c>
      <c r="AP266">
        <v>0</v>
      </c>
      <c r="AQ266">
        <v>0</v>
      </c>
      <c r="AR266">
        <v>0</v>
      </c>
      <c r="AS266">
        <v>0</v>
      </c>
      <c r="AT266">
        <v>0</v>
      </c>
      <c r="AU266">
        <v>0</v>
      </c>
      <c r="AV266">
        <v>0</v>
      </c>
      <c r="AW266">
        <v>0</v>
      </c>
      <c r="AX266">
        <v>0</v>
      </c>
      <c r="AY266">
        <v>0</v>
      </c>
    </row>
    <row r="267" spans="1:51">
      <c r="A267" t="s">
        <v>17140</v>
      </c>
      <c r="B267" t="s">
        <v>17168</v>
      </c>
      <c r="C267">
        <v>0</v>
      </c>
      <c r="D267">
        <v>7</v>
      </c>
      <c r="E267">
        <v>0</v>
      </c>
      <c r="F267">
        <v>7</v>
      </c>
      <c r="G267">
        <v>0</v>
      </c>
      <c r="H267">
        <v>0</v>
      </c>
      <c r="I267">
        <v>0</v>
      </c>
      <c r="J267">
        <v>7</v>
      </c>
      <c r="K267">
        <v>19</v>
      </c>
      <c r="L267">
        <v>7</v>
      </c>
      <c r="M267">
        <v>0</v>
      </c>
      <c r="N267">
        <v>0</v>
      </c>
      <c r="O267">
        <v>0</v>
      </c>
      <c r="P267">
        <v>0</v>
      </c>
      <c r="Q267">
        <v>0</v>
      </c>
      <c r="R267">
        <v>0</v>
      </c>
      <c r="S267">
        <v>2.5</v>
      </c>
      <c r="T267">
        <v>0</v>
      </c>
      <c r="U267">
        <v>0</v>
      </c>
      <c r="V267">
        <v>2.5</v>
      </c>
      <c r="W267" s="4">
        <v>25</v>
      </c>
      <c r="X267" s="4">
        <v>0</v>
      </c>
      <c r="Y267">
        <v>7</v>
      </c>
      <c r="Z267">
        <v>0</v>
      </c>
      <c r="AA267" s="4">
        <v>0</v>
      </c>
      <c r="AB267" s="4">
        <v>0</v>
      </c>
      <c r="AC267" s="4">
        <v>0</v>
      </c>
      <c r="AD267" s="4">
        <v>0</v>
      </c>
      <c r="AE267" s="4">
        <v>0</v>
      </c>
      <c r="AF267" s="4">
        <v>0</v>
      </c>
      <c r="AG267" s="4">
        <v>25</v>
      </c>
      <c r="AH267" s="4">
        <v>25</v>
      </c>
      <c r="AI267" s="4">
        <v>0</v>
      </c>
      <c r="AJ267" s="4">
        <v>0</v>
      </c>
      <c r="AK267" s="4">
        <v>0</v>
      </c>
      <c r="AL267" s="4">
        <v>0</v>
      </c>
      <c r="AM267">
        <v>19</v>
      </c>
      <c r="AN267">
        <v>0</v>
      </c>
      <c r="AO267">
        <v>19</v>
      </c>
      <c r="AP267">
        <v>0</v>
      </c>
      <c r="AQ267">
        <v>2.5</v>
      </c>
      <c r="AR267">
        <v>0</v>
      </c>
      <c r="AS267">
        <v>2.5</v>
      </c>
      <c r="AT267">
        <v>0</v>
      </c>
      <c r="AU267">
        <v>0</v>
      </c>
      <c r="AV267">
        <v>0</v>
      </c>
      <c r="AW267">
        <v>0</v>
      </c>
      <c r="AX267">
        <v>0</v>
      </c>
      <c r="AY267">
        <v>5</v>
      </c>
    </row>
    <row r="268" spans="1:51">
      <c r="A268" t="s">
        <v>17169</v>
      </c>
      <c r="B268" t="s">
        <v>17319</v>
      </c>
      <c r="C268">
        <v>0</v>
      </c>
      <c r="D268">
        <v>3</v>
      </c>
      <c r="E268">
        <v>3</v>
      </c>
      <c r="F268">
        <v>3</v>
      </c>
      <c r="G268">
        <v>2</v>
      </c>
      <c r="H268">
        <v>2</v>
      </c>
      <c r="I268">
        <v>0</v>
      </c>
      <c r="J268">
        <v>3</v>
      </c>
      <c r="K268">
        <v>98</v>
      </c>
      <c r="L268">
        <v>1</v>
      </c>
      <c r="M268">
        <v>0</v>
      </c>
      <c r="N268">
        <v>1</v>
      </c>
      <c r="O268">
        <v>1</v>
      </c>
      <c r="P268">
        <v>0</v>
      </c>
      <c r="Q268">
        <v>0</v>
      </c>
      <c r="R268">
        <v>0</v>
      </c>
      <c r="S268">
        <v>3</v>
      </c>
      <c r="T268">
        <v>3</v>
      </c>
      <c r="U268">
        <v>0</v>
      </c>
      <c r="V268">
        <v>6</v>
      </c>
      <c r="W268" s="4">
        <v>90</v>
      </c>
      <c r="X268" s="4">
        <v>0</v>
      </c>
      <c r="Y268">
        <v>1</v>
      </c>
      <c r="Z268">
        <v>2</v>
      </c>
      <c r="AA268" s="4">
        <v>0</v>
      </c>
      <c r="AB268" s="4">
        <v>0</v>
      </c>
      <c r="AC268" s="4">
        <v>205.5</v>
      </c>
      <c r="AD268" s="4">
        <v>115.5</v>
      </c>
      <c r="AE268" s="4">
        <v>115.5</v>
      </c>
      <c r="AF268" s="4">
        <v>115.5</v>
      </c>
      <c r="AG268" s="4">
        <v>295.5</v>
      </c>
      <c r="AH268" s="4">
        <v>180</v>
      </c>
      <c r="AI268" s="4">
        <v>115.5</v>
      </c>
      <c r="AJ268" s="4">
        <v>115.5</v>
      </c>
      <c r="AK268" s="4">
        <v>275.5</v>
      </c>
      <c r="AL268" s="4">
        <v>160</v>
      </c>
      <c r="AM268">
        <v>98</v>
      </c>
      <c r="AN268">
        <v>92</v>
      </c>
      <c r="AO268">
        <v>6</v>
      </c>
      <c r="AP268">
        <v>0</v>
      </c>
      <c r="AQ268">
        <v>3</v>
      </c>
      <c r="AR268">
        <v>2</v>
      </c>
      <c r="AS268">
        <v>1</v>
      </c>
      <c r="AT268">
        <v>0</v>
      </c>
      <c r="AU268">
        <v>3</v>
      </c>
      <c r="AV268">
        <v>3</v>
      </c>
      <c r="AW268">
        <v>0</v>
      </c>
      <c r="AX268">
        <v>0</v>
      </c>
      <c r="AY268">
        <v>30</v>
      </c>
    </row>
    <row r="269" spans="1:51">
      <c r="A269" t="s">
        <v>17169</v>
      </c>
      <c r="B269" t="s">
        <v>17318</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s="4">
        <v>0</v>
      </c>
      <c r="X269" s="4">
        <v>0</v>
      </c>
      <c r="Y269">
        <v>0</v>
      </c>
      <c r="Z269">
        <v>0</v>
      </c>
      <c r="AA269" s="4">
        <v>0</v>
      </c>
      <c r="AB269" s="4">
        <v>0</v>
      </c>
      <c r="AC269" s="4">
        <v>0</v>
      </c>
      <c r="AD269" s="4">
        <v>0</v>
      </c>
      <c r="AE269" s="4">
        <v>0</v>
      </c>
      <c r="AF269" s="4">
        <v>0</v>
      </c>
      <c r="AG269" s="4">
        <v>0</v>
      </c>
      <c r="AH269" s="4">
        <v>0</v>
      </c>
      <c r="AI269" s="4">
        <v>0</v>
      </c>
      <c r="AJ269" s="4">
        <v>0</v>
      </c>
      <c r="AK269" s="4">
        <v>0</v>
      </c>
      <c r="AL269" s="4">
        <v>0</v>
      </c>
      <c r="AM269">
        <v>0</v>
      </c>
      <c r="AN269">
        <v>0</v>
      </c>
      <c r="AO269">
        <v>0</v>
      </c>
      <c r="AP269">
        <v>0</v>
      </c>
      <c r="AQ269">
        <v>0</v>
      </c>
      <c r="AR269">
        <v>0</v>
      </c>
      <c r="AS269">
        <v>0</v>
      </c>
      <c r="AT269">
        <v>0</v>
      </c>
      <c r="AU269">
        <v>0</v>
      </c>
      <c r="AV269">
        <v>0</v>
      </c>
      <c r="AW269">
        <v>0</v>
      </c>
      <c r="AX269">
        <v>0</v>
      </c>
      <c r="AY269">
        <v>0</v>
      </c>
    </row>
    <row r="270" spans="1:51">
      <c r="A270" t="s">
        <v>17169</v>
      </c>
      <c r="B270" t="s">
        <v>17172</v>
      </c>
      <c r="C270">
        <v>0</v>
      </c>
      <c r="D270">
        <v>17</v>
      </c>
      <c r="E270">
        <v>16</v>
      </c>
      <c r="F270">
        <v>15</v>
      </c>
      <c r="G270">
        <v>0</v>
      </c>
      <c r="H270">
        <v>0</v>
      </c>
      <c r="I270">
        <v>0</v>
      </c>
      <c r="J270">
        <v>17</v>
      </c>
      <c r="K270">
        <v>205</v>
      </c>
      <c r="L270">
        <v>6</v>
      </c>
      <c r="M270">
        <v>0</v>
      </c>
      <c r="N270">
        <v>0</v>
      </c>
      <c r="O270">
        <v>6</v>
      </c>
      <c r="P270">
        <v>0</v>
      </c>
      <c r="Q270">
        <v>5</v>
      </c>
      <c r="R270">
        <v>0</v>
      </c>
      <c r="S270">
        <v>11</v>
      </c>
      <c r="T270">
        <v>10.5</v>
      </c>
      <c r="U270">
        <v>0</v>
      </c>
      <c r="V270">
        <v>21.5</v>
      </c>
      <c r="W270" s="4">
        <v>320</v>
      </c>
      <c r="X270" s="4">
        <v>0</v>
      </c>
      <c r="Y270">
        <v>17</v>
      </c>
      <c r="Z270">
        <v>0</v>
      </c>
      <c r="AA270" s="4">
        <v>0</v>
      </c>
      <c r="AB270" s="4">
        <v>120</v>
      </c>
      <c r="AC270" s="4">
        <v>217.78</v>
      </c>
      <c r="AD270" s="4">
        <v>189.28</v>
      </c>
      <c r="AE270" s="4">
        <v>133.35</v>
      </c>
      <c r="AF270" s="4">
        <v>309.27999999999997</v>
      </c>
      <c r="AG270" s="4">
        <v>537.78</v>
      </c>
      <c r="AH270" s="4">
        <v>404.43</v>
      </c>
      <c r="AI270" s="4">
        <v>0</v>
      </c>
      <c r="AJ270" s="4">
        <v>0</v>
      </c>
      <c r="AK270" s="4">
        <v>0</v>
      </c>
      <c r="AL270" s="4">
        <v>0</v>
      </c>
      <c r="AM270">
        <v>205</v>
      </c>
      <c r="AN270">
        <v>0</v>
      </c>
      <c r="AO270">
        <v>205</v>
      </c>
      <c r="AP270">
        <v>0</v>
      </c>
      <c r="AQ270">
        <v>11</v>
      </c>
      <c r="AR270">
        <v>0</v>
      </c>
      <c r="AS270">
        <v>11</v>
      </c>
      <c r="AT270">
        <v>0</v>
      </c>
      <c r="AU270">
        <v>10.5</v>
      </c>
      <c r="AV270">
        <v>0</v>
      </c>
      <c r="AW270">
        <v>10.5</v>
      </c>
      <c r="AX270">
        <v>0</v>
      </c>
      <c r="AY270">
        <v>7</v>
      </c>
    </row>
    <row r="271" spans="1:51">
      <c r="A271" t="s">
        <v>17169</v>
      </c>
      <c r="B271" t="s">
        <v>17173</v>
      </c>
      <c r="C271">
        <v>0</v>
      </c>
      <c r="D271">
        <v>1</v>
      </c>
      <c r="E271">
        <v>1</v>
      </c>
      <c r="F271">
        <v>1</v>
      </c>
      <c r="G271">
        <v>1</v>
      </c>
      <c r="H271">
        <v>0</v>
      </c>
      <c r="I271">
        <v>0</v>
      </c>
      <c r="J271">
        <v>1</v>
      </c>
      <c r="K271">
        <v>10</v>
      </c>
      <c r="L271">
        <v>1</v>
      </c>
      <c r="M271">
        <v>0</v>
      </c>
      <c r="N271">
        <v>0</v>
      </c>
      <c r="O271">
        <v>0</v>
      </c>
      <c r="P271">
        <v>0</v>
      </c>
      <c r="Q271">
        <v>0</v>
      </c>
      <c r="R271">
        <v>0</v>
      </c>
      <c r="S271">
        <v>0</v>
      </c>
      <c r="T271">
        <v>0</v>
      </c>
      <c r="U271">
        <v>0</v>
      </c>
      <c r="V271">
        <v>0</v>
      </c>
      <c r="W271" s="4">
        <v>0</v>
      </c>
      <c r="X271" s="4">
        <v>0</v>
      </c>
      <c r="Y271">
        <v>0</v>
      </c>
      <c r="Z271">
        <v>0</v>
      </c>
      <c r="AA271" s="4">
        <v>0</v>
      </c>
      <c r="AB271" s="4">
        <v>0</v>
      </c>
      <c r="AC271" s="4">
        <v>0</v>
      </c>
      <c r="AD271" s="4">
        <v>0</v>
      </c>
      <c r="AE271" s="4">
        <v>0</v>
      </c>
      <c r="AF271" s="4">
        <v>0</v>
      </c>
      <c r="AG271" s="4">
        <v>0</v>
      </c>
      <c r="AH271" s="4">
        <v>0</v>
      </c>
      <c r="AI271" s="4">
        <v>0</v>
      </c>
      <c r="AJ271" s="4">
        <v>0</v>
      </c>
      <c r="AK271" s="4">
        <v>0</v>
      </c>
      <c r="AL271" s="4">
        <v>0</v>
      </c>
      <c r="AM271">
        <v>10</v>
      </c>
      <c r="AN271">
        <v>0</v>
      </c>
      <c r="AO271">
        <v>10</v>
      </c>
      <c r="AP271">
        <v>0</v>
      </c>
      <c r="AQ271">
        <v>0</v>
      </c>
      <c r="AR271">
        <v>0</v>
      </c>
      <c r="AS271">
        <v>0</v>
      </c>
      <c r="AT271">
        <v>0</v>
      </c>
      <c r="AU271">
        <v>0</v>
      </c>
      <c r="AV271">
        <v>0</v>
      </c>
      <c r="AW271">
        <v>0</v>
      </c>
      <c r="AX271">
        <v>0</v>
      </c>
      <c r="AY271">
        <v>0</v>
      </c>
    </row>
    <row r="272" spans="1:51">
      <c r="A272" t="s">
        <v>17169</v>
      </c>
      <c r="B272" t="s">
        <v>17174</v>
      </c>
      <c r="C272">
        <v>0</v>
      </c>
      <c r="D272">
        <v>1</v>
      </c>
      <c r="E272">
        <v>0</v>
      </c>
      <c r="F272">
        <v>1</v>
      </c>
      <c r="G272">
        <v>0</v>
      </c>
      <c r="H272">
        <v>0</v>
      </c>
      <c r="I272">
        <v>0</v>
      </c>
      <c r="J272">
        <v>1</v>
      </c>
      <c r="K272">
        <v>2</v>
      </c>
      <c r="L272">
        <v>1</v>
      </c>
      <c r="M272">
        <v>0</v>
      </c>
      <c r="N272">
        <v>0</v>
      </c>
      <c r="O272">
        <v>0</v>
      </c>
      <c r="P272">
        <v>0</v>
      </c>
      <c r="Q272">
        <v>0</v>
      </c>
      <c r="R272">
        <v>0</v>
      </c>
      <c r="S272">
        <v>0.5</v>
      </c>
      <c r="T272">
        <v>0</v>
      </c>
      <c r="U272">
        <v>0</v>
      </c>
      <c r="V272">
        <v>0.5</v>
      </c>
      <c r="W272" s="4">
        <v>5</v>
      </c>
      <c r="X272" s="4">
        <v>0</v>
      </c>
      <c r="Y272">
        <v>0</v>
      </c>
      <c r="Z272">
        <v>1</v>
      </c>
      <c r="AA272" s="4">
        <v>0</v>
      </c>
      <c r="AB272" s="4">
        <v>0</v>
      </c>
      <c r="AC272" s="4">
        <v>91.5</v>
      </c>
      <c r="AD272" s="4">
        <v>91.5</v>
      </c>
      <c r="AE272" s="4">
        <v>91.5</v>
      </c>
      <c r="AF272" s="4">
        <v>91.5</v>
      </c>
      <c r="AG272" s="4">
        <v>96.5</v>
      </c>
      <c r="AH272" s="4">
        <v>5</v>
      </c>
      <c r="AI272" s="4">
        <v>0</v>
      </c>
      <c r="AJ272" s="4">
        <v>0</v>
      </c>
      <c r="AK272" s="4">
        <v>0</v>
      </c>
      <c r="AL272" s="4">
        <v>0</v>
      </c>
      <c r="AM272">
        <v>2</v>
      </c>
      <c r="AN272">
        <v>0</v>
      </c>
      <c r="AO272">
        <v>2</v>
      </c>
      <c r="AP272">
        <v>0</v>
      </c>
      <c r="AQ272">
        <v>0.5</v>
      </c>
      <c r="AR272">
        <v>0</v>
      </c>
      <c r="AS272">
        <v>0.5</v>
      </c>
      <c r="AT272">
        <v>0</v>
      </c>
      <c r="AU272">
        <v>0</v>
      </c>
      <c r="AV272">
        <v>0</v>
      </c>
      <c r="AW272">
        <v>0</v>
      </c>
      <c r="AX272">
        <v>0</v>
      </c>
      <c r="AY272">
        <v>130</v>
      </c>
    </row>
    <row r="273" spans="1:51">
      <c r="A273" t="s">
        <v>17169</v>
      </c>
      <c r="B273" t="s">
        <v>17372</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s="4">
        <v>0</v>
      </c>
      <c r="X273" s="4">
        <v>0</v>
      </c>
      <c r="Y273">
        <v>0</v>
      </c>
      <c r="Z273">
        <v>0</v>
      </c>
      <c r="AA273" s="4">
        <v>0</v>
      </c>
      <c r="AB273" s="4">
        <v>0</v>
      </c>
      <c r="AC273" s="4">
        <v>0</v>
      </c>
      <c r="AD273" s="4">
        <v>0</v>
      </c>
      <c r="AE273" s="4">
        <v>0</v>
      </c>
      <c r="AF273" s="4">
        <v>0</v>
      </c>
      <c r="AG273" s="4">
        <v>0</v>
      </c>
      <c r="AH273" s="4">
        <v>0</v>
      </c>
      <c r="AI273" s="4">
        <v>0</v>
      </c>
      <c r="AJ273" s="4">
        <v>0</v>
      </c>
      <c r="AK273" s="4">
        <v>0</v>
      </c>
      <c r="AL273" s="4">
        <v>0</v>
      </c>
      <c r="AM273">
        <v>0</v>
      </c>
      <c r="AN273">
        <v>0</v>
      </c>
      <c r="AO273">
        <v>0</v>
      </c>
      <c r="AP273">
        <v>0</v>
      </c>
      <c r="AQ273">
        <v>0</v>
      </c>
      <c r="AR273">
        <v>0</v>
      </c>
      <c r="AS273">
        <v>0</v>
      </c>
      <c r="AT273">
        <v>0</v>
      </c>
      <c r="AU273">
        <v>0</v>
      </c>
      <c r="AV273">
        <v>0</v>
      </c>
      <c r="AW273">
        <v>0</v>
      </c>
      <c r="AX273">
        <v>0</v>
      </c>
      <c r="AY273">
        <v>0</v>
      </c>
    </row>
    <row r="274" spans="1:51">
      <c r="A274" t="s">
        <v>17169</v>
      </c>
      <c r="B274" t="s">
        <v>17176</v>
      </c>
      <c r="C274">
        <v>0</v>
      </c>
      <c r="D274">
        <v>3</v>
      </c>
      <c r="E274">
        <v>3</v>
      </c>
      <c r="F274">
        <v>3</v>
      </c>
      <c r="G274">
        <v>2</v>
      </c>
      <c r="H274">
        <v>3</v>
      </c>
      <c r="I274">
        <v>2</v>
      </c>
      <c r="J274">
        <v>3</v>
      </c>
      <c r="K274">
        <v>124</v>
      </c>
      <c r="L274">
        <v>2</v>
      </c>
      <c r="M274">
        <v>0</v>
      </c>
      <c r="N274">
        <v>1</v>
      </c>
      <c r="O274">
        <v>0</v>
      </c>
      <c r="P274">
        <v>0</v>
      </c>
      <c r="Q274">
        <v>0</v>
      </c>
      <c r="R274">
        <v>0</v>
      </c>
      <c r="S274">
        <v>31.5</v>
      </c>
      <c r="T274">
        <v>5</v>
      </c>
      <c r="U274">
        <v>0.25</v>
      </c>
      <c r="V274">
        <v>36.75</v>
      </c>
      <c r="W274" s="4">
        <v>415</v>
      </c>
      <c r="X274" s="4">
        <v>0</v>
      </c>
      <c r="Y274">
        <v>0</v>
      </c>
      <c r="Z274">
        <v>3</v>
      </c>
      <c r="AA274" s="4">
        <v>0</v>
      </c>
      <c r="AB274" s="4">
        <v>260</v>
      </c>
      <c r="AC274" s="4">
        <v>0</v>
      </c>
      <c r="AD274" s="4">
        <v>0</v>
      </c>
      <c r="AE274" s="4">
        <v>0</v>
      </c>
      <c r="AF274" s="4">
        <v>260</v>
      </c>
      <c r="AG274" s="4">
        <v>420</v>
      </c>
      <c r="AH274" s="4">
        <v>420</v>
      </c>
      <c r="AI274" s="4">
        <v>0</v>
      </c>
      <c r="AJ274" s="4">
        <v>260</v>
      </c>
      <c r="AK274" s="4">
        <v>420</v>
      </c>
      <c r="AL274" s="4">
        <v>420</v>
      </c>
      <c r="AM274">
        <v>124</v>
      </c>
      <c r="AN274">
        <v>124</v>
      </c>
      <c r="AO274">
        <v>0</v>
      </c>
      <c r="AP274">
        <v>0</v>
      </c>
      <c r="AQ274">
        <v>31.5</v>
      </c>
      <c r="AR274">
        <v>31.5</v>
      </c>
      <c r="AS274">
        <v>0</v>
      </c>
      <c r="AT274">
        <v>0</v>
      </c>
      <c r="AU274">
        <v>5</v>
      </c>
      <c r="AV274">
        <v>5</v>
      </c>
      <c r="AW274">
        <v>0</v>
      </c>
      <c r="AX274">
        <v>0</v>
      </c>
      <c r="AY274">
        <v>0</v>
      </c>
    </row>
    <row r="275" spans="1:51">
      <c r="A275" t="s">
        <v>17169</v>
      </c>
      <c r="B275" t="s">
        <v>17177</v>
      </c>
      <c r="C275">
        <v>2</v>
      </c>
      <c r="D275">
        <v>13</v>
      </c>
      <c r="E275">
        <v>13</v>
      </c>
      <c r="F275">
        <v>13</v>
      </c>
      <c r="G275">
        <v>1</v>
      </c>
      <c r="H275">
        <v>0</v>
      </c>
      <c r="I275">
        <v>0</v>
      </c>
      <c r="J275">
        <v>13</v>
      </c>
      <c r="K275">
        <v>70</v>
      </c>
      <c r="L275">
        <v>8</v>
      </c>
      <c r="M275">
        <v>0</v>
      </c>
      <c r="N275">
        <v>0</v>
      </c>
      <c r="O275">
        <v>0</v>
      </c>
      <c r="P275">
        <v>0</v>
      </c>
      <c r="Q275">
        <v>2</v>
      </c>
      <c r="R275">
        <v>0</v>
      </c>
      <c r="S275">
        <v>2.75</v>
      </c>
      <c r="T275">
        <v>1.25</v>
      </c>
      <c r="U275">
        <v>0.5</v>
      </c>
      <c r="V275">
        <v>4.5</v>
      </c>
      <c r="W275" s="4">
        <v>47.5</v>
      </c>
      <c r="X275" s="4">
        <v>0</v>
      </c>
      <c r="Y275">
        <v>9</v>
      </c>
      <c r="Z275">
        <v>0</v>
      </c>
      <c r="AA275" s="4">
        <v>-5</v>
      </c>
      <c r="AB275" s="4">
        <v>0</v>
      </c>
      <c r="AC275" s="4">
        <v>173.5</v>
      </c>
      <c r="AD275" s="4">
        <v>173.5</v>
      </c>
      <c r="AE275" s="4">
        <v>76.5</v>
      </c>
      <c r="AF275" s="4">
        <v>173.5</v>
      </c>
      <c r="AG275" s="4">
        <v>231</v>
      </c>
      <c r="AH275" s="4">
        <v>154.5</v>
      </c>
      <c r="AI275" s="4">
        <v>0</v>
      </c>
      <c r="AJ275" s="4">
        <v>0</v>
      </c>
      <c r="AK275" s="4">
        <v>0</v>
      </c>
      <c r="AL275" s="4">
        <v>0</v>
      </c>
      <c r="AM275">
        <v>70</v>
      </c>
      <c r="AN275">
        <v>0</v>
      </c>
      <c r="AO275">
        <v>66</v>
      </c>
      <c r="AP275">
        <v>4</v>
      </c>
      <c r="AQ275">
        <v>2.75</v>
      </c>
      <c r="AR275">
        <v>0</v>
      </c>
      <c r="AS275">
        <v>2.25</v>
      </c>
      <c r="AT275">
        <v>0.5</v>
      </c>
      <c r="AU275">
        <v>1.25</v>
      </c>
      <c r="AV275">
        <v>0</v>
      </c>
      <c r="AW275">
        <v>1.25</v>
      </c>
      <c r="AX275">
        <v>0</v>
      </c>
      <c r="AY275">
        <v>1000</v>
      </c>
    </row>
    <row r="276" spans="1:51">
      <c r="A276" t="s">
        <v>17169</v>
      </c>
      <c r="B276" t="s">
        <v>17307</v>
      </c>
      <c r="C276">
        <v>0</v>
      </c>
      <c r="D276">
        <v>15</v>
      </c>
      <c r="E276">
        <v>15</v>
      </c>
      <c r="F276">
        <v>15</v>
      </c>
      <c r="G276">
        <v>0</v>
      </c>
      <c r="H276">
        <v>0</v>
      </c>
      <c r="I276">
        <v>0</v>
      </c>
      <c r="J276">
        <v>15</v>
      </c>
      <c r="K276">
        <v>36</v>
      </c>
      <c r="L276">
        <v>15</v>
      </c>
      <c r="M276">
        <v>0</v>
      </c>
      <c r="N276">
        <v>0</v>
      </c>
      <c r="O276">
        <v>0</v>
      </c>
      <c r="P276">
        <v>0</v>
      </c>
      <c r="Q276">
        <v>0</v>
      </c>
      <c r="R276">
        <v>0</v>
      </c>
      <c r="S276">
        <v>8.25</v>
      </c>
      <c r="T276">
        <v>4.5</v>
      </c>
      <c r="U276">
        <v>0</v>
      </c>
      <c r="V276">
        <v>12.75</v>
      </c>
      <c r="W276" s="4">
        <v>172.5</v>
      </c>
      <c r="X276" s="4">
        <v>0</v>
      </c>
      <c r="Y276">
        <v>7</v>
      </c>
      <c r="Z276">
        <v>0</v>
      </c>
      <c r="AA276" s="4">
        <v>0</v>
      </c>
      <c r="AB276" s="4">
        <v>100</v>
      </c>
      <c r="AC276" s="4">
        <v>19.5</v>
      </c>
      <c r="AD276" s="4">
        <v>19.5</v>
      </c>
      <c r="AE276" s="4">
        <v>39.5</v>
      </c>
      <c r="AF276" s="4">
        <v>119.5</v>
      </c>
      <c r="AG276" s="4">
        <v>192</v>
      </c>
      <c r="AH276" s="4">
        <v>152.5</v>
      </c>
      <c r="AI276" s="4">
        <v>0</v>
      </c>
      <c r="AJ276" s="4">
        <v>0</v>
      </c>
      <c r="AK276" s="4">
        <v>0</v>
      </c>
      <c r="AL276" s="4">
        <v>0</v>
      </c>
      <c r="AM276">
        <v>36</v>
      </c>
      <c r="AN276">
        <v>0</v>
      </c>
      <c r="AO276">
        <v>36</v>
      </c>
      <c r="AP276">
        <v>0</v>
      </c>
      <c r="AQ276">
        <v>8.25</v>
      </c>
      <c r="AR276">
        <v>0</v>
      </c>
      <c r="AS276">
        <v>8.25</v>
      </c>
      <c r="AT276">
        <v>0</v>
      </c>
      <c r="AU276">
        <v>4.5</v>
      </c>
      <c r="AV276">
        <v>0</v>
      </c>
      <c r="AW276">
        <v>4.5</v>
      </c>
      <c r="AX276">
        <v>0</v>
      </c>
      <c r="AY276">
        <v>2050</v>
      </c>
    </row>
    <row r="277" spans="1:51">
      <c r="A277" t="s">
        <v>17169</v>
      </c>
      <c r="B277" t="s">
        <v>17357</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s="4">
        <v>0</v>
      </c>
      <c r="X277" s="4">
        <v>0</v>
      </c>
      <c r="Y277">
        <v>0</v>
      </c>
      <c r="Z277">
        <v>0</v>
      </c>
      <c r="AA277" s="4">
        <v>0</v>
      </c>
      <c r="AB277" s="4">
        <v>0</v>
      </c>
      <c r="AC277" s="4">
        <v>0</v>
      </c>
      <c r="AD277" s="4">
        <v>0</v>
      </c>
      <c r="AE277" s="4">
        <v>0</v>
      </c>
      <c r="AF277" s="4">
        <v>0</v>
      </c>
      <c r="AG277" s="4">
        <v>0</v>
      </c>
      <c r="AH277" s="4">
        <v>0</v>
      </c>
      <c r="AI277" s="4">
        <v>0</v>
      </c>
      <c r="AJ277" s="4">
        <v>0</v>
      </c>
      <c r="AK277" s="4">
        <v>0</v>
      </c>
      <c r="AL277" s="4">
        <v>0</v>
      </c>
      <c r="AM277">
        <v>0</v>
      </c>
      <c r="AN277">
        <v>0</v>
      </c>
      <c r="AO277">
        <v>0</v>
      </c>
      <c r="AP277">
        <v>0</v>
      </c>
      <c r="AQ277">
        <v>0</v>
      </c>
      <c r="AR277">
        <v>0</v>
      </c>
      <c r="AS277">
        <v>0</v>
      </c>
      <c r="AT277">
        <v>0</v>
      </c>
      <c r="AU277">
        <v>0</v>
      </c>
      <c r="AV277">
        <v>0</v>
      </c>
      <c r="AW277">
        <v>0</v>
      </c>
      <c r="AX277">
        <v>0</v>
      </c>
      <c r="AY277">
        <v>0</v>
      </c>
    </row>
    <row r="278" spans="1:51">
      <c r="A278" t="s">
        <v>17169</v>
      </c>
      <c r="B278" t="s">
        <v>17179</v>
      </c>
      <c r="C278">
        <v>0</v>
      </c>
      <c r="D278">
        <v>6</v>
      </c>
      <c r="E278">
        <v>3</v>
      </c>
      <c r="F278">
        <v>1</v>
      </c>
      <c r="G278">
        <v>0</v>
      </c>
      <c r="H278">
        <v>6</v>
      </c>
      <c r="I278">
        <v>0</v>
      </c>
      <c r="J278">
        <v>6</v>
      </c>
      <c r="K278">
        <v>105</v>
      </c>
      <c r="L278">
        <v>3</v>
      </c>
      <c r="M278">
        <v>0</v>
      </c>
      <c r="N278">
        <v>0</v>
      </c>
      <c r="O278">
        <v>0</v>
      </c>
      <c r="P278">
        <v>0</v>
      </c>
      <c r="Q278">
        <v>0</v>
      </c>
      <c r="R278">
        <v>3</v>
      </c>
      <c r="S278">
        <v>66</v>
      </c>
      <c r="T278">
        <v>26</v>
      </c>
      <c r="U278">
        <v>0</v>
      </c>
      <c r="V278">
        <v>92</v>
      </c>
      <c r="W278" s="4">
        <v>1180</v>
      </c>
      <c r="X278" s="4">
        <v>0</v>
      </c>
      <c r="Y278">
        <v>0</v>
      </c>
      <c r="Z278">
        <v>0</v>
      </c>
      <c r="AA278" s="4">
        <v>0</v>
      </c>
      <c r="AB278" s="4">
        <v>1180</v>
      </c>
      <c r="AC278" s="4">
        <v>0</v>
      </c>
      <c r="AD278" s="4">
        <v>0</v>
      </c>
      <c r="AE278" s="4">
        <v>0</v>
      </c>
      <c r="AF278" s="4">
        <v>1180</v>
      </c>
      <c r="AG278" s="4">
        <v>1180</v>
      </c>
      <c r="AH278" s="4">
        <v>1180</v>
      </c>
      <c r="AI278" s="4">
        <v>0</v>
      </c>
      <c r="AJ278" s="4">
        <v>1180</v>
      </c>
      <c r="AK278" s="4">
        <v>1180</v>
      </c>
      <c r="AL278" s="4">
        <v>1180</v>
      </c>
      <c r="AM278">
        <v>105</v>
      </c>
      <c r="AN278">
        <v>105</v>
      </c>
      <c r="AO278">
        <v>0</v>
      </c>
      <c r="AP278">
        <v>0</v>
      </c>
      <c r="AQ278">
        <v>66</v>
      </c>
      <c r="AR278">
        <v>66</v>
      </c>
      <c r="AS278">
        <v>0</v>
      </c>
      <c r="AT278">
        <v>0</v>
      </c>
      <c r="AU278">
        <v>26</v>
      </c>
      <c r="AV278">
        <v>26</v>
      </c>
      <c r="AW278">
        <v>0</v>
      </c>
      <c r="AX278">
        <v>0</v>
      </c>
    </row>
    <row r="279" spans="1:51">
      <c r="A279" t="s">
        <v>17169</v>
      </c>
      <c r="B279" t="s">
        <v>17179</v>
      </c>
      <c r="C279">
        <v>0</v>
      </c>
      <c r="D279">
        <v>2</v>
      </c>
      <c r="E279">
        <v>2</v>
      </c>
      <c r="F279">
        <v>2</v>
      </c>
      <c r="G279">
        <v>0</v>
      </c>
      <c r="H279">
        <v>2</v>
      </c>
      <c r="I279">
        <v>0</v>
      </c>
      <c r="J279">
        <v>2</v>
      </c>
      <c r="K279">
        <v>29</v>
      </c>
      <c r="L279">
        <v>2</v>
      </c>
      <c r="M279">
        <v>0</v>
      </c>
      <c r="N279">
        <v>0</v>
      </c>
      <c r="O279">
        <v>0</v>
      </c>
      <c r="P279">
        <v>0</v>
      </c>
      <c r="Q279">
        <v>0</v>
      </c>
      <c r="R279">
        <v>0</v>
      </c>
      <c r="S279">
        <v>45</v>
      </c>
      <c r="T279">
        <v>14</v>
      </c>
      <c r="U279">
        <v>0</v>
      </c>
      <c r="V279">
        <v>59</v>
      </c>
      <c r="W279" s="4">
        <v>730</v>
      </c>
      <c r="X279" s="4">
        <v>0</v>
      </c>
      <c r="Y279">
        <v>2</v>
      </c>
      <c r="Z279">
        <v>0</v>
      </c>
      <c r="AA279" s="4">
        <v>0</v>
      </c>
      <c r="AB279" s="4">
        <v>670</v>
      </c>
      <c r="AC279" s="4">
        <v>0</v>
      </c>
      <c r="AD279" s="4">
        <v>0</v>
      </c>
      <c r="AE279" s="4">
        <v>0</v>
      </c>
      <c r="AF279" s="4">
        <v>670</v>
      </c>
      <c r="AG279" s="4">
        <v>730</v>
      </c>
      <c r="AH279" s="4">
        <v>730</v>
      </c>
      <c r="AI279" s="4">
        <v>0</v>
      </c>
      <c r="AJ279" s="4">
        <v>670</v>
      </c>
      <c r="AK279" s="4">
        <v>730</v>
      </c>
      <c r="AL279" s="4">
        <v>730</v>
      </c>
      <c r="AM279">
        <v>29</v>
      </c>
      <c r="AN279">
        <v>29</v>
      </c>
      <c r="AO279">
        <v>0</v>
      </c>
      <c r="AP279">
        <v>0</v>
      </c>
      <c r="AQ279">
        <v>45</v>
      </c>
      <c r="AR279">
        <v>45</v>
      </c>
      <c r="AS279">
        <v>0</v>
      </c>
      <c r="AT279">
        <v>0</v>
      </c>
      <c r="AU279">
        <v>14</v>
      </c>
      <c r="AV279">
        <v>14</v>
      </c>
      <c r="AW279">
        <v>0</v>
      </c>
      <c r="AX279">
        <v>0</v>
      </c>
      <c r="AY279">
        <v>25</v>
      </c>
    </row>
    <row r="280" spans="1:51">
      <c r="A280" t="s">
        <v>17169</v>
      </c>
      <c r="B280" t="s">
        <v>17181</v>
      </c>
      <c r="C280">
        <v>0</v>
      </c>
      <c r="D280">
        <v>1</v>
      </c>
      <c r="E280">
        <v>1</v>
      </c>
      <c r="F280">
        <v>1</v>
      </c>
      <c r="G280">
        <v>0</v>
      </c>
      <c r="H280">
        <v>0</v>
      </c>
      <c r="I280">
        <v>0</v>
      </c>
      <c r="J280">
        <v>1</v>
      </c>
      <c r="K280">
        <v>5</v>
      </c>
      <c r="L280">
        <v>1</v>
      </c>
      <c r="M280">
        <v>0</v>
      </c>
      <c r="N280">
        <v>0</v>
      </c>
      <c r="O280">
        <v>0</v>
      </c>
      <c r="P280">
        <v>0</v>
      </c>
      <c r="Q280">
        <v>0</v>
      </c>
      <c r="R280">
        <v>0</v>
      </c>
      <c r="S280">
        <v>0</v>
      </c>
      <c r="T280">
        <v>0</v>
      </c>
      <c r="U280">
        <v>0</v>
      </c>
      <c r="V280">
        <v>0</v>
      </c>
      <c r="W280" s="4">
        <v>0</v>
      </c>
      <c r="X280" s="4">
        <v>0</v>
      </c>
      <c r="Y280">
        <v>0</v>
      </c>
      <c r="Z280">
        <v>0</v>
      </c>
      <c r="AA280" s="4">
        <v>0</v>
      </c>
      <c r="AB280" s="4">
        <v>0</v>
      </c>
      <c r="AC280" s="4">
        <v>0</v>
      </c>
      <c r="AD280" s="4">
        <v>0</v>
      </c>
      <c r="AE280" s="4">
        <v>0</v>
      </c>
      <c r="AF280" s="4">
        <v>0</v>
      </c>
      <c r="AG280" s="4">
        <v>0</v>
      </c>
      <c r="AH280" s="4">
        <v>0</v>
      </c>
      <c r="AI280" s="4">
        <v>0</v>
      </c>
      <c r="AJ280" s="4">
        <v>0</v>
      </c>
      <c r="AK280" s="4">
        <v>0</v>
      </c>
      <c r="AL280" s="4">
        <v>0</v>
      </c>
      <c r="AM280">
        <v>5</v>
      </c>
      <c r="AN280">
        <v>0</v>
      </c>
      <c r="AO280">
        <v>5</v>
      </c>
      <c r="AP280">
        <v>0</v>
      </c>
      <c r="AQ280">
        <v>0</v>
      </c>
      <c r="AR280">
        <v>0</v>
      </c>
      <c r="AS280">
        <v>0</v>
      </c>
      <c r="AT280">
        <v>0</v>
      </c>
      <c r="AU280">
        <v>0</v>
      </c>
      <c r="AV280">
        <v>0</v>
      </c>
      <c r="AW280">
        <v>0</v>
      </c>
      <c r="AX280">
        <v>0</v>
      </c>
      <c r="AY280">
        <v>0</v>
      </c>
    </row>
    <row r="281" spans="1:51">
      <c r="A281" t="s">
        <v>17169</v>
      </c>
      <c r="B281" t="s">
        <v>17183</v>
      </c>
      <c r="C281">
        <v>0</v>
      </c>
      <c r="D281">
        <v>31</v>
      </c>
      <c r="E281">
        <v>31</v>
      </c>
      <c r="F281">
        <v>25</v>
      </c>
      <c r="G281">
        <v>5</v>
      </c>
      <c r="H281">
        <v>5</v>
      </c>
      <c r="I281">
        <v>10</v>
      </c>
      <c r="J281">
        <v>28</v>
      </c>
      <c r="K281">
        <v>895</v>
      </c>
      <c r="L281">
        <v>17</v>
      </c>
      <c r="M281">
        <v>4</v>
      </c>
      <c r="N281">
        <v>0</v>
      </c>
      <c r="O281">
        <v>7</v>
      </c>
      <c r="P281">
        <v>0</v>
      </c>
      <c r="Q281">
        <v>3</v>
      </c>
      <c r="R281">
        <v>0</v>
      </c>
      <c r="S281">
        <v>8</v>
      </c>
      <c r="T281">
        <v>16</v>
      </c>
      <c r="U281">
        <v>0</v>
      </c>
      <c r="V281">
        <v>24</v>
      </c>
      <c r="W281" s="4">
        <v>400</v>
      </c>
      <c r="X281" s="4">
        <v>0</v>
      </c>
      <c r="Y281">
        <v>0</v>
      </c>
      <c r="Z281">
        <v>1</v>
      </c>
      <c r="AA281" s="4">
        <v>0</v>
      </c>
      <c r="AB281" s="4">
        <v>340</v>
      </c>
      <c r="AC281" s="4">
        <v>100</v>
      </c>
      <c r="AD281" s="4">
        <v>100</v>
      </c>
      <c r="AE281" s="4">
        <v>270</v>
      </c>
      <c r="AF281" s="4">
        <v>440</v>
      </c>
      <c r="AG281" s="4">
        <v>500</v>
      </c>
      <c r="AH281" s="4">
        <v>230</v>
      </c>
      <c r="AI281" s="4">
        <v>0</v>
      </c>
      <c r="AJ281" s="4">
        <v>0</v>
      </c>
      <c r="AK281" s="4">
        <v>0</v>
      </c>
      <c r="AL281" s="4">
        <v>0</v>
      </c>
      <c r="AM281">
        <v>895</v>
      </c>
      <c r="AN281">
        <v>108</v>
      </c>
      <c r="AO281">
        <v>787</v>
      </c>
      <c r="AP281">
        <v>0</v>
      </c>
      <c r="AQ281">
        <v>8</v>
      </c>
      <c r="AR281">
        <v>0</v>
      </c>
      <c r="AS281">
        <v>8</v>
      </c>
      <c r="AT281">
        <v>0</v>
      </c>
      <c r="AU281">
        <v>16</v>
      </c>
      <c r="AV281">
        <v>0</v>
      </c>
      <c r="AW281">
        <v>16</v>
      </c>
      <c r="AX281">
        <v>0</v>
      </c>
      <c r="AY281">
        <v>120</v>
      </c>
    </row>
    <row r="282" spans="1:51">
      <c r="A282" t="s">
        <v>17169</v>
      </c>
      <c r="B282" t="s">
        <v>17184</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s="4">
        <v>0</v>
      </c>
      <c r="X282" s="4">
        <v>0</v>
      </c>
      <c r="Y282">
        <v>0</v>
      </c>
      <c r="Z282">
        <v>0</v>
      </c>
      <c r="AA282" s="4">
        <v>0</v>
      </c>
      <c r="AB282" s="4">
        <v>0</v>
      </c>
      <c r="AC282" s="4">
        <v>0</v>
      </c>
      <c r="AD282" s="4">
        <v>0</v>
      </c>
      <c r="AE282" s="4">
        <v>0</v>
      </c>
      <c r="AF282" s="4">
        <v>0</v>
      </c>
      <c r="AG282" s="4">
        <v>0</v>
      </c>
      <c r="AH282" s="4">
        <v>0</v>
      </c>
      <c r="AI282" s="4">
        <v>0</v>
      </c>
      <c r="AJ282" s="4">
        <v>0</v>
      </c>
      <c r="AK282" s="4">
        <v>0</v>
      </c>
      <c r="AL282" s="4">
        <v>0</v>
      </c>
      <c r="AM282">
        <v>0</v>
      </c>
      <c r="AN282">
        <v>0</v>
      </c>
      <c r="AO282">
        <v>0</v>
      </c>
      <c r="AP282">
        <v>0</v>
      </c>
      <c r="AQ282">
        <v>0</v>
      </c>
      <c r="AR282">
        <v>0</v>
      </c>
      <c r="AS282">
        <v>0</v>
      </c>
      <c r="AT282">
        <v>0</v>
      </c>
      <c r="AU282">
        <v>0</v>
      </c>
      <c r="AV282">
        <v>0</v>
      </c>
      <c r="AW282">
        <v>0</v>
      </c>
      <c r="AX282">
        <v>0</v>
      </c>
      <c r="AY282">
        <v>0</v>
      </c>
    </row>
    <row r="283" spans="1:51">
      <c r="A283" t="s">
        <v>17169</v>
      </c>
      <c r="B283" t="s">
        <v>17358</v>
      </c>
      <c r="C283">
        <v>0</v>
      </c>
      <c r="D283">
        <v>1</v>
      </c>
      <c r="E283">
        <v>0</v>
      </c>
      <c r="F283">
        <v>1</v>
      </c>
      <c r="G283">
        <v>1</v>
      </c>
      <c r="H283">
        <v>0</v>
      </c>
      <c r="I283">
        <v>0</v>
      </c>
      <c r="J283">
        <v>1</v>
      </c>
      <c r="K283">
        <v>1</v>
      </c>
      <c r="L283">
        <v>1</v>
      </c>
      <c r="M283">
        <v>0</v>
      </c>
      <c r="N283">
        <v>1</v>
      </c>
      <c r="O283">
        <v>0</v>
      </c>
      <c r="P283">
        <v>0</v>
      </c>
      <c r="Q283">
        <v>0</v>
      </c>
      <c r="R283">
        <v>0</v>
      </c>
      <c r="S283">
        <v>5</v>
      </c>
      <c r="T283">
        <v>12</v>
      </c>
      <c r="U283">
        <v>0</v>
      </c>
      <c r="V283">
        <v>17</v>
      </c>
      <c r="W283" s="4">
        <v>290</v>
      </c>
      <c r="X283" s="4">
        <v>0</v>
      </c>
      <c r="Y283">
        <v>1</v>
      </c>
      <c r="Z283">
        <v>0</v>
      </c>
      <c r="AA283" s="4">
        <v>0</v>
      </c>
      <c r="AB283" s="4">
        <v>260</v>
      </c>
      <c r="AC283" s="4">
        <v>0</v>
      </c>
      <c r="AD283" s="4">
        <v>0</v>
      </c>
      <c r="AE283" s="4">
        <v>0</v>
      </c>
      <c r="AF283" s="4">
        <v>260</v>
      </c>
      <c r="AG283" s="4">
        <v>290</v>
      </c>
      <c r="AH283" s="4">
        <v>290</v>
      </c>
      <c r="AI283" s="4">
        <v>0</v>
      </c>
      <c r="AJ283" s="4">
        <v>0</v>
      </c>
      <c r="AK283" s="4">
        <v>0</v>
      </c>
      <c r="AL283" s="4">
        <v>0</v>
      </c>
      <c r="AM283">
        <v>1</v>
      </c>
      <c r="AN283">
        <v>0</v>
      </c>
      <c r="AO283">
        <v>1</v>
      </c>
      <c r="AP283">
        <v>0</v>
      </c>
      <c r="AQ283">
        <v>5</v>
      </c>
      <c r="AR283">
        <v>0</v>
      </c>
      <c r="AS283">
        <v>5</v>
      </c>
      <c r="AT283">
        <v>0</v>
      </c>
      <c r="AU283">
        <v>12</v>
      </c>
      <c r="AV283">
        <v>0</v>
      </c>
      <c r="AW283">
        <v>12</v>
      </c>
      <c r="AX283">
        <v>0</v>
      </c>
    </row>
    <row r="284" spans="1:51">
      <c r="A284" t="s">
        <v>17169</v>
      </c>
      <c r="B284" t="s">
        <v>17358</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s="4">
        <v>0</v>
      </c>
      <c r="X284" s="4">
        <v>0</v>
      </c>
      <c r="Y284">
        <v>0</v>
      </c>
      <c r="Z284">
        <v>0</v>
      </c>
      <c r="AA284" s="4">
        <v>0</v>
      </c>
      <c r="AB284" s="4">
        <v>0</v>
      </c>
      <c r="AC284" s="4">
        <v>0</v>
      </c>
      <c r="AD284" s="4">
        <v>0</v>
      </c>
      <c r="AE284" s="4">
        <v>0</v>
      </c>
      <c r="AF284" s="4">
        <v>0</v>
      </c>
      <c r="AG284" s="4">
        <v>0</v>
      </c>
      <c r="AH284" s="4">
        <v>0</v>
      </c>
      <c r="AI284" s="4">
        <v>0</v>
      </c>
      <c r="AJ284" s="4">
        <v>0</v>
      </c>
      <c r="AK284" s="4">
        <v>0</v>
      </c>
      <c r="AL284" s="4">
        <v>0</v>
      </c>
      <c r="AM284">
        <v>0</v>
      </c>
      <c r="AN284">
        <v>0</v>
      </c>
      <c r="AO284">
        <v>0</v>
      </c>
      <c r="AP284">
        <v>0</v>
      </c>
      <c r="AQ284">
        <v>0</v>
      </c>
      <c r="AR284">
        <v>0</v>
      </c>
      <c r="AS284">
        <v>0</v>
      </c>
      <c r="AT284">
        <v>0</v>
      </c>
      <c r="AU284">
        <v>0</v>
      </c>
      <c r="AV284">
        <v>0</v>
      </c>
      <c r="AW284">
        <v>0</v>
      </c>
      <c r="AX284">
        <v>0</v>
      </c>
      <c r="AY284">
        <v>0</v>
      </c>
    </row>
    <row r="285" spans="1:51">
      <c r="A285" t="s">
        <v>17300</v>
      </c>
      <c r="B285" t="s">
        <v>17301</v>
      </c>
      <c r="C285">
        <v>4</v>
      </c>
      <c r="D285">
        <v>6</v>
      </c>
      <c r="E285">
        <v>6</v>
      </c>
      <c r="F285">
        <v>5</v>
      </c>
      <c r="G285">
        <v>0</v>
      </c>
      <c r="H285">
        <v>0</v>
      </c>
      <c r="I285">
        <v>0</v>
      </c>
      <c r="J285">
        <v>6</v>
      </c>
      <c r="K285">
        <v>27</v>
      </c>
      <c r="L285">
        <v>6</v>
      </c>
      <c r="M285">
        <v>0</v>
      </c>
      <c r="N285">
        <v>0</v>
      </c>
      <c r="O285">
        <v>0</v>
      </c>
      <c r="P285">
        <v>0</v>
      </c>
      <c r="Q285">
        <v>0</v>
      </c>
      <c r="R285">
        <v>0</v>
      </c>
      <c r="S285">
        <v>2</v>
      </c>
      <c r="T285">
        <v>0.25</v>
      </c>
      <c r="U285">
        <v>0</v>
      </c>
      <c r="V285">
        <v>2.25</v>
      </c>
      <c r="W285" s="4">
        <v>10</v>
      </c>
      <c r="X285" s="4">
        <v>0</v>
      </c>
      <c r="Y285">
        <v>1</v>
      </c>
      <c r="Z285">
        <v>1</v>
      </c>
      <c r="AA285" s="4">
        <v>-12.5</v>
      </c>
      <c r="AB285" s="4">
        <v>0</v>
      </c>
      <c r="AC285" s="4">
        <v>0</v>
      </c>
      <c r="AD285" s="4">
        <v>0</v>
      </c>
      <c r="AE285" s="4">
        <v>0</v>
      </c>
      <c r="AF285" s="4">
        <v>0</v>
      </c>
      <c r="AG285" s="4">
        <v>10</v>
      </c>
      <c r="AH285" s="4">
        <v>10</v>
      </c>
      <c r="AI285" s="4">
        <v>0</v>
      </c>
      <c r="AJ285" s="4">
        <v>0</v>
      </c>
      <c r="AK285" s="4">
        <v>0</v>
      </c>
      <c r="AL285" s="4">
        <v>0</v>
      </c>
      <c r="AM285">
        <v>27</v>
      </c>
      <c r="AN285">
        <v>0</v>
      </c>
      <c r="AO285">
        <v>6</v>
      </c>
      <c r="AP285">
        <v>21</v>
      </c>
      <c r="AQ285">
        <v>2</v>
      </c>
      <c r="AR285">
        <v>0</v>
      </c>
      <c r="AS285">
        <v>0.5</v>
      </c>
      <c r="AT285">
        <v>1.5</v>
      </c>
      <c r="AU285">
        <v>0.25</v>
      </c>
      <c r="AV285">
        <v>0</v>
      </c>
      <c r="AW285">
        <v>0.25</v>
      </c>
      <c r="AX285">
        <v>0</v>
      </c>
      <c r="AY285">
        <v>3</v>
      </c>
    </row>
    <row r="286" spans="1:51">
      <c r="A286" t="s">
        <v>17300</v>
      </c>
      <c r="B286" t="s">
        <v>17378</v>
      </c>
      <c r="C286">
        <v>0</v>
      </c>
      <c r="D286">
        <v>19</v>
      </c>
      <c r="E286">
        <v>19</v>
      </c>
      <c r="F286">
        <v>19</v>
      </c>
      <c r="G286">
        <v>1</v>
      </c>
      <c r="H286">
        <v>0</v>
      </c>
      <c r="I286">
        <v>1</v>
      </c>
      <c r="J286">
        <v>19</v>
      </c>
      <c r="K286">
        <v>172</v>
      </c>
      <c r="L286">
        <v>6</v>
      </c>
      <c r="M286">
        <v>13</v>
      </c>
      <c r="N286">
        <v>0</v>
      </c>
      <c r="O286">
        <v>0</v>
      </c>
      <c r="P286">
        <v>0</v>
      </c>
      <c r="Q286">
        <v>0</v>
      </c>
      <c r="R286">
        <v>0</v>
      </c>
      <c r="S286">
        <v>0</v>
      </c>
      <c r="T286">
        <v>0</v>
      </c>
      <c r="U286">
        <v>0</v>
      </c>
      <c r="V286">
        <v>0</v>
      </c>
      <c r="W286" s="4">
        <v>0</v>
      </c>
      <c r="X286" s="4">
        <v>0</v>
      </c>
      <c r="Y286">
        <v>0</v>
      </c>
      <c r="Z286">
        <v>0</v>
      </c>
      <c r="AA286" s="4">
        <v>0</v>
      </c>
      <c r="AB286" s="4">
        <v>0</v>
      </c>
      <c r="AC286" s="4">
        <v>0</v>
      </c>
      <c r="AD286" s="4">
        <v>0</v>
      </c>
      <c r="AE286" s="4">
        <v>0</v>
      </c>
      <c r="AF286" s="4">
        <v>0</v>
      </c>
      <c r="AG286" s="4">
        <v>0</v>
      </c>
      <c r="AH286" s="4">
        <v>0</v>
      </c>
      <c r="AI286" s="4">
        <v>0</v>
      </c>
      <c r="AJ286" s="4">
        <v>0</v>
      </c>
      <c r="AK286" s="4">
        <v>0</v>
      </c>
      <c r="AL286" s="4">
        <v>0</v>
      </c>
      <c r="AM286">
        <v>172</v>
      </c>
      <c r="AN286">
        <v>0</v>
      </c>
      <c r="AO286">
        <v>172</v>
      </c>
      <c r="AP286">
        <v>0</v>
      </c>
      <c r="AQ286">
        <v>0</v>
      </c>
      <c r="AR286">
        <v>0</v>
      </c>
      <c r="AS286">
        <v>0</v>
      </c>
      <c r="AT286">
        <v>0</v>
      </c>
      <c r="AU286">
        <v>0</v>
      </c>
      <c r="AV286">
        <v>0</v>
      </c>
      <c r="AW286">
        <v>0</v>
      </c>
      <c r="AX286">
        <v>0</v>
      </c>
      <c r="AY286">
        <v>50</v>
      </c>
    </row>
    <row r="287" spans="1:51">
      <c r="A287" t="s">
        <v>17300</v>
      </c>
      <c r="B287" t="s">
        <v>17329</v>
      </c>
      <c r="C287">
        <v>0</v>
      </c>
      <c r="D287">
        <v>1</v>
      </c>
      <c r="E287">
        <v>1</v>
      </c>
      <c r="F287">
        <v>1</v>
      </c>
      <c r="G287">
        <v>0</v>
      </c>
      <c r="H287">
        <v>0</v>
      </c>
      <c r="I287">
        <v>0</v>
      </c>
      <c r="J287">
        <v>1</v>
      </c>
      <c r="K287">
        <v>8</v>
      </c>
      <c r="L287">
        <v>1</v>
      </c>
      <c r="M287">
        <v>0</v>
      </c>
      <c r="N287">
        <v>0</v>
      </c>
      <c r="O287">
        <v>0</v>
      </c>
      <c r="P287">
        <v>0</v>
      </c>
      <c r="Q287">
        <v>0</v>
      </c>
      <c r="R287">
        <v>0</v>
      </c>
      <c r="S287">
        <v>0.75</v>
      </c>
      <c r="T287">
        <v>0.75</v>
      </c>
      <c r="U287">
        <v>0.75</v>
      </c>
      <c r="V287">
        <v>2.25</v>
      </c>
      <c r="W287" s="4">
        <v>22.5</v>
      </c>
      <c r="X287" s="4">
        <v>0</v>
      </c>
      <c r="Y287">
        <v>1</v>
      </c>
      <c r="Z287">
        <v>0</v>
      </c>
      <c r="AA287" s="4">
        <v>0</v>
      </c>
      <c r="AB287" s="4">
        <v>0</v>
      </c>
      <c r="AC287" s="4">
        <v>0</v>
      </c>
      <c r="AD287" s="4">
        <v>0</v>
      </c>
      <c r="AE287" s="4">
        <v>0</v>
      </c>
      <c r="AF287" s="4">
        <v>0</v>
      </c>
      <c r="AG287" s="4">
        <v>37.5</v>
      </c>
      <c r="AH287" s="4">
        <v>37.5</v>
      </c>
      <c r="AI287" s="4">
        <v>0</v>
      </c>
      <c r="AJ287" s="4">
        <v>0</v>
      </c>
      <c r="AK287" s="4">
        <v>0</v>
      </c>
      <c r="AL287" s="4">
        <v>0</v>
      </c>
      <c r="AM287">
        <v>8</v>
      </c>
      <c r="AN287">
        <v>0</v>
      </c>
      <c r="AO287">
        <v>8</v>
      </c>
      <c r="AP287">
        <v>0</v>
      </c>
      <c r="AQ287">
        <v>0.75</v>
      </c>
      <c r="AR287">
        <v>0</v>
      </c>
      <c r="AS287">
        <v>0.75</v>
      </c>
      <c r="AT287">
        <v>0</v>
      </c>
      <c r="AU287">
        <v>0.75</v>
      </c>
      <c r="AV287">
        <v>0</v>
      </c>
      <c r="AW287">
        <v>0.75</v>
      </c>
      <c r="AX287">
        <v>0</v>
      </c>
      <c r="AY287">
        <v>7420</v>
      </c>
    </row>
    <row r="288" spans="1:51">
      <c r="A288" t="s">
        <v>17300</v>
      </c>
      <c r="B288" t="s">
        <v>17316</v>
      </c>
      <c r="C288">
        <v>7</v>
      </c>
      <c r="D288">
        <v>13</v>
      </c>
      <c r="E288">
        <v>12</v>
      </c>
      <c r="F288">
        <v>11</v>
      </c>
      <c r="G288">
        <v>2</v>
      </c>
      <c r="H288">
        <v>0</v>
      </c>
      <c r="I288">
        <v>0</v>
      </c>
      <c r="J288">
        <v>13</v>
      </c>
      <c r="K288">
        <v>70</v>
      </c>
      <c r="L288">
        <v>2</v>
      </c>
      <c r="M288">
        <v>9</v>
      </c>
      <c r="N288">
        <v>0</v>
      </c>
      <c r="O288">
        <v>0</v>
      </c>
      <c r="P288">
        <v>1</v>
      </c>
      <c r="Q288">
        <v>1</v>
      </c>
      <c r="R288">
        <v>0</v>
      </c>
      <c r="S288">
        <v>0</v>
      </c>
      <c r="T288">
        <v>0</v>
      </c>
      <c r="U288">
        <v>0</v>
      </c>
      <c r="V288">
        <v>0</v>
      </c>
      <c r="W288" s="4">
        <v>0</v>
      </c>
      <c r="X288" s="4">
        <v>0</v>
      </c>
      <c r="Y288">
        <v>6</v>
      </c>
      <c r="Z288">
        <v>0</v>
      </c>
      <c r="AA288" s="4">
        <v>0</v>
      </c>
      <c r="AB288" s="4">
        <v>0</v>
      </c>
      <c r="AC288" s="4">
        <v>0</v>
      </c>
      <c r="AD288" s="4">
        <v>0</v>
      </c>
      <c r="AE288" s="4">
        <v>0</v>
      </c>
      <c r="AF288" s="4">
        <v>0</v>
      </c>
      <c r="AG288" s="4">
        <v>0</v>
      </c>
      <c r="AH288" s="4">
        <v>0</v>
      </c>
      <c r="AI288" s="4">
        <v>0</v>
      </c>
      <c r="AJ288" s="4">
        <v>0</v>
      </c>
      <c r="AK288" s="4">
        <v>0</v>
      </c>
      <c r="AL288" s="4">
        <v>0</v>
      </c>
      <c r="AM288">
        <v>70</v>
      </c>
      <c r="AN288">
        <v>0</v>
      </c>
      <c r="AO288">
        <v>25</v>
      </c>
      <c r="AP288">
        <v>45</v>
      </c>
      <c r="AQ288">
        <v>0</v>
      </c>
      <c r="AR288">
        <v>0</v>
      </c>
      <c r="AS288">
        <v>0</v>
      </c>
      <c r="AT288">
        <v>0</v>
      </c>
      <c r="AU288">
        <v>0</v>
      </c>
      <c r="AV288">
        <v>0</v>
      </c>
      <c r="AW288">
        <v>0</v>
      </c>
      <c r="AX288">
        <v>0</v>
      </c>
      <c r="AY288">
        <v>5</v>
      </c>
    </row>
    <row r="289" spans="1:51">
      <c r="A289" t="s">
        <v>17300</v>
      </c>
      <c r="B289" t="s">
        <v>17381</v>
      </c>
      <c r="C289">
        <v>0</v>
      </c>
      <c r="D289">
        <v>11</v>
      </c>
      <c r="E289">
        <v>0</v>
      </c>
      <c r="F289">
        <v>10</v>
      </c>
      <c r="G289">
        <v>0</v>
      </c>
      <c r="H289">
        <v>3</v>
      </c>
      <c r="I289">
        <v>0</v>
      </c>
      <c r="J289">
        <v>9</v>
      </c>
      <c r="K289">
        <v>74</v>
      </c>
      <c r="L289">
        <v>8</v>
      </c>
      <c r="M289">
        <v>0</v>
      </c>
      <c r="N289">
        <v>0</v>
      </c>
      <c r="O289">
        <v>0</v>
      </c>
      <c r="P289">
        <v>1</v>
      </c>
      <c r="Q289">
        <v>0</v>
      </c>
      <c r="R289">
        <v>0</v>
      </c>
      <c r="S289">
        <v>39</v>
      </c>
      <c r="T289">
        <v>8</v>
      </c>
      <c r="U289">
        <v>0</v>
      </c>
      <c r="V289">
        <v>47</v>
      </c>
      <c r="W289" s="4">
        <v>550</v>
      </c>
      <c r="X289" s="4">
        <v>0</v>
      </c>
      <c r="Y289">
        <v>11</v>
      </c>
      <c r="Z289">
        <v>0</v>
      </c>
      <c r="AA289" s="4">
        <v>0</v>
      </c>
      <c r="AB289" s="4">
        <v>240</v>
      </c>
      <c r="AC289" s="4">
        <v>0</v>
      </c>
      <c r="AD289" s="4">
        <v>0</v>
      </c>
      <c r="AE289" s="4">
        <v>0</v>
      </c>
      <c r="AF289" s="4">
        <v>240</v>
      </c>
      <c r="AG289" s="4">
        <v>550</v>
      </c>
      <c r="AH289" s="4">
        <v>550</v>
      </c>
      <c r="AI289" s="4">
        <v>0</v>
      </c>
      <c r="AJ289" s="4">
        <v>60</v>
      </c>
      <c r="AK289" s="4">
        <v>150</v>
      </c>
      <c r="AL289" s="4">
        <v>150</v>
      </c>
      <c r="AM289">
        <v>74</v>
      </c>
      <c r="AN289">
        <v>19</v>
      </c>
      <c r="AO289">
        <v>55</v>
      </c>
      <c r="AP289">
        <v>0</v>
      </c>
      <c r="AQ289">
        <v>39</v>
      </c>
      <c r="AR289">
        <v>14</v>
      </c>
      <c r="AS289">
        <v>25</v>
      </c>
      <c r="AT289">
        <v>0</v>
      </c>
      <c r="AU289">
        <v>8</v>
      </c>
      <c r="AV289">
        <v>0.5</v>
      </c>
      <c r="AW289">
        <v>7.5</v>
      </c>
      <c r="AX289">
        <v>0</v>
      </c>
      <c r="AY289">
        <v>10</v>
      </c>
    </row>
    <row r="290" spans="1:51">
      <c r="A290" t="s">
        <v>17300</v>
      </c>
      <c r="B290" t="s">
        <v>17339</v>
      </c>
      <c r="C290">
        <v>3</v>
      </c>
      <c r="D290">
        <v>21</v>
      </c>
      <c r="E290">
        <v>21</v>
      </c>
      <c r="F290">
        <v>18</v>
      </c>
      <c r="G290">
        <v>2</v>
      </c>
      <c r="H290">
        <v>0</v>
      </c>
      <c r="I290">
        <v>0</v>
      </c>
      <c r="J290">
        <v>21</v>
      </c>
      <c r="K290">
        <v>104</v>
      </c>
      <c r="L290">
        <v>19</v>
      </c>
      <c r="M290">
        <v>2</v>
      </c>
      <c r="N290">
        <v>0</v>
      </c>
      <c r="O290">
        <v>0</v>
      </c>
      <c r="P290">
        <v>0</v>
      </c>
      <c r="Q290">
        <v>0</v>
      </c>
      <c r="R290">
        <v>0</v>
      </c>
      <c r="S290">
        <v>19</v>
      </c>
      <c r="T290">
        <v>0</v>
      </c>
      <c r="U290">
        <v>0</v>
      </c>
      <c r="V290">
        <v>19</v>
      </c>
      <c r="W290" s="4">
        <v>190</v>
      </c>
      <c r="X290" s="4">
        <v>0</v>
      </c>
      <c r="Y290">
        <v>3</v>
      </c>
      <c r="Z290">
        <v>2</v>
      </c>
      <c r="AA290" s="4">
        <v>0</v>
      </c>
      <c r="AB290" s="4">
        <v>30</v>
      </c>
      <c r="AC290" s="4">
        <v>0</v>
      </c>
      <c r="AD290" s="4">
        <v>0</v>
      </c>
      <c r="AE290" s="4">
        <v>0</v>
      </c>
      <c r="AF290" s="4">
        <v>30</v>
      </c>
      <c r="AG290" s="4">
        <v>190</v>
      </c>
      <c r="AH290" s="4">
        <v>190</v>
      </c>
      <c r="AI290" s="4">
        <v>0</v>
      </c>
      <c r="AJ290" s="4">
        <v>0</v>
      </c>
      <c r="AK290" s="4">
        <v>0</v>
      </c>
      <c r="AL290" s="4">
        <v>0</v>
      </c>
      <c r="AM290">
        <v>104</v>
      </c>
      <c r="AN290">
        <v>0</v>
      </c>
      <c r="AO290">
        <v>100</v>
      </c>
      <c r="AP290">
        <v>4</v>
      </c>
      <c r="AQ290">
        <v>19</v>
      </c>
      <c r="AR290">
        <v>0</v>
      </c>
      <c r="AS290">
        <v>19</v>
      </c>
      <c r="AT290">
        <v>0</v>
      </c>
      <c r="AU290">
        <v>0</v>
      </c>
      <c r="AV290">
        <v>0</v>
      </c>
      <c r="AW290">
        <v>0</v>
      </c>
      <c r="AX290">
        <v>0</v>
      </c>
      <c r="AY290">
        <v>30</v>
      </c>
    </row>
    <row r="291" spans="1:51">
      <c r="A291" t="s">
        <v>17185</v>
      </c>
      <c r="B291" t="s">
        <v>17186</v>
      </c>
      <c r="C291">
        <v>0</v>
      </c>
      <c r="D291">
        <v>41</v>
      </c>
      <c r="E291">
        <v>41</v>
      </c>
      <c r="F291">
        <v>40</v>
      </c>
      <c r="G291">
        <v>0</v>
      </c>
      <c r="H291">
        <v>0</v>
      </c>
      <c r="I291">
        <v>0</v>
      </c>
      <c r="J291">
        <v>41</v>
      </c>
      <c r="K291">
        <v>223</v>
      </c>
      <c r="L291">
        <v>25</v>
      </c>
      <c r="M291">
        <v>0</v>
      </c>
      <c r="N291">
        <v>5</v>
      </c>
      <c r="O291">
        <v>11</v>
      </c>
      <c r="P291">
        <v>0</v>
      </c>
      <c r="Q291">
        <v>0</v>
      </c>
      <c r="R291">
        <v>0</v>
      </c>
      <c r="S291">
        <v>8.6</v>
      </c>
      <c r="T291">
        <v>8.8000000000000007</v>
      </c>
      <c r="U291">
        <v>0</v>
      </c>
      <c r="V291">
        <v>17.399999999999999</v>
      </c>
      <c r="W291" s="4">
        <v>262</v>
      </c>
      <c r="X291" s="4">
        <v>0</v>
      </c>
      <c r="Y291">
        <v>35</v>
      </c>
      <c r="Z291">
        <v>0</v>
      </c>
      <c r="AA291" s="4">
        <v>0</v>
      </c>
      <c r="AB291" s="4">
        <v>99.5</v>
      </c>
      <c r="AC291" s="4">
        <v>3.6</v>
      </c>
      <c r="AD291" s="4">
        <v>3.6</v>
      </c>
      <c r="AE291" s="4">
        <v>83.6</v>
      </c>
      <c r="AF291" s="4">
        <v>103.1</v>
      </c>
      <c r="AG291" s="4">
        <v>265.60000000000002</v>
      </c>
      <c r="AH291" s="4">
        <v>182</v>
      </c>
      <c r="AI291" s="4">
        <v>0</v>
      </c>
      <c r="AJ291" s="4">
        <v>0</v>
      </c>
      <c r="AK291" s="4">
        <v>0</v>
      </c>
      <c r="AL291" s="4">
        <v>0</v>
      </c>
      <c r="AM291">
        <v>223</v>
      </c>
      <c r="AN291">
        <v>0</v>
      </c>
      <c r="AO291">
        <v>223</v>
      </c>
      <c r="AP291">
        <v>0</v>
      </c>
      <c r="AQ291">
        <v>8.6</v>
      </c>
      <c r="AR291">
        <v>0</v>
      </c>
      <c r="AS291">
        <v>8.6</v>
      </c>
      <c r="AT291">
        <v>0</v>
      </c>
      <c r="AU291">
        <v>8.8000000000000007</v>
      </c>
      <c r="AV291">
        <v>0</v>
      </c>
      <c r="AW291">
        <v>8.8000000000000007</v>
      </c>
      <c r="AX291">
        <v>0</v>
      </c>
      <c r="AY291">
        <v>8</v>
      </c>
    </row>
    <row r="292" spans="1:51">
      <c r="A292" t="s">
        <v>17185</v>
      </c>
      <c r="B292" t="s">
        <v>17187</v>
      </c>
      <c r="C292">
        <v>0</v>
      </c>
      <c r="D292">
        <v>5</v>
      </c>
      <c r="E292">
        <v>5</v>
      </c>
      <c r="F292">
        <v>5</v>
      </c>
      <c r="G292">
        <v>0</v>
      </c>
      <c r="H292">
        <v>0</v>
      </c>
      <c r="I292">
        <v>0</v>
      </c>
      <c r="J292">
        <v>5</v>
      </c>
      <c r="K292">
        <v>75</v>
      </c>
      <c r="L292">
        <v>0</v>
      </c>
      <c r="M292">
        <v>0</v>
      </c>
      <c r="N292">
        <v>1</v>
      </c>
      <c r="O292">
        <v>3</v>
      </c>
      <c r="P292">
        <v>1</v>
      </c>
      <c r="Q292">
        <v>0</v>
      </c>
      <c r="R292">
        <v>0</v>
      </c>
      <c r="S292">
        <v>3</v>
      </c>
      <c r="T292">
        <v>0.25</v>
      </c>
      <c r="U292">
        <v>0</v>
      </c>
      <c r="V292">
        <v>3.25</v>
      </c>
      <c r="W292" s="4">
        <v>35</v>
      </c>
      <c r="X292" s="4">
        <v>0</v>
      </c>
      <c r="Y292">
        <v>1</v>
      </c>
      <c r="Z292">
        <v>0</v>
      </c>
      <c r="AA292" s="4">
        <v>0</v>
      </c>
      <c r="AB292" s="4">
        <v>5</v>
      </c>
      <c r="AC292" s="4">
        <v>1.25</v>
      </c>
      <c r="AD292" s="4">
        <v>1.25</v>
      </c>
      <c r="AE292" s="4">
        <v>12.67</v>
      </c>
      <c r="AF292" s="4">
        <v>6.25</v>
      </c>
      <c r="AG292" s="4">
        <v>36.25</v>
      </c>
      <c r="AH292" s="4">
        <v>23.58</v>
      </c>
      <c r="AI292" s="4">
        <v>0</v>
      </c>
      <c r="AJ292" s="4">
        <v>0</v>
      </c>
      <c r="AK292" s="4">
        <v>0</v>
      </c>
      <c r="AL292" s="4">
        <v>0</v>
      </c>
      <c r="AM292">
        <v>75</v>
      </c>
      <c r="AN292">
        <v>0</v>
      </c>
      <c r="AO292">
        <v>75</v>
      </c>
      <c r="AP292">
        <v>0</v>
      </c>
      <c r="AQ292">
        <v>3</v>
      </c>
      <c r="AR292">
        <v>0</v>
      </c>
      <c r="AS292">
        <v>3</v>
      </c>
      <c r="AT292">
        <v>0</v>
      </c>
      <c r="AU292">
        <v>0.25</v>
      </c>
      <c r="AV292">
        <v>0</v>
      </c>
      <c r="AW292">
        <v>0.25</v>
      </c>
      <c r="AX292">
        <v>0</v>
      </c>
      <c r="AY292">
        <v>5</v>
      </c>
    </row>
    <row r="293" spans="1:51">
      <c r="A293" t="s">
        <v>17188</v>
      </c>
      <c r="B293" t="s">
        <v>17189</v>
      </c>
      <c r="C293">
        <v>1</v>
      </c>
      <c r="D293">
        <v>34</v>
      </c>
      <c r="E293">
        <v>5</v>
      </c>
      <c r="F293">
        <v>26</v>
      </c>
      <c r="G293">
        <v>1</v>
      </c>
      <c r="H293">
        <v>4</v>
      </c>
      <c r="I293">
        <v>0</v>
      </c>
      <c r="J293">
        <v>33</v>
      </c>
      <c r="K293">
        <v>336</v>
      </c>
      <c r="L293">
        <v>10</v>
      </c>
      <c r="M293">
        <v>0</v>
      </c>
      <c r="N293">
        <v>5</v>
      </c>
      <c r="O293">
        <v>6</v>
      </c>
      <c r="P293">
        <v>1</v>
      </c>
      <c r="Q293">
        <v>3</v>
      </c>
      <c r="R293">
        <v>0</v>
      </c>
      <c r="S293">
        <v>1511</v>
      </c>
      <c r="T293">
        <v>3054</v>
      </c>
      <c r="U293">
        <v>0</v>
      </c>
      <c r="V293">
        <v>4565</v>
      </c>
      <c r="W293" s="4">
        <v>76190</v>
      </c>
      <c r="X293" s="4">
        <v>0</v>
      </c>
      <c r="Y293">
        <v>2</v>
      </c>
      <c r="Z293">
        <v>8</v>
      </c>
      <c r="AA293" s="4">
        <v>0</v>
      </c>
      <c r="AB293" s="4">
        <v>75770</v>
      </c>
      <c r="AC293" s="4">
        <v>1207</v>
      </c>
      <c r="AD293" s="4">
        <v>1207</v>
      </c>
      <c r="AE293" s="4">
        <v>0</v>
      </c>
      <c r="AF293" s="4">
        <v>76977</v>
      </c>
      <c r="AG293" s="4">
        <v>77397</v>
      </c>
      <c r="AH293" s="4">
        <v>77397</v>
      </c>
      <c r="AI293" s="4">
        <v>0</v>
      </c>
      <c r="AJ293" s="4">
        <v>560</v>
      </c>
      <c r="AK293" s="4">
        <v>680</v>
      </c>
      <c r="AL293" s="4">
        <v>680</v>
      </c>
      <c r="AM293">
        <v>336</v>
      </c>
      <c r="AN293">
        <v>79</v>
      </c>
      <c r="AO293">
        <v>237</v>
      </c>
      <c r="AP293">
        <v>20</v>
      </c>
      <c r="AQ293">
        <v>1511</v>
      </c>
      <c r="AR293">
        <v>14</v>
      </c>
      <c r="AS293">
        <v>1497</v>
      </c>
      <c r="AT293">
        <v>0</v>
      </c>
      <c r="AU293">
        <v>3054</v>
      </c>
      <c r="AV293">
        <v>27</v>
      </c>
      <c r="AW293">
        <v>3027</v>
      </c>
      <c r="AX293">
        <v>0</v>
      </c>
      <c r="AY293">
        <v>450</v>
      </c>
    </row>
    <row r="294" spans="1:51">
      <c r="A294" t="s">
        <v>17191</v>
      </c>
      <c r="B294" t="s">
        <v>17192</v>
      </c>
      <c r="C294">
        <v>0</v>
      </c>
      <c r="D294">
        <v>9</v>
      </c>
      <c r="E294">
        <v>9</v>
      </c>
      <c r="F294">
        <v>8</v>
      </c>
      <c r="G294">
        <v>0</v>
      </c>
      <c r="H294">
        <v>6</v>
      </c>
      <c r="I294">
        <v>1</v>
      </c>
      <c r="J294">
        <v>9</v>
      </c>
      <c r="K294">
        <v>212</v>
      </c>
      <c r="L294">
        <v>2</v>
      </c>
      <c r="M294">
        <v>2</v>
      </c>
      <c r="N294">
        <v>4</v>
      </c>
      <c r="O294">
        <v>1</v>
      </c>
      <c r="P294">
        <v>0</v>
      </c>
      <c r="Q294">
        <v>0</v>
      </c>
      <c r="R294">
        <v>0</v>
      </c>
      <c r="S294">
        <v>21</v>
      </c>
      <c r="T294">
        <v>0</v>
      </c>
      <c r="U294">
        <v>0</v>
      </c>
      <c r="V294">
        <v>21</v>
      </c>
      <c r="W294" s="4">
        <v>210</v>
      </c>
      <c r="X294" s="4">
        <v>0</v>
      </c>
      <c r="Y294">
        <v>0</v>
      </c>
      <c r="Z294">
        <v>0</v>
      </c>
      <c r="AA294" s="4">
        <v>0</v>
      </c>
      <c r="AB294" s="4">
        <v>0</v>
      </c>
      <c r="AC294" s="4">
        <v>0</v>
      </c>
      <c r="AD294" s="4">
        <v>0</v>
      </c>
      <c r="AE294" s="4">
        <v>0</v>
      </c>
      <c r="AF294" s="4">
        <v>0</v>
      </c>
      <c r="AG294" s="4">
        <v>210</v>
      </c>
      <c r="AH294" s="4">
        <v>210</v>
      </c>
      <c r="AI294" s="4">
        <v>0</v>
      </c>
      <c r="AJ294" s="4">
        <v>0</v>
      </c>
      <c r="AK294" s="4">
        <v>180</v>
      </c>
      <c r="AL294" s="4">
        <v>180</v>
      </c>
      <c r="AM294">
        <v>212</v>
      </c>
      <c r="AN294">
        <v>170</v>
      </c>
      <c r="AO294">
        <v>42</v>
      </c>
      <c r="AP294">
        <v>0</v>
      </c>
      <c r="AQ294">
        <v>21</v>
      </c>
      <c r="AR294">
        <v>18</v>
      </c>
      <c r="AS294">
        <v>2</v>
      </c>
      <c r="AT294">
        <v>0</v>
      </c>
      <c r="AU294">
        <v>0</v>
      </c>
      <c r="AV294">
        <v>0</v>
      </c>
      <c r="AW294">
        <v>0</v>
      </c>
      <c r="AX294">
        <v>0</v>
      </c>
    </row>
    <row r="295" spans="1:51">
      <c r="A295" t="s">
        <v>17193</v>
      </c>
      <c r="B295" t="s">
        <v>17194</v>
      </c>
      <c r="C295">
        <v>0</v>
      </c>
      <c r="D295">
        <v>11</v>
      </c>
      <c r="E295">
        <v>11</v>
      </c>
      <c r="F295">
        <v>10</v>
      </c>
      <c r="G295">
        <v>0</v>
      </c>
      <c r="H295">
        <v>1</v>
      </c>
      <c r="I295">
        <v>0</v>
      </c>
      <c r="J295">
        <v>11</v>
      </c>
      <c r="K295">
        <v>184</v>
      </c>
      <c r="L295">
        <v>5</v>
      </c>
      <c r="M295">
        <v>2</v>
      </c>
      <c r="N295">
        <v>3</v>
      </c>
      <c r="O295">
        <v>1</v>
      </c>
      <c r="P295">
        <v>0</v>
      </c>
      <c r="Q295">
        <v>0</v>
      </c>
      <c r="R295">
        <v>0</v>
      </c>
      <c r="S295">
        <v>11</v>
      </c>
      <c r="T295">
        <v>11</v>
      </c>
      <c r="U295">
        <v>0</v>
      </c>
      <c r="V295">
        <v>22</v>
      </c>
      <c r="W295" s="4">
        <v>330</v>
      </c>
      <c r="X295" s="4">
        <v>0</v>
      </c>
      <c r="Y295">
        <v>11</v>
      </c>
      <c r="Z295">
        <v>0</v>
      </c>
      <c r="AA295" s="4">
        <v>0</v>
      </c>
      <c r="AB295" s="4">
        <v>200</v>
      </c>
      <c r="AC295" s="4">
        <v>3</v>
      </c>
      <c r="AD295" s="4">
        <v>3</v>
      </c>
      <c r="AE295" s="4">
        <v>203</v>
      </c>
      <c r="AF295" s="4">
        <v>203</v>
      </c>
      <c r="AG295" s="4">
        <v>333</v>
      </c>
      <c r="AH295" s="4">
        <v>130</v>
      </c>
      <c r="AI295" s="4">
        <v>200</v>
      </c>
      <c r="AJ295" s="4">
        <v>200</v>
      </c>
      <c r="AK295" s="4">
        <v>230</v>
      </c>
      <c r="AL295" s="4">
        <v>30</v>
      </c>
      <c r="AM295">
        <v>184</v>
      </c>
      <c r="AN295">
        <v>22</v>
      </c>
      <c r="AO295">
        <v>162</v>
      </c>
      <c r="AP295">
        <v>0</v>
      </c>
      <c r="AQ295">
        <v>11</v>
      </c>
      <c r="AR295">
        <v>3</v>
      </c>
      <c r="AS295">
        <v>8</v>
      </c>
      <c r="AT295">
        <v>0</v>
      </c>
      <c r="AU295">
        <v>11</v>
      </c>
      <c r="AV295">
        <v>10</v>
      </c>
      <c r="AW295">
        <v>1</v>
      </c>
      <c r="AX295">
        <v>0</v>
      </c>
      <c r="AY295">
        <v>0</v>
      </c>
    </row>
    <row r="296" spans="1:51">
      <c r="A296" t="s">
        <v>17193</v>
      </c>
      <c r="B296" t="s">
        <v>17195</v>
      </c>
      <c r="C296">
        <v>0</v>
      </c>
      <c r="D296">
        <v>12</v>
      </c>
      <c r="E296">
        <v>5</v>
      </c>
      <c r="F296">
        <v>12</v>
      </c>
      <c r="G296">
        <v>0</v>
      </c>
      <c r="H296">
        <v>0</v>
      </c>
      <c r="I296">
        <v>0</v>
      </c>
      <c r="J296">
        <v>12</v>
      </c>
      <c r="K296">
        <v>95</v>
      </c>
      <c r="L296">
        <v>11</v>
      </c>
      <c r="M296">
        <v>1</v>
      </c>
      <c r="N296">
        <v>0</v>
      </c>
      <c r="O296">
        <v>0</v>
      </c>
      <c r="P296">
        <v>0</v>
      </c>
      <c r="Q296">
        <v>0</v>
      </c>
      <c r="R296">
        <v>0</v>
      </c>
      <c r="S296">
        <v>11</v>
      </c>
      <c r="T296">
        <v>0</v>
      </c>
      <c r="U296">
        <v>0</v>
      </c>
      <c r="V296">
        <v>11</v>
      </c>
      <c r="W296" s="4">
        <v>110</v>
      </c>
      <c r="X296" s="4">
        <v>0</v>
      </c>
      <c r="Y296">
        <v>11</v>
      </c>
      <c r="Z296">
        <v>0</v>
      </c>
      <c r="AA296" s="4">
        <v>0</v>
      </c>
      <c r="AB296" s="4">
        <v>0</v>
      </c>
      <c r="AC296" s="4">
        <v>61.25</v>
      </c>
      <c r="AD296" s="4">
        <v>61.25</v>
      </c>
      <c r="AE296" s="4">
        <v>61.25</v>
      </c>
      <c r="AF296" s="4">
        <v>61.25</v>
      </c>
      <c r="AG296" s="4">
        <v>171.25</v>
      </c>
      <c r="AH296" s="4">
        <v>110</v>
      </c>
      <c r="AI296" s="4">
        <v>0</v>
      </c>
      <c r="AJ296" s="4">
        <v>0</v>
      </c>
      <c r="AK296" s="4">
        <v>0</v>
      </c>
      <c r="AL296" s="4">
        <v>0</v>
      </c>
      <c r="AM296">
        <v>95</v>
      </c>
      <c r="AN296">
        <v>0</v>
      </c>
      <c r="AO296">
        <v>95</v>
      </c>
      <c r="AP296">
        <v>0</v>
      </c>
      <c r="AQ296">
        <v>11</v>
      </c>
      <c r="AR296">
        <v>0</v>
      </c>
      <c r="AS296">
        <v>11</v>
      </c>
      <c r="AT296">
        <v>0</v>
      </c>
      <c r="AU296">
        <v>0</v>
      </c>
      <c r="AV296">
        <v>0</v>
      </c>
      <c r="AW296">
        <v>0</v>
      </c>
      <c r="AX296">
        <v>0</v>
      </c>
      <c r="AY296">
        <v>0</v>
      </c>
    </row>
    <row r="297" spans="1:51">
      <c r="A297" t="s">
        <v>17193</v>
      </c>
      <c r="B297" t="s">
        <v>17196</v>
      </c>
      <c r="C297">
        <v>0</v>
      </c>
      <c r="D297">
        <v>14</v>
      </c>
      <c r="E297">
        <v>14</v>
      </c>
      <c r="F297">
        <v>11</v>
      </c>
      <c r="G297">
        <v>0</v>
      </c>
      <c r="H297">
        <v>1</v>
      </c>
      <c r="I297">
        <v>1</v>
      </c>
      <c r="J297">
        <v>14</v>
      </c>
      <c r="K297">
        <v>271</v>
      </c>
      <c r="L297">
        <v>10</v>
      </c>
      <c r="M297">
        <v>0</v>
      </c>
      <c r="N297">
        <v>0</v>
      </c>
      <c r="O297">
        <v>4</v>
      </c>
      <c r="P297">
        <v>0</v>
      </c>
      <c r="Q297">
        <v>0</v>
      </c>
      <c r="R297">
        <v>0</v>
      </c>
      <c r="S297">
        <v>25</v>
      </c>
      <c r="T297">
        <v>16</v>
      </c>
      <c r="U297">
        <v>0</v>
      </c>
      <c r="V297">
        <v>41</v>
      </c>
      <c r="W297" s="4">
        <v>570</v>
      </c>
      <c r="X297" s="4">
        <v>0</v>
      </c>
      <c r="Y297">
        <v>14</v>
      </c>
      <c r="Z297">
        <v>0</v>
      </c>
      <c r="AA297" s="4">
        <v>0</v>
      </c>
      <c r="AB297" s="4">
        <v>270</v>
      </c>
      <c r="AC297" s="4">
        <v>497</v>
      </c>
      <c r="AD297" s="4">
        <v>497</v>
      </c>
      <c r="AE297" s="4">
        <v>748.5</v>
      </c>
      <c r="AF297" s="4">
        <v>767</v>
      </c>
      <c r="AG297" s="4">
        <v>1067</v>
      </c>
      <c r="AH297" s="4">
        <v>318.5</v>
      </c>
      <c r="AI297" s="4">
        <v>347.75</v>
      </c>
      <c r="AJ297" s="4">
        <v>347.75</v>
      </c>
      <c r="AK297" s="4">
        <v>377.75</v>
      </c>
      <c r="AL297" s="4">
        <v>30</v>
      </c>
      <c r="AM297">
        <v>271</v>
      </c>
      <c r="AN297">
        <v>62</v>
      </c>
      <c r="AO297">
        <v>209</v>
      </c>
      <c r="AP297">
        <v>0</v>
      </c>
      <c r="AQ297">
        <v>25</v>
      </c>
      <c r="AR297">
        <v>7</v>
      </c>
      <c r="AS297">
        <v>18</v>
      </c>
      <c r="AT297">
        <v>0</v>
      </c>
      <c r="AU297">
        <v>16</v>
      </c>
      <c r="AV297">
        <v>1</v>
      </c>
      <c r="AW297">
        <v>14</v>
      </c>
      <c r="AX297">
        <v>0</v>
      </c>
      <c r="AY297">
        <v>13</v>
      </c>
    </row>
    <row r="298" spans="1:51">
      <c r="A298" t="s">
        <v>17193</v>
      </c>
      <c r="B298" t="s">
        <v>17206</v>
      </c>
      <c r="C298">
        <v>2</v>
      </c>
      <c r="D298">
        <v>37</v>
      </c>
      <c r="E298">
        <v>14</v>
      </c>
      <c r="F298">
        <v>21</v>
      </c>
      <c r="G298">
        <v>6</v>
      </c>
      <c r="H298">
        <v>4</v>
      </c>
      <c r="I298">
        <v>1</v>
      </c>
      <c r="J298">
        <v>37</v>
      </c>
      <c r="K298">
        <v>563</v>
      </c>
      <c r="L298">
        <v>31</v>
      </c>
      <c r="M298">
        <v>1</v>
      </c>
      <c r="N298">
        <v>1</v>
      </c>
      <c r="O298">
        <v>3</v>
      </c>
      <c r="P298">
        <v>0</v>
      </c>
      <c r="Q298">
        <v>1</v>
      </c>
      <c r="R298">
        <v>0</v>
      </c>
      <c r="S298">
        <v>222.75</v>
      </c>
      <c r="T298">
        <v>59.25</v>
      </c>
      <c r="U298">
        <v>5</v>
      </c>
      <c r="V298">
        <v>287</v>
      </c>
      <c r="W298" s="4">
        <v>3397.5</v>
      </c>
      <c r="X298" s="4">
        <v>0</v>
      </c>
      <c r="Y298">
        <v>35</v>
      </c>
      <c r="Z298">
        <v>0</v>
      </c>
      <c r="AA298" s="4">
        <v>-12.5</v>
      </c>
      <c r="AB298" s="4">
        <v>2745.5</v>
      </c>
      <c r="AC298" s="4">
        <v>7463.31</v>
      </c>
      <c r="AD298" s="4">
        <v>7462.31</v>
      </c>
      <c r="AE298" s="4">
        <v>7207.5</v>
      </c>
      <c r="AF298" s="4">
        <v>10207.81</v>
      </c>
      <c r="AG298" s="4">
        <v>10960.81</v>
      </c>
      <c r="AH298" s="4">
        <v>3753.31</v>
      </c>
      <c r="AI298" s="4">
        <v>572.5</v>
      </c>
      <c r="AJ298" s="4">
        <v>882.31</v>
      </c>
      <c r="AK298" s="4">
        <v>987.31</v>
      </c>
      <c r="AL298" s="4">
        <v>414.81</v>
      </c>
      <c r="AM298">
        <v>563</v>
      </c>
      <c r="AN298">
        <v>71</v>
      </c>
      <c r="AO298">
        <v>485</v>
      </c>
      <c r="AP298">
        <v>7</v>
      </c>
      <c r="AQ298">
        <v>222.75</v>
      </c>
      <c r="AR298">
        <v>15.5</v>
      </c>
      <c r="AS298">
        <v>206.75</v>
      </c>
      <c r="AT298">
        <v>0.5</v>
      </c>
      <c r="AU298">
        <v>59.25</v>
      </c>
      <c r="AV298">
        <v>18</v>
      </c>
      <c r="AW298">
        <v>40.75</v>
      </c>
      <c r="AX298">
        <v>0.5</v>
      </c>
      <c r="AY298">
        <v>328</v>
      </c>
    </row>
    <row r="299" spans="1:51">
      <c r="A299" t="s">
        <v>17193</v>
      </c>
      <c r="B299" t="s">
        <v>17302</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s="4">
        <v>0</v>
      </c>
      <c r="X299" s="4">
        <v>0</v>
      </c>
      <c r="Y299">
        <v>0</v>
      </c>
      <c r="Z299">
        <v>0</v>
      </c>
      <c r="AA299" s="4">
        <v>0</v>
      </c>
      <c r="AB299" s="4">
        <v>0</v>
      </c>
      <c r="AC299" s="4">
        <v>0</v>
      </c>
      <c r="AD299" s="4">
        <v>0</v>
      </c>
      <c r="AE299" s="4">
        <v>0</v>
      </c>
      <c r="AF299" s="4">
        <v>0</v>
      </c>
      <c r="AG299" s="4">
        <v>0</v>
      </c>
      <c r="AH299" s="4">
        <v>0</v>
      </c>
      <c r="AI299" s="4">
        <v>0</v>
      </c>
      <c r="AJ299" s="4">
        <v>0</v>
      </c>
      <c r="AK299" s="4">
        <v>0</v>
      </c>
      <c r="AL299" s="4">
        <v>0</v>
      </c>
      <c r="AM299">
        <v>0</v>
      </c>
      <c r="AN299">
        <v>0</v>
      </c>
      <c r="AO299">
        <v>0</v>
      </c>
      <c r="AP299">
        <v>0</v>
      </c>
      <c r="AQ299">
        <v>0</v>
      </c>
      <c r="AR299">
        <v>0</v>
      </c>
      <c r="AS299">
        <v>0</v>
      </c>
      <c r="AT299">
        <v>0</v>
      </c>
      <c r="AU299">
        <v>0</v>
      </c>
      <c r="AV299">
        <v>0</v>
      </c>
      <c r="AW299">
        <v>0</v>
      </c>
      <c r="AX299">
        <v>0</v>
      </c>
      <c r="AY299">
        <v>46</v>
      </c>
    </row>
    <row r="300" spans="1:51">
      <c r="A300" t="s">
        <v>17197</v>
      </c>
      <c r="B300" t="s">
        <v>17198</v>
      </c>
      <c r="C300">
        <v>0</v>
      </c>
      <c r="D300">
        <v>5</v>
      </c>
      <c r="E300">
        <v>5</v>
      </c>
      <c r="F300">
        <v>4</v>
      </c>
      <c r="G300">
        <v>2</v>
      </c>
      <c r="H300">
        <v>0</v>
      </c>
      <c r="I300">
        <v>0</v>
      </c>
      <c r="J300">
        <v>5</v>
      </c>
      <c r="K300">
        <v>47</v>
      </c>
      <c r="L300">
        <v>2</v>
      </c>
      <c r="M300">
        <v>1</v>
      </c>
      <c r="N300">
        <v>0</v>
      </c>
      <c r="O300">
        <v>1</v>
      </c>
      <c r="P300">
        <v>0</v>
      </c>
      <c r="Q300">
        <v>1</v>
      </c>
      <c r="R300">
        <v>0</v>
      </c>
      <c r="S300">
        <v>4</v>
      </c>
      <c r="T300">
        <v>7</v>
      </c>
      <c r="U300">
        <v>3</v>
      </c>
      <c r="V300">
        <v>14</v>
      </c>
      <c r="W300" s="4">
        <v>180</v>
      </c>
      <c r="X300" s="4">
        <v>0</v>
      </c>
      <c r="Y300">
        <v>4</v>
      </c>
      <c r="Z300">
        <v>1</v>
      </c>
      <c r="AA300" s="4">
        <v>0</v>
      </c>
      <c r="AB300" s="4">
        <v>0</v>
      </c>
      <c r="AC300" s="4">
        <v>313.39999999999998</v>
      </c>
      <c r="AD300" s="4">
        <v>313.39999999999998</v>
      </c>
      <c r="AE300" s="4">
        <v>0</v>
      </c>
      <c r="AF300" s="4">
        <v>0</v>
      </c>
      <c r="AG300" s="4">
        <v>553.4</v>
      </c>
      <c r="AH300" s="4">
        <v>553.4</v>
      </c>
      <c r="AI300" s="4">
        <v>0</v>
      </c>
      <c r="AJ300" s="4">
        <v>0</v>
      </c>
      <c r="AK300" s="4">
        <v>0</v>
      </c>
      <c r="AL300" s="4">
        <v>0</v>
      </c>
      <c r="AM300">
        <v>47</v>
      </c>
      <c r="AN300">
        <v>0</v>
      </c>
      <c r="AO300">
        <v>47</v>
      </c>
      <c r="AP300">
        <v>0</v>
      </c>
      <c r="AQ300">
        <v>4</v>
      </c>
      <c r="AR300">
        <v>0</v>
      </c>
      <c r="AS300">
        <v>4</v>
      </c>
      <c r="AT300">
        <v>0</v>
      </c>
      <c r="AU300">
        <v>7</v>
      </c>
      <c r="AV300">
        <v>0</v>
      </c>
      <c r="AW300">
        <v>7</v>
      </c>
      <c r="AX300">
        <v>0</v>
      </c>
      <c r="AY300">
        <v>12</v>
      </c>
    </row>
  </sheetData>
  <sortState xmlns:xlrd2="http://schemas.microsoft.com/office/spreadsheetml/2017/richdata2" ref="A2:AY264">
    <sortCondition ref="B2:B26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305"/>
  <sheetViews>
    <sheetView workbookViewId="0"/>
  </sheetViews>
  <sheetFormatPr baseColWidth="10" defaultRowHeight="15"/>
  <cols>
    <col min="1" max="1" width="56" bestFit="1" customWidth="1"/>
    <col min="2" max="2" width="93.33203125" bestFit="1" customWidth="1"/>
  </cols>
  <sheetData>
    <row r="1" spans="1:58" ht="16">
      <c r="A1" s="14" t="s">
        <v>17292</v>
      </c>
      <c r="B1" s="14" t="s">
        <v>16796</v>
      </c>
      <c r="C1" s="14" t="s">
        <v>16820</v>
      </c>
      <c r="D1" s="14" t="s">
        <v>16821</v>
      </c>
      <c r="E1" s="14" t="s">
        <v>16822</v>
      </c>
      <c r="F1" s="14" t="s">
        <v>16823</v>
      </c>
      <c r="G1" s="14" t="s">
        <v>17293</v>
      </c>
      <c r="H1" s="14" t="s">
        <v>16825</v>
      </c>
      <c r="I1" s="14" t="s">
        <v>17294</v>
      </c>
      <c r="J1" s="14" t="s">
        <v>17295</v>
      </c>
      <c r="K1" s="14" t="s">
        <v>16828</v>
      </c>
      <c r="L1" s="14" t="s">
        <v>16829</v>
      </c>
      <c r="M1" s="14" t="s">
        <v>16830</v>
      </c>
      <c r="N1" s="14" t="s">
        <v>18770</v>
      </c>
      <c r="O1" s="14" t="s">
        <v>16832</v>
      </c>
      <c r="P1" s="14" t="s">
        <v>16833</v>
      </c>
      <c r="Q1" s="14" t="s">
        <v>17297</v>
      </c>
      <c r="R1" s="14" t="s">
        <v>17298</v>
      </c>
      <c r="S1" s="14" t="s">
        <v>16836</v>
      </c>
      <c r="T1" s="14" t="s">
        <v>18771</v>
      </c>
      <c r="U1" s="14" t="s">
        <v>16838</v>
      </c>
      <c r="V1" s="14" t="s">
        <v>16839</v>
      </c>
      <c r="W1" s="14" t="s">
        <v>16840</v>
      </c>
      <c r="X1" s="14" t="s">
        <v>16841</v>
      </c>
      <c r="Y1" s="14" t="s">
        <v>18772</v>
      </c>
      <c r="Z1" s="14" t="s">
        <v>18773</v>
      </c>
      <c r="AA1" s="14" t="s">
        <v>16844</v>
      </c>
      <c r="AB1" s="14" t="s">
        <v>16845</v>
      </c>
      <c r="AC1" s="14" t="s">
        <v>16846</v>
      </c>
      <c r="AD1" s="14" t="s">
        <v>18774</v>
      </c>
      <c r="AE1" s="14" t="s">
        <v>16848</v>
      </c>
      <c r="AF1" s="14" t="s">
        <v>16849</v>
      </c>
      <c r="AG1" s="14" t="s">
        <v>16850</v>
      </c>
      <c r="AH1" s="14" t="s">
        <v>16851</v>
      </c>
      <c r="AI1" s="14" t="s">
        <v>16852</v>
      </c>
      <c r="AJ1" s="14" t="s">
        <v>16853</v>
      </c>
      <c r="AK1" s="14" t="s">
        <v>16854</v>
      </c>
      <c r="AL1" s="14" t="s">
        <v>16855</v>
      </c>
      <c r="AM1" s="14" t="s">
        <v>18775</v>
      </c>
      <c r="AN1" s="14" t="s">
        <v>18776</v>
      </c>
      <c r="AO1" s="14" t="s">
        <v>18777</v>
      </c>
      <c r="AP1" s="14" t="s">
        <v>18778</v>
      </c>
      <c r="AQ1" s="14" t="s">
        <v>18779</v>
      </c>
      <c r="AR1" s="14" t="s">
        <v>18780</v>
      </c>
      <c r="AS1" s="14" t="s">
        <v>18781</v>
      </c>
      <c r="AT1" s="14" t="s">
        <v>16856</v>
      </c>
      <c r="AU1" s="14" t="s">
        <v>16857</v>
      </c>
      <c r="AV1" s="14" t="s">
        <v>16858</v>
      </c>
      <c r="AW1" s="14" t="s">
        <v>16859</v>
      </c>
      <c r="AX1" s="14" t="s">
        <v>16860</v>
      </c>
      <c r="AY1" s="14" t="s">
        <v>16861</v>
      </c>
      <c r="AZ1" s="14" t="s">
        <v>16862</v>
      </c>
      <c r="BA1" s="14" t="s">
        <v>16863</v>
      </c>
      <c r="BB1" s="14" t="s">
        <v>16864</v>
      </c>
      <c r="BC1" s="14" t="s">
        <v>16865</v>
      </c>
      <c r="BD1" s="14" t="s">
        <v>16866</v>
      </c>
      <c r="BE1" s="14" t="s">
        <v>16867</v>
      </c>
      <c r="BF1" s="14" t="s">
        <v>18782</v>
      </c>
    </row>
    <row r="2" spans="1:58" ht="16">
      <c r="A2" s="14" t="s">
        <v>16869</v>
      </c>
      <c r="B2" s="14" t="s">
        <v>17346</v>
      </c>
      <c r="C2" s="14">
        <v>0</v>
      </c>
      <c r="D2" s="14">
        <v>2</v>
      </c>
      <c r="E2" s="14">
        <v>2</v>
      </c>
      <c r="F2" s="14">
        <v>2</v>
      </c>
      <c r="G2" s="14">
        <v>0</v>
      </c>
      <c r="H2" s="14">
        <v>2</v>
      </c>
      <c r="I2" s="14">
        <v>0</v>
      </c>
      <c r="J2" s="14">
        <v>2</v>
      </c>
      <c r="K2" s="14">
        <v>24</v>
      </c>
      <c r="L2" s="14">
        <v>0</v>
      </c>
      <c r="M2" s="14">
        <v>0</v>
      </c>
      <c r="N2" s="14">
        <v>0</v>
      </c>
      <c r="O2" s="14">
        <v>2</v>
      </c>
      <c r="P2" s="14">
        <v>0</v>
      </c>
      <c r="Q2" s="14">
        <v>0</v>
      </c>
      <c r="R2" s="14">
        <v>0</v>
      </c>
      <c r="S2" s="14">
        <v>5</v>
      </c>
      <c r="T2" s="14">
        <v>5</v>
      </c>
      <c r="U2" s="14">
        <v>0</v>
      </c>
      <c r="V2" s="14">
        <v>10</v>
      </c>
      <c r="W2" s="15">
        <v>150</v>
      </c>
      <c r="X2" s="15">
        <v>0</v>
      </c>
      <c r="Y2" s="14">
        <v>0</v>
      </c>
      <c r="Z2" s="14">
        <v>2</v>
      </c>
      <c r="AA2" s="15">
        <v>0</v>
      </c>
      <c r="AB2" s="15">
        <v>30</v>
      </c>
      <c r="AC2" s="15">
        <v>0</v>
      </c>
      <c r="AD2" s="15">
        <v>0</v>
      </c>
      <c r="AE2" s="15">
        <v>0</v>
      </c>
      <c r="AF2" s="15">
        <v>30</v>
      </c>
      <c r="AG2" s="15">
        <v>150</v>
      </c>
      <c r="AH2" s="15">
        <v>150</v>
      </c>
      <c r="AI2" s="15">
        <v>0</v>
      </c>
      <c r="AJ2" s="15">
        <v>30</v>
      </c>
      <c r="AK2" s="15">
        <v>150</v>
      </c>
      <c r="AL2" s="15">
        <v>150</v>
      </c>
      <c r="AM2" s="14">
        <v>0</v>
      </c>
      <c r="AN2" s="14">
        <v>0</v>
      </c>
      <c r="AO2" s="14">
        <v>0</v>
      </c>
      <c r="AP2" s="14">
        <v>0</v>
      </c>
      <c r="AQ2" s="14">
        <v>0</v>
      </c>
      <c r="AR2" s="14">
        <v>0</v>
      </c>
      <c r="AS2" s="14">
        <v>0</v>
      </c>
      <c r="AT2" s="14">
        <v>24</v>
      </c>
      <c r="AU2" s="14">
        <v>24</v>
      </c>
      <c r="AV2" s="14">
        <v>0</v>
      </c>
      <c r="AW2" s="14">
        <v>0</v>
      </c>
      <c r="AX2" s="14">
        <v>5</v>
      </c>
      <c r="AY2" s="14">
        <v>5</v>
      </c>
      <c r="AZ2" s="14">
        <v>0</v>
      </c>
      <c r="BA2" s="14">
        <v>0</v>
      </c>
      <c r="BB2" s="14">
        <v>5</v>
      </c>
      <c r="BC2" s="14">
        <v>5</v>
      </c>
      <c r="BD2" s="14">
        <v>0</v>
      </c>
      <c r="BE2" s="14">
        <v>0</v>
      </c>
      <c r="BF2" s="14">
        <v>0</v>
      </c>
    </row>
    <row r="3" spans="1:58" ht="16">
      <c r="A3" s="14" t="s">
        <v>16869</v>
      </c>
      <c r="B3" s="14" t="s">
        <v>18783</v>
      </c>
      <c r="C3" s="14">
        <v>0</v>
      </c>
      <c r="D3" s="14">
        <v>2</v>
      </c>
      <c r="E3" s="14">
        <v>0</v>
      </c>
      <c r="F3" s="14">
        <v>1</v>
      </c>
      <c r="G3" s="14">
        <v>1</v>
      </c>
      <c r="H3" s="14">
        <v>0</v>
      </c>
      <c r="I3" s="14">
        <v>0</v>
      </c>
      <c r="J3" s="14">
        <v>2</v>
      </c>
      <c r="K3" s="14">
        <v>46</v>
      </c>
      <c r="L3" s="14">
        <v>1</v>
      </c>
      <c r="M3" s="14">
        <v>0</v>
      </c>
      <c r="N3" s="14">
        <v>1</v>
      </c>
      <c r="O3" s="14">
        <v>0</v>
      </c>
      <c r="P3" s="14">
        <v>0</v>
      </c>
      <c r="Q3" s="14">
        <v>0</v>
      </c>
      <c r="R3" s="14">
        <v>0</v>
      </c>
      <c r="S3" s="14">
        <v>6</v>
      </c>
      <c r="T3" s="14">
        <v>4.5</v>
      </c>
      <c r="U3" s="14">
        <v>0</v>
      </c>
      <c r="V3" s="14">
        <v>10.5</v>
      </c>
      <c r="W3" s="15">
        <v>150</v>
      </c>
      <c r="X3" s="15">
        <v>0</v>
      </c>
      <c r="Y3" s="14">
        <v>1</v>
      </c>
      <c r="Z3" s="14">
        <v>1</v>
      </c>
      <c r="AA3" s="15">
        <v>0</v>
      </c>
      <c r="AB3" s="15">
        <v>90</v>
      </c>
      <c r="AC3" s="15">
        <v>0</v>
      </c>
      <c r="AD3" s="15">
        <v>0</v>
      </c>
      <c r="AE3" s="15">
        <v>60</v>
      </c>
      <c r="AF3" s="15">
        <v>90</v>
      </c>
      <c r="AG3" s="15">
        <v>150</v>
      </c>
      <c r="AH3" s="15">
        <v>90</v>
      </c>
      <c r="AI3" s="15">
        <v>0</v>
      </c>
      <c r="AJ3" s="15">
        <v>0</v>
      </c>
      <c r="AK3" s="15">
        <v>0</v>
      </c>
      <c r="AL3" s="15">
        <v>0</v>
      </c>
      <c r="AM3" s="14">
        <v>0</v>
      </c>
      <c r="AN3" s="14">
        <v>0</v>
      </c>
      <c r="AO3" s="14">
        <v>1</v>
      </c>
      <c r="AP3" s="14">
        <v>0</v>
      </c>
      <c r="AQ3" s="14">
        <v>0</v>
      </c>
      <c r="AR3" s="14">
        <v>0</v>
      </c>
      <c r="AS3" s="14">
        <v>0</v>
      </c>
      <c r="AT3" s="14">
        <v>46</v>
      </c>
      <c r="AU3" s="14">
        <v>0</v>
      </c>
      <c r="AV3" s="14">
        <v>46</v>
      </c>
      <c r="AW3" s="14">
        <v>0</v>
      </c>
      <c r="AX3" s="14">
        <v>6</v>
      </c>
      <c r="AY3" s="14">
        <v>0</v>
      </c>
      <c r="AZ3" s="14">
        <v>6</v>
      </c>
      <c r="BA3" s="14">
        <v>0</v>
      </c>
      <c r="BB3" s="14">
        <v>4.5</v>
      </c>
      <c r="BC3" s="14">
        <v>0</v>
      </c>
      <c r="BD3" s="14">
        <v>4.5</v>
      </c>
      <c r="BE3" s="14">
        <v>0</v>
      </c>
      <c r="BF3" s="14">
        <v>0</v>
      </c>
    </row>
    <row r="4" spans="1:58" ht="16">
      <c r="A4" s="14" t="s">
        <v>16869</v>
      </c>
      <c r="B4" s="14" t="s">
        <v>16871</v>
      </c>
      <c r="C4" s="14">
        <v>0</v>
      </c>
      <c r="D4" s="14">
        <v>7</v>
      </c>
      <c r="E4" s="14">
        <v>7</v>
      </c>
      <c r="F4" s="14">
        <v>0</v>
      </c>
      <c r="G4" s="14">
        <v>0</v>
      </c>
      <c r="H4" s="14">
        <v>0</v>
      </c>
      <c r="I4" s="14">
        <v>0</v>
      </c>
      <c r="J4" s="14">
        <v>7</v>
      </c>
      <c r="K4" s="14">
        <v>64</v>
      </c>
      <c r="L4" s="14">
        <v>3</v>
      </c>
      <c r="M4" s="14">
        <v>4</v>
      </c>
      <c r="N4" s="14">
        <v>0</v>
      </c>
      <c r="O4" s="14">
        <v>0</v>
      </c>
      <c r="P4" s="14">
        <v>0</v>
      </c>
      <c r="Q4" s="14">
        <v>0</v>
      </c>
      <c r="R4" s="14">
        <v>0</v>
      </c>
      <c r="S4" s="14">
        <v>6.5</v>
      </c>
      <c r="T4" s="14">
        <v>5.25</v>
      </c>
      <c r="U4" s="14">
        <v>0</v>
      </c>
      <c r="V4" s="14">
        <v>11.8</v>
      </c>
      <c r="W4" s="15">
        <v>170</v>
      </c>
      <c r="X4" s="15">
        <v>0</v>
      </c>
      <c r="Y4" s="14">
        <v>3</v>
      </c>
      <c r="Z4" s="14">
        <v>2</v>
      </c>
      <c r="AA4" s="15">
        <v>0</v>
      </c>
      <c r="AB4" s="15">
        <v>30</v>
      </c>
      <c r="AC4" s="15">
        <v>42.75</v>
      </c>
      <c r="AD4" s="15">
        <v>42.75</v>
      </c>
      <c r="AE4" s="15">
        <v>42.75</v>
      </c>
      <c r="AF4" s="15">
        <v>72.75</v>
      </c>
      <c r="AG4" s="15">
        <v>212.75</v>
      </c>
      <c r="AH4" s="15">
        <v>170</v>
      </c>
      <c r="AI4" s="15">
        <v>0</v>
      </c>
      <c r="AJ4" s="15">
        <v>0</v>
      </c>
      <c r="AK4" s="15">
        <v>0</v>
      </c>
      <c r="AL4" s="15">
        <v>0</v>
      </c>
      <c r="AM4" s="14">
        <v>0</v>
      </c>
      <c r="AN4" s="14">
        <v>2</v>
      </c>
      <c r="AO4" s="14">
        <v>0</v>
      </c>
      <c r="AP4" s="14">
        <v>0</v>
      </c>
      <c r="AQ4" s="14">
        <v>0</v>
      </c>
      <c r="AR4" s="14">
        <v>0</v>
      </c>
      <c r="AS4" s="14">
        <v>0</v>
      </c>
      <c r="AT4" s="14">
        <v>64</v>
      </c>
      <c r="AU4" s="14">
        <v>0</v>
      </c>
      <c r="AV4" s="14">
        <v>64</v>
      </c>
      <c r="AW4" s="14">
        <v>0</v>
      </c>
      <c r="AX4" s="14">
        <v>6.5</v>
      </c>
      <c r="AY4" s="14">
        <v>0</v>
      </c>
      <c r="AZ4" s="14">
        <v>6.5</v>
      </c>
      <c r="BA4" s="14">
        <v>0</v>
      </c>
      <c r="BB4" s="14">
        <v>5.25</v>
      </c>
      <c r="BC4" s="14">
        <v>0</v>
      </c>
      <c r="BD4" s="14">
        <v>5.25</v>
      </c>
      <c r="BE4" s="14">
        <v>0</v>
      </c>
      <c r="BF4" s="14">
        <v>0</v>
      </c>
    </row>
    <row r="5" spans="1:58" ht="16">
      <c r="A5" s="14" t="s">
        <v>16869</v>
      </c>
      <c r="B5" s="14" t="s">
        <v>16871</v>
      </c>
      <c r="C5" s="14">
        <v>0</v>
      </c>
      <c r="D5" s="14">
        <v>5</v>
      </c>
      <c r="E5" s="14">
        <v>0</v>
      </c>
      <c r="F5" s="14">
        <v>2</v>
      </c>
      <c r="G5" s="14">
        <v>0</v>
      </c>
      <c r="H5" s="14">
        <v>0</v>
      </c>
      <c r="I5" s="14">
        <v>0</v>
      </c>
      <c r="J5" s="14">
        <v>5</v>
      </c>
      <c r="K5" s="14">
        <v>78</v>
      </c>
      <c r="L5" s="14">
        <v>2</v>
      </c>
      <c r="M5" s="14">
        <v>0</v>
      </c>
      <c r="N5" s="14">
        <v>1</v>
      </c>
      <c r="O5" s="14">
        <v>2</v>
      </c>
      <c r="P5" s="14">
        <v>0</v>
      </c>
      <c r="Q5" s="14">
        <v>0</v>
      </c>
      <c r="R5" s="14">
        <v>0</v>
      </c>
      <c r="S5" s="14">
        <v>52.25</v>
      </c>
      <c r="T5" s="14">
        <v>11.75</v>
      </c>
      <c r="U5" s="14">
        <v>0</v>
      </c>
      <c r="V5" s="14">
        <v>64</v>
      </c>
      <c r="W5" s="15">
        <v>757.5</v>
      </c>
      <c r="X5" s="15">
        <v>0</v>
      </c>
      <c r="Y5" s="14">
        <v>2</v>
      </c>
      <c r="Z5" s="14">
        <v>0</v>
      </c>
      <c r="AA5" s="15">
        <v>0</v>
      </c>
      <c r="AB5" s="15">
        <v>0</v>
      </c>
      <c r="AC5" s="15">
        <v>0</v>
      </c>
      <c r="AD5" s="15">
        <v>0</v>
      </c>
      <c r="AE5" s="15">
        <v>0</v>
      </c>
      <c r="AF5" s="15">
        <v>0</v>
      </c>
      <c r="AG5" s="15">
        <v>757.5</v>
      </c>
      <c r="AH5" s="15">
        <v>757.5</v>
      </c>
      <c r="AI5" s="15">
        <v>0</v>
      </c>
      <c r="AJ5" s="15">
        <v>0</v>
      </c>
      <c r="AK5" s="15">
        <v>0</v>
      </c>
      <c r="AL5" s="15">
        <v>0</v>
      </c>
      <c r="AM5" s="14">
        <v>0</v>
      </c>
      <c r="AN5" s="14">
        <v>0</v>
      </c>
      <c r="AO5" s="14">
        <v>0</v>
      </c>
      <c r="AP5" s="14">
        <v>0</v>
      </c>
      <c r="AQ5" s="14">
        <v>0</v>
      </c>
      <c r="AR5" s="14">
        <v>0</v>
      </c>
      <c r="AS5" s="14">
        <v>0</v>
      </c>
      <c r="AT5" s="14">
        <v>78</v>
      </c>
      <c r="AU5" s="14">
        <v>0</v>
      </c>
      <c r="AV5" s="14">
        <v>78</v>
      </c>
      <c r="AW5" s="14">
        <v>0</v>
      </c>
      <c r="AX5" s="14">
        <v>52.25</v>
      </c>
      <c r="AY5" s="14">
        <v>0</v>
      </c>
      <c r="AZ5" s="14">
        <v>52.25</v>
      </c>
      <c r="BA5" s="14">
        <v>0</v>
      </c>
      <c r="BB5" s="14">
        <v>11.75</v>
      </c>
      <c r="BC5" s="14">
        <v>0</v>
      </c>
      <c r="BD5" s="14">
        <v>11.75</v>
      </c>
      <c r="BE5" s="14">
        <v>0</v>
      </c>
      <c r="BF5" s="14"/>
    </row>
    <row r="6" spans="1:58" ht="16">
      <c r="A6" s="14" t="s">
        <v>16869</v>
      </c>
      <c r="B6" s="14" t="s">
        <v>17498</v>
      </c>
      <c r="C6" s="14">
        <v>0</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5">
        <v>0</v>
      </c>
      <c r="X6" s="15">
        <v>0</v>
      </c>
      <c r="Y6" s="14">
        <v>0</v>
      </c>
      <c r="Z6" s="14">
        <v>0</v>
      </c>
      <c r="AA6" s="15">
        <v>0</v>
      </c>
      <c r="AB6" s="15">
        <v>0</v>
      </c>
      <c r="AC6" s="15">
        <v>0</v>
      </c>
      <c r="AD6" s="15">
        <v>0</v>
      </c>
      <c r="AE6" s="15">
        <v>0</v>
      </c>
      <c r="AF6" s="15">
        <v>0</v>
      </c>
      <c r="AG6" s="15">
        <v>0</v>
      </c>
      <c r="AH6" s="15">
        <v>0</v>
      </c>
      <c r="AI6" s="15">
        <v>0</v>
      </c>
      <c r="AJ6" s="15">
        <v>0</v>
      </c>
      <c r="AK6" s="15">
        <v>0</v>
      </c>
      <c r="AL6" s="15">
        <v>0</v>
      </c>
      <c r="AM6" s="14">
        <v>0</v>
      </c>
      <c r="AN6" s="14">
        <v>0</v>
      </c>
      <c r="AO6" s="14">
        <v>0</v>
      </c>
      <c r="AP6" s="14">
        <v>0</v>
      </c>
      <c r="AQ6" s="14">
        <v>0</v>
      </c>
      <c r="AR6" s="14">
        <v>0</v>
      </c>
      <c r="AS6" s="14">
        <v>0</v>
      </c>
      <c r="AT6" s="14">
        <v>0</v>
      </c>
      <c r="AU6" s="14">
        <v>0</v>
      </c>
      <c r="AV6" s="14">
        <v>0</v>
      </c>
      <c r="AW6" s="14">
        <v>0</v>
      </c>
      <c r="AX6" s="14">
        <v>0</v>
      </c>
      <c r="AY6" s="14">
        <v>0</v>
      </c>
      <c r="AZ6" s="14">
        <v>0</v>
      </c>
      <c r="BA6" s="14">
        <v>0</v>
      </c>
      <c r="BB6" s="14">
        <v>0</v>
      </c>
      <c r="BC6" s="14">
        <v>0</v>
      </c>
      <c r="BD6" s="14">
        <v>0</v>
      </c>
      <c r="BE6" s="14">
        <v>0</v>
      </c>
      <c r="BF6" s="14">
        <v>0</v>
      </c>
    </row>
    <row r="7" spans="1:58" ht="16">
      <c r="A7" s="14" t="s">
        <v>16869</v>
      </c>
      <c r="B7" s="14" t="s">
        <v>18784</v>
      </c>
      <c r="C7" s="14">
        <v>0</v>
      </c>
      <c r="D7" s="14">
        <v>0</v>
      </c>
      <c r="E7" s="14">
        <v>0</v>
      </c>
      <c r="F7" s="14">
        <v>0</v>
      </c>
      <c r="G7" s="14">
        <v>0</v>
      </c>
      <c r="H7" s="14">
        <v>0</v>
      </c>
      <c r="I7" s="14">
        <v>0</v>
      </c>
      <c r="J7" s="14">
        <v>0</v>
      </c>
      <c r="K7" s="14">
        <v>0</v>
      </c>
      <c r="L7" s="14">
        <v>0</v>
      </c>
      <c r="M7" s="14">
        <v>0</v>
      </c>
      <c r="N7" s="14">
        <v>0</v>
      </c>
      <c r="O7" s="14">
        <v>0</v>
      </c>
      <c r="P7" s="14">
        <v>0</v>
      </c>
      <c r="Q7" s="14">
        <v>0</v>
      </c>
      <c r="R7" s="14">
        <v>0</v>
      </c>
      <c r="S7" s="14">
        <v>0</v>
      </c>
      <c r="T7" s="14">
        <v>0</v>
      </c>
      <c r="U7" s="14">
        <v>0</v>
      </c>
      <c r="V7" s="14">
        <v>0</v>
      </c>
      <c r="W7" s="15">
        <v>0</v>
      </c>
      <c r="X7" s="15">
        <v>0</v>
      </c>
      <c r="Y7" s="14">
        <v>0</v>
      </c>
      <c r="Z7" s="14">
        <v>0</v>
      </c>
      <c r="AA7" s="15">
        <v>0</v>
      </c>
      <c r="AB7" s="15">
        <v>0</v>
      </c>
      <c r="AC7" s="15">
        <v>0</v>
      </c>
      <c r="AD7" s="15">
        <v>0</v>
      </c>
      <c r="AE7" s="15">
        <v>0</v>
      </c>
      <c r="AF7" s="15">
        <v>0</v>
      </c>
      <c r="AG7" s="15">
        <v>0</v>
      </c>
      <c r="AH7" s="15">
        <v>0</v>
      </c>
      <c r="AI7" s="15">
        <v>0</v>
      </c>
      <c r="AJ7" s="15">
        <v>0</v>
      </c>
      <c r="AK7" s="15">
        <v>0</v>
      </c>
      <c r="AL7" s="15">
        <v>0</v>
      </c>
      <c r="AM7" s="14">
        <v>0</v>
      </c>
      <c r="AN7" s="14">
        <v>0</v>
      </c>
      <c r="AO7" s="14">
        <v>0</v>
      </c>
      <c r="AP7" s="14">
        <v>0</v>
      </c>
      <c r="AQ7" s="14">
        <v>0</v>
      </c>
      <c r="AR7" s="14">
        <v>0</v>
      </c>
      <c r="AS7" s="14">
        <v>0</v>
      </c>
      <c r="AT7" s="14">
        <v>0</v>
      </c>
      <c r="AU7" s="14">
        <v>0</v>
      </c>
      <c r="AV7" s="14">
        <v>0</v>
      </c>
      <c r="AW7" s="14">
        <v>0</v>
      </c>
      <c r="AX7" s="14">
        <v>0</v>
      </c>
      <c r="AY7" s="14">
        <v>0</v>
      </c>
      <c r="AZ7" s="14">
        <v>0</v>
      </c>
      <c r="BA7" s="14">
        <v>0</v>
      </c>
      <c r="BB7" s="14">
        <v>0</v>
      </c>
      <c r="BC7" s="14">
        <v>0</v>
      </c>
      <c r="BD7" s="14">
        <v>0</v>
      </c>
      <c r="BE7" s="14">
        <v>0</v>
      </c>
      <c r="BF7" s="14">
        <v>0</v>
      </c>
    </row>
    <row r="8" spans="1:58" ht="16">
      <c r="A8" s="14" t="s">
        <v>16869</v>
      </c>
      <c r="B8" s="14" t="s">
        <v>17200</v>
      </c>
      <c r="C8" s="14">
        <v>5</v>
      </c>
      <c r="D8" s="14">
        <v>397</v>
      </c>
      <c r="E8" s="14">
        <v>397</v>
      </c>
      <c r="F8" s="14">
        <v>392</v>
      </c>
      <c r="G8" s="14">
        <v>19</v>
      </c>
      <c r="H8" s="14">
        <v>13</v>
      </c>
      <c r="I8" s="14">
        <v>11</v>
      </c>
      <c r="J8" s="14">
        <v>397</v>
      </c>
      <c r="K8" s="16">
        <v>1330</v>
      </c>
      <c r="L8" s="14">
        <v>366</v>
      </c>
      <c r="M8" s="14">
        <v>1</v>
      </c>
      <c r="N8" s="14">
        <v>2</v>
      </c>
      <c r="O8" s="14">
        <v>12</v>
      </c>
      <c r="P8" s="14">
        <v>11</v>
      </c>
      <c r="Q8" s="14">
        <v>6</v>
      </c>
      <c r="R8" s="14">
        <v>0</v>
      </c>
      <c r="S8" s="14">
        <v>79</v>
      </c>
      <c r="T8" s="14">
        <v>30</v>
      </c>
      <c r="U8" s="14">
        <v>0</v>
      </c>
      <c r="V8" s="14">
        <v>109</v>
      </c>
      <c r="W8" s="15">
        <v>1380</v>
      </c>
      <c r="X8" s="15">
        <v>0</v>
      </c>
      <c r="Y8" s="14">
        <v>160</v>
      </c>
      <c r="Z8" s="14">
        <v>1</v>
      </c>
      <c r="AA8" s="15">
        <v>-10</v>
      </c>
      <c r="AB8" s="15">
        <v>435</v>
      </c>
      <c r="AC8" s="15">
        <v>3785.56</v>
      </c>
      <c r="AD8" s="15">
        <v>3785.56</v>
      </c>
      <c r="AE8" s="15">
        <v>3802.81</v>
      </c>
      <c r="AF8" s="15">
        <v>4220.5600000000004</v>
      </c>
      <c r="AG8" s="15">
        <v>5155.58</v>
      </c>
      <c r="AH8" s="15">
        <v>1377.02</v>
      </c>
      <c r="AI8" s="15">
        <v>1431.83</v>
      </c>
      <c r="AJ8" s="15">
        <v>1609.33</v>
      </c>
      <c r="AK8" s="15">
        <v>1836.83</v>
      </c>
      <c r="AL8" s="15">
        <v>405</v>
      </c>
      <c r="AM8" s="14">
        <v>234</v>
      </c>
      <c r="AN8" s="14">
        <v>93</v>
      </c>
      <c r="AO8" s="14">
        <v>5</v>
      </c>
      <c r="AP8" s="14">
        <v>3</v>
      </c>
      <c r="AQ8" s="14">
        <v>2</v>
      </c>
      <c r="AR8" s="14">
        <v>0</v>
      </c>
      <c r="AS8" s="14">
        <v>0</v>
      </c>
      <c r="AT8" s="16">
        <v>1330</v>
      </c>
      <c r="AU8" s="14">
        <v>148</v>
      </c>
      <c r="AV8" s="16">
        <v>1156</v>
      </c>
      <c r="AW8" s="14">
        <v>26</v>
      </c>
      <c r="AX8" s="14">
        <v>79</v>
      </c>
      <c r="AY8" s="14">
        <v>15</v>
      </c>
      <c r="AZ8" s="14">
        <v>63.5</v>
      </c>
      <c r="BA8" s="14">
        <v>0.5</v>
      </c>
      <c r="BB8" s="14">
        <v>30</v>
      </c>
      <c r="BC8" s="14">
        <v>12.75</v>
      </c>
      <c r="BD8" s="14">
        <v>17</v>
      </c>
      <c r="BE8" s="14">
        <v>0.25</v>
      </c>
      <c r="BF8" s="14">
        <v>387</v>
      </c>
    </row>
    <row r="9" spans="1:58" ht="16">
      <c r="A9" s="14" t="s">
        <v>16869</v>
      </c>
      <c r="B9" s="14" t="s">
        <v>16872</v>
      </c>
      <c r="C9" s="14">
        <v>41</v>
      </c>
      <c r="D9" s="14">
        <v>43</v>
      </c>
      <c r="E9" s="14">
        <v>42</v>
      </c>
      <c r="F9" s="14">
        <v>42</v>
      </c>
      <c r="G9" s="14">
        <v>0</v>
      </c>
      <c r="H9" s="14">
        <v>0</v>
      </c>
      <c r="I9" s="14">
        <v>0</v>
      </c>
      <c r="J9" s="14">
        <v>29</v>
      </c>
      <c r="K9" s="14">
        <v>193</v>
      </c>
      <c r="L9" s="14">
        <v>15</v>
      </c>
      <c r="M9" s="14">
        <v>1</v>
      </c>
      <c r="N9" s="14">
        <v>10</v>
      </c>
      <c r="O9" s="14">
        <v>3</v>
      </c>
      <c r="P9" s="14">
        <v>2</v>
      </c>
      <c r="Q9" s="14">
        <v>0</v>
      </c>
      <c r="R9" s="14">
        <v>0</v>
      </c>
      <c r="S9" s="14">
        <v>18.25</v>
      </c>
      <c r="T9" s="14">
        <v>28.75</v>
      </c>
      <c r="U9" s="14">
        <v>0</v>
      </c>
      <c r="V9" s="14">
        <v>47</v>
      </c>
      <c r="W9" s="15">
        <v>10</v>
      </c>
      <c r="X9" s="15">
        <v>0</v>
      </c>
      <c r="Y9" s="14">
        <v>1</v>
      </c>
      <c r="Z9" s="14">
        <v>0</v>
      </c>
      <c r="AA9" s="15">
        <v>-747.5</v>
      </c>
      <c r="AB9" s="15">
        <v>0</v>
      </c>
      <c r="AC9" s="15">
        <v>2174</v>
      </c>
      <c r="AD9" s="15">
        <v>2174</v>
      </c>
      <c r="AE9" s="15">
        <v>2174</v>
      </c>
      <c r="AF9" s="15">
        <v>2334</v>
      </c>
      <c r="AG9" s="15">
        <v>2184</v>
      </c>
      <c r="AH9" s="15">
        <v>10</v>
      </c>
      <c r="AI9" s="15">
        <v>0</v>
      </c>
      <c r="AJ9" s="15">
        <v>0</v>
      </c>
      <c r="AK9" s="15">
        <v>0</v>
      </c>
      <c r="AL9" s="15">
        <v>0</v>
      </c>
      <c r="AM9" s="14">
        <v>9</v>
      </c>
      <c r="AN9" s="14">
        <v>6</v>
      </c>
      <c r="AO9" s="14">
        <v>2</v>
      </c>
      <c r="AP9" s="14">
        <v>2</v>
      </c>
      <c r="AQ9" s="14">
        <v>2</v>
      </c>
      <c r="AR9" s="14">
        <v>0</v>
      </c>
      <c r="AS9" s="14">
        <v>0</v>
      </c>
      <c r="AT9" s="14">
        <v>193</v>
      </c>
      <c r="AU9" s="14">
        <v>0</v>
      </c>
      <c r="AV9" s="14">
        <v>13</v>
      </c>
      <c r="AW9" s="14">
        <v>180</v>
      </c>
      <c r="AX9" s="14">
        <v>18.25</v>
      </c>
      <c r="AY9" s="14">
        <v>0</v>
      </c>
      <c r="AZ9" s="14">
        <v>1</v>
      </c>
      <c r="BA9" s="14">
        <v>17.25</v>
      </c>
      <c r="BB9" s="14">
        <v>28.75</v>
      </c>
      <c r="BC9" s="14">
        <v>0</v>
      </c>
      <c r="BD9" s="14">
        <v>0</v>
      </c>
      <c r="BE9" s="14">
        <v>28.75</v>
      </c>
      <c r="BF9" s="14">
        <v>0</v>
      </c>
    </row>
    <row r="10" spans="1:58" ht="16">
      <c r="A10" s="14" t="s">
        <v>16869</v>
      </c>
      <c r="B10" s="14" t="s">
        <v>16872</v>
      </c>
      <c r="C10" s="14">
        <v>34</v>
      </c>
      <c r="D10" s="14">
        <v>34</v>
      </c>
      <c r="E10" s="14">
        <v>32</v>
      </c>
      <c r="F10" s="14">
        <v>32</v>
      </c>
      <c r="G10" s="14">
        <v>0</v>
      </c>
      <c r="H10" s="14">
        <v>0</v>
      </c>
      <c r="I10" s="14">
        <v>0</v>
      </c>
      <c r="J10" s="14">
        <v>23</v>
      </c>
      <c r="K10" s="14">
        <v>223</v>
      </c>
      <c r="L10" s="14">
        <v>13</v>
      </c>
      <c r="M10" s="14">
        <v>1</v>
      </c>
      <c r="N10" s="14">
        <v>9</v>
      </c>
      <c r="O10" s="14">
        <v>0</v>
      </c>
      <c r="P10" s="14">
        <v>0</v>
      </c>
      <c r="Q10" s="14">
        <v>1</v>
      </c>
      <c r="R10" s="14">
        <v>0</v>
      </c>
      <c r="S10" s="14">
        <v>15.75</v>
      </c>
      <c r="T10" s="14">
        <v>27</v>
      </c>
      <c r="U10" s="14">
        <v>0</v>
      </c>
      <c r="V10" s="14">
        <v>42.75</v>
      </c>
      <c r="W10" s="15">
        <v>0</v>
      </c>
      <c r="X10" s="15">
        <v>0</v>
      </c>
      <c r="Y10" s="14">
        <v>0</v>
      </c>
      <c r="Z10" s="14">
        <v>0</v>
      </c>
      <c r="AA10" s="15">
        <v>-697.5</v>
      </c>
      <c r="AB10" s="15">
        <v>0</v>
      </c>
      <c r="AC10" s="15">
        <v>1155.75</v>
      </c>
      <c r="AD10" s="15">
        <v>1155.75</v>
      </c>
      <c r="AE10" s="15">
        <v>1155.75</v>
      </c>
      <c r="AF10" s="15">
        <v>1155.75</v>
      </c>
      <c r="AG10" s="15">
        <v>1155.75</v>
      </c>
      <c r="AH10" s="15">
        <v>0</v>
      </c>
      <c r="AI10" s="15">
        <v>0</v>
      </c>
      <c r="AJ10" s="15">
        <v>0</v>
      </c>
      <c r="AK10" s="15">
        <v>0</v>
      </c>
      <c r="AL10" s="15">
        <v>0</v>
      </c>
      <c r="AM10" s="14">
        <v>3</v>
      </c>
      <c r="AN10" s="14">
        <v>8</v>
      </c>
      <c r="AO10" s="14">
        <v>5</v>
      </c>
      <c r="AP10" s="14">
        <v>3</v>
      </c>
      <c r="AQ10" s="14">
        <v>0</v>
      </c>
      <c r="AR10" s="14">
        <v>0</v>
      </c>
      <c r="AS10" s="14">
        <v>0</v>
      </c>
      <c r="AT10" s="14">
        <v>223</v>
      </c>
      <c r="AU10" s="14">
        <v>0</v>
      </c>
      <c r="AV10" s="14">
        <v>0</v>
      </c>
      <c r="AW10" s="14">
        <v>223</v>
      </c>
      <c r="AX10" s="14">
        <v>15.75</v>
      </c>
      <c r="AY10" s="14">
        <v>0</v>
      </c>
      <c r="AZ10" s="14">
        <v>0</v>
      </c>
      <c r="BA10" s="14">
        <v>15.75</v>
      </c>
      <c r="BB10" s="14">
        <v>27</v>
      </c>
      <c r="BC10" s="14">
        <v>0</v>
      </c>
      <c r="BD10" s="14">
        <v>0</v>
      </c>
      <c r="BE10" s="14">
        <v>27</v>
      </c>
      <c r="BF10" s="14"/>
    </row>
    <row r="11" spans="1:58" ht="16">
      <c r="A11" s="14" t="s">
        <v>16869</v>
      </c>
      <c r="B11" s="14" t="s">
        <v>16873</v>
      </c>
      <c r="C11" s="14">
        <v>0</v>
      </c>
      <c r="D11" s="14">
        <v>2</v>
      </c>
      <c r="E11" s="14">
        <v>2</v>
      </c>
      <c r="F11" s="14">
        <v>2</v>
      </c>
      <c r="G11" s="14">
        <v>0</v>
      </c>
      <c r="H11" s="14">
        <v>1</v>
      </c>
      <c r="I11" s="14">
        <v>0</v>
      </c>
      <c r="J11" s="14">
        <v>2</v>
      </c>
      <c r="K11" s="14">
        <v>15</v>
      </c>
      <c r="L11" s="14">
        <v>1</v>
      </c>
      <c r="M11" s="14">
        <v>0</v>
      </c>
      <c r="N11" s="14">
        <v>0</v>
      </c>
      <c r="O11" s="14">
        <v>0</v>
      </c>
      <c r="P11" s="14">
        <v>0</v>
      </c>
      <c r="Q11" s="14">
        <v>1</v>
      </c>
      <c r="R11" s="14">
        <v>0</v>
      </c>
      <c r="S11" s="14">
        <v>0.25</v>
      </c>
      <c r="T11" s="14">
        <v>0</v>
      </c>
      <c r="U11" s="14">
        <v>0</v>
      </c>
      <c r="V11" s="14">
        <v>0.3</v>
      </c>
      <c r="W11" s="15">
        <v>2.5</v>
      </c>
      <c r="X11" s="15">
        <v>0</v>
      </c>
      <c r="Y11" s="14">
        <v>1</v>
      </c>
      <c r="Z11" s="14">
        <v>0</v>
      </c>
      <c r="AA11" s="15">
        <v>0</v>
      </c>
      <c r="AB11" s="15">
        <v>0</v>
      </c>
      <c r="AC11" s="15">
        <v>0</v>
      </c>
      <c r="AD11" s="15">
        <v>0</v>
      </c>
      <c r="AE11" s="15">
        <v>0</v>
      </c>
      <c r="AF11" s="15">
        <v>0</v>
      </c>
      <c r="AG11" s="15">
        <v>2.5</v>
      </c>
      <c r="AH11" s="15">
        <v>2.5</v>
      </c>
      <c r="AI11" s="15">
        <v>0</v>
      </c>
      <c r="AJ11" s="15">
        <v>0</v>
      </c>
      <c r="AK11" s="15">
        <v>0</v>
      </c>
      <c r="AL11" s="15">
        <v>0</v>
      </c>
      <c r="AM11" s="14">
        <v>0</v>
      </c>
      <c r="AN11" s="14">
        <v>0</v>
      </c>
      <c r="AO11" s="14">
        <v>0</v>
      </c>
      <c r="AP11" s="14">
        <v>0</v>
      </c>
      <c r="AQ11" s="14">
        <v>0</v>
      </c>
      <c r="AR11" s="14">
        <v>0</v>
      </c>
      <c r="AS11" s="14">
        <v>0</v>
      </c>
      <c r="AT11" s="14">
        <v>15</v>
      </c>
      <c r="AU11" s="14">
        <v>11</v>
      </c>
      <c r="AV11" s="14">
        <v>4</v>
      </c>
      <c r="AW11" s="14">
        <v>0</v>
      </c>
      <c r="AX11" s="14">
        <v>0.25</v>
      </c>
      <c r="AY11" s="14">
        <v>0</v>
      </c>
      <c r="AZ11" s="14">
        <v>0.25</v>
      </c>
      <c r="BA11" s="14">
        <v>0</v>
      </c>
      <c r="BB11" s="14">
        <v>0</v>
      </c>
      <c r="BC11" s="14">
        <v>0</v>
      </c>
      <c r="BD11" s="14">
        <v>0</v>
      </c>
      <c r="BE11" s="14">
        <v>0</v>
      </c>
      <c r="BF11" s="16">
        <v>2057</v>
      </c>
    </row>
    <row r="12" spans="1:58" ht="16">
      <c r="A12" s="14" t="s">
        <v>16869</v>
      </c>
      <c r="B12" s="14" t="s">
        <v>18785</v>
      </c>
      <c r="C12" s="14">
        <v>0</v>
      </c>
      <c r="D12" s="14">
        <v>61</v>
      </c>
      <c r="E12" s="14">
        <v>61</v>
      </c>
      <c r="F12" s="14">
        <v>56</v>
      </c>
      <c r="G12" s="14">
        <v>1</v>
      </c>
      <c r="H12" s="14">
        <v>2</v>
      </c>
      <c r="I12" s="14">
        <v>5</v>
      </c>
      <c r="J12" s="14">
        <v>61</v>
      </c>
      <c r="K12" s="14">
        <v>568</v>
      </c>
      <c r="L12" s="14">
        <v>18</v>
      </c>
      <c r="M12" s="14">
        <v>2</v>
      </c>
      <c r="N12" s="14">
        <v>11</v>
      </c>
      <c r="O12" s="14">
        <v>4</v>
      </c>
      <c r="P12" s="14">
        <v>0</v>
      </c>
      <c r="Q12" s="14">
        <v>26</v>
      </c>
      <c r="R12" s="14">
        <v>0</v>
      </c>
      <c r="S12" s="14">
        <v>79.25</v>
      </c>
      <c r="T12" s="14">
        <v>1.5</v>
      </c>
      <c r="U12" s="14">
        <v>0.25</v>
      </c>
      <c r="V12" s="14">
        <v>81</v>
      </c>
      <c r="W12" s="15">
        <v>849.5</v>
      </c>
      <c r="X12" s="15">
        <v>0</v>
      </c>
      <c r="Y12" s="14">
        <v>55</v>
      </c>
      <c r="Z12" s="14">
        <v>0</v>
      </c>
      <c r="AA12" s="15">
        <v>0</v>
      </c>
      <c r="AB12" s="15">
        <v>197</v>
      </c>
      <c r="AC12" s="15">
        <v>1470.25</v>
      </c>
      <c r="AD12" s="15">
        <v>1446.5</v>
      </c>
      <c r="AE12" s="15">
        <v>489.5</v>
      </c>
      <c r="AF12" s="15">
        <v>1643.5</v>
      </c>
      <c r="AG12" s="15">
        <v>2324.75</v>
      </c>
      <c r="AH12" s="15">
        <v>1875.75</v>
      </c>
      <c r="AI12" s="15">
        <v>91.5</v>
      </c>
      <c r="AJ12" s="15">
        <v>182</v>
      </c>
      <c r="AK12" s="15">
        <v>242</v>
      </c>
      <c r="AL12" s="15">
        <v>191</v>
      </c>
      <c r="AM12" s="14">
        <v>1</v>
      </c>
      <c r="AN12" s="14">
        <v>12</v>
      </c>
      <c r="AO12" s="14">
        <v>1</v>
      </c>
      <c r="AP12" s="14">
        <v>1</v>
      </c>
      <c r="AQ12" s="14">
        <v>0</v>
      </c>
      <c r="AR12" s="14">
        <v>0</v>
      </c>
      <c r="AS12" s="14">
        <v>0</v>
      </c>
      <c r="AT12" s="14">
        <v>568</v>
      </c>
      <c r="AU12" s="14">
        <v>47</v>
      </c>
      <c r="AV12" s="14">
        <v>521</v>
      </c>
      <c r="AW12" s="14">
        <v>0</v>
      </c>
      <c r="AX12" s="14">
        <v>79.25</v>
      </c>
      <c r="AY12" s="14">
        <v>19.5</v>
      </c>
      <c r="AZ12" s="14">
        <v>59.75</v>
      </c>
      <c r="BA12" s="14">
        <v>0</v>
      </c>
      <c r="BB12" s="14">
        <v>1.5</v>
      </c>
      <c r="BC12" s="14">
        <v>1.5</v>
      </c>
      <c r="BD12" s="14">
        <v>0</v>
      </c>
      <c r="BE12" s="14">
        <v>0</v>
      </c>
      <c r="BF12" s="14">
        <v>0</v>
      </c>
    </row>
    <row r="13" spans="1:58" ht="16">
      <c r="A13" s="14" t="s">
        <v>16874</v>
      </c>
      <c r="B13" s="14" t="s">
        <v>16875</v>
      </c>
      <c r="C13" s="14">
        <v>0</v>
      </c>
      <c r="D13" s="14">
        <v>3</v>
      </c>
      <c r="E13" s="14">
        <v>3</v>
      </c>
      <c r="F13" s="14">
        <v>3</v>
      </c>
      <c r="G13" s="14">
        <v>0</v>
      </c>
      <c r="H13" s="14">
        <v>0</v>
      </c>
      <c r="I13" s="14">
        <v>0</v>
      </c>
      <c r="J13" s="14">
        <v>3</v>
      </c>
      <c r="K13" s="14">
        <v>5</v>
      </c>
      <c r="L13" s="14">
        <v>1</v>
      </c>
      <c r="M13" s="14">
        <v>0</v>
      </c>
      <c r="N13" s="14">
        <v>0</v>
      </c>
      <c r="O13" s="14">
        <v>2</v>
      </c>
      <c r="P13" s="14">
        <v>0</v>
      </c>
      <c r="Q13" s="14">
        <v>0</v>
      </c>
      <c r="R13" s="14">
        <v>0</v>
      </c>
      <c r="S13" s="14">
        <v>0.25</v>
      </c>
      <c r="T13" s="14">
        <v>0.25</v>
      </c>
      <c r="U13" s="14">
        <v>0.25</v>
      </c>
      <c r="V13" s="14">
        <v>0.75</v>
      </c>
      <c r="W13" s="15">
        <v>7.5</v>
      </c>
      <c r="X13" s="15">
        <v>0</v>
      </c>
      <c r="Y13" s="14">
        <v>1</v>
      </c>
      <c r="Z13" s="14">
        <v>0</v>
      </c>
      <c r="AA13" s="15">
        <v>0</v>
      </c>
      <c r="AB13" s="15">
        <v>0</v>
      </c>
      <c r="AC13" s="15">
        <v>0</v>
      </c>
      <c r="AD13" s="15">
        <v>0</v>
      </c>
      <c r="AE13" s="15">
        <v>0</v>
      </c>
      <c r="AF13" s="15">
        <v>0</v>
      </c>
      <c r="AG13" s="15">
        <v>12.5</v>
      </c>
      <c r="AH13" s="15">
        <v>12.5</v>
      </c>
      <c r="AI13" s="15">
        <v>0</v>
      </c>
      <c r="AJ13" s="15">
        <v>0</v>
      </c>
      <c r="AK13" s="15">
        <v>0</v>
      </c>
      <c r="AL13" s="15">
        <v>0</v>
      </c>
      <c r="AM13" s="14">
        <v>0</v>
      </c>
      <c r="AN13" s="14">
        <v>0</v>
      </c>
      <c r="AO13" s="14">
        <v>0</v>
      </c>
      <c r="AP13" s="14">
        <v>0</v>
      </c>
      <c r="AQ13" s="14">
        <v>0</v>
      </c>
      <c r="AR13" s="14">
        <v>0</v>
      </c>
      <c r="AS13" s="14">
        <v>0</v>
      </c>
      <c r="AT13" s="14">
        <v>5</v>
      </c>
      <c r="AU13" s="14">
        <v>0</v>
      </c>
      <c r="AV13" s="14">
        <v>5</v>
      </c>
      <c r="AW13" s="14">
        <v>0</v>
      </c>
      <c r="AX13" s="14">
        <v>0.25</v>
      </c>
      <c r="AY13" s="14">
        <v>0</v>
      </c>
      <c r="AZ13" s="14">
        <v>0.25</v>
      </c>
      <c r="BA13" s="14">
        <v>0</v>
      </c>
      <c r="BB13" s="14">
        <v>0.25</v>
      </c>
      <c r="BC13" s="14">
        <v>0</v>
      </c>
      <c r="BD13" s="14">
        <v>0.25</v>
      </c>
      <c r="BE13" s="14">
        <v>0</v>
      </c>
      <c r="BF13" s="14"/>
    </row>
    <row r="14" spans="1:58" ht="16">
      <c r="A14" s="14" t="s">
        <v>16876</v>
      </c>
      <c r="B14" s="14" t="s">
        <v>16877</v>
      </c>
      <c r="C14" s="14">
        <v>0</v>
      </c>
      <c r="D14" s="14">
        <v>16</v>
      </c>
      <c r="E14" s="14">
        <v>16</v>
      </c>
      <c r="F14" s="14">
        <v>16</v>
      </c>
      <c r="G14" s="14">
        <v>0</v>
      </c>
      <c r="H14" s="14">
        <v>0</v>
      </c>
      <c r="I14" s="14">
        <v>0</v>
      </c>
      <c r="J14" s="14">
        <v>16</v>
      </c>
      <c r="K14" s="14">
        <v>43</v>
      </c>
      <c r="L14" s="14">
        <v>0</v>
      </c>
      <c r="M14" s="14">
        <v>15</v>
      </c>
      <c r="N14" s="14">
        <v>1</v>
      </c>
      <c r="O14" s="14">
        <v>0</v>
      </c>
      <c r="P14" s="14">
        <v>0</v>
      </c>
      <c r="Q14" s="14">
        <v>0</v>
      </c>
      <c r="R14" s="14">
        <v>0</v>
      </c>
      <c r="S14" s="14">
        <v>4</v>
      </c>
      <c r="T14" s="14">
        <v>8</v>
      </c>
      <c r="U14" s="14">
        <v>0</v>
      </c>
      <c r="V14" s="14">
        <v>12</v>
      </c>
      <c r="W14" s="15">
        <v>200</v>
      </c>
      <c r="X14" s="15">
        <v>0</v>
      </c>
      <c r="Y14" s="14">
        <v>0</v>
      </c>
      <c r="Z14" s="14">
        <v>1</v>
      </c>
      <c r="AA14" s="15">
        <v>0</v>
      </c>
      <c r="AB14" s="15">
        <v>140</v>
      </c>
      <c r="AC14" s="15">
        <v>574.35</v>
      </c>
      <c r="AD14" s="15">
        <v>574.35</v>
      </c>
      <c r="AE14" s="15">
        <v>644.35</v>
      </c>
      <c r="AF14" s="15">
        <v>714.35</v>
      </c>
      <c r="AG14" s="15">
        <v>774.35</v>
      </c>
      <c r="AH14" s="15">
        <v>130</v>
      </c>
      <c r="AI14" s="15">
        <v>0</v>
      </c>
      <c r="AJ14" s="15">
        <v>0</v>
      </c>
      <c r="AK14" s="15">
        <v>0</v>
      </c>
      <c r="AL14" s="15">
        <v>0</v>
      </c>
      <c r="AM14" s="14">
        <v>0</v>
      </c>
      <c r="AN14" s="14">
        <v>0</v>
      </c>
      <c r="AO14" s="14">
        <v>0</v>
      </c>
      <c r="AP14" s="14">
        <v>0</v>
      </c>
      <c r="AQ14" s="14">
        <v>1</v>
      </c>
      <c r="AR14" s="14">
        <v>0</v>
      </c>
      <c r="AS14" s="14">
        <v>0</v>
      </c>
      <c r="AT14" s="14">
        <v>43</v>
      </c>
      <c r="AU14" s="14">
        <v>0</v>
      </c>
      <c r="AV14" s="14">
        <v>43</v>
      </c>
      <c r="AW14" s="14">
        <v>0</v>
      </c>
      <c r="AX14" s="14">
        <v>4</v>
      </c>
      <c r="AY14" s="14">
        <v>0</v>
      </c>
      <c r="AZ14" s="14">
        <v>4</v>
      </c>
      <c r="BA14" s="14">
        <v>0</v>
      </c>
      <c r="BB14" s="14">
        <v>8</v>
      </c>
      <c r="BC14" s="14">
        <v>0</v>
      </c>
      <c r="BD14" s="14">
        <v>8</v>
      </c>
      <c r="BE14" s="14">
        <v>0</v>
      </c>
      <c r="BF14" s="14">
        <v>240</v>
      </c>
    </row>
    <row r="15" spans="1:58" ht="16">
      <c r="A15" s="14" t="s">
        <v>17496</v>
      </c>
      <c r="B15" s="14" t="s">
        <v>17497</v>
      </c>
      <c r="C15" s="14">
        <v>0</v>
      </c>
      <c r="D15" s="14">
        <v>0</v>
      </c>
      <c r="E15" s="14">
        <v>0</v>
      </c>
      <c r="F15" s="14">
        <v>0</v>
      </c>
      <c r="G15" s="14">
        <v>0</v>
      </c>
      <c r="H15" s="14">
        <v>0</v>
      </c>
      <c r="I15" s="14">
        <v>0</v>
      </c>
      <c r="J15" s="14">
        <v>0</v>
      </c>
      <c r="K15" s="14">
        <v>0</v>
      </c>
      <c r="L15" s="14">
        <v>0</v>
      </c>
      <c r="M15" s="14">
        <v>0</v>
      </c>
      <c r="N15" s="14">
        <v>0</v>
      </c>
      <c r="O15" s="14">
        <v>0</v>
      </c>
      <c r="P15" s="14">
        <v>0</v>
      </c>
      <c r="Q15" s="14">
        <v>0</v>
      </c>
      <c r="R15" s="14">
        <v>0</v>
      </c>
      <c r="S15" s="14">
        <v>0</v>
      </c>
      <c r="T15" s="14">
        <v>0</v>
      </c>
      <c r="U15" s="14">
        <v>0</v>
      </c>
      <c r="V15" s="14">
        <v>0</v>
      </c>
      <c r="W15" s="15">
        <v>0</v>
      </c>
      <c r="X15" s="15">
        <v>0</v>
      </c>
      <c r="Y15" s="14">
        <v>0</v>
      </c>
      <c r="Z15" s="14">
        <v>0</v>
      </c>
      <c r="AA15" s="15">
        <v>0</v>
      </c>
      <c r="AB15" s="15">
        <v>0</v>
      </c>
      <c r="AC15" s="15">
        <v>0</v>
      </c>
      <c r="AD15" s="15">
        <v>0</v>
      </c>
      <c r="AE15" s="15">
        <v>0</v>
      </c>
      <c r="AF15" s="15">
        <v>0</v>
      </c>
      <c r="AG15" s="15">
        <v>0</v>
      </c>
      <c r="AH15" s="15">
        <v>0</v>
      </c>
      <c r="AI15" s="15">
        <v>0</v>
      </c>
      <c r="AJ15" s="15">
        <v>0</v>
      </c>
      <c r="AK15" s="15">
        <v>0</v>
      </c>
      <c r="AL15" s="15">
        <v>0</v>
      </c>
      <c r="AM15" s="14">
        <v>0</v>
      </c>
      <c r="AN15" s="14">
        <v>0</v>
      </c>
      <c r="AO15" s="14">
        <v>0</v>
      </c>
      <c r="AP15" s="14">
        <v>0</v>
      </c>
      <c r="AQ15" s="14">
        <v>0</v>
      </c>
      <c r="AR15" s="14">
        <v>0</v>
      </c>
      <c r="AS15" s="14">
        <v>0</v>
      </c>
      <c r="AT15" s="14">
        <v>0</v>
      </c>
      <c r="AU15" s="14">
        <v>0</v>
      </c>
      <c r="AV15" s="14">
        <v>0</v>
      </c>
      <c r="AW15" s="14">
        <v>0</v>
      </c>
      <c r="AX15" s="14">
        <v>0</v>
      </c>
      <c r="AY15" s="14">
        <v>0</v>
      </c>
      <c r="AZ15" s="14">
        <v>0</v>
      </c>
      <c r="BA15" s="14">
        <v>0</v>
      </c>
      <c r="BB15" s="14">
        <v>0</v>
      </c>
      <c r="BC15" s="14">
        <v>0</v>
      </c>
      <c r="BD15" s="14">
        <v>0</v>
      </c>
      <c r="BE15" s="14">
        <v>0</v>
      </c>
      <c r="BF15" s="14">
        <v>0</v>
      </c>
    </row>
    <row r="16" spans="1:58" ht="16">
      <c r="A16" s="14" t="s">
        <v>17210</v>
      </c>
      <c r="B16" s="14" t="s">
        <v>17211</v>
      </c>
      <c r="C16" s="14">
        <v>1</v>
      </c>
      <c r="D16" s="14">
        <v>12</v>
      </c>
      <c r="E16" s="14">
        <v>11</v>
      </c>
      <c r="F16" s="14">
        <v>12</v>
      </c>
      <c r="G16" s="14">
        <v>0</v>
      </c>
      <c r="H16" s="14">
        <v>0</v>
      </c>
      <c r="I16" s="14">
        <v>0</v>
      </c>
      <c r="J16" s="14">
        <v>12</v>
      </c>
      <c r="K16" s="14">
        <v>101</v>
      </c>
      <c r="L16" s="14">
        <v>2</v>
      </c>
      <c r="M16" s="14">
        <v>3</v>
      </c>
      <c r="N16" s="14">
        <v>2</v>
      </c>
      <c r="O16" s="14">
        <v>4</v>
      </c>
      <c r="P16" s="14">
        <v>1</v>
      </c>
      <c r="Q16" s="14">
        <v>0</v>
      </c>
      <c r="R16" s="14">
        <v>0</v>
      </c>
      <c r="S16" s="14">
        <v>14.25</v>
      </c>
      <c r="T16" s="14">
        <v>18.25</v>
      </c>
      <c r="U16" s="14">
        <v>0</v>
      </c>
      <c r="V16" s="14">
        <v>32.5</v>
      </c>
      <c r="W16" s="15">
        <v>507.5</v>
      </c>
      <c r="X16" s="15">
        <v>0</v>
      </c>
      <c r="Y16" s="14">
        <v>1</v>
      </c>
      <c r="Z16" s="14">
        <v>3</v>
      </c>
      <c r="AA16" s="15">
        <v>0</v>
      </c>
      <c r="AB16" s="15">
        <v>330</v>
      </c>
      <c r="AC16" s="15">
        <v>2.5</v>
      </c>
      <c r="AD16" s="15">
        <v>2.5</v>
      </c>
      <c r="AE16" s="15">
        <v>72.5</v>
      </c>
      <c r="AF16" s="15">
        <v>332.5</v>
      </c>
      <c r="AG16" s="15">
        <v>510</v>
      </c>
      <c r="AH16" s="15">
        <v>437.5</v>
      </c>
      <c r="AI16" s="15">
        <v>0</v>
      </c>
      <c r="AJ16" s="15">
        <v>0</v>
      </c>
      <c r="AK16" s="15">
        <v>0</v>
      </c>
      <c r="AL16" s="15">
        <v>0</v>
      </c>
      <c r="AM16" s="14">
        <v>1</v>
      </c>
      <c r="AN16" s="14">
        <v>1</v>
      </c>
      <c r="AO16" s="14">
        <v>1</v>
      </c>
      <c r="AP16" s="14">
        <v>0</v>
      </c>
      <c r="AQ16" s="14">
        <v>0</v>
      </c>
      <c r="AR16" s="14">
        <v>0</v>
      </c>
      <c r="AS16" s="14">
        <v>0</v>
      </c>
      <c r="AT16" s="14">
        <v>101</v>
      </c>
      <c r="AU16" s="14">
        <v>0</v>
      </c>
      <c r="AV16" s="14">
        <v>94</v>
      </c>
      <c r="AW16" s="14">
        <v>7</v>
      </c>
      <c r="AX16" s="14">
        <v>14.25</v>
      </c>
      <c r="AY16" s="14">
        <v>0</v>
      </c>
      <c r="AZ16" s="14">
        <v>14.25</v>
      </c>
      <c r="BA16" s="14">
        <v>0</v>
      </c>
      <c r="BB16" s="14">
        <v>18.25</v>
      </c>
      <c r="BC16" s="14">
        <v>0</v>
      </c>
      <c r="BD16" s="14">
        <v>18.25</v>
      </c>
      <c r="BE16" s="14">
        <v>0</v>
      </c>
      <c r="BF16" s="14">
        <v>0</v>
      </c>
    </row>
    <row r="17" spans="1:58" ht="16">
      <c r="A17" s="14" t="s">
        <v>16879</v>
      </c>
      <c r="B17" s="14" t="s">
        <v>16880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5">
        <v>0</v>
      </c>
      <c r="X17" s="15">
        <v>0</v>
      </c>
      <c r="Y17" s="14">
        <v>0</v>
      </c>
      <c r="Z17" s="14">
        <v>0</v>
      </c>
      <c r="AA17" s="15">
        <v>0</v>
      </c>
      <c r="AB17" s="15">
        <v>0</v>
      </c>
      <c r="AC17" s="15">
        <v>0</v>
      </c>
      <c r="AD17" s="15">
        <v>0</v>
      </c>
      <c r="AE17" s="15">
        <v>0</v>
      </c>
      <c r="AF17" s="15">
        <v>0</v>
      </c>
      <c r="AG17" s="15">
        <v>0</v>
      </c>
      <c r="AH17" s="15">
        <v>0</v>
      </c>
      <c r="AI17" s="15">
        <v>0</v>
      </c>
      <c r="AJ17" s="15">
        <v>0</v>
      </c>
      <c r="AK17" s="15">
        <v>0</v>
      </c>
      <c r="AL17" s="15">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row>
    <row r="18" spans="1:58" ht="16">
      <c r="A18" s="14" t="s">
        <v>16881</v>
      </c>
      <c r="B18" s="14" t="s">
        <v>16882</v>
      </c>
      <c r="C18" s="14">
        <v>0</v>
      </c>
      <c r="D18" s="14">
        <v>3</v>
      </c>
      <c r="E18" s="14">
        <v>3</v>
      </c>
      <c r="F18" s="14">
        <v>1</v>
      </c>
      <c r="G18" s="14">
        <v>2</v>
      </c>
      <c r="H18" s="14">
        <v>0</v>
      </c>
      <c r="I18" s="14">
        <v>0</v>
      </c>
      <c r="J18" s="14">
        <v>3</v>
      </c>
      <c r="K18" s="14">
        <v>34</v>
      </c>
      <c r="L18" s="14">
        <v>0</v>
      </c>
      <c r="M18" s="14">
        <v>3</v>
      </c>
      <c r="N18" s="14">
        <v>0</v>
      </c>
      <c r="O18" s="14">
        <v>0</v>
      </c>
      <c r="P18" s="14">
        <v>0</v>
      </c>
      <c r="Q18" s="14">
        <v>0</v>
      </c>
      <c r="R18" s="14">
        <v>0</v>
      </c>
      <c r="S18" s="14">
        <v>0</v>
      </c>
      <c r="T18" s="14">
        <v>0</v>
      </c>
      <c r="U18" s="14">
        <v>0</v>
      </c>
      <c r="V18" s="14">
        <v>0</v>
      </c>
      <c r="W18" s="15">
        <v>0</v>
      </c>
      <c r="X18" s="15">
        <v>0</v>
      </c>
      <c r="Y18" s="14">
        <v>0</v>
      </c>
      <c r="Z18" s="14">
        <v>0</v>
      </c>
      <c r="AA18" s="15">
        <v>0</v>
      </c>
      <c r="AB18" s="15">
        <v>0</v>
      </c>
      <c r="AC18" s="15">
        <v>0</v>
      </c>
      <c r="AD18" s="15">
        <v>0</v>
      </c>
      <c r="AE18" s="15">
        <v>0</v>
      </c>
      <c r="AF18" s="15">
        <v>0</v>
      </c>
      <c r="AG18" s="15">
        <v>0</v>
      </c>
      <c r="AH18" s="15">
        <v>0</v>
      </c>
      <c r="AI18" s="15">
        <v>0</v>
      </c>
      <c r="AJ18" s="15">
        <v>0</v>
      </c>
      <c r="AK18" s="15">
        <v>0</v>
      </c>
      <c r="AL18" s="15">
        <v>0</v>
      </c>
      <c r="AM18" s="14">
        <v>0</v>
      </c>
      <c r="AN18" s="14">
        <v>0</v>
      </c>
      <c r="AO18" s="14">
        <v>0</v>
      </c>
      <c r="AP18" s="14">
        <v>0</v>
      </c>
      <c r="AQ18" s="14">
        <v>0</v>
      </c>
      <c r="AR18" s="14">
        <v>0</v>
      </c>
      <c r="AS18" s="14">
        <v>0</v>
      </c>
      <c r="AT18" s="14">
        <v>34</v>
      </c>
      <c r="AU18" s="14">
        <v>0</v>
      </c>
      <c r="AV18" s="14">
        <v>34</v>
      </c>
      <c r="AW18" s="14">
        <v>0</v>
      </c>
      <c r="AX18" s="14">
        <v>0</v>
      </c>
      <c r="AY18" s="14">
        <v>0</v>
      </c>
      <c r="AZ18" s="14">
        <v>0</v>
      </c>
      <c r="BA18" s="14">
        <v>0</v>
      </c>
      <c r="BB18" s="14">
        <v>0</v>
      </c>
      <c r="BC18" s="14">
        <v>0</v>
      </c>
      <c r="BD18" s="14">
        <v>0</v>
      </c>
      <c r="BE18" s="14">
        <v>0</v>
      </c>
      <c r="BF18" s="14"/>
    </row>
    <row r="19" spans="1:58" ht="16">
      <c r="A19" s="14" t="s">
        <v>16881</v>
      </c>
      <c r="B19" s="14" t="s">
        <v>16882</v>
      </c>
      <c r="C19" s="14">
        <v>0</v>
      </c>
      <c r="D19" s="14">
        <v>13</v>
      </c>
      <c r="E19" s="14">
        <v>13</v>
      </c>
      <c r="F19" s="14">
        <v>0</v>
      </c>
      <c r="G19" s="14">
        <v>0</v>
      </c>
      <c r="H19" s="14">
        <v>1</v>
      </c>
      <c r="I19" s="14">
        <v>1</v>
      </c>
      <c r="J19" s="14">
        <v>13</v>
      </c>
      <c r="K19" s="14">
        <v>127</v>
      </c>
      <c r="L19" s="14">
        <v>4</v>
      </c>
      <c r="M19" s="14">
        <v>5</v>
      </c>
      <c r="N19" s="14">
        <v>3</v>
      </c>
      <c r="O19" s="14">
        <v>0</v>
      </c>
      <c r="P19" s="14">
        <v>0</v>
      </c>
      <c r="Q19" s="14">
        <v>1</v>
      </c>
      <c r="R19" s="14">
        <v>0</v>
      </c>
      <c r="S19" s="14">
        <v>3</v>
      </c>
      <c r="T19" s="14">
        <v>29</v>
      </c>
      <c r="U19" s="14">
        <v>0</v>
      </c>
      <c r="V19" s="14">
        <v>0</v>
      </c>
      <c r="W19" s="15">
        <v>610</v>
      </c>
      <c r="X19" s="15">
        <v>0</v>
      </c>
      <c r="Y19" s="14">
        <v>0</v>
      </c>
      <c r="Z19" s="14">
        <v>0</v>
      </c>
      <c r="AA19" s="15">
        <v>0</v>
      </c>
      <c r="AB19" s="15">
        <v>0</v>
      </c>
      <c r="AC19" s="15">
        <v>525</v>
      </c>
      <c r="AD19" s="15">
        <v>525</v>
      </c>
      <c r="AE19" s="15">
        <v>1135</v>
      </c>
      <c r="AF19" s="15">
        <v>0</v>
      </c>
      <c r="AG19" s="15">
        <v>0</v>
      </c>
      <c r="AH19" s="15">
        <v>0</v>
      </c>
      <c r="AI19" s="15">
        <v>1135</v>
      </c>
      <c r="AJ19" s="15">
        <v>0</v>
      </c>
      <c r="AK19" s="15">
        <v>0</v>
      </c>
      <c r="AL19" s="15">
        <v>0</v>
      </c>
      <c r="AM19" s="14">
        <v>0</v>
      </c>
      <c r="AN19" s="14">
        <v>0</v>
      </c>
      <c r="AO19" s="14">
        <v>0</v>
      </c>
      <c r="AP19" s="14">
        <v>0</v>
      </c>
      <c r="AQ19" s="14">
        <v>0</v>
      </c>
      <c r="AR19" s="14">
        <v>1</v>
      </c>
      <c r="AS19" s="14">
        <v>0</v>
      </c>
      <c r="AT19" s="14">
        <v>127</v>
      </c>
      <c r="AU19" s="14">
        <v>26</v>
      </c>
      <c r="AV19" s="14">
        <v>101</v>
      </c>
      <c r="AW19" s="14">
        <v>0</v>
      </c>
      <c r="AX19" s="14">
        <v>3</v>
      </c>
      <c r="AY19" s="14">
        <v>3</v>
      </c>
      <c r="AZ19" s="14">
        <v>0</v>
      </c>
      <c r="BA19" s="14">
        <v>0</v>
      </c>
      <c r="BB19" s="14">
        <v>29</v>
      </c>
      <c r="BC19" s="14">
        <v>29</v>
      </c>
      <c r="BD19" s="14">
        <v>0</v>
      </c>
      <c r="BE19" s="14">
        <v>0</v>
      </c>
      <c r="BF19" s="14">
        <v>13</v>
      </c>
    </row>
    <row r="20" spans="1:58" ht="16">
      <c r="A20" s="14" t="s">
        <v>17212</v>
      </c>
      <c r="B20" s="14" t="s">
        <v>17213</v>
      </c>
      <c r="C20" s="14">
        <v>1</v>
      </c>
      <c r="D20" s="14">
        <v>23</v>
      </c>
      <c r="E20" s="14">
        <v>0</v>
      </c>
      <c r="F20" s="14">
        <v>22</v>
      </c>
      <c r="G20" s="14">
        <v>1</v>
      </c>
      <c r="H20" s="14">
        <v>0</v>
      </c>
      <c r="I20" s="14">
        <v>0</v>
      </c>
      <c r="J20" s="14">
        <v>20</v>
      </c>
      <c r="K20" s="14">
        <v>384</v>
      </c>
      <c r="L20" s="14">
        <v>17</v>
      </c>
      <c r="M20" s="14">
        <v>1</v>
      </c>
      <c r="N20" s="14">
        <v>0</v>
      </c>
      <c r="O20" s="14">
        <v>2</v>
      </c>
      <c r="P20" s="14">
        <v>0</v>
      </c>
      <c r="Q20" s="14">
        <v>0</v>
      </c>
      <c r="R20" s="14">
        <v>1</v>
      </c>
      <c r="S20" s="14">
        <v>53</v>
      </c>
      <c r="T20" s="14">
        <v>1</v>
      </c>
      <c r="U20" s="14">
        <v>0</v>
      </c>
      <c r="V20" s="14">
        <v>54</v>
      </c>
      <c r="W20" s="15">
        <v>540</v>
      </c>
      <c r="X20" s="15">
        <v>0</v>
      </c>
      <c r="Y20" s="14">
        <v>15</v>
      </c>
      <c r="Z20" s="14">
        <v>1</v>
      </c>
      <c r="AA20" s="15">
        <v>-10</v>
      </c>
      <c r="AB20" s="15">
        <v>220</v>
      </c>
      <c r="AC20" s="15">
        <v>157.75</v>
      </c>
      <c r="AD20" s="15">
        <v>157.75</v>
      </c>
      <c r="AE20" s="15">
        <v>257.75</v>
      </c>
      <c r="AF20" s="15">
        <v>377.75</v>
      </c>
      <c r="AG20" s="15">
        <v>697.75</v>
      </c>
      <c r="AH20" s="15">
        <v>440</v>
      </c>
      <c r="AI20" s="15">
        <v>0</v>
      </c>
      <c r="AJ20" s="15">
        <v>0</v>
      </c>
      <c r="AK20" s="15">
        <v>0</v>
      </c>
      <c r="AL20" s="15">
        <v>0</v>
      </c>
      <c r="AM20" s="14">
        <v>0</v>
      </c>
      <c r="AN20" s="14">
        <v>4</v>
      </c>
      <c r="AO20" s="14">
        <v>3</v>
      </c>
      <c r="AP20" s="14">
        <v>0</v>
      </c>
      <c r="AQ20" s="14">
        <v>0</v>
      </c>
      <c r="AR20" s="14">
        <v>0</v>
      </c>
      <c r="AS20" s="14">
        <v>0</v>
      </c>
      <c r="AT20" s="14">
        <v>384</v>
      </c>
      <c r="AU20" s="14">
        <v>0</v>
      </c>
      <c r="AV20" s="14">
        <v>376</v>
      </c>
      <c r="AW20" s="14">
        <v>8</v>
      </c>
      <c r="AX20" s="14">
        <v>53</v>
      </c>
      <c r="AY20" s="14">
        <v>0</v>
      </c>
      <c r="AZ20" s="14">
        <v>52</v>
      </c>
      <c r="BA20" s="14">
        <v>1</v>
      </c>
      <c r="BB20" s="14">
        <v>1</v>
      </c>
      <c r="BC20" s="14">
        <v>0</v>
      </c>
      <c r="BD20" s="14">
        <v>1</v>
      </c>
      <c r="BE20" s="14">
        <v>0</v>
      </c>
      <c r="BF20" s="14"/>
    </row>
    <row r="21" spans="1:58" ht="16">
      <c r="A21" s="14" t="s">
        <v>16883</v>
      </c>
      <c r="B21" s="14" t="s">
        <v>17348</v>
      </c>
      <c r="C21" s="14">
        <v>0</v>
      </c>
      <c r="D21" s="14">
        <v>2</v>
      </c>
      <c r="E21" s="14">
        <v>2</v>
      </c>
      <c r="F21" s="14">
        <v>2</v>
      </c>
      <c r="G21" s="14">
        <v>1</v>
      </c>
      <c r="H21" s="14">
        <v>2</v>
      </c>
      <c r="I21" s="14">
        <v>0</v>
      </c>
      <c r="J21" s="14">
        <v>2</v>
      </c>
      <c r="K21" s="14">
        <v>45</v>
      </c>
      <c r="L21" s="14">
        <v>2</v>
      </c>
      <c r="M21" s="14">
        <v>0</v>
      </c>
      <c r="N21" s="14">
        <v>0</v>
      </c>
      <c r="O21" s="14">
        <v>0</v>
      </c>
      <c r="P21" s="14">
        <v>0</v>
      </c>
      <c r="Q21" s="14">
        <v>0</v>
      </c>
      <c r="R21" s="14">
        <v>0</v>
      </c>
      <c r="S21" s="14">
        <v>20.25</v>
      </c>
      <c r="T21" s="14">
        <v>1</v>
      </c>
      <c r="U21" s="14">
        <v>0</v>
      </c>
      <c r="V21" s="14">
        <v>21.3</v>
      </c>
      <c r="W21" s="15">
        <v>222.5</v>
      </c>
      <c r="X21" s="15">
        <v>0</v>
      </c>
      <c r="Y21" s="14">
        <v>2</v>
      </c>
      <c r="Z21" s="14">
        <v>0</v>
      </c>
      <c r="AA21" s="15">
        <v>0</v>
      </c>
      <c r="AB21" s="15">
        <v>162.5</v>
      </c>
      <c r="AC21" s="15">
        <v>9.75</v>
      </c>
      <c r="AD21" s="15">
        <v>9.75</v>
      </c>
      <c r="AE21" s="15">
        <v>140.25</v>
      </c>
      <c r="AF21" s="15">
        <v>172.25</v>
      </c>
      <c r="AG21" s="15">
        <v>232.25</v>
      </c>
      <c r="AH21" s="15">
        <v>92</v>
      </c>
      <c r="AI21" s="15">
        <v>140.25</v>
      </c>
      <c r="AJ21" s="15">
        <v>172.25</v>
      </c>
      <c r="AK21" s="15">
        <v>232.25</v>
      </c>
      <c r="AL21" s="15">
        <v>92</v>
      </c>
      <c r="AM21" s="14">
        <v>0</v>
      </c>
      <c r="AN21" s="14">
        <v>1</v>
      </c>
      <c r="AO21" s="14">
        <v>1</v>
      </c>
      <c r="AP21" s="14">
        <v>0</v>
      </c>
      <c r="AQ21" s="14">
        <v>0</v>
      </c>
      <c r="AR21" s="14">
        <v>0</v>
      </c>
      <c r="AS21" s="14">
        <v>0</v>
      </c>
      <c r="AT21" s="14">
        <v>45</v>
      </c>
      <c r="AU21" s="14">
        <v>45</v>
      </c>
      <c r="AV21" s="14">
        <v>0</v>
      </c>
      <c r="AW21" s="14">
        <v>0</v>
      </c>
      <c r="AX21" s="14">
        <v>20.25</v>
      </c>
      <c r="AY21" s="14">
        <v>20.25</v>
      </c>
      <c r="AZ21" s="14">
        <v>0</v>
      </c>
      <c r="BA21" s="14">
        <v>0</v>
      </c>
      <c r="BB21" s="14">
        <v>1</v>
      </c>
      <c r="BC21" s="14">
        <v>1</v>
      </c>
      <c r="BD21" s="14">
        <v>0</v>
      </c>
      <c r="BE21" s="14">
        <v>0</v>
      </c>
      <c r="BF21" s="14">
        <v>0</v>
      </c>
    </row>
    <row r="22" spans="1:58" ht="16">
      <c r="A22" s="14" t="s">
        <v>17214</v>
      </c>
      <c r="B22" s="14" t="s">
        <v>17215</v>
      </c>
      <c r="C22" s="14">
        <v>1</v>
      </c>
      <c r="D22" s="14">
        <v>2</v>
      </c>
      <c r="E22" s="14">
        <v>2</v>
      </c>
      <c r="F22" s="14">
        <v>2</v>
      </c>
      <c r="G22" s="14">
        <v>2</v>
      </c>
      <c r="H22" s="14">
        <v>2</v>
      </c>
      <c r="I22" s="14">
        <v>2</v>
      </c>
      <c r="J22" s="14">
        <v>2</v>
      </c>
      <c r="K22" s="14">
        <v>15</v>
      </c>
      <c r="L22" s="14">
        <v>2</v>
      </c>
      <c r="M22" s="14">
        <v>0</v>
      </c>
      <c r="N22" s="14">
        <v>0</v>
      </c>
      <c r="O22" s="14">
        <v>0</v>
      </c>
      <c r="P22" s="14">
        <v>0</v>
      </c>
      <c r="Q22" s="14">
        <v>0</v>
      </c>
      <c r="R22" s="14">
        <v>0</v>
      </c>
      <c r="S22" s="14">
        <v>16</v>
      </c>
      <c r="T22" s="14">
        <v>10</v>
      </c>
      <c r="U22" s="14">
        <v>6</v>
      </c>
      <c r="V22" s="14">
        <v>32</v>
      </c>
      <c r="W22" s="15">
        <v>180</v>
      </c>
      <c r="X22" s="15">
        <v>0</v>
      </c>
      <c r="Y22" s="14">
        <v>1</v>
      </c>
      <c r="Z22" s="14">
        <v>0</v>
      </c>
      <c r="AA22" s="15">
        <v>0</v>
      </c>
      <c r="AB22" s="15">
        <v>150</v>
      </c>
      <c r="AC22" s="15">
        <v>0</v>
      </c>
      <c r="AD22" s="15">
        <v>0</v>
      </c>
      <c r="AE22" s="15">
        <v>0</v>
      </c>
      <c r="AF22" s="15">
        <v>150</v>
      </c>
      <c r="AG22" s="15">
        <v>300</v>
      </c>
      <c r="AH22" s="15">
        <v>300</v>
      </c>
      <c r="AI22" s="15">
        <v>0</v>
      </c>
      <c r="AJ22" s="15">
        <v>150</v>
      </c>
      <c r="AK22" s="15">
        <v>300</v>
      </c>
      <c r="AL22" s="15">
        <v>300</v>
      </c>
      <c r="AM22" s="14">
        <v>2</v>
      </c>
      <c r="AN22" s="14">
        <v>0</v>
      </c>
      <c r="AO22" s="14">
        <v>0</v>
      </c>
      <c r="AP22" s="14">
        <v>0</v>
      </c>
      <c r="AQ22" s="14">
        <v>0</v>
      </c>
      <c r="AR22" s="14">
        <v>0</v>
      </c>
      <c r="AS22" s="14">
        <v>0</v>
      </c>
      <c r="AT22" s="14">
        <v>15</v>
      </c>
      <c r="AU22" s="14">
        <v>2</v>
      </c>
      <c r="AV22" s="14">
        <v>0</v>
      </c>
      <c r="AW22" s="14">
        <v>11</v>
      </c>
      <c r="AX22" s="14">
        <v>16</v>
      </c>
      <c r="AY22" s="14">
        <v>6</v>
      </c>
      <c r="AZ22" s="14">
        <v>0</v>
      </c>
      <c r="BA22" s="14">
        <v>0</v>
      </c>
      <c r="BB22" s="14">
        <v>10</v>
      </c>
      <c r="BC22" s="14">
        <v>10</v>
      </c>
      <c r="BD22" s="14">
        <v>0</v>
      </c>
      <c r="BE22" s="14">
        <v>10</v>
      </c>
      <c r="BF22" s="14">
        <v>0</v>
      </c>
    </row>
    <row r="23" spans="1:58" ht="16">
      <c r="A23" s="14" t="s">
        <v>16884</v>
      </c>
      <c r="B23" s="14" t="s">
        <v>16885</v>
      </c>
      <c r="C23" s="14">
        <v>0</v>
      </c>
      <c r="D23" s="14">
        <v>22</v>
      </c>
      <c r="E23" s="14">
        <v>19</v>
      </c>
      <c r="F23" s="14">
        <v>19</v>
      </c>
      <c r="G23" s="14">
        <v>8</v>
      </c>
      <c r="H23" s="14">
        <v>0</v>
      </c>
      <c r="I23" s="14">
        <v>0</v>
      </c>
      <c r="J23" s="14">
        <v>19</v>
      </c>
      <c r="K23" s="14">
        <v>227</v>
      </c>
      <c r="L23" s="14">
        <v>9</v>
      </c>
      <c r="M23" s="14">
        <v>1</v>
      </c>
      <c r="N23" s="14">
        <v>1</v>
      </c>
      <c r="O23" s="14">
        <v>5</v>
      </c>
      <c r="P23" s="14">
        <v>3</v>
      </c>
      <c r="Q23" s="14">
        <v>2</v>
      </c>
      <c r="R23" s="14">
        <v>0</v>
      </c>
      <c r="S23" s="14">
        <v>23.75</v>
      </c>
      <c r="T23" s="14">
        <v>10.75</v>
      </c>
      <c r="U23" s="14">
        <v>0.25</v>
      </c>
      <c r="V23" s="14">
        <v>34.799999999999997</v>
      </c>
      <c r="W23" s="15">
        <v>452.5</v>
      </c>
      <c r="X23" s="15">
        <v>0</v>
      </c>
      <c r="Y23" s="14">
        <v>12</v>
      </c>
      <c r="Z23" s="14">
        <v>0</v>
      </c>
      <c r="AA23" s="15">
        <v>0</v>
      </c>
      <c r="AB23" s="15">
        <v>127.5</v>
      </c>
      <c r="AC23" s="15">
        <v>156.5</v>
      </c>
      <c r="AD23" s="15">
        <v>156.5</v>
      </c>
      <c r="AE23" s="15">
        <v>133</v>
      </c>
      <c r="AF23" s="15">
        <v>284</v>
      </c>
      <c r="AG23" s="15">
        <v>614</v>
      </c>
      <c r="AH23" s="15">
        <v>481</v>
      </c>
      <c r="AI23" s="15">
        <v>0</v>
      </c>
      <c r="AJ23" s="15">
        <v>0</v>
      </c>
      <c r="AK23" s="15">
        <v>0</v>
      </c>
      <c r="AL23" s="15">
        <v>0</v>
      </c>
      <c r="AM23" s="14">
        <v>2</v>
      </c>
      <c r="AN23" s="14">
        <v>2</v>
      </c>
      <c r="AO23" s="14">
        <v>1</v>
      </c>
      <c r="AP23" s="14">
        <v>0</v>
      </c>
      <c r="AQ23" s="14">
        <v>0</v>
      </c>
      <c r="AR23" s="14">
        <v>0</v>
      </c>
      <c r="AS23" s="14">
        <v>0</v>
      </c>
      <c r="AT23" s="14">
        <v>227</v>
      </c>
      <c r="AU23" s="14">
        <v>0</v>
      </c>
      <c r="AV23" s="14">
        <v>227</v>
      </c>
      <c r="AW23" s="14">
        <v>0</v>
      </c>
      <c r="AX23" s="14">
        <v>23.75</v>
      </c>
      <c r="AY23" s="14">
        <v>0</v>
      </c>
      <c r="AZ23" s="14">
        <v>23.75</v>
      </c>
      <c r="BA23" s="14">
        <v>0</v>
      </c>
      <c r="BB23" s="14">
        <v>10.75</v>
      </c>
      <c r="BC23" s="14">
        <v>0</v>
      </c>
      <c r="BD23" s="14">
        <v>10.75</v>
      </c>
      <c r="BE23" s="14">
        <v>0</v>
      </c>
      <c r="BF23" s="14">
        <v>122</v>
      </c>
    </row>
    <row r="24" spans="1:58" ht="16">
      <c r="A24" s="14" t="s">
        <v>17352</v>
      </c>
      <c r="B24" s="14" t="s">
        <v>17353</v>
      </c>
      <c r="C24" s="14">
        <v>0</v>
      </c>
      <c r="D24" s="14">
        <v>11</v>
      </c>
      <c r="E24" s="14">
        <v>8</v>
      </c>
      <c r="F24" s="14">
        <v>7</v>
      </c>
      <c r="G24" s="14">
        <v>0</v>
      </c>
      <c r="H24" s="14">
        <v>0</v>
      </c>
      <c r="I24" s="14">
        <v>0</v>
      </c>
      <c r="J24" s="14">
        <v>11</v>
      </c>
      <c r="K24" s="14">
        <v>130</v>
      </c>
      <c r="L24" s="14">
        <v>10</v>
      </c>
      <c r="M24" s="14">
        <v>1</v>
      </c>
      <c r="N24" s="14">
        <v>0</v>
      </c>
      <c r="O24" s="14">
        <v>0</v>
      </c>
      <c r="P24" s="14">
        <v>0</v>
      </c>
      <c r="Q24" s="14">
        <v>0</v>
      </c>
      <c r="R24" s="14">
        <v>0</v>
      </c>
      <c r="S24" s="14">
        <v>1.25</v>
      </c>
      <c r="T24" s="14">
        <v>0.25</v>
      </c>
      <c r="U24" s="14">
        <v>0</v>
      </c>
      <c r="V24" s="14">
        <v>1.5</v>
      </c>
      <c r="W24" s="15">
        <v>17.5</v>
      </c>
      <c r="X24" s="15">
        <v>0</v>
      </c>
      <c r="Y24" s="14">
        <v>4</v>
      </c>
      <c r="Z24" s="14">
        <v>0</v>
      </c>
      <c r="AA24" s="15">
        <v>0</v>
      </c>
      <c r="AB24" s="15">
        <v>0</v>
      </c>
      <c r="AC24" s="15">
        <v>0</v>
      </c>
      <c r="AD24" s="15">
        <v>0</v>
      </c>
      <c r="AE24" s="15">
        <v>0</v>
      </c>
      <c r="AF24" s="15">
        <v>0</v>
      </c>
      <c r="AG24" s="15">
        <v>17.5</v>
      </c>
      <c r="AH24" s="15">
        <v>17.5</v>
      </c>
      <c r="AI24" s="15">
        <v>0</v>
      </c>
      <c r="AJ24" s="15">
        <v>0</v>
      </c>
      <c r="AK24" s="15">
        <v>0</v>
      </c>
      <c r="AL24" s="15">
        <v>0</v>
      </c>
      <c r="AM24" s="14">
        <v>0</v>
      </c>
      <c r="AN24" s="14">
        <v>0</v>
      </c>
      <c r="AO24" s="14">
        <v>0</v>
      </c>
      <c r="AP24" s="14">
        <v>0</v>
      </c>
      <c r="AQ24" s="14">
        <v>0</v>
      </c>
      <c r="AR24" s="14">
        <v>0</v>
      </c>
      <c r="AS24" s="14">
        <v>0</v>
      </c>
      <c r="AT24" s="14">
        <v>130</v>
      </c>
      <c r="AU24" s="14">
        <v>0</v>
      </c>
      <c r="AV24" s="14">
        <v>130</v>
      </c>
      <c r="AW24" s="14">
        <v>0</v>
      </c>
      <c r="AX24" s="14">
        <v>1.25</v>
      </c>
      <c r="AY24" s="14">
        <v>0</v>
      </c>
      <c r="AZ24" s="14">
        <v>1.25</v>
      </c>
      <c r="BA24" s="14">
        <v>0</v>
      </c>
      <c r="BB24" s="14">
        <v>0.25</v>
      </c>
      <c r="BC24" s="14">
        <v>0</v>
      </c>
      <c r="BD24" s="14">
        <v>0.25</v>
      </c>
      <c r="BE24" s="14">
        <v>0</v>
      </c>
      <c r="BF24" s="14">
        <v>6</v>
      </c>
    </row>
    <row r="25" spans="1:58" ht="16">
      <c r="A25" s="14" t="s">
        <v>17216</v>
      </c>
      <c r="B25" s="14" t="s">
        <v>17217</v>
      </c>
      <c r="C25" s="14">
        <v>0</v>
      </c>
      <c r="D25" s="14">
        <v>14</v>
      </c>
      <c r="E25" s="14">
        <v>14</v>
      </c>
      <c r="F25" s="14">
        <v>6</v>
      </c>
      <c r="G25" s="14">
        <v>8</v>
      </c>
      <c r="H25" s="14">
        <v>6</v>
      </c>
      <c r="I25" s="14">
        <v>2</v>
      </c>
      <c r="J25" s="14">
        <v>14</v>
      </c>
      <c r="K25" s="14">
        <v>262</v>
      </c>
      <c r="L25" s="14">
        <v>3</v>
      </c>
      <c r="M25" s="14">
        <v>1</v>
      </c>
      <c r="N25" s="14">
        <v>2</v>
      </c>
      <c r="O25" s="14">
        <v>0</v>
      </c>
      <c r="P25" s="14">
        <v>0</v>
      </c>
      <c r="Q25" s="14">
        <v>8</v>
      </c>
      <c r="R25" s="14">
        <v>0</v>
      </c>
      <c r="S25" s="14">
        <v>190.75</v>
      </c>
      <c r="T25" s="14">
        <v>193.5</v>
      </c>
      <c r="U25" s="14">
        <v>0</v>
      </c>
      <c r="V25" s="14">
        <v>384.3</v>
      </c>
      <c r="W25" s="15">
        <v>5777.5</v>
      </c>
      <c r="X25" s="15">
        <v>0</v>
      </c>
      <c r="Y25" s="14">
        <v>9</v>
      </c>
      <c r="Z25" s="14">
        <v>2</v>
      </c>
      <c r="AA25" s="15">
        <v>0</v>
      </c>
      <c r="AB25" s="15">
        <v>5475</v>
      </c>
      <c r="AC25" s="15">
        <v>459.75</v>
      </c>
      <c r="AD25" s="15">
        <v>455.25</v>
      </c>
      <c r="AE25" s="15">
        <v>1025</v>
      </c>
      <c r="AF25" s="15">
        <v>5930.25</v>
      </c>
      <c r="AG25" s="15">
        <v>6237.25</v>
      </c>
      <c r="AH25" s="15">
        <v>5212.25</v>
      </c>
      <c r="AI25" s="15">
        <v>975</v>
      </c>
      <c r="AJ25" s="15">
        <v>5789.5</v>
      </c>
      <c r="AK25" s="15">
        <v>5942</v>
      </c>
      <c r="AL25" s="15">
        <v>4967</v>
      </c>
      <c r="AM25" s="14">
        <v>2</v>
      </c>
      <c r="AN25" s="14">
        <v>2</v>
      </c>
      <c r="AO25" s="14">
        <v>0</v>
      </c>
      <c r="AP25" s="14">
        <v>1</v>
      </c>
      <c r="AQ25" s="14">
        <v>1</v>
      </c>
      <c r="AR25" s="14">
        <v>0</v>
      </c>
      <c r="AS25" s="14">
        <v>0</v>
      </c>
      <c r="AT25" s="14">
        <v>262</v>
      </c>
      <c r="AU25" s="14">
        <v>179</v>
      </c>
      <c r="AV25" s="14">
        <v>83</v>
      </c>
      <c r="AW25" s="14">
        <v>0</v>
      </c>
      <c r="AX25" s="14">
        <v>190.75</v>
      </c>
      <c r="AY25" s="14">
        <v>183.25</v>
      </c>
      <c r="AZ25" s="14">
        <v>7.5</v>
      </c>
      <c r="BA25" s="14">
        <v>0</v>
      </c>
      <c r="BB25" s="14">
        <v>193.5</v>
      </c>
      <c r="BC25" s="14">
        <v>187</v>
      </c>
      <c r="BD25" s="14">
        <v>6.5</v>
      </c>
      <c r="BE25" s="14">
        <v>0</v>
      </c>
      <c r="BF25" s="14">
        <v>14</v>
      </c>
    </row>
    <row r="26" spans="1:58" ht="16">
      <c r="A26" s="14" t="s">
        <v>17218</v>
      </c>
      <c r="B26" s="14" t="s">
        <v>18786</v>
      </c>
      <c r="C26" s="14">
        <v>0</v>
      </c>
      <c r="D26" s="14">
        <v>20</v>
      </c>
      <c r="E26" s="14">
        <v>19</v>
      </c>
      <c r="F26" s="14">
        <v>18</v>
      </c>
      <c r="G26" s="14">
        <v>1</v>
      </c>
      <c r="H26" s="14">
        <v>5</v>
      </c>
      <c r="I26" s="14">
        <v>3</v>
      </c>
      <c r="J26" s="14">
        <v>20</v>
      </c>
      <c r="K26" s="14">
        <v>304</v>
      </c>
      <c r="L26" s="14">
        <v>7</v>
      </c>
      <c r="M26" s="14">
        <v>4</v>
      </c>
      <c r="N26" s="14">
        <v>7</v>
      </c>
      <c r="O26" s="14">
        <v>1</v>
      </c>
      <c r="P26" s="14">
        <v>1</v>
      </c>
      <c r="Q26" s="14">
        <v>0</v>
      </c>
      <c r="R26" s="14">
        <v>0</v>
      </c>
      <c r="S26" s="14">
        <v>31.25</v>
      </c>
      <c r="T26" s="14">
        <v>8.5</v>
      </c>
      <c r="U26" s="14">
        <v>0</v>
      </c>
      <c r="V26" s="14">
        <v>39.799999999999997</v>
      </c>
      <c r="W26" s="15">
        <v>482.5</v>
      </c>
      <c r="X26" s="15">
        <v>0</v>
      </c>
      <c r="Y26" s="14">
        <v>7</v>
      </c>
      <c r="Z26" s="14">
        <v>2</v>
      </c>
      <c r="AA26" s="15">
        <v>0</v>
      </c>
      <c r="AB26" s="15">
        <v>287.5</v>
      </c>
      <c r="AC26" s="15">
        <v>240.45</v>
      </c>
      <c r="AD26" s="15">
        <v>240.45</v>
      </c>
      <c r="AE26" s="15">
        <v>0</v>
      </c>
      <c r="AF26" s="15">
        <v>527.95000000000005</v>
      </c>
      <c r="AG26" s="15">
        <v>722.95</v>
      </c>
      <c r="AH26" s="15">
        <v>722.95</v>
      </c>
      <c r="AI26" s="15">
        <v>0</v>
      </c>
      <c r="AJ26" s="15">
        <v>270</v>
      </c>
      <c r="AK26" s="15">
        <v>330</v>
      </c>
      <c r="AL26" s="15">
        <v>330</v>
      </c>
      <c r="AM26" s="14">
        <v>0</v>
      </c>
      <c r="AN26" s="14">
        <v>0</v>
      </c>
      <c r="AO26" s="14">
        <v>0</v>
      </c>
      <c r="AP26" s="14">
        <v>0</v>
      </c>
      <c r="AQ26" s="14">
        <v>0</v>
      </c>
      <c r="AR26" s="14">
        <v>0</v>
      </c>
      <c r="AS26" s="14">
        <v>0</v>
      </c>
      <c r="AT26" s="14">
        <v>304</v>
      </c>
      <c r="AU26" s="14">
        <v>178</v>
      </c>
      <c r="AV26" s="14">
        <v>126</v>
      </c>
      <c r="AW26" s="14">
        <v>0</v>
      </c>
      <c r="AX26" s="14">
        <v>31.25</v>
      </c>
      <c r="AY26" s="14">
        <v>25</v>
      </c>
      <c r="AZ26" s="14">
        <v>6.25</v>
      </c>
      <c r="BA26" s="14">
        <v>0</v>
      </c>
      <c r="BB26" s="14">
        <v>8.5</v>
      </c>
      <c r="BC26" s="14">
        <v>4</v>
      </c>
      <c r="BD26" s="14">
        <v>4.5</v>
      </c>
      <c r="BE26" s="14">
        <v>0</v>
      </c>
      <c r="BF26" s="14">
        <v>60</v>
      </c>
    </row>
    <row r="27" spans="1:58" ht="16">
      <c r="A27" s="14" t="s">
        <v>16886</v>
      </c>
      <c r="B27" s="14" t="s">
        <v>18787</v>
      </c>
      <c r="C27" s="14">
        <v>24</v>
      </c>
      <c r="D27" s="14">
        <v>24</v>
      </c>
      <c r="E27" s="14">
        <v>24</v>
      </c>
      <c r="F27" s="14">
        <v>23</v>
      </c>
      <c r="G27" s="14">
        <v>5</v>
      </c>
      <c r="H27" s="14">
        <v>1</v>
      </c>
      <c r="I27" s="14">
        <v>0</v>
      </c>
      <c r="J27" s="14">
        <v>24</v>
      </c>
      <c r="K27" s="14">
        <v>421</v>
      </c>
      <c r="L27" s="14">
        <v>14</v>
      </c>
      <c r="M27" s="14">
        <v>3</v>
      </c>
      <c r="N27" s="14">
        <v>2</v>
      </c>
      <c r="O27" s="14">
        <v>0</v>
      </c>
      <c r="P27" s="14">
        <v>2</v>
      </c>
      <c r="Q27" s="14">
        <v>3</v>
      </c>
      <c r="R27" s="14">
        <v>0</v>
      </c>
      <c r="S27" s="14">
        <v>15</v>
      </c>
      <c r="T27" s="14">
        <v>3.25</v>
      </c>
      <c r="U27" s="14">
        <v>0</v>
      </c>
      <c r="V27" s="14">
        <v>18.3</v>
      </c>
      <c r="W27" s="15">
        <v>0</v>
      </c>
      <c r="X27" s="15">
        <v>7.5</v>
      </c>
      <c r="Y27" s="14">
        <v>0</v>
      </c>
      <c r="Z27" s="14">
        <v>0</v>
      </c>
      <c r="AA27" s="15">
        <v>0</v>
      </c>
      <c r="AB27" s="15">
        <v>0</v>
      </c>
      <c r="AC27" s="15">
        <v>634.24</v>
      </c>
      <c r="AD27" s="15">
        <v>634.24</v>
      </c>
      <c r="AE27" s="15">
        <v>244.74</v>
      </c>
      <c r="AF27" s="15">
        <v>634.24</v>
      </c>
      <c r="AG27" s="15">
        <v>641.74</v>
      </c>
      <c r="AH27" s="15">
        <v>407</v>
      </c>
      <c r="AI27" s="15">
        <v>0</v>
      </c>
      <c r="AJ27" s="15">
        <v>0</v>
      </c>
      <c r="AK27" s="15">
        <v>0</v>
      </c>
      <c r="AL27" s="15">
        <v>0</v>
      </c>
      <c r="AM27" s="14">
        <v>4</v>
      </c>
      <c r="AN27" s="14">
        <v>2</v>
      </c>
      <c r="AO27" s="14">
        <v>3</v>
      </c>
      <c r="AP27" s="14">
        <v>0</v>
      </c>
      <c r="AQ27" s="14">
        <v>0</v>
      </c>
      <c r="AR27" s="14">
        <v>0</v>
      </c>
      <c r="AS27" s="14">
        <v>0</v>
      </c>
      <c r="AT27" s="14">
        <v>421</v>
      </c>
      <c r="AU27" s="14">
        <v>43</v>
      </c>
      <c r="AV27" s="14">
        <v>0</v>
      </c>
      <c r="AW27" s="14">
        <v>421</v>
      </c>
      <c r="AX27" s="14">
        <v>15</v>
      </c>
      <c r="AY27" s="14">
        <v>0</v>
      </c>
      <c r="AZ27" s="14">
        <v>0</v>
      </c>
      <c r="BA27" s="14">
        <v>15</v>
      </c>
      <c r="BB27" s="14">
        <v>3.25</v>
      </c>
      <c r="BC27" s="14">
        <v>0</v>
      </c>
      <c r="BD27" s="14">
        <v>0</v>
      </c>
      <c r="BE27" s="14">
        <v>3.25</v>
      </c>
      <c r="BF27" s="14">
        <v>20</v>
      </c>
    </row>
    <row r="28" spans="1:58" ht="16">
      <c r="A28" s="14" t="s">
        <v>16887</v>
      </c>
      <c r="B28" s="14" t="s">
        <v>17354</v>
      </c>
      <c r="C28" s="14">
        <v>0</v>
      </c>
      <c r="D28" s="14">
        <v>3</v>
      </c>
      <c r="E28" s="14">
        <v>3</v>
      </c>
      <c r="F28" s="14">
        <v>2</v>
      </c>
      <c r="G28" s="14">
        <v>1</v>
      </c>
      <c r="H28" s="14">
        <v>0</v>
      </c>
      <c r="I28" s="14">
        <v>0</v>
      </c>
      <c r="J28" s="14">
        <v>3</v>
      </c>
      <c r="K28" s="14">
        <v>21</v>
      </c>
      <c r="L28" s="14">
        <v>1</v>
      </c>
      <c r="M28" s="14">
        <v>0</v>
      </c>
      <c r="N28" s="14">
        <v>1</v>
      </c>
      <c r="O28" s="14">
        <v>1</v>
      </c>
      <c r="P28" s="14">
        <v>0</v>
      </c>
      <c r="Q28" s="14">
        <v>0</v>
      </c>
      <c r="R28" s="14">
        <v>0</v>
      </c>
      <c r="S28" s="14">
        <v>4</v>
      </c>
      <c r="T28" s="14">
        <v>0.5</v>
      </c>
      <c r="U28" s="14">
        <v>3.25</v>
      </c>
      <c r="V28" s="14">
        <v>7.8</v>
      </c>
      <c r="W28" s="15">
        <v>50</v>
      </c>
      <c r="X28" s="15">
        <v>0</v>
      </c>
      <c r="Y28" s="14">
        <v>2</v>
      </c>
      <c r="Z28" s="14">
        <v>0</v>
      </c>
      <c r="AA28" s="15">
        <v>0</v>
      </c>
      <c r="AB28" s="15">
        <v>0</v>
      </c>
      <c r="AC28" s="15">
        <v>6.46</v>
      </c>
      <c r="AD28" s="15">
        <v>6.46</v>
      </c>
      <c r="AE28" s="15">
        <v>6.46</v>
      </c>
      <c r="AF28" s="15">
        <v>6.46</v>
      </c>
      <c r="AG28" s="15">
        <v>121.46</v>
      </c>
      <c r="AH28" s="15">
        <v>115</v>
      </c>
      <c r="AI28" s="15">
        <v>0</v>
      </c>
      <c r="AJ28" s="15">
        <v>0</v>
      </c>
      <c r="AK28" s="15">
        <v>0</v>
      </c>
      <c r="AL28" s="15">
        <v>0</v>
      </c>
      <c r="AM28" s="14">
        <v>0</v>
      </c>
      <c r="AN28" s="14">
        <v>1</v>
      </c>
      <c r="AO28" s="14">
        <v>0</v>
      </c>
      <c r="AP28" s="14">
        <v>0</v>
      </c>
      <c r="AQ28" s="14">
        <v>0</v>
      </c>
      <c r="AR28" s="14">
        <v>0</v>
      </c>
      <c r="AS28" s="14">
        <v>0</v>
      </c>
      <c r="AT28" s="14">
        <v>21</v>
      </c>
      <c r="AU28" s="14">
        <v>0</v>
      </c>
      <c r="AV28" s="14">
        <v>21</v>
      </c>
      <c r="AW28" s="14">
        <v>0</v>
      </c>
      <c r="AX28" s="14">
        <v>4</v>
      </c>
      <c r="AY28" s="14">
        <v>0</v>
      </c>
      <c r="AZ28" s="14">
        <v>4</v>
      </c>
      <c r="BA28" s="14">
        <v>0</v>
      </c>
      <c r="BB28" s="14">
        <v>0.5</v>
      </c>
      <c r="BC28" s="14">
        <v>0</v>
      </c>
      <c r="BD28" s="14">
        <v>0.5</v>
      </c>
      <c r="BE28" s="14">
        <v>0</v>
      </c>
      <c r="BF28" s="14">
        <v>5</v>
      </c>
    </row>
    <row r="29" spans="1:58" ht="16">
      <c r="A29" s="14" t="s">
        <v>17207</v>
      </c>
      <c r="B29" s="14" t="s">
        <v>17208</v>
      </c>
      <c r="C29" s="14">
        <v>19</v>
      </c>
      <c r="D29" s="14">
        <v>409</v>
      </c>
      <c r="E29" s="14">
        <v>409</v>
      </c>
      <c r="F29" s="14">
        <v>397</v>
      </c>
      <c r="G29" s="14">
        <v>14</v>
      </c>
      <c r="H29" s="14">
        <v>8</v>
      </c>
      <c r="I29" s="14">
        <v>13</v>
      </c>
      <c r="J29" s="14">
        <v>395</v>
      </c>
      <c r="K29" s="16">
        <v>6162</v>
      </c>
      <c r="L29" s="14">
        <v>358</v>
      </c>
      <c r="M29" s="14">
        <v>11</v>
      </c>
      <c r="N29" s="14">
        <v>0</v>
      </c>
      <c r="O29" s="14">
        <v>23</v>
      </c>
      <c r="P29" s="14">
        <v>3</v>
      </c>
      <c r="Q29" s="14">
        <v>0</v>
      </c>
      <c r="R29" s="14">
        <v>0</v>
      </c>
      <c r="S29" s="14">
        <v>134.58000000000001</v>
      </c>
      <c r="T29" s="14">
        <v>49.75</v>
      </c>
      <c r="U29" s="14">
        <v>0</v>
      </c>
      <c r="V29" s="14">
        <v>184.8</v>
      </c>
      <c r="W29" s="15">
        <v>2299.5</v>
      </c>
      <c r="X29" s="15">
        <v>0</v>
      </c>
      <c r="Y29" s="14">
        <v>365</v>
      </c>
      <c r="Z29" s="14">
        <v>0</v>
      </c>
      <c r="AA29" s="15">
        <v>-51.25</v>
      </c>
      <c r="AB29" s="15">
        <v>1762</v>
      </c>
      <c r="AC29" s="15">
        <v>1269.25</v>
      </c>
      <c r="AD29" s="15">
        <v>1269.25</v>
      </c>
      <c r="AE29" s="15">
        <v>1887.1</v>
      </c>
      <c r="AF29" s="15">
        <v>3031.25</v>
      </c>
      <c r="AG29" s="15">
        <v>3568.75</v>
      </c>
      <c r="AH29" s="15">
        <v>1861.45</v>
      </c>
      <c r="AI29" s="15">
        <v>168</v>
      </c>
      <c r="AJ29" s="15">
        <v>512.5</v>
      </c>
      <c r="AK29" s="15">
        <v>542.5</v>
      </c>
      <c r="AL29" s="15">
        <v>405</v>
      </c>
      <c r="AM29" s="14">
        <v>156</v>
      </c>
      <c r="AN29" s="14">
        <v>26</v>
      </c>
      <c r="AO29" s="14">
        <v>0</v>
      </c>
      <c r="AP29" s="14">
        <v>1</v>
      </c>
      <c r="AQ29" s="14">
        <v>0</v>
      </c>
      <c r="AR29" s="14">
        <v>1</v>
      </c>
      <c r="AS29" s="14">
        <v>0</v>
      </c>
      <c r="AT29" s="16">
        <v>6162</v>
      </c>
      <c r="AU29" s="14">
        <v>200</v>
      </c>
      <c r="AV29" s="16">
        <v>5490</v>
      </c>
      <c r="AW29" s="14">
        <v>472</v>
      </c>
      <c r="AX29" s="14">
        <v>134.57499999999999</v>
      </c>
      <c r="AY29" s="14">
        <v>16.25</v>
      </c>
      <c r="AZ29" s="14">
        <v>113.2</v>
      </c>
      <c r="BA29" s="14">
        <v>5.125</v>
      </c>
      <c r="BB29" s="14">
        <v>49.75</v>
      </c>
      <c r="BC29" s="14">
        <v>19</v>
      </c>
      <c r="BD29" s="14">
        <v>30.75</v>
      </c>
      <c r="BE29" s="14">
        <v>0</v>
      </c>
      <c r="BF29" s="16">
        <v>1133</v>
      </c>
    </row>
    <row r="30" spans="1:58" ht="16">
      <c r="A30" s="14" t="s">
        <v>17219</v>
      </c>
      <c r="B30" s="14" t="s">
        <v>18788</v>
      </c>
      <c r="C30" s="14">
        <v>3</v>
      </c>
      <c r="D30" s="14">
        <v>30</v>
      </c>
      <c r="E30" s="14">
        <v>0</v>
      </c>
      <c r="F30" s="14">
        <v>30</v>
      </c>
      <c r="G30" s="14">
        <v>0</v>
      </c>
      <c r="H30" s="14">
        <v>0</v>
      </c>
      <c r="I30" s="14">
        <v>0</v>
      </c>
      <c r="J30" s="14">
        <v>30</v>
      </c>
      <c r="K30" s="14">
        <v>144</v>
      </c>
      <c r="L30" s="14">
        <v>17</v>
      </c>
      <c r="M30" s="14">
        <v>5</v>
      </c>
      <c r="N30" s="14">
        <v>6</v>
      </c>
      <c r="O30" s="14">
        <v>1</v>
      </c>
      <c r="P30" s="14">
        <v>1</v>
      </c>
      <c r="Q30" s="14">
        <v>0</v>
      </c>
      <c r="R30" s="14">
        <v>0</v>
      </c>
      <c r="S30" s="14">
        <v>4.25</v>
      </c>
      <c r="T30" s="14">
        <v>4.5</v>
      </c>
      <c r="U30" s="14">
        <v>0</v>
      </c>
      <c r="V30" s="14">
        <v>8.8000000000000007</v>
      </c>
      <c r="W30" s="15">
        <v>110</v>
      </c>
      <c r="X30" s="15">
        <v>0</v>
      </c>
      <c r="Y30" s="14">
        <v>15</v>
      </c>
      <c r="Z30" s="14">
        <v>0</v>
      </c>
      <c r="AA30" s="15">
        <v>-22.5</v>
      </c>
      <c r="AB30" s="15">
        <v>0</v>
      </c>
      <c r="AC30" s="15">
        <v>129.5</v>
      </c>
      <c r="AD30" s="15">
        <v>129.5</v>
      </c>
      <c r="AE30" s="15">
        <v>79.5</v>
      </c>
      <c r="AF30" s="15">
        <v>129.5</v>
      </c>
      <c r="AG30" s="15">
        <v>239.5</v>
      </c>
      <c r="AH30" s="15">
        <v>160</v>
      </c>
      <c r="AI30" s="15">
        <v>0</v>
      </c>
      <c r="AJ30" s="15">
        <v>0</v>
      </c>
      <c r="AK30" s="15">
        <v>0</v>
      </c>
      <c r="AL30" s="15">
        <v>0</v>
      </c>
      <c r="AM30" s="14">
        <v>0</v>
      </c>
      <c r="AN30" s="14">
        <v>0</v>
      </c>
      <c r="AO30" s="14">
        <v>1</v>
      </c>
      <c r="AP30" s="14">
        <v>0</v>
      </c>
      <c r="AQ30" s="14">
        <v>0</v>
      </c>
      <c r="AR30" s="14">
        <v>0</v>
      </c>
      <c r="AS30" s="14">
        <v>0</v>
      </c>
      <c r="AT30" s="14">
        <v>144</v>
      </c>
      <c r="AU30" s="14">
        <v>0</v>
      </c>
      <c r="AV30" s="14">
        <v>141</v>
      </c>
      <c r="AW30" s="14">
        <v>3</v>
      </c>
      <c r="AX30" s="14">
        <v>4.25</v>
      </c>
      <c r="AY30" s="14">
        <v>0</v>
      </c>
      <c r="AZ30" s="14">
        <v>3.5</v>
      </c>
      <c r="BA30" s="14">
        <v>0.75</v>
      </c>
      <c r="BB30" s="14">
        <v>4.5</v>
      </c>
      <c r="BC30" s="14">
        <v>0</v>
      </c>
      <c r="BD30" s="14">
        <v>3.75</v>
      </c>
      <c r="BE30" s="14">
        <v>0.75</v>
      </c>
      <c r="BF30" s="14">
        <v>30</v>
      </c>
    </row>
    <row r="31" spans="1:58" ht="16">
      <c r="A31" s="14" t="s">
        <v>17219</v>
      </c>
      <c r="B31" s="14" t="s">
        <v>17220</v>
      </c>
      <c r="C31" s="14">
        <v>0</v>
      </c>
      <c r="D31" s="14">
        <v>42</v>
      </c>
      <c r="E31" s="14">
        <v>41</v>
      </c>
      <c r="F31" s="14">
        <v>41</v>
      </c>
      <c r="G31" s="14">
        <v>8</v>
      </c>
      <c r="H31" s="14">
        <v>10</v>
      </c>
      <c r="I31" s="14">
        <v>4</v>
      </c>
      <c r="J31" s="14">
        <v>24</v>
      </c>
      <c r="K31" s="14">
        <v>460</v>
      </c>
      <c r="L31" s="14">
        <v>10</v>
      </c>
      <c r="M31" s="14">
        <v>1</v>
      </c>
      <c r="N31" s="14">
        <v>1</v>
      </c>
      <c r="O31" s="14">
        <v>6</v>
      </c>
      <c r="P31" s="14">
        <v>0</v>
      </c>
      <c r="Q31" s="14">
        <v>9</v>
      </c>
      <c r="R31" s="14">
        <v>0</v>
      </c>
      <c r="S31" s="14">
        <v>0</v>
      </c>
      <c r="T31" s="14">
        <v>0</v>
      </c>
      <c r="U31" s="14">
        <v>0</v>
      </c>
      <c r="V31" s="14">
        <v>0</v>
      </c>
      <c r="W31" s="15">
        <v>0</v>
      </c>
      <c r="X31" s="15">
        <v>0</v>
      </c>
      <c r="Y31" s="14">
        <v>0</v>
      </c>
      <c r="Z31" s="14">
        <v>0</v>
      </c>
      <c r="AA31" s="15">
        <v>0</v>
      </c>
      <c r="AB31" s="15">
        <v>0</v>
      </c>
      <c r="AC31" s="15">
        <v>262</v>
      </c>
      <c r="AD31" s="15">
        <v>262</v>
      </c>
      <c r="AE31" s="15">
        <v>262</v>
      </c>
      <c r="AF31" s="15">
        <v>262</v>
      </c>
      <c r="AG31" s="15">
        <v>262</v>
      </c>
      <c r="AH31" s="15">
        <v>0</v>
      </c>
      <c r="AI31" s="15">
        <v>84</v>
      </c>
      <c r="AJ31" s="15">
        <v>84</v>
      </c>
      <c r="AK31" s="15">
        <v>84</v>
      </c>
      <c r="AL31" s="15">
        <v>0</v>
      </c>
      <c r="AM31" s="14">
        <v>3</v>
      </c>
      <c r="AN31" s="14">
        <v>5</v>
      </c>
      <c r="AO31" s="14">
        <v>2</v>
      </c>
      <c r="AP31" s="14">
        <v>0</v>
      </c>
      <c r="AQ31" s="14">
        <v>0</v>
      </c>
      <c r="AR31" s="14">
        <v>0</v>
      </c>
      <c r="AS31" s="14">
        <v>0</v>
      </c>
      <c r="AT31" s="14">
        <v>460</v>
      </c>
      <c r="AU31" s="14">
        <v>320</v>
      </c>
      <c r="AV31" s="14">
        <v>140</v>
      </c>
      <c r="AW31" s="14">
        <v>0</v>
      </c>
      <c r="AX31" s="14">
        <v>0</v>
      </c>
      <c r="AY31" s="14">
        <v>0</v>
      </c>
      <c r="AZ31" s="14">
        <v>0</v>
      </c>
      <c r="BA31" s="14">
        <v>0</v>
      </c>
      <c r="BB31" s="14">
        <v>0</v>
      </c>
      <c r="BC31" s="14">
        <v>0</v>
      </c>
      <c r="BD31" s="14">
        <v>0</v>
      </c>
      <c r="BE31" s="14">
        <v>0</v>
      </c>
      <c r="BF31" s="16">
        <v>33500</v>
      </c>
    </row>
    <row r="32" spans="1:58" ht="16">
      <c r="A32" s="14" t="s">
        <v>17209</v>
      </c>
      <c r="B32" s="14" t="s">
        <v>18789</v>
      </c>
      <c r="C32" s="14">
        <v>0</v>
      </c>
      <c r="D32" s="14">
        <v>5</v>
      </c>
      <c r="E32" s="14">
        <v>5</v>
      </c>
      <c r="F32" s="14">
        <v>4</v>
      </c>
      <c r="G32" s="14">
        <v>0</v>
      </c>
      <c r="H32" s="14">
        <v>0</v>
      </c>
      <c r="I32" s="14">
        <v>0</v>
      </c>
      <c r="J32" s="14">
        <v>3</v>
      </c>
      <c r="K32" s="14">
        <v>18</v>
      </c>
      <c r="L32" s="14">
        <v>0</v>
      </c>
      <c r="M32" s="14">
        <v>2</v>
      </c>
      <c r="N32" s="14">
        <v>0</v>
      </c>
      <c r="O32" s="14">
        <v>2</v>
      </c>
      <c r="P32" s="14">
        <v>0</v>
      </c>
      <c r="Q32" s="14">
        <v>0</v>
      </c>
      <c r="R32" s="14">
        <v>0</v>
      </c>
      <c r="S32" s="14">
        <v>7.75</v>
      </c>
      <c r="T32" s="14">
        <v>9</v>
      </c>
      <c r="U32" s="14">
        <v>4</v>
      </c>
      <c r="V32" s="14">
        <v>20.8</v>
      </c>
      <c r="W32" s="15">
        <v>257.5</v>
      </c>
      <c r="X32" s="15">
        <v>0</v>
      </c>
      <c r="Y32" s="14">
        <v>5</v>
      </c>
      <c r="Z32" s="14">
        <v>0</v>
      </c>
      <c r="AA32" s="15">
        <v>0</v>
      </c>
      <c r="AB32" s="15">
        <v>160</v>
      </c>
      <c r="AC32" s="15">
        <v>73.5</v>
      </c>
      <c r="AD32" s="15">
        <v>73.5</v>
      </c>
      <c r="AE32" s="15">
        <v>0</v>
      </c>
      <c r="AF32" s="15">
        <v>233.5</v>
      </c>
      <c r="AG32" s="15">
        <v>411</v>
      </c>
      <c r="AH32" s="15">
        <v>411</v>
      </c>
      <c r="AI32" s="15">
        <v>0</v>
      </c>
      <c r="AJ32" s="15">
        <v>0</v>
      </c>
      <c r="AK32" s="15">
        <v>0</v>
      </c>
      <c r="AL32" s="15">
        <v>0</v>
      </c>
      <c r="AM32" s="14">
        <v>0</v>
      </c>
      <c r="AN32" s="14">
        <v>0</v>
      </c>
      <c r="AO32" s="14">
        <v>0</v>
      </c>
      <c r="AP32" s="14">
        <v>0</v>
      </c>
      <c r="AQ32" s="14">
        <v>0</v>
      </c>
      <c r="AR32" s="14">
        <v>0</v>
      </c>
      <c r="AS32" s="14">
        <v>0</v>
      </c>
      <c r="AT32" s="14">
        <v>18</v>
      </c>
      <c r="AU32" s="14">
        <v>0</v>
      </c>
      <c r="AV32" s="14">
        <v>18</v>
      </c>
      <c r="AW32" s="14">
        <v>0</v>
      </c>
      <c r="AX32" s="14">
        <v>7.75</v>
      </c>
      <c r="AY32" s="14">
        <v>0</v>
      </c>
      <c r="AZ32" s="14">
        <v>7.75</v>
      </c>
      <c r="BA32" s="14">
        <v>0</v>
      </c>
      <c r="BB32" s="14">
        <v>9</v>
      </c>
      <c r="BC32" s="14">
        <v>0</v>
      </c>
      <c r="BD32" s="14">
        <v>9</v>
      </c>
      <c r="BE32" s="14">
        <v>0</v>
      </c>
      <c r="BF32" s="14">
        <v>3</v>
      </c>
    </row>
    <row r="33" spans="1:58" ht="16">
      <c r="A33" s="14" t="s">
        <v>16888</v>
      </c>
      <c r="B33" s="14" t="s">
        <v>17350</v>
      </c>
      <c r="C33" s="14">
        <v>1</v>
      </c>
      <c r="D33" s="14">
        <v>3</v>
      </c>
      <c r="E33" s="14">
        <v>3</v>
      </c>
      <c r="F33" s="14">
        <v>1</v>
      </c>
      <c r="G33" s="14">
        <v>0</v>
      </c>
      <c r="H33" s="14">
        <v>3</v>
      </c>
      <c r="I33" s="14">
        <v>0</v>
      </c>
      <c r="J33" s="14">
        <v>3</v>
      </c>
      <c r="K33" s="14">
        <v>42</v>
      </c>
      <c r="L33" s="14">
        <v>1</v>
      </c>
      <c r="M33" s="14">
        <v>0</v>
      </c>
      <c r="N33" s="14">
        <v>1</v>
      </c>
      <c r="O33" s="14">
        <v>1</v>
      </c>
      <c r="P33" s="14">
        <v>0</v>
      </c>
      <c r="Q33" s="14">
        <v>0</v>
      </c>
      <c r="R33" s="14">
        <v>0</v>
      </c>
      <c r="S33" s="14">
        <v>3</v>
      </c>
      <c r="T33" s="14">
        <v>2</v>
      </c>
      <c r="U33" s="14">
        <v>0</v>
      </c>
      <c r="V33" s="14">
        <v>5</v>
      </c>
      <c r="W33" s="15">
        <v>70</v>
      </c>
      <c r="X33" s="15">
        <v>0</v>
      </c>
      <c r="Y33" s="14">
        <v>0</v>
      </c>
      <c r="Z33" s="14">
        <v>1</v>
      </c>
      <c r="AA33" s="15">
        <v>0</v>
      </c>
      <c r="AB33" s="15">
        <v>10</v>
      </c>
      <c r="AC33" s="15">
        <v>30</v>
      </c>
      <c r="AD33" s="15">
        <v>30</v>
      </c>
      <c r="AE33" s="15">
        <v>0</v>
      </c>
      <c r="AF33" s="15">
        <v>40</v>
      </c>
      <c r="AG33" s="15">
        <v>100</v>
      </c>
      <c r="AH33" s="15">
        <v>100</v>
      </c>
      <c r="AI33" s="15">
        <v>0</v>
      </c>
      <c r="AJ33" s="15">
        <v>40</v>
      </c>
      <c r="AK33" s="15">
        <v>100</v>
      </c>
      <c r="AL33" s="15">
        <v>100</v>
      </c>
      <c r="AM33" s="14">
        <v>0</v>
      </c>
      <c r="AN33" s="14">
        <v>0</v>
      </c>
      <c r="AO33" s="14">
        <v>0</v>
      </c>
      <c r="AP33" s="14">
        <v>0</v>
      </c>
      <c r="AQ33" s="14">
        <v>0</v>
      </c>
      <c r="AR33" s="14">
        <v>0</v>
      </c>
      <c r="AS33" s="14">
        <v>0</v>
      </c>
      <c r="AT33" s="14">
        <v>42</v>
      </c>
      <c r="AU33" s="14">
        <v>42</v>
      </c>
      <c r="AV33" s="14">
        <v>0</v>
      </c>
      <c r="AW33" s="14">
        <v>11</v>
      </c>
      <c r="AX33" s="14">
        <v>3</v>
      </c>
      <c r="AY33" s="14">
        <v>3</v>
      </c>
      <c r="AZ33" s="14">
        <v>0</v>
      </c>
      <c r="BA33" s="14">
        <v>0</v>
      </c>
      <c r="BB33" s="14">
        <v>2</v>
      </c>
      <c r="BC33" s="14">
        <v>2</v>
      </c>
      <c r="BD33" s="14">
        <v>0</v>
      </c>
      <c r="BE33" s="14">
        <v>0</v>
      </c>
      <c r="BF33" s="14">
        <v>0</v>
      </c>
    </row>
    <row r="34" spans="1:58" ht="16">
      <c r="A34" s="14" t="s">
        <v>18790</v>
      </c>
      <c r="B34" s="14" t="s">
        <v>17356</v>
      </c>
      <c r="C34" s="14">
        <v>0</v>
      </c>
      <c r="D34" s="14">
        <v>21</v>
      </c>
      <c r="E34" s="14">
        <v>21</v>
      </c>
      <c r="F34" s="14">
        <v>19</v>
      </c>
      <c r="G34" s="14">
        <v>1</v>
      </c>
      <c r="H34" s="14">
        <v>1</v>
      </c>
      <c r="I34" s="14">
        <v>0</v>
      </c>
      <c r="J34" s="14">
        <v>21</v>
      </c>
      <c r="K34" s="14">
        <v>287</v>
      </c>
      <c r="L34" s="14">
        <v>5</v>
      </c>
      <c r="M34" s="14">
        <v>1</v>
      </c>
      <c r="N34" s="14">
        <v>1</v>
      </c>
      <c r="O34" s="14">
        <v>8</v>
      </c>
      <c r="P34" s="14">
        <v>1</v>
      </c>
      <c r="Q34" s="14">
        <v>4</v>
      </c>
      <c r="R34" s="14">
        <v>0</v>
      </c>
      <c r="S34" s="14">
        <v>16</v>
      </c>
      <c r="T34" s="14">
        <v>83.75</v>
      </c>
      <c r="U34" s="14">
        <v>15</v>
      </c>
      <c r="V34" s="14">
        <v>114.8</v>
      </c>
      <c r="W34" s="15">
        <v>1835</v>
      </c>
      <c r="X34" s="15">
        <v>0</v>
      </c>
      <c r="Y34" s="14">
        <v>12</v>
      </c>
      <c r="Z34" s="14">
        <v>0</v>
      </c>
      <c r="AA34" s="15">
        <v>0</v>
      </c>
      <c r="AB34" s="15">
        <v>1685</v>
      </c>
      <c r="AC34" s="15">
        <v>604.25</v>
      </c>
      <c r="AD34" s="15">
        <v>604.25</v>
      </c>
      <c r="AE34" s="15">
        <v>1143</v>
      </c>
      <c r="AF34" s="15">
        <v>2289.25</v>
      </c>
      <c r="AG34" s="15">
        <v>2739.25</v>
      </c>
      <c r="AH34" s="15">
        <v>1596.25</v>
      </c>
      <c r="AI34" s="15">
        <v>1140.25</v>
      </c>
      <c r="AJ34" s="15">
        <v>2271.5</v>
      </c>
      <c r="AK34" s="15">
        <v>2301.5</v>
      </c>
      <c r="AL34" s="15">
        <v>1161.25</v>
      </c>
      <c r="AM34" s="14">
        <v>1</v>
      </c>
      <c r="AN34" s="14">
        <v>0</v>
      </c>
      <c r="AO34" s="14">
        <v>0</v>
      </c>
      <c r="AP34" s="14">
        <v>0</v>
      </c>
      <c r="AQ34" s="14">
        <v>0</v>
      </c>
      <c r="AR34" s="14">
        <v>1</v>
      </c>
      <c r="AS34" s="14">
        <v>0</v>
      </c>
      <c r="AT34" s="14">
        <v>287</v>
      </c>
      <c r="AU34" s="14">
        <v>62</v>
      </c>
      <c r="AV34" s="14">
        <v>225</v>
      </c>
      <c r="AW34" s="14">
        <v>0</v>
      </c>
      <c r="AX34" s="14">
        <v>16</v>
      </c>
      <c r="AY34" s="14">
        <v>10</v>
      </c>
      <c r="AZ34" s="14">
        <v>6</v>
      </c>
      <c r="BA34" s="14">
        <v>0</v>
      </c>
      <c r="BB34" s="14">
        <v>83.75</v>
      </c>
      <c r="BC34" s="14">
        <v>80</v>
      </c>
      <c r="BD34" s="14">
        <v>3.75</v>
      </c>
      <c r="BE34" s="14">
        <v>0</v>
      </c>
      <c r="BF34" s="14">
        <v>0</v>
      </c>
    </row>
    <row r="35" spans="1:58" ht="16">
      <c r="A35" s="14" t="s">
        <v>17228</v>
      </c>
      <c r="B35" s="14" t="s">
        <v>17229</v>
      </c>
      <c r="C35" s="14">
        <v>0</v>
      </c>
      <c r="D35" s="14">
        <v>949</v>
      </c>
      <c r="E35" s="14">
        <v>0</v>
      </c>
      <c r="F35" s="14">
        <v>951</v>
      </c>
      <c r="G35" s="14">
        <v>0</v>
      </c>
      <c r="H35" s="14">
        <v>0</v>
      </c>
      <c r="I35" s="14">
        <v>0</v>
      </c>
      <c r="J35" s="14">
        <v>811</v>
      </c>
      <c r="K35" s="14">
        <v>29101</v>
      </c>
      <c r="L35" s="14">
        <v>801</v>
      </c>
      <c r="M35" s="14">
        <v>7</v>
      </c>
      <c r="N35" s="14">
        <v>0</v>
      </c>
      <c r="O35" s="14">
        <v>0</v>
      </c>
      <c r="P35" s="14">
        <v>0</v>
      </c>
      <c r="Q35" s="14">
        <v>2</v>
      </c>
      <c r="R35" s="14">
        <v>0</v>
      </c>
      <c r="S35" s="14">
        <v>245.495</v>
      </c>
      <c r="T35" s="14">
        <v>0</v>
      </c>
      <c r="U35" s="14">
        <v>0</v>
      </c>
      <c r="V35" s="14">
        <v>245.495</v>
      </c>
      <c r="W35" s="15">
        <v>2454.9499999999998</v>
      </c>
      <c r="X35" s="15">
        <v>0</v>
      </c>
      <c r="Y35" s="14">
        <v>951</v>
      </c>
      <c r="Z35" s="14">
        <v>0</v>
      </c>
      <c r="AA35" s="15">
        <v>0</v>
      </c>
      <c r="AB35" s="15">
        <v>50</v>
      </c>
      <c r="AC35" s="15">
        <v>183.21</v>
      </c>
      <c r="AD35" s="15">
        <v>0</v>
      </c>
      <c r="AE35" s="15">
        <v>2511</v>
      </c>
      <c r="AF35" s="15">
        <v>50</v>
      </c>
      <c r="AG35" s="15">
        <v>2635.66</v>
      </c>
      <c r="AH35" s="15">
        <v>1427.69</v>
      </c>
      <c r="AI35" s="15">
        <v>0</v>
      </c>
      <c r="AJ35" s="15">
        <v>0</v>
      </c>
      <c r="AK35" s="15">
        <v>0</v>
      </c>
      <c r="AL35" s="15">
        <v>0</v>
      </c>
      <c r="AM35" s="14">
        <v>1</v>
      </c>
      <c r="AN35" s="14">
        <v>405</v>
      </c>
      <c r="AO35" s="14">
        <v>0</v>
      </c>
      <c r="AP35" s="14">
        <v>1</v>
      </c>
      <c r="AQ35" s="14">
        <v>0</v>
      </c>
      <c r="AR35" s="14">
        <v>0</v>
      </c>
      <c r="AS35" s="14">
        <v>0</v>
      </c>
      <c r="AT35" s="14">
        <v>29101</v>
      </c>
      <c r="AU35" s="14">
        <v>0</v>
      </c>
      <c r="AV35" s="14">
        <v>29101</v>
      </c>
      <c r="AW35" s="14">
        <v>0</v>
      </c>
      <c r="AX35" s="14">
        <v>245.495</v>
      </c>
      <c r="AY35" s="14">
        <v>0</v>
      </c>
      <c r="AZ35" s="14">
        <v>245.495</v>
      </c>
      <c r="BA35" s="14">
        <v>0</v>
      </c>
      <c r="BB35" s="14">
        <v>0</v>
      </c>
      <c r="BC35" s="14">
        <v>0</v>
      </c>
      <c r="BD35" s="14">
        <v>0</v>
      </c>
      <c r="BE35" s="14">
        <v>0</v>
      </c>
      <c r="BF35" s="14">
        <v>951</v>
      </c>
    </row>
    <row r="36" spans="1:58" ht="16">
      <c r="A36" s="14" t="s">
        <v>16889</v>
      </c>
      <c r="B36" s="14" t="s">
        <v>17351</v>
      </c>
      <c r="C36" s="14">
        <v>1</v>
      </c>
      <c r="D36" s="14">
        <v>10</v>
      </c>
      <c r="E36" s="14">
        <v>10</v>
      </c>
      <c r="F36" s="14">
        <v>10</v>
      </c>
      <c r="G36" s="14">
        <v>1</v>
      </c>
      <c r="H36" s="14">
        <v>1</v>
      </c>
      <c r="I36" s="14">
        <v>1</v>
      </c>
      <c r="J36" s="14">
        <v>10</v>
      </c>
      <c r="K36" s="14">
        <v>142</v>
      </c>
      <c r="L36" s="14">
        <v>5</v>
      </c>
      <c r="M36" s="14">
        <v>0</v>
      </c>
      <c r="N36" s="14">
        <v>3</v>
      </c>
      <c r="O36" s="14">
        <v>2</v>
      </c>
      <c r="P36" s="14">
        <v>0</v>
      </c>
      <c r="Q36" s="14">
        <v>0</v>
      </c>
      <c r="R36" s="14">
        <v>0</v>
      </c>
      <c r="S36" s="14">
        <v>7.75</v>
      </c>
      <c r="T36" s="14">
        <v>2.5</v>
      </c>
      <c r="U36" s="14">
        <v>0</v>
      </c>
      <c r="V36" s="14">
        <v>10.3</v>
      </c>
      <c r="W36" s="15">
        <v>125</v>
      </c>
      <c r="X36" s="15">
        <v>0</v>
      </c>
      <c r="Y36" s="14">
        <v>9</v>
      </c>
      <c r="Z36" s="14">
        <v>0</v>
      </c>
      <c r="AA36" s="15">
        <v>-2.5</v>
      </c>
      <c r="AB36" s="15">
        <v>7.5</v>
      </c>
      <c r="AC36" s="15">
        <v>45.1</v>
      </c>
      <c r="AD36" s="15">
        <v>45.1</v>
      </c>
      <c r="AE36" s="15">
        <v>52.6</v>
      </c>
      <c r="AF36" s="15">
        <v>52.6</v>
      </c>
      <c r="AG36" s="15">
        <v>170.1</v>
      </c>
      <c r="AH36" s="15">
        <v>117.5</v>
      </c>
      <c r="AI36" s="15">
        <v>17.25</v>
      </c>
      <c r="AJ36" s="15">
        <v>17.25</v>
      </c>
      <c r="AK36" s="15">
        <v>44.75</v>
      </c>
      <c r="AL36" s="15">
        <v>27.5</v>
      </c>
      <c r="AM36" s="14">
        <v>0</v>
      </c>
      <c r="AN36" s="14">
        <v>3</v>
      </c>
      <c r="AO36" s="14">
        <v>0</v>
      </c>
      <c r="AP36" s="14">
        <v>0</v>
      </c>
      <c r="AQ36" s="14">
        <v>0</v>
      </c>
      <c r="AR36" s="14">
        <v>0</v>
      </c>
      <c r="AS36" s="14">
        <v>0</v>
      </c>
      <c r="AT36" s="14">
        <v>142</v>
      </c>
      <c r="AU36" s="14">
        <v>31</v>
      </c>
      <c r="AV36" s="14">
        <v>103</v>
      </c>
      <c r="AW36" s="14">
        <v>8</v>
      </c>
      <c r="AX36" s="14">
        <v>7.75</v>
      </c>
      <c r="AY36" s="14">
        <v>2.25</v>
      </c>
      <c r="AZ36" s="14">
        <v>5.25</v>
      </c>
      <c r="BA36" s="14">
        <v>0.25</v>
      </c>
      <c r="BB36" s="14">
        <v>2.5</v>
      </c>
      <c r="BC36" s="14">
        <v>0.25</v>
      </c>
      <c r="BD36" s="14">
        <v>2.25</v>
      </c>
      <c r="BE36" s="14">
        <v>0</v>
      </c>
      <c r="BF36" s="14">
        <v>0</v>
      </c>
    </row>
    <row r="37" spans="1:58" ht="16">
      <c r="A37" s="14" t="s">
        <v>16890</v>
      </c>
      <c r="B37" s="14" t="s">
        <v>16891</v>
      </c>
      <c r="C37" s="14">
        <v>0</v>
      </c>
      <c r="D37" s="14">
        <v>17</v>
      </c>
      <c r="E37" s="14">
        <v>12</v>
      </c>
      <c r="F37" s="14">
        <v>16</v>
      </c>
      <c r="G37" s="14">
        <v>3</v>
      </c>
      <c r="H37" s="14">
        <v>3</v>
      </c>
      <c r="I37" s="14">
        <v>0</v>
      </c>
      <c r="J37" s="14">
        <v>10</v>
      </c>
      <c r="K37" s="14">
        <v>224</v>
      </c>
      <c r="L37" s="14">
        <v>8</v>
      </c>
      <c r="M37" s="14">
        <v>0</v>
      </c>
      <c r="N37" s="14">
        <v>2</v>
      </c>
      <c r="O37" s="14">
        <v>1</v>
      </c>
      <c r="P37" s="14">
        <v>3</v>
      </c>
      <c r="Q37" s="14">
        <v>3</v>
      </c>
      <c r="R37" s="14">
        <v>0</v>
      </c>
      <c r="S37" s="14">
        <v>15.5</v>
      </c>
      <c r="T37" s="14">
        <v>2.75</v>
      </c>
      <c r="U37" s="14">
        <v>0</v>
      </c>
      <c r="V37" s="14">
        <v>18.25</v>
      </c>
      <c r="W37" s="14">
        <v>210</v>
      </c>
      <c r="X37" s="15">
        <v>0</v>
      </c>
      <c r="Y37" s="15">
        <v>10</v>
      </c>
      <c r="Z37" s="14">
        <v>0</v>
      </c>
      <c r="AA37" s="14">
        <v>0</v>
      </c>
      <c r="AB37" s="15">
        <v>20</v>
      </c>
      <c r="AC37" s="15">
        <v>2837.5</v>
      </c>
      <c r="AD37" s="15">
        <v>2837.5</v>
      </c>
      <c r="AE37" s="15">
        <v>2753</v>
      </c>
      <c r="AF37" s="15">
        <v>2857.5</v>
      </c>
      <c r="AG37" s="15">
        <v>3047.5</v>
      </c>
      <c r="AH37" s="15">
        <v>294.5</v>
      </c>
      <c r="AI37" s="15">
        <v>2540.25</v>
      </c>
      <c r="AJ37" s="15">
        <v>2560.25</v>
      </c>
      <c r="AK37" s="15">
        <v>2620.25</v>
      </c>
      <c r="AL37" s="15">
        <v>80</v>
      </c>
      <c r="AM37" s="15">
        <v>0</v>
      </c>
      <c r="AN37" s="14">
        <v>4</v>
      </c>
      <c r="AO37" s="14">
        <v>2</v>
      </c>
      <c r="AP37" s="14">
        <v>1</v>
      </c>
      <c r="AQ37" s="14">
        <v>0</v>
      </c>
      <c r="AR37" s="14">
        <v>1</v>
      </c>
      <c r="AS37" s="14">
        <v>0</v>
      </c>
      <c r="AT37" s="14">
        <v>224</v>
      </c>
      <c r="AU37" s="14">
        <v>162</v>
      </c>
      <c r="AV37" s="14">
        <v>62</v>
      </c>
      <c r="AW37" s="14">
        <v>0</v>
      </c>
      <c r="AX37" s="14">
        <v>15.5</v>
      </c>
      <c r="AY37" s="14">
        <v>4</v>
      </c>
      <c r="AZ37" s="14">
        <v>11.5</v>
      </c>
      <c r="BA37" s="14">
        <v>0</v>
      </c>
      <c r="BB37" s="14">
        <v>2.75</v>
      </c>
      <c r="BC37" s="14">
        <v>2</v>
      </c>
      <c r="BD37" s="14">
        <v>0.75</v>
      </c>
      <c r="BE37" s="14">
        <v>0</v>
      </c>
      <c r="BF37" s="14"/>
    </row>
    <row r="38" spans="1:58" ht="16">
      <c r="A38" s="14" t="s">
        <v>16890</v>
      </c>
      <c r="B38" s="14" t="s">
        <v>16891</v>
      </c>
      <c r="C38" s="14">
        <v>0</v>
      </c>
      <c r="D38" s="14">
        <v>8</v>
      </c>
      <c r="E38" s="14">
        <v>6</v>
      </c>
      <c r="F38" s="14">
        <v>8</v>
      </c>
      <c r="G38" s="14">
        <v>2</v>
      </c>
      <c r="H38" s="14">
        <v>0</v>
      </c>
      <c r="I38" s="14">
        <v>0</v>
      </c>
      <c r="J38" s="14">
        <v>6</v>
      </c>
      <c r="K38" s="14">
        <v>44</v>
      </c>
      <c r="L38" s="14">
        <v>4</v>
      </c>
      <c r="M38" s="14">
        <v>0</v>
      </c>
      <c r="N38" s="14">
        <v>2</v>
      </c>
      <c r="O38" s="14">
        <v>0</v>
      </c>
      <c r="P38" s="14">
        <v>1</v>
      </c>
      <c r="Q38" s="14">
        <v>1</v>
      </c>
      <c r="R38" s="14">
        <v>0</v>
      </c>
      <c r="S38" s="14">
        <v>7.25</v>
      </c>
      <c r="T38" s="14">
        <v>1.25</v>
      </c>
      <c r="U38" s="14">
        <v>0</v>
      </c>
      <c r="V38" s="14">
        <v>8.5</v>
      </c>
      <c r="W38" s="15">
        <v>97.5</v>
      </c>
      <c r="X38" s="15">
        <v>0</v>
      </c>
      <c r="Y38" s="14">
        <v>6</v>
      </c>
      <c r="Z38" s="14">
        <v>0</v>
      </c>
      <c r="AA38" s="15">
        <v>0</v>
      </c>
      <c r="AB38" s="15">
        <v>0</v>
      </c>
      <c r="AC38" s="15">
        <v>122.75</v>
      </c>
      <c r="AD38" s="15">
        <v>97.75</v>
      </c>
      <c r="AE38" s="15">
        <v>97.75</v>
      </c>
      <c r="AF38" s="15">
        <v>97.75</v>
      </c>
      <c r="AG38" s="15">
        <v>220.25</v>
      </c>
      <c r="AH38" s="15">
        <v>122.5</v>
      </c>
      <c r="AI38" s="15">
        <v>0</v>
      </c>
      <c r="AJ38" s="15">
        <v>0</v>
      </c>
      <c r="AK38" s="15">
        <v>0</v>
      </c>
      <c r="AL38" s="15">
        <v>0</v>
      </c>
      <c r="AM38" s="14">
        <v>0</v>
      </c>
      <c r="AN38" s="14">
        <v>5</v>
      </c>
      <c r="AO38" s="14">
        <v>0</v>
      </c>
      <c r="AP38" s="14">
        <v>0</v>
      </c>
      <c r="AQ38" s="14">
        <v>0</v>
      </c>
      <c r="AR38" s="14">
        <v>0</v>
      </c>
      <c r="AS38" s="14">
        <v>0</v>
      </c>
      <c r="AT38" s="14">
        <v>44</v>
      </c>
      <c r="AU38" s="14">
        <v>0</v>
      </c>
      <c r="AV38" s="14">
        <v>44</v>
      </c>
      <c r="AW38" s="14">
        <v>0</v>
      </c>
      <c r="AX38" s="14">
        <v>7.25</v>
      </c>
      <c r="AY38" s="14">
        <v>0</v>
      </c>
      <c r="AZ38" s="14">
        <v>6.25</v>
      </c>
      <c r="BA38" s="14">
        <v>0</v>
      </c>
      <c r="BB38" s="14">
        <v>1.25</v>
      </c>
      <c r="BC38" s="14">
        <v>0</v>
      </c>
      <c r="BD38" s="14">
        <v>1.25</v>
      </c>
      <c r="BE38" s="14">
        <v>0</v>
      </c>
      <c r="BF38" s="14"/>
    </row>
    <row r="39" spans="1:58" ht="16">
      <c r="A39" s="14" t="s">
        <v>16892</v>
      </c>
      <c r="B39" s="14" t="s">
        <v>16893</v>
      </c>
      <c r="C39" s="14">
        <v>4</v>
      </c>
      <c r="D39" s="14">
        <v>13</v>
      </c>
      <c r="E39" s="14">
        <v>13</v>
      </c>
      <c r="F39" s="14">
        <v>11</v>
      </c>
      <c r="G39" s="14">
        <v>1</v>
      </c>
      <c r="H39" s="14">
        <v>7</v>
      </c>
      <c r="I39" s="14">
        <v>0</v>
      </c>
      <c r="J39" s="14">
        <v>12</v>
      </c>
      <c r="K39" s="14">
        <v>208</v>
      </c>
      <c r="L39" s="14">
        <v>1</v>
      </c>
      <c r="M39" s="14">
        <v>4</v>
      </c>
      <c r="N39" s="14">
        <v>4</v>
      </c>
      <c r="O39" s="14">
        <v>0</v>
      </c>
      <c r="P39" s="14">
        <v>0</v>
      </c>
      <c r="Q39" s="14">
        <v>4</v>
      </c>
      <c r="R39" s="14">
        <v>0</v>
      </c>
      <c r="S39" s="14">
        <v>84</v>
      </c>
      <c r="T39" s="14">
        <v>112</v>
      </c>
      <c r="U39" s="14">
        <v>0</v>
      </c>
      <c r="V39" s="14">
        <v>196</v>
      </c>
      <c r="W39" s="15">
        <v>797.5</v>
      </c>
      <c r="X39" s="15">
        <v>0</v>
      </c>
      <c r="Y39" s="14">
        <v>9</v>
      </c>
      <c r="Z39" s="14">
        <v>0</v>
      </c>
      <c r="AA39" s="15">
        <v>-2282.5</v>
      </c>
      <c r="AB39" s="15">
        <v>720</v>
      </c>
      <c r="AC39" s="15">
        <v>777.5</v>
      </c>
      <c r="AD39" s="15">
        <v>798.5</v>
      </c>
      <c r="AE39" s="15">
        <v>0</v>
      </c>
      <c r="AF39" s="15">
        <v>1518.5</v>
      </c>
      <c r="AG39" s="15">
        <v>1575</v>
      </c>
      <c r="AH39" s="15">
        <v>1575</v>
      </c>
      <c r="AI39" s="15">
        <v>0</v>
      </c>
      <c r="AJ39" s="15">
        <v>1518.5</v>
      </c>
      <c r="AK39" s="15">
        <v>1562.5</v>
      </c>
      <c r="AL39" s="15">
        <v>1562.5</v>
      </c>
      <c r="AM39" s="14">
        <v>2</v>
      </c>
      <c r="AN39" s="14">
        <v>2</v>
      </c>
      <c r="AO39" s="14">
        <v>2</v>
      </c>
      <c r="AP39" s="14">
        <v>2</v>
      </c>
      <c r="AQ39" s="14">
        <v>0</v>
      </c>
      <c r="AR39" s="14">
        <v>0</v>
      </c>
      <c r="AS39" s="14">
        <v>0</v>
      </c>
      <c r="AT39" s="14">
        <v>208</v>
      </c>
      <c r="AU39" s="14">
        <v>154</v>
      </c>
      <c r="AV39" s="14">
        <v>44</v>
      </c>
      <c r="AW39" s="14">
        <v>51</v>
      </c>
      <c r="AX39" s="14">
        <v>84</v>
      </c>
      <c r="AY39" s="14">
        <v>82.5</v>
      </c>
      <c r="AZ39" s="14">
        <v>1.25</v>
      </c>
      <c r="BA39" s="14">
        <v>48.25</v>
      </c>
      <c r="BB39" s="14">
        <v>112</v>
      </c>
      <c r="BC39" s="14">
        <v>112</v>
      </c>
      <c r="BD39" s="14">
        <v>0</v>
      </c>
      <c r="BE39" s="14">
        <v>90</v>
      </c>
      <c r="BF39" s="14">
        <v>4</v>
      </c>
    </row>
    <row r="40" spans="1:58" ht="16">
      <c r="A40" s="14" t="s">
        <v>16894</v>
      </c>
      <c r="B40" s="14" t="s">
        <v>18791</v>
      </c>
      <c r="C40" s="14">
        <v>0</v>
      </c>
      <c r="D40" s="14">
        <v>13</v>
      </c>
      <c r="E40" s="14">
        <v>13</v>
      </c>
      <c r="F40" s="14">
        <v>13</v>
      </c>
      <c r="G40" s="14">
        <v>0</v>
      </c>
      <c r="H40" s="14">
        <v>0</v>
      </c>
      <c r="I40" s="14">
        <v>0</v>
      </c>
      <c r="J40" s="14">
        <v>13</v>
      </c>
      <c r="K40" s="14">
        <v>35</v>
      </c>
      <c r="L40" s="14">
        <v>12</v>
      </c>
      <c r="M40" s="14">
        <v>0</v>
      </c>
      <c r="N40" s="14">
        <v>0</v>
      </c>
      <c r="O40" s="14">
        <v>0</v>
      </c>
      <c r="P40" s="14">
        <v>0</v>
      </c>
      <c r="Q40" s="14">
        <v>1</v>
      </c>
      <c r="R40" s="14">
        <v>0</v>
      </c>
      <c r="S40" s="14">
        <v>16</v>
      </c>
      <c r="T40" s="14">
        <v>0</v>
      </c>
      <c r="U40" s="14">
        <v>0</v>
      </c>
      <c r="V40" s="14">
        <v>16</v>
      </c>
      <c r="W40" s="15">
        <v>160</v>
      </c>
      <c r="X40" s="15">
        <v>0</v>
      </c>
      <c r="Y40" s="14">
        <v>13</v>
      </c>
      <c r="Z40" s="14">
        <v>0</v>
      </c>
      <c r="AA40" s="15">
        <v>0</v>
      </c>
      <c r="AB40" s="15">
        <v>0</v>
      </c>
      <c r="AC40" s="15">
        <v>274</v>
      </c>
      <c r="AD40" s="15">
        <v>274</v>
      </c>
      <c r="AE40" s="15">
        <v>134</v>
      </c>
      <c r="AF40" s="15">
        <v>274</v>
      </c>
      <c r="AG40" s="15">
        <v>434</v>
      </c>
      <c r="AH40" s="15">
        <v>300</v>
      </c>
      <c r="AI40" s="15">
        <v>0</v>
      </c>
      <c r="AJ40" s="15">
        <v>0</v>
      </c>
      <c r="AK40" s="15">
        <v>0</v>
      </c>
      <c r="AL40" s="15">
        <v>0</v>
      </c>
      <c r="AM40" s="14">
        <v>0</v>
      </c>
      <c r="AN40" s="14">
        <v>12</v>
      </c>
      <c r="AO40" s="14">
        <v>0</v>
      </c>
      <c r="AP40" s="14">
        <v>0</v>
      </c>
      <c r="AQ40" s="14">
        <v>0</v>
      </c>
      <c r="AR40" s="14">
        <v>0</v>
      </c>
      <c r="AS40" s="14">
        <v>0</v>
      </c>
      <c r="AT40" s="14">
        <v>35</v>
      </c>
      <c r="AU40" s="14">
        <v>0</v>
      </c>
      <c r="AV40" s="14">
        <v>35</v>
      </c>
      <c r="AW40" s="14">
        <v>0</v>
      </c>
      <c r="AX40" s="14">
        <v>16</v>
      </c>
      <c r="AY40" s="14">
        <v>0</v>
      </c>
      <c r="AZ40" s="14">
        <v>16</v>
      </c>
      <c r="BA40" s="14">
        <v>0</v>
      </c>
      <c r="BB40" s="14">
        <v>0</v>
      </c>
      <c r="BC40" s="14">
        <v>0</v>
      </c>
      <c r="BD40" s="14">
        <v>0</v>
      </c>
      <c r="BE40" s="14">
        <v>0</v>
      </c>
      <c r="BF40" s="14">
        <v>0</v>
      </c>
    </row>
    <row r="41" spans="1:58" ht="16">
      <c r="A41" s="14" t="s">
        <v>16894</v>
      </c>
      <c r="B41" s="14" t="s">
        <v>18792</v>
      </c>
      <c r="C41" s="14">
        <v>0</v>
      </c>
      <c r="D41" s="14">
        <v>2</v>
      </c>
      <c r="E41" s="14">
        <v>2</v>
      </c>
      <c r="F41" s="14">
        <v>2</v>
      </c>
      <c r="G41" s="14">
        <v>0</v>
      </c>
      <c r="H41" s="14">
        <v>0</v>
      </c>
      <c r="I41" s="14">
        <v>1</v>
      </c>
      <c r="J41" s="14">
        <v>2</v>
      </c>
      <c r="K41" s="14">
        <v>5</v>
      </c>
      <c r="L41" s="14">
        <v>1</v>
      </c>
      <c r="M41" s="14">
        <v>0</v>
      </c>
      <c r="N41" s="14">
        <v>1</v>
      </c>
      <c r="O41" s="14">
        <v>0</v>
      </c>
      <c r="P41" s="14">
        <v>0</v>
      </c>
      <c r="Q41" s="14">
        <v>0</v>
      </c>
      <c r="R41" s="14">
        <v>0</v>
      </c>
      <c r="S41" s="14">
        <v>1.25</v>
      </c>
      <c r="T41" s="14">
        <v>1</v>
      </c>
      <c r="U41" s="14">
        <v>0</v>
      </c>
      <c r="V41" s="14">
        <v>2.2999999999999998</v>
      </c>
      <c r="W41" s="15">
        <v>32.5</v>
      </c>
      <c r="X41" s="15">
        <v>0</v>
      </c>
      <c r="Y41" s="14">
        <v>1</v>
      </c>
      <c r="Z41" s="14">
        <v>0</v>
      </c>
      <c r="AA41" s="15">
        <v>0</v>
      </c>
      <c r="AB41" s="15">
        <v>0</v>
      </c>
      <c r="AC41" s="15">
        <v>4.25</v>
      </c>
      <c r="AD41" s="15">
        <v>4.25</v>
      </c>
      <c r="AE41" s="15">
        <v>4.25</v>
      </c>
      <c r="AF41" s="15">
        <v>4.25</v>
      </c>
      <c r="AG41" s="15">
        <v>36.75</v>
      </c>
      <c r="AH41" s="15">
        <v>32.5</v>
      </c>
      <c r="AI41" s="15">
        <v>0</v>
      </c>
      <c r="AJ41" s="15">
        <v>0</v>
      </c>
      <c r="AK41" s="15">
        <v>0</v>
      </c>
      <c r="AL41" s="15">
        <v>0</v>
      </c>
      <c r="AM41" s="14">
        <v>1</v>
      </c>
      <c r="AN41" s="14">
        <v>0</v>
      </c>
      <c r="AO41" s="14">
        <v>0</v>
      </c>
      <c r="AP41" s="14">
        <v>0</v>
      </c>
      <c r="AQ41" s="14">
        <v>0</v>
      </c>
      <c r="AR41" s="14">
        <v>0</v>
      </c>
      <c r="AS41" s="14">
        <v>0</v>
      </c>
      <c r="AT41" s="14">
        <v>5</v>
      </c>
      <c r="AU41" s="14">
        <v>0</v>
      </c>
      <c r="AV41" s="14">
        <v>5</v>
      </c>
      <c r="AW41" s="14">
        <v>0</v>
      </c>
      <c r="AX41" s="14">
        <v>1.25</v>
      </c>
      <c r="AY41" s="14">
        <v>0</v>
      </c>
      <c r="AZ41" s="14">
        <v>1.25</v>
      </c>
      <c r="BA41" s="14">
        <v>0</v>
      </c>
      <c r="BB41" s="14">
        <v>1</v>
      </c>
      <c r="BC41" s="14">
        <v>0</v>
      </c>
      <c r="BD41" s="14">
        <v>1</v>
      </c>
      <c r="BE41" s="14">
        <v>0</v>
      </c>
      <c r="BF41" s="14">
        <v>0</v>
      </c>
    </row>
    <row r="42" spans="1:58" ht="16">
      <c r="A42" s="14" t="s">
        <v>16896</v>
      </c>
      <c r="B42" s="14" t="s">
        <v>16897</v>
      </c>
      <c r="C42" s="14">
        <v>0</v>
      </c>
      <c r="D42" s="14">
        <v>0</v>
      </c>
      <c r="E42" s="14">
        <v>0</v>
      </c>
      <c r="F42" s="14">
        <v>0</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5">
        <v>0</v>
      </c>
      <c r="X42" s="15">
        <v>0</v>
      </c>
      <c r="Y42" s="14">
        <v>0</v>
      </c>
      <c r="Z42" s="14">
        <v>0</v>
      </c>
      <c r="AA42" s="15">
        <v>0</v>
      </c>
      <c r="AB42" s="15">
        <v>0</v>
      </c>
      <c r="AC42" s="15">
        <v>0</v>
      </c>
      <c r="AD42" s="15">
        <v>0</v>
      </c>
      <c r="AE42" s="15">
        <v>0</v>
      </c>
      <c r="AF42" s="15">
        <v>0</v>
      </c>
      <c r="AG42" s="15">
        <v>0</v>
      </c>
      <c r="AH42" s="15">
        <v>0</v>
      </c>
      <c r="AI42" s="15">
        <v>0</v>
      </c>
      <c r="AJ42" s="15">
        <v>0</v>
      </c>
      <c r="AK42" s="15">
        <v>0</v>
      </c>
      <c r="AL42" s="15">
        <v>0</v>
      </c>
      <c r="AM42" s="14">
        <v>0</v>
      </c>
      <c r="AN42" s="14">
        <v>0</v>
      </c>
      <c r="AO42" s="14">
        <v>0</v>
      </c>
      <c r="AP42" s="14">
        <v>0</v>
      </c>
      <c r="AQ42" s="14">
        <v>0</v>
      </c>
      <c r="AR42" s="14">
        <v>0</v>
      </c>
      <c r="AS42" s="14">
        <v>0</v>
      </c>
      <c r="AT42" s="14">
        <v>0</v>
      </c>
      <c r="AU42" s="14">
        <v>0</v>
      </c>
      <c r="AV42" s="14">
        <v>0</v>
      </c>
      <c r="AW42" s="14">
        <v>0</v>
      </c>
      <c r="AX42" s="14">
        <v>0</v>
      </c>
      <c r="AY42" s="14">
        <v>0</v>
      </c>
      <c r="AZ42" s="14">
        <v>0</v>
      </c>
      <c r="BA42" s="14">
        <v>0</v>
      </c>
      <c r="BB42" s="14">
        <v>0</v>
      </c>
      <c r="BC42" s="14">
        <v>0</v>
      </c>
      <c r="BD42" s="14">
        <v>0</v>
      </c>
      <c r="BE42" s="14">
        <v>0</v>
      </c>
      <c r="BF42" s="14">
        <v>0</v>
      </c>
    </row>
    <row r="43" spans="1:58" ht="16">
      <c r="A43" s="14" t="s">
        <v>16900</v>
      </c>
      <c r="B43" s="14" t="s">
        <v>16901</v>
      </c>
      <c r="C43" s="14">
        <v>0</v>
      </c>
      <c r="D43" s="14">
        <v>0</v>
      </c>
      <c r="E43" s="14">
        <v>0</v>
      </c>
      <c r="F43" s="14">
        <v>0</v>
      </c>
      <c r="G43" s="14">
        <v>0</v>
      </c>
      <c r="H43" s="14">
        <v>0</v>
      </c>
      <c r="I43" s="14">
        <v>0</v>
      </c>
      <c r="J43" s="14">
        <v>0</v>
      </c>
      <c r="K43" s="14">
        <v>0</v>
      </c>
      <c r="L43" s="14">
        <v>0</v>
      </c>
      <c r="M43" s="14">
        <v>0</v>
      </c>
      <c r="N43" s="14">
        <v>0</v>
      </c>
      <c r="O43" s="14">
        <v>0</v>
      </c>
      <c r="P43" s="14">
        <v>0</v>
      </c>
      <c r="Q43" s="14">
        <v>0</v>
      </c>
      <c r="R43" s="14">
        <v>0</v>
      </c>
      <c r="S43" s="14">
        <v>0</v>
      </c>
      <c r="T43" s="14">
        <v>0</v>
      </c>
      <c r="U43" s="14">
        <v>0</v>
      </c>
      <c r="V43" s="14">
        <v>0</v>
      </c>
      <c r="W43" s="15">
        <v>0</v>
      </c>
      <c r="X43" s="15">
        <v>0</v>
      </c>
      <c r="Y43" s="14">
        <v>0</v>
      </c>
      <c r="Z43" s="14">
        <v>0</v>
      </c>
      <c r="AA43" s="15">
        <v>0</v>
      </c>
      <c r="AB43" s="15">
        <v>0</v>
      </c>
      <c r="AC43" s="15">
        <v>0</v>
      </c>
      <c r="AD43" s="15">
        <v>0</v>
      </c>
      <c r="AE43" s="15">
        <v>0</v>
      </c>
      <c r="AF43" s="15">
        <v>0</v>
      </c>
      <c r="AG43" s="15">
        <v>0</v>
      </c>
      <c r="AH43" s="15">
        <v>0</v>
      </c>
      <c r="AI43" s="15">
        <v>0</v>
      </c>
      <c r="AJ43" s="15">
        <v>0</v>
      </c>
      <c r="AK43" s="15">
        <v>0</v>
      </c>
      <c r="AL43" s="15">
        <v>0</v>
      </c>
      <c r="AM43" s="14">
        <v>0</v>
      </c>
      <c r="AN43" s="14">
        <v>0</v>
      </c>
      <c r="AO43" s="14">
        <v>0</v>
      </c>
      <c r="AP43" s="14">
        <v>0</v>
      </c>
      <c r="AQ43" s="14">
        <v>0</v>
      </c>
      <c r="AR43" s="14">
        <v>0</v>
      </c>
      <c r="AS43" s="14">
        <v>0</v>
      </c>
      <c r="AT43" s="14">
        <v>0</v>
      </c>
      <c r="AU43" s="14">
        <v>0</v>
      </c>
      <c r="AV43" s="14">
        <v>0</v>
      </c>
      <c r="AW43" s="14">
        <v>0</v>
      </c>
      <c r="AX43" s="14">
        <v>0</v>
      </c>
      <c r="AY43" s="14">
        <v>0</v>
      </c>
      <c r="AZ43" s="14">
        <v>0</v>
      </c>
      <c r="BA43" s="14">
        <v>0</v>
      </c>
      <c r="BB43" s="14">
        <v>0</v>
      </c>
      <c r="BC43" s="14">
        <v>0</v>
      </c>
      <c r="BD43" s="14">
        <v>0</v>
      </c>
      <c r="BE43" s="14">
        <v>0</v>
      </c>
      <c r="BF43" s="14">
        <v>0</v>
      </c>
    </row>
    <row r="44" spans="1:58" ht="16">
      <c r="A44" s="14" t="s">
        <v>16902</v>
      </c>
      <c r="B44" s="14" t="s">
        <v>16903</v>
      </c>
      <c r="C44" s="14">
        <v>0</v>
      </c>
      <c r="D44" s="14">
        <v>4</v>
      </c>
      <c r="E44" s="14">
        <v>4</v>
      </c>
      <c r="F44" s="14">
        <v>4</v>
      </c>
      <c r="G44" s="14">
        <v>0</v>
      </c>
      <c r="H44" s="14">
        <v>0</v>
      </c>
      <c r="I44" s="14">
        <v>0</v>
      </c>
      <c r="J44" s="14">
        <v>4</v>
      </c>
      <c r="K44" s="14">
        <v>6</v>
      </c>
      <c r="L44" s="14">
        <v>3</v>
      </c>
      <c r="M44" s="14">
        <v>1</v>
      </c>
      <c r="N44" s="14">
        <v>0</v>
      </c>
      <c r="O44" s="14">
        <v>0</v>
      </c>
      <c r="P44" s="14">
        <v>0</v>
      </c>
      <c r="Q44" s="14">
        <v>0</v>
      </c>
      <c r="R44" s="14">
        <v>0</v>
      </c>
      <c r="S44" s="14">
        <v>1.5</v>
      </c>
      <c r="T44" s="14">
        <v>1</v>
      </c>
      <c r="U44" s="14">
        <v>2</v>
      </c>
      <c r="V44" s="14">
        <v>4.5</v>
      </c>
      <c r="W44" s="15">
        <v>35</v>
      </c>
      <c r="X44" s="15">
        <v>0</v>
      </c>
      <c r="Y44" s="14">
        <v>4</v>
      </c>
      <c r="Z44" s="14">
        <v>0</v>
      </c>
      <c r="AA44" s="15">
        <v>0</v>
      </c>
      <c r="AB44" s="15">
        <v>0</v>
      </c>
      <c r="AC44" s="15">
        <v>0</v>
      </c>
      <c r="AD44" s="15">
        <v>0</v>
      </c>
      <c r="AE44" s="15">
        <v>0</v>
      </c>
      <c r="AF44" s="15">
        <v>0</v>
      </c>
      <c r="AG44" s="15">
        <v>75</v>
      </c>
      <c r="AH44" s="15">
        <v>75</v>
      </c>
      <c r="AI44" s="15">
        <v>0</v>
      </c>
      <c r="AJ44" s="15">
        <v>0</v>
      </c>
      <c r="AK44" s="15">
        <v>0</v>
      </c>
      <c r="AL44" s="15">
        <v>0</v>
      </c>
      <c r="AM44" s="14">
        <v>0</v>
      </c>
      <c r="AN44" s="14">
        <v>0</v>
      </c>
      <c r="AO44" s="14">
        <v>0</v>
      </c>
      <c r="AP44" s="14">
        <v>0</v>
      </c>
      <c r="AQ44" s="14">
        <v>0</v>
      </c>
      <c r="AR44" s="14">
        <v>0</v>
      </c>
      <c r="AS44" s="14">
        <v>0</v>
      </c>
      <c r="AT44" s="14">
        <v>6</v>
      </c>
      <c r="AU44" s="14">
        <v>0</v>
      </c>
      <c r="AV44" s="14">
        <v>6</v>
      </c>
      <c r="AW44" s="14">
        <v>0</v>
      </c>
      <c r="AX44" s="14">
        <v>1.5</v>
      </c>
      <c r="AY44" s="14">
        <v>0</v>
      </c>
      <c r="AZ44" s="14">
        <v>1.5</v>
      </c>
      <c r="BA44" s="14">
        <v>0</v>
      </c>
      <c r="BB44" s="14">
        <v>1</v>
      </c>
      <c r="BC44" s="14">
        <v>0</v>
      </c>
      <c r="BD44" s="14">
        <v>1</v>
      </c>
      <c r="BE44" s="14">
        <v>0</v>
      </c>
      <c r="BF44" s="14">
        <v>2</v>
      </c>
    </row>
    <row r="45" spans="1:58" ht="16">
      <c r="A45" s="14" t="s">
        <v>17221</v>
      </c>
      <c r="B45" s="14" t="s">
        <v>17405</v>
      </c>
      <c r="C45" s="14">
        <v>0</v>
      </c>
      <c r="D45" s="14">
        <v>40</v>
      </c>
      <c r="E45" s="14">
        <v>30</v>
      </c>
      <c r="F45" s="14">
        <v>35</v>
      </c>
      <c r="G45" s="14">
        <v>1</v>
      </c>
      <c r="H45" s="14">
        <v>3</v>
      </c>
      <c r="I45" s="14">
        <v>0</v>
      </c>
      <c r="J45" s="14">
        <v>40</v>
      </c>
      <c r="K45" s="14">
        <v>312</v>
      </c>
      <c r="L45" s="14">
        <v>39</v>
      </c>
      <c r="M45" s="14">
        <v>0</v>
      </c>
      <c r="N45" s="14">
        <v>0</v>
      </c>
      <c r="O45" s="14">
        <v>0</v>
      </c>
      <c r="P45" s="14">
        <v>0</v>
      </c>
      <c r="Q45" s="14">
        <v>1</v>
      </c>
      <c r="R45" s="14">
        <v>0</v>
      </c>
      <c r="S45" s="14">
        <v>109.25</v>
      </c>
      <c r="T45" s="14">
        <v>2</v>
      </c>
      <c r="U45" s="14">
        <v>0</v>
      </c>
      <c r="V45" s="14">
        <v>111.3</v>
      </c>
      <c r="W45" s="15">
        <v>1132.5</v>
      </c>
      <c r="X45" s="15">
        <v>0</v>
      </c>
      <c r="Y45" s="14">
        <v>37</v>
      </c>
      <c r="Z45" s="14">
        <v>0</v>
      </c>
      <c r="AA45" s="15">
        <v>0</v>
      </c>
      <c r="AB45" s="15">
        <v>770</v>
      </c>
      <c r="AC45" s="15">
        <v>2743.6</v>
      </c>
      <c r="AD45" s="15">
        <v>2743.6</v>
      </c>
      <c r="AE45" s="15">
        <v>1269.3</v>
      </c>
      <c r="AF45" s="15">
        <v>3513.6</v>
      </c>
      <c r="AG45" s="15">
        <v>3876.1</v>
      </c>
      <c r="AH45" s="15">
        <v>2606.8000000000002</v>
      </c>
      <c r="AI45" s="15">
        <v>0</v>
      </c>
      <c r="AJ45" s="15">
        <v>720</v>
      </c>
      <c r="AK45" s="15">
        <v>810</v>
      </c>
      <c r="AL45" s="15">
        <v>810</v>
      </c>
      <c r="AM45" s="14">
        <v>3</v>
      </c>
      <c r="AN45" s="14">
        <v>13</v>
      </c>
      <c r="AO45" s="14">
        <v>0</v>
      </c>
      <c r="AP45" s="14">
        <v>2</v>
      </c>
      <c r="AQ45" s="14">
        <v>1</v>
      </c>
      <c r="AR45" s="14">
        <v>0</v>
      </c>
      <c r="AS45" s="14">
        <v>0</v>
      </c>
      <c r="AT45" s="14">
        <v>312</v>
      </c>
      <c r="AU45" s="14">
        <v>62</v>
      </c>
      <c r="AV45" s="14">
        <v>250</v>
      </c>
      <c r="AW45" s="14">
        <v>0</v>
      </c>
      <c r="AX45" s="14">
        <v>109.25</v>
      </c>
      <c r="AY45" s="14">
        <v>77</v>
      </c>
      <c r="AZ45" s="14">
        <v>32.25</v>
      </c>
      <c r="BA45" s="14">
        <v>0</v>
      </c>
      <c r="BB45" s="14">
        <v>2</v>
      </c>
      <c r="BC45" s="14">
        <v>2</v>
      </c>
      <c r="BD45" s="14">
        <v>0</v>
      </c>
      <c r="BE45" s="14">
        <v>0</v>
      </c>
      <c r="BF45" s="16">
        <v>27532</v>
      </c>
    </row>
    <row r="46" spans="1:58" ht="16">
      <c r="A46" s="14" t="s">
        <v>16912</v>
      </c>
      <c r="B46" s="14" t="s">
        <v>16913</v>
      </c>
      <c r="C46" s="14">
        <v>0</v>
      </c>
      <c r="D46" s="14">
        <v>1</v>
      </c>
      <c r="E46" s="14">
        <v>0</v>
      </c>
      <c r="F46" s="14">
        <v>0</v>
      </c>
      <c r="G46" s="14">
        <v>1</v>
      </c>
      <c r="H46" s="14">
        <v>0</v>
      </c>
      <c r="I46" s="14">
        <v>0</v>
      </c>
      <c r="J46" s="14">
        <v>1</v>
      </c>
      <c r="K46" s="14">
        <v>11</v>
      </c>
      <c r="L46" s="14">
        <v>1</v>
      </c>
      <c r="M46" s="14">
        <v>0</v>
      </c>
      <c r="N46" s="14">
        <v>0</v>
      </c>
      <c r="O46" s="14">
        <v>0</v>
      </c>
      <c r="P46" s="14">
        <v>0</v>
      </c>
      <c r="Q46" s="14">
        <v>0</v>
      </c>
      <c r="R46" s="14">
        <v>0</v>
      </c>
      <c r="S46" s="14">
        <v>1</v>
      </c>
      <c r="T46" s="14">
        <v>0</v>
      </c>
      <c r="U46" s="14">
        <v>0</v>
      </c>
      <c r="V46" s="14">
        <v>1</v>
      </c>
      <c r="W46" s="15">
        <v>10</v>
      </c>
      <c r="X46" s="15">
        <v>0</v>
      </c>
      <c r="Y46" s="14">
        <v>1</v>
      </c>
      <c r="Z46" s="14">
        <v>0</v>
      </c>
      <c r="AA46" s="15">
        <v>0</v>
      </c>
      <c r="AB46" s="15">
        <v>0</v>
      </c>
      <c r="AC46" s="15">
        <v>0</v>
      </c>
      <c r="AD46" s="15">
        <v>0</v>
      </c>
      <c r="AE46" s="15">
        <v>0</v>
      </c>
      <c r="AF46" s="15">
        <v>0</v>
      </c>
      <c r="AG46" s="15">
        <v>10</v>
      </c>
      <c r="AH46" s="15">
        <v>10</v>
      </c>
      <c r="AI46" s="15">
        <v>0</v>
      </c>
      <c r="AJ46" s="15">
        <v>0</v>
      </c>
      <c r="AK46" s="15">
        <v>0</v>
      </c>
      <c r="AL46" s="15">
        <v>0</v>
      </c>
      <c r="AM46" s="14">
        <v>0</v>
      </c>
      <c r="AN46" s="14">
        <v>0</v>
      </c>
      <c r="AO46" s="14">
        <v>0</v>
      </c>
      <c r="AP46" s="14">
        <v>0</v>
      </c>
      <c r="AQ46" s="14">
        <v>0</v>
      </c>
      <c r="AR46" s="14">
        <v>0</v>
      </c>
      <c r="AS46" s="14">
        <v>0</v>
      </c>
      <c r="AT46" s="14">
        <v>11</v>
      </c>
      <c r="AU46" s="14">
        <v>0</v>
      </c>
      <c r="AV46" s="14">
        <v>11</v>
      </c>
      <c r="AW46" s="14">
        <v>0</v>
      </c>
      <c r="AX46" s="14">
        <v>1</v>
      </c>
      <c r="AY46" s="14">
        <v>0</v>
      </c>
      <c r="AZ46" s="14">
        <v>1</v>
      </c>
      <c r="BA46" s="14">
        <v>0</v>
      </c>
      <c r="BB46" s="14">
        <v>0</v>
      </c>
      <c r="BC46" s="14">
        <v>0</v>
      </c>
      <c r="BD46" s="14">
        <v>0</v>
      </c>
      <c r="BE46" s="14">
        <v>0</v>
      </c>
      <c r="BF46" s="16">
        <v>1000</v>
      </c>
    </row>
    <row r="47" spans="1:58" ht="16">
      <c r="A47" s="14" t="s">
        <v>16914</v>
      </c>
      <c r="B47" s="14" t="s">
        <v>16915</v>
      </c>
      <c r="C47" s="14">
        <v>2</v>
      </c>
      <c r="D47" s="14">
        <v>9</v>
      </c>
      <c r="E47" s="14">
        <v>9</v>
      </c>
      <c r="F47" s="14">
        <v>9</v>
      </c>
      <c r="G47" s="14">
        <v>0</v>
      </c>
      <c r="H47" s="14">
        <v>0</v>
      </c>
      <c r="I47" s="14">
        <v>0</v>
      </c>
      <c r="J47" s="14">
        <v>9</v>
      </c>
      <c r="K47" s="14">
        <v>41</v>
      </c>
      <c r="L47" s="14">
        <v>2</v>
      </c>
      <c r="M47" s="14">
        <v>0</v>
      </c>
      <c r="N47" s="14">
        <v>4</v>
      </c>
      <c r="O47" s="14">
        <v>1</v>
      </c>
      <c r="P47" s="14">
        <v>0</v>
      </c>
      <c r="Q47" s="14">
        <v>2</v>
      </c>
      <c r="R47" s="14">
        <v>0</v>
      </c>
      <c r="S47" s="14">
        <v>0.5</v>
      </c>
      <c r="T47" s="14">
        <v>0</v>
      </c>
      <c r="U47" s="14">
        <v>0</v>
      </c>
      <c r="V47" s="14">
        <v>0.5</v>
      </c>
      <c r="W47" s="15">
        <v>0</v>
      </c>
      <c r="X47" s="15">
        <v>0</v>
      </c>
      <c r="Y47" s="14">
        <v>0</v>
      </c>
      <c r="Z47" s="14">
        <v>0</v>
      </c>
      <c r="AA47" s="15">
        <v>-5</v>
      </c>
      <c r="AB47" s="15">
        <v>0</v>
      </c>
      <c r="AC47" s="15">
        <v>4.2</v>
      </c>
      <c r="AD47" s="15">
        <v>3.2</v>
      </c>
      <c r="AE47" s="15">
        <v>1.6</v>
      </c>
      <c r="AF47" s="15">
        <v>3.2</v>
      </c>
      <c r="AG47" s="15">
        <v>4.2</v>
      </c>
      <c r="AH47" s="15">
        <v>2.6</v>
      </c>
      <c r="AI47" s="15">
        <v>0</v>
      </c>
      <c r="AJ47" s="15">
        <v>0</v>
      </c>
      <c r="AK47" s="15">
        <v>0</v>
      </c>
      <c r="AL47" s="15">
        <v>0</v>
      </c>
      <c r="AM47" s="14">
        <v>1</v>
      </c>
      <c r="AN47" s="14">
        <v>0</v>
      </c>
      <c r="AO47" s="14">
        <v>0</v>
      </c>
      <c r="AP47" s="14">
        <v>0</v>
      </c>
      <c r="AQ47" s="14">
        <v>0</v>
      </c>
      <c r="AR47" s="14">
        <v>0</v>
      </c>
      <c r="AS47" s="14">
        <v>0</v>
      </c>
      <c r="AT47" s="14">
        <v>41</v>
      </c>
      <c r="AU47" s="14">
        <v>0</v>
      </c>
      <c r="AV47" s="14">
        <v>19</v>
      </c>
      <c r="AW47" s="14">
        <v>22</v>
      </c>
      <c r="AX47" s="14">
        <v>0.5</v>
      </c>
      <c r="AY47" s="14">
        <v>0</v>
      </c>
      <c r="AZ47" s="14">
        <v>0</v>
      </c>
      <c r="BA47" s="14">
        <v>0.5</v>
      </c>
      <c r="BB47" s="14">
        <v>0</v>
      </c>
      <c r="BC47" s="14">
        <v>0</v>
      </c>
      <c r="BD47" s="14">
        <v>0</v>
      </c>
      <c r="BE47" s="14">
        <v>0</v>
      </c>
      <c r="BF47" s="14">
        <v>0</v>
      </c>
    </row>
    <row r="48" spans="1:58" ht="16">
      <c r="A48" s="14" t="s">
        <v>16941</v>
      </c>
      <c r="B48" s="14" t="s">
        <v>16942</v>
      </c>
      <c r="C48" s="14">
        <v>0</v>
      </c>
      <c r="D48" s="14">
        <v>7</v>
      </c>
      <c r="E48" s="14">
        <v>0</v>
      </c>
      <c r="F48" s="14">
        <v>0</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5">
        <v>0</v>
      </c>
      <c r="X48" s="15">
        <v>0</v>
      </c>
      <c r="Y48" s="14">
        <v>0</v>
      </c>
      <c r="Z48" s="14">
        <v>0</v>
      </c>
      <c r="AA48" s="15">
        <v>0</v>
      </c>
      <c r="AB48" s="15">
        <v>0</v>
      </c>
      <c r="AC48" s="15">
        <v>0</v>
      </c>
      <c r="AD48" s="15">
        <v>0</v>
      </c>
      <c r="AE48" s="15">
        <v>0</v>
      </c>
      <c r="AF48" s="15">
        <v>0</v>
      </c>
      <c r="AG48" s="15">
        <v>0</v>
      </c>
      <c r="AH48" s="15">
        <v>0</v>
      </c>
      <c r="AI48" s="15">
        <v>0</v>
      </c>
      <c r="AJ48" s="15">
        <v>0</v>
      </c>
      <c r="AK48" s="15">
        <v>0</v>
      </c>
      <c r="AL48" s="15">
        <v>0</v>
      </c>
      <c r="AM48" s="14">
        <v>0</v>
      </c>
      <c r="AN48" s="14">
        <v>0</v>
      </c>
      <c r="AO48" s="14">
        <v>0</v>
      </c>
      <c r="AP48" s="14">
        <v>0</v>
      </c>
      <c r="AQ48" s="14">
        <v>0</v>
      </c>
      <c r="AR48" s="14">
        <v>0</v>
      </c>
      <c r="AS48" s="14">
        <v>0</v>
      </c>
      <c r="AT48" s="14">
        <v>0</v>
      </c>
      <c r="AU48" s="14">
        <v>0</v>
      </c>
      <c r="AV48" s="14">
        <v>0</v>
      </c>
      <c r="AW48" s="14">
        <v>0</v>
      </c>
      <c r="AX48" s="14">
        <v>0</v>
      </c>
      <c r="AY48" s="14">
        <v>0</v>
      </c>
      <c r="AZ48" s="14">
        <v>0</v>
      </c>
      <c r="BA48" s="14">
        <v>0</v>
      </c>
      <c r="BB48" s="14">
        <v>0</v>
      </c>
      <c r="BC48" s="14">
        <v>0</v>
      </c>
      <c r="BD48" s="14">
        <v>0</v>
      </c>
      <c r="BE48" s="14">
        <v>0</v>
      </c>
      <c r="BF48" s="14"/>
    </row>
    <row r="49" spans="1:58" ht="16">
      <c r="A49" s="14" t="s">
        <v>16922</v>
      </c>
      <c r="B49" s="14" t="s">
        <v>16923</v>
      </c>
      <c r="C49" s="14">
        <v>1</v>
      </c>
      <c r="D49" s="14">
        <v>12</v>
      </c>
      <c r="E49" s="14">
        <v>12</v>
      </c>
      <c r="F49" s="14">
        <v>12</v>
      </c>
      <c r="G49" s="14">
        <v>0</v>
      </c>
      <c r="H49" s="14">
        <v>3</v>
      </c>
      <c r="I49" s="14">
        <v>0</v>
      </c>
      <c r="J49" s="14">
        <v>12</v>
      </c>
      <c r="K49" s="14">
        <v>44</v>
      </c>
      <c r="L49" s="14">
        <v>10</v>
      </c>
      <c r="M49" s="14">
        <v>1</v>
      </c>
      <c r="N49" s="14">
        <v>0</v>
      </c>
      <c r="O49" s="14">
        <v>1</v>
      </c>
      <c r="P49" s="14">
        <v>0</v>
      </c>
      <c r="Q49" s="14">
        <v>0</v>
      </c>
      <c r="R49" s="14">
        <v>0</v>
      </c>
      <c r="S49" s="14">
        <v>66</v>
      </c>
      <c r="T49" s="14">
        <v>28.5</v>
      </c>
      <c r="U49" s="14">
        <v>6</v>
      </c>
      <c r="V49" s="14">
        <v>99.5</v>
      </c>
      <c r="W49" s="15">
        <v>1210</v>
      </c>
      <c r="X49" s="15">
        <v>0</v>
      </c>
      <c r="Y49" s="14">
        <v>10</v>
      </c>
      <c r="Z49" s="14">
        <v>0</v>
      </c>
      <c r="AA49" s="15">
        <v>0</v>
      </c>
      <c r="AB49" s="15">
        <v>500</v>
      </c>
      <c r="AC49" s="15">
        <v>0</v>
      </c>
      <c r="AD49" s="15">
        <v>0</v>
      </c>
      <c r="AE49" s="15">
        <v>0</v>
      </c>
      <c r="AF49" s="15">
        <v>500</v>
      </c>
      <c r="AG49" s="15">
        <v>1330</v>
      </c>
      <c r="AH49" s="15">
        <v>1330</v>
      </c>
      <c r="AI49" s="15">
        <v>0</v>
      </c>
      <c r="AJ49" s="15">
        <v>500</v>
      </c>
      <c r="AK49" s="15">
        <v>1170</v>
      </c>
      <c r="AL49" s="15">
        <v>1170</v>
      </c>
      <c r="AM49" s="14">
        <v>11</v>
      </c>
      <c r="AN49" s="14">
        <v>11</v>
      </c>
      <c r="AO49" s="14">
        <v>11</v>
      </c>
      <c r="AP49" s="14">
        <v>11</v>
      </c>
      <c r="AQ49" s="14">
        <v>11</v>
      </c>
      <c r="AR49" s="14">
        <v>11</v>
      </c>
      <c r="AS49" s="14">
        <v>11</v>
      </c>
      <c r="AT49" s="14">
        <v>44</v>
      </c>
      <c r="AU49" s="14">
        <v>28</v>
      </c>
      <c r="AV49" s="14">
        <v>15</v>
      </c>
      <c r="AW49" s="14">
        <v>7</v>
      </c>
      <c r="AX49" s="14">
        <v>75</v>
      </c>
      <c r="AY49" s="14">
        <v>75</v>
      </c>
      <c r="AZ49" s="14">
        <v>16</v>
      </c>
      <c r="BA49" s="14">
        <v>18</v>
      </c>
      <c r="BB49" s="14">
        <v>21</v>
      </c>
      <c r="BC49" s="14">
        <v>12</v>
      </c>
      <c r="BD49" s="14">
        <v>0</v>
      </c>
      <c r="BE49" s="14">
        <v>0</v>
      </c>
      <c r="BF49" s="14"/>
    </row>
    <row r="50" spans="1:58" ht="16">
      <c r="A50" s="14" t="s">
        <v>16926</v>
      </c>
      <c r="B50" s="14" t="s">
        <v>16926</v>
      </c>
      <c r="C50" s="14">
        <v>0</v>
      </c>
      <c r="D50" s="14">
        <v>5</v>
      </c>
      <c r="E50" s="14">
        <v>5</v>
      </c>
      <c r="F50" s="14">
        <v>5</v>
      </c>
      <c r="G50" s="14">
        <v>0</v>
      </c>
      <c r="H50" s="14">
        <v>1</v>
      </c>
      <c r="I50" s="14">
        <v>0</v>
      </c>
      <c r="J50" s="14">
        <v>5</v>
      </c>
      <c r="K50" s="14">
        <v>50</v>
      </c>
      <c r="L50" s="14">
        <v>5</v>
      </c>
      <c r="M50" s="14">
        <v>5</v>
      </c>
      <c r="N50" s="14">
        <v>5</v>
      </c>
      <c r="O50" s="14">
        <v>5</v>
      </c>
      <c r="P50" s="14">
        <v>5</v>
      </c>
      <c r="Q50" s="14">
        <v>5</v>
      </c>
      <c r="R50" s="14">
        <v>0</v>
      </c>
      <c r="S50" s="14">
        <v>28</v>
      </c>
      <c r="T50" s="14">
        <v>28</v>
      </c>
      <c r="U50" s="14">
        <v>28</v>
      </c>
      <c r="V50" s="14">
        <v>82</v>
      </c>
      <c r="W50" s="15">
        <v>810</v>
      </c>
      <c r="X50" s="15">
        <v>0</v>
      </c>
      <c r="Y50" s="14">
        <v>1</v>
      </c>
      <c r="Z50" s="14">
        <v>3</v>
      </c>
      <c r="AA50" s="15">
        <v>0</v>
      </c>
      <c r="AB50" s="15">
        <v>600</v>
      </c>
      <c r="AC50" s="15">
        <v>0</v>
      </c>
      <c r="AD50" s="15">
        <v>0</v>
      </c>
      <c r="AE50" s="15">
        <v>0</v>
      </c>
      <c r="AF50" s="15">
        <v>600</v>
      </c>
      <c r="AG50" s="15">
        <v>1370</v>
      </c>
      <c r="AH50" s="15">
        <v>1370</v>
      </c>
      <c r="AI50" s="15">
        <v>0</v>
      </c>
      <c r="AJ50" s="15">
        <v>420</v>
      </c>
      <c r="AK50" s="15">
        <v>800</v>
      </c>
      <c r="AL50" s="15">
        <v>800</v>
      </c>
      <c r="AM50" s="14">
        <v>0</v>
      </c>
      <c r="AN50" s="14">
        <v>0</v>
      </c>
      <c r="AO50" s="14">
        <v>0</v>
      </c>
      <c r="AP50" s="14">
        <v>0</v>
      </c>
      <c r="AQ50" s="14">
        <v>0</v>
      </c>
      <c r="AR50" s="14">
        <v>0</v>
      </c>
      <c r="AS50" s="14">
        <v>0</v>
      </c>
      <c r="AT50" s="14">
        <v>50</v>
      </c>
      <c r="AU50" s="14">
        <v>7</v>
      </c>
      <c r="AV50" s="14">
        <v>43</v>
      </c>
      <c r="AW50" s="14">
        <v>0</v>
      </c>
      <c r="AX50" s="14">
        <v>28</v>
      </c>
      <c r="AY50" s="14">
        <v>16</v>
      </c>
      <c r="AZ50" s="14">
        <v>12</v>
      </c>
      <c r="BA50" s="14">
        <v>0</v>
      </c>
      <c r="BB50" s="14">
        <v>28</v>
      </c>
      <c r="BC50" s="14">
        <v>16</v>
      </c>
      <c r="BD50" s="14">
        <v>12</v>
      </c>
      <c r="BE50" s="14">
        <v>0</v>
      </c>
      <c r="BF50" s="14"/>
    </row>
    <row r="51" spans="1:58" ht="16">
      <c r="A51" s="14" t="s">
        <v>16928</v>
      </c>
      <c r="B51" s="14" t="s">
        <v>16929</v>
      </c>
      <c r="C51" s="14">
        <v>0</v>
      </c>
      <c r="D51" s="14">
        <v>0</v>
      </c>
      <c r="E51" s="14">
        <v>0</v>
      </c>
      <c r="F51" s="14">
        <v>0</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5">
        <v>0</v>
      </c>
      <c r="X51" s="15">
        <v>0</v>
      </c>
      <c r="Y51" s="14">
        <v>0</v>
      </c>
      <c r="Z51" s="14">
        <v>0</v>
      </c>
      <c r="AA51" s="15">
        <v>0</v>
      </c>
      <c r="AB51" s="15">
        <v>0</v>
      </c>
      <c r="AC51" s="15">
        <v>0</v>
      </c>
      <c r="AD51" s="15">
        <v>0</v>
      </c>
      <c r="AE51" s="15">
        <v>0</v>
      </c>
      <c r="AF51" s="15">
        <v>0</v>
      </c>
      <c r="AG51" s="15">
        <v>0</v>
      </c>
      <c r="AH51" s="15">
        <v>0</v>
      </c>
      <c r="AI51" s="15">
        <v>0</v>
      </c>
      <c r="AJ51" s="15">
        <v>0</v>
      </c>
      <c r="AK51" s="15">
        <v>0</v>
      </c>
      <c r="AL51" s="15">
        <v>0</v>
      </c>
      <c r="AM51" s="14">
        <v>0</v>
      </c>
      <c r="AN51" s="14">
        <v>0</v>
      </c>
      <c r="AO51" s="14">
        <v>0</v>
      </c>
      <c r="AP51" s="14">
        <v>0</v>
      </c>
      <c r="AQ51" s="14">
        <v>0</v>
      </c>
      <c r="AR51" s="14">
        <v>0</v>
      </c>
      <c r="AS51" s="14">
        <v>0</v>
      </c>
      <c r="AT51" s="14">
        <v>0</v>
      </c>
      <c r="AU51" s="14">
        <v>0</v>
      </c>
      <c r="AV51" s="14">
        <v>0</v>
      </c>
      <c r="AW51" s="14">
        <v>0</v>
      </c>
      <c r="AX51" s="14">
        <v>0</v>
      </c>
      <c r="AY51" s="14">
        <v>0</v>
      </c>
      <c r="AZ51" s="14">
        <v>0</v>
      </c>
      <c r="BA51" s="14">
        <v>0</v>
      </c>
      <c r="BB51" s="14">
        <v>0</v>
      </c>
      <c r="BC51" s="14">
        <v>0</v>
      </c>
      <c r="BD51" s="14">
        <v>0</v>
      </c>
      <c r="BE51" s="14">
        <v>0</v>
      </c>
      <c r="BF51" s="16">
        <v>16046</v>
      </c>
    </row>
    <row r="52" spans="1:58" ht="16">
      <c r="A52" s="14" t="s">
        <v>16930</v>
      </c>
      <c r="B52" s="14" t="s">
        <v>16931</v>
      </c>
      <c r="C52" s="14">
        <v>0</v>
      </c>
      <c r="D52" s="14">
        <v>1</v>
      </c>
      <c r="E52" s="14">
        <v>1</v>
      </c>
      <c r="F52" s="14">
        <v>1</v>
      </c>
      <c r="G52" s="14">
        <v>0</v>
      </c>
      <c r="H52" s="14">
        <v>0</v>
      </c>
      <c r="I52" s="14">
        <v>0</v>
      </c>
      <c r="J52" s="14">
        <v>1</v>
      </c>
      <c r="K52" s="14">
        <v>10</v>
      </c>
      <c r="L52" s="14">
        <v>0</v>
      </c>
      <c r="M52" s="14">
        <v>1</v>
      </c>
      <c r="N52" s="14">
        <v>0</v>
      </c>
      <c r="O52" s="14">
        <v>0</v>
      </c>
      <c r="P52" s="14">
        <v>0</v>
      </c>
      <c r="Q52" s="14">
        <v>0</v>
      </c>
      <c r="R52" s="14">
        <v>0</v>
      </c>
      <c r="S52" s="14">
        <v>0</v>
      </c>
      <c r="T52" s="14">
        <v>0</v>
      </c>
      <c r="U52" s="14">
        <v>0</v>
      </c>
      <c r="V52" s="14">
        <v>0</v>
      </c>
      <c r="W52" s="15">
        <v>0</v>
      </c>
      <c r="X52" s="15">
        <v>0</v>
      </c>
      <c r="Y52" s="14">
        <v>0</v>
      </c>
      <c r="Z52" s="14">
        <v>0</v>
      </c>
      <c r="AA52" s="15">
        <v>0</v>
      </c>
      <c r="AB52" s="15">
        <v>0</v>
      </c>
      <c r="AC52" s="15">
        <v>0</v>
      </c>
      <c r="AD52" s="15">
        <v>0</v>
      </c>
      <c r="AE52" s="15">
        <v>0</v>
      </c>
      <c r="AF52" s="15">
        <v>0</v>
      </c>
      <c r="AG52" s="15">
        <v>0</v>
      </c>
      <c r="AH52" s="15">
        <v>0</v>
      </c>
      <c r="AI52" s="15">
        <v>0</v>
      </c>
      <c r="AJ52" s="15">
        <v>0</v>
      </c>
      <c r="AK52" s="15">
        <v>0</v>
      </c>
      <c r="AL52" s="15">
        <v>0</v>
      </c>
      <c r="AM52" s="14">
        <v>0</v>
      </c>
      <c r="AN52" s="14">
        <v>0</v>
      </c>
      <c r="AO52" s="14">
        <v>0</v>
      </c>
      <c r="AP52" s="14">
        <v>0</v>
      </c>
      <c r="AQ52" s="14">
        <v>0</v>
      </c>
      <c r="AR52" s="14">
        <v>0</v>
      </c>
      <c r="AS52" s="14">
        <v>0</v>
      </c>
      <c r="AT52" s="14">
        <v>10</v>
      </c>
      <c r="AU52" s="14">
        <v>0</v>
      </c>
      <c r="AV52" s="14">
        <v>10</v>
      </c>
      <c r="AW52" s="14">
        <v>0</v>
      </c>
      <c r="AX52" s="14">
        <v>0</v>
      </c>
      <c r="AY52" s="14">
        <v>0</v>
      </c>
      <c r="AZ52" s="14">
        <v>0</v>
      </c>
      <c r="BA52" s="14">
        <v>0</v>
      </c>
      <c r="BB52" s="14">
        <v>0</v>
      </c>
      <c r="BC52" s="14">
        <v>0</v>
      </c>
      <c r="BD52" s="14">
        <v>0</v>
      </c>
      <c r="BE52" s="14">
        <v>0</v>
      </c>
      <c r="BF52" s="14">
        <v>0</v>
      </c>
    </row>
    <row r="53" spans="1:58" ht="16">
      <c r="A53" s="14" t="s">
        <v>17222</v>
      </c>
      <c r="B53" s="14" t="s">
        <v>17223</v>
      </c>
      <c r="C53" s="14">
        <v>0</v>
      </c>
      <c r="D53" s="14">
        <v>18</v>
      </c>
      <c r="E53" s="14">
        <v>11</v>
      </c>
      <c r="F53" s="14">
        <v>15</v>
      </c>
      <c r="G53" s="14">
        <v>1</v>
      </c>
      <c r="H53" s="14">
        <v>5</v>
      </c>
      <c r="I53" s="14">
        <v>0</v>
      </c>
      <c r="J53" s="14">
        <v>18</v>
      </c>
      <c r="K53" s="14">
        <v>216</v>
      </c>
      <c r="L53" s="14">
        <v>5</v>
      </c>
      <c r="M53" s="14">
        <v>1</v>
      </c>
      <c r="N53" s="14">
        <v>10</v>
      </c>
      <c r="O53" s="14">
        <v>0</v>
      </c>
      <c r="P53" s="14">
        <v>0</v>
      </c>
      <c r="Q53" s="14">
        <v>1</v>
      </c>
      <c r="R53" s="14">
        <v>0</v>
      </c>
      <c r="S53" s="14">
        <v>11.25</v>
      </c>
      <c r="T53" s="14">
        <v>5.75</v>
      </c>
      <c r="U53" s="14">
        <v>0</v>
      </c>
      <c r="V53" s="14">
        <v>17</v>
      </c>
      <c r="W53" s="15">
        <v>227.5</v>
      </c>
      <c r="X53" s="15">
        <v>0</v>
      </c>
      <c r="Y53" s="14">
        <v>10</v>
      </c>
      <c r="Z53" s="14">
        <v>1</v>
      </c>
      <c r="AA53" s="15">
        <v>0</v>
      </c>
      <c r="AB53" s="15">
        <v>0</v>
      </c>
      <c r="AC53" s="15">
        <v>129.69999999999999</v>
      </c>
      <c r="AD53" s="15">
        <v>129.69999999999999</v>
      </c>
      <c r="AE53" s="15">
        <v>129.69999999999999</v>
      </c>
      <c r="AF53" s="15">
        <v>129.69999999999999</v>
      </c>
      <c r="AG53" s="15">
        <v>357.2</v>
      </c>
      <c r="AH53" s="15">
        <v>227.5</v>
      </c>
      <c r="AI53" s="15">
        <v>114.3</v>
      </c>
      <c r="AJ53" s="15">
        <v>114.3</v>
      </c>
      <c r="AK53" s="15">
        <v>194.3</v>
      </c>
      <c r="AL53" s="15">
        <v>80</v>
      </c>
      <c r="AM53" s="14">
        <v>5</v>
      </c>
      <c r="AN53" s="14">
        <v>2</v>
      </c>
      <c r="AO53" s="14">
        <v>0</v>
      </c>
      <c r="AP53" s="14">
        <v>1</v>
      </c>
      <c r="AQ53" s="14">
        <v>0</v>
      </c>
      <c r="AR53" s="14">
        <v>0</v>
      </c>
      <c r="AS53" s="14">
        <v>0</v>
      </c>
      <c r="AT53" s="14">
        <v>216</v>
      </c>
      <c r="AU53" s="14">
        <v>79</v>
      </c>
      <c r="AV53" s="14">
        <v>137</v>
      </c>
      <c r="AW53" s="14">
        <v>0</v>
      </c>
      <c r="AX53" s="14">
        <v>11.25</v>
      </c>
      <c r="AY53" s="14">
        <v>6</v>
      </c>
      <c r="AZ53" s="14">
        <v>5.25</v>
      </c>
      <c r="BA53" s="14">
        <v>0</v>
      </c>
      <c r="BB53" s="14">
        <v>5.75</v>
      </c>
      <c r="BC53" s="14">
        <v>1</v>
      </c>
      <c r="BD53" s="14">
        <v>4.75</v>
      </c>
      <c r="BE53" s="14">
        <v>0</v>
      </c>
      <c r="BF53" s="16">
        <v>6215</v>
      </c>
    </row>
    <row r="54" spans="1:58" ht="16">
      <c r="A54" s="14" t="s">
        <v>16943</v>
      </c>
      <c r="B54" s="14" t="s">
        <v>16944</v>
      </c>
      <c r="C54" s="14">
        <v>0</v>
      </c>
      <c r="D54" s="14">
        <v>0</v>
      </c>
      <c r="E54" s="14">
        <v>0</v>
      </c>
      <c r="F54" s="14">
        <v>0</v>
      </c>
      <c r="G54" s="14">
        <v>0</v>
      </c>
      <c r="H54" s="14">
        <v>0</v>
      </c>
      <c r="I54" s="14">
        <v>0</v>
      </c>
      <c r="J54" s="14">
        <v>0</v>
      </c>
      <c r="K54" s="14">
        <v>0</v>
      </c>
      <c r="L54" s="14">
        <v>0</v>
      </c>
      <c r="M54" s="14">
        <v>0</v>
      </c>
      <c r="N54" s="14">
        <v>0</v>
      </c>
      <c r="O54" s="14">
        <v>0</v>
      </c>
      <c r="P54" s="14">
        <v>0</v>
      </c>
      <c r="Q54" s="14">
        <v>0</v>
      </c>
      <c r="R54" s="14">
        <v>0</v>
      </c>
      <c r="S54" s="14">
        <v>0</v>
      </c>
      <c r="T54" s="14">
        <v>0</v>
      </c>
      <c r="U54" s="14">
        <v>0</v>
      </c>
      <c r="V54" s="14">
        <v>0</v>
      </c>
      <c r="W54" s="15">
        <v>0</v>
      </c>
      <c r="X54" s="15">
        <v>0</v>
      </c>
      <c r="Y54" s="14">
        <v>0</v>
      </c>
      <c r="Z54" s="14">
        <v>0</v>
      </c>
      <c r="AA54" s="15">
        <v>0</v>
      </c>
      <c r="AB54" s="15">
        <v>0</v>
      </c>
      <c r="AC54" s="15">
        <v>0</v>
      </c>
      <c r="AD54" s="15">
        <v>0</v>
      </c>
      <c r="AE54" s="15">
        <v>0</v>
      </c>
      <c r="AF54" s="15">
        <v>0</v>
      </c>
      <c r="AG54" s="15">
        <v>0</v>
      </c>
      <c r="AH54" s="15">
        <v>0</v>
      </c>
      <c r="AI54" s="15">
        <v>0</v>
      </c>
      <c r="AJ54" s="15">
        <v>0</v>
      </c>
      <c r="AK54" s="15">
        <v>0</v>
      </c>
      <c r="AL54" s="15">
        <v>0</v>
      </c>
      <c r="AM54" s="14">
        <v>0</v>
      </c>
      <c r="AN54" s="14">
        <v>0</v>
      </c>
      <c r="AO54" s="14">
        <v>0</v>
      </c>
      <c r="AP54" s="14">
        <v>0</v>
      </c>
      <c r="AQ54" s="14">
        <v>0</v>
      </c>
      <c r="AR54" s="14">
        <v>0</v>
      </c>
      <c r="AS54" s="14">
        <v>0</v>
      </c>
      <c r="AT54" s="14">
        <v>0</v>
      </c>
      <c r="AU54" s="14">
        <v>0</v>
      </c>
      <c r="AV54" s="14">
        <v>0</v>
      </c>
      <c r="AW54" s="14">
        <v>0</v>
      </c>
      <c r="AX54" s="14">
        <v>0</v>
      </c>
      <c r="AY54" s="14">
        <v>0</v>
      </c>
      <c r="AZ54" s="14">
        <v>0</v>
      </c>
      <c r="BA54" s="14">
        <v>0</v>
      </c>
      <c r="BB54" s="14">
        <v>0</v>
      </c>
      <c r="BC54" s="14">
        <v>0</v>
      </c>
      <c r="BD54" s="14">
        <v>0</v>
      </c>
      <c r="BE54" s="14">
        <v>0</v>
      </c>
      <c r="BF54" s="14">
        <v>1</v>
      </c>
    </row>
    <row r="55" spans="1:58" ht="16">
      <c r="A55" s="14" t="s">
        <v>16908</v>
      </c>
      <c r="B55" s="14" t="s">
        <v>16909</v>
      </c>
      <c r="C55" s="14">
        <v>0</v>
      </c>
      <c r="D55" s="14">
        <v>13</v>
      </c>
      <c r="E55" s="14">
        <v>7</v>
      </c>
      <c r="F55" s="14">
        <v>0</v>
      </c>
      <c r="G55" s="14">
        <v>0</v>
      </c>
      <c r="H55" s="14">
        <v>0</v>
      </c>
      <c r="I55" s="14">
        <v>0</v>
      </c>
      <c r="J55" s="14">
        <v>13</v>
      </c>
      <c r="K55" s="14">
        <v>63</v>
      </c>
      <c r="L55" s="14">
        <v>11</v>
      </c>
      <c r="M55" s="14">
        <v>0</v>
      </c>
      <c r="N55" s="14">
        <v>0</v>
      </c>
      <c r="O55" s="14">
        <v>3</v>
      </c>
      <c r="P55" s="14">
        <v>0</v>
      </c>
      <c r="Q55" s="14">
        <v>0</v>
      </c>
      <c r="R55" s="14">
        <v>0</v>
      </c>
      <c r="S55" s="14">
        <v>0</v>
      </c>
      <c r="T55" s="14">
        <v>0</v>
      </c>
      <c r="U55" s="14">
        <v>0</v>
      </c>
      <c r="V55" s="14">
        <v>0</v>
      </c>
      <c r="W55" s="15">
        <v>0</v>
      </c>
      <c r="X55" s="15">
        <v>0</v>
      </c>
      <c r="Y55" s="14">
        <v>0</v>
      </c>
      <c r="Z55" s="14">
        <v>0</v>
      </c>
      <c r="AA55" s="15">
        <v>0</v>
      </c>
      <c r="AB55" s="15">
        <v>0</v>
      </c>
      <c r="AC55" s="15">
        <v>3.5</v>
      </c>
      <c r="AD55" s="15">
        <v>3.5</v>
      </c>
      <c r="AE55" s="15">
        <v>3.5</v>
      </c>
      <c r="AF55" s="15">
        <v>3.5</v>
      </c>
      <c r="AG55" s="15">
        <v>3.5</v>
      </c>
      <c r="AH55" s="15">
        <v>0</v>
      </c>
      <c r="AI55" s="15">
        <v>0</v>
      </c>
      <c r="AJ55" s="15">
        <v>0</v>
      </c>
      <c r="AK55" s="15">
        <v>0</v>
      </c>
      <c r="AL55" s="15">
        <v>0</v>
      </c>
      <c r="AM55" s="14">
        <v>1</v>
      </c>
      <c r="AN55" s="14">
        <v>0</v>
      </c>
      <c r="AO55" s="14">
        <v>0</v>
      </c>
      <c r="AP55" s="14">
        <v>0</v>
      </c>
      <c r="AQ55" s="14">
        <v>0</v>
      </c>
      <c r="AR55" s="14">
        <v>0</v>
      </c>
      <c r="AS55" s="14">
        <v>0</v>
      </c>
      <c r="AT55" s="14">
        <v>63</v>
      </c>
      <c r="AU55" s="14">
        <v>0</v>
      </c>
      <c r="AV55" s="14">
        <v>63</v>
      </c>
      <c r="AW55" s="14">
        <v>0</v>
      </c>
      <c r="AX55" s="14">
        <v>0</v>
      </c>
      <c r="AY55" s="14">
        <v>0</v>
      </c>
      <c r="AZ55" s="14">
        <v>0</v>
      </c>
      <c r="BA55" s="14">
        <v>0</v>
      </c>
      <c r="BB55" s="14">
        <v>0</v>
      </c>
      <c r="BC55" s="14">
        <v>0</v>
      </c>
      <c r="BD55" s="14">
        <v>0</v>
      </c>
      <c r="BE55" s="14">
        <v>0</v>
      </c>
      <c r="BF55" s="14"/>
    </row>
    <row r="56" spans="1:58" ht="16">
      <c r="A56" s="14" t="s">
        <v>16908</v>
      </c>
      <c r="B56" s="14" t="s">
        <v>16909</v>
      </c>
      <c r="C56" s="14">
        <v>0</v>
      </c>
      <c r="D56" s="14">
        <v>11</v>
      </c>
      <c r="E56" s="14">
        <v>9</v>
      </c>
      <c r="F56" s="14">
        <v>0</v>
      </c>
      <c r="G56" s="14">
        <v>2</v>
      </c>
      <c r="H56" s="14">
        <v>0</v>
      </c>
      <c r="I56" s="14">
        <v>0</v>
      </c>
      <c r="J56" s="14">
        <v>10</v>
      </c>
      <c r="K56" s="14">
        <v>56</v>
      </c>
      <c r="L56" s="14">
        <v>9</v>
      </c>
      <c r="M56" s="14">
        <v>2</v>
      </c>
      <c r="N56" s="14">
        <v>1</v>
      </c>
      <c r="O56" s="14">
        <v>1</v>
      </c>
      <c r="P56" s="14">
        <v>0</v>
      </c>
      <c r="Q56" s="14">
        <v>0</v>
      </c>
      <c r="R56" s="14">
        <v>0</v>
      </c>
      <c r="S56" s="14">
        <v>0</v>
      </c>
      <c r="T56" s="14">
        <v>0</v>
      </c>
      <c r="U56" s="14">
        <v>0</v>
      </c>
      <c r="V56" s="14">
        <v>0</v>
      </c>
      <c r="W56" s="15">
        <v>0</v>
      </c>
      <c r="X56" s="15">
        <v>0</v>
      </c>
      <c r="Y56" s="14">
        <v>0</v>
      </c>
      <c r="Z56" s="14">
        <v>0</v>
      </c>
      <c r="AA56" s="15">
        <v>0</v>
      </c>
      <c r="AB56" s="15">
        <v>0</v>
      </c>
      <c r="AC56" s="15">
        <v>0</v>
      </c>
      <c r="AD56" s="15">
        <v>0</v>
      </c>
      <c r="AE56" s="15">
        <v>0</v>
      </c>
      <c r="AF56" s="15">
        <v>0</v>
      </c>
      <c r="AG56" s="15">
        <v>0</v>
      </c>
      <c r="AH56" s="15">
        <v>0</v>
      </c>
      <c r="AI56" s="15">
        <v>0</v>
      </c>
      <c r="AJ56" s="15">
        <v>0</v>
      </c>
      <c r="AK56" s="15">
        <v>0</v>
      </c>
      <c r="AL56" s="15">
        <v>0</v>
      </c>
      <c r="AM56" s="14">
        <v>0</v>
      </c>
      <c r="AN56" s="14">
        <v>0</v>
      </c>
      <c r="AO56" s="14">
        <v>0</v>
      </c>
      <c r="AP56" s="14">
        <v>0</v>
      </c>
      <c r="AQ56" s="14">
        <v>0</v>
      </c>
      <c r="AR56" s="14">
        <v>0</v>
      </c>
      <c r="AS56" s="14">
        <v>0</v>
      </c>
      <c r="AT56" s="14">
        <v>56</v>
      </c>
      <c r="AU56" s="14">
        <v>0</v>
      </c>
      <c r="AV56" s="14">
        <v>56</v>
      </c>
      <c r="AW56" s="14">
        <v>0</v>
      </c>
      <c r="AX56" s="14">
        <v>0</v>
      </c>
      <c r="AY56" s="14">
        <v>0</v>
      </c>
      <c r="AZ56" s="14">
        <v>0</v>
      </c>
      <c r="BA56" s="14">
        <v>0</v>
      </c>
      <c r="BB56" s="14">
        <v>0</v>
      </c>
      <c r="BC56" s="14">
        <v>0</v>
      </c>
      <c r="BD56" s="14">
        <v>0</v>
      </c>
      <c r="BE56" s="14">
        <v>0</v>
      </c>
      <c r="BF56" s="14"/>
    </row>
    <row r="57" spans="1:58" ht="16">
      <c r="A57" s="14" t="s">
        <v>17224</v>
      </c>
      <c r="B57" s="14" t="s">
        <v>17225</v>
      </c>
      <c r="C57" s="14">
        <v>0</v>
      </c>
      <c r="D57" s="14">
        <v>3</v>
      </c>
      <c r="E57" s="14">
        <v>3</v>
      </c>
      <c r="F57" s="14">
        <v>3</v>
      </c>
      <c r="G57" s="14">
        <v>1</v>
      </c>
      <c r="H57" s="14">
        <v>0</v>
      </c>
      <c r="I57" s="14">
        <v>0</v>
      </c>
      <c r="J57" s="14">
        <v>3</v>
      </c>
      <c r="K57" s="14">
        <v>32</v>
      </c>
      <c r="L57" s="14">
        <v>3</v>
      </c>
      <c r="M57" s="14">
        <v>0</v>
      </c>
      <c r="N57" s="14">
        <v>0</v>
      </c>
      <c r="O57" s="14">
        <v>0</v>
      </c>
      <c r="P57" s="14">
        <v>0</v>
      </c>
      <c r="Q57" s="14">
        <v>0</v>
      </c>
      <c r="R57" s="14">
        <v>0</v>
      </c>
      <c r="S57" s="14">
        <v>0.75</v>
      </c>
      <c r="T57" s="14">
        <v>0.75</v>
      </c>
      <c r="U57" s="14">
        <v>0</v>
      </c>
      <c r="V57" s="14">
        <v>1.5</v>
      </c>
      <c r="W57" s="15">
        <v>22.5</v>
      </c>
      <c r="X57" s="15">
        <v>0</v>
      </c>
      <c r="Y57" s="14">
        <v>3</v>
      </c>
      <c r="Z57" s="14">
        <v>0</v>
      </c>
      <c r="AA57" s="15">
        <v>0</v>
      </c>
      <c r="AB57" s="15">
        <v>0</v>
      </c>
      <c r="AC57" s="15">
        <v>1</v>
      </c>
      <c r="AD57" s="15">
        <v>0</v>
      </c>
      <c r="AE57" s="15">
        <v>0</v>
      </c>
      <c r="AF57" s="15">
        <v>0</v>
      </c>
      <c r="AG57" s="15">
        <v>23.5</v>
      </c>
      <c r="AH57" s="15">
        <v>23.5</v>
      </c>
      <c r="AI57" s="15">
        <v>0</v>
      </c>
      <c r="AJ57" s="15">
        <v>0</v>
      </c>
      <c r="AK57" s="15">
        <v>0</v>
      </c>
      <c r="AL57" s="15">
        <v>0</v>
      </c>
      <c r="AM57" s="14">
        <v>0</v>
      </c>
      <c r="AN57" s="14">
        <v>0</v>
      </c>
      <c r="AO57" s="14">
        <v>0</v>
      </c>
      <c r="AP57" s="14">
        <v>0</v>
      </c>
      <c r="AQ57" s="14">
        <v>0</v>
      </c>
      <c r="AR57" s="14">
        <v>0</v>
      </c>
      <c r="AS57" s="14">
        <v>0</v>
      </c>
      <c r="AT57" s="14">
        <v>32</v>
      </c>
      <c r="AU57" s="14">
        <v>0</v>
      </c>
      <c r="AV57" s="14">
        <v>32</v>
      </c>
      <c r="AW57" s="14">
        <v>0</v>
      </c>
      <c r="AX57" s="14">
        <v>0.75</v>
      </c>
      <c r="AY57" s="14">
        <v>0</v>
      </c>
      <c r="AZ57" s="14">
        <v>0.75</v>
      </c>
      <c r="BA57" s="14">
        <v>0</v>
      </c>
      <c r="BB57" s="14">
        <v>0.75</v>
      </c>
      <c r="BC57" s="14">
        <v>0</v>
      </c>
      <c r="BD57" s="14">
        <v>0.75</v>
      </c>
      <c r="BE57" s="14">
        <v>0</v>
      </c>
      <c r="BF57" s="14"/>
    </row>
    <row r="58" spans="1:58" ht="16">
      <c r="A58" s="14" t="s">
        <v>16945</v>
      </c>
      <c r="B58" s="14" t="s">
        <v>16946</v>
      </c>
      <c r="C58" s="14">
        <v>0</v>
      </c>
      <c r="D58" s="14">
        <v>0</v>
      </c>
      <c r="E58" s="14">
        <v>0</v>
      </c>
      <c r="F58" s="14">
        <v>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5">
        <v>0</v>
      </c>
      <c r="X58" s="15">
        <v>0</v>
      </c>
      <c r="Y58" s="14">
        <v>0</v>
      </c>
      <c r="Z58" s="14">
        <v>0</v>
      </c>
      <c r="AA58" s="15">
        <v>0</v>
      </c>
      <c r="AB58" s="15">
        <v>0</v>
      </c>
      <c r="AC58" s="15">
        <v>0</v>
      </c>
      <c r="AD58" s="15">
        <v>0</v>
      </c>
      <c r="AE58" s="15">
        <v>0</v>
      </c>
      <c r="AF58" s="15">
        <v>0</v>
      </c>
      <c r="AG58" s="15">
        <v>0</v>
      </c>
      <c r="AH58" s="15">
        <v>0</v>
      </c>
      <c r="AI58" s="15">
        <v>0</v>
      </c>
      <c r="AJ58" s="15">
        <v>0</v>
      </c>
      <c r="AK58" s="15">
        <v>0</v>
      </c>
      <c r="AL58" s="15">
        <v>0</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0</v>
      </c>
      <c r="BF58" s="14">
        <v>0</v>
      </c>
    </row>
    <row r="59" spans="1:58" ht="16">
      <c r="A59" s="14" t="s">
        <v>16951</v>
      </c>
      <c r="B59" s="14" t="s">
        <v>17398</v>
      </c>
      <c r="C59" s="14">
        <v>0</v>
      </c>
      <c r="D59" s="14">
        <v>0</v>
      </c>
      <c r="E59" s="14">
        <v>0</v>
      </c>
      <c r="F59" s="14">
        <v>0</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5">
        <v>0</v>
      </c>
      <c r="X59" s="15">
        <v>0</v>
      </c>
      <c r="Y59" s="14">
        <v>0</v>
      </c>
      <c r="Z59" s="14">
        <v>0</v>
      </c>
      <c r="AA59" s="15">
        <v>0</v>
      </c>
      <c r="AB59" s="15">
        <v>0</v>
      </c>
      <c r="AC59" s="15">
        <v>0</v>
      </c>
      <c r="AD59" s="15">
        <v>0</v>
      </c>
      <c r="AE59" s="15">
        <v>0</v>
      </c>
      <c r="AF59" s="15">
        <v>0</v>
      </c>
      <c r="AG59" s="15">
        <v>0</v>
      </c>
      <c r="AH59" s="15">
        <v>0</v>
      </c>
      <c r="AI59" s="15">
        <v>0</v>
      </c>
      <c r="AJ59" s="15">
        <v>0</v>
      </c>
      <c r="AK59" s="15">
        <v>0</v>
      </c>
      <c r="AL59" s="15">
        <v>0</v>
      </c>
      <c r="AM59" s="14">
        <v>0</v>
      </c>
      <c r="AN59" s="14">
        <v>0</v>
      </c>
      <c r="AO59" s="14">
        <v>0</v>
      </c>
      <c r="AP59" s="14">
        <v>0</v>
      </c>
      <c r="AQ59" s="14">
        <v>0</v>
      </c>
      <c r="AR59" s="14">
        <v>0</v>
      </c>
      <c r="AS59" s="14">
        <v>0</v>
      </c>
      <c r="AT59" s="14">
        <v>0</v>
      </c>
      <c r="AU59" s="14">
        <v>0</v>
      </c>
      <c r="AV59" s="14">
        <v>0</v>
      </c>
      <c r="AW59" s="14">
        <v>0</v>
      </c>
      <c r="AX59" s="14">
        <v>0</v>
      </c>
      <c r="AY59" s="14">
        <v>0</v>
      </c>
      <c r="AZ59" s="14">
        <v>0</v>
      </c>
      <c r="BA59" s="14">
        <v>0</v>
      </c>
      <c r="BB59" s="14">
        <v>0</v>
      </c>
      <c r="BC59" s="14">
        <v>0</v>
      </c>
      <c r="BD59" s="14">
        <v>0</v>
      </c>
      <c r="BE59" s="14">
        <v>0</v>
      </c>
      <c r="BF59" s="14">
        <v>0</v>
      </c>
    </row>
    <row r="60" spans="1:58" ht="16">
      <c r="A60" s="14" t="s">
        <v>16954</v>
      </c>
      <c r="B60" s="14" t="s">
        <v>16955</v>
      </c>
      <c r="C60" s="14">
        <v>0</v>
      </c>
      <c r="D60" s="14">
        <v>9</v>
      </c>
      <c r="E60" s="14">
        <v>9</v>
      </c>
      <c r="F60" s="14">
        <v>9</v>
      </c>
      <c r="G60" s="14">
        <v>0</v>
      </c>
      <c r="H60" s="14">
        <v>2</v>
      </c>
      <c r="I60" s="14">
        <v>0</v>
      </c>
      <c r="J60" s="14">
        <v>9</v>
      </c>
      <c r="K60" s="14">
        <v>63</v>
      </c>
      <c r="L60" s="14">
        <v>4</v>
      </c>
      <c r="M60" s="14">
        <v>0</v>
      </c>
      <c r="N60" s="14">
        <v>0</v>
      </c>
      <c r="O60" s="14">
        <v>5</v>
      </c>
      <c r="P60" s="14">
        <v>0</v>
      </c>
      <c r="Q60" s="14">
        <v>0</v>
      </c>
      <c r="R60" s="14">
        <v>0</v>
      </c>
      <c r="S60" s="14">
        <v>3.5</v>
      </c>
      <c r="T60" s="14">
        <v>38</v>
      </c>
      <c r="U60" s="14">
        <v>0</v>
      </c>
      <c r="V60" s="14">
        <v>41.5</v>
      </c>
      <c r="W60" s="15">
        <v>795</v>
      </c>
      <c r="X60" s="15">
        <v>0</v>
      </c>
      <c r="Y60" s="14">
        <v>2</v>
      </c>
      <c r="Z60" s="14">
        <v>1</v>
      </c>
      <c r="AA60" s="15">
        <v>0</v>
      </c>
      <c r="AB60" s="15">
        <v>675</v>
      </c>
      <c r="AC60" s="15">
        <v>129.1</v>
      </c>
      <c r="AD60" s="15">
        <v>129.1</v>
      </c>
      <c r="AE60" s="15">
        <v>804.1</v>
      </c>
      <c r="AF60" s="15">
        <v>804.1</v>
      </c>
      <c r="AG60" s="15">
        <v>924.1</v>
      </c>
      <c r="AH60" s="15">
        <v>120</v>
      </c>
      <c r="AI60" s="15">
        <v>686.1</v>
      </c>
      <c r="AJ60" s="15">
        <v>686.1</v>
      </c>
      <c r="AK60" s="15">
        <v>776.1</v>
      </c>
      <c r="AL60" s="15">
        <v>90</v>
      </c>
      <c r="AM60" s="14">
        <v>0</v>
      </c>
      <c r="AN60" s="14">
        <v>1</v>
      </c>
      <c r="AO60" s="14">
        <v>1</v>
      </c>
      <c r="AP60" s="14">
        <v>1</v>
      </c>
      <c r="AQ60" s="14">
        <v>1</v>
      </c>
      <c r="AR60" s="14">
        <v>0</v>
      </c>
      <c r="AS60" s="14">
        <v>0</v>
      </c>
      <c r="AT60" s="14">
        <v>63</v>
      </c>
      <c r="AU60" s="14">
        <v>46</v>
      </c>
      <c r="AV60" s="14">
        <v>17</v>
      </c>
      <c r="AW60" s="14">
        <v>0</v>
      </c>
      <c r="AX60" s="14">
        <v>3.5</v>
      </c>
      <c r="AY60" s="14">
        <v>1.5</v>
      </c>
      <c r="AZ60" s="14">
        <v>2</v>
      </c>
      <c r="BA60" s="14">
        <v>0</v>
      </c>
      <c r="BB60" s="14">
        <v>38</v>
      </c>
      <c r="BC60" s="14">
        <v>35</v>
      </c>
      <c r="BD60" s="14">
        <v>3</v>
      </c>
      <c r="BE60" s="14">
        <v>0</v>
      </c>
      <c r="BF60" s="16">
        <v>5395</v>
      </c>
    </row>
    <row r="61" spans="1:58" ht="16">
      <c r="A61" s="14" t="s">
        <v>16956</v>
      </c>
      <c r="B61" s="14" t="s">
        <v>16957</v>
      </c>
      <c r="C61" s="14">
        <v>0</v>
      </c>
      <c r="D61" s="14">
        <v>0</v>
      </c>
      <c r="E61" s="14">
        <v>0</v>
      </c>
      <c r="F61" s="14">
        <v>0</v>
      </c>
      <c r="G61" s="14">
        <v>0</v>
      </c>
      <c r="H61" s="14">
        <v>0</v>
      </c>
      <c r="I61" s="14">
        <v>0</v>
      </c>
      <c r="J61" s="14">
        <v>0</v>
      </c>
      <c r="K61" s="14">
        <v>0</v>
      </c>
      <c r="L61" s="14">
        <v>0</v>
      </c>
      <c r="M61" s="14">
        <v>0</v>
      </c>
      <c r="N61" s="14">
        <v>0</v>
      </c>
      <c r="O61" s="14">
        <v>0</v>
      </c>
      <c r="P61" s="14">
        <v>0</v>
      </c>
      <c r="Q61" s="14">
        <v>0</v>
      </c>
      <c r="R61" s="14">
        <v>0</v>
      </c>
      <c r="S61" s="14">
        <v>0</v>
      </c>
      <c r="T61" s="14">
        <v>0</v>
      </c>
      <c r="U61" s="14">
        <v>0</v>
      </c>
      <c r="V61" s="14">
        <v>0</v>
      </c>
      <c r="W61" s="15">
        <v>0</v>
      </c>
      <c r="X61" s="15">
        <v>0</v>
      </c>
      <c r="Y61" s="14">
        <v>0</v>
      </c>
      <c r="Z61" s="14">
        <v>0</v>
      </c>
      <c r="AA61" s="15">
        <v>0</v>
      </c>
      <c r="AB61" s="15">
        <v>0</v>
      </c>
      <c r="AC61" s="15">
        <v>0</v>
      </c>
      <c r="AD61" s="15">
        <v>0</v>
      </c>
      <c r="AE61" s="15">
        <v>0</v>
      </c>
      <c r="AF61" s="15">
        <v>0</v>
      </c>
      <c r="AG61" s="15">
        <v>0</v>
      </c>
      <c r="AH61" s="15">
        <v>0</v>
      </c>
      <c r="AI61" s="15">
        <v>0</v>
      </c>
      <c r="AJ61" s="15">
        <v>0</v>
      </c>
      <c r="AK61" s="15">
        <v>0</v>
      </c>
      <c r="AL61" s="15">
        <v>0</v>
      </c>
      <c r="AM61" s="14">
        <v>0</v>
      </c>
      <c r="AN61" s="14">
        <v>0</v>
      </c>
      <c r="AO61" s="14">
        <v>0</v>
      </c>
      <c r="AP61" s="14">
        <v>0</v>
      </c>
      <c r="AQ61" s="14">
        <v>0</v>
      </c>
      <c r="AR61" s="14">
        <v>0</v>
      </c>
      <c r="AS61" s="14">
        <v>0</v>
      </c>
      <c r="AT61" s="14">
        <v>0</v>
      </c>
      <c r="AU61" s="14">
        <v>0</v>
      </c>
      <c r="AV61" s="14">
        <v>0</v>
      </c>
      <c r="AW61" s="14">
        <v>0</v>
      </c>
      <c r="AX61" s="14">
        <v>0</v>
      </c>
      <c r="AY61" s="14">
        <v>0</v>
      </c>
      <c r="AZ61" s="14">
        <v>0</v>
      </c>
      <c r="BA61" s="14">
        <v>0</v>
      </c>
      <c r="BB61" s="14">
        <v>0</v>
      </c>
      <c r="BC61" s="14">
        <v>0</v>
      </c>
      <c r="BD61" s="14">
        <v>0</v>
      </c>
      <c r="BE61" s="14">
        <v>0</v>
      </c>
      <c r="BF61" s="14">
        <v>0</v>
      </c>
    </row>
    <row r="62" spans="1:58" ht="16">
      <c r="A62" s="14" t="s">
        <v>18793</v>
      </c>
      <c r="B62" s="14" t="s">
        <v>18794</v>
      </c>
      <c r="C62" s="14">
        <v>0</v>
      </c>
      <c r="D62" s="14">
        <v>0</v>
      </c>
      <c r="E62" s="14">
        <v>0</v>
      </c>
      <c r="F62" s="14">
        <v>0</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5">
        <v>0</v>
      </c>
      <c r="X62" s="15">
        <v>0</v>
      </c>
      <c r="Y62" s="14">
        <v>0</v>
      </c>
      <c r="Z62" s="14">
        <v>0</v>
      </c>
      <c r="AA62" s="15">
        <v>0</v>
      </c>
      <c r="AB62" s="15">
        <v>0</v>
      </c>
      <c r="AC62" s="15">
        <v>0</v>
      </c>
      <c r="AD62" s="15">
        <v>0</v>
      </c>
      <c r="AE62" s="15">
        <v>0</v>
      </c>
      <c r="AF62" s="15">
        <v>0</v>
      </c>
      <c r="AG62" s="15">
        <v>0</v>
      </c>
      <c r="AH62" s="15">
        <v>0</v>
      </c>
      <c r="AI62" s="15">
        <v>0</v>
      </c>
      <c r="AJ62" s="15">
        <v>0</v>
      </c>
      <c r="AK62" s="15">
        <v>0</v>
      </c>
      <c r="AL62" s="15">
        <v>0</v>
      </c>
      <c r="AM62" s="14">
        <v>0</v>
      </c>
      <c r="AN62" s="14">
        <v>0</v>
      </c>
      <c r="AO62" s="14">
        <v>0</v>
      </c>
      <c r="AP62" s="14">
        <v>0</v>
      </c>
      <c r="AQ62" s="14">
        <v>0</v>
      </c>
      <c r="AR62" s="14">
        <v>0</v>
      </c>
      <c r="AS62" s="14">
        <v>0</v>
      </c>
      <c r="AT62" s="14">
        <v>0</v>
      </c>
      <c r="AU62" s="14">
        <v>0</v>
      </c>
      <c r="AV62" s="14">
        <v>0</v>
      </c>
      <c r="AW62" s="14">
        <v>0</v>
      </c>
      <c r="AX62" s="14">
        <v>0</v>
      </c>
      <c r="AY62" s="14">
        <v>0</v>
      </c>
      <c r="AZ62" s="14">
        <v>0</v>
      </c>
      <c r="BA62" s="14">
        <v>0</v>
      </c>
      <c r="BB62" s="14">
        <v>0</v>
      </c>
      <c r="BC62" s="14">
        <v>0</v>
      </c>
      <c r="BD62" s="14">
        <v>0</v>
      </c>
      <c r="BE62" s="14">
        <v>0</v>
      </c>
      <c r="BF62" s="14">
        <v>0</v>
      </c>
    </row>
    <row r="63" spans="1:58" ht="16">
      <c r="A63" s="14" t="s">
        <v>16958</v>
      </c>
      <c r="B63" s="14" t="s">
        <v>16959</v>
      </c>
      <c r="C63" s="14">
        <v>0</v>
      </c>
      <c r="D63" s="14">
        <v>0</v>
      </c>
      <c r="E63" s="14">
        <v>0</v>
      </c>
      <c r="F63" s="14">
        <v>0</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5">
        <v>0</v>
      </c>
      <c r="X63" s="15">
        <v>0</v>
      </c>
      <c r="Y63" s="14">
        <v>0</v>
      </c>
      <c r="Z63" s="14">
        <v>0</v>
      </c>
      <c r="AA63" s="15">
        <v>0</v>
      </c>
      <c r="AB63" s="15">
        <v>0</v>
      </c>
      <c r="AC63" s="15">
        <v>0</v>
      </c>
      <c r="AD63" s="15">
        <v>0</v>
      </c>
      <c r="AE63" s="15">
        <v>0</v>
      </c>
      <c r="AF63" s="15">
        <v>0</v>
      </c>
      <c r="AG63" s="15">
        <v>0</v>
      </c>
      <c r="AH63" s="15">
        <v>0</v>
      </c>
      <c r="AI63" s="15">
        <v>0</v>
      </c>
      <c r="AJ63" s="15">
        <v>0</v>
      </c>
      <c r="AK63" s="15">
        <v>0</v>
      </c>
      <c r="AL63" s="15">
        <v>0</v>
      </c>
      <c r="AM63" s="14">
        <v>0</v>
      </c>
      <c r="AN63" s="14">
        <v>0</v>
      </c>
      <c r="AO63" s="14">
        <v>0</v>
      </c>
      <c r="AP63" s="14">
        <v>0</v>
      </c>
      <c r="AQ63" s="14">
        <v>0</v>
      </c>
      <c r="AR63" s="14">
        <v>0</v>
      </c>
      <c r="AS63" s="14">
        <v>0</v>
      </c>
      <c r="AT63" s="14">
        <v>0</v>
      </c>
      <c r="AU63" s="14">
        <v>0</v>
      </c>
      <c r="AV63" s="14">
        <v>0</v>
      </c>
      <c r="AW63" s="14">
        <v>0</v>
      </c>
      <c r="AX63" s="14">
        <v>0</v>
      </c>
      <c r="AY63" s="14">
        <v>0</v>
      </c>
      <c r="AZ63" s="14">
        <v>0</v>
      </c>
      <c r="BA63" s="14">
        <v>0</v>
      </c>
      <c r="BB63" s="14">
        <v>0</v>
      </c>
      <c r="BC63" s="14">
        <v>0</v>
      </c>
      <c r="BD63" s="14">
        <v>0</v>
      </c>
      <c r="BE63" s="14">
        <v>0</v>
      </c>
      <c r="BF63" s="14">
        <v>0</v>
      </c>
    </row>
    <row r="64" spans="1:58" ht="16">
      <c r="A64" s="14" t="s">
        <v>16960</v>
      </c>
      <c r="B64" s="14" t="s">
        <v>18795</v>
      </c>
      <c r="C64" s="14">
        <v>0</v>
      </c>
      <c r="D64" s="14">
        <v>31</v>
      </c>
      <c r="E64" s="14">
        <v>0</v>
      </c>
      <c r="F64" s="14">
        <v>30</v>
      </c>
      <c r="G64" s="14">
        <v>1</v>
      </c>
      <c r="H64" s="14">
        <v>5</v>
      </c>
      <c r="I64" s="14">
        <v>0</v>
      </c>
      <c r="J64" s="14">
        <v>31</v>
      </c>
      <c r="K64" s="14">
        <v>185</v>
      </c>
      <c r="L64" s="14">
        <v>29</v>
      </c>
      <c r="M64" s="14">
        <v>0</v>
      </c>
      <c r="N64" s="14">
        <v>0</v>
      </c>
      <c r="O64" s="14">
        <v>2</v>
      </c>
      <c r="P64" s="14">
        <v>0</v>
      </c>
      <c r="Q64" s="14">
        <v>0</v>
      </c>
      <c r="R64" s="14">
        <v>0</v>
      </c>
      <c r="S64" s="14">
        <v>32.200000000000003</v>
      </c>
      <c r="T64" s="14">
        <v>0</v>
      </c>
      <c r="U64" s="14">
        <v>0</v>
      </c>
      <c r="V64" s="14">
        <v>31.6</v>
      </c>
      <c r="W64" s="15">
        <v>322</v>
      </c>
      <c r="X64" s="15">
        <v>0</v>
      </c>
      <c r="Y64" s="14">
        <v>31</v>
      </c>
      <c r="Z64" s="14">
        <v>0</v>
      </c>
      <c r="AA64" s="15">
        <v>0</v>
      </c>
      <c r="AB64" s="15">
        <v>97.5</v>
      </c>
      <c r="AC64" s="15">
        <v>37</v>
      </c>
      <c r="AD64" s="15">
        <v>37</v>
      </c>
      <c r="AE64" s="15">
        <v>37</v>
      </c>
      <c r="AF64" s="15">
        <v>134.5</v>
      </c>
      <c r="AG64" s="15">
        <v>359</v>
      </c>
      <c r="AH64" s="15">
        <v>322</v>
      </c>
      <c r="AI64" s="15">
        <v>11.5</v>
      </c>
      <c r="AJ64" s="15">
        <v>44</v>
      </c>
      <c r="AK64" s="15">
        <v>90.5</v>
      </c>
      <c r="AL64" s="15">
        <v>79</v>
      </c>
      <c r="AM64" s="14">
        <v>6</v>
      </c>
      <c r="AN64" s="14">
        <v>3</v>
      </c>
      <c r="AO64" s="14">
        <v>0</v>
      </c>
      <c r="AP64" s="14">
        <v>0</v>
      </c>
      <c r="AQ64" s="14">
        <v>0</v>
      </c>
      <c r="AR64" s="14">
        <v>0</v>
      </c>
      <c r="AS64" s="14">
        <v>0</v>
      </c>
      <c r="AT64" s="14">
        <v>185</v>
      </c>
      <c r="AU64" s="14">
        <v>66</v>
      </c>
      <c r="AV64" s="14">
        <v>119</v>
      </c>
      <c r="AW64" s="14">
        <v>0</v>
      </c>
      <c r="AX64" s="14">
        <v>32.200000000000003</v>
      </c>
      <c r="AY64" s="14">
        <v>7.9</v>
      </c>
      <c r="AZ64" s="14">
        <v>24.3</v>
      </c>
      <c r="BA64" s="14">
        <v>0</v>
      </c>
      <c r="BB64" s="14">
        <v>0</v>
      </c>
      <c r="BC64" s="14">
        <v>0</v>
      </c>
      <c r="BD64" s="14">
        <v>0</v>
      </c>
      <c r="BE64" s="14">
        <v>0</v>
      </c>
      <c r="BF64" s="14">
        <v>113</v>
      </c>
    </row>
    <row r="65" spans="1:58" ht="16">
      <c r="A65" s="14" t="s">
        <v>16961</v>
      </c>
      <c r="B65" s="14" t="s">
        <v>16961</v>
      </c>
      <c r="C65" s="14">
        <v>0</v>
      </c>
      <c r="D65" s="14">
        <v>0</v>
      </c>
      <c r="E65" s="14">
        <v>0</v>
      </c>
      <c r="F65" s="14">
        <v>0</v>
      </c>
      <c r="G65" s="14">
        <v>0</v>
      </c>
      <c r="H65" s="14">
        <v>0</v>
      </c>
      <c r="I65" s="14">
        <v>0</v>
      </c>
      <c r="J65" s="14">
        <v>0</v>
      </c>
      <c r="K65" s="14">
        <v>0</v>
      </c>
      <c r="L65" s="14">
        <v>0</v>
      </c>
      <c r="M65" s="14">
        <v>0</v>
      </c>
      <c r="N65" s="14">
        <v>0</v>
      </c>
      <c r="O65" s="14">
        <v>0</v>
      </c>
      <c r="P65" s="14">
        <v>0</v>
      </c>
      <c r="Q65" s="14">
        <v>0</v>
      </c>
      <c r="R65" s="14">
        <v>0</v>
      </c>
      <c r="S65" s="14">
        <v>0</v>
      </c>
      <c r="T65" s="14">
        <v>0</v>
      </c>
      <c r="U65" s="14">
        <v>0</v>
      </c>
      <c r="V65" s="14">
        <v>0</v>
      </c>
      <c r="W65" s="15">
        <v>0</v>
      </c>
      <c r="X65" s="15">
        <v>0</v>
      </c>
      <c r="Y65" s="14">
        <v>0</v>
      </c>
      <c r="Z65" s="14">
        <v>0</v>
      </c>
      <c r="AA65" s="15">
        <v>0</v>
      </c>
      <c r="AB65" s="15">
        <v>0</v>
      </c>
      <c r="AC65" s="15">
        <v>0</v>
      </c>
      <c r="AD65" s="15">
        <v>0</v>
      </c>
      <c r="AE65" s="15">
        <v>0</v>
      </c>
      <c r="AF65" s="15">
        <v>0</v>
      </c>
      <c r="AG65" s="15">
        <v>0</v>
      </c>
      <c r="AH65" s="15">
        <v>0</v>
      </c>
      <c r="AI65" s="15">
        <v>0</v>
      </c>
      <c r="AJ65" s="15">
        <v>0</v>
      </c>
      <c r="AK65" s="15">
        <v>0</v>
      </c>
      <c r="AL65" s="15">
        <v>0</v>
      </c>
      <c r="AM65" s="14">
        <v>0</v>
      </c>
      <c r="AN65" s="14">
        <v>0</v>
      </c>
      <c r="AO65" s="14">
        <v>0</v>
      </c>
      <c r="AP65" s="14">
        <v>0</v>
      </c>
      <c r="AQ65" s="14">
        <v>0</v>
      </c>
      <c r="AR65" s="14">
        <v>0</v>
      </c>
      <c r="AS65" s="14">
        <v>0</v>
      </c>
      <c r="AT65" s="14">
        <v>0</v>
      </c>
      <c r="AU65" s="14">
        <v>0</v>
      </c>
      <c r="AV65" s="14">
        <v>0</v>
      </c>
      <c r="AW65" s="14">
        <v>0</v>
      </c>
      <c r="AX65" s="14">
        <v>0</v>
      </c>
      <c r="AY65" s="14">
        <v>0</v>
      </c>
      <c r="AZ65" s="14">
        <v>0</v>
      </c>
      <c r="BA65" s="14">
        <v>0</v>
      </c>
      <c r="BB65" s="14">
        <v>0</v>
      </c>
      <c r="BC65" s="14">
        <v>0</v>
      </c>
      <c r="BD65" s="14">
        <v>0</v>
      </c>
      <c r="BE65" s="14">
        <v>0</v>
      </c>
      <c r="BF65" s="14">
        <v>0</v>
      </c>
    </row>
    <row r="66" spans="1:58" ht="16">
      <c r="A66" s="14" t="s">
        <v>18796</v>
      </c>
      <c r="B66" s="14" t="s">
        <v>18797</v>
      </c>
      <c r="C66" s="14">
        <v>1</v>
      </c>
      <c r="D66" s="14">
        <v>4</v>
      </c>
      <c r="E66" s="14">
        <v>0</v>
      </c>
      <c r="F66" s="14">
        <v>4</v>
      </c>
      <c r="G66" s="14">
        <v>0</v>
      </c>
      <c r="H66" s="14">
        <v>0</v>
      </c>
      <c r="I66" s="14">
        <v>0</v>
      </c>
      <c r="J66" s="14">
        <v>4</v>
      </c>
      <c r="K66" s="14">
        <v>19</v>
      </c>
      <c r="L66" s="14">
        <v>4</v>
      </c>
      <c r="M66" s="14">
        <v>0</v>
      </c>
      <c r="N66" s="14">
        <v>0</v>
      </c>
      <c r="O66" s="14">
        <v>0</v>
      </c>
      <c r="P66" s="14">
        <v>0</v>
      </c>
      <c r="Q66" s="14">
        <v>0</v>
      </c>
      <c r="R66" s="14">
        <v>0</v>
      </c>
      <c r="S66" s="14">
        <v>6</v>
      </c>
      <c r="T66" s="14">
        <v>0</v>
      </c>
      <c r="U66" s="14">
        <v>0</v>
      </c>
      <c r="V66" s="14">
        <v>6</v>
      </c>
      <c r="W66" s="15">
        <v>55</v>
      </c>
      <c r="X66" s="15">
        <v>0</v>
      </c>
      <c r="Y66" s="14">
        <v>3</v>
      </c>
      <c r="Z66" s="14">
        <v>0</v>
      </c>
      <c r="AA66" s="15">
        <v>-5</v>
      </c>
      <c r="AB66" s="15">
        <v>0</v>
      </c>
      <c r="AC66" s="15">
        <v>0</v>
      </c>
      <c r="AD66" s="15">
        <v>0</v>
      </c>
      <c r="AE66" s="15">
        <v>0</v>
      </c>
      <c r="AF66" s="15">
        <v>0</v>
      </c>
      <c r="AG66" s="15">
        <v>55</v>
      </c>
      <c r="AH66" s="15">
        <v>55</v>
      </c>
      <c r="AI66" s="15">
        <v>0</v>
      </c>
      <c r="AJ66" s="15">
        <v>0</v>
      </c>
      <c r="AK66" s="15">
        <v>0</v>
      </c>
      <c r="AL66" s="15">
        <v>0</v>
      </c>
      <c r="AM66" s="14">
        <v>0</v>
      </c>
      <c r="AN66" s="14">
        <v>0</v>
      </c>
      <c r="AO66" s="14">
        <v>0</v>
      </c>
      <c r="AP66" s="14">
        <v>0</v>
      </c>
      <c r="AQ66" s="14">
        <v>0</v>
      </c>
      <c r="AR66" s="14">
        <v>0</v>
      </c>
      <c r="AS66" s="14">
        <v>0</v>
      </c>
      <c r="AT66" s="14">
        <v>19</v>
      </c>
      <c r="AU66" s="14">
        <v>0</v>
      </c>
      <c r="AV66" s="14">
        <v>14</v>
      </c>
      <c r="AW66" s="14">
        <v>5</v>
      </c>
      <c r="AX66" s="14">
        <v>6</v>
      </c>
      <c r="AY66" s="14">
        <v>0</v>
      </c>
      <c r="AZ66" s="14">
        <v>5.5</v>
      </c>
      <c r="BA66" s="14">
        <v>0.5</v>
      </c>
      <c r="BB66" s="14">
        <v>0</v>
      </c>
      <c r="BC66" s="14">
        <v>0</v>
      </c>
      <c r="BD66" s="14">
        <v>0</v>
      </c>
      <c r="BE66" s="14">
        <v>0</v>
      </c>
      <c r="BF66" s="14">
        <v>3</v>
      </c>
    </row>
    <row r="67" spans="1:58" ht="16">
      <c r="A67" s="14" t="s">
        <v>17395</v>
      </c>
      <c r="B67" s="14" t="s">
        <v>17396</v>
      </c>
      <c r="C67" s="14">
        <v>0</v>
      </c>
      <c r="D67" s="14">
        <v>0</v>
      </c>
      <c r="E67" s="14">
        <v>0</v>
      </c>
      <c r="F67" s="14">
        <v>0</v>
      </c>
      <c r="G67" s="14">
        <v>0</v>
      </c>
      <c r="H67" s="14">
        <v>0</v>
      </c>
      <c r="I67" s="14">
        <v>0</v>
      </c>
      <c r="J67" s="14">
        <v>0</v>
      </c>
      <c r="K67" s="14">
        <v>0</v>
      </c>
      <c r="L67" s="14">
        <v>0</v>
      </c>
      <c r="M67" s="14">
        <v>0</v>
      </c>
      <c r="N67" s="14">
        <v>0</v>
      </c>
      <c r="O67" s="14">
        <v>0</v>
      </c>
      <c r="P67" s="14">
        <v>0</v>
      </c>
      <c r="Q67" s="14">
        <v>0</v>
      </c>
      <c r="R67" s="14">
        <v>0</v>
      </c>
      <c r="S67" s="14">
        <v>0</v>
      </c>
      <c r="T67" s="14">
        <v>0</v>
      </c>
      <c r="U67" s="14">
        <v>0</v>
      </c>
      <c r="V67" s="14">
        <v>0</v>
      </c>
      <c r="W67" s="15">
        <v>0</v>
      </c>
      <c r="X67" s="15">
        <v>0</v>
      </c>
      <c r="Y67" s="14">
        <v>0</v>
      </c>
      <c r="Z67" s="14">
        <v>0</v>
      </c>
      <c r="AA67" s="15">
        <v>0</v>
      </c>
      <c r="AB67" s="15">
        <v>0</v>
      </c>
      <c r="AC67" s="15">
        <v>0</v>
      </c>
      <c r="AD67" s="15">
        <v>0</v>
      </c>
      <c r="AE67" s="15">
        <v>0</v>
      </c>
      <c r="AF67" s="15">
        <v>0</v>
      </c>
      <c r="AG67" s="15">
        <v>0</v>
      </c>
      <c r="AH67" s="15">
        <v>0</v>
      </c>
      <c r="AI67" s="15">
        <v>0</v>
      </c>
      <c r="AJ67" s="15">
        <v>0</v>
      </c>
      <c r="AK67" s="15">
        <v>0</v>
      </c>
      <c r="AL67" s="15">
        <v>0</v>
      </c>
      <c r="AM67" s="14">
        <v>0</v>
      </c>
      <c r="AN67" s="14">
        <v>0</v>
      </c>
      <c r="AO67" s="14">
        <v>0</v>
      </c>
      <c r="AP67" s="14">
        <v>0</v>
      </c>
      <c r="AQ67" s="14">
        <v>0</v>
      </c>
      <c r="AR67" s="14">
        <v>0</v>
      </c>
      <c r="AS67" s="14">
        <v>0</v>
      </c>
      <c r="AT67" s="14">
        <v>0</v>
      </c>
      <c r="AU67" s="14">
        <v>0</v>
      </c>
      <c r="AV67" s="14">
        <v>0</v>
      </c>
      <c r="AW67" s="14">
        <v>0</v>
      </c>
      <c r="AX67" s="14">
        <v>0</v>
      </c>
      <c r="AY67" s="14">
        <v>0</v>
      </c>
      <c r="AZ67" s="14">
        <v>0</v>
      </c>
      <c r="BA67" s="14">
        <v>0</v>
      </c>
      <c r="BB67" s="14">
        <v>0</v>
      </c>
      <c r="BC67" s="14">
        <v>0</v>
      </c>
      <c r="BD67" s="14">
        <v>0</v>
      </c>
      <c r="BE67" s="14">
        <v>0</v>
      </c>
      <c r="BF67" s="14">
        <v>50</v>
      </c>
    </row>
    <row r="68" spans="1:58" ht="16">
      <c r="A68" s="14" t="s">
        <v>16963</v>
      </c>
      <c r="B68" s="14" t="s">
        <v>16964</v>
      </c>
      <c r="C68" s="14">
        <v>0</v>
      </c>
      <c r="D68" s="14">
        <v>6</v>
      </c>
      <c r="E68" s="14">
        <v>6</v>
      </c>
      <c r="F68" s="14">
        <v>6</v>
      </c>
      <c r="G68" s="14">
        <v>0</v>
      </c>
      <c r="H68" s="14">
        <v>0</v>
      </c>
      <c r="I68" s="14">
        <v>0</v>
      </c>
      <c r="J68" s="14">
        <v>6</v>
      </c>
      <c r="K68" s="14">
        <v>6</v>
      </c>
      <c r="L68" s="14">
        <v>6</v>
      </c>
      <c r="M68" s="14">
        <v>0</v>
      </c>
      <c r="N68" s="14">
        <v>0</v>
      </c>
      <c r="O68" s="14">
        <v>0</v>
      </c>
      <c r="P68" s="14">
        <v>0</v>
      </c>
      <c r="Q68" s="14">
        <v>0</v>
      </c>
      <c r="R68" s="14">
        <v>0</v>
      </c>
      <c r="S68" s="14">
        <v>1.5</v>
      </c>
      <c r="T68" s="14">
        <v>1.5</v>
      </c>
      <c r="U68" s="14">
        <v>0</v>
      </c>
      <c r="V68" s="14">
        <v>3</v>
      </c>
      <c r="W68" s="15">
        <v>45</v>
      </c>
      <c r="X68" s="15">
        <v>0</v>
      </c>
      <c r="Y68" s="14">
        <v>6</v>
      </c>
      <c r="Z68" s="14">
        <v>0</v>
      </c>
      <c r="AA68" s="15">
        <v>0</v>
      </c>
      <c r="AB68" s="15">
        <v>0</v>
      </c>
      <c r="AC68" s="15">
        <v>0</v>
      </c>
      <c r="AD68" s="15">
        <v>0</v>
      </c>
      <c r="AE68" s="15">
        <v>0</v>
      </c>
      <c r="AF68" s="15">
        <v>0</v>
      </c>
      <c r="AG68" s="15">
        <v>45</v>
      </c>
      <c r="AH68" s="15">
        <v>45</v>
      </c>
      <c r="AI68" s="15">
        <v>0</v>
      </c>
      <c r="AJ68" s="15">
        <v>0</v>
      </c>
      <c r="AK68" s="15">
        <v>0</v>
      </c>
      <c r="AL68" s="15">
        <v>0</v>
      </c>
      <c r="AM68" s="14">
        <v>6</v>
      </c>
      <c r="AN68" s="14">
        <v>0</v>
      </c>
      <c r="AO68" s="14">
        <v>6</v>
      </c>
      <c r="AP68" s="14">
        <v>0</v>
      </c>
      <c r="AQ68" s="14">
        <v>1.5</v>
      </c>
      <c r="AR68" s="14">
        <v>0</v>
      </c>
      <c r="AS68" s="14">
        <v>1.5</v>
      </c>
      <c r="AT68" s="14">
        <v>0</v>
      </c>
      <c r="AU68" s="14">
        <v>1.5</v>
      </c>
      <c r="AV68" s="14">
        <v>0</v>
      </c>
      <c r="AW68" s="14">
        <v>1.5</v>
      </c>
      <c r="AX68" s="14">
        <v>0</v>
      </c>
      <c r="AY68" s="14"/>
      <c r="AZ68" s="14"/>
      <c r="BA68" s="14"/>
      <c r="BB68" s="14"/>
      <c r="BC68" s="14"/>
      <c r="BD68" s="14"/>
      <c r="BE68" s="14"/>
      <c r="BF68" s="14"/>
    </row>
    <row r="69" spans="1:58" ht="16">
      <c r="A69" s="14" t="s">
        <v>16965</v>
      </c>
      <c r="B69" s="14" t="s">
        <v>16966</v>
      </c>
      <c r="C69" s="14">
        <v>0</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5">
        <v>0</v>
      </c>
      <c r="X69" s="15">
        <v>0</v>
      </c>
      <c r="Y69" s="14">
        <v>0</v>
      </c>
      <c r="Z69" s="14">
        <v>0</v>
      </c>
      <c r="AA69" s="15">
        <v>0</v>
      </c>
      <c r="AB69" s="15">
        <v>0</v>
      </c>
      <c r="AC69" s="15">
        <v>0</v>
      </c>
      <c r="AD69" s="15">
        <v>0</v>
      </c>
      <c r="AE69" s="15">
        <v>0</v>
      </c>
      <c r="AF69" s="15">
        <v>0</v>
      </c>
      <c r="AG69" s="15">
        <v>0</v>
      </c>
      <c r="AH69" s="15">
        <v>0</v>
      </c>
      <c r="AI69" s="15">
        <v>0</v>
      </c>
      <c r="AJ69" s="15">
        <v>0</v>
      </c>
      <c r="AK69" s="15">
        <v>0</v>
      </c>
      <c r="AL69" s="15">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row>
    <row r="70" spans="1:58" ht="16">
      <c r="A70" s="14" t="s">
        <v>17373</v>
      </c>
      <c r="B70" s="14" t="s">
        <v>17374</v>
      </c>
      <c r="C70" s="14">
        <v>0</v>
      </c>
      <c r="D70" s="14">
        <v>17</v>
      </c>
      <c r="E70" s="14">
        <v>13</v>
      </c>
      <c r="F70" s="14">
        <v>10</v>
      </c>
      <c r="G70" s="14">
        <v>0</v>
      </c>
      <c r="H70" s="14">
        <v>4</v>
      </c>
      <c r="I70" s="14">
        <v>4</v>
      </c>
      <c r="J70" s="14">
        <v>13</v>
      </c>
      <c r="K70" s="14">
        <v>174</v>
      </c>
      <c r="L70" s="14">
        <v>5</v>
      </c>
      <c r="M70" s="14">
        <v>0</v>
      </c>
      <c r="N70" s="14">
        <v>1</v>
      </c>
      <c r="O70" s="14">
        <v>7</v>
      </c>
      <c r="P70" s="14">
        <v>0</v>
      </c>
      <c r="Q70" s="14">
        <v>0</v>
      </c>
      <c r="R70" s="14">
        <v>11</v>
      </c>
      <c r="S70" s="14">
        <v>1</v>
      </c>
      <c r="T70" s="14">
        <v>14.5</v>
      </c>
      <c r="U70" s="14">
        <v>2</v>
      </c>
      <c r="V70" s="14">
        <v>17.5</v>
      </c>
      <c r="W70" s="15">
        <v>300</v>
      </c>
      <c r="X70" s="15">
        <v>0</v>
      </c>
      <c r="Y70" s="14">
        <v>3</v>
      </c>
      <c r="Z70" s="14">
        <v>0</v>
      </c>
      <c r="AA70" s="15">
        <v>0</v>
      </c>
      <c r="AB70" s="15">
        <v>232.5</v>
      </c>
      <c r="AC70" s="15">
        <v>603.75</v>
      </c>
      <c r="AD70" s="15">
        <v>603.75</v>
      </c>
      <c r="AE70" s="15">
        <v>776.25</v>
      </c>
      <c r="AF70" s="15">
        <v>836.25</v>
      </c>
      <c r="AG70" s="15">
        <v>943.75</v>
      </c>
      <c r="AH70" s="15">
        <v>167.5</v>
      </c>
      <c r="AI70" s="15">
        <v>765.75</v>
      </c>
      <c r="AJ70" s="15">
        <v>825.75</v>
      </c>
      <c r="AK70" s="15">
        <v>925.75</v>
      </c>
      <c r="AL70" s="15">
        <v>160</v>
      </c>
      <c r="AM70" s="14">
        <v>0</v>
      </c>
      <c r="AN70" s="14">
        <v>3</v>
      </c>
      <c r="AO70" s="14">
        <v>0</v>
      </c>
      <c r="AP70" s="14">
        <v>2</v>
      </c>
      <c r="AQ70" s="14">
        <v>0</v>
      </c>
      <c r="AR70" s="14">
        <v>0</v>
      </c>
      <c r="AS70" s="14">
        <v>0</v>
      </c>
      <c r="AT70" s="14">
        <v>174</v>
      </c>
      <c r="AU70" s="14">
        <v>123</v>
      </c>
      <c r="AV70" s="14">
        <v>51</v>
      </c>
      <c r="AW70" s="14">
        <v>0</v>
      </c>
      <c r="AX70" s="14">
        <v>1</v>
      </c>
      <c r="AY70" s="14">
        <v>0.75</v>
      </c>
      <c r="AZ70" s="14">
        <v>0.25</v>
      </c>
      <c r="BA70" s="14">
        <v>0</v>
      </c>
      <c r="BB70" s="14">
        <v>14.5</v>
      </c>
      <c r="BC70" s="14">
        <v>14.25</v>
      </c>
      <c r="BD70" s="14">
        <v>0.25</v>
      </c>
      <c r="BE70" s="14">
        <v>0</v>
      </c>
      <c r="BF70" s="14">
        <v>118</v>
      </c>
    </row>
    <row r="71" spans="1:58" ht="16">
      <c r="A71" s="14" t="s">
        <v>17376</v>
      </c>
      <c r="B71" s="14" t="s">
        <v>17377</v>
      </c>
      <c r="C71" s="14">
        <v>2</v>
      </c>
      <c r="D71" s="14">
        <v>16</v>
      </c>
      <c r="E71" s="14">
        <v>16</v>
      </c>
      <c r="F71" s="14">
        <v>16</v>
      </c>
      <c r="G71" s="14">
        <v>0</v>
      </c>
      <c r="H71" s="14">
        <v>0</v>
      </c>
      <c r="I71" s="14">
        <v>0</v>
      </c>
      <c r="J71" s="14">
        <v>16</v>
      </c>
      <c r="K71" s="14">
        <v>126</v>
      </c>
      <c r="L71" s="14">
        <v>0</v>
      </c>
      <c r="M71" s="14">
        <v>10</v>
      </c>
      <c r="N71" s="14">
        <v>4</v>
      </c>
      <c r="O71" s="14">
        <v>2</v>
      </c>
      <c r="P71" s="14">
        <v>0</v>
      </c>
      <c r="Q71" s="14">
        <v>0</v>
      </c>
      <c r="R71" s="14">
        <v>0</v>
      </c>
      <c r="S71" s="14">
        <v>3.5</v>
      </c>
      <c r="T71" s="14">
        <v>2</v>
      </c>
      <c r="U71" s="14">
        <v>0</v>
      </c>
      <c r="V71" s="14">
        <v>5.5</v>
      </c>
      <c r="W71" s="15">
        <v>70</v>
      </c>
      <c r="X71" s="15">
        <v>0</v>
      </c>
      <c r="Y71" s="14">
        <v>11</v>
      </c>
      <c r="Z71" s="14">
        <v>0</v>
      </c>
      <c r="AA71" s="15">
        <v>-5</v>
      </c>
      <c r="AB71" s="15">
        <v>15</v>
      </c>
      <c r="AC71" s="15">
        <v>20</v>
      </c>
      <c r="AD71" s="15">
        <v>20</v>
      </c>
      <c r="AE71" s="15">
        <v>20</v>
      </c>
      <c r="AF71" s="15">
        <v>35</v>
      </c>
      <c r="AG71" s="15">
        <v>90</v>
      </c>
      <c r="AH71" s="15">
        <v>70</v>
      </c>
      <c r="AI71" s="15">
        <v>0</v>
      </c>
      <c r="AJ71" s="15">
        <v>0</v>
      </c>
      <c r="AK71" s="15">
        <v>0</v>
      </c>
      <c r="AL71" s="15">
        <v>0</v>
      </c>
      <c r="AM71" s="14">
        <v>0</v>
      </c>
      <c r="AN71" s="14">
        <v>1</v>
      </c>
      <c r="AO71" s="14">
        <v>0</v>
      </c>
      <c r="AP71" s="14">
        <v>0</v>
      </c>
      <c r="AQ71" s="14">
        <v>0</v>
      </c>
      <c r="AR71" s="14">
        <v>0</v>
      </c>
      <c r="AS71" s="14">
        <v>0</v>
      </c>
      <c r="AT71" s="14">
        <v>126</v>
      </c>
      <c r="AU71" s="14">
        <v>0</v>
      </c>
      <c r="AV71" s="14">
        <v>113</v>
      </c>
      <c r="AW71" s="14">
        <v>13</v>
      </c>
      <c r="AX71" s="14">
        <v>3.5</v>
      </c>
      <c r="AY71" s="14">
        <v>0</v>
      </c>
      <c r="AZ71" s="14">
        <v>3</v>
      </c>
      <c r="BA71" s="14">
        <v>0.5</v>
      </c>
      <c r="BB71" s="14">
        <v>2</v>
      </c>
      <c r="BC71" s="14">
        <v>0</v>
      </c>
      <c r="BD71" s="14">
        <v>2</v>
      </c>
      <c r="BE71" s="14">
        <v>0</v>
      </c>
      <c r="BF71" s="14">
        <v>987</v>
      </c>
    </row>
    <row r="72" spans="1:58" ht="16">
      <c r="A72" s="14" t="s">
        <v>16967</v>
      </c>
      <c r="B72" s="14" t="s">
        <v>16968</v>
      </c>
      <c r="C72" s="14">
        <v>0</v>
      </c>
      <c r="D72" s="14">
        <v>0</v>
      </c>
      <c r="E72" s="14">
        <v>0</v>
      </c>
      <c r="F72" s="14">
        <v>0</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5">
        <v>0</v>
      </c>
      <c r="X72" s="15">
        <v>0</v>
      </c>
      <c r="Y72" s="14">
        <v>0</v>
      </c>
      <c r="Z72" s="14">
        <v>0</v>
      </c>
      <c r="AA72" s="15">
        <v>0</v>
      </c>
      <c r="AB72" s="15">
        <v>0</v>
      </c>
      <c r="AC72" s="15">
        <v>0</v>
      </c>
      <c r="AD72" s="15">
        <v>0</v>
      </c>
      <c r="AE72" s="15">
        <v>0</v>
      </c>
      <c r="AF72" s="15">
        <v>0</v>
      </c>
      <c r="AG72" s="15">
        <v>0</v>
      </c>
      <c r="AH72" s="15">
        <v>0</v>
      </c>
      <c r="AI72" s="15">
        <v>0</v>
      </c>
      <c r="AJ72" s="15">
        <v>0</v>
      </c>
      <c r="AK72" s="15">
        <v>0</v>
      </c>
      <c r="AL72" s="15">
        <v>0</v>
      </c>
      <c r="AM72" s="14">
        <v>0</v>
      </c>
      <c r="AN72" s="14">
        <v>0</v>
      </c>
      <c r="AO72" s="14">
        <v>0</v>
      </c>
      <c r="AP72" s="14">
        <v>0</v>
      </c>
      <c r="AQ72" s="14">
        <v>0</v>
      </c>
      <c r="AR72" s="14">
        <v>0</v>
      </c>
      <c r="AS72" s="14">
        <v>0</v>
      </c>
      <c r="AT72" s="14">
        <v>0</v>
      </c>
      <c r="AU72" s="14">
        <v>0</v>
      </c>
      <c r="AV72" s="14">
        <v>0</v>
      </c>
      <c r="AW72" s="14">
        <v>0</v>
      </c>
      <c r="AX72" s="14">
        <v>0</v>
      </c>
      <c r="AY72" s="14">
        <v>0</v>
      </c>
      <c r="AZ72" s="14">
        <v>0</v>
      </c>
      <c r="BA72" s="14">
        <v>0</v>
      </c>
      <c r="BB72" s="14">
        <v>0</v>
      </c>
      <c r="BC72" s="14">
        <v>0</v>
      </c>
      <c r="BD72" s="14">
        <v>0</v>
      </c>
      <c r="BE72" s="14">
        <v>0</v>
      </c>
      <c r="BF72" s="14">
        <v>0</v>
      </c>
    </row>
    <row r="73" spans="1:58" ht="16">
      <c r="A73" s="14" t="s">
        <v>16971</v>
      </c>
      <c r="B73" s="14" t="s">
        <v>18798</v>
      </c>
      <c r="C73" s="14">
        <v>19</v>
      </c>
      <c r="D73" s="14">
        <v>19</v>
      </c>
      <c r="E73" s="14">
        <v>19</v>
      </c>
      <c r="F73" s="14">
        <v>17</v>
      </c>
      <c r="G73" s="14">
        <v>0</v>
      </c>
      <c r="H73" s="14">
        <v>0</v>
      </c>
      <c r="I73" s="14">
        <v>0</v>
      </c>
      <c r="J73" s="14">
        <v>19</v>
      </c>
      <c r="K73" s="14">
        <v>156</v>
      </c>
      <c r="L73" s="14">
        <v>19</v>
      </c>
      <c r="M73" s="14">
        <v>0</v>
      </c>
      <c r="N73" s="14">
        <v>0</v>
      </c>
      <c r="O73" s="14">
        <v>0</v>
      </c>
      <c r="P73" s="14">
        <v>0</v>
      </c>
      <c r="Q73" s="14">
        <v>0</v>
      </c>
      <c r="R73" s="14">
        <v>0</v>
      </c>
      <c r="S73" s="14">
        <v>9.25</v>
      </c>
      <c r="T73" s="14">
        <v>0</v>
      </c>
      <c r="U73" s="14">
        <v>0</v>
      </c>
      <c r="V73" s="14">
        <v>9.3000000000000007</v>
      </c>
      <c r="W73" s="15">
        <v>0</v>
      </c>
      <c r="X73" s="15">
        <v>0</v>
      </c>
      <c r="Y73" s="14">
        <v>0</v>
      </c>
      <c r="Z73" s="14">
        <v>0</v>
      </c>
      <c r="AA73" s="15">
        <v>-92.5</v>
      </c>
      <c r="AB73" s="15">
        <v>0</v>
      </c>
      <c r="AC73" s="15">
        <v>339</v>
      </c>
      <c r="AD73" s="15">
        <v>339</v>
      </c>
      <c r="AE73" s="15">
        <v>339</v>
      </c>
      <c r="AF73" s="15">
        <v>339</v>
      </c>
      <c r="AG73" s="15">
        <v>339</v>
      </c>
      <c r="AH73" s="15">
        <v>0</v>
      </c>
      <c r="AI73" s="15">
        <v>0</v>
      </c>
      <c r="AJ73" s="15">
        <v>0</v>
      </c>
      <c r="AK73" s="15">
        <v>0</v>
      </c>
      <c r="AL73" s="15">
        <v>0</v>
      </c>
      <c r="AM73" s="14">
        <v>0</v>
      </c>
      <c r="AN73" s="14">
        <v>3</v>
      </c>
      <c r="AO73" s="14">
        <v>1</v>
      </c>
      <c r="AP73" s="14">
        <v>1</v>
      </c>
      <c r="AQ73" s="14">
        <v>0</v>
      </c>
      <c r="AR73" s="14">
        <v>0</v>
      </c>
      <c r="AS73" s="14">
        <v>0</v>
      </c>
      <c r="AT73" s="14">
        <v>156</v>
      </c>
      <c r="AU73" s="14">
        <v>0</v>
      </c>
      <c r="AV73" s="14">
        <v>0</v>
      </c>
      <c r="AW73" s="14">
        <v>156</v>
      </c>
      <c r="AX73" s="14">
        <v>9.25</v>
      </c>
      <c r="AY73" s="14">
        <v>0</v>
      </c>
      <c r="AZ73" s="14">
        <v>0</v>
      </c>
      <c r="BA73" s="14">
        <v>9.25</v>
      </c>
      <c r="BB73" s="14">
        <v>0</v>
      </c>
      <c r="BC73" s="14">
        <v>0</v>
      </c>
      <c r="BD73" s="14">
        <v>0</v>
      </c>
      <c r="BE73" s="14">
        <v>0</v>
      </c>
      <c r="BF73" s="14">
        <v>520</v>
      </c>
    </row>
    <row r="74" spans="1:58" ht="16">
      <c r="A74" s="14" t="s">
        <v>16971</v>
      </c>
      <c r="B74" s="14" t="s">
        <v>18799</v>
      </c>
      <c r="C74" s="14">
        <v>0</v>
      </c>
      <c r="D74" s="14">
        <v>6</v>
      </c>
      <c r="E74" s="14">
        <v>4</v>
      </c>
      <c r="F74" s="14">
        <v>5</v>
      </c>
      <c r="G74" s="14">
        <v>1</v>
      </c>
      <c r="H74" s="14">
        <v>2</v>
      </c>
      <c r="I74" s="14">
        <v>0</v>
      </c>
      <c r="J74" s="14">
        <v>6</v>
      </c>
      <c r="K74" s="14">
        <v>63</v>
      </c>
      <c r="L74" s="14">
        <v>4</v>
      </c>
      <c r="M74" s="14">
        <v>0</v>
      </c>
      <c r="N74" s="14">
        <v>0</v>
      </c>
      <c r="O74" s="14">
        <v>0</v>
      </c>
      <c r="P74" s="14">
        <v>2</v>
      </c>
      <c r="Q74" s="14">
        <v>0</v>
      </c>
      <c r="R74" s="14">
        <v>0</v>
      </c>
      <c r="S74" s="14">
        <v>4.75</v>
      </c>
      <c r="T74" s="14">
        <v>16</v>
      </c>
      <c r="U74" s="14">
        <v>0</v>
      </c>
      <c r="V74" s="14">
        <v>20.8</v>
      </c>
      <c r="W74" s="15">
        <v>367.5</v>
      </c>
      <c r="X74" s="15">
        <v>0</v>
      </c>
      <c r="Y74" s="14">
        <v>5</v>
      </c>
      <c r="Z74" s="14">
        <v>0</v>
      </c>
      <c r="AA74" s="15">
        <v>0</v>
      </c>
      <c r="AB74" s="15">
        <v>300</v>
      </c>
      <c r="AC74" s="15">
        <v>0</v>
      </c>
      <c r="AD74" s="15">
        <v>0</v>
      </c>
      <c r="AE74" s="15">
        <v>0</v>
      </c>
      <c r="AF74" s="15">
        <v>300</v>
      </c>
      <c r="AG74" s="15">
        <v>367.5</v>
      </c>
      <c r="AH74" s="15">
        <v>367.5</v>
      </c>
      <c r="AI74" s="15">
        <v>0</v>
      </c>
      <c r="AJ74" s="15">
        <v>300</v>
      </c>
      <c r="AK74" s="15">
        <v>342.5</v>
      </c>
      <c r="AL74" s="15">
        <v>342.5</v>
      </c>
      <c r="AM74" s="14">
        <v>0</v>
      </c>
      <c r="AN74" s="14">
        <v>0</v>
      </c>
      <c r="AO74" s="14">
        <v>0</v>
      </c>
      <c r="AP74" s="14">
        <v>0</v>
      </c>
      <c r="AQ74" s="14">
        <v>0</v>
      </c>
      <c r="AR74" s="14">
        <v>0</v>
      </c>
      <c r="AS74" s="14">
        <v>0</v>
      </c>
      <c r="AT74" s="14">
        <v>63</v>
      </c>
      <c r="AU74" s="14">
        <v>27</v>
      </c>
      <c r="AV74" s="14">
        <v>36</v>
      </c>
      <c r="AW74" s="14">
        <v>0</v>
      </c>
      <c r="AX74" s="14">
        <v>4.75</v>
      </c>
      <c r="AY74" s="14">
        <v>2.25</v>
      </c>
      <c r="AZ74" s="14">
        <v>2.5</v>
      </c>
      <c r="BA74" s="14">
        <v>0</v>
      </c>
      <c r="BB74" s="14">
        <v>16</v>
      </c>
      <c r="BC74" s="14">
        <v>16</v>
      </c>
      <c r="BD74" s="14">
        <v>0</v>
      </c>
      <c r="BE74" s="14">
        <v>0</v>
      </c>
      <c r="BF74" s="14">
        <v>0</v>
      </c>
    </row>
    <row r="75" spans="1:58" ht="16">
      <c r="A75" s="14" t="s">
        <v>16972</v>
      </c>
      <c r="B75" s="14" t="s">
        <v>16973</v>
      </c>
      <c r="C75" s="14">
        <v>0</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5">
        <v>0</v>
      </c>
      <c r="X75" s="15">
        <v>0</v>
      </c>
      <c r="Y75" s="14">
        <v>0</v>
      </c>
      <c r="Z75" s="14">
        <v>0</v>
      </c>
      <c r="AA75" s="15">
        <v>0</v>
      </c>
      <c r="AB75" s="15">
        <v>0</v>
      </c>
      <c r="AC75" s="15">
        <v>0</v>
      </c>
      <c r="AD75" s="15">
        <v>0</v>
      </c>
      <c r="AE75" s="15">
        <v>0</v>
      </c>
      <c r="AF75" s="15">
        <v>0</v>
      </c>
      <c r="AG75" s="15">
        <v>0</v>
      </c>
      <c r="AH75" s="15">
        <v>0</v>
      </c>
      <c r="AI75" s="15">
        <v>0</v>
      </c>
      <c r="AJ75" s="15">
        <v>0</v>
      </c>
      <c r="AK75" s="15">
        <v>0</v>
      </c>
      <c r="AL75" s="15">
        <v>0</v>
      </c>
      <c r="AM75" s="14">
        <v>0</v>
      </c>
      <c r="AN75" s="14">
        <v>0</v>
      </c>
      <c r="AO75" s="14">
        <v>0</v>
      </c>
      <c r="AP75" s="14">
        <v>0</v>
      </c>
      <c r="AQ75" s="14">
        <v>0</v>
      </c>
      <c r="AR75" s="14">
        <v>0</v>
      </c>
      <c r="AS75" s="14">
        <v>0</v>
      </c>
      <c r="AT75" s="14">
        <v>0</v>
      </c>
      <c r="AU75" s="14">
        <v>0</v>
      </c>
      <c r="AV75" s="14">
        <v>0</v>
      </c>
      <c r="AW75" s="14">
        <v>0</v>
      </c>
      <c r="AX75" s="14">
        <v>0</v>
      </c>
      <c r="AY75" s="14">
        <v>0</v>
      </c>
      <c r="AZ75" s="14">
        <v>0</v>
      </c>
      <c r="BA75" s="14">
        <v>0</v>
      </c>
      <c r="BB75" s="14">
        <v>0</v>
      </c>
      <c r="BC75" s="14">
        <v>0</v>
      </c>
      <c r="BD75" s="14">
        <v>0</v>
      </c>
      <c r="BE75" s="14">
        <v>0</v>
      </c>
      <c r="BF75" s="14">
        <v>0</v>
      </c>
    </row>
    <row r="76" spans="1:58" ht="16">
      <c r="A76" s="14" t="s">
        <v>18800</v>
      </c>
      <c r="B76" s="14" t="s">
        <v>18801</v>
      </c>
      <c r="C76" s="14">
        <v>0</v>
      </c>
      <c r="D76" s="14">
        <v>1</v>
      </c>
      <c r="E76" s="14">
        <v>1</v>
      </c>
      <c r="F76" s="14">
        <v>1</v>
      </c>
      <c r="G76" s="14">
        <v>0</v>
      </c>
      <c r="H76" s="14">
        <v>0</v>
      </c>
      <c r="I76" s="14">
        <v>0</v>
      </c>
      <c r="J76" s="14">
        <v>1</v>
      </c>
      <c r="K76" s="14">
        <v>0</v>
      </c>
      <c r="L76" s="14">
        <v>1</v>
      </c>
      <c r="M76" s="14">
        <v>0</v>
      </c>
      <c r="N76" s="14">
        <v>0</v>
      </c>
      <c r="O76" s="14">
        <v>0</v>
      </c>
      <c r="P76" s="14">
        <v>0</v>
      </c>
      <c r="Q76" s="14">
        <v>0</v>
      </c>
      <c r="R76" s="14">
        <v>0</v>
      </c>
      <c r="S76" s="14">
        <v>3</v>
      </c>
      <c r="T76" s="14">
        <v>0</v>
      </c>
      <c r="U76" s="14">
        <v>0</v>
      </c>
      <c r="V76" s="14">
        <v>3</v>
      </c>
      <c r="W76" s="15">
        <v>30</v>
      </c>
      <c r="X76" s="15">
        <v>0</v>
      </c>
      <c r="Y76" s="14">
        <v>1</v>
      </c>
      <c r="Z76" s="14">
        <v>0</v>
      </c>
      <c r="AA76" s="15">
        <v>0</v>
      </c>
      <c r="AB76" s="15">
        <v>30</v>
      </c>
      <c r="AC76" s="15">
        <v>0</v>
      </c>
      <c r="AD76" s="15">
        <v>0</v>
      </c>
      <c r="AE76" s="15">
        <v>0</v>
      </c>
      <c r="AF76" s="15">
        <v>30</v>
      </c>
      <c r="AG76" s="15">
        <v>30</v>
      </c>
      <c r="AH76" s="15">
        <v>30</v>
      </c>
      <c r="AI76" s="15">
        <v>0</v>
      </c>
      <c r="AJ76" s="15">
        <v>0</v>
      </c>
      <c r="AK76" s="15">
        <v>0</v>
      </c>
      <c r="AL76" s="15">
        <v>0</v>
      </c>
      <c r="AM76" s="14">
        <v>1</v>
      </c>
      <c r="AN76" s="14">
        <v>0</v>
      </c>
      <c r="AO76" s="14">
        <v>1</v>
      </c>
      <c r="AP76" s="14">
        <v>0</v>
      </c>
      <c r="AQ76" s="14">
        <v>1</v>
      </c>
      <c r="AR76" s="14">
        <v>0</v>
      </c>
      <c r="AS76" s="14">
        <v>1</v>
      </c>
      <c r="AT76" s="14">
        <v>0</v>
      </c>
      <c r="AU76" s="14">
        <v>0</v>
      </c>
      <c r="AV76" s="14">
        <v>0</v>
      </c>
      <c r="AW76" s="14">
        <v>0</v>
      </c>
      <c r="AX76" s="14">
        <v>0</v>
      </c>
      <c r="AY76" s="14">
        <v>0</v>
      </c>
      <c r="AZ76" s="14">
        <v>0</v>
      </c>
      <c r="BA76" s="14">
        <v>0</v>
      </c>
      <c r="BB76" s="14">
        <v>0</v>
      </c>
      <c r="BC76" s="14">
        <v>0</v>
      </c>
      <c r="BD76" s="14">
        <v>0</v>
      </c>
      <c r="BE76" s="14">
        <v>0</v>
      </c>
      <c r="BF76" s="14">
        <v>1</v>
      </c>
    </row>
    <row r="77" spans="1:58" ht="16">
      <c r="A77" s="14" t="s">
        <v>18802</v>
      </c>
      <c r="B77" s="14" t="s">
        <v>18803</v>
      </c>
      <c r="C77" s="14">
        <v>0</v>
      </c>
      <c r="D77" s="14">
        <v>0</v>
      </c>
      <c r="E77" s="14">
        <v>0</v>
      </c>
      <c r="F77" s="14">
        <v>0</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5">
        <v>0</v>
      </c>
      <c r="X77" s="15">
        <v>0</v>
      </c>
      <c r="Y77" s="14">
        <v>0</v>
      </c>
      <c r="Z77" s="14">
        <v>0</v>
      </c>
      <c r="AA77" s="15">
        <v>0</v>
      </c>
      <c r="AB77" s="15">
        <v>0</v>
      </c>
      <c r="AC77" s="15">
        <v>0</v>
      </c>
      <c r="AD77" s="15">
        <v>0</v>
      </c>
      <c r="AE77" s="15">
        <v>0</v>
      </c>
      <c r="AF77" s="15">
        <v>0</v>
      </c>
      <c r="AG77" s="15">
        <v>0</v>
      </c>
      <c r="AH77" s="15">
        <v>0</v>
      </c>
      <c r="AI77" s="15">
        <v>0</v>
      </c>
      <c r="AJ77" s="15">
        <v>0</v>
      </c>
      <c r="AK77" s="15">
        <v>0</v>
      </c>
      <c r="AL77" s="15">
        <v>0</v>
      </c>
      <c r="AM77" s="14">
        <v>0</v>
      </c>
      <c r="AN77" s="14">
        <v>0</v>
      </c>
      <c r="AO77" s="14">
        <v>0</v>
      </c>
      <c r="AP77" s="14">
        <v>0</v>
      </c>
      <c r="AQ77" s="14">
        <v>0</v>
      </c>
      <c r="AR77" s="14">
        <v>0</v>
      </c>
      <c r="AS77" s="14">
        <v>0</v>
      </c>
      <c r="AT77" s="14">
        <v>0</v>
      </c>
      <c r="AU77" s="14">
        <v>0</v>
      </c>
      <c r="AV77" s="14">
        <v>0</v>
      </c>
      <c r="AW77" s="14">
        <v>0</v>
      </c>
      <c r="AX77" s="14">
        <v>0</v>
      </c>
      <c r="AY77" s="14">
        <v>0</v>
      </c>
      <c r="AZ77" s="14">
        <v>0</v>
      </c>
      <c r="BA77" s="14">
        <v>0</v>
      </c>
      <c r="BB77" s="14">
        <v>0</v>
      </c>
      <c r="BC77" s="14">
        <v>0</v>
      </c>
      <c r="BD77" s="14">
        <v>0</v>
      </c>
      <c r="BE77" s="14">
        <v>0</v>
      </c>
      <c r="BF77" s="14">
        <v>20</v>
      </c>
    </row>
    <row r="78" spans="1:58" ht="16">
      <c r="A78" s="14" t="s">
        <v>16935</v>
      </c>
      <c r="B78" s="14" t="s">
        <v>17389</v>
      </c>
      <c r="C78" s="14">
        <v>1</v>
      </c>
      <c r="D78" s="14">
        <v>7</v>
      </c>
      <c r="E78" s="14">
        <v>7</v>
      </c>
      <c r="F78" s="14">
        <v>7</v>
      </c>
      <c r="G78" s="14">
        <v>0</v>
      </c>
      <c r="H78" s="14">
        <v>0</v>
      </c>
      <c r="I78" s="14">
        <v>0</v>
      </c>
      <c r="J78" s="14">
        <v>7</v>
      </c>
      <c r="K78" s="14">
        <v>55</v>
      </c>
      <c r="L78" s="14">
        <v>1</v>
      </c>
      <c r="M78" s="14">
        <v>0</v>
      </c>
      <c r="N78" s="14">
        <v>0</v>
      </c>
      <c r="O78" s="14">
        <v>6</v>
      </c>
      <c r="P78" s="14">
        <v>0</v>
      </c>
      <c r="Q78" s="14">
        <v>0</v>
      </c>
      <c r="R78" s="14">
        <v>0</v>
      </c>
      <c r="S78" s="14">
        <v>0</v>
      </c>
      <c r="T78" s="14">
        <v>0</v>
      </c>
      <c r="U78" s="14">
        <v>0</v>
      </c>
      <c r="V78" s="14">
        <v>0</v>
      </c>
      <c r="W78" s="15">
        <v>0</v>
      </c>
      <c r="X78" s="15">
        <v>0</v>
      </c>
      <c r="Y78" s="14">
        <v>0</v>
      </c>
      <c r="Z78" s="14">
        <v>0</v>
      </c>
      <c r="AA78" s="15">
        <v>0</v>
      </c>
      <c r="AB78" s="15">
        <v>0</v>
      </c>
      <c r="AC78" s="15">
        <v>0</v>
      </c>
      <c r="AD78" s="15">
        <v>0</v>
      </c>
      <c r="AE78" s="15">
        <v>0</v>
      </c>
      <c r="AF78" s="15">
        <v>0</v>
      </c>
      <c r="AG78" s="15">
        <v>0</v>
      </c>
      <c r="AH78" s="15">
        <v>0</v>
      </c>
      <c r="AI78" s="15">
        <v>0</v>
      </c>
      <c r="AJ78" s="15">
        <v>0</v>
      </c>
      <c r="AK78" s="15">
        <v>0</v>
      </c>
      <c r="AL78" s="15">
        <v>0</v>
      </c>
      <c r="AM78" s="14">
        <v>0</v>
      </c>
      <c r="AN78" s="14">
        <v>0</v>
      </c>
      <c r="AO78" s="14">
        <v>0</v>
      </c>
      <c r="AP78" s="14">
        <v>0</v>
      </c>
      <c r="AQ78" s="14">
        <v>0</v>
      </c>
      <c r="AR78" s="14">
        <v>0</v>
      </c>
      <c r="AS78" s="14">
        <v>0</v>
      </c>
      <c r="AT78" s="14">
        <v>55</v>
      </c>
      <c r="AU78" s="14">
        <v>0</v>
      </c>
      <c r="AV78" s="14">
        <v>45</v>
      </c>
      <c r="AW78" s="14">
        <v>10</v>
      </c>
      <c r="AX78" s="14">
        <v>0</v>
      </c>
      <c r="AY78" s="14">
        <v>0</v>
      </c>
      <c r="AZ78" s="14">
        <v>0</v>
      </c>
      <c r="BA78" s="14">
        <v>0</v>
      </c>
      <c r="BB78" s="14">
        <v>0</v>
      </c>
      <c r="BC78" s="14">
        <v>0</v>
      </c>
      <c r="BD78" s="14">
        <v>0</v>
      </c>
      <c r="BE78" s="14">
        <v>0</v>
      </c>
      <c r="BF78" s="14">
        <v>0</v>
      </c>
    </row>
    <row r="79" spans="1:58" ht="16">
      <c r="A79" s="14" t="s">
        <v>16936</v>
      </c>
      <c r="B79" s="14" t="s">
        <v>16936</v>
      </c>
      <c r="C79" s="14">
        <v>0</v>
      </c>
      <c r="D79" s="14">
        <v>11</v>
      </c>
      <c r="E79" s="14">
        <v>11</v>
      </c>
      <c r="F79" s="14">
        <v>0</v>
      </c>
      <c r="G79" s="14">
        <v>0</v>
      </c>
      <c r="H79" s="14">
        <v>0</v>
      </c>
      <c r="I79" s="14">
        <v>0</v>
      </c>
      <c r="J79" s="14">
        <v>11</v>
      </c>
      <c r="K79" s="14">
        <v>168</v>
      </c>
      <c r="L79" s="14">
        <v>6</v>
      </c>
      <c r="M79" s="14">
        <v>2</v>
      </c>
      <c r="N79" s="14">
        <v>2</v>
      </c>
      <c r="O79" s="14">
        <v>1</v>
      </c>
      <c r="P79" s="14">
        <v>0</v>
      </c>
      <c r="Q79" s="14">
        <v>0</v>
      </c>
      <c r="R79" s="14">
        <v>0</v>
      </c>
      <c r="S79" s="14">
        <v>58.25</v>
      </c>
      <c r="T79" s="14">
        <v>2</v>
      </c>
      <c r="U79" s="14">
        <v>0</v>
      </c>
      <c r="V79" s="14">
        <v>60.25</v>
      </c>
      <c r="W79" s="15">
        <v>622.5</v>
      </c>
      <c r="X79" s="15">
        <v>0</v>
      </c>
      <c r="Y79" s="14">
        <v>11</v>
      </c>
      <c r="Z79" s="14">
        <v>0</v>
      </c>
      <c r="AA79" s="15">
        <v>0</v>
      </c>
      <c r="AB79" s="15">
        <v>360</v>
      </c>
      <c r="AC79" s="15">
        <v>0</v>
      </c>
      <c r="AD79" s="15">
        <v>0</v>
      </c>
      <c r="AE79" s="15">
        <v>0</v>
      </c>
      <c r="AF79" s="15">
        <v>360</v>
      </c>
      <c r="AG79" s="15">
        <v>622.5</v>
      </c>
      <c r="AH79" s="15">
        <v>622.5</v>
      </c>
      <c r="AI79" s="15">
        <v>0</v>
      </c>
      <c r="AJ79" s="15">
        <v>0</v>
      </c>
      <c r="AK79" s="15">
        <v>0</v>
      </c>
      <c r="AL79" s="15">
        <v>0</v>
      </c>
      <c r="AM79" s="14">
        <v>0</v>
      </c>
      <c r="AN79" s="14">
        <v>0</v>
      </c>
      <c r="AO79" s="14">
        <v>0</v>
      </c>
      <c r="AP79" s="14">
        <v>0</v>
      </c>
      <c r="AQ79" s="14">
        <v>0</v>
      </c>
      <c r="AR79" s="14">
        <v>0</v>
      </c>
      <c r="AS79" s="14">
        <v>0</v>
      </c>
      <c r="AT79" s="14">
        <v>168</v>
      </c>
      <c r="AU79" s="14">
        <v>0</v>
      </c>
      <c r="AV79" s="14">
        <v>168</v>
      </c>
      <c r="AW79" s="14">
        <v>0</v>
      </c>
      <c r="AX79" s="14">
        <v>58.25</v>
      </c>
      <c r="AY79" s="14">
        <v>0</v>
      </c>
      <c r="AZ79" s="14">
        <v>58.25</v>
      </c>
      <c r="BA79" s="14">
        <v>0</v>
      </c>
      <c r="BB79" s="14">
        <v>2</v>
      </c>
      <c r="BC79" s="14">
        <v>0</v>
      </c>
      <c r="BD79" s="14">
        <v>2</v>
      </c>
      <c r="BE79" s="14">
        <v>0</v>
      </c>
      <c r="BF79" s="14"/>
    </row>
    <row r="80" spans="1:58" ht="16">
      <c r="A80" s="14" t="s">
        <v>17390</v>
      </c>
      <c r="B80" s="14" t="s">
        <v>17391</v>
      </c>
      <c r="C80" s="14">
        <v>0</v>
      </c>
      <c r="D80" s="14">
        <v>19</v>
      </c>
      <c r="E80" s="14">
        <v>0</v>
      </c>
      <c r="F80" s="14">
        <v>19</v>
      </c>
      <c r="G80" s="14">
        <v>1</v>
      </c>
      <c r="H80" s="14">
        <v>0</v>
      </c>
      <c r="I80" s="14">
        <v>0</v>
      </c>
      <c r="J80" s="14">
        <v>19</v>
      </c>
      <c r="K80" s="14">
        <v>234</v>
      </c>
      <c r="L80" s="14">
        <v>19</v>
      </c>
      <c r="M80" s="14">
        <v>0</v>
      </c>
      <c r="N80" s="14">
        <v>0</v>
      </c>
      <c r="O80" s="14">
        <v>0</v>
      </c>
      <c r="P80" s="14">
        <v>0</v>
      </c>
      <c r="Q80" s="14">
        <v>0</v>
      </c>
      <c r="R80" s="14">
        <v>0</v>
      </c>
      <c r="S80" s="14">
        <v>40</v>
      </c>
      <c r="T80" s="14">
        <v>42</v>
      </c>
      <c r="U80" s="14">
        <v>0</v>
      </c>
      <c r="V80" s="14">
        <v>82</v>
      </c>
      <c r="W80" s="15">
        <v>1240</v>
      </c>
      <c r="X80" s="15">
        <v>0</v>
      </c>
      <c r="Y80" s="14">
        <v>18</v>
      </c>
      <c r="Z80" s="14">
        <v>1</v>
      </c>
      <c r="AA80" s="15">
        <v>0</v>
      </c>
      <c r="AB80" s="15">
        <v>640</v>
      </c>
      <c r="AC80" s="15">
        <v>1878.35</v>
      </c>
      <c r="AD80" s="15">
        <v>1758.35</v>
      </c>
      <c r="AE80" s="15">
        <v>1658.35</v>
      </c>
      <c r="AF80" s="15">
        <v>2398.35</v>
      </c>
      <c r="AG80" s="15">
        <v>3118.35</v>
      </c>
      <c r="AH80" s="15">
        <v>1460</v>
      </c>
      <c r="AI80" s="15">
        <v>0</v>
      </c>
      <c r="AJ80" s="15">
        <v>0</v>
      </c>
      <c r="AK80" s="15">
        <v>0</v>
      </c>
      <c r="AL80" s="15">
        <v>0</v>
      </c>
      <c r="AM80" s="14">
        <v>0</v>
      </c>
      <c r="AN80" s="14">
        <v>1</v>
      </c>
      <c r="AO80" s="14">
        <v>2</v>
      </c>
      <c r="AP80" s="14">
        <v>14</v>
      </c>
      <c r="AQ80" s="14">
        <v>0</v>
      </c>
      <c r="AR80" s="14">
        <v>0</v>
      </c>
      <c r="AS80" s="14">
        <v>0</v>
      </c>
      <c r="AT80" s="14">
        <v>234</v>
      </c>
      <c r="AU80" s="14">
        <v>0</v>
      </c>
      <c r="AV80" s="14">
        <v>234</v>
      </c>
      <c r="AW80" s="14">
        <v>0</v>
      </c>
      <c r="AX80" s="14">
        <v>40</v>
      </c>
      <c r="AY80" s="14">
        <v>0</v>
      </c>
      <c r="AZ80" s="14">
        <v>40</v>
      </c>
      <c r="BA80" s="14">
        <v>0</v>
      </c>
      <c r="BB80" s="14">
        <v>42</v>
      </c>
      <c r="BC80" s="14">
        <v>0</v>
      </c>
      <c r="BD80" s="14">
        <v>42</v>
      </c>
      <c r="BE80" s="14">
        <v>0</v>
      </c>
      <c r="BF80" s="16">
        <v>7000</v>
      </c>
    </row>
    <row r="81" spans="1:58" ht="16">
      <c r="A81" s="14" t="s">
        <v>16977</v>
      </c>
      <c r="B81" s="14" t="s">
        <v>17380</v>
      </c>
      <c r="C81" s="14">
        <v>0</v>
      </c>
      <c r="D81" s="14">
        <v>8</v>
      </c>
      <c r="E81" s="14">
        <v>8</v>
      </c>
      <c r="F81" s="14">
        <v>7</v>
      </c>
      <c r="G81" s="14">
        <v>1</v>
      </c>
      <c r="H81" s="14">
        <v>0</v>
      </c>
      <c r="I81" s="14">
        <v>0</v>
      </c>
      <c r="J81" s="14">
        <v>8</v>
      </c>
      <c r="K81" s="14">
        <v>102</v>
      </c>
      <c r="L81" s="14">
        <v>4</v>
      </c>
      <c r="M81" s="14">
        <v>1</v>
      </c>
      <c r="N81" s="14">
        <v>2</v>
      </c>
      <c r="O81" s="14">
        <v>2</v>
      </c>
      <c r="P81" s="14">
        <v>0</v>
      </c>
      <c r="Q81" s="14">
        <v>0</v>
      </c>
      <c r="R81" s="14">
        <v>0</v>
      </c>
      <c r="S81" s="14">
        <v>7.5</v>
      </c>
      <c r="T81" s="14">
        <v>52.5</v>
      </c>
      <c r="U81" s="14">
        <v>2.25</v>
      </c>
      <c r="V81" s="14">
        <v>14.3</v>
      </c>
      <c r="W81" s="15">
        <v>1095</v>
      </c>
      <c r="X81" s="15">
        <v>0</v>
      </c>
      <c r="Y81" s="14">
        <v>3</v>
      </c>
      <c r="Z81" s="14">
        <v>2</v>
      </c>
      <c r="AA81" s="15">
        <v>0</v>
      </c>
      <c r="AB81" s="15">
        <v>930</v>
      </c>
      <c r="AC81" s="15">
        <v>78.89</v>
      </c>
      <c r="AD81" s="15">
        <v>76.89</v>
      </c>
      <c r="AE81" s="15">
        <v>1006.89</v>
      </c>
      <c r="AF81" s="15">
        <v>1006.89</v>
      </c>
      <c r="AG81" s="15">
        <v>1218.8900000000001</v>
      </c>
      <c r="AH81" s="15">
        <v>212</v>
      </c>
      <c r="AI81" s="15">
        <v>0</v>
      </c>
      <c r="AJ81" s="15">
        <v>0</v>
      </c>
      <c r="AK81" s="15">
        <v>0</v>
      </c>
      <c r="AL81" s="15">
        <v>0</v>
      </c>
      <c r="AM81" s="14">
        <v>2</v>
      </c>
      <c r="AN81" s="14">
        <v>0</v>
      </c>
      <c r="AO81" s="14">
        <v>0</v>
      </c>
      <c r="AP81" s="14">
        <v>0</v>
      </c>
      <c r="AQ81" s="14">
        <v>0</v>
      </c>
      <c r="AR81" s="14">
        <v>1</v>
      </c>
      <c r="AS81" s="14">
        <v>0</v>
      </c>
      <c r="AT81" s="14">
        <v>102</v>
      </c>
      <c r="AU81" s="14">
        <v>0</v>
      </c>
      <c r="AV81" s="14">
        <v>102</v>
      </c>
      <c r="AW81" s="14">
        <v>0</v>
      </c>
      <c r="AX81" s="14">
        <v>7.5</v>
      </c>
      <c r="AY81" s="14">
        <v>0</v>
      </c>
      <c r="AZ81" s="14">
        <v>7.5</v>
      </c>
      <c r="BA81" s="14">
        <v>0</v>
      </c>
      <c r="BB81" s="14">
        <v>52.5</v>
      </c>
      <c r="BC81" s="14">
        <v>0</v>
      </c>
      <c r="BD81" s="14">
        <v>52.5</v>
      </c>
      <c r="BE81" s="14">
        <v>0</v>
      </c>
      <c r="BF81" s="14">
        <v>0</v>
      </c>
    </row>
    <row r="82" spans="1:58" ht="16">
      <c r="A82" s="14" t="s">
        <v>16980</v>
      </c>
      <c r="B82" s="14" t="s">
        <v>16981</v>
      </c>
      <c r="C82" s="14">
        <v>0</v>
      </c>
      <c r="D82" s="14">
        <v>67</v>
      </c>
      <c r="E82" s="14">
        <v>67</v>
      </c>
      <c r="F82" s="14">
        <v>53</v>
      </c>
      <c r="G82" s="14">
        <v>18</v>
      </c>
      <c r="H82" s="14">
        <v>4</v>
      </c>
      <c r="I82" s="14">
        <v>0</v>
      </c>
      <c r="J82" s="14">
        <v>60</v>
      </c>
      <c r="K82" s="14">
        <v>556</v>
      </c>
      <c r="L82" s="14">
        <v>56</v>
      </c>
      <c r="M82" s="14">
        <v>0</v>
      </c>
      <c r="N82" s="14">
        <v>0</v>
      </c>
      <c r="O82" s="14">
        <v>0</v>
      </c>
      <c r="P82" s="14">
        <v>3</v>
      </c>
      <c r="Q82" s="14">
        <v>2</v>
      </c>
      <c r="R82" s="14">
        <v>0</v>
      </c>
      <c r="S82" s="14">
        <v>22.5</v>
      </c>
      <c r="T82" s="14">
        <v>5</v>
      </c>
      <c r="U82" s="14">
        <v>4</v>
      </c>
      <c r="V82" s="14">
        <v>31.5</v>
      </c>
      <c r="W82" s="15">
        <v>325</v>
      </c>
      <c r="X82" s="15">
        <v>0</v>
      </c>
      <c r="Y82" s="14">
        <v>63</v>
      </c>
      <c r="Z82" s="14">
        <v>0</v>
      </c>
      <c r="AA82" s="15">
        <v>0</v>
      </c>
      <c r="AB82" s="15">
        <v>2.5</v>
      </c>
      <c r="AC82" s="15">
        <v>0</v>
      </c>
      <c r="AD82" s="15">
        <v>0</v>
      </c>
      <c r="AE82" s="15">
        <v>0</v>
      </c>
      <c r="AF82" s="15">
        <v>2.5</v>
      </c>
      <c r="AG82" s="15">
        <v>405</v>
      </c>
      <c r="AH82" s="15">
        <v>405</v>
      </c>
      <c r="AI82" s="15">
        <v>0</v>
      </c>
      <c r="AJ82" s="15">
        <v>0</v>
      </c>
      <c r="AK82" s="15">
        <v>0</v>
      </c>
      <c r="AL82" s="15">
        <v>0</v>
      </c>
      <c r="AM82" s="14">
        <v>0</v>
      </c>
      <c r="AN82" s="14">
        <v>0</v>
      </c>
      <c r="AO82" s="14">
        <v>0</v>
      </c>
      <c r="AP82" s="14">
        <v>0</v>
      </c>
      <c r="AQ82" s="14">
        <v>0</v>
      </c>
      <c r="AR82" s="14">
        <v>0</v>
      </c>
      <c r="AS82" s="14">
        <v>0</v>
      </c>
      <c r="AT82" s="14">
        <v>556</v>
      </c>
      <c r="AU82" s="14">
        <v>0</v>
      </c>
      <c r="AV82" s="14">
        <v>556</v>
      </c>
      <c r="AW82" s="14">
        <v>0</v>
      </c>
      <c r="AX82" s="14">
        <v>22.5</v>
      </c>
      <c r="AY82" s="14">
        <v>0</v>
      </c>
      <c r="AZ82" s="14">
        <v>22.5</v>
      </c>
      <c r="BA82" s="14">
        <v>0</v>
      </c>
      <c r="BB82" s="14">
        <v>5</v>
      </c>
      <c r="BC82" s="14">
        <v>0</v>
      </c>
      <c r="BD82" s="14">
        <v>5</v>
      </c>
      <c r="BE82" s="14">
        <v>0</v>
      </c>
      <c r="BF82" s="14">
        <v>0</v>
      </c>
    </row>
    <row r="83" spans="1:58" ht="16">
      <c r="A83" s="14" t="s">
        <v>16982</v>
      </c>
      <c r="B83" s="14" t="s">
        <v>17343</v>
      </c>
      <c r="C83" s="14">
        <v>0</v>
      </c>
      <c r="D83" s="14">
        <v>3</v>
      </c>
      <c r="E83" s="14">
        <v>3</v>
      </c>
      <c r="F83" s="14">
        <v>3</v>
      </c>
      <c r="G83" s="14">
        <v>1</v>
      </c>
      <c r="H83" s="14">
        <v>1</v>
      </c>
      <c r="I83" s="14">
        <v>0</v>
      </c>
      <c r="J83" s="14">
        <v>3</v>
      </c>
      <c r="K83" s="14">
        <v>43</v>
      </c>
      <c r="L83" s="14">
        <v>2</v>
      </c>
      <c r="M83" s="14">
        <v>0</v>
      </c>
      <c r="N83" s="14">
        <v>1</v>
      </c>
      <c r="O83" s="14">
        <v>0</v>
      </c>
      <c r="P83" s="14">
        <v>0</v>
      </c>
      <c r="Q83" s="14">
        <v>0</v>
      </c>
      <c r="R83" s="14">
        <v>0</v>
      </c>
      <c r="S83" s="14">
        <v>1.5</v>
      </c>
      <c r="T83" s="14">
        <v>0</v>
      </c>
      <c r="U83" s="14">
        <v>0</v>
      </c>
      <c r="V83" s="14">
        <v>1.5</v>
      </c>
      <c r="W83" s="15">
        <v>15</v>
      </c>
      <c r="X83" s="15">
        <v>0</v>
      </c>
      <c r="Y83" s="14">
        <v>3</v>
      </c>
      <c r="Z83" s="14">
        <v>0</v>
      </c>
      <c r="AA83" s="15">
        <v>0</v>
      </c>
      <c r="AB83" s="15">
        <v>0</v>
      </c>
      <c r="AC83" s="15">
        <v>0</v>
      </c>
      <c r="AD83" s="15">
        <v>0</v>
      </c>
      <c r="AE83" s="15">
        <v>0</v>
      </c>
      <c r="AF83" s="15">
        <v>0</v>
      </c>
      <c r="AG83" s="15">
        <v>15</v>
      </c>
      <c r="AH83" s="15">
        <v>15</v>
      </c>
      <c r="AI83" s="15">
        <v>0</v>
      </c>
      <c r="AJ83" s="15">
        <v>0</v>
      </c>
      <c r="AK83" s="15">
        <v>2.5</v>
      </c>
      <c r="AL83" s="15">
        <v>2.5</v>
      </c>
      <c r="AM83" s="14">
        <v>0</v>
      </c>
      <c r="AN83" s="14">
        <v>0</v>
      </c>
      <c r="AO83" s="14">
        <v>0</v>
      </c>
      <c r="AP83" s="14">
        <v>0</v>
      </c>
      <c r="AQ83" s="14">
        <v>0</v>
      </c>
      <c r="AR83" s="14">
        <v>0</v>
      </c>
      <c r="AS83" s="14">
        <v>0</v>
      </c>
      <c r="AT83" s="14">
        <v>43</v>
      </c>
      <c r="AU83" s="14">
        <v>30</v>
      </c>
      <c r="AV83" s="14">
        <v>13</v>
      </c>
      <c r="AW83" s="14">
        <v>0</v>
      </c>
      <c r="AX83" s="14">
        <v>1.5</v>
      </c>
      <c r="AY83" s="14">
        <v>0.25</v>
      </c>
      <c r="AZ83" s="14">
        <v>1.25</v>
      </c>
      <c r="BA83" s="14">
        <v>0</v>
      </c>
      <c r="BB83" s="14">
        <v>0</v>
      </c>
      <c r="BC83" s="14">
        <v>0</v>
      </c>
      <c r="BD83" s="14">
        <v>0</v>
      </c>
      <c r="BE83" s="14">
        <v>0</v>
      </c>
      <c r="BF83" s="14">
        <v>27</v>
      </c>
    </row>
    <row r="84" spans="1:58" ht="16">
      <c r="A84" s="14" t="s">
        <v>16983</v>
      </c>
      <c r="B84" s="14" t="s">
        <v>16984</v>
      </c>
      <c r="C84" s="14">
        <v>0</v>
      </c>
      <c r="D84" s="14">
        <v>36</v>
      </c>
      <c r="E84" s="14">
        <v>34</v>
      </c>
      <c r="F84" s="14">
        <v>31</v>
      </c>
      <c r="G84" s="14">
        <v>1</v>
      </c>
      <c r="H84" s="14">
        <v>1</v>
      </c>
      <c r="I84" s="14">
        <v>0</v>
      </c>
      <c r="J84" s="14">
        <v>36</v>
      </c>
      <c r="K84" s="14">
        <v>284</v>
      </c>
      <c r="L84" s="14">
        <v>29</v>
      </c>
      <c r="M84" s="14">
        <v>0</v>
      </c>
      <c r="N84" s="14">
        <v>5</v>
      </c>
      <c r="O84" s="14">
        <v>0</v>
      </c>
      <c r="P84" s="14">
        <v>1</v>
      </c>
      <c r="Q84" s="14">
        <v>1</v>
      </c>
      <c r="R84" s="14">
        <v>0</v>
      </c>
      <c r="S84" s="14">
        <v>13</v>
      </c>
      <c r="T84" s="14">
        <v>15.5</v>
      </c>
      <c r="U84" s="14">
        <v>0</v>
      </c>
      <c r="V84" s="14">
        <v>28.5</v>
      </c>
      <c r="W84" s="15">
        <v>440</v>
      </c>
      <c r="X84" s="15">
        <v>0</v>
      </c>
      <c r="Y84" s="14">
        <v>33</v>
      </c>
      <c r="Z84" s="14">
        <v>0</v>
      </c>
      <c r="AA84" s="15">
        <v>0</v>
      </c>
      <c r="AB84" s="15">
        <v>122.5</v>
      </c>
      <c r="AC84" s="15">
        <v>289</v>
      </c>
      <c r="AD84" s="15">
        <v>289</v>
      </c>
      <c r="AE84" s="15">
        <v>311</v>
      </c>
      <c r="AF84" s="15">
        <v>411.5</v>
      </c>
      <c r="AG84" s="15">
        <v>729</v>
      </c>
      <c r="AH84" s="15">
        <v>418</v>
      </c>
      <c r="AI84" s="15">
        <v>47.1</v>
      </c>
      <c r="AJ84" s="15">
        <v>47.1</v>
      </c>
      <c r="AK84" s="15">
        <v>69.599999999999994</v>
      </c>
      <c r="AL84" s="15">
        <v>22.5</v>
      </c>
      <c r="AM84" s="14">
        <v>25</v>
      </c>
      <c r="AN84" s="14">
        <v>4</v>
      </c>
      <c r="AO84" s="14">
        <v>1</v>
      </c>
      <c r="AP84" s="14">
        <v>1</v>
      </c>
      <c r="AQ84" s="14">
        <v>0</v>
      </c>
      <c r="AR84" s="14">
        <v>0</v>
      </c>
      <c r="AS84" s="14">
        <v>0</v>
      </c>
      <c r="AT84" s="14">
        <v>284</v>
      </c>
      <c r="AU84" s="14">
        <v>22</v>
      </c>
      <c r="AV84" s="14">
        <v>262</v>
      </c>
      <c r="AW84" s="14">
        <v>0</v>
      </c>
      <c r="AX84" s="14">
        <v>13</v>
      </c>
      <c r="AY84" s="14">
        <v>0.75</v>
      </c>
      <c r="AZ84" s="14">
        <v>12.25</v>
      </c>
      <c r="BA84" s="14">
        <v>0</v>
      </c>
      <c r="BB84" s="14">
        <v>15.5</v>
      </c>
      <c r="BC84" s="14">
        <v>0.75</v>
      </c>
      <c r="BD84" s="14">
        <v>14.75</v>
      </c>
      <c r="BE84" s="14">
        <v>0</v>
      </c>
      <c r="BF84" s="14">
        <v>7</v>
      </c>
    </row>
    <row r="85" spans="1:58" ht="16">
      <c r="A85" s="14" t="s">
        <v>16985</v>
      </c>
      <c r="B85" s="14" t="s">
        <v>17384</v>
      </c>
      <c r="C85" s="14">
        <v>0</v>
      </c>
      <c r="D85" s="14">
        <v>1</v>
      </c>
      <c r="E85" s="14">
        <v>1</v>
      </c>
      <c r="F85" s="14">
        <v>1</v>
      </c>
      <c r="G85" s="14">
        <v>0</v>
      </c>
      <c r="H85" s="14">
        <v>0</v>
      </c>
      <c r="I85" s="14">
        <v>0</v>
      </c>
      <c r="J85" s="14">
        <v>1</v>
      </c>
      <c r="K85" s="14">
        <v>3</v>
      </c>
      <c r="L85" s="14">
        <v>1</v>
      </c>
      <c r="M85" s="14">
        <v>0</v>
      </c>
      <c r="N85" s="14">
        <v>0</v>
      </c>
      <c r="O85" s="14">
        <v>0</v>
      </c>
      <c r="P85" s="14">
        <v>0</v>
      </c>
      <c r="Q85" s="14">
        <v>0</v>
      </c>
      <c r="R85" s="14">
        <v>0</v>
      </c>
      <c r="S85" s="14">
        <v>0.25</v>
      </c>
      <c r="T85" s="14">
        <v>0</v>
      </c>
      <c r="U85" s="14">
        <v>0</v>
      </c>
      <c r="V85" s="14">
        <v>0.3</v>
      </c>
      <c r="W85" s="15">
        <v>2.5</v>
      </c>
      <c r="X85" s="15">
        <v>0</v>
      </c>
      <c r="Y85" s="14">
        <v>1</v>
      </c>
      <c r="Z85" s="14">
        <v>0</v>
      </c>
      <c r="AA85" s="15">
        <v>0</v>
      </c>
      <c r="AB85" s="15">
        <v>0</v>
      </c>
      <c r="AC85" s="15">
        <v>0</v>
      </c>
      <c r="AD85" s="15">
        <v>0</v>
      </c>
      <c r="AE85" s="15">
        <v>0</v>
      </c>
      <c r="AF85" s="15">
        <v>0</v>
      </c>
      <c r="AG85" s="15">
        <v>2.5</v>
      </c>
      <c r="AH85" s="15">
        <v>2.5</v>
      </c>
      <c r="AI85" s="15">
        <v>0</v>
      </c>
      <c r="AJ85" s="15">
        <v>0</v>
      </c>
      <c r="AK85" s="15">
        <v>0</v>
      </c>
      <c r="AL85" s="15">
        <v>0</v>
      </c>
      <c r="AM85" s="14">
        <v>0</v>
      </c>
      <c r="AN85" s="14">
        <v>0</v>
      </c>
      <c r="AO85" s="14">
        <v>0</v>
      </c>
      <c r="AP85" s="14">
        <v>0</v>
      </c>
      <c r="AQ85" s="14">
        <v>0</v>
      </c>
      <c r="AR85" s="14">
        <v>0</v>
      </c>
      <c r="AS85" s="14">
        <v>0</v>
      </c>
      <c r="AT85" s="14">
        <v>3</v>
      </c>
      <c r="AU85" s="14">
        <v>0</v>
      </c>
      <c r="AV85" s="14">
        <v>3</v>
      </c>
      <c r="AW85" s="14">
        <v>0</v>
      </c>
      <c r="AX85" s="14">
        <v>0.25</v>
      </c>
      <c r="AY85" s="14">
        <v>0</v>
      </c>
      <c r="AZ85" s="14">
        <v>0.25</v>
      </c>
      <c r="BA85" s="14">
        <v>0</v>
      </c>
      <c r="BB85" s="14">
        <v>0</v>
      </c>
      <c r="BC85" s="14">
        <v>0</v>
      </c>
      <c r="BD85" s="14">
        <v>0</v>
      </c>
      <c r="BE85" s="14">
        <v>0</v>
      </c>
      <c r="BF85" s="14">
        <v>300</v>
      </c>
    </row>
    <row r="86" spans="1:58" ht="16">
      <c r="A86" t="s">
        <v>16985</v>
      </c>
      <c r="B86" t="s">
        <v>16986</v>
      </c>
      <c r="C86" s="14">
        <v>0</v>
      </c>
      <c r="D86" s="14">
        <v>4</v>
      </c>
      <c r="E86" s="14">
        <v>4</v>
      </c>
      <c r="F86" s="14">
        <v>4</v>
      </c>
      <c r="G86" s="14">
        <v>0</v>
      </c>
      <c r="H86" s="14">
        <v>0</v>
      </c>
      <c r="I86" s="14">
        <v>0</v>
      </c>
      <c r="J86" s="14">
        <v>4</v>
      </c>
      <c r="K86" s="14">
        <v>10</v>
      </c>
      <c r="L86" s="14">
        <v>2</v>
      </c>
      <c r="M86" s="14">
        <v>0</v>
      </c>
      <c r="N86" s="14">
        <v>0</v>
      </c>
      <c r="O86" s="14">
        <v>2</v>
      </c>
      <c r="P86" s="14">
        <v>0</v>
      </c>
      <c r="Q86" s="14">
        <v>0</v>
      </c>
      <c r="R86" s="14">
        <v>0</v>
      </c>
      <c r="S86" s="14">
        <v>0</v>
      </c>
      <c r="T86" s="14">
        <v>0</v>
      </c>
      <c r="U86" s="14">
        <v>0</v>
      </c>
      <c r="V86" s="14">
        <v>0</v>
      </c>
      <c r="W86" s="15">
        <v>0</v>
      </c>
      <c r="X86" s="15">
        <v>0</v>
      </c>
      <c r="Y86" s="14">
        <v>0</v>
      </c>
      <c r="Z86" s="14">
        <v>0</v>
      </c>
      <c r="AA86" s="15">
        <v>0</v>
      </c>
      <c r="AB86" s="15">
        <v>0</v>
      </c>
      <c r="AC86" s="15">
        <v>0</v>
      </c>
      <c r="AD86" s="15">
        <v>0</v>
      </c>
      <c r="AE86" s="15">
        <v>0</v>
      </c>
      <c r="AF86" s="15">
        <v>0</v>
      </c>
      <c r="AG86" s="15">
        <v>0</v>
      </c>
      <c r="AH86" s="15">
        <v>0</v>
      </c>
      <c r="AI86" s="15">
        <v>0</v>
      </c>
      <c r="AJ86" s="15">
        <v>0</v>
      </c>
      <c r="AK86" s="15">
        <v>0</v>
      </c>
      <c r="AL86" s="15">
        <v>0</v>
      </c>
      <c r="AM86" s="14">
        <v>0</v>
      </c>
      <c r="AN86" s="14">
        <v>0</v>
      </c>
      <c r="AO86" s="14">
        <v>0</v>
      </c>
      <c r="AP86" s="14">
        <v>0</v>
      </c>
      <c r="AQ86" s="14">
        <v>0</v>
      </c>
      <c r="AR86" s="14">
        <v>0</v>
      </c>
      <c r="AS86" s="14">
        <v>0</v>
      </c>
      <c r="AT86" s="14">
        <v>10</v>
      </c>
      <c r="AU86" s="14">
        <v>0</v>
      </c>
      <c r="AV86" s="14">
        <v>10</v>
      </c>
      <c r="AW86" s="14">
        <v>0</v>
      </c>
      <c r="AX86" s="14">
        <v>0</v>
      </c>
      <c r="AY86" s="14">
        <v>0</v>
      </c>
      <c r="AZ86" s="14">
        <v>0</v>
      </c>
      <c r="BA86" s="14">
        <v>0</v>
      </c>
      <c r="BB86" s="14">
        <v>0</v>
      </c>
      <c r="BC86" s="14">
        <v>0</v>
      </c>
      <c r="BD86" s="14">
        <v>0</v>
      </c>
      <c r="BE86" s="14">
        <v>0</v>
      </c>
      <c r="BF86" s="14"/>
    </row>
    <row r="87" spans="1:58" ht="16">
      <c r="A87" s="14" t="s">
        <v>16988</v>
      </c>
      <c r="B87" s="14" t="s">
        <v>16988</v>
      </c>
      <c r="C87" s="14">
        <v>4</v>
      </c>
      <c r="D87" s="14">
        <v>9</v>
      </c>
      <c r="E87" s="14">
        <v>2</v>
      </c>
      <c r="F87" s="14">
        <v>9</v>
      </c>
      <c r="G87" s="14">
        <v>0</v>
      </c>
      <c r="H87" s="14">
        <v>1</v>
      </c>
      <c r="I87" s="14">
        <v>0</v>
      </c>
      <c r="J87" s="14">
        <v>8</v>
      </c>
      <c r="K87" s="14">
        <v>28</v>
      </c>
      <c r="L87" s="14">
        <v>4</v>
      </c>
      <c r="M87" s="14">
        <v>1</v>
      </c>
      <c r="N87" s="14">
        <v>0</v>
      </c>
      <c r="O87" s="14">
        <v>2</v>
      </c>
      <c r="P87" s="14">
        <v>1</v>
      </c>
      <c r="Q87" s="14">
        <v>0</v>
      </c>
      <c r="R87" s="14">
        <v>0</v>
      </c>
      <c r="S87" s="14">
        <v>1.25</v>
      </c>
      <c r="T87" s="14">
        <v>1.75</v>
      </c>
      <c r="U87" s="14">
        <v>0</v>
      </c>
      <c r="V87" s="14">
        <v>3</v>
      </c>
      <c r="W87" s="15">
        <v>12.5</v>
      </c>
      <c r="X87" s="15">
        <v>0</v>
      </c>
      <c r="Y87" s="14">
        <v>3</v>
      </c>
      <c r="Z87" s="14">
        <v>0</v>
      </c>
      <c r="AA87" s="15">
        <v>-35</v>
      </c>
      <c r="AB87" s="15">
        <v>0</v>
      </c>
      <c r="AC87" s="15">
        <v>66.25</v>
      </c>
      <c r="AD87" s="15">
        <v>66.25</v>
      </c>
      <c r="AE87" s="15">
        <v>66.25</v>
      </c>
      <c r="AF87" s="15">
        <v>66.25</v>
      </c>
      <c r="AG87" s="15">
        <v>78.75</v>
      </c>
      <c r="AH87" s="15">
        <v>12.5</v>
      </c>
      <c r="AI87" s="15">
        <v>0</v>
      </c>
      <c r="AJ87" s="15">
        <v>0</v>
      </c>
      <c r="AK87" s="15">
        <v>0</v>
      </c>
      <c r="AL87" s="15">
        <v>0</v>
      </c>
      <c r="AM87" s="14">
        <v>1</v>
      </c>
      <c r="AN87" s="14">
        <v>2</v>
      </c>
      <c r="AO87" s="14">
        <v>0</v>
      </c>
      <c r="AP87" s="14">
        <v>0</v>
      </c>
      <c r="AQ87" s="14">
        <v>0</v>
      </c>
      <c r="AR87" s="14">
        <v>0</v>
      </c>
      <c r="AS87" s="14">
        <v>0</v>
      </c>
      <c r="AT87" s="14">
        <v>28</v>
      </c>
      <c r="AU87" s="14">
        <v>11</v>
      </c>
      <c r="AV87" s="14">
        <v>5</v>
      </c>
      <c r="AW87" s="14">
        <v>12</v>
      </c>
      <c r="AX87" s="14">
        <v>1.25</v>
      </c>
      <c r="AY87" s="14">
        <v>0</v>
      </c>
      <c r="AZ87" s="14">
        <v>0.25</v>
      </c>
      <c r="BA87" s="14">
        <v>1</v>
      </c>
      <c r="BB87" s="14">
        <v>1.75</v>
      </c>
      <c r="BC87" s="14">
        <v>0</v>
      </c>
      <c r="BD87" s="14">
        <v>0.5</v>
      </c>
      <c r="BE87" s="14">
        <v>1.25</v>
      </c>
      <c r="BF87" s="14"/>
    </row>
    <row r="88" spans="1:58" ht="16">
      <c r="A88" s="14" t="s">
        <v>17344</v>
      </c>
      <c r="B88" s="14" t="s">
        <v>17345</v>
      </c>
      <c r="C88" s="14">
        <v>3</v>
      </c>
      <c r="D88" s="14">
        <v>39</v>
      </c>
      <c r="E88" s="14">
        <v>0</v>
      </c>
      <c r="F88" s="14">
        <v>28</v>
      </c>
      <c r="G88" s="14">
        <v>0</v>
      </c>
      <c r="H88" s="14">
        <v>7</v>
      </c>
      <c r="I88" s="14">
        <v>4</v>
      </c>
      <c r="J88" s="14">
        <v>39</v>
      </c>
      <c r="K88" s="14">
        <v>405</v>
      </c>
      <c r="L88" s="14">
        <v>33</v>
      </c>
      <c r="M88" s="14">
        <v>0</v>
      </c>
      <c r="N88" s="14">
        <v>2</v>
      </c>
      <c r="O88" s="14">
        <v>4</v>
      </c>
      <c r="P88" s="14">
        <v>0</v>
      </c>
      <c r="Q88" s="14">
        <v>0</v>
      </c>
      <c r="R88" s="14">
        <v>0</v>
      </c>
      <c r="S88" s="14">
        <v>0</v>
      </c>
      <c r="T88" s="14">
        <v>0</v>
      </c>
      <c r="U88" s="14">
        <v>0</v>
      </c>
      <c r="V88" s="14">
        <v>0</v>
      </c>
      <c r="W88" s="15">
        <v>0</v>
      </c>
      <c r="X88" s="15">
        <v>0</v>
      </c>
      <c r="Y88" s="14">
        <v>0</v>
      </c>
      <c r="Z88" s="14">
        <v>0</v>
      </c>
      <c r="AA88" s="15">
        <v>0</v>
      </c>
      <c r="AB88" s="15">
        <v>0</v>
      </c>
      <c r="AC88" s="15">
        <v>344</v>
      </c>
      <c r="AD88" s="15">
        <v>344</v>
      </c>
      <c r="AE88" s="15">
        <v>344</v>
      </c>
      <c r="AF88" s="15">
        <v>344</v>
      </c>
      <c r="AG88" s="15">
        <v>344</v>
      </c>
      <c r="AH88" s="15">
        <v>0</v>
      </c>
      <c r="AI88" s="15">
        <v>333</v>
      </c>
      <c r="AJ88" s="15">
        <v>333</v>
      </c>
      <c r="AK88" s="15">
        <v>333</v>
      </c>
      <c r="AL88" s="15">
        <v>0</v>
      </c>
      <c r="AM88" s="14">
        <v>2</v>
      </c>
      <c r="AN88" s="14">
        <v>1</v>
      </c>
      <c r="AO88" s="14">
        <v>0</v>
      </c>
      <c r="AP88" s="14">
        <v>2</v>
      </c>
      <c r="AQ88" s="14">
        <v>0</v>
      </c>
      <c r="AR88" s="14">
        <v>0</v>
      </c>
      <c r="AS88" s="14">
        <v>0</v>
      </c>
      <c r="AT88" s="14">
        <v>405</v>
      </c>
      <c r="AU88" s="14">
        <v>206</v>
      </c>
      <c r="AV88" s="14">
        <v>176</v>
      </c>
      <c r="AW88" s="14">
        <v>23</v>
      </c>
      <c r="AX88" s="14">
        <v>0</v>
      </c>
      <c r="AY88" s="14">
        <v>0</v>
      </c>
      <c r="AZ88" s="14">
        <v>0</v>
      </c>
      <c r="BA88" s="14">
        <v>0</v>
      </c>
      <c r="BB88" s="14">
        <v>0</v>
      </c>
      <c r="BC88" s="14">
        <v>0</v>
      </c>
      <c r="BD88" s="14">
        <v>0</v>
      </c>
      <c r="BE88" s="14">
        <v>0</v>
      </c>
      <c r="BF88" s="16">
        <v>1836</v>
      </c>
    </row>
    <row r="89" spans="1:58" ht="16">
      <c r="A89" s="14" t="s">
        <v>16990</v>
      </c>
      <c r="B89" s="14" t="s">
        <v>17359</v>
      </c>
      <c r="C89" s="14">
        <v>5</v>
      </c>
      <c r="D89" s="14">
        <v>18</v>
      </c>
      <c r="E89" s="14">
        <v>18</v>
      </c>
      <c r="F89" s="14">
        <v>18</v>
      </c>
      <c r="G89" s="14">
        <v>6</v>
      </c>
      <c r="H89" s="14">
        <v>4</v>
      </c>
      <c r="I89" s="14">
        <v>1</v>
      </c>
      <c r="J89" s="14">
        <v>18</v>
      </c>
      <c r="K89" s="14">
        <v>208</v>
      </c>
      <c r="L89" s="14">
        <v>8</v>
      </c>
      <c r="M89" s="14">
        <v>2</v>
      </c>
      <c r="N89" s="14">
        <v>1</v>
      </c>
      <c r="O89" s="14">
        <v>4</v>
      </c>
      <c r="P89" s="14">
        <v>0</v>
      </c>
      <c r="Q89" s="14">
        <v>3</v>
      </c>
      <c r="R89" s="14">
        <v>0</v>
      </c>
      <c r="S89" s="14">
        <v>40</v>
      </c>
      <c r="T89" s="14">
        <v>16</v>
      </c>
      <c r="U89" s="14">
        <v>0</v>
      </c>
      <c r="V89" s="14">
        <v>56</v>
      </c>
      <c r="W89" s="15">
        <v>720</v>
      </c>
      <c r="X89" s="15">
        <v>0</v>
      </c>
      <c r="Y89" s="14">
        <v>7</v>
      </c>
      <c r="Z89" s="14">
        <v>1</v>
      </c>
      <c r="AA89" s="15">
        <v>0</v>
      </c>
      <c r="AB89" s="15">
        <v>527.5</v>
      </c>
      <c r="AC89" s="15">
        <v>139.5</v>
      </c>
      <c r="AD89" s="15">
        <v>131.5</v>
      </c>
      <c r="AE89" s="15">
        <v>336</v>
      </c>
      <c r="AF89" s="15">
        <v>17729</v>
      </c>
      <c r="AG89" s="15">
        <v>859.5</v>
      </c>
      <c r="AH89" s="15">
        <v>523.5</v>
      </c>
      <c r="AI89" s="15">
        <v>286</v>
      </c>
      <c r="AJ89" s="15">
        <v>17646.25</v>
      </c>
      <c r="AK89" s="15">
        <v>666.25</v>
      </c>
      <c r="AL89" s="15">
        <v>380.25</v>
      </c>
      <c r="AM89" s="14">
        <v>0</v>
      </c>
      <c r="AN89" s="14">
        <v>0</v>
      </c>
      <c r="AO89" s="14">
        <v>1</v>
      </c>
      <c r="AP89" s="14">
        <v>1</v>
      </c>
      <c r="AQ89" s="14">
        <v>0</v>
      </c>
      <c r="AR89" s="14">
        <v>0</v>
      </c>
      <c r="AS89" s="14">
        <v>0</v>
      </c>
      <c r="AT89" s="14">
        <v>208</v>
      </c>
      <c r="AU89" s="14">
        <v>117</v>
      </c>
      <c r="AV89" s="14">
        <v>66</v>
      </c>
      <c r="AW89" s="14">
        <v>25</v>
      </c>
      <c r="AX89" s="14">
        <v>40</v>
      </c>
      <c r="AY89" s="14">
        <v>36</v>
      </c>
      <c r="AZ89" s="14">
        <v>4</v>
      </c>
      <c r="BA89" s="14">
        <v>0</v>
      </c>
      <c r="BB89" s="14">
        <v>16</v>
      </c>
      <c r="BC89" s="14">
        <v>9.25</v>
      </c>
      <c r="BD89" s="14">
        <v>6.75</v>
      </c>
      <c r="BE89" s="14">
        <v>0</v>
      </c>
      <c r="BF89" s="16">
        <v>32400</v>
      </c>
    </row>
    <row r="90" spans="1:58" ht="16">
      <c r="A90" s="14" t="s">
        <v>16991</v>
      </c>
      <c r="B90" s="14" t="s">
        <v>17379</v>
      </c>
      <c r="C90" s="14">
        <v>0</v>
      </c>
      <c r="D90" s="14">
        <v>0</v>
      </c>
      <c r="E90" s="14">
        <v>0</v>
      </c>
      <c r="F90" s="14">
        <v>0</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5">
        <v>0</v>
      </c>
      <c r="X90" s="15">
        <v>0</v>
      </c>
      <c r="Y90" s="14">
        <v>0</v>
      </c>
      <c r="Z90" s="14">
        <v>0</v>
      </c>
      <c r="AA90" s="15">
        <v>0</v>
      </c>
      <c r="AB90" s="15">
        <v>0</v>
      </c>
      <c r="AC90" s="15">
        <v>0</v>
      </c>
      <c r="AD90" s="15">
        <v>0</v>
      </c>
      <c r="AE90" s="15">
        <v>0</v>
      </c>
      <c r="AF90" s="15">
        <v>0</v>
      </c>
      <c r="AG90" s="15">
        <v>0</v>
      </c>
      <c r="AH90" s="15">
        <v>0</v>
      </c>
      <c r="AI90" s="15">
        <v>0</v>
      </c>
      <c r="AJ90" s="15">
        <v>0</v>
      </c>
      <c r="AK90" s="15">
        <v>0</v>
      </c>
      <c r="AL90" s="15">
        <v>0</v>
      </c>
      <c r="AM90" s="14">
        <v>0</v>
      </c>
      <c r="AN90" s="14">
        <v>0</v>
      </c>
      <c r="AO90" s="14">
        <v>0</v>
      </c>
      <c r="AP90" s="14">
        <v>0</v>
      </c>
      <c r="AQ90" s="14">
        <v>0</v>
      </c>
      <c r="AR90" s="14">
        <v>0</v>
      </c>
      <c r="AS90" s="14">
        <v>0</v>
      </c>
      <c r="AT90" s="14">
        <v>0</v>
      </c>
      <c r="AU90" s="14">
        <v>0</v>
      </c>
      <c r="AV90" s="14">
        <v>0</v>
      </c>
      <c r="AW90" s="14">
        <v>0</v>
      </c>
      <c r="AX90" s="14">
        <v>0</v>
      </c>
      <c r="AY90" s="14">
        <v>0</v>
      </c>
      <c r="AZ90" s="14">
        <v>0</v>
      </c>
      <c r="BA90" s="14">
        <v>0</v>
      </c>
      <c r="BB90" s="14">
        <v>0</v>
      </c>
      <c r="BC90" s="14">
        <v>0</v>
      </c>
      <c r="BD90" s="14">
        <v>0</v>
      </c>
      <c r="BE90" s="14">
        <v>0</v>
      </c>
      <c r="BF90" s="14">
        <v>0</v>
      </c>
    </row>
    <row r="91" spans="1:58" ht="16">
      <c r="A91" t="s">
        <v>16992</v>
      </c>
      <c r="B91" t="s">
        <v>16992</v>
      </c>
      <c r="C91" s="14">
        <v>0</v>
      </c>
      <c r="D91" s="14">
        <v>1</v>
      </c>
      <c r="E91" s="14">
        <v>1</v>
      </c>
      <c r="F91" s="14">
        <v>1</v>
      </c>
      <c r="G91" s="14">
        <v>0</v>
      </c>
      <c r="H91" s="14">
        <v>0</v>
      </c>
      <c r="I91" s="14">
        <v>0</v>
      </c>
      <c r="J91" s="14">
        <v>1</v>
      </c>
      <c r="K91" s="14">
        <v>10</v>
      </c>
      <c r="L91" s="14">
        <v>1</v>
      </c>
      <c r="M91" s="14">
        <v>0</v>
      </c>
      <c r="N91" s="14">
        <v>0</v>
      </c>
      <c r="O91" s="14">
        <v>0</v>
      </c>
      <c r="P91" s="14">
        <v>0</v>
      </c>
      <c r="Q91" s="14">
        <v>0</v>
      </c>
      <c r="R91" s="14">
        <v>0</v>
      </c>
      <c r="S91" s="14">
        <v>0</v>
      </c>
      <c r="T91" s="14">
        <v>0</v>
      </c>
      <c r="U91" s="14">
        <v>0</v>
      </c>
      <c r="V91" s="14">
        <v>0</v>
      </c>
      <c r="W91" s="15">
        <v>0</v>
      </c>
      <c r="X91" s="15">
        <v>0</v>
      </c>
      <c r="Y91" s="14">
        <v>0</v>
      </c>
      <c r="Z91" s="14">
        <v>0</v>
      </c>
      <c r="AA91" s="15">
        <v>0</v>
      </c>
      <c r="AB91" s="15">
        <v>0</v>
      </c>
      <c r="AC91" s="15">
        <v>0</v>
      </c>
      <c r="AD91" s="15">
        <v>0</v>
      </c>
      <c r="AE91" s="15">
        <v>0</v>
      </c>
      <c r="AF91" s="15">
        <v>0</v>
      </c>
      <c r="AG91" s="15">
        <v>0</v>
      </c>
      <c r="AH91" s="15">
        <v>0</v>
      </c>
      <c r="AI91" s="15">
        <v>0</v>
      </c>
      <c r="AJ91" s="15">
        <v>0</v>
      </c>
      <c r="AK91" s="15">
        <v>0</v>
      </c>
      <c r="AL91" s="15">
        <v>0</v>
      </c>
      <c r="AM91" s="14">
        <v>0</v>
      </c>
      <c r="AN91" s="14">
        <v>0</v>
      </c>
      <c r="AO91" s="14">
        <v>0</v>
      </c>
      <c r="AP91" s="14">
        <v>0</v>
      </c>
      <c r="AQ91" s="14">
        <v>0</v>
      </c>
      <c r="AR91" s="14">
        <v>0</v>
      </c>
      <c r="AS91" s="14">
        <v>0</v>
      </c>
      <c r="AT91" s="14">
        <v>10</v>
      </c>
      <c r="AU91" s="14">
        <v>0</v>
      </c>
      <c r="AV91" s="14">
        <v>10</v>
      </c>
      <c r="AW91" s="14">
        <v>0</v>
      </c>
      <c r="AX91" s="14">
        <v>0</v>
      </c>
      <c r="AY91" s="14">
        <v>0</v>
      </c>
      <c r="AZ91" s="14">
        <v>0</v>
      </c>
      <c r="BA91" s="14">
        <v>0</v>
      </c>
      <c r="BB91" s="14">
        <v>0</v>
      </c>
      <c r="BC91" s="14">
        <v>0</v>
      </c>
      <c r="BD91" s="14">
        <v>0</v>
      </c>
      <c r="BE91" s="14">
        <v>0</v>
      </c>
      <c r="BF91" s="14"/>
    </row>
    <row r="92" spans="1:58" ht="16">
      <c r="A92" s="14" t="s">
        <v>16993</v>
      </c>
      <c r="B92" s="14" t="s">
        <v>16994</v>
      </c>
      <c r="C92" s="14">
        <v>0</v>
      </c>
      <c r="D92" s="14">
        <v>1</v>
      </c>
      <c r="E92" s="14">
        <v>1</v>
      </c>
      <c r="F92" s="14">
        <v>1</v>
      </c>
      <c r="G92" s="14">
        <v>1</v>
      </c>
      <c r="H92" s="14">
        <v>0</v>
      </c>
      <c r="I92" s="14">
        <v>0</v>
      </c>
      <c r="J92" s="14">
        <v>1</v>
      </c>
      <c r="K92" s="14">
        <v>32</v>
      </c>
      <c r="L92" s="14">
        <v>0</v>
      </c>
      <c r="M92" s="14">
        <v>0</v>
      </c>
      <c r="N92" s="14">
        <v>0</v>
      </c>
      <c r="O92" s="14">
        <v>1</v>
      </c>
      <c r="P92" s="14">
        <v>0</v>
      </c>
      <c r="Q92" s="14">
        <v>0</v>
      </c>
      <c r="R92" s="14">
        <v>0</v>
      </c>
      <c r="S92" s="14">
        <v>0</v>
      </c>
      <c r="T92" s="14">
        <v>0</v>
      </c>
      <c r="U92" s="14">
        <v>0</v>
      </c>
      <c r="V92" s="14">
        <v>0</v>
      </c>
      <c r="W92" s="15">
        <v>0</v>
      </c>
      <c r="X92" s="15">
        <v>0</v>
      </c>
      <c r="Y92" s="14">
        <v>0</v>
      </c>
      <c r="Z92" s="14">
        <v>0</v>
      </c>
      <c r="AA92" s="15">
        <v>0</v>
      </c>
      <c r="AB92" s="15">
        <v>0</v>
      </c>
      <c r="AC92" s="15">
        <v>0</v>
      </c>
      <c r="AD92" s="15">
        <v>0</v>
      </c>
      <c r="AE92" s="15">
        <v>0</v>
      </c>
      <c r="AF92" s="15">
        <v>0</v>
      </c>
      <c r="AG92" s="15">
        <v>0</v>
      </c>
      <c r="AH92" s="15">
        <v>0</v>
      </c>
      <c r="AI92" s="15">
        <v>0</v>
      </c>
      <c r="AJ92" s="15">
        <v>0</v>
      </c>
      <c r="AK92" s="15">
        <v>0</v>
      </c>
      <c r="AL92" s="15">
        <v>0</v>
      </c>
      <c r="AM92" s="14">
        <v>0</v>
      </c>
      <c r="AN92" s="14">
        <v>0</v>
      </c>
      <c r="AO92" s="14">
        <v>0</v>
      </c>
      <c r="AP92" s="14">
        <v>0</v>
      </c>
      <c r="AQ92" s="14">
        <v>0</v>
      </c>
      <c r="AR92" s="14">
        <v>0</v>
      </c>
      <c r="AS92" s="14">
        <v>0</v>
      </c>
      <c r="AT92" s="14">
        <v>32</v>
      </c>
      <c r="AU92" s="14">
        <v>0</v>
      </c>
      <c r="AV92" s="14">
        <v>32</v>
      </c>
      <c r="AW92" s="14">
        <v>0</v>
      </c>
      <c r="AX92" s="14">
        <v>0</v>
      </c>
      <c r="AY92" s="14">
        <v>0</v>
      </c>
      <c r="AZ92" s="14">
        <v>0</v>
      </c>
      <c r="BA92" s="14">
        <v>0</v>
      </c>
      <c r="BB92" s="14">
        <v>0</v>
      </c>
      <c r="BC92" s="14">
        <v>0</v>
      </c>
      <c r="BD92" s="14">
        <v>0</v>
      </c>
      <c r="BE92" s="14">
        <v>0</v>
      </c>
      <c r="BF92" s="14">
        <v>11</v>
      </c>
    </row>
    <row r="93" spans="1:58" ht="16">
      <c r="A93" s="14" t="s">
        <v>16995</v>
      </c>
      <c r="B93" s="14" t="s">
        <v>16996</v>
      </c>
      <c r="C93" s="14">
        <v>0</v>
      </c>
      <c r="D93" s="14">
        <v>5</v>
      </c>
      <c r="E93" s="14">
        <v>2</v>
      </c>
      <c r="F93" s="14">
        <v>5</v>
      </c>
      <c r="G93" s="14">
        <v>1</v>
      </c>
      <c r="H93" s="14">
        <v>0</v>
      </c>
      <c r="I93" s="14">
        <v>0</v>
      </c>
      <c r="J93" s="14">
        <v>5</v>
      </c>
      <c r="K93" s="14">
        <v>19</v>
      </c>
      <c r="L93" s="14">
        <v>4</v>
      </c>
      <c r="M93" s="14">
        <v>1</v>
      </c>
      <c r="N93" s="14">
        <v>0</v>
      </c>
      <c r="O93" s="14">
        <v>0</v>
      </c>
      <c r="P93" s="14">
        <v>0</v>
      </c>
      <c r="Q93" s="14">
        <v>0</v>
      </c>
      <c r="R93" s="14">
        <v>0</v>
      </c>
      <c r="S93" s="14">
        <v>6.25</v>
      </c>
      <c r="T93" s="14">
        <v>0</v>
      </c>
      <c r="U93" s="14">
        <v>0</v>
      </c>
      <c r="V93" s="14">
        <v>6.3</v>
      </c>
      <c r="W93" s="15">
        <v>62.5</v>
      </c>
      <c r="X93" s="15">
        <v>0</v>
      </c>
      <c r="Y93" s="14">
        <v>5</v>
      </c>
      <c r="Z93" s="14">
        <v>0</v>
      </c>
      <c r="AA93" s="15">
        <v>0</v>
      </c>
      <c r="AB93" s="15">
        <v>0</v>
      </c>
      <c r="AC93" s="15">
        <v>0</v>
      </c>
      <c r="AD93" s="15">
        <v>0</v>
      </c>
      <c r="AE93" s="15">
        <v>0</v>
      </c>
      <c r="AF93" s="15">
        <v>0</v>
      </c>
      <c r="AG93" s="15">
        <v>62.5</v>
      </c>
      <c r="AH93" s="15">
        <v>62.5</v>
      </c>
      <c r="AI93" s="15">
        <v>0</v>
      </c>
      <c r="AJ93" s="15">
        <v>0</v>
      </c>
      <c r="AK93" s="15">
        <v>0</v>
      </c>
      <c r="AL93" s="15">
        <v>0</v>
      </c>
      <c r="AM93" s="14">
        <v>0</v>
      </c>
      <c r="AN93" s="14">
        <v>0</v>
      </c>
      <c r="AO93" s="14">
        <v>0</v>
      </c>
      <c r="AP93" s="14">
        <v>0</v>
      </c>
      <c r="AQ93" s="14">
        <v>0</v>
      </c>
      <c r="AR93" s="14">
        <v>0</v>
      </c>
      <c r="AS93" s="14">
        <v>0</v>
      </c>
      <c r="AT93" s="14">
        <v>19</v>
      </c>
      <c r="AU93" s="14">
        <v>0</v>
      </c>
      <c r="AV93" s="14">
        <v>19</v>
      </c>
      <c r="AW93" s="14">
        <v>0</v>
      </c>
      <c r="AX93" s="14">
        <v>6.25</v>
      </c>
      <c r="AY93" s="14">
        <v>0</v>
      </c>
      <c r="AZ93" s="14">
        <v>6.25</v>
      </c>
      <c r="BA93" s="14">
        <v>0</v>
      </c>
      <c r="BB93" s="14">
        <v>0</v>
      </c>
      <c r="BC93" s="14">
        <v>0</v>
      </c>
      <c r="BD93" s="14">
        <v>0</v>
      </c>
      <c r="BE93" s="14">
        <v>0</v>
      </c>
      <c r="BF93" s="14">
        <v>61</v>
      </c>
    </row>
    <row r="94" spans="1:58" ht="16">
      <c r="A94" s="14" t="s">
        <v>16999</v>
      </c>
      <c r="B94" s="14" t="s">
        <v>17000</v>
      </c>
      <c r="C94" s="14">
        <v>0</v>
      </c>
      <c r="D94" s="14">
        <v>42</v>
      </c>
      <c r="E94" s="14">
        <v>11</v>
      </c>
      <c r="F94" s="14">
        <v>25</v>
      </c>
      <c r="G94" s="14">
        <v>2</v>
      </c>
      <c r="H94" s="14">
        <v>2</v>
      </c>
      <c r="I94" s="14">
        <v>0</v>
      </c>
      <c r="J94" s="14">
        <v>40</v>
      </c>
      <c r="K94" s="14">
        <v>343</v>
      </c>
      <c r="L94" s="14">
        <v>26</v>
      </c>
      <c r="M94" s="14">
        <v>0</v>
      </c>
      <c r="N94" s="14">
        <v>3</v>
      </c>
      <c r="O94" s="14">
        <v>5</v>
      </c>
      <c r="P94" s="14">
        <v>0</v>
      </c>
      <c r="Q94" s="14">
        <v>8</v>
      </c>
      <c r="R94" s="14">
        <v>0</v>
      </c>
      <c r="S94" s="14">
        <v>40.250999999999998</v>
      </c>
      <c r="T94" s="14">
        <v>26</v>
      </c>
      <c r="U94" s="14">
        <v>0</v>
      </c>
      <c r="V94" s="14">
        <v>66.251000000000005</v>
      </c>
      <c r="W94" s="14">
        <v>922.5</v>
      </c>
      <c r="X94" s="15">
        <v>0</v>
      </c>
      <c r="Y94" s="14">
        <v>25</v>
      </c>
      <c r="Z94" s="14">
        <v>0</v>
      </c>
      <c r="AA94" s="15">
        <v>0</v>
      </c>
      <c r="AB94" s="15">
        <v>242.5</v>
      </c>
      <c r="AC94" s="15">
        <v>1.5</v>
      </c>
      <c r="AD94" s="15">
        <v>23.9</v>
      </c>
      <c r="AE94" s="15">
        <v>42.4</v>
      </c>
      <c r="AF94" s="15">
        <v>266.39999999999998</v>
      </c>
      <c r="AG94" s="15">
        <v>924</v>
      </c>
      <c r="AH94" s="15">
        <v>881.6</v>
      </c>
      <c r="AI94" s="15">
        <v>0</v>
      </c>
      <c r="AJ94" s="15">
        <v>0</v>
      </c>
      <c r="AK94" s="15">
        <v>100</v>
      </c>
      <c r="AL94" s="15">
        <v>100</v>
      </c>
      <c r="AM94" s="14">
        <v>0</v>
      </c>
      <c r="AN94" s="14">
        <v>2</v>
      </c>
      <c r="AO94" s="14">
        <v>0</v>
      </c>
      <c r="AP94" s="14">
        <v>0</v>
      </c>
      <c r="AQ94" s="14">
        <v>0</v>
      </c>
      <c r="AR94" s="14">
        <v>0</v>
      </c>
      <c r="AS94" s="14">
        <v>0</v>
      </c>
      <c r="AT94" s="14">
        <v>343</v>
      </c>
      <c r="AU94" s="14">
        <v>22</v>
      </c>
      <c r="AV94" s="14">
        <v>321</v>
      </c>
      <c r="AW94" s="14">
        <v>0</v>
      </c>
      <c r="AX94" s="14">
        <v>40.250999999999998</v>
      </c>
      <c r="AY94" s="14">
        <v>2</v>
      </c>
      <c r="AZ94" s="14">
        <v>38.250999999999998</v>
      </c>
      <c r="BA94" s="14">
        <v>0</v>
      </c>
      <c r="BB94" s="14">
        <v>26</v>
      </c>
      <c r="BC94" s="14">
        <v>4</v>
      </c>
      <c r="BD94" s="14">
        <v>22</v>
      </c>
      <c r="BE94" s="14">
        <v>0</v>
      </c>
      <c r="BF94" s="16">
        <v>1200</v>
      </c>
    </row>
    <row r="95" spans="1:58" ht="16">
      <c r="A95" s="14" t="s">
        <v>16969</v>
      </c>
      <c r="B95" s="14" t="s">
        <v>18804</v>
      </c>
      <c r="C95" s="14">
        <v>0</v>
      </c>
      <c r="D95" s="14">
        <v>0</v>
      </c>
      <c r="E95" s="14">
        <v>0</v>
      </c>
      <c r="F95" s="14">
        <v>0</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5">
        <v>0</v>
      </c>
      <c r="X95" s="15">
        <v>0</v>
      </c>
      <c r="Y95" s="14">
        <v>0</v>
      </c>
      <c r="Z95" s="14">
        <v>0</v>
      </c>
      <c r="AA95" s="15">
        <v>0</v>
      </c>
      <c r="AB95" s="15">
        <v>0</v>
      </c>
      <c r="AC95" s="15">
        <v>0</v>
      </c>
      <c r="AD95" s="15">
        <v>0</v>
      </c>
      <c r="AE95" s="15">
        <v>0</v>
      </c>
      <c r="AF95" s="15">
        <v>0</v>
      </c>
      <c r="AG95" s="15">
        <v>0</v>
      </c>
      <c r="AH95" s="15">
        <v>0</v>
      </c>
      <c r="AI95" s="15">
        <v>0</v>
      </c>
      <c r="AJ95" s="15">
        <v>0</v>
      </c>
      <c r="AK95" s="15">
        <v>0</v>
      </c>
      <c r="AL95" s="15">
        <v>0</v>
      </c>
      <c r="AM95" s="14">
        <v>0</v>
      </c>
      <c r="AN95" s="14">
        <v>0</v>
      </c>
      <c r="AO95" s="14">
        <v>0</v>
      </c>
      <c r="AP95" s="14">
        <v>0</v>
      </c>
      <c r="AQ95" s="14">
        <v>0</v>
      </c>
      <c r="AR95" s="14">
        <v>0</v>
      </c>
      <c r="AS95" s="14">
        <v>0</v>
      </c>
      <c r="AT95" s="14">
        <v>0</v>
      </c>
      <c r="AU95" s="14">
        <v>0</v>
      </c>
      <c r="AV95" s="14">
        <v>0</v>
      </c>
      <c r="AW95" s="14">
        <v>0</v>
      </c>
      <c r="AX95" s="14">
        <v>0</v>
      </c>
      <c r="AY95" s="14">
        <v>0</v>
      </c>
      <c r="AZ95" s="14">
        <v>0</v>
      </c>
      <c r="BA95" s="14">
        <v>0</v>
      </c>
      <c r="BB95" s="14">
        <v>0</v>
      </c>
      <c r="BC95" s="14">
        <v>0</v>
      </c>
      <c r="BD95" s="14">
        <v>0</v>
      </c>
      <c r="BE95" s="14">
        <v>0</v>
      </c>
      <c r="BF95" s="16">
        <v>1233</v>
      </c>
    </row>
    <row r="96" spans="1:58" ht="16">
      <c r="A96" s="14" t="s">
        <v>16969</v>
      </c>
      <c r="B96" s="14" t="s">
        <v>17006</v>
      </c>
      <c r="C96" s="14">
        <v>4</v>
      </c>
      <c r="D96" s="14">
        <v>4</v>
      </c>
      <c r="E96" s="14">
        <v>0</v>
      </c>
      <c r="F96" s="14">
        <v>0</v>
      </c>
      <c r="G96" s="14">
        <v>0</v>
      </c>
      <c r="H96" s="14">
        <v>0</v>
      </c>
      <c r="I96" s="14">
        <v>0</v>
      </c>
      <c r="J96" s="14">
        <v>4</v>
      </c>
      <c r="K96" s="14">
        <v>44</v>
      </c>
      <c r="L96" s="14">
        <v>4</v>
      </c>
      <c r="M96" s="14">
        <v>0</v>
      </c>
      <c r="N96" s="14">
        <v>0</v>
      </c>
      <c r="O96" s="14">
        <v>0</v>
      </c>
      <c r="P96" s="14">
        <v>0</v>
      </c>
      <c r="Q96" s="14">
        <v>0</v>
      </c>
      <c r="R96" s="14">
        <v>0</v>
      </c>
      <c r="S96" s="14">
        <v>1</v>
      </c>
      <c r="T96" s="14">
        <v>2.5</v>
      </c>
      <c r="U96" s="14">
        <v>0</v>
      </c>
      <c r="V96" s="14">
        <v>3.5</v>
      </c>
      <c r="W96" s="15">
        <v>0</v>
      </c>
      <c r="X96" s="15">
        <v>0</v>
      </c>
      <c r="Y96" s="14">
        <v>0</v>
      </c>
      <c r="Z96" s="14">
        <v>0</v>
      </c>
      <c r="AA96" s="15">
        <v>-240</v>
      </c>
      <c r="AB96" s="15">
        <v>0</v>
      </c>
      <c r="AC96" s="15">
        <v>18.7</v>
      </c>
      <c r="AD96" s="15">
        <v>18.7</v>
      </c>
      <c r="AE96" s="15">
        <v>18.7</v>
      </c>
      <c r="AF96" s="15">
        <v>18.7</v>
      </c>
      <c r="AG96" s="15">
        <v>18.7</v>
      </c>
      <c r="AH96" s="15">
        <v>0</v>
      </c>
      <c r="AI96" s="15">
        <v>0</v>
      </c>
      <c r="AJ96" s="15">
        <v>0</v>
      </c>
      <c r="AK96" s="15">
        <v>0</v>
      </c>
      <c r="AL96" s="15">
        <v>0</v>
      </c>
      <c r="AM96" s="14">
        <v>1</v>
      </c>
      <c r="AN96" s="14">
        <v>1</v>
      </c>
      <c r="AO96" s="14">
        <v>0</v>
      </c>
      <c r="AP96" s="14">
        <v>0</v>
      </c>
      <c r="AQ96" s="14">
        <v>0</v>
      </c>
      <c r="AR96" s="14">
        <v>0</v>
      </c>
      <c r="AS96" s="14">
        <v>0</v>
      </c>
      <c r="AT96" s="14">
        <v>44</v>
      </c>
      <c r="AU96" s="14">
        <v>0</v>
      </c>
      <c r="AV96" s="14">
        <v>0</v>
      </c>
      <c r="AW96" s="14">
        <v>44</v>
      </c>
      <c r="AX96" s="14">
        <v>1</v>
      </c>
      <c r="AY96" s="14">
        <v>0</v>
      </c>
      <c r="AZ96" s="14">
        <v>0</v>
      </c>
      <c r="BA96" s="14">
        <v>1</v>
      </c>
      <c r="BB96" s="14">
        <v>2.5</v>
      </c>
      <c r="BC96" s="14">
        <v>0</v>
      </c>
      <c r="BD96" s="14">
        <v>0</v>
      </c>
      <c r="BE96" s="14">
        <v>2.5</v>
      </c>
      <c r="BF96" s="14">
        <v>0</v>
      </c>
    </row>
    <row r="97" spans="1:58" ht="16">
      <c r="A97" s="14" t="s">
        <v>16969</v>
      </c>
      <c r="B97" s="14" t="s">
        <v>18805</v>
      </c>
      <c r="C97" s="14">
        <v>0</v>
      </c>
      <c r="D97" s="14">
        <v>1</v>
      </c>
      <c r="E97" s="14">
        <v>1</v>
      </c>
      <c r="F97" s="14">
        <v>1</v>
      </c>
      <c r="G97" s="14">
        <v>0</v>
      </c>
      <c r="H97" s="14">
        <v>0</v>
      </c>
      <c r="I97" s="14">
        <v>0</v>
      </c>
      <c r="J97" s="14">
        <v>1</v>
      </c>
      <c r="K97" s="14">
        <v>8</v>
      </c>
      <c r="L97" s="14">
        <v>1</v>
      </c>
      <c r="M97" s="14">
        <v>0</v>
      </c>
      <c r="N97" s="14">
        <v>0</v>
      </c>
      <c r="O97" s="14">
        <v>0</v>
      </c>
      <c r="P97" s="14">
        <v>0</v>
      </c>
      <c r="Q97" s="14">
        <v>0</v>
      </c>
      <c r="R97" s="14">
        <v>0</v>
      </c>
      <c r="S97" s="14">
        <v>0</v>
      </c>
      <c r="T97" s="14">
        <v>0</v>
      </c>
      <c r="U97" s="14">
        <v>0</v>
      </c>
      <c r="V97" s="14">
        <v>0</v>
      </c>
      <c r="W97" s="15">
        <v>0</v>
      </c>
      <c r="X97" s="15">
        <v>0</v>
      </c>
      <c r="Y97" s="14">
        <v>0</v>
      </c>
      <c r="Z97" s="14">
        <v>0</v>
      </c>
      <c r="AA97" s="15">
        <v>0</v>
      </c>
      <c r="AB97" s="15">
        <v>0</v>
      </c>
      <c r="AC97" s="15">
        <v>0</v>
      </c>
      <c r="AD97" s="15">
        <v>0</v>
      </c>
      <c r="AE97" s="15">
        <v>0</v>
      </c>
      <c r="AF97" s="15">
        <v>0</v>
      </c>
      <c r="AG97" s="15">
        <v>0</v>
      </c>
      <c r="AH97" s="15">
        <v>0</v>
      </c>
      <c r="AI97" s="15">
        <v>0</v>
      </c>
      <c r="AJ97" s="15">
        <v>0</v>
      </c>
      <c r="AK97" s="15">
        <v>0</v>
      </c>
      <c r="AL97" s="15">
        <v>0</v>
      </c>
      <c r="AM97" s="14">
        <v>0</v>
      </c>
      <c r="AN97" s="14">
        <v>0</v>
      </c>
      <c r="AO97" s="14">
        <v>0</v>
      </c>
      <c r="AP97" s="14">
        <v>0</v>
      </c>
      <c r="AQ97" s="14">
        <v>0</v>
      </c>
      <c r="AR97" s="14">
        <v>0</v>
      </c>
      <c r="AS97" s="14">
        <v>0</v>
      </c>
      <c r="AT97" s="14">
        <v>8</v>
      </c>
      <c r="AU97" s="14">
        <v>0</v>
      </c>
      <c r="AV97" s="14">
        <v>8</v>
      </c>
      <c r="AW97" s="14">
        <v>0</v>
      </c>
      <c r="AX97" s="14">
        <v>0</v>
      </c>
      <c r="AY97" s="14">
        <v>0</v>
      </c>
      <c r="AZ97" s="14">
        <v>0</v>
      </c>
      <c r="BA97" s="14">
        <v>0</v>
      </c>
      <c r="BB97" s="14">
        <v>0</v>
      </c>
      <c r="BC97" s="14">
        <v>0</v>
      </c>
      <c r="BD97" s="14">
        <v>0</v>
      </c>
      <c r="BE97" s="14">
        <v>0</v>
      </c>
      <c r="BF97" s="14">
        <v>0</v>
      </c>
    </row>
    <row r="98" spans="1:58" ht="16">
      <c r="A98" s="14" t="s">
        <v>16969</v>
      </c>
      <c r="B98" s="14" t="s">
        <v>18806</v>
      </c>
      <c r="C98" s="14">
        <v>0</v>
      </c>
      <c r="D98" s="14">
        <v>2</v>
      </c>
      <c r="E98" s="14">
        <v>2</v>
      </c>
      <c r="F98" s="14">
        <v>2</v>
      </c>
      <c r="G98" s="14">
        <v>0</v>
      </c>
      <c r="H98" s="14">
        <v>0</v>
      </c>
      <c r="I98" s="14">
        <v>0</v>
      </c>
      <c r="J98" s="14">
        <v>2</v>
      </c>
      <c r="K98" s="14">
        <v>18</v>
      </c>
      <c r="L98" s="14">
        <v>2</v>
      </c>
      <c r="M98" s="14">
        <v>0</v>
      </c>
      <c r="N98" s="14">
        <v>0</v>
      </c>
      <c r="O98" s="14">
        <v>0</v>
      </c>
      <c r="P98" s="14">
        <v>0</v>
      </c>
      <c r="Q98" s="14">
        <v>0</v>
      </c>
      <c r="R98" s="14">
        <v>0</v>
      </c>
      <c r="S98" s="14">
        <v>0.5</v>
      </c>
      <c r="T98" s="14">
        <v>0</v>
      </c>
      <c r="U98" s="14">
        <v>0</v>
      </c>
      <c r="V98" s="14">
        <v>0.5</v>
      </c>
      <c r="W98" s="15">
        <v>5</v>
      </c>
      <c r="X98" s="15">
        <v>0</v>
      </c>
      <c r="Y98" s="14">
        <v>2</v>
      </c>
      <c r="Z98" s="14">
        <v>0</v>
      </c>
      <c r="AA98" s="15">
        <v>0</v>
      </c>
      <c r="AB98" s="15">
        <v>0</v>
      </c>
      <c r="AC98" s="15">
        <v>0</v>
      </c>
      <c r="AD98" s="15">
        <v>0</v>
      </c>
      <c r="AE98" s="15">
        <v>0</v>
      </c>
      <c r="AF98" s="15">
        <v>0</v>
      </c>
      <c r="AG98" s="15">
        <v>5</v>
      </c>
      <c r="AH98" s="15">
        <v>5</v>
      </c>
      <c r="AI98" s="15">
        <v>0</v>
      </c>
      <c r="AJ98" s="15">
        <v>0</v>
      </c>
      <c r="AK98" s="15">
        <v>0</v>
      </c>
      <c r="AL98" s="15">
        <v>0</v>
      </c>
      <c r="AM98" s="14">
        <v>18</v>
      </c>
      <c r="AN98" s="14">
        <v>0</v>
      </c>
      <c r="AO98" s="14">
        <v>18</v>
      </c>
      <c r="AP98" s="14">
        <v>0</v>
      </c>
      <c r="AQ98" s="14">
        <v>0.5</v>
      </c>
      <c r="AR98" s="14">
        <v>0</v>
      </c>
      <c r="AS98" s="14">
        <v>0.5</v>
      </c>
      <c r="AT98" s="14">
        <v>0</v>
      </c>
      <c r="AU98" s="14">
        <v>0</v>
      </c>
      <c r="AV98" s="14">
        <v>0</v>
      </c>
      <c r="AW98" s="14">
        <v>0</v>
      </c>
      <c r="AX98" s="14">
        <v>0</v>
      </c>
      <c r="AY98" s="14">
        <v>0</v>
      </c>
      <c r="AZ98" s="14">
        <v>0.5</v>
      </c>
      <c r="BA98" s="14">
        <v>0</v>
      </c>
      <c r="BB98" s="14">
        <v>0</v>
      </c>
      <c r="BC98" s="14">
        <v>0</v>
      </c>
      <c r="BD98" s="14">
        <v>0</v>
      </c>
      <c r="BE98" s="14">
        <v>0</v>
      </c>
      <c r="BF98" s="14">
        <v>0</v>
      </c>
    </row>
    <row r="99" spans="1:58" ht="16">
      <c r="A99" s="14" t="s">
        <v>16969</v>
      </c>
      <c r="B99" s="14" t="s">
        <v>18807</v>
      </c>
      <c r="C99" s="14">
        <v>0</v>
      </c>
      <c r="D99" s="14">
        <v>0</v>
      </c>
      <c r="E99" s="14">
        <v>0</v>
      </c>
      <c r="F99" s="14">
        <v>0</v>
      </c>
      <c r="G99" s="14">
        <v>0</v>
      </c>
      <c r="H99" s="14">
        <v>0</v>
      </c>
      <c r="I99" s="14">
        <v>0</v>
      </c>
      <c r="J99" s="14">
        <v>0</v>
      </c>
      <c r="K99" s="14">
        <v>0</v>
      </c>
      <c r="L99" s="14">
        <v>0</v>
      </c>
      <c r="M99" s="14">
        <v>0</v>
      </c>
      <c r="N99" s="14">
        <v>0</v>
      </c>
      <c r="O99" s="14">
        <v>0</v>
      </c>
      <c r="P99" s="14">
        <v>0</v>
      </c>
      <c r="Q99" s="14">
        <v>0</v>
      </c>
      <c r="R99" s="14">
        <v>0</v>
      </c>
      <c r="S99" s="14">
        <v>0</v>
      </c>
      <c r="T99" s="14">
        <v>0</v>
      </c>
      <c r="U99" s="14">
        <v>0</v>
      </c>
      <c r="V99" s="14">
        <v>0</v>
      </c>
      <c r="W99" s="15">
        <v>0</v>
      </c>
      <c r="X99" s="15">
        <v>0</v>
      </c>
      <c r="Y99" s="14">
        <v>0</v>
      </c>
      <c r="Z99" s="14">
        <v>0</v>
      </c>
      <c r="AA99" s="15">
        <v>0</v>
      </c>
      <c r="AB99" s="15">
        <v>0</v>
      </c>
      <c r="AC99" s="15">
        <v>0</v>
      </c>
      <c r="AD99" s="15">
        <v>0</v>
      </c>
      <c r="AE99" s="15">
        <v>0</v>
      </c>
      <c r="AF99" s="15">
        <v>0</v>
      </c>
      <c r="AG99" s="15">
        <v>0</v>
      </c>
      <c r="AH99" s="15">
        <v>0</v>
      </c>
      <c r="AI99" s="15">
        <v>0</v>
      </c>
      <c r="AJ99" s="15">
        <v>0</v>
      </c>
      <c r="AK99" s="15">
        <v>0</v>
      </c>
      <c r="AL99" s="15">
        <v>0</v>
      </c>
      <c r="AM99" s="14">
        <v>0</v>
      </c>
      <c r="AN99" s="14">
        <v>0</v>
      </c>
      <c r="AO99" s="14">
        <v>0</v>
      </c>
      <c r="AP99" s="14">
        <v>0</v>
      </c>
      <c r="AQ99" s="14">
        <v>0</v>
      </c>
      <c r="AR99" s="14">
        <v>0</v>
      </c>
      <c r="AS99" s="14">
        <v>0</v>
      </c>
      <c r="AT99" s="14">
        <v>0</v>
      </c>
      <c r="AU99" s="14">
        <v>0</v>
      </c>
      <c r="AV99" s="14">
        <v>0</v>
      </c>
      <c r="AW99" s="14">
        <v>0</v>
      </c>
      <c r="AX99" s="14">
        <v>0</v>
      </c>
      <c r="AY99" s="14">
        <v>0</v>
      </c>
      <c r="AZ99" s="14">
        <v>0</v>
      </c>
      <c r="BA99" s="14">
        <v>0</v>
      </c>
      <c r="BB99" s="14">
        <v>0</v>
      </c>
      <c r="BC99" s="14">
        <v>0</v>
      </c>
      <c r="BD99" s="14">
        <v>0</v>
      </c>
      <c r="BE99" s="14">
        <v>0</v>
      </c>
      <c r="BF99" s="14">
        <v>578</v>
      </c>
    </row>
    <row r="100" spans="1:58" ht="16">
      <c r="A100" s="14" t="s">
        <v>16969</v>
      </c>
      <c r="B100" s="14" t="s">
        <v>17021</v>
      </c>
      <c r="C100" s="14">
        <v>0</v>
      </c>
      <c r="D100" s="14">
        <v>2</v>
      </c>
      <c r="E100" s="14">
        <v>0</v>
      </c>
      <c r="F100" s="14">
        <v>2</v>
      </c>
      <c r="G100" s="14">
        <v>2</v>
      </c>
      <c r="H100" s="14">
        <v>0</v>
      </c>
      <c r="I100" s="14">
        <v>0</v>
      </c>
      <c r="J100" s="14">
        <v>2</v>
      </c>
      <c r="K100" s="14">
        <v>32</v>
      </c>
      <c r="L100" s="14">
        <v>0</v>
      </c>
      <c r="M100" s="14">
        <v>0</v>
      </c>
      <c r="N100" s="14">
        <v>0</v>
      </c>
      <c r="O100" s="14">
        <v>0</v>
      </c>
      <c r="P100" s="14">
        <v>0</v>
      </c>
      <c r="Q100" s="14">
        <v>2</v>
      </c>
      <c r="R100" s="14">
        <v>0</v>
      </c>
      <c r="S100" s="14">
        <v>0</v>
      </c>
      <c r="T100" s="14">
        <v>0</v>
      </c>
      <c r="U100" s="14">
        <v>0</v>
      </c>
      <c r="V100" s="14">
        <v>0</v>
      </c>
      <c r="W100" s="15">
        <v>0</v>
      </c>
      <c r="X100" s="15">
        <v>0</v>
      </c>
      <c r="Y100" s="14">
        <v>0</v>
      </c>
      <c r="Z100" s="14">
        <v>0</v>
      </c>
      <c r="AA100" s="15">
        <v>0</v>
      </c>
      <c r="AB100" s="15">
        <v>0</v>
      </c>
      <c r="AC100" s="15">
        <v>0</v>
      </c>
      <c r="AD100" s="15">
        <v>0</v>
      </c>
      <c r="AE100" s="15">
        <v>0</v>
      </c>
      <c r="AF100" s="15">
        <v>0</v>
      </c>
      <c r="AG100" s="15">
        <v>0</v>
      </c>
      <c r="AH100" s="15">
        <v>0</v>
      </c>
      <c r="AI100" s="15">
        <v>0</v>
      </c>
      <c r="AJ100" s="15">
        <v>0</v>
      </c>
      <c r="AK100" s="15">
        <v>0</v>
      </c>
      <c r="AL100" s="15">
        <v>0</v>
      </c>
      <c r="AM100" s="14">
        <v>0</v>
      </c>
      <c r="AN100" s="14">
        <v>0</v>
      </c>
      <c r="AO100" s="14">
        <v>0</v>
      </c>
      <c r="AP100" s="14">
        <v>0</v>
      </c>
      <c r="AQ100" s="14">
        <v>0</v>
      </c>
      <c r="AR100" s="14">
        <v>0</v>
      </c>
      <c r="AS100" s="14">
        <v>0</v>
      </c>
      <c r="AT100" s="14">
        <v>32</v>
      </c>
      <c r="AU100" s="14">
        <v>0</v>
      </c>
      <c r="AV100" s="14">
        <v>32</v>
      </c>
      <c r="AW100" s="14">
        <v>0</v>
      </c>
      <c r="AX100" s="14">
        <v>0</v>
      </c>
      <c r="AY100" s="14">
        <v>0</v>
      </c>
      <c r="AZ100" s="14">
        <v>0</v>
      </c>
      <c r="BA100" s="14">
        <v>0</v>
      </c>
      <c r="BB100" s="14">
        <v>0</v>
      </c>
      <c r="BC100" s="14">
        <v>0</v>
      </c>
      <c r="BD100" s="14">
        <v>0</v>
      </c>
      <c r="BE100" s="14">
        <v>0</v>
      </c>
      <c r="BF100" s="14">
        <v>5</v>
      </c>
    </row>
    <row r="101" spans="1:58" ht="16">
      <c r="A101" s="14" t="s">
        <v>16969</v>
      </c>
      <c r="B101" s="14" t="s">
        <v>18808</v>
      </c>
      <c r="C101" s="14">
        <v>0</v>
      </c>
      <c r="D101" s="14">
        <v>10</v>
      </c>
      <c r="E101" s="14">
        <v>0</v>
      </c>
      <c r="F101" s="14">
        <v>8</v>
      </c>
      <c r="G101" s="14">
        <v>3</v>
      </c>
      <c r="H101" s="14">
        <v>0</v>
      </c>
      <c r="I101" s="14">
        <v>1</v>
      </c>
      <c r="J101" s="14">
        <v>10</v>
      </c>
      <c r="K101" s="14">
        <v>113</v>
      </c>
      <c r="L101" s="14">
        <v>3</v>
      </c>
      <c r="M101" s="14">
        <v>0</v>
      </c>
      <c r="N101" s="14">
        <v>6</v>
      </c>
      <c r="O101" s="14">
        <v>1</v>
      </c>
      <c r="P101" s="14">
        <v>0</v>
      </c>
      <c r="Q101" s="14">
        <v>0</v>
      </c>
      <c r="R101" s="14">
        <v>0</v>
      </c>
      <c r="S101" s="14">
        <v>20.25</v>
      </c>
      <c r="T101" s="14">
        <v>0.55000000000000004</v>
      </c>
      <c r="U101" s="14">
        <v>0</v>
      </c>
      <c r="V101" s="14">
        <v>20.8</v>
      </c>
      <c r="W101" s="15">
        <v>213.5</v>
      </c>
      <c r="X101" s="15">
        <v>0</v>
      </c>
      <c r="Y101" s="14">
        <v>9</v>
      </c>
      <c r="Z101" s="14">
        <v>0</v>
      </c>
      <c r="AA101" s="15">
        <v>0</v>
      </c>
      <c r="AB101" s="15">
        <v>100</v>
      </c>
      <c r="AC101" s="15">
        <v>0</v>
      </c>
      <c r="AD101" s="15">
        <v>0</v>
      </c>
      <c r="AE101" s="15">
        <v>0</v>
      </c>
      <c r="AF101" s="15">
        <v>100</v>
      </c>
      <c r="AG101" s="15">
        <v>213.5</v>
      </c>
      <c r="AH101" s="15">
        <v>213.5</v>
      </c>
      <c r="AI101" s="15">
        <v>0</v>
      </c>
      <c r="AJ101" s="15">
        <v>0</v>
      </c>
      <c r="AK101" s="15">
        <v>0</v>
      </c>
      <c r="AL101" s="15">
        <v>0</v>
      </c>
      <c r="AM101" s="14">
        <v>0</v>
      </c>
      <c r="AN101" s="14">
        <v>0</v>
      </c>
      <c r="AO101" s="14">
        <v>0</v>
      </c>
      <c r="AP101" s="14">
        <v>0</v>
      </c>
      <c r="AQ101" s="14">
        <v>0</v>
      </c>
      <c r="AR101" s="14">
        <v>0</v>
      </c>
      <c r="AS101" s="14">
        <v>0</v>
      </c>
      <c r="AT101" s="14">
        <v>113</v>
      </c>
      <c r="AU101" s="14">
        <v>0</v>
      </c>
      <c r="AV101" s="14">
        <v>113</v>
      </c>
      <c r="AW101" s="14">
        <v>0</v>
      </c>
      <c r="AX101" s="14">
        <v>20.25</v>
      </c>
      <c r="AY101" s="14">
        <v>0</v>
      </c>
      <c r="AZ101" s="14">
        <v>20.25</v>
      </c>
      <c r="BA101" s="14">
        <v>0</v>
      </c>
      <c r="BB101" s="14">
        <v>0.55000000000000004</v>
      </c>
      <c r="BC101" s="14">
        <v>0</v>
      </c>
      <c r="BD101" s="14">
        <v>0.55000000000000004</v>
      </c>
      <c r="BE101" s="14">
        <v>0</v>
      </c>
      <c r="BF101" s="14">
        <v>0</v>
      </c>
    </row>
    <row r="102" spans="1:58" ht="16">
      <c r="A102" s="14" t="s">
        <v>16969</v>
      </c>
      <c r="B102" s="14" t="s">
        <v>18809</v>
      </c>
      <c r="C102" s="14">
        <v>10</v>
      </c>
      <c r="D102" s="14">
        <v>36</v>
      </c>
      <c r="E102" s="14">
        <v>36</v>
      </c>
      <c r="F102" s="14">
        <v>32</v>
      </c>
      <c r="G102" s="14">
        <v>2</v>
      </c>
      <c r="H102" s="14">
        <v>2</v>
      </c>
      <c r="I102" s="14">
        <v>0</v>
      </c>
      <c r="J102" s="14">
        <v>33</v>
      </c>
      <c r="K102" s="14">
        <v>420</v>
      </c>
      <c r="L102" s="14">
        <v>20</v>
      </c>
      <c r="M102" s="14">
        <v>4</v>
      </c>
      <c r="N102" s="14">
        <v>8</v>
      </c>
      <c r="O102" s="14">
        <v>3</v>
      </c>
      <c r="P102" s="14">
        <v>0</v>
      </c>
      <c r="Q102" s="14">
        <v>0</v>
      </c>
      <c r="R102" s="14">
        <v>0</v>
      </c>
      <c r="S102" s="14">
        <v>14.65</v>
      </c>
      <c r="T102" s="14">
        <v>14.4</v>
      </c>
      <c r="U102" s="14">
        <v>0</v>
      </c>
      <c r="V102" s="14">
        <v>29.1</v>
      </c>
      <c r="W102" s="15">
        <v>409.5</v>
      </c>
      <c r="X102" s="15">
        <v>0</v>
      </c>
      <c r="Y102" s="14">
        <v>26</v>
      </c>
      <c r="Z102" s="14">
        <v>0</v>
      </c>
      <c r="AA102" s="15">
        <v>-25</v>
      </c>
      <c r="AB102" s="15">
        <v>130</v>
      </c>
      <c r="AC102" s="15">
        <v>6.74</v>
      </c>
      <c r="AD102" s="15">
        <v>6.74</v>
      </c>
      <c r="AE102" s="15">
        <v>107.65</v>
      </c>
      <c r="AF102" s="15">
        <v>136.74</v>
      </c>
      <c r="AG102" s="15">
        <v>416.24</v>
      </c>
      <c r="AH102" s="15">
        <v>308.58999999999997</v>
      </c>
      <c r="AI102" s="15">
        <v>5</v>
      </c>
      <c r="AJ102" s="15">
        <v>7.5</v>
      </c>
      <c r="AK102" s="15">
        <v>37.5</v>
      </c>
      <c r="AL102" s="15">
        <v>32.5</v>
      </c>
      <c r="AM102" s="14">
        <v>1</v>
      </c>
      <c r="AN102" s="14">
        <v>2</v>
      </c>
      <c r="AO102" s="14">
        <v>1</v>
      </c>
      <c r="AP102" s="14">
        <v>0</v>
      </c>
      <c r="AQ102" s="14">
        <v>0</v>
      </c>
      <c r="AR102" s="14">
        <v>0</v>
      </c>
      <c r="AS102" s="14">
        <v>0</v>
      </c>
      <c r="AT102" s="14">
        <v>420</v>
      </c>
      <c r="AU102" s="14">
        <v>100</v>
      </c>
      <c r="AV102" s="14">
        <v>181</v>
      </c>
      <c r="AW102" s="14">
        <v>139</v>
      </c>
      <c r="AX102" s="14">
        <v>14.65</v>
      </c>
      <c r="AY102" s="14">
        <v>0.5</v>
      </c>
      <c r="AZ102" s="14">
        <v>11.9</v>
      </c>
      <c r="BA102" s="14">
        <v>2.5</v>
      </c>
      <c r="BB102" s="14">
        <v>14.4</v>
      </c>
      <c r="BC102" s="14">
        <v>1.75</v>
      </c>
      <c r="BD102" s="14">
        <v>12.65</v>
      </c>
      <c r="BE102" s="14">
        <v>0</v>
      </c>
      <c r="BF102" s="14">
        <v>6</v>
      </c>
    </row>
    <row r="103" spans="1:58" ht="16">
      <c r="A103" s="14" t="s">
        <v>16969</v>
      </c>
      <c r="B103" s="14" t="s">
        <v>18810</v>
      </c>
      <c r="C103" s="14">
        <v>0</v>
      </c>
      <c r="D103" s="14">
        <v>1</v>
      </c>
      <c r="E103" s="14">
        <v>1</v>
      </c>
      <c r="F103" s="14">
        <v>1</v>
      </c>
      <c r="G103" s="14">
        <v>0</v>
      </c>
      <c r="H103" s="14">
        <v>0</v>
      </c>
      <c r="I103" s="14">
        <v>0</v>
      </c>
      <c r="J103" s="14">
        <v>1</v>
      </c>
      <c r="K103" s="14">
        <v>2</v>
      </c>
      <c r="L103" s="14">
        <v>0</v>
      </c>
      <c r="M103" s="14">
        <v>1</v>
      </c>
      <c r="N103" s="14">
        <v>0</v>
      </c>
      <c r="O103" s="14">
        <v>0</v>
      </c>
      <c r="P103" s="14">
        <v>0</v>
      </c>
      <c r="Q103" s="14">
        <v>0</v>
      </c>
      <c r="R103" s="14">
        <v>0</v>
      </c>
      <c r="S103" s="14">
        <v>0</v>
      </c>
      <c r="T103" s="14">
        <v>0</v>
      </c>
      <c r="U103" s="14">
        <v>0</v>
      </c>
      <c r="V103" s="14">
        <v>0</v>
      </c>
      <c r="W103" s="15">
        <v>0</v>
      </c>
      <c r="X103" s="15">
        <v>0</v>
      </c>
      <c r="Y103" s="14">
        <v>0</v>
      </c>
      <c r="Z103" s="14">
        <v>0</v>
      </c>
      <c r="AA103" s="15">
        <v>0</v>
      </c>
      <c r="AB103" s="15">
        <v>0</v>
      </c>
      <c r="AC103" s="15">
        <v>0</v>
      </c>
      <c r="AD103" s="15">
        <v>0</v>
      </c>
      <c r="AE103" s="15">
        <v>0</v>
      </c>
      <c r="AF103" s="15">
        <v>0</v>
      </c>
      <c r="AG103" s="15">
        <v>0</v>
      </c>
      <c r="AH103" s="15">
        <v>0</v>
      </c>
      <c r="AI103" s="15">
        <v>0</v>
      </c>
      <c r="AJ103" s="15">
        <v>0</v>
      </c>
      <c r="AK103" s="15">
        <v>0</v>
      </c>
      <c r="AL103" s="15">
        <v>0</v>
      </c>
      <c r="AM103" s="14">
        <v>0</v>
      </c>
      <c r="AN103" s="14">
        <v>0</v>
      </c>
      <c r="AO103" s="14">
        <v>0</v>
      </c>
      <c r="AP103" s="14">
        <v>0</v>
      </c>
      <c r="AQ103" s="14">
        <v>0</v>
      </c>
      <c r="AR103" s="14">
        <v>0</v>
      </c>
      <c r="AS103" s="14">
        <v>0</v>
      </c>
      <c r="AT103" s="14">
        <v>2</v>
      </c>
      <c r="AU103" s="14">
        <v>0</v>
      </c>
      <c r="AV103" s="14">
        <v>2</v>
      </c>
      <c r="AW103" s="14">
        <v>0</v>
      </c>
      <c r="AX103" s="14">
        <v>0</v>
      </c>
      <c r="AY103" s="14">
        <v>0</v>
      </c>
      <c r="AZ103" s="14">
        <v>0</v>
      </c>
      <c r="BA103" s="14">
        <v>0</v>
      </c>
      <c r="BB103" s="14">
        <v>0</v>
      </c>
      <c r="BC103" s="14">
        <v>0</v>
      </c>
      <c r="BD103" s="14">
        <v>0</v>
      </c>
      <c r="BE103" s="14">
        <v>0</v>
      </c>
      <c r="BF103" s="14">
        <v>0</v>
      </c>
    </row>
    <row r="104" spans="1:58" ht="16">
      <c r="A104" s="14" t="s">
        <v>16969</v>
      </c>
      <c r="B104" s="14" t="s">
        <v>17024</v>
      </c>
      <c r="C104" s="14">
        <v>2</v>
      </c>
      <c r="D104" s="14">
        <v>18</v>
      </c>
      <c r="E104" s="14">
        <v>18</v>
      </c>
      <c r="F104" s="14">
        <v>17</v>
      </c>
      <c r="G104" s="14">
        <v>0</v>
      </c>
      <c r="H104" s="14">
        <v>1</v>
      </c>
      <c r="I104" s="14">
        <v>0</v>
      </c>
      <c r="J104" s="14">
        <v>18</v>
      </c>
      <c r="K104" s="14">
        <v>96</v>
      </c>
      <c r="L104" s="14">
        <v>8</v>
      </c>
      <c r="M104" s="14">
        <v>8</v>
      </c>
      <c r="N104" s="14">
        <v>1</v>
      </c>
      <c r="O104" s="14">
        <v>1</v>
      </c>
      <c r="P104" s="14">
        <v>0</v>
      </c>
      <c r="Q104" s="14">
        <v>0</v>
      </c>
      <c r="R104" s="14">
        <v>0</v>
      </c>
      <c r="S104" s="14">
        <v>9.25</v>
      </c>
      <c r="T104" s="14">
        <v>33.25</v>
      </c>
      <c r="U104" s="14">
        <v>2.5</v>
      </c>
      <c r="V104" s="14">
        <v>45</v>
      </c>
      <c r="W104" s="15">
        <v>745</v>
      </c>
      <c r="X104" s="15">
        <v>0</v>
      </c>
      <c r="Y104" s="14">
        <v>15</v>
      </c>
      <c r="Z104" s="14">
        <v>0</v>
      </c>
      <c r="AA104" s="15">
        <v>-12.5</v>
      </c>
      <c r="AB104" s="15">
        <v>500</v>
      </c>
      <c r="AC104" s="15">
        <v>0</v>
      </c>
      <c r="AD104" s="15">
        <v>0</v>
      </c>
      <c r="AE104" s="15">
        <v>0</v>
      </c>
      <c r="AF104" s="15">
        <v>500</v>
      </c>
      <c r="AG104" s="15">
        <v>795</v>
      </c>
      <c r="AH104" s="15">
        <v>795</v>
      </c>
      <c r="AI104" s="15">
        <v>0</v>
      </c>
      <c r="AJ104" s="15">
        <v>72.5</v>
      </c>
      <c r="AK104" s="15">
        <v>102.5</v>
      </c>
      <c r="AL104" s="15">
        <v>102.5</v>
      </c>
      <c r="AM104" s="14">
        <v>0</v>
      </c>
      <c r="AN104" s="14">
        <v>0</v>
      </c>
      <c r="AO104" s="14">
        <v>0</v>
      </c>
      <c r="AP104" s="14">
        <v>0</v>
      </c>
      <c r="AQ104" s="14">
        <v>0</v>
      </c>
      <c r="AR104" s="14">
        <v>0</v>
      </c>
      <c r="AS104" s="14">
        <v>0</v>
      </c>
      <c r="AT104" s="14">
        <v>96</v>
      </c>
      <c r="AU104" s="14">
        <v>20</v>
      </c>
      <c r="AV104" s="14">
        <v>68</v>
      </c>
      <c r="AW104" s="14">
        <v>8</v>
      </c>
      <c r="AX104" s="14">
        <v>9.25</v>
      </c>
      <c r="AY104" s="14">
        <v>0.25</v>
      </c>
      <c r="AZ104" s="14">
        <v>7.75</v>
      </c>
      <c r="BA104" s="14">
        <v>1.25</v>
      </c>
      <c r="BB104" s="14">
        <v>33.25</v>
      </c>
      <c r="BC104" s="14">
        <v>5</v>
      </c>
      <c r="BD104" s="14">
        <v>28.25</v>
      </c>
      <c r="BE104" s="14">
        <v>0</v>
      </c>
      <c r="BF104" s="14">
        <v>0</v>
      </c>
    </row>
    <row r="105" spans="1:58" ht="16">
      <c r="A105" s="14" t="s">
        <v>16969</v>
      </c>
      <c r="B105" s="14" t="s">
        <v>17328</v>
      </c>
      <c r="C105" s="14">
        <v>0</v>
      </c>
      <c r="D105" s="14">
        <v>11</v>
      </c>
      <c r="E105" s="14">
        <v>11</v>
      </c>
      <c r="F105" s="14">
        <v>11</v>
      </c>
      <c r="G105" s="14">
        <v>0</v>
      </c>
      <c r="H105" s="14">
        <v>0</v>
      </c>
      <c r="I105" s="14">
        <v>0</v>
      </c>
      <c r="J105" s="14">
        <v>11</v>
      </c>
      <c r="K105" s="14">
        <v>34</v>
      </c>
      <c r="L105" s="14">
        <v>10</v>
      </c>
      <c r="M105" s="14">
        <v>0</v>
      </c>
      <c r="N105" s="14">
        <v>0</v>
      </c>
      <c r="O105" s="14">
        <v>1</v>
      </c>
      <c r="P105" s="14">
        <v>0</v>
      </c>
      <c r="Q105" s="14">
        <v>0</v>
      </c>
      <c r="R105" s="14">
        <v>0</v>
      </c>
      <c r="S105" s="14">
        <v>7.5</v>
      </c>
      <c r="T105" s="14">
        <v>4</v>
      </c>
      <c r="U105" s="14">
        <v>0</v>
      </c>
      <c r="V105" s="14">
        <v>11.5</v>
      </c>
      <c r="W105" s="15">
        <v>155</v>
      </c>
      <c r="X105" s="15">
        <v>0</v>
      </c>
      <c r="Y105" s="14">
        <v>11</v>
      </c>
      <c r="Z105" s="14">
        <v>0</v>
      </c>
      <c r="AA105" s="15">
        <v>0</v>
      </c>
      <c r="AB105" s="15">
        <v>90</v>
      </c>
      <c r="AC105" s="15">
        <v>54.5</v>
      </c>
      <c r="AD105" s="15">
        <v>54.5</v>
      </c>
      <c r="AE105" s="15">
        <v>54.5</v>
      </c>
      <c r="AF105" s="15">
        <v>144.5</v>
      </c>
      <c r="AG105" s="15">
        <v>209.5</v>
      </c>
      <c r="AH105" s="15">
        <v>155</v>
      </c>
      <c r="AI105" s="15">
        <v>0</v>
      </c>
      <c r="AJ105" s="15">
        <v>0</v>
      </c>
      <c r="AK105" s="15">
        <v>0</v>
      </c>
      <c r="AL105" s="15">
        <v>0</v>
      </c>
      <c r="AM105" s="14">
        <v>0</v>
      </c>
      <c r="AN105" s="14">
        <v>4</v>
      </c>
      <c r="AO105" s="14">
        <v>0</v>
      </c>
      <c r="AP105" s="14">
        <v>0</v>
      </c>
      <c r="AQ105" s="14">
        <v>0</v>
      </c>
      <c r="AR105" s="14">
        <v>0</v>
      </c>
      <c r="AS105" s="14">
        <v>0</v>
      </c>
      <c r="AT105" s="14">
        <v>34</v>
      </c>
      <c r="AU105" s="14">
        <v>0</v>
      </c>
      <c r="AV105" s="14">
        <v>34</v>
      </c>
      <c r="AW105" s="14">
        <v>0</v>
      </c>
      <c r="AX105" s="14">
        <v>7.5</v>
      </c>
      <c r="AY105" s="14">
        <v>0</v>
      </c>
      <c r="AZ105" s="14">
        <v>7.5</v>
      </c>
      <c r="BA105" s="14">
        <v>0</v>
      </c>
      <c r="BB105" s="14">
        <v>4</v>
      </c>
      <c r="BC105" s="14">
        <v>0</v>
      </c>
      <c r="BD105" s="14">
        <v>4</v>
      </c>
      <c r="BE105" s="14">
        <v>0</v>
      </c>
      <c r="BF105" s="14">
        <v>0</v>
      </c>
    </row>
    <row r="106" spans="1:58" ht="16">
      <c r="A106" s="14" t="s">
        <v>16969</v>
      </c>
      <c r="B106" s="14" t="s">
        <v>17327</v>
      </c>
      <c r="C106" s="14">
        <v>0</v>
      </c>
      <c r="D106" s="14">
        <v>3</v>
      </c>
      <c r="E106" s="14">
        <v>3</v>
      </c>
      <c r="F106" s="14">
        <v>3</v>
      </c>
      <c r="G106" s="14">
        <v>0</v>
      </c>
      <c r="H106" s="14">
        <v>0</v>
      </c>
      <c r="I106" s="14">
        <v>0</v>
      </c>
      <c r="J106" s="14">
        <v>2</v>
      </c>
      <c r="K106" s="14">
        <v>0</v>
      </c>
      <c r="L106" s="14">
        <v>0</v>
      </c>
      <c r="M106" s="14">
        <v>1</v>
      </c>
      <c r="N106" s="14">
        <v>0</v>
      </c>
      <c r="O106" s="14">
        <v>0</v>
      </c>
      <c r="P106" s="14">
        <v>1</v>
      </c>
      <c r="Q106" s="14">
        <v>0</v>
      </c>
      <c r="R106" s="14">
        <v>0</v>
      </c>
      <c r="S106" s="14">
        <v>0</v>
      </c>
      <c r="T106" s="14">
        <v>0</v>
      </c>
      <c r="U106" s="14">
        <v>0</v>
      </c>
      <c r="V106" s="14">
        <v>0</v>
      </c>
      <c r="W106" s="15">
        <v>0</v>
      </c>
      <c r="X106" s="15">
        <v>0</v>
      </c>
      <c r="Y106" s="14">
        <v>0</v>
      </c>
      <c r="Z106" s="14">
        <v>0</v>
      </c>
      <c r="AA106" s="15">
        <v>0</v>
      </c>
      <c r="AB106" s="15">
        <v>0</v>
      </c>
      <c r="AC106" s="15">
        <v>0</v>
      </c>
      <c r="AD106" s="15">
        <v>0</v>
      </c>
      <c r="AE106" s="15">
        <v>0</v>
      </c>
      <c r="AF106" s="15">
        <v>0</v>
      </c>
      <c r="AG106" s="15">
        <v>0</v>
      </c>
      <c r="AH106" s="15">
        <v>0</v>
      </c>
      <c r="AI106" s="15">
        <v>0</v>
      </c>
      <c r="AJ106" s="15">
        <v>0</v>
      </c>
      <c r="AK106" s="15">
        <v>0</v>
      </c>
      <c r="AL106" s="15">
        <v>0</v>
      </c>
      <c r="AM106" s="14">
        <v>1</v>
      </c>
      <c r="AN106" s="14">
        <v>0</v>
      </c>
      <c r="AO106" s="14">
        <v>1</v>
      </c>
      <c r="AP106" s="14">
        <v>0</v>
      </c>
      <c r="AQ106" s="14">
        <v>0</v>
      </c>
      <c r="AR106" s="14">
        <v>0</v>
      </c>
      <c r="AS106" s="14">
        <v>0</v>
      </c>
      <c r="AT106" s="14">
        <v>0</v>
      </c>
      <c r="AU106" s="14">
        <v>0</v>
      </c>
      <c r="AV106" s="14">
        <v>0</v>
      </c>
      <c r="AW106" s="14">
        <v>0</v>
      </c>
      <c r="AX106" s="14">
        <v>0</v>
      </c>
      <c r="AY106" s="14">
        <v>0</v>
      </c>
      <c r="AZ106" s="14">
        <v>0</v>
      </c>
      <c r="BA106" s="14">
        <v>0</v>
      </c>
      <c r="BB106" s="14">
        <v>0</v>
      </c>
      <c r="BC106" s="14">
        <v>0</v>
      </c>
      <c r="BD106" s="14">
        <v>0</v>
      </c>
      <c r="BE106" s="14">
        <v>0</v>
      </c>
      <c r="BF106" s="14">
        <v>0</v>
      </c>
    </row>
    <row r="107" spans="1:58" ht="16">
      <c r="A107" s="14" t="s">
        <v>16969</v>
      </c>
      <c r="B107" s="14" t="s">
        <v>18811</v>
      </c>
      <c r="C107" s="14">
        <v>0</v>
      </c>
      <c r="D107" s="14">
        <v>1</v>
      </c>
      <c r="E107" s="14">
        <v>1</v>
      </c>
      <c r="F107" s="14">
        <v>1</v>
      </c>
      <c r="G107" s="14">
        <v>0</v>
      </c>
      <c r="H107" s="14">
        <v>0</v>
      </c>
      <c r="I107" s="14">
        <v>0</v>
      </c>
      <c r="J107" s="14">
        <v>1</v>
      </c>
      <c r="K107" s="14">
        <v>1</v>
      </c>
      <c r="L107" s="14">
        <v>1</v>
      </c>
      <c r="M107" s="14">
        <v>0</v>
      </c>
      <c r="N107" s="14">
        <v>0</v>
      </c>
      <c r="O107" s="14">
        <v>0</v>
      </c>
      <c r="P107" s="14">
        <v>0</v>
      </c>
      <c r="Q107" s="14">
        <v>0</v>
      </c>
      <c r="R107" s="14">
        <v>0</v>
      </c>
      <c r="S107" s="14">
        <v>0.5</v>
      </c>
      <c r="T107" s="14">
        <v>0.25</v>
      </c>
      <c r="U107" s="14">
        <v>0</v>
      </c>
      <c r="V107" s="14">
        <v>0.8</v>
      </c>
      <c r="W107" s="15">
        <v>10</v>
      </c>
      <c r="X107" s="15">
        <v>0</v>
      </c>
      <c r="Y107" s="14">
        <v>1</v>
      </c>
      <c r="Z107" s="14">
        <v>0</v>
      </c>
      <c r="AA107" s="15">
        <v>0</v>
      </c>
      <c r="AB107" s="15">
        <v>0</v>
      </c>
      <c r="AC107" s="15">
        <v>0</v>
      </c>
      <c r="AD107" s="15">
        <v>0</v>
      </c>
      <c r="AE107" s="15">
        <v>0</v>
      </c>
      <c r="AF107" s="15">
        <v>0</v>
      </c>
      <c r="AG107" s="15">
        <v>10</v>
      </c>
      <c r="AH107" s="15">
        <v>10</v>
      </c>
      <c r="AI107" s="15">
        <v>0</v>
      </c>
      <c r="AJ107" s="15">
        <v>0</v>
      </c>
      <c r="AK107" s="15">
        <v>0</v>
      </c>
      <c r="AL107" s="15">
        <v>0</v>
      </c>
      <c r="AM107" s="14">
        <v>0</v>
      </c>
      <c r="AN107" s="14">
        <v>0</v>
      </c>
      <c r="AO107" s="14">
        <v>0</v>
      </c>
      <c r="AP107" s="14">
        <v>0</v>
      </c>
      <c r="AQ107" s="14">
        <v>0</v>
      </c>
      <c r="AR107" s="14">
        <v>0</v>
      </c>
      <c r="AS107" s="14">
        <v>0</v>
      </c>
      <c r="AT107" s="14">
        <v>1</v>
      </c>
      <c r="AU107" s="14">
        <v>0</v>
      </c>
      <c r="AV107" s="14">
        <v>1</v>
      </c>
      <c r="AW107" s="14">
        <v>0</v>
      </c>
      <c r="AX107" s="14">
        <v>0.5</v>
      </c>
      <c r="AY107" s="14">
        <v>0</v>
      </c>
      <c r="AZ107" s="14">
        <v>0.5</v>
      </c>
      <c r="BA107" s="14">
        <v>0</v>
      </c>
      <c r="BB107" s="14">
        <v>0.25</v>
      </c>
      <c r="BC107" s="14">
        <v>0</v>
      </c>
      <c r="BD107" s="14">
        <v>0.25</v>
      </c>
      <c r="BE107" s="14">
        <v>0</v>
      </c>
      <c r="BF107" s="14">
        <v>0</v>
      </c>
    </row>
    <row r="108" spans="1:58" ht="16">
      <c r="A108" s="14" t="s">
        <v>16969</v>
      </c>
      <c r="B108" s="14" t="s">
        <v>17030</v>
      </c>
      <c r="C108" s="14">
        <v>0</v>
      </c>
      <c r="D108" s="14">
        <v>22</v>
      </c>
      <c r="E108" s="14">
        <v>21</v>
      </c>
      <c r="F108" s="14">
        <v>22</v>
      </c>
      <c r="G108" s="14">
        <v>0</v>
      </c>
      <c r="H108" s="14">
        <v>0</v>
      </c>
      <c r="I108" s="14">
        <v>0</v>
      </c>
      <c r="J108" s="14">
        <v>21</v>
      </c>
      <c r="K108" s="14">
        <v>134</v>
      </c>
      <c r="L108" s="14">
        <v>5</v>
      </c>
      <c r="M108" s="14">
        <v>2</v>
      </c>
      <c r="N108" s="14">
        <v>4</v>
      </c>
      <c r="O108" s="14">
        <v>8</v>
      </c>
      <c r="P108" s="14">
        <v>0</v>
      </c>
      <c r="Q108" s="14">
        <v>0</v>
      </c>
      <c r="R108" s="14">
        <v>0</v>
      </c>
      <c r="S108" s="14">
        <v>4.55</v>
      </c>
      <c r="T108" s="14">
        <v>2.5</v>
      </c>
      <c r="U108" s="14">
        <v>1</v>
      </c>
      <c r="V108" s="14">
        <v>8.1</v>
      </c>
      <c r="W108" s="15">
        <v>95.5</v>
      </c>
      <c r="X108" s="15">
        <v>0</v>
      </c>
      <c r="Y108" s="14">
        <v>12</v>
      </c>
      <c r="Z108" s="14">
        <v>0</v>
      </c>
      <c r="AA108" s="15">
        <v>0</v>
      </c>
      <c r="AB108" s="15">
        <v>0</v>
      </c>
      <c r="AC108" s="15">
        <v>0</v>
      </c>
      <c r="AD108" s="15">
        <v>0</v>
      </c>
      <c r="AE108" s="15">
        <v>0</v>
      </c>
      <c r="AF108" s="15">
        <v>0</v>
      </c>
      <c r="AG108" s="15">
        <v>115.5</v>
      </c>
      <c r="AH108" s="15">
        <v>115.5</v>
      </c>
      <c r="AI108" s="15">
        <v>0</v>
      </c>
      <c r="AJ108" s="15">
        <v>0</v>
      </c>
      <c r="AK108" s="15">
        <v>0</v>
      </c>
      <c r="AL108" s="15">
        <v>0</v>
      </c>
      <c r="AM108" s="14">
        <v>0</v>
      </c>
      <c r="AN108" s="14">
        <v>0</v>
      </c>
      <c r="AO108" s="14">
        <v>0</v>
      </c>
      <c r="AP108" s="14">
        <v>0</v>
      </c>
      <c r="AQ108" s="14">
        <v>0</v>
      </c>
      <c r="AR108" s="14">
        <v>0</v>
      </c>
      <c r="AS108" s="14">
        <v>0</v>
      </c>
      <c r="AT108" s="14">
        <v>134</v>
      </c>
      <c r="AU108" s="14">
        <v>0</v>
      </c>
      <c r="AV108" s="14">
        <v>134</v>
      </c>
      <c r="AW108" s="14">
        <v>0</v>
      </c>
      <c r="AX108" s="14">
        <v>4.55</v>
      </c>
      <c r="AY108" s="14">
        <v>0</v>
      </c>
      <c r="AZ108" s="14">
        <v>4.55</v>
      </c>
      <c r="BA108" s="14">
        <v>0</v>
      </c>
      <c r="BB108" s="14">
        <v>2.5</v>
      </c>
      <c r="BC108" s="14">
        <v>0</v>
      </c>
      <c r="BD108" s="14">
        <v>2.5</v>
      </c>
      <c r="BE108" s="14">
        <v>0</v>
      </c>
      <c r="BF108" s="14">
        <v>50</v>
      </c>
    </row>
    <row r="109" spans="1:58" ht="16">
      <c r="A109" s="14" t="s">
        <v>16969</v>
      </c>
      <c r="B109" s="14" t="s">
        <v>18864</v>
      </c>
      <c r="C109" s="14">
        <v>0</v>
      </c>
      <c r="D109" s="14">
        <v>21</v>
      </c>
      <c r="E109" s="14">
        <v>1</v>
      </c>
      <c r="F109" s="14">
        <v>20</v>
      </c>
      <c r="G109" s="14">
        <v>0</v>
      </c>
      <c r="H109" s="14">
        <v>0</v>
      </c>
      <c r="I109" s="14">
        <v>0</v>
      </c>
      <c r="J109" s="14">
        <v>21</v>
      </c>
      <c r="K109" s="14">
        <v>116</v>
      </c>
      <c r="L109" s="14">
        <v>18</v>
      </c>
      <c r="M109" s="14">
        <v>0</v>
      </c>
      <c r="N109" s="14">
        <v>3</v>
      </c>
      <c r="O109" s="14">
        <v>0</v>
      </c>
      <c r="P109" s="14">
        <v>0</v>
      </c>
      <c r="Q109" s="14">
        <v>0</v>
      </c>
      <c r="R109" s="14">
        <v>0</v>
      </c>
      <c r="S109" s="14">
        <v>8.75</v>
      </c>
      <c r="T109" s="14">
        <v>10.5</v>
      </c>
      <c r="U109" s="14">
        <v>0</v>
      </c>
      <c r="V109" s="14">
        <v>19.3</v>
      </c>
      <c r="W109" s="15">
        <v>297.5</v>
      </c>
      <c r="X109" s="15">
        <v>0</v>
      </c>
      <c r="Y109" s="14">
        <v>21</v>
      </c>
      <c r="Z109" s="14">
        <v>0</v>
      </c>
      <c r="AA109" s="15">
        <v>0</v>
      </c>
      <c r="AB109" s="15">
        <v>0</v>
      </c>
      <c r="AC109" s="15">
        <v>0</v>
      </c>
      <c r="AD109" s="15">
        <v>0</v>
      </c>
      <c r="AE109" s="15">
        <v>0</v>
      </c>
      <c r="AF109" s="15">
        <v>0</v>
      </c>
      <c r="AG109" s="15">
        <v>297.5</v>
      </c>
      <c r="AH109" s="15">
        <v>297.5</v>
      </c>
      <c r="AI109" s="15">
        <v>0</v>
      </c>
      <c r="AJ109" s="15">
        <v>0</v>
      </c>
      <c r="AK109" s="15">
        <v>0</v>
      </c>
      <c r="AL109" s="15">
        <v>0</v>
      </c>
      <c r="AM109" s="14">
        <v>0</v>
      </c>
      <c r="AN109" s="14">
        <v>0</v>
      </c>
      <c r="AO109" s="14">
        <v>0</v>
      </c>
      <c r="AP109" s="14">
        <v>0</v>
      </c>
      <c r="AQ109" s="14">
        <v>0</v>
      </c>
      <c r="AR109" s="14">
        <v>0</v>
      </c>
      <c r="AS109" s="14">
        <v>0</v>
      </c>
      <c r="AT109" s="14">
        <v>116</v>
      </c>
      <c r="AU109" s="14">
        <v>0</v>
      </c>
      <c r="AV109" s="14">
        <v>116</v>
      </c>
      <c r="AW109" s="14">
        <v>0</v>
      </c>
      <c r="AX109" s="14">
        <v>8.75</v>
      </c>
      <c r="AY109" s="14">
        <v>0</v>
      </c>
      <c r="AZ109" s="14">
        <v>8.75</v>
      </c>
      <c r="BA109" s="14">
        <v>0</v>
      </c>
      <c r="BB109" s="14">
        <v>10.5</v>
      </c>
      <c r="BC109" s="14">
        <v>0</v>
      </c>
      <c r="BD109" s="14">
        <v>10.5</v>
      </c>
      <c r="BE109" s="14">
        <v>0</v>
      </c>
      <c r="BF109" s="14">
        <v>0</v>
      </c>
    </row>
    <row r="110" spans="1:58" ht="16">
      <c r="A110" s="14" t="s">
        <v>16898</v>
      </c>
      <c r="B110" s="14" t="s">
        <v>16899</v>
      </c>
      <c r="C110" s="14">
        <v>0</v>
      </c>
      <c r="D110" s="14">
        <v>2</v>
      </c>
      <c r="E110" s="14">
        <v>0</v>
      </c>
      <c r="F110" s="14">
        <v>2</v>
      </c>
      <c r="G110" s="14">
        <v>0</v>
      </c>
      <c r="H110" s="14">
        <v>0</v>
      </c>
      <c r="I110" s="14">
        <v>0</v>
      </c>
      <c r="J110" s="14">
        <v>2</v>
      </c>
      <c r="K110" s="14">
        <v>21</v>
      </c>
      <c r="L110" s="14">
        <v>1</v>
      </c>
      <c r="M110" s="14">
        <v>0</v>
      </c>
      <c r="N110" s="14">
        <v>0</v>
      </c>
      <c r="O110" s="14">
        <v>1</v>
      </c>
      <c r="P110" s="14">
        <v>0</v>
      </c>
      <c r="Q110" s="14">
        <v>0</v>
      </c>
      <c r="R110" s="14">
        <v>0</v>
      </c>
      <c r="S110" s="14">
        <v>0.5</v>
      </c>
      <c r="T110" s="14">
        <v>0</v>
      </c>
      <c r="U110" s="14">
        <v>0</v>
      </c>
      <c r="V110" s="14">
        <v>0.5</v>
      </c>
      <c r="W110" s="15">
        <v>5</v>
      </c>
      <c r="X110" s="15">
        <v>0</v>
      </c>
      <c r="Y110" s="14">
        <v>0</v>
      </c>
      <c r="Z110" s="14">
        <v>2</v>
      </c>
      <c r="AA110" s="15">
        <v>0</v>
      </c>
      <c r="AB110" s="15">
        <v>0</v>
      </c>
      <c r="AC110" s="15">
        <v>0</v>
      </c>
      <c r="AD110" s="15">
        <v>0</v>
      </c>
      <c r="AE110" s="15">
        <v>0</v>
      </c>
      <c r="AF110" s="15">
        <v>0</v>
      </c>
      <c r="AG110" s="15">
        <v>5</v>
      </c>
      <c r="AH110" s="15">
        <v>5</v>
      </c>
      <c r="AI110" s="15">
        <v>0</v>
      </c>
      <c r="AJ110" s="15">
        <v>0</v>
      </c>
      <c r="AK110" s="15">
        <v>0</v>
      </c>
      <c r="AL110" s="15">
        <v>0</v>
      </c>
      <c r="AM110" s="14">
        <v>0</v>
      </c>
      <c r="AN110" s="14">
        <v>0</v>
      </c>
      <c r="AO110" s="14">
        <v>0</v>
      </c>
      <c r="AP110" s="14">
        <v>0</v>
      </c>
      <c r="AQ110" s="14">
        <v>0</v>
      </c>
      <c r="AR110" s="14">
        <v>0</v>
      </c>
      <c r="AS110" s="14">
        <v>0</v>
      </c>
      <c r="AT110" s="14">
        <v>21</v>
      </c>
      <c r="AU110" s="14">
        <v>0</v>
      </c>
      <c r="AV110" s="14">
        <v>21</v>
      </c>
      <c r="AW110" s="14">
        <v>0</v>
      </c>
      <c r="AX110" s="14">
        <v>0.5</v>
      </c>
      <c r="AY110" s="14">
        <v>0</v>
      </c>
      <c r="AZ110" s="14">
        <v>0.5</v>
      </c>
      <c r="BA110" s="14">
        <v>0</v>
      </c>
      <c r="BB110" s="14">
        <v>0</v>
      </c>
      <c r="BC110" s="14">
        <v>0</v>
      </c>
      <c r="BD110" s="14">
        <v>0</v>
      </c>
      <c r="BE110" s="14">
        <v>0</v>
      </c>
      <c r="BF110" s="14">
        <v>0</v>
      </c>
    </row>
    <row r="111" spans="1:58" ht="16">
      <c r="A111" s="14" t="s">
        <v>16898</v>
      </c>
      <c r="B111" s="14" t="s">
        <v>17031</v>
      </c>
      <c r="C111" s="14">
        <v>0</v>
      </c>
      <c r="D111" s="14">
        <v>3</v>
      </c>
      <c r="E111" s="14">
        <v>3</v>
      </c>
      <c r="F111" s="14">
        <v>3</v>
      </c>
      <c r="G111" s="14">
        <v>0</v>
      </c>
      <c r="H111" s="14">
        <v>0</v>
      </c>
      <c r="I111" s="14">
        <v>0</v>
      </c>
      <c r="J111" s="14">
        <v>3</v>
      </c>
      <c r="K111" s="14">
        <v>27</v>
      </c>
      <c r="L111" s="14">
        <v>3</v>
      </c>
      <c r="M111" s="14">
        <v>0</v>
      </c>
      <c r="N111" s="14">
        <v>0</v>
      </c>
      <c r="O111" s="14">
        <v>0</v>
      </c>
      <c r="P111" s="14">
        <v>0</v>
      </c>
      <c r="Q111" s="14">
        <v>0</v>
      </c>
      <c r="R111" s="14">
        <v>0</v>
      </c>
      <c r="S111" s="14">
        <v>0</v>
      </c>
      <c r="T111" s="14">
        <v>0</v>
      </c>
      <c r="U111" s="14">
        <v>0</v>
      </c>
      <c r="V111" s="14">
        <v>0</v>
      </c>
      <c r="W111" s="15">
        <v>0</v>
      </c>
      <c r="X111" s="15">
        <v>0</v>
      </c>
      <c r="Y111" s="14">
        <v>0</v>
      </c>
      <c r="Z111" s="14">
        <v>0</v>
      </c>
      <c r="AA111" s="15">
        <v>0</v>
      </c>
      <c r="AB111" s="15">
        <v>0</v>
      </c>
      <c r="AC111" s="15">
        <v>0</v>
      </c>
      <c r="AD111" s="15">
        <v>0</v>
      </c>
      <c r="AE111" s="15">
        <v>0</v>
      </c>
      <c r="AF111" s="15">
        <v>0</v>
      </c>
      <c r="AG111" s="15">
        <v>0</v>
      </c>
      <c r="AH111" s="15">
        <v>0</v>
      </c>
      <c r="AI111" s="15">
        <v>0</v>
      </c>
      <c r="AJ111" s="15">
        <v>0</v>
      </c>
      <c r="AK111" s="15">
        <v>0</v>
      </c>
      <c r="AL111" s="15">
        <v>0</v>
      </c>
      <c r="AM111" s="14">
        <v>0</v>
      </c>
      <c r="AN111" s="14">
        <v>0</v>
      </c>
      <c r="AO111" s="14">
        <v>0</v>
      </c>
      <c r="AP111" s="14">
        <v>0</v>
      </c>
      <c r="AQ111" s="14">
        <v>0</v>
      </c>
      <c r="AR111" s="14">
        <v>0</v>
      </c>
      <c r="AS111" s="14">
        <v>0</v>
      </c>
      <c r="AT111" s="14">
        <v>27</v>
      </c>
      <c r="AU111" s="14">
        <v>0</v>
      </c>
      <c r="AV111" s="14">
        <v>27</v>
      </c>
      <c r="AW111" s="14">
        <v>0</v>
      </c>
      <c r="AX111" s="14">
        <v>0</v>
      </c>
      <c r="AY111" s="14">
        <v>0</v>
      </c>
      <c r="AZ111" s="14">
        <v>0</v>
      </c>
      <c r="BA111" s="14">
        <v>0</v>
      </c>
      <c r="BB111" s="14">
        <v>0</v>
      </c>
      <c r="BC111" s="14">
        <v>0</v>
      </c>
      <c r="BD111" s="14">
        <v>0</v>
      </c>
      <c r="BE111" s="14">
        <v>0</v>
      </c>
      <c r="BF111" s="14">
        <v>3</v>
      </c>
    </row>
    <row r="112" spans="1:58" ht="16">
      <c r="A112" s="14" t="s">
        <v>16898</v>
      </c>
      <c r="B112" s="14" t="s">
        <v>17007</v>
      </c>
      <c r="C112" s="14">
        <v>0</v>
      </c>
      <c r="D112" s="14">
        <v>2</v>
      </c>
      <c r="E112" s="14">
        <v>2</v>
      </c>
      <c r="F112" s="14">
        <v>2</v>
      </c>
      <c r="G112" s="14">
        <v>0</v>
      </c>
      <c r="H112" s="14">
        <v>0</v>
      </c>
      <c r="I112" s="14">
        <v>1</v>
      </c>
      <c r="J112" s="14">
        <v>2</v>
      </c>
      <c r="K112" s="14">
        <v>14</v>
      </c>
      <c r="L112" s="14">
        <v>2</v>
      </c>
      <c r="M112" s="14">
        <v>0</v>
      </c>
      <c r="N112" s="14">
        <v>0</v>
      </c>
      <c r="O112" s="14">
        <v>0</v>
      </c>
      <c r="P112" s="14">
        <v>0</v>
      </c>
      <c r="Q112" s="14">
        <v>0</v>
      </c>
      <c r="R112" s="14">
        <v>0</v>
      </c>
      <c r="S112" s="14">
        <v>4</v>
      </c>
      <c r="T112" s="14">
        <v>0</v>
      </c>
      <c r="U112" s="14">
        <v>2</v>
      </c>
      <c r="V112" s="14">
        <v>6</v>
      </c>
      <c r="W112" s="15">
        <v>40</v>
      </c>
      <c r="X112" s="15">
        <v>0</v>
      </c>
      <c r="Y112" s="14">
        <v>0</v>
      </c>
      <c r="Z112" s="14">
        <v>2</v>
      </c>
      <c r="AA112" s="15">
        <v>0</v>
      </c>
      <c r="AB112" s="15">
        <v>0</v>
      </c>
      <c r="AC112" s="15">
        <v>0</v>
      </c>
      <c r="AD112" s="15">
        <v>0</v>
      </c>
      <c r="AE112" s="15">
        <v>0</v>
      </c>
      <c r="AF112" s="15">
        <v>0</v>
      </c>
      <c r="AG112" s="15">
        <v>80</v>
      </c>
      <c r="AH112" s="15">
        <v>80</v>
      </c>
      <c r="AI112" s="15">
        <v>0</v>
      </c>
      <c r="AJ112" s="15">
        <v>0</v>
      </c>
      <c r="AK112" s="15">
        <v>0</v>
      </c>
      <c r="AL112" s="15">
        <v>0</v>
      </c>
      <c r="AM112" s="14">
        <v>0</v>
      </c>
      <c r="AN112" s="14">
        <v>0</v>
      </c>
      <c r="AO112" s="14">
        <v>0</v>
      </c>
      <c r="AP112" s="14">
        <v>0</v>
      </c>
      <c r="AQ112" s="14">
        <v>0</v>
      </c>
      <c r="AR112" s="14">
        <v>0</v>
      </c>
      <c r="AS112" s="14">
        <v>0</v>
      </c>
      <c r="AT112" s="14">
        <v>14</v>
      </c>
      <c r="AU112" s="14">
        <v>0</v>
      </c>
      <c r="AV112" s="14">
        <v>14</v>
      </c>
      <c r="AW112" s="14">
        <v>0</v>
      </c>
      <c r="AX112" s="14">
        <v>4</v>
      </c>
      <c r="AY112" s="14">
        <v>0</v>
      </c>
      <c r="AZ112" s="14">
        <v>4</v>
      </c>
      <c r="BA112" s="14">
        <v>0</v>
      </c>
      <c r="BB112" s="14">
        <v>0</v>
      </c>
      <c r="BC112" s="14">
        <v>0</v>
      </c>
      <c r="BD112" s="14">
        <v>0</v>
      </c>
      <c r="BE112" s="14">
        <v>0</v>
      </c>
      <c r="BF112" s="14">
        <v>0</v>
      </c>
    </row>
    <row r="113" spans="1:58" ht="16">
      <c r="A113" s="14" t="s">
        <v>16898</v>
      </c>
      <c r="B113" s="14" t="s">
        <v>17032</v>
      </c>
      <c r="C113" s="14">
        <v>0</v>
      </c>
      <c r="D113" s="14">
        <v>0</v>
      </c>
      <c r="E113" s="14">
        <v>0</v>
      </c>
      <c r="F113" s="14">
        <v>0</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5">
        <v>0</v>
      </c>
      <c r="X113" s="15">
        <v>0</v>
      </c>
      <c r="Y113" s="14">
        <v>0</v>
      </c>
      <c r="Z113" s="14">
        <v>0</v>
      </c>
      <c r="AA113" s="15">
        <v>0</v>
      </c>
      <c r="AB113" s="15">
        <v>0</v>
      </c>
      <c r="AC113" s="15">
        <v>0</v>
      </c>
      <c r="AD113" s="15">
        <v>0</v>
      </c>
      <c r="AE113" s="15">
        <v>0</v>
      </c>
      <c r="AF113" s="15">
        <v>0</v>
      </c>
      <c r="AG113" s="15">
        <v>0</v>
      </c>
      <c r="AH113" s="15">
        <v>0</v>
      </c>
      <c r="AI113" s="15">
        <v>0</v>
      </c>
      <c r="AJ113" s="15">
        <v>0</v>
      </c>
      <c r="AK113" s="15">
        <v>0</v>
      </c>
      <c r="AL113" s="15">
        <v>0</v>
      </c>
      <c r="AM113" s="14">
        <v>0</v>
      </c>
      <c r="AN113" s="14">
        <v>0</v>
      </c>
      <c r="AO113" s="14">
        <v>0</v>
      </c>
      <c r="AP113" s="14">
        <v>0</v>
      </c>
      <c r="AQ113" s="14">
        <v>0</v>
      </c>
      <c r="AR113" s="14">
        <v>0</v>
      </c>
      <c r="AS113" s="14">
        <v>0</v>
      </c>
      <c r="AT113" s="14">
        <v>0</v>
      </c>
      <c r="AU113" s="14">
        <v>0</v>
      </c>
      <c r="AV113" s="14">
        <v>0</v>
      </c>
      <c r="AW113" s="14">
        <v>0</v>
      </c>
      <c r="AX113" s="14">
        <v>0</v>
      </c>
      <c r="AY113" s="14">
        <v>0</v>
      </c>
      <c r="AZ113" s="14">
        <v>0</v>
      </c>
      <c r="BA113" s="14">
        <v>0</v>
      </c>
      <c r="BB113" s="14">
        <v>0</v>
      </c>
      <c r="BC113" s="14">
        <v>0</v>
      </c>
      <c r="BD113" s="14">
        <v>0</v>
      </c>
      <c r="BE113" s="14">
        <v>0</v>
      </c>
      <c r="BF113" s="14">
        <v>0</v>
      </c>
    </row>
    <row r="114" spans="1:58" ht="16">
      <c r="A114" s="14" t="s">
        <v>16898</v>
      </c>
      <c r="B114" s="14" t="s">
        <v>17009</v>
      </c>
      <c r="C114" s="14">
        <v>0</v>
      </c>
      <c r="D114" s="14">
        <v>6</v>
      </c>
      <c r="E114" s="14">
        <v>0</v>
      </c>
      <c r="F114" s="14">
        <v>6</v>
      </c>
      <c r="G114" s="14">
        <v>0</v>
      </c>
      <c r="H114" s="14">
        <v>0</v>
      </c>
      <c r="I114" s="14">
        <v>0</v>
      </c>
      <c r="J114" s="14">
        <v>6</v>
      </c>
      <c r="K114" s="14">
        <v>45</v>
      </c>
      <c r="L114" s="14">
        <v>6</v>
      </c>
      <c r="M114" s="14">
        <v>0</v>
      </c>
      <c r="N114" s="14">
        <v>0</v>
      </c>
      <c r="O114" s="14">
        <v>0</v>
      </c>
      <c r="P114" s="14">
        <v>0</v>
      </c>
      <c r="Q114" s="14">
        <v>0</v>
      </c>
      <c r="R114" s="14">
        <v>0</v>
      </c>
      <c r="S114" s="14">
        <v>11.75</v>
      </c>
      <c r="T114" s="14">
        <v>7</v>
      </c>
      <c r="U114" s="14">
        <v>0</v>
      </c>
      <c r="V114" s="14">
        <v>18.8</v>
      </c>
      <c r="W114" s="15">
        <v>257.5</v>
      </c>
      <c r="X114" s="15">
        <v>0</v>
      </c>
      <c r="Y114" s="14">
        <v>6</v>
      </c>
      <c r="Z114" s="14">
        <v>0</v>
      </c>
      <c r="AA114" s="15">
        <v>0</v>
      </c>
      <c r="AB114" s="15">
        <v>92.5</v>
      </c>
      <c r="AC114" s="15">
        <v>48.62</v>
      </c>
      <c r="AD114" s="15">
        <v>28.87</v>
      </c>
      <c r="AE114" s="15">
        <v>121.37</v>
      </c>
      <c r="AF114" s="15">
        <v>121.37</v>
      </c>
      <c r="AG114" s="15">
        <v>306.12</v>
      </c>
      <c r="AH114" s="15">
        <v>184.75</v>
      </c>
      <c r="AI114" s="15">
        <v>0</v>
      </c>
      <c r="AJ114" s="15">
        <v>0</v>
      </c>
      <c r="AK114" s="15">
        <v>0</v>
      </c>
      <c r="AL114" s="15">
        <v>0</v>
      </c>
      <c r="AM114" s="14">
        <v>3</v>
      </c>
      <c r="AN114" s="14">
        <v>3</v>
      </c>
      <c r="AO114" s="14">
        <v>0</v>
      </c>
      <c r="AP114" s="14">
        <v>0</v>
      </c>
      <c r="AQ114" s="14">
        <v>0</v>
      </c>
      <c r="AR114" s="14">
        <v>0</v>
      </c>
      <c r="AS114" s="14">
        <v>0</v>
      </c>
      <c r="AT114" s="14">
        <v>45</v>
      </c>
      <c r="AU114" s="14">
        <v>0</v>
      </c>
      <c r="AV114" s="14">
        <v>45</v>
      </c>
      <c r="AW114" s="14">
        <v>0</v>
      </c>
      <c r="AX114" s="14">
        <v>11.75</v>
      </c>
      <c r="AY114" s="14">
        <v>0</v>
      </c>
      <c r="AZ114" s="14">
        <v>11.75</v>
      </c>
      <c r="BA114" s="14">
        <v>0</v>
      </c>
      <c r="BB114" s="14">
        <v>7</v>
      </c>
      <c r="BC114" s="14">
        <v>0</v>
      </c>
      <c r="BD114" s="14">
        <v>7</v>
      </c>
      <c r="BE114" s="14">
        <v>0</v>
      </c>
      <c r="BF114" s="14">
        <v>0</v>
      </c>
    </row>
    <row r="115" spans="1:58" ht="16">
      <c r="A115" s="14" t="s">
        <v>16898</v>
      </c>
      <c r="B115" s="14" t="s">
        <v>18812</v>
      </c>
      <c r="C115" s="14">
        <v>0</v>
      </c>
      <c r="D115" s="14">
        <v>2</v>
      </c>
      <c r="E115" s="14">
        <v>2</v>
      </c>
      <c r="F115" s="14">
        <v>2</v>
      </c>
      <c r="G115" s="14">
        <v>0</v>
      </c>
      <c r="H115" s="14">
        <v>0</v>
      </c>
      <c r="I115" s="14">
        <v>0</v>
      </c>
      <c r="J115" s="14">
        <v>2</v>
      </c>
      <c r="K115" s="14">
        <v>9</v>
      </c>
      <c r="L115" s="14">
        <v>2</v>
      </c>
      <c r="M115" s="14">
        <v>0</v>
      </c>
      <c r="N115" s="14">
        <v>0</v>
      </c>
      <c r="O115" s="14">
        <v>0</v>
      </c>
      <c r="P115" s="14">
        <v>0</v>
      </c>
      <c r="Q115" s="14">
        <v>0</v>
      </c>
      <c r="R115" s="14">
        <v>0</v>
      </c>
      <c r="S115" s="14">
        <v>0.5</v>
      </c>
      <c r="T115" s="14">
        <v>0.5</v>
      </c>
      <c r="U115" s="14">
        <v>0</v>
      </c>
      <c r="V115" s="14">
        <v>1</v>
      </c>
      <c r="W115" s="15">
        <v>10.5</v>
      </c>
      <c r="X115" s="15">
        <v>0</v>
      </c>
      <c r="Y115" s="14">
        <v>2</v>
      </c>
      <c r="Z115" s="14">
        <v>0</v>
      </c>
      <c r="AA115" s="15">
        <v>0</v>
      </c>
      <c r="AB115" s="15">
        <v>0</v>
      </c>
      <c r="AC115" s="15">
        <v>45</v>
      </c>
      <c r="AD115" s="15">
        <v>45</v>
      </c>
      <c r="AE115" s="15">
        <v>0</v>
      </c>
      <c r="AF115" s="15">
        <v>45</v>
      </c>
      <c r="AG115" s="15">
        <v>55.5</v>
      </c>
      <c r="AH115" s="15">
        <v>55.5</v>
      </c>
      <c r="AI115" s="15">
        <v>0</v>
      </c>
      <c r="AJ115" s="15">
        <v>0</v>
      </c>
      <c r="AK115" s="15">
        <v>0</v>
      </c>
      <c r="AL115" s="15">
        <v>0</v>
      </c>
      <c r="AM115" s="14">
        <v>0</v>
      </c>
      <c r="AN115" s="14">
        <v>0</v>
      </c>
      <c r="AO115" s="14">
        <v>0</v>
      </c>
      <c r="AP115" s="14">
        <v>0</v>
      </c>
      <c r="AQ115" s="14">
        <v>0</v>
      </c>
      <c r="AR115" s="14">
        <v>0</v>
      </c>
      <c r="AS115" s="14">
        <v>0</v>
      </c>
      <c r="AT115" s="14">
        <v>9</v>
      </c>
      <c r="AU115" s="14">
        <v>0</v>
      </c>
      <c r="AV115" s="14">
        <v>9</v>
      </c>
      <c r="AW115" s="14">
        <v>0</v>
      </c>
      <c r="AX115" s="14">
        <v>0.5</v>
      </c>
      <c r="AY115" s="14">
        <v>0</v>
      </c>
      <c r="AZ115" s="14">
        <v>0.5</v>
      </c>
      <c r="BA115" s="14">
        <v>0</v>
      </c>
      <c r="BB115" s="14">
        <v>0.5</v>
      </c>
      <c r="BC115" s="14">
        <v>0</v>
      </c>
      <c r="BD115" s="14">
        <v>0.5</v>
      </c>
      <c r="BE115" s="14">
        <v>0</v>
      </c>
      <c r="BF115" s="14">
        <v>0</v>
      </c>
    </row>
    <row r="116" spans="1:58" ht="16">
      <c r="A116" s="14" t="s">
        <v>16898</v>
      </c>
      <c r="B116" s="14" t="s">
        <v>18813</v>
      </c>
      <c r="C116" s="14">
        <v>0</v>
      </c>
      <c r="D116" s="14">
        <v>0</v>
      </c>
      <c r="E116" s="14">
        <v>0</v>
      </c>
      <c r="F116" s="14">
        <v>0</v>
      </c>
      <c r="G116" s="14">
        <v>0</v>
      </c>
      <c r="H116" s="14">
        <v>0</v>
      </c>
      <c r="I116" s="14">
        <v>0</v>
      </c>
      <c r="J116" s="14">
        <v>0</v>
      </c>
      <c r="K116" s="14">
        <v>0</v>
      </c>
      <c r="L116" s="14">
        <v>0</v>
      </c>
      <c r="M116" s="14">
        <v>0</v>
      </c>
      <c r="N116" s="14">
        <v>0</v>
      </c>
      <c r="O116" s="14">
        <v>0</v>
      </c>
      <c r="P116" s="14">
        <v>0</v>
      </c>
      <c r="Q116" s="14">
        <v>0</v>
      </c>
      <c r="R116" s="14">
        <v>0</v>
      </c>
      <c r="S116" s="14">
        <v>0</v>
      </c>
      <c r="T116" s="14">
        <v>0</v>
      </c>
      <c r="U116" s="14">
        <v>0</v>
      </c>
      <c r="V116" s="14">
        <v>0</v>
      </c>
      <c r="W116" s="15">
        <v>0</v>
      </c>
      <c r="X116" s="15">
        <v>0</v>
      </c>
      <c r="Y116" s="14">
        <v>0</v>
      </c>
      <c r="Z116" s="14">
        <v>0</v>
      </c>
      <c r="AA116" s="15">
        <v>0</v>
      </c>
      <c r="AB116" s="15">
        <v>0</v>
      </c>
      <c r="AC116" s="15">
        <v>0</v>
      </c>
      <c r="AD116" s="15">
        <v>0</v>
      </c>
      <c r="AE116" s="15">
        <v>0</v>
      </c>
      <c r="AF116" s="15">
        <v>0</v>
      </c>
      <c r="AG116" s="15">
        <v>0</v>
      </c>
      <c r="AH116" s="15">
        <v>0</v>
      </c>
      <c r="AI116" s="15">
        <v>0</v>
      </c>
      <c r="AJ116" s="15">
        <v>0</v>
      </c>
      <c r="AK116" s="15">
        <v>0</v>
      </c>
      <c r="AL116" s="15">
        <v>0</v>
      </c>
      <c r="AM116" s="14">
        <v>0</v>
      </c>
      <c r="AN116" s="14">
        <v>0</v>
      </c>
      <c r="AO116" s="14">
        <v>0</v>
      </c>
      <c r="AP116" s="14">
        <v>0</v>
      </c>
      <c r="AQ116" s="14">
        <v>0</v>
      </c>
      <c r="AR116" s="14">
        <v>0</v>
      </c>
      <c r="AS116" s="14">
        <v>0</v>
      </c>
      <c r="AT116" s="14">
        <v>0</v>
      </c>
      <c r="AU116" s="14">
        <v>0</v>
      </c>
      <c r="AV116" s="14">
        <v>0</v>
      </c>
      <c r="AW116" s="14">
        <v>0</v>
      </c>
      <c r="AX116" s="14">
        <v>0</v>
      </c>
      <c r="AY116" s="14">
        <v>0</v>
      </c>
      <c r="AZ116" s="14">
        <v>0</v>
      </c>
      <c r="BA116" s="14">
        <v>0</v>
      </c>
      <c r="BB116" s="14">
        <v>0</v>
      </c>
      <c r="BC116" s="14">
        <v>0</v>
      </c>
      <c r="BD116" s="14">
        <v>0</v>
      </c>
      <c r="BE116" s="14">
        <v>0</v>
      </c>
      <c r="BF116" s="14">
        <v>0</v>
      </c>
    </row>
    <row r="117" spans="1:58" ht="16">
      <c r="A117" s="14" t="s">
        <v>16898</v>
      </c>
      <c r="B117" s="14" t="s">
        <v>17205</v>
      </c>
      <c r="C117" s="14">
        <v>0</v>
      </c>
      <c r="D117" s="14">
        <v>16</v>
      </c>
      <c r="E117" s="14">
        <v>16</v>
      </c>
      <c r="F117" s="14">
        <v>16</v>
      </c>
      <c r="G117" s="14">
        <v>2</v>
      </c>
      <c r="H117" s="14">
        <v>3</v>
      </c>
      <c r="I117" s="14">
        <v>0</v>
      </c>
      <c r="J117" s="14">
        <v>16</v>
      </c>
      <c r="K117" s="14">
        <v>319</v>
      </c>
      <c r="L117" s="14">
        <v>7</v>
      </c>
      <c r="M117" s="14">
        <v>1</v>
      </c>
      <c r="N117" s="14">
        <v>3</v>
      </c>
      <c r="O117" s="14">
        <v>5</v>
      </c>
      <c r="P117" s="14">
        <v>0</v>
      </c>
      <c r="Q117" s="14">
        <v>1</v>
      </c>
      <c r="R117" s="14">
        <v>0</v>
      </c>
      <c r="S117" s="14">
        <v>10.25</v>
      </c>
      <c r="T117" s="14">
        <v>20.5</v>
      </c>
      <c r="U117" s="14">
        <v>0</v>
      </c>
      <c r="V117" s="14">
        <v>30.8</v>
      </c>
      <c r="W117" s="15">
        <v>512.5</v>
      </c>
      <c r="X117" s="15">
        <v>0</v>
      </c>
      <c r="Y117" s="14">
        <v>4</v>
      </c>
      <c r="Z117" s="14">
        <v>1</v>
      </c>
      <c r="AA117" s="15">
        <v>0</v>
      </c>
      <c r="AB117" s="15">
        <v>357.5</v>
      </c>
      <c r="AC117" s="15">
        <v>5.8</v>
      </c>
      <c r="AD117" s="15">
        <v>5.8</v>
      </c>
      <c r="AE117" s="15">
        <v>337.7</v>
      </c>
      <c r="AF117" s="15">
        <v>363.3</v>
      </c>
      <c r="AG117" s="15">
        <v>518.29999999999995</v>
      </c>
      <c r="AH117" s="15">
        <v>180.6</v>
      </c>
      <c r="AI117" s="15">
        <v>337.7</v>
      </c>
      <c r="AJ117" s="15">
        <v>337.7</v>
      </c>
      <c r="AK117" s="15">
        <v>397.7</v>
      </c>
      <c r="AL117" s="15">
        <v>60</v>
      </c>
      <c r="AM117" s="14">
        <v>0</v>
      </c>
      <c r="AN117" s="14">
        <v>0</v>
      </c>
      <c r="AO117" s="14">
        <v>1</v>
      </c>
      <c r="AP117" s="14">
        <v>1</v>
      </c>
      <c r="AQ117" s="14">
        <v>0</v>
      </c>
      <c r="AR117" s="14">
        <v>0</v>
      </c>
      <c r="AS117" s="14">
        <v>0</v>
      </c>
      <c r="AT117" s="14">
        <v>319</v>
      </c>
      <c r="AU117" s="14">
        <v>163</v>
      </c>
      <c r="AV117" s="14">
        <v>156</v>
      </c>
      <c r="AW117" s="14">
        <v>0</v>
      </c>
      <c r="AX117" s="14">
        <v>10.25</v>
      </c>
      <c r="AY117" s="14">
        <v>7.5</v>
      </c>
      <c r="AZ117" s="14">
        <v>2.75</v>
      </c>
      <c r="BA117" s="14">
        <v>0</v>
      </c>
      <c r="BB117" s="14">
        <v>20.5</v>
      </c>
      <c r="BC117" s="14">
        <v>16</v>
      </c>
      <c r="BD117" s="14">
        <v>4.5</v>
      </c>
      <c r="BE117" s="14">
        <v>0</v>
      </c>
      <c r="BF117" s="14">
        <v>0</v>
      </c>
    </row>
    <row r="118" spans="1:58" ht="16">
      <c r="A118" s="14" t="s">
        <v>16898</v>
      </c>
      <c r="B118" s="14" t="s">
        <v>17010</v>
      </c>
      <c r="C118" s="14">
        <v>3</v>
      </c>
      <c r="D118" s="14">
        <v>37</v>
      </c>
      <c r="E118" s="14">
        <v>37</v>
      </c>
      <c r="F118" s="14">
        <v>37</v>
      </c>
      <c r="G118" s="14">
        <v>2</v>
      </c>
      <c r="H118" s="14">
        <v>2</v>
      </c>
      <c r="I118" s="14">
        <v>0</v>
      </c>
      <c r="J118" s="14">
        <v>37</v>
      </c>
      <c r="K118" s="14">
        <v>423</v>
      </c>
      <c r="L118" s="14">
        <v>7</v>
      </c>
      <c r="M118" s="14">
        <v>7</v>
      </c>
      <c r="N118" s="14">
        <v>16</v>
      </c>
      <c r="O118" s="14">
        <v>3</v>
      </c>
      <c r="P118" s="14">
        <v>1</v>
      </c>
      <c r="Q118" s="14">
        <v>3</v>
      </c>
      <c r="R118" s="14">
        <v>0</v>
      </c>
      <c r="S118" s="14">
        <v>19.5</v>
      </c>
      <c r="T118" s="14">
        <v>50.75</v>
      </c>
      <c r="U118" s="14">
        <v>0.25</v>
      </c>
      <c r="V118" s="14">
        <v>70.5</v>
      </c>
      <c r="W118" s="15">
        <v>1202.5</v>
      </c>
      <c r="X118" s="15">
        <v>0</v>
      </c>
      <c r="Y118" s="14">
        <v>21</v>
      </c>
      <c r="Z118" s="14">
        <v>0</v>
      </c>
      <c r="AA118" s="15">
        <v>-7.5</v>
      </c>
      <c r="AB118" s="15">
        <v>812.5</v>
      </c>
      <c r="AC118" s="15">
        <v>20.83</v>
      </c>
      <c r="AD118" s="15">
        <v>18.03</v>
      </c>
      <c r="AE118" s="15">
        <v>794.83</v>
      </c>
      <c r="AF118" s="15">
        <v>830.53</v>
      </c>
      <c r="AG118" s="15">
        <v>1228.33</v>
      </c>
      <c r="AH118" s="15">
        <v>433.5</v>
      </c>
      <c r="AI118" s="15">
        <v>780</v>
      </c>
      <c r="AJ118" s="15">
        <v>780</v>
      </c>
      <c r="AK118" s="15">
        <v>835</v>
      </c>
      <c r="AL118" s="15">
        <v>55</v>
      </c>
      <c r="AM118" s="14">
        <v>3</v>
      </c>
      <c r="AN118" s="14">
        <v>1</v>
      </c>
      <c r="AO118" s="14">
        <v>0</v>
      </c>
      <c r="AP118" s="14">
        <v>0</v>
      </c>
      <c r="AQ118" s="14">
        <v>1</v>
      </c>
      <c r="AR118" s="14">
        <v>0</v>
      </c>
      <c r="AS118" s="14">
        <v>0</v>
      </c>
      <c r="AT118" s="14">
        <v>423</v>
      </c>
      <c r="AU118" s="14">
        <v>50</v>
      </c>
      <c r="AV118" s="14">
        <v>367</v>
      </c>
      <c r="AW118" s="14">
        <v>6</v>
      </c>
      <c r="AX118" s="14">
        <v>19.5</v>
      </c>
      <c r="AY118" s="14">
        <v>12.5</v>
      </c>
      <c r="AZ118" s="14">
        <v>6.25</v>
      </c>
      <c r="BA118" s="14">
        <v>0.75</v>
      </c>
      <c r="BB118" s="14">
        <v>50.75</v>
      </c>
      <c r="BC118" s="14">
        <v>35.5</v>
      </c>
      <c r="BD118" s="14">
        <v>15.25</v>
      </c>
      <c r="BE118" s="14">
        <v>0</v>
      </c>
      <c r="BF118" s="14">
        <v>0</v>
      </c>
    </row>
    <row r="119" spans="1:58" ht="16">
      <c r="A119" s="14" t="s">
        <v>16898</v>
      </c>
      <c r="B119" s="14" t="s">
        <v>17011</v>
      </c>
      <c r="C119" s="14">
        <v>0</v>
      </c>
      <c r="D119" s="14">
        <v>1</v>
      </c>
      <c r="E119" s="14">
        <v>1</v>
      </c>
      <c r="F119" s="14">
        <v>1</v>
      </c>
      <c r="G119" s="14">
        <v>0</v>
      </c>
      <c r="H119" s="14">
        <v>0</v>
      </c>
      <c r="I119" s="14">
        <v>0</v>
      </c>
      <c r="J119" s="14">
        <v>1</v>
      </c>
      <c r="K119" s="14">
        <v>14</v>
      </c>
      <c r="L119" s="14">
        <v>1</v>
      </c>
      <c r="M119" s="14">
        <v>0</v>
      </c>
      <c r="N119" s="14">
        <v>0</v>
      </c>
      <c r="O119" s="14">
        <v>0</v>
      </c>
      <c r="P119" s="14">
        <v>0</v>
      </c>
      <c r="Q119" s="14">
        <v>0</v>
      </c>
      <c r="R119" s="14">
        <v>0</v>
      </c>
      <c r="S119" s="14">
        <v>1.5</v>
      </c>
      <c r="T119" s="14">
        <v>1</v>
      </c>
      <c r="U119" s="14">
        <v>0</v>
      </c>
      <c r="V119" s="14">
        <v>2.5</v>
      </c>
      <c r="W119" s="15">
        <v>35</v>
      </c>
      <c r="X119" s="15">
        <v>0</v>
      </c>
      <c r="Y119" s="14">
        <v>1</v>
      </c>
      <c r="Z119" s="14">
        <v>0</v>
      </c>
      <c r="AA119" s="15">
        <v>0</v>
      </c>
      <c r="AB119" s="15">
        <v>5</v>
      </c>
      <c r="AC119" s="15">
        <v>0.25</v>
      </c>
      <c r="AD119" s="15">
        <v>0.25</v>
      </c>
      <c r="AE119" s="15">
        <v>0</v>
      </c>
      <c r="AF119" s="15">
        <v>5.25</v>
      </c>
      <c r="AG119" s="15">
        <v>35.25</v>
      </c>
      <c r="AH119" s="15">
        <v>35.25</v>
      </c>
      <c r="AI119" s="15">
        <v>0</v>
      </c>
      <c r="AJ119" s="15">
        <v>0</v>
      </c>
      <c r="AK119" s="15">
        <v>0</v>
      </c>
      <c r="AL119" s="15">
        <v>0</v>
      </c>
      <c r="AM119" s="14">
        <v>0</v>
      </c>
      <c r="AN119" s="14">
        <v>0</v>
      </c>
      <c r="AO119" s="14">
        <v>0</v>
      </c>
      <c r="AP119" s="14">
        <v>0</v>
      </c>
      <c r="AQ119" s="14">
        <v>0</v>
      </c>
      <c r="AR119" s="14">
        <v>0</v>
      </c>
      <c r="AS119" s="14">
        <v>0</v>
      </c>
      <c r="AT119" s="14">
        <v>14</v>
      </c>
      <c r="AU119" s="14">
        <v>0</v>
      </c>
      <c r="AV119" s="14">
        <v>14</v>
      </c>
      <c r="AW119" s="14">
        <v>0</v>
      </c>
      <c r="AX119" s="14">
        <v>1.5</v>
      </c>
      <c r="AY119" s="14">
        <v>0</v>
      </c>
      <c r="AZ119" s="14">
        <v>1.5</v>
      </c>
      <c r="BA119" s="14">
        <v>0</v>
      </c>
      <c r="BB119" s="14">
        <v>1</v>
      </c>
      <c r="BC119" s="14">
        <v>0</v>
      </c>
      <c r="BD119" s="14">
        <v>1</v>
      </c>
      <c r="BE119" s="14">
        <v>0</v>
      </c>
      <c r="BF119" s="14">
        <v>0</v>
      </c>
    </row>
    <row r="120" spans="1:58" ht="16">
      <c r="A120" s="14" t="s">
        <v>16898</v>
      </c>
      <c r="B120" s="14" t="s">
        <v>17033</v>
      </c>
      <c r="C120" s="14">
        <v>0</v>
      </c>
      <c r="D120" s="14">
        <v>2</v>
      </c>
      <c r="E120" s="14">
        <v>2</v>
      </c>
      <c r="F120" s="14">
        <v>1</v>
      </c>
      <c r="G120" s="14">
        <v>1</v>
      </c>
      <c r="H120" s="14">
        <v>1</v>
      </c>
      <c r="I120" s="14">
        <v>0</v>
      </c>
      <c r="J120" s="14">
        <v>2</v>
      </c>
      <c r="K120" s="14">
        <v>28</v>
      </c>
      <c r="L120" s="14">
        <v>0</v>
      </c>
      <c r="M120" s="14">
        <v>0</v>
      </c>
      <c r="N120" s="14">
        <v>2</v>
      </c>
      <c r="O120" s="14">
        <v>0</v>
      </c>
      <c r="P120" s="14">
        <v>0</v>
      </c>
      <c r="Q120" s="14">
        <v>0</v>
      </c>
      <c r="R120" s="14">
        <v>0</v>
      </c>
      <c r="S120" s="14">
        <v>16.829999999999998</v>
      </c>
      <c r="T120" s="14">
        <v>14.25</v>
      </c>
      <c r="U120" s="14">
        <v>0</v>
      </c>
      <c r="V120" s="14">
        <v>31.1</v>
      </c>
      <c r="W120" s="15">
        <v>453.3</v>
      </c>
      <c r="X120" s="15">
        <v>0</v>
      </c>
      <c r="Y120" s="14">
        <v>1</v>
      </c>
      <c r="Z120" s="14">
        <v>1</v>
      </c>
      <c r="AA120" s="15">
        <v>0</v>
      </c>
      <c r="AB120" s="15">
        <v>363.3</v>
      </c>
      <c r="AC120" s="15">
        <v>16.8</v>
      </c>
      <c r="AD120" s="15">
        <v>16.8</v>
      </c>
      <c r="AE120" s="15">
        <v>380.13</v>
      </c>
      <c r="AF120" s="15">
        <v>380.1</v>
      </c>
      <c r="AG120" s="15">
        <v>470.1</v>
      </c>
      <c r="AH120" s="15">
        <v>89.97</v>
      </c>
      <c r="AI120" s="15">
        <v>271.8</v>
      </c>
      <c r="AJ120" s="15">
        <v>271.8</v>
      </c>
      <c r="AK120" s="15">
        <v>331.8</v>
      </c>
      <c r="AL120" s="15">
        <v>60</v>
      </c>
      <c r="AM120" s="14">
        <v>0</v>
      </c>
      <c r="AN120" s="14">
        <v>0</v>
      </c>
      <c r="AO120" s="14">
        <v>0</v>
      </c>
      <c r="AP120" s="14">
        <v>2</v>
      </c>
      <c r="AQ120" s="14">
        <v>0</v>
      </c>
      <c r="AR120" s="14">
        <v>0</v>
      </c>
      <c r="AS120" s="14">
        <v>0</v>
      </c>
      <c r="AT120" s="14">
        <v>28</v>
      </c>
      <c r="AU120" s="14">
        <v>21</v>
      </c>
      <c r="AV120" s="14">
        <v>7</v>
      </c>
      <c r="AW120" s="14">
        <v>0</v>
      </c>
      <c r="AX120" s="14">
        <v>16.829999999999998</v>
      </c>
      <c r="AY120" s="14">
        <v>9</v>
      </c>
      <c r="AZ120" s="14">
        <v>7.83</v>
      </c>
      <c r="BA120" s="14">
        <v>0</v>
      </c>
      <c r="BB120" s="14">
        <v>14.25</v>
      </c>
      <c r="BC120" s="14">
        <v>11.25</v>
      </c>
      <c r="BD120" s="14">
        <v>3</v>
      </c>
      <c r="BE120" s="14">
        <v>0</v>
      </c>
      <c r="BF120" s="14">
        <v>0</v>
      </c>
    </row>
    <row r="121" spans="1:58" ht="16">
      <c r="A121" s="14" t="s">
        <v>16898</v>
      </c>
      <c r="B121" s="14" t="s">
        <v>17034</v>
      </c>
      <c r="C121" s="14">
        <v>0</v>
      </c>
      <c r="D121" s="14">
        <v>0</v>
      </c>
      <c r="E121" s="14">
        <v>0</v>
      </c>
      <c r="F121" s="14">
        <v>0</v>
      </c>
      <c r="G121" s="14">
        <v>0</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5">
        <v>0</v>
      </c>
      <c r="X121" s="15">
        <v>0</v>
      </c>
      <c r="Y121" s="14">
        <v>0</v>
      </c>
      <c r="Z121" s="14">
        <v>0</v>
      </c>
      <c r="AA121" s="15">
        <v>0</v>
      </c>
      <c r="AB121" s="15">
        <v>0</v>
      </c>
      <c r="AC121" s="15">
        <v>0</v>
      </c>
      <c r="AD121" s="15">
        <v>0</v>
      </c>
      <c r="AE121" s="15">
        <v>0</v>
      </c>
      <c r="AF121" s="15">
        <v>0</v>
      </c>
      <c r="AG121" s="15">
        <v>0</v>
      </c>
      <c r="AH121" s="15">
        <v>0</v>
      </c>
      <c r="AI121" s="15">
        <v>0</v>
      </c>
      <c r="AJ121" s="15">
        <v>0</v>
      </c>
      <c r="AK121" s="15">
        <v>0</v>
      </c>
      <c r="AL121" s="15">
        <v>0</v>
      </c>
      <c r="AM121" s="14">
        <v>0</v>
      </c>
      <c r="AN121" s="14">
        <v>0</v>
      </c>
      <c r="AO121" s="14">
        <v>0</v>
      </c>
      <c r="AP121" s="14">
        <v>0</v>
      </c>
      <c r="AQ121" s="14">
        <v>0</v>
      </c>
      <c r="AR121" s="14">
        <v>0</v>
      </c>
      <c r="AS121" s="14">
        <v>0</v>
      </c>
      <c r="AT121" s="14">
        <v>0</v>
      </c>
      <c r="AU121" s="14">
        <v>0</v>
      </c>
      <c r="AV121" s="14">
        <v>0</v>
      </c>
      <c r="AW121" s="14">
        <v>0</v>
      </c>
      <c r="AX121" s="14">
        <v>0</v>
      </c>
      <c r="AY121" s="14">
        <v>0</v>
      </c>
      <c r="AZ121" s="14">
        <v>0</v>
      </c>
      <c r="BA121" s="14">
        <v>0</v>
      </c>
      <c r="BB121" s="14">
        <v>0</v>
      </c>
      <c r="BC121" s="14">
        <v>0</v>
      </c>
      <c r="BD121" s="14">
        <v>0</v>
      </c>
      <c r="BE121" s="14">
        <v>0</v>
      </c>
      <c r="BF121" s="14">
        <v>0</v>
      </c>
    </row>
    <row r="122" spans="1:58" ht="16">
      <c r="A122" s="14" t="s">
        <v>17035</v>
      </c>
      <c r="B122" s="14" t="s">
        <v>18814</v>
      </c>
      <c r="C122" s="14">
        <v>0</v>
      </c>
      <c r="D122" s="14">
        <v>2</v>
      </c>
      <c r="E122" s="14">
        <v>2</v>
      </c>
      <c r="F122" s="14">
        <v>2</v>
      </c>
      <c r="G122" s="14">
        <v>1</v>
      </c>
      <c r="H122" s="14">
        <v>0</v>
      </c>
      <c r="I122" s="14">
        <v>0</v>
      </c>
      <c r="J122" s="14">
        <v>2</v>
      </c>
      <c r="K122" s="14">
        <v>5</v>
      </c>
      <c r="L122" s="14">
        <v>2</v>
      </c>
      <c r="M122" s="14">
        <v>0</v>
      </c>
      <c r="N122" s="14">
        <v>0</v>
      </c>
      <c r="O122" s="14">
        <v>0</v>
      </c>
      <c r="P122" s="14">
        <v>0</v>
      </c>
      <c r="Q122" s="14">
        <v>0</v>
      </c>
      <c r="R122" s="14">
        <v>0</v>
      </c>
      <c r="S122" s="14">
        <v>4.5</v>
      </c>
      <c r="T122" s="14">
        <v>1.25</v>
      </c>
      <c r="U122" s="14">
        <v>0</v>
      </c>
      <c r="V122" s="14">
        <v>5.8</v>
      </c>
      <c r="W122" s="15">
        <v>70</v>
      </c>
      <c r="X122" s="15">
        <v>0</v>
      </c>
      <c r="Y122" s="14">
        <v>2</v>
      </c>
      <c r="Z122" s="14">
        <v>0</v>
      </c>
      <c r="AA122" s="15">
        <v>0</v>
      </c>
      <c r="AB122" s="15">
        <v>30</v>
      </c>
      <c r="AC122" s="15">
        <v>0</v>
      </c>
      <c r="AD122" s="15">
        <v>0</v>
      </c>
      <c r="AE122" s="15">
        <v>0</v>
      </c>
      <c r="AF122" s="15">
        <v>30</v>
      </c>
      <c r="AG122" s="15">
        <v>70</v>
      </c>
      <c r="AH122" s="15">
        <v>70</v>
      </c>
      <c r="AI122" s="15">
        <v>0</v>
      </c>
      <c r="AJ122" s="15">
        <v>0</v>
      </c>
      <c r="AK122" s="15">
        <v>0</v>
      </c>
      <c r="AL122" s="15">
        <v>0</v>
      </c>
      <c r="AM122" s="14">
        <v>0</v>
      </c>
      <c r="AN122" s="14">
        <v>0</v>
      </c>
      <c r="AO122" s="14">
        <v>0</v>
      </c>
      <c r="AP122" s="14">
        <v>0</v>
      </c>
      <c r="AQ122" s="14">
        <v>0</v>
      </c>
      <c r="AR122" s="14">
        <v>0</v>
      </c>
      <c r="AS122" s="14">
        <v>0</v>
      </c>
      <c r="AT122" s="14">
        <v>5</v>
      </c>
      <c r="AU122" s="14">
        <v>0</v>
      </c>
      <c r="AV122" s="14">
        <v>5</v>
      </c>
      <c r="AW122" s="14">
        <v>0</v>
      </c>
      <c r="AX122" s="14">
        <v>4.5</v>
      </c>
      <c r="AY122" s="14">
        <v>0</v>
      </c>
      <c r="AZ122" s="14">
        <v>4.5</v>
      </c>
      <c r="BA122" s="14">
        <v>0</v>
      </c>
      <c r="BB122" s="14">
        <v>1.25</v>
      </c>
      <c r="BC122" s="14">
        <v>0</v>
      </c>
      <c r="BD122" s="14">
        <v>1.25</v>
      </c>
      <c r="BE122" s="14">
        <v>0</v>
      </c>
      <c r="BF122" s="16">
        <v>35464</v>
      </c>
    </row>
    <row r="123" spans="1:58" ht="16">
      <c r="A123" s="14" t="s">
        <v>17035</v>
      </c>
      <c r="B123" s="14" t="s">
        <v>17507</v>
      </c>
      <c r="C123" s="14">
        <v>0</v>
      </c>
      <c r="D123" s="14">
        <v>28</v>
      </c>
      <c r="E123" s="14">
        <v>22</v>
      </c>
      <c r="F123" s="14">
        <v>22</v>
      </c>
      <c r="G123" s="14">
        <v>0</v>
      </c>
      <c r="H123" s="14">
        <v>0</v>
      </c>
      <c r="I123" s="14">
        <v>0</v>
      </c>
      <c r="J123" s="14">
        <v>24</v>
      </c>
      <c r="K123" s="14">
        <v>255</v>
      </c>
      <c r="L123" s="14">
        <v>7</v>
      </c>
      <c r="M123" s="14">
        <v>1</v>
      </c>
      <c r="N123" s="14">
        <v>4</v>
      </c>
      <c r="O123" s="14">
        <v>8</v>
      </c>
      <c r="P123" s="14">
        <v>0</v>
      </c>
      <c r="Q123" s="14">
        <v>5</v>
      </c>
      <c r="R123" s="14">
        <v>0</v>
      </c>
      <c r="S123" s="14">
        <v>402.5</v>
      </c>
      <c r="T123" s="17">
        <v>1431</v>
      </c>
      <c r="U123" s="14">
        <v>0</v>
      </c>
      <c r="V123" s="17">
        <v>1833.5</v>
      </c>
      <c r="W123" s="15">
        <v>32645</v>
      </c>
      <c r="X123" s="15">
        <v>0</v>
      </c>
      <c r="Y123" s="14">
        <v>2</v>
      </c>
      <c r="Z123" s="14">
        <v>1</v>
      </c>
      <c r="AA123" s="15">
        <v>0</v>
      </c>
      <c r="AB123" s="15">
        <v>32550</v>
      </c>
      <c r="AC123" s="15">
        <v>1956.35</v>
      </c>
      <c r="AD123" s="15">
        <v>1956.35</v>
      </c>
      <c r="AE123" s="15">
        <v>11.35</v>
      </c>
      <c r="AF123" s="15">
        <v>34506.35</v>
      </c>
      <c r="AG123" s="15">
        <v>34601.35</v>
      </c>
      <c r="AH123" s="15">
        <v>34590</v>
      </c>
      <c r="AI123" s="15">
        <v>0</v>
      </c>
      <c r="AJ123" s="15">
        <v>0</v>
      </c>
      <c r="AK123" s="15">
        <v>0</v>
      </c>
      <c r="AL123" s="15">
        <v>0</v>
      </c>
      <c r="AM123" s="14">
        <v>0</v>
      </c>
      <c r="AN123" s="14">
        <v>1</v>
      </c>
      <c r="AO123" s="14">
        <v>0</v>
      </c>
      <c r="AP123" s="14">
        <v>0</v>
      </c>
      <c r="AQ123" s="14">
        <v>0</v>
      </c>
      <c r="AR123" s="14">
        <v>0</v>
      </c>
      <c r="AS123" s="14">
        <v>0</v>
      </c>
      <c r="AT123" s="14">
        <v>255</v>
      </c>
      <c r="AU123" s="14">
        <v>0</v>
      </c>
      <c r="AV123" s="14">
        <v>255</v>
      </c>
      <c r="AW123" s="14">
        <v>0</v>
      </c>
      <c r="AX123" s="14">
        <v>402.5</v>
      </c>
      <c r="AY123" s="14">
        <v>0</v>
      </c>
      <c r="AZ123" s="14">
        <v>402.5</v>
      </c>
      <c r="BA123" s="14">
        <v>0</v>
      </c>
      <c r="BB123" s="17">
        <v>1431</v>
      </c>
      <c r="BC123" s="14">
        <v>0</v>
      </c>
      <c r="BD123" s="17">
        <v>1431</v>
      </c>
      <c r="BE123" s="14">
        <v>0</v>
      </c>
      <c r="BF123" s="14">
        <v>0</v>
      </c>
    </row>
    <row r="124" spans="1:58" ht="16">
      <c r="A124" s="14" t="s">
        <v>16932</v>
      </c>
      <c r="B124" s="14" t="s">
        <v>17371</v>
      </c>
      <c r="C124" s="14">
        <v>0</v>
      </c>
      <c r="D124" s="14">
        <v>0</v>
      </c>
      <c r="E124" s="14">
        <v>0</v>
      </c>
      <c r="F124" s="14">
        <v>0</v>
      </c>
      <c r="G124" s="14">
        <v>0</v>
      </c>
      <c r="H124" s="14">
        <v>0</v>
      </c>
      <c r="I124" s="14">
        <v>0</v>
      </c>
      <c r="J124" s="14">
        <v>0</v>
      </c>
      <c r="K124" s="14">
        <v>0</v>
      </c>
      <c r="L124" s="14">
        <v>0</v>
      </c>
      <c r="M124" s="14">
        <v>0</v>
      </c>
      <c r="N124" s="14">
        <v>0</v>
      </c>
      <c r="O124" s="14">
        <v>0</v>
      </c>
      <c r="P124" s="14">
        <v>0</v>
      </c>
      <c r="Q124" s="14">
        <v>0</v>
      </c>
      <c r="R124" s="14">
        <v>0</v>
      </c>
      <c r="S124" s="14">
        <v>0</v>
      </c>
      <c r="T124" s="14">
        <v>0</v>
      </c>
      <c r="U124" s="14">
        <v>0</v>
      </c>
      <c r="V124" s="14">
        <v>0</v>
      </c>
      <c r="W124" s="15">
        <v>0</v>
      </c>
      <c r="X124" s="15">
        <v>0</v>
      </c>
      <c r="Y124" s="14">
        <v>0</v>
      </c>
      <c r="Z124" s="14">
        <v>0</v>
      </c>
      <c r="AA124" s="15">
        <v>0</v>
      </c>
      <c r="AB124" s="15">
        <v>0</v>
      </c>
      <c r="AC124" s="15">
        <v>0</v>
      </c>
      <c r="AD124" s="15">
        <v>0</v>
      </c>
      <c r="AE124" s="15">
        <v>0</v>
      </c>
      <c r="AF124" s="15">
        <v>0</v>
      </c>
      <c r="AG124" s="15">
        <v>0</v>
      </c>
      <c r="AH124" s="15">
        <v>0</v>
      </c>
      <c r="AI124" s="15">
        <v>0</v>
      </c>
      <c r="AJ124" s="15">
        <v>0</v>
      </c>
      <c r="AK124" s="15">
        <v>0</v>
      </c>
      <c r="AL124" s="15">
        <v>0</v>
      </c>
      <c r="AM124" s="14">
        <v>0</v>
      </c>
      <c r="AN124" s="14">
        <v>0</v>
      </c>
      <c r="AO124" s="14">
        <v>0</v>
      </c>
      <c r="AP124" s="14">
        <v>0</v>
      </c>
      <c r="AQ124" s="14">
        <v>0</v>
      </c>
      <c r="AR124" s="14">
        <v>0</v>
      </c>
      <c r="AS124" s="14">
        <v>0</v>
      </c>
      <c r="AT124" s="14">
        <v>0</v>
      </c>
      <c r="AU124" s="14">
        <v>0</v>
      </c>
      <c r="AV124" s="14">
        <v>0</v>
      </c>
      <c r="AW124" s="14">
        <v>0</v>
      </c>
      <c r="AX124" s="14">
        <v>0</v>
      </c>
      <c r="AY124" s="14">
        <v>0</v>
      </c>
      <c r="AZ124" s="14">
        <v>0</v>
      </c>
      <c r="BA124" s="14">
        <v>0</v>
      </c>
      <c r="BB124" s="14">
        <v>0</v>
      </c>
      <c r="BC124" s="14">
        <v>0</v>
      </c>
      <c r="BD124" s="14">
        <v>0</v>
      </c>
      <c r="BE124" s="14">
        <v>0</v>
      </c>
      <c r="BF124" s="14">
        <v>0</v>
      </c>
    </row>
    <row r="125" spans="1:58" ht="16">
      <c r="A125" s="14" t="s">
        <v>16932</v>
      </c>
      <c r="B125" s="14" t="s">
        <v>17361</v>
      </c>
      <c r="C125" s="14">
        <v>0</v>
      </c>
      <c r="D125" s="14">
        <v>1</v>
      </c>
      <c r="E125" s="14">
        <v>0</v>
      </c>
      <c r="F125" s="14">
        <v>1</v>
      </c>
      <c r="G125" s="14">
        <v>1</v>
      </c>
      <c r="H125" s="14">
        <v>0</v>
      </c>
      <c r="I125" s="14">
        <v>0</v>
      </c>
      <c r="J125" s="14">
        <v>1</v>
      </c>
      <c r="K125" s="14">
        <v>9</v>
      </c>
      <c r="L125" s="14">
        <v>0</v>
      </c>
      <c r="M125" s="14">
        <v>0</v>
      </c>
      <c r="N125" s="14">
        <v>0</v>
      </c>
      <c r="O125" s="14">
        <v>0</v>
      </c>
      <c r="P125" s="14">
        <v>0</v>
      </c>
      <c r="Q125" s="14">
        <v>1</v>
      </c>
      <c r="R125" s="14">
        <v>0</v>
      </c>
      <c r="S125" s="14">
        <v>0</v>
      </c>
      <c r="T125" s="14">
        <v>0</v>
      </c>
      <c r="U125" s="14">
        <v>0</v>
      </c>
      <c r="V125" s="14">
        <v>0</v>
      </c>
      <c r="W125" s="15">
        <v>0</v>
      </c>
      <c r="X125" s="15">
        <v>0</v>
      </c>
      <c r="Y125" s="14">
        <v>0</v>
      </c>
      <c r="Z125" s="14">
        <v>0</v>
      </c>
      <c r="AA125" s="15">
        <v>0</v>
      </c>
      <c r="AB125" s="15">
        <v>0</v>
      </c>
      <c r="AC125" s="15">
        <v>0</v>
      </c>
      <c r="AD125" s="15">
        <v>0</v>
      </c>
      <c r="AE125" s="15">
        <v>0</v>
      </c>
      <c r="AF125" s="15">
        <v>0</v>
      </c>
      <c r="AG125" s="15">
        <v>0</v>
      </c>
      <c r="AH125" s="15">
        <v>0</v>
      </c>
      <c r="AI125" s="15">
        <v>0</v>
      </c>
      <c r="AJ125" s="15">
        <v>0</v>
      </c>
      <c r="AK125" s="15">
        <v>0</v>
      </c>
      <c r="AL125" s="15">
        <v>0</v>
      </c>
      <c r="AM125" s="14">
        <v>0</v>
      </c>
      <c r="AN125" s="14">
        <v>0</v>
      </c>
      <c r="AO125" s="14">
        <v>0</v>
      </c>
      <c r="AP125" s="14">
        <v>0</v>
      </c>
      <c r="AQ125" s="14">
        <v>0</v>
      </c>
      <c r="AR125" s="14">
        <v>0</v>
      </c>
      <c r="AS125" s="14">
        <v>0</v>
      </c>
      <c r="AT125" s="14">
        <v>9</v>
      </c>
      <c r="AU125" s="14">
        <v>0</v>
      </c>
      <c r="AV125" s="14">
        <v>9</v>
      </c>
      <c r="AW125" s="14">
        <v>0</v>
      </c>
      <c r="AX125" s="14">
        <v>0</v>
      </c>
      <c r="AY125" s="14">
        <v>0</v>
      </c>
      <c r="AZ125" s="14">
        <v>0</v>
      </c>
      <c r="BA125" s="14">
        <v>0</v>
      </c>
      <c r="BB125" s="14">
        <v>0</v>
      </c>
      <c r="BC125" s="14">
        <v>0</v>
      </c>
      <c r="BD125" s="14">
        <v>0</v>
      </c>
      <c r="BE125" s="14">
        <v>0</v>
      </c>
      <c r="BF125" s="14">
        <v>1</v>
      </c>
    </row>
    <row r="126" spans="1:58" ht="16">
      <c r="A126" s="14" t="s">
        <v>16932</v>
      </c>
      <c r="B126" s="14" t="s">
        <v>17036</v>
      </c>
      <c r="C126" s="14">
        <v>0</v>
      </c>
      <c r="D126" s="14">
        <v>63</v>
      </c>
      <c r="E126" s="14">
        <v>60</v>
      </c>
      <c r="F126" s="14">
        <v>56</v>
      </c>
      <c r="G126" s="14">
        <v>5</v>
      </c>
      <c r="H126" s="14">
        <v>1</v>
      </c>
      <c r="I126" s="14">
        <v>0</v>
      </c>
      <c r="J126" s="14">
        <v>56</v>
      </c>
      <c r="K126" s="14">
        <v>422</v>
      </c>
      <c r="L126" s="14">
        <v>35</v>
      </c>
      <c r="M126" s="14">
        <v>4</v>
      </c>
      <c r="N126" s="14">
        <v>3</v>
      </c>
      <c r="O126" s="14">
        <v>8</v>
      </c>
      <c r="P126" s="14">
        <v>1</v>
      </c>
      <c r="Q126" s="14">
        <v>1</v>
      </c>
      <c r="R126" s="14">
        <v>1</v>
      </c>
      <c r="S126" s="14">
        <v>85</v>
      </c>
      <c r="T126" s="14">
        <v>98</v>
      </c>
      <c r="U126" s="14">
        <v>10</v>
      </c>
      <c r="V126" s="14">
        <v>115.5</v>
      </c>
      <c r="W126" s="15">
        <v>1620</v>
      </c>
      <c r="X126" s="15">
        <v>0</v>
      </c>
      <c r="Y126" s="14">
        <v>25</v>
      </c>
      <c r="Z126" s="14">
        <v>0</v>
      </c>
      <c r="AA126" s="15">
        <v>0</v>
      </c>
      <c r="AB126" s="15">
        <v>920</v>
      </c>
      <c r="AC126" s="15">
        <v>1135.95</v>
      </c>
      <c r="AD126" s="15">
        <v>326.39999999999998</v>
      </c>
      <c r="AE126" s="15">
        <v>127</v>
      </c>
      <c r="AF126" s="15">
        <v>1246.4000000000001</v>
      </c>
      <c r="AG126" s="15">
        <v>2955.95</v>
      </c>
      <c r="AH126" s="15">
        <v>2868.95</v>
      </c>
      <c r="AI126" s="15">
        <v>0</v>
      </c>
      <c r="AJ126" s="15">
        <v>30</v>
      </c>
      <c r="AK126" s="15">
        <v>77.05</v>
      </c>
      <c r="AL126" s="15">
        <v>77.05</v>
      </c>
      <c r="AM126" s="14">
        <v>7</v>
      </c>
      <c r="AN126" s="14">
        <v>6</v>
      </c>
      <c r="AO126" s="14">
        <v>0</v>
      </c>
      <c r="AP126" s="14">
        <v>0</v>
      </c>
      <c r="AQ126" s="14">
        <v>0</v>
      </c>
      <c r="AR126" s="14">
        <v>0</v>
      </c>
      <c r="AS126" s="14">
        <v>0</v>
      </c>
      <c r="AT126" s="14">
        <v>422</v>
      </c>
      <c r="AU126" s="14">
        <v>22</v>
      </c>
      <c r="AV126" s="14">
        <v>400</v>
      </c>
      <c r="AW126" s="14">
        <v>0</v>
      </c>
      <c r="AX126" s="14">
        <v>85</v>
      </c>
      <c r="AY126" s="14">
        <v>2</v>
      </c>
      <c r="AZ126" s="14">
        <v>83</v>
      </c>
      <c r="BA126" s="14">
        <v>0</v>
      </c>
      <c r="BB126" s="14">
        <v>98</v>
      </c>
      <c r="BC126" s="14">
        <v>2</v>
      </c>
      <c r="BD126" s="14">
        <v>96</v>
      </c>
      <c r="BE126" s="14">
        <v>0</v>
      </c>
      <c r="BF126" s="16">
        <v>11466</v>
      </c>
    </row>
    <row r="127" spans="1:58" ht="16">
      <c r="A127" s="14" t="s">
        <v>16932</v>
      </c>
      <c r="B127" s="14" t="s">
        <v>18815</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4">
        <v>0</v>
      </c>
      <c r="T127" s="14">
        <v>0</v>
      </c>
      <c r="U127" s="14">
        <v>0</v>
      </c>
      <c r="V127" s="14">
        <v>0</v>
      </c>
      <c r="W127" s="15">
        <v>0</v>
      </c>
      <c r="X127" s="15">
        <v>0</v>
      </c>
      <c r="Y127" s="14">
        <v>0</v>
      </c>
      <c r="Z127" s="14">
        <v>0</v>
      </c>
      <c r="AA127" s="15">
        <v>0</v>
      </c>
      <c r="AB127" s="15">
        <v>0</v>
      </c>
      <c r="AC127" s="15">
        <v>0</v>
      </c>
      <c r="AD127" s="15">
        <v>0</v>
      </c>
      <c r="AE127" s="15">
        <v>0</v>
      </c>
      <c r="AF127" s="15">
        <v>0</v>
      </c>
      <c r="AG127" s="15">
        <v>0</v>
      </c>
      <c r="AH127" s="15">
        <v>0</v>
      </c>
      <c r="AI127" s="15">
        <v>0</v>
      </c>
      <c r="AJ127" s="15">
        <v>0</v>
      </c>
      <c r="AK127" s="15">
        <v>0</v>
      </c>
      <c r="AL127" s="15">
        <v>0</v>
      </c>
      <c r="AM127" s="14">
        <v>0</v>
      </c>
      <c r="AN127" s="14">
        <v>0</v>
      </c>
      <c r="AO127" s="14">
        <v>0</v>
      </c>
      <c r="AP127" s="14">
        <v>0</v>
      </c>
      <c r="AQ127" s="14">
        <v>0</v>
      </c>
      <c r="AR127" s="14">
        <v>0</v>
      </c>
      <c r="AS127" s="14">
        <v>0</v>
      </c>
      <c r="AT127" s="14">
        <v>0</v>
      </c>
      <c r="AU127" s="14">
        <v>0</v>
      </c>
      <c r="AV127" s="14">
        <v>0</v>
      </c>
      <c r="AW127" s="14">
        <v>0</v>
      </c>
      <c r="AX127" s="14">
        <v>0</v>
      </c>
      <c r="AY127" s="14">
        <v>0</v>
      </c>
      <c r="AZ127" s="14">
        <v>0</v>
      </c>
      <c r="BA127" s="14">
        <v>0</v>
      </c>
      <c r="BB127" s="14">
        <v>0</v>
      </c>
      <c r="BC127" s="14">
        <v>0</v>
      </c>
      <c r="BD127" s="14">
        <v>0</v>
      </c>
      <c r="BE127" s="14">
        <v>0</v>
      </c>
      <c r="BF127" s="14">
        <v>0</v>
      </c>
    </row>
    <row r="128" spans="1:58" ht="16">
      <c r="A128" s="14" t="s">
        <v>16932</v>
      </c>
      <c r="B128" s="14" t="s">
        <v>17360</v>
      </c>
      <c r="C128" s="14">
        <v>0</v>
      </c>
      <c r="D128" s="14">
        <v>8</v>
      </c>
      <c r="E128" s="14">
        <v>8</v>
      </c>
      <c r="F128" s="14">
        <v>2</v>
      </c>
      <c r="G128" s="14">
        <v>0</v>
      </c>
      <c r="H128" s="14">
        <v>6</v>
      </c>
      <c r="I128" s="14">
        <v>1</v>
      </c>
      <c r="J128" s="14">
        <v>7</v>
      </c>
      <c r="K128" s="14">
        <v>395</v>
      </c>
      <c r="L128" s="14">
        <v>5</v>
      </c>
      <c r="M128" s="14">
        <v>0</v>
      </c>
      <c r="N128" s="14">
        <v>1</v>
      </c>
      <c r="O128" s="14">
        <v>0</v>
      </c>
      <c r="P128" s="14">
        <v>1</v>
      </c>
      <c r="Q128" s="14">
        <v>1</v>
      </c>
      <c r="R128" s="14">
        <v>0</v>
      </c>
      <c r="S128" s="14">
        <v>9.5</v>
      </c>
      <c r="T128" s="14">
        <v>12</v>
      </c>
      <c r="U128" s="14">
        <v>0</v>
      </c>
      <c r="V128" s="14">
        <v>21.5</v>
      </c>
      <c r="W128" s="15">
        <v>335</v>
      </c>
      <c r="X128" s="15">
        <v>0</v>
      </c>
      <c r="Y128" s="14">
        <v>8</v>
      </c>
      <c r="Z128" s="14">
        <v>0</v>
      </c>
      <c r="AA128" s="15">
        <v>0</v>
      </c>
      <c r="AB128" s="15">
        <v>110</v>
      </c>
      <c r="AC128" s="15">
        <v>469.25</v>
      </c>
      <c r="AD128" s="15">
        <v>469.25</v>
      </c>
      <c r="AE128" s="15">
        <v>264</v>
      </c>
      <c r="AF128" s="15">
        <v>579.25</v>
      </c>
      <c r="AG128" s="15">
        <v>804.25</v>
      </c>
      <c r="AH128" s="15">
        <v>540.25</v>
      </c>
      <c r="AI128" s="15">
        <v>224.25</v>
      </c>
      <c r="AJ128" s="15">
        <v>534.5</v>
      </c>
      <c r="AK128" s="15">
        <v>714.5</v>
      </c>
      <c r="AL128" s="15">
        <v>490.25</v>
      </c>
      <c r="AM128" s="14">
        <v>0</v>
      </c>
      <c r="AN128" s="14">
        <v>2</v>
      </c>
      <c r="AO128" s="14">
        <v>2</v>
      </c>
      <c r="AP128" s="14">
        <v>0</v>
      </c>
      <c r="AQ128" s="14">
        <v>0</v>
      </c>
      <c r="AR128" s="14">
        <v>0</v>
      </c>
      <c r="AS128" s="14">
        <v>0</v>
      </c>
      <c r="AT128" s="14">
        <v>395</v>
      </c>
      <c r="AU128" s="14">
        <v>386</v>
      </c>
      <c r="AV128" s="14">
        <v>9</v>
      </c>
      <c r="AW128" s="14">
        <v>0</v>
      </c>
      <c r="AX128" s="14">
        <v>9.5</v>
      </c>
      <c r="AY128" s="14">
        <v>8</v>
      </c>
      <c r="AZ128" s="14">
        <v>1.5</v>
      </c>
      <c r="BA128" s="14">
        <v>0</v>
      </c>
      <c r="BB128" s="14">
        <v>12</v>
      </c>
      <c r="BC128" s="14">
        <v>10</v>
      </c>
      <c r="BD128" s="14">
        <v>2</v>
      </c>
      <c r="BE128" s="14">
        <v>0</v>
      </c>
      <c r="BF128" s="14">
        <v>0</v>
      </c>
    </row>
    <row r="129" spans="1:58" ht="16">
      <c r="A129" s="14" t="s">
        <v>16932</v>
      </c>
      <c r="B129" s="14" t="s">
        <v>18816</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4">
        <v>0</v>
      </c>
      <c r="T129" s="14">
        <v>0</v>
      </c>
      <c r="U129" s="14">
        <v>0</v>
      </c>
      <c r="V129" s="14">
        <v>0</v>
      </c>
      <c r="W129" s="15">
        <v>0</v>
      </c>
      <c r="X129" s="15">
        <v>0</v>
      </c>
      <c r="Y129" s="14">
        <v>0</v>
      </c>
      <c r="Z129" s="14">
        <v>0</v>
      </c>
      <c r="AA129" s="15">
        <v>0</v>
      </c>
      <c r="AB129" s="15">
        <v>0</v>
      </c>
      <c r="AC129" s="15">
        <v>0</v>
      </c>
      <c r="AD129" s="15">
        <v>0</v>
      </c>
      <c r="AE129" s="15">
        <v>0</v>
      </c>
      <c r="AF129" s="15">
        <v>0</v>
      </c>
      <c r="AG129" s="15">
        <v>0</v>
      </c>
      <c r="AH129" s="15">
        <v>0</v>
      </c>
      <c r="AI129" s="15">
        <v>0</v>
      </c>
      <c r="AJ129" s="15">
        <v>0</v>
      </c>
      <c r="AK129" s="15">
        <v>0</v>
      </c>
      <c r="AL129" s="15">
        <v>0</v>
      </c>
      <c r="AM129" s="14">
        <v>0</v>
      </c>
      <c r="AN129" s="14">
        <v>0</v>
      </c>
      <c r="AO129" s="14">
        <v>0</v>
      </c>
      <c r="AP129" s="14">
        <v>0</v>
      </c>
      <c r="AQ129" s="14">
        <v>0</v>
      </c>
      <c r="AR129" s="14">
        <v>0</v>
      </c>
      <c r="AS129" s="14">
        <v>0</v>
      </c>
      <c r="AT129" s="14">
        <v>0</v>
      </c>
      <c r="AU129" s="14">
        <v>0</v>
      </c>
      <c r="AV129" s="14">
        <v>0</v>
      </c>
      <c r="AW129" s="14">
        <v>0</v>
      </c>
      <c r="AX129" s="14">
        <v>0</v>
      </c>
      <c r="AY129" s="14">
        <v>0</v>
      </c>
      <c r="AZ129" s="14">
        <v>0</v>
      </c>
      <c r="BA129" s="14">
        <v>0</v>
      </c>
      <c r="BB129" s="14">
        <v>0</v>
      </c>
      <c r="BC129" s="14">
        <v>0</v>
      </c>
      <c r="BD129" s="14">
        <v>0</v>
      </c>
      <c r="BE129" s="14">
        <v>0</v>
      </c>
      <c r="BF129" s="14">
        <v>0</v>
      </c>
    </row>
    <row r="130" spans="1:58" ht="16">
      <c r="A130" s="14" t="s">
        <v>16932</v>
      </c>
      <c r="B130" s="14" t="s">
        <v>18817</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5">
        <v>0</v>
      </c>
      <c r="X130" s="15">
        <v>0</v>
      </c>
      <c r="Y130" s="14">
        <v>0</v>
      </c>
      <c r="Z130" s="14">
        <v>0</v>
      </c>
      <c r="AA130" s="15">
        <v>0</v>
      </c>
      <c r="AB130" s="15">
        <v>0</v>
      </c>
      <c r="AC130" s="15">
        <v>0</v>
      </c>
      <c r="AD130" s="15">
        <v>0</v>
      </c>
      <c r="AE130" s="15">
        <v>0</v>
      </c>
      <c r="AF130" s="15">
        <v>0</v>
      </c>
      <c r="AG130" s="15">
        <v>0</v>
      </c>
      <c r="AH130" s="15">
        <v>0</v>
      </c>
      <c r="AI130" s="15">
        <v>0</v>
      </c>
      <c r="AJ130" s="15">
        <v>0</v>
      </c>
      <c r="AK130" s="15">
        <v>0</v>
      </c>
      <c r="AL130" s="15">
        <v>0</v>
      </c>
      <c r="AM130" s="14">
        <v>0</v>
      </c>
      <c r="AN130" s="14">
        <v>0</v>
      </c>
      <c r="AO130" s="14">
        <v>0</v>
      </c>
      <c r="AP130" s="14">
        <v>0</v>
      </c>
      <c r="AQ130" s="14">
        <v>0</v>
      </c>
      <c r="AR130" s="14">
        <v>0</v>
      </c>
      <c r="AS130" s="14">
        <v>0</v>
      </c>
      <c r="AT130" s="14">
        <v>0</v>
      </c>
      <c r="AU130" s="14">
        <v>0</v>
      </c>
      <c r="AV130" s="14">
        <v>0</v>
      </c>
      <c r="AW130" s="14">
        <v>0</v>
      </c>
      <c r="AX130" s="14">
        <v>0</v>
      </c>
      <c r="AY130" s="14">
        <v>0</v>
      </c>
      <c r="AZ130" s="14">
        <v>0</v>
      </c>
      <c r="BA130" s="14">
        <v>0</v>
      </c>
      <c r="BB130" s="14">
        <v>0</v>
      </c>
      <c r="BC130" s="14">
        <v>0</v>
      </c>
      <c r="BD130" s="14">
        <v>0</v>
      </c>
      <c r="BE130" s="14">
        <v>0</v>
      </c>
      <c r="BF130" s="14">
        <v>0</v>
      </c>
    </row>
    <row r="131" spans="1:58" ht="16">
      <c r="A131" s="14" t="s">
        <v>16932</v>
      </c>
      <c r="B131" s="14" t="s">
        <v>17370</v>
      </c>
      <c r="C131" s="14">
        <v>0</v>
      </c>
      <c r="D131" s="14">
        <v>5</v>
      </c>
      <c r="E131" s="14">
        <v>5</v>
      </c>
      <c r="F131" s="14">
        <v>3</v>
      </c>
      <c r="G131" s="14">
        <v>0</v>
      </c>
      <c r="H131" s="14">
        <v>0</v>
      </c>
      <c r="I131" s="14">
        <v>0</v>
      </c>
      <c r="J131" s="14">
        <v>5</v>
      </c>
      <c r="K131" s="14">
        <v>153</v>
      </c>
      <c r="L131" s="14">
        <v>1</v>
      </c>
      <c r="M131" s="14">
        <v>0</v>
      </c>
      <c r="N131" s="14">
        <v>1</v>
      </c>
      <c r="O131" s="14">
        <v>3</v>
      </c>
      <c r="P131" s="14">
        <v>0</v>
      </c>
      <c r="Q131" s="14">
        <v>0</v>
      </c>
      <c r="R131" s="14">
        <v>0</v>
      </c>
      <c r="S131" s="14">
        <v>0</v>
      </c>
      <c r="T131" s="14">
        <v>0</v>
      </c>
      <c r="U131" s="14">
        <v>0</v>
      </c>
      <c r="V131" s="14">
        <v>0</v>
      </c>
      <c r="W131" s="15">
        <v>0</v>
      </c>
      <c r="X131" s="15">
        <v>0</v>
      </c>
      <c r="Y131" s="14">
        <v>0</v>
      </c>
      <c r="Z131" s="14">
        <v>0</v>
      </c>
      <c r="AA131" s="15">
        <v>0</v>
      </c>
      <c r="AB131" s="15">
        <v>0</v>
      </c>
      <c r="AC131" s="15">
        <v>0</v>
      </c>
      <c r="AD131" s="15">
        <v>0</v>
      </c>
      <c r="AE131" s="15">
        <v>0</v>
      </c>
      <c r="AF131" s="15">
        <v>0</v>
      </c>
      <c r="AG131" s="15">
        <v>0</v>
      </c>
      <c r="AH131" s="15">
        <v>0</v>
      </c>
      <c r="AI131" s="15">
        <v>0</v>
      </c>
      <c r="AJ131" s="15">
        <v>0</v>
      </c>
      <c r="AK131" s="15">
        <v>0</v>
      </c>
      <c r="AL131" s="15">
        <v>0</v>
      </c>
      <c r="AM131" s="14">
        <v>0</v>
      </c>
      <c r="AN131" s="14">
        <v>0</v>
      </c>
      <c r="AO131" s="14">
        <v>0</v>
      </c>
      <c r="AP131" s="14">
        <v>0</v>
      </c>
      <c r="AQ131" s="14">
        <v>0</v>
      </c>
      <c r="AR131" s="14">
        <v>0</v>
      </c>
      <c r="AS131" s="14">
        <v>0</v>
      </c>
      <c r="AT131" s="14">
        <v>153</v>
      </c>
      <c r="AU131" s="14">
        <v>0</v>
      </c>
      <c r="AV131" s="14">
        <v>153</v>
      </c>
      <c r="AW131" s="14">
        <v>0</v>
      </c>
      <c r="AX131" s="14">
        <v>0</v>
      </c>
      <c r="AY131" s="14">
        <v>0</v>
      </c>
      <c r="AZ131" s="14">
        <v>0</v>
      </c>
      <c r="BA131" s="14">
        <v>0</v>
      </c>
      <c r="BB131" s="14">
        <v>0</v>
      </c>
      <c r="BC131" s="14">
        <v>0</v>
      </c>
      <c r="BD131" s="14">
        <v>0</v>
      </c>
      <c r="BE131" s="14">
        <v>0</v>
      </c>
      <c r="BF131" s="14">
        <v>25</v>
      </c>
    </row>
    <row r="132" spans="1:58" ht="16">
      <c r="A132" s="14" t="s">
        <v>17041</v>
      </c>
      <c r="B132" s="14" t="s">
        <v>17325</v>
      </c>
      <c r="C132" s="14">
        <v>0</v>
      </c>
      <c r="D132" s="14">
        <v>6</v>
      </c>
      <c r="E132" s="14">
        <v>6</v>
      </c>
      <c r="F132" s="14">
        <v>6</v>
      </c>
      <c r="G132" s="14">
        <v>0</v>
      </c>
      <c r="H132" s="14">
        <v>1</v>
      </c>
      <c r="I132" s="14">
        <v>1</v>
      </c>
      <c r="J132" s="14">
        <v>6</v>
      </c>
      <c r="K132" s="14">
        <v>71</v>
      </c>
      <c r="L132" s="14">
        <v>1</v>
      </c>
      <c r="M132" s="14">
        <v>0</v>
      </c>
      <c r="N132" s="14">
        <v>5</v>
      </c>
      <c r="O132" s="14">
        <v>0</v>
      </c>
      <c r="P132" s="14">
        <v>0</v>
      </c>
      <c r="Q132" s="14">
        <v>0</v>
      </c>
      <c r="R132" s="14">
        <v>0</v>
      </c>
      <c r="S132" s="14">
        <v>3</v>
      </c>
      <c r="T132" s="14">
        <v>8</v>
      </c>
      <c r="U132" s="14">
        <v>3.5</v>
      </c>
      <c r="V132" s="14">
        <v>14.5</v>
      </c>
      <c r="W132" s="15">
        <v>190</v>
      </c>
      <c r="X132" s="15">
        <v>145</v>
      </c>
      <c r="Y132" s="14">
        <v>5</v>
      </c>
      <c r="Z132" s="14">
        <v>1</v>
      </c>
      <c r="AA132" s="15">
        <v>0</v>
      </c>
      <c r="AB132" s="15">
        <v>35</v>
      </c>
      <c r="AC132" s="15">
        <v>0</v>
      </c>
      <c r="AD132" s="15">
        <v>0</v>
      </c>
      <c r="AE132" s="15">
        <v>0</v>
      </c>
      <c r="AF132" s="15">
        <v>35</v>
      </c>
      <c r="AG132" s="15">
        <v>405</v>
      </c>
      <c r="AH132" s="15">
        <v>405</v>
      </c>
      <c r="AI132" s="15">
        <v>0</v>
      </c>
      <c r="AJ132" s="15">
        <v>35</v>
      </c>
      <c r="AK132" s="15">
        <v>250</v>
      </c>
      <c r="AL132" s="15">
        <v>250</v>
      </c>
      <c r="AM132" s="14">
        <v>0</v>
      </c>
      <c r="AN132" s="14">
        <v>0</v>
      </c>
      <c r="AO132" s="14">
        <v>0</v>
      </c>
      <c r="AP132" s="14">
        <v>0</v>
      </c>
      <c r="AQ132" s="14">
        <v>0</v>
      </c>
      <c r="AR132" s="14">
        <v>0</v>
      </c>
      <c r="AS132" s="14">
        <v>0</v>
      </c>
      <c r="AT132" s="14">
        <v>71</v>
      </c>
      <c r="AU132" s="14">
        <v>49</v>
      </c>
      <c r="AV132" s="14">
        <v>22</v>
      </c>
      <c r="AW132" s="14">
        <v>0</v>
      </c>
      <c r="AX132" s="14">
        <v>3</v>
      </c>
      <c r="AY132" s="14">
        <v>1.5</v>
      </c>
      <c r="AZ132" s="14">
        <v>1.5</v>
      </c>
      <c r="BA132" s="14">
        <v>0</v>
      </c>
      <c r="BB132" s="14">
        <v>8</v>
      </c>
      <c r="BC132" s="14">
        <v>4</v>
      </c>
      <c r="BD132" s="14">
        <v>4</v>
      </c>
      <c r="BE132" s="14">
        <v>0</v>
      </c>
      <c r="BF132" s="14">
        <v>170</v>
      </c>
    </row>
    <row r="133" spans="1:58" ht="16">
      <c r="A133" s="14" t="s">
        <v>17041</v>
      </c>
      <c r="B133" s="14" t="s">
        <v>18818</v>
      </c>
      <c r="C133" s="14">
        <v>0</v>
      </c>
      <c r="D133" s="14">
        <v>45</v>
      </c>
      <c r="E133" s="14">
        <v>45</v>
      </c>
      <c r="F133" s="14">
        <v>45</v>
      </c>
      <c r="G133" s="14">
        <v>0</v>
      </c>
      <c r="H133" s="14">
        <v>17</v>
      </c>
      <c r="I133" s="14">
        <v>0</v>
      </c>
      <c r="J133" s="14">
        <v>45</v>
      </c>
      <c r="K133" s="14">
        <v>426</v>
      </c>
      <c r="L133" s="14">
        <v>38</v>
      </c>
      <c r="M133" s="14">
        <v>0</v>
      </c>
      <c r="N133" s="14">
        <v>4</v>
      </c>
      <c r="O133" s="14">
        <v>3</v>
      </c>
      <c r="P133" s="14">
        <v>0</v>
      </c>
      <c r="Q133" s="14">
        <v>0</v>
      </c>
      <c r="R133" s="14">
        <v>0</v>
      </c>
      <c r="S133" s="14">
        <v>114.75</v>
      </c>
      <c r="T133" s="14">
        <v>236.5</v>
      </c>
      <c r="U133" s="14">
        <v>0</v>
      </c>
      <c r="V133" s="14">
        <v>344.3</v>
      </c>
      <c r="W133" s="15">
        <v>5757.5</v>
      </c>
      <c r="X133" s="15">
        <v>0</v>
      </c>
      <c r="Y133" s="14">
        <v>42</v>
      </c>
      <c r="Z133" s="14">
        <v>0</v>
      </c>
      <c r="AA133" s="15">
        <v>0</v>
      </c>
      <c r="AB133" s="15">
        <v>4645</v>
      </c>
      <c r="AC133" s="15">
        <v>0</v>
      </c>
      <c r="AD133" s="15">
        <v>0</v>
      </c>
      <c r="AE133" s="15">
        <v>0</v>
      </c>
      <c r="AF133" s="15">
        <v>4645</v>
      </c>
      <c r="AG133" s="15">
        <v>5757.5</v>
      </c>
      <c r="AH133" s="15">
        <v>5757.5</v>
      </c>
      <c r="AI133" s="15">
        <v>0</v>
      </c>
      <c r="AJ133" s="15">
        <v>2400</v>
      </c>
      <c r="AK133" s="15">
        <v>2850</v>
      </c>
      <c r="AL133" s="15">
        <v>2850</v>
      </c>
      <c r="AM133" s="14">
        <v>0</v>
      </c>
      <c r="AN133" s="14">
        <v>0</v>
      </c>
      <c r="AO133" s="14">
        <v>0</v>
      </c>
      <c r="AP133" s="14">
        <v>0</v>
      </c>
      <c r="AQ133" s="14">
        <v>0</v>
      </c>
      <c r="AR133" s="14">
        <v>0</v>
      </c>
      <c r="AS133" s="14">
        <v>0</v>
      </c>
      <c r="AT133" s="14">
        <v>426</v>
      </c>
      <c r="AU133" s="14">
        <v>251</v>
      </c>
      <c r="AV133" s="14">
        <v>175</v>
      </c>
      <c r="AW133" s="14">
        <v>0</v>
      </c>
      <c r="AX133" s="14">
        <v>114.75</v>
      </c>
      <c r="AY133" s="14">
        <v>75</v>
      </c>
      <c r="AZ133" s="14">
        <v>39.75</v>
      </c>
      <c r="BA133" s="14">
        <v>0</v>
      </c>
      <c r="BB133" s="14">
        <v>236.5</v>
      </c>
      <c r="BC133" s="14">
        <v>107.75</v>
      </c>
      <c r="BD133" s="14">
        <v>128.75</v>
      </c>
      <c r="BE133" s="14">
        <v>0</v>
      </c>
      <c r="BF133" s="14">
        <v>34</v>
      </c>
    </row>
    <row r="134" spans="1:58" ht="16">
      <c r="A134" s="14" t="s">
        <v>17041</v>
      </c>
      <c r="B134" s="14" t="s">
        <v>17043</v>
      </c>
      <c r="C134" s="14">
        <v>1</v>
      </c>
      <c r="D134" s="14">
        <v>3</v>
      </c>
      <c r="E134" s="14">
        <v>0</v>
      </c>
      <c r="F134" s="14">
        <v>3</v>
      </c>
      <c r="G134" s="14">
        <v>0</v>
      </c>
      <c r="H134" s="14">
        <v>0</v>
      </c>
      <c r="I134" s="14">
        <v>0</v>
      </c>
      <c r="J134" s="14">
        <v>3</v>
      </c>
      <c r="K134" s="14">
        <v>17</v>
      </c>
      <c r="L134" s="14">
        <v>2</v>
      </c>
      <c r="M134" s="14">
        <v>0</v>
      </c>
      <c r="N134" s="14">
        <v>0</v>
      </c>
      <c r="O134" s="14">
        <v>1</v>
      </c>
      <c r="P134" s="14">
        <v>0</v>
      </c>
      <c r="Q134" s="14">
        <v>0</v>
      </c>
      <c r="R134" s="14">
        <v>0</v>
      </c>
      <c r="S134" s="14">
        <v>0.5</v>
      </c>
      <c r="T134" s="14">
        <v>1</v>
      </c>
      <c r="U134" s="14">
        <v>0</v>
      </c>
      <c r="V134" s="14">
        <v>1.5</v>
      </c>
      <c r="W134" s="15">
        <v>25</v>
      </c>
      <c r="X134" s="15">
        <v>0</v>
      </c>
      <c r="Y134" s="14">
        <v>0</v>
      </c>
      <c r="Z134" s="14">
        <v>2</v>
      </c>
      <c r="AA134" s="15">
        <v>0</v>
      </c>
      <c r="AB134" s="15">
        <v>0</v>
      </c>
      <c r="AC134" s="15">
        <v>0</v>
      </c>
      <c r="AD134" s="15">
        <v>0</v>
      </c>
      <c r="AE134" s="15">
        <v>0</v>
      </c>
      <c r="AF134" s="15">
        <v>0</v>
      </c>
      <c r="AG134" s="15">
        <v>25</v>
      </c>
      <c r="AH134" s="15">
        <v>25</v>
      </c>
      <c r="AI134" s="15">
        <v>0</v>
      </c>
      <c r="AJ134" s="15">
        <v>0</v>
      </c>
      <c r="AK134" s="15">
        <v>0</v>
      </c>
      <c r="AL134" s="15">
        <v>0</v>
      </c>
      <c r="AM134" s="14">
        <v>0</v>
      </c>
      <c r="AN134" s="14">
        <v>0</v>
      </c>
      <c r="AO134" s="14">
        <v>0</v>
      </c>
      <c r="AP134" s="14">
        <v>0</v>
      </c>
      <c r="AQ134" s="14">
        <v>0</v>
      </c>
      <c r="AR134" s="14">
        <v>0</v>
      </c>
      <c r="AS134" s="14">
        <v>0</v>
      </c>
      <c r="AT134" s="14">
        <v>17</v>
      </c>
      <c r="AU134" s="14">
        <v>0</v>
      </c>
      <c r="AV134" s="14">
        <v>15</v>
      </c>
      <c r="AW134" s="14">
        <v>2</v>
      </c>
      <c r="AX134" s="14">
        <v>0.5</v>
      </c>
      <c r="AY134" s="14">
        <v>0</v>
      </c>
      <c r="AZ134" s="14">
        <v>0.5</v>
      </c>
      <c r="BA134" s="14">
        <v>0</v>
      </c>
      <c r="BB134" s="14">
        <v>1</v>
      </c>
      <c r="BC134" s="14">
        <v>0</v>
      </c>
      <c r="BD134" s="14">
        <v>1</v>
      </c>
      <c r="BE134" s="14">
        <v>0</v>
      </c>
      <c r="BF134" s="14">
        <v>120</v>
      </c>
    </row>
    <row r="135" spans="1:58" ht="16">
      <c r="A135" s="14" t="s">
        <v>17041</v>
      </c>
      <c r="B135" s="14" t="s">
        <v>17303</v>
      </c>
      <c r="C135" s="14">
        <v>0</v>
      </c>
      <c r="D135" s="14">
        <v>9</v>
      </c>
      <c r="E135" s="14">
        <v>1</v>
      </c>
      <c r="F135" s="14">
        <v>9</v>
      </c>
      <c r="G135" s="14">
        <v>0</v>
      </c>
      <c r="H135" s="14">
        <v>0</v>
      </c>
      <c r="I135" s="14">
        <v>0</v>
      </c>
      <c r="J135" s="14">
        <v>9</v>
      </c>
      <c r="K135" s="14">
        <v>26</v>
      </c>
      <c r="L135" s="14">
        <v>8</v>
      </c>
      <c r="M135" s="14">
        <v>1</v>
      </c>
      <c r="N135" s="14">
        <v>0</v>
      </c>
      <c r="O135" s="14">
        <v>0</v>
      </c>
      <c r="P135" s="14">
        <v>0</v>
      </c>
      <c r="Q135" s="14">
        <v>0</v>
      </c>
      <c r="R135" s="14">
        <v>0</v>
      </c>
      <c r="S135" s="14">
        <v>2</v>
      </c>
      <c r="T135" s="14">
        <v>0</v>
      </c>
      <c r="U135" s="14">
        <v>0</v>
      </c>
      <c r="V135" s="14">
        <v>2</v>
      </c>
      <c r="W135" s="15">
        <v>20</v>
      </c>
      <c r="X135" s="15">
        <v>0</v>
      </c>
      <c r="Y135" s="14">
        <v>8</v>
      </c>
      <c r="Z135" s="14">
        <v>0</v>
      </c>
      <c r="AA135" s="15">
        <v>0</v>
      </c>
      <c r="AB135" s="15">
        <v>0</v>
      </c>
      <c r="AC135" s="15">
        <v>0</v>
      </c>
      <c r="AD135" s="15">
        <v>0</v>
      </c>
      <c r="AE135" s="15">
        <v>0</v>
      </c>
      <c r="AF135" s="15">
        <v>0</v>
      </c>
      <c r="AG135" s="15">
        <v>20</v>
      </c>
      <c r="AH135" s="15">
        <v>20</v>
      </c>
      <c r="AI135" s="15">
        <v>0</v>
      </c>
      <c r="AJ135" s="15">
        <v>0</v>
      </c>
      <c r="AK135" s="15">
        <v>0</v>
      </c>
      <c r="AL135" s="15">
        <v>0</v>
      </c>
      <c r="AM135" s="14">
        <v>0</v>
      </c>
      <c r="AN135" s="14">
        <v>0</v>
      </c>
      <c r="AO135" s="14">
        <v>0</v>
      </c>
      <c r="AP135" s="14">
        <v>0</v>
      </c>
      <c r="AQ135" s="14">
        <v>0</v>
      </c>
      <c r="AR135" s="14">
        <v>0</v>
      </c>
      <c r="AS135" s="14">
        <v>0</v>
      </c>
      <c r="AT135" s="14">
        <v>26</v>
      </c>
      <c r="AU135" s="14">
        <v>0</v>
      </c>
      <c r="AV135" s="14">
        <v>26</v>
      </c>
      <c r="AW135" s="14">
        <v>0</v>
      </c>
      <c r="AX135" s="14">
        <v>2</v>
      </c>
      <c r="AY135" s="14">
        <v>0</v>
      </c>
      <c r="AZ135" s="14">
        <v>2</v>
      </c>
      <c r="BA135" s="14">
        <v>0</v>
      </c>
      <c r="BB135" s="14">
        <v>0</v>
      </c>
      <c r="BC135" s="14">
        <v>0</v>
      </c>
      <c r="BD135" s="14">
        <v>0</v>
      </c>
      <c r="BE135" s="14">
        <v>0</v>
      </c>
      <c r="BF135" s="14">
        <v>3</v>
      </c>
    </row>
    <row r="136" spans="1:58" ht="16">
      <c r="A136" s="14" t="s">
        <v>17041</v>
      </c>
      <c r="B136" s="14" t="s">
        <v>17042</v>
      </c>
      <c r="C136" s="14">
        <v>0</v>
      </c>
      <c r="D136" s="14">
        <v>11</v>
      </c>
      <c r="E136" s="14">
        <v>11</v>
      </c>
      <c r="F136" s="14">
        <v>0</v>
      </c>
      <c r="G136" s="14">
        <v>0</v>
      </c>
      <c r="H136" s="14">
        <v>0</v>
      </c>
      <c r="I136" s="14">
        <v>0</v>
      </c>
      <c r="J136" s="14">
        <v>10</v>
      </c>
      <c r="K136" s="14">
        <v>41</v>
      </c>
      <c r="L136" s="14">
        <v>9</v>
      </c>
      <c r="M136" s="14">
        <v>0</v>
      </c>
      <c r="N136" s="14">
        <v>1</v>
      </c>
      <c r="O136" s="14">
        <v>0</v>
      </c>
      <c r="P136" s="14">
        <v>0</v>
      </c>
      <c r="Q136" s="14">
        <v>1</v>
      </c>
      <c r="R136" s="14">
        <v>0</v>
      </c>
      <c r="S136" s="14">
        <v>21.5</v>
      </c>
      <c r="T136" s="14">
        <v>0</v>
      </c>
      <c r="U136" s="14">
        <v>0</v>
      </c>
      <c r="V136" s="14">
        <v>5.5</v>
      </c>
      <c r="W136" s="15">
        <v>215</v>
      </c>
      <c r="X136" s="15">
        <v>0</v>
      </c>
      <c r="Y136" s="14">
        <v>13</v>
      </c>
      <c r="Z136" s="14">
        <v>0</v>
      </c>
      <c r="AA136" s="15">
        <v>0</v>
      </c>
      <c r="AB136" s="15">
        <v>130</v>
      </c>
      <c r="AC136" s="15">
        <v>0</v>
      </c>
      <c r="AD136" s="15">
        <v>0</v>
      </c>
      <c r="AE136" s="15">
        <v>0</v>
      </c>
      <c r="AF136" s="15">
        <v>130</v>
      </c>
      <c r="AG136" s="15">
        <v>215</v>
      </c>
      <c r="AH136" s="15">
        <v>215</v>
      </c>
      <c r="AI136" s="15">
        <v>0</v>
      </c>
      <c r="AJ136" s="15">
        <v>0</v>
      </c>
      <c r="AK136" s="15">
        <v>0</v>
      </c>
      <c r="AL136" s="15">
        <v>0</v>
      </c>
      <c r="AM136" s="14">
        <v>41</v>
      </c>
      <c r="AN136" s="14">
        <v>0</v>
      </c>
      <c r="AO136" s="14">
        <v>41</v>
      </c>
      <c r="AP136" s="14">
        <v>0</v>
      </c>
      <c r="AQ136" s="14">
        <v>21.5</v>
      </c>
      <c r="AR136" s="14">
        <v>0</v>
      </c>
      <c r="AS136" s="14">
        <v>21.5</v>
      </c>
      <c r="AT136" s="14">
        <v>0</v>
      </c>
      <c r="AU136" s="14">
        <v>0</v>
      </c>
      <c r="AV136" s="14">
        <v>0</v>
      </c>
      <c r="AW136" s="14">
        <v>0</v>
      </c>
      <c r="AX136" s="14">
        <v>0</v>
      </c>
      <c r="AY136" s="14"/>
      <c r="AZ136" s="14"/>
      <c r="BA136" s="14"/>
      <c r="BB136" s="14"/>
      <c r="BC136" s="14"/>
      <c r="BD136" s="14"/>
      <c r="BE136" s="14"/>
      <c r="BF136" s="14"/>
    </row>
    <row r="137" spans="1:58" ht="16">
      <c r="A137" s="14" t="s">
        <v>17041</v>
      </c>
      <c r="B137" s="14" t="s">
        <v>17042</v>
      </c>
      <c r="C137" s="14">
        <v>0</v>
      </c>
      <c r="D137" s="14">
        <v>6</v>
      </c>
      <c r="E137" s="14">
        <v>6</v>
      </c>
      <c r="F137" s="14">
        <v>0</v>
      </c>
      <c r="G137" s="14">
        <v>0</v>
      </c>
      <c r="H137" s="14">
        <v>0</v>
      </c>
      <c r="I137" s="14">
        <v>0</v>
      </c>
      <c r="J137" s="14">
        <v>6</v>
      </c>
      <c r="K137" s="14">
        <v>32</v>
      </c>
      <c r="L137" s="14">
        <v>6</v>
      </c>
      <c r="M137" s="14">
        <v>0</v>
      </c>
      <c r="N137" s="14">
        <v>0</v>
      </c>
      <c r="O137" s="14">
        <v>0</v>
      </c>
      <c r="P137" s="14">
        <v>0</v>
      </c>
      <c r="Q137" s="14">
        <v>0</v>
      </c>
      <c r="R137" s="14">
        <v>0</v>
      </c>
      <c r="S137" s="14">
        <v>7</v>
      </c>
      <c r="T137" s="14">
        <v>0</v>
      </c>
      <c r="U137" s="14">
        <v>0</v>
      </c>
      <c r="V137" s="14">
        <v>7</v>
      </c>
      <c r="W137" s="15">
        <v>70</v>
      </c>
      <c r="X137" s="15">
        <v>0</v>
      </c>
      <c r="Y137" s="14">
        <v>6</v>
      </c>
      <c r="Z137" s="14">
        <v>0</v>
      </c>
      <c r="AA137" s="15">
        <v>0</v>
      </c>
      <c r="AB137" s="15">
        <v>0</v>
      </c>
      <c r="AC137" s="15">
        <v>0</v>
      </c>
      <c r="AD137" s="15">
        <v>0</v>
      </c>
      <c r="AE137" s="15">
        <v>0</v>
      </c>
      <c r="AF137" s="15">
        <v>0</v>
      </c>
      <c r="AG137" s="15">
        <v>70</v>
      </c>
      <c r="AH137" s="15">
        <v>70</v>
      </c>
      <c r="AI137" s="15">
        <v>0</v>
      </c>
      <c r="AJ137" s="15">
        <v>0</v>
      </c>
      <c r="AK137" s="15">
        <v>0</v>
      </c>
      <c r="AL137" s="15">
        <v>0</v>
      </c>
      <c r="AM137" s="14">
        <v>0</v>
      </c>
      <c r="AN137" s="14">
        <v>0</v>
      </c>
      <c r="AO137" s="14">
        <v>0</v>
      </c>
      <c r="AP137" s="14">
        <v>0</v>
      </c>
      <c r="AQ137" s="14">
        <v>0</v>
      </c>
      <c r="AR137" s="14">
        <v>0</v>
      </c>
      <c r="AS137" s="14">
        <v>0</v>
      </c>
      <c r="AT137" s="14">
        <v>32</v>
      </c>
      <c r="AU137" s="14">
        <v>0</v>
      </c>
      <c r="AV137" s="14">
        <v>32</v>
      </c>
      <c r="AW137" s="14">
        <v>0</v>
      </c>
      <c r="AX137" s="14">
        <v>7</v>
      </c>
      <c r="AY137" s="14">
        <v>0</v>
      </c>
      <c r="AZ137" s="14">
        <v>7</v>
      </c>
      <c r="BA137" s="14">
        <v>0</v>
      </c>
      <c r="BB137" s="14">
        <v>0</v>
      </c>
      <c r="BC137" s="14">
        <v>0</v>
      </c>
      <c r="BD137" s="14">
        <v>0</v>
      </c>
      <c r="BE137" s="14">
        <v>0</v>
      </c>
      <c r="BF137" s="14"/>
    </row>
    <row r="138" spans="1:58" ht="16">
      <c r="A138" s="14" t="s">
        <v>17044</v>
      </c>
      <c r="B138" s="14" t="s">
        <v>17045</v>
      </c>
      <c r="C138" s="14">
        <v>0</v>
      </c>
      <c r="D138" s="14">
        <v>3</v>
      </c>
      <c r="E138" s="14">
        <v>3</v>
      </c>
      <c r="F138" s="14">
        <v>2</v>
      </c>
      <c r="G138" s="14">
        <v>1</v>
      </c>
      <c r="H138" s="14">
        <v>1</v>
      </c>
      <c r="I138" s="14">
        <v>0</v>
      </c>
      <c r="J138" s="14">
        <v>3</v>
      </c>
      <c r="K138" s="14">
        <v>39</v>
      </c>
      <c r="L138" s="14">
        <v>1</v>
      </c>
      <c r="M138" s="14">
        <v>0</v>
      </c>
      <c r="N138" s="14">
        <v>2</v>
      </c>
      <c r="O138" s="14">
        <v>0</v>
      </c>
      <c r="P138" s="14">
        <v>0</v>
      </c>
      <c r="Q138" s="14">
        <v>0</v>
      </c>
      <c r="R138" s="14">
        <v>0</v>
      </c>
      <c r="S138" s="14">
        <v>4.75</v>
      </c>
      <c r="T138" s="14">
        <v>10.5</v>
      </c>
      <c r="U138" s="14">
        <v>0</v>
      </c>
      <c r="V138" s="14">
        <v>15.3</v>
      </c>
      <c r="W138" s="15">
        <v>257.5</v>
      </c>
      <c r="X138" s="15">
        <v>0</v>
      </c>
      <c r="Y138" s="14">
        <v>2</v>
      </c>
      <c r="Z138" s="14">
        <v>1</v>
      </c>
      <c r="AA138" s="15">
        <v>0</v>
      </c>
      <c r="AB138" s="15">
        <v>190</v>
      </c>
      <c r="AC138" s="15">
        <v>0</v>
      </c>
      <c r="AD138" s="15">
        <v>0</v>
      </c>
      <c r="AE138" s="15">
        <v>0</v>
      </c>
      <c r="AF138" s="15">
        <v>190</v>
      </c>
      <c r="AG138" s="15">
        <v>257.5</v>
      </c>
      <c r="AH138" s="15">
        <v>257.5</v>
      </c>
      <c r="AI138" s="15">
        <v>0</v>
      </c>
      <c r="AJ138" s="15">
        <v>190</v>
      </c>
      <c r="AK138" s="15">
        <v>250</v>
      </c>
      <c r="AL138" s="15">
        <v>250</v>
      </c>
      <c r="AM138" s="14">
        <v>0</v>
      </c>
      <c r="AN138" s="14">
        <v>0</v>
      </c>
      <c r="AO138" s="14">
        <v>0</v>
      </c>
      <c r="AP138" s="14">
        <v>0</v>
      </c>
      <c r="AQ138" s="14">
        <v>0</v>
      </c>
      <c r="AR138" s="14">
        <v>0</v>
      </c>
      <c r="AS138" s="14">
        <v>0</v>
      </c>
      <c r="AT138" s="14">
        <v>39</v>
      </c>
      <c r="AU138" s="14">
        <v>21</v>
      </c>
      <c r="AV138" s="14">
        <v>18</v>
      </c>
      <c r="AW138" s="14">
        <v>0</v>
      </c>
      <c r="AX138" s="14">
        <v>4.75</v>
      </c>
      <c r="AY138" s="14">
        <v>4.5</v>
      </c>
      <c r="AZ138" s="14">
        <v>0.25</v>
      </c>
      <c r="BA138" s="14">
        <v>0</v>
      </c>
      <c r="BB138" s="14">
        <v>10.5</v>
      </c>
      <c r="BC138" s="14">
        <v>10.25</v>
      </c>
      <c r="BD138" s="14">
        <v>0.25</v>
      </c>
      <c r="BE138" s="14">
        <v>0</v>
      </c>
      <c r="BF138" s="14">
        <v>0</v>
      </c>
    </row>
    <row r="139" spans="1:58" ht="16">
      <c r="A139" s="14" t="s">
        <v>17044</v>
      </c>
      <c r="B139" s="14" t="s">
        <v>18819</v>
      </c>
      <c r="C139" s="14">
        <v>0</v>
      </c>
      <c r="D139" s="14">
        <v>0</v>
      </c>
      <c r="E139" s="14">
        <v>0</v>
      </c>
      <c r="F139" s="14">
        <v>0</v>
      </c>
      <c r="G139" s="14">
        <v>0</v>
      </c>
      <c r="H139" s="14">
        <v>0</v>
      </c>
      <c r="I139" s="14">
        <v>0</v>
      </c>
      <c r="J139" s="14">
        <v>0</v>
      </c>
      <c r="K139" s="14">
        <v>0</v>
      </c>
      <c r="L139" s="14">
        <v>0</v>
      </c>
      <c r="M139" s="14">
        <v>0</v>
      </c>
      <c r="N139" s="14">
        <v>0</v>
      </c>
      <c r="O139" s="14">
        <v>0</v>
      </c>
      <c r="P139" s="14">
        <v>0</v>
      </c>
      <c r="Q139" s="14">
        <v>0</v>
      </c>
      <c r="R139" s="14">
        <v>0</v>
      </c>
      <c r="S139" s="14">
        <v>0</v>
      </c>
      <c r="T139" s="14">
        <v>0</v>
      </c>
      <c r="U139" s="14">
        <v>0</v>
      </c>
      <c r="V139" s="14">
        <v>0</v>
      </c>
      <c r="W139" s="15">
        <v>0</v>
      </c>
      <c r="X139" s="15">
        <v>0</v>
      </c>
      <c r="Y139" s="14">
        <v>0</v>
      </c>
      <c r="Z139" s="14">
        <v>0</v>
      </c>
      <c r="AA139" s="15">
        <v>0</v>
      </c>
      <c r="AB139" s="15">
        <v>0</v>
      </c>
      <c r="AC139" s="15">
        <v>0</v>
      </c>
      <c r="AD139" s="15">
        <v>0</v>
      </c>
      <c r="AE139" s="15">
        <v>0</v>
      </c>
      <c r="AF139" s="15">
        <v>0</v>
      </c>
      <c r="AG139" s="15">
        <v>0</v>
      </c>
      <c r="AH139" s="15">
        <v>0</v>
      </c>
      <c r="AI139" s="15">
        <v>0</v>
      </c>
      <c r="AJ139" s="15">
        <v>0</v>
      </c>
      <c r="AK139" s="15">
        <v>0</v>
      </c>
      <c r="AL139" s="15">
        <v>0</v>
      </c>
      <c r="AM139" s="14">
        <v>0</v>
      </c>
      <c r="AN139" s="14">
        <v>0</v>
      </c>
      <c r="AO139" s="14">
        <v>0</v>
      </c>
      <c r="AP139" s="14">
        <v>0</v>
      </c>
      <c r="AQ139" s="14">
        <v>0</v>
      </c>
      <c r="AR139" s="14">
        <v>0</v>
      </c>
      <c r="AS139" s="14">
        <v>0</v>
      </c>
      <c r="AT139" s="14">
        <v>0</v>
      </c>
      <c r="AU139" s="14">
        <v>0</v>
      </c>
      <c r="AV139" s="14">
        <v>0</v>
      </c>
      <c r="AW139" s="14">
        <v>0</v>
      </c>
      <c r="AX139" s="14">
        <v>0</v>
      </c>
      <c r="AY139" s="14">
        <v>0</v>
      </c>
      <c r="AZ139" s="14">
        <v>0</v>
      </c>
      <c r="BA139" s="14">
        <v>0</v>
      </c>
      <c r="BB139" s="14">
        <v>0</v>
      </c>
      <c r="BC139" s="14">
        <v>0</v>
      </c>
      <c r="BD139" s="14">
        <v>0</v>
      </c>
      <c r="BE139" s="14">
        <v>0</v>
      </c>
      <c r="BF139" s="14">
        <v>0</v>
      </c>
    </row>
    <row r="140" spans="1:58" ht="16">
      <c r="A140" s="14" t="s">
        <v>17044</v>
      </c>
      <c r="B140" s="14" t="s">
        <v>18820</v>
      </c>
      <c r="C140" s="14">
        <v>0</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4">
        <v>0</v>
      </c>
      <c r="T140" s="14">
        <v>0</v>
      </c>
      <c r="U140" s="14">
        <v>0</v>
      </c>
      <c r="V140" s="14">
        <v>0</v>
      </c>
      <c r="W140" s="15">
        <v>0</v>
      </c>
      <c r="X140" s="15">
        <v>0</v>
      </c>
      <c r="Y140" s="14">
        <v>0</v>
      </c>
      <c r="Z140" s="14">
        <v>0</v>
      </c>
      <c r="AA140" s="15">
        <v>0</v>
      </c>
      <c r="AB140" s="15">
        <v>0</v>
      </c>
      <c r="AC140" s="15">
        <v>0</v>
      </c>
      <c r="AD140" s="15">
        <v>0</v>
      </c>
      <c r="AE140" s="15">
        <v>0</v>
      </c>
      <c r="AF140" s="15">
        <v>0</v>
      </c>
      <c r="AG140" s="15">
        <v>0</v>
      </c>
      <c r="AH140" s="15">
        <v>0</v>
      </c>
      <c r="AI140" s="15">
        <v>0</v>
      </c>
      <c r="AJ140" s="15">
        <v>0</v>
      </c>
      <c r="AK140" s="15">
        <v>0</v>
      </c>
      <c r="AL140" s="15">
        <v>0</v>
      </c>
      <c r="AM140" s="14">
        <v>0</v>
      </c>
      <c r="AN140" s="14">
        <v>0</v>
      </c>
      <c r="AO140" s="14">
        <v>0</v>
      </c>
      <c r="AP140" s="14">
        <v>0</v>
      </c>
      <c r="AQ140" s="14">
        <v>0</v>
      </c>
      <c r="AR140" s="14">
        <v>0</v>
      </c>
      <c r="AS140" s="14">
        <v>0</v>
      </c>
      <c r="AT140" s="14">
        <v>0</v>
      </c>
      <c r="AU140" s="14">
        <v>0</v>
      </c>
      <c r="AV140" s="14">
        <v>0</v>
      </c>
      <c r="AW140" s="14">
        <v>0</v>
      </c>
      <c r="AX140" s="14">
        <v>0</v>
      </c>
      <c r="AY140" s="14">
        <v>0</v>
      </c>
      <c r="AZ140" s="14">
        <v>0</v>
      </c>
      <c r="BA140" s="14">
        <v>0</v>
      </c>
      <c r="BB140" s="14">
        <v>0</v>
      </c>
      <c r="BC140" s="14">
        <v>0</v>
      </c>
      <c r="BD140" s="14">
        <v>0</v>
      </c>
      <c r="BE140" s="14">
        <v>0</v>
      </c>
      <c r="BF140" s="14">
        <v>0</v>
      </c>
    </row>
    <row r="141" spans="1:58" ht="16">
      <c r="A141" s="14" t="s">
        <v>17044</v>
      </c>
      <c r="B141" s="14" t="s">
        <v>17046</v>
      </c>
      <c r="C141" s="14">
        <v>0</v>
      </c>
      <c r="D141" s="14">
        <v>5</v>
      </c>
      <c r="E141" s="14">
        <v>5</v>
      </c>
      <c r="F141" s="14">
        <v>3</v>
      </c>
      <c r="G141" s="14">
        <v>0</v>
      </c>
      <c r="H141" s="14">
        <v>0</v>
      </c>
      <c r="I141" s="14">
        <v>0</v>
      </c>
      <c r="J141" s="14">
        <v>5</v>
      </c>
      <c r="K141" s="14">
        <v>59</v>
      </c>
      <c r="L141" s="14">
        <v>2</v>
      </c>
      <c r="M141" s="14">
        <v>0</v>
      </c>
      <c r="N141" s="14">
        <v>0</v>
      </c>
      <c r="O141" s="14">
        <v>3</v>
      </c>
      <c r="P141" s="14">
        <v>0</v>
      </c>
      <c r="Q141" s="14">
        <v>0</v>
      </c>
      <c r="R141" s="14">
        <v>0</v>
      </c>
      <c r="S141" s="14">
        <v>0</v>
      </c>
      <c r="T141" s="14">
        <v>0</v>
      </c>
      <c r="U141" s="14">
        <v>0</v>
      </c>
      <c r="V141" s="14">
        <v>0</v>
      </c>
      <c r="W141" s="15">
        <v>0</v>
      </c>
      <c r="X141" s="15">
        <v>0</v>
      </c>
      <c r="Y141" s="14">
        <v>0</v>
      </c>
      <c r="Z141" s="14">
        <v>0</v>
      </c>
      <c r="AA141" s="15">
        <v>0</v>
      </c>
      <c r="AB141" s="15">
        <v>0</v>
      </c>
      <c r="AC141" s="15">
        <v>19.75</v>
      </c>
      <c r="AD141" s="15">
        <v>19.75</v>
      </c>
      <c r="AE141" s="15">
        <v>19.75</v>
      </c>
      <c r="AF141" s="15">
        <v>19.75</v>
      </c>
      <c r="AG141" s="15">
        <v>19.75</v>
      </c>
      <c r="AH141" s="15">
        <v>0</v>
      </c>
      <c r="AI141" s="15">
        <v>0</v>
      </c>
      <c r="AJ141" s="15">
        <v>0</v>
      </c>
      <c r="AK141" s="15">
        <v>0</v>
      </c>
      <c r="AL141" s="15">
        <v>0</v>
      </c>
      <c r="AM141" s="14">
        <v>0</v>
      </c>
      <c r="AN141" s="14">
        <v>1</v>
      </c>
      <c r="AO141" s="14">
        <v>0</v>
      </c>
      <c r="AP141" s="14">
        <v>0</v>
      </c>
      <c r="AQ141" s="14">
        <v>0</v>
      </c>
      <c r="AR141" s="14">
        <v>0</v>
      </c>
      <c r="AS141" s="14">
        <v>0</v>
      </c>
      <c r="AT141" s="14">
        <v>59</v>
      </c>
      <c r="AU141" s="14">
        <v>0</v>
      </c>
      <c r="AV141" s="14">
        <v>59</v>
      </c>
      <c r="AW141" s="14">
        <v>0</v>
      </c>
      <c r="AX141" s="14">
        <v>0</v>
      </c>
      <c r="AY141" s="14">
        <v>0</v>
      </c>
      <c r="AZ141" s="14">
        <v>0</v>
      </c>
      <c r="BA141" s="14">
        <v>0</v>
      </c>
      <c r="BB141" s="14">
        <v>0</v>
      </c>
      <c r="BC141" s="14">
        <v>0</v>
      </c>
      <c r="BD141" s="14">
        <v>0</v>
      </c>
      <c r="BE141" s="14">
        <v>0</v>
      </c>
      <c r="BF141" s="14">
        <v>0</v>
      </c>
    </row>
    <row r="142" spans="1:58" ht="16">
      <c r="A142" s="14" t="s">
        <v>17044</v>
      </c>
      <c r="B142" s="14" t="s">
        <v>17047</v>
      </c>
      <c r="C142" s="14">
        <v>0</v>
      </c>
      <c r="D142" s="14">
        <v>0</v>
      </c>
      <c r="E142" s="14">
        <v>0</v>
      </c>
      <c r="F142" s="14">
        <v>0</v>
      </c>
      <c r="G142" s="14">
        <v>0</v>
      </c>
      <c r="H142" s="14">
        <v>0</v>
      </c>
      <c r="I142" s="14">
        <v>0</v>
      </c>
      <c r="J142" s="14">
        <v>0</v>
      </c>
      <c r="K142" s="14">
        <v>0</v>
      </c>
      <c r="L142" s="14">
        <v>0</v>
      </c>
      <c r="M142" s="14">
        <v>0</v>
      </c>
      <c r="N142" s="14">
        <v>0</v>
      </c>
      <c r="O142" s="14">
        <v>0</v>
      </c>
      <c r="P142" s="14">
        <v>0</v>
      </c>
      <c r="Q142" s="14">
        <v>0</v>
      </c>
      <c r="R142" s="14">
        <v>0</v>
      </c>
      <c r="S142" s="14">
        <v>0</v>
      </c>
      <c r="T142" s="14">
        <v>0</v>
      </c>
      <c r="U142" s="14">
        <v>0</v>
      </c>
      <c r="V142" s="14">
        <v>0</v>
      </c>
      <c r="W142" s="15">
        <v>0</v>
      </c>
      <c r="X142" s="15">
        <v>0</v>
      </c>
      <c r="Y142" s="14">
        <v>0</v>
      </c>
      <c r="Z142" s="14">
        <v>0</v>
      </c>
      <c r="AA142" s="15">
        <v>0</v>
      </c>
      <c r="AB142" s="15">
        <v>0</v>
      </c>
      <c r="AC142" s="15">
        <v>0</v>
      </c>
      <c r="AD142" s="15">
        <v>0</v>
      </c>
      <c r="AE142" s="15">
        <v>0</v>
      </c>
      <c r="AF142" s="15">
        <v>0</v>
      </c>
      <c r="AG142" s="15">
        <v>0</v>
      </c>
      <c r="AH142" s="15">
        <v>0</v>
      </c>
      <c r="AI142" s="15">
        <v>0</v>
      </c>
      <c r="AJ142" s="15">
        <v>0</v>
      </c>
      <c r="AK142" s="15">
        <v>0</v>
      </c>
      <c r="AL142" s="15">
        <v>0</v>
      </c>
      <c r="AM142" s="14">
        <v>0</v>
      </c>
      <c r="AN142" s="14">
        <v>0</v>
      </c>
      <c r="AO142" s="14">
        <v>0</v>
      </c>
      <c r="AP142" s="14">
        <v>0</v>
      </c>
      <c r="AQ142" s="14">
        <v>0</v>
      </c>
      <c r="AR142" s="14">
        <v>0</v>
      </c>
      <c r="AS142" s="14">
        <v>0</v>
      </c>
      <c r="AT142" s="14">
        <v>0</v>
      </c>
      <c r="AU142" s="14">
        <v>0</v>
      </c>
      <c r="AV142" s="14">
        <v>0</v>
      </c>
      <c r="AW142" s="14">
        <v>0</v>
      </c>
      <c r="AX142" s="14">
        <v>0</v>
      </c>
      <c r="AY142" s="14">
        <v>0</v>
      </c>
      <c r="AZ142" s="14">
        <v>0</v>
      </c>
      <c r="BA142" s="14">
        <v>0</v>
      </c>
      <c r="BB142" s="14">
        <v>0</v>
      </c>
      <c r="BC142" s="14">
        <v>0</v>
      </c>
      <c r="BD142" s="14">
        <v>0</v>
      </c>
      <c r="BE142" s="14">
        <v>0</v>
      </c>
      <c r="BF142" s="14">
        <v>0</v>
      </c>
    </row>
    <row r="143" spans="1:58" ht="16">
      <c r="A143" s="14" t="s">
        <v>17044</v>
      </c>
      <c r="B143" s="14" t="s">
        <v>17048</v>
      </c>
      <c r="C143" s="14">
        <v>0</v>
      </c>
      <c r="D143" s="14">
        <v>0</v>
      </c>
      <c r="E143" s="14">
        <v>0</v>
      </c>
      <c r="F143" s="14">
        <v>0</v>
      </c>
      <c r="G143" s="14">
        <v>0</v>
      </c>
      <c r="H143" s="14">
        <v>0</v>
      </c>
      <c r="I143" s="14">
        <v>0</v>
      </c>
      <c r="J143" s="14">
        <v>0</v>
      </c>
      <c r="K143" s="14">
        <v>0</v>
      </c>
      <c r="L143" s="14">
        <v>0</v>
      </c>
      <c r="M143" s="14">
        <v>0</v>
      </c>
      <c r="N143" s="14">
        <v>0</v>
      </c>
      <c r="O143" s="14">
        <v>0</v>
      </c>
      <c r="P143" s="14">
        <v>0</v>
      </c>
      <c r="Q143" s="14">
        <v>0</v>
      </c>
      <c r="R143" s="14">
        <v>0</v>
      </c>
      <c r="S143" s="14">
        <v>0</v>
      </c>
      <c r="T143" s="14">
        <v>0</v>
      </c>
      <c r="U143" s="14">
        <v>0</v>
      </c>
      <c r="V143" s="14">
        <v>0</v>
      </c>
      <c r="W143" s="15">
        <v>0</v>
      </c>
      <c r="X143" s="15">
        <v>0</v>
      </c>
      <c r="Y143" s="14">
        <v>0</v>
      </c>
      <c r="Z143" s="14">
        <v>0</v>
      </c>
      <c r="AA143" s="15">
        <v>0</v>
      </c>
      <c r="AB143" s="15">
        <v>0</v>
      </c>
      <c r="AC143" s="15">
        <v>0</v>
      </c>
      <c r="AD143" s="15">
        <v>0</v>
      </c>
      <c r="AE143" s="15">
        <v>0</v>
      </c>
      <c r="AF143" s="15">
        <v>0</v>
      </c>
      <c r="AG143" s="15">
        <v>0</v>
      </c>
      <c r="AH143" s="15">
        <v>0</v>
      </c>
      <c r="AI143" s="15">
        <v>0</v>
      </c>
      <c r="AJ143" s="15">
        <v>0</v>
      </c>
      <c r="AK143" s="15">
        <v>0</v>
      </c>
      <c r="AL143" s="15">
        <v>0</v>
      </c>
      <c r="AM143" s="14">
        <v>0</v>
      </c>
      <c r="AN143" s="14">
        <v>0</v>
      </c>
      <c r="AO143" s="14">
        <v>0</v>
      </c>
      <c r="AP143" s="14">
        <v>0</v>
      </c>
      <c r="AQ143" s="14">
        <v>0</v>
      </c>
      <c r="AR143" s="14">
        <v>0</v>
      </c>
      <c r="AS143" s="14">
        <v>0</v>
      </c>
      <c r="AT143" s="14">
        <v>0</v>
      </c>
      <c r="AU143" s="14">
        <v>0</v>
      </c>
      <c r="AV143" s="14">
        <v>0</v>
      </c>
      <c r="AW143" s="14">
        <v>0</v>
      </c>
      <c r="AX143" s="14">
        <v>0</v>
      </c>
      <c r="AY143" s="14">
        <v>0</v>
      </c>
      <c r="AZ143" s="14">
        <v>0</v>
      </c>
      <c r="BA143" s="14">
        <v>0</v>
      </c>
      <c r="BB143" s="14">
        <v>0</v>
      </c>
      <c r="BC143" s="14">
        <v>0</v>
      </c>
      <c r="BD143" s="14">
        <v>0</v>
      </c>
      <c r="BE143" s="14">
        <v>0</v>
      </c>
      <c r="BF143" s="14">
        <v>0</v>
      </c>
    </row>
    <row r="144" spans="1:58" ht="16">
      <c r="A144" s="14" t="s">
        <v>17044</v>
      </c>
      <c r="B144" s="14" t="s">
        <v>17049</v>
      </c>
      <c r="C144" s="14">
        <v>2</v>
      </c>
      <c r="D144" s="14">
        <v>16</v>
      </c>
      <c r="E144" s="14">
        <v>15</v>
      </c>
      <c r="F144" s="14">
        <v>16</v>
      </c>
      <c r="G144" s="14">
        <v>1</v>
      </c>
      <c r="H144" s="14">
        <v>0</v>
      </c>
      <c r="I144" s="14">
        <v>0</v>
      </c>
      <c r="J144" s="14">
        <v>15</v>
      </c>
      <c r="K144" s="14">
        <v>147</v>
      </c>
      <c r="L144" s="14">
        <v>6</v>
      </c>
      <c r="M144" s="14">
        <v>4</v>
      </c>
      <c r="N144" s="14">
        <v>2</v>
      </c>
      <c r="O144" s="14">
        <v>1</v>
      </c>
      <c r="P144" s="14">
        <v>0</v>
      </c>
      <c r="Q144" s="14">
        <v>1</v>
      </c>
      <c r="R144" s="14">
        <v>0</v>
      </c>
      <c r="S144" s="14">
        <v>2.75</v>
      </c>
      <c r="T144" s="14">
        <v>1.75</v>
      </c>
      <c r="U144" s="14">
        <v>0</v>
      </c>
      <c r="V144" s="14">
        <v>4.5</v>
      </c>
      <c r="W144" s="15">
        <v>55</v>
      </c>
      <c r="X144" s="15">
        <v>0</v>
      </c>
      <c r="Y144" s="14">
        <v>7</v>
      </c>
      <c r="Z144" s="14">
        <v>0</v>
      </c>
      <c r="AA144" s="15">
        <v>-7.5</v>
      </c>
      <c r="AB144" s="15">
        <v>0</v>
      </c>
      <c r="AC144" s="15">
        <v>137.5</v>
      </c>
      <c r="AD144" s="15">
        <v>0</v>
      </c>
      <c r="AE144" s="15">
        <v>137.5</v>
      </c>
      <c r="AF144" s="15">
        <v>0</v>
      </c>
      <c r="AG144" s="15">
        <v>192.5</v>
      </c>
      <c r="AH144" s="15">
        <v>55</v>
      </c>
      <c r="AI144" s="15">
        <v>0</v>
      </c>
      <c r="AJ144" s="15">
        <v>0</v>
      </c>
      <c r="AK144" s="15">
        <v>0</v>
      </c>
      <c r="AL144" s="15">
        <v>0</v>
      </c>
      <c r="AM144" s="14">
        <v>1</v>
      </c>
      <c r="AN144" s="14">
        <v>5</v>
      </c>
      <c r="AO144" s="14">
        <v>0</v>
      </c>
      <c r="AP144" s="14">
        <v>0</v>
      </c>
      <c r="AQ144" s="14">
        <v>0</v>
      </c>
      <c r="AR144" s="14">
        <v>0</v>
      </c>
      <c r="AS144" s="14">
        <v>0</v>
      </c>
      <c r="AT144" s="14">
        <v>147</v>
      </c>
      <c r="AU144" s="14">
        <v>0</v>
      </c>
      <c r="AV144" s="14">
        <v>133</v>
      </c>
      <c r="AW144" s="14">
        <v>14</v>
      </c>
      <c r="AX144" s="14">
        <v>2.75</v>
      </c>
      <c r="AY144" s="14">
        <v>0</v>
      </c>
      <c r="AZ144" s="14">
        <v>2.5</v>
      </c>
      <c r="BA144" s="14">
        <v>0.25</v>
      </c>
      <c r="BB144" s="14">
        <v>1.75</v>
      </c>
      <c r="BC144" s="14">
        <v>0</v>
      </c>
      <c r="BD144" s="14">
        <v>1.5</v>
      </c>
      <c r="BE144" s="14">
        <v>0.25</v>
      </c>
      <c r="BF144" s="14">
        <v>0</v>
      </c>
    </row>
    <row r="145" spans="1:58" ht="16">
      <c r="A145" s="14" t="s">
        <v>17044</v>
      </c>
      <c r="B145" s="14" t="s">
        <v>18821</v>
      </c>
      <c r="C145" s="14">
        <v>0</v>
      </c>
      <c r="D145" s="14">
        <v>0</v>
      </c>
      <c r="E145" s="14">
        <v>0</v>
      </c>
      <c r="F145" s="14">
        <v>0</v>
      </c>
      <c r="G145" s="14">
        <v>0</v>
      </c>
      <c r="H145" s="14">
        <v>0</v>
      </c>
      <c r="I145" s="14">
        <v>0</v>
      </c>
      <c r="J145" s="14">
        <v>0</v>
      </c>
      <c r="K145" s="14">
        <v>0</v>
      </c>
      <c r="L145" s="14">
        <v>0</v>
      </c>
      <c r="M145" s="14">
        <v>0</v>
      </c>
      <c r="N145" s="14">
        <v>0</v>
      </c>
      <c r="O145" s="14">
        <v>0</v>
      </c>
      <c r="P145" s="14">
        <v>0</v>
      </c>
      <c r="Q145" s="14">
        <v>0</v>
      </c>
      <c r="R145" s="14">
        <v>0</v>
      </c>
      <c r="S145" s="14">
        <v>0</v>
      </c>
      <c r="T145" s="14">
        <v>0</v>
      </c>
      <c r="U145" s="14">
        <v>0</v>
      </c>
      <c r="V145" s="14">
        <v>0</v>
      </c>
      <c r="W145" s="15">
        <v>0</v>
      </c>
      <c r="X145" s="15">
        <v>0</v>
      </c>
      <c r="Y145" s="14">
        <v>0</v>
      </c>
      <c r="Z145" s="14">
        <v>0</v>
      </c>
      <c r="AA145" s="15">
        <v>0</v>
      </c>
      <c r="AB145" s="15">
        <v>0</v>
      </c>
      <c r="AC145" s="15">
        <v>0</v>
      </c>
      <c r="AD145" s="15">
        <v>0</v>
      </c>
      <c r="AE145" s="15">
        <v>0</v>
      </c>
      <c r="AF145" s="15">
        <v>0</v>
      </c>
      <c r="AG145" s="15">
        <v>0</v>
      </c>
      <c r="AH145" s="15">
        <v>0</v>
      </c>
      <c r="AI145" s="15">
        <v>0</v>
      </c>
      <c r="AJ145" s="15">
        <v>0</v>
      </c>
      <c r="AK145" s="15">
        <v>0</v>
      </c>
      <c r="AL145" s="15">
        <v>0</v>
      </c>
      <c r="AM145" s="14">
        <v>0</v>
      </c>
      <c r="AN145" s="14">
        <v>0</v>
      </c>
      <c r="AO145" s="14">
        <v>0</v>
      </c>
      <c r="AP145" s="14">
        <v>0</v>
      </c>
      <c r="AQ145" s="14">
        <v>0</v>
      </c>
      <c r="AR145" s="14">
        <v>0</v>
      </c>
      <c r="AS145" s="14">
        <v>0</v>
      </c>
      <c r="AT145" s="14">
        <v>0</v>
      </c>
      <c r="AU145" s="14">
        <v>0</v>
      </c>
      <c r="AV145" s="14">
        <v>0</v>
      </c>
      <c r="AW145" s="14">
        <v>0</v>
      </c>
      <c r="AX145" s="14">
        <v>0</v>
      </c>
      <c r="AY145" s="14">
        <v>0</v>
      </c>
      <c r="AZ145" s="14">
        <v>0</v>
      </c>
      <c r="BA145" s="14">
        <v>0</v>
      </c>
      <c r="BB145" s="14">
        <v>0</v>
      </c>
      <c r="BC145" s="14">
        <v>0</v>
      </c>
      <c r="BD145" s="14">
        <v>0</v>
      </c>
      <c r="BE145" s="14">
        <v>0</v>
      </c>
      <c r="BF145" s="14">
        <v>0</v>
      </c>
    </row>
    <row r="146" spans="1:58" ht="16">
      <c r="A146" s="14" t="s">
        <v>17044</v>
      </c>
      <c r="B146" s="14" t="s">
        <v>17341</v>
      </c>
      <c r="C146" s="14">
        <v>0</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4">
        <v>0</v>
      </c>
      <c r="T146" s="14">
        <v>0</v>
      </c>
      <c r="U146" s="14">
        <v>0</v>
      </c>
      <c r="V146" s="14">
        <v>0</v>
      </c>
      <c r="W146" s="15">
        <v>0</v>
      </c>
      <c r="X146" s="15">
        <v>0</v>
      </c>
      <c r="Y146" s="14">
        <v>0</v>
      </c>
      <c r="Z146" s="14">
        <v>0</v>
      </c>
      <c r="AA146" s="15">
        <v>0</v>
      </c>
      <c r="AB146" s="15">
        <v>0</v>
      </c>
      <c r="AC146" s="15">
        <v>0</v>
      </c>
      <c r="AD146" s="15">
        <v>0</v>
      </c>
      <c r="AE146" s="15">
        <v>0</v>
      </c>
      <c r="AF146" s="15">
        <v>0</v>
      </c>
      <c r="AG146" s="15">
        <v>0</v>
      </c>
      <c r="AH146" s="15">
        <v>0</v>
      </c>
      <c r="AI146" s="15">
        <v>0</v>
      </c>
      <c r="AJ146" s="15">
        <v>0</v>
      </c>
      <c r="AK146" s="15">
        <v>0</v>
      </c>
      <c r="AL146" s="15">
        <v>0</v>
      </c>
      <c r="AM146" s="14">
        <v>0</v>
      </c>
      <c r="AN146" s="14">
        <v>0</v>
      </c>
      <c r="AO146" s="14">
        <v>0</v>
      </c>
      <c r="AP146" s="14">
        <v>0</v>
      </c>
      <c r="AQ146" s="14">
        <v>0</v>
      </c>
      <c r="AR146" s="14">
        <v>0</v>
      </c>
      <c r="AS146" s="14">
        <v>0</v>
      </c>
      <c r="AT146" s="14">
        <v>0</v>
      </c>
      <c r="AU146" s="14">
        <v>0</v>
      </c>
      <c r="AV146" s="14">
        <v>0</v>
      </c>
      <c r="AW146" s="14">
        <v>0</v>
      </c>
      <c r="AX146" s="14">
        <v>0</v>
      </c>
      <c r="AY146" s="14">
        <v>0</v>
      </c>
      <c r="AZ146" s="14">
        <v>0</v>
      </c>
      <c r="BA146" s="14">
        <v>0</v>
      </c>
      <c r="BB146" s="14">
        <v>0</v>
      </c>
      <c r="BC146" s="14">
        <v>0</v>
      </c>
      <c r="BD146" s="14">
        <v>0</v>
      </c>
      <c r="BE146" s="14">
        <v>0</v>
      </c>
      <c r="BF146" s="14">
        <v>0</v>
      </c>
    </row>
    <row r="147" spans="1:58" ht="16">
      <c r="A147" s="14" t="s">
        <v>17044</v>
      </c>
      <c r="B147" s="14" t="s">
        <v>17052</v>
      </c>
      <c r="C147" s="14">
        <v>0</v>
      </c>
      <c r="D147" s="14">
        <v>7</v>
      </c>
      <c r="E147" s="14">
        <v>6</v>
      </c>
      <c r="F147" s="14">
        <v>7</v>
      </c>
      <c r="G147" s="14">
        <v>0</v>
      </c>
      <c r="H147" s="14">
        <v>0</v>
      </c>
      <c r="I147" s="14">
        <v>0</v>
      </c>
      <c r="J147" s="14">
        <v>7</v>
      </c>
      <c r="K147" s="14">
        <v>80</v>
      </c>
      <c r="L147" s="14">
        <v>7</v>
      </c>
      <c r="M147" s="14">
        <v>0</v>
      </c>
      <c r="N147" s="14">
        <v>0</v>
      </c>
      <c r="O147" s="14">
        <v>0</v>
      </c>
      <c r="P147" s="14">
        <v>0</v>
      </c>
      <c r="Q147" s="14">
        <v>0</v>
      </c>
      <c r="R147" s="14">
        <v>0</v>
      </c>
      <c r="S147" s="14">
        <v>9.5</v>
      </c>
      <c r="T147" s="14">
        <v>7.5</v>
      </c>
      <c r="U147" s="14">
        <v>0</v>
      </c>
      <c r="V147" s="14">
        <v>17</v>
      </c>
      <c r="W147" s="15">
        <v>245</v>
      </c>
      <c r="X147" s="15">
        <v>0</v>
      </c>
      <c r="Y147" s="14">
        <v>7</v>
      </c>
      <c r="Z147" s="14">
        <v>0</v>
      </c>
      <c r="AA147" s="15">
        <v>0</v>
      </c>
      <c r="AB147" s="15">
        <v>130</v>
      </c>
      <c r="AC147" s="15">
        <v>1089</v>
      </c>
      <c r="AD147" s="15">
        <v>544.5</v>
      </c>
      <c r="AE147" s="15">
        <v>674.5</v>
      </c>
      <c r="AF147" s="15">
        <v>674.5</v>
      </c>
      <c r="AG147" s="15">
        <v>1334</v>
      </c>
      <c r="AH147" s="15">
        <v>659.5</v>
      </c>
      <c r="AI147" s="15">
        <v>0</v>
      </c>
      <c r="AJ147" s="15">
        <v>0</v>
      </c>
      <c r="AK147" s="15">
        <v>0</v>
      </c>
      <c r="AL147" s="15">
        <v>0</v>
      </c>
      <c r="AM147" s="14">
        <v>0</v>
      </c>
      <c r="AN147" s="14">
        <v>0</v>
      </c>
      <c r="AO147" s="14">
        <v>0</v>
      </c>
      <c r="AP147" s="14">
        <v>0</v>
      </c>
      <c r="AQ147" s="14">
        <v>1</v>
      </c>
      <c r="AR147" s="14">
        <v>0</v>
      </c>
      <c r="AS147" s="14">
        <v>0</v>
      </c>
      <c r="AT147" s="14">
        <v>80</v>
      </c>
      <c r="AU147" s="14">
        <v>0</v>
      </c>
      <c r="AV147" s="14">
        <v>80</v>
      </c>
      <c r="AW147" s="14">
        <v>0</v>
      </c>
      <c r="AX147" s="14">
        <v>9.5</v>
      </c>
      <c r="AY147" s="14">
        <v>0</v>
      </c>
      <c r="AZ147" s="14">
        <v>9.5</v>
      </c>
      <c r="BA147" s="14">
        <v>0</v>
      </c>
      <c r="BB147" s="14">
        <v>7.5</v>
      </c>
      <c r="BC147" s="14">
        <v>0</v>
      </c>
      <c r="BD147" s="14">
        <v>7.5</v>
      </c>
      <c r="BE147" s="14">
        <v>0</v>
      </c>
      <c r="BF147" s="14"/>
    </row>
    <row r="148" spans="1:58" ht="16">
      <c r="A148" s="14" t="s">
        <v>17044</v>
      </c>
      <c r="B148" s="14" t="s">
        <v>17052</v>
      </c>
      <c r="C148" s="14">
        <v>1</v>
      </c>
      <c r="D148" s="14">
        <v>5</v>
      </c>
      <c r="E148" s="14">
        <v>5</v>
      </c>
      <c r="F148" s="14">
        <v>5</v>
      </c>
      <c r="G148" s="14">
        <v>1</v>
      </c>
      <c r="H148" s="14">
        <v>1</v>
      </c>
      <c r="I148" s="14">
        <v>0</v>
      </c>
      <c r="J148" s="14">
        <v>4</v>
      </c>
      <c r="K148" s="14">
        <v>29</v>
      </c>
      <c r="L148" s="14">
        <v>4</v>
      </c>
      <c r="M148" s="14">
        <v>0</v>
      </c>
      <c r="N148" s="14">
        <v>0</v>
      </c>
      <c r="O148" s="14">
        <v>0</v>
      </c>
      <c r="P148" s="14">
        <v>0</v>
      </c>
      <c r="Q148" s="14">
        <v>0</v>
      </c>
      <c r="R148" s="14">
        <v>0</v>
      </c>
      <c r="S148" s="14">
        <v>2</v>
      </c>
      <c r="T148" s="14">
        <v>4</v>
      </c>
      <c r="U148" s="14">
        <v>4</v>
      </c>
      <c r="V148" s="14">
        <v>10</v>
      </c>
      <c r="W148" s="15">
        <v>100</v>
      </c>
      <c r="X148" s="15">
        <v>0</v>
      </c>
      <c r="Y148" s="14">
        <v>4</v>
      </c>
      <c r="Z148" s="14">
        <v>0</v>
      </c>
      <c r="AA148" s="15">
        <v>0</v>
      </c>
      <c r="AB148" s="15">
        <v>0</v>
      </c>
      <c r="AC148" s="15">
        <v>0</v>
      </c>
      <c r="AD148" s="15">
        <v>0</v>
      </c>
      <c r="AE148" s="15">
        <v>0</v>
      </c>
      <c r="AF148" s="15">
        <v>0</v>
      </c>
      <c r="AG148" s="15">
        <v>180</v>
      </c>
      <c r="AH148" s="15">
        <v>180</v>
      </c>
      <c r="AI148" s="15">
        <v>0</v>
      </c>
      <c r="AJ148" s="15">
        <v>0</v>
      </c>
      <c r="AK148" s="15">
        <v>0</v>
      </c>
      <c r="AL148" s="15">
        <v>0</v>
      </c>
      <c r="AM148" s="14">
        <v>0</v>
      </c>
      <c r="AN148" s="14">
        <v>0</v>
      </c>
      <c r="AO148" s="14">
        <v>0</v>
      </c>
      <c r="AP148" s="14">
        <v>0</v>
      </c>
      <c r="AQ148" s="14">
        <v>0</v>
      </c>
      <c r="AR148" s="14">
        <v>0</v>
      </c>
      <c r="AS148" s="14">
        <v>0</v>
      </c>
      <c r="AT148" s="14">
        <v>29</v>
      </c>
      <c r="AU148" s="14">
        <v>0</v>
      </c>
      <c r="AV148" s="14">
        <v>29</v>
      </c>
      <c r="AW148" s="14">
        <v>0</v>
      </c>
      <c r="AX148" s="14">
        <v>2</v>
      </c>
      <c r="AY148" s="14">
        <v>0</v>
      </c>
      <c r="AZ148" s="14">
        <v>2</v>
      </c>
      <c r="BA148" s="14">
        <v>0</v>
      </c>
      <c r="BB148" s="14">
        <v>4</v>
      </c>
      <c r="BC148" s="14">
        <v>0</v>
      </c>
      <c r="BD148" s="14">
        <v>4</v>
      </c>
      <c r="BE148" s="14">
        <v>0</v>
      </c>
      <c r="BF148" s="14">
        <v>0</v>
      </c>
    </row>
    <row r="149" spans="1:58" ht="16">
      <c r="A149" s="14" t="s">
        <v>17044</v>
      </c>
      <c r="B149" s="14" t="s">
        <v>17057</v>
      </c>
      <c r="C149" s="14">
        <v>95</v>
      </c>
      <c r="D149" s="14">
        <v>113</v>
      </c>
      <c r="E149" s="14">
        <v>113</v>
      </c>
      <c r="F149" s="14">
        <v>110</v>
      </c>
      <c r="G149" s="14">
        <v>5</v>
      </c>
      <c r="H149" s="14">
        <v>2</v>
      </c>
      <c r="I149" s="14">
        <v>2</v>
      </c>
      <c r="J149" s="14">
        <v>113</v>
      </c>
      <c r="K149" s="14">
        <v>1453</v>
      </c>
      <c r="L149" s="14">
        <v>39</v>
      </c>
      <c r="M149" s="14">
        <v>1</v>
      </c>
      <c r="N149" s="14">
        <v>48</v>
      </c>
      <c r="O149" s="14">
        <v>2</v>
      </c>
      <c r="P149" s="14">
        <v>1</v>
      </c>
      <c r="Q149" s="14">
        <v>17</v>
      </c>
      <c r="R149" s="14">
        <v>0</v>
      </c>
      <c r="S149" s="14">
        <v>39.35</v>
      </c>
      <c r="T149" s="14">
        <v>34.9</v>
      </c>
      <c r="U149" s="14">
        <v>1</v>
      </c>
      <c r="V149" s="14">
        <v>75.25</v>
      </c>
      <c r="W149" s="15">
        <v>277.5</v>
      </c>
      <c r="X149" s="15">
        <v>3</v>
      </c>
      <c r="Y149" s="14">
        <v>14</v>
      </c>
      <c r="Z149" s="14">
        <v>0</v>
      </c>
      <c r="AA149" s="15">
        <v>-814</v>
      </c>
      <c r="AB149" s="15">
        <v>25</v>
      </c>
      <c r="AC149" s="15">
        <v>2319.6</v>
      </c>
      <c r="AD149" s="15">
        <v>2003.7</v>
      </c>
      <c r="AE149" s="15">
        <v>1950.9</v>
      </c>
      <c r="AF149" s="15">
        <v>2028.7</v>
      </c>
      <c r="AG149" s="15">
        <v>2113.6</v>
      </c>
      <c r="AH149" s="15">
        <v>639.20000000000005</v>
      </c>
      <c r="AI149" s="15">
        <v>1.5</v>
      </c>
      <c r="AJ149" s="15">
        <v>1.5</v>
      </c>
      <c r="AK149" s="15">
        <v>7.25</v>
      </c>
      <c r="AL149" s="15">
        <v>5.75</v>
      </c>
      <c r="AM149" s="14">
        <v>68</v>
      </c>
      <c r="AN149" s="14">
        <v>21</v>
      </c>
      <c r="AO149" s="14">
        <v>1</v>
      </c>
      <c r="AP149" s="14">
        <v>1</v>
      </c>
      <c r="AQ149" s="14">
        <v>0</v>
      </c>
      <c r="AR149" s="14">
        <v>1</v>
      </c>
      <c r="AS149" s="14">
        <v>0</v>
      </c>
      <c r="AT149" s="14">
        <v>1453</v>
      </c>
      <c r="AU149" s="14">
        <v>21</v>
      </c>
      <c r="AV149" s="14">
        <v>176</v>
      </c>
      <c r="AW149" s="14">
        <v>1265</v>
      </c>
      <c r="AX149" s="14">
        <v>39.35</v>
      </c>
      <c r="AY149" s="14">
        <v>1</v>
      </c>
      <c r="AZ149" s="14">
        <v>8.25</v>
      </c>
      <c r="BA149" s="14">
        <v>31.1</v>
      </c>
      <c r="BB149" s="14">
        <v>34.9</v>
      </c>
      <c r="BC149" s="14">
        <v>1.5</v>
      </c>
      <c r="BD149" s="14">
        <v>9.75</v>
      </c>
      <c r="BE149" s="14">
        <v>25.15</v>
      </c>
      <c r="BF149" s="14"/>
    </row>
    <row r="150" spans="1:58" ht="16">
      <c r="A150" s="14" t="s">
        <v>17044</v>
      </c>
      <c r="B150" s="14" t="s">
        <v>17340</v>
      </c>
      <c r="C150" s="14">
        <v>0</v>
      </c>
      <c r="D150" s="14">
        <v>11</v>
      </c>
      <c r="E150" s="14">
        <v>11</v>
      </c>
      <c r="F150" s="14">
        <v>11</v>
      </c>
      <c r="G150" s="14">
        <v>5</v>
      </c>
      <c r="H150" s="14">
        <v>3</v>
      </c>
      <c r="I150" s="14">
        <v>1</v>
      </c>
      <c r="J150" s="14">
        <v>11</v>
      </c>
      <c r="K150" s="14">
        <v>180</v>
      </c>
      <c r="L150" s="14">
        <v>4</v>
      </c>
      <c r="M150" s="14">
        <v>0</v>
      </c>
      <c r="N150" s="14">
        <v>1</v>
      </c>
      <c r="O150" s="14">
        <v>5</v>
      </c>
      <c r="P150" s="14">
        <v>0</v>
      </c>
      <c r="Q150" s="14">
        <v>1</v>
      </c>
      <c r="R150" s="14">
        <v>0</v>
      </c>
      <c r="S150" s="14">
        <v>16.25</v>
      </c>
      <c r="T150" s="14">
        <v>15.25</v>
      </c>
      <c r="U150" s="14">
        <v>0</v>
      </c>
      <c r="V150" s="14">
        <v>31.5</v>
      </c>
      <c r="W150" s="15">
        <v>467.5</v>
      </c>
      <c r="X150" s="15">
        <v>0</v>
      </c>
      <c r="Y150" s="14">
        <v>10</v>
      </c>
      <c r="Z150" s="14">
        <v>1</v>
      </c>
      <c r="AA150" s="15">
        <v>0</v>
      </c>
      <c r="AB150" s="15">
        <v>220</v>
      </c>
      <c r="AC150" s="15">
        <v>57.15</v>
      </c>
      <c r="AD150" s="15">
        <v>57.15</v>
      </c>
      <c r="AE150" s="15">
        <v>187.15</v>
      </c>
      <c r="AF150" s="15">
        <v>277.14999999999998</v>
      </c>
      <c r="AG150" s="15">
        <v>524.65</v>
      </c>
      <c r="AH150" s="15">
        <v>337.5</v>
      </c>
      <c r="AI150" s="15">
        <v>74</v>
      </c>
      <c r="AJ150" s="15">
        <v>74</v>
      </c>
      <c r="AK150" s="15">
        <v>134</v>
      </c>
      <c r="AL150" s="15">
        <v>60</v>
      </c>
      <c r="AM150" s="14">
        <v>0</v>
      </c>
      <c r="AN150" s="14">
        <v>0</v>
      </c>
      <c r="AO150" s="14">
        <v>1</v>
      </c>
      <c r="AP150" s="14">
        <v>1</v>
      </c>
      <c r="AQ150" s="14">
        <v>0</v>
      </c>
      <c r="AR150" s="14">
        <v>0</v>
      </c>
      <c r="AS150" s="14">
        <v>0</v>
      </c>
      <c r="AT150" s="14">
        <v>180</v>
      </c>
      <c r="AU150" s="14">
        <v>67</v>
      </c>
      <c r="AV150" s="14">
        <v>113</v>
      </c>
      <c r="AW150" s="14">
        <v>0</v>
      </c>
      <c r="AX150" s="14">
        <v>16.25</v>
      </c>
      <c r="AY150" s="14">
        <v>5</v>
      </c>
      <c r="AZ150" s="14">
        <v>11.25</v>
      </c>
      <c r="BA150" s="14">
        <v>0</v>
      </c>
      <c r="BB150" s="14">
        <v>15.25</v>
      </c>
      <c r="BC150" s="14">
        <v>4</v>
      </c>
      <c r="BD150" s="14">
        <v>11.25</v>
      </c>
      <c r="BE150" s="14">
        <v>0</v>
      </c>
      <c r="BF150" s="14">
        <v>50</v>
      </c>
    </row>
    <row r="151" spans="1:58" ht="16">
      <c r="A151" s="14" t="s">
        <v>17044</v>
      </c>
      <c r="B151" s="14" t="s">
        <v>17058</v>
      </c>
      <c r="C151" s="14">
        <v>53</v>
      </c>
      <c r="D151" s="14">
        <v>88</v>
      </c>
      <c r="E151" s="14">
        <v>88</v>
      </c>
      <c r="F151" s="14">
        <v>86</v>
      </c>
      <c r="G151" s="14">
        <v>5</v>
      </c>
      <c r="H151" s="14">
        <v>1</v>
      </c>
      <c r="I151" s="14">
        <v>0</v>
      </c>
      <c r="J151" s="14">
        <v>88</v>
      </c>
      <c r="K151" s="14">
        <v>375</v>
      </c>
      <c r="L151" s="14">
        <v>24</v>
      </c>
      <c r="M151" s="14">
        <v>20</v>
      </c>
      <c r="N151" s="14">
        <v>19</v>
      </c>
      <c r="O151" s="14">
        <v>10</v>
      </c>
      <c r="P151" s="14">
        <v>1</v>
      </c>
      <c r="Q151" s="14">
        <v>14</v>
      </c>
      <c r="R151" s="14">
        <v>0</v>
      </c>
      <c r="S151" s="14">
        <v>18</v>
      </c>
      <c r="T151" s="14">
        <v>16.75</v>
      </c>
      <c r="U151" s="14">
        <v>0</v>
      </c>
      <c r="V151" s="14">
        <v>34.799999999999997</v>
      </c>
      <c r="W151" s="15">
        <v>220</v>
      </c>
      <c r="X151" s="15">
        <v>0</v>
      </c>
      <c r="Y151" s="14">
        <v>31</v>
      </c>
      <c r="Z151" s="14">
        <v>0</v>
      </c>
      <c r="AA151" s="15">
        <v>-295</v>
      </c>
      <c r="AB151" s="15">
        <v>0</v>
      </c>
      <c r="AC151" s="15">
        <v>723.85</v>
      </c>
      <c r="AD151" s="15">
        <v>348.1</v>
      </c>
      <c r="AE151" s="15">
        <v>286.10000000000002</v>
      </c>
      <c r="AF151" s="15">
        <v>348.1</v>
      </c>
      <c r="AG151" s="15">
        <v>943.85</v>
      </c>
      <c r="AH151" s="15">
        <v>657.75</v>
      </c>
      <c r="AI151" s="15">
        <v>0</v>
      </c>
      <c r="AJ151" s="15">
        <v>32</v>
      </c>
      <c r="AK151" s="15">
        <v>64</v>
      </c>
      <c r="AL151" s="15">
        <v>64</v>
      </c>
      <c r="AM151" s="14">
        <v>26</v>
      </c>
      <c r="AN151" s="14">
        <v>6</v>
      </c>
      <c r="AO151" s="14">
        <v>0</v>
      </c>
      <c r="AP151" s="14">
        <v>1</v>
      </c>
      <c r="AQ151" s="14">
        <v>0</v>
      </c>
      <c r="AR151" s="14">
        <v>0</v>
      </c>
      <c r="AS151" s="14">
        <v>0</v>
      </c>
      <c r="AT151" s="14">
        <v>375</v>
      </c>
      <c r="AU151" s="14">
        <v>15</v>
      </c>
      <c r="AV151" s="14">
        <v>100</v>
      </c>
      <c r="AW151" s="14">
        <v>275</v>
      </c>
      <c r="AX151" s="14">
        <v>18</v>
      </c>
      <c r="AY151" s="14">
        <v>0.5</v>
      </c>
      <c r="AZ151" s="14">
        <v>7.5</v>
      </c>
      <c r="BA151" s="14">
        <v>10.5</v>
      </c>
      <c r="BB151" s="14">
        <v>16.75</v>
      </c>
      <c r="BC151" s="14">
        <v>1</v>
      </c>
      <c r="BD151" s="14">
        <v>7.25</v>
      </c>
      <c r="BE151" s="14">
        <v>9.5</v>
      </c>
      <c r="BF151" s="14">
        <v>0</v>
      </c>
    </row>
    <row r="152" spans="1:58" ht="16">
      <c r="A152" s="14" t="s">
        <v>17059</v>
      </c>
      <c r="B152" s="14" t="s">
        <v>18822</v>
      </c>
      <c r="C152" s="14">
        <v>0</v>
      </c>
      <c r="D152" s="14">
        <v>2</v>
      </c>
      <c r="E152" s="14">
        <v>2</v>
      </c>
      <c r="F152" s="14">
        <v>2</v>
      </c>
      <c r="G152" s="14">
        <v>0</v>
      </c>
      <c r="H152" s="14">
        <v>0</v>
      </c>
      <c r="I152" s="14">
        <v>0</v>
      </c>
      <c r="J152" s="14">
        <v>2</v>
      </c>
      <c r="K152" s="14">
        <v>2</v>
      </c>
      <c r="L152" s="14">
        <v>2</v>
      </c>
      <c r="M152" s="14">
        <v>0</v>
      </c>
      <c r="N152" s="14">
        <v>0</v>
      </c>
      <c r="O152" s="14">
        <v>0</v>
      </c>
      <c r="P152" s="14">
        <v>0</v>
      </c>
      <c r="Q152" s="14">
        <v>0</v>
      </c>
      <c r="R152" s="14">
        <v>0</v>
      </c>
      <c r="S152" s="14">
        <v>0.5</v>
      </c>
      <c r="T152" s="14">
        <v>2</v>
      </c>
      <c r="U152" s="14">
        <v>0.5</v>
      </c>
      <c r="V152" s="14">
        <v>3</v>
      </c>
      <c r="W152" s="15">
        <v>45</v>
      </c>
      <c r="X152" s="15">
        <v>0</v>
      </c>
      <c r="Y152" s="14">
        <v>1</v>
      </c>
      <c r="Z152" s="14">
        <v>0</v>
      </c>
      <c r="AA152" s="15">
        <v>0</v>
      </c>
      <c r="AB152" s="15">
        <v>15</v>
      </c>
      <c r="AC152" s="15">
        <v>0</v>
      </c>
      <c r="AD152" s="15">
        <v>0</v>
      </c>
      <c r="AE152" s="15">
        <v>0</v>
      </c>
      <c r="AF152" s="15">
        <v>15</v>
      </c>
      <c r="AG152" s="15">
        <v>55</v>
      </c>
      <c r="AH152" s="15">
        <v>55</v>
      </c>
      <c r="AI152" s="15">
        <v>0</v>
      </c>
      <c r="AJ152" s="15">
        <v>0</v>
      </c>
      <c r="AK152" s="15">
        <v>0</v>
      </c>
      <c r="AL152" s="15">
        <v>0</v>
      </c>
      <c r="AM152" s="14">
        <v>0</v>
      </c>
      <c r="AN152" s="14">
        <v>0</v>
      </c>
      <c r="AO152" s="14">
        <v>0</v>
      </c>
      <c r="AP152" s="14">
        <v>0</v>
      </c>
      <c r="AQ152" s="14">
        <v>0</v>
      </c>
      <c r="AR152" s="14">
        <v>0</v>
      </c>
      <c r="AS152" s="14">
        <v>0</v>
      </c>
      <c r="AT152" s="14">
        <v>2</v>
      </c>
      <c r="AU152" s="14">
        <v>0</v>
      </c>
      <c r="AV152" s="14">
        <v>2</v>
      </c>
      <c r="AW152" s="14">
        <v>0</v>
      </c>
      <c r="AX152" s="14">
        <v>0.5</v>
      </c>
      <c r="AY152" s="14">
        <v>0</v>
      </c>
      <c r="AZ152" s="14">
        <v>0.5</v>
      </c>
      <c r="BA152" s="14">
        <v>0</v>
      </c>
      <c r="BB152" s="14">
        <v>2</v>
      </c>
      <c r="BC152" s="14">
        <v>0</v>
      </c>
      <c r="BD152" s="14">
        <v>2</v>
      </c>
      <c r="BE152" s="14">
        <v>0</v>
      </c>
      <c r="BF152" s="14">
        <v>0</v>
      </c>
    </row>
    <row r="153" spans="1:58" ht="16">
      <c r="A153" s="14" t="s">
        <v>16978</v>
      </c>
      <c r="B153" s="14" t="s">
        <v>17065</v>
      </c>
      <c r="C153" s="14">
        <v>0</v>
      </c>
      <c r="D153" s="14">
        <v>3</v>
      </c>
      <c r="E153" s="14">
        <v>0</v>
      </c>
      <c r="F153" s="14">
        <v>0</v>
      </c>
      <c r="G153" s="14">
        <v>0</v>
      </c>
      <c r="H153" s="14">
        <v>0</v>
      </c>
      <c r="I153" s="14">
        <v>0</v>
      </c>
      <c r="J153" s="14">
        <v>2</v>
      </c>
      <c r="K153" s="14">
        <v>2</v>
      </c>
      <c r="L153" s="14">
        <v>0</v>
      </c>
      <c r="M153" s="14">
        <v>0</v>
      </c>
      <c r="N153" s="14">
        <v>0</v>
      </c>
      <c r="O153" s="14">
        <v>0</v>
      </c>
      <c r="P153" s="14">
        <v>0</v>
      </c>
      <c r="Q153" s="14">
        <v>0</v>
      </c>
      <c r="R153" s="14">
        <v>0</v>
      </c>
      <c r="S153" s="14">
        <v>0</v>
      </c>
      <c r="T153" s="14">
        <v>0</v>
      </c>
      <c r="U153" s="14">
        <v>0</v>
      </c>
      <c r="V153" s="14">
        <v>0</v>
      </c>
      <c r="W153" s="15">
        <v>0</v>
      </c>
      <c r="X153" s="15">
        <v>0</v>
      </c>
      <c r="Y153" s="14">
        <v>0</v>
      </c>
      <c r="Z153" s="14">
        <v>0</v>
      </c>
      <c r="AA153" s="15">
        <v>0</v>
      </c>
      <c r="AB153" s="15">
        <v>0</v>
      </c>
      <c r="AC153" s="15">
        <v>0</v>
      </c>
      <c r="AD153" s="15">
        <v>0</v>
      </c>
      <c r="AE153" s="15">
        <v>0</v>
      </c>
      <c r="AF153" s="15">
        <v>0</v>
      </c>
      <c r="AG153" s="15">
        <v>0</v>
      </c>
      <c r="AH153" s="15">
        <v>0</v>
      </c>
      <c r="AI153" s="15">
        <v>0</v>
      </c>
      <c r="AJ153" s="15">
        <v>0</v>
      </c>
      <c r="AK153" s="15">
        <v>0</v>
      </c>
      <c r="AL153" s="15">
        <v>0</v>
      </c>
      <c r="AM153" s="14">
        <v>0</v>
      </c>
      <c r="AN153" s="14">
        <v>0</v>
      </c>
      <c r="AO153" s="14">
        <v>0</v>
      </c>
      <c r="AP153" s="14">
        <v>0</v>
      </c>
      <c r="AQ153" s="14">
        <v>0</v>
      </c>
      <c r="AR153" s="14">
        <v>0</v>
      </c>
      <c r="AS153" s="14">
        <v>0</v>
      </c>
      <c r="AT153" s="14">
        <v>2</v>
      </c>
      <c r="AU153" s="14">
        <v>0</v>
      </c>
      <c r="AV153" s="14">
        <v>2</v>
      </c>
      <c r="AW153" s="14">
        <v>0</v>
      </c>
      <c r="AX153" s="14">
        <v>0</v>
      </c>
      <c r="AY153" s="14">
        <v>0</v>
      </c>
      <c r="AZ153" s="14">
        <v>0</v>
      </c>
      <c r="BA153" s="14">
        <v>0</v>
      </c>
      <c r="BB153" s="14">
        <v>0</v>
      </c>
      <c r="BC153" s="14">
        <v>0</v>
      </c>
      <c r="BD153" s="14">
        <v>0</v>
      </c>
      <c r="BE153" s="14">
        <v>0</v>
      </c>
      <c r="BF153" s="14"/>
    </row>
    <row r="154" spans="1:58" ht="16">
      <c r="A154" s="14" t="s">
        <v>16978</v>
      </c>
      <c r="B154" s="14" t="s">
        <v>18823</v>
      </c>
      <c r="C154" s="14">
        <v>0</v>
      </c>
      <c r="D154" s="14">
        <v>0</v>
      </c>
      <c r="E154" s="14">
        <v>0</v>
      </c>
      <c r="F154" s="14">
        <v>0</v>
      </c>
      <c r="G154" s="14">
        <v>0</v>
      </c>
      <c r="H154" s="14">
        <v>0</v>
      </c>
      <c r="I154" s="14">
        <v>0</v>
      </c>
      <c r="J154" s="14">
        <v>0</v>
      </c>
      <c r="K154" s="14">
        <v>0</v>
      </c>
      <c r="L154" s="14">
        <v>0</v>
      </c>
      <c r="M154" s="14">
        <v>0</v>
      </c>
      <c r="N154" s="14">
        <v>0</v>
      </c>
      <c r="O154" s="14">
        <v>0</v>
      </c>
      <c r="P154" s="14">
        <v>0</v>
      </c>
      <c r="Q154" s="14">
        <v>0</v>
      </c>
      <c r="R154" s="14">
        <v>0</v>
      </c>
      <c r="S154" s="14">
        <v>0</v>
      </c>
      <c r="T154" s="14">
        <v>0</v>
      </c>
      <c r="U154" s="14">
        <v>0</v>
      </c>
      <c r="V154" s="14">
        <v>0</v>
      </c>
      <c r="W154" s="15">
        <v>0</v>
      </c>
      <c r="X154" s="15">
        <v>0</v>
      </c>
      <c r="Y154" s="14">
        <v>0</v>
      </c>
      <c r="Z154" s="14">
        <v>0</v>
      </c>
      <c r="AA154" s="15">
        <v>0</v>
      </c>
      <c r="AB154" s="15">
        <v>0</v>
      </c>
      <c r="AC154" s="15">
        <v>0</v>
      </c>
      <c r="AD154" s="15">
        <v>0</v>
      </c>
      <c r="AE154" s="15">
        <v>0</v>
      </c>
      <c r="AF154" s="15">
        <v>0</v>
      </c>
      <c r="AG154" s="15">
        <v>0</v>
      </c>
      <c r="AH154" s="15">
        <v>0</v>
      </c>
      <c r="AI154" s="15">
        <v>0</v>
      </c>
      <c r="AJ154" s="15">
        <v>0</v>
      </c>
      <c r="AK154" s="15">
        <v>0</v>
      </c>
      <c r="AL154" s="15">
        <v>0</v>
      </c>
      <c r="AM154" s="14">
        <v>0</v>
      </c>
      <c r="AN154" s="14">
        <v>0</v>
      </c>
      <c r="AO154" s="14">
        <v>0</v>
      </c>
      <c r="AP154" s="14">
        <v>0</v>
      </c>
      <c r="AQ154" s="14">
        <v>0</v>
      </c>
      <c r="AR154" s="14">
        <v>0</v>
      </c>
      <c r="AS154" s="14">
        <v>0</v>
      </c>
      <c r="AT154" s="14">
        <v>0</v>
      </c>
      <c r="AU154" s="14">
        <v>0</v>
      </c>
      <c r="AV154" s="14">
        <v>0</v>
      </c>
      <c r="AW154" s="14">
        <v>0</v>
      </c>
      <c r="AX154" s="14">
        <v>0</v>
      </c>
      <c r="AY154" s="14">
        <v>0</v>
      </c>
      <c r="AZ154" s="14">
        <v>0</v>
      </c>
      <c r="BA154" s="14">
        <v>0</v>
      </c>
      <c r="BB154" s="14">
        <v>0</v>
      </c>
      <c r="BC154" s="14">
        <v>0</v>
      </c>
      <c r="BD154" s="14">
        <v>0</v>
      </c>
      <c r="BE154" s="14">
        <v>0</v>
      </c>
      <c r="BF154" s="14">
        <v>96</v>
      </c>
    </row>
    <row r="155" spans="1:58" ht="16">
      <c r="A155" s="14" t="s">
        <v>16978</v>
      </c>
      <c r="B155" s="14" t="s">
        <v>17330</v>
      </c>
      <c r="C155" s="14">
        <v>0</v>
      </c>
      <c r="D155" s="14">
        <v>0</v>
      </c>
      <c r="E155" s="14">
        <v>0</v>
      </c>
      <c r="F155" s="14">
        <v>0</v>
      </c>
      <c r="G155" s="14">
        <v>0</v>
      </c>
      <c r="H155" s="14">
        <v>0</v>
      </c>
      <c r="I155" s="14">
        <v>0</v>
      </c>
      <c r="J155" s="14">
        <v>0</v>
      </c>
      <c r="K155" s="14">
        <v>0</v>
      </c>
      <c r="L155" s="14">
        <v>0</v>
      </c>
      <c r="M155" s="14">
        <v>0</v>
      </c>
      <c r="N155" s="14">
        <v>0</v>
      </c>
      <c r="O155" s="14">
        <v>0</v>
      </c>
      <c r="P155" s="14">
        <v>0</v>
      </c>
      <c r="Q155" s="14">
        <v>0</v>
      </c>
      <c r="R155" s="14">
        <v>0</v>
      </c>
      <c r="S155" s="14">
        <v>0</v>
      </c>
      <c r="T155" s="14">
        <v>0</v>
      </c>
      <c r="U155" s="14">
        <v>0</v>
      </c>
      <c r="V155" s="14">
        <v>0</v>
      </c>
      <c r="W155" s="15">
        <v>0</v>
      </c>
      <c r="X155" s="15">
        <v>0</v>
      </c>
      <c r="Y155" s="14">
        <v>0</v>
      </c>
      <c r="Z155" s="14">
        <v>0</v>
      </c>
      <c r="AA155" s="15">
        <v>0</v>
      </c>
      <c r="AB155" s="15">
        <v>0</v>
      </c>
      <c r="AC155" s="15">
        <v>0</v>
      </c>
      <c r="AD155" s="15">
        <v>0</v>
      </c>
      <c r="AE155" s="15">
        <v>0</v>
      </c>
      <c r="AF155" s="15">
        <v>0</v>
      </c>
      <c r="AG155" s="15">
        <v>0</v>
      </c>
      <c r="AH155" s="15">
        <v>0</v>
      </c>
      <c r="AI155" s="15">
        <v>0</v>
      </c>
      <c r="AJ155" s="15">
        <v>0</v>
      </c>
      <c r="AK155" s="15">
        <v>0</v>
      </c>
      <c r="AL155" s="15">
        <v>0</v>
      </c>
      <c r="AM155" s="14">
        <v>0</v>
      </c>
      <c r="AN155" s="14">
        <v>0</v>
      </c>
      <c r="AO155" s="14">
        <v>0</v>
      </c>
      <c r="AP155" s="14">
        <v>0</v>
      </c>
      <c r="AQ155" s="14">
        <v>0</v>
      </c>
      <c r="AR155" s="14">
        <v>0</v>
      </c>
      <c r="AS155" s="14">
        <v>0</v>
      </c>
      <c r="AT155" s="14">
        <v>0</v>
      </c>
      <c r="AU155" s="14">
        <v>0</v>
      </c>
      <c r="AV155" s="14">
        <v>0</v>
      </c>
      <c r="AW155" s="14">
        <v>0</v>
      </c>
      <c r="AX155" s="14">
        <v>0</v>
      </c>
      <c r="AY155" s="14">
        <v>0</v>
      </c>
      <c r="AZ155" s="14">
        <v>0</v>
      </c>
      <c r="BA155" s="14">
        <v>0</v>
      </c>
      <c r="BB155" s="14">
        <v>0</v>
      </c>
      <c r="BC155" s="14">
        <v>0</v>
      </c>
      <c r="BD155" s="14">
        <v>0</v>
      </c>
      <c r="BE155" s="14">
        <v>0</v>
      </c>
      <c r="BF155" s="14">
        <v>25</v>
      </c>
    </row>
    <row r="156" spans="1:58" ht="16">
      <c r="A156" s="14" t="s">
        <v>16978</v>
      </c>
      <c r="B156" s="14" t="s">
        <v>18824</v>
      </c>
      <c r="C156" s="14">
        <v>0</v>
      </c>
      <c r="D156" s="14">
        <v>2</v>
      </c>
      <c r="E156" s="14">
        <v>2</v>
      </c>
      <c r="F156" s="14">
        <v>2</v>
      </c>
      <c r="G156" s="14">
        <v>0</v>
      </c>
      <c r="H156" s="14">
        <v>1</v>
      </c>
      <c r="I156" s="14">
        <v>0</v>
      </c>
      <c r="J156" s="14">
        <v>1</v>
      </c>
      <c r="K156" s="14">
        <v>67</v>
      </c>
      <c r="L156" s="14">
        <v>1</v>
      </c>
      <c r="M156" s="14">
        <v>0</v>
      </c>
      <c r="N156" s="14">
        <v>0</v>
      </c>
      <c r="O156" s="14">
        <v>0</v>
      </c>
      <c r="P156" s="14">
        <v>0</v>
      </c>
      <c r="Q156" s="14">
        <v>0</v>
      </c>
      <c r="R156" s="14">
        <v>0</v>
      </c>
      <c r="S156" s="14">
        <v>30</v>
      </c>
      <c r="T156" s="14">
        <v>0</v>
      </c>
      <c r="U156" s="14">
        <v>0</v>
      </c>
      <c r="V156" s="14">
        <v>30</v>
      </c>
      <c r="W156" s="15">
        <v>300</v>
      </c>
      <c r="X156" s="15">
        <v>0</v>
      </c>
      <c r="Y156" s="14">
        <v>1</v>
      </c>
      <c r="Z156" s="14">
        <v>0</v>
      </c>
      <c r="AA156" s="15">
        <v>0</v>
      </c>
      <c r="AB156" s="15">
        <v>270</v>
      </c>
      <c r="AC156" s="15">
        <v>0</v>
      </c>
      <c r="AD156" s="15">
        <v>0</v>
      </c>
      <c r="AE156" s="15">
        <v>0</v>
      </c>
      <c r="AF156" s="15">
        <v>270</v>
      </c>
      <c r="AG156" s="15">
        <v>300</v>
      </c>
      <c r="AH156" s="15">
        <v>300</v>
      </c>
      <c r="AI156" s="15">
        <v>0</v>
      </c>
      <c r="AJ156" s="15">
        <v>270</v>
      </c>
      <c r="AK156" s="15">
        <v>300</v>
      </c>
      <c r="AL156" s="15">
        <v>300</v>
      </c>
      <c r="AM156" s="14">
        <v>0</v>
      </c>
      <c r="AN156" s="14">
        <v>0</v>
      </c>
      <c r="AO156" s="14">
        <v>0</v>
      </c>
      <c r="AP156" s="14">
        <v>0</v>
      </c>
      <c r="AQ156" s="14">
        <v>0</v>
      </c>
      <c r="AR156" s="14">
        <v>0</v>
      </c>
      <c r="AS156" s="14">
        <v>0</v>
      </c>
      <c r="AT156" s="14">
        <v>67</v>
      </c>
      <c r="AU156" s="14">
        <v>67</v>
      </c>
      <c r="AV156" s="14">
        <v>0</v>
      </c>
      <c r="AW156" s="14">
        <v>0</v>
      </c>
      <c r="AX156" s="14">
        <v>30</v>
      </c>
      <c r="AY156" s="14">
        <v>30</v>
      </c>
      <c r="AZ156" s="14">
        <v>0</v>
      </c>
      <c r="BA156" s="14">
        <v>0</v>
      </c>
      <c r="BB156" s="14">
        <v>0</v>
      </c>
      <c r="BC156" s="14">
        <v>0</v>
      </c>
      <c r="BD156" s="14">
        <v>0</v>
      </c>
      <c r="BE156" s="14">
        <v>0</v>
      </c>
      <c r="BF156" s="14">
        <v>2</v>
      </c>
    </row>
    <row r="157" spans="1:58" ht="16">
      <c r="A157" s="14" t="s">
        <v>16978</v>
      </c>
      <c r="B157" s="14" t="s">
        <v>17064</v>
      </c>
      <c r="C157" s="14">
        <v>0</v>
      </c>
      <c r="D157" s="14">
        <v>1</v>
      </c>
      <c r="E157" s="14">
        <v>1</v>
      </c>
      <c r="F157" s="14">
        <v>1</v>
      </c>
      <c r="G157" s="14">
        <v>0</v>
      </c>
      <c r="H157" s="14">
        <v>0</v>
      </c>
      <c r="I157" s="14">
        <v>0</v>
      </c>
      <c r="J157" s="14">
        <v>1</v>
      </c>
      <c r="K157" s="14">
        <v>5</v>
      </c>
      <c r="L157" s="14">
        <v>0</v>
      </c>
      <c r="M157" s="14">
        <v>0</v>
      </c>
      <c r="N157" s="14">
        <v>0</v>
      </c>
      <c r="O157" s="14">
        <v>1</v>
      </c>
      <c r="P157" s="14">
        <v>0</v>
      </c>
      <c r="Q157" s="14">
        <v>0</v>
      </c>
      <c r="R157" s="14">
        <v>0</v>
      </c>
      <c r="S157" s="14">
        <v>0</v>
      </c>
      <c r="T157" s="14">
        <v>0</v>
      </c>
      <c r="U157" s="14">
        <v>0</v>
      </c>
      <c r="V157" s="14">
        <v>0</v>
      </c>
      <c r="W157" s="15">
        <v>0</v>
      </c>
      <c r="X157" s="15">
        <v>0</v>
      </c>
      <c r="Y157" s="14">
        <v>0</v>
      </c>
      <c r="Z157" s="14">
        <v>0</v>
      </c>
      <c r="AA157" s="15">
        <v>0</v>
      </c>
      <c r="AB157" s="15">
        <v>0</v>
      </c>
      <c r="AC157" s="15">
        <v>0</v>
      </c>
      <c r="AD157" s="15">
        <v>0</v>
      </c>
      <c r="AE157" s="15">
        <v>0</v>
      </c>
      <c r="AF157" s="15">
        <v>0</v>
      </c>
      <c r="AG157" s="15">
        <v>0</v>
      </c>
      <c r="AH157" s="15">
        <v>0</v>
      </c>
      <c r="AI157" s="15">
        <v>0</v>
      </c>
      <c r="AJ157" s="15">
        <v>0</v>
      </c>
      <c r="AK157" s="15">
        <v>0</v>
      </c>
      <c r="AL157" s="15">
        <v>0</v>
      </c>
      <c r="AM157" s="14">
        <v>0</v>
      </c>
      <c r="AN157" s="14">
        <v>0</v>
      </c>
      <c r="AO157" s="14">
        <v>0</v>
      </c>
      <c r="AP157" s="14">
        <v>0</v>
      </c>
      <c r="AQ157" s="14">
        <v>0</v>
      </c>
      <c r="AR157" s="14">
        <v>0</v>
      </c>
      <c r="AS157" s="14">
        <v>0</v>
      </c>
      <c r="AT157" s="14">
        <v>5</v>
      </c>
      <c r="AU157" s="14">
        <v>0</v>
      </c>
      <c r="AV157" s="14">
        <v>5</v>
      </c>
      <c r="AW157" s="14">
        <v>0</v>
      </c>
      <c r="AX157" s="14">
        <v>0</v>
      </c>
      <c r="AY157" s="14">
        <v>0</v>
      </c>
      <c r="AZ157" s="14">
        <v>0</v>
      </c>
      <c r="BA157" s="14">
        <v>0</v>
      </c>
      <c r="BB157" s="14">
        <v>0</v>
      </c>
      <c r="BC157" s="14">
        <v>0</v>
      </c>
      <c r="BD157" s="14">
        <v>0</v>
      </c>
      <c r="BE157" s="14">
        <v>0</v>
      </c>
      <c r="BF157" s="14">
        <v>0</v>
      </c>
    </row>
    <row r="158" spans="1:58" ht="16">
      <c r="A158" s="14" t="s">
        <v>16978</v>
      </c>
      <c r="B158" s="14" t="s">
        <v>17066</v>
      </c>
      <c r="C158" s="14">
        <v>0</v>
      </c>
      <c r="D158" s="14">
        <v>1</v>
      </c>
      <c r="E158" s="14">
        <v>1</v>
      </c>
      <c r="F158" s="14">
        <v>1</v>
      </c>
      <c r="G158" s="14">
        <v>0</v>
      </c>
      <c r="H158" s="14">
        <v>1</v>
      </c>
      <c r="I158" s="14">
        <v>0</v>
      </c>
      <c r="J158" s="14">
        <v>1</v>
      </c>
      <c r="K158" s="14">
        <v>26</v>
      </c>
      <c r="L158" s="14">
        <v>1</v>
      </c>
      <c r="M158" s="14">
        <v>0</v>
      </c>
      <c r="N158" s="14">
        <v>0</v>
      </c>
      <c r="O158" s="14">
        <v>0</v>
      </c>
      <c r="P158" s="14">
        <v>0</v>
      </c>
      <c r="Q158" s="14">
        <v>0</v>
      </c>
      <c r="R158" s="14">
        <v>0</v>
      </c>
      <c r="S158" s="14">
        <v>2</v>
      </c>
      <c r="T158" s="14">
        <v>6</v>
      </c>
      <c r="U158" s="14">
        <v>0</v>
      </c>
      <c r="V158" s="14">
        <v>8</v>
      </c>
      <c r="W158" s="15">
        <v>140</v>
      </c>
      <c r="X158" s="15">
        <v>0</v>
      </c>
      <c r="Y158" s="14">
        <v>1</v>
      </c>
      <c r="Z158" s="14">
        <v>0</v>
      </c>
      <c r="AA158" s="15">
        <v>0</v>
      </c>
      <c r="AB158" s="15">
        <v>110</v>
      </c>
      <c r="AC158" s="15">
        <v>0</v>
      </c>
      <c r="AD158" s="15">
        <v>0</v>
      </c>
      <c r="AE158" s="15">
        <v>0</v>
      </c>
      <c r="AF158" s="15">
        <v>110</v>
      </c>
      <c r="AG158" s="15">
        <v>140</v>
      </c>
      <c r="AH158" s="15">
        <v>140</v>
      </c>
      <c r="AI158" s="15">
        <v>0</v>
      </c>
      <c r="AJ158" s="15">
        <v>110</v>
      </c>
      <c r="AK158" s="15">
        <v>140</v>
      </c>
      <c r="AL158" s="15">
        <v>140</v>
      </c>
      <c r="AM158" s="14">
        <v>0</v>
      </c>
      <c r="AN158" s="14">
        <v>0</v>
      </c>
      <c r="AO158" s="14">
        <v>0</v>
      </c>
      <c r="AP158" s="14">
        <v>0</v>
      </c>
      <c r="AQ158" s="14">
        <v>0</v>
      </c>
      <c r="AR158" s="14">
        <v>0</v>
      </c>
      <c r="AS158" s="14">
        <v>0</v>
      </c>
      <c r="AT158" s="14">
        <v>26</v>
      </c>
      <c r="AU158" s="14">
        <v>26</v>
      </c>
      <c r="AV158" s="14">
        <v>0</v>
      </c>
      <c r="AW158" s="14">
        <v>0</v>
      </c>
      <c r="AX158" s="14">
        <v>2</v>
      </c>
      <c r="AY158" s="14">
        <v>2</v>
      </c>
      <c r="AZ158" s="14">
        <v>0</v>
      </c>
      <c r="BA158" s="14">
        <v>0</v>
      </c>
      <c r="BB158" s="14">
        <v>6</v>
      </c>
      <c r="BC158" s="14">
        <v>6</v>
      </c>
      <c r="BD158" s="14">
        <v>0</v>
      </c>
      <c r="BE158" s="14">
        <v>0</v>
      </c>
      <c r="BF158" s="14"/>
    </row>
    <row r="159" spans="1:58" ht="16">
      <c r="A159" s="14" t="s">
        <v>16978</v>
      </c>
      <c r="B159" s="14" t="s">
        <v>17066</v>
      </c>
      <c r="C159" s="14">
        <v>0</v>
      </c>
      <c r="D159" s="14">
        <v>0</v>
      </c>
      <c r="E159" s="14">
        <v>0</v>
      </c>
      <c r="F159" s="14">
        <v>0</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5">
        <v>0</v>
      </c>
      <c r="X159" s="15">
        <v>0</v>
      </c>
      <c r="Y159" s="14">
        <v>0</v>
      </c>
      <c r="Z159" s="14">
        <v>0</v>
      </c>
      <c r="AA159" s="15">
        <v>0</v>
      </c>
      <c r="AB159" s="15">
        <v>0</v>
      </c>
      <c r="AC159" s="15">
        <v>0</v>
      </c>
      <c r="AD159" s="15">
        <v>0</v>
      </c>
      <c r="AE159" s="15">
        <v>0</v>
      </c>
      <c r="AF159" s="15">
        <v>0</v>
      </c>
      <c r="AG159" s="15">
        <v>0</v>
      </c>
      <c r="AH159" s="15">
        <v>0</v>
      </c>
      <c r="AI159" s="15">
        <v>0</v>
      </c>
      <c r="AJ159" s="15">
        <v>0</v>
      </c>
      <c r="AK159" s="15">
        <v>0</v>
      </c>
      <c r="AL159" s="15">
        <v>0</v>
      </c>
      <c r="AM159" s="14">
        <v>0</v>
      </c>
      <c r="AN159" s="14">
        <v>0</v>
      </c>
      <c r="AO159" s="14">
        <v>0</v>
      </c>
      <c r="AP159" s="14">
        <v>0</v>
      </c>
      <c r="AQ159" s="14">
        <v>0</v>
      </c>
      <c r="AR159" s="14">
        <v>0</v>
      </c>
      <c r="AS159" s="14">
        <v>0</v>
      </c>
      <c r="AT159" s="14">
        <v>0</v>
      </c>
      <c r="AU159" s="14">
        <v>0</v>
      </c>
      <c r="AV159" s="14">
        <v>0</v>
      </c>
      <c r="AW159" s="14">
        <v>0</v>
      </c>
      <c r="AX159" s="14">
        <v>0</v>
      </c>
      <c r="AY159" s="14">
        <v>0</v>
      </c>
      <c r="AZ159" s="14">
        <v>0</v>
      </c>
      <c r="BA159" s="14">
        <v>0</v>
      </c>
      <c r="BB159" s="14">
        <v>0</v>
      </c>
      <c r="BC159" s="14">
        <v>0</v>
      </c>
      <c r="BD159" s="14">
        <v>0</v>
      </c>
      <c r="BE159" s="14">
        <v>0</v>
      </c>
      <c r="BF159" s="14">
        <v>0</v>
      </c>
    </row>
    <row r="160" spans="1:58" ht="16">
      <c r="A160" s="14" t="s">
        <v>16978</v>
      </c>
      <c r="B160" s="14" t="s">
        <v>17067</v>
      </c>
      <c r="C160" s="14">
        <v>0</v>
      </c>
      <c r="D160" s="14">
        <v>1</v>
      </c>
      <c r="E160" s="14">
        <v>1</v>
      </c>
      <c r="F160" s="14">
        <v>1</v>
      </c>
      <c r="G160" s="14">
        <v>1</v>
      </c>
      <c r="H160" s="14">
        <v>1</v>
      </c>
      <c r="I160" s="14">
        <v>0</v>
      </c>
      <c r="J160" s="14">
        <v>1</v>
      </c>
      <c r="K160" s="14">
        <v>0</v>
      </c>
      <c r="L160" s="14">
        <v>1</v>
      </c>
      <c r="M160" s="14">
        <v>0</v>
      </c>
      <c r="N160" s="14">
        <v>0</v>
      </c>
      <c r="O160" s="14">
        <v>0</v>
      </c>
      <c r="P160" s="14">
        <v>0</v>
      </c>
      <c r="Q160" s="14">
        <v>0</v>
      </c>
      <c r="R160" s="14">
        <v>0</v>
      </c>
      <c r="S160" s="14">
        <v>2</v>
      </c>
      <c r="T160" s="14">
        <v>0.25</v>
      </c>
      <c r="U160" s="14">
        <v>0</v>
      </c>
      <c r="V160" s="14">
        <v>0</v>
      </c>
      <c r="W160" s="15">
        <v>0</v>
      </c>
      <c r="X160" s="15">
        <v>0</v>
      </c>
      <c r="Y160" s="14">
        <v>0</v>
      </c>
      <c r="Z160" s="14">
        <v>0</v>
      </c>
      <c r="AA160" s="15">
        <v>0</v>
      </c>
      <c r="AB160" s="15">
        <v>0</v>
      </c>
      <c r="AC160" s="15">
        <v>0</v>
      </c>
      <c r="AD160" s="15">
        <v>0</v>
      </c>
      <c r="AE160" s="15">
        <v>0</v>
      </c>
      <c r="AF160" s="15">
        <v>0</v>
      </c>
      <c r="AG160" s="15">
        <v>0</v>
      </c>
      <c r="AH160" s="15">
        <v>0</v>
      </c>
      <c r="AI160" s="15">
        <v>0</v>
      </c>
      <c r="AJ160" s="15">
        <v>0</v>
      </c>
      <c r="AK160" s="15">
        <v>0</v>
      </c>
      <c r="AL160" s="15">
        <v>0</v>
      </c>
      <c r="AM160" s="14">
        <v>0</v>
      </c>
      <c r="AN160" s="14">
        <v>0</v>
      </c>
      <c r="AO160" s="14">
        <v>0</v>
      </c>
      <c r="AP160" s="14">
        <v>0</v>
      </c>
      <c r="AQ160" s="14">
        <v>0</v>
      </c>
      <c r="AR160" s="14">
        <v>0</v>
      </c>
      <c r="AS160" s="14">
        <v>0</v>
      </c>
      <c r="AT160" s="14">
        <v>0</v>
      </c>
      <c r="AU160" s="14">
        <v>0</v>
      </c>
      <c r="AV160" s="14">
        <v>0</v>
      </c>
      <c r="AW160" s="14">
        <v>0</v>
      </c>
      <c r="AX160" s="14">
        <v>0</v>
      </c>
      <c r="AY160" s="14"/>
      <c r="AZ160" s="14"/>
      <c r="BA160" s="14"/>
      <c r="BB160" s="14"/>
      <c r="BC160" s="14"/>
      <c r="BD160" s="14"/>
      <c r="BE160" s="14"/>
      <c r="BF160" s="14"/>
    </row>
    <row r="161" spans="1:58" ht="16">
      <c r="A161" s="14" t="s">
        <v>16978</v>
      </c>
      <c r="B161" s="14" t="s">
        <v>17067</v>
      </c>
      <c r="C161" s="14">
        <v>0</v>
      </c>
      <c r="D161" s="14">
        <v>0</v>
      </c>
      <c r="E161" s="14">
        <v>0</v>
      </c>
      <c r="F161" s="14">
        <v>0</v>
      </c>
      <c r="G161" s="14">
        <v>0</v>
      </c>
      <c r="H161" s="14">
        <v>0</v>
      </c>
      <c r="I161" s="14">
        <v>0</v>
      </c>
      <c r="J161" s="14">
        <v>0</v>
      </c>
      <c r="K161" s="14">
        <v>0</v>
      </c>
      <c r="L161" s="14">
        <v>0</v>
      </c>
      <c r="M161" s="14">
        <v>0</v>
      </c>
      <c r="N161" s="14">
        <v>0</v>
      </c>
      <c r="O161" s="14">
        <v>0</v>
      </c>
      <c r="P161" s="14">
        <v>0</v>
      </c>
      <c r="Q161" s="14">
        <v>0</v>
      </c>
      <c r="R161" s="14">
        <v>0</v>
      </c>
      <c r="S161" s="14">
        <v>0</v>
      </c>
      <c r="T161" s="14">
        <v>0</v>
      </c>
      <c r="U161" s="14">
        <v>0</v>
      </c>
      <c r="V161" s="14">
        <v>0</v>
      </c>
      <c r="W161" s="15">
        <v>0</v>
      </c>
      <c r="X161" s="15">
        <v>0</v>
      </c>
      <c r="Y161" s="14">
        <v>0</v>
      </c>
      <c r="Z161" s="14">
        <v>0</v>
      </c>
      <c r="AA161" s="15">
        <v>0</v>
      </c>
      <c r="AB161" s="15">
        <v>0</v>
      </c>
      <c r="AC161" s="15">
        <v>0</v>
      </c>
      <c r="AD161" s="15">
        <v>0</v>
      </c>
      <c r="AE161" s="15">
        <v>0</v>
      </c>
      <c r="AF161" s="15">
        <v>0</v>
      </c>
      <c r="AG161" s="15">
        <v>0</v>
      </c>
      <c r="AH161" s="15">
        <v>0</v>
      </c>
      <c r="AI161" s="15">
        <v>0</v>
      </c>
      <c r="AJ161" s="15">
        <v>0</v>
      </c>
      <c r="AK161" s="15">
        <v>0</v>
      </c>
      <c r="AL161" s="15">
        <v>0</v>
      </c>
      <c r="AM161" s="14">
        <v>0</v>
      </c>
      <c r="AN161" s="14">
        <v>0</v>
      </c>
      <c r="AO161" s="14">
        <v>0</v>
      </c>
      <c r="AP161" s="14">
        <v>0</v>
      </c>
      <c r="AQ161" s="14">
        <v>0</v>
      </c>
      <c r="AR161" s="14">
        <v>0</v>
      </c>
      <c r="AS161" s="14">
        <v>0</v>
      </c>
      <c r="AT161" s="14">
        <v>0</v>
      </c>
      <c r="AU161" s="14">
        <v>0</v>
      </c>
      <c r="AV161" s="14">
        <v>0</v>
      </c>
      <c r="AW161" s="14">
        <v>0</v>
      </c>
      <c r="AX161" s="14">
        <v>0</v>
      </c>
      <c r="AY161" s="14">
        <v>0</v>
      </c>
      <c r="AZ161" s="14">
        <v>0</v>
      </c>
      <c r="BA161" s="14">
        <v>0</v>
      </c>
      <c r="BB161" s="14">
        <v>0</v>
      </c>
      <c r="BC161" s="14">
        <v>0</v>
      </c>
      <c r="BD161" s="14">
        <v>0</v>
      </c>
      <c r="BE161" s="14">
        <v>0</v>
      </c>
      <c r="BF161" s="14">
        <v>1</v>
      </c>
    </row>
    <row r="162" spans="1:58" ht="16">
      <c r="A162" s="14" t="s">
        <v>16978</v>
      </c>
      <c r="B162" s="14" t="s">
        <v>17331</v>
      </c>
      <c r="C162" s="14">
        <v>1</v>
      </c>
      <c r="D162" s="14">
        <v>1</v>
      </c>
      <c r="E162" s="14">
        <v>0</v>
      </c>
      <c r="F162" s="14">
        <v>1</v>
      </c>
      <c r="G162" s="14">
        <v>1</v>
      </c>
      <c r="H162" s="14">
        <v>0</v>
      </c>
      <c r="I162" s="14">
        <v>0</v>
      </c>
      <c r="J162" s="14">
        <v>1</v>
      </c>
      <c r="K162" s="14">
        <v>1</v>
      </c>
      <c r="L162" s="14">
        <v>1</v>
      </c>
      <c r="M162" s="14">
        <v>0</v>
      </c>
      <c r="N162" s="14">
        <v>0</v>
      </c>
      <c r="O162" s="14">
        <v>0</v>
      </c>
      <c r="P162" s="14">
        <v>0</v>
      </c>
      <c r="Q162" s="14">
        <v>0</v>
      </c>
      <c r="R162" s="14">
        <v>0</v>
      </c>
      <c r="S162" s="14">
        <v>0.25</v>
      </c>
      <c r="T162" s="14">
        <v>0</v>
      </c>
      <c r="U162" s="14">
        <v>0</v>
      </c>
      <c r="V162" s="14">
        <v>0.3</v>
      </c>
      <c r="W162" s="15">
        <v>0</v>
      </c>
      <c r="X162" s="15">
        <v>0</v>
      </c>
      <c r="Y162" s="14">
        <v>0</v>
      </c>
      <c r="Z162" s="14">
        <v>0</v>
      </c>
      <c r="AA162" s="15">
        <v>-2.5</v>
      </c>
      <c r="AB162" s="15">
        <v>0</v>
      </c>
      <c r="AC162" s="15">
        <v>0</v>
      </c>
      <c r="AD162" s="15">
        <v>0</v>
      </c>
      <c r="AE162" s="15">
        <v>0</v>
      </c>
      <c r="AF162" s="15">
        <v>0</v>
      </c>
      <c r="AG162" s="15">
        <v>0</v>
      </c>
      <c r="AH162" s="15">
        <v>0</v>
      </c>
      <c r="AI162" s="15">
        <v>0</v>
      </c>
      <c r="AJ162" s="15">
        <v>0</v>
      </c>
      <c r="AK162" s="15">
        <v>0</v>
      </c>
      <c r="AL162" s="15">
        <v>0</v>
      </c>
      <c r="AM162" s="14">
        <v>0</v>
      </c>
      <c r="AN162" s="14">
        <v>0</v>
      </c>
      <c r="AO162" s="14">
        <v>0</v>
      </c>
      <c r="AP162" s="14">
        <v>0</v>
      </c>
      <c r="AQ162" s="14">
        <v>0</v>
      </c>
      <c r="AR162" s="14">
        <v>0</v>
      </c>
      <c r="AS162" s="14">
        <v>0</v>
      </c>
      <c r="AT162" s="14">
        <v>1</v>
      </c>
      <c r="AU162" s="14">
        <v>0</v>
      </c>
      <c r="AV162" s="14">
        <v>0</v>
      </c>
      <c r="AW162" s="14">
        <v>1</v>
      </c>
      <c r="AX162" s="14">
        <v>0.25</v>
      </c>
      <c r="AY162" s="14">
        <v>0</v>
      </c>
      <c r="AZ162" s="14">
        <v>0</v>
      </c>
      <c r="BA162" s="14">
        <v>0.25</v>
      </c>
      <c r="BB162" s="14">
        <v>0</v>
      </c>
      <c r="BC162" s="14">
        <v>0</v>
      </c>
      <c r="BD162" s="14">
        <v>0</v>
      </c>
      <c r="BE162" s="14">
        <v>0</v>
      </c>
      <c r="BF162" s="14">
        <v>1</v>
      </c>
    </row>
    <row r="163" spans="1:58" ht="16">
      <c r="A163" s="14" t="s">
        <v>16978</v>
      </c>
      <c r="B163" s="14" t="s">
        <v>17332</v>
      </c>
      <c r="C163" s="14">
        <v>20</v>
      </c>
      <c r="D163" s="14">
        <v>20</v>
      </c>
      <c r="E163" s="14">
        <v>0</v>
      </c>
      <c r="F163" s="14">
        <v>20</v>
      </c>
      <c r="G163" s="14">
        <v>0</v>
      </c>
      <c r="H163" s="14">
        <v>0</v>
      </c>
      <c r="I163" s="14">
        <v>0</v>
      </c>
      <c r="J163" s="14">
        <v>20</v>
      </c>
      <c r="K163" s="14">
        <v>19</v>
      </c>
      <c r="L163" s="14">
        <v>20</v>
      </c>
      <c r="M163" s="14">
        <v>0</v>
      </c>
      <c r="N163" s="14">
        <v>0</v>
      </c>
      <c r="O163" s="14">
        <v>0</v>
      </c>
      <c r="P163" s="14">
        <v>0</v>
      </c>
      <c r="Q163" s="14">
        <v>0</v>
      </c>
      <c r="R163" s="14">
        <v>0</v>
      </c>
      <c r="S163" s="14">
        <v>5</v>
      </c>
      <c r="T163" s="14">
        <v>0</v>
      </c>
      <c r="U163" s="14">
        <v>0</v>
      </c>
      <c r="V163" s="14">
        <v>5</v>
      </c>
      <c r="W163" s="15">
        <v>0</v>
      </c>
      <c r="X163" s="15">
        <v>0</v>
      </c>
      <c r="Y163" s="14">
        <v>0</v>
      </c>
      <c r="Z163" s="14">
        <v>0</v>
      </c>
      <c r="AA163" s="15">
        <v>-50</v>
      </c>
      <c r="AB163" s="15">
        <v>0</v>
      </c>
      <c r="AC163" s="15">
        <v>0</v>
      </c>
      <c r="AD163" s="15">
        <v>0</v>
      </c>
      <c r="AE163" s="15">
        <v>31</v>
      </c>
      <c r="AF163" s="15">
        <v>0</v>
      </c>
      <c r="AG163" s="15">
        <v>0</v>
      </c>
      <c r="AH163" s="15">
        <v>0</v>
      </c>
      <c r="AI163" s="15">
        <v>0</v>
      </c>
      <c r="AJ163" s="15">
        <v>0</v>
      </c>
      <c r="AK163" s="15">
        <v>0</v>
      </c>
      <c r="AL163" s="15">
        <v>0</v>
      </c>
      <c r="AM163" s="14">
        <v>18</v>
      </c>
      <c r="AN163" s="14">
        <v>2</v>
      </c>
      <c r="AO163" s="14">
        <v>0</v>
      </c>
      <c r="AP163" s="14">
        <v>0</v>
      </c>
      <c r="AQ163" s="14">
        <v>0</v>
      </c>
      <c r="AR163" s="14">
        <v>0</v>
      </c>
      <c r="AS163" s="14">
        <v>0</v>
      </c>
      <c r="AT163" s="14">
        <v>19</v>
      </c>
      <c r="AU163" s="14">
        <v>0</v>
      </c>
      <c r="AV163" s="14">
        <v>0</v>
      </c>
      <c r="AW163" s="14">
        <v>19</v>
      </c>
      <c r="AX163" s="14">
        <v>5</v>
      </c>
      <c r="AY163" s="14">
        <v>0</v>
      </c>
      <c r="AZ163" s="14">
        <v>0</v>
      </c>
      <c r="BA163" s="14">
        <v>5</v>
      </c>
      <c r="BB163" s="14">
        <v>0</v>
      </c>
      <c r="BC163" s="14">
        <v>0</v>
      </c>
      <c r="BD163" s="14">
        <v>0</v>
      </c>
      <c r="BE163" s="14">
        <v>0</v>
      </c>
      <c r="BF163" s="14"/>
    </row>
    <row r="164" spans="1:58" ht="16">
      <c r="A164" s="14" t="s">
        <v>16978</v>
      </c>
      <c r="B164" s="14" t="s">
        <v>17332</v>
      </c>
      <c r="C164" s="14">
        <v>11</v>
      </c>
      <c r="D164" s="14">
        <v>11</v>
      </c>
      <c r="E164" s="14">
        <v>0</v>
      </c>
      <c r="F164" s="14">
        <v>11</v>
      </c>
      <c r="G164" s="14">
        <v>0</v>
      </c>
      <c r="H164" s="14">
        <v>0</v>
      </c>
      <c r="I164" s="14">
        <v>0</v>
      </c>
      <c r="J164" s="14">
        <v>11</v>
      </c>
      <c r="K164" s="14">
        <v>50</v>
      </c>
      <c r="L164" s="14">
        <v>11</v>
      </c>
      <c r="M164" s="14">
        <v>0</v>
      </c>
      <c r="N164" s="14">
        <v>0</v>
      </c>
      <c r="O164" s="14">
        <v>0</v>
      </c>
      <c r="P164" s="14">
        <v>0</v>
      </c>
      <c r="Q164" s="14">
        <v>0</v>
      </c>
      <c r="R164" s="14">
        <v>0</v>
      </c>
      <c r="S164" s="14">
        <v>12</v>
      </c>
      <c r="T164" s="14">
        <v>0</v>
      </c>
      <c r="U164" s="14">
        <v>0</v>
      </c>
      <c r="V164" s="14">
        <v>12</v>
      </c>
      <c r="W164" s="15">
        <v>0</v>
      </c>
      <c r="X164" s="15">
        <v>0</v>
      </c>
      <c r="Y164" s="14">
        <v>0</v>
      </c>
      <c r="Z164" s="14">
        <v>0</v>
      </c>
      <c r="AA164" s="15">
        <v>-120</v>
      </c>
      <c r="AB164" s="15">
        <v>0</v>
      </c>
      <c r="AC164" s="15">
        <v>0</v>
      </c>
      <c r="AD164" s="15">
        <v>0</v>
      </c>
      <c r="AE164" s="15">
        <v>0</v>
      </c>
      <c r="AF164" s="15">
        <v>0</v>
      </c>
      <c r="AG164" s="15">
        <v>0</v>
      </c>
      <c r="AH164" s="15">
        <v>0</v>
      </c>
      <c r="AI164" s="15">
        <v>0</v>
      </c>
      <c r="AJ164" s="15">
        <v>0</v>
      </c>
      <c r="AK164" s="15">
        <v>0</v>
      </c>
      <c r="AL164" s="15">
        <v>0</v>
      </c>
      <c r="AM164" s="14">
        <v>0</v>
      </c>
      <c r="AN164" s="14">
        <v>0</v>
      </c>
      <c r="AO164" s="14">
        <v>0</v>
      </c>
      <c r="AP164" s="14">
        <v>0</v>
      </c>
      <c r="AQ164" s="14">
        <v>0</v>
      </c>
      <c r="AR164" s="14">
        <v>0</v>
      </c>
      <c r="AS164" s="14">
        <v>0</v>
      </c>
      <c r="AT164" s="14">
        <v>50</v>
      </c>
      <c r="AU164" s="14">
        <v>0</v>
      </c>
      <c r="AV164" s="14">
        <v>0</v>
      </c>
      <c r="AW164" s="14">
        <v>50</v>
      </c>
      <c r="AX164" s="14">
        <v>12</v>
      </c>
      <c r="AY164" s="14">
        <v>0</v>
      </c>
      <c r="AZ164" s="14">
        <v>0</v>
      </c>
      <c r="BA164" s="14">
        <v>12</v>
      </c>
      <c r="BB164" s="14">
        <v>0</v>
      </c>
      <c r="BC164" s="14">
        <v>0</v>
      </c>
      <c r="BD164" s="14">
        <v>0</v>
      </c>
      <c r="BE164" s="14">
        <v>0</v>
      </c>
      <c r="BF164" s="14">
        <v>11</v>
      </c>
    </row>
    <row r="165" spans="1:58" ht="16">
      <c r="A165" s="14" t="s">
        <v>16978</v>
      </c>
      <c r="B165" s="14" t="s">
        <v>18825</v>
      </c>
      <c r="C165" s="14">
        <v>0</v>
      </c>
      <c r="D165" s="14">
        <v>0</v>
      </c>
      <c r="E165" s="14">
        <v>0</v>
      </c>
      <c r="F165" s="14">
        <v>0</v>
      </c>
      <c r="G165" s="14">
        <v>0</v>
      </c>
      <c r="H165" s="14">
        <v>0</v>
      </c>
      <c r="I165" s="14">
        <v>0</v>
      </c>
      <c r="J165" s="14">
        <v>0</v>
      </c>
      <c r="K165" s="14">
        <v>0</v>
      </c>
      <c r="L165" s="14">
        <v>0</v>
      </c>
      <c r="M165" s="14">
        <v>0</v>
      </c>
      <c r="N165" s="14">
        <v>0</v>
      </c>
      <c r="O165" s="14">
        <v>0</v>
      </c>
      <c r="P165" s="14">
        <v>0</v>
      </c>
      <c r="Q165" s="14">
        <v>0</v>
      </c>
      <c r="R165" s="14">
        <v>0</v>
      </c>
      <c r="S165" s="14">
        <v>0</v>
      </c>
      <c r="T165" s="14">
        <v>0</v>
      </c>
      <c r="U165" s="14">
        <v>0</v>
      </c>
      <c r="V165" s="14">
        <v>0</v>
      </c>
      <c r="W165" s="15">
        <v>0</v>
      </c>
      <c r="X165" s="15">
        <v>0</v>
      </c>
      <c r="Y165" s="14">
        <v>0</v>
      </c>
      <c r="Z165" s="14">
        <v>0</v>
      </c>
      <c r="AA165" s="15">
        <v>0</v>
      </c>
      <c r="AB165" s="15">
        <v>0</v>
      </c>
      <c r="AC165" s="15">
        <v>0</v>
      </c>
      <c r="AD165" s="15">
        <v>0</v>
      </c>
      <c r="AE165" s="15">
        <v>0</v>
      </c>
      <c r="AF165" s="15">
        <v>0</v>
      </c>
      <c r="AG165" s="15">
        <v>0</v>
      </c>
      <c r="AH165" s="15">
        <v>0</v>
      </c>
      <c r="AI165" s="15">
        <v>0</v>
      </c>
      <c r="AJ165" s="15">
        <v>0</v>
      </c>
      <c r="AK165" s="15">
        <v>0</v>
      </c>
      <c r="AL165" s="15">
        <v>0</v>
      </c>
      <c r="AM165" s="14">
        <v>0</v>
      </c>
      <c r="AN165" s="14">
        <v>0</v>
      </c>
      <c r="AO165" s="14">
        <v>0</v>
      </c>
      <c r="AP165" s="14">
        <v>0</v>
      </c>
      <c r="AQ165" s="14">
        <v>0</v>
      </c>
      <c r="AR165" s="14">
        <v>0</v>
      </c>
      <c r="AS165" s="14">
        <v>0</v>
      </c>
      <c r="AT165" s="14">
        <v>0</v>
      </c>
      <c r="AU165" s="14">
        <v>0</v>
      </c>
      <c r="AV165" s="14">
        <v>0</v>
      </c>
      <c r="AW165" s="14">
        <v>0</v>
      </c>
      <c r="AX165" s="14">
        <v>0</v>
      </c>
      <c r="AY165" s="14">
        <v>0</v>
      </c>
      <c r="AZ165" s="14">
        <v>0</v>
      </c>
      <c r="BA165" s="14">
        <v>0</v>
      </c>
      <c r="BB165" s="14">
        <v>0</v>
      </c>
      <c r="BC165" s="14">
        <v>0</v>
      </c>
      <c r="BD165" s="14">
        <v>0</v>
      </c>
      <c r="BE165" s="14">
        <v>0</v>
      </c>
      <c r="BF165" s="14">
        <v>0</v>
      </c>
    </row>
    <row r="166" spans="1:58" ht="16">
      <c r="A166" s="14" t="s">
        <v>16978</v>
      </c>
      <c r="B166" s="14" t="s">
        <v>17068</v>
      </c>
      <c r="C166" s="14">
        <v>0</v>
      </c>
      <c r="D166" s="14">
        <v>1</v>
      </c>
      <c r="E166" s="14">
        <v>0</v>
      </c>
      <c r="F166" s="14">
        <v>1</v>
      </c>
      <c r="G166" s="14">
        <v>0</v>
      </c>
      <c r="H166" s="14">
        <v>0</v>
      </c>
      <c r="I166" s="14">
        <v>0</v>
      </c>
      <c r="J166" s="14">
        <v>1</v>
      </c>
      <c r="K166" s="14">
        <v>7</v>
      </c>
      <c r="L166" s="14">
        <v>1</v>
      </c>
      <c r="M166" s="14">
        <v>0</v>
      </c>
      <c r="N166" s="14">
        <v>0</v>
      </c>
      <c r="O166" s="14">
        <v>0</v>
      </c>
      <c r="P166" s="14">
        <v>0</v>
      </c>
      <c r="Q166" s="14">
        <v>0</v>
      </c>
      <c r="R166" s="14">
        <v>0</v>
      </c>
      <c r="S166" s="14">
        <v>1</v>
      </c>
      <c r="T166" s="14">
        <v>0</v>
      </c>
      <c r="U166" s="14">
        <v>0</v>
      </c>
      <c r="V166" s="14">
        <v>1</v>
      </c>
      <c r="W166" s="15">
        <v>10</v>
      </c>
      <c r="X166" s="15">
        <v>0</v>
      </c>
      <c r="Y166" s="14">
        <v>1</v>
      </c>
      <c r="Z166" s="14">
        <v>0</v>
      </c>
      <c r="AA166" s="15">
        <v>0</v>
      </c>
      <c r="AB166" s="15">
        <v>0</v>
      </c>
      <c r="AC166" s="15">
        <v>0</v>
      </c>
      <c r="AD166" s="15">
        <v>0</v>
      </c>
      <c r="AE166" s="15">
        <v>0</v>
      </c>
      <c r="AF166" s="15">
        <v>0</v>
      </c>
      <c r="AG166" s="15">
        <v>10</v>
      </c>
      <c r="AH166" s="15">
        <v>10</v>
      </c>
      <c r="AI166" s="15">
        <v>0</v>
      </c>
      <c r="AJ166" s="15">
        <v>0</v>
      </c>
      <c r="AK166" s="15">
        <v>0</v>
      </c>
      <c r="AL166" s="15">
        <v>0</v>
      </c>
      <c r="AM166" s="14">
        <v>7</v>
      </c>
      <c r="AN166" s="14">
        <v>0</v>
      </c>
      <c r="AO166" s="14">
        <v>7</v>
      </c>
      <c r="AP166" s="14">
        <v>0</v>
      </c>
      <c r="AQ166" s="14">
        <v>1</v>
      </c>
      <c r="AR166" s="14">
        <v>0</v>
      </c>
      <c r="AS166" s="14">
        <v>1</v>
      </c>
      <c r="AT166" s="14">
        <v>0</v>
      </c>
      <c r="AU166" s="14">
        <v>0</v>
      </c>
      <c r="AV166" s="14">
        <v>0</v>
      </c>
      <c r="AW166" s="14">
        <v>0</v>
      </c>
      <c r="AX166" s="14">
        <v>0</v>
      </c>
      <c r="AY166" s="14"/>
      <c r="AZ166" s="14"/>
      <c r="BA166" s="14"/>
      <c r="BB166" s="14"/>
      <c r="BC166" s="14"/>
      <c r="BD166" s="14"/>
      <c r="BE166" s="14"/>
      <c r="BF166" s="14"/>
    </row>
    <row r="167" spans="1:58" ht="16">
      <c r="A167" s="14" t="s">
        <v>16978</v>
      </c>
      <c r="B167" s="14" t="s">
        <v>17068</v>
      </c>
      <c r="C167" s="14">
        <v>0</v>
      </c>
      <c r="D167" s="14">
        <v>1</v>
      </c>
      <c r="E167" s="14">
        <v>0</v>
      </c>
      <c r="F167" s="14">
        <v>1</v>
      </c>
      <c r="G167" s="14">
        <v>0</v>
      </c>
      <c r="H167" s="14">
        <v>0</v>
      </c>
      <c r="I167" s="14">
        <v>0</v>
      </c>
      <c r="J167" s="14">
        <v>1</v>
      </c>
      <c r="K167" s="14">
        <v>8</v>
      </c>
      <c r="L167" s="14">
        <v>1</v>
      </c>
      <c r="M167" s="14">
        <v>0</v>
      </c>
      <c r="N167" s="14">
        <v>0</v>
      </c>
      <c r="O167" s="14">
        <v>0</v>
      </c>
      <c r="P167" s="14">
        <v>0</v>
      </c>
      <c r="Q167" s="14">
        <v>0</v>
      </c>
      <c r="R167" s="14">
        <v>0</v>
      </c>
      <c r="S167" s="14">
        <v>2</v>
      </c>
      <c r="T167" s="14">
        <v>1</v>
      </c>
      <c r="U167" s="14">
        <v>0</v>
      </c>
      <c r="V167" s="14">
        <v>3</v>
      </c>
      <c r="W167" s="15">
        <v>40</v>
      </c>
      <c r="X167" s="15">
        <v>0</v>
      </c>
      <c r="Y167" s="14">
        <v>1</v>
      </c>
      <c r="Z167" s="14">
        <v>0</v>
      </c>
      <c r="AA167" s="15">
        <v>0</v>
      </c>
      <c r="AB167" s="15">
        <v>10</v>
      </c>
      <c r="AC167" s="15">
        <v>0</v>
      </c>
      <c r="AD167" s="15">
        <v>0</v>
      </c>
      <c r="AE167" s="15">
        <v>0</v>
      </c>
      <c r="AF167" s="15">
        <v>10</v>
      </c>
      <c r="AG167" s="15">
        <v>40</v>
      </c>
      <c r="AH167" s="15">
        <v>40</v>
      </c>
      <c r="AI167" s="15">
        <v>0</v>
      </c>
      <c r="AJ167" s="15">
        <v>0</v>
      </c>
      <c r="AK167" s="15">
        <v>0</v>
      </c>
      <c r="AL167" s="15">
        <v>0</v>
      </c>
      <c r="AM167" s="14">
        <v>0</v>
      </c>
      <c r="AN167" s="14">
        <v>0</v>
      </c>
      <c r="AO167" s="14">
        <v>0</v>
      </c>
      <c r="AP167" s="14">
        <v>0</v>
      </c>
      <c r="AQ167" s="14">
        <v>0</v>
      </c>
      <c r="AR167" s="14">
        <v>0</v>
      </c>
      <c r="AS167" s="14">
        <v>0</v>
      </c>
      <c r="AT167" s="14">
        <v>8</v>
      </c>
      <c r="AU167" s="14">
        <v>0</v>
      </c>
      <c r="AV167" s="14">
        <v>8</v>
      </c>
      <c r="AW167" s="14">
        <v>0</v>
      </c>
      <c r="AX167" s="14">
        <v>2</v>
      </c>
      <c r="AY167" s="14">
        <v>0</v>
      </c>
      <c r="AZ167" s="14">
        <v>2</v>
      </c>
      <c r="BA167" s="14">
        <v>0</v>
      </c>
      <c r="BB167" s="14">
        <v>1</v>
      </c>
      <c r="BC167" s="14">
        <v>0</v>
      </c>
      <c r="BD167" s="14">
        <v>1</v>
      </c>
      <c r="BE167" s="14">
        <v>0</v>
      </c>
      <c r="BF167" s="14">
        <v>0</v>
      </c>
    </row>
    <row r="168" spans="1:58" ht="16">
      <c r="A168" s="14" t="s">
        <v>16978</v>
      </c>
      <c r="B168" s="14" t="s">
        <v>17363</v>
      </c>
      <c r="C168" s="14">
        <v>0</v>
      </c>
      <c r="D168" s="14">
        <v>0</v>
      </c>
      <c r="E168" s="14">
        <v>0</v>
      </c>
      <c r="F168" s="14">
        <v>0</v>
      </c>
      <c r="G168" s="14">
        <v>0</v>
      </c>
      <c r="H168" s="14">
        <v>0</v>
      </c>
      <c r="I168" s="14">
        <v>0</v>
      </c>
      <c r="J168" s="14">
        <v>0</v>
      </c>
      <c r="K168" s="14">
        <v>0</v>
      </c>
      <c r="L168" s="14">
        <v>0</v>
      </c>
      <c r="M168" s="14">
        <v>0</v>
      </c>
      <c r="N168" s="14">
        <v>0</v>
      </c>
      <c r="O168" s="14">
        <v>0</v>
      </c>
      <c r="P168" s="14">
        <v>0</v>
      </c>
      <c r="Q168" s="14">
        <v>0</v>
      </c>
      <c r="R168" s="14">
        <v>0</v>
      </c>
      <c r="S168" s="14">
        <v>0</v>
      </c>
      <c r="T168" s="14">
        <v>0</v>
      </c>
      <c r="U168" s="14">
        <v>0</v>
      </c>
      <c r="V168" s="14">
        <v>0</v>
      </c>
      <c r="W168" s="15">
        <v>0</v>
      </c>
      <c r="X168" s="15">
        <v>0</v>
      </c>
      <c r="Y168" s="14">
        <v>0</v>
      </c>
      <c r="Z168" s="14">
        <v>0</v>
      </c>
      <c r="AA168" s="15">
        <v>0</v>
      </c>
      <c r="AB168" s="15">
        <v>0</v>
      </c>
      <c r="AC168" s="15">
        <v>0</v>
      </c>
      <c r="AD168" s="15">
        <v>0</v>
      </c>
      <c r="AE168" s="15">
        <v>0</v>
      </c>
      <c r="AF168" s="15">
        <v>0</v>
      </c>
      <c r="AG168" s="15">
        <v>0</v>
      </c>
      <c r="AH168" s="15">
        <v>0</v>
      </c>
      <c r="AI168" s="15">
        <v>0</v>
      </c>
      <c r="AJ168" s="15">
        <v>0</v>
      </c>
      <c r="AK168" s="15">
        <v>0</v>
      </c>
      <c r="AL168" s="15">
        <v>0</v>
      </c>
      <c r="AM168" s="14">
        <v>0</v>
      </c>
      <c r="AN168" s="14">
        <v>0</v>
      </c>
      <c r="AO168" s="14">
        <v>0</v>
      </c>
      <c r="AP168" s="14">
        <v>0</v>
      </c>
      <c r="AQ168" s="14">
        <v>0</v>
      </c>
      <c r="AR168" s="14">
        <v>0</v>
      </c>
      <c r="AS168" s="14">
        <v>0</v>
      </c>
      <c r="AT168" s="14">
        <v>0</v>
      </c>
      <c r="AU168" s="14">
        <v>0</v>
      </c>
      <c r="AV168" s="14">
        <v>0</v>
      </c>
      <c r="AW168" s="14">
        <v>0</v>
      </c>
      <c r="AX168" s="14">
        <v>0</v>
      </c>
      <c r="AY168" s="14">
        <v>0</v>
      </c>
      <c r="AZ168" s="14">
        <v>0</v>
      </c>
      <c r="BA168" s="14">
        <v>0</v>
      </c>
      <c r="BB168" s="14">
        <v>0</v>
      </c>
      <c r="BC168" s="14">
        <v>0</v>
      </c>
      <c r="BD168" s="14">
        <v>0</v>
      </c>
      <c r="BE168" s="14">
        <v>0</v>
      </c>
      <c r="BF168" s="14">
        <v>0</v>
      </c>
    </row>
    <row r="169" spans="1:58" ht="16">
      <c r="A169" s="14" t="s">
        <v>16978</v>
      </c>
      <c r="B169" s="14" t="s">
        <v>17069</v>
      </c>
      <c r="C169" s="14">
        <v>0</v>
      </c>
      <c r="D169" s="14">
        <v>0</v>
      </c>
      <c r="E169" s="14">
        <v>0</v>
      </c>
      <c r="F169" s="14">
        <v>0</v>
      </c>
      <c r="G169" s="14">
        <v>0</v>
      </c>
      <c r="H169" s="14">
        <v>0</v>
      </c>
      <c r="I169" s="14">
        <v>0</v>
      </c>
      <c r="J169" s="14">
        <v>0</v>
      </c>
      <c r="K169" s="14">
        <v>0</v>
      </c>
      <c r="L169" s="14">
        <v>0</v>
      </c>
      <c r="M169" s="14">
        <v>0</v>
      </c>
      <c r="N169" s="14">
        <v>0</v>
      </c>
      <c r="O169" s="14">
        <v>0</v>
      </c>
      <c r="P169" s="14">
        <v>0</v>
      </c>
      <c r="Q169" s="14">
        <v>0</v>
      </c>
      <c r="R169" s="14">
        <v>0</v>
      </c>
      <c r="S169" s="14">
        <v>0</v>
      </c>
      <c r="T169" s="14">
        <v>0</v>
      </c>
      <c r="U169" s="14">
        <v>0</v>
      </c>
      <c r="V169" s="14">
        <v>0</v>
      </c>
      <c r="W169" s="15">
        <v>0</v>
      </c>
      <c r="X169" s="15">
        <v>0</v>
      </c>
      <c r="Y169" s="14">
        <v>0</v>
      </c>
      <c r="Z169" s="14">
        <v>0</v>
      </c>
      <c r="AA169" s="15">
        <v>0</v>
      </c>
      <c r="AB169" s="15">
        <v>0</v>
      </c>
      <c r="AC169" s="15">
        <v>0</v>
      </c>
      <c r="AD169" s="15">
        <v>0</v>
      </c>
      <c r="AE169" s="15">
        <v>0</v>
      </c>
      <c r="AF169" s="15">
        <v>0</v>
      </c>
      <c r="AG169" s="15">
        <v>0</v>
      </c>
      <c r="AH169" s="15">
        <v>0</v>
      </c>
      <c r="AI169" s="15">
        <v>0</v>
      </c>
      <c r="AJ169" s="15">
        <v>0</v>
      </c>
      <c r="AK169" s="15">
        <v>0</v>
      </c>
      <c r="AL169" s="15">
        <v>0</v>
      </c>
      <c r="AM169" s="14">
        <v>0</v>
      </c>
      <c r="AN169" s="14">
        <v>0</v>
      </c>
      <c r="AO169" s="14">
        <v>0</v>
      </c>
      <c r="AP169" s="14">
        <v>0</v>
      </c>
      <c r="AQ169" s="14">
        <v>0</v>
      </c>
      <c r="AR169" s="14">
        <v>0</v>
      </c>
      <c r="AS169" s="14">
        <v>0</v>
      </c>
      <c r="AT169" s="14">
        <v>0</v>
      </c>
      <c r="AU169" s="14">
        <v>0</v>
      </c>
      <c r="AV169" s="14">
        <v>0</v>
      </c>
      <c r="AW169" s="14">
        <v>0</v>
      </c>
      <c r="AX169" s="14">
        <v>0</v>
      </c>
      <c r="AY169" s="14">
        <v>0</v>
      </c>
      <c r="AZ169" s="14">
        <v>0</v>
      </c>
      <c r="BA169" s="14">
        <v>0</v>
      </c>
      <c r="BB169" s="14">
        <v>0</v>
      </c>
      <c r="BC169" s="14">
        <v>0</v>
      </c>
      <c r="BD169" s="14">
        <v>0</v>
      </c>
      <c r="BE169" s="14">
        <v>0</v>
      </c>
      <c r="BF169" s="14">
        <v>60</v>
      </c>
    </row>
    <row r="170" spans="1:58" ht="16">
      <c r="A170" s="14" t="s">
        <v>16978</v>
      </c>
      <c r="B170" s="14" t="s">
        <v>18826</v>
      </c>
      <c r="C170" s="14">
        <v>0</v>
      </c>
      <c r="D170" s="14">
        <v>0</v>
      </c>
      <c r="E170" s="14">
        <v>0</v>
      </c>
      <c r="F170" s="14">
        <v>0</v>
      </c>
      <c r="G170" s="14">
        <v>0</v>
      </c>
      <c r="H170" s="14">
        <v>0</v>
      </c>
      <c r="I170" s="14">
        <v>0</v>
      </c>
      <c r="J170" s="14">
        <v>0</v>
      </c>
      <c r="K170" s="14">
        <v>0</v>
      </c>
      <c r="L170" s="14">
        <v>0</v>
      </c>
      <c r="M170" s="14">
        <v>0</v>
      </c>
      <c r="N170" s="14">
        <v>0</v>
      </c>
      <c r="O170" s="14">
        <v>0</v>
      </c>
      <c r="P170" s="14">
        <v>0</v>
      </c>
      <c r="Q170" s="14">
        <v>0</v>
      </c>
      <c r="R170" s="14">
        <v>0</v>
      </c>
      <c r="S170" s="14">
        <v>0</v>
      </c>
      <c r="T170" s="14">
        <v>0</v>
      </c>
      <c r="U170" s="14">
        <v>0</v>
      </c>
      <c r="V170" s="14">
        <v>0</v>
      </c>
      <c r="W170" s="15">
        <v>0</v>
      </c>
      <c r="X170" s="15">
        <v>0</v>
      </c>
      <c r="Y170" s="14">
        <v>0</v>
      </c>
      <c r="Z170" s="14">
        <v>0</v>
      </c>
      <c r="AA170" s="15">
        <v>0</v>
      </c>
      <c r="AB170" s="15">
        <v>0</v>
      </c>
      <c r="AC170" s="15">
        <v>0</v>
      </c>
      <c r="AD170" s="15">
        <v>0</v>
      </c>
      <c r="AE170" s="15">
        <v>0</v>
      </c>
      <c r="AF170" s="15">
        <v>0</v>
      </c>
      <c r="AG170" s="15">
        <v>0</v>
      </c>
      <c r="AH170" s="15">
        <v>0</v>
      </c>
      <c r="AI170" s="15">
        <v>0</v>
      </c>
      <c r="AJ170" s="15">
        <v>0</v>
      </c>
      <c r="AK170" s="15">
        <v>0</v>
      </c>
      <c r="AL170" s="15">
        <v>0</v>
      </c>
      <c r="AM170" s="14">
        <v>0</v>
      </c>
      <c r="AN170" s="14">
        <v>0</v>
      </c>
      <c r="AO170" s="14">
        <v>0</v>
      </c>
      <c r="AP170" s="14">
        <v>0</v>
      </c>
      <c r="AQ170" s="14">
        <v>0</v>
      </c>
      <c r="AR170" s="14">
        <v>0</v>
      </c>
      <c r="AS170" s="14">
        <v>0</v>
      </c>
      <c r="AT170" s="14">
        <v>0</v>
      </c>
      <c r="AU170" s="14">
        <v>0</v>
      </c>
      <c r="AV170" s="14">
        <v>0</v>
      </c>
      <c r="AW170" s="14">
        <v>0</v>
      </c>
      <c r="AX170" s="14">
        <v>0</v>
      </c>
      <c r="AY170" s="14">
        <v>0</v>
      </c>
      <c r="AZ170" s="14">
        <v>0</v>
      </c>
      <c r="BA170" s="14">
        <v>0</v>
      </c>
      <c r="BB170" s="14">
        <v>0</v>
      </c>
      <c r="BC170" s="14">
        <v>0</v>
      </c>
      <c r="BD170" s="14">
        <v>0</v>
      </c>
      <c r="BE170" s="14">
        <v>0</v>
      </c>
      <c r="BF170" s="14">
        <v>0</v>
      </c>
    </row>
    <row r="171" spans="1:58" ht="16">
      <c r="A171" s="14" t="s">
        <v>16978</v>
      </c>
      <c r="B171" s="14" t="s">
        <v>17073</v>
      </c>
      <c r="C171" s="14">
        <v>0</v>
      </c>
      <c r="D171" s="14">
        <v>3</v>
      </c>
      <c r="E171" s="14">
        <v>3</v>
      </c>
      <c r="F171" s="14">
        <v>3</v>
      </c>
      <c r="G171" s="14">
        <v>0</v>
      </c>
      <c r="H171" s="14">
        <v>0</v>
      </c>
      <c r="I171" s="14">
        <v>0</v>
      </c>
      <c r="J171" s="14">
        <v>3</v>
      </c>
      <c r="K171" s="14">
        <v>37</v>
      </c>
      <c r="L171" s="14">
        <v>3</v>
      </c>
      <c r="M171" s="14">
        <v>0</v>
      </c>
      <c r="N171" s="14">
        <v>0</v>
      </c>
      <c r="O171" s="14">
        <v>0</v>
      </c>
      <c r="P171" s="14">
        <v>0</v>
      </c>
      <c r="Q171" s="14">
        <v>0</v>
      </c>
      <c r="R171" s="14">
        <v>0</v>
      </c>
      <c r="S171" s="14">
        <v>0.5</v>
      </c>
      <c r="T171" s="14">
        <v>0</v>
      </c>
      <c r="U171" s="14">
        <v>0</v>
      </c>
      <c r="V171" s="14">
        <v>0.5</v>
      </c>
      <c r="W171" s="15">
        <v>5</v>
      </c>
      <c r="X171" s="15">
        <v>0</v>
      </c>
      <c r="Y171" s="14">
        <v>1</v>
      </c>
      <c r="Z171" s="14">
        <v>0</v>
      </c>
      <c r="AA171" s="15">
        <v>0</v>
      </c>
      <c r="AB171" s="15">
        <v>0</v>
      </c>
      <c r="AC171" s="15">
        <v>0</v>
      </c>
      <c r="AD171" s="15">
        <v>0</v>
      </c>
      <c r="AE171" s="15">
        <v>0</v>
      </c>
      <c r="AF171" s="15">
        <v>0</v>
      </c>
      <c r="AG171" s="15">
        <v>5</v>
      </c>
      <c r="AH171" s="15">
        <v>5</v>
      </c>
      <c r="AI171" s="15">
        <v>0</v>
      </c>
      <c r="AJ171" s="15">
        <v>0</v>
      </c>
      <c r="AK171" s="15">
        <v>0</v>
      </c>
      <c r="AL171" s="15">
        <v>0</v>
      </c>
      <c r="AM171" s="14">
        <v>0</v>
      </c>
      <c r="AN171" s="14">
        <v>0</v>
      </c>
      <c r="AO171" s="14">
        <v>0</v>
      </c>
      <c r="AP171" s="14">
        <v>0</v>
      </c>
      <c r="AQ171" s="14">
        <v>0</v>
      </c>
      <c r="AR171" s="14">
        <v>0</v>
      </c>
      <c r="AS171" s="14">
        <v>0</v>
      </c>
      <c r="AT171" s="14">
        <v>37</v>
      </c>
      <c r="AU171" s="14">
        <v>0</v>
      </c>
      <c r="AV171" s="14">
        <v>37</v>
      </c>
      <c r="AW171" s="14">
        <v>0</v>
      </c>
      <c r="AX171" s="14">
        <v>0.5</v>
      </c>
      <c r="AY171" s="14">
        <v>0</v>
      </c>
      <c r="AZ171" s="14">
        <v>0.5</v>
      </c>
      <c r="BA171" s="14">
        <v>0</v>
      </c>
      <c r="BB171" s="14">
        <v>0</v>
      </c>
      <c r="BC171" s="14">
        <v>0</v>
      </c>
      <c r="BD171" s="14">
        <v>0</v>
      </c>
      <c r="BE171" s="14">
        <v>0</v>
      </c>
      <c r="BF171" s="14">
        <v>28</v>
      </c>
    </row>
    <row r="172" spans="1:58" ht="16">
      <c r="A172" s="14" t="s">
        <v>16978</v>
      </c>
      <c r="B172" s="14" t="s">
        <v>17365</v>
      </c>
      <c r="C172" s="14">
        <v>0</v>
      </c>
      <c r="D172" s="14">
        <v>0</v>
      </c>
      <c r="E172" s="14">
        <v>0</v>
      </c>
      <c r="F172" s="14">
        <v>0</v>
      </c>
      <c r="G172" s="14">
        <v>0</v>
      </c>
      <c r="H172" s="14">
        <v>0</v>
      </c>
      <c r="I172" s="14">
        <v>0</v>
      </c>
      <c r="J172" s="14">
        <v>0</v>
      </c>
      <c r="K172" s="14">
        <v>0</v>
      </c>
      <c r="L172" s="14">
        <v>0</v>
      </c>
      <c r="M172" s="14">
        <v>0</v>
      </c>
      <c r="N172" s="14">
        <v>0</v>
      </c>
      <c r="O172" s="14">
        <v>0</v>
      </c>
      <c r="P172" s="14">
        <v>0</v>
      </c>
      <c r="Q172" s="14">
        <v>0</v>
      </c>
      <c r="R172" s="14">
        <v>0</v>
      </c>
      <c r="S172" s="14">
        <v>0</v>
      </c>
      <c r="T172" s="14">
        <v>0</v>
      </c>
      <c r="U172" s="14">
        <v>0</v>
      </c>
      <c r="V172" s="14">
        <v>0</v>
      </c>
      <c r="W172" s="15">
        <v>0</v>
      </c>
      <c r="X172" s="15">
        <v>0</v>
      </c>
      <c r="Y172" s="14">
        <v>0</v>
      </c>
      <c r="Z172" s="14">
        <v>0</v>
      </c>
      <c r="AA172" s="15">
        <v>0</v>
      </c>
      <c r="AB172" s="15">
        <v>0</v>
      </c>
      <c r="AC172" s="15">
        <v>0</v>
      </c>
      <c r="AD172" s="15">
        <v>0</v>
      </c>
      <c r="AE172" s="15">
        <v>0</v>
      </c>
      <c r="AF172" s="15">
        <v>0</v>
      </c>
      <c r="AG172" s="15">
        <v>0</v>
      </c>
      <c r="AH172" s="15">
        <v>0</v>
      </c>
      <c r="AI172" s="15">
        <v>0</v>
      </c>
      <c r="AJ172" s="15">
        <v>0</v>
      </c>
      <c r="AK172" s="15">
        <v>0</v>
      </c>
      <c r="AL172" s="15">
        <v>0</v>
      </c>
      <c r="AM172" s="14">
        <v>0</v>
      </c>
      <c r="AN172" s="14">
        <v>0</v>
      </c>
      <c r="AO172" s="14">
        <v>0</v>
      </c>
      <c r="AP172" s="14">
        <v>0</v>
      </c>
      <c r="AQ172" s="14">
        <v>0</v>
      </c>
      <c r="AR172" s="14">
        <v>0</v>
      </c>
      <c r="AS172" s="14">
        <v>0</v>
      </c>
      <c r="AT172" s="14">
        <v>0</v>
      </c>
      <c r="AU172" s="14">
        <v>0</v>
      </c>
      <c r="AV172" s="14">
        <v>0</v>
      </c>
      <c r="AW172" s="14">
        <v>0</v>
      </c>
      <c r="AX172" s="14">
        <v>0</v>
      </c>
      <c r="AY172" s="14">
        <v>0</v>
      </c>
      <c r="AZ172" s="14">
        <v>0</v>
      </c>
      <c r="BA172" s="14">
        <v>0</v>
      </c>
      <c r="BB172" s="14">
        <v>0</v>
      </c>
      <c r="BC172" s="14">
        <v>0</v>
      </c>
      <c r="BD172" s="14">
        <v>0</v>
      </c>
      <c r="BE172" s="14">
        <v>0</v>
      </c>
      <c r="BF172" s="14">
        <v>0</v>
      </c>
    </row>
    <row r="173" spans="1:58" ht="16">
      <c r="A173" s="14" t="s">
        <v>16978</v>
      </c>
      <c r="B173" s="14" t="s">
        <v>17366</v>
      </c>
      <c r="C173" s="14">
        <v>0</v>
      </c>
      <c r="D173" s="14">
        <v>0</v>
      </c>
      <c r="E173" s="14">
        <v>0</v>
      </c>
      <c r="F173" s="14">
        <v>0</v>
      </c>
      <c r="G173" s="14">
        <v>0</v>
      </c>
      <c r="H173" s="14">
        <v>0</v>
      </c>
      <c r="I173" s="14">
        <v>0</v>
      </c>
      <c r="J173" s="14">
        <v>0</v>
      </c>
      <c r="K173" s="14">
        <v>0</v>
      </c>
      <c r="L173" s="14">
        <v>0</v>
      </c>
      <c r="M173" s="14">
        <v>0</v>
      </c>
      <c r="N173" s="14">
        <v>0</v>
      </c>
      <c r="O173" s="14">
        <v>0</v>
      </c>
      <c r="P173" s="14">
        <v>0</v>
      </c>
      <c r="Q173" s="14">
        <v>0</v>
      </c>
      <c r="R173" s="14">
        <v>0</v>
      </c>
      <c r="S173" s="14">
        <v>0</v>
      </c>
      <c r="T173" s="14">
        <v>0</v>
      </c>
      <c r="U173" s="14">
        <v>0</v>
      </c>
      <c r="V173" s="14">
        <v>0</v>
      </c>
      <c r="W173" s="15">
        <v>0</v>
      </c>
      <c r="X173" s="15">
        <v>0</v>
      </c>
      <c r="Y173" s="14">
        <v>0</v>
      </c>
      <c r="Z173" s="14">
        <v>0</v>
      </c>
      <c r="AA173" s="15">
        <v>0</v>
      </c>
      <c r="AB173" s="15">
        <v>0</v>
      </c>
      <c r="AC173" s="15">
        <v>0</v>
      </c>
      <c r="AD173" s="15">
        <v>0</v>
      </c>
      <c r="AE173" s="15">
        <v>0</v>
      </c>
      <c r="AF173" s="15">
        <v>0</v>
      </c>
      <c r="AG173" s="15">
        <v>0</v>
      </c>
      <c r="AH173" s="15">
        <v>0</v>
      </c>
      <c r="AI173" s="15">
        <v>0</v>
      </c>
      <c r="AJ173" s="15">
        <v>0</v>
      </c>
      <c r="AK173" s="15">
        <v>0</v>
      </c>
      <c r="AL173" s="15">
        <v>0</v>
      </c>
      <c r="AM173" s="14">
        <v>0</v>
      </c>
      <c r="AN173" s="14">
        <v>0</v>
      </c>
      <c r="AO173" s="14">
        <v>0</v>
      </c>
      <c r="AP173" s="14">
        <v>0</v>
      </c>
      <c r="AQ173" s="14">
        <v>0</v>
      </c>
      <c r="AR173" s="14">
        <v>0</v>
      </c>
      <c r="AS173" s="14">
        <v>0</v>
      </c>
      <c r="AT173" s="14">
        <v>0</v>
      </c>
      <c r="AU173" s="14">
        <v>0</v>
      </c>
      <c r="AV173" s="14">
        <v>0</v>
      </c>
      <c r="AW173" s="14">
        <v>0</v>
      </c>
      <c r="AX173" s="14">
        <v>0</v>
      </c>
      <c r="AY173" s="14">
        <v>0</v>
      </c>
      <c r="AZ173" s="14">
        <v>0</v>
      </c>
      <c r="BA173" s="14">
        <v>0</v>
      </c>
      <c r="BB173" s="14">
        <v>0</v>
      </c>
      <c r="BC173" s="14">
        <v>0</v>
      </c>
      <c r="BD173" s="14">
        <v>0</v>
      </c>
      <c r="BE173" s="14">
        <v>0</v>
      </c>
      <c r="BF173" s="14">
        <v>0</v>
      </c>
    </row>
    <row r="174" spans="1:58" ht="16">
      <c r="A174" s="14" t="s">
        <v>16978</v>
      </c>
      <c r="B174" s="14" t="s">
        <v>18827</v>
      </c>
      <c r="C174" s="14">
        <v>0</v>
      </c>
      <c r="D174" s="14">
        <v>1</v>
      </c>
      <c r="E174" s="14">
        <v>1</v>
      </c>
      <c r="F174" s="14">
        <v>0</v>
      </c>
      <c r="G174" s="14">
        <v>1</v>
      </c>
      <c r="H174" s="14">
        <v>1</v>
      </c>
      <c r="I174" s="14">
        <v>0</v>
      </c>
      <c r="J174" s="14">
        <v>1</v>
      </c>
      <c r="K174" s="14">
        <v>58</v>
      </c>
      <c r="L174" s="14">
        <v>0</v>
      </c>
      <c r="M174" s="14">
        <v>0</v>
      </c>
      <c r="N174" s="14">
        <v>0</v>
      </c>
      <c r="O174" s="14">
        <v>0</v>
      </c>
      <c r="P174" s="14">
        <v>1</v>
      </c>
      <c r="Q174" s="14">
        <v>0</v>
      </c>
      <c r="R174" s="14">
        <v>0</v>
      </c>
      <c r="S174" s="14">
        <v>2</v>
      </c>
      <c r="T174" s="14">
        <v>2</v>
      </c>
      <c r="U174" s="14">
        <v>0</v>
      </c>
      <c r="V174" s="14">
        <v>2</v>
      </c>
      <c r="W174" s="15">
        <v>30</v>
      </c>
      <c r="X174" s="15">
        <v>0</v>
      </c>
      <c r="Y174" s="14">
        <v>1</v>
      </c>
      <c r="Z174" s="14">
        <v>0</v>
      </c>
      <c r="AA174" s="15">
        <v>0</v>
      </c>
      <c r="AB174" s="15">
        <v>0</v>
      </c>
      <c r="AC174" s="15">
        <v>570</v>
      </c>
      <c r="AD174" s="15">
        <v>570</v>
      </c>
      <c r="AE174" s="15">
        <v>0</v>
      </c>
      <c r="AF174" s="15">
        <v>570</v>
      </c>
      <c r="AG174" s="15">
        <v>600</v>
      </c>
      <c r="AH174" s="15">
        <v>600</v>
      </c>
      <c r="AI174" s="15">
        <v>0</v>
      </c>
      <c r="AJ174" s="15">
        <v>570</v>
      </c>
      <c r="AK174" s="15">
        <v>600</v>
      </c>
      <c r="AL174" s="15">
        <v>600</v>
      </c>
      <c r="AM174" s="14">
        <v>0</v>
      </c>
      <c r="AN174" s="14">
        <v>0</v>
      </c>
      <c r="AO174" s="14">
        <v>0</v>
      </c>
      <c r="AP174" s="14">
        <v>0</v>
      </c>
      <c r="AQ174" s="14">
        <v>0</v>
      </c>
      <c r="AR174" s="14">
        <v>0</v>
      </c>
      <c r="AS174" s="14">
        <v>0</v>
      </c>
      <c r="AT174" s="14">
        <v>58</v>
      </c>
      <c r="AU174" s="14">
        <v>58</v>
      </c>
      <c r="AV174" s="14">
        <v>0</v>
      </c>
      <c r="AW174" s="14">
        <v>0</v>
      </c>
      <c r="AX174" s="14">
        <v>1</v>
      </c>
      <c r="AY174" s="14">
        <v>1</v>
      </c>
      <c r="AZ174" s="14">
        <v>0</v>
      </c>
      <c r="BA174" s="14">
        <v>0</v>
      </c>
      <c r="BB174" s="14">
        <v>1</v>
      </c>
      <c r="BC174" s="14">
        <v>1</v>
      </c>
      <c r="BD174" s="14">
        <v>0</v>
      </c>
      <c r="BE174" s="14">
        <v>0</v>
      </c>
      <c r="BF174" s="14">
        <v>1</v>
      </c>
    </row>
    <row r="175" spans="1:58" ht="16">
      <c r="A175" s="14" t="s">
        <v>16978</v>
      </c>
      <c r="B175" s="14" t="s">
        <v>17075</v>
      </c>
      <c r="C175" s="14">
        <v>0</v>
      </c>
      <c r="D175" s="14">
        <v>0</v>
      </c>
      <c r="E175" s="14">
        <v>0</v>
      </c>
      <c r="F175" s="14">
        <v>0</v>
      </c>
      <c r="G175" s="14">
        <v>0</v>
      </c>
      <c r="H175" s="14">
        <v>0</v>
      </c>
      <c r="I175" s="14">
        <v>0</v>
      </c>
      <c r="J175" s="14">
        <v>0</v>
      </c>
      <c r="K175" s="14">
        <v>0</v>
      </c>
      <c r="L175" s="14">
        <v>0</v>
      </c>
      <c r="M175" s="14">
        <v>0</v>
      </c>
      <c r="N175" s="14">
        <v>0</v>
      </c>
      <c r="O175" s="14">
        <v>0</v>
      </c>
      <c r="P175" s="14">
        <v>0</v>
      </c>
      <c r="Q175" s="14">
        <v>0</v>
      </c>
      <c r="R175" s="14">
        <v>0</v>
      </c>
      <c r="S175" s="14">
        <v>0</v>
      </c>
      <c r="T175" s="14">
        <v>0</v>
      </c>
      <c r="U175" s="14">
        <v>0</v>
      </c>
      <c r="V175" s="14">
        <v>0</v>
      </c>
      <c r="W175" s="15">
        <v>0</v>
      </c>
      <c r="X175" s="15">
        <v>0</v>
      </c>
      <c r="Y175" s="14">
        <v>0</v>
      </c>
      <c r="Z175" s="14">
        <v>0</v>
      </c>
      <c r="AA175" s="15">
        <v>0</v>
      </c>
      <c r="AB175" s="15">
        <v>0</v>
      </c>
      <c r="AC175" s="15">
        <v>0</v>
      </c>
      <c r="AD175" s="15">
        <v>0</v>
      </c>
      <c r="AE175" s="15">
        <v>0</v>
      </c>
      <c r="AF175" s="15">
        <v>0</v>
      </c>
      <c r="AG175" s="15">
        <v>0</v>
      </c>
      <c r="AH175" s="15">
        <v>0</v>
      </c>
      <c r="AI175" s="15">
        <v>0</v>
      </c>
      <c r="AJ175" s="15">
        <v>0</v>
      </c>
      <c r="AK175" s="15">
        <v>0</v>
      </c>
      <c r="AL175" s="15">
        <v>0</v>
      </c>
      <c r="AM175" s="14">
        <v>0</v>
      </c>
      <c r="AN175" s="14">
        <v>0</v>
      </c>
      <c r="AO175" s="14">
        <v>0</v>
      </c>
      <c r="AP175" s="14">
        <v>0</v>
      </c>
      <c r="AQ175" s="14">
        <v>0</v>
      </c>
      <c r="AR175" s="14">
        <v>0</v>
      </c>
      <c r="AS175" s="14">
        <v>0</v>
      </c>
      <c r="AT175" s="14">
        <v>0</v>
      </c>
      <c r="AU175" s="14">
        <v>0</v>
      </c>
      <c r="AV175" s="14">
        <v>0</v>
      </c>
      <c r="AW175" s="14">
        <v>0</v>
      </c>
      <c r="AX175" s="14">
        <v>0</v>
      </c>
      <c r="AY175" s="14">
        <v>0</v>
      </c>
      <c r="AZ175" s="14">
        <v>0</v>
      </c>
      <c r="BA175" s="14">
        <v>0</v>
      </c>
      <c r="BB175" s="14">
        <v>0</v>
      </c>
      <c r="BC175" s="14">
        <v>0</v>
      </c>
      <c r="BD175" s="14">
        <v>0</v>
      </c>
      <c r="BE175" s="14">
        <v>0</v>
      </c>
      <c r="BF175" s="14">
        <v>0</v>
      </c>
    </row>
    <row r="176" spans="1:58" ht="16">
      <c r="A176" s="14" t="s">
        <v>16978</v>
      </c>
      <c r="B176" s="14" t="s">
        <v>17078</v>
      </c>
      <c r="C176" s="14">
        <v>0</v>
      </c>
      <c r="D176" s="14">
        <v>0</v>
      </c>
      <c r="E176" s="14">
        <v>0</v>
      </c>
      <c r="F176" s="14">
        <v>0</v>
      </c>
      <c r="G176" s="14">
        <v>0</v>
      </c>
      <c r="H176" s="14">
        <v>0</v>
      </c>
      <c r="I176" s="14">
        <v>0</v>
      </c>
      <c r="J176" s="14">
        <v>0</v>
      </c>
      <c r="K176" s="14">
        <v>0</v>
      </c>
      <c r="L176" s="14">
        <v>0</v>
      </c>
      <c r="M176" s="14">
        <v>0</v>
      </c>
      <c r="N176" s="14">
        <v>0</v>
      </c>
      <c r="O176" s="14">
        <v>0</v>
      </c>
      <c r="P176" s="14">
        <v>0</v>
      </c>
      <c r="Q176" s="14">
        <v>0</v>
      </c>
      <c r="R176" s="14">
        <v>0</v>
      </c>
      <c r="S176" s="14">
        <v>0</v>
      </c>
      <c r="T176" s="14">
        <v>0</v>
      </c>
      <c r="U176" s="14">
        <v>0</v>
      </c>
      <c r="V176" s="14">
        <v>0</v>
      </c>
      <c r="W176" s="15">
        <v>0</v>
      </c>
      <c r="X176" s="15">
        <v>0</v>
      </c>
      <c r="Y176" s="14">
        <v>0</v>
      </c>
      <c r="Z176" s="14">
        <v>0</v>
      </c>
      <c r="AA176" s="15">
        <v>0</v>
      </c>
      <c r="AB176" s="15">
        <v>0</v>
      </c>
      <c r="AC176" s="15">
        <v>0</v>
      </c>
      <c r="AD176" s="15">
        <v>0</v>
      </c>
      <c r="AE176" s="15">
        <v>0</v>
      </c>
      <c r="AF176" s="15">
        <v>0</v>
      </c>
      <c r="AG176" s="15">
        <v>0</v>
      </c>
      <c r="AH176" s="15">
        <v>0</v>
      </c>
      <c r="AI176" s="15">
        <v>0</v>
      </c>
      <c r="AJ176" s="15">
        <v>0</v>
      </c>
      <c r="AK176" s="15">
        <v>0</v>
      </c>
      <c r="AL176" s="15">
        <v>0</v>
      </c>
      <c r="AM176" s="14">
        <v>0</v>
      </c>
      <c r="AN176" s="14">
        <v>0</v>
      </c>
      <c r="AO176" s="14">
        <v>0</v>
      </c>
      <c r="AP176" s="14">
        <v>0</v>
      </c>
      <c r="AQ176" s="14">
        <v>0</v>
      </c>
      <c r="AR176" s="14">
        <v>0</v>
      </c>
      <c r="AS176" s="14">
        <v>0</v>
      </c>
      <c r="AT176" s="14">
        <v>0</v>
      </c>
      <c r="AU176" s="14">
        <v>0</v>
      </c>
      <c r="AV176" s="14">
        <v>0</v>
      </c>
      <c r="AW176" s="14">
        <v>0</v>
      </c>
      <c r="AX176" s="14">
        <v>0</v>
      </c>
      <c r="AY176" s="14">
        <v>0</v>
      </c>
      <c r="AZ176" s="14">
        <v>0</v>
      </c>
      <c r="BA176" s="14">
        <v>0</v>
      </c>
      <c r="BB176" s="14">
        <v>0</v>
      </c>
      <c r="BC176" s="14">
        <v>0</v>
      </c>
      <c r="BD176" s="14">
        <v>0</v>
      </c>
      <c r="BE176" s="14">
        <v>0</v>
      </c>
      <c r="BF176" s="14">
        <v>0</v>
      </c>
    </row>
    <row r="177" spans="1:58" ht="16">
      <c r="A177" s="14" t="s">
        <v>16978</v>
      </c>
      <c r="B177" s="14" t="s">
        <v>17079</v>
      </c>
      <c r="C177" s="14">
        <v>0</v>
      </c>
      <c r="D177" s="14">
        <v>0</v>
      </c>
      <c r="E177" s="14">
        <v>0</v>
      </c>
      <c r="F177" s="14">
        <v>0</v>
      </c>
      <c r="G177" s="14">
        <v>0</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5">
        <v>0</v>
      </c>
      <c r="X177" s="15">
        <v>0</v>
      </c>
      <c r="Y177" s="14">
        <v>0</v>
      </c>
      <c r="Z177" s="14">
        <v>0</v>
      </c>
      <c r="AA177" s="15">
        <v>0</v>
      </c>
      <c r="AB177" s="15">
        <v>0</v>
      </c>
      <c r="AC177" s="15">
        <v>0</v>
      </c>
      <c r="AD177" s="15">
        <v>0</v>
      </c>
      <c r="AE177" s="15">
        <v>0</v>
      </c>
      <c r="AF177" s="15">
        <v>0</v>
      </c>
      <c r="AG177" s="15">
        <v>0</v>
      </c>
      <c r="AH177" s="15">
        <v>0</v>
      </c>
      <c r="AI177" s="15">
        <v>0</v>
      </c>
      <c r="AJ177" s="15">
        <v>0</v>
      </c>
      <c r="AK177" s="15">
        <v>0</v>
      </c>
      <c r="AL177" s="15">
        <v>0</v>
      </c>
      <c r="AM177" s="14">
        <v>0</v>
      </c>
      <c r="AN177" s="14">
        <v>0</v>
      </c>
      <c r="AO177" s="14">
        <v>0</v>
      </c>
      <c r="AP177" s="14">
        <v>0</v>
      </c>
      <c r="AQ177" s="14">
        <v>0</v>
      </c>
      <c r="AR177" s="14">
        <v>0</v>
      </c>
      <c r="AS177" s="14">
        <v>0</v>
      </c>
      <c r="AT177" s="14">
        <v>0</v>
      </c>
      <c r="AU177" s="14">
        <v>0</v>
      </c>
      <c r="AV177" s="14">
        <v>0</v>
      </c>
      <c r="AW177" s="14">
        <v>0</v>
      </c>
      <c r="AX177" s="14">
        <v>0</v>
      </c>
      <c r="AY177" s="14">
        <v>0</v>
      </c>
      <c r="AZ177" s="14">
        <v>0</v>
      </c>
      <c r="BA177" s="14">
        <v>0</v>
      </c>
      <c r="BB177" s="14">
        <v>0</v>
      </c>
      <c r="BC177" s="14">
        <v>0</v>
      </c>
      <c r="BD177" s="14">
        <v>0</v>
      </c>
      <c r="BE177" s="14">
        <v>0</v>
      </c>
      <c r="BF177" s="14">
        <v>0</v>
      </c>
    </row>
    <row r="178" spans="1:58" ht="16">
      <c r="A178" s="14" t="s">
        <v>16978</v>
      </c>
      <c r="B178" s="14" t="s">
        <v>18828</v>
      </c>
      <c r="C178" s="14">
        <v>0</v>
      </c>
      <c r="D178" s="14">
        <v>1</v>
      </c>
      <c r="E178" s="14">
        <v>1</v>
      </c>
      <c r="F178" s="14">
        <v>1</v>
      </c>
      <c r="G178" s="14">
        <v>1</v>
      </c>
      <c r="H178" s="14">
        <v>1</v>
      </c>
      <c r="I178" s="14">
        <v>1</v>
      </c>
      <c r="J178" s="14">
        <v>1</v>
      </c>
      <c r="K178" s="14">
        <v>100</v>
      </c>
      <c r="L178" s="14">
        <v>1</v>
      </c>
      <c r="M178" s="14">
        <v>0</v>
      </c>
      <c r="N178" s="14">
        <v>0</v>
      </c>
      <c r="O178" s="14">
        <v>0</v>
      </c>
      <c r="P178" s="14">
        <v>0</v>
      </c>
      <c r="Q178" s="14">
        <v>0</v>
      </c>
      <c r="R178" s="14">
        <v>0</v>
      </c>
      <c r="S178" s="14">
        <v>100</v>
      </c>
      <c r="T178" s="14">
        <v>16</v>
      </c>
      <c r="U178" s="14">
        <v>3</v>
      </c>
      <c r="V178" s="14">
        <v>119</v>
      </c>
      <c r="W178" s="15">
        <v>1320</v>
      </c>
      <c r="X178" s="15">
        <v>0</v>
      </c>
      <c r="Y178" s="14">
        <v>0</v>
      </c>
      <c r="Z178" s="14">
        <v>1</v>
      </c>
      <c r="AA178" s="15">
        <v>0</v>
      </c>
      <c r="AB178" s="15">
        <v>1260</v>
      </c>
      <c r="AC178" s="15">
        <v>0</v>
      </c>
      <c r="AD178" s="15">
        <v>0</v>
      </c>
      <c r="AE178" s="15">
        <v>0</v>
      </c>
      <c r="AF178" s="15">
        <v>1260</v>
      </c>
      <c r="AG178" s="15">
        <v>1380</v>
      </c>
      <c r="AH178" s="15">
        <v>1380</v>
      </c>
      <c r="AI178" s="15">
        <v>0</v>
      </c>
      <c r="AJ178" s="15">
        <v>1260</v>
      </c>
      <c r="AK178" s="15">
        <v>1380</v>
      </c>
      <c r="AL178" s="15">
        <v>1380</v>
      </c>
      <c r="AM178" s="14">
        <v>0</v>
      </c>
      <c r="AN178" s="14">
        <v>0</v>
      </c>
      <c r="AO178" s="14">
        <v>0</v>
      </c>
      <c r="AP178" s="14">
        <v>0</v>
      </c>
      <c r="AQ178" s="14">
        <v>0</v>
      </c>
      <c r="AR178" s="14">
        <v>0</v>
      </c>
      <c r="AS178" s="14">
        <v>0</v>
      </c>
      <c r="AT178" s="14">
        <v>100</v>
      </c>
      <c r="AU178" s="14">
        <v>100</v>
      </c>
      <c r="AV178" s="14">
        <v>0</v>
      </c>
      <c r="AW178" s="14">
        <v>0</v>
      </c>
      <c r="AX178" s="14">
        <v>100</v>
      </c>
      <c r="AY178" s="14">
        <v>100</v>
      </c>
      <c r="AZ178" s="14">
        <v>0</v>
      </c>
      <c r="BA178" s="14">
        <v>0</v>
      </c>
      <c r="BB178" s="14">
        <v>16</v>
      </c>
      <c r="BC178" s="14">
        <v>16</v>
      </c>
      <c r="BD178" s="14">
        <v>0</v>
      </c>
      <c r="BE178" s="14">
        <v>0</v>
      </c>
      <c r="BF178" s="14">
        <v>0</v>
      </c>
    </row>
    <row r="179" spans="1:58" ht="16">
      <c r="A179" s="14" t="s">
        <v>16978</v>
      </c>
      <c r="B179" s="14" t="s">
        <v>18829</v>
      </c>
      <c r="C179" s="14">
        <v>0</v>
      </c>
      <c r="D179" s="14">
        <v>1</v>
      </c>
      <c r="E179" s="14">
        <v>1</v>
      </c>
      <c r="F179" s="14">
        <v>1</v>
      </c>
      <c r="G179" s="14">
        <v>0</v>
      </c>
      <c r="H179" s="14">
        <v>1</v>
      </c>
      <c r="I179" s="14">
        <v>0</v>
      </c>
      <c r="J179" s="14">
        <v>1</v>
      </c>
      <c r="K179" s="14">
        <v>25</v>
      </c>
      <c r="L179" s="14">
        <v>1</v>
      </c>
      <c r="M179" s="14">
        <v>0</v>
      </c>
      <c r="N179" s="14">
        <v>0</v>
      </c>
      <c r="O179" s="14">
        <v>0</v>
      </c>
      <c r="P179" s="14">
        <v>0</v>
      </c>
      <c r="Q179" s="14">
        <v>0</v>
      </c>
      <c r="R179" s="14">
        <v>0</v>
      </c>
      <c r="S179" s="14">
        <v>5</v>
      </c>
      <c r="T179" s="14">
        <v>5</v>
      </c>
      <c r="U179" s="14">
        <v>0</v>
      </c>
      <c r="V179" s="14">
        <v>10</v>
      </c>
      <c r="W179" s="15">
        <v>150</v>
      </c>
      <c r="X179" s="15">
        <v>0</v>
      </c>
      <c r="Y179" s="14">
        <v>1</v>
      </c>
      <c r="Z179" s="14">
        <v>0</v>
      </c>
      <c r="AA179" s="15">
        <v>0</v>
      </c>
      <c r="AB179" s="15">
        <v>120</v>
      </c>
      <c r="AC179" s="15">
        <v>0</v>
      </c>
      <c r="AD179" s="15">
        <v>0</v>
      </c>
      <c r="AE179" s="15">
        <v>0</v>
      </c>
      <c r="AF179" s="15">
        <v>120</v>
      </c>
      <c r="AG179" s="15">
        <v>150</v>
      </c>
      <c r="AH179" s="15">
        <v>150</v>
      </c>
      <c r="AI179" s="15">
        <v>0</v>
      </c>
      <c r="AJ179" s="15">
        <v>120</v>
      </c>
      <c r="AK179" s="15">
        <v>150</v>
      </c>
      <c r="AL179" s="15">
        <v>150</v>
      </c>
      <c r="AM179" s="14">
        <v>0</v>
      </c>
      <c r="AN179" s="14">
        <v>0</v>
      </c>
      <c r="AO179" s="14">
        <v>0</v>
      </c>
      <c r="AP179" s="14">
        <v>0</v>
      </c>
      <c r="AQ179" s="14">
        <v>0</v>
      </c>
      <c r="AR179" s="14">
        <v>0</v>
      </c>
      <c r="AS179" s="14">
        <v>0</v>
      </c>
      <c r="AT179" s="14">
        <v>25</v>
      </c>
      <c r="AU179" s="14">
        <v>25</v>
      </c>
      <c r="AV179" s="14">
        <v>0</v>
      </c>
      <c r="AW179" s="14">
        <v>0</v>
      </c>
      <c r="AX179" s="14">
        <v>5</v>
      </c>
      <c r="AY179" s="14">
        <v>5</v>
      </c>
      <c r="AZ179" s="14">
        <v>0</v>
      </c>
      <c r="BA179" s="14">
        <v>0</v>
      </c>
      <c r="BB179" s="14">
        <v>5</v>
      </c>
      <c r="BC179" s="14">
        <v>5</v>
      </c>
      <c r="BD179" s="14">
        <v>0</v>
      </c>
      <c r="BE179" s="14">
        <v>0</v>
      </c>
      <c r="BF179" s="14">
        <v>200</v>
      </c>
    </row>
    <row r="180" spans="1:58" ht="16">
      <c r="A180" s="14" t="s">
        <v>16978</v>
      </c>
      <c r="B180" s="14" t="s">
        <v>17054</v>
      </c>
      <c r="C180" s="14">
        <v>0</v>
      </c>
      <c r="D180" s="14">
        <v>0</v>
      </c>
      <c r="E180" s="14">
        <v>0</v>
      </c>
      <c r="F180" s="14">
        <v>0</v>
      </c>
      <c r="G180" s="14">
        <v>0</v>
      </c>
      <c r="H180" s="14">
        <v>0</v>
      </c>
      <c r="I180" s="14">
        <v>0</v>
      </c>
      <c r="J180" s="14">
        <v>0</v>
      </c>
      <c r="K180" s="14">
        <v>0</v>
      </c>
      <c r="L180" s="14">
        <v>0</v>
      </c>
      <c r="M180" s="14">
        <v>0</v>
      </c>
      <c r="N180" s="14">
        <v>0</v>
      </c>
      <c r="O180" s="14">
        <v>0</v>
      </c>
      <c r="P180" s="14">
        <v>0</v>
      </c>
      <c r="Q180" s="14">
        <v>0</v>
      </c>
      <c r="R180" s="14">
        <v>0</v>
      </c>
      <c r="S180" s="14">
        <v>0</v>
      </c>
      <c r="T180" s="14">
        <v>0</v>
      </c>
      <c r="U180" s="14">
        <v>0</v>
      </c>
      <c r="V180" s="14">
        <v>0</v>
      </c>
      <c r="W180" s="15">
        <v>0</v>
      </c>
      <c r="X180" s="15">
        <v>0</v>
      </c>
      <c r="Y180" s="14">
        <v>0</v>
      </c>
      <c r="Z180" s="14">
        <v>0</v>
      </c>
      <c r="AA180" s="15">
        <v>0</v>
      </c>
      <c r="AB180" s="15">
        <v>0</v>
      </c>
      <c r="AC180" s="15">
        <v>0</v>
      </c>
      <c r="AD180" s="15">
        <v>0</v>
      </c>
      <c r="AE180" s="15">
        <v>0</v>
      </c>
      <c r="AF180" s="15">
        <v>0</v>
      </c>
      <c r="AG180" s="15">
        <v>0</v>
      </c>
      <c r="AH180" s="15">
        <v>0</v>
      </c>
      <c r="AI180" s="15">
        <v>0</v>
      </c>
      <c r="AJ180" s="15">
        <v>0</v>
      </c>
      <c r="AK180" s="15">
        <v>0</v>
      </c>
      <c r="AL180" s="15">
        <v>0</v>
      </c>
      <c r="AM180" s="14">
        <v>0</v>
      </c>
      <c r="AN180" s="14">
        <v>0</v>
      </c>
      <c r="AO180" s="14">
        <v>0</v>
      </c>
      <c r="AP180" s="14">
        <v>0</v>
      </c>
      <c r="AQ180" s="14">
        <v>0</v>
      </c>
      <c r="AR180" s="14">
        <v>0</v>
      </c>
      <c r="AS180" s="14">
        <v>0</v>
      </c>
      <c r="AT180" s="14">
        <v>0</v>
      </c>
      <c r="AU180" s="14">
        <v>0</v>
      </c>
      <c r="AV180" s="14">
        <v>0</v>
      </c>
      <c r="AW180" s="14">
        <v>0</v>
      </c>
      <c r="AX180" s="14">
        <v>0</v>
      </c>
      <c r="AY180" s="14">
        <v>0</v>
      </c>
      <c r="AZ180" s="14">
        <v>0</v>
      </c>
      <c r="BA180" s="14">
        <v>0</v>
      </c>
      <c r="BB180" s="14">
        <v>0</v>
      </c>
      <c r="BC180" s="14">
        <v>0</v>
      </c>
      <c r="BD180" s="14">
        <v>0</v>
      </c>
      <c r="BE180" s="14">
        <v>0</v>
      </c>
      <c r="BF180" s="14">
        <v>0</v>
      </c>
    </row>
    <row r="181" spans="1:58" ht="16">
      <c r="A181" s="14" t="s">
        <v>16978</v>
      </c>
      <c r="B181" s="14" t="s">
        <v>17368</v>
      </c>
      <c r="C181" s="14">
        <v>10</v>
      </c>
      <c r="D181" s="14">
        <v>67</v>
      </c>
      <c r="E181" s="14">
        <v>66</v>
      </c>
      <c r="F181" s="14">
        <v>67</v>
      </c>
      <c r="G181" s="14">
        <v>0</v>
      </c>
      <c r="H181" s="14">
        <v>0</v>
      </c>
      <c r="I181" s="14">
        <v>0</v>
      </c>
      <c r="J181" s="14">
        <v>67</v>
      </c>
      <c r="K181" s="14">
        <v>98</v>
      </c>
      <c r="L181" s="14">
        <v>67</v>
      </c>
      <c r="M181" s="14">
        <v>0</v>
      </c>
      <c r="N181" s="14">
        <v>0</v>
      </c>
      <c r="O181" s="14">
        <v>0</v>
      </c>
      <c r="P181" s="14">
        <v>0</v>
      </c>
      <c r="Q181" s="14">
        <v>0</v>
      </c>
      <c r="R181" s="14">
        <v>0</v>
      </c>
      <c r="S181" s="14">
        <v>0</v>
      </c>
      <c r="T181" s="14">
        <v>0</v>
      </c>
      <c r="U181" s="14">
        <v>0</v>
      </c>
      <c r="V181" s="14"/>
      <c r="W181" s="15">
        <v>241</v>
      </c>
      <c r="X181" s="15">
        <v>0</v>
      </c>
      <c r="Y181" s="14">
        <v>58</v>
      </c>
      <c r="Z181" s="14">
        <v>0</v>
      </c>
      <c r="AA181" s="15">
        <v>0</v>
      </c>
      <c r="AB181" s="15">
        <v>0</v>
      </c>
      <c r="AC181" s="15">
        <v>0</v>
      </c>
      <c r="AD181" s="15">
        <v>0</v>
      </c>
      <c r="AE181" s="15">
        <v>0</v>
      </c>
      <c r="AF181" s="15">
        <v>0</v>
      </c>
      <c r="AG181" s="15">
        <v>241</v>
      </c>
      <c r="AH181" s="15">
        <v>241</v>
      </c>
      <c r="AI181" s="15">
        <v>0</v>
      </c>
      <c r="AJ181" s="15">
        <v>0</v>
      </c>
      <c r="AK181" s="15">
        <v>0</v>
      </c>
      <c r="AL181" s="15">
        <v>0</v>
      </c>
      <c r="AM181" s="14">
        <v>0</v>
      </c>
      <c r="AN181" s="14">
        <v>0</v>
      </c>
      <c r="AO181" s="14">
        <v>0</v>
      </c>
      <c r="AP181" s="14">
        <v>0</v>
      </c>
      <c r="AQ181" s="14">
        <v>0</v>
      </c>
      <c r="AR181" s="14">
        <v>0</v>
      </c>
      <c r="AS181" s="14">
        <v>0</v>
      </c>
      <c r="AT181" s="14">
        <v>98</v>
      </c>
      <c r="AU181" s="14">
        <v>0</v>
      </c>
      <c r="AV181" s="14">
        <v>79</v>
      </c>
      <c r="AW181" s="14">
        <v>19</v>
      </c>
      <c r="AX181" s="14">
        <v>0</v>
      </c>
      <c r="AY181" s="14">
        <v>0</v>
      </c>
      <c r="AZ181" s="14">
        <v>0</v>
      </c>
      <c r="BA181" s="14">
        <v>0</v>
      </c>
      <c r="BB181" s="14">
        <v>0</v>
      </c>
      <c r="BC181" s="14">
        <v>0</v>
      </c>
      <c r="BD181" s="14">
        <v>0</v>
      </c>
      <c r="BE181" s="14">
        <v>0</v>
      </c>
      <c r="BF181" s="14">
        <v>250</v>
      </c>
    </row>
    <row r="182" spans="1:58" ht="16">
      <c r="A182" s="14" t="s">
        <v>16978</v>
      </c>
      <c r="B182" s="14" t="s">
        <v>17081</v>
      </c>
      <c r="C182" s="14">
        <v>0</v>
      </c>
      <c r="D182" s="14">
        <v>2</v>
      </c>
      <c r="E182" s="14">
        <v>0</v>
      </c>
      <c r="F182" s="14">
        <v>2</v>
      </c>
      <c r="G182" s="14">
        <v>2</v>
      </c>
      <c r="H182" s="14">
        <v>0</v>
      </c>
      <c r="I182" s="14">
        <v>0</v>
      </c>
      <c r="J182" s="14">
        <v>2</v>
      </c>
      <c r="K182" s="14">
        <v>38</v>
      </c>
      <c r="L182" s="14">
        <v>1</v>
      </c>
      <c r="M182" s="14">
        <v>0</v>
      </c>
      <c r="N182" s="14">
        <v>0</v>
      </c>
      <c r="O182" s="14">
        <v>0</v>
      </c>
      <c r="P182" s="14">
        <v>1</v>
      </c>
      <c r="Q182" s="14">
        <v>0</v>
      </c>
      <c r="R182" s="14">
        <v>0</v>
      </c>
      <c r="S182" s="14">
        <v>48</v>
      </c>
      <c r="T182" s="14">
        <v>9</v>
      </c>
      <c r="U182" s="14">
        <v>0</v>
      </c>
      <c r="V182" s="14">
        <v>57</v>
      </c>
      <c r="W182" s="15">
        <v>660</v>
      </c>
      <c r="X182" s="15">
        <v>0</v>
      </c>
      <c r="Y182" s="14">
        <v>2</v>
      </c>
      <c r="Z182" s="14">
        <v>0</v>
      </c>
      <c r="AA182" s="15">
        <v>0</v>
      </c>
      <c r="AB182" s="15">
        <v>600</v>
      </c>
      <c r="AC182" s="15">
        <v>0</v>
      </c>
      <c r="AD182" s="15">
        <v>0</v>
      </c>
      <c r="AE182" s="15">
        <v>0</v>
      </c>
      <c r="AF182" s="15">
        <v>600</v>
      </c>
      <c r="AG182" s="15">
        <v>660</v>
      </c>
      <c r="AH182" s="15">
        <v>660</v>
      </c>
      <c r="AI182" s="15">
        <v>0</v>
      </c>
      <c r="AJ182" s="15">
        <v>0</v>
      </c>
      <c r="AK182" s="15">
        <v>0</v>
      </c>
      <c r="AL182" s="15">
        <v>0</v>
      </c>
      <c r="AM182" s="14">
        <v>0</v>
      </c>
      <c r="AN182" s="14">
        <v>0</v>
      </c>
      <c r="AO182" s="14">
        <v>0</v>
      </c>
      <c r="AP182" s="14">
        <v>0</v>
      </c>
      <c r="AQ182" s="14">
        <v>0</v>
      </c>
      <c r="AR182" s="14">
        <v>0</v>
      </c>
      <c r="AS182" s="14">
        <v>0</v>
      </c>
      <c r="AT182" s="14">
        <v>38</v>
      </c>
      <c r="AU182" s="14">
        <v>0</v>
      </c>
      <c r="AV182" s="14">
        <v>38</v>
      </c>
      <c r="AW182" s="14">
        <v>0</v>
      </c>
      <c r="AX182" s="14">
        <v>48</v>
      </c>
      <c r="AY182" s="14">
        <v>0</v>
      </c>
      <c r="AZ182" s="14">
        <v>48</v>
      </c>
      <c r="BA182" s="14">
        <v>0</v>
      </c>
      <c r="BB182" s="14">
        <v>9</v>
      </c>
      <c r="BC182" s="14">
        <v>0</v>
      </c>
      <c r="BD182" s="14">
        <v>9</v>
      </c>
      <c r="BE182" s="14">
        <v>0</v>
      </c>
      <c r="BF182" s="14">
        <v>2</v>
      </c>
    </row>
    <row r="183" spans="1:58" ht="16">
      <c r="A183" s="14" t="s">
        <v>16978</v>
      </c>
      <c r="B183" s="14" t="s">
        <v>17082</v>
      </c>
      <c r="C183" s="14">
        <v>0</v>
      </c>
      <c r="D183" s="14">
        <v>0</v>
      </c>
      <c r="E183" s="14">
        <v>0</v>
      </c>
      <c r="F183" s="14">
        <v>0</v>
      </c>
      <c r="G183" s="14">
        <v>0</v>
      </c>
      <c r="H183" s="14">
        <v>0</v>
      </c>
      <c r="I183" s="14">
        <v>0</v>
      </c>
      <c r="J183" s="14">
        <v>0</v>
      </c>
      <c r="K183" s="14">
        <v>0</v>
      </c>
      <c r="L183" s="14">
        <v>0</v>
      </c>
      <c r="M183" s="14">
        <v>0</v>
      </c>
      <c r="N183" s="14">
        <v>0</v>
      </c>
      <c r="O183" s="14">
        <v>0</v>
      </c>
      <c r="P183" s="14">
        <v>0</v>
      </c>
      <c r="Q183" s="14">
        <v>0</v>
      </c>
      <c r="R183" s="14">
        <v>0</v>
      </c>
      <c r="S183" s="14">
        <v>0</v>
      </c>
      <c r="T183" s="14">
        <v>0</v>
      </c>
      <c r="U183" s="14">
        <v>0</v>
      </c>
      <c r="V183" s="14">
        <v>0</v>
      </c>
      <c r="W183" s="15">
        <v>0</v>
      </c>
      <c r="X183" s="15">
        <v>0</v>
      </c>
      <c r="Y183" s="14">
        <v>0</v>
      </c>
      <c r="Z183" s="14">
        <v>0</v>
      </c>
      <c r="AA183" s="15">
        <v>0</v>
      </c>
      <c r="AB183" s="15">
        <v>0</v>
      </c>
      <c r="AC183" s="15">
        <v>0</v>
      </c>
      <c r="AD183" s="15">
        <v>0</v>
      </c>
      <c r="AE183" s="15">
        <v>0</v>
      </c>
      <c r="AF183" s="15">
        <v>0</v>
      </c>
      <c r="AG183" s="15">
        <v>0</v>
      </c>
      <c r="AH183" s="15">
        <v>0</v>
      </c>
      <c r="AI183" s="15">
        <v>0</v>
      </c>
      <c r="AJ183" s="15">
        <v>0</v>
      </c>
      <c r="AK183" s="15">
        <v>0</v>
      </c>
      <c r="AL183" s="15">
        <v>0</v>
      </c>
      <c r="AM183" s="14">
        <v>0</v>
      </c>
      <c r="AN183" s="14">
        <v>0</v>
      </c>
      <c r="AO183" s="14">
        <v>0</v>
      </c>
      <c r="AP183" s="14">
        <v>0</v>
      </c>
      <c r="AQ183" s="14">
        <v>0</v>
      </c>
      <c r="AR183" s="14">
        <v>0</v>
      </c>
      <c r="AS183" s="14">
        <v>0</v>
      </c>
      <c r="AT183" s="14">
        <v>0</v>
      </c>
      <c r="AU183" s="14">
        <v>0</v>
      </c>
      <c r="AV183" s="14">
        <v>0</v>
      </c>
      <c r="AW183" s="14">
        <v>0</v>
      </c>
      <c r="AX183" s="14">
        <v>0</v>
      </c>
      <c r="AY183" s="14">
        <v>0</v>
      </c>
      <c r="AZ183" s="14">
        <v>0</v>
      </c>
      <c r="BA183" s="14">
        <v>0</v>
      </c>
      <c r="BB183" s="14">
        <v>0</v>
      </c>
      <c r="BC183" s="14">
        <v>0</v>
      </c>
      <c r="BD183" s="14">
        <v>0</v>
      </c>
      <c r="BE183" s="14">
        <v>0</v>
      </c>
      <c r="BF183" s="14">
        <v>59</v>
      </c>
    </row>
    <row r="184" spans="1:58" ht="16">
      <c r="A184" s="14" t="s">
        <v>16978</v>
      </c>
      <c r="B184" s="14" t="s">
        <v>18830</v>
      </c>
      <c r="C184" s="14">
        <v>0</v>
      </c>
      <c r="D184" s="14">
        <v>0</v>
      </c>
      <c r="E184" s="14">
        <v>0</v>
      </c>
      <c r="F184" s="14">
        <v>0</v>
      </c>
      <c r="G184" s="14">
        <v>0</v>
      </c>
      <c r="H184" s="14">
        <v>0</v>
      </c>
      <c r="I184" s="14">
        <v>0</v>
      </c>
      <c r="J184" s="14">
        <v>0</v>
      </c>
      <c r="K184" s="14">
        <v>0</v>
      </c>
      <c r="L184" s="14">
        <v>0</v>
      </c>
      <c r="M184" s="14">
        <v>0</v>
      </c>
      <c r="N184" s="14">
        <v>0</v>
      </c>
      <c r="O184" s="14">
        <v>0</v>
      </c>
      <c r="P184" s="14">
        <v>0</v>
      </c>
      <c r="Q184" s="14">
        <v>0</v>
      </c>
      <c r="R184" s="14">
        <v>0</v>
      </c>
      <c r="S184" s="14">
        <v>0</v>
      </c>
      <c r="T184" s="14">
        <v>0</v>
      </c>
      <c r="U184" s="14">
        <v>0</v>
      </c>
      <c r="V184" s="14">
        <v>0</v>
      </c>
      <c r="W184" s="15">
        <v>0</v>
      </c>
      <c r="X184" s="15">
        <v>0</v>
      </c>
      <c r="Y184" s="14">
        <v>0</v>
      </c>
      <c r="Z184" s="14">
        <v>0</v>
      </c>
      <c r="AA184" s="15">
        <v>0</v>
      </c>
      <c r="AB184" s="15">
        <v>0</v>
      </c>
      <c r="AC184" s="15">
        <v>0</v>
      </c>
      <c r="AD184" s="15">
        <v>0</v>
      </c>
      <c r="AE184" s="15">
        <v>0</v>
      </c>
      <c r="AF184" s="15">
        <v>0</v>
      </c>
      <c r="AG184" s="15">
        <v>0</v>
      </c>
      <c r="AH184" s="15">
        <v>0</v>
      </c>
      <c r="AI184" s="15">
        <v>0</v>
      </c>
      <c r="AJ184" s="15">
        <v>0</v>
      </c>
      <c r="AK184" s="15">
        <v>0</v>
      </c>
      <c r="AL184" s="15">
        <v>0</v>
      </c>
      <c r="AM184" s="14">
        <v>0</v>
      </c>
      <c r="AN184" s="14">
        <v>0</v>
      </c>
      <c r="AO184" s="14">
        <v>0</v>
      </c>
      <c r="AP184" s="14">
        <v>0</v>
      </c>
      <c r="AQ184" s="14">
        <v>0</v>
      </c>
      <c r="AR184" s="14">
        <v>0</v>
      </c>
      <c r="AS184" s="14">
        <v>0</v>
      </c>
      <c r="AT184" s="14">
        <v>0</v>
      </c>
      <c r="AU184" s="14">
        <v>0</v>
      </c>
      <c r="AV184" s="14">
        <v>0</v>
      </c>
      <c r="AW184" s="14">
        <v>0</v>
      </c>
      <c r="AX184" s="14">
        <v>0</v>
      </c>
      <c r="AY184" s="14">
        <v>0</v>
      </c>
      <c r="AZ184" s="14">
        <v>0</v>
      </c>
      <c r="BA184" s="14">
        <v>0</v>
      </c>
      <c r="BB184" s="14">
        <v>0</v>
      </c>
      <c r="BC184" s="14">
        <v>0</v>
      </c>
      <c r="BD184" s="14">
        <v>0</v>
      </c>
      <c r="BE184" s="14">
        <v>0</v>
      </c>
      <c r="BF184" s="14">
        <v>0</v>
      </c>
    </row>
    <row r="185" spans="1:58" ht="16">
      <c r="A185" s="14" t="s">
        <v>16978</v>
      </c>
      <c r="B185" s="14" t="s">
        <v>17369</v>
      </c>
      <c r="C185" s="14">
        <v>0</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0</v>
      </c>
      <c r="U185" s="14">
        <v>0</v>
      </c>
      <c r="V185" s="14">
        <v>0</v>
      </c>
      <c r="W185" s="15">
        <v>0</v>
      </c>
      <c r="X185" s="15">
        <v>0</v>
      </c>
      <c r="Y185" s="14">
        <v>0</v>
      </c>
      <c r="Z185" s="14">
        <v>0</v>
      </c>
      <c r="AA185" s="15">
        <v>0</v>
      </c>
      <c r="AB185" s="15">
        <v>0</v>
      </c>
      <c r="AC185" s="15">
        <v>0</v>
      </c>
      <c r="AD185" s="15">
        <v>0</v>
      </c>
      <c r="AE185" s="15">
        <v>0</v>
      </c>
      <c r="AF185" s="15">
        <v>0</v>
      </c>
      <c r="AG185" s="15">
        <v>0</v>
      </c>
      <c r="AH185" s="15">
        <v>0</v>
      </c>
      <c r="AI185" s="15">
        <v>0</v>
      </c>
      <c r="AJ185" s="15">
        <v>0</v>
      </c>
      <c r="AK185" s="15">
        <v>0</v>
      </c>
      <c r="AL185" s="15">
        <v>0</v>
      </c>
      <c r="AM185" s="14">
        <v>0</v>
      </c>
      <c r="AN185" s="14">
        <v>0</v>
      </c>
      <c r="AO185" s="14">
        <v>0</v>
      </c>
      <c r="AP185" s="14">
        <v>0</v>
      </c>
      <c r="AQ185" s="14">
        <v>0</v>
      </c>
      <c r="AR185" s="14">
        <v>0</v>
      </c>
      <c r="AS185" s="14">
        <v>0</v>
      </c>
      <c r="AT185" s="14">
        <v>0</v>
      </c>
      <c r="AU185" s="14">
        <v>0</v>
      </c>
      <c r="AV185" s="14">
        <v>0</v>
      </c>
      <c r="AW185" s="14">
        <v>0</v>
      </c>
      <c r="AX185" s="14">
        <v>0</v>
      </c>
      <c r="AY185" s="14">
        <v>0</v>
      </c>
      <c r="AZ185" s="14">
        <v>0</v>
      </c>
      <c r="BA185" s="14">
        <v>0</v>
      </c>
      <c r="BB185" s="14">
        <v>0</v>
      </c>
      <c r="BC185" s="14">
        <v>0</v>
      </c>
      <c r="BD185" s="14">
        <v>0</v>
      </c>
      <c r="BE185" s="14">
        <v>0</v>
      </c>
      <c r="BF185" s="14">
        <v>0</v>
      </c>
    </row>
    <row r="186" spans="1:58" ht="16">
      <c r="A186" s="14" t="s">
        <v>16978</v>
      </c>
      <c r="B186" s="14" t="s">
        <v>18865</v>
      </c>
      <c r="C186" s="14">
        <v>7</v>
      </c>
      <c r="D186" s="14">
        <v>71</v>
      </c>
      <c r="E186" s="14">
        <v>70</v>
      </c>
      <c r="F186" s="14">
        <v>70</v>
      </c>
      <c r="G186" s="14">
        <v>4</v>
      </c>
      <c r="H186" s="14">
        <v>4</v>
      </c>
      <c r="I186" s="14">
        <v>4</v>
      </c>
      <c r="J186" s="14">
        <v>71</v>
      </c>
      <c r="K186" s="14">
        <v>951</v>
      </c>
      <c r="L186" s="14">
        <v>18</v>
      </c>
      <c r="M186" s="14">
        <v>1</v>
      </c>
      <c r="N186" s="14">
        <v>43</v>
      </c>
      <c r="O186" s="14">
        <v>6</v>
      </c>
      <c r="P186" s="14">
        <v>1</v>
      </c>
      <c r="Q186" s="14">
        <v>3</v>
      </c>
      <c r="R186" s="14">
        <v>0</v>
      </c>
      <c r="S186" s="14">
        <v>88</v>
      </c>
      <c r="T186" s="14">
        <v>303.75</v>
      </c>
      <c r="U186" s="14">
        <v>0</v>
      </c>
      <c r="V186" s="14">
        <v>391.8</v>
      </c>
      <c r="W186" s="15">
        <v>6880</v>
      </c>
      <c r="X186" s="15">
        <v>0</v>
      </c>
      <c r="Y186" s="14">
        <v>59</v>
      </c>
      <c r="Z186" s="14">
        <v>3</v>
      </c>
      <c r="AA186" s="15">
        <v>-75</v>
      </c>
      <c r="AB186" s="15">
        <v>5830</v>
      </c>
      <c r="AC186" s="15">
        <v>766.5</v>
      </c>
      <c r="AD186" s="15">
        <v>626.5</v>
      </c>
      <c r="AE186" s="15">
        <v>5061.25</v>
      </c>
      <c r="AF186" s="15">
        <v>6456.5</v>
      </c>
      <c r="AG186" s="15">
        <v>7646.5</v>
      </c>
      <c r="AH186" s="15">
        <v>2585.25</v>
      </c>
      <c r="AI186" s="15">
        <v>4366</v>
      </c>
      <c r="AJ186" s="15">
        <v>4506</v>
      </c>
      <c r="AK186" s="15">
        <v>4588.5</v>
      </c>
      <c r="AL186" s="15">
        <v>222.5</v>
      </c>
      <c r="AM186" s="14">
        <v>0</v>
      </c>
      <c r="AN186" s="14">
        <v>4</v>
      </c>
      <c r="AO186" s="14">
        <v>2</v>
      </c>
      <c r="AP186" s="14">
        <v>4</v>
      </c>
      <c r="AQ186" s="14">
        <v>0</v>
      </c>
      <c r="AR186" s="14">
        <v>1</v>
      </c>
      <c r="AS186" s="14">
        <v>0</v>
      </c>
      <c r="AT186" s="14">
        <v>951</v>
      </c>
      <c r="AU186" s="14">
        <v>132</v>
      </c>
      <c r="AV186" s="14">
        <v>754</v>
      </c>
      <c r="AW186" s="14">
        <v>75</v>
      </c>
      <c r="AX186" s="14">
        <v>88</v>
      </c>
      <c r="AY186" s="14">
        <v>44.75</v>
      </c>
      <c r="AZ186" s="14">
        <v>40.75</v>
      </c>
      <c r="BA186" s="14">
        <v>3</v>
      </c>
      <c r="BB186" s="14">
        <v>303.75</v>
      </c>
      <c r="BC186" s="14">
        <v>201</v>
      </c>
      <c r="BD186" s="14">
        <v>100.5</v>
      </c>
      <c r="BE186" s="14">
        <v>2.25</v>
      </c>
      <c r="BF186" s="14">
        <v>0</v>
      </c>
    </row>
    <row r="187" spans="1:58" ht="16">
      <c r="A187" s="14" t="s">
        <v>16978</v>
      </c>
      <c r="B187" s="14" t="s">
        <v>17086</v>
      </c>
      <c r="C187" s="14">
        <v>0</v>
      </c>
      <c r="D187" s="14">
        <v>1</v>
      </c>
      <c r="E187" s="14">
        <v>1</v>
      </c>
      <c r="F187" s="14">
        <v>1</v>
      </c>
      <c r="G187" s="14">
        <v>0</v>
      </c>
      <c r="H187" s="14">
        <v>1</v>
      </c>
      <c r="I187" s="14">
        <v>1</v>
      </c>
      <c r="J187" s="14">
        <v>1</v>
      </c>
      <c r="K187" s="14">
        <v>82</v>
      </c>
      <c r="L187" s="14">
        <v>1</v>
      </c>
      <c r="M187" s="14">
        <v>0</v>
      </c>
      <c r="N187" s="14">
        <v>0</v>
      </c>
      <c r="O187" s="14">
        <v>0</v>
      </c>
      <c r="P187" s="14">
        <v>0</v>
      </c>
      <c r="Q187" s="14">
        <v>0</v>
      </c>
      <c r="R187" s="14">
        <v>0</v>
      </c>
      <c r="S187" s="14">
        <v>5</v>
      </c>
      <c r="T187" s="14">
        <v>0</v>
      </c>
      <c r="U187" s="14">
        <v>0</v>
      </c>
      <c r="V187" s="14">
        <v>5</v>
      </c>
      <c r="W187" s="15">
        <v>50</v>
      </c>
      <c r="X187" s="15">
        <v>0</v>
      </c>
      <c r="Y187" s="14">
        <v>0</v>
      </c>
      <c r="Z187" s="14">
        <v>1</v>
      </c>
      <c r="AA187" s="15">
        <v>0</v>
      </c>
      <c r="AB187" s="15">
        <v>0</v>
      </c>
      <c r="AC187" s="15">
        <v>0</v>
      </c>
      <c r="AD187" s="15">
        <v>0</v>
      </c>
      <c r="AE187" s="15">
        <v>0</v>
      </c>
      <c r="AF187" s="15">
        <v>0</v>
      </c>
      <c r="AG187" s="15">
        <v>50</v>
      </c>
      <c r="AH187" s="15">
        <v>50</v>
      </c>
      <c r="AI187" s="15">
        <v>0</v>
      </c>
      <c r="AJ187" s="15">
        <v>0</v>
      </c>
      <c r="AK187" s="15">
        <v>50</v>
      </c>
      <c r="AL187" s="15">
        <v>50</v>
      </c>
      <c r="AM187" s="14">
        <v>0</v>
      </c>
      <c r="AN187" s="14">
        <v>0</v>
      </c>
      <c r="AO187" s="14">
        <v>0</v>
      </c>
      <c r="AP187" s="14">
        <v>0</v>
      </c>
      <c r="AQ187" s="14">
        <v>0</v>
      </c>
      <c r="AR187" s="14">
        <v>0</v>
      </c>
      <c r="AS187" s="14">
        <v>0</v>
      </c>
      <c r="AT187" s="14">
        <v>82</v>
      </c>
      <c r="AU187" s="14">
        <v>82</v>
      </c>
      <c r="AV187" s="14">
        <v>0</v>
      </c>
      <c r="AW187" s="14">
        <v>0</v>
      </c>
      <c r="AX187" s="14">
        <v>5</v>
      </c>
      <c r="AY187" s="14">
        <v>5</v>
      </c>
      <c r="AZ187" s="14">
        <v>0</v>
      </c>
      <c r="BA187" s="14">
        <v>0</v>
      </c>
      <c r="BB187" s="14">
        <v>0</v>
      </c>
      <c r="BC187" s="14">
        <v>0</v>
      </c>
      <c r="BD187" s="14">
        <v>0</v>
      </c>
      <c r="BE187" s="14">
        <v>0</v>
      </c>
      <c r="BF187" s="14">
        <v>0</v>
      </c>
    </row>
    <row r="188" spans="1:58" ht="16">
      <c r="A188" s="14" t="s">
        <v>16978</v>
      </c>
      <c r="B188" s="14" t="s">
        <v>17087</v>
      </c>
      <c r="C188" s="14">
        <v>0</v>
      </c>
      <c r="D188" s="14">
        <v>1</v>
      </c>
      <c r="E188" s="14">
        <v>1</v>
      </c>
      <c r="F188" s="14">
        <v>1</v>
      </c>
      <c r="G188" s="14">
        <v>1</v>
      </c>
      <c r="H188" s="14">
        <v>1</v>
      </c>
      <c r="I188" s="14">
        <v>0</v>
      </c>
      <c r="J188" s="14">
        <v>1</v>
      </c>
      <c r="K188" s="14">
        <v>3</v>
      </c>
      <c r="L188" s="14">
        <v>0</v>
      </c>
      <c r="M188" s="14">
        <v>0</v>
      </c>
      <c r="N188" s="14">
        <v>0</v>
      </c>
      <c r="O188" s="14">
        <v>0</v>
      </c>
      <c r="P188" s="14">
        <v>1</v>
      </c>
      <c r="Q188" s="14">
        <v>0</v>
      </c>
      <c r="R188" s="14">
        <v>0</v>
      </c>
      <c r="S188" s="14">
        <v>0</v>
      </c>
      <c r="T188" s="14">
        <v>0</v>
      </c>
      <c r="U188" s="14">
        <v>0</v>
      </c>
      <c r="V188" s="14">
        <v>0</v>
      </c>
      <c r="W188" s="15">
        <v>0</v>
      </c>
      <c r="X188" s="15">
        <v>0</v>
      </c>
      <c r="Y188" s="14">
        <v>0</v>
      </c>
      <c r="Z188" s="14">
        <v>0</v>
      </c>
      <c r="AA188" s="15">
        <v>0</v>
      </c>
      <c r="AB188" s="15">
        <v>0</v>
      </c>
      <c r="AC188" s="15">
        <v>0</v>
      </c>
      <c r="AD188" s="15">
        <v>0</v>
      </c>
      <c r="AE188" s="15">
        <v>0</v>
      </c>
      <c r="AF188" s="15">
        <v>0</v>
      </c>
      <c r="AG188" s="15">
        <v>0</v>
      </c>
      <c r="AH188" s="15">
        <v>0</v>
      </c>
      <c r="AI188" s="15">
        <v>0</v>
      </c>
      <c r="AJ188" s="15">
        <v>0</v>
      </c>
      <c r="AK188" s="15">
        <v>0</v>
      </c>
      <c r="AL188" s="15">
        <v>0</v>
      </c>
      <c r="AM188" s="14">
        <v>0</v>
      </c>
      <c r="AN188" s="14">
        <v>0</v>
      </c>
      <c r="AO188" s="14">
        <v>0</v>
      </c>
      <c r="AP188" s="14">
        <v>0</v>
      </c>
      <c r="AQ188" s="14">
        <v>0</v>
      </c>
      <c r="AR188" s="14">
        <v>0</v>
      </c>
      <c r="AS188" s="14">
        <v>0</v>
      </c>
      <c r="AT188" s="14">
        <v>3</v>
      </c>
      <c r="AU188" s="14">
        <v>3</v>
      </c>
      <c r="AV188" s="14">
        <v>0</v>
      </c>
      <c r="AW188" s="14">
        <v>0</v>
      </c>
      <c r="AX188" s="14">
        <v>0</v>
      </c>
      <c r="AY188" s="14">
        <v>0</v>
      </c>
      <c r="AZ188" s="14">
        <v>0</v>
      </c>
      <c r="BA188" s="14">
        <v>0</v>
      </c>
      <c r="BB188" s="14">
        <v>0</v>
      </c>
      <c r="BC188" s="14">
        <v>0</v>
      </c>
      <c r="BD188" s="14">
        <v>0</v>
      </c>
      <c r="BE188" s="14">
        <v>0</v>
      </c>
      <c r="BF188" s="14">
        <v>0</v>
      </c>
    </row>
    <row r="189" spans="1:58" ht="16">
      <c r="A189" s="14" t="s">
        <v>16978</v>
      </c>
      <c r="B189" s="14" t="s">
        <v>17088</v>
      </c>
      <c r="C189" s="14">
        <v>0</v>
      </c>
      <c r="D189" s="14">
        <v>2</v>
      </c>
      <c r="E189" s="14">
        <v>2</v>
      </c>
      <c r="F189" s="14">
        <v>2</v>
      </c>
      <c r="G189" s="14">
        <v>1</v>
      </c>
      <c r="H189" s="14">
        <v>2</v>
      </c>
      <c r="I189" s="14">
        <v>0</v>
      </c>
      <c r="J189" s="14">
        <v>2</v>
      </c>
      <c r="K189" s="14">
        <v>24</v>
      </c>
      <c r="L189" s="14">
        <v>1</v>
      </c>
      <c r="M189" s="14">
        <v>0</v>
      </c>
      <c r="N189" s="14">
        <v>0</v>
      </c>
      <c r="O189" s="14">
        <v>0</v>
      </c>
      <c r="P189" s="14">
        <v>1</v>
      </c>
      <c r="Q189" s="14">
        <v>0</v>
      </c>
      <c r="R189" s="14">
        <v>0</v>
      </c>
      <c r="S189" s="14">
        <v>2</v>
      </c>
      <c r="T189" s="14">
        <v>1</v>
      </c>
      <c r="U189" s="14">
        <v>0</v>
      </c>
      <c r="V189" s="14">
        <v>3</v>
      </c>
      <c r="W189" s="15">
        <v>40</v>
      </c>
      <c r="X189" s="15">
        <v>0</v>
      </c>
      <c r="Y189" s="14">
        <v>1</v>
      </c>
      <c r="Z189" s="14">
        <v>0</v>
      </c>
      <c r="AA189" s="15">
        <v>0</v>
      </c>
      <c r="AB189" s="15">
        <v>10</v>
      </c>
      <c r="AC189" s="15">
        <v>0</v>
      </c>
      <c r="AD189" s="15">
        <v>0</v>
      </c>
      <c r="AE189" s="15">
        <v>0</v>
      </c>
      <c r="AF189" s="15">
        <v>10</v>
      </c>
      <c r="AG189" s="15">
        <v>40</v>
      </c>
      <c r="AH189" s="15">
        <v>40</v>
      </c>
      <c r="AI189" s="15">
        <v>0</v>
      </c>
      <c r="AJ189" s="15">
        <v>10</v>
      </c>
      <c r="AK189" s="15">
        <v>40</v>
      </c>
      <c r="AL189" s="15">
        <v>40</v>
      </c>
      <c r="AM189" s="14">
        <v>0</v>
      </c>
      <c r="AN189" s="14">
        <v>0</v>
      </c>
      <c r="AO189" s="14">
        <v>0</v>
      </c>
      <c r="AP189" s="14">
        <v>0</v>
      </c>
      <c r="AQ189" s="14">
        <v>0</v>
      </c>
      <c r="AR189" s="14">
        <v>0</v>
      </c>
      <c r="AS189" s="14">
        <v>0</v>
      </c>
      <c r="AT189" s="14">
        <v>24</v>
      </c>
      <c r="AU189" s="14">
        <v>24</v>
      </c>
      <c r="AV189" s="14">
        <v>0</v>
      </c>
      <c r="AW189" s="14">
        <v>0</v>
      </c>
      <c r="AX189" s="14">
        <v>3</v>
      </c>
      <c r="AY189" s="14">
        <v>3</v>
      </c>
      <c r="AZ189" s="14">
        <v>0</v>
      </c>
      <c r="BA189" s="14">
        <v>0</v>
      </c>
      <c r="BB189" s="14">
        <v>1</v>
      </c>
      <c r="BC189" s="14">
        <v>1</v>
      </c>
      <c r="BD189" s="14">
        <v>0</v>
      </c>
      <c r="BE189" s="14">
        <v>0</v>
      </c>
      <c r="BF189" s="14">
        <v>107</v>
      </c>
    </row>
    <row r="190" spans="1:58" ht="16">
      <c r="A190" s="14" t="s">
        <v>16978</v>
      </c>
      <c r="B190" s="14" t="s">
        <v>17089</v>
      </c>
      <c r="C190" s="14">
        <v>0</v>
      </c>
      <c r="D190" s="14">
        <v>0</v>
      </c>
      <c r="E190" s="14">
        <v>0</v>
      </c>
      <c r="F190" s="14">
        <v>0</v>
      </c>
      <c r="G190" s="14">
        <v>0</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5">
        <v>0</v>
      </c>
      <c r="X190" s="15">
        <v>0</v>
      </c>
      <c r="Y190" s="14">
        <v>0</v>
      </c>
      <c r="Z190" s="14">
        <v>0</v>
      </c>
      <c r="AA190" s="15">
        <v>0</v>
      </c>
      <c r="AB190" s="15">
        <v>0</v>
      </c>
      <c r="AC190" s="15">
        <v>0</v>
      </c>
      <c r="AD190" s="15">
        <v>0</v>
      </c>
      <c r="AE190" s="15">
        <v>0</v>
      </c>
      <c r="AF190" s="15">
        <v>0</v>
      </c>
      <c r="AG190" s="15">
        <v>0</v>
      </c>
      <c r="AH190" s="15">
        <v>0</v>
      </c>
      <c r="AI190" s="15">
        <v>0</v>
      </c>
      <c r="AJ190" s="15">
        <v>0</v>
      </c>
      <c r="AK190" s="15">
        <v>0</v>
      </c>
      <c r="AL190" s="15">
        <v>0</v>
      </c>
      <c r="AM190" s="14">
        <v>0</v>
      </c>
      <c r="AN190" s="14">
        <v>0</v>
      </c>
      <c r="AO190" s="14">
        <v>0</v>
      </c>
      <c r="AP190" s="14">
        <v>0</v>
      </c>
      <c r="AQ190" s="14">
        <v>0</v>
      </c>
      <c r="AR190" s="14">
        <v>0</v>
      </c>
      <c r="AS190" s="14">
        <v>0</v>
      </c>
      <c r="AT190" s="14">
        <v>0</v>
      </c>
      <c r="AU190" s="14">
        <v>0</v>
      </c>
      <c r="AV190" s="14">
        <v>0</v>
      </c>
      <c r="AW190" s="14">
        <v>0</v>
      </c>
      <c r="AX190" s="14">
        <v>0</v>
      </c>
      <c r="AY190" s="14">
        <v>0</v>
      </c>
      <c r="AZ190" s="14">
        <v>0</v>
      </c>
      <c r="BA190" s="14">
        <v>0</v>
      </c>
      <c r="BB190" s="14">
        <v>0</v>
      </c>
      <c r="BC190" s="14">
        <v>0</v>
      </c>
      <c r="BD190" s="14">
        <v>0</v>
      </c>
      <c r="BE190" s="14">
        <v>0</v>
      </c>
      <c r="BF190" s="14">
        <v>0</v>
      </c>
    </row>
    <row r="191" spans="1:58" ht="16">
      <c r="A191" s="14" t="s">
        <v>16978</v>
      </c>
      <c r="B191" s="14" t="s">
        <v>17090</v>
      </c>
      <c r="C191" s="14">
        <v>0</v>
      </c>
      <c r="D191" s="14">
        <v>1</v>
      </c>
      <c r="E191" s="14">
        <v>1</v>
      </c>
      <c r="F191" s="14">
        <v>1</v>
      </c>
      <c r="G191" s="14">
        <v>1</v>
      </c>
      <c r="H191" s="14">
        <v>0</v>
      </c>
      <c r="I191" s="14">
        <v>0</v>
      </c>
      <c r="J191" s="14">
        <v>1</v>
      </c>
      <c r="K191" s="14">
        <v>44</v>
      </c>
      <c r="L191" s="14">
        <v>1</v>
      </c>
      <c r="M191" s="14">
        <v>0</v>
      </c>
      <c r="N191" s="14">
        <v>0</v>
      </c>
      <c r="O191" s="14">
        <v>0</v>
      </c>
      <c r="P191" s="14">
        <v>0</v>
      </c>
      <c r="Q191" s="14">
        <v>0</v>
      </c>
      <c r="R191" s="14">
        <v>0</v>
      </c>
      <c r="S191" s="14">
        <v>0</v>
      </c>
      <c r="T191" s="14">
        <v>0</v>
      </c>
      <c r="U191" s="14">
        <v>0</v>
      </c>
      <c r="V191" s="14">
        <v>0</v>
      </c>
      <c r="W191" s="15">
        <v>0</v>
      </c>
      <c r="X191" s="15">
        <v>0</v>
      </c>
      <c r="Y191" s="14">
        <v>0</v>
      </c>
      <c r="Z191" s="14">
        <v>0</v>
      </c>
      <c r="AA191" s="15">
        <v>0</v>
      </c>
      <c r="AB191" s="15">
        <v>0</v>
      </c>
      <c r="AC191" s="15">
        <v>0</v>
      </c>
      <c r="AD191" s="15">
        <v>0</v>
      </c>
      <c r="AE191" s="15">
        <v>0</v>
      </c>
      <c r="AF191" s="15">
        <v>0</v>
      </c>
      <c r="AG191" s="15">
        <v>0</v>
      </c>
      <c r="AH191" s="15">
        <v>0</v>
      </c>
      <c r="AI191" s="15">
        <v>0</v>
      </c>
      <c r="AJ191" s="15">
        <v>0</v>
      </c>
      <c r="AK191" s="15">
        <v>0</v>
      </c>
      <c r="AL191" s="15">
        <v>0</v>
      </c>
      <c r="AM191" s="14">
        <v>44</v>
      </c>
      <c r="AN191" s="14">
        <v>0</v>
      </c>
      <c r="AO191" s="14">
        <v>44</v>
      </c>
      <c r="AP191" s="14">
        <v>0</v>
      </c>
      <c r="AQ191" s="14">
        <v>0</v>
      </c>
      <c r="AR191" s="14">
        <v>0</v>
      </c>
      <c r="AS191" s="14">
        <v>0</v>
      </c>
      <c r="AT191" s="14">
        <v>0</v>
      </c>
      <c r="AU191" s="14">
        <v>0</v>
      </c>
      <c r="AV191" s="14">
        <v>0</v>
      </c>
      <c r="AW191" s="14">
        <v>0</v>
      </c>
      <c r="AX191" s="14">
        <v>0</v>
      </c>
      <c r="AY191" s="14"/>
      <c r="AZ191" s="14"/>
      <c r="BA191" s="14"/>
      <c r="BB191" s="14"/>
      <c r="BC191" s="14"/>
      <c r="BD191" s="14"/>
      <c r="BE191" s="14"/>
      <c r="BF191" s="14"/>
    </row>
    <row r="192" spans="1:58" ht="16">
      <c r="A192" s="14" t="s">
        <v>16978</v>
      </c>
      <c r="B192" s="14" t="s">
        <v>17090</v>
      </c>
      <c r="C192" s="14">
        <v>0</v>
      </c>
      <c r="D192" s="14">
        <v>0</v>
      </c>
      <c r="E192" s="14">
        <v>0</v>
      </c>
      <c r="F192" s="14">
        <v>0</v>
      </c>
      <c r="G192" s="14">
        <v>0</v>
      </c>
      <c r="H192" s="14">
        <v>0</v>
      </c>
      <c r="I192" s="14">
        <v>0</v>
      </c>
      <c r="J192" s="14">
        <v>0</v>
      </c>
      <c r="K192" s="14">
        <v>0</v>
      </c>
      <c r="L192" s="14">
        <v>0</v>
      </c>
      <c r="M192" s="14">
        <v>0</v>
      </c>
      <c r="N192" s="14">
        <v>0</v>
      </c>
      <c r="O192" s="14">
        <v>0</v>
      </c>
      <c r="P192" s="14">
        <v>0</v>
      </c>
      <c r="Q192" s="14">
        <v>0</v>
      </c>
      <c r="R192" s="14">
        <v>0</v>
      </c>
      <c r="S192" s="14">
        <v>0</v>
      </c>
      <c r="T192" s="14">
        <v>0</v>
      </c>
      <c r="U192" s="14">
        <v>0</v>
      </c>
      <c r="V192" s="14">
        <v>0</v>
      </c>
      <c r="W192" s="15">
        <v>0</v>
      </c>
      <c r="X192" s="15">
        <v>0</v>
      </c>
      <c r="Y192" s="14">
        <v>0</v>
      </c>
      <c r="Z192" s="14">
        <v>0</v>
      </c>
      <c r="AA192" s="15">
        <v>0</v>
      </c>
      <c r="AB192" s="15">
        <v>0</v>
      </c>
      <c r="AC192" s="15">
        <v>0</v>
      </c>
      <c r="AD192" s="15">
        <v>0</v>
      </c>
      <c r="AE192" s="15">
        <v>0</v>
      </c>
      <c r="AF192" s="15">
        <v>0</v>
      </c>
      <c r="AG192" s="15">
        <v>0</v>
      </c>
      <c r="AH192" s="15">
        <v>0</v>
      </c>
      <c r="AI192" s="15">
        <v>0</v>
      </c>
      <c r="AJ192" s="15">
        <v>0</v>
      </c>
      <c r="AK192" s="15">
        <v>0</v>
      </c>
      <c r="AL192" s="15">
        <v>0</v>
      </c>
      <c r="AM192" s="14">
        <v>0</v>
      </c>
      <c r="AN192" s="14">
        <v>0</v>
      </c>
      <c r="AO192" s="14">
        <v>0</v>
      </c>
      <c r="AP192" s="14">
        <v>0</v>
      </c>
      <c r="AQ192" s="14">
        <v>0</v>
      </c>
      <c r="AR192" s="14">
        <v>0</v>
      </c>
      <c r="AS192" s="14">
        <v>0</v>
      </c>
      <c r="AT192" s="14">
        <v>0</v>
      </c>
      <c r="AU192" s="14">
        <v>0</v>
      </c>
      <c r="AV192" s="14">
        <v>0</v>
      </c>
      <c r="AW192" s="14">
        <v>0</v>
      </c>
      <c r="AX192" s="14">
        <v>0</v>
      </c>
      <c r="AY192" s="14">
        <v>0</v>
      </c>
      <c r="AZ192" s="14">
        <v>0</v>
      </c>
      <c r="BA192" s="14">
        <v>0</v>
      </c>
      <c r="BB192" s="14">
        <v>0</v>
      </c>
      <c r="BC192" s="14">
        <v>0</v>
      </c>
      <c r="BD192" s="14">
        <v>0</v>
      </c>
      <c r="BE192" s="14">
        <v>0</v>
      </c>
      <c r="BF192" s="14">
        <v>18</v>
      </c>
    </row>
    <row r="193" spans="1:58" ht="16">
      <c r="A193" s="14" t="s">
        <v>16978</v>
      </c>
      <c r="B193" s="14" t="s">
        <v>17091</v>
      </c>
      <c r="C193" s="14">
        <v>0</v>
      </c>
      <c r="D193" s="14">
        <v>0</v>
      </c>
      <c r="E193" s="14">
        <v>0</v>
      </c>
      <c r="F193" s="14">
        <v>0</v>
      </c>
      <c r="G193" s="14">
        <v>0</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5">
        <v>0</v>
      </c>
      <c r="X193" s="15">
        <v>0</v>
      </c>
      <c r="Y193" s="14">
        <v>0</v>
      </c>
      <c r="Z193" s="14">
        <v>0</v>
      </c>
      <c r="AA193" s="15">
        <v>0</v>
      </c>
      <c r="AB193" s="15">
        <v>0</v>
      </c>
      <c r="AC193" s="15">
        <v>0</v>
      </c>
      <c r="AD193" s="15">
        <v>0</v>
      </c>
      <c r="AE193" s="15">
        <v>0</v>
      </c>
      <c r="AF193" s="15">
        <v>0</v>
      </c>
      <c r="AG193" s="15">
        <v>0</v>
      </c>
      <c r="AH193" s="15">
        <v>0</v>
      </c>
      <c r="AI193" s="15">
        <v>0</v>
      </c>
      <c r="AJ193" s="15">
        <v>0</v>
      </c>
      <c r="AK193" s="15">
        <v>0</v>
      </c>
      <c r="AL193" s="15">
        <v>0</v>
      </c>
      <c r="AM193" s="14">
        <v>0</v>
      </c>
      <c r="AN193" s="14">
        <v>0</v>
      </c>
      <c r="AO193" s="14">
        <v>0</v>
      </c>
      <c r="AP193" s="14">
        <v>0</v>
      </c>
      <c r="AQ193" s="14">
        <v>0</v>
      </c>
      <c r="AR193" s="14">
        <v>0</v>
      </c>
      <c r="AS193" s="14">
        <v>0</v>
      </c>
      <c r="AT193" s="14">
        <v>0</v>
      </c>
      <c r="AU193" s="14">
        <v>0</v>
      </c>
      <c r="AV193" s="14">
        <v>0</v>
      </c>
      <c r="AW193" s="14">
        <v>0</v>
      </c>
      <c r="AX193" s="14">
        <v>0</v>
      </c>
      <c r="AY193" s="14">
        <v>0</v>
      </c>
      <c r="AZ193" s="14">
        <v>0</v>
      </c>
      <c r="BA193" s="14">
        <v>0</v>
      </c>
      <c r="BB193" s="14">
        <v>0</v>
      </c>
      <c r="BC193" s="14">
        <v>0</v>
      </c>
      <c r="BD193" s="14">
        <v>0</v>
      </c>
      <c r="BE193" s="14">
        <v>0</v>
      </c>
      <c r="BF193" s="14">
        <v>0</v>
      </c>
    </row>
    <row r="194" spans="1:58" ht="16">
      <c r="A194" s="14" t="s">
        <v>16978</v>
      </c>
      <c r="B194" s="14" t="s">
        <v>17092</v>
      </c>
      <c r="C194" s="14">
        <v>0</v>
      </c>
      <c r="D194" s="14">
        <v>0</v>
      </c>
      <c r="E194" s="14">
        <v>0</v>
      </c>
      <c r="F194" s="14">
        <v>0</v>
      </c>
      <c r="G194" s="14">
        <v>0</v>
      </c>
      <c r="H194" s="14">
        <v>0</v>
      </c>
      <c r="I194" s="14">
        <v>0</v>
      </c>
      <c r="J194" s="14">
        <v>0</v>
      </c>
      <c r="K194" s="14">
        <v>0</v>
      </c>
      <c r="L194" s="14">
        <v>0</v>
      </c>
      <c r="M194" s="14">
        <v>0</v>
      </c>
      <c r="N194" s="14">
        <v>0</v>
      </c>
      <c r="O194" s="14">
        <v>0</v>
      </c>
      <c r="P194" s="14">
        <v>0</v>
      </c>
      <c r="Q194" s="14">
        <v>0</v>
      </c>
      <c r="R194" s="14">
        <v>0</v>
      </c>
      <c r="S194" s="14">
        <v>0</v>
      </c>
      <c r="T194" s="14">
        <v>0</v>
      </c>
      <c r="U194" s="14">
        <v>0</v>
      </c>
      <c r="V194" s="14">
        <v>0</v>
      </c>
      <c r="W194" s="15">
        <v>0</v>
      </c>
      <c r="X194" s="15">
        <v>0</v>
      </c>
      <c r="Y194" s="14">
        <v>0</v>
      </c>
      <c r="Z194" s="14">
        <v>0</v>
      </c>
      <c r="AA194" s="15">
        <v>0</v>
      </c>
      <c r="AB194" s="15">
        <v>0</v>
      </c>
      <c r="AC194" s="15">
        <v>0</v>
      </c>
      <c r="AD194" s="15">
        <v>0</v>
      </c>
      <c r="AE194" s="15">
        <v>0</v>
      </c>
      <c r="AF194" s="15">
        <v>0</v>
      </c>
      <c r="AG194" s="15">
        <v>0</v>
      </c>
      <c r="AH194" s="15">
        <v>0</v>
      </c>
      <c r="AI194" s="15">
        <v>0</v>
      </c>
      <c r="AJ194" s="15">
        <v>0</v>
      </c>
      <c r="AK194" s="15">
        <v>0</v>
      </c>
      <c r="AL194" s="15">
        <v>0</v>
      </c>
      <c r="AM194" s="14">
        <v>0</v>
      </c>
      <c r="AN194" s="14">
        <v>0</v>
      </c>
      <c r="AO194" s="14">
        <v>0</v>
      </c>
      <c r="AP194" s="14">
        <v>0</v>
      </c>
      <c r="AQ194" s="14">
        <v>0</v>
      </c>
      <c r="AR194" s="14">
        <v>0</v>
      </c>
      <c r="AS194" s="14">
        <v>0</v>
      </c>
      <c r="AT194" s="14">
        <v>0</v>
      </c>
      <c r="AU194" s="14">
        <v>0</v>
      </c>
      <c r="AV194" s="14">
        <v>0</v>
      </c>
      <c r="AW194" s="14">
        <v>0</v>
      </c>
      <c r="AX194" s="14">
        <v>0</v>
      </c>
      <c r="AY194" s="14">
        <v>0</v>
      </c>
      <c r="AZ194" s="14">
        <v>0</v>
      </c>
      <c r="BA194" s="14">
        <v>0</v>
      </c>
      <c r="BB194" s="14">
        <v>0</v>
      </c>
      <c r="BC194" s="14">
        <v>0</v>
      </c>
      <c r="BD194" s="14">
        <v>0</v>
      </c>
      <c r="BE194" s="14">
        <v>0</v>
      </c>
      <c r="BF194" s="14">
        <v>0</v>
      </c>
    </row>
    <row r="195" spans="1:58" ht="16">
      <c r="A195" s="14" t="s">
        <v>17097</v>
      </c>
      <c r="B195" s="14" t="s">
        <v>18831</v>
      </c>
      <c r="C195" s="14">
        <v>2</v>
      </c>
      <c r="D195" s="14">
        <v>10</v>
      </c>
      <c r="E195" s="14">
        <v>10</v>
      </c>
      <c r="F195" s="14">
        <v>7</v>
      </c>
      <c r="G195" s="14">
        <v>2</v>
      </c>
      <c r="H195" s="14">
        <v>2</v>
      </c>
      <c r="I195" s="14">
        <v>1</v>
      </c>
      <c r="J195" s="14">
        <v>10</v>
      </c>
      <c r="K195" s="14">
        <v>138</v>
      </c>
      <c r="L195" s="14">
        <v>5</v>
      </c>
      <c r="M195" s="14">
        <v>0</v>
      </c>
      <c r="N195" s="14">
        <v>2</v>
      </c>
      <c r="O195" s="14">
        <v>2</v>
      </c>
      <c r="P195" s="14">
        <v>0</v>
      </c>
      <c r="Q195" s="14">
        <v>1</v>
      </c>
      <c r="R195" s="14">
        <v>0</v>
      </c>
      <c r="S195" s="14">
        <v>10</v>
      </c>
      <c r="T195" s="14">
        <v>4.5</v>
      </c>
      <c r="U195" s="14">
        <v>0</v>
      </c>
      <c r="V195" s="14">
        <v>14.5</v>
      </c>
      <c r="W195" s="15">
        <v>140</v>
      </c>
      <c r="X195" s="15">
        <v>0</v>
      </c>
      <c r="Y195" s="14">
        <v>3</v>
      </c>
      <c r="Z195" s="14">
        <v>3</v>
      </c>
      <c r="AA195" s="15">
        <v>-50</v>
      </c>
      <c r="AB195" s="15">
        <v>0</v>
      </c>
      <c r="AC195" s="15">
        <v>0</v>
      </c>
      <c r="AD195" s="15">
        <v>0</v>
      </c>
      <c r="AE195" s="15">
        <v>0</v>
      </c>
      <c r="AF195" s="15">
        <v>0</v>
      </c>
      <c r="AG195" s="15">
        <v>140</v>
      </c>
      <c r="AH195" s="15">
        <v>140</v>
      </c>
      <c r="AI195" s="15">
        <v>0</v>
      </c>
      <c r="AJ195" s="15">
        <v>0</v>
      </c>
      <c r="AK195" s="15">
        <v>75</v>
      </c>
      <c r="AL195" s="15">
        <v>75</v>
      </c>
      <c r="AM195" s="14">
        <v>0</v>
      </c>
      <c r="AN195" s="14">
        <v>0</v>
      </c>
      <c r="AO195" s="14">
        <v>0</v>
      </c>
      <c r="AP195" s="14">
        <v>0</v>
      </c>
      <c r="AQ195" s="14">
        <v>0</v>
      </c>
      <c r="AR195" s="14">
        <v>0</v>
      </c>
      <c r="AS195" s="14">
        <v>0</v>
      </c>
      <c r="AT195" s="14">
        <v>138</v>
      </c>
      <c r="AU195" s="14">
        <v>45</v>
      </c>
      <c r="AV195" s="14">
        <v>65</v>
      </c>
      <c r="AW195" s="14">
        <v>28</v>
      </c>
      <c r="AX195" s="14">
        <v>10</v>
      </c>
      <c r="AY195" s="14">
        <v>4.5</v>
      </c>
      <c r="AZ195" s="14">
        <v>4.5</v>
      </c>
      <c r="BA195" s="14">
        <v>1</v>
      </c>
      <c r="BB195" s="14">
        <v>4.5</v>
      </c>
      <c r="BC195" s="14">
        <v>1.5</v>
      </c>
      <c r="BD195" s="14">
        <v>1</v>
      </c>
      <c r="BE195" s="14">
        <v>2</v>
      </c>
      <c r="BF195" s="14">
        <v>0</v>
      </c>
    </row>
    <row r="196" spans="1:58" ht="16">
      <c r="A196" s="14" t="s">
        <v>17099</v>
      </c>
      <c r="B196" s="14" t="s">
        <v>18832</v>
      </c>
      <c r="C196" s="14">
        <v>2</v>
      </c>
      <c r="D196" s="14">
        <v>27</v>
      </c>
      <c r="E196" s="14">
        <v>2</v>
      </c>
      <c r="F196" s="14">
        <v>0</v>
      </c>
      <c r="G196" s="14">
        <v>0</v>
      </c>
      <c r="H196" s="14">
        <v>0</v>
      </c>
      <c r="I196" s="14">
        <v>0</v>
      </c>
      <c r="J196" s="14">
        <v>13</v>
      </c>
      <c r="K196" s="14">
        <v>365</v>
      </c>
      <c r="L196" s="14">
        <v>12</v>
      </c>
      <c r="M196" s="14">
        <v>0</v>
      </c>
      <c r="N196" s="14">
        <v>0</v>
      </c>
      <c r="O196" s="14">
        <v>0</v>
      </c>
      <c r="P196" s="14">
        <v>1</v>
      </c>
      <c r="Q196" s="14">
        <v>0</v>
      </c>
      <c r="R196" s="14">
        <v>0</v>
      </c>
      <c r="S196" s="14">
        <v>0</v>
      </c>
      <c r="T196" s="14">
        <v>0</v>
      </c>
      <c r="U196" s="14">
        <v>0</v>
      </c>
      <c r="V196" s="14">
        <v>0</v>
      </c>
      <c r="W196" s="15">
        <v>0</v>
      </c>
      <c r="X196" s="15">
        <v>0</v>
      </c>
      <c r="Y196" s="14">
        <v>0</v>
      </c>
      <c r="Z196" s="14">
        <v>0</v>
      </c>
      <c r="AA196" s="15">
        <v>0</v>
      </c>
      <c r="AB196" s="15">
        <v>0</v>
      </c>
      <c r="AC196" s="15">
        <v>0</v>
      </c>
      <c r="AD196" s="15">
        <v>0</v>
      </c>
      <c r="AE196" s="15">
        <v>0</v>
      </c>
      <c r="AF196" s="15">
        <v>0</v>
      </c>
      <c r="AG196" s="15">
        <v>0</v>
      </c>
      <c r="AH196" s="15">
        <v>0</v>
      </c>
      <c r="AI196" s="15">
        <v>0</v>
      </c>
      <c r="AJ196" s="15">
        <v>0</v>
      </c>
      <c r="AK196" s="15">
        <v>0</v>
      </c>
      <c r="AL196" s="15">
        <v>0</v>
      </c>
      <c r="AM196" s="14">
        <v>0</v>
      </c>
      <c r="AN196" s="14">
        <v>0</v>
      </c>
      <c r="AO196" s="14">
        <v>0</v>
      </c>
      <c r="AP196" s="14">
        <v>0</v>
      </c>
      <c r="AQ196" s="14">
        <v>0</v>
      </c>
      <c r="AR196" s="14">
        <v>0</v>
      </c>
      <c r="AS196" s="14">
        <v>0</v>
      </c>
      <c r="AT196" s="14">
        <v>365</v>
      </c>
      <c r="AU196" s="14">
        <v>0</v>
      </c>
      <c r="AV196" s="14">
        <v>365</v>
      </c>
      <c r="AW196" s="14">
        <v>0</v>
      </c>
      <c r="AX196" s="14">
        <v>0</v>
      </c>
      <c r="AY196" s="14">
        <v>0</v>
      </c>
      <c r="AZ196" s="14">
        <v>0</v>
      </c>
      <c r="BA196" s="14">
        <v>0</v>
      </c>
      <c r="BB196" s="14">
        <v>0</v>
      </c>
      <c r="BC196" s="14">
        <v>0</v>
      </c>
      <c r="BD196" s="14">
        <v>0</v>
      </c>
      <c r="BE196" s="14">
        <v>0</v>
      </c>
      <c r="BF196" s="14"/>
    </row>
    <row r="197" spans="1:58" ht="16">
      <c r="A197" s="14" t="s">
        <v>18833</v>
      </c>
      <c r="B197" s="14" t="s">
        <v>18834</v>
      </c>
      <c r="C197" s="14">
        <v>1</v>
      </c>
      <c r="D197" s="14">
        <v>4</v>
      </c>
      <c r="E197" s="14">
        <v>4</v>
      </c>
      <c r="F197" s="14">
        <v>3</v>
      </c>
      <c r="G197" s="14">
        <v>1</v>
      </c>
      <c r="H197" s="14">
        <v>0</v>
      </c>
      <c r="I197" s="14">
        <v>0</v>
      </c>
      <c r="J197" s="14">
        <v>4</v>
      </c>
      <c r="K197" s="14">
        <v>43</v>
      </c>
      <c r="L197" s="14">
        <v>2</v>
      </c>
      <c r="M197" s="14">
        <v>1</v>
      </c>
      <c r="N197" s="14">
        <v>1</v>
      </c>
      <c r="O197" s="14">
        <v>0</v>
      </c>
      <c r="P197" s="14">
        <v>0</v>
      </c>
      <c r="Q197" s="14">
        <v>0</v>
      </c>
      <c r="R197" s="14">
        <v>0</v>
      </c>
      <c r="S197" s="14">
        <v>2.75</v>
      </c>
      <c r="T197" s="14">
        <v>0</v>
      </c>
      <c r="U197" s="14">
        <v>0</v>
      </c>
      <c r="V197" s="14">
        <v>2.8</v>
      </c>
      <c r="W197" s="15">
        <v>22.5</v>
      </c>
      <c r="X197" s="15">
        <v>0</v>
      </c>
      <c r="Y197" s="14">
        <v>2</v>
      </c>
      <c r="Z197" s="14">
        <v>0</v>
      </c>
      <c r="AA197" s="15">
        <v>-5</v>
      </c>
      <c r="AB197" s="15">
        <v>0</v>
      </c>
      <c r="AC197" s="15">
        <v>0</v>
      </c>
      <c r="AD197" s="15">
        <v>0</v>
      </c>
      <c r="AE197" s="15">
        <v>0</v>
      </c>
      <c r="AF197" s="15">
        <v>0</v>
      </c>
      <c r="AG197" s="15">
        <v>22.5</v>
      </c>
      <c r="AH197" s="15">
        <v>22.5</v>
      </c>
      <c r="AI197" s="15">
        <v>0</v>
      </c>
      <c r="AJ197" s="15">
        <v>0</v>
      </c>
      <c r="AK197" s="15">
        <v>0</v>
      </c>
      <c r="AL197" s="15">
        <v>0</v>
      </c>
      <c r="AM197" s="14">
        <v>0</v>
      </c>
      <c r="AN197" s="14">
        <v>0</v>
      </c>
      <c r="AO197" s="14">
        <v>0</v>
      </c>
      <c r="AP197" s="14">
        <v>0</v>
      </c>
      <c r="AQ197" s="14">
        <v>0</v>
      </c>
      <c r="AR197" s="14">
        <v>0</v>
      </c>
      <c r="AS197" s="14">
        <v>0</v>
      </c>
      <c r="AT197" s="14">
        <v>43</v>
      </c>
      <c r="AU197" s="14">
        <v>0</v>
      </c>
      <c r="AV197" s="14">
        <v>31</v>
      </c>
      <c r="AW197" s="14">
        <v>12</v>
      </c>
      <c r="AX197" s="14">
        <v>2.75</v>
      </c>
      <c r="AY197" s="14">
        <v>0</v>
      </c>
      <c r="AZ197" s="14">
        <v>2.25</v>
      </c>
      <c r="BA197" s="14">
        <v>0.5</v>
      </c>
      <c r="BB197" s="14">
        <v>0</v>
      </c>
      <c r="BC197" s="14">
        <v>0</v>
      </c>
      <c r="BD197" s="14">
        <v>0</v>
      </c>
      <c r="BE197" s="14">
        <v>0</v>
      </c>
      <c r="BF197" s="16">
        <v>40000</v>
      </c>
    </row>
    <row r="198" spans="1:58" ht="16">
      <c r="A198" s="14" t="s">
        <v>16974</v>
      </c>
      <c r="B198" s="14" t="s">
        <v>17129</v>
      </c>
      <c r="C198" s="14">
        <v>0</v>
      </c>
      <c r="D198" s="14">
        <v>0</v>
      </c>
      <c r="E198" s="14">
        <v>0</v>
      </c>
      <c r="F198" s="14">
        <v>0</v>
      </c>
      <c r="G198" s="14">
        <v>0</v>
      </c>
      <c r="H198" s="14">
        <v>0</v>
      </c>
      <c r="I198" s="14">
        <v>0</v>
      </c>
      <c r="J198" s="14">
        <v>0</v>
      </c>
      <c r="K198" s="14">
        <v>0</v>
      </c>
      <c r="L198" s="14">
        <v>0</v>
      </c>
      <c r="M198" s="14">
        <v>0</v>
      </c>
      <c r="N198" s="14">
        <v>0</v>
      </c>
      <c r="O198" s="14">
        <v>0</v>
      </c>
      <c r="P198" s="14">
        <v>0</v>
      </c>
      <c r="Q198" s="14">
        <v>0</v>
      </c>
      <c r="R198" s="14">
        <v>0</v>
      </c>
      <c r="S198" s="14">
        <v>0</v>
      </c>
      <c r="T198" s="14">
        <v>0</v>
      </c>
      <c r="U198" s="14">
        <v>0</v>
      </c>
      <c r="V198" s="14">
        <v>0</v>
      </c>
      <c r="W198" s="15">
        <v>0</v>
      </c>
      <c r="X198" s="15">
        <v>0</v>
      </c>
      <c r="Y198" s="14">
        <v>0</v>
      </c>
      <c r="Z198" s="14">
        <v>0</v>
      </c>
      <c r="AA198" s="15">
        <v>0</v>
      </c>
      <c r="AB198" s="15">
        <v>0</v>
      </c>
      <c r="AC198" s="15">
        <v>0</v>
      </c>
      <c r="AD198" s="15">
        <v>0</v>
      </c>
      <c r="AE198" s="15">
        <v>0</v>
      </c>
      <c r="AF198" s="15">
        <v>0</v>
      </c>
      <c r="AG198" s="15">
        <v>0</v>
      </c>
      <c r="AH198" s="15">
        <v>0</v>
      </c>
      <c r="AI198" s="15">
        <v>0</v>
      </c>
      <c r="AJ198" s="15">
        <v>0</v>
      </c>
      <c r="AK198" s="15">
        <v>0</v>
      </c>
      <c r="AL198" s="15">
        <v>0</v>
      </c>
      <c r="AM198" s="14">
        <v>0</v>
      </c>
      <c r="AN198" s="14">
        <v>0</v>
      </c>
      <c r="AO198" s="14">
        <v>0</v>
      </c>
      <c r="AP198" s="14">
        <v>0</v>
      </c>
      <c r="AQ198" s="14">
        <v>0</v>
      </c>
      <c r="AR198" s="14">
        <v>0</v>
      </c>
      <c r="AS198" s="14">
        <v>0</v>
      </c>
      <c r="AT198" s="14">
        <v>0</v>
      </c>
      <c r="AU198" s="14">
        <v>0</v>
      </c>
      <c r="AV198" s="14">
        <v>0</v>
      </c>
      <c r="AW198" s="14">
        <v>0</v>
      </c>
      <c r="AX198" s="14">
        <v>0</v>
      </c>
      <c r="AY198" s="14">
        <v>0</v>
      </c>
      <c r="AZ198" s="14">
        <v>0</v>
      </c>
      <c r="BA198" s="14">
        <v>0</v>
      </c>
      <c r="BB198" s="14">
        <v>0</v>
      </c>
      <c r="BC198" s="14">
        <v>0</v>
      </c>
      <c r="BD198" s="14">
        <v>0</v>
      </c>
      <c r="BE198" s="14">
        <v>0</v>
      </c>
      <c r="BF198" s="14">
        <v>0</v>
      </c>
    </row>
    <row r="199" spans="1:58" ht="16">
      <c r="A199" s="14" t="s">
        <v>16974</v>
      </c>
      <c r="B199" s="14" t="s">
        <v>17055</v>
      </c>
      <c r="C199" s="14">
        <v>0</v>
      </c>
      <c r="D199" s="14">
        <v>0</v>
      </c>
      <c r="E199" s="14">
        <v>0</v>
      </c>
      <c r="F199" s="14">
        <v>0</v>
      </c>
      <c r="G199" s="14">
        <v>0</v>
      </c>
      <c r="H199" s="14">
        <v>0</v>
      </c>
      <c r="I199" s="14">
        <v>0</v>
      </c>
      <c r="J199" s="14">
        <v>0</v>
      </c>
      <c r="K199" s="14">
        <v>0</v>
      </c>
      <c r="L199" s="14">
        <v>0</v>
      </c>
      <c r="M199" s="14">
        <v>0</v>
      </c>
      <c r="N199" s="14">
        <v>0</v>
      </c>
      <c r="O199" s="14">
        <v>0</v>
      </c>
      <c r="P199" s="14">
        <v>0</v>
      </c>
      <c r="Q199" s="14">
        <v>0</v>
      </c>
      <c r="R199" s="14">
        <v>0</v>
      </c>
      <c r="S199" s="14">
        <v>0</v>
      </c>
      <c r="T199" s="14">
        <v>0</v>
      </c>
      <c r="U199" s="14">
        <v>0</v>
      </c>
      <c r="V199" s="14">
        <v>0</v>
      </c>
      <c r="W199" s="15">
        <v>0</v>
      </c>
      <c r="X199" s="15">
        <v>0</v>
      </c>
      <c r="Y199" s="14">
        <v>0</v>
      </c>
      <c r="Z199" s="14">
        <v>0</v>
      </c>
      <c r="AA199" s="15">
        <v>0</v>
      </c>
      <c r="AB199" s="15">
        <v>0</v>
      </c>
      <c r="AC199" s="15">
        <v>0</v>
      </c>
      <c r="AD199" s="15">
        <v>0</v>
      </c>
      <c r="AE199" s="15">
        <v>0</v>
      </c>
      <c r="AF199" s="15">
        <v>0</v>
      </c>
      <c r="AG199" s="15">
        <v>0</v>
      </c>
      <c r="AH199" s="15">
        <v>0</v>
      </c>
      <c r="AI199" s="15">
        <v>0</v>
      </c>
      <c r="AJ199" s="15">
        <v>0</v>
      </c>
      <c r="AK199" s="15">
        <v>0</v>
      </c>
      <c r="AL199" s="15">
        <v>0</v>
      </c>
      <c r="AM199" s="14">
        <v>0</v>
      </c>
      <c r="AN199" s="14">
        <v>0</v>
      </c>
      <c r="AO199" s="14">
        <v>0</v>
      </c>
      <c r="AP199" s="14">
        <v>0</v>
      </c>
      <c r="AQ199" s="14">
        <v>0</v>
      </c>
      <c r="AR199" s="14">
        <v>0</v>
      </c>
      <c r="AS199" s="14">
        <v>0</v>
      </c>
      <c r="AT199" s="14">
        <v>0</v>
      </c>
      <c r="AU199" s="14">
        <v>0</v>
      </c>
      <c r="AV199" s="14">
        <v>0</v>
      </c>
      <c r="AW199" s="14">
        <v>0</v>
      </c>
      <c r="AX199" s="14">
        <v>0</v>
      </c>
      <c r="AY199" s="14">
        <v>0</v>
      </c>
      <c r="AZ199" s="14">
        <v>0</v>
      </c>
      <c r="BA199" s="14">
        <v>0</v>
      </c>
      <c r="BB199" s="14">
        <v>0</v>
      </c>
      <c r="BC199" s="14">
        <v>0</v>
      </c>
      <c r="BD199" s="14">
        <v>0</v>
      </c>
      <c r="BE199" s="14">
        <v>0</v>
      </c>
      <c r="BF199" s="14">
        <v>0</v>
      </c>
    </row>
    <row r="200" spans="1:58" ht="16">
      <c r="A200" s="14" t="s">
        <v>16974</v>
      </c>
      <c r="B200" s="14" t="s">
        <v>17102</v>
      </c>
      <c r="C200" s="14">
        <v>0</v>
      </c>
      <c r="D200" s="14">
        <v>1</v>
      </c>
      <c r="E200" s="14">
        <v>1</v>
      </c>
      <c r="F200" s="14">
        <v>0</v>
      </c>
      <c r="G200" s="14">
        <v>1</v>
      </c>
      <c r="H200" s="14">
        <v>0</v>
      </c>
      <c r="I200" s="14">
        <v>0</v>
      </c>
      <c r="J200" s="14">
        <v>1</v>
      </c>
      <c r="K200" s="14">
        <v>11</v>
      </c>
      <c r="L200" s="14">
        <v>0</v>
      </c>
      <c r="M200" s="14">
        <v>0</v>
      </c>
      <c r="N200" s="14">
        <v>0</v>
      </c>
      <c r="O200" s="14">
        <v>0</v>
      </c>
      <c r="P200" s="14">
        <v>0</v>
      </c>
      <c r="Q200" s="14">
        <v>1</v>
      </c>
      <c r="R200" s="14">
        <v>0</v>
      </c>
      <c r="S200" s="14">
        <v>0.25</v>
      </c>
      <c r="T200" s="14">
        <v>0</v>
      </c>
      <c r="U200" s="14">
        <v>0</v>
      </c>
      <c r="V200" s="14">
        <v>0.25</v>
      </c>
      <c r="W200" s="15">
        <v>2.5</v>
      </c>
      <c r="X200" s="15">
        <v>0</v>
      </c>
      <c r="Y200" s="14">
        <v>1</v>
      </c>
      <c r="Z200" s="14">
        <v>0</v>
      </c>
      <c r="AA200" s="15">
        <v>0</v>
      </c>
      <c r="AB200" s="15">
        <v>0</v>
      </c>
      <c r="AC200" s="15">
        <v>0</v>
      </c>
      <c r="AD200" s="15">
        <v>10</v>
      </c>
      <c r="AE200" s="15">
        <v>0</v>
      </c>
      <c r="AF200" s="15">
        <v>10</v>
      </c>
      <c r="AG200" s="15">
        <v>2.5</v>
      </c>
      <c r="AH200" s="15">
        <v>2.5</v>
      </c>
      <c r="AI200" s="15">
        <v>0</v>
      </c>
      <c r="AJ200" s="15">
        <v>0</v>
      </c>
      <c r="AK200" s="15">
        <v>0</v>
      </c>
      <c r="AL200" s="15">
        <v>0</v>
      </c>
      <c r="AM200" s="14">
        <v>0</v>
      </c>
      <c r="AN200" s="14">
        <v>0</v>
      </c>
      <c r="AO200" s="14">
        <v>0</v>
      </c>
      <c r="AP200" s="14">
        <v>0</v>
      </c>
      <c r="AQ200" s="14">
        <v>0</v>
      </c>
      <c r="AR200" s="14">
        <v>0</v>
      </c>
      <c r="AS200" s="14">
        <v>0</v>
      </c>
      <c r="AT200" s="14">
        <v>11</v>
      </c>
      <c r="AU200" s="14">
        <v>0</v>
      </c>
      <c r="AV200" s="14">
        <v>11</v>
      </c>
      <c r="AW200" s="14">
        <v>0</v>
      </c>
      <c r="AX200" s="14">
        <v>0.25</v>
      </c>
      <c r="AY200" s="14">
        <v>0</v>
      </c>
      <c r="AZ200" s="14">
        <v>0.25</v>
      </c>
      <c r="BA200" s="14">
        <v>0</v>
      </c>
      <c r="BB200" s="14">
        <v>0</v>
      </c>
      <c r="BC200" s="14">
        <v>0</v>
      </c>
      <c r="BD200" s="14">
        <v>0</v>
      </c>
      <c r="BE200" s="14">
        <v>0</v>
      </c>
      <c r="BF200" s="14"/>
    </row>
    <row r="201" spans="1:58" ht="16">
      <c r="A201" s="14" t="s">
        <v>16974</v>
      </c>
      <c r="B201" s="14" t="s">
        <v>17102</v>
      </c>
      <c r="C201" s="14">
        <v>0</v>
      </c>
      <c r="D201" s="14">
        <v>0</v>
      </c>
      <c r="E201" s="14">
        <v>0</v>
      </c>
      <c r="F201" s="14">
        <v>0</v>
      </c>
      <c r="G201" s="14">
        <v>0</v>
      </c>
      <c r="H201" s="14">
        <v>0</v>
      </c>
      <c r="I201" s="14">
        <v>0</v>
      </c>
      <c r="J201" s="14">
        <v>0</v>
      </c>
      <c r="K201" s="14">
        <v>0</v>
      </c>
      <c r="L201" s="14">
        <v>0</v>
      </c>
      <c r="M201" s="14">
        <v>0</v>
      </c>
      <c r="N201" s="14">
        <v>0</v>
      </c>
      <c r="O201" s="14">
        <v>0</v>
      </c>
      <c r="P201" s="14">
        <v>0</v>
      </c>
      <c r="Q201" s="14">
        <v>0</v>
      </c>
      <c r="R201" s="14">
        <v>0</v>
      </c>
      <c r="S201" s="14">
        <v>0</v>
      </c>
      <c r="T201" s="14">
        <v>0</v>
      </c>
      <c r="U201" s="14">
        <v>0</v>
      </c>
      <c r="V201" s="14">
        <v>0</v>
      </c>
      <c r="W201" s="15">
        <v>0</v>
      </c>
      <c r="X201" s="15">
        <v>0</v>
      </c>
      <c r="Y201" s="14">
        <v>0</v>
      </c>
      <c r="Z201" s="14">
        <v>0</v>
      </c>
      <c r="AA201" s="15">
        <v>0</v>
      </c>
      <c r="AB201" s="15">
        <v>0</v>
      </c>
      <c r="AC201" s="15">
        <v>0</v>
      </c>
      <c r="AD201" s="15">
        <v>0</v>
      </c>
      <c r="AE201" s="15">
        <v>0</v>
      </c>
      <c r="AF201" s="15">
        <v>0</v>
      </c>
      <c r="AG201" s="15">
        <v>0</v>
      </c>
      <c r="AH201" s="15">
        <v>0</v>
      </c>
      <c r="AI201" s="15">
        <v>0</v>
      </c>
      <c r="AJ201" s="15">
        <v>0</v>
      </c>
      <c r="AK201" s="15">
        <v>0</v>
      </c>
      <c r="AL201" s="15">
        <v>0</v>
      </c>
      <c r="AM201" s="14">
        <v>0</v>
      </c>
      <c r="AN201" s="14">
        <v>0</v>
      </c>
      <c r="AO201" s="14">
        <v>0</v>
      </c>
      <c r="AP201" s="14">
        <v>0</v>
      </c>
      <c r="AQ201" s="14">
        <v>0</v>
      </c>
      <c r="AR201" s="14">
        <v>0</v>
      </c>
      <c r="AS201" s="14">
        <v>0</v>
      </c>
      <c r="AT201" s="14">
        <v>0</v>
      </c>
      <c r="AU201" s="14">
        <v>0</v>
      </c>
      <c r="AV201" s="14">
        <v>0</v>
      </c>
      <c r="AW201" s="14">
        <v>0</v>
      </c>
      <c r="AX201" s="14">
        <v>0</v>
      </c>
      <c r="AY201" s="14">
        <v>0</v>
      </c>
      <c r="AZ201" s="14">
        <v>0</v>
      </c>
      <c r="BA201" s="14">
        <v>0</v>
      </c>
      <c r="BB201" s="14">
        <v>0</v>
      </c>
      <c r="BC201" s="14">
        <v>0</v>
      </c>
      <c r="BD201" s="14">
        <v>0</v>
      </c>
      <c r="BE201" s="14">
        <v>0</v>
      </c>
      <c r="BF201" s="14">
        <v>0</v>
      </c>
    </row>
    <row r="202" spans="1:58" ht="16">
      <c r="A202" s="14" t="s">
        <v>16974</v>
      </c>
      <c r="B202" s="14" t="s">
        <v>17103</v>
      </c>
      <c r="C202" s="14">
        <v>0</v>
      </c>
      <c r="D202" s="14">
        <v>3</v>
      </c>
      <c r="E202" s="14">
        <v>3</v>
      </c>
      <c r="F202" s="14">
        <v>3</v>
      </c>
      <c r="G202" s="14">
        <v>3</v>
      </c>
      <c r="H202" s="14">
        <v>3</v>
      </c>
      <c r="I202" s="14">
        <v>0</v>
      </c>
      <c r="J202" s="14">
        <v>0</v>
      </c>
      <c r="K202" s="14">
        <v>0</v>
      </c>
      <c r="L202" s="14">
        <v>0</v>
      </c>
      <c r="M202" s="14">
        <v>0</v>
      </c>
      <c r="N202" s="14">
        <v>0</v>
      </c>
      <c r="O202" s="14">
        <v>0</v>
      </c>
      <c r="P202" s="14">
        <v>0</v>
      </c>
      <c r="Q202" s="14">
        <v>3</v>
      </c>
      <c r="R202" s="14">
        <v>0</v>
      </c>
      <c r="S202" s="14">
        <v>0</v>
      </c>
      <c r="T202" s="14">
        <v>0</v>
      </c>
      <c r="U202" s="14">
        <v>0</v>
      </c>
      <c r="V202" s="14">
        <v>0</v>
      </c>
      <c r="W202" s="15">
        <v>0</v>
      </c>
      <c r="X202" s="15">
        <v>0</v>
      </c>
      <c r="Y202" s="14">
        <v>0</v>
      </c>
      <c r="Z202" s="14">
        <v>0</v>
      </c>
      <c r="AA202" s="15">
        <v>0</v>
      </c>
      <c r="AB202" s="15">
        <v>0</v>
      </c>
      <c r="AC202" s="15">
        <v>0</v>
      </c>
      <c r="AD202" s="15">
        <v>0</v>
      </c>
      <c r="AE202" s="15">
        <v>0</v>
      </c>
      <c r="AF202" s="15">
        <v>0</v>
      </c>
      <c r="AG202" s="15">
        <v>0</v>
      </c>
      <c r="AH202" s="15">
        <v>0</v>
      </c>
      <c r="AI202" s="15">
        <v>0</v>
      </c>
      <c r="AJ202" s="15">
        <v>0</v>
      </c>
      <c r="AK202" s="15">
        <v>0</v>
      </c>
      <c r="AL202" s="15">
        <v>0</v>
      </c>
      <c r="AM202" s="14">
        <v>0</v>
      </c>
      <c r="AN202" s="14">
        <v>0</v>
      </c>
      <c r="AO202" s="14">
        <v>0</v>
      </c>
      <c r="AP202" s="14">
        <v>0</v>
      </c>
      <c r="AQ202" s="14">
        <v>0</v>
      </c>
      <c r="AR202" s="14">
        <v>0</v>
      </c>
      <c r="AS202" s="14">
        <v>0</v>
      </c>
      <c r="AT202" s="14">
        <v>0</v>
      </c>
      <c r="AU202" s="14">
        <v>0</v>
      </c>
      <c r="AV202" s="14">
        <v>0</v>
      </c>
      <c r="AW202" s="14">
        <v>0</v>
      </c>
      <c r="AX202" s="14">
        <v>0</v>
      </c>
      <c r="AY202" s="14">
        <v>0</v>
      </c>
      <c r="AZ202" s="14">
        <v>0</v>
      </c>
      <c r="BA202" s="14">
        <v>0</v>
      </c>
      <c r="BB202" s="14">
        <v>0</v>
      </c>
      <c r="BC202" s="14">
        <v>0</v>
      </c>
      <c r="BD202" s="14">
        <v>0</v>
      </c>
      <c r="BE202" s="14">
        <v>0</v>
      </c>
      <c r="BF202" s="14">
        <v>214</v>
      </c>
    </row>
    <row r="203" spans="1:58" ht="16">
      <c r="A203" s="14" t="s">
        <v>16974</v>
      </c>
      <c r="B203" s="14" t="s">
        <v>18835</v>
      </c>
      <c r="C203" s="14">
        <v>0</v>
      </c>
      <c r="D203" s="14">
        <v>12</v>
      </c>
      <c r="E203" s="14">
        <v>11</v>
      </c>
      <c r="F203" s="14">
        <v>1</v>
      </c>
      <c r="G203" s="14">
        <v>0</v>
      </c>
      <c r="H203" s="14">
        <v>0</v>
      </c>
      <c r="I203" s="14">
        <v>0</v>
      </c>
      <c r="J203" s="14">
        <v>12</v>
      </c>
      <c r="K203" s="14">
        <v>34</v>
      </c>
      <c r="L203" s="14">
        <v>6</v>
      </c>
      <c r="M203" s="14">
        <v>0</v>
      </c>
      <c r="N203" s="14">
        <v>0</v>
      </c>
      <c r="O203" s="14">
        <v>6</v>
      </c>
      <c r="P203" s="14">
        <v>0</v>
      </c>
      <c r="Q203" s="14">
        <v>0</v>
      </c>
      <c r="R203" s="14">
        <v>0</v>
      </c>
      <c r="S203" s="14">
        <v>9.5</v>
      </c>
      <c r="T203" s="14">
        <v>0.5</v>
      </c>
      <c r="U203" s="14">
        <v>0</v>
      </c>
      <c r="V203" s="14">
        <v>10</v>
      </c>
      <c r="W203" s="15">
        <v>105</v>
      </c>
      <c r="X203" s="15">
        <v>0</v>
      </c>
      <c r="Y203" s="14">
        <v>12</v>
      </c>
      <c r="Z203" s="14">
        <v>0</v>
      </c>
      <c r="AA203" s="15">
        <v>0</v>
      </c>
      <c r="AB203" s="15">
        <v>0</v>
      </c>
      <c r="AC203" s="15">
        <v>25</v>
      </c>
      <c r="AD203" s="15">
        <v>25</v>
      </c>
      <c r="AE203" s="15">
        <v>0</v>
      </c>
      <c r="AF203" s="15">
        <v>25</v>
      </c>
      <c r="AG203" s="15">
        <v>130</v>
      </c>
      <c r="AH203" s="15">
        <v>130</v>
      </c>
      <c r="AI203" s="15">
        <v>0</v>
      </c>
      <c r="AJ203" s="15">
        <v>0</v>
      </c>
      <c r="AK203" s="15">
        <v>0</v>
      </c>
      <c r="AL203" s="15">
        <v>0</v>
      </c>
      <c r="AM203" s="14">
        <v>0</v>
      </c>
      <c r="AN203" s="14">
        <v>0</v>
      </c>
      <c r="AO203" s="14">
        <v>0</v>
      </c>
      <c r="AP203" s="14">
        <v>0</v>
      </c>
      <c r="AQ203" s="14">
        <v>0</v>
      </c>
      <c r="AR203" s="14">
        <v>0</v>
      </c>
      <c r="AS203" s="14">
        <v>0</v>
      </c>
      <c r="AT203" s="14">
        <v>34</v>
      </c>
      <c r="AU203" s="14">
        <v>0</v>
      </c>
      <c r="AV203" s="14">
        <v>34</v>
      </c>
      <c r="AW203" s="14">
        <v>0</v>
      </c>
      <c r="AX203" s="14">
        <v>9.5</v>
      </c>
      <c r="AY203" s="14">
        <v>0</v>
      </c>
      <c r="AZ203" s="14">
        <v>9.5</v>
      </c>
      <c r="BA203" s="14">
        <v>0</v>
      </c>
      <c r="BB203" s="14">
        <v>0.5</v>
      </c>
      <c r="BC203" s="14">
        <v>0</v>
      </c>
      <c r="BD203" s="14">
        <v>0.5</v>
      </c>
      <c r="BE203" s="14">
        <v>0</v>
      </c>
      <c r="BF203" s="14"/>
    </row>
    <row r="204" spans="1:58" ht="16">
      <c r="A204" s="14" t="s">
        <v>16974</v>
      </c>
      <c r="B204" s="14" t="s">
        <v>18835</v>
      </c>
      <c r="C204" s="14">
        <v>16</v>
      </c>
      <c r="D204" s="14">
        <v>25</v>
      </c>
      <c r="E204" s="14">
        <v>6</v>
      </c>
      <c r="F204" s="14">
        <v>12</v>
      </c>
      <c r="G204" s="14">
        <v>2</v>
      </c>
      <c r="H204" s="14">
        <v>3</v>
      </c>
      <c r="I204" s="14">
        <v>2</v>
      </c>
      <c r="J204" s="14">
        <v>21</v>
      </c>
      <c r="K204" s="14">
        <v>483</v>
      </c>
      <c r="L204" s="14">
        <v>23</v>
      </c>
      <c r="M204" s="14">
        <v>1</v>
      </c>
      <c r="N204" s="14">
        <v>0</v>
      </c>
      <c r="O204" s="14">
        <v>1</v>
      </c>
      <c r="P204" s="14">
        <v>0</v>
      </c>
      <c r="Q204" s="14">
        <v>0</v>
      </c>
      <c r="R204" s="14">
        <v>0</v>
      </c>
      <c r="S204" s="14">
        <v>23</v>
      </c>
      <c r="T204" s="14">
        <v>38</v>
      </c>
      <c r="U204" s="14">
        <v>0</v>
      </c>
      <c r="V204" s="14">
        <v>61</v>
      </c>
      <c r="W204" s="15">
        <v>135</v>
      </c>
      <c r="X204" s="15">
        <v>0</v>
      </c>
      <c r="Y204" s="14">
        <v>9</v>
      </c>
      <c r="Z204" s="14">
        <v>0</v>
      </c>
      <c r="AA204" s="15">
        <v>-855</v>
      </c>
      <c r="AB204" s="15">
        <v>0</v>
      </c>
      <c r="AC204" s="15">
        <v>6.3</v>
      </c>
      <c r="AD204" s="15">
        <v>0</v>
      </c>
      <c r="AE204" s="15">
        <v>0</v>
      </c>
      <c r="AF204" s="15">
        <v>0</v>
      </c>
      <c r="AG204" s="15">
        <v>141.30000000000001</v>
      </c>
      <c r="AH204" s="15">
        <v>141.30000000000001</v>
      </c>
      <c r="AI204" s="15">
        <v>0</v>
      </c>
      <c r="AJ204" s="15">
        <v>0</v>
      </c>
      <c r="AK204" s="15">
        <v>0</v>
      </c>
      <c r="AL204" s="15">
        <v>0</v>
      </c>
      <c r="AM204" s="14">
        <v>0</v>
      </c>
      <c r="AN204" s="14">
        <v>0</v>
      </c>
      <c r="AO204" s="14">
        <v>0</v>
      </c>
      <c r="AP204" s="14">
        <v>0</v>
      </c>
      <c r="AQ204" s="14">
        <v>0</v>
      </c>
      <c r="AR204" s="14">
        <v>0</v>
      </c>
      <c r="AS204" s="14">
        <v>0</v>
      </c>
      <c r="AT204" s="14">
        <v>483</v>
      </c>
      <c r="AU204" s="14">
        <v>115</v>
      </c>
      <c r="AV204" s="14">
        <v>36</v>
      </c>
      <c r="AW204" s="14">
        <v>447</v>
      </c>
      <c r="AX204" s="14">
        <v>23</v>
      </c>
      <c r="AY204" s="14">
        <v>1.5</v>
      </c>
      <c r="AZ204" s="14">
        <v>7.5</v>
      </c>
      <c r="BA204" s="14">
        <v>15.5</v>
      </c>
      <c r="BB204" s="14">
        <v>38</v>
      </c>
      <c r="BC204" s="14">
        <v>18</v>
      </c>
      <c r="BD204" s="14">
        <v>3</v>
      </c>
      <c r="BE204" s="14">
        <v>35</v>
      </c>
      <c r="BF204" s="14">
        <v>23</v>
      </c>
    </row>
    <row r="205" spans="1:58" ht="16">
      <c r="A205" s="14" t="s">
        <v>16974</v>
      </c>
      <c r="B205" s="14" t="s">
        <v>18836</v>
      </c>
      <c r="C205" s="14">
        <v>2</v>
      </c>
      <c r="D205" s="14">
        <v>4</v>
      </c>
      <c r="E205" s="14">
        <v>4</v>
      </c>
      <c r="F205" s="14">
        <v>4</v>
      </c>
      <c r="G205" s="14">
        <v>2</v>
      </c>
      <c r="H205" s="14">
        <v>0</v>
      </c>
      <c r="I205" s="14">
        <v>0</v>
      </c>
      <c r="J205" s="14">
        <v>4</v>
      </c>
      <c r="K205" s="14">
        <v>10</v>
      </c>
      <c r="L205" s="14">
        <v>4</v>
      </c>
      <c r="M205" s="14">
        <v>0</v>
      </c>
      <c r="N205" s="14">
        <v>0</v>
      </c>
      <c r="O205" s="14">
        <v>0</v>
      </c>
      <c r="P205" s="14">
        <v>0</v>
      </c>
      <c r="Q205" s="14">
        <v>0</v>
      </c>
      <c r="R205" s="14">
        <v>0</v>
      </c>
      <c r="S205" s="14">
        <v>2.25</v>
      </c>
      <c r="T205" s="14">
        <v>0</v>
      </c>
      <c r="U205" s="14">
        <v>0</v>
      </c>
      <c r="V205" s="14">
        <v>2.2999999999999998</v>
      </c>
      <c r="W205" s="15">
        <v>22.5</v>
      </c>
      <c r="X205" s="15">
        <v>0</v>
      </c>
      <c r="Y205" s="14">
        <v>2</v>
      </c>
      <c r="Z205" s="14">
        <v>0</v>
      </c>
      <c r="AA205" s="15">
        <v>0</v>
      </c>
      <c r="AB205" s="15">
        <v>0</v>
      </c>
      <c r="AC205" s="15">
        <v>0</v>
      </c>
      <c r="AD205" s="15">
        <v>0</v>
      </c>
      <c r="AE205" s="15">
        <v>0</v>
      </c>
      <c r="AF205" s="15">
        <v>0</v>
      </c>
      <c r="AG205" s="15">
        <v>22.5</v>
      </c>
      <c r="AH205" s="15">
        <v>22.5</v>
      </c>
      <c r="AI205" s="15">
        <v>0</v>
      </c>
      <c r="AJ205" s="15">
        <v>0</v>
      </c>
      <c r="AK205" s="15">
        <v>0</v>
      </c>
      <c r="AL205" s="15">
        <v>0</v>
      </c>
      <c r="AM205" s="14">
        <v>0</v>
      </c>
      <c r="AN205" s="14">
        <v>0</v>
      </c>
      <c r="AO205" s="14">
        <v>0</v>
      </c>
      <c r="AP205" s="14">
        <v>0</v>
      </c>
      <c r="AQ205" s="14">
        <v>0</v>
      </c>
      <c r="AR205" s="14">
        <v>0</v>
      </c>
      <c r="AS205" s="14">
        <v>0</v>
      </c>
      <c r="AT205" s="14">
        <v>10</v>
      </c>
      <c r="AU205" s="14">
        <v>0</v>
      </c>
      <c r="AV205" s="14">
        <v>8</v>
      </c>
      <c r="AW205" s="14">
        <v>2</v>
      </c>
      <c r="AX205" s="14">
        <v>2.25</v>
      </c>
      <c r="AY205" s="14">
        <v>0</v>
      </c>
      <c r="AZ205" s="14">
        <v>2.25</v>
      </c>
      <c r="BA205" s="14">
        <v>0</v>
      </c>
      <c r="BB205" s="14">
        <v>0</v>
      </c>
      <c r="BC205" s="14">
        <v>0</v>
      </c>
      <c r="BD205" s="14">
        <v>0</v>
      </c>
      <c r="BE205" s="14">
        <v>0</v>
      </c>
      <c r="BF205" s="14">
        <v>37</v>
      </c>
    </row>
    <row r="206" spans="1:58" ht="16">
      <c r="A206" s="14" t="s">
        <v>16974</v>
      </c>
      <c r="B206" s="14" t="s">
        <v>17313</v>
      </c>
      <c r="C206" s="14">
        <v>0</v>
      </c>
      <c r="D206" s="14">
        <v>2</v>
      </c>
      <c r="E206" s="14">
        <v>1</v>
      </c>
      <c r="F206" s="14">
        <v>2</v>
      </c>
      <c r="G206" s="14">
        <v>0</v>
      </c>
      <c r="H206" s="14">
        <v>0</v>
      </c>
      <c r="I206" s="14">
        <v>0</v>
      </c>
      <c r="J206" s="14">
        <v>2</v>
      </c>
      <c r="K206" s="14">
        <v>21</v>
      </c>
      <c r="L206" s="14">
        <v>1</v>
      </c>
      <c r="M206" s="14">
        <v>0</v>
      </c>
      <c r="N206" s="14">
        <v>0</v>
      </c>
      <c r="O206" s="14">
        <v>0</v>
      </c>
      <c r="P206" s="14">
        <v>1</v>
      </c>
      <c r="Q206" s="14">
        <v>0</v>
      </c>
      <c r="R206" s="14">
        <v>0</v>
      </c>
      <c r="S206" s="14">
        <v>0</v>
      </c>
      <c r="T206" s="14">
        <v>0</v>
      </c>
      <c r="U206" s="14">
        <v>0</v>
      </c>
      <c r="V206" s="14">
        <v>0</v>
      </c>
      <c r="W206" s="15">
        <v>0</v>
      </c>
      <c r="X206" s="15">
        <v>0</v>
      </c>
      <c r="Y206" s="14">
        <v>0</v>
      </c>
      <c r="Z206" s="14">
        <v>0</v>
      </c>
      <c r="AA206" s="15">
        <v>0</v>
      </c>
      <c r="AB206" s="15">
        <v>0</v>
      </c>
      <c r="AC206" s="15">
        <v>0</v>
      </c>
      <c r="AD206" s="15">
        <v>0</v>
      </c>
      <c r="AE206" s="15">
        <v>0</v>
      </c>
      <c r="AF206" s="15">
        <v>0</v>
      </c>
      <c r="AG206" s="15">
        <v>0</v>
      </c>
      <c r="AH206" s="15">
        <v>0</v>
      </c>
      <c r="AI206" s="15">
        <v>0</v>
      </c>
      <c r="AJ206" s="15">
        <v>0</v>
      </c>
      <c r="AK206" s="15">
        <v>0</v>
      </c>
      <c r="AL206" s="15">
        <v>0</v>
      </c>
      <c r="AM206" s="14">
        <v>0</v>
      </c>
      <c r="AN206" s="14">
        <v>0</v>
      </c>
      <c r="AO206" s="14">
        <v>0</v>
      </c>
      <c r="AP206" s="14">
        <v>0</v>
      </c>
      <c r="AQ206" s="14">
        <v>0</v>
      </c>
      <c r="AR206" s="14">
        <v>0</v>
      </c>
      <c r="AS206" s="14">
        <v>0</v>
      </c>
      <c r="AT206" s="14">
        <v>21</v>
      </c>
      <c r="AU206" s="14">
        <v>0</v>
      </c>
      <c r="AV206" s="14">
        <v>21</v>
      </c>
      <c r="AW206" s="14">
        <v>0</v>
      </c>
      <c r="AX206" s="14">
        <v>0</v>
      </c>
      <c r="AY206" s="14">
        <v>0</v>
      </c>
      <c r="AZ206" s="14">
        <v>0</v>
      </c>
      <c r="BA206" s="14">
        <v>0</v>
      </c>
      <c r="BB206" s="14">
        <v>0</v>
      </c>
      <c r="BC206" s="14">
        <v>0</v>
      </c>
      <c r="BD206" s="14">
        <v>0</v>
      </c>
      <c r="BE206" s="14">
        <v>0</v>
      </c>
      <c r="BF206" s="14">
        <v>0</v>
      </c>
    </row>
    <row r="207" spans="1:58" ht="16">
      <c r="A207" s="14" t="s">
        <v>16974</v>
      </c>
      <c r="B207" s="14" t="s">
        <v>17108</v>
      </c>
      <c r="C207" s="14">
        <v>5</v>
      </c>
      <c r="D207" s="14">
        <v>11</v>
      </c>
      <c r="E207" s="14">
        <v>11</v>
      </c>
      <c r="F207" s="14">
        <v>11</v>
      </c>
      <c r="G207" s="14">
        <v>0</v>
      </c>
      <c r="H207" s="14">
        <v>0</v>
      </c>
      <c r="I207" s="14">
        <v>0</v>
      </c>
      <c r="J207" s="14">
        <v>11</v>
      </c>
      <c r="K207" s="14">
        <v>25</v>
      </c>
      <c r="L207" s="14">
        <v>11</v>
      </c>
      <c r="M207" s="14">
        <v>0</v>
      </c>
      <c r="N207" s="14">
        <v>0</v>
      </c>
      <c r="O207" s="14">
        <v>0</v>
      </c>
      <c r="P207" s="14">
        <v>0</v>
      </c>
      <c r="Q207" s="14">
        <v>0</v>
      </c>
      <c r="R207" s="14">
        <v>0</v>
      </c>
      <c r="S207" s="14">
        <v>4.75</v>
      </c>
      <c r="T207" s="14">
        <v>0</v>
      </c>
      <c r="U207" s="14">
        <v>0</v>
      </c>
      <c r="V207" s="14">
        <v>4.75</v>
      </c>
      <c r="W207" s="15">
        <v>20</v>
      </c>
      <c r="X207" s="15">
        <v>0</v>
      </c>
      <c r="Y207" s="14">
        <v>6</v>
      </c>
      <c r="Z207" s="14">
        <v>0</v>
      </c>
      <c r="AA207" s="15">
        <v>-27.5</v>
      </c>
      <c r="AB207" s="15">
        <v>0</v>
      </c>
      <c r="AC207" s="15">
        <v>0</v>
      </c>
      <c r="AD207" s="15">
        <v>0</v>
      </c>
      <c r="AE207" s="15">
        <v>0</v>
      </c>
      <c r="AF207" s="15">
        <v>0</v>
      </c>
      <c r="AG207" s="15">
        <v>20</v>
      </c>
      <c r="AH207" s="15">
        <v>20</v>
      </c>
      <c r="AI207" s="15">
        <v>0</v>
      </c>
      <c r="AJ207" s="15">
        <v>0</v>
      </c>
      <c r="AK207" s="15">
        <v>0</v>
      </c>
      <c r="AL207" s="15">
        <v>0</v>
      </c>
      <c r="AM207" s="14">
        <v>0</v>
      </c>
      <c r="AN207" s="14">
        <v>0</v>
      </c>
      <c r="AO207" s="14">
        <v>0</v>
      </c>
      <c r="AP207" s="14">
        <v>0</v>
      </c>
      <c r="AQ207" s="14">
        <v>0</v>
      </c>
      <c r="AR207" s="14">
        <v>0</v>
      </c>
      <c r="AS207" s="14">
        <v>0</v>
      </c>
      <c r="AT207" s="14">
        <v>25</v>
      </c>
      <c r="AU207" s="14">
        <v>0</v>
      </c>
      <c r="AV207" s="14">
        <v>11</v>
      </c>
      <c r="AW207" s="14">
        <v>14</v>
      </c>
      <c r="AX207" s="14">
        <v>4.75</v>
      </c>
      <c r="AY207" s="14">
        <v>0</v>
      </c>
      <c r="AZ207" s="14">
        <v>2</v>
      </c>
      <c r="BA207" s="14">
        <v>2.75</v>
      </c>
      <c r="BB207" s="14">
        <v>0</v>
      </c>
      <c r="BC207" s="14">
        <v>0</v>
      </c>
      <c r="BD207" s="14">
        <v>0</v>
      </c>
      <c r="BE207" s="14">
        <v>0</v>
      </c>
      <c r="BF207" s="14"/>
    </row>
    <row r="208" spans="1:58" ht="16">
      <c r="A208" s="14" t="s">
        <v>16974</v>
      </c>
      <c r="B208" s="14" t="s">
        <v>17108</v>
      </c>
      <c r="C208" s="14">
        <v>1</v>
      </c>
      <c r="D208" s="14">
        <v>10</v>
      </c>
      <c r="E208" s="14">
        <v>10</v>
      </c>
      <c r="F208" s="14">
        <v>10</v>
      </c>
      <c r="G208" s="14">
        <v>0</v>
      </c>
      <c r="H208" s="14">
        <v>0</v>
      </c>
      <c r="I208" s="14">
        <v>0</v>
      </c>
      <c r="J208" s="14">
        <v>10</v>
      </c>
      <c r="K208" s="14">
        <v>20</v>
      </c>
      <c r="L208" s="14">
        <v>10</v>
      </c>
      <c r="M208" s="14">
        <v>0</v>
      </c>
      <c r="N208" s="14">
        <v>0</v>
      </c>
      <c r="O208" s="14">
        <v>0</v>
      </c>
      <c r="P208" s="14">
        <v>0</v>
      </c>
      <c r="Q208" s="14">
        <v>0</v>
      </c>
      <c r="R208" s="14">
        <v>0</v>
      </c>
      <c r="S208" s="14">
        <v>7.75</v>
      </c>
      <c r="T208" s="14">
        <v>0</v>
      </c>
      <c r="U208" s="14">
        <v>0</v>
      </c>
      <c r="V208" s="14">
        <v>7.8</v>
      </c>
      <c r="W208" s="15">
        <v>67.5</v>
      </c>
      <c r="X208" s="15">
        <v>0</v>
      </c>
      <c r="Y208" s="14">
        <v>9</v>
      </c>
      <c r="Z208" s="14">
        <v>0</v>
      </c>
      <c r="AA208" s="15">
        <v>-10</v>
      </c>
      <c r="AB208" s="15">
        <v>0</v>
      </c>
      <c r="AC208" s="15">
        <v>0</v>
      </c>
      <c r="AD208" s="15">
        <v>0</v>
      </c>
      <c r="AE208" s="15">
        <v>0</v>
      </c>
      <c r="AF208" s="15">
        <v>0</v>
      </c>
      <c r="AG208" s="15">
        <v>67.5</v>
      </c>
      <c r="AH208" s="15">
        <v>67.5</v>
      </c>
      <c r="AI208" s="15">
        <v>0</v>
      </c>
      <c r="AJ208" s="15">
        <v>0</v>
      </c>
      <c r="AK208" s="15">
        <v>0</v>
      </c>
      <c r="AL208" s="15">
        <v>0</v>
      </c>
      <c r="AM208" s="14">
        <v>0</v>
      </c>
      <c r="AN208" s="14">
        <v>0</v>
      </c>
      <c r="AO208" s="14">
        <v>0</v>
      </c>
      <c r="AP208" s="14">
        <v>0</v>
      </c>
      <c r="AQ208" s="14">
        <v>0</v>
      </c>
      <c r="AR208" s="14">
        <v>0</v>
      </c>
      <c r="AS208" s="14">
        <v>0</v>
      </c>
      <c r="AT208" s="14">
        <v>20</v>
      </c>
      <c r="AU208" s="14">
        <v>0</v>
      </c>
      <c r="AV208" s="14">
        <v>19</v>
      </c>
      <c r="AW208" s="14">
        <v>1</v>
      </c>
      <c r="AX208" s="14">
        <v>7.75</v>
      </c>
      <c r="AY208" s="14">
        <v>0</v>
      </c>
      <c r="AZ208" s="14">
        <v>6.75</v>
      </c>
      <c r="BA208" s="14">
        <v>1</v>
      </c>
      <c r="BB208" s="14">
        <v>0</v>
      </c>
      <c r="BC208" s="14">
        <v>0</v>
      </c>
      <c r="BD208" s="14">
        <v>0</v>
      </c>
      <c r="BE208" s="14">
        <v>0</v>
      </c>
      <c r="BF208" s="14">
        <v>10</v>
      </c>
    </row>
    <row r="209" spans="1:58" ht="16">
      <c r="A209" s="14" t="s">
        <v>16974</v>
      </c>
      <c r="B209" s="14" t="s">
        <v>17109</v>
      </c>
      <c r="C209" s="14">
        <v>0</v>
      </c>
      <c r="D209" s="14">
        <v>0</v>
      </c>
      <c r="E209" s="14">
        <v>0</v>
      </c>
      <c r="F209" s="14">
        <v>0</v>
      </c>
      <c r="G209" s="14">
        <v>0</v>
      </c>
      <c r="H209" s="14">
        <v>0</v>
      </c>
      <c r="I209" s="14">
        <v>0</v>
      </c>
      <c r="J209" s="14">
        <v>0</v>
      </c>
      <c r="K209" s="14">
        <v>0</v>
      </c>
      <c r="L209" s="14">
        <v>0</v>
      </c>
      <c r="M209" s="14">
        <v>0</v>
      </c>
      <c r="N209" s="14">
        <v>0</v>
      </c>
      <c r="O209" s="14">
        <v>0</v>
      </c>
      <c r="P209" s="14">
        <v>0</v>
      </c>
      <c r="Q209" s="14">
        <v>0</v>
      </c>
      <c r="R209" s="14">
        <v>0</v>
      </c>
      <c r="S209" s="14">
        <v>0</v>
      </c>
      <c r="T209" s="14">
        <v>0</v>
      </c>
      <c r="U209" s="14">
        <v>0</v>
      </c>
      <c r="V209" s="14">
        <v>0</v>
      </c>
      <c r="W209" s="15">
        <v>0</v>
      </c>
      <c r="X209" s="15">
        <v>0</v>
      </c>
      <c r="Y209" s="14">
        <v>0</v>
      </c>
      <c r="Z209" s="14">
        <v>0</v>
      </c>
      <c r="AA209" s="15">
        <v>0</v>
      </c>
      <c r="AB209" s="15">
        <v>0</v>
      </c>
      <c r="AC209" s="15">
        <v>0</v>
      </c>
      <c r="AD209" s="15">
        <v>0</v>
      </c>
      <c r="AE209" s="15">
        <v>0</v>
      </c>
      <c r="AF209" s="15">
        <v>0</v>
      </c>
      <c r="AG209" s="15">
        <v>0</v>
      </c>
      <c r="AH209" s="15">
        <v>0</v>
      </c>
      <c r="AI209" s="15">
        <v>0</v>
      </c>
      <c r="AJ209" s="15">
        <v>0</v>
      </c>
      <c r="AK209" s="15">
        <v>0</v>
      </c>
      <c r="AL209" s="15">
        <v>0</v>
      </c>
      <c r="AM209" s="14">
        <v>0</v>
      </c>
      <c r="AN209" s="14">
        <v>0</v>
      </c>
      <c r="AO209" s="14">
        <v>0</v>
      </c>
      <c r="AP209" s="14">
        <v>0</v>
      </c>
      <c r="AQ209" s="14">
        <v>0</v>
      </c>
      <c r="AR209" s="14">
        <v>0</v>
      </c>
      <c r="AS209" s="14">
        <v>0</v>
      </c>
      <c r="AT209" s="14">
        <v>0</v>
      </c>
      <c r="AU209" s="14">
        <v>0</v>
      </c>
      <c r="AV209" s="14">
        <v>0</v>
      </c>
      <c r="AW209" s="14">
        <v>0</v>
      </c>
      <c r="AX209" s="14">
        <v>0</v>
      </c>
      <c r="AY209" s="14">
        <v>0</v>
      </c>
      <c r="AZ209" s="14">
        <v>0</v>
      </c>
      <c r="BA209" s="14">
        <v>0</v>
      </c>
      <c r="BB209" s="14">
        <v>0</v>
      </c>
      <c r="BC209" s="14">
        <v>0</v>
      </c>
      <c r="BD209" s="14">
        <v>0</v>
      </c>
      <c r="BE209" s="14">
        <v>0</v>
      </c>
      <c r="BF209" s="14">
        <v>0</v>
      </c>
    </row>
    <row r="210" spans="1:58" ht="16">
      <c r="A210" s="14" t="s">
        <v>16974</v>
      </c>
      <c r="B210" s="14" t="s">
        <v>17312</v>
      </c>
      <c r="C210" s="14">
        <v>0</v>
      </c>
      <c r="D210" s="14">
        <v>0</v>
      </c>
      <c r="E210" s="14">
        <v>0</v>
      </c>
      <c r="F210" s="14">
        <v>0</v>
      </c>
      <c r="G210" s="14">
        <v>0</v>
      </c>
      <c r="H210" s="14">
        <v>0</v>
      </c>
      <c r="I210" s="14">
        <v>0</v>
      </c>
      <c r="J210" s="14">
        <v>0</v>
      </c>
      <c r="K210" s="14">
        <v>0</v>
      </c>
      <c r="L210" s="14">
        <v>0</v>
      </c>
      <c r="M210" s="14">
        <v>0</v>
      </c>
      <c r="N210" s="14">
        <v>0</v>
      </c>
      <c r="O210" s="14">
        <v>0</v>
      </c>
      <c r="P210" s="14">
        <v>0</v>
      </c>
      <c r="Q210" s="14">
        <v>0</v>
      </c>
      <c r="R210" s="14">
        <v>0</v>
      </c>
      <c r="S210" s="14">
        <v>0</v>
      </c>
      <c r="T210" s="14">
        <v>0</v>
      </c>
      <c r="U210" s="14">
        <v>0</v>
      </c>
      <c r="V210" s="14">
        <v>0</v>
      </c>
      <c r="W210" s="15">
        <v>0</v>
      </c>
      <c r="X210" s="15">
        <v>0</v>
      </c>
      <c r="Y210" s="14">
        <v>0</v>
      </c>
      <c r="Z210" s="14">
        <v>0</v>
      </c>
      <c r="AA210" s="15">
        <v>0</v>
      </c>
      <c r="AB210" s="15">
        <v>0</v>
      </c>
      <c r="AC210" s="15">
        <v>0</v>
      </c>
      <c r="AD210" s="15">
        <v>0</v>
      </c>
      <c r="AE210" s="15">
        <v>0</v>
      </c>
      <c r="AF210" s="15">
        <v>0</v>
      </c>
      <c r="AG210" s="15">
        <v>0</v>
      </c>
      <c r="AH210" s="15">
        <v>0</v>
      </c>
      <c r="AI210" s="15">
        <v>0</v>
      </c>
      <c r="AJ210" s="15">
        <v>0</v>
      </c>
      <c r="AK210" s="15">
        <v>0</v>
      </c>
      <c r="AL210" s="15">
        <v>0</v>
      </c>
      <c r="AM210" s="14">
        <v>0</v>
      </c>
      <c r="AN210" s="14">
        <v>0</v>
      </c>
      <c r="AO210" s="14">
        <v>0</v>
      </c>
      <c r="AP210" s="14">
        <v>0</v>
      </c>
      <c r="AQ210" s="14">
        <v>0</v>
      </c>
      <c r="AR210" s="14">
        <v>0</v>
      </c>
      <c r="AS210" s="14">
        <v>0</v>
      </c>
      <c r="AT210" s="14">
        <v>0</v>
      </c>
      <c r="AU210" s="14">
        <v>0</v>
      </c>
      <c r="AV210" s="14">
        <v>0</v>
      </c>
      <c r="AW210" s="14">
        <v>0</v>
      </c>
      <c r="AX210" s="14">
        <v>0</v>
      </c>
      <c r="AY210" s="14">
        <v>0</v>
      </c>
      <c r="AZ210" s="14">
        <v>0</v>
      </c>
      <c r="BA210" s="14">
        <v>0</v>
      </c>
      <c r="BB210" s="14">
        <v>0</v>
      </c>
      <c r="BC210" s="14">
        <v>0</v>
      </c>
      <c r="BD210" s="14">
        <v>0</v>
      </c>
      <c r="BE210" s="14">
        <v>0</v>
      </c>
      <c r="BF210" s="14">
        <v>0</v>
      </c>
    </row>
    <row r="211" spans="1:58" ht="16">
      <c r="A211" s="14" t="s">
        <v>16974</v>
      </c>
      <c r="B211" s="14" t="s">
        <v>17110</v>
      </c>
      <c r="C211" s="14">
        <v>0</v>
      </c>
      <c r="D211" s="14">
        <v>7</v>
      </c>
      <c r="E211" s="14">
        <v>0</v>
      </c>
      <c r="F211" s="14">
        <v>7</v>
      </c>
      <c r="G211" s="14">
        <v>1</v>
      </c>
      <c r="H211" s="14">
        <v>0</v>
      </c>
      <c r="I211" s="14">
        <v>0</v>
      </c>
      <c r="J211" s="14">
        <v>7</v>
      </c>
      <c r="K211" s="14">
        <v>7</v>
      </c>
      <c r="L211" s="14">
        <v>6</v>
      </c>
      <c r="M211" s="14">
        <v>1</v>
      </c>
      <c r="N211" s="14">
        <v>0</v>
      </c>
      <c r="O211" s="14">
        <v>0</v>
      </c>
      <c r="P211" s="14">
        <v>0</v>
      </c>
      <c r="Q211" s="14">
        <v>0</v>
      </c>
      <c r="R211" s="14">
        <v>0</v>
      </c>
      <c r="S211" s="14">
        <v>10</v>
      </c>
      <c r="T211" s="14">
        <v>1.75</v>
      </c>
      <c r="U211" s="14">
        <v>0</v>
      </c>
      <c r="V211" s="14">
        <v>11.8</v>
      </c>
      <c r="W211" s="15">
        <v>135</v>
      </c>
      <c r="X211" s="15">
        <v>0</v>
      </c>
      <c r="Y211" s="14">
        <v>4</v>
      </c>
      <c r="Z211" s="14">
        <v>1</v>
      </c>
      <c r="AA211" s="15">
        <v>0</v>
      </c>
      <c r="AB211" s="15">
        <v>20</v>
      </c>
      <c r="AC211" s="15">
        <v>0</v>
      </c>
      <c r="AD211" s="15">
        <v>0</v>
      </c>
      <c r="AE211" s="15">
        <v>0</v>
      </c>
      <c r="AF211" s="15">
        <v>20</v>
      </c>
      <c r="AG211" s="15">
        <v>135</v>
      </c>
      <c r="AH211" s="15">
        <v>135</v>
      </c>
      <c r="AI211" s="15">
        <v>0</v>
      </c>
      <c r="AJ211" s="15">
        <v>0</v>
      </c>
      <c r="AK211" s="15">
        <v>0</v>
      </c>
      <c r="AL211" s="15">
        <v>0</v>
      </c>
      <c r="AM211" s="14">
        <v>7</v>
      </c>
      <c r="AN211" s="14">
        <v>0</v>
      </c>
      <c r="AO211" s="14">
        <v>7</v>
      </c>
      <c r="AP211" s="14">
        <v>0</v>
      </c>
      <c r="AQ211" s="14">
        <v>4</v>
      </c>
      <c r="AR211" s="14">
        <v>0</v>
      </c>
      <c r="AS211" s="14">
        <v>4</v>
      </c>
      <c r="AT211" s="14">
        <v>11</v>
      </c>
      <c r="AU211" s="14">
        <v>1.75</v>
      </c>
      <c r="AV211" s="14">
        <v>11</v>
      </c>
      <c r="AW211" s="14">
        <v>1.75</v>
      </c>
      <c r="AX211" s="14">
        <v>8</v>
      </c>
      <c r="AY211" s="14">
        <v>0</v>
      </c>
      <c r="AZ211" s="14">
        <v>8</v>
      </c>
      <c r="BA211" s="14">
        <v>0</v>
      </c>
      <c r="BB211" s="14">
        <v>1.75</v>
      </c>
      <c r="BC211" s="14">
        <v>0</v>
      </c>
      <c r="BD211" s="14">
        <v>1.75</v>
      </c>
      <c r="BE211" s="14">
        <v>0</v>
      </c>
      <c r="BF211" s="14">
        <v>0</v>
      </c>
    </row>
    <row r="212" spans="1:58" ht="16">
      <c r="A212" s="14" t="s">
        <v>16974</v>
      </c>
      <c r="B212" s="14" t="s">
        <v>17111</v>
      </c>
      <c r="C212" s="14">
        <v>0</v>
      </c>
      <c r="D212" s="14">
        <v>23</v>
      </c>
      <c r="E212" s="14">
        <v>0</v>
      </c>
      <c r="F212" s="14">
        <v>22</v>
      </c>
      <c r="G212" s="14">
        <v>0</v>
      </c>
      <c r="H212" s="14">
        <v>0</v>
      </c>
      <c r="I212" s="14">
        <v>0</v>
      </c>
      <c r="J212" s="14">
        <v>23</v>
      </c>
      <c r="K212" s="14">
        <v>111</v>
      </c>
      <c r="L212" s="14">
        <v>15</v>
      </c>
      <c r="M212" s="14">
        <v>0</v>
      </c>
      <c r="N212" s="14">
        <v>5</v>
      </c>
      <c r="O212" s="14">
        <v>1</v>
      </c>
      <c r="P212" s="14">
        <v>0</v>
      </c>
      <c r="Q212" s="14">
        <v>2</v>
      </c>
      <c r="R212" s="14">
        <v>0</v>
      </c>
      <c r="S212" s="14">
        <v>16</v>
      </c>
      <c r="T212" s="14">
        <v>0</v>
      </c>
      <c r="U212" s="14">
        <v>0</v>
      </c>
      <c r="V212" s="14">
        <v>16</v>
      </c>
      <c r="W212" s="15">
        <v>160</v>
      </c>
      <c r="X212" s="15">
        <v>0</v>
      </c>
      <c r="Y212" s="14">
        <v>23</v>
      </c>
      <c r="Z212" s="14">
        <v>0</v>
      </c>
      <c r="AA212" s="15">
        <v>0</v>
      </c>
      <c r="AB212" s="15">
        <v>50</v>
      </c>
      <c r="AC212" s="15">
        <v>23</v>
      </c>
      <c r="AD212" s="15">
        <v>18</v>
      </c>
      <c r="AE212" s="15">
        <v>2</v>
      </c>
      <c r="AF212" s="15">
        <v>68</v>
      </c>
      <c r="AG212" s="15">
        <v>183</v>
      </c>
      <c r="AH212" s="15">
        <v>181</v>
      </c>
      <c r="AI212" s="15">
        <v>0</v>
      </c>
      <c r="AJ212" s="15">
        <v>0</v>
      </c>
      <c r="AK212" s="15">
        <v>0</v>
      </c>
      <c r="AL212" s="15">
        <v>0</v>
      </c>
      <c r="AM212" s="14">
        <v>2</v>
      </c>
      <c r="AN212" s="14">
        <v>0</v>
      </c>
      <c r="AO212" s="14">
        <v>0</v>
      </c>
      <c r="AP212" s="14">
        <v>0</v>
      </c>
      <c r="AQ212" s="14">
        <v>0</v>
      </c>
      <c r="AR212" s="14">
        <v>0</v>
      </c>
      <c r="AS212" s="14">
        <v>0</v>
      </c>
      <c r="AT212" s="14">
        <v>111</v>
      </c>
      <c r="AU212" s="14">
        <v>0</v>
      </c>
      <c r="AV212" s="14">
        <v>111</v>
      </c>
      <c r="AW212" s="14">
        <v>0</v>
      </c>
      <c r="AX212" s="14">
        <v>16</v>
      </c>
      <c r="AY212" s="14">
        <v>0</v>
      </c>
      <c r="AZ212" s="14">
        <v>16</v>
      </c>
      <c r="BA212" s="14">
        <v>0</v>
      </c>
      <c r="BB212" s="14">
        <v>0</v>
      </c>
      <c r="BC212" s="14">
        <v>0</v>
      </c>
      <c r="BD212" s="14">
        <v>0</v>
      </c>
      <c r="BE212" s="14">
        <v>0</v>
      </c>
      <c r="BF212" s="14">
        <v>3</v>
      </c>
    </row>
    <row r="213" spans="1:58" ht="16">
      <c r="A213" s="14" t="s">
        <v>16974</v>
      </c>
      <c r="B213" s="14" t="s">
        <v>17386</v>
      </c>
      <c r="C213" s="14">
        <v>0</v>
      </c>
      <c r="D213" s="14">
        <v>0</v>
      </c>
      <c r="E213" s="14">
        <v>0</v>
      </c>
      <c r="F213" s="14">
        <v>0</v>
      </c>
      <c r="G213" s="14">
        <v>0</v>
      </c>
      <c r="H213" s="14">
        <v>0</v>
      </c>
      <c r="I213" s="14">
        <v>0</v>
      </c>
      <c r="J213" s="14">
        <v>0</v>
      </c>
      <c r="K213" s="14">
        <v>0</v>
      </c>
      <c r="L213" s="14">
        <v>0</v>
      </c>
      <c r="M213" s="14">
        <v>0</v>
      </c>
      <c r="N213" s="14">
        <v>0</v>
      </c>
      <c r="O213" s="14">
        <v>0</v>
      </c>
      <c r="P213" s="14">
        <v>0</v>
      </c>
      <c r="Q213" s="14">
        <v>0</v>
      </c>
      <c r="R213" s="14">
        <v>0</v>
      </c>
      <c r="S213" s="14">
        <v>0</v>
      </c>
      <c r="T213" s="14">
        <v>0</v>
      </c>
      <c r="U213" s="14">
        <v>0</v>
      </c>
      <c r="V213" s="14">
        <v>0</v>
      </c>
      <c r="W213" s="15">
        <v>0</v>
      </c>
      <c r="X213" s="15">
        <v>0</v>
      </c>
      <c r="Y213" s="14">
        <v>0</v>
      </c>
      <c r="Z213" s="14">
        <v>0</v>
      </c>
      <c r="AA213" s="15">
        <v>0</v>
      </c>
      <c r="AB213" s="15">
        <v>0</v>
      </c>
      <c r="AC213" s="15">
        <v>0</v>
      </c>
      <c r="AD213" s="15">
        <v>0</v>
      </c>
      <c r="AE213" s="15">
        <v>0</v>
      </c>
      <c r="AF213" s="15">
        <v>0</v>
      </c>
      <c r="AG213" s="15">
        <v>0</v>
      </c>
      <c r="AH213" s="15">
        <v>0</v>
      </c>
      <c r="AI213" s="15">
        <v>0</v>
      </c>
      <c r="AJ213" s="15">
        <v>0</v>
      </c>
      <c r="AK213" s="15">
        <v>0</v>
      </c>
      <c r="AL213" s="15">
        <v>0</v>
      </c>
      <c r="AM213" s="14">
        <v>0</v>
      </c>
      <c r="AN213" s="14">
        <v>0</v>
      </c>
      <c r="AO213" s="14">
        <v>0</v>
      </c>
      <c r="AP213" s="14">
        <v>0</v>
      </c>
      <c r="AQ213" s="14">
        <v>0</v>
      </c>
      <c r="AR213" s="14">
        <v>0</v>
      </c>
      <c r="AS213" s="14">
        <v>0</v>
      </c>
      <c r="AT213" s="14">
        <v>0</v>
      </c>
      <c r="AU213" s="14">
        <v>0</v>
      </c>
      <c r="AV213" s="14">
        <v>0</v>
      </c>
      <c r="AW213" s="14">
        <v>0</v>
      </c>
      <c r="AX213" s="14">
        <v>0</v>
      </c>
      <c r="AY213" s="14">
        <v>0</v>
      </c>
      <c r="AZ213" s="14">
        <v>0</v>
      </c>
      <c r="BA213" s="14">
        <v>0</v>
      </c>
      <c r="BB213" s="14">
        <v>0</v>
      </c>
      <c r="BC213" s="14">
        <v>0</v>
      </c>
      <c r="BD213" s="14">
        <v>0</v>
      </c>
      <c r="BE213" s="14">
        <v>0</v>
      </c>
      <c r="BF213" s="16">
        <v>80000</v>
      </c>
    </row>
    <row r="214" spans="1:58" ht="16">
      <c r="A214" s="14" t="s">
        <v>16974</v>
      </c>
      <c r="B214" s="14" t="s">
        <v>17309</v>
      </c>
      <c r="C214" s="14">
        <v>0</v>
      </c>
      <c r="D214" s="14">
        <v>0</v>
      </c>
      <c r="E214" s="14">
        <v>0</v>
      </c>
      <c r="F214" s="14">
        <v>0</v>
      </c>
      <c r="G214" s="14">
        <v>0</v>
      </c>
      <c r="H214" s="14">
        <v>0</v>
      </c>
      <c r="I214" s="14">
        <v>0</v>
      </c>
      <c r="J214" s="14">
        <v>0</v>
      </c>
      <c r="K214" s="14">
        <v>0</v>
      </c>
      <c r="L214" s="14">
        <v>0</v>
      </c>
      <c r="M214" s="14">
        <v>0</v>
      </c>
      <c r="N214" s="14">
        <v>0</v>
      </c>
      <c r="O214" s="14">
        <v>0</v>
      </c>
      <c r="P214" s="14">
        <v>0</v>
      </c>
      <c r="Q214" s="14">
        <v>0</v>
      </c>
      <c r="R214" s="14">
        <v>0</v>
      </c>
      <c r="S214" s="14">
        <v>0</v>
      </c>
      <c r="T214" s="14">
        <v>0</v>
      </c>
      <c r="U214" s="14">
        <v>0</v>
      </c>
      <c r="V214" s="14">
        <v>0</v>
      </c>
      <c r="W214" s="15">
        <v>0</v>
      </c>
      <c r="X214" s="15">
        <v>0</v>
      </c>
      <c r="Y214" s="14">
        <v>0</v>
      </c>
      <c r="Z214" s="14">
        <v>0</v>
      </c>
      <c r="AA214" s="15">
        <v>0</v>
      </c>
      <c r="AB214" s="15">
        <v>0</v>
      </c>
      <c r="AC214" s="15">
        <v>0</v>
      </c>
      <c r="AD214" s="15">
        <v>0</v>
      </c>
      <c r="AE214" s="15">
        <v>0</v>
      </c>
      <c r="AF214" s="15">
        <v>0</v>
      </c>
      <c r="AG214" s="15">
        <v>0</v>
      </c>
      <c r="AH214" s="15">
        <v>0</v>
      </c>
      <c r="AI214" s="15">
        <v>0</v>
      </c>
      <c r="AJ214" s="15">
        <v>0</v>
      </c>
      <c r="AK214" s="15">
        <v>0</v>
      </c>
      <c r="AL214" s="15">
        <v>0</v>
      </c>
      <c r="AM214" s="14">
        <v>0</v>
      </c>
      <c r="AN214" s="14">
        <v>0</v>
      </c>
      <c r="AO214" s="14">
        <v>0</v>
      </c>
      <c r="AP214" s="14">
        <v>0</v>
      </c>
      <c r="AQ214" s="14">
        <v>0</v>
      </c>
      <c r="AR214" s="14">
        <v>0</v>
      </c>
      <c r="AS214" s="14">
        <v>0</v>
      </c>
      <c r="AT214" s="14">
        <v>0</v>
      </c>
      <c r="AU214" s="14">
        <v>0</v>
      </c>
      <c r="AV214" s="14">
        <v>0</v>
      </c>
      <c r="AW214" s="14">
        <v>0</v>
      </c>
      <c r="AX214" s="14">
        <v>0</v>
      </c>
      <c r="AY214" s="14">
        <v>0</v>
      </c>
      <c r="AZ214" s="14">
        <v>0</v>
      </c>
      <c r="BA214" s="14">
        <v>0</v>
      </c>
      <c r="BB214" s="14">
        <v>0</v>
      </c>
      <c r="BC214" s="14">
        <v>0</v>
      </c>
      <c r="BD214" s="14">
        <v>0</v>
      </c>
      <c r="BE214" s="14">
        <v>0</v>
      </c>
      <c r="BF214" s="14">
        <v>0</v>
      </c>
    </row>
    <row r="215" spans="1:58" ht="16">
      <c r="A215" s="14" t="s">
        <v>16974</v>
      </c>
      <c r="B215" s="14" t="s">
        <v>17115</v>
      </c>
      <c r="C215" s="14">
        <v>0</v>
      </c>
      <c r="D215" s="14">
        <v>0</v>
      </c>
      <c r="E215" s="14">
        <v>0</v>
      </c>
      <c r="F215" s="14">
        <v>0</v>
      </c>
      <c r="G215" s="14">
        <v>0</v>
      </c>
      <c r="H215" s="14">
        <v>0</v>
      </c>
      <c r="I215" s="14">
        <v>0</v>
      </c>
      <c r="J215" s="14">
        <v>0</v>
      </c>
      <c r="K215" s="14">
        <v>0</v>
      </c>
      <c r="L215" s="14">
        <v>0</v>
      </c>
      <c r="M215" s="14">
        <v>0</v>
      </c>
      <c r="N215" s="14">
        <v>0</v>
      </c>
      <c r="O215" s="14">
        <v>0</v>
      </c>
      <c r="P215" s="14">
        <v>0</v>
      </c>
      <c r="Q215" s="14">
        <v>0</v>
      </c>
      <c r="R215" s="14">
        <v>0</v>
      </c>
      <c r="S215" s="14">
        <v>0</v>
      </c>
      <c r="T215" s="14">
        <v>0</v>
      </c>
      <c r="U215" s="14">
        <v>0</v>
      </c>
      <c r="V215" s="14">
        <v>0</v>
      </c>
      <c r="W215" s="15">
        <v>0</v>
      </c>
      <c r="X215" s="15">
        <v>0</v>
      </c>
      <c r="Y215" s="14">
        <v>0</v>
      </c>
      <c r="Z215" s="14">
        <v>0</v>
      </c>
      <c r="AA215" s="15">
        <v>0</v>
      </c>
      <c r="AB215" s="15">
        <v>0</v>
      </c>
      <c r="AC215" s="15">
        <v>0</v>
      </c>
      <c r="AD215" s="15">
        <v>0</v>
      </c>
      <c r="AE215" s="15">
        <v>0</v>
      </c>
      <c r="AF215" s="15">
        <v>0</v>
      </c>
      <c r="AG215" s="15">
        <v>0</v>
      </c>
      <c r="AH215" s="15">
        <v>0</v>
      </c>
      <c r="AI215" s="15">
        <v>0</v>
      </c>
      <c r="AJ215" s="15">
        <v>0</v>
      </c>
      <c r="AK215" s="15">
        <v>0</v>
      </c>
      <c r="AL215" s="15">
        <v>0</v>
      </c>
      <c r="AM215" s="14">
        <v>0</v>
      </c>
      <c r="AN215" s="14">
        <v>0</v>
      </c>
      <c r="AO215" s="14">
        <v>0</v>
      </c>
      <c r="AP215" s="14">
        <v>0</v>
      </c>
      <c r="AQ215" s="14">
        <v>0</v>
      </c>
      <c r="AR215" s="14">
        <v>0</v>
      </c>
      <c r="AS215" s="14">
        <v>0</v>
      </c>
      <c r="AT215" s="14">
        <v>0</v>
      </c>
      <c r="AU215" s="14">
        <v>0</v>
      </c>
      <c r="AV215" s="14">
        <v>0</v>
      </c>
      <c r="AW215" s="14">
        <v>0</v>
      </c>
      <c r="AX215" s="14">
        <v>0</v>
      </c>
      <c r="AY215" s="14">
        <v>0</v>
      </c>
      <c r="AZ215" s="14">
        <v>0</v>
      </c>
      <c r="BA215" s="14">
        <v>0</v>
      </c>
      <c r="BB215" s="14">
        <v>0</v>
      </c>
      <c r="BC215" s="14">
        <v>0</v>
      </c>
      <c r="BD215" s="14">
        <v>0</v>
      </c>
      <c r="BE215" s="14">
        <v>0</v>
      </c>
      <c r="BF215" s="14">
        <v>0</v>
      </c>
    </row>
    <row r="216" spans="1:58" ht="16">
      <c r="A216" s="14" t="s">
        <v>16974</v>
      </c>
      <c r="B216" s="14" t="s">
        <v>17117</v>
      </c>
      <c r="C216" s="14">
        <v>0</v>
      </c>
      <c r="D216" s="14">
        <v>0</v>
      </c>
      <c r="E216" s="14">
        <v>0</v>
      </c>
      <c r="F216" s="14">
        <v>0</v>
      </c>
      <c r="G216" s="14">
        <v>0</v>
      </c>
      <c r="H216" s="14">
        <v>0</v>
      </c>
      <c r="I216" s="14">
        <v>0</v>
      </c>
      <c r="J216" s="14">
        <v>0</v>
      </c>
      <c r="K216" s="14">
        <v>0</v>
      </c>
      <c r="L216" s="14">
        <v>0</v>
      </c>
      <c r="M216" s="14">
        <v>0</v>
      </c>
      <c r="N216" s="14">
        <v>0</v>
      </c>
      <c r="O216" s="14">
        <v>0</v>
      </c>
      <c r="P216" s="14">
        <v>0</v>
      </c>
      <c r="Q216" s="14">
        <v>0</v>
      </c>
      <c r="R216" s="14">
        <v>0</v>
      </c>
      <c r="S216" s="14">
        <v>0</v>
      </c>
      <c r="T216" s="14">
        <v>0</v>
      </c>
      <c r="U216" s="14">
        <v>0</v>
      </c>
      <c r="V216" s="14">
        <v>0</v>
      </c>
      <c r="W216" s="15">
        <v>0</v>
      </c>
      <c r="X216" s="15">
        <v>0</v>
      </c>
      <c r="Y216" s="14">
        <v>0</v>
      </c>
      <c r="Z216" s="14">
        <v>0</v>
      </c>
      <c r="AA216" s="15">
        <v>0</v>
      </c>
      <c r="AB216" s="15">
        <v>0</v>
      </c>
      <c r="AC216" s="15">
        <v>0</v>
      </c>
      <c r="AD216" s="15">
        <v>0</v>
      </c>
      <c r="AE216" s="15">
        <v>0</v>
      </c>
      <c r="AF216" s="15">
        <v>0</v>
      </c>
      <c r="AG216" s="15">
        <v>0</v>
      </c>
      <c r="AH216" s="15">
        <v>0</v>
      </c>
      <c r="AI216" s="15">
        <v>0</v>
      </c>
      <c r="AJ216" s="15">
        <v>0</v>
      </c>
      <c r="AK216" s="15">
        <v>0</v>
      </c>
      <c r="AL216" s="15">
        <v>0</v>
      </c>
      <c r="AM216" s="14">
        <v>0</v>
      </c>
      <c r="AN216" s="14">
        <v>0</v>
      </c>
      <c r="AO216" s="14">
        <v>0</v>
      </c>
      <c r="AP216" s="14">
        <v>0</v>
      </c>
      <c r="AQ216" s="14">
        <v>0</v>
      </c>
      <c r="AR216" s="14">
        <v>0</v>
      </c>
      <c r="AS216" s="14">
        <v>0</v>
      </c>
      <c r="AT216" s="14">
        <v>0</v>
      </c>
      <c r="AU216" s="14">
        <v>0</v>
      </c>
      <c r="AV216" s="14">
        <v>0</v>
      </c>
      <c r="AW216" s="14">
        <v>0</v>
      </c>
      <c r="AX216" s="14">
        <v>0</v>
      </c>
      <c r="AY216" s="14">
        <v>0</v>
      </c>
      <c r="AZ216" s="14">
        <v>0</v>
      </c>
      <c r="BA216" s="14">
        <v>0</v>
      </c>
      <c r="BB216" s="14">
        <v>0</v>
      </c>
      <c r="BC216" s="14">
        <v>0</v>
      </c>
      <c r="BD216" s="14">
        <v>0</v>
      </c>
      <c r="BE216" s="14">
        <v>0</v>
      </c>
      <c r="BF216" s="14">
        <v>0</v>
      </c>
    </row>
    <row r="217" spans="1:58" ht="16">
      <c r="A217" s="14" t="s">
        <v>16974</v>
      </c>
      <c r="B217" s="14" t="s">
        <v>17118</v>
      </c>
      <c r="C217" s="14">
        <v>0</v>
      </c>
      <c r="D217" s="14">
        <v>1</v>
      </c>
      <c r="E217" s="14">
        <v>0</v>
      </c>
      <c r="F217" s="14">
        <v>1</v>
      </c>
      <c r="G217" s="14">
        <v>0</v>
      </c>
      <c r="H217" s="14">
        <v>0</v>
      </c>
      <c r="I217" s="14">
        <v>0</v>
      </c>
      <c r="J217" s="14">
        <v>1</v>
      </c>
      <c r="K217" s="14">
        <v>4</v>
      </c>
      <c r="L217" s="14">
        <v>1</v>
      </c>
      <c r="M217" s="14">
        <v>0</v>
      </c>
      <c r="N217" s="14">
        <v>0</v>
      </c>
      <c r="O217" s="14">
        <v>0</v>
      </c>
      <c r="P217" s="14">
        <v>0</v>
      </c>
      <c r="Q217" s="14">
        <v>0</v>
      </c>
      <c r="R217" s="14">
        <v>0</v>
      </c>
      <c r="S217" s="14">
        <v>0.5</v>
      </c>
      <c r="T217" s="14">
        <v>0</v>
      </c>
      <c r="U217" s="14">
        <v>0</v>
      </c>
      <c r="V217" s="14">
        <v>0.5</v>
      </c>
      <c r="W217" s="15">
        <v>5</v>
      </c>
      <c r="X217" s="15">
        <v>0</v>
      </c>
      <c r="Y217" s="14">
        <v>1</v>
      </c>
      <c r="Z217" s="14">
        <v>0</v>
      </c>
      <c r="AA217" s="15">
        <v>0</v>
      </c>
      <c r="AB217" s="15">
        <v>0</v>
      </c>
      <c r="AC217" s="15">
        <v>0</v>
      </c>
      <c r="AD217" s="15">
        <v>0</v>
      </c>
      <c r="AE217" s="15">
        <v>0</v>
      </c>
      <c r="AF217" s="15">
        <v>0</v>
      </c>
      <c r="AG217" s="15">
        <v>5</v>
      </c>
      <c r="AH217" s="15">
        <v>5</v>
      </c>
      <c r="AI217" s="15">
        <v>0</v>
      </c>
      <c r="AJ217" s="15">
        <v>0</v>
      </c>
      <c r="AK217" s="15">
        <v>0</v>
      </c>
      <c r="AL217" s="15">
        <v>0</v>
      </c>
      <c r="AM217" s="14">
        <v>0</v>
      </c>
      <c r="AN217" s="14">
        <v>0</v>
      </c>
      <c r="AO217" s="14">
        <v>0</v>
      </c>
      <c r="AP217" s="14">
        <v>0</v>
      </c>
      <c r="AQ217" s="14">
        <v>0</v>
      </c>
      <c r="AR217" s="14">
        <v>0</v>
      </c>
      <c r="AS217" s="14">
        <v>0</v>
      </c>
      <c r="AT217" s="14">
        <v>4</v>
      </c>
      <c r="AU217" s="14">
        <v>0</v>
      </c>
      <c r="AV217" s="14">
        <v>4</v>
      </c>
      <c r="AW217" s="14">
        <v>0</v>
      </c>
      <c r="AX217" s="14">
        <v>0.5</v>
      </c>
      <c r="AY217" s="14">
        <v>0</v>
      </c>
      <c r="AZ217" s="14">
        <v>0.5</v>
      </c>
      <c r="BA217" s="14">
        <v>0</v>
      </c>
      <c r="BB217" s="14">
        <v>0</v>
      </c>
      <c r="BC217" s="14">
        <v>0</v>
      </c>
      <c r="BD217" s="14">
        <v>0</v>
      </c>
      <c r="BE217" s="14">
        <v>0</v>
      </c>
      <c r="BF217" s="14">
        <v>0</v>
      </c>
    </row>
    <row r="218" spans="1:58" ht="16">
      <c r="A218" s="14" t="s">
        <v>16974</v>
      </c>
      <c r="B218" s="14" t="s">
        <v>17119</v>
      </c>
      <c r="C218" s="14">
        <v>0</v>
      </c>
      <c r="D218" s="14">
        <v>1</v>
      </c>
      <c r="E218" s="14">
        <v>0</v>
      </c>
      <c r="F218" s="14">
        <v>1</v>
      </c>
      <c r="G218" s="14">
        <v>0</v>
      </c>
      <c r="H218" s="14">
        <v>0</v>
      </c>
      <c r="I218" s="14">
        <v>0</v>
      </c>
      <c r="J218" s="14">
        <v>1</v>
      </c>
      <c r="K218" s="14">
        <v>6</v>
      </c>
      <c r="L218" s="14">
        <v>1</v>
      </c>
      <c r="M218" s="14">
        <v>0</v>
      </c>
      <c r="N218" s="14">
        <v>0</v>
      </c>
      <c r="O218" s="14">
        <v>0</v>
      </c>
      <c r="P218" s="14">
        <v>0</v>
      </c>
      <c r="Q218" s="14">
        <v>0</v>
      </c>
      <c r="R218" s="14">
        <v>0</v>
      </c>
      <c r="S218" s="14">
        <v>0.25</v>
      </c>
      <c r="T218" s="14">
        <v>0</v>
      </c>
      <c r="U218" s="14">
        <v>0</v>
      </c>
      <c r="V218" s="14">
        <v>0.3</v>
      </c>
      <c r="W218" s="15">
        <v>2.5</v>
      </c>
      <c r="X218" s="15">
        <v>0</v>
      </c>
      <c r="Y218" s="14">
        <v>1</v>
      </c>
      <c r="Z218" s="14">
        <v>0</v>
      </c>
      <c r="AA218" s="15">
        <v>0</v>
      </c>
      <c r="AB218" s="15">
        <v>0</v>
      </c>
      <c r="AC218" s="15">
        <v>1</v>
      </c>
      <c r="AD218" s="15">
        <v>1</v>
      </c>
      <c r="AE218" s="15">
        <v>0</v>
      </c>
      <c r="AF218" s="15">
        <v>1</v>
      </c>
      <c r="AG218" s="15">
        <v>3.5</v>
      </c>
      <c r="AH218" s="15">
        <v>3.5</v>
      </c>
      <c r="AI218" s="15">
        <v>0</v>
      </c>
      <c r="AJ218" s="15">
        <v>0</v>
      </c>
      <c r="AK218" s="15">
        <v>0</v>
      </c>
      <c r="AL218" s="15">
        <v>0</v>
      </c>
      <c r="AM218" s="14">
        <v>0</v>
      </c>
      <c r="AN218" s="14">
        <v>0</v>
      </c>
      <c r="AO218" s="14">
        <v>0</v>
      </c>
      <c r="AP218" s="14">
        <v>0</v>
      </c>
      <c r="AQ218" s="14">
        <v>0</v>
      </c>
      <c r="AR218" s="14">
        <v>0</v>
      </c>
      <c r="AS218" s="14">
        <v>0</v>
      </c>
      <c r="AT218" s="14">
        <v>6</v>
      </c>
      <c r="AU218" s="14">
        <v>0</v>
      </c>
      <c r="AV218" s="14">
        <v>6</v>
      </c>
      <c r="AW218" s="14">
        <v>0</v>
      </c>
      <c r="AX218" s="14">
        <v>0.25</v>
      </c>
      <c r="AY218" s="14">
        <v>0</v>
      </c>
      <c r="AZ218" s="14">
        <v>0.25</v>
      </c>
      <c r="BA218" s="14">
        <v>0</v>
      </c>
      <c r="BB218" s="14">
        <v>0</v>
      </c>
      <c r="BC218" s="14">
        <v>0</v>
      </c>
      <c r="BD218" s="14">
        <v>0</v>
      </c>
      <c r="BE218" s="14">
        <v>0</v>
      </c>
      <c r="BF218" s="14">
        <v>1</v>
      </c>
    </row>
    <row r="219" spans="1:58" ht="16">
      <c r="A219" s="14" t="s">
        <v>16974</v>
      </c>
      <c r="B219" s="14" t="s">
        <v>17096</v>
      </c>
      <c r="C219" s="14">
        <v>5</v>
      </c>
      <c r="D219" s="14">
        <v>5</v>
      </c>
      <c r="E219" s="14">
        <v>5</v>
      </c>
      <c r="F219" s="14">
        <v>5</v>
      </c>
      <c r="G219" s="14">
        <v>1</v>
      </c>
      <c r="H219" s="14">
        <v>1</v>
      </c>
      <c r="I219" s="14">
        <v>1</v>
      </c>
      <c r="J219" s="14">
        <v>4</v>
      </c>
      <c r="K219" s="14">
        <v>53</v>
      </c>
      <c r="L219" s="14">
        <v>1</v>
      </c>
      <c r="M219" s="14">
        <v>1</v>
      </c>
      <c r="N219" s="14">
        <v>0</v>
      </c>
      <c r="O219" s="14">
        <v>0</v>
      </c>
      <c r="P219" s="14">
        <v>1</v>
      </c>
      <c r="Q219" s="14">
        <v>1</v>
      </c>
      <c r="R219" s="14">
        <v>0</v>
      </c>
      <c r="S219" s="14">
        <v>0.5</v>
      </c>
      <c r="T219" s="14">
        <v>0</v>
      </c>
      <c r="U219" s="14">
        <v>0</v>
      </c>
      <c r="V219" s="14">
        <v>0.5</v>
      </c>
      <c r="W219" s="15">
        <v>0</v>
      </c>
      <c r="X219" s="15">
        <v>0</v>
      </c>
      <c r="Y219" s="14">
        <v>0</v>
      </c>
      <c r="Z219" s="14">
        <v>0</v>
      </c>
      <c r="AA219" s="15">
        <v>-5</v>
      </c>
      <c r="AB219" s="15">
        <v>0</v>
      </c>
      <c r="AC219" s="15">
        <v>0</v>
      </c>
      <c r="AD219" s="15">
        <v>0</v>
      </c>
      <c r="AE219" s="15">
        <v>0</v>
      </c>
      <c r="AF219" s="15">
        <v>0</v>
      </c>
      <c r="AG219" s="15">
        <v>0</v>
      </c>
      <c r="AH219" s="15">
        <v>0</v>
      </c>
      <c r="AI219" s="15">
        <v>0</v>
      </c>
      <c r="AJ219" s="15">
        <v>0</v>
      </c>
      <c r="AK219" s="15">
        <v>0</v>
      </c>
      <c r="AL219" s="15">
        <v>0</v>
      </c>
      <c r="AM219" s="14">
        <v>0</v>
      </c>
      <c r="AN219" s="14">
        <v>0</v>
      </c>
      <c r="AO219" s="14">
        <v>0</v>
      </c>
      <c r="AP219" s="14">
        <v>0</v>
      </c>
      <c r="AQ219" s="14">
        <v>0</v>
      </c>
      <c r="AR219" s="14">
        <v>0</v>
      </c>
      <c r="AS219" s="14">
        <v>0</v>
      </c>
      <c r="AT219" s="14">
        <v>53</v>
      </c>
      <c r="AU219" s="14">
        <v>0</v>
      </c>
      <c r="AV219" s="14">
        <v>0</v>
      </c>
      <c r="AW219" s="14">
        <v>53</v>
      </c>
      <c r="AX219" s="14">
        <v>0.5</v>
      </c>
      <c r="AY219" s="14">
        <v>0</v>
      </c>
      <c r="AZ219" s="14">
        <v>0</v>
      </c>
      <c r="BA219" s="14">
        <v>0.5</v>
      </c>
      <c r="BB219" s="14">
        <v>0</v>
      </c>
      <c r="BC219" s="14">
        <v>0</v>
      </c>
      <c r="BD219" s="14">
        <v>0</v>
      </c>
      <c r="BE219" s="14">
        <v>0</v>
      </c>
      <c r="BF219" s="16">
        <v>5700</v>
      </c>
    </row>
    <row r="220" spans="1:58" ht="16">
      <c r="A220" s="14" t="s">
        <v>16974</v>
      </c>
      <c r="B220" s="14" t="s">
        <v>17120</v>
      </c>
      <c r="C220" s="14">
        <v>0</v>
      </c>
      <c r="D220" s="14">
        <v>7</v>
      </c>
      <c r="E220" s="14">
        <v>0</v>
      </c>
      <c r="F220" s="14">
        <v>5</v>
      </c>
      <c r="G220" s="14">
        <v>2</v>
      </c>
      <c r="H220" s="14">
        <v>0</v>
      </c>
      <c r="I220" s="14">
        <v>0</v>
      </c>
      <c r="J220" s="14">
        <v>2</v>
      </c>
      <c r="K220" s="14">
        <v>45</v>
      </c>
      <c r="L220" s="14">
        <v>0</v>
      </c>
      <c r="M220" s="14">
        <v>0</v>
      </c>
      <c r="N220" s="14">
        <v>0</v>
      </c>
      <c r="O220" s="14">
        <v>5</v>
      </c>
      <c r="P220" s="14">
        <v>0</v>
      </c>
      <c r="Q220" s="14">
        <v>0</v>
      </c>
      <c r="R220" s="14">
        <v>0</v>
      </c>
      <c r="S220" s="14">
        <v>0</v>
      </c>
      <c r="T220" s="14">
        <v>0</v>
      </c>
      <c r="U220" s="14">
        <v>0</v>
      </c>
      <c r="V220" s="14">
        <v>0</v>
      </c>
      <c r="W220" s="15">
        <v>0</v>
      </c>
      <c r="X220" s="15">
        <v>0</v>
      </c>
      <c r="Y220" s="14">
        <v>0</v>
      </c>
      <c r="Z220" s="14">
        <v>0</v>
      </c>
      <c r="AA220" s="15">
        <v>0</v>
      </c>
      <c r="AB220" s="15">
        <v>0</v>
      </c>
      <c r="AC220" s="15">
        <v>0</v>
      </c>
      <c r="AD220" s="15">
        <v>0</v>
      </c>
      <c r="AE220" s="15">
        <v>0</v>
      </c>
      <c r="AF220" s="15">
        <v>0</v>
      </c>
      <c r="AG220" s="15">
        <v>0</v>
      </c>
      <c r="AH220" s="15">
        <v>0</v>
      </c>
      <c r="AI220" s="15">
        <v>0</v>
      </c>
      <c r="AJ220" s="15">
        <v>0</v>
      </c>
      <c r="AK220" s="15">
        <v>0</v>
      </c>
      <c r="AL220" s="15">
        <v>0</v>
      </c>
      <c r="AM220" s="14">
        <v>0</v>
      </c>
      <c r="AN220" s="14">
        <v>0</v>
      </c>
      <c r="AO220" s="14">
        <v>0</v>
      </c>
      <c r="AP220" s="14">
        <v>0</v>
      </c>
      <c r="AQ220" s="14">
        <v>0</v>
      </c>
      <c r="AR220" s="14">
        <v>0</v>
      </c>
      <c r="AS220" s="14">
        <v>0</v>
      </c>
      <c r="AT220" s="14">
        <v>45</v>
      </c>
      <c r="AU220" s="14">
        <v>0</v>
      </c>
      <c r="AV220" s="14">
        <v>45</v>
      </c>
      <c r="AW220" s="14">
        <v>0</v>
      </c>
      <c r="AX220" s="14">
        <v>0</v>
      </c>
      <c r="AY220" s="14">
        <v>0</v>
      </c>
      <c r="AZ220" s="14">
        <v>0</v>
      </c>
      <c r="BA220" s="14">
        <v>0</v>
      </c>
      <c r="BB220" s="14">
        <v>0</v>
      </c>
      <c r="BC220" s="14">
        <v>0</v>
      </c>
      <c r="BD220" s="14">
        <v>0</v>
      </c>
      <c r="BE220" s="14">
        <v>0</v>
      </c>
      <c r="BF220" s="14">
        <v>0</v>
      </c>
    </row>
    <row r="221" spans="1:58" ht="16">
      <c r="A221" s="14" t="s">
        <v>16974</v>
      </c>
      <c r="B221" s="14" t="s">
        <v>17336</v>
      </c>
      <c r="C221" s="14">
        <v>0</v>
      </c>
      <c r="D221" s="14">
        <v>0</v>
      </c>
      <c r="E221" s="14">
        <v>0</v>
      </c>
      <c r="F221" s="14">
        <v>0</v>
      </c>
      <c r="G221" s="14">
        <v>0</v>
      </c>
      <c r="H221" s="14">
        <v>0</v>
      </c>
      <c r="I221" s="14">
        <v>0</v>
      </c>
      <c r="J221" s="14">
        <v>0</v>
      </c>
      <c r="K221" s="14">
        <v>0</v>
      </c>
      <c r="L221" s="14">
        <v>0</v>
      </c>
      <c r="M221" s="14">
        <v>0</v>
      </c>
      <c r="N221" s="14">
        <v>0</v>
      </c>
      <c r="O221" s="14">
        <v>0</v>
      </c>
      <c r="P221" s="14">
        <v>0</v>
      </c>
      <c r="Q221" s="14">
        <v>0</v>
      </c>
      <c r="R221" s="14">
        <v>0</v>
      </c>
      <c r="S221" s="14">
        <v>0</v>
      </c>
      <c r="T221" s="14">
        <v>0</v>
      </c>
      <c r="U221" s="14">
        <v>0</v>
      </c>
      <c r="V221" s="14">
        <v>0</v>
      </c>
      <c r="W221" s="15">
        <v>0</v>
      </c>
      <c r="X221" s="15">
        <v>0</v>
      </c>
      <c r="Y221" s="14">
        <v>0</v>
      </c>
      <c r="Z221" s="14">
        <v>0</v>
      </c>
      <c r="AA221" s="15">
        <v>0</v>
      </c>
      <c r="AB221" s="15">
        <v>0</v>
      </c>
      <c r="AC221" s="15">
        <v>0</v>
      </c>
      <c r="AD221" s="15">
        <v>0</v>
      </c>
      <c r="AE221" s="15">
        <v>0</v>
      </c>
      <c r="AF221" s="15">
        <v>0</v>
      </c>
      <c r="AG221" s="15">
        <v>0</v>
      </c>
      <c r="AH221" s="15">
        <v>0</v>
      </c>
      <c r="AI221" s="15">
        <v>0</v>
      </c>
      <c r="AJ221" s="15">
        <v>0</v>
      </c>
      <c r="AK221" s="15">
        <v>0</v>
      </c>
      <c r="AL221" s="15">
        <v>0</v>
      </c>
      <c r="AM221" s="14">
        <v>0</v>
      </c>
      <c r="AN221" s="14">
        <v>0</v>
      </c>
      <c r="AO221" s="14">
        <v>0</v>
      </c>
      <c r="AP221" s="14">
        <v>0</v>
      </c>
      <c r="AQ221" s="14">
        <v>0</v>
      </c>
      <c r="AR221" s="14">
        <v>0</v>
      </c>
      <c r="AS221" s="14">
        <v>0</v>
      </c>
      <c r="AT221" s="14">
        <v>0</v>
      </c>
      <c r="AU221" s="14">
        <v>0</v>
      </c>
      <c r="AV221" s="14">
        <v>0</v>
      </c>
      <c r="AW221" s="14">
        <v>0</v>
      </c>
      <c r="AX221" s="14">
        <v>0</v>
      </c>
      <c r="AY221" s="14">
        <v>0</v>
      </c>
      <c r="AZ221" s="14">
        <v>0</v>
      </c>
      <c r="BA221" s="14">
        <v>0</v>
      </c>
      <c r="BB221" s="14">
        <v>0</v>
      </c>
      <c r="BC221" s="14">
        <v>0</v>
      </c>
      <c r="BD221" s="14">
        <v>0</v>
      </c>
      <c r="BE221" s="14">
        <v>0</v>
      </c>
      <c r="BF221" s="14">
        <v>0</v>
      </c>
    </row>
    <row r="222" spans="1:58" ht="16">
      <c r="A222" s="14" t="s">
        <v>16974</v>
      </c>
      <c r="B222" s="14" t="s">
        <v>17308</v>
      </c>
      <c r="C222" s="14">
        <v>0</v>
      </c>
      <c r="D222" s="14">
        <v>0</v>
      </c>
      <c r="E222" s="14">
        <v>0</v>
      </c>
      <c r="F222" s="14">
        <v>0</v>
      </c>
      <c r="G222" s="14">
        <v>0</v>
      </c>
      <c r="H222" s="14">
        <v>0</v>
      </c>
      <c r="I222" s="14">
        <v>0</v>
      </c>
      <c r="J222" s="14">
        <v>0</v>
      </c>
      <c r="K222" s="14">
        <v>0</v>
      </c>
      <c r="L222" s="14">
        <v>0</v>
      </c>
      <c r="M222" s="14">
        <v>0</v>
      </c>
      <c r="N222" s="14">
        <v>0</v>
      </c>
      <c r="O222" s="14">
        <v>0</v>
      </c>
      <c r="P222" s="14">
        <v>0</v>
      </c>
      <c r="Q222" s="14">
        <v>0</v>
      </c>
      <c r="R222" s="14">
        <v>0</v>
      </c>
      <c r="S222" s="14">
        <v>0</v>
      </c>
      <c r="T222" s="14">
        <v>0</v>
      </c>
      <c r="U222" s="14">
        <v>0</v>
      </c>
      <c r="V222" s="14">
        <v>0</v>
      </c>
      <c r="W222" s="15">
        <v>0</v>
      </c>
      <c r="X222" s="15">
        <v>0</v>
      </c>
      <c r="Y222" s="14">
        <v>0</v>
      </c>
      <c r="Z222" s="14">
        <v>0</v>
      </c>
      <c r="AA222" s="15">
        <v>0</v>
      </c>
      <c r="AB222" s="15">
        <v>0</v>
      </c>
      <c r="AC222" s="15">
        <v>0</v>
      </c>
      <c r="AD222" s="15">
        <v>0</v>
      </c>
      <c r="AE222" s="15">
        <v>0</v>
      </c>
      <c r="AF222" s="15">
        <v>0</v>
      </c>
      <c r="AG222" s="15">
        <v>0</v>
      </c>
      <c r="AH222" s="15">
        <v>0</v>
      </c>
      <c r="AI222" s="15">
        <v>0</v>
      </c>
      <c r="AJ222" s="15">
        <v>0</v>
      </c>
      <c r="AK222" s="15">
        <v>0</v>
      </c>
      <c r="AL222" s="15">
        <v>0</v>
      </c>
      <c r="AM222" s="14">
        <v>1</v>
      </c>
      <c r="AN222" s="14">
        <v>1</v>
      </c>
      <c r="AO222" s="14">
        <v>1</v>
      </c>
      <c r="AP222" s="14">
        <v>1</v>
      </c>
      <c r="AQ222" s="14">
        <v>1</v>
      </c>
      <c r="AR222" s="14">
        <v>1</v>
      </c>
      <c r="AS222" s="14">
        <v>1</v>
      </c>
      <c r="AT222" s="14">
        <v>0</v>
      </c>
      <c r="AU222" s="14">
        <v>0</v>
      </c>
      <c r="AV222" s="14">
        <v>0</v>
      </c>
      <c r="AW222" s="14">
        <v>0</v>
      </c>
      <c r="AX222" s="14">
        <v>0</v>
      </c>
      <c r="AY222" s="14">
        <v>0</v>
      </c>
      <c r="AZ222" s="14">
        <v>0</v>
      </c>
      <c r="BA222" s="14">
        <v>0</v>
      </c>
      <c r="BB222" s="14">
        <v>0</v>
      </c>
      <c r="BC222" s="14">
        <v>0</v>
      </c>
      <c r="BD222" s="14">
        <v>0</v>
      </c>
      <c r="BE222" s="14">
        <v>0</v>
      </c>
      <c r="BF222" s="14">
        <v>10</v>
      </c>
    </row>
    <row r="223" spans="1:58" ht="16">
      <c r="A223" s="14" t="s">
        <v>16974</v>
      </c>
      <c r="B223" s="14" t="s">
        <v>17121</v>
      </c>
      <c r="C223" s="14">
        <v>0</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4">
        <v>0</v>
      </c>
      <c r="T223" s="14">
        <v>0</v>
      </c>
      <c r="U223" s="14">
        <v>0</v>
      </c>
      <c r="V223" s="14">
        <v>0</v>
      </c>
      <c r="W223" s="15">
        <v>0</v>
      </c>
      <c r="X223" s="15">
        <v>0</v>
      </c>
      <c r="Y223" s="14">
        <v>0</v>
      </c>
      <c r="Z223" s="14">
        <v>0</v>
      </c>
      <c r="AA223" s="15">
        <v>0</v>
      </c>
      <c r="AB223" s="15">
        <v>0</v>
      </c>
      <c r="AC223" s="15">
        <v>0</v>
      </c>
      <c r="AD223" s="15">
        <v>0</v>
      </c>
      <c r="AE223" s="15">
        <v>0</v>
      </c>
      <c r="AF223" s="15">
        <v>0</v>
      </c>
      <c r="AG223" s="15">
        <v>0</v>
      </c>
      <c r="AH223" s="15">
        <v>0</v>
      </c>
      <c r="AI223" s="15">
        <v>0</v>
      </c>
      <c r="AJ223" s="15">
        <v>0</v>
      </c>
      <c r="AK223" s="15">
        <v>0</v>
      </c>
      <c r="AL223" s="15">
        <v>0</v>
      </c>
      <c r="AM223" s="14">
        <v>0</v>
      </c>
      <c r="AN223" s="14">
        <v>0</v>
      </c>
      <c r="AO223" s="14">
        <v>0</v>
      </c>
      <c r="AP223" s="14">
        <v>0</v>
      </c>
      <c r="AQ223" s="14">
        <v>0</v>
      </c>
      <c r="AR223" s="14">
        <v>0</v>
      </c>
      <c r="AS223" s="14">
        <v>0</v>
      </c>
      <c r="AT223" s="14">
        <v>0</v>
      </c>
      <c r="AU223" s="14">
        <v>0</v>
      </c>
      <c r="AV223" s="14">
        <v>0</v>
      </c>
      <c r="AW223" s="14">
        <v>0</v>
      </c>
      <c r="AX223" s="14">
        <v>0</v>
      </c>
      <c r="AY223" s="14">
        <v>0</v>
      </c>
      <c r="AZ223" s="14">
        <v>0</v>
      </c>
      <c r="BA223" s="14">
        <v>0</v>
      </c>
      <c r="BB223" s="14">
        <v>0</v>
      </c>
      <c r="BC223" s="14">
        <v>0</v>
      </c>
      <c r="BD223" s="14">
        <v>0</v>
      </c>
      <c r="BE223" s="14">
        <v>0</v>
      </c>
      <c r="BF223" s="14">
        <v>50</v>
      </c>
    </row>
    <row r="224" spans="1:58" ht="16">
      <c r="A224" s="14" t="s">
        <v>16974</v>
      </c>
      <c r="B224" s="14" t="s">
        <v>17122</v>
      </c>
      <c r="C224" s="14">
        <v>0</v>
      </c>
      <c r="D224" s="14">
        <v>0</v>
      </c>
      <c r="E224" s="14">
        <v>0</v>
      </c>
      <c r="F224" s="14">
        <v>0</v>
      </c>
      <c r="G224" s="14">
        <v>0</v>
      </c>
      <c r="H224" s="14">
        <v>0</v>
      </c>
      <c r="I224" s="14">
        <v>0</v>
      </c>
      <c r="J224" s="14">
        <v>0</v>
      </c>
      <c r="K224" s="14">
        <v>0</v>
      </c>
      <c r="L224" s="14">
        <v>0</v>
      </c>
      <c r="M224" s="14">
        <v>0</v>
      </c>
      <c r="N224" s="14">
        <v>0</v>
      </c>
      <c r="O224" s="14">
        <v>0</v>
      </c>
      <c r="P224" s="14">
        <v>0</v>
      </c>
      <c r="Q224" s="14">
        <v>0</v>
      </c>
      <c r="R224" s="14">
        <v>0</v>
      </c>
      <c r="S224" s="14">
        <v>0</v>
      </c>
      <c r="T224" s="14">
        <v>0</v>
      </c>
      <c r="U224" s="14">
        <v>0</v>
      </c>
      <c r="V224" s="14">
        <v>0</v>
      </c>
      <c r="W224" s="15">
        <v>0</v>
      </c>
      <c r="X224" s="15">
        <v>0</v>
      </c>
      <c r="Y224" s="14">
        <v>0</v>
      </c>
      <c r="Z224" s="14">
        <v>0</v>
      </c>
      <c r="AA224" s="15">
        <v>0</v>
      </c>
      <c r="AB224" s="15">
        <v>0</v>
      </c>
      <c r="AC224" s="15">
        <v>0</v>
      </c>
      <c r="AD224" s="15">
        <v>0</v>
      </c>
      <c r="AE224" s="15">
        <v>0</v>
      </c>
      <c r="AF224" s="15">
        <v>0</v>
      </c>
      <c r="AG224" s="15">
        <v>0</v>
      </c>
      <c r="AH224" s="15">
        <v>0</v>
      </c>
      <c r="AI224" s="15">
        <v>0</v>
      </c>
      <c r="AJ224" s="15">
        <v>0</v>
      </c>
      <c r="AK224" s="15">
        <v>0</v>
      </c>
      <c r="AL224" s="15">
        <v>0</v>
      </c>
      <c r="AM224" s="14">
        <v>0</v>
      </c>
      <c r="AN224" s="14">
        <v>0</v>
      </c>
      <c r="AO224" s="14">
        <v>0</v>
      </c>
      <c r="AP224" s="14">
        <v>0</v>
      </c>
      <c r="AQ224" s="14">
        <v>0</v>
      </c>
      <c r="AR224" s="14">
        <v>0</v>
      </c>
      <c r="AS224" s="14">
        <v>0</v>
      </c>
      <c r="AT224" s="14">
        <v>0</v>
      </c>
      <c r="AU224" s="14">
        <v>0</v>
      </c>
      <c r="AV224" s="14">
        <v>0</v>
      </c>
      <c r="AW224" s="14">
        <v>0</v>
      </c>
      <c r="AX224" s="14">
        <v>0</v>
      </c>
      <c r="AY224" s="14">
        <v>0</v>
      </c>
      <c r="AZ224" s="14">
        <v>0</v>
      </c>
      <c r="BA224" s="14">
        <v>0</v>
      </c>
      <c r="BB224" s="14">
        <v>0</v>
      </c>
      <c r="BC224" s="14">
        <v>0</v>
      </c>
      <c r="BD224" s="14">
        <v>0</v>
      </c>
      <c r="BE224" s="14">
        <v>0</v>
      </c>
      <c r="BF224" s="14">
        <v>0</v>
      </c>
    </row>
    <row r="225" spans="1:58" ht="16">
      <c r="A225" s="14" t="s">
        <v>16974</v>
      </c>
      <c r="B225" s="14" t="s">
        <v>17125</v>
      </c>
      <c r="C225" s="14">
        <v>0</v>
      </c>
      <c r="D225" s="14">
        <v>35</v>
      </c>
      <c r="E225" s="14">
        <v>0</v>
      </c>
      <c r="F225" s="14">
        <v>31</v>
      </c>
      <c r="G225" s="14">
        <v>0</v>
      </c>
      <c r="H225" s="14">
        <v>0</v>
      </c>
      <c r="I225" s="14">
        <v>0</v>
      </c>
      <c r="J225" s="14">
        <v>35</v>
      </c>
      <c r="K225" s="14">
        <v>207</v>
      </c>
      <c r="L225" s="14">
        <v>32</v>
      </c>
      <c r="M225" s="14">
        <v>0</v>
      </c>
      <c r="N225" s="14">
        <v>0</v>
      </c>
      <c r="O225" s="14">
        <v>2</v>
      </c>
      <c r="P225" s="14">
        <v>1</v>
      </c>
      <c r="Q225" s="14">
        <v>1</v>
      </c>
      <c r="R225" s="14">
        <v>0</v>
      </c>
      <c r="S225" s="14">
        <v>110</v>
      </c>
      <c r="T225" s="14">
        <v>0</v>
      </c>
      <c r="U225" s="14">
        <v>0</v>
      </c>
      <c r="V225" s="14">
        <v>110</v>
      </c>
      <c r="W225" s="15">
        <v>1100</v>
      </c>
      <c r="X225" s="15">
        <v>0</v>
      </c>
      <c r="Y225" s="14">
        <v>34</v>
      </c>
      <c r="Z225" s="14">
        <v>1</v>
      </c>
      <c r="AA225" s="15">
        <v>0</v>
      </c>
      <c r="AB225" s="15">
        <v>380</v>
      </c>
      <c r="AC225" s="15">
        <v>11</v>
      </c>
      <c r="AD225" s="15">
        <v>11</v>
      </c>
      <c r="AE225" s="15">
        <v>11</v>
      </c>
      <c r="AF225" s="15">
        <v>391</v>
      </c>
      <c r="AG225" s="15">
        <v>1111</v>
      </c>
      <c r="AH225" s="15">
        <v>1100</v>
      </c>
      <c r="AI225" s="15">
        <v>0</v>
      </c>
      <c r="AJ225" s="15">
        <v>0</v>
      </c>
      <c r="AK225" s="15">
        <v>0</v>
      </c>
      <c r="AL225" s="15">
        <v>0</v>
      </c>
      <c r="AM225" s="14">
        <v>0</v>
      </c>
      <c r="AN225" s="14">
        <v>1</v>
      </c>
      <c r="AO225" s="14">
        <v>0</v>
      </c>
      <c r="AP225" s="14">
        <v>0</v>
      </c>
      <c r="AQ225" s="14">
        <v>0</v>
      </c>
      <c r="AR225" s="14">
        <v>0</v>
      </c>
      <c r="AS225" s="14">
        <v>0</v>
      </c>
      <c r="AT225" s="14">
        <v>207</v>
      </c>
      <c r="AU225" s="14">
        <v>0</v>
      </c>
      <c r="AV225" s="14">
        <v>207</v>
      </c>
      <c r="AW225" s="14">
        <v>0</v>
      </c>
      <c r="AX225" s="14">
        <v>110</v>
      </c>
      <c r="AY225" s="14">
        <v>0</v>
      </c>
      <c r="AZ225" s="14">
        <v>110</v>
      </c>
      <c r="BA225" s="14">
        <v>0</v>
      </c>
      <c r="BB225" s="14">
        <v>0</v>
      </c>
      <c r="BC225" s="14">
        <v>0</v>
      </c>
      <c r="BD225" s="14">
        <v>0</v>
      </c>
      <c r="BE225" s="14">
        <v>0</v>
      </c>
      <c r="BF225" s="14">
        <v>35</v>
      </c>
    </row>
    <row r="226" spans="1:58" ht="16">
      <c r="A226" s="14" t="s">
        <v>16974</v>
      </c>
      <c r="B226" s="14" t="s">
        <v>17126</v>
      </c>
      <c r="C226" s="14">
        <v>0</v>
      </c>
      <c r="D226" s="14">
        <v>6</v>
      </c>
      <c r="E226" s="14">
        <v>0</v>
      </c>
      <c r="F226" s="14">
        <v>4</v>
      </c>
      <c r="G226" s="14">
        <v>6</v>
      </c>
      <c r="H226" s="14">
        <v>0</v>
      </c>
      <c r="I226" s="14">
        <v>0</v>
      </c>
      <c r="J226" s="14">
        <v>6</v>
      </c>
      <c r="K226" s="14">
        <v>66</v>
      </c>
      <c r="L226" s="14">
        <v>6</v>
      </c>
      <c r="M226" s="14">
        <v>0</v>
      </c>
      <c r="N226" s="14">
        <v>0</v>
      </c>
      <c r="O226" s="14">
        <v>0</v>
      </c>
      <c r="P226" s="14">
        <v>0</v>
      </c>
      <c r="Q226" s="14">
        <v>0</v>
      </c>
      <c r="R226" s="14">
        <v>0</v>
      </c>
      <c r="S226" s="14">
        <v>4</v>
      </c>
      <c r="T226" s="14">
        <v>4</v>
      </c>
      <c r="U226" s="14">
        <v>4</v>
      </c>
      <c r="V226" s="14">
        <v>12</v>
      </c>
      <c r="W226" s="15">
        <v>120</v>
      </c>
      <c r="X226" s="15">
        <v>0</v>
      </c>
      <c r="Y226" s="14">
        <v>6</v>
      </c>
      <c r="Z226" s="14">
        <v>0</v>
      </c>
      <c r="AA226" s="15">
        <v>0</v>
      </c>
      <c r="AB226" s="15">
        <v>0</v>
      </c>
      <c r="AC226" s="15">
        <v>0</v>
      </c>
      <c r="AD226" s="15">
        <v>0</v>
      </c>
      <c r="AE226" s="15">
        <v>0</v>
      </c>
      <c r="AF226" s="15">
        <v>240</v>
      </c>
      <c r="AG226" s="15">
        <v>200</v>
      </c>
      <c r="AH226" s="15">
        <v>200</v>
      </c>
      <c r="AI226" s="15">
        <v>0</v>
      </c>
      <c r="AJ226" s="15">
        <v>0</v>
      </c>
      <c r="AK226" s="15">
        <v>0</v>
      </c>
      <c r="AL226" s="15">
        <v>0</v>
      </c>
      <c r="AM226" s="14">
        <v>6</v>
      </c>
      <c r="AN226" s="14">
        <v>0</v>
      </c>
      <c r="AO226" s="14">
        <v>6</v>
      </c>
      <c r="AP226" s="14">
        <v>0</v>
      </c>
      <c r="AQ226" s="14">
        <v>6</v>
      </c>
      <c r="AR226" s="14">
        <v>0</v>
      </c>
      <c r="AS226" s="14">
        <v>6</v>
      </c>
      <c r="AT226" s="14">
        <v>66</v>
      </c>
      <c r="AU226" s="14">
        <v>0</v>
      </c>
      <c r="AV226" s="14">
        <v>66</v>
      </c>
      <c r="AW226" s="14">
        <v>0</v>
      </c>
      <c r="AX226" s="14">
        <v>0</v>
      </c>
      <c r="AY226" s="14">
        <v>0</v>
      </c>
      <c r="AZ226" s="14">
        <v>0</v>
      </c>
      <c r="BA226" s="14">
        <v>0</v>
      </c>
      <c r="BB226" s="14">
        <v>0</v>
      </c>
      <c r="BC226" s="14">
        <v>0</v>
      </c>
      <c r="BD226" s="14">
        <v>0</v>
      </c>
      <c r="BE226" s="14">
        <v>0</v>
      </c>
      <c r="BF226" s="14">
        <v>6</v>
      </c>
    </row>
    <row r="227" spans="1:58" ht="16">
      <c r="A227" s="14" t="s">
        <v>16974</v>
      </c>
      <c r="B227" s="14" t="s">
        <v>18837</v>
      </c>
      <c r="C227" s="14">
        <v>0</v>
      </c>
      <c r="D227" s="14">
        <v>0</v>
      </c>
      <c r="E227" s="14">
        <v>0</v>
      </c>
      <c r="F227" s="14">
        <v>0</v>
      </c>
      <c r="G227" s="14">
        <v>0</v>
      </c>
      <c r="H227" s="14">
        <v>0</v>
      </c>
      <c r="I227" s="14">
        <v>0</v>
      </c>
      <c r="J227" s="14">
        <v>0</v>
      </c>
      <c r="K227" s="14">
        <v>0</v>
      </c>
      <c r="L227" s="14">
        <v>0</v>
      </c>
      <c r="M227" s="14">
        <v>0</v>
      </c>
      <c r="N227" s="14">
        <v>0</v>
      </c>
      <c r="O227" s="14">
        <v>0</v>
      </c>
      <c r="P227" s="14">
        <v>0</v>
      </c>
      <c r="Q227" s="14">
        <v>0</v>
      </c>
      <c r="R227" s="14">
        <v>0</v>
      </c>
      <c r="S227" s="14">
        <v>0</v>
      </c>
      <c r="T227" s="14">
        <v>0</v>
      </c>
      <c r="U227" s="14">
        <v>0</v>
      </c>
      <c r="V227" s="14">
        <v>0</v>
      </c>
      <c r="W227" s="15">
        <v>0</v>
      </c>
      <c r="X227" s="15">
        <v>0</v>
      </c>
      <c r="Y227" s="14">
        <v>0</v>
      </c>
      <c r="Z227" s="14">
        <v>0</v>
      </c>
      <c r="AA227" s="15">
        <v>0</v>
      </c>
      <c r="AB227" s="15">
        <v>0</v>
      </c>
      <c r="AC227" s="15">
        <v>0</v>
      </c>
      <c r="AD227" s="15">
        <v>0</v>
      </c>
      <c r="AE227" s="15">
        <v>0</v>
      </c>
      <c r="AF227" s="15">
        <v>0</v>
      </c>
      <c r="AG227" s="15">
        <v>0</v>
      </c>
      <c r="AH227" s="15">
        <v>0</v>
      </c>
      <c r="AI227" s="15">
        <v>0</v>
      </c>
      <c r="AJ227" s="15">
        <v>0</v>
      </c>
      <c r="AK227" s="15">
        <v>0</v>
      </c>
      <c r="AL227" s="15">
        <v>0</v>
      </c>
      <c r="AM227" s="14">
        <v>0</v>
      </c>
      <c r="AN227" s="14">
        <v>0</v>
      </c>
      <c r="AO227" s="14">
        <v>0</v>
      </c>
      <c r="AP227" s="14">
        <v>0</v>
      </c>
      <c r="AQ227" s="14">
        <v>0</v>
      </c>
      <c r="AR227" s="14">
        <v>0</v>
      </c>
      <c r="AS227" s="14">
        <v>0</v>
      </c>
      <c r="AT227" s="14">
        <v>0</v>
      </c>
      <c r="AU227" s="14">
        <v>0</v>
      </c>
      <c r="AV227" s="14">
        <v>0</v>
      </c>
      <c r="AW227" s="14">
        <v>0</v>
      </c>
      <c r="AX227" s="14">
        <v>0</v>
      </c>
      <c r="AY227" s="14">
        <v>0</v>
      </c>
      <c r="AZ227" s="14">
        <v>0</v>
      </c>
      <c r="BA227" s="14">
        <v>0</v>
      </c>
      <c r="BB227" s="14">
        <v>0</v>
      </c>
      <c r="BC227" s="14">
        <v>0</v>
      </c>
      <c r="BD227" s="14">
        <v>0</v>
      </c>
      <c r="BE227" s="14">
        <v>0</v>
      </c>
      <c r="BF227" s="14">
        <v>0</v>
      </c>
    </row>
    <row r="228" spans="1:58" ht="16">
      <c r="A228" s="14" t="s">
        <v>16974</v>
      </c>
      <c r="B228" s="14" t="s">
        <v>17127</v>
      </c>
      <c r="C228" s="14">
        <v>0</v>
      </c>
      <c r="D228" s="14">
        <v>92</v>
      </c>
      <c r="E228" s="14">
        <v>0</v>
      </c>
      <c r="F228" s="14">
        <v>76</v>
      </c>
      <c r="G228" s="14">
        <v>0</v>
      </c>
      <c r="H228" s="14">
        <v>0</v>
      </c>
      <c r="I228" s="14">
        <v>0</v>
      </c>
      <c r="J228" s="14">
        <v>92</v>
      </c>
      <c r="K228" s="14">
        <v>698</v>
      </c>
      <c r="L228" s="14">
        <v>92</v>
      </c>
      <c r="M228" s="14">
        <v>0</v>
      </c>
      <c r="N228" s="14">
        <v>0</v>
      </c>
      <c r="O228" s="14">
        <v>0</v>
      </c>
      <c r="P228" s="14">
        <v>0</v>
      </c>
      <c r="Q228" s="14">
        <v>0</v>
      </c>
      <c r="R228" s="14">
        <v>0</v>
      </c>
      <c r="S228" s="14">
        <v>40.75</v>
      </c>
      <c r="T228" s="14">
        <v>45</v>
      </c>
      <c r="U228" s="14">
        <v>0</v>
      </c>
      <c r="V228" s="14">
        <v>85.8</v>
      </c>
      <c r="W228" s="15">
        <v>1297.5</v>
      </c>
      <c r="X228" s="15">
        <v>0</v>
      </c>
      <c r="Y228" s="14">
        <v>66</v>
      </c>
      <c r="Z228" s="14">
        <v>0</v>
      </c>
      <c r="AA228" s="15">
        <v>0</v>
      </c>
      <c r="AB228" s="15">
        <v>815</v>
      </c>
      <c r="AC228" s="15">
        <v>834.05</v>
      </c>
      <c r="AD228" s="15">
        <v>100.45</v>
      </c>
      <c r="AE228" s="15">
        <v>760.95</v>
      </c>
      <c r="AF228" s="15">
        <v>915.45</v>
      </c>
      <c r="AG228" s="15">
        <v>2131.56</v>
      </c>
      <c r="AH228" s="15">
        <v>1370.61</v>
      </c>
      <c r="AI228" s="15">
        <v>0</v>
      </c>
      <c r="AJ228" s="15">
        <v>0</v>
      </c>
      <c r="AK228" s="15">
        <v>0</v>
      </c>
      <c r="AL228" s="15">
        <v>0</v>
      </c>
      <c r="AM228" s="14">
        <v>3</v>
      </c>
      <c r="AN228" s="14">
        <v>2</v>
      </c>
      <c r="AO228" s="14">
        <v>0</v>
      </c>
      <c r="AP228" s="14">
        <v>0</v>
      </c>
      <c r="AQ228" s="14">
        <v>1</v>
      </c>
      <c r="AR228" s="14">
        <v>0</v>
      </c>
      <c r="AS228" s="14">
        <v>0</v>
      </c>
      <c r="AT228" s="14">
        <v>698</v>
      </c>
      <c r="AU228" s="14">
        <v>0</v>
      </c>
      <c r="AV228" s="14">
        <v>698</v>
      </c>
      <c r="AW228" s="14">
        <v>0</v>
      </c>
      <c r="AX228" s="14">
        <v>40.750999999999998</v>
      </c>
      <c r="AY228" s="14">
        <v>0</v>
      </c>
      <c r="AZ228" s="14">
        <v>40.750999999999998</v>
      </c>
      <c r="BA228" s="14">
        <v>0</v>
      </c>
      <c r="BB228" s="14">
        <v>45</v>
      </c>
      <c r="BC228" s="14">
        <v>0</v>
      </c>
      <c r="BD228" s="14">
        <v>45</v>
      </c>
      <c r="BE228" s="14">
        <v>0</v>
      </c>
      <c r="BF228" s="14">
        <v>50</v>
      </c>
    </row>
    <row r="229" spans="1:58" ht="16">
      <c r="A229" s="14" t="s">
        <v>16974</v>
      </c>
      <c r="B229" s="14" t="s">
        <v>17128</v>
      </c>
      <c r="C229" s="14">
        <v>0</v>
      </c>
      <c r="D229" s="14">
        <v>84</v>
      </c>
      <c r="E229" s="14">
        <v>84</v>
      </c>
      <c r="F229" s="14">
        <v>82</v>
      </c>
      <c r="G229" s="14">
        <v>0</v>
      </c>
      <c r="H229" s="14">
        <v>2</v>
      </c>
      <c r="I229" s="14">
        <v>0</v>
      </c>
      <c r="J229" s="14">
        <v>83</v>
      </c>
      <c r="K229" s="14">
        <v>415</v>
      </c>
      <c r="L229" s="14">
        <v>80</v>
      </c>
      <c r="M229" s="14">
        <v>2</v>
      </c>
      <c r="N229" s="14">
        <v>0</v>
      </c>
      <c r="O229" s="14">
        <v>0</v>
      </c>
      <c r="P229" s="14">
        <v>0</v>
      </c>
      <c r="Q229" s="14">
        <v>1</v>
      </c>
      <c r="R229" s="14">
        <v>0</v>
      </c>
      <c r="S229" s="14">
        <v>37.85</v>
      </c>
      <c r="T229" s="14">
        <v>0.75</v>
      </c>
      <c r="U229" s="14">
        <v>0</v>
      </c>
      <c r="V229" s="14">
        <v>39.1</v>
      </c>
      <c r="W229" s="15">
        <v>393.5</v>
      </c>
      <c r="X229" s="15">
        <v>0</v>
      </c>
      <c r="Y229" s="14">
        <v>83</v>
      </c>
      <c r="Z229" s="14">
        <v>0</v>
      </c>
      <c r="AA229" s="15">
        <v>0</v>
      </c>
      <c r="AB229" s="15">
        <v>0</v>
      </c>
      <c r="AC229" s="15">
        <v>0</v>
      </c>
      <c r="AD229" s="15">
        <v>0</v>
      </c>
      <c r="AE229" s="15">
        <v>0</v>
      </c>
      <c r="AF229" s="15">
        <v>0</v>
      </c>
      <c r="AG229" s="15">
        <v>393.5</v>
      </c>
      <c r="AH229" s="15">
        <v>393.5</v>
      </c>
      <c r="AI229" s="15">
        <v>0</v>
      </c>
      <c r="AJ229" s="15">
        <v>0</v>
      </c>
      <c r="AK229" s="15">
        <v>2.5</v>
      </c>
      <c r="AL229" s="15">
        <v>2.5</v>
      </c>
      <c r="AM229" s="14">
        <v>0</v>
      </c>
      <c r="AN229" s="14">
        <v>0</v>
      </c>
      <c r="AO229" s="14">
        <v>0</v>
      </c>
      <c r="AP229" s="14">
        <v>0</v>
      </c>
      <c r="AQ229" s="14">
        <v>0</v>
      </c>
      <c r="AR229" s="14">
        <v>0</v>
      </c>
      <c r="AS229" s="14">
        <v>0</v>
      </c>
      <c r="AT229" s="14">
        <v>415</v>
      </c>
      <c r="AU229" s="14">
        <v>12</v>
      </c>
      <c r="AV229" s="14">
        <v>403</v>
      </c>
      <c r="AW229" s="14">
        <v>0</v>
      </c>
      <c r="AX229" s="14">
        <v>37.85</v>
      </c>
      <c r="AY229" s="14">
        <v>0.25</v>
      </c>
      <c r="AZ229" s="14">
        <v>37.6</v>
      </c>
      <c r="BA229" s="14">
        <v>0</v>
      </c>
      <c r="BB229" s="14">
        <v>0.75</v>
      </c>
      <c r="BC229" s="14">
        <v>0</v>
      </c>
      <c r="BD229" s="14">
        <v>0.75</v>
      </c>
      <c r="BE229" s="14">
        <v>0</v>
      </c>
      <c r="BF229" s="14">
        <v>0</v>
      </c>
    </row>
    <row r="230" spans="1:58" ht="16">
      <c r="A230" s="14" t="s">
        <v>16974</v>
      </c>
      <c r="B230" s="14" t="s">
        <v>17201</v>
      </c>
      <c r="C230" s="14">
        <v>0</v>
      </c>
      <c r="D230" s="16">
        <v>4500</v>
      </c>
      <c r="E230" s="16">
        <v>4017</v>
      </c>
      <c r="F230" s="16">
        <v>2935</v>
      </c>
      <c r="G230" s="14">
        <v>40</v>
      </c>
      <c r="H230" s="14">
        <v>366</v>
      </c>
      <c r="I230" s="14">
        <v>0</v>
      </c>
      <c r="J230" s="16">
        <v>4495</v>
      </c>
      <c r="K230" s="16">
        <v>43830</v>
      </c>
      <c r="L230" s="14">
        <v>785</v>
      </c>
      <c r="M230" s="14">
        <v>3</v>
      </c>
      <c r="N230" s="14">
        <v>50</v>
      </c>
      <c r="O230" s="16">
        <v>3560</v>
      </c>
      <c r="P230" s="14">
        <v>33</v>
      </c>
      <c r="Q230" s="14">
        <v>56</v>
      </c>
      <c r="R230" s="14">
        <v>0</v>
      </c>
      <c r="S230" s="17">
        <v>1232.49</v>
      </c>
      <c r="T230" s="14">
        <v>269.39999999999998</v>
      </c>
      <c r="U230" s="14">
        <v>0</v>
      </c>
      <c r="V230" s="17">
        <v>1501.9</v>
      </c>
      <c r="W230" s="15">
        <v>17712.900000000001</v>
      </c>
      <c r="X230" s="15">
        <v>0</v>
      </c>
      <c r="Y230" s="16">
        <v>4491</v>
      </c>
      <c r="Z230" s="14">
        <v>0</v>
      </c>
      <c r="AA230" s="15">
        <v>0</v>
      </c>
      <c r="AB230" s="15">
        <v>167.5</v>
      </c>
      <c r="AC230" s="15">
        <v>724.2</v>
      </c>
      <c r="AD230" s="15">
        <v>729.2</v>
      </c>
      <c r="AE230" s="15">
        <v>613.95000000000005</v>
      </c>
      <c r="AF230" s="15">
        <v>896.7</v>
      </c>
      <c r="AG230" s="15">
        <v>18437.080000000002</v>
      </c>
      <c r="AH230" s="15">
        <v>17823.13</v>
      </c>
      <c r="AI230" s="15">
        <v>197</v>
      </c>
      <c r="AJ230" s="15">
        <v>287</v>
      </c>
      <c r="AK230" s="15">
        <v>1729.5</v>
      </c>
      <c r="AL230" s="15">
        <v>1532.5</v>
      </c>
      <c r="AM230" s="14">
        <v>50</v>
      </c>
      <c r="AN230" s="14">
        <v>18</v>
      </c>
      <c r="AO230" s="14">
        <v>2</v>
      </c>
      <c r="AP230" s="14">
        <v>1</v>
      </c>
      <c r="AQ230" s="14">
        <v>0</v>
      </c>
      <c r="AR230" s="14">
        <v>0</v>
      </c>
      <c r="AS230" s="14">
        <v>0</v>
      </c>
      <c r="AT230" s="16">
        <v>43830</v>
      </c>
      <c r="AU230" s="16">
        <v>7457</v>
      </c>
      <c r="AV230" s="16">
        <v>36373</v>
      </c>
      <c r="AW230" s="14">
        <v>0</v>
      </c>
      <c r="AX230" s="17">
        <v>1232.49</v>
      </c>
      <c r="AY230" s="14">
        <v>96.75</v>
      </c>
      <c r="AZ230" s="17">
        <v>1135.74</v>
      </c>
      <c r="BA230" s="14">
        <v>0</v>
      </c>
      <c r="BB230" s="14">
        <v>269.39999999999998</v>
      </c>
      <c r="BC230" s="14">
        <v>28.25</v>
      </c>
      <c r="BD230" s="14">
        <v>241.15</v>
      </c>
      <c r="BE230" s="14">
        <v>0</v>
      </c>
      <c r="BF230" s="14">
        <v>0</v>
      </c>
    </row>
    <row r="231" spans="1:58" ht="16">
      <c r="A231" s="14" t="s">
        <v>16974</v>
      </c>
      <c r="B231" s="14" t="s">
        <v>17130</v>
      </c>
      <c r="C231" s="14">
        <v>0</v>
      </c>
      <c r="D231" s="14">
        <v>24</v>
      </c>
      <c r="E231" s="14">
        <v>7</v>
      </c>
      <c r="F231" s="14">
        <v>24</v>
      </c>
      <c r="G231" s="14">
        <v>0</v>
      </c>
      <c r="H231" s="14">
        <v>0</v>
      </c>
      <c r="I231" s="14">
        <v>0</v>
      </c>
      <c r="J231" s="14">
        <v>24</v>
      </c>
      <c r="K231" s="14">
        <v>79</v>
      </c>
      <c r="L231" s="14">
        <v>20</v>
      </c>
      <c r="M231" s="14">
        <v>0</v>
      </c>
      <c r="N231" s="14">
        <v>0</v>
      </c>
      <c r="O231" s="14">
        <v>2</v>
      </c>
      <c r="P231" s="14">
        <v>2</v>
      </c>
      <c r="Q231" s="14">
        <v>0</v>
      </c>
      <c r="R231" s="14">
        <v>0</v>
      </c>
      <c r="S231" s="14">
        <v>36</v>
      </c>
      <c r="T231" s="14">
        <v>19.75</v>
      </c>
      <c r="U231" s="14">
        <v>0</v>
      </c>
      <c r="V231" s="14">
        <v>55.6</v>
      </c>
      <c r="W231" s="15">
        <v>753</v>
      </c>
      <c r="X231" s="15">
        <v>0</v>
      </c>
      <c r="Y231" s="14">
        <v>22</v>
      </c>
      <c r="Z231" s="14">
        <v>0</v>
      </c>
      <c r="AA231" s="15">
        <v>0</v>
      </c>
      <c r="AB231" s="15">
        <v>380</v>
      </c>
      <c r="AC231" s="15">
        <v>0</v>
      </c>
      <c r="AD231" s="15">
        <v>0</v>
      </c>
      <c r="AE231" s="15">
        <v>0</v>
      </c>
      <c r="AF231" s="15">
        <v>380</v>
      </c>
      <c r="AG231" s="15">
        <v>753</v>
      </c>
      <c r="AH231" s="15">
        <v>753</v>
      </c>
      <c r="AI231" s="15">
        <v>0</v>
      </c>
      <c r="AJ231" s="15">
        <v>0</v>
      </c>
      <c r="AK231" s="15">
        <v>0</v>
      </c>
      <c r="AL231" s="15">
        <v>0</v>
      </c>
      <c r="AM231" s="14">
        <v>0</v>
      </c>
      <c r="AN231" s="14">
        <v>0</v>
      </c>
      <c r="AO231" s="14">
        <v>0</v>
      </c>
      <c r="AP231" s="14">
        <v>0</v>
      </c>
      <c r="AQ231" s="14">
        <v>0</v>
      </c>
      <c r="AR231" s="14">
        <v>0</v>
      </c>
      <c r="AS231" s="14">
        <v>0</v>
      </c>
      <c r="AT231" s="14">
        <v>79</v>
      </c>
      <c r="AU231" s="14">
        <v>0</v>
      </c>
      <c r="AV231" s="14">
        <v>79</v>
      </c>
      <c r="AW231" s="14">
        <v>0</v>
      </c>
      <c r="AX231" s="14">
        <v>36</v>
      </c>
      <c r="AY231" s="14">
        <v>0</v>
      </c>
      <c r="AZ231" s="14">
        <v>36</v>
      </c>
      <c r="BA231" s="14">
        <v>0</v>
      </c>
      <c r="BB231" s="14">
        <v>19.75</v>
      </c>
      <c r="BC231" s="14">
        <v>0</v>
      </c>
      <c r="BD231" s="14">
        <v>19.75</v>
      </c>
      <c r="BE231" s="14">
        <v>0</v>
      </c>
      <c r="BF231" s="16">
        <v>3292</v>
      </c>
    </row>
    <row r="232" spans="1:58" ht="16">
      <c r="A232" s="14" t="s">
        <v>16974</v>
      </c>
      <c r="B232" s="14" t="s">
        <v>17131</v>
      </c>
      <c r="C232" s="14">
        <v>0</v>
      </c>
      <c r="D232" s="14">
        <v>0</v>
      </c>
      <c r="E232" s="14">
        <v>0</v>
      </c>
      <c r="F232" s="14">
        <v>0</v>
      </c>
      <c r="G232" s="14">
        <v>0</v>
      </c>
      <c r="H232" s="14">
        <v>0</v>
      </c>
      <c r="I232" s="14">
        <v>0</v>
      </c>
      <c r="J232" s="14">
        <v>0</v>
      </c>
      <c r="K232" s="14">
        <v>0</v>
      </c>
      <c r="L232" s="14">
        <v>0</v>
      </c>
      <c r="M232" s="14">
        <v>0</v>
      </c>
      <c r="N232" s="14">
        <v>0</v>
      </c>
      <c r="O232" s="14">
        <v>0</v>
      </c>
      <c r="P232" s="14">
        <v>0</v>
      </c>
      <c r="Q232" s="14">
        <v>0</v>
      </c>
      <c r="R232" s="14">
        <v>0</v>
      </c>
      <c r="S232" s="14">
        <v>0</v>
      </c>
      <c r="T232" s="14">
        <v>0</v>
      </c>
      <c r="U232" s="14">
        <v>0</v>
      </c>
      <c r="V232" s="14">
        <v>0</v>
      </c>
      <c r="W232" s="15">
        <v>0</v>
      </c>
      <c r="X232" s="15">
        <v>0</v>
      </c>
      <c r="Y232" s="14">
        <v>0</v>
      </c>
      <c r="Z232" s="14">
        <v>0</v>
      </c>
      <c r="AA232" s="15">
        <v>0</v>
      </c>
      <c r="AB232" s="15">
        <v>0</v>
      </c>
      <c r="AC232" s="15">
        <v>0</v>
      </c>
      <c r="AD232" s="15">
        <v>0</v>
      </c>
      <c r="AE232" s="15">
        <v>0</v>
      </c>
      <c r="AF232" s="15">
        <v>0</v>
      </c>
      <c r="AG232" s="15">
        <v>0</v>
      </c>
      <c r="AH232" s="15">
        <v>0</v>
      </c>
      <c r="AI232" s="15">
        <v>0</v>
      </c>
      <c r="AJ232" s="15">
        <v>0</v>
      </c>
      <c r="AK232" s="15">
        <v>0</v>
      </c>
      <c r="AL232" s="15">
        <v>0</v>
      </c>
      <c r="AM232" s="14">
        <v>0</v>
      </c>
      <c r="AN232" s="14">
        <v>0</v>
      </c>
      <c r="AO232" s="14">
        <v>0</v>
      </c>
      <c r="AP232" s="14">
        <v>0</v>
      </c>
      <c r="AQ232" s="14">
        <v>0</v>
      </c>
      <c r="AR232" s="14">
        <v>0</v>
      </c>
      <c r="AS232" s="14">
        <v>0</v>
      </c>
      <c r="AT232" s="14">
        <v>0</v>
      </c>
      <c r="AU232" s="14">
        <v>0</v>
      </c>
      <c r="AV232" s="14">
        <v>0</v>
      </c>
      <c r="AW232" s="14">
        <v>0</v>
      </c>
      <c r="AX232" s="14">
        <v>0</v>
      </c>
      <c r="AY232" s="14">
        <v>0</v>
      </c>
      <c r="AZ232" s="14">
        <v>0</v>
      </c>
      <c r="BA232" s="14">
        <v>0</v>
      </c>
      <c r="BB232" s="14">
        <v>0</v>
      </c>
      <c r="BC232" s="14">
        <v>0</v>
      </c>
      <c r="BD232" s="14">
        <v>0</v>
      </c>
      <c r="BE232" s="14">
        <v>0</v>
      </c>
      <c r="BF232" s="14">
        <v>0</v>
      </c>
    </row>
    <row r="233" spans="1:58" ht="16">
      <c r="A233" s="14" t="s">
        <v>16974</v>
      </c>
      <c r="B233" s="14" t="s">
        <v>17040</v>
      </c>
      <c r="C233" s="14">
        <v>0</v>
      </c>
      <c r="D233" s="14">
        <v>0</v>
      </c>
      <c r="E233" s="14">
        <v>0</v>
      </c>
      <c r="F233" s="14">
        <v>0</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5">
        <v>0</v>
      </c>
      <c r="X233" s="15">
        <v>0</v>
      </c>
      <c r="Y233" s="14">
        <v>0</v>
      </c>
      <c r="Z233" s="14">
        <v>0</v>
      </c>
      <c r="AA233" s="15">
        <v>0</v>
      </c>
      <c r="AB233" s="15">
        <v>0</v>
      </c>
      <c r="AC233" s="15">
        <v>0</v>
      </c>
      <c r="AD233" s="15">
        <v>0</v>
      </c>
      <c r="AE233" s="15">
        <v>0</v>
      </c>
      <c r="AF233" s="15">
        <v>0</v>
      </c>
      <c r="AG233" s="15">
        <v>0</v>
      </c>
      <c r="AH233" s="15">
        <v>0</v>
      </c>
      <c r="AI233" s="15">
        <v>0</v>
      </c>
      <c r="AJ233" s="15">
        <v>0</v>
      </c>
      <c r="AK233" s="15">
        <v>0</v>
      </c>
      <c r="AL233" s="15">
        <v>0</v>
      </c>
      <c r="AM233" s="14">
        <v>0</v>
      </c>
      <c r="AN233" s="14">
        <v>0</v>
      </c>
      <c r="AO233" s="14">
        <v>0</v>
      </c>
      <c r="AP233" s="14">
        <v>0</v>
      </c>
      <c r="AQ233" s="14">
        <v>0</v>
      </c>
      <c r="AR233" s="14">
        <v>0</v>
      </c>
      <c r="AS233" s="14">
        <v>0</v>
      </c>
      <c r="AT233" s="14">
        <v>0</v>
      </c>
      <c r="AU233" s="14">
        <v>0</v>
      </c>
      <c r="AV233" s="14">
        <v>0</v>
      </c>
      <c r="AW233" s="14">
        <v>0</v>
      </c>
      <c r="AX233" s="14">
        <v>0</v>
      </c>
      <c r="AY233" s="14">
        <v>0</v>
      </c>
      <c r="AZ233" s="14">
        <v>0</v>
      </c>
      <c r="BA233" s="14">
        <v>0</v>
      </c>
      <c r="BB233" s="14">
        <v>0</v>
      </c>
      <c r="BC233" s="14">
        <v>0</v>
      </c>
      <c r="BD233" s="14">
        <v>0</v>
      </c>
      <c r="BE233" s="14">
        <v>0</v>
      </c>
      <c r="BF233" s="14">
        <v>0</v>
      </c>
    </row>
    <row r="234" spans="1:58" ht="16">
      <c r="A234" s="14" t="s">
        <v>16974</v>
      </c>
      <c r="B234" s="14" t="s">
        <v>16975</v>
      </c>
      <c r="C234" s="14">
        <v>0</v>
      </c>
      <c r="D234" s="14">
        <v>4</v>
      </c>
      <c r="E234" s="14">
        <v>4</v>
      </c>
      <c r="F234" s="14">
        <v>4</v>
      </c>
      <c r="G234" s="14">
        <v>0</v>
      </c>
      <c r="H234" s="14">
        <v>1</v>
      </c>
      <c r="I234" s="14">
        <v>1</v>
      </c>
      <c r="J234" s="14">
        <v>4</v>
      </c>
      <c r="K234" s="14">
        <v>174</v>
      </c>
      <c r="L234" s="14">
        <v>4</v>
      </c>
      <c r="M234" s="14">
        <v>0</v>
      </c>
      <c r="N234" s="14">
        <v>0</v>
      </c>
      <c r="O234" s="14">
        <v>0</v>
      </c>
      <c r="P234" s="14">
        <v>0</v>
      </c>
      <c r="Q234" s="14">
        <v>0</v>
      </c>
      <c r="R234" s="14">
        <v>0</v>
      </c>
      <c r="S234" s="14">
        <v>16.5</v>
      </c>
      <c r="T234" s="14">
        <v>24</v>
      </c>
      <c r="U234" s="14">
        <v>24</v>
      </c>
      <c r="V234" s="14">
        <v>64.5</v>
      </c>
      <c r="W234" s="15">
        <v>645</v>
      </c>
      <c r="X234" s="15">
        <v>0</v>
      </c>
      <c r="Y234" s="14">
        <v>4</v>
      </c>
      <c r="Z234" s="14">
        <v>0</v>
      </c>
      <c r="AA234" s="15">
        <v>0</v>
      </c>
      <c r="AB234" s="15">
        <v>580</v>
      </c>
      <c r="AC234" s="15">
        <v>0</v>
      </c>
      <c r="AD234" s="15">
        <v>0</v>
      </c>
      <c r="AE234" s="15">
        <v>0</v>
      </c>
      <c r="AF234" s="15">
        <v>580</v>
      </c>
      <c r="AG234" s="15">
        <v>1125</v>
      </c>
      <c r="AH234" s="15">
        <v>1125</v>
      </c>
      <c r="AI234" s="15">
        <v>0</v>
      </c>
      <c r="AJ234" s="15">
        <v>530</v>
      </c>
      <c r="AK234" s="15">
        <v>1040</v>
      </c>
      <c r="AL234" s="15">
        <v>1040</v>
      </c>
      <c r="AM234" s="14">
        <v>0</v>
      </c>
      <c r="AN234" s="14">
        <v>0</v>
      </c>
      <c r="AO234" s="14">
        <v>0</v>
      </c>
      <c r="AP234" s="14">
        <v>0</v>
      </c>
      <c r="AQ234" s="14">
        <v>0</v>
      </c>
      <c r="AR234" s="14">
        <v>0</v>
      </c>
      <c r="AS234" s="14">
        <v>0</v>
      </c>
      <c r="AT234" s="14">
        <v>174</v>
      </c>
      <c r="AU234" s="14">
        <v>165</v>
      </c>
      <c r="AV234" s="14">
        <v>9</v>
      </c>
      <c r="AW234" s="14">
        <v>0</v>
      </c>
      <c r="AX234" s="14">
        <v>16.5</v>
      </c>
      <c r="AY234" s="14">
        <v>8</v>
      </c>
      <c r="AZ234" s="14">
        <v>8.5</v>
      </c>
      <c r="BA234" s="14">
        <v>0</v>
      </c>
      <c r="BB234" s="14">
        <v>24</v>
      </c>
      <c r="BC234" s="14">
        <v>24</v>
      </c>
      <c r="BD234" s="14">
        <v>0</v>
      </c>
      <c r="BE234" s="14">
        <v>0</v>
      </c>
      <c r="BF234" s="14">
        <v>0</v>
      </c>
    </row>
    <row r="235" spans="1:58" ht="16">
      <c r="A235" s="14" t="s">
        <v>16974</v>
      </c>
      <c r="B235" s="14" t="s">
        <v>17085</v>
      </c>
      <c r="C235" s="14">
        <v>0</v>
      </c>
      <c r="D235" s="14">
        <v>0</v>
      </c>
      <c r="E235" s="14">
        <v>0</v>
      </c>
      <c r="F235" s="14">
        <v>0</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5">
        <v>0</v>
      </c>
      <c r="X235" s="15">
        <v>0</v>
      </c>
      <c r="Y235" s="14">
        <v>0</v>
      </c>
      <c r="Z235" s="14">
        <v>0</v>
      </c>
      <c r="AA235" s="15">
        <v>0</v>
      </c>
      <c r="AB235" s="15">
        <v>0</v>
      </c>
      <c r="AC235" s="15">
        <v>0</v>
      </c>
      <c r="AD235" s="15">
        <v>0</v>
      </c>
      <c r="AE235" s="15">
        <v>0</v>
      </c>
      <c r="AF235" s="15">
        <v>0</v>
      </c>
      <c r="AG235" s="15">
        <v>0</v>
      </c>
      <c r="AH235" s="15">
        <v>0</v>
      </c>
      <c r="AI235" s="15">
        <v>0</v>
      </c>
      <c r="AJ235" s="15">
        <v>0</v>
      </c>
      <c r="AK235" s="15">
        <v>0</v>
      </c>
      <c r="AL235" s="15">
        <v>0</v>
      </c>
      <c r="AM235" s="14">
        <v>0</v>
      </c>
      <c r="AN235" s="14">
        <v>0</v>
      </c>
      <c r="AO235" s="14">
        <v>0</v>
      </c>
      <c r="AP235" s="14">
        <v>0</v>
      </c>
      <c r="AQ235" s="14">
        <v>0</v>
      </c>
      <c r="AR235" s="14">
        <v>0</v>
      </c>
      <c r="AS235" s="14">
        <v>0</v>
      </c>
      <c r="AT235" s="14">
        <v>0</v>
      </c>
      <c r="AU235" s="14">
        <v>0</v>
      </c>
      <c r="AV235" s="14">
        <v>0</v>
      </c>
      <c r="AW235" s="14">
        <v>0</v>
      </c>
      <c r="AX235" s="14">
        <v>0</v>
      </c>
      <c r="AY235" s="14">
        <v>0</v>
      </c>
      <c r="AZ235" s="14">
        <v>0</v>
      </c>
      <c r="BA235" s="14">
        <v>0</v>
      </c>
      <c r="BB235" s="14">
        <v>0</v>
      </c>
      <c r="BC235" s="14">
        <v>0</v>
      </c>
      <c r="BD235" s="14">
        <v>0</v>
      </c>
      <c r="BE235" s="14">
        <v>0</v>
      </c>
      <c r="BF235" s="14">
        <v>0</v>
      </c>
    </row>
    <row r="236" spans="1:58" ht="16">
      <c r="A236" s="14" t="s">
        <v>16974</v>
      </c>
      <c r="B236" s="14" t="s">
        <v>17132</v>
      </c>
      <c r="C236" s="14">
        <v>11</v>
      </c>
      <c r="D236" s="14">
        <v>431</v>
      </c>
      <c r="E236" s="14">
        <v>430</v>
      </c>
      <c r="F236" s="14">
        <v>398</v>
      </c>
      <c r="G236" s="14">
        <v>50</v>
      </c>
      <c r="H236" s="14">
        <v>29</v>
      </c>
      <c r="I236" s="14">
        <v>25</v>
      </c>
      <c r="J236" s="14">
        <v>431</v>
      </c>
      <c r="K236" s="16">
        <v>2902</v>
      </c>
      <c r="L236" s="14">
        <v>220</v>
      </c>
      <c r="M236" s="14">
        <v>1</v>
      </c>
      <c r="N236" s="14">
        <v>74</v>
      </c>
      <c r="O236" s="14">
        <v>128</v>
      </c>
      <c r="P236" s="14">
        <v>7</v>
      </c>
      <c r="Q236" s="14">
        <v>0</v>
      </c>
      <c r="R236" s="14">
        <v>0</v>
      </c>
      <c r="S236" s="14">
        <v>647</v>
      </c>
      <c r="T236" s="14">
        <v>0</v>
      </c>
      <c r="U236" s="14">
        <v>0</v>
      </c>
      <c r="V236" s="14">
        <v>647</v>
      </c>
      <c r="W236" s="15">
        <v>6350</v>
      </c>
      <c r="X236" s="15">
        <v>0</v>
      </c>
      <c r="Y236" s="14">
        <v>420</v>
      </c>
      <c r="Z236" s="14">
        <v>0</v>
      </c>
      <c r="AA236" s="15">
        <v>-120</v>
      </c>
      <c r="AB236" s="15">
        <v>1130</v>
      </c>
      <c r="AC236" s="15">
        <v>0</v>
      </c>
      <c r="AD236" s="15">
        <v>0</v>
      </c>
      <c r="AE236" s="15">
        <v>0</v>
      </c>
      <c r="AF236" s="15">
        <v>1130</v>
      </c>
      <c r="AG236" s="15">
        <v>6350</v>
      </c>
      <c r="AH236" s="15">
        <v>6350</v>
      </c>
      <c r="AI236" s="15">
        <v>0</v>
      </c>
      <c r="AJ236" s="15">
        <v>507.5</v>
      </c>
      <c r="AK236" s="15">
        <v>1015</v>
      </c>
      <c r="AL236" s="15">
        <v>1015</v>
      </c>
      <c r="AM236" s="14">
        <v>0</v>
      </c>
      <c r="AN236" s="14">
        <v>0</v>
      </c>
      <c r="AO236" s="14">
        <v>0</v>
      </c>
      <c r="AP236" s="14">
        <v>0</v>
      </c>
      <c r="AQ236" s="14">
        <v>0</v>
      </c>
      <c r="AR236" s="14">
        <v>0</v>
      </c>
      <c r="AS236" s="14">
        <v>0</v>
      </c>
      <c r="AT236" s="16">
        <v>2902</v>
      </c>
      <c r="AU236" s="14">
        <v>310</v>
      </c>
      <c r="AV236" s="16">
        <v>2534</v>
      </c>
      <c r="AW236" s="14">
        <v>60</v>
      </c>
      <c r="AX236" s="14">
        <v>647</v>
      </c>
      <c r="AY236" s="14">
        <v>104</v>
      </c>
      <c r="AZ236" s="14">
        <v>533.5</v>
      </c>
      <c r="BA236" s="14">
        <v>12</v>
      </c>
      <c r="BB236" s="14">
        <v>0</v>
      </c>
      <c r="BC236" s="14">
        <v>0</v>
      </c>
      <c r="BD236" s="14">
        <v>0</v>
      </c>
      <c r="BE236" s="14">
        <v>0</v>
      </c>
      <c r="BF236" s="14">
        <v>431</v>
      </c>
    </row>
    <row r="237" spans="1:58" ht="16">
      <c r="A237" s="14" t="s">
        <v>16974</v>
      </c>
      <c r="B237" s="14" t="s">
        <v>17133</v>
      </c>
      <c r="C237" s="14">
        <v>0</v>
      </c>
      <c r="D237" s="14">
        <v>11</v>
      </c>
      <c r="E237" s="14">
        <v>11</v>
      </c>
      <c r="F237" s="14">
        <v>7</v>
      </c>
      <c r="G237" s="14">
        <v>8</v>
      </c>
      <c r="H237" s="14">
        <v>9</v>
      </c>
      <c r="I237" s="14">
        <v>10</v>
      </c>
      <c r="J237" s="14">
        <v>10</v>
      </c>
      <c r="K237" s="14">
        <v>138</v>
      </c>
      <c r="L237" s="14">
        <v>1</v>
      </c>
      <c r="M237" s="14">
        <v>0</v>
      </c>
      <c r="N237" s="14">
        <v>9</v>
      </c>
      <c r="O237" s="14">
        <v>0</v>
      </c>
      <c r="P237" s="14">
        <v>0</v>
      </c>
      <c r="Q237" s="14">
        <v>0</v>
      </c>
      <c r="R237" s="14">
        <v>0</v>
      </c>
      <c r="S237" s="14">
        <v>7.75</v>
      </c>
      <c r="T237" s="14">
        <v>30.25</v>
      </c>
      <c r="U237" s="14">
        <v>10</v>
      </c>
      <c r="V237" s="14">
        <v>48</v>
      </c>
      <c r="W237" s="15">
        <v>682.5</v>
      </c>
      <c r="X237" s="15">
        <v>0</v>
      </c>
      <c r="Y237" s="14">
        <v>9</v>
      </c>
      <c r="Z237" s="14">
        <v>1</v>
      </c>
      <c r="AA237" s="15">
        <v>0</v>
      </c>
      <c r="AB237" s="15">
        <v>500</v>
      </c>
      <c r="AC237" s="15">
        <v>377.4</v>
      </c>
      <c r="AD237" s="15">
        <v>377.4</v>
      </c>
      <c r="AE237" s="15">
        <v>385.9</v>
      </c>
      <c r="AF237" s="15">
        <v>769.2</v>
      </c>
      <c r="AG237" s="15">
        <v>1259.9000000000001</v>
      </c>
      <c r="AH237" s="15">
        <v>874</v>
      </c>
      <c r="AI237" s="15">
        <v>277.7</v>
      </c>
      <c r="AJ237" s="15">
        <v>769.2</v>
      </c>
      <c r="AK237" s="15">
        <v>1119.2</v>
      </c>
      <c r="AL237" s="15">
        <v>841.5</v>
      </c>
      <c r="AM237" s="14">
        <v>0</v>
      </c>
      <c r="AN237" s="14">
        <v>0</v>
      </c>
      <c r="AO237" s="14">
        <v>0</v>
      </c>
      <c r="AP237" s="14">
        <v>3</v>
      </c>
      <c r="AQ237" s="14">
        <v>0</v>
      </c>
      <c r="AR237" s="14">
        <v>0</v>
      </c>
      <c r="AS237" s="14">
        <v>0</v>
      </c>
      <c r="AT237" s="14">
        <v>138</v>
      </c>
      <c r="AU237" s="14">
        <v>102</v>
      </c>
      <c r="AV237" s="14">
        <v>36</v>
      </c>
      <c r="AW237" s="14">
        <v>0</v>
      </c>
      <c r="AX237" s="14">
        <v>7.75</v>
      </c>
      <c r="AY237" s="14">
        <v>7</v>
      </c>
      <c r="AZ237" s="14">
        <v>0.75</v>
      </c>
      <c r="BA237" s="14">
        <v>0</v>
      </c>
      <c r="BB237" s="14">
        <v>30.25</v>
      </c>
      <c r="BC237" s="14">
        <v>29</v>
      </c>
      <c r="BD237" s="14">
        <v>1.25</v>
      </c>
      <c r="BE237" s="14">
        <v>0</v>
      </c>
      <c r="BF237" s="14">
        <v>0</v>
      </c>
    </row>
    <row r="238" spans="1:58" ht="16">
      <c r="A238" s="14" t="s">
        <v>16974</v>
      </c>
      <c r="B238" s="14" t="s">
        <v>17134</v>
      </c>
      <c r="C238" s="14">
        <v>0</v>
      </c>
      <c r="D238" s="14">
        <v>0</v>
      </c>
      <c r="E238" s="14">
        <v>0</v>
      </c>
      <c r="F238" s="14">
        <v>0</v>
      </c>
      <c r="G238" s="14">
        <v>0</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5">
        <v>0</v>
      </c>
      <c r="X238" s="15">
        <v>0</v>
      </c>
      <c r="Y238" s="14">
        <v>0</v>
      </c>
      <c r="Z238" s="14">
        <v>0</v>
      </c>
      <c r="AA238" s="15">
        <v>0</v>
      </c>
      <c r="AB238" s="15">
        <v>0</v>
      </c>
      <c r="AC238" s="15">
        <v>0</v>
      </c>
      <c r="AD238" s="15">
        <v>0</v>
      </c>
      <c r="AE238" s="15">
        <v>0</v>
      </c>
      <c r="AF238" s="15">
        <v>0</v>
      </c>
      <c r="AG238" s="15">
        <v>0</v>
      </c>
      <c r="AH238" s="15">
        <v>0</v>
      </c>
      <c r="AI238" s="15">
        <v>0</v>
      </c>
      <c r="AJ238" s="15">
        <v>0</v>
      </c>
      <c r="AK238" s="15">
        <v>0</v>
      </c>
      <c r="AL238" s="15">
        <v>0</v>
      </c>
      <c r="AM238" s="14">
        <v>0</v>
      </c>
      <c r="AN238" s="14">
        <v>0</v>
      </c>
      <c r="AO238" s="14">
        <v>0</v>
      </c>
      <c r="AP238" s="14">
        <v>0</v>
      </c>
      <c r="AQ238" s="14">
        <v>0</v>
      </c>
      <c r="AR238" s="14">
        <v>0</v>
      </c>
      <c r="AS238" s="14">
        <v>0</v>
      </c>
      <c r="AT238" s="14">
        <v>0</v>
      </c>
      <c r="AU238" s="14">
        <v>0</v>
      </c>
      <c r="AV238" s="14">
        <v>0</v>
      </c>
      <c r="AW238" s="14">
        <v>0</v>
      </c>
      <c r="AX238" s="14">
        <v>0</v>
      </c>
      <c r="AY238" s="14">
        <v>0</v>
      </c>
      <c r="AZ238" s="14">
        <v>0</v>
      </c>
      <c r="BA238" s="14">
        <v>0</v>
      </c>
      <c r="BB238" s="14">
        <v>0</v>
      </c>
      <c r="BC238" s="14">
        <v>0</v>
      </c>
      <c r="BD238" s="14">
        <v>0</v>
      </c>
      <c r="BE238" s="14">
        <v>0</v>
      </c>
      <c r="BF238" s="14">
        <v>12</v>
      </c>
    </row>
    <row r="239" spans="1:58" ht="16">
      <c r="A239" s="14" t="s">
        <v>16974</v>
      </c>
      <c r="B239" s="14" t="s">
        <v>17135</v>
      </c>
      <c r="C239" s="14">
        <v>0</v>
      </c>
      <c r="D239" s="14">
        <v>0</v>
      </c>
      <c r="E239" s="14">
        <v>0</v>
      </c>
      <c r="F239" s="14">
        <v>0</v>
      </c>
      <c r="G239" s="14">
        <v>0</v>
      </c>
      <c r="H239" s="14">
        <v>0</v>
      </c>
      <c r="I239" s="14">
        <v>0</v>
      </c>
      <c r="J239" s="14">
        <v>0</v>
      </c>
      <c r="K239" s="14">
        <v>0</v>
      </c>
      <c r="L239" s="14">
        <v>0</v>
      </c>
      <c r="M239" s="14">
        <v>0</v>
      </c>
      <c r="N239" s="14">
        <v>0</v>
      </c>
      <c r="O239" s="14">
        <v>0</v>
      </c>
      <c r="P239" s="14">
        <v>0</v>
      </c>
      <c r="Q239" s="14">
        <v>0</v>
      </c>
      <c r="R239" s="14">
        <v>0</v>
      </c>
      <c r="S239" s="14">
        <v>0</v>
      </c>
      <c r="T239" s="14">
        <v>0</v>
      </c>
      <c r="U239" s="14">
        <v>0</v>
      </c>
      <c r="V239" s="14">
        <v>0</v>
      </c>
      <c r="W239" s="15">
        <v>0</v>
      </c>
      <c r="X239" s="15">
        <v>0</v>
      </c>
      <c r="Y239" s="14">
        <v>0</v>
      </c>
      <c r="Z239" s="14">
        <v>0</v>
      </c>
      <c r="AA239" s="15">
        <v>0</v>
      </c>
      <c r="AB239" s="15">
        <v>0</v>
      </c>
      <c r="AC239" s="15">
        <v>0</v>
      </c>
      <c r="AD239" s="15">
        <v>0</v>
      </c>
      <c r="AE239" s="15">
        <v>0</v>
      </c>
      <c r="AF239" s="15">
        <v>0</v>
      </c>
      <c r="AG239" s="15">
        <v>0</v>
      </c>
      <c r="AH239" s="15">
        <v>0</v>
      </c>
      <c r="AI239" s="15">
        <v>0</v>
      </c>
      <c r="AJ239" s="15">
        <v>0</v>
      </c>
      <c r="AK239" s="15">
        <v>0</v>
      </c>
      <c r="AL239" s="15">
        <v>0</v>
      </c>
      <c r="AM239" s="14">
        <v>0</v>
      </c>
      <c r="AN239" s="14">
        <v>0</v>
      </c>
      <c r="AO239" s="14">
        <v>0</v>
      </c>
      <c r="AP239" s="14">
        <v>0</v>
      </c>
      <c r="AQ239" s="14">
        <v>0</v>
      </c>
      <c r="AR239" s="14">
        <v>0</v>
      </c>
      <c r="AS239" s="14">
        <v>0</v>
      </c>
      <c r="AT239" s="14">
        <v>0</v>
      </c>
      <c r="AU239" s="14">
        <v>0</v>
      </c>
      <c r="AV239" s="14">
        <v>0</v>
      </c>
      <c r="AW239" s="14">
        <v>0</v>
      </c>
      <c r="AX239" s="14">
        <v>0</v>
      </c>
      <c r="AY239" s="14">
        <v>0</v>
      </c>
      <c r="AZ239" s="14">
        <v>0</v>
      </c>
      <c r="BA239" s="14">
        <v>0</v>
      </c>
      <c r="BB239" s="14">
        <v>0</v>
      </c>
      <c r="BC239" s="14">
        <v>0</v>
      </c>
      <c r="BD239" s="14">
        <v>0</v>
      </c>
      <c r="BE239" s="14">
        <v>0</v>
      </c>
      <c r="BF239" s="14">
        <v>0</v>
      </c>
    </row>
    <row r="240" spans="1:58" ht="16">
      <c r="A240" s="14" t="s">
        <v>16974</v>
      </c>
      <c r="B240" s="14" t="s">
        <v>17136</v>
      </c>
      <c r="C240" s="14">
        <v>0</v>
      </c>
      <c r="D240" s="14">
        <v>0</v>
      </c>
      <c r="E240" s="14">
        <v>0</v>
      </c>
      <c r="F240" s="14">
        <v>0</v>
      </c>
      <c r="G240" s="14">
        <v>0</v>
      </c>
      <c r="H240" s="14">
        <v>0</v>
      </c>
      <c r="I240" s="14">
        <v>0</v>
      </c>
      <c r="J240" s="14">
        <v>0</v>
      </c>
      <c r="K240" s="14">
        <v>0</v>
      </c>
      <c r="L240" s="14">
        <v>0</v>
      </c>
      <c r="M240" s="14">
        <v>0</v>
      </c>
      <c r="N240" s="14">
        <v>0</v>
      </c>
      <c r="O240" s="14">
        <v>0</v>
      </c>
      <c r="P240" s="14">
        <v>0</v>
      </c>
      <c r="Q240" s="14">
        <v>0</v>
      </c>
      <c r="R240" s="14">
        <v>0</v>
      </c>
      <c r="S240" s="14">
        <v>0</v>
      </c>
      <c r="T240" s="14">
        <v>0</v>
      </c>
      <c r="U240" s="14">
        <v>0</v>
      </c>
      <c r="V240" s="14">
        <v>0</v>
      </c>
      <c r="W240" s="15">
        <v>0</v>
      </c>
      <c r="X240" s="15">
        <v>0</v>
      </c>
      <c r="Y240" s="14">
        <v>0</v>
      </c>
      <c r="Z240" s="14">
        <v>0</v>
      </c>
      <c r="AA240" s="15">
        <v>0</v>
      </c>
      <c r="AB240" s="15">
        <v>0</v>
      </c>
      <c r="AC240" s="15">
        <v>0</v>
      </c>
      <c r="AD240" s="15">
        <v>0</v>
      </c>
      <c r="AE240" s="15">
        <v>0</v>
      </c>
      <c r="AF240" s="15">
        <v>0</v>
      </c>
      <c r="AG240" s="15">
        <v>0</v>
      </c>
      <c r="AH240" s="15">
        <v>0</v>
      </c>
      <c r="AI240" s="15">
        <v>0</v>
      </c>
      <c r="AJ240" s="15">
        <v>0</v>
      </c>
      <c r="AK240" s="15">
        <v>0</v>
      </c>
      <c r="AL240" s="15">
        <v>0</v>
      </c>
      <c r="AM240" s="14">
        <v>0</v>
      </c>
      <c r="AN240" s="14">
        <v>0</v>
      </c>
      <c r="AO240" s="14">
        <v>0</v>
      </c>
      <c r="AP240" s="14">
        <v>0</v>
      </c>
      <c r="AQ240" s="14">
        <v>0</v>
      </c>
      <c r="AR240" s="14">
        <v>0</v>
      </c>
      <c r="AS240" s="14">
        <v>0</v>
      </c>
      <c r="AT240" s="14">
        <v>0</v>
      </c>
      <c r="AU240" s="14">
        <v>0</v>
      </c>
      <c r="AV240" s="14">
        <v>0</v>
      </c>
      <c r="AW240" s="14">
        <v>0</v>
      </c>
      <c r="AX240" s="14">
        <v>0</v>
      </c>
      <c r="AY240" s="14">
        <v>0</v>
      </c>
      <c r="AZ240" s="14">
        <v>0</v>
      </c>
      <c r="BA240" s="14">
        <v>0</v>
      </c>
      <c r="BB240" s="14">
        <v>0</v>
      </c>
      <c r="BC240" s="14">
        <v>0</v>
      </c>
      <c r="BD240" s="14">
        <v>0</v>
      </c>
      <c r="BE240" s="14">
        <v>0</v>
      </c>
      <c r="BF240" s="14">
        <v>0</v>
      </c>
    </row>
    <row r="241" spans="1:58" ht="16">
      <c r="A241" s="14" t="s">
        <v>16974</v>
      </c>
      <c r="B241" s="14" t="s">
        <v>17137</v>
      </c>
      <c r="C241" s="14">
        <v>229</v>
      </c>
      <c r="D241" s="14">
        <v>230</v>
      </c>
      <c r="E241" s="14">
        <v>0</v>
      </c>
      <c r="F241" s="14">
        <v>230</v>
      </c>
      <c r="G241" s="14">
        <v>0</v>
      </c>
      <c r="H241" s="14">
        <v>0</v>
      </c>
      <c r="I241" s="14">
        <v>0</v>
      </c>
      <c r="J241" s="14">
        <v>230</v>
      </c>
      <c r="K241" s="14">
        <v>498</v>
      </c>
      <c r="L241" s="14">
        <v>230</v>
      </c>
      <c r="M241" s="14">
        <v>0</v>
      </c>
      <c r="N241" s="14">
        <v>0</v>
      </c>
      <c r="O241" s="14">
        <v>0</v>
      </c>
      <c r="P241" s="14">
        <v>0</v>
      </c>
      <c r="Q241" s="14">
        <v>0</v>
      </c>
      <c r="R241" s="14">
        <v>0</v>
      </c>
      <c r="S241" s="14">
        <v>0</v>
      </c>
      <c r="T241" s="14">
        <v>0</v>
      </c>
      <c r="U241" s="14">
        <v>0</v>
      </c>
      <c r="V241" s="14">
        <v>0</v>
      </c>
      <c r="W241" s="14"/>
      <c r="X241" s="15">
        <v>0</v>
      </c>
      <c r="Y241" s="14">
        <v>0</v>
      </c>
      <c r="Z241" s="14">
        <v>0</v>
      </c>
      <c r="AA241" s="15">
        <v>0</v>
      </c>
      <c r="AB241" s="15">
        <v>0</v>
      </c>
      <c r="AC241" s="15">
        <v>210</v>
      </c>
      <c r="AD241" s="15">
        <v>210</v>
      </c>
      <c r="AE241" s="15">
        <v>210</v>
      </c>
      <c r="AF241" s="15">
        <v>210</v>
      </c>
      <c r="AG241" s="15">
        <v>210</v>
      </c>
      <c r="AH241" s="15">
        <v>0</v>
      </c>
      <c r="AI241" s="15">
        <v>0</v>
      </c>
      <c r="AJ241" s="15">
        <v>0</v>
      </c>
      <c r="AK241" s="15">
        <v>0</v>
      </c>
      <c r="AL241" s="15">
        <v>0</v>
      </c>
      <c r="AM241" s="14">
        <v>0</v>
      </c>
      <c r="AN241" s="14">
        <v>5</v>
      </c>
      <c r="AO241" s="14">
        <v>0</v>
      </c>
      <c r="AP241" s="14">
        <v>0</v>
      </c>
      <c r="AQ241" s="14">
        <v>0</v>
      </c>
      <c r="AR241" s="14">
        <v>0</v>
      </c>
      <c r="AS241" s="14">
        <v>0</v>
      </c>
      <c r="AT241" s="14">
        <v>498</v>
      </c>
      <c r="AU241" s="14">
        <v>0</v>
      </c>
      <c r="AV241" s="14">
        <v>0</v>
      </c>
      <c r="AW241" s="14">
        <v>495</v>
      </c>
      <c r="AX241" s="14">
        <v>0</v>
      </c>
      <c r="AY241" s="14">
        <v>0</v>
      </c>
      <c r="AZ241" s="14">
        <v>0</v>
      </c>
      <c r="BA241" s="14">
        <v>0</v>
      </c>
      <c r="BB241" s="14">
        <v>0</v>
      </c>
      <c r="BC241" s="14">
        <v>0</v>
      </c>
      <c r="BD241" s="14">
        <v>0</v>
      </c>
      <c r="BE241" s="14">
        <v>0</v>
      </c>
      <c r="BF241" s="14">
        <v>80</v>
      </c>
    </row>
    <row r="242" spans="1:58" ht="16">
      <c r="A242" s="14" t="s">
        <v>16974</v>
      </c>
      <c r="B242" s="14" t="s">
        <v>17138</v>
      </c>
      <c r="C242" s="14">
        <v>0</v>
      </c>
      <c r="D242" s="14">
        <v>0</v>
      </c>
      <c r="E242" s="14">
        <v>0</v>
      </c>
      <c r="F242" s="14">
        <v>0</v>
      </c>
      <c r="G242" s="14">
        <v>0</v>
      </c>
      <c r="H242" s="14">
        <v>0</v>
      </c>
      <c r="I242" s="14">
        <v>0</v>
      </c>
      <c r="J242" s="14">
        <v>0</v>
      </c>
      <c r="K242" s="14">
        <v>0</v>
      </c>
      <c r="L242" s="14">
        <v>0</v>
      </c>
      <c r="M242" s="14">
        <v>0</v>
      </c>
      <c r="N242" s="14">
        <v>0</v>
      </c>
      <c r="O242" s="14">
        <v>0</v>
      </c>
      <c r="P242" s="14">
        <v>0</v>
      </c>
      <c r="Q242" s="14">
        <v>0</v>
      </c>
      <c r="R242" s="14">
        <v>0</v>
      </c>
      <c r="S242" s="14">
        <v>0</v>
      </c>
      <c r="T242" s="14">
        <v>0</v>
      </c>
      <c r="U242" s="14">
        <v>0</v>
      </c>
      <c r="V242" s="14">
        <v>0</v>
      </c>
      <c r="W242" s="15">
        <v>0</v>
      </c>
      <c r="X242" s="15">
        <v>0</v>
      </c>
      <c r="Y242" s="14">
        <v>0</v>
      </c>
      <c r="Z242" s="14">
        <v>0</v>
      </c>
      <c r="AA242" s="15">
        <v>0</v>
      </c>
      <c r="AB242" s="15">
        <v>0</v>
      </c>
      <c r="AC242" s="15">
        <v>0</v>
      </c>
      <c r="AD242" s="15">
        <v>0</v>
      </c>
      <c r="AE242" s="15">
        <v>0</v>
      </c>
      <c r="AF242" s="15">
        <v>0</v>
      </c>
      <c r="AG242" s="15">
        <v>0</v>
      </c>
      <c r="AH242" s="15">
        <v>0</v>
      </c>
      <c r="AI242" s="15">
        <v>0</v>
      </c>
      <c r="AJ242" s="15">
        <v>0</v>
      </c>
      <c r="AK242" s="15">
        <v>0</v>
      </c>
      <c r="AL242" s="15">
        <v>0</v>
      </c>
      <c r="AM242" s="14">
        <v>0</v>
      </c>
      <c r="AN242" s="14">
        <v>0</v>
      </c>
      <c r="AO242" s="14">
        <v>0</v>
      </c>
      <c r="AP242" s="14">
        <v>0</v>
      </c>
      <c r="AQ242" s="14">
        <v>0</v>
      </c>
      <c r="AR242" s="14">
        <v>0</v>
      </c>
      <c r="AS242" s="14">
        <v>0</v>
      </c>
      <c r="AT242" s="14">
        <v>0</v>
      </c>
      <c r="AU242" s="14">
        <v>0</v>
      </c>
      <c r="AV242" s="14">
        <v>0</v>
      </c>
      <c r="AW242" s="14">
        <v>0</v>
      </c>
      <c r="AX242" s="14">
        <v>0</v>
      </c>
      <c r="AY242" s="14">
        <v>0</v>
      </c>
      <c r="AZ242" s="14">
        <v>0</v>
      </c>
      <c r="BA242" s="14">
        <v>0</v>
      </c>
      <c r="BB242" s="14">
        <v>0</v>
      </c>
      <c r="BC242" s="14">
        <v>0</v>
      </c>
      <c r="BD242" s="14">
        <v>0</v>
      </c>
      <c r="BE242" s="14">
        <v>0</v>
      </c>
      <c r="BF242" s="14">
        <v>0</v>
      </c>
    </row>
    <row r="243" spans="1:58" ht="16">
      <c r="A243" s="14" t="s">
        <v>16974</v>
      </c>
      <c r="B243" s="14" t="s">
        <v>17314</v>
      </c>
      <c r="C243" s="14">
        <v>0</v>
      </c>
      <c r="D243" s="14">
        <v>0</v>
      </c>
      <c r="E243" s="14">
        <v>0</v>
      </c>
      <c r="F243" s="14">
        <v>0</v>
      </c>
      <c r="G243" s="14">
        <v>0</v>
      </c>
      <c r="H243" s="14">
        <v>0</v>
      </c>
      <c r="I243" s="14">
        <v>0</v>
      </c>
      <c r="J243" s="14">
        <v>0</v>
      </c>
      <c r="K243" s="14">
        <v>0</v>
      </c>
      <c r="L243" s="14">
        <v>0</v>
      </c>
      <c r="M243" s="14">
        <v>0</v>
      </c>
      <c r="N243" s="14">
        <v>0</v>
      </c>
      <c r="O243" s="14">
        <v>0</v>
      </c>
      <c r="P243" s="14">
        <v>0</v>
      </c>
      <c r="Q243" s="14">
        <v>0</v>
      </c>
      <c r="R243" s="14">
        <v>0</v>
      </c>
      <c r="S243" s="14">
        <v>0</v>
      </c>
      <c r="T243" s="14">
        <v>0</v>
      </c>
      <c r="U243" s="14">
        <v>0</v>
      </c>
      <c r="V243" s="14">
        <v>0</v>
      </c>
      <c r="W243" s="15">
        <v>0</v>
      </c>
      <c r="X243" s="15">
        <v>0</v>
      </c>
      <c r="Y243" s="14">
        <v>0</v>
      </c>
      <c r="Z243" s="14">
        <v>0</v>
      </c>
      <c r="AA243" s="15">
        <v>0</v>
      </c>
      <c r="AB243" s="15">
        <v>0</v>
      </c>
      <c r="AC243" s="15">
        <v>0</v>
      </c>
      <c r="AD243" s="15">
        <v>0</v>
      </c>
      <c r="AE243" s="15">
        <v>0</v>
      </c>
      <c r="AF243" s="15">
        <v>0</v>
      </c>
      <c r="AG243" s="15">
        <v>0</v>
      </c>
      <c r="AH243" s="15">
        <v>0</v>
      </c>
      <c r="AI243" s="15">
        <v>0</v>
      </c>
      <c r="AJ243" s="15">
        <v>0</v>
      </c>
      <c r="AK243" s="15">
        <v>0</v>
      </c>
      <c r="AL243" s="15">
        <v>0</v>
      </c>
      <c r="AM243" s="14">
        <v>0</v>
      </c>
      <c r="AN243" s="14">
        <v>0</v>
      </c>
      <c r="AO243" s="14">
        <v>0</v>
      </c>
      <c r="AP243" s="14">
        <v>0</v>
      </c>
      <c r="AQ243" s="14">
        <v>0</v>
      </c>
      <c r="AR243" s="14">
        <v>0</v>
      </c>
      <c r="AS243" s="14">
        <v>0</v>
      </c>
      <c r="AT243" s="14">
        <v>0</v>
      </c>
      <c r="AU243" s="14">
        <v>0</v>
      </c>
      <c r="AV243" s="14">
        <v>0</v>
      </c>
      <c r="AW243" s="14">
        <v>0</v>
      </c>
      <c r="AX243" s="14">
        <v>0</v>
      </c>
      <c r="AY243" s="14">
        <v>0</v>
      </c>
      <c r="AZ243" s="14">
        <v>0</v>
      </c>
      <c r="BA243" s="14">
        <v>0</v>
      </c>
      <c r="BB243" s="14">
        <v>0</v>
      </c>
      <c r="BC243" s="14">
        <v>0</v>
      </c>
      <c r="BD243" s="14">
        <v>0</v>
      </c>
      <c r="BE243" s="14">
        <v>0</v>
      </c>
      <c r="BF243" s="14">
        <v>0</v>
      </c>
    </row>
    <row r="244" spans="1:58" ht="16">
      <c r="A244" s="14" t="s">
        <v>16974</v>
      </c>
      <c r="B244" s="14" t="s">
        <v>17139</v>
      </c>
      <c r="C244" s="14">
        <v>0</v>
      </c>
      <c r="D244" s="14">
        <v>0</v>
      </c>
      <c r="E244" s="14">
        <v>0</v>
      </c>
      <c r="F244" s="14">
        <v>0</v>
      </c>
      <c r="G244" s="14">
        <v>0</v>
      </c>
      <c r="H244" s="14">
        <v>0</v>
      </c>
      <c r="I244" s="14">
        <v>0</v>
      </c>
      <c r="J244" s="14">
        <v>0</v>
      </c>
      <c r="K244" s="14">
        <v>0</v>
      </c>
      <c r="L244" s="14">
        <v>0</v>
      </c>
      <c r="M244" s="14">
        <v>0</v>
      </c>
      <c r="N244" s="14">
        <v>0</v>
      </c>
      <c r="O244" s="14">
        <v>0</v>
      </c>
      <c r="P244" s="14">
        <v>0</v>
      </c>
      <c r="Q244" s="14">
        <v>0</v>
      </c>
      <c r="R244" s="14">
        <v>0</v>
      </c>
      <c r="S244" s="14">
        <v>0</v>
      </c>
      <c r="T244" s="14">
        <v>0</v>
      </c>
      <c r="U244" s="14">
        <v>0</v>
      </c>
      <c r="V244" s="14">
        <v>0</v>
      </c>
      <c r="W244" s="15">
        <v>0</v>
      </c>
      <c r="X244" s="15">
        <v>0</v>
      </c>
      <c r="Y244" s="14">
        <v>0</v>
      </c>
      <c r="Z244" s="14">
        <v>0</v>
      </c>
      <c r="AA244" s="15">
        <v>0</v>
      </c>
      <c r="AB244" s="15">
        <v>0</v>
      </c>
      <c r="AC244" s="15">
        <v>0</v>
      </c>
      <c r="AD244" s="15">
        <v>0</v>
      </c>
      <c r="AE244" s="15">
        <v>0</v>
      </c>
      <c r="AF244" s="15">
        <v>0</v>
      </c>
      <c r="AG244" s="15">
        <v>0</v>
      </c>
      <c r="AH244" s="15">
        <v>0</v>
      </c>
      <c r="AI244" s="15">
        <v>0</v>
      </c>
      <c r="AJ244" s="15">
        <v>0</v>
      </c>
      <c r="AK244" s="15">
        <v>0</v>
      </c>
      <c r="AL244" s="15">
        <v>0</v>
      </c>
      <c r="AM244" s="14">
        <v>0</v>
      </c>
      <c r="AN244" s="14">
        <v>0</v>
      </c>
      <c r="AO244" s="14">
        <v>0</v>
      </c>
      <c r="AP244" s="14">
        <v>0</v>
      </c>
      <c r="AQ244" s="14">
        <v>0</v>
      </c>
      <c r="AR244" s="14">
        <v>0</v>
      </c>
      <c r="AS244" s="14">
        <v>0</v>
      </c>
      <c r="AT244" s="14">
        <v>0</v>
      </c>
      <c r="AU244" s="14">
        <v>0</v>
      </c>
      <c r="AV244" s="14">
        <v>0</v>
      </c>
      <c r="AW244" s="14">
        <v>0</v>
      </c>
      <c r="AX244" s="14">
        <v>0</v>
      </c>
      <c r="AY244" s="14">
        <v>0</v>
      </c>
      <c r="AZ244" s="14">
        <v>0</v>
      </c>
      <c r="BA244" s="14">
        <v>0</v>
      </c>
      <c r="BB244" s="14">
        <v>0</v>
      </c>
      <c r="BC244" s="14">
        <v>0</v>
      </c>
      <c r="BD244" s="14">
        <v>0</v>
      </c>
      <c r="BE244" s="14">
        <v>0</v>
      </c>
      <c r="BF244" s="14">
        <v>0</v>
      </c>
    </row>
    <row r="245" spans="1:58" ht="16">
      <c r="A245" s="14" t="s">
        <v>16974</v>
      </c>
      <c r="B245" s="14" t="s">
        <v>17142</v>
      </c>
      <c r="C245" s="14">
        <v>4</v>
      </c>
      <c r="D245" s="14">
        <v>90</v>
      </c>
      <c r="E245" s="14">
        <v>90</v>
      </c>
      <c r="F245" s="14">
        <v>11</v>
      </c>
      <c r="G245" s="14">
        <v>1</v>
      </c>
      <c r="H245" s="14">
        <v>82</v>
      </c>
      <c r="I245" s="14">
        <v>0</v>
      </c>
      <c r="J245" s="14">
        <v>89</v>
      </c>
      <c r="K245" s="16">
        <v>4963</v>
      </c>
      <c r="L245" s="14">
        <v>87</v>
      </c>
      <c r="M245" s="14">
        <v>0</v>
      </c>
      <c r="N245" s="14">
        <v>2</v>
      </c>
      <c r="O245" s="14">
        <v>0</v>
      </c>
      <c r="P245" s="14">
        <v>0</v>
      </c>
      <c r="Q245" s="14">
        <v>0</v>
      </c>
      <c r="R245" s="14">
        <v>0</v>
      </c>
      <c r="S245" s="14">
        <v>37.25</v>
      </c>
      <c r="T245" s="14">
        <v>36</v>
      </c>
      <c r="U245" s="14">
        <v>0</v>
      </c>
      <c r="V245" s="14">
        <v>73.3</v>
      </c>
      <c r="W245" s="15">
        <v>1085</v>
      </c>
      <c r="X245" s="15">
        <v>0</v>
      </c>
      <c r="Y245" s="14">
        <v>83</v>
      </c>
      <c r="Z245" s="14">
        <v>0</v>
      </c>
      <c r="AA245" s="15">
        <v>-7.5</v>
      </c>
      <c r="AB245" s="15">
        <v>0</v>
      </c>
      <c r="AC245" s="15">
        <v>3890.03</v>
      </c>
      <c r="AD245" s="15">
        <v>3890.03</v>
      </c>
      <c r="AE245" s="15">
        <v>1039.83</v>
      </c>
      <c r="AF245" s="15">
        <v>3890.03</v>
      </c>
      <c r="AG245" s="15">
        <v>4975.03</v>
      </c>
      <c r="AH245" s="15">
        <v>3935.2</v>
      </c>
      <c r="AI245" s="15">
        <v>1014.83</v>
      </c>
      <c r="AJ245" s="15">
        <v>3787.33</v>
      </c>
      <c r="AK245" s="15">
        <v>4807.33</v>
      </c>
      <c r="AL245" s="15">
        <v>3792.5</v>
      </c>
      <c r="AM245" s="14">
        <v>0</v>
      </c>
      <c r="AN245" s="14">
        <v>82</v>
      </c>
      <c r="AO245" s="14">
        <v>0</v>
      </c>
      <c r="AP245" s="14">
        <v>0</v>
      </c>
      <c r="AQ245" s="14">
        <v>0</v>
      </c>
      <c r="AR245" s="14">
        <v>0</v>
      </c>
      <c r="AS245" s="14">
        <v>0</v>
      </c>
      <c r="AT245" s="16">
        <v>4963</v>
      </c>
      <c r="AU245" s="16">
        <v>4899</v>
      </c>
      <c r="AV245" s="14">
        <v>33</v>
      </c>
      <c r="AW245" s="14">
        <v>31</v>
      </c>
      <c r="AX245" s="14">
        <v>38</v>
      </c>
      <c r="AY245" s="14">
        <v>34</v>
      </c>
      <c r="AZ245" s="14">
        <v>3</v>
      </c>
      <c r="BA245" s="14">
        <v>1</v>
      </c>
      <c r="BB245" s="14">
        <v>36.75</v>
      </c>
      <c r="BC245" s="14">
        <v>34</v>
      </c>
      <c r="BD245" s="14">
        <v>1.75</v>
      </c>
      <c r="BE245" s="14">
        <v>1</v>
      </c>
      <c r="BF245" s="14">
        <v>303</v>
      </c>
    </row>
    <row r="246" spans="1:58" ht="16">
      <c r="A246" s="14" t="s">
        <v>16974</v>
      </c>
      <c r="B246" s="14" t="s">
        <v>17144</v>
      </c>
      <c r="C246" s="14">
        <v>0</v>
      </c>
      <c r="D246" s="14">
        <v>5</v>
      </c>
      <c r="E246" s="14">
        <v>4</v>
      </c>
      <c r="F246" s="14">
        <v>5</v>
      </c>
      <c r="G246" s="14">
        <v>0</v>
      </c>
      <c r="H246" s="14">
        <v>0</v>
      </c>
      <c r="I246" s="14">
        <v>0</v>
      </c>
      <c r="J246" s="14">
        <v>5</v>
      </c>
      <c r="K246" s="14">
        <v>15</v>
      </c>
      <c r="L246" s="14">
        <v>5</v>
      </c>
      <c r="M246" s="14">
        <v>0</v>
      </c>
      <c r="N246" s="14">
        <v>0</v>
      </c>
      <c r="O246" s="14">
        <v>0</v>
      </c>
      <c r="P246" s="14">
        <v>0</v>
      </c>
      <c r="Q246" s="14">
        <v>0</v>
      </c>
      <c r="R246" s="14">
        <v>0</v>
      </c>
      <c r="S246" s="14">
        <v>1.25</v>
      </c>
      <c r="T246" s="14">
        <v>1.25</v>
      </c>
      <c r="U246" s="14">
        <v>0</v>
      </c>
      <c r="V246" s="14">
        <v>2.5</v>
      </c>
      <c r="W246" s="15">
        <v>37.5</v>
      </c>
      <c r="X246" s="15">
        <v>0</v>
      </c>
      <c r="Y246" s="14">
        <v>5</v>
      </c>
      <c r="Z246" s="14">
        <v>0</v>
      </c>
      <c r="AA246" s="15">
        <v>0</v>
      </c>
      <c r="AB246" s="15">
        <v>0</v>
      </c>
      <c r="AC246" s="15">
        <v>0</v>
      </c>
      <c r="AD246" s="15">
        <v>0</v>
      </c>
      <c r="AE246" s="15">
        <v>0</v>
      </c>
      <c r="AF246" s="15">
        <v>0</v>
      </c>
      <c r="AG246" s="15">
        <v>37.5</v>
      </c>
      <c r="AH246" s="15">
        <v>37.5</v>
      </c>
      <c r="AI246" s="15">
        <v>0</v>
      </c>
      <c r="AJ246" s="15">
        <v>0</v>
      </c>
      <c r="AK246" s="15">
        <v>0</v>
      </c>
      <c r="AL246" s="15">
        <v>0</v>
      </c>
      <c r="AM246" s="14">
        <v>0</v>
      </c>
      <c r="AN246" s="14">
        <v>0</v>
      </c>
      <c r="AO246" s="14">
        <v>0</v>
      </c>
      <c r="AP246" s="14">
        <v>0</v>
      </c>
      <c r="AQ246" s="14">
        <v>0</v>
      </c>
      <c r="AR246" s="14">
        <v>0</v>
      </c>
      <c r="AS246" s="14">
        <v>0</v>
      </c>
      <c r="AT246" s="14">
        <v>15</v>
      </c>
      <c r="AU246" s="14">
        <v>0</v>
      </c>
      <c r="AV246" s="14">
        <v>15</v>
      </c>
      <c r="AW246" s="14">
        <v>0</v>
      </c>
      <c r="AX246" s="14">
        <v>1.25</v>
      </c>
      <c r="AY246" s="14">
        <v>0</v>
      </c>
      <c r="AZ246" s="14">
        <v>1.25</v>
      </c>
      <c r="BA246" s="14">
        <v>0</v>
      </c>
      <c r="BB246" s="14">
        <v>1.25</v>
      </c>
      <c r="BC246" s="14">
        <v>0</v>
      </c>
      <c r="BD246" s="14">
        <v>1.25</v>
      </c>
      <c r="BE246" s="14">
        <v>0</v>
      </c>
      <c r="BF246" s="14">
        <v>859</v>
      </c>
    </row>
    <row r="247" spans="1:58" ht="16">
      <c r="A247" s="14" t="s">
        <v>16974</v>
      </c>
      <c r="B247" s="14" t="s">
        <v>17145</v>
      </c>
      <c r="C247" s="14">
        <v>0</v>
      </c>
      <c r="D247" s="14">
        <v>0</v>
      </c>
      <c r="E247" s="14">
        <v>0</v>
      </c>
      <c r="F247" s="14">
        <v>0</v>
      </c>
      <c r="G247" s="14">
        <v>0</v>
      </c>
      <c r="H247" s="14">
        <v>0</v>
      </c>
      <c r="I247" s="14">
        <v>0</v>
      </c>
      <c r="J247" s="14">
        <v>0</v>
      </c>
      <c r="K247" s="14">
        <v>0</v>
      </c>
      <c r="L247" s="14">
        <v>0</v>
      </c>
      <c r="M247" s="14">
        <v>0</v>
      </c>
      <c r="N247" s="14">
        <v>0</v>
      </c>
      <c r="O247" s="14">
        <v>0</v>
      </c>
      <c r="P247" s="14">
        <v>0</v>
      </c>
      <c r="Q247" s="14">
        <v>0</v>
      </c>
      <c r="R247" s="14">
        <v>0</v>
      </c>
      <c r="S247" s="14">
        <v>0</v>
      </c>
      <c r="T247" s="14">
        <v>0</v>
      </c>
      <c r="U247" s="14">
        <v>0</v>
      </c>
      <c r="V247" s="14">
        <v>0</v>
      </c>
      <c r="W247" s="15">
        <v>0</v>
      </c>
      <c r="X247" s="15">
        <v>0</v>
      </c>
      <c r="Y247" s="14">
        <v>0</v>
      </c>
      <c r="Z247" s="14">
        <v>0</v>
      </c>
      <c r="AA247" s="15">
        <v>0</v>
      </c>
      <c r="AB247" s="15">
        <v>0</v>
      </c>
      <c r="AC247" s="15">
        <v>0</v>
      </c>
      <c r="AD247" s="15">
        <v>0</v>
      </c>
      <c r="AE247" s="15">
        <v>0</v>
      </c>
      <c r="AF247" s="15">
        <v>0</v>
      </c>
      <c r="AG247" s="15">
        <v>0</v>
      </c>
      <c r="AH247" s="15">
        <v>0</v>
      </c>
      <c r="AI247" s="15">
        <v>0</v>
      </c>
      <c r="AJ247" s="15">
        <v>0</v>
      </c>
      <c r="AK247" s="15">
        <v>0</v>
      </c>
      <c r="AL247" s="15">
        <v>0</v>
      </c>
      <c r="AM247" s="14">
        <v>0</v>
      </c>
      <c r="AN247" s="14">
        <v>0</v>
      </c>
      <c r="AO247" s="14">
        <v>0</v>
      </c>
      <c r="AP247" s="14">
        <v>0</v>
      </c>
      <c r="AQ247" s="14">
        <v>0</v>
      </c>
      <c r="AR247" s="14">
        <v>0</v>
      </c>
      <c r="AS247" s="14">
        <v>0</v>
      </c>
      <c r="AT247" s="14">
        <v>0</v>
      </c>
      <c r="AU247" s="14">
        <v>0</v>
      </c>
      <c r="AV247" s="14">
        <v>0</v>
      </c>
      <c r="AW247" s="14">
        <v>0</v>
      </c>
      <c r="AX247" s="14">
        <v>0</v>
      </c>
      <c r="AY247" s="14">
        <v>0</v>
      </c>
      <c r="AZ247" s="14">
        <v>0</v>
      </c>
      <c r="BA247" s="14">
        <v>0</v>
      </c>
      <c r="BB247" s="14">
        <v>0</v>
      </c>
      <c r="BC247" s="14">
        <v>0</v>
      </c>
      <c r="BD247" s="14">
        <v>0</v>
      </c>
      <c r="BE247" s="14">
        <v>0</v>
      </c>
      <c r="BF247" s="14">
        <v>0</v>
      </c>
    </row>
    <row r="248" spans="1:58" ht="16">
      <c r="A248" s="14" t="s">
        <v>16974</v>
      </c>
      <c r="B248" s="14" t="s">
        <v>17324</v>
      </c>
      <c r="C248" s="14">
        <v>0</v>
      </c>
      <c r="D248" s="14">
        <v>0</v>
      </c>
      <c r="E248" s="14">
        <v>0</v>
      </c>
      <c r="F248" s="14">
        <v>0</v>
      </c>
      <c r="G248" s="14">
        <v>0</v>
      </c>
      <c r="H248" s="14">
        <v>0</v>
      </c>
      <c r="I248" s="14">
        <v>0</v>
      </c>
      <c r="J248" s="14">
        <v>0</v>
      </c>
      <c r="K248" s="14">
        <v>0</v>
      </c>
      <c r="L248" s="14">
        <v>0</v>
      </c>
      <c r="M248" s="14">
        <v>0</v>
      </c>
      <c r="N248" s="14">
        <v>0</v>
      </c>
      <c r="O248" s="14">
        <v>0</v>
      </c>
      <c r="P248" s="14">
        <v>0</v>
      </c>
      <c r="Q248" s="14">
        <v>0</v>
      </c>
      <c r="R248" s="14">
        <v>0</v>
      </c>
      <c r="S248" s="14">
        <v>0</v>
      </c>
      <c r="T248" s="14">
        <v>0</v>
      </c>
      <c r="U248" s="14">
        <v>0</v>
      </c>
      <c r="V248" s="14">
        <v>0</v>
      </c>
      <c r="W248" s="15">
        <v>0</v>
      </c>
      <c r="X248" s="15">
        <v>0</v>
      </c>
      <c r="Y248" s="14">
        <v>0</v>
      </c>
      <c r="Z248" s="14">
        <v>0</v>
      </c>
      <c r="AA248" s="15">
        <v>0</v>
      </c>
      <c r="AB248" s="15">
        <v>0</v>
      </c>
      <c r="AC248" s="15">
        <v>0</v>
      </c>
      <c r="AD248" s="15">
        <v>0</v>
      </c>
      <c r="AE248" s="15">
        <v>0</v>
      </c>
      <c r="AF248" s="15">
        <v>0</v>
      </c>
      <c r="AG248" s="15">
        <v>0</v>
      </c>
      <c r="AH248" s="15">
        <v>0</v>
      </c>
      <c r="AI248" s="15">
        <v>0</v>
      </c>
      <c r="AJ248" s="15">
        <v>0</v>
      </c>
      <c r="AK248" s="15">
        <v>0</v>
      </c>
      <c r="AL248" s="15">
        <v>0</v>
      </c>
      <c r="AM248" s="14">
        <v>0</v>
      </c>
      <c r="AN248" s="14">
        <v>0</v>
      </c>
      <c r="AO248" s="14">
        <v>0</v>
      </c>
      <c r="AP248" s="14">
        <v>0</v>
      </c>
      <c r="AQ248" s="14">
        <v>0</v>
      </c>
      <c r="AR248" s="14">
        <v>0</v>
      </c>
      <c r="AS248" s="14">
        <v>0</v>
      </c>
      <c r="AT248" s="14">
        <v>0</v>
      </c>
      <c r="AU248" s="14">
        <v>0</v>
      </c>
      <c r="AV248" s="14">
        <v>0</v>
      </c>
      <c r="AW248" s="14">
        <v>0</v>
      </c>
      <c r="AX248" s="14">
        <v>0</v>
      </c>
      <c r="AY248" s="14">
        <v>0</v>
      </c>
      <c r="AZ248" s="14">
        <v>0</v>
      </c>
      <c r="BA248" s="14">
        <v>0</v>
      </c>
      <c r="BB248" s="14">
        <v>0</v>
      </c>
      <c r="BC248" s="14">
        <v>0</v>
      </c>
      <c r="BD248" s="14">
        <v>0</v>
      </c>
      <c r="BE248" s="14">
        <v>0</v>
      </c>
      <c r="BF248" s="14">
        <v>0</v>
      </c>
    </row>
    <row r="249" spans="1:58" ht="16">
      <c r="A249" s="14" t="s">
        <v>16974</v>
      </c>
      <c r="B249" s="14" t="s">
        <v>17322</v>
      </c>
      <c r="C249" s="14">
        <v>0</v>
      </c>
      <c r="D249" s="14">
        <v>1</v>
      </c>
      <c r="E249" s="14">
        <v>1</v>
      </c>
      <c r="F249" s="14">
        <v>1</v>
      </c>
      <c r="G249" s="14">
        <v>1</v>
      </c>
      <c r="H249" s="14">
        <v>1</v>
      </c>
      <c r="I249" s="14">
        <v>1</v>
      </c>
      <c r="J249" s="14">
        <v>1</v>
      </c>
      <c r="K249" s="14">
        <v>163</v>
      </c>
      <c r="L249" s="14">
        <v>1</v>
      </c>
      <c r="M249" s="14">
        <v>0</v>
      </c>
      <c r="N249" s="14">
        <v>0</v>
      </c>
      <c r="O249" s="14">
        <v>0</v>
      </c>
      <c r="P249" s="14">
        <v>0</v>
      </c>
      <c r="Q249" s="14">
        <v>0</v>
      </c>
      <c r="R249" s="14">
        <v>0</v>
      </c>
      <c r="S249" s="14">
        <v>4</v>
      </c>
      <c r="T249" s="14">
        <v>42</v>
      </c>
      <c r="U249" s="14">
        <v>0</v>
      </c>
      <c r="V249" s="14">
        <v>46</v>
      </c>
      <c r="W249" s="15">
        <v>880</v>
      </c>
      <c r="X249" s="15">
        <v>0</v>
      </c>
      <c r="Y249" s="14">
        <v>1</v>
      </c>
      <c r="Z249" s="14">
        <v>0</v>
      </c>
      <c r="AA249" s="15">
        <v>0</v>
      </c>
      <c r="AB249" s="15">
        <v>850</v>
      </c>
      <c r="AC249" s="15">
        <v>109</v>
      </c>
      <c r="AD249" s="15">
        <v>109</v>
      </c>
      <c r="AE249" s="15">
        <v>359</v>
      </c>
      <c r="AF249" s="15">
        <v>959</v>
      </c>
      <c r="AG249" s="15">
        <v>989</v>
      </c>
      <c r="AH249" s="15">
        <v>630</v>
      </c>
      <c r="AI249" s="15">
        <v>359</v>
      </c>
      <c r="AJ249" s="15">
        <v>959</v>
      </c>
      <c r="AK249" s="15">
        <v>989</v>
      </c>
      <c r="AL249" s="15">
        <v>630</v>
      </c>
      <c r="AM249" s="14">
        <v>0</v>
      </c>
      <c r="AN249" s="14">
        <v>0</v>
      </c>
      <c r="AO249" s="14">
        <v>0</v>
      </c>
      <c r="AP249" s="14">
        <v>1</v>
      </c>
      <c r="AQ249" s="14">
        <v>0</v>
      </c>
      <c r="AR249" s="14">
        <v>0</v>
      </c>
      <c r="AS249" s="14">
        <v>0</v>
      </c>
      <c r="AT249" s="14">
        <v>163</v>
      </c>
      <c r="AU249" s="14">
        <v>163</v>
      </c>
      <c r="AV249" s="14">
        <v>0</v>
      </c>
      <c r="AW249" s="14">
        <v>0</v>
      </c>
      <c r="AX249" s="14">
        <v>4</v>
      </c>
      <c r="AY249" s="14">
        <v>4</v>
      </c>
      <c r="AZ249" s="14">
        <v>0</v>
      </c>
      <c r="BA249" s="14">
        <v>0</v>
      </c>
      <c r="BB249" s="14">
        <v>42</v>
      </c>
      <c r="BC249" s="14">
        <v>42</v>
      </c>
      <c r="BD249" s="14">
        <v>0</v>
      </c>
      <c r="BE249" s="14">
        <v>0</v>
      </c>
      <c r="BF249" s="14"/>
    </row>
    <row r="250" spans="1:58" ht="16">
      <c r="A250" s="14" t="s">
        <v>16974</v>
      </c>
      <c r="B250" s="14" t="s">
        <v>17322</v>
      </c>
      <c r="C250" s="14">
        <v>0</v>
      </c>
      <c r="D250" s="14">
        <v>1</v>
      </c>
      <c r="E250" s="14">
        <v>1</v>
      </c>
      <c r="F250" s="14">
        <v>1</v>
      </c>
      <c r="G250" s="14">
        <v>0</v>
      </c>
      <c r="H250" s="14">
        <v>0</v>
      </c>
      <c r="I250" s="14">
        <v>0</v>
      </c>
      <c r="J250" s="14">
        <v>1</v>
      </c>
      <c r="K250" s="14">
        <v>7</v>
      </c>
      <c r="L250" s="14">
        <v>0</v>
      </c>
      <c r="M250" s="14">
        <v>0</v>
      </c>
      <c r="N250" s="14">
        <v>0</v>
      </c>
      <c r="O250" s="14">
        <v>1</v>
      </c>
      <c r="P250" s="14">
        <v>0</v>
      </c>
      <c r="Q250" s="14">
        <v>0</v>
      </c>
      <c r="R250" s="14">
        <v>0</v>
      </c>
      <c r="S250" s="14">
        <v>0</v>
      </c>
      <c r="T250" s="14">
        <v>0</v>
      </c>
      <c r="U250" s="14">
        <v>0</v>
      </c>
      <c r="V250" s="14">
        <v>0</v>
      </c>
      <c r="W250" s="15">
        <v>0</v>
      </c>
      <c r="X250" s="15">
        <v>0</v>
      </c>
      <c r="Y250" s="14">
        <v>0</v>
      </c>
      <c r="Z250" s="14">
        <v>0</v>
      </c>
      <c r="AA250" s="15">
        <v>0</v>
      </c>
      <c r="AB250" s="15">
        <v>0</v>
      </c>
      <c r="AC250" s="15">
        <v>0</v>
      </c>
      <c r="AD250" s="15">
        <v>0</v>
      </c>
      <c r="AE250" s="15">
        <v>0</v>
      </c>
      <c r="AF250" s="15">
        <v>0</v>
      </c>
      <c r="AG250" s="15">
        <v>0</v>
      </c>
      <c r="AH250" s="15">
        <v>0</v>
      </c>
      <c r="AI250" s="15">
        <v>0</v>
      </c>
      <c r="AJ250" s="15">
        <v>0</v>
      </c>
      <c r="AK250" s="15">
        <v>0</v>
      </c>
      <c r="AL250" s="15">
        <v>0</v>
      </c>
      <c r="AM250" s="14">
        <v>0</v>
      </c>
      <c r="AN250" s="14">
        <v>0</v>
      </c>
      <c r="AO250" s="14">
        <v>0</v>
      </c>
      <c r="AP250" s="14">
        <v>0</v>
      </c>
      <c r="AQ250" s="14">
        <v>0</v>
      </c>
      <c r="AR250" s="14">
        <v>0</v>
      </c>
      <c r="AS250" s="14">
        <v>0</v>
      </c>
      <c r="AT250" s="14">
        <v>7</v>
      </c>
      <c r="AU250" s="14">
        <v>0</v>
      </c>
      <c r="AV250" s="14">
        <v>7</v>
      </c>
      <c r="AW250" s="14">
        <v>0</v>
      </c>
      <c r="AX250" s="14">
        <v>0</v>
      </c>
      <c r="AY250" s="14">
        <v>0</v>
      </c>
      <c r="AZ250" s="14">
        <v>0</v>
      </c>
      <c r="BA250" s="14">
        <v>0</v>
      </c>
      <c r="BB250" s="14">
        <v>0</v>
      </c>
      <c r="BC250" s="14">
        <v>0</v>
      </c>
      <c r="BD250" s="14">
        <v>0</v>
      </c>
      <c r="BE250" s="14">
        <v>0</v>
      </c>
      <c r="BF250" s="14">
        <v>0</v>
      </c>
    </row>
    <row r="251" spans="1:58" ht="16">
      <c r="A251" s="14" t="s">
        <v>16974</v>
      </c>
      <c r="B251" s="14" t="s">
        <v>17323</v>
      </c>
      <c r="C251" s="14">
        <v>0</v>
      </c>
      <c r="D251" s="14">
        <v>3</v>
      </c>
      <c r="E251" s="14">
        <v>3</v>
      </c>
      <c r="F251" s="14">
        <v>3</v>
      </c>
      <c r="G251" s="14">
        <v>0</v>
      </c>
      <c r="H251" s="14">
        <v>0</v>
      </c>
      <c r="I251" s="14">
        <v>0</v>
      </c>
      <c r="J251" s="14">
        <v>3</v>
      </c>
      <c r="K251" s="14">
        <v>3</v>
      </c>
      <c r="L251" s="14">
        <v>3</v>
      </c>
      <c r="M251" s="14">
        <v>0</v>
      </c>
      <c r="N251" s="14">
        <v>0</v>
      </c>
      <c r="O251" s="14">
        <v>0</v>
      </c>
      <c r="P251" s="14">
        <v>0</v>
      </c>
      <c r="Q251" s="14">
        <v>0</v>
      </c>
      <c r="R251" s="14">
        <v>0</v>
      </c>
      <c r="S251" s="14">
        <v>1</v>
      </c>
      <c r="T251" s="14">
        <v>0</v>
      </c>
      <c r="U251" s="14">
        <v>0</v>
      </c>
      <c r="V251" s="14">
        <v>1</v>
      </c>
      <c r="W251" s="15">
        <v>10</v>
      </c>
      <c r="X251" s="15">
        <v>0</v>
      </c>
      <c r="Y251" s="14">
        <v>3</v>
      </c>
      <c r="Z251" s="14">
        <v>0</v>
      </c>
      <c r="AA251" s="15">
        <v>0</v>
      </c>
      <c r="AB251" s="15">
        <v>10</v>
      </c>
      <c r="AC251" s="15">
        <v>0</v>
      </c>
      <c r="AD251" s="15">
        <v>0</v>
      </c>
      <c r="AE251" s="15">
        <v>0</v>
      </c>
      <c r="AF251" s="15">
        <v>10</v>
      </c>
      <c r="AG251" s="15">
        <v>10</v>
      </c>
      <c r="AH251" s="15">
        <v>10</v>
      </c>
      <c r="AI251" s="15">
        <v>0</v>
      </c>
      <c r="AJ251" s="15">
        <v>0</v>
      </c>
      <c r="AK251" s="15">
        <v>0</v>
      </c>
      <c r="AL251" s="15">
        <v>0</v>
      </c>
      <c r="AM251" s="14">
        <v>0</v>
      </c>
      <c r="AN251" s="14">
        <v>0</v>
      </c>
      <c r="AO251" s="14">
        <v>0</v>
      </c>
      <c r="AP251" s="14">
        <v>0</v>
      </c>
      <c r="AQ251" s="14">
        <v>0</v>
      </c>
      <c r="AR251" s="14">
        <v>0</v>
      </c>
      <c r="AS251" s="14">
        <v>0</v>
      </c>
      <c r="AT251" s="14">
        <v>3</v>
      </c>
      <c r="AU251" s="14">
        <v>0</v>
      </c>
      <c r="AV251" s="14">
        <v>3</v>
      </c>
      <c r="AW251" s="14">
        <v>0</v>
      </c>
      <c r="AX251" s="14">
        <v>1</v>
      </c>
      <c r="AY251" s="14">
        <v>0</v>
      </c>
      <c r="AZ251" s="14">
        <v>1</v>
      </c>
      <c r="BA251" s="14">
        <v>0</v>
      </c>
      <c r="BB251" s="14">
        <v>0</v>
      </c>
      <c r="BC251" s="14">
        <v>0</v>
      </c>
      <c r="BD251" s="14">
        <v>0</v>
      </c>
      <c r="BE251" s="14">
        <v>0</v>
      </c>
      <c r="BF251" s="14">
        <v>3</v>
      </c>
    </row>
    <row r="252" spans="1:58" ht="16">
      <c r="A252" s="14" t="s">
        <v>17148</v>
      </c>
      <c r="B252" s="14" t="s">
        <v>17304</v>
      </c>
      <c r="C252" s="14">
        <v>0</v>
      </c>
      <c r="D252" s="14">
        <v>23</v>
      </c>
      <c r="E252" s="14">
        <v>0</v>
      </c>
      <c r="F252" s="14">
        <v>19</v>
      </c>
      <c r="G252" s="14">
        <v>0</v>
      </c>
      <c r="H252" s="14">
        <v>0</v>
      </c>
      <c r="I252" s="14">
        <v>0</v>
      </c>
      <c r="J252" s="14">
        <v>23</v>
      </c>
      <c r="K252" s="14">
        <v>115</v>
      </c>
      <c r="L252" s="14">
        <v>17</v>
      </c>
      <c r="M252" s="14">
        <v>0</v>
      </c>
      <c r="N252" s="14">
        <v>0</v>
      </c>
      <c r="O252" s="14">
        <v>6</v>
      </c>
      <c r="P252" s="14">
        <v>0</v>
      </c>
      <c r="Q252" s="14">
        <v>0</v>
      </c>
      <c r="R252" s="14">
        <v>0</v>
      </c>
      <c r="S252" s="14">
        <v>23.5</v>
      </c>
      <c r="T252" s="14">
        <v>0</v>
      </c>
      <c r="U252" s="14">
        <v>0</v>
      </c>
      <c r="V252" s="14">
        <v>16.75</v>
      </c>
      <c r="W252" s="15">
        <v>167.5</v>
      </c>
      <c r="X252" s="15">
        <v>0</v>
      </c>
      <c r="Y252" s="14">
        <v>13</v>
      </c>
      <c r="Z252" s="14">
        <v>0</v>
      </c>
      <c r="AA252" s="15">
        <v>0</v>
      </c>
      <c r="AB252" s="15">
        <v>20</v>
      </c>
      <c r="AC252" s="15">
        <v>0</v>
      </c>
      <c r="AD252" s="15">
        <v>0</v>
      </c>
      <c r="AE252" s="15">
        <v>0</v>
      </c>
      <c r="AF252" s="15">
        <v>20</v>
      </c>
      <c r="AG252" s="15">
        <v>167.5</v>
      </c>
      <c r="AH252" s="15">
        <v>167.5</v>
      </c>
      <c r="AI252" s="15">
        <v>0</v>
      </c>
      <c r="AJ252" s="15">
        <v>0</v>
      </c>
      <c r="AK252" s="15">
        <v>0</v>
      </c>
      <c r="AL252" s="15">
        <v>0</v>
      </c>
      <c r="AM252" s="14">
        <v>0</v>
      </c>
      <c r="AN252" s="14">
        <v>0</v>
      </c>
      <c r="AO252" s="14">
        <v>0</v>
      </c>
      <c r="AP252" s="14">
        <v>0</v>
      </c>
      <c r="AQ252" s="14">
        <v>0</v>
      </c>
      <c r="AR252" s="14">
        <v>0</v>
      </c>
      <c r="AS252" s="14">
        <v>0</v>
      </c>
      <c r="AT252" s="14">
        <v>115</v>
      </c>
      <c r="AU252" s="14">
        <v>0</v>
      </c>
      <c r="AV252" s="14">
        <v>115</v>
      </c>
      <c r="AW252" s="14">
        <v>0</v>
      </c>
      <c r="AX252" s="14">
        <v>16.75</v>
      </c>
      <c r="AY252" s="14">
        <v>0</v>
      </c>
      <c r="AZ252" s="14">
        <v>16.75</v>
      </c>
      <c r="BA252" s="14">
        <v>0</v>
      </c>
      <c r="BB252" s="14">
        <v>0</v>
      </c>
      <c r="BC252" s="14">
        <v>0</v>
      </c>
      <c r="BD252" s="14">
        <v>0</v>
      </c>
      <c r="BE252" s="14">
        <v>0</v>
      </c>
      <c r="BF252" s="14">
        <v>1</v>
      </c>
    </row>
    <row r="253" spans="1:58" ht="16">
      <c r="A253" s="14" t="s">
        <v>17150</v>
      </c>
      <c r="B253" s="14" t="s">
        <v>18838</v>
      </c>
      <c r="C253" s="14">
        <v>0</v>
      </c>
      <c r="D253" s="14">
        <v>35</v>
      </c>
      <c r="E253" s="14">
        <v>33</v>
      </c>
      <c r="F253" s="14">
        <v>31</v>
      </c>
      <c r="G253" s="14">
        <v>2</v>
      </c>
      <c r="H253" s="14">
        <v>8</v>
      </c>
      <c r="I253" s="14">
        <v>3</v>
      </c>
      <c r="J253" s="14">
        <v>33</v>
      </c>
      <c r="K253" s="14">
        <v>282</v>
      </c>
      <c r="L253" s="14">
        <v>14</v>
      </c>
      <c r="M253" s="14">
        <v>1</v>
      </c>
      <c r="N253" s="14">
        <v>13</v>
      </c>
      <c r="O253" s="14">
        <v>6</v>
      </c>
      <c r="P253" s="14">
        <v>0</v>
      </c>
      <c r="Q253" s="14">
        <v>1</v>
      </c>
      <c r="R253" s="14">
        <v>0</v>
      </c>
      <c r="S253" s="14">
        <v>8.25</v>
      </c>
      <c r="T253" s="14">
        <v>7.25</v>
      </c>
      <c r="U253" s="14">
        <v>0</v>
      </c>
      <c r="V253" s="14">
        <v>15.5</v>
      </c>
      <c r="W253" s="15">
        <v>227.5</v>
      </c>
      <c r="X253" s="15">
        <v>0</v>
      </c>
      <c r="Y253" s="14">
        <v>15</v>
      </c>
      <c r="Z253" s="14">
        <v>0</v>
      </c>
      <c r="AA253" s="15">
        <v>0</v>
      </c>
      <c r="AB253" s="15">
        <v>20</v>
      </c>
      <c r="AC253" s="15">
        <v>0</v>
      </c>
      <c r="AD253" s="15">
        <v>0</v>
      </c>
      <c r="AE253" s="15">
        <v>0</v>
      </c>
      <c r="AF253" s="15">
        <v>20</v>
      </c>
      <c r="AG253" s="15">
        <v>227.5</v>
      </c>
      <c r="AH253" s="15">
        <v>227.5</v>
      </c>
      <c r="AI253" s="15">
        <v>0</v>
      </c>
      <c r="AJ253" s="15">
        <v>20</v>
      </c>
      <c r="AK253" s="15">
        <v>140</v>
      </c>
      <c r="AL253" s="15">
        <v>140</v>
      </c>
      <c r="AM253" s="14">
        <v>15</v>
      </c>
      <c r="AN253" s="14">
        <v>4</v>
      </c>
      <c r="AO253" s="14">
        <v>11</v>
      </c>
      <c r="AP253" s="14">
        <v>0</v>
      </c>
      <c r="AQ253" s="14">
        <v>12</v>
      </c>
      <c r="AR253" s="14">
        <v>1</v>
      </c>
      <c r="AS253" s="14">
        <v>11</v>
      </c>
      <c r="AT253" s="14">
        <v>282</v>
      </c>
      <c r="AU253" s="14">
        <v>103.25</v>
      </c>
      <c r="AV253" s="14">
        <v>190.5</v>
      </c>
      <c r="AW253" s="14">
        <v>2.75</v>
      </c>
      <c r="AX253" s="14">
        <v>0</v>
      </c>
      <c r="AY253" s="14">
        <v>0</v>
      </c>
      <c r="AZ253" s="14">
        <v>0</v>
      </c>
      <c r="BA253" s="14">
        <v>0</v>
      </c>
      <c r="BB253" s="14">
        <v>0</v>
      </c>
      <c r="BC253" s="14">
        <v>0</v>
      </c>
      <c r="BD253" s="14">
        <v>0</v>
      </c>
      <c r="BE253" s="14">
        <v>0</v>
      </c>
      <c r="BF253" s="14"/>
    </row>
    <row r="254" spans="1:58" ht="16">
      <c r="A254" s="14" t="s">
        <v>17150</v>
      </c>
      <c r="B254" s="14" t="s">
        <v>17152</v>
      </c>
      <c r="C254" s="14">
        <v>2</v>
      </c>
      <c r="D254" s="14">
        <v>48</v>
      </c>
      <c r="E254" s="14">
        <v>48</v>
      </c>
      <c r="F254" s="14">
        <v>45</v>
      </c>
      <c r="G254" s="14">
        <v>3</v>
      </c>
      <c r="H254" s="14">
        <v>8</v>
      </c>
      <c r="I254" s="14">
        <v>0</v>
      </c>
      <c r="J254" s="14">
        <v>48</v>
      </c>
      <c r="K254" s="14">
        <v>521</v>
      </c>
      <c r="L254" s="14">
        <v>19</v>
      </c>
      <c r="M254" s="14">
        <v>16</v>
      </c>
      <c r="N254" s="14">
        <v>11</v>
      </c>
      <c r="O254" s="14">
        <v>0</v>
      </c>
      <c r="P254" s="14">
        <v>0</v>
      </c>
      <c r="Q254" s="14">
        <v>0</v>
      </c>
      <c r="R254" s="14">
        <v>0</v>
      </c>
      <c r="S254" s="14">
        <v>34.049999999999997</v>
      </c>
      <c r="T254" s="14">
        <v>20.25</v>
      </c>
      <c r="U254" s="14">
        <v>3.5</v>
      </c>
      <c r="V254" s="14">
        <v>57.8</v>
      </c>
      <c r="W254" s="15">
        <v>675.5</v>
      </c>
      <c r="X254" s="15">
        <v>0</v>
      </c>
      <c r="Y254" s="14">
        <v>45</v>
      </c>
      <c r="Z254" s="14">
        <v>0</v>
      </c>
      <c r="AA254" s="15">
        <v>-70</v>
      </c>
      <c r="AB254" s="15">
        <v>185</v>
      </c>
      <c r="AC254" s="15">
        <v>66.25</v>
      </c>
      <c r="AD254" s="15">
        <v>60</v>
      </c>
      <c r="AE254" s="15">
        <v>40</v>
      </c>
      <c r="AF254" s="15">
        <v>245</v>
      </c>
      <c r="AG254" s="15">
        <v>806.75</v>
      </c>
      <c r="AH254" s="15">
        <v>766.75</v>
      </c>
      <c r="AI254" s="15">
        <v>0</v>
      </c>
      <c r="AJ254" s="15">
        <v>0</v>
      </c>
      <c r="AK254" s="15">
        <v>147.5</v>
      </c>
      <c r="AL254" s="15">
        <v>147.5</v>
      </c>
      <c r="AM254" s="14">
        <v>0</v>
      </c>
      <c r="AN254" s="14">
        <v>1</v>
      </c>
      <c r="AO254" s="14">
        <v>0</v>
      </c>
      <c r="AP254" s="14">
        <v>0</v>
      </c>
      <c r="AQ254" s="14">
        <v>0</v>
      </c>
      <c r="AR254" s="14">
        <v>0</v>
      </c>
      <c r="AS254" s="14">
        <v>0</v>
      </c>
      <c r="AT254" s="14">
        <v>521</v>
      </c>
      <c r="AU254" s="14">
        <v>79</v>
      </c>
      <c r="AV254" s="14">
        <v>403</v>
      </c>
      <c r="AW254" s="14">
        <v>39</v>
      </c>
      <c r="AX254" s="14">
        <v>33.549999999999997</v>
      </c>
      <c r="AY254" s="14">
        <v>8.25</v>
      </c>
      <c r="AZ254" s="14">
        <v>23.3</v>
      </c>
      <c r="BA254" s="14">
        <v>2</v>
      </c>
      <c r="BB254" s="14">
        <v>20.25</v>
      </c>
      <c r="BC254" s="14">
        <v>2</v>
      </c>
      <c r="BD254" s="14">
        <v>15.75</v>
      </c>
      <c r="BE254" s="14">
        <v>2.5</v>
      </c>
      <c r="BF254" s="14">
        <v>1</v>
      </c>
    </row>
    <row r="255" spans="1:58" ht="16">
      <c r="A255" s="14" t="s">
        <v>17202</v>
      </c>
      <c r="B255" s="14" t="s">
        <v>18839</v>
      </c>
      <c r="C255" s="14">
        <v>0</v>
      </c>
      <c r="D255" s="14">
        <v>2</v>
      </c>
      <c r="E255" s="14">
        <v>2</v>
      </c>
      <c r="F255" s="14">
        <v>2</v>
      </c>
      <c r="G255" s="14">
        <v>0</v>
      </c>
      <c r="H255" s="14">
        <v>0</v>
      </c>
      <c r="I255" s="14">
        <v>0</v>
      </c>
      <c r="J255" s="14">
        <v>2</v>
      </c>
      <c r="K255" s="14">
        <v>8</v>
      </c>
      <c r="L255" s="14">
        <v>0</v>
      </c>
      <c r="M255" s="14">
        <v>0</v>
      </c>
      <c r="N255" s="14">
        <v>0</v>
      </c>
      <c r="O255" s="14">
        <v>1</v>
      </c>
      <c r="P255" s="14">
        <v>0</v>
      </c>
      <c r="Q255" s="14">
        <v>1</v>
      </c>
      <c r="R255" s="14">
        <v>0</v>
      </c>
      <c r="S255" s="14">
        <v>0.5</v>
      </c>
      <c r="T255" s="14">
        <v>0.5</v>
      </c>
      <c r="U255" s="14">
        <v>0</v>
      </c>
      <c r="V255" s="14">
        <v>1</v>
      </c>
      <c r="W255" s="15">
        <v>15</v>
      </c>
      <c r="X255" s="15">
        <v>0</v>
      </c>
      <c r="Y255" s="14">
        <v>2</v>
      </c>
      <c r="Z255" s="14">
        <v>0</v>
      </c>
      <c r="AA255" s="15">
        <v>0</v>
      </c>
      <c r="AB255" s="15">
        <v>0</v>
      </c>
      <c r="AC255" s="15">
        <v>13</v>
      </c>
      <c r="AD255" s="15">
        <v>13</v>
      </c>
      <c r="AE255" s="15">
        <v>0</v>
      </c>
      <c r="AF255" s="15">
        <v>13</v>
      </c>
      <c r="AG255" s="15">
        <v>28</v>
      </c>
      <c r="AH255" s="15">
        <v>28</v>
      </c>
      <c r="AI255" s="15">
        <v>0</v>
      </c>
      <c r="AJ255" s="15">
        <v>0</v>
      </c>
      <c r="AK255" s="15">
        <v>0</v>
      </c>
      <c r="AL255" s="15">
        <v>0</v>
      </c>
      <c r="AM255" s="14">
        <v>0</v>
      </c>
      <c r="AN255" s="14">
        <v>0</v>
      </c>
      <c r="AO255" s="14">
        <v>0</v>
      </c>
      <c r="AP255" s="14">
        <v>0</v>
      </c>
      <c r="AQ255" s="14">
        <v>0</v>
      </c>
      <c r="AR255" s="14">
        <v>0</v>
      </c>
      <c r="AS255" s="14">
        <v>0</v>
      </c>
      <c r="AT255" s="14">
        <v>8</v>
      </c>
      <c r="AU255" s="14">
        <v>0</v>
      </c>
      <c r="AV255" s="14">
        <v>8</v>
      </c>
      <c r="AW255" s="14">
        <v>0</v>
      </c>
      <c r="AX255" s="14">
        <v>0.5</v>
      </c>
      <c r="AY255" s="14">
        <v>0</v>
      </c>
      <c r="AZ255" s="14">
        <v>0.5</v>
      </c>
      <c r="BA255" s="14">
        <v>0</v>
      </c>
      <c r="BB255" s="14">
        <v>0.5</v>
      </c>
      <c r="BC255" s="14">
        <v>0</v>
      </c>
      <c r="BD255" s="14">
        <v>0.5</v>
      </c>
      <c r="BE255" s="14">
        <v>0</v>
      </c>
      <c r="BF255" s="14">
        <v>0</v>
      </c>
    </row>
    <row r="256" spans="1:58" ht="16">
      <c r="A256" s="14" t="s">
        <v>17202</v>
      </c>
      <c r="B256" s="14" t="s">
        <v>18840</v>
      </c>
      <c r="C256" s="14">
        <v>0</v>
      </c>
      <c r="D256" s="14">
        <v>2</v>
      </c>
      <c r="E256" s="14">
        <v>0</v>
      </c>
      <c r="F256" s="14">
        <v>2</v>
      </c>
      <c r="G256" s="14">
        <v>0</v>
      </c>
      <c r="H256" s="14">
        <v>0</v>
      </c>
      <c r="I256" s="14">
        <v>0</v>
      </c>
      <c r="J256" s="14">
        <v>2</v>
      </c>
      <c r="K256" s="14">
        <v>4</v>
      </c>
      <c r="L256" s="14">
        <v>2</v>
      </c>
      <c r="M256" s="14">
        <v>0</v>
      </c>
      <c r="N256" s="14">
        <v>0</v>
      </c>
      <c r="O256" s="14">
        <v>0</v>
      </c>
      <c r="P256" s="14">
        <v>0</v>
      </c>
      <c r="Q256" s="14">
        <v>0</v>
      </c>
      <c r="R256" s="14">
        <v>0</v>
      </c>
      <c r="S256" s="14">
        <v>0.75</v>
      </c>
      <c r="T256" s="14">
        <v>0.5</v>
      </c>
      <c r="U256" s="14">
        <v>0</v>
      </c>
      <c r="V256" s="14">
        <v>1.3</v>
      </c>
      <c r="W256" s="15">
        <v>17.5</v>
      </c>
      <c r="X256" s="15">
        <v>0</v>
      </c>
      <c r="Y256" s="14">
        <v>2</v>
      </c>
      <c r="Z256" s="14">
        <v>0</v>
      </c>
      <c r="AA256" s="15">
        <v>0</v>
      </c>
      <c r="AB256" s="15">
        <v>0</v>
      </c>
      <c r="AC256" s="15">
        <v>0</v>
      </c>
      <c r="AD256" s="15">
        <v>0</v>
      </c>
      <c r="AE256" s="15">
        <v>0</v>
      </c>
      <c r="AF256" s="15">
        <v>0</v>
      </c>
      <c r="AG256" s="15">
        <v>17.5</v>
      </c>
      <c r="AH256" s="15">
        <v>17.5</v>
      </c>
      <c r="AI256" s="15">
        <v>0</v>
      </c>
      <c r="AJ256" s="15">
        <v>0</v>
      </c>
      <c r="AK256" s="15">
        <v>0</v>
      </c>
      <c r="AL256" s="15">
        <v>0</v>
      </c>
      <c r="AM256" s="14">
        <v>0</v>
      </c>
      <c r="AN256" s="14">
        <v>0</v>
      </c>
      <c r="AO256" s="14">
        <v>0</v>
      </c>
      <c r="AP256" s="14">
        <v>0</v>
      </c>
      <c r="AQ256" s="14">
        <v>0</v>
      </c>
      <c r="AR256" s="14">
        <v>0</v>
      </c>
      <c r="AS256" s="14">
        <v>0</v>
      </c>
      <c r="AT256" s="14">
        <v>4</v>
      </c>
      <c r="AU256" s="14">
        <v>0</v>
      </c>
      <c r="AV256" s="14">
        <v>4</v>
      </c>
      <c r="AW256" s="14">
        <v>0</v>
      </c>
      <c r="AX256" s="14">
        <v>0.75</v>
      </c>
      <c r="AY256" s="14">
        <v>0</v>
      </c>
      <c r="AZ256" s="14">
        <v>0.75</v>
      </c>
      <c r="BA256" s="14">
        <v>0</v>
      </c>
      <c r="BB256" s="14">
        <v>0.5</v>
      </c>
      <c r="BC256" s="14">
        <v>0</v>
      </c>
      <c r="BD256" s="14">
        <v>0.5</v>
      </c>
      <c r="BE256" s="14">
        <v>0</v>
      </c>
      <c r="BF256" s="14">
        <v>0</v>
      </c>
    </row>
    <row r="257" spans="1:58" ht="16">
      <c r="A257" s="14" t="s">
        <v>17202</v>
      </c>
      <c r="B257" s="14" t="s">
        <v>18841</v>
      </c>
      <c r="C257" s="14">
        <v>0</v>
      </c>
      <c r="D257" s="14">
        <v>1</v>
      </c>
      <c r="E257" s="14">
        <v>0</v>
      </c>
      <c r="F257" s="14">
        <v>1</v>
      </c>
      <c r="G257" s="14">
        <v>0</v>
      </c>
      <c r="H257" s="14">
        <v>0</v>
      </c>
      <c r="I257" s="14">
        <v>0</v>
      </c>
      <c r="J257" s="14">
        <v>1</v>
      </c>
      <c r="K257" s="14">
        <v>2</v>
      </c>
      <c r="L257" s="14">
        <v>1</v>
      </c>
      <c r="M257" s="14">
        <v>0</v>
      </c>
      <c r="N257" s="14">
        <v>0</v>
      </c>
      <c r="O257" s="14">
        <v>0</v>
      </c>
      <c r="P257" s="14">
        <v>0</v>
      </c>
      <c r="Q257" s="14">
        <v>0</v>
      </c>
      <c r="R257" s="14">
        <v>0</v>
      </c>
      <c r="S257" s="14">
        <v>1</v>
      </c>
      <c r="T257" s="14">
        <v>0</v>
      </c>
      <c r="U257" s="14">
        <v>0</v>
      </c>
      <c r="V257" s="14">
        <v>1</v>
      </c>
      <c r="W257" s="15">
        <v>10</v>
      </c>
      <c r="X257" s="15">
        <v>0</v>
      </c>
      <c r="Y257" s="14">
        <v>1</v>
      </c>
      <c r="Z257" s="14">
        <v>0</v>
      </c>
      <c r="AA257" s="15">
        <v>0</v>
      </c>
      <c r="AB257" s="15">
        <v>0</v>
      </c>
      <c r="AC257" s="15">
        <v>0</v>
      </c>
      <c r="AD257" s="15">
        <v>0</v>
      </c>
      <c r="AE257" s="15">
        <v>0</v>
      </c>
      <c r="AF257" s="15">
        <v>0</v>
      </c>
      <c r="AG257" s="15">
        <v>10</v>
      </c>
      <c r="AH257" s="15">
        <v>10</v>
      </c>
      <c r="AI257" s="15">
        <v>0</v>
      </c>
      <c r="AJ257" s="15">
        <v>0</v>
      </c>
      <c r="AK257" s="15">
        <v>0</v>
      </c>
      <c r="AL257" s="15">
        <v>0</v>
      </c>
      <c r="AM257" s="14">
        <v>0</v>
      </c>
      <c r="AN257" s="14">
        <v>0</v>
      </c>
      <c r="AO257" s="14">
        <v>0</v>
      </c>
      <c r="AP257" s="14">
        <v>0</v>
      </c>
      <c r="AQ257" s="14">
        <v>0</v>
      </c>
      <c r="AR257" s="14">
        <v>0</v>
      </c>
      <c r="AS257" s="14">
        <v>0</v>
      </c>
      <c r="AT257" s="14">
        <v>2</v>
      </c>
      <c r="AU257" s="14">
        <v>0</v>
      </c>
      <c r="AV257" s="14">
        <v>2</v>
      </c>
      <c r="AW257" s="14">
        <v>0</v>
      </c>
      <c r="AX257" s="14">
        <v>1</v>
      </c>
      <c r="AY257" s="14">
        <v>0</v>
      </c>
      <c r="AZ257" s="14">
        <v>1</v>
      </c>
      <c r="BA257" s="14">
        <v>0</v>
      </c>
      <c r="BB257" s="14">
        <v>0</v>
      </c>
      <c r="BC257" s="14">
        <v>0</v>
      </c>
      <c r="BD257" s="14">
        <v>0</v>
      </c>
      <c r="BE257" s="14">
        <v>0</v>
      </c>
      <c r="BF257" s="14">
        <v>0</v>
      </c>
    </row>
    <row r="258" spans="1:58" ht="16">
      <c r="A258" s="14" t="s">
        <v>17202</v>
      </c>
      <c r="B258" s="14" t="s">
        <v>18842</v>
      </c>
      <c r="C258" s="14">
        <v>0</v>
      </c>
      <c r="D258" s="14">
        <v>2</v>
      </c>
      <c r="E258" s="14">
        <v>2</v>
      </c>
      <c r="F258" s="14">
        <v>2</v>
      </c>
      <c r="G258" s="14">
        <v>0</v>
      </c>
      <c r="H258" s="14">
        <v>0</v>
      </c>
      <c r="I258" s="14">
        <v>0</v>
      </c>
      <c r="J258" s="14">
        <v>2</v>
      </c>
      <c r="K258" s="14">
        <v>16</v>
      </c>
      <c r="L258" s="14">
        <v>1</v>
      </c>
      <c r="M258" s="14">
        <v>0</v>
      </c>
      <c r="N258" s="14">
        <v>0</v>
      </c>
      <c r="O258" s="14">
        <v>0</v>
      </c>
      <c r="P258" s="14">
        <v>0</v>
      </c>
      <c r="Q258" s="14">
        <v>1</v>
      </c>
      <c r="R258" s="14">
        <v>0</v>
      </c>
      <c r="S258" s="14">
        <v>0.5</v>
      </c>
      <c r="T258" s="14">
        <v>4.75</v>
      </c>
      <c r="U258" s="14">
        <v>0</v>
      </c>
      <c r="V258" s="14">
        <v>5.3</v>
      </c>
      <c r="W258" s="15">
        <v>100</v>
      </c>
      <c r="X258" s="15">
        <v>0</v>
      </c>
      <c r="Y258" s="14">
        <v>2</v>
      </c>
      <c r="Z258" s="14">
        <v>0</v>
      </c>
      <c r="AA258" s="15">
        <v>0</v>
      </c>
      <c r="AB258" s="15">
        <v>52.5</v>
      </c>
      <c r="AC258" s="15">
        <v>7.95</v>
      </c>
      <c r="AD258" s="15">
        <v>5.45</v>
      </c>
      <c r="AE258" s="15">
        <v>5.45</v>
      </c>
      <c r="AF258" s="15">
        <v>57.95</v>
      </c>
      <c r="AG258" s="15">
        <v>107.95</v>
      </c>
      <c r="AH258" s="15">
        <v>102.5</v>
      </c>
      <c r="AI258" s="15">
        <v>0</v>
      </c>
      <c r="AJ258" s="15">
        <v>0</v>
      </c>
      <c r="AK258" s="15">
        <v>0</v>
      </c>
      <c r="AL258" s="15">
        <v>0</v>
      </c>
      <c r="AM258" s="14">
        <v>0</v>
      </c>
      <c r="AN258" s="14">
        <v>1</v>
      </c>
      <c r="AO258" s="14">
        <v>0</v>
      </c>
      <c r="AP258" s="14">
        <v>0</v>
      </c>
      <c r="AQ258" s="14">
        <v>0</v>
      </c>
      <c r="AR258" s="14">
        <v>0</v>
      </c>
      <c r="AS258" s="14">
        <v>0</v>
      </c>
      <c r="AT258" s="14">
        <v>16</v>
      </c>
      <c r="AU258" s="14">
        <v>0</v>
      </c>
      <c r="AV258" s="14">
        <v>16</v>
      </c>
      <c r="AW258" s="14">
        <v>0</v>
      </c>
      <c r="AX258" s="14">
        <v>0.5</v>
      </c>
      <c r="AY258" s="14">
        <v>0</v>
      </c>
      <c r="AZ258" s="14">
        <v>0.5</v>
      </c>
      <c r="BA258" s="14">
        <v>0</v>
      </c>
      <c r="BB258" s="14">
        <v>4.75</v>
      </c>
      <c r="BC258" s="14">
        <v>0</v>
      </c>
      <c r="BD258" s="14">
        <v>4.75</v>
      </c>
      <c r="BE258" s="14">
        <v>0</v>
      </c>
      <c r="BF258" s="14">
        <v>0</v>
      </c>
    </row>
    <row r="259" spans="1:58" ht="16">
      <c r="A259" s="14" t="s">
        <v>17202</v>
      </c>
      <c r="B259" s="14" t="s">
        <v>18843</v>
      </c>
      <c r="C259" s="14">
        <v>0</v>
      </c>
      <c r="D259" s="14">
        <v>2</v>
      </c>
      <c r="E259" s="14">
        <v>2</v>
      </c>
      <c r="F259" s="14">
        <v>2</v>
      </c>
      <c r="G259" s="14">
        <v>0</v>
      </c>
      <c r="H259" s="14">
        <v>0</v>
      </c>
      <c r="I259" s="14">
        <v>0</v>
      </c>
      <c r="J259" s="14">
        <v>2</v>
      </c>
      <c r="K259" s="14">
        <v>8</v>
      </c>
      <c r="L259" s="14">
        <v>1</v>
      </c>
      <c r="M259" s="14">
        <v>0</v>
      </c>
      <c r="N259" s="14">
        <v>1</v>
      </c>
      <c r="O259" s="14">
        <v>0</v>
      </c>
      <c r="P259" s="14">
        <v>0</v>
      </c>
      <c r="Q259" s="14">
        <v>0</v>
      </c>
      <c r="R259" s="14">
        <v>0</v>
      </c>
      <c r="S259" s="14">
        <v>5</v>
      </c>
      <c r="T259" s="14">
        <v>1</v>
      </c>
      <c r="U259" s="14">
        <v>2</v>
      </c>
      <c r="V259" s="14">
        <v>8</v>
      </c>
      <c r="W259" s="15">
        <v>70</v>
      </c>
      <c r="X259" s="15">
        <v>0</v>
      </c>
      <c r="Y259" s="14">
        <v>2</v>
      </c>
      <c r="Z259" s="14">
        <v>0</v>
      </c>
      <c r="AA259" s="15">
        <v>0</v>
      </c>
      <c r="AB259" s="15">
        <v>20</v>
      </c>
      <c r="AC259" s="15">
        <v>56.42</v>
      </c>
      <c r="AD259" s="15">
        <v>56.42</v>
      </c>
      <c r="AE259" s="15">
        <v>56.42</v>
      </c>
      <c r="AF259" s="15">
        <v>76.42</v>
      </c>
      <c r="AG259" s="15">
        <v>166.42</v>
      </c>
      <c r="AH259" s="15">
        <v>110</v>
      </c>
      <c r="AI259" s="15">
        <v>0</v>
      </c>
      <c r="AJ259" s="15">
        <v>0</v>
      </c>
      <c r="AK259" s="15">
        <v>0</v>
      </c>
      <c r="AL259" s="15">
        <v>0</v>
      </c>
      <c r="AM259" s="14">
        <v>0</v>
      </c>
      <c r="AN259" s="14">
        <v>2</v>
      </c>
      <c r="AO259" s="14">
        <v>0</v>
      </c>
      <c r="AP259" s="14">
        <v>0</v>
      </c>
      <c r="AQ259" s="14">
        <v>0</v>
      </c>
      <c r="AR259" s="14">
        <v>0</v>
      </c>
      <c r="AS259" s="14">
        <v>0</v>
      </c>
      <c r="AT259" s="14">
        <v>8</v>
      </c>
      <c r="AU259" s="14">
        <v>0</v>
      </c>
      <c r="AV259" s="14">
        <v>8</v>
      </c>
      <c r="AW259" s="14">
        <v>0</v>
      </c>
      <c r="AX259" s="14">
        <v>5</v>
      </c>
      <c r="AY259" s="14">
        <v>0</v>
      </c>
      <c r="AZ259" s="14">
        <v>5</v>
      </c>
      <c r="BA259" s="14">
        <v>0</v>
      </c>
      <c r="BB259" s="14">
        <v>1</v>
      </c>
      <c r="BC259" s="14">
        <v>0</v>
      </c>
      <c r="BD259" s="14">
        <v>1</v>
      </c>
      <c r="BE259" s="14">
        <v>0</v>
      </c>
      <c r="BF259" s="14">
        <v>0</v>
      </c>
    </row>
    <row r="260" spans="1:58" ht="16">
      <c r="A260" s="14" t="s">
        <v>17140</v>
      </c>
      <c r="B260" s="14" t="s">
        <v>17155</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4">
        <v>0</v>
      </c>
      <c r="S260" s="14">
        <v>0</v>
      </c>
      <c r="T260" s="14">
        <v>0</v>
      </c>
      <c r="U260" s="14">
        <v>0</v>
      </c>
      <c r="V260" s="14">
        <v>0</v>
      </c>
      <c r="W260" s="15">
        <v>0</v>
      </c>
      <c r="X260" s="15">
        <v>0</v>
      </c>
      <c r="Y260" s="14">
        <v>0</v>
      </c>
      <c r="Z260" s="14">
        <v>0</v>
      </c>
      <c r="AA260" s="15">
        <v>0</v>
      </c>
      <c r="AB260" s="15">
        <v>0</v>
      </c>
      <c r="AC260" s="15">
        <v>0</v>
      </c>
      <c r="AD260" s="15">
        <v>0</v>
      </c>
      <c r="AE260" s="15">
        <v>0</v>
      </c>
      <c r="AF260" s="15">
        <v>0</v>
      </c>
      <c r="AG260" s="15">
        <v>0</v>
      </c>
      <c r="AH260" s="15">
        <v>0</v>
      </c>
      <c r="AI260" s="15">
        <v>0</v>
      </c>
      <c r="AJ260" s="15">
        <v>0</v>
      </c>
      <c r="AK260" s="15">
        <v>0</v>
      </c>
      <c r="AL260" s="15">
        <v>0</v>
      </c>
      <c r="AM260" s="14">
        <v>0</v>
      </c>
      <c r="AN260" s="14">
        <v>0</v>
      </c>
      <c r="AO260" s="14">
        <v>0</v>
      </c>
      <c r="AP260" s="14">
        <v>0</v>
      </c>
      <c r="AQ260" s="14">
        <v>0</v>
      </c>
      <c r="AR260" s="14">
        <v>0</v>
      </c>
      <c r="AS260" s="14">
        <v>0</v>
      </c>
      <c r="AT260" s="14">
        <v>0</v>
      </c>
      <c r="AU260" s="14">
        <v>0</v>
      </c>
      <c r="AV260" s="14">
        <v>0</v>
      </c>
      <c r="AW260" s="14">
        <v>0</v>
      </c>
      <c r="AX260" s="14">
        <v>0</v>
      </c>
      <c r="AY260" s="14">
        <v>0</v>
      </c>
      <c r="AZ260" s="14">
        <v>0</v>
      </c>
      <c r="BA260" s="14">
        <v>0</v>
      </c>
      <c r="BB260" s="14">
        <v>0</v>
      </c>
      <c r="BC260" s="14">
        <v>0</v>
      </c>
      <c r="BD260" s="14">
        <v>0</v>
      </c>
      <c r="BE260" s="14">
        <v>0</v>
      </c>
      <c r="BF260" s="14">
        <v>0</v>
      </c>
    </row>
    <row r="261" spans="1:58" ht="16">
      <c r="A261" s="14" t="s">
        <v>17140</v>
      </c>
      <c r="B261" s="14" t="s">
        <v>17157</v>
      </c>
      <c r="C261" s="14">
        <v>0</v>
      </c>
      <c r="D261" s="14">
        <v>3</v>
      </c>
      <c r="E261" s="14">
        <v>3</v>
      </c>
      <c r="F261" s="14">
        <v>2</v>
      </c>
      <c r="G261" s="14">
        <v>1</v>
      </c>
      <c r="H261" s="14">
        <v>0</v>
      </c>
      <c r="I261" s="14">
        <v>0</v>
      </c>
      <c r="J261" s="14">
        <v>3</v>
      </c>
      <c r="K261" s="14">
        <v>52</v>
      </c>
      <c r="L261" s="14">
        <v>3</v>
      </c>
      <c r="M261" s="14">
        <v>0</v>
      </c>
      <c r="N261" s="14">
        <v>0</v>
      </c>
      <c r="O261" s="14">
        <v>0</v>
      </c>
      <c r="P261" s="14">
        <v>0</v>
      </c>
      <c r="Q261" s="14">
        <v>0</v>
      </c>
      <c r="R261" s="14">
        <v>0</v>
      </c>
      <c r="S261" s="14">
        <v>0</v>
      </c>
      <c r="T261" s="14">
        <v>0</v>
      </c>
      <c r="U261" s="14">
        <v>0</v>
      </c>
      <c r="V261" s="14">
        <v>0</v>
      </c>
      <c r="W261" s="15">
        <v>0</v>
      </c>
      <c r="X261" s="15">
        <v>0</v>
      </c>
      <c r="Y261" s="14">
        <v>0</v>
      </c>
      <c r="Z261" s="14">
        <v>0</v>
      </c>
      <c r="AA261" s="15">
        <v>0</v>
      </c>
      <c r="AB261" s="15">
        <v>0</v>
      </c>
      <c r="AC261" s="15">
        <v>0</v>
      </c>
      <c r="AD261" s="15">
        <v>0</v>
      </c>
      <c r="AE261" s="15">
        <v>0</v>
      </c>
      <c r="AF261" s="15">
        <v>0</v>
      </c>
      <c r="AG261" s="15">
        <v>0</v>
      </c>
      <c r="AH261" s="15">
        <v>0</v>
      </c>
      <c r="AI261" s="15">
        <v>0</v>
      </c>
      <c r="AJ261" s="15">
        <v>0</v>
      </c>
      <c r="AK261" s="15">
        <v>0</v>
      </c>
      <c r="AL261" s="15">
        <v>0</v>
      </c>
      <c r="AM261" s="14">
        <v>0</v>
      </c>
      <c r="AN261" s="14">
        <v>0</v>
      </c>
      <c r="AO261" s="14">
        <v>0</v>
      </c>
      <c r="AP261" s="14">
        <v>0</v>
      </c>
      <c r="AQ261" s="14">
        <v>0</v>
      </c>
      <c r="AR261" s="14">
        <v>0</v>
      </c>
      <c r="AS261" s="14">
        <v>0</v>
      </c>
      <c r="AT261" s="14">
        <v>52</v>
      </c>
      <c r="AU261" s="14">
        <v>0</v>
      </c>
      <c r="AV261" s="14">
        <v>52</v>
      </c>
      <c r="AW261" s="14">
        <v>0</v>
      </c>
      <c r="AX261" s="14">
        <v>0</v>
      </c>
      <c r="AY261" s="14">
        <v>0</v>
      </c>
      <c r="AZ261" s="14">
        <v>0</v>
      </c>
      <c r="BA261" s="14">
        <v>0</v>
      </c>
      <c r="BB261" s="14">
        <v>0</v>
      </c>
      <c r="BC261" s="14">
        <v>0</v>
      </c>
      <c r="BD261" s="14">
        <v>0</v>
      </c>
      <c r="BE261" s="14">
        <v>0</v>
      </c>
      <c r="BF261" s="14">
        <v>100</v>
      </c>
    </row>
    <row r="262" spans="1:58" ht="16">
      <c r="A262" s="14" t="s">
        <v>17140</v>
      </c>
      <c r="B262" s="14" t="s">
        <v>18844</v>
      </c>
      <c r="C262" s="14">
        <v>26</v>
      </c>
      <c r="D262" s="14">
        <v>26</v>
      </c>
      <c r="E262" s="14">
        <v>0</v>
      </c>
      <c r="F262" s="14">
        <v>19</v>
      </c>
      <c r="G262" s="14">
        <v>0</v>
      </c>
      <c r="H262" s="14">
        <v>0</v>
      </c>
      <c r="I262" s="14">
        <v>0</v>
      </c>
      <c r="J262" s="14">
        <v>26</v>
      </c>
      <c r="K262" s="14">
        <v>210</v>
      </c>
      <c r="L262" s="14">
        <v>26</v>
      </c>
      <c r="M262" s="14">
        <v>0</v>
      </c>
      <c r="N262" s="14">
        <v>0</v>
      </c>
      <c r="O262" s="14">
        <v>0</v>
      </c>
      <c r="P262" s="14">
        <v>0</v>
      </c>
      <c r="Q262" s="14">
        <v>0</v>
      </c>
      <c r="R262" s="14">
        <v>0</v>
      </c>
      <c r="S262" s="14">
        <v>26</v>
      </c>
      <c r="T262" s="14">
        <v>0</v>
      </c>
      <c r="U262" s="14">
        <v>0</v>
      </c>
      <c r="V262" s="14">
        <v>26</v>
      </c>
      <c r="W262" s="15">
        <v>0</v>
      </c>
      <c r="X262" s="15">
        <v>0</v>
      </c>
      <c r="Y262" s="14">
        <v>0</v>
      </c>
      <c r="Z262" s="14">
        <v>0</v>
      </c>
      <c r="AA262" s="15">
        <v>-260.01</v>
      </c>
      <c r="AB262" s="15">
        <v>0</v>
      </c>
      <c r="AC262" s="15">
        <v>12.74</v>
      </c>
      <c r="AD262" s="15">
        <v>12.74</v>
      </c>
      <c r="AE262" s="15">
        <v>0</v>
      </c>
      <c r="AF262" s="15">
        <v>12.74</v>
      </c>
      <c r="AG262" s="15">
        <v>12.74</v>
      </c>
      <c r="AH262" s="15">
        <v>12.74</v>
      </c>
      <c r="AI262" s="15">
        <v>0</v>
      </c>
      <c r="AJ262" s="15">
        <v>0</v>
      </c>
      <c r="AK262" s="15">
        <v>0</v>
      </c>
      <c r="AL262" s="15">
        <v>0</v>
      </c>
      <c r="AM262" s="14">
        <v>0</v>
      </c>
      <c r="AN262" s="14">
        <v>0</v>
      </c>
      <c r="AO262" s="14">
        <v>0</v>
      </c>
      <c r="AP262" s="14">
        <v>0</v>
      </c>
      <c r="AQ262" s="14">
        <v>0</v>
      </c>
      <c r="AR262" s="14">
        <v>0</v>
      </c>
      <c r="AS262" s="14">
        <v>0</v>
      </c>
      <c r="AT262" s="14">
        <v>210</v>
      </c>
      <c r="AU262" s="14">
        <v>0</v>
      </c>
      <c r="AV262" s="14">
        <v>0</v>
      </c>
      <c r="AW262" s="14">
        <v>210</v>
      </c>
      <c r="AX262" s="14">
        <v>26.001000000000001</v>
      </c>
      <c r="AY262" s="14">
        <v>0</v>
      </c>
      <c r="AZ262" s="14">
        <v>0</v>
      </c>
      <c r="BA262" s="14">
        <v>26.001000000000001</v>
      </c>
      <c r="BB262" s="14">
        <v>0</v>
      </c>
      <c r="BC262" s="14">
        <v>0</v>
      </c>
      <c r="BD262" s="14">
        <v>0</v>
      </c>
      <c r="BE262" s="14">
        <v>0</v>
      </c>
      <c r="BF262" s="14">
        <v>26</v>
      </c>
    </row>
    <row r="263" spans="1:58" ht="16">
      <c r="A263" s="14" t="s">
        <v>17140</v>
      </c>
      <c r="B263" s="14" t="s">
        <v>18845</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4">
        <v>0</v>
      </c>
      <c r="T263" s="14">
        <v>0</v>
      </c>
      <c r="U263" s="14">
        <v>0</v>
      </c>
      <c r="V263" s="14">
        <v>0</v>
      </c>
      <c r="W263" s="15">
        <v>0</v>
      </c>
      <c r="X263" s="15">
        <v>0</v>
      </c>
      <c r="Y263" s="14">
        <v>0</v>
      </c>
      <c r="Z263" s="14">
        <v>0</v>
      </c>
      <c r="AA263" s="15">
        <v>0</v>
      </c>
      <c r="AB263" s="15">
        <v>0</v>
      </c>
      <c r="AC263" s="15">
        <v>0</v>
      </c>
      <c r="AD263" s="15">
        <v>0</v>
      </c>
      <c r="AE263" s="15">
        <v>0</v>
      </c>
      <c r="AF263" s="15">
        <v>0</v>
      </c>
      <c r="AG263" s="15">
        <v>0</v>
      </c>
      <c r="AH263" s="15">
        <v>0</v>
      </c>
      <c r="AI263" s="15">
        <v>0</v>
      </c>
      <c r="AJ263" s="15">
        <v>0</v>
      </c>
      <c r="AK263" s="15">
        <v>0</v>
      </c>
      <c r="AL263" s="15">
        <v>0</v>
      </c>
      <c r="AM263" s="14">
        <v>0</v>
      </c>
      <c r="AN263" s="14">
        <v>0</v>
      </c>
      <c r="AO263" s="14">
        <v>0</v>
      </c>
      <c r="AP263" s="14">
        <v>0</v>
      </c>
      <c r="AQ263" s="14">
        <v>0</v>
      </c>
      <c r="AR263" s="14">
        <v>0</v>
      </c>
      <c r="AS263" s="14">
        <v>0</v>
      </c>
      <c r="AT263" s="14">
        <v>0</v>
      </c>
      <c r="AU263" s="14">
        <v>0</v>
      </c>
      <c r="AV263" s="14">
        <v>0</v>
      </c>
      <c r="AW263" s="14">
        <v>0</v>
      </c>
      <c r="AX263" s="14">
        <v>0</v>
      </c>
      <c r="AY263" s="14">
        <v>0</v>
      </c>
      <c r="AZ263" s="14">
        <v>0</v>
      </c>
      <c r="BA263" s="14">
        <v>0</v>
      </c>
      <c r="BB263" s="14">
        <v>0</v>
      </c>
      <c r="BC263" s="14">
        <v>0</v>
      </c>
      <c r="BD263" s="14">
        <v>0</v>
      </c>
      <c r="BE263" s="14">
        <v>0</v>
      </c>
      <c r="BF263" s="14">
        <v>0</v>
      </c>
    </row>
    <row r="264" spans="1:58" ht="16">
      <c r="A264" s="14" t="s">
        <v>17140</v>
      </c>
      <c r="B264" s="14" t="s">
        <v>17158</v>
      </c>
      <c r="C264" s="14">
        <v>0</v>
      </c>
      <c r="D264" s="14">
        <v>0</v>
      </c>
      <c r="E264" s="14">
        <v>0</v>
      </c>
      <c r="F264" s="14">
        <v>0</v>
      </c>
      <c r="G264" s="14">
        <v>0</v>
      </c>
      <c r="H264" s="14">
        <v>0</v>
      </c>
      <c r="I264" s="14">
        <v>0</v>
      </c>
      <c r="J264" s="14">
        <v>0</v>
      </c>
      <c r="K264" s="14">
        <v>0</v>
      </c>
      <c r="L264" s="14">
        <v>0</v>
      </c>
      <c r="M264" s="14">
        <v>0</v>
      </c>
      <c r="N264" s="14">
        <v>0</v>
      </c>
      <c r="O264" s="14">
        <v>0</v>
      </c>
      <c r="P264" s="14">
        <v>0</v>
      </c>
      <c r="Q264" s="14">
        <v>0</v>
      </c>
      <c r="R264" s="14">
        <v>0</v>
      </c>
      <c r="S264" s="14">
        <v>0</v>
      </c>
      <c r="T264" s="14">
        <v>0</v>
      </c>
      <c r="U264" s="14">
        <v>0</v>
      </c>
      <c r="V264" s="14">
        <v>0</v>
      </c>
      <c r="W264" s="15">
        <v>0</v>
      </c>
      <c r="X264" s="15">
        <v>0</v>
      </c>
      <c r="Y264" s="14">
        <v>0</v>
      </c>
      <c r="Z264" s="14">
        <v>0</v>
      </c>
      <c r="AA264" s="15">
        <v>0</v>
      </c>
      <c r="AB264" s="15">
        <v>0</v>
      </c>
      <c r="AC264" s="15">
        <v>0</v>
      </c>
      <c r="AD264" s="15">
        <v>0</v>
      </c>
      <c r="AE264" s="15">
        <v>0</v>
      </c>
      <c r="AF264" s="15">
        <v>0</v>
      </c>
      <c r="AG264" s="15">
        <v>0</v>
      </c>
      <c r="AH264" s="15">
        <v>0</v>
      </c>
      <c r="AI264" s="15">
        <v>0</v>
      </c>
      <c r="AJ264" s="15">
        <v>0</v>
      </c>
      <c r="AK264" s="15">
        <v>0</v>
      </c>
      <c r="AL264" s="15">
        <v>0</v>
      </c>
      <c r="AM264" s="14">
        <v>0</v>
      </c>
      <c r="AN264" s="14">
        <v>0</v>
      </c>
      <c r="AO264" s="14">
        <v>0</v>
      </c>
      <c r="AP264" s="14">
        <v>0</v>
      </c>
      <c r="AQ264" s="14">
        <v>0</v>
      </c>
      <c r="AR264" s="14">
        <v>0</v>
      </c>
      <c r="AS264" s="14">
        <v>0</v>
      </c>
      <c r="AT264" s="14">
        <v>0</v>
      </c>
      <c r="AU264" s="14">
        <v>0</v>
      </c>
      <c r="AV264" s="14">
        <v>0</v>
      </c>
      <c r="AW264" s="14">
        <v>0</v>
      </c>
      <c r="AX264" s="14">
        <v>0</v>
      </c>
      <c r="AY264" s="14">
        <v>0</v>
      </c>
      <c r="AZ264" s="14">
        <v>0</v>
      </c>
      <c r="BA264" s="14">
        <v>0</v>
      </c>
      <c r="BB264" s="14">
        <v>0</v>
      </c>
      <c r="BC264" s="14">
        <v>0</v>
      </c>
      <c r="BD264" s="14">
        <v>0</v>
      </c>
      <c r="BE264" s="14">
        <v>0</v>
      </c>
      <c r="BF264" s="14">
        <v>250</v>
      </c>
    </row>
    <row r="265" spans="1:58" ht="16">
      <c r="A265" s="14" t="s">
        <v>17140</v>
      </c>
      <c r="B265" s="14" t="s">
        <v>17159</v>
      </c>
      <c r="C265" s="14">
        <v>0</v>
      </c>
      <c r="D265" s="14">
        <v>14</v>
      </c>
      <c r="E265" s="14">
        <v>0</v>
      </c>
      <c r="F265" s="14">
        <v>14</v>
      </c>
      <c r="G265" s="14">
        <v>0</v>
      </c>
      <c r="H265" s="14">
        <v>0</v>
      </c>
      <c r="I265" s="14">
        <v>0</v>
      </c>
      <c r="J265" s="14">
        <v>14</v>
      </c>
      <c r="K265" s="14">
        <v>14</v>
      </c>
      <c r="L265" s="14">
        <v>0</v>
      </c>
      <c r="M265" s="14">
        <v>0</v>
      </c>
      <c r="N265" s="14">
        <v>0</v>
      </c>
      <c r="O265" s="14">
        <v>0</v>
      </c>
      <c r="P265" s="14">
        <v>0</v>
      </c>
      <c r="Q265" s="14">
        <v>0</v>
      </c>
      <c r="R265" s="14">
        <v>0</v>
      </c>
      <c r="S265" s="14">
        <v>0.25</v>
      </c>
      <c r="T265" s="14">
        <v>0</v>
      </c>
      <c r="U265" s="14">
        <v>0</v>
      </c>
      <c r="V265" s="14">
        <v>0.3</v>
      </c>
      <c r="W265" s="15">
        <v>2.5</v>
      </c>
      <c r="X265" s="15">
        <v>0</v>
      </c>
      <c r="Y265" s="14">
        <v>1</v>
      </c>
      <c r="Z265" s="14">
        <v>0</v>
      </c>
      <c r="AA265" s="15">
        <v>0</v>
      </c>
      <c r="AB265" s="15">
        <v>0</v>
      </c>
      <c r="AC265" s="15">
        <v>0</v>
      </c>
      <c r="AD265" s="15">
        <v>0</v>
      </c>
      <c r="AE265" s="15">
        <v>0</v>
      </c>
      <c r="AF265" s="15">
        <v>0</v>
      </c>
      <c r="AG265" s="15">
        <v>2.5</v>
      </c>
      <c r="AH265" s="15">
        <v>2.5</v>
      </c>
      <c r="AI265" s="15">
        <v>0</v>
      </c>
      <c r="AJ265" s="15">
        <v>0</v>
      </c>
      <c r="AK265" s="15">
        <v>0</v>
      </c>
      <c r="AL265" s="15">
        <v>0</v>
      </c>
      <c r="AM265" s="14">
        <v>0</v>
      </c>
      <c r="AN265" s="14">
        <v>0</v>
      </c>
      <c r="AO265" s="14">
        <v>0</v>
      </c>
      <c r="AP265" s="14">
        <v>0</v>
      </c>
      <c r="AQ265" s="14">
        <v>0</v>
      </c>
      <c r="AR265" s="14">
        <v>0</v>
      </c>
      <c r="AS265" s="14">
        <v>0</v>
      </c>
      <c r="AT265" s="14">
        <v>14</v>
      </c>
      <c r="AU265" s="14">
        <v>0</v>
      </c>
      <c r="AV265" s="14">
        <v>14</v>
      </c>
      <c r="AW265" s="14">
        <v>0</v>
      </c>
      <c r="AX265" s="14">
        <v>5.25</v>
      </c>
      <c r="AY265" s="14">
        <v>0</v>
      </c>
      <c r="AZ265" s="14">
        <v>5.25</v>
      </c>
      <c r="BA265" s="14">
        <v>0</v>
      </c>
      <c r="BB265" s="14">
        <v>0</v>
      </c>
      <c r="BC265" s="14">
        <v>0</v>
      </c>
      <c r="BD265" s="14">
        <v>0</v>
      </c>
      <c r="BE265" s="14">
        <v>0</v>
      </c>
      <c r="BF265" s="14">
        <v>14</v>
      </c>
    </row>
    <row r="266" spans="1:58" ht="16">
      <c r="A266" s="14" t="s">
        <v>17140</v>
      </c>
      <c r="B266" s="14" t="s">
        <v>17160</v>
      </c>
      <c r="C266" s="14">
        <v>0</v>
      </c>
      <c r="D266" s="14">
        <v>1</v>
      </c>
      <c r="E266" s="14">
        <v>0</v>
      </c>
      <c r="F266" s="14">
        <v>0</v>
      </c>
      <c r="G266" s="14">
        <v>0</v>
      </c>
      <c r="H266" s="14">
        <v>0</v>
      </c>
      <c r="I266" s="14">
        <v>0</v>
      </c>
      <c r="J266" s="14">
        <v>1</v>
      </c>
      <c r="K266" s="14">
        <v>2</v>
      </c>
      <c r="L266" s="14">
        <v>0</v>
      </c>
      <c r="M266" s="14">
        <v>0</v>
      </c>
      <c r="N266" s="14">
        <v>0</v>
      </c>
      <c r="O266" s="14">
        <v>1</v>
      </c>
      <c r="P266" s="14">
        <v>0</v>
      </c>
      <c r="Q266" s="14">
        <v>0</v>
      </c>
      <c r="R266" s="14">
        <v>0</v>
      </c>
      <c r="S266" s="14">
        <v>0</v>
      </c>
      <c r="T266" s="14">
        <v>0</v>
      </c>
      <c r="U266" s="14">
        <v>0</v>
      </c>
      <c r="V266" s="14">
        <v>0</v>
      </c>
      <c r="W266" s="15">
        <v>0</v>
      </c>
      <c r="X266" s="15">
        <v>0</v>
      </c>
      <c r="Y266" s="14">
        <v>0</v>
      </c>
      <c r="Z266" s="14">
        <v>0</v>
      </c>
      <c r="AA266" s="15">
        <v>0</v>
      </c>
      <c r="AB266" s="15">
        <v>0</v>
      </c>
      <c r="AC266" s="15">
        <v>0</v>
      </c>
      <c r="AD266" s="15">
        <v>0</v>
      </c>
      <c r="AE266" s="15">
        <v>0</v>
      </c>
      <c r="AF266" s="15">
        <v>0</v>
      </c>
      <c r="AG266" s="15">
        <v>0</v>
      </c>
      <c r="AH266" s="15">
        <v>0</v>
      </c>
      <c r="AI266" s="15">
        <v>0</v>
      </c>
      <c r="AJ266" s="15">
        <v>0</v>
      </c>
      <c r="AK266" s="15">
        <v>0</v>
      </c>
      <c r="AL266" s="15">
        <v>0</v>
      </c>
      <c r="AM266" s="14">
        <v>0</v>
      </c>
      <c r="AN266" s="14">
        <v>0</v>
      </c>
      <c r="AO266" s="14">
        <v>0</v>
      </c>
      <c r="AP266" s="14">
        <v>0</v>
      </c>
      <c r="AQ266" s="14">
        <v>0</v>
      </c>
      <c r="AR266" s="14">
        <v>0</v>
      </c>
      <c r="AS266" s="14">
        <v>0</v>
      </c>
      <c r="AT266" s="14">
        <v>2</v>
      </c>
      <c r="AU266" s="14">
        <v>0</v>
      </c>
      <c r="AV266" s="14">
        <v>2</v>
      </c>
      <c r="AW266" s="14">
        <v>0</v>
      </c>
      <c r="AX266" s="14">
        <v>0</v>
      </c>
      <c r="AY266" s="14">
        <v>0</v>
      </c>
      <c r="AZ266" s="14">
        <v>0</v>
      </c>
      <c r="BA266" s="14">
        <v>0</v>
      </c>
      <c r="BB266" s="14">
        <v>0</v>
      </c>
      <c r="BC266" s="14">
        <v>0</v>
      </c>
      <c r="BD266" s="14">
        <v>0</v>
      </c>
      <c r="BE266" s="14">
        <v>0</v>
      </c>
      <c r="BF266" s="14"/>
    </row>
    <row r="267" spans="1:58" ht="16">
      <c r="A267" s="14" t="s">
        <v>17140</v>
      </c>
      <c r="B267" s="14" t="s">
        <v>17160</v>
      </c>
      <c r="C267" s="14">
        <v>1</v>
      </c>
      <c r="D267" s="14">
        <v>1</v>
      </c>
      <c r="E267" s="14">
        <v>0</v>
      </c>
      <c r="F267" s="14">
        <v>0</v>
      </c>
      <c r="G267" s="14">
        <v>0</v>
      </c>
      <c r="H267" s="14">
        <v>0</v>
      </c>
      <c r="I267" s="14">
        <v>0</v>
      </c>
      <c r="J267" s="14">
        <v>1</v>
      </c>
      <c r="K267" s="14">
        <v>2</v>
      </c>
      <c r="L267" s="14">
        <v>1</v>
      </c>
      <c r="M267" s="14">
        <v>0</v>
      </c>
      <c r="N267" s="14">
        <v>0</v>
      </c>
      <c r="O267" s="14">
        <v>0</v>
      </c>
      <c r="P267" s="14">
        <v>0</v>
      </c>
      <c r="Q267" s="14">
        <v>0</v>
      </c>
      <c r="R267" s="14">
        <v>0</v>
      </c>
      <c r="S267" s="14">
        <v>0.25</v>
      </c>
      <c r="T267" s="14">
        <v>0</v>
      </c>
      <c r="U267" s="14">
        <v>0</v>
      </c>
      <c r="V267" s="14">
        <v>0.25</v>
      </c>
      <c r="W267" s="15">
        <v>0</v>
      </c>
      <c r="X267" s="15">
        <v>0</v>
      </c>
      <c r="Y267" s="14">
        <v>0</v>
      </c>
      <c r="Z267" s="14">
        <v>0</v>
      </c>
      <c r="AA267" s="15">
        <v>-2.5</v>
      </c>
      <c r="AB267" s="15">
        <v>0</v>
      </c>
      <c r="AC267" s="15">
        <v>0</v>
      </c>
      <c r="AD267" s="15">
        <v>0</v>
      </c>
      <c r="AE267" s="15">
        <v>0</v>
      </c>
      <c r="AF267" s="15">
        <v>0</v>
      </c>
      <c r="AG267" s="15">
        <v>0</v>
      </c>
      <c r="AH267" s="15">
        <v>0</v>
      </c>
      <c r="AI267" s="15">
        <v>0</v>
      </c>
      <c r="AJ267" s="15">
        <v>0</v>
      </c>
      <c r="AK267" s="15">
        <v>0</v>
      </c>
      <c r="AL267" s="15">
        <v>0</v>
      </c>
      <c r="AM267" s="14">
        <v>0</v>
      </c>
      <c r="AN267" s="14">
        <v>0</v>
      </c>
      <c r="AO267" s="14">
        <v>0</v>
      </c>
      <c r="AP267" s="14">
        <v>0</v>
      </c>
      <c r="AQ267" s="14">
        <v>0</v>
      </c>
      <c r="AR267" s="14">
        <v>0</v>
      </c>
      <c r="AS267" s="14">
        <v>0</v>
      </c>
      <c r="AT267" s="14">
        <v>2</v>
      </c>
      <c r="AU267" s="14">
        <v>0</v>
      </c>
      <c r="AV267" s="14">
        <v>0</v>
      </c>
      <c r="AW267" s="14">
        <v>2</v>
      </c>
      <c r="AX267" s="14">
        <v>0.25</v>
      </c>
      <c r="AY267" s="14">
        <v>0</v>
      </c>
      <c r="AZ267" s="14">
        <v>0</v>
      </c>
      <c r="BA267" s="14">
        <v>0.25</v>
      </c>
      <c r="BB267" s="14">
        <v>0</v>
      </c>
      <c r="BC267" s="14">
        <v>0</v>
      </c>
      <c r="BD267" s="14">
        <v>0</v>
      </c>
      <c r="BE267" s="14">
        <v>0</v>
      </c>
      <c r="BF267" s="14">
        <v>0</v>
      </c>
    </row>
    <row r="268" spans="1:58" ht="16">
      <c r="A268" s="14" t="s">
        <v>17140</v>
      </c>
      <c r="B268" s="14" t="s">
        <v>17161</v>
      </c>
      <c r="C268" s="14">
        <v>2</v>
      </c>
      <c r="D268" s="14">
        <v>31</v>
      </c>
      <c r="E268" s="14">
        <v>31</v>
      </c>
      <c r="F268" s="14">
        <v>24</v>
      </c>
      <c r="G268" s="14">
        <v>0</v>
      </c>
      <c r="H268" s="14">
        <v>13</v>
      </c>
      <c r="I268" s="14">
        <v>0</v>
      </c>
      <c r="J268" s="14">
        <v>31</v>
      </c>
      <c r="K268" s="14">
        <v>306</v>
      </c>
      <c r="L268" s="14">
        <v>13</v>
      </c>
      <c r="M268" s="14">
        <v>8</v>
      </c>
      <c r="N268" s="14">
        <v>6</v>
      </c>
      <c r="O268" s="14">
        <v>0</v>
      </c>
      <c r="P268" s="14">
        <v>0</v>
      </c>
      <c r="Q268" s="14">
        <v>5</v>
      </c>
      <c r="R268" s="14">
        <v>0</v>
      </c>
      <c r="S268" s="14">
        <v>127.75</v>
      </c>
      <c r="T268" s="14">
        <v>127.75</v>
      </c>
      <c r="U268" s="14">
        <v>45.5</v>
      </c>
      <c r="V268" s="14">
        <v>301</v>
      </c>
      <c r="W268" s="15">
        <v>3817.5</v>
      </c>
      <c r="X268" s="15">
        <v>0</v>
      </c>
      <c r="Y268" s="14">
        <v>29</v>
      </c>
      <c r="Z268" s="14">
        <v>0</v>
      </c>
      <c r="AA268" s="15">
        <v>-15</v>
      </c>
      <c r="AB268" s="15">
        <v>3570</v>
      </c>
      <c r="AC268" s="15">
        <v>241.12</v>
      </c>
      <c r="AD268" s="15">
        <v>241.12</v>
      </c>
      <c r="AE268" s="15">
        <v>170.42</v>
      </c>
      <c r="AF268" s="15">
        <v>3811.12</v>
      </c>
      <c r="AG268" s="15">
        <v>4968.62</v>
      </c>
      <c r="AH268" s="15">
        <v>4798.2</v>
      </c>
      <c r="AI268" s="15">
        <v>93.51</v>
      </c>
      <c r="AJ268" s="15">
        <v>3663.51</v>
      </c>
      <c r="AK268" s="15">
        <v>4693.51</v>
      </c>
      <c r="AL268" s="15">
        <v>4600</v>
      </c>
      <c r="AM268" s="14">
        <v>1</v>
      </c>
      <c r="AN268" s="14">
        <v>6</v>
      </c>
      <c r="AO268" s="14">
        <v>0</v>
      </c>
      <c r="AP268" s="14">
        <v>0</v>
      </c>
      <c r="AQ268" s="14">
        <v>0</v>
      </c>
      <c r="AR268" s="14">
        <v>0</v>
      </c>
      <c r="AS268" s="14">
        <v>0</v>
      </c>
      <c r="AT268" s="14">
        <v>306</v>
      </c>
      <c r="AU268" s="14">
        <v>164</v>
      </c>
      <c r="AV268" s="14">
        <v>140</v>
      </c>
      <c r="AW268" s="14">
        <v>11</v>
      </c>
      <c r="AX268" s="14">
        <v>127.75</v>
      </c>
      <c r="AY268" s="14">
        <v>123.25</v>
      </c>
      <c r="AZ268" s="14">
        <v>4.25</v>
      </c>
      <c r="BA268" s="14">
        <v>0.5</v>
      </c>
      <c r="BB268" s="14">
        <v>127.75</v>
      </c>
      <c r="BC268" s="14">
        <v>123.25</v>
      </c>
      <c r="BD268" s="14">
        <v>4.25</v>
      </c>
      <c r="BE268" s="14">
        <v>0.5</v>
      </c>
      <c r="BF268" s="14">
        <v>0</v>
      </c>
    </row>
    <row r="269" spans="1:58" ht="16">
      <c r="A269" s="14" t="s">
        <v>17140</v>
      </c>
      <c r="B269" s="14" t="s">
        <v>18846</v>
      </c>
      <c r="C269" s="14">
        <v>1</v>
      </c>
      <c r="D269" s="14">
        <v>1</v>
      </c>
      <c r="E269" s="14">
        <v>0</v>
      </c>
      <c r="F269" s="14">
        <v>1</v>
      </c>
      <c r="G269" s="14">
        <v>0</v>
      </c>
      <c r="H269" s="14">
        <v>0</v>
      </c>
      <c r="I269" s="14">
        <v>0</v>
      </c>
      <c r="J269" s="14">
        <v>1</v>
      </c>
      <c r="K269" s="14">
        <v>8</v>
      </c>
      <c r="L269" s="14">
        <v>1</v>
      </c>
      <c r="M269" s="14">
        <v>0</v>
      </c>
      <c r="N269" s="14">
        <v>0</v>
      </c>
      <c r="O269" s="14">
        <v>0</v>
      </c>
      <c r="P269" s="14">
        <v>0</v>
      </c>
      <c r="Q269" s="14">
        <v>0</v>
      </c>
      <c r="R269" s="14">
        <v>0</v>
      </c>
      <c r="S269" s="14">
        <v>0</v>
      </c>
      <c r="T269" s="14">
        <v>0</v>
      </c>
      <c r="U269" s="14">
        <v>0</v>
      </c>
      <c r="V269" s="14">
        <v>0</v>
      </c>
      <c r="W269" s="15">
        <v>0</v>
      </c>
      <c r="X269" s="15">
        <v>0</v>
      </c>
      <c r="Y269" s="14">
        <v>0</v>
      </c>
      <c r="Z269" s="14">
        <v>0</v>
      </c>
      <c r="AA269" s="15">
        <v>0</v>
      </c>
      <c r="AB269" s="15">
        <v>0</v>
      </c>
      <c r="AC269" s="15">
        <v>0</v>
      </c>
      <c r="AD269" s="15">
        <v>0</v>
      </c>
      <c r="AE269" s="15">
        <v>0</v>
      </c>
      <c r="AF269" s="15">
        <v>0</v>
      </c>
      <c r="AG269" s="15">
        <v>0</v>
      </c>
      <c r="AH269" s="15">
        <v>0</v>
      </c>
      <c r="AI269" s="15">
        <v>0</v>
      </c>
      <c r="AJ269" s="15">
        <v>0</v>
      </c>
      <c r="AK269" s="15">
        <v>0</v>
      </c>
      <c r="AL269" s="15">
        <v>0</v>
      </c>
      <c r="AM269" s="14">
        <v>0</v>
      </c>
      <c r="AN269" s="14">
        <v>0</v>
      </c>
      <c r="AO269" s="14">
        <v>0</v>
      </c>
      <c r="AP269" s="14">
        <v>0</v>
      </c>
      <c r="AQ269" s="14">
        <v>0</v>
      </c>
      <c r="AR269" s="14">
        <v>0</v>
      </c>
      <c r="AS269" s="14">
        <v>0</v>
      </c>
      <c r="AT269" s="14">
        <v>8</v>
      </c>
      <c r="AU269" s="14">
        <v>0</v>
      </c>
      <c r="AV269" s="14">
        <v>0</v>
      </c>
      <c r="AW269" s="14">
        <v>8</v>
      </c>
      <c r="AX269" s="14">
        <v>0</v>
      </c>
      <c r="AY269" s="14">
        <v>0</v>
      </c>
      <c r="AZ269" s="14">
        <v>0</v>
      </c>
      <c r="BA269" s="14">
        <v>0</v>
      </c>
      <c r="BB269" s="14">
        <v>0</v>
      </c>
      <c r="BC269" s="14">
        <v>0</v>
      </c>
      <c r="BD269" s="14">
        <v>0</v>
      </c>
      <c r="BE269" s="14">
        <v>0</v>
      </c>
      <c r="BF269" s="14"/>
    </row>
    <row r="270" spans="1:58" ht="16">
      <c r="A270" s="14" t="s">
        <v>17140</v>
      </c>
      <c r="B270" s="14" t="s">
        <v>17164</v>
      </c>
      <c r="C270" s="14">
        <v>0</v>
      </c>
      <c r="D270" s="14">
        <v>0</v>
      </c>
      <c r="E270" s="14">
        <v>0</v>
      </c>
      <c r="F270" s="14">
        <v>0</v>
      </c>
      <c r="G270" s="14">
        <v>0</v>
      </c>
      <c r="H270" s="14">
        <v>0</v>
      </c>
      <c r="I270" s="14">
        <v>0</v>
      </c>
      <c r="J270" s="14">
        <v>0</v>
      </c>
      <c r="K270" s="14">
        <v>0</v>
      </c>
      <c r="L270" s="14">
        <v>0</v>
      </c>
      <c r="M270" s="14">
        <v>0</v>
      </c>
      <c r="N270" s="14">
        <v>0</v>
      </c>
      <c r="O270" s="14">
        <v>0</v>
      </c>
      <c r="P270" s="14">
        <v>0</v>
      </c>
      <c r="Q270" s="14">
        <v>0</v>
      </c>
      <c r="R270" s="14">
        <v>0</v>
      </c>
      <c r="S270" s="14">
        <v>0</v>
      </c>
      <c r="T270" s="14">
        <v>0</v>
      </c>
      <c r="U270" s="14">
        <v>0</v>
      </c>
      <c r="V270" s="14">
        <v>0</v>
      </c>
      <c r="W270" s="15">
        <v>0</v>
      </c>
      <c r="X270" s="15">
        <v>0</v>
      </c>
      <c r="Y270" s="14">
        <v>0</v>
      </c>
      <c r="Z270" s="14">
        <v>0</v>
      </c>
      <c r="AA270" s="15">
        <v>0</v>
      </c>
      <c r="AB270" s="15">
        <v>0</v>
      </c>
      <c r="AC270" s="15">
        <v>0</v>
      </c>
      <c r="AD270" s="15">
        <v>0</v>
      </c>
      <c r="AE270" s="15">
        <v>0</v>
      </c>
      <c r="AF270" s="15">
        <v>0</v>
      </c>
      <c r="AG270" s="15">
        <v>0</v>
      </c>
      <c r="AH270" s="15">
        <v>0</v>
      </c>
      <c r="AI270" s="15">
        <v>0</v>
      </c>
      <c r="AJ270" s="15">
        <v>0</v>
      </c>
      <c r="AK270" s="15">
        <v>0</v>
      </c>
      <c r="AL270" s="15">
        <v>0</v>
      </c>
      <c r="AM270" s="14">
        <v>0</v>
      </c>
      <c r="AN270" s="14">
        <v>0</v>
      </c>
      <c r="AO270" s="14">
        <v>0</v>
      </c>
      <c r="AP270" s="14">
        <v>0</v>
      </c>
      <c r="AQ270" s="14">
        <v>0</v>
      </c>
      <c r="AR270" s="14">
        <v>0</v>
      </c>
      <c r="AS270" s="14">
        <v>0</v>
      </c>
      <c r="AT270" s="14">
        <v>0</v>
      </c>
      <c r="AU270" s="14">
        <v>0</v>
      </c>
      <c r="AV270" s="14">
        <v>0</v>
      </c>
      <c r="AW270" s="14">
        <v>0</v>
      </c>
      <c r="AX270" s="14">
        <v>0</v>
      </c>
      <c r="AY270" s="14">
        <v>0</v>
      </c>
      <c r="AZ270" s="14">
        <v>0</v>
      </c>
      <c r="BA270" s="14">
        <v>0</v>
      </c>
      <c r="BB270" s="14">
        <v>0</v>
      </c>
      <c r="BC270" s="14">
        <v>0</v>
      </c>
      <c r="BD270" s="14">
        <v>0</v>
      </c>
      <c r="BE270" s="14">
        <v>0</v>
      </c>
      <c r="BF270" s="14">
        <v>0</v>
      </c>
    </row>
    <row r="271" spans="1:58" ht="16">
      <c r="A271" s="14" t="s">
        <v>17140</v>
      </c>
      <c r="B271" s="14" t="s">
        <v>18847</v>
      </c>
      <c r="C271" s="14">
        <v>0</v>
      </c>
      <c r="D271" s="14">
        <v>0</v>
      </c>
      <c r="E271" s="14">
        <v>0</v>
      </c>
      <c r="F271" s="14">
        <v>0</v>
      </c>
      <c r="G271" s="14">
        <v>0</v>
      </c>
      <c r="H271" s="14">
        <v>0</v>
      </c>
      <c r="I271" s="14">
        <v>0</v>
      </c>
      <c r="J271" s="14">
        <v>0</v>
      </c>
      <c r="K271" s="14">
        <v>0</v>
      </c>
      <c r="L271" s="14">
        <v>0</v>
      </c>
      <c r="M271" s="14">
        <v>0</v>
      </c>
      <c r="N271" s="14">
        <v>0</v>
      </c>
      <c r="O271" s="14">
        <v>0</v>
      </c>
      <c r="P271" s="14">
        <v>0</v>
      </c>
      <c r="Q271" s="14">
        <v>0</v>
      </c>
      <c r="R271" s="14">
        <v>0</v>
      </c>
      <c r="S271" s="14">
        <v>0</v>
      </c>
      <c r="T271" s="14">
        <v>0</v>
      </c>
      <c r="U271" s="14">
        <v>0</v>
      </c>
      <c r="V271" s="14">
        <v>0</v>
      </c>
      <c r="W271" s="15">
        <v>0</v>
      </c>
      <c r="X271" s="15">
        <v>0</v>
      </c>
      <c r="Y271" s="14">
        <v>0</v>
      </c>
      <c r="Z271" s="14">
        <v>0</v>
      </c>
      <c r="AA271" s="15">
        <v>0</v>
      </c>
      <c r="AB271" s="15">
        <v>0</v>
      </c>
      <c r="AC271" s="15">
        <v>0</v>
      </c>
      <c r="AD271" s="15">
        <v>0</v>
      </c>
      <c r="AE271" s="15">
        <v>0</v>
      </c>
      <c r="AF271" s="15">
        <v>0</v>
      </c>
      <c r="AG271" s="15">
        <v>0</v>
      </c>
      <c r="AH271" s="15">
        <v>0</v>
      </c>
      <c r="AI271" s="15">
        <v>0</v>
      </c>
      <c r="AJ271" s="15">
        <v>0</v>
      </c>
      <c r="AK271" s="15">
        <v>0</v>
      </c>
      <c r="AL271" s="15">
        <v>0</v>
      </c>
      <c r="AM271" s="14">
        <v>0</v>
      </c>
      <c r="AN271" s="14">
        <v>0</v>
      </c>
      <c r="AO271" s="14">
        <v>0</v>
      </c>
      <c r="AP271" s="14">
        <v>0</v>
      </c>
      <c r="AQ271" s="14">
        <v>0</v>
      </c>
      <c r="AR271" s="14">
        <v>0</v>
      </c>
      <c r="AS271" s="14">
        <v>0</v>
      </c>
      <c r="AT271" s="14">
        <v>0</v>
      </c>
      <c r="AU271" s="14">
        <v>0</v>
      </c>
      <c r="AV271" s="14">
        <v>0</v>
      </c>
      <c r="AW271" s="14">
        <v>0</v>
      </c>
      <c r="AX271" s="14">
        <v>0</v>
      </c>
      <c r="AY271" s="14">
        <v>0</v>
      </c>
      <c r="AZ271" s="14">
        <v>0</v>
      </c>
      <c r="BA271" s="14">
        <v>0</v>
      </c>
      <c r="BB271" s="14">
        <v>0</v>
      </c>
      <c r="BC271" s="14">
        <v>0</v>
      </c>
      <c r="BD271" s="14">
        <v>0</v>
      </c>
      <c r="BE271" s="14">
        <v>0</v>
      </c>
      <c r="BF271" s="14">
        <v>0</v>
      </c>
    </row>
    <row r="272" spans="1:58" ht="16">
      <c r="A272" s="14" t="s">
        <v>17140</v>
      </c>
      <c r="B272" s="14" t="s">
        <v>17166</v>
      </c>
      <c r="C272" s="14">
        <v>0</v>
      </c>
      <c r="D272" s="14">
        <v>8</v>
      </c>
      <c r="E272" s="14">
        <v>8</v>
      </c>
      <c r="F272" s="14">
        <v>8</v>
      </c>
      <c r="G272" s="14">
        <v>0</v>
      </c>
      <c r="H272" s="14">
        <v>0</v>
      </c>
      <c r="I272" s="14">
        <v>0</v>
      </c>
      <c r="J272" s="14">
        <v>8</v>
      </c>
      <c r="K272" s="14">
        <v>36</v>
      </c>
      <c r="L272" s="14">
        <v>6</v>
      </c>
      <c r="M272" s="14">
        <v>0</v>
      </c>
      <c r="N272" s="14">
        <v>2</v>
      </c>
      <c r="O272" s="14">
        <v>0</v>
      </c>
      <c r="P272" s="14">
        <v>0</v>
      </c>
      <c r="Q272" s="14">
        <v>0</v>
      </c>
      <c r="R272" s="14">
        <v>0</v>
      </c>
      <c r="S272" s="14">
        <v>2</v>
      </c>
      <c r="T272" s="14">
        <v>1</v>
      </c>
      <c r="U272" s="14">
        <v>1</v>
      </c>
      <c r="V272" s="14">
        <v>4</v>
      </c>
      <c r="W272" s="15">
        <v>40</v>
      </c>
      <c r="X272" s="15">
        <v>0</v>
      </c>
      <c r="Y272" s="14">
        <v>7</v>
      </c>
      <c r="Z272" s="14">
        <v>1</v>
      </c>
      <c r="AA272" s="15">
        <v>0</v>
      </c>
      <c r="AB272" s="15">
        <v>0</v>
      </c>
      <c r="AC272" s="15">
        <v>1.35</v>
      </c>
      <c r="AD272" s="15">
        <v>1.35</v>
      </c>
      <c r="AE272" s="15">
        <v>1.35</v>
      </c>
      <c r="AF272" s="15">
        <v>1.35</v>
      </c>
      <c r="AG272" s="15">
        <v>61.35</v>
      </c>
      <c r="AH272" s="15">
        <v>60</v>
      </c>
      <c r="AI272" s="15">
        <v>0</v>
      </c>
      <c r="AJ272" s="15">
        <v>0</v>
      </c>
      <c r="AK272" s="15">
        <v>0</v>
      </c>
      <c r="AL272" s="15">
        <v>0</v>
      </c>
      <c r="AM272" s="14">
        <v>1</v>
      </c>
      <c r="AN272" s="14">
        <v>0</v>
      </c>
      <c r="AO272" s="14">
        <v>0</v>
      </c>
      <c r="AP272" s="14">
        <v>0</v>
      </c>
      <c r="AQ272" s="14">
        <v>0</v>
      </c>
      <c r="AR272" s="14">
        <v>0</v>
      </c>
      <c r="AS272" s="14">
        <v>0</v>
      </c>
      <c r="AT272" s="14">
        <v>36</v>
      </c>
      <c r="AU272" s="14">
        <v>0</v>
      </c>
      <c r="AV272" s="14">
        <v>36</v>
      </c>
      <c r="AW272" s="14">
        <v>0</v>
      </c>
      <c r="AX272" s="14">
        <v>2</v>
      </c>
      <c r="AY272" s="14">
        <v>0</v>
      </c>
      <c r="AZ272" s="14">
        <v>2</v>
      </c>
      <c r="BA272" s="14">
        <v>0</v>
      </c>
      <c r="BB272" s="14">
        <v>1</v>
      </c>
      <c r="BC272" s="14">
        <v>0</v>
      </c>
      <c r="BD272" s="14">
        <v>1</v>
      </c>
      <c r="BE272" s="14">
        <v>0</v>
      </c>
      <c r="BF272" s="14">
        <v>0</v>
      </c>
    </row>
    <row r="273" spans="1:58" ht="16">
      <c r="A273" s="14" t="s">
        <v>17140</v>
      </c>
      <c r="B273" s="14" t="s">
        <v>18848</v>
      </c>
      <c r="C273" s="14">
        <v>0</v>
      </c>
      <c r="D273" s="14">
        <v>0</v>
      </c>
      <c r="E273" s="14">
        <v>0</v>
      </c>
      <c r="F273" s="14">
        <v>0</v>
      </c>
      <c r="G273" s="14">
        <v>0</v>
      </c>
      <c r="H273" s="14">
        <v>0</v>
      </c>
      <c r="I273" s="14">
        <v>0</v>
      </c>
      <c r="J273" s="14">
        <v>0</v>
      </c>
      <c r="K273" s="14">
        <v>0</v>
      </c>
      <c r="L273" s="14">
        <v>0</v>
      </c>
      <c r="M273" s="14">
        <v>0</v>
      </c>
      <c r="N273" s="14">
        <v>0</v>
      </c>
      <c r="O273" s="14">
        <v>0</v>
      </c>
      <c r="P273" s="14">
        <v>0</v>
      </c>
      <c r="Q273" s="14">
        <v>0</v>
      </c>
      <c r="R273" s="14">
        <v>0</v>
      </c>
      <c r="S273" s="14">
        <v>0</v>
      </c>
      <c r="T273" s="14">
        <v>0</v>
      </c>
      <c r="U273" s="14">
        <v>0</v>
      </c>
      <c r="V273" s="14">
        <v>0</v>
      </c>
      <c r="W273" s="15">
        <v>0</v>
      </c>
      <c r="X273" s="15">
        <v>0</v>
      </c>
      <c r="Y273" s="14">
        <v>0</v>
      </c>
      <c r="Z273" s="14">
        <v>0</v>
      </c>
      <c r="AA273" s="15">
        <v>0</v>
      </c>
      <c r="AB273" s="15">
        <v>0</v>
      </c>
      <c r="AC273" s="15">
        <v>0</v>
      </c>
      <c r="AD273" s="15">
        <v>0</v>
      </c>
      <c r="AE273" s="15">
        <v>0</v>
      </c>
      <c r="AF273" s="15">
        <v>0</v>
      </c>
      <c r="AG273" s="15">
        <v>0</v>
      </c>
      <c r="AH273" s="15">
        <v>0</v>
      </c>
      <c r="AI273" s="15">
        <v>0</v>
      </c>
      <c r="AJ273" s="15">
        <v>0</v>
      </c>
      <c r="AK273" s="15">
        <v>0</v>
      </c>
      <c r="AL273" s="15">
        <v>0</v>
      </c>
      <c r="AM273" s="14">
        <v>0</v>
      </c>
      <c r="AN273" s="14">
        <v>0</v>
      </c>
      <c r="AO273" s="14">
        <v>0</v>
      </c>
      <c r="AP273" s="14">
        <v>0</v>
      </c>
      <c r="AQ273" s="14">
        <v>0</v>
      </c>
      <c r="AR273" s="14">
        <v>0</v>
      </c>
      <c r="AS273" s="14">
        <v>0</v>
      </c>
      <c r="AT273" s="14">
        <v>0</v>
      </c>
      <c r="AU273" s="14">
        <v>0</v>
      </c>
      <c r="AV273" s="14">
        <v>0</v>
      </c>
      <c r="AW273" s="14">
        <v>0</v>
      </c>
      <c r="AX273" s="14">
        <v>0</v>
      </c>
      <c r="AY273" s="14">
        <v>0</v>
      </c>
      <c r="AZ273" s="14">
        <v>0</v>
      </c>
      <c r="BA273" s="14">
        <v>0</v>
      </c>
      <c r="BB273" s="14">
        <v>0</v>
      </c>
      <c r="BC273" s="14">
        <v>0</v>
      </c>
      <c r="BD273" s="14">
        <v>0</v>
      </c>
      <c r="BE273" s="14">
        <v>0</v>
      </c>
      <c r="BF273" s="14">
        <v>0</v>
      </c>
    </row>
    <row r="274" spans="1:58" ht="16">
      <c r="A274" s="14" t="s">
        <v>17140</v>
      </c>
      <c r="B274" s="14" t="s">
        <v>17168</v>
      </c>
      <c r="C274" s="14">
        <v>0</v>
      </c>
      <c r="D274" s="14">
        <v>1</v>
      </c>
      <c r="E274" s="14">
        <v>1</v>
      </c>
      <c r="F274" s="14">
        <v>1</v>
      </c>
      <c r="G274" s="14">
        <v>0</v>
      </c>
      <c r="H274" s="14">
        <v>0</v>
      </c>
      <c r="I274" s="14">
        <v>0</v>
      </c>
      <c r="J274" s="14">
        <v>1</v>
      </c>
      <c r="K274" s="14">
        <v>1</v>
      </c>
      <c r="L274" s="14">
        <v>1</v>
      </c>
      <c r="M274" s="14">
        <v>0</v>
      </c>
      <c r="N274" s="14">
        <v>0</v>
      </c>
      <c r="O274" s="14">
        <v>0</v>
      </c>
      <c r="P274" s="14">
        <v>0</v>
      </c>
      <c r="Q274" s="14">
        <v>0</v>
      </c>
      <c r="R274" s="14">
        <v>0</v>
      </c>
      <c r="S274" s="14">
        <v>1</v>
      </c>
      <c r="T274" s="14">
        <v>0</v>
      </c>
      <c r="U274" s="14">
        <v>0</v>
      </c>
      <c r="V274" s="14">
        <v>1</v>
      </c>
      <c r="W274" s="15">
        <v>10</v>
      </c>
      <c r="X274" s="15">
        <v>0</v>
      </c>
      <c r="Y274" s="14">
        <v>1</v>
      </c>
      <c r="Z274" s="14">
        <v>0</v>
      </c>
      <c r="AA274" s="15">
        <v>0</v>
      </c>
      <c r="AB274" s="15">
        <v>0</v>
      </c>
      <c r="AC274" s="15">
        <v>0</v>
      </c>
      <c r="AD274" s="15">
        <v>0</v>
      </c>
      <c r="AE274" s="15">
        <v>0</v>
      </c>
      <c r="AF274" s="15">
        <v>0</v>
      </c>
      <c r="AG274" s="15">
        <v>10</v>
      </c>
      <c r="AH274" s="15">
        <v>10</v>
      </c>
      <c r="AI274" s="15">
        <v>0</v>
      </c>
      <c r="AJ274" s="15">
        <v>0</v>
      </c>
      <c r="AK274" s="15">
        <v>0</v>
      </c>
      <c r="AL274" s="15">
        <v>0</v>
      </c>
      <c r="AM274" s="14">
        <v>0</v>
      </c>
      <c r="AN274" s="14">
        <v>0</v>
      </c>
      <c r="AO274" s="14">
        <v>0</v>
      </c>
      <c r="AP274" s="14">
        <v>0</v>
      </c>
      <c r="AQ274" s="14">
        <v>0</v>
      </c>
      <c r="AR274" s="14">
        <v>0</v>
      </c>
      <c r="AS274" s="14">
        <v>0</v>
      </c>
      <c r="AT274" s="14">
        <v>1</v>
      </c>
      <c r="AU274" s="14">
        <v>0</v>
      </c>
      <c r="AV274" s="14">
        <v>1</v>
      </c>
      <c r="AW274" s="14">
        <v>0</v>
      </c>
      <c r="AX274" s="14">
        <v>1</v>
      </c>
      <c r="AY274" s="14">
        <v>0</v>
      </c>
      <c r="AZ274" s="14">
        <v>1</v>
      </c>
      <c r="BA274" s="14">
        <v>0</v>
      </c>
      <c r="BB274" s="14">
        <v>0</v>
      </c>
      <c r="BC274" s="14">
        <v>0</v>
      </c>
      <c r="BD274" s="14">
        <v>0</v>
      </c>
      <c r="BE274" s="14">
        <v>0</v>
      </c>
      <c r="BF274" s="14"/>
    </row>
    <row r="275" spans="1:58" ht="16">
      <c r="A275" s="14" t="s">
        <v>17140</v>
      </c>
      <c r="B275" s="14" t="s">
        <v>18849</v>
      </c>
      <c r="C275" s="14">
        <v>0</v>
      </c>
      <c r="D275" s="14">
        <v>0</v>
      </c>
      <c r="E275" s="14">
        <v>0</v>
      </c>
      <c r="F275" s="14">
        <v>0</v>
      </c>
      <c r="G275" s="14">
        <v>0</v>
      </c>
      <c r="H275" s="14">
        <v>0</v>
      </c>
      <c r="I275" s="14">
        <v>0</v>
      </c>
      <c r="J275" s="14">
        <v>1</v>
      </c>
      <c r="K275" s="14">
        <v>0</v>
      </c>
      <c r="L275" s="14">
        <v>0</v>
      </c>
      <c r="M275" s="14">
        <v>0</v>
      </c>
      <c r="N275" s="14">
        <v>0</v>
      </c>
      <c r="O275" s="14">
        <v>0</v>
      </c>
      <c r="P275" s="14">
        <v>0</v>
      </c>
      <c r="Q275" s="14">
        <v>0</v>
      </c>
      <c r="R275" s="14">
        <v>0</v>
      </c>
      <c r="S275" s="14">
        <v>0</v>
      </c>
      <c r="T275" s="14">
        <v>0</v>
      </c>
      <c r="U275" s="14">
        <v>0</v>
      </c>
      <c r="V275" s="14">
        <v>0</v>
      </c>
      <c r="W275" s="15">
        <v>0</v>
      </c>
      <c r="X275" s="15">
        <v>0</v>
      </c>
      <c r="Y275" s="14">
        <v>0</v>
      </c>
      <c r="Z275" s="14">
        <v>0</v>
      </c>
      <c r="AA275" s="15">
        <v>0</v>
      </c>
      <c r="AB275" s="15">
        <v>0</v>
      </c>
      <c r="AC275" s="15">
        <v>0</v>
      </c>
      <c r="AD275" s="15">
        <v>0</v>
      </c>
      <c r="AE275" s="15">
        <v>0</v>
      </c>
      <c r="AF275" s="15">
        <v>0</v>
      </c>
      <c r="AG275" s="15">
        <v>0</v>
      </c>
      <c r="AH275" s="15">
        <v>0</v>
      </c>
      <c r="AI275" s="15">
        <v>0</v>
      </c>
      <c r="AJ275" s="15">
        <v>0</v>
      </c>
      <c r="AK275" s="15">
        <v>0</v>
      </c>
      <c r="AL275" s="15">
        <v>0</v>
      </c>
      <c r="AM275" s="14">
        <v>0</v>
      </c>
      <c r="AN275" s="14">
        <v>0</v>
      </c>
      <c r="AO275" s="14">
        <v>0</v>
      </c>
      <c r="AP275" s="14">
        <v>0</v>
      </c>
      <c r="AQ275" s="14">
        <v>0</v>
      </c>
      <c r="AR275" s="14">
        <v>0</v>
      </c>
      <c r="AS275" s="14">
        <v>0</v>
      </c>
      <c r="AT275" s="14">
        <v>0</v>
      </c>
      <c r="AU275" s="14">
        <v>0</v>
      </c>
      <c r="AV275" s="14">
        <v>0</v>
      </c>
      <c r="AW275" s="14">
        <v>0</v>
      </c>
      <c r="AX275" s="14">
        <v>0</v>
      </c>
      <c r="AY275" s="14">
        <v>0</v>
      </c>
      <c r="AZ275" s="14">
        <v>0</v>
      </c>
      <c r="BA275" s="14">
        <v>0</v>
      </c>
      <c r="BB275" s="14">
        <v>0</v>
      </c>
      <c r="BC275" s="14">
        <v>0</v>
      </c>
      <c r="BD275" s="14">
        <v>0</v>
      </c>
      <c r="BE275" s="14">
        <v>0</v>
      </c>
      <c r="BF275" s="14">
        <v>0</v>
      </c>
    </row>
    <row r="276" spans="1:58" ht="16">
      <c r="A276" s="14" t="s">
        <v>17169</v>
      </c>
      <c r="B276" s="14" t="s">
        <v>17170</v>
      </c>
      <c r="C276" s="14">
        <v>0</v>
      </c>
      <c r="D276" s="14">
        <v>0</v>
      </c>
      <c r="E276" s="14">
        <v>0</v>
      </c>
      <c r="F276" s="14">
        <v>0</v>
      </c>
      <c r="G276" s="14">
        <v>0</v>
      </c>
      <c r="H276" s="14">
        <v>0</v>
      </c>
      <c r="I276" s="14">
        <v>0</v>
      </c>
      <c r="J276" s="14">
        <v>0</v>
      </c>
      <c r="K276" s="14">
        <v>0</v>
      </c>
      <c r="L276" s="14">
        <v>0</v>
      </c>
      <c r="M276" s="14">
        <v>0</v>
      </c>
      <c r="N276" s="14">
        <v>0</v>
      </c>
      <c r="O276" s="14">
        <v>0</v>
      </c>
      <c r="P276" s="14">
        <v>0</v>
      </c>
      <c r="Q276" s="14">
        <v>0</v>
      </c>
      <c r="R276" s="14">
        <v>0</v>
      </c>
      <c r="S276" s="14">
        <v>0</v>
      </c>
      <c r="T276" s="14">
        <v>0</v>
      </c>
      <c r="U276" s="14">
        <v>0</v>
      </c>
      <c r="V276" s="14">
        <v>0</v>
      </c>
      <c r="W276" s="15">
        <v>0</v>
      </c>
      <c r="X276" s="15">
        <v>0</v>
      </c>
      <c r="Y276" s="14">
        <v>0</v>
      </c>
      <c r="Z276" s="14">
        <v>0</v>
      </c>
      <c r="AA276" s="15">
        <v>0</v>
      </c>
      <c r="AB276" s="15">
        <v>0</v>
      </c>
      <c r="AC276" s="15">
        <v>0</v>
      </c>
      <c r="AD276" s="15">
        <v>0</v>
      </c>
      <c r="AE276" s="15">
        <v>0</v>
      </c>
      <c r="AF276" s="15">
        <v>0</v>
      </c>
      <c r="AG276" s="15">
        <v>0</v>
      </c>
      <c r="AH276" s="15">
        <v>0</v>
      </c>
      <c r="AI276" s="15">
        <v>0</v>
      </c>
      <c r="AJ276" s="15">
        <v>0</v>
      </c>
      <c r="AK276" s="15">
        <v>0</v>
      </c>
      <c r="AL276" s="15">
        <v>0</v>
      </c>
      <c r="AM276" s="14">
        <v>0</v>
      </c>
      <c r="AN276" s="14">
        <v>0</v>
      </c>
      <c r="AO276" s="14">
        <v>0</v>
      </c>
      <c r="AP276" s="14">
        <v>0</v>
      </c>
      <c r="AQ276" s="14">
        <v>0</v>
      </c>
      <c r="AR276" s="14">
        <v>0</v>
      </c>
      <c r="AS276" s="14">
        <v>0</v>
      </c>
      <c r="AT276" s="14">
        <v>0</v>
      </c>
      <c r="AU276" s="14">
        <v>0</v>
      </c>
      <c r="AV276" s="14">
        <v>0</v>
      </c>
      <c r="AW276" s="14">
        <v>0</v>
      </c>
      <c r="AX276" s="14">
        <v>0</v>
      </c>
      <c r="AY276" s="14">
        <v>0</v>
      </c>
      <c r="AZ276" s="14">
        <v>0</v>
      </c>
      <c r="BA276" s="14">
        <v>0</v>
      </c>
      <c r="BB276" s="14">
        <v>0</v>
      </c>
      <c r="BC276" s="14">
        <v>0</v>
      </c>
      <c r="BD276" s="14">
        <v>0</v>
      </c>
      <c r="BE276" s="14">
        <v>0</v>
      </c>
      <c r="BF276" s="14">
        <v>27</v>
      </c>
    </row>
    <row r="277" spans="1:58" ht="16">
      <c r="A277" s="14" t="s">
        <v>17169</v>
      </c>
      <c r="B277" s="14" t="s">
        <v>17319</v>
      </c>
      <c r="C277" s="14">
        <v>0</v>
      </c>
      <c r="D277" s="14">
        <v>1</v>
      </c>
      <c r="E277" s="14">
        <v>1</v>
      </c>
      <c r="F277" s="14">
        <v>1</v>
      </c>
      <c r="G277" s="14">
        <v>1</v>
      </c>
      <c r="H277" s="14">
        <v>0</v>
      </c>
      <c r="I277" s="14">
        <v>0</v>
      </c>
      <c r="J277" s="14">
        <v>1</v>
      </c>
      <c r="K277" s="14">
        <v>4</v>
      </c>
      <c r="L277" s="14">
        <v>0</v>
      </c>
      <c r="M277" s="14">
        <v>0</v>
      </c>
      <c r="N277" s="14">
        <v>1</v>
      </c>
      <c r="O277" s="14">
        <v>0</v>
      </c>
      <c r="P277" s="14">
        <v>0</v>
      </c>
      <c r="Q277" s="14">
        <v>0</v>
      </c>
      <c r="R277" s="14">
        <v>0</v>
      </c>
      <c r="S277" s="14">
        <v>0</v>
      </c>
      <c r="T277" s="14">
        <v>0</v>
      </c>
      <c r="U277" s="14">
        <v>0</v>
      </c>
      <c r="V277" s="14">
        <v>0</v>
      </c>
      <c r="W277" s="15">
        <v>0</v>
      </c>
      <c r="X277" s="15">
        <v>0</v>
      </c>
      <c r="Y277" s="14">
        <v>0</v>
      </c>
      <c r="Z277" s="14">
        <v>0</v>
      </c>
      <c r="AA277" s="15">
        <v>0</v>
      </c>
      <c r="AB277" s="15">
        <v>0</v>
      </c>
      <c r="AC277" s="15">
        <v>0</v>
      </c>
      <c r="AD277" s="15">
        <v>0</v>
      </c>
      <c r="AE277" s="15">
        <v>0</v>
      </c>
      <c r="AF277" s="15">
        <v>0</v>
      </c>
      <c r="AG277" s="15">
        <v>0</v>
      </c>
      <c r="AH277" s="15">
        <v>0</v>
      </c>
      <c r="AI277" s="15">
        <v>0</v>
      </c>
      <c r="AJ277" s="15">
        <v>0</v>
      </c>
      <c r="AK277" s="15">
        <v>0</v>
      </c>
      <c r="AL277" s="15">
        <v>0</v>
      </c>
      <c r="AM277" s="14">
        <v>0</v>
      </c>
      <c r="AN277" s="14">
        <v>0</v>
      </c>
      <c r="AO277" s="14">
        <v>0</v>
      </c>
      <c r="AP277" s="14">
        <v>0</v>
      </c>
      <c r="AQ277" s="14">
        <v>0</v>
      </c>
      <c r="AR277" s="14">
        <v>0</v>
      </c>
      <c r="AS277" s="14">
        <v>0</v>
      </c>
      <c r="AT277" s="14">
        <v>4</v>
      </c>
      <c r="AU277" s="14">
        <v>0</v>
      </c>
      <c r="AV277" s="14">
        <v>4</v>
      </c>
      <c r="AW277" s="14">
        <v>0</v>
      </c>
      <c r="AX277" s="14">
        <v>0</v>
      </c>
      <c r="AY277" s="14">
        <v>0</v>
      </c>
      <c r="AZ277" s="14">
        <v>0</v>
      </c>
      <c r="BA277" s="14">
        <v>0</v>
      </c>
      <c r="BB277" s="14">
        <v>0</v>
      </c>
      <c r="BC277" s="14">
        <v>0</v>
      </c>
      <c r="BD277" s="14">
        <v>0</v>
      </c>
      <c r="BE277" s="14">
        <v>0</v>
      </c>
      <c r="BF277" s="14">
        <v>0</v>
      </c>
    </row>
    <row r="278" spans="1:58" ht="16">
      <c r="A278" s="14" t="s">
        <v>17169</v>
      </c>
      <c r="B278" s="14" t="s">
        <v>17172</v>
      </c>
      <c r="C278" s="14">
        <v>0</v>
      </c>
      <c r="D278" s="14">
        <v>15</v>
      </c>
      <c r="E278" s="14">
        <v>15</v>
      </c>
      <c r="F278" s="14">
        <v>14</v>
      </c>
      <c r="G278" s="14">
        <v>5</v>
      </c>
      <c r="H278" s="14">
        <v>1</v>
      </c>
      <c r="I278" s="14">
        <v>0</v>
      </c>
      <c r="J278" s="14">
        <v>15</v>
      </c>
      <c r="K278" s="14">
        <v>0</v>
      </c>
      <c r="L278" s="14">
        <v>7</v>
      </c>
      <c r="M278" s="14">
        <v>0</v>
      </c>
      <c r="N278" s="14">
        <v>3</v>
      </c>
      <c r="O278" s="14">
        <v>2</v>
      </c>
      <c r="P278" s="14">
        <v>1</v>
      </c>
      <c r="Q278" s="14">
        <v>2</v>
      </c>
      <c r="R278" s="14">
        <v>0</v>
      </c>
      <c r="S278" s="14">
        <v>15.5</v>
      </c>
      <c r="T278" s="14">
        <v>12.75</v>
      </c>
      <c r="U278" s="14">
        <v>0</v>
      </c>
      <c r="V278" s="14">
        <v>28.3</v>
      </c>
      <c r="W278" s="15">
        <v>410</v>
      </c>
      <c r="X278" s="15">
        <v>0</v>
      </c>
      <c r="Y278" s="14">
        <v>13</v>
      </c>
      <c r="Z278" s="14">
        <v>0</v>
      </c>
      <c r="AA278" s="15">
        <v>0</v>
      </c>
      <c r="AB278" s="15">
        <v>217.5</v>
      </c>
      <c r="AC278" s="15">
        <v>331.65</v>
      </c>
      <c r="AD278" s="15">
        <v>331.65</v>
      </c>
      <c r="AE278" s="15">
        <v>0</v>
      </c>
      <c r="AF278" s="15">
        <v>549.15</v>
      </c>
      <c r="AG278" s="15">
        <v>741.65</v>
      </c>
      <c r="AH278" s="15">
        <v>741.65</v>
      </c>
      <c r="AI278" s="15">
        <v>0</v>
      </c>
      <c r="AJ278" s="15">
        <v>485.15</v>
      </c>
      <c r="AK278" s="15">
        <v>515.15</v>
      </c>
      <c r="AL278" s="15">
        <v>515.15</v>
      </c>
      <c r="AM278" s="14">
        <v>15</v>
      </c>
      <c r="AN278" s="14">
        <v>1</v>
      </c>
      <c r="AO278" s="14">
        <v>14</v>
      </c>
      <c r="AP278" s="14">
        <v>0</v>
      </c>
      <c r="AQ278" s="14">
        <v>13</v>
      </c>
      <c r="AR278" s="14">
        <v>1</v>
      </c>
      <c r="AS278" s="14">
        <v>12</v>
      </c>
      <c r="AT278" s="14">
        <v>0</v>
      </c>
      <c r="AU278" s="14">
        <v>12.75</v>
      </c>
      <c r="AV278" s="14">
        <v>5</v>
      </c>
      <c r="AW278" s="14">
        <v>7.75</v>
      </c>
      <c r="AX278" s="14">
        <v>0</v>
      </c>
      <c r="AY278" s="14">
        <v>0</v>
      </c>
      <c r="AZ278" s="14">
        <v>0</v>
      </c>
      <c r="BA278" s="14">
        <v>0</v>
      </c>
      <c r="BB278" s="14">
        <v>0</v>
      </c>
      <c r="BC278" s="14">
        <v>0</v>
      </c>
      <c r="BD278" s="14">
        <v>0</v>
      </c>
      <c r="BE278" s="14">
        <v>0</v>
      </c>
      <c r="BF278" s="14">
        <v>9</v>
      </c>
    </row>
    <row r="279" spans="1:58" ht="16">
      <c r="A279" s="14" t="s">
        <v>17169</v>
      </c>
      <c r="B279" s="14" t="s">
        <v>17173</v>
      </c>
      <c r="C279" s="14">
        <v>0</v>
      </c>
      <c r="D279" s="14">
        <v>0</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0</v>
      </c>
      <c r="V279" s="14">
        <v>0</v>
      </c>
      <c r="W279" s="15">
        <v>0</v>
      </c>
      <c r="X279" s="15">
        <v>0</v>
      </c>
      <c r="Y279" s="14">
        <v>0</v>
      </c>
      <c r="Z279" s="14">
        <v>0</v>
      </c>
      <c r="AA279" s="15">
        <v>0</v>
      </c>
      <c r="AB279" s="15">
        <v>0</v>
      </c>
      <c r="AC279" s="15">
        <v>0</v>
      </c>
      <c r="AD279" s="15">
        <v>0</v>
      </c>
      <c r="AE279" s="15">
        <v>0</v>
      </c>
      <c r="AF279" s="15">
        <v>0</v>
      </c>
      <c r="AG279" s="15">
        <v>0</v>
      </c>
      <c r="AH279" s="15">
        <v>0</v>
      </c>
      <c r="AI279" s="15">
        <v>0</v>
      </c>
      <c r="AJ279" s="15">
        <v>0</v>
      </c>
      <c r="AK279" s="15">
        <v>0</v>
      </c>
      <c r="AL279" s="15">
        <v>0</v>
      </c>
      <c r="AM279" s="14">
        <v>0</v>
      </c>
      <c r="AN279" s="14">
        <v>0</v>
      </c>
      <c r="AO279" s="14">
        <v>0</v>
      </c>
      <c r="AP279" s="14">
        <v>0</v>
      </c>
      <c r="AQ279" s="14">
        <v>0</v>
      </c>
      <c r="AR279" s="14">
        <v>0</v>
      </c>
      <c r="AS279" s="14">
        <v>0</v>
      </c>
      <c r="AT279" s="14">
        <v>0</v>
      </c>
      <c r="AU279" s="14">
        <v>0</v>
      </c>
      <c r="AV279" s="14">
        <v>0</v>
      </c>
      <c r="AW279" s="14">
        <v>0</v>
      </c>
      <c r="AX279" s="14">
        <v>0</v>
      </c>
      <c r="AY279" s="14">
        <v>0</v>
      </c>
      <c r="AZ279" s="14">
        <v>0</v>
      </c>
      <c r="BA279" s="14">
        <v>0</v>
      </c>
      <c r="BB279" s="14">
        <v>0</v>
      </c>
      <c r="BC279" s="14">
        <v>0</v>
      </c>
      <c r="BD279" s="14">
        <v>0</v>
      </c>
      <c r="BE279" s="14">
        <v>0</v>
      </c>
      <c r="BF279" s="16">
        <v>9900</v>
      </c>
    </row>
    <row r="280" spans="1:58" ht="16">
      <c r="A280" s="14" t="s">
        <v>17169</v>
      </c>
      <c r="B280" s="14" t="s">
        <v>17174</v>
      </c>
      <c r="C280" s="14">
        <v>0</v>
      </c>
      <c r="D280" s="14">
        <v>0</v>
      </c>
      <c r="E280" s="14">
        <v>0</v>
      </c>
      <c r="F280" s="14">
        <v>0</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5">
        <v>0</v>
      </c>
      <c r="X280" s="15">
        <v>0</v>
      </c>
      <c r="Y280" s="14">
        <v>0</v>
      </c>
      <c r="Z280" s="14">
        <v>0</v>
      </c>
      <c r="AA280" s="15">
        <v>0</v>
      </c>
      <c r="AB280" s="15">
        <v>0</v>
      </c>
      <c r="AC280" s="15">
        <v>0</v>
      </c>
      <c r="AD280" s="15">
        <v>0</v>
      </c>
      <c r="AE280" s="15">
        <v>0</v>
      </c>
      <c r="AF280" s="15">
        <v>0</v>
      </c>
      <c r="AG280" s="15">
        <v>0</v>
      </c>
      <c r="AH280" s="15">
        <v>0</v>
      </c>
      <c r="AI280" s="15">
        <v>0</v>
      </c>
      <c r="AJ280" s="15">
        <v>0</v>
      </c>
      <c r="AK280" s="15">
        <v>0</v>
      </c>
      <c r="AL280" s="15">
        <v>0</v>
      </c>
      <c r="AM280" s="14">
        <v>0</v>
      </c>
      <c r="AN280" s="14">
        <v>0</v>
      </c>
      <c r="AO280" s="14">
        <v>0</v>
      </c>
      <c r="AP280" s="14">
        <v>0</v>
      </c>
      <c r="AQ280" s="14">
        <v>0</v>
      </c>
      <c r="AR280" s="14">
        <v>0</v>
      </c>
      <c r="AS280" s="14">
        <v>0</v>
      </c>
      <c r="AT280" s="14">
        <v>0</v>
      </c>
      <c r="AU280" s="14">
        <v>0</v>
      </c>
      <c r="AV280" s="14">
        <v>0</v>
      </c>
      <c r="AW280" s="14">
        <v>0</v>
      </c>
      <c r="AX280" s="14">
        <v>0</v>
      </c>
      <c r="AY280" s="14">
        <v>0</v>
      </c>
      <c r="AZ280" s="14">
        <v>0</v>
      </c>
      <c r="BA280" s="14">
        <v>0</v>
      </c>
      <c r="BB280" s="14">
        <v>0</v>
      </c>
      <c r="BC280" s="14">
        <v>0</v>
      </c>
      <c r="BD280" s="14">
        <v>0</v>
      </c>
      <c r="BE280" s="14">
        <v>0</v>
      </c>
      <c r="BF280" s="14">
        <v>150</v>
      </c>
    </row>
    <row r="281" spans="1:58" ht="16">
      <c r="A281" s="14" t="s">
        <v>17169</v>
      </c>
      <c r="B281" s="14" t="s">
        <v>17372</v>
      </c>
      <c r="C281" s="14">
        <v>0</v>
      </c>
      <c r="D281" s="14">
        <v>0</v>
      </c>
      <c r="E281" s="14">
        <v>0</v>
      </c>
      <c r="F281" s="14">
        <v>0</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0</v>
      </c>
      <c r="W281" s="15">
        <v>0</v>
      </c>
      <c r="X281" s="15">
        <v>0</v>
      </c>
      <c r="Y281" s="14">
        <v>0</v>
      </c>
      <c r="Z281" s="14">
        <v>0</v>
      </c>
      <c r="AA281" s="15">
        <v>0</v>
      </c>
      <c r="AB281" s="15">
        <v>0</v>
      </c>
      <c r="AC281" s="15">
        <v>0</v>
      </c>
      <c r="AD281" s="15">
        <v>0</v>
      </c>
      <c r="AE281" s="15">
        <v>0</v>
      </c>
      <c r="AF281" s="15">
        <v>0</v>
      </c>
      <c r="AG281" s="15">
        <v>0</v>
      </c>
      <c r="AH281" s="15">
        <v>0</v>
      </c>
      <c r="AI281" s="15">
        <v>0</v>
      </c>
      <c r="AJ281" s="15">
        <v>0</v>
      </c>
      <c r="AK281" s="15">
        <v>0</v>
      </c>
      <c r="AL281" s="15">
        <v>0</v>
      </c>
      <c r="AM281" s="14">
        <v>0</v>
      </c>
      <c r="AN281" s="14">
        <v>0</v>
      </c>
      <c r="AO281" s="14">
        <v>0</v>
      </c>
      <c r="AP281" s="14">
        <v>0</v>
      </c>
      <c r="AQ281" s="14">
        <v>0</v>
      </c>
      <c r="AR281" s="14">
        <v>0</v>
      </c>
      <c r="AS281" s="14">
        <v>0</v>
      </c>
      <c r="AT281" s="14">
        <v>0</v>
      </c>
      <c r="AU281" s="14">
        <v>0</v>
      </c>
      <c r="AV281" s="14">
        <v>0</v>
      </c>
      <c r="AW281" s="14">
        <v>0</v>
      </c>
      <c r="AX281" s="14">
        <v>0</v>
      </c>
      <c r="AY281" s="14">
        <v>0</v>
      </c>
      <c r="AZ281" s="14">
        <v>0</v>
      </c>
      <c r="BA281" s="14">
        <v>0</v>
      </c>
      <c r="BB281" s="14">
        <v>0</v>
      </c>
      <c r="BC281" s="14">
        <v>0</v>
      </c>
      <c r="BD281" s="14">
        <v>0</v>
      </c>
      <c r="BE281" s="14">
        <v>0</v>
      </c>
      <c r="BF281" s="14">
        <v>0</v>
      </c>
    </row>
    <row r="282" spans="1:58" ht="16">
      <c r="A282" s="14" t="s">
        <v>17169</v>
      </c>
      <c r="B282" s="14" t="s">
        <v>17177</v>
      </c>
      <c r="C282" s="14">
        <v>1</v>
      </c>
      <c r="D282" s="14">
        <v>7</v>
      </c>
      <c r="E282" s="14">
        <v>7</v>
      </c>
      <c r="F282" s="14">
        <v>7</v>
      </c>
      <c r="G282" s="14">
        <v>0</v>
      </c>
      <c r="H282" s="14">
        <v>0</v>
      </c>
      <c r="I282" s="14">
        <v>0</v>
      </c>
      <c r="J282" s="14">
        <v>7</v>
      </c>
      <c r="K282" s="14">
        <v>34</v>
      </c>
      <c r="L282" s="14">
        <v>7</v>
      </c>
      <c r="M282" s="14">
        <v>0</v>
      </c>
      <c r="N282" s="14">
        <v>0</v>
      </c>
      <c r="O282" s="14">
        <v>0</v>
      </c>
      <c r="P282" s="14">
        <v>0</v>
      </c>
      <c r="Q282" s="14">
        <v>0</v>
      </c>
      <c r="R282" s="14">
        <v>0</v>
      </c>
      <c r="S282" s="14">
        <v>3.75</v>
      </c>
      <c r="T282" s="14">
        <v>1</v>
      </c>
      <c r="U282" s="14">
        <v>0</v>
      </c>
      <c r="V282" s="14">
        <v>4.8</v>
      </c>
      <c r="W282" s="15">
        <v>55</v>
      </c>
      <c r="X282" s="15">
        <v>0</v>
      </c>
      <c r="Y282" s="14">
        <v>6</v>
      </c>
      <c r="Z282" s="14">
        <v>0</v>
      </c>
      <c r="AA282" s="15">
        <v>-2.5</v>
      </c>
      <c r="AB282" s="15">
        <v>0</v>
      </c>
      <c r="AC282" s="15">
        <v>0</v>
      </c>
      <c r="AD282" s="15">
        <v>0</v>
      </c>
      <c r="AE282" s="15">
        <v>0</v>
      </c>
      <c r="AF282" s="15">
        <v>0</v>
      </c>
      <c r="AG282" s="15">
        <v>55</v>
      </c>
      <c r="AH282" s="15">
        <v>55</v>
      </c>
      <c r="AI282" s="15">
        <v>0</v>
      </c>
      <c r="AJ282" s="15">
        <v>0</v>
      </c>
      <c r="AK282" s="15">
        <v>0</v>
      </c>
      <c r="AL282" s="15">
        <v>0</v>
      </c>
      <c r="AM282" s="14">
        <v>0</v>
      </c>
      <c r="AN282" s="14">
        <v>0</v>
      </c>
      <c r="AO282" s="14">
        <v>0</v>
      </c>
      <c r="AP282" s="14">
        <v>0</v>
      </c>
      <c r="AQ282" s="14">
        <v>0</v>
      </c>
      <c r="AR282" s="14">
        <v>0</v>
      </c>
      <c r="AS282" s="14">
        <v>0</v>
      </c>
      <c r="AT282" s="14">
        <v>34</v>
      </c>
      <c r="AU282" s="14">
        <v>0</v>
      </c>
      <c r="AV282" s="14">
        <v>28</v>
      </c>
      <c r="AW282" s="14">
        <v>6</v>
      </c>
      <c r="AX282" s="14">
        <v>3.75</v>
      </c>
      <c r="AY282" s="14">
        <v>0</v>
      </c>
      <c r="AZ282" s="14">
        <v>3.5</v>
      </c>
      <c r="BA282" s="14">
        <v>0.25</v>
      </c>
      <c r="BB282" s="14">
        <v>1</v>
      </c>
      <c r="BC282" s="14">
        <v>0</v>
      </c>
      <c r="BD282" s="14">
        <v>1</v>
      </c>
      <c r="BE282" s="14">
        <v>0</v>
      </c>
      <c r="BF282" s="14">
        <v>0</v>
      </c>
    </row>
    <row r="283" spans="1:58" ht="16">
      <c r="A283" s="14" t="s">
        <v>17169</v>
      </c>
      <c r="B283" s="14" t="s">
        <v>17307</v>
      </c>
      <c r="C283" s="14">
        <v>0</v>
      </c>
      <c r="D283" s="14">
        <v>4</v>
      </c>
      <c r="E283" s="14">
        <v>3</v>
      </c>
      <c r="F283" s="14">
        <v>4</v>
      </c>
      <c r="G283" s="14">
        <v>0</v>
      </c>
      <c r="H283" s="14">
        <v>0</v>
      </c>
      <c r="I283" s="14">
        <v>0</v>
      </c>
      <c r="J283" s="14">
        <v>4</v>
      </c>
      <c r="K283" s="14">
        <v>24</v>
      </c>
      <c r="L283" s="14">
        <v>4</v>
      </c>
      <c r="M283" s="14">
        <v>0</v>
      </c>
      <c r="N283" s="14">
        <v>0</v>
      </c>
      <c r="O283" s="14">
        <v>0</v>
      </c>
      <c r="P283" s="14">
        <v>0</v>
      </c>
      <c r="Q283" s="14">
        <v>0</v>
      </c>
      <c r="R283" s="14">
        <v>0</v>
      </c>
      <c r="S283" s="14">
        <v>1.5</v>
      </c>
      <c r="T283" s="14">
        <v>1.5</v>
      </c>
      <c r="U283" s="14">
        <v>0</v>
      </c>
      <c r="V283" s="14">
        <v>3</v>
      </c>
      <c r="W283" s="15">
        <v>45</v>
      </c>
      <c r="X283" s="15">
        <v>0</v>
      </c>
      <c r="Y283" s="14">
        <v>3</v>
      </c>
      <c r="Z283" s="14">
        <v>0</v>
      </c>
      <c r="AA283" s="15">
        <v>0</v>
      </c>
      <c r="AB283" s="15">
        <v>0</v>
      </c>
      <c r="AC283" s="15">
        <v>41.75</v>
      </c>
      <c r="AD283" s="15">
        <v>41.75</v>
      </c>
      <c r="AE283" s="15">
        <v>41.75</v>
      </c>
      <c r="AF283" s="15">
        <v>6.75</v>
      </c>
      <c r="AG283" s="15">
        <v>80</v>
      </c>
      <c r="AH283" s="15">
        <v>38.25</v>
      </c>
      <c r="AI283" s="15">
        <v>0</v>
      </c>
      <c r="AJ283" s="15">
        <v>0</v>
      </c>
      <c r="AK283" s="15">
        <v>0</v>
      </c>
      <c r="AL283" s="15">
        <v>0</v>
      </c>
      <c r="AM283" s="14">
        <v>0</v>
      </c>
      <c r="AN283" s="14">
        <v>1</v>
      </c>
      <c r="AO283" s="14">
        <v>0</v>
      </c>
      <c r="AP283" s="14">
        <v>0</v>
      </c>
      <c r="AQ283" s="14">
        <v>0</v>
      </c>
      <c r="AR283" s="14">
        <v>0</v>
      </c>
      <c r="AS283" s="14">
        <v>0</v>
      </c>
      <c r="AT283" s="14">
        <v>24</v>
      </c>
      <c r="AU283" s="14">
        <v>0</v>
      </c>
      <c r="AV283" s="14">
        <v>24</v>
      </c>
      <c r="AW283" s="14">
        <v>0</v>
      </c>
      <c r="AX283" s="14">
        <v>1.5</v>
      </c>
      <c r="AY283" s="14">
        <v>0</v>
      </c>
      <c r="AZ283" s="14">
        <v>1.5</v>
      </c>
      <c r="BA283" s="14">
        <v>0</v>
      </c>
      <c r="BB283" s="14">
        <v>1.5</v>
      </c>
      <c r="BC283" s="14">
        <v>0</v>
      </c>
      <c r="BD283" s="14">
        <v>1.5</v>
      </c>
      <c r="BE283" s="14">
        <v>0</v>
      </c>
      <c r="BF283" s="16">
        <v>2900</v>
      </c>
    </row>
    <row r="284" spans="1:58" ht="16">
      <c r="A284" s="14" t="s">
        <v>17169</v>
      </c>
      <c r="B284" s="14" t="s">
        <v>17179</v>
      </c>
      <c r="C284" s="14">
        <v>0</v>
      </c>
      <c r="D284" s="14">
        <v>7</v>
      </c>
      <c r="E284" s="14">
        <v>7</v>
      </c>
      <c r="F284" s="14">
        <v>0</v>
      </c>
      <c r="G284" s="14">
        <v>0</v>
      </c>
      <c r="H284" s="14">
        <v>7</v>
      </c>
      <c r="I284" s="14">
        <v>0</v>
      </c>
      <c r="J284" s="14">
        <v>7</v>
      </c>
      <c r="K284" s="14">
        <v>80</v>
      </c>
      <c r="L284" s="14">
        <v>5</v>
      </c>
      <c r="M284" s="14">
        <v>0</v>
      </c>
      <c r="N284" s="14">
        <v>1</v>
      </c>
      <c r="O284" s="14">
        <v>0</v>
      </c>
      <c r="P284" s="14">
        <v>0</v>
      </c>
      <c r="Q284" s="14">
        <v>0</v>
      </c>
      <c r="R284" s="14">
        <v>2</v>
      </c>
      <c r="S284" s="14">
        <v>78.75</v>
      </c>
      <c r="T284" s="14">
        <v>9.5</v>
      </c>
      <c r="U284" s="14">
        <v>0</v>
      </c>
      <c r="V284" s="14">
        <v>88.25</v>
      </c>
      <c r="W284" s="15">
        <v>977.5</v>
      </c>
      <c r="X284" s="15">
        <v>0</v>
      </c>
      <c r="Y284" s="14">
        <v>4</v>
      </c>
      <c r="Z284" s="14">
        <v>1</v>
      </c>
      <c r="AA284" s="15">
        <v>0</v>
      </c>
      <c r="AB284" s="15">
        <v>797.5</v>
      </c>
      <c r="AC284" s="15">
        <v>0</v>
      </c>
      <c r="AD284" s="15">
        <v>0</v>
      </c>
      <c r="AE284" s="15">
        <v>136</v>
      </c>
      <c r="AF284" s="15">
        <v>797.5</v>
      </c>
      <c r="AG284" s="15">
        <v>977.5</v>
      </c>
      <c r="AH284" s="15">
        <v>841.5</v>
      </c>
      <c r="AI284" s="15">
        <v>136</v>
      </c>
      <c r="AJ284" s="15">
        <v>797.5</v>
      </c>
      <c r="AK284" s="15">
        <v>977.5</v>
      </c>
      <c r="AL284" s="15">
        <v>841.5</v>
      </c>
      <c r="AM284" s="14">
        <v>2</v>
      </c>
      <c r="AN284" s="14">
        <v>2</v>
      </c>
      <c r="AO284" s="14">
        <v>0</v>
      </c>
      <c r="AP284" s="14">
        <v>0</v>
      </c>
      <c r="AQ284" s="14">
        <v>2</v>
      </c>
      <c r="AR284" s="14">
        <v>2</v>
      </c>
      <c r="AS284" s="14">
        <v>0</v>
      </c>
      <c r="AT284" s="14">
        <v>80</v>
      </c>
      <c r="AU284" s="14">
        <v>85.5</v>
      </c>
      <c r="AV284" s="14">
        <v>5.5</v>
      </c>
      <c r="AW284" s="14">
        <v>0</v>
      </c>
      <c r="AX284" s="14">
        <v>49</v>
      </c>
      <c r="AY284" s="14">
        <v>49</v>
      </c>
      <c r="AZ284" s="14">
        <v>0</v>
      </c>
      <c r="BA284" s="14">
        <v>0</v>
      </c>
      <c r="BB284" s="14">
        <v>4</v>
      </c>
      <c r="BC284" s="14">
        <v>4</v>
      </c>
      <c r="BD284" s="14">
        <v>0</v>
      </c>
      <c r="BE284" s="14">
        <v>0</v>
      </c>
      <c r="BF284" s="16"/>
    </row>
    <row r="285" spans="1:58" ht="16">
      <c r="A285" s="14" t="s">
        <v>17169</v>
      </c>
      <c r="B285" s="14" t="s">
        <v>18850</v>
      </c>
      <c r="C285" s="14">
        <v>0</v>
      </c>
      <c r="D285" s="14">
        <v>0</v>
      </c>
      <c r="E285" s="14">
        <v>0</v>
      </c>
      <c r="F285" s="14">
        <v>0</v>
      </c>
      <c r="G285" s="14">
        <v>0</v>
      </c>
      <c r="H285" s="14">
        <v>0</v>
      </c>
      <c r="I285" s="14">
        <v>0</v>
      </c>
      <c r="J285" s="14">
        <v>0</v>
      </c>
      <c r="K285" s="14">
        <v>0</v>
      </c>
      <c r="L285" s="14">
        <v>0</v>
      </c>
      <c r="M285" s="14">
        <v>0</v>
      </c>
      <c r="N285" s="14">
        <v>0</v>
      </c>
      <c r="O285" s="14">
        <v>0</v>
      </c>
      <c r="P285" s="14">
        <v>0</v>
      </c>
      <c r="Q285" s="14">
        <v>0</v>
      </c>
      <c r="R285" s="14">
        <v>0</v>
      </c>
      <c r="S285" s="14">
        <v>0</v>
      </c>
      <c r="T285" s="14">
        <v>0</v>
      </c>
      <c r="U285" s="14">
        <v>0</v>
      </c>
      <c r="V285" s="14">
        <v>0</v>
      </c>
      <c r="W285" s="15">
        <v>0</v>
      </c>
      <c r="X285" s="15">
        <v>0</v>
      </c>
      <c r="Y285" s="14">
        <v>0</v>
      </c>
      <c r="Z285" s="14">
        <v>0</v>
      </c>
      <c r="AA285" s="15">
        <v>0</v>
      </c>
      <c r="AB285" s="15">
        <v>0</v>
      </c>
      <c r="AC285" s="15">
        <v>0</v>
      </c>
      <c r="AD285" s="15">
        <v>0</v>
      </c>
      <c r="AE285" s="15">
        <v>0</v>
      </c>
      <c r="AF285" s="15">
        <v>0</v>
      </c>
      <c r="AG285" s="15">
        <v>0</v>
      </c>
      <c r="AH285" s="15">
        <v>0</v>
      </c>
      <c r="AI285" s="15">
        <v>0</v>
      </c>
      <c r="AJ285" s="15">
        <v>0</v>
      </c>
      <c r="AK285" s="15">
        <v>0</v>
      </c>
      <c r="AL285" s="15">
        <v>0</v>
      </c>
      <c r="AM285" s="14">
        <v>0</v>
      </c>
      <c r="AN285" s="14">
        <v>0</v>
      </c>
      <c r="AO285" s="14">
        <v>0</v>
      </c>
      <c r="AP285" s="14">
        <v>0</v>
      </c>
      <c r="AQ285" s="14">
        <v>0</v>
      </c>
      <c r="AR285" s="14">
        <v>0</v>
      </c>
      <c r="AS285" s="14">
        <v>0</v>
      </c>
      <c r="AT285" s="14">
        <v>0</v>
      </c>
      <c r="AU285" s="14">
        <v>0</v>
      </c>
      <c r="AV285" s="14">
        <v>0</v>
      </c>
      <c r="AW285" s="14">
        <v>0</v>
      </c>
      <c r="AX285" s="14">
        <v>0</v>
      </c>
      <c r="AY285" s="14">
        <v>0</v>
      </c>
      <c r="AZ285" s="14">
        <v>0</v>
      </c>
      <c r="BA285" s="14">
        <v>0</v>
      </c>
      <c r="BB285" s="14">
        <v>0</v>
      </c>
      <c r="BC285" s="14">
        <v>0</v>
      </c>
      <c r="BD285" s="14">
        <v>0</v>
      </c>
      <c r="BE285" s="14">
        <v>0</v>
      </c>
      <c r="BF285" s="14">
        <v>0</v>
      </c>
    </row>
    <row r="286" spans="1:58" ht="16">
      <c r="A286" s="14" t="s">
        <v>17169</v>
      </c>
      <c r="B286" s="14" t="s">
        <v>17181</v>
      </c>
      <c r="C286" s="14">
        <v>0</v>
      </c>
      <c r="D286" s="14">
        <v>1</v>
      </c>
      <c r="E286" s="14">
        <v>1</v>
      </c>
      <c r="F286" s="14">
        <v>1</v>
      </c>
      <c r="G286" s="14">
        <v>0</v>
      </c>
      <c r="H286" s="14">
        <v>0</v>
      </c>
      <c r="I286" s="14">
        <v>0</v>
      </c>
      <c r="J286" s="14">
        <v>1</v>
      </c>
      <c r="K286" s="14">
        <v>3</v>
      </c>
      <c r="L286" s="14">
        <v>1</v>
      </c>
      <c r="M286" s="14">
        <v>0</v>
      </c>
      <c r="N286" s="14">
        <v>0</v>
      </c>
      <c r="O286" s="14">
        <v>0</v>
      </c>
      <c r="P286" s="14">
        <v>0</v>
      </c>
      <c r="Q286" s="14">
        <v>0</v>
      </c>
      <c r="R286" s="14">
        <v>0</v>
      </c>
      <c r="S286" s="14">
        <v>1</v>
      </c>
      <c r="T286" s="14">
        <v>0</v>
      </c>
      <c r="U286" s="14">
        <v>0</v>
      </c>
      <c r="V286" s="14">
        <v>1</v>
      </c>
      <c r="W286" s="15">
        <v>10</v>
      </c>
      <c r="X286" s="15">
        <v>0</v>
      </c>
      <c r="Y286" s="14">
        <v>1</v>
      </c>
      <c r="Z286" s="14">
        <v>0</v>
      </c>
      <c r="AA286" s="15">
        <v>0</v>
      </c>
      <c r="AB286" s="15">
        <v>0</v>
      </c>
      <c r="AC286" s="15">
        <v>0</v>
      </c>
      <c r="AD286" s="15">
        <v>0</v>
      </c>
      <c r="AE286" s="15">
        <v>0</v>
      </c>
      <c r="AF286" s="15">
        <v>0</v>
      </c>
      <c r="AG286" s="15">
        <v>10</v>
      </c>
      <c r="AH286" s="15">
        <v>10</v>
      </c>
      <c r="AI286" s="15">
        <v>0</v>
      </c>
      <c r="AJ286" s="15">
        <v>0</v>
      </c>
      <c r="AK286" s="15">
        <v>0</v>
      </c>
      <c r="AL286" s="15">
        <v>0</v>
      </c>
      <c r="AM286" s="14">
        <v>0</v>
      </c>
      <c r="AN286" s="14">
        <v>0</v>
      </c>
      <c r="AO286" s="14">
        <v>0</v>
      </c>
      <c r="AP286" s="14">
        <v>0</v>
      </c>
      <c r="AQ286" s="14">
        <v>0</v>
      </c>
      <c r="AR286" s="14">
        <v>0</v>
      </c>
      <c r="AS286" s="14">
        <v>0</v>
      </c>
      <c r="AT286" s="14">
        <v>3</v>
      </c>
      <c r="AU286" s="14">
        <v>0</v>
      </c>
      <c r="AV286" s="14">
        <v>3</v>
      </c>
      <c r="AW286" s="14">
        <v>0</v>
      </c>
      <c r="AX286" s="14">
        <v>1</v>
      </c>
      <c r="AY286" s="14">
        <v>0</v>
      </c>
      <c r="AZ286" s="14">
        <v>1</v>
      </c>
      <c r="BA286" s="14">
        <v>0</v>
      </c>
      <c r="BB286" s="14">
        <v>0</v>
      </c>
      <c r="BC286" s="14">
        <v>0</v>
      </c>
      <c r="BD286" s="14">
        <v>0</v>
      </c>
      <c r="BE286" s="14">
        <v>0</v>
      </c>
      <c r="BF286" s="14">
        <v>0</v>
      </c>
    </row>
    <row r="287" spans="1:58" ht="16">
      <c r="A287" s="14" t="s">
        <v>17169</v>
      </c>
      <c r="B287" s="14" t="s">
        <v>18851</v>
      </c>
      <c r="C287" s="14">
        <v>0</v>
      </c>
      <c r="D287" s="14">
        <v>1</v>
      </c>
      <c r="E287" s="14">
        <v>1</v>
      </c>
      <c r="F287" s="14">
        <v>0</v>
      </c>
      <c r="G287" s="14">
        <v>1</v>
      </c>
      <c r="H287" s="14">
        <v>0</v>
      </c>
      <c r="I287" s="14">
        <v>0</v>
      </c>
      <c r="J287" s="14">
        <v>1</v>
      </c>
      <c r="K287" s="14">
        <v>13</v>
      </c>
      <c r="L287" s="14">
        <v>1</v>
      </c>
      <c r="M287" s="14">
        <v>0</v>
      </c>
      <c r="N287" s="14">
        <v>0</v>
      </c>
      <c r="O287" s="14">
        <v>0</v>
      </c>
      <c r="P287" s="14">
        <v>0</v>
      </c>
      <c r="Q287" s="14">
        <v>0</v>
      </c>
      <c r="R287" s="14">
        <v>0</v>
      </c>
      <c r="S287" s="14">
        <v>0</v>
      </c>
      <c r="T287" s="14">
        <v>0</v>
      </c>
      <c r="U287" s="14">
        <v>0</v>
      </c>
      <c r="V287" s="14">
        <v>0</v>
      </c>
      <c r="W287" s="15">
        <v>0</v>
      </c>
      <c r="X287" s="15">
        <v>0</v>
      </c>
      <c r="Y287" s="14">
        <v>0</v>
      </c>
      <c r="Z287" s="14">
        <v>0</v>
      </c>
      <c r="AA287" s="15">
        <v>0</v>
      </c>
      <c r="AB287" s="15">
        <v>0</v>
      </c>
      <c r="AC287" s="15">
        <v>0</v>
      </c>
      <c r="AD287" s="15">
        <v>0</v>
      </c>
      <c r="AE287" s="15">
        <v>0</v>
      </c>
      <c r="AF287" s="15">
        <v>0</v>
      </c>
      <c r="AG287" s="15">
        <v>0</v>
      </c>
      <c r="AH287" s="15">
        <v>0</v>
      </c>
      <c r="AI287" s="15">
        <v>0</v>
      </c>
      <c r="AJ287" s="15">
        <v>0</v>
      </c>
      <c r="AK287" s="15">
        <v>0</v>
      </c>
      <c r="AL287" s="15">
        <v>0</v>
      </c>
      <c r="AM287" s="14">
        <v>0</v>
      </c>
      <c r="AN287" s="14">
        <v>0</v>
      </c>
      <c r="AO287" s="14">
        <v>0</v>
      </c>
      <c r="AP287" s="14">
        <v>0</v>
      </c>
      <c r="AQ287" s="14">
        <v>0</v>
      </c>
      <c r="AR287" s="14">
        <v>0</v>
      </c>
      <c r="AS287" s="14">
        <v>0</v>
      </c>
      <c r="AT287" s="14">
        <v>13</v>
      </c>
      <c r="AU287" s="14">
        <v>0</v>
      </c>
      <c r="AV287" s="14">
        <v>13</v>
      </c>
      <c r="AW287" s="14">
        <v>0</v>
      </c>
      <c r="AX287" s="14">
        <v>0</v>
      </c>
      <c r="AY287" s="14">
        <v>0</v>
      </c>
      <c r="AZ287" s="14">
        <v>0</v>
      </c>
      <c r="BA287" s="14">
        <v>0</v>
      </c>
      <c r="BB287" s="14">
        <v>0</v>
      </c>
      <c r="BC287" s="14">
        <v>0</v>
      </c>
      <c r="BD287" s="14">
        <v>0</v>
      </c>
      <c r="BE287" s="14">
        <v>0</v>
      </c>
      <c r="BF287" s="14">
        <v>0</v>
      </c>
    </row>
    <row r="288" spans="1:58" ht="16">
      <c r="A288" s="14" t="s">
        <v>17169</v>
      </c>
      <c r="B288" s="14" t="s">
        <v>17183</v>
      </c>
      <c r="C288" s="14">
        <v>0</v>
      </c>
      <c r="D288" s="14">
        <v>39</v>
      </c>
      <c r="E288" s="14">
        <v>39</v>
      </c>
      <c r="F288" s="14">
        <v>34</v>
      </c>
      <c r="G288" s="14">
        <v>7</v>
      </c>
      <c r="H288" s="14">
        <v>5</v>
      </c>
      <c r="I288" s="14">
        <v>3</v>
      </c>
      <c r="J288" s="14">
        <v>38</v>
      </c>
      <c r="K288" s="14">
        <v>685</v>
      </c>
      <c r="L288" s="14">
        <v>16</v>
      </c>
      <c r="M288" s="14">
        <v>4</v>
      </c>
      <c r="N288" s="14">
        <v>11</v>
      </c>
      <c r="O288" s="14">
        <v>5</v>
      </c>
      <c r="P288" s="14">
        <v>1</v>
      </c>
      <c r="Q288" s="14">
        <v>1</v>
      </c>
      <c r="R288" s="14">
        <v>0</v>
      </c>
      <c r="S288" s="14">
        <v>40</v>
      </c>
      <c r="T288" s="14">
        <v>38</v>
      </c>
      <c r="U288" s="14">
        <v>0</v>
      </c>
      <c r="V288" s="14">
        <v>78</v>
      </c>
      <c r="W288" s="15">
        <v>1160</v>
      </c>
      <c r="X288" s="15">
        <v>0</v>
      </c>
      <c r="Y288" s="14">
        <v>2</v>
      </c>
      <c r="Z288" s="14">
        <v>2</v>
      </c>
      <c r="AA288" s="15">
        <v>0</v>
      </c>
      <c r="AB288" s="15">
        <v>980</v>
      </c>
      <c r="AC288" s="15">
        <v>266.5</v>
      </c>
      <c r="AD288" s="15">
        <v>266.5</v>
      </c>
      <c r="AE288" s="15">
        <v>906.5</v>
      </c>
      <c r="AF288" s="15">
        <v>1246.5</v>
      </c>
      <c r="AG288" s="15">
        <v>1426.5</v>
      </c>
      <c r="AH288" s="15">
        <v>520</v>
      </c>
      <c r="AI288" s="15">
        <v>540</v>
      </c>
      <c r="AJ288" s="15">
        <v>880</v>
      </c>
      <c r="AK288" s="15">
        <v>1030</v>
      </c>
      <c r="AL288" s="15">
        <v>490</v>
      </c>
      <c r="AM288" s="14">
        <v>0</v>
      </c>
      <c r="AN288" s="14">
        <v>0</v>
      </c>
      <c r="AO288" s="14">
        <v>0</v>
      </c>
      <c r="AP288" s="14">
        <v>4</v>
      </c>
      <c r="AQ288" s="14">
        <v>0</v>
      </c>
      <c r="AR288" s="14">
        <v>0</v>
      </c>
      <c r="AS288" s="14">
        <v>0</v>
      </c>
      <c r="AT288" s="14">
        <v>685</v>
      </c>
      <c r="AU288" s="14">
        <v>258</v>
      </c>
      <c r="AV288" s="14">
        <v>427</v>
      </c>
      <c r="AW288" s="14">
        <v>0</v>
      </c>
      <c r="AX288" s="14">
        <v>40</v>
      </c>
      <c r="AY288" s="14">
        <v>30</v>
      </c>
      <c r="AZ288" s="14">
        <v>10</v>
      </c>
      <c r="BA288" s="14">
        <v>0</v>
      </c>
      <c r="BB288" s="14">
        <v>38</v>
      </c>
      <c r="BC288" s="14">
        <v>36</v>
      </c>
      <c r="BD288" s="14">
        <v>2</v>
      </c>
      <c r="BE288" s="14">
        <v>0</v>
      </c>
      <c r="BF288" s="14">
        <v>12</v>
      </c>
    </row>
    <row r="289" spans="1:58" ht="16">
      <c r="A289" s="14" t="s">
        <v>17169</v>
      </c>
      <c r="B289" s="14" t="s">
        <v>17184</v>
      </c>
      <c r="C289" s="14">
        <v>0</v>
      </c>
      <c r="D289" s="14">
        <v>0</v>
      </c>
      <c r="E289" s="14">
        <v>0</v>
      </c>
      <c r="F289" s="14">
        <v>0</v>
      </c>
      <c r="G289" s="14">
        <v>0</v>
      </c>
      <c r="H289" s="14">
        <v>0</v>
      </c>
      <c r="I289" s="14">
        <v>0</v>
      </c>
      <c r="J289" s="14">
        <v>0</v>
      </c>
      <c r="K289" s="14">
        <v>0</v>
      </c>
      <c r="L289" s="14">
        <v>0</v>
      </c>
      <c r="M289" s="14">
        <v>0</v>
      </c>
      <c r="N289" s="14">
        <v>0</v>
      </c>
      <c r="O289" s="14">
        <v>0</v>
      </c>
      <c r="P289" s="14">
        <v>0</v>
      </c>
      <c r="Q289" s="14">
        <v>0</v>
      </c>
      <c r="R289" s="14">
        <v>0</v>
      </c>
      <c r="S289" s="14">
        <v>0</v>
      </c>
      <c r="T289" s="14">
        <v>0</v>
      </c>
      <c r="U289" s="14">
        <v>0</v>
      </c>
      <c r="V289" s="14">
        <v>0</v>
      </c>
      <c r="W289" s="15">
        <v>0</v>
      </c>
      <c r="X289" s="15">
        <v>0</v>
      </c>
      <c r="Y289" s="14">
        <v>0</v>
      </c>
      <c r="Z289" s="14">
        <v>0</v>
      </c>
      <c r="AA289" s="15">
        <v>0</v>
      </c>
      <c r="AB289" s="15">
        <v>0</v>
      </c>
      <c r="AC289" s="15">
        <v>0</v>
      </c>
      <c r="AD289" s="15">
        <v>0</v>
      </c>
      <c r="AE289" s="15">
        <v>0</v>
      </c>
      <c r="AF289" s="15">
        <v>0</v>
      </c>
      <c r="AG289" s="15">
        <v>0</v>
      </c>
      <c r="AH289" s="15">
        <v>0</v>
      </c>
      <c r="AI289" s="15">
        <v>0</v>
      </c>
      <c r="AJ289" s="15">
        <v>0</v>
      </c>
      <c r="AK289" s="15">
        <v>0</v>
      </c>
      <c r="AL289" s="15">
        <v>0</v>
      </c>
      <c r="AM289" s="14">
        <v>0</v>
      </c>
      <c r="AN289" s="14">
        <v>0</v>
      </c>
      <c r="AO289" s="14">
        <v>0</v>
      </c>
      <c r="AP289" s="14">
        <v>0</v>
      </c>
      <c r="AQ289" s="14">
        <v>0</v>
      </c>
      <c r="AR289" s="14">
        <v>0</v>
      </c>
      <c r="AS289" s="14">
        <v>0</v>
      </c>
      <c r="AT289" s="14">
        <v>0</v>
      </c>
      <c r="AU289" s="14">
        <v>0</v>
      </c>
      <c r="AV289" s="14">
        <v>0</v>
      </c>
      <c r="AW289" s="14">
        <v>0</v>
      </c>
      <c r="AX289" s="14">
        <v>0</v>
      </c>
      <c r="AY289" s="14">
        <v>0</v>
      </c>
      <c r="AZ289" s="14">
        <v>0</v>
      </c>
      <c r="BA289" s="14">
        <v>0</v>
      </c>
      <c r="BB289" s="14">
        <v>0</v>
      </c>
      <c r="BC289" s="14">
        <v>0</v>
      </c>
      <c r="BD289" s="14">
        <v>0</v>
      </c>
      <c r="BE289" s="14">
        <v>0</v>
      </c>
      <c r="BF289" s="14">
        <v>0</v>
      </c>
    </row>
    <row r="290" spans="1:58" ht="16">
      <c r="A290" s="14" t="s">
        <v>17169</v>
      </c>
      <c r="B290" s="14" t="s">
        <v>17358</v>
      </c>
      <c r="C290" s="14">
        <v>0</v>
      </c>
      <c r="D290" s="14">
        <v>0</v>
      </c>
      <c r="E290" s="14">
        <v>0</v>
      </c>
      <c r="F290" s="14">
        <v>0</v>
      </c>
      <c r="G290" s="14">
        <v>0</v>
      </c>
      <c r="H290" s="14">
        <v>0</v>
      </c>
      <c r="I290" s="14">
        <v>0</v>
      </c>
      <c r="J290" s="14">
        <v>0</v>
      </c>
      <c r="K290" s="14">
        <v>0</v>
      </c>
      <c r="L290" s="14">
        <v>0</v>
      </c>
      <c r="M290" s="14">
        <v>0</v>
      </c>
      <c r="N290" s="14">
        <v>0</v>
      </c>
      <c r="O290" s="14">
        <v>0</v>
      </c>
      <c r="P290" s="14">
        <v>0</v>
      </c>
      <c r="Q290" s="14">
        <v>0</v>
      </c>
      <c r="R290" s="14">
        <v>0</v>
      </c>
      <c r="S290" s="14">
        <v>0</v>
      </c>
      <c r="T290" s="14">
        <v>0</v>
      </c>
      <c r="U290" s="14">
        <v>0</v>
      </c>
      <c r="V290" s="14">
        <v>0</v>
      </c>
      <c r="W290" s="15">
        <v>0</v>
      </c>
      <c r="X290" s="15">
        <v>0</v>
      </c>
      <c r="Y290" s="14">
        <v>0</v>
      </c>
      <c r="Z290" s="14">
        <v>0</v>
      </c>
      <c r="AA290" s="15">
        <v>0</v>
      </c>
      <c r="AB290" s="15">
        <v>0</v>
      </c>
      <c r="AC290" s="15">
        <v>0</v>
      </c>
      <c r="AD290" s="15">
        <v>0</v>
      </c>
      <c r="AE290" s="15">
        <v>0</v>
      </c>
      <c r="AF290" s="15">
        <v>0</v>
      </c>
      <c r="AG290" s="15">
        <v>0</v>
      </c>
      <c r="AH290" s="15">
        <v>0</v>
      </c>
      <c r="AI290" s="15">
        <v>0</v>
      </c>
      <c r="AJ290" s="15">
        <v>0</v>
      </c>
      <c r="AK290" s="15">
        <v>0</v>
      </c>
      <c r="AL290" s="15">
        <v>0</v>
      </c>
      <c r="AM290" s="14">
        <v>0</v>
      </c>
      <c r="AN290" s="14">
        <v>0</v>
      </c>
      <c r="AO290" s="14">
        <v>0</v>
      </c>
      <c r="AP290" s="14">
        <v>0</v>
      </c>
      <c r="AQ290" s="14">
        <v>0</v>
      </c>
      <c r="AR290" s="14">
        <v>0</v>
      </c>
      <c r="AS290" s="14">
        <v>0</v>
      </c>
      <c r="AT290" s="14">
        <v>0</v>
      </c>
      <c r="AU290" s="14">
        <v>0</v>
      </c>
      <c r="AV290" s="14">
        <v>0</v>
      </c>
      <c r="AW290" s="14">
        <v>0</v>
      </c>
      <c r="AX290" s="14">
        <v>0</v>
      </c>
      <c r="AY290" s="14">
        <v>0</v>
      </c>
      <c r="AZ290" s="14">
        <v>0</v>
      </c>
      <c r="BA290" s="14">
        <v>0</v>
      </c>
      <c r="BB290" s="14">
        <v>0</v>
      </c>
      <c r="BC290" s="14">
        <v>0</v>
      </c>
      <c r="BD290" s="14">
        <v>0</v>
      </c>
      <c r="BE290" s="14">
        <v>0</v>
      </c>
      <c r="BF290" s="16">
        <v>1300</v>
      </c>
    </row>
    <row r="291" spans="1:58" ht="16">
      <c r="A291" s="14" t="s">
        <v>17300</v>
      </c>
      <c r="B291" s="14" t="s">
        <v>17301</v>
      </c>
      <c r="C291" s="14">
        <v>1</v>
      </c>
      <c r="D291" s="14">
        <v>4</v>
      </c>
      <c r="E291" s="14">
        <v>4</v>
      </c>
      <c r="F291" s="14">
        <v>4</v>
      </c>
      <c r="G291" s="14">
        <v>0</v>
      </c>
      <c r="H291" s="14">
        <v>0</v>
      </c>
      <c r="I291" s="14">
        <v>0</v>
      </c>
      <c r="J291" s="14">
        <v>4</v>
      </c>
      <c r="K291" s="14">
        <v>22</v>
      </c>
      <c r="L291" s="14">
        <v>3</v>
      </c>
      <c r="M291" s="14">
        <v>1</v>
      </c>
      <c r="N291" s="14">
        <v>0</v>
      </c>
      <c r="O291" s="14">
        <v>0</v>
      </c>
      <c r="P291" s="14">
        <v>0</v>
      </c>
      <c r="Q291" s="14">
        <v>0</v>
      </c>
      <c r="R291" s="14">
        <v>0</v>
      </c>
      <c r="S291" s="14">
        <v>1</v>
      </c>
      <c r="T291" s="14">
        <v>0</v>
      </c>
      <c r="U291" s="14">
        <v>0.5</v>
      </c>
      <c r="V291" s="14">
        <v>1.5</v>
      </c>
      <c r="W291" s="15">
        <v>7.5</v>
      </c>
      <c r="X291" s="15">
        <v>0</v>
      </c>
      <c r="Y291" s="14">
        <v>2</v>
      </c>
      <c r="Z291" s="14">
        <v>0</v>
      </c>
      <c r="AA291" s="15">
        <v>-2.5</v>
      </c>
      <c r="AB291" s="15">
        <v>0</v>
      </c>
      <c r="AC291" s="15">
        <v>0</v>
      </c>
      <c r="AD291" s="15">
        <v>0</v>
      </c>
      <c r="AE291" s="15">
        <v>0</v>
      </c>
      <c r="AF291" s="15">
        <v>0</v>
      </c>
      <c r="AG291" s="15">
        <v>17.5</v>
      </c>
      <c r="AH291" s="15">
        <v>17.5</v>
      </c>
      <c r="AI291" s="15">
        <v>0</v>
      </c>
      <c r="AJ291" s="15">
        <v>0</v>
      </c>
      <c r="AK291" s="15">
        <v>0</v>
      </c>
      <c r="AL291" s="15">
        <v>0</v>
      </c>
      <c r="AM291" s="14">
        <v>0</v>
      </c>
      <c r="AN291" s="14">
        <v>0</v>
      </c>
      <c r="AO291" s="14">
        <v>0</v>
      </c>
      <c r="AP291" s="14">
        <v>0</v>
      </c>
      <c r="AQ291" s="14">
        <v>0</v>
      </c>
      <c r="AR291" s="14">
        <v>0</v>
      </c>
      <c r="AS291" s="14">
        <v>0</v>
      </c>
      <c r="AT291" s="14">
        <v>22</v>
      </c>
      <c r="AU291" s="14">
        <v>0</v>
      </c>
      <c r="AV291" s="14">
        <v>18</v>
      </c>
      <c r="AW291" s="14">
        <v>4</v>
      </c>
      <c r="AX291" s="14">
        <v>1</v>
      </c>
      <c r="AY291" s="14">
        <v>0</v>
      </c>
      <c r="AZ291" s="14">
        <v>0.75</v>
      </c>
      <c r="BA291" s="14">
        <v>0.25</v>
      </c>
      <c r="BB291" s="14">
        <v>0</v>
      </c>
      <c r="BC291" s="14">
        <v>0</v>
      </c>
      <c r="BD291" s="14">
        <v>0</v>
      </c>
      <c r="BE291" s="14">
        <v>0</v>
      </c>
      <c r="BF291" s="14">
        <v>7</v>
      </c>
    </row>
    <row r="292" spans="1:58" ht="16">
      <c r="A292" s="14" t="s">
        <v>17300</v>
      </c>
      <c r="B292" s="14" t="s">
        <v>17378</v>
      </c>
      <c r="C292" s="14">
        <v>0</v>
      </c>
      <c r="D292" s="14">
        <v>9</v>
      </c>
      <c r="E292" s="14">
        <v>9</v>
      </c>
      <c r="F292" s="14">
        <v>9</v>
      </c>
      <c r="G292" s="14">
        <v>0</v>
      </c>
      <c r="H292" s="14">
        <v>0</v>
      </c>
      <c r="I292" s="14">
        <v>0</v>
      </c>
      <c r="J292" s="14">
        <v>9</v>
      </c>
      <c r="K292" s="14">
        <v>49</v>
      </c>
      <c r="L292" s="14">
        <v>7</v>
      </c>
      <c r="M292" s="14">
        <v>2</v>
      </c>
      <c r="N292" s="14">
        <v>0</v>
      </c>
      <c r="O292" s="14">
        <v>0</v>
      </c>
      <c r="P292" s="14">
        <v>0</v>
      </c>
      <c r="Q292" s="14">
        <v>0</v>
      </c>
      <c r="R292" s="14">
        <v>0</v>
      </c>
      <c r="S292" s="14">
        <v>0</v>
      </c>
      <c r="T292" s="14">
        <v>0</v>
      </c>
      <c r="U292" s="14">
        <v>0</v>
      </c>
      <c r="V292" s="14">
        <v>0</v>
      </c>
      <c r="W292" s="15">
        <v>0</v>
      </c>
      <c r="X292" s="15">
        <v>0</v>
      </c>
      <c r="Y292" s="14">
        <v>0</v>
      </c>
      <c r="Z292" s="14">
        <v>0</v>
      </c>
      <c r="AA292" s="15">
        <v>0</v>
      </c>
      <c r="AB292" s="15">
        <v>0</v>
      </c>
      <c r="AC292" s="15">
        <v>0</v>
      </c>
      <c r="AD292" s="15">
        <v>0</v>
      </c>
      <c r="AE292" s="15">
        <v>0</v>
      </c>
      <c r="AF292" s="15">
        <v>0</v>
      </c>
      <c r="AG292" s="15">
        <v>0</v>
      </c>
      <c r="AH292" s="15">
        <v>0</v>
      </c>
      <c r="AI292" s="15">
        <v>0</v>
      </c>
      <c r="AJ292" s="15">
        <v>0</v>
      </c>
      <c r="AK292" s="15">
        <v>0</v>
      </c>
      <c r="AL292" s="15">
        <v>0</v>
      </c>
      <c r="AM292" s="14">
        <v>0</v>
      </c>
      <c r="AN292" s="14">
        <v>0</v>
      </c>
      <c r="AO292" s="14">
        <v>0</v>
      </c>
      <c r="AP292" s="14">
        <v>0</v>
      </c>
      <c r="AQ292" s="14">
        <v>0</v>
      </c>
      <c r="AR292" s="14">
        <v>0</v>
      </c>
      <c r="AS292" s="14">
        <v>0</v>
      </c>
      <c r="AT292" s="14">
        <v>49</v>
      </c>
      <c r="AU292" s="14">
        <v>0</v>
      </c>
      <c r="AV292" s="14">
        <v>49</v>
      </c>
      <c r="AW292" s="14">
        <v>0</v>
      </c>
      <c r="AX292" s="14">
        <v>0</v>
      </c>
      <c r="AY292" s="14">
        <v>0</v>
      </c>
      <c r="AZ292" s="14">
        <v>0</v>
      </c>
      <c r="BA292" s="14">
        <v>0</v>
      </c>
      <c r="BB292" s="14">
        <v>0</v>
      </c>
      <c r="BC292" s="14">
        <v>0</v>
      </c>
      <c r="BD292" s="14">
        <v>0</v>
      </c>
      <c r="BE292" s="14">
        <v>0</v>
      </c>
      <c r="BF292" s="14">
        <v>25</v>
      </c>
    </row>
    <row r="293" spans="1:58" ht="16">
      <c r="A293" s="14" t="s">
        <v>17300</v>
      </c>
      <c r="B293" s="14" t="s">
        <v>17329</v>
      </c>
      <c r="C293" s="14">
        <v>0</v>
      </c>
      <c r="D293" s="14">
        <v>0</v>
      </c>
      <c r="E293" s="14">
        <v>0</v>
      </c>
      <c r="F293" s="14">
        <v>0</v>
      </c>
      <c r="G293" s="14">
        <v>0</v>
      </c>
      <c r="H293" s="14">
        <v>0</v>
      </c>
      <c r="I293" s="14">
        <v>0</v>
      </c>
      <c r="J293" s="14">
        <v>0</v>
      </c>
      <c r="K293" s="14">
        <v>0</v>
      </c>
      <c r="L293" s="14">
        <v>0</v>
      </c>
      <c r="M293" s="14">
        <v>0</v>
      </c>
      <c r="N293" s="14">
        <v>0</v>
      </c>
      <c r="O293" s="14">
        <v>0</v>
      </c>
      <c r="P293" s="14">
        <v>0</v>
      </c>
      <c r="Q293" s="14">
        <v>0</v>
      </c>
      <c r="R293" s="14">
        <v>0</v>
      </c>
      <c r="S293" s="14">
        <v>0</v>
      </c>
      <c r="T293" s="14">
        <v>0</v>
      </c>
      <c r="U293" s="14">
        <v>0</v>
      </c>
      <c r="V293" s="14">
        <v>0</v>
      </c>
      <c r="W293" s="15">
        <v>0</v>
      </c>
      <c r="X293" s="15">
        <v>0</v>
      </c>
      <c r="Y293" s="14">
        <v>0</v>
      </c>
      <c r="Z293" s="14">
        <v>0</v>
      </c>
      <c r="AA293" s="15">
        <v>0</v>
      </c>
      <c r="AB293" s="15">
        <v>0</v>
      </c>
      <c r="AC293" s="15">
        <v>0</v>
      </c>
      <c r="AD293" s="15">
        <v>0</v>
      </c>
      <c r="AE293" s="15">
        <v>0</v>
      </c>
      <c r="AF293" s="15">
        <v>0</v>
      </c>
      <c r="AG293" s="15">
        <v>0</v>
      </c>
      <c r="AH293" s="15">
        <v>0</v>
      </c>
      <c r="AI293" s="15">
        <v>0</v>
      </c>
      <c r="AJ293" s="15">
        <v>0</v>
      </c>
      <c r="AK293" s="15">
        <v>0</v>
      </c>
      <c r="AL293" s="15">
        <v>0</v>
      </c>
      <c r="AM293" s="14">
        <v>0</v>
      </c>
      <c r="AN293" s="14">
        <v>0</v>
      </c>
      <c r="AO293" s="14">
        <v>0</v>
      </c>
      <c r="AP293" s="14">
        <v>0</v>
      </c>
      <c r="AQ293" s="14">
        <v>0</v>
      </c>
      <c r="AR293" s="14">
        <v>0</v>
      </c>
      <c r="AS293" s="14">
        <v>0</v>
      </c>
      <c r="AT293" s="14">
        <v>0</v>
      </c>
      <c r="AU293" s="14">
        <v>0</v>
      </c>
      <c r="AV293" s="14">
        <v>0</v>
      </c>
      <c r="AW293" s="14">
        <v>0</v>
      </c>
      <c r="AX293" s="14">
        <v>0</v>
      </c>
      <c r="AY293" s="14">
        <v>0</v>
      </c>
      <c r="AZ293" s="14">
        <v>0</v>
      </c>
      <c r="BA293" s="14">
        <v>0</v>
      </c>
      <c r="BB293" s="14">
        <v>0</v>
      </c>
      <c r="BC293" s="14">
        <v>0</v>
      </c>
      <c r="BD293" s="14">
        <v>0</v>
      </c>
      <c r="BE293" s="14">
        <v>0</v>
      </c>
      <c r="BF293" s="16">
        <v>4816</v>
      </c>
    </row>
    <row r="294" spans="1:58" ht="16">
      <c r="A294" s="14" t="s">
        <v>17300</v>
      </c>
      <c r="B294" s="14" t="s">
        <v>17316</v>
      </c>
      <c r="C294" s="14">
        <v>11</v>
      </c>
      <c r="D294" s="14">
        <v>15</v>
      </c>
      <c r="E294" s="14">
        <v>15</v>
      </c>
      <c r="F294" s="14">
        <v>15</v>
      </c>
      <c r="G294" s="14">
        <v>0</v>
      </c>
      <c r="H294" s="14">
        <v>0</v>
      </c>
      <c r="I294" s="14">
        <v>0</v>
      </c>
      <c r="J294" s="14">
        <v>15</v>
      </c>
      <c r="K294" s="14">
        <v>54</v>
      </c>
      <c r="L294" s="14">
        <v>2</v>
      </c>
      <c r="M294" s="14">
        <v>11</v>
      </c>
      <c r="N294" s="14">
        <v>0</v>
      </c>
      <c r="O294" s="14">
        <v>2</v>
      </c>
      <c r="P294" s="14">
        <v>0</v>
      </c>
      <c r="Q294" s="14">
        <v>0</v>
      </c>
      <c r="R294" s="14">
        <v>0</v>
      </c>
      <c r="S294" s="14">
        <v>0</v>
      </c>
      <c r="T294" s="14">
        <v>0</v>
      </c>
      <c r="U294" s="14">
        <v>0</v>
      </c>
      <c r="V294" s="14">
        <v>0</v>
      </c>
      <c r="W294" s="15">
        <v>0</v>
      </c>
      <c r="X294" s="15">
        <v>0</v>
      </c>
      <c r="Y294" s="14">
        <v>0</v>
      </c>
      <c r="Z294" s="14">
        <v>0</v>
      </c>
      <c r="AA294" s="15">
        <v>0</v>
      </c>
      <c r="AB294" s="15">
        <v>0</v>
      </c>
      <c r="AC294" s="15">
        <v>0</v>
      </c>
      <c r="AD294" s="15">
        <v>0</v>
      </c>
      <c r="AE294" s="15">
        <v>0</v>
      </c>
      <c r="AF294" s="15">
        <v>0</v>
      </c>
      <c r="AG294" s="15">
        <v>0</v>
      </c>
      <c r="AH294" s="15">
        <v>0</v>
      </c>
      <c r="AI294" s="15">
        <v>0</v>
      </c>
      <c r="AJ294" s="15">
        <v>0</v>
      </c>
      <c r="AK294" s="15">
        <v>0</v>
      </c>
      <c r="AL294" s="15">
        <v>0</v>
      </c>
      <c r="AM294" s="14">
        <v>0</v>
      </c>
      <c r="AN294" s="14">
        <v>0</v>
      </c>
      <c r="AO294" s="14">
        <v>0</v>
      </c>
      <c r="AP294" s="14">
        <v>0</v>
      </c>
      <c r="AQ294" s="14">
        <v>0</v>
      </c>
      <c r="AR294" s="14">
        <v>0</v>
      </c>
      <c r="AS294" s="14">
        <v>0</v>
      </c>
      <c r="AT294" s="14">
        <v>54</v>
      </c>
      <c r="AU294" s="14">
        <v>0</v>
      </c>
      <c r="AV294" s="14">
        <v>8</v>
      </c>
      <c r="AW294" s="14">
        <v>46</v>
      </c>
      <c r="AX294" s="14">
        <v>0</v>
      </c>
      <c r="AY294" s="14">
        <v>0</v>
      </c>
      <c r="AZ294" s="14">
        <v>0</v>
      </c>
      <c r="BA294" s="14">
        <v>0</v>
      </c>
      <c r="BB294" s="14">
        <v>0</v>
      </c>
      <c r="BC294" s="14">
        <v>0</v>
      </c>
      <c r="BD294" s="14">
        <v>0</v>
      </c>
      <c r="BE294" s="14">
        <v>0</v>
      </c>
      <c r="BF294" s="14">
        <v>12</v>
      </c>
    </row>
    <row r="295" spans="1:58" ht="16">
      <c r="A295" s="14" t="s">
        <v>17300</v>
      </c>
      <c r="B295" s="14" t="s">
        <v>17381</v>
      </c>
      <c r="C295" s="14">
        <v>0</v>
      </c>
      <c r="D295" s="14">
        <v>5</v>
      </c>
      <c r="E295" s="14">
        <v>0</v>
      </c>
      <c r="F295" s="14">
        <v>4</v>
      </c>
      <c r="G295" s="14">
        <v>0</v>
      </c>
      <c r="H295" s="14">
        <v>0</v>
      </c>
      <c r="I295" s="14">
        <v>0</v>
      </c>
      <c r="J295" s="14">
        <v>5</v>
      </c>
      <c r="K295" s="14">
        <v>67</v>
      </c>
      <c r="L295" s="14">
        <v>1</v>
      </c>
      <c r="M295" s="14">
        <v>2</v>
      </c>
      <c r="N295" s="14">
        <v>0</v>
      </c>
      <c r="O295" s="14">
        <v>0</v>
      </c>
      <c r="P295" s="14">
        <v>0</v>
      </c>
      <c r="Q295" s="14">
        <v>0</v>
      </c>
      <c r="R295" s="14">
        <v>0</v>
      </c>
      <c r="S295" s="14">
        <v>1.5</v>
      </c>
      <c r="T295" s="14">
        <v>2</v>
      </c>
      <c r="U295" s="14">
        <v>0</v>
      </c>
      <c r="V295" s="14">
        <v>3.5</v>
      </c>
      <c r="W295" s="15">
        <v>55</v>
      </c>
      <c r="X295" s="15">
        <v>0</v>
      </c>
      <c r="Y295" s="14">
        <v>3</v>
      </c>
      <c r="Z295" s="14">
        <v>2</v>
      </c>
      <c r="AA295" s="15">
        <v>0</v>
      </c>
      <c r="AB295" s="15">
        <v>0</v>
      </c>
      <c r="AC295" s="15">
        <v>0</v>
      </c>
      <c r="AD295" s="15">
        <v>0</v>
      </c>
      <c r="AE295" s="15">
        <v>0</v>
      </c>
      <c r="AF295" s="15">
        <v>0</v>
      </c>
      <c r="AG295" s="15">
        <v>55</v>
      </c>
      <c r="AH295" s="15">
        <v>55</v>
      </c>
      <c r="AI295" s="15">
        <v>0</v>
      </c>
      <c r="AJ295" s="15">
        <v>0</v>
      </c>
      <c r="AK295" s="15">
        <v>0</v>
      </c>
      <c r="AL295" s="15">
        <v>0</v>
      </c>
      <c r="AM295" s="14">
        <v>0</v>
      </c>
      <c r="AN295" s="14">
        <v>0</v>
      </c>
      <c r="AO295" s="14">
        <v>0</v>
      </c>
      <c r="AP295" s="14">
        <v>0</v>
      </c>
      <c r="AQ295" s="14">
        <v>0</v>
      </c>
      <c r="AR295" s="14">
        <v>0</v>
      </c>
      <c r="AS295" s="14">
        <v>0</v>
      </c>
      <c r="AT295" s="14">
        <v>67</v>
      </c>
      <c r="AU295" s="14">
        <v>0</v>
      </c>
      <c r="AV295" s="14">
        <v>67</v>
      </c>
      <c r="AW295" s="14">
        <v>0</v>
      </c>
      <c r="AX295" s="14">
        <v>1.5</v>
      </c>
      <c r="AY295" s="14">
        <v>0</v>
      </c>
      <c r="AZ295" s="14">
        <v>1.5</v>
      </c>
      <c r="BA295" s="14">
        <v>0</v>
      </c>
      <c r="BB295" s="14">
        <v>2</v>
      </c>
      <c r="BC295" s="14">
        <v>0</v>
      </c>
      <c r="BD295" s="14">
        <v>2</v>
      </c>
      <c r="BE295" s="14">
        <v>0</v>
      </c>
      <c r="BF295" s="14">
        <v>6</v>
      </c>
    </row>
    <row r="296" spans="1:58" ht="16">
      <c r="A296" s="14" t="s">
        <v>17300</v>
      </c>
      <c r="B296" s="14" t="s">
        <v>17339</v>
      </c>
      <c r="C296" s="14">
        <v>0</v>
      </c>
      <c r="D296" s="14">
        <v>22</v>
      </c>
      <c r="E296" s="14">
        <v>22</v>
      </c>
      <c r="F296" s="14">
        <v>21</v>
      </c>
      <c r="G296" s="14">
        <v>1</v>
      </c>
      <c r="H296" s="14">
        <v>0</v>
      </c>
      <c r="I296" s="14">
        <v>0</v>
      </c>
      <c r="J296" s="14">
        <v>22</v>
      </c>
      <c r="K296" s="14">
        <v>120</v>
      </c>
      <c r="L296" s="14">
        <v>19</v>
      </c>
      <c r="M296" s="14">
        <v>2</v>
      </c>
      <c r="N296" s="14">
        <v>0</v>
      </c>
      <c r="O296" s="14">
        <v>0</v>
      </c>
      <c r="P296" s="14">
        <v>1</v>
      </c>
      <c r="Q296" s="14">
        <v>0</v>
      </c>
      <c r="R296" s="14">
        <v>0</v>
      </c>
      <c r="S296" s="14">
        <v>9.25</v>
      </c>
      <c r="T296" s="14">
        <v>1.5</v>
      </c>
      <c r="U296" s="14">
        <v>0</v>
      </c>
      <c r="V296" s="14">
        <v>10.8</v>
      </c>
      <c r="W296" s="15">
        <v>122.5</v>
      </c>
      <c r="X296" s="15">
        <v>0</v>
      </c>
      <c r="Y296" s="14">
        <v>5</v>
      </c>
      <c r="Z296" s="14">
        <v>0</v>
      </c>
      <c r="AA296" s="15">
        <v>0</v>
      </c>
      <c r="AB296" s="15">
        <v>10</v>
      </c>
      <c r="AC296" s="15">
        <v>0</v>
      </c>
      <c r="AD296" s="15">
        <v>0</v>
      </c>
      <c r="AE296" s="15">
        <v>10</v>
      </c>
      <c r="AF296" s="15">
        <v>10</v>
      </c>
      <c r="AG296" s="15">
        <v>122.5</v>
      </c>
      <c r="AH296" s="15">
        <v>112.5</v>
      </c>
      <c r="AI296" s="15">
        <v>0</v>
      </c>
      <c r="AJ296" s="15">
        <v>0</v>
      </c>
      <c r="AK296" s="15">
        <v>0</v>
      </c>
      <c r="AL296" s="15">
        <v>0</v>
      </c>
      <c r="AM296" s="14">
        <v>0</v>
      </c>
      <c r="AN296" s="14">
        <v>1</v>
      </c>
      <c r="AO296" s="14">
        <v>0</v>
      </c>
      <c r="AP296" s="14">
        <v>0</v>
      </c>
      <c r="AQ296" s="14">
        <v>0</v>
      </c>
      <c r="AR296" s="14">
        <v>0</v>
      </c>
      <c r="AS296" s="14">
        <v>0</v>
      </c>
      <c r="AT296" s="14">
        <v>120</v>
      </c>
      <c r="AU296" s="14">
        <v>0</v>
      </c>
      <c r="AV296" s="14">
        <v>120</v>
      </c>
      <c r="AW296" s="14">
        <v>0</v>
      </c>
      <c r="AX296" s="14">
        <v>9.25</v>
      </c>
      <c r="AY296" s="14">
        <v>0</v>
      </c>
      <c r="AZ296" s="14">
        <v>9.25</v>
      </c>
      <c r="BA296" s="14">
        <v>0</v>
      </c>
      <c r="BB296" s="14">
        <v>1.5</v>
      </c>
      <c r="BC296" s="14">
        <v>0</v>
      </c>
      <c r="BD296" s="14">
        <v>1.5</v>
      </c>
      <c r="BE296" s="14">
        <v>0</v>
      </c>
      <c r="BF296" s="14">
        <v>0</v>
      </c>
    </row>
    <row r="297" spans="1:58" ht="16">
      <c r="A297" s="14" t="s">
        <v>17185</v>
      </c>
      <c r="B297" s="14" t="s">
        <v>18852</v>
      </c>
      <c r="C297" s="14">
        <v>0</v>
      </c>
      <c r="D297" s="14">
        <v>1</v>
      </c>
      <c r="E297" s="14">
        <v>1</v>
      </c>
      <c r="F297" s="14">
        <v>1</v>
      </c>
      <c r="G297" s="14">
        <v>0</v>
      </c>
      <c r="H297" s="14">
        <v>1</v>
      </c>
      <c r="I297" s="14">
        <v>0</v>
      </c>
      <c r="J297" s="14">
        <v>0</v>
      </c>
      <c r="K297" s="14">
        <v>0</v>
      </c>
      <c r="L297" s="14">
        <v>0</v>
      </c>
      <c r="M297" s="14">
        <v>0</v>
      </c>
      <c r="N297" s="14">
        <v>0</v>
      </c>
      <c r="O297" s="14">
        <v>0</v>
      </c>
      <c r="P297" s="14">
        <v>0</v>
      </c>
      <c r="Q297" s="14">
        <v>0</v>
      </c>
      <c r="R297" s="14">
        <v>0</v>
      </c>
      <c r="S297" s="14">
        <v>0</v>
      </c>
      <c r="T297" s="14">
        <v>0</v>
      </c>
      <c r="U297" s="14">
        <v>0</v>
      </c>
      <c r="V297" s="14">
        <v>0</v>
      </c>
      <c r="W297" s="15">
        <v>0</v>
      </c>
      <c r="X297" s="15">
        <v>0</v>
      </c>
      <c r="Y297" s="14">
        <v>0</v>
      </c>
      <c r="Z297" s="14">
        <v>0</v>
      </c>
      <c r="AA297" s="15">
        <v>0</v>
      </c>
      <c r="AB297" s="15">
        <v>0</v>
      </c>
      <c r="AC297" s="15">
        <v>0</v>
      </c>
      <c r="AD297" s="15">
        <v>0</v>
      </c>
      <c r="AE297" s="15">
        <v>0</v>
      </c>
      <c r="AF297" s="15">
        <v>0</v>
      </c>
      <c r="AG297" s="15">
        <v>0</v>
      </c>
      <c r="AH297" s="15">
        <v>0</v>
      </c>
      <c r="AI297" s="15">
        <v>0</v>
      </c>
      <c r="AJ297" s="15">
        <v>0</v>
      </c>
      <c r="AK297" s="15">
        <v>0</v>
      </c>
      <c r="AL297" s="15">
        <v>0</v>
      </c>
      <c r="AM297" s="14">
        <v>0</v>
      </c>
      <c r="AN297" s="14">
        <v>0</v>
      </c>
      <c r="AO297" s="14">
        <v>0</v>
      </c>
      <c r="AP297" s="14">
        <v>0</v>
      </c>
      <c r="AQ297" s="14">
        <v>0</v>
      </c>
      <c r="AR297" s="14">
        <v>0</v>
      </c>
      <c r="AS297" s="14">
        <v>0</v>
      </c>
      <c r="AT297" s="14">
        <v>0</v>
      </c>
      <c r="AU297" s="14">
        <v>0</v>
      </c>
      <c r="AV297" s="14">
        <v>0</v>
      </c>
      <c r="AW297" s="14">
        <v>0</v>
      </c>
      <c r="AX297" s="14">
        <v>0</v>
      </c>
      <c r="AY297" s="14">
        <v>0</v>
      </c>
      <c r="AZ297" s="14">
        <v>0</v>
      </c>
      <c r="BA297" s="14">
        <v>0</v>
      </c>
      <c r="BB297" s="14">
        <v>0</v>
      </c>
      <c r="BC297" s="14">
        <v>0</v>
      </c>
      <c r="BD297" s="14">
        <v>0</v>
      </c>
      <c r="BE297" s="14">
        <v>0</v>
      </c>
      <c r="BF297" s="14">
        <v>1</v>
      </c>
    </row>
    <row r="298" spans="1:58" ht="16">
      <c r="A298" s="14" t="s">
        <v>17188</v>
      </c>
      <c r="B298" s="14" t="s">
        <v>17189</v>
      </c>
      <c r="C298" s="14">
        <v>4</v>
      </c>
      <c r="D298" s="14">
        <v>42</v>
      </c>
      <c r="E298" s="14">
        <v>14</v>
      </c>
      <c r="F298" s="14">
        <v>28</v>
      </c>
      <c r="G298" s="14">
        <v>0</v>
      </c>
      <c r="H298" s="14">
        <v>0</v>
      </c>
      <c r="I298" s="14">
        <v>0</v>
      </c>
      <c r="J298" s="14">
        <v>42</v>
      </c>
      <c r="K298" s="14">
        <v>644</v>
      </c>
      <c r="L298" s="14">
        <v>14</v>
      </c>
      <c r="M298" s="14">
        <v>8</v>
      </c>
      <c r="N298" s="14">
        <v>3</v>
      </c>
      <c r="O298" s="14">
        <v>7</v>
      </c>
      <c r="P298" s="14">
        <v>3</v>
      </c>
      <c r="Q298" s="14">
        <v>5</v>
      </c>
      <c r="R298" s="14">
        <v>0</v>
      </c>
      <c r="S298" s="14">
        <v>278</v>
      </c>
      <c r="T298" s="14">
        <v>264.75</v>
      </c>
      <c r="U298" s="14">
        <v>10</v>
      </c>
      <c r="V298" s="14">
        <v>552.79999999999995</v>
      </c>
      <c r="W298" s="15">
        <v>8075</v>
      </c>
      <c r="X298" s="15">
        <v>0</v>
      </c>
      <c r="Y298" s="14">
        <v>10</v>
      </c>
      <c r="Z298" s="14">
        <v>4</v>
      </c>
      <c r="AA298" s="15">
        <v>0</v>
      </c>
      <c r="AB298" s="15">
        <v>7570</v>
      </c>
      <c r="AC298" s="15">
        <v>32248.5</v>
      </c>
      <c r="AD298" s="15">
        <v>0.5</v>
      </c>
      <c r="AE298" s="15">
        <v>0</v>
      </c>
      <c r="AF298" s="15">
        <v>7570.5</v>
      </c>
      <c r="AG298" s="15">
        <v>40523.5</v>
      </c>
      <c r="AH298" s="15">
        <v>40523.5</v>
      </c>
      <c r="AI298" s="15">
        <v>0</v>
      </c>
      <c r="AJ298" s="15">
        <v>0</v>
      </c>
      <c r="AK298" s="15">
        <v>0</v>
      </c>
      <c r="AL298" s="15">
        <v>0</v>
      </c>
      <c r="AM298" s="14">
        <v>0</v>
      </c>
      <c r="AN298" s="14">
        <v>0</v>
      </c>
      <c r="AO298" s="14">
        <v>0</v>
      </c>
      <c r="AP298" s="14">
        <v>0</v>
      </c>
      <c r="AQ298" s="14">
        <v>0</v>
      </c>
      <c r="AR298" s="14">
        <v>0</v>
      </c>
      <c r="AS298" s="14">
        <v>0</v>
      </c>
      <c r="AT298" s="14">
        <v>644</v>
      </c>
      <c r="AU298" s="14">
        <v>0</v>
      </c>
      <c r="AV298" s="14">
        <v>532</v>
      </c>
      <c r="AW298" s="14">
        <v>112</v>
      </c>
      <c r="AX298" s="14">
        <v>278</v>
      </c>
      <c r="AY298" s="14">
        <v>0</v>
      </c>
      <c r="AZ298" s="14">
        <v>278</v>
      </c>
      <c r="BA298" s="14">
        <v>0</v>
      </c>
      <c r="BB298" s="14">
        <v>264.75</v>
      </c>
      <c r="BC298" s="14">
        <v>0</v>
      </c>
      <c r="BD298" s="14">
        <v>264.75</v>
      </c>
      <c r="BE298" s="14">
        <v>0</v>
      </c>
      <c r="BF298" s="14">
        <v>325</v>
      </c>
    </row>
    <row r="299" spans="1:58" ht="16">
      <c r="A299" s="14" t="s">
        <v>17191</v>
      </c>
      <c r="B299" s="14" t="s">
        <v>17192</v>
      </c>
      <c r="C299" s="14">
        <v>0</v>
      </c>
      <c r="D299" s="14">
        <v>14</v>
      </c>
      <c r="E299" s="14">
        <v>14</v>
      </c>
      <c r="F299" s="14">
        <v>9</v>
      </c>
      <c r="G299" s="14">
        <v>0</v>
      </c>
      <c r="H299" s="14">
        <v>0</v>
      </c>
      <c r="I299" s="14">
        <v>2</v>
      </c>
      <c r="J299" s="14">
        <v>14</v>
      </c>
      <c r="K299" s="14">
        <v>282</v>
      </c>
      <c r="L299" s="14">
        <v>6</v>
      </c>
      <c r="M299" s="14">
        <v>3</v>
      </c>
      <c r="N299" s="14">
        <v>4</v>
      </c>
      <c r="O299" s="14">
        <v>0</v>
      </c>
      <c r="P299" s="14">
        <v>0</v>
      </c>
      <c r="Q299" s="14">
        <v>0</v>
      </c>
      <c r="R299" s="14">
        <v>1</v>
      </c>
      <c r="S299" s="14">
        <v>10.5</v>
      </c>
      <c r="T299" s="14">
        <v>2</v>
      </c>
      <c r="U299" s="14">
        <v>0</v>
      </c>
      <c r="V299" s="14">
        <v>12.5</v>
      </c>
      <c r="W299" s="15">
        <v>145</v>
      </c>
      <c r="X299" s="15">
        <v>0</v>
      </c>
      <c r="Y299" s="14">
        <v>6</v>
      </c>
      <c r="Z299" s="14">
        <v>0</v>
      </c>
      <c r="AA299" s="15">
        <v>0</v>
      </c>
      <c r="AB299" s="15">
        <v>20</v>
      </c>
      <c r="AC299" s="15">
        <v>0</v>
      </c>
      <c r="AD299" s="15">
        <v>0</v>
      </c>
      <c r="AE299" s="15">
        <v>0</v>
      </c>
      <c r="AF299" s="15">
        <v>20</v>
      </c>
      <c r="AG299" s="15">
        <v>145</v>
      </c>
      <c r="AH299" s="15">
        <v>145</v>
      </c>
      <c r="AI299" s="15">
        <v>0</v>
      </c>
      <c r="AJ299" s="15">
        <v>0</v>
      </c>
      <c r="AK299" s="15">
        <v>0</v>
      </c>
      <c r="AL299" s="15">
        <v>0</v>
      </c>
      <c r="AM299" s="14">
        <v>0</v>
      </c>
      <c r="AN299" s="14">
        <v>0</v>
      </c>
      <c r="AO299" s="14">
        <v>0</v>
      </c>
      <c r="AP299" s="14">
        <v>0</v>
      </c>
      <c r="AQ299" s="14">
        <v>0</v>
      </c>
      <c r="AR299" s="14">
        <v>0</v>
      </c>
      <c r="AS299" s="14">
        <v>0</v>
      </c>
      <c r="AT299" s="14">
        <v>282</v>
      </c>
      <c r="AU299" s="14">
        <v>0</v>
      </c>
      <c r="AV299" s="14">
        <v>282</v>
      </c>
      <c r="AW299" s="14">
        <v>0</v>
      </c>
      <c r="AX299" s="14">
        <v>10.5</v>
      </c>
      <c r="AY299" s="14">
        <v>0</v>
      </c>
      <c r="AZ299" s="14">
        <v>10.5</v>
      </c>
      <c r="BA299" s="14">
        <v>0</v>
      </c>
      <c r="BB299" s="14">
        <v>2</v>
      </c>
      <c r="BC299" s="14">
        <v>0</v>
      </c>
      <c r="BD299" s="14">
        <v>2</v>
      </c>
      <c r="BE299" s="14">
        <v>0</v>
      </c>
      <c r="BF299" s="14">
        <v>0</v>
      </c>
    </row>
    <row r="300" spans="1:58" ht="16">
      <c r="A300" s="14" t="s">
        <v>17193</v>
      </c>
      <c r="B300" s="14" t="s">
        <v>17194</v>
      </c>
      <c r="C300" s="14">
        <v>0</v>
      </c>
      <c r="D300" s="14">
        <v>16</v>
      </c>
      <c r="E300" s="14">
        <v>15</v>
      </c>
      <c r="F300" s="14">
        <v>12</v>
      </c>
      <c r="G300" s="14">
        <v>2</v>
      </c>
      <c r="H300" s="14">
        <v>3</v>
      </c>
      <c r="I300" s="14">
        <v>1</v>
      </c>
      <c r="J300" s="14">
        <v>16</v>
      </c>
      <c r="K300" s="14">
        <v>314</v>
      </c>
      <c r="L300" s="14">
        <v>6</v>
      </c>
      <c r="M300" s="14">
        <v>3</v>
      </c>
      <c r="N300" s="14">
        <v>2</v>
      </c>
      <c r="O300" s="14">
        <v>3</v>
      </c>
      <c r="P300" s="14">
        <v>0</v>
      </c>
      <c r="Q300" s="14">
        <v>2</v>
      </c>
      <c r="R300" s="14">
        <v>0</v>
      </c>
      <c r="S300" s="14">
        <v>4.75</v>
      </c>
      <c r="T300" s="14">
        <v>0.5</v>
      </c>
      <c r="U300" s="14">
        <v>0</v>
      </c>
      <c r="V300" s="14">
        <v>5.3</v>
      </c>
      <c r="W300" s="15">
        <v>57.5</v>
      </c>
      <c r="X300" s="15">
        <v>0</v>
      </c>
      <c r="Y300" s="14">
        <v>16</v>
      </c>
      <c r="Z300" s="14">
        <v>0</v>
      </c>
      <c r="AA300" s="15">
        <v>0</v>
      </c>
      <c r="AB300" s="15">
        <v>0</v>
      </c>
      <c r="AC300" s="15">
        <v>0</v>
      </c>
      <c r="AD300" s="15">
        <v>0</v>
      </c>
      <c r="AE300" s="15">
        <v>0</v>
      </c>
      <c r="AF300" s="15">
        <v>0</v>
      </c>
      <c r="AG300" s="15">
        <v>57.5</v>
      </c>
      <c r="AH300" s="15">
        <v>57.5</v>
      </c>
      <c r="AI300" s="15">
        <v>0</v>
      </c>
      <c r="AJ300" s="15">
        <v>0</v>
      </c>
      <c r="AK300" s="15">
        <v>7.5</v>
      </c>
      <c r="AL300" s="15">
        <v>7.5</v>
      </c>
      <c r="AM300" s="14">
        <v>0</v>
      </c>
      <c r="AN300" s="14">
        <v>0</v>
      </c>
      <c r="AO300" s="14">
        <v>0</v>
      </c>
      <c r="AP300" s="14">
        <v>0</v>
      </c>
      <c r="AQ300" s="14">
        <v>0</v>
      </c>
      <c r="AR300" s="14">
        <v>0</v>
      </c>
      <c r="AS300" s="14">
        <v>0</v>
      </c>
      <c r="AT300" s="14">
        <v>314</v>
      </c>
      <c r="AU300" s="14">
        <v>181</v>
      </c>
      <c r="AV300" s="14">
        <v>133</v>
      </c>
      <c r="AW300" s="14">
        <v>0</v>
      </c>
      <c r="AX300" s="14">
        <v>4.75</v>
      </c>
      <c r="AY300" s="14">
        <v>0.75</v>
      </c>
      <c r="AZ300" s="14">
        <v>4</v>
      </c>
      <c r="BA300" s="14">
        <v>0</v>
      </c>
      <c r="BB300" s="14">
        <v>0.5</v>
      </c>
      <c r="BC300" s="14">
        <v>0</v>
      </c>
      <c r="BD300" s="14">
        <v>0.5</v>
      </c>
      <c r="BE300" s="14">
        <v>0</v>
      </c>
      <c r="BF300" s="14">
        <v>0</v>
      </c>
    </row>
    <row r="301" spans="1:58" ht="16">
      <c r="A301" s="14" t="s">
        <v>17193</v>
      </c>
      <c r="B301" s="14" t="s">
        <v>17195</v>
      </c>
      <c r="C301" s="14">
        <v>0</v>
      </c>
      <c r="D301" s="14">
        <v>17</v>
      </c>
      <c r="E301" s="14">
        <v>9</v>
      </c>
      <c r="F301" s="14">
        <v>10</v>
      </c>
      <c r="G301" s="14">
        <v>1</v>
      </c>
      <c r="H301" s="14">
        <v>8</v>
      </c>
      <c r="I301" s="14">
        <v>8</v>
      </c>
      <c r="J301" s="14">
        <v>17</v>
      </c>
      <c r="K301" s="14">
        <v>306</v>
      </c>
      <c r="L301" s="14">
        <v>15</v>
      </c>
      <c r="M301" s="14">
        <v>2</v>
      </c>
      <c r="N301" s="14">
        <v>0</v>
      </c>
      <c r="O301" s="14">
        <v>0</v>
      </c>
      <c r="P301" s="14">
        <v>0</v>
      </c>
      <c r="Q301" s="14">
        <v>0</v>
      </c>
      <c r="R301" s="14">
        <v>0</v>
      </c>
      <c r="S301" s="14">
        <v>4.75</v>
      </c>
      <c r="T301" s="14">
        <v>1</v>
      </c>
      <c r="U301" s="14">
        <v>0</v>
      </c>
      <c r="V301" s="14">
        <v>5.8</v>
      </c>
      <c r="W301" s="15">
        <v>67.5</v>
      </c>
      <c r="X301" s="15">
        <v>0</v>
      </c>
      <c r="Y301" s="14">
        <v>17</v>
      </c>
      <c r="Z301" s="14">
        <v>0</v>
      </c>
      <c r="AA301" s="15">
        <v>0</v>
      </c>
      <c r="AB301" s="15">
        <v>0</v>
      </c>
      <c r="AC301" s="15">
        <v>40</v>
      </c>
      <c r="AD301" s="15">
        <v>40</v>
      </c>
      <c r="AE301" s="15">
        <v>40</v>
      </c>
      <c r="AF301" s="15">
        <v>40</v>
      </c>
      <c r="AG301" s="15">
        <v>107.5</v>
      </c>
      <c r="AH301" s="15">
        <v>67.5</v>
      </c>
      <c r="AI301" s="15">
        <v>0</v>
      </c>
      <c r="AJ301" s="15">
        <v>0</v>
      </c>
      <c r="AK301" s="15">
        <v>20</v>
      </c>
      <c r="AL301" s="15">
        <v>20</v>
      </c>
      <c r="AM301" s="14">
        <v>0</v>
      </c>
      <c r="AN301" s="14">
        <v>2</v>
      </c>
      <c r="AO301" s="14">
        <v>0</v>
      </c>
      <c r="AP301" s="14">
        <v>0</v>
      </c>
      <c r="AQ301" s="14">
        <v>0</v>
      </c>
      <c r="AR301" s="14">
        <v>0</v>
      </c>
      <c r="AS301" s="14">
        <v>0</v>
      </c>
      <c r="AT301" s="14">
        <v>306</v>
      </c>
      <c r="AU301" s="14">
        <v>233</v>
      </c>
      <c r="AV301" s="14">
        <v>73</v>
      </c>
      <c r="AW301" s="14">
        <v>0</v>
      </c>
      <c r="AX301" s="14">
        <v>4.75</v>
      </c>
      <c r="AY301" s="14">
        <v>2</v>
      </c>
      <c r="AZ301" s="14">
        <v>2.75</v>
      </c>
      <c r="BA301" s="14">
        <v>0</v>
      </c>
      <c r="BB301" s="14">
        <v>1</v>
      </c>
      <c r="BC301" s="14">
        <v>0</v>
      </c>
      <c r="BD301" s="14">
        <v>1</v>
      </c>
      <c r="BE301" s="14">
        <v>0</v>
      </c>
      <c r="BF301" s="14">
        <v>30</v>
      </c>
    </row>
    <row r="302" spans="1:58" ht="16">
      <c r="A302" s="14" t="s">
        <v>17193</v>
      </c>
      <c r="B302" s="14" t="s">
        <v>17196</v>
      </c>
      <c r="C302" s="14">
        <v>0</v>
      </c>
      <c r="D302" s="14">
        <v>28</v>
      </c>
      <c r="E302" s="14">
        <v>28</v>
      </c>
      <c r="F302" s="14">
        <v>22</v>
      </c>
      <c r="G302" s="14">
        <v>0</v>
      </c>
      <c r="H302" s="14">
        <v>1</v>
      </c>
      <c r="I302" s="14">
        <v>0</v>
      </c>
      <c r="J302" s="14">
        <v>27</v>
      </c>
      <c r="K302" s="14">
        <v>350</v>
      </c>
      <c r="L302" s="14">
        <v>26</v>
      </c>
      <c r="M302" s="14">
        <v>0</v>
      </c>
      <c r="N302" s="14">
        <v>1</v>
      </c>
      <c r="O302" s="14">
        <v>1</v>
      </c>
      <c r="P302" s="14">
        <v>0</v>
      </c>
      <c r="Q302" s="14">
        <v>0</v>
      </c>
      <c r="R302" s="14">
        <v>0</v>
      </c>
      <c r="S302" s="14">
        <v>38.25</v>
      </c>
      <c r="T302" s="14">
        <v>54.75</v>
      </c>
      <c r="U302" s="14">
        <v>0</v>
      </c>
      <c r="V302" s="14">
        <v>93</v>
      </c>
      <c r="W302" s="15">
        <v>1477.5</v>
      </c>
      <c r="X302" s="15">
        <v>0</v>
      </c>
      <c r="Y302" s="14">
        <v>28</v>
      </c>
      <c r="Z302" s="14">
        <v>0</v>
      </c>
      <c r="AA302" s="15">
        <v>0</v>
      </c>
      <c r="AB302" s="15">
        <v>847.5</v>
      </c>
      <c r="AC302" s="15">
        <v>823.7</v>
      </c>
      <c r="AD302" s="15">
        <v>823.7</v>
      </c>
      <c r="AE302" s="15">
        <v>1125.75</v>
      </c>
      <c r="AF302" s="15">
        <v>1671.2</v>
      </c>
      <c r="AG302" s="15">
        <v>2301.1999999999998</v>
      </c>
      <c r="AH302" s="15">
        <v>1175.45</v>
      </c>
      <c r="AI302" s="15">
        <v>13</v>
      </c>
      <c r="AJ302" s="15">
        <v>355.75</v>
      </c>
      <c r="AK302" s="15">
        <v>385.75</v>
      </c>
      <c r="AL302" s="15">
        <v>372.75</v>
      </c>
      <c r="AM302" s="14">
        <v>0</v>
      </c>
      <c r="AN302" s="14">
        <v>7</v>
      </c>
      <c r="AO302" s="14">
        <v>6</v>
      </c>
      <c r="AP302" s="14">
        <v>5</v>
      </c>
      <c r="AQ302" s="14">
        <v>0</v>
      </c>
      <c r="AR302" s="14">
        <v>0</v>
      </c>
      <c r="AS302" s="14">
        <v>0</v>
      </c>
      <c r="AT302" s="14">
        <v>350</v>
      </c>
      <c r="AU302" s="14">
        <v>25</v>
      </c>
      <c r="AV302" s="14">
        <v>325</v>
      </c>
      <c r="AW302" s="14">
        <v>0</v>
      </c>
      <c r="AX302" s="14">
        <v>38.25</v>
      </c>
      <c r="AY302" s="14">
        <v>4</v>
      </c>
      <c r="AZ302" s="14">
        <v>34.25</v>
      </c>
      <c r="BA302" s="14">
        <v>0</v>
      </c>
      <c r="BB302" s="14">
        <v>54.75</v>
      </c>
      <c r="BC302" s="14">
        <v>1</v>
      </c>
      <c r="BD302" s="14">
        <v>53.75</v>
      </c>
      <c r="BE302" s="14">
        <v>0</v>
      </c>
      <c r="BF302" s="14">
        <v>0</v>
      </c>
    </row>
    <row r="303" spans="1:58" ht="16">
      <c r="A303" s="14" t="s">
        <v>17193</v>
      </c>
      <c r="B303" s="14" t="s">
        <v>18853</v>
      </c>
      <c r="C303" s="14">
        <v>1</v>
      </c>
      <c r="D303" s="14">
        <v>35</v>
      </c>
      <c r="E303" s="14">
        <v>17</v>
      </c>
      <c r="F303" s="14">
        <v>22</v>
      </c>
      <c r="G303" s="14">
        <v>5</v>
      </c>
      <c r="H303" s="14">
        <v>5</v>
      </c>
      <c r="I303" s="14">
        <v>1</v>
      </c>
      <c r="J303" s="14">
        <v>33</v>
      </c>
      <c r="K303" s="16">
        <v>1016</v>
      </c>
      <c r="L303" s="14">
        <v>32</v>
      </c>
      <c r="M303" s="14">
        <v>1</v>
      </c>
      <c r="N303" s="14">
        <v>1</v>
      </c>
      <c r="O303" s="14">
        <v>1</v>
      </c>
      <c r="P303" s="14">
        <v>0</v>
      </c>
      <c r="Q303" s="14">
        <v>0</v>
      </c>
      <c r="R303" s="14">
        <v>0</v>
      </c>
      <c r="S303" s="14">
        <v>149</v>
      </c>
      <c r="T303" s="14">
        <v>39</v>
      </c>
      <c r="U303" s="14">
        <v>8</v>
      </c>
      <c r="V303" s="14">
        <v>196</v>
      </c>
      <c r="W303" s="15">
        <v>2070</v>
      </c>
      <c r="X303" s="15">
        <v>0</v>
      </c>
      <c r="Y303" s="14">
        <v>34</v>
      </c>
      <c r="Z303" s="14">
        <v>0</v>
      </c>
      <c r="AA303" s="15">
        <v>-200</v>
      </c>
      <c r="AB303" s="15">
        <v>1407.5</v>
      </c>
      <c r="AC303" s="15">
        <v>30598.59</v>
      </c>
      <c r="AD303" s="15">
        <v>30565.05</v>
      </c>
      <c r="AE303" s="15">
        <v>30549.83</v>
      </c>
      <c r="AF303" s="15">
        <v>31972.55</v>
      </c>
      <c r="AG303" s="15">
        <v>32828.589999999997</v>
      </c>
      <c r="AH303" s="15">
        <v>2278.7600000000002</v>
      </c>
      <c r="AI303" s="15">
        <v>45.82</v>
      </c>
      <c r="AJ303" s="15">
        <v>1088.54</v>
      </c>
      <c r="AK303" s="15">
        <v>1272.08</v>
      </c>
      <c r="AL303" s="15">
        <v>1226.26</v>
      </c>
      <c r="AM303" s="14">
        <v>0</v>
      </c>
      <c r="AN303" s="14">
        <v>2</v>
      </c>
      <c r="AO303" s="14">
        <v>0</v>
      </c>
      <c r="AP303" s="14">
        <v>1</v>
      </c>
      <c r="AQ303" s="14">
        <v>0</v>
      </c>
      <c r="AR303" s="14">
        <v>4</v>
      </c>
      <c r="AS303" s="14">
        <v>0</v>
      </c>
      <c r="AT303" s="16">
        <v>1016</v>
      </c>
      <c r="AU303" s="14">
        <v>113</v>
      </c>
      <c r="AV303" s="14">
        <v>895</v>
      </c>
      <c r="AW303" s="14">
        <v>8</v>
      </c>
      <c r="AX303" s="14">
        <v>149</v>
      </c>
      <c r="AY303" s="14">
        <v>77.75</v>
      </c>
      <c r="AZ303" s="14">
        <v>67.25</v>
      </c>
      <c r="BA303" s="14">
        <v>4</v>
      </c>
      <c r="BB303" s="14">
        <v>39</v>
      </c>
      <c r="BC303" s="14">
        <v>20</v>
      </c>
      <c r="BD303" s="14">
        <v>11</v>
      </c>
      <c r="BE303" s="14">
        <v>8</v>
      </c>
      <c r="BF303" s="16">
        <v>2555</v>
      </c>
    </row>
    <row r="304" spans="1:58" ht="16">
      <c r="A304" s="14" t="s">
        <v>17193</v>
      </c>
      <c r="B304" s="14" t="s">
        <v>17302</v>
      </c>
      <c r="C304" s="14">
        <v>0</v>
      </c>
      <c r="D304" s="14">
        <v>0</v>
      </c>
      <c r="E304" s="14">
        <v>0</v>
      </c>
      <c r="F304" s="14">
        <v>0</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5">
        <v>0</v>
      </c>
      <c r="X304" s="15">
        <v>0</v>
      </c>
      <c r="Y304" s="14">
        <v>0</v>
      </c>
      <c r="Z304" s="14">
        <v>0</v>
      </c>
      <c r="AA304" s="15">
        <v>0</v>
      </c>
      <c r="AB304" s="15">
        <v>0</v>
      </c>
      <c r="AC304" s="15">
        <v>0</v>
      </c>
      <c r="AD304" s="15">
        <v>0</v>
      </c>
      <c r="AE304" s="15">
        <v>0</v>
      </c>
      <c r="AF304" s="15">
        <v>0</v>
      </c>
      <c r="AG304" s="15">
        <v>0</v>
      </c>
      <c r="AH304" s="15">
        <v>0</v>
      </c>
      <c r="AI304" s="15">
        <v>0</v>
      </c>
      <c r="AJ304" s="15">
        <v>0</v>
      </c>
      <c r="AK304" s="15">
        <v>0</v>
      </c>
      <c r="AL304" s="15">
        <v>0</v>
      </c>
      <c r="AM304" s="14">
        <v>0</v>
      </c>
      <c r="AN304" s="14">
        <v>0</v>
      </c>
      <c r="AO304" s="14">
        <v>0</v>
      </c>
      <c r="AP304" s="14">
        <v>0</v>
      </c>
      <c r="AQ304" s="14">
        <v>0</v>
      </c>
      <c r="AR304" s="14">
        <v>0</v>
      </c>
      <c r="AS304" s="14">
        <v>0</v>
      </c>
      <c r="AT304" s="14">
        <v>0</v>
      </c>
      <c r="AU304" s="14">
        <v>0</v>
      </c>
      <c r="AV304" s="14">
        <v>0</v>
      </c>
      <c r="AW304" s="14">
        <v>0</v>
      </c>
      <c r="AX304" s="14">
        <v>0</v>
      </c>
      <c r="AY304" s="14">
        <v>0</v>
      </c>
      <c r="AZ304" s="14">
        <v>0</v>
      </c>
      <c r="BA304" s="14">
        <v>0</v>
      </c>
      <c r="BB304" s="14">
        <v>0</v>
      </c>
      <c r="BC304" s="14">
        <v>0</v>
      </c>
      <c r="BD304" s="14">
        <v>0</v>
      </c>
      <c r="BE304" s="14">
        <v>0</v>
      </c>
      <c r="BF304" s="14">
        <v>26</v>
      </c>
    </row>
    <row r="305" spans="1:58">
      <c r="A305" t="s">
        <v>17197</v>
      </c>
      <c r="B305" t="s">
        <v>17198</v>
      </c>
      <c r="C305">
        <v>0</v>
      </c>
      <c r="D305">
        <v>13</v>
      </c>
      <c r="E305">
        <v>13</v>
      </c>
      <c r="F305">
        <v>8</v>
      </c>
      <c r="G305">
        <v>2</v>
      </c>
      <c r="H305">
        <v>0</v>
      </c>
      <c r="I305">
        <v>2</v>
      </c>
      <c r="J305">
        <v>13</v>
      </c>
      <c r="K305">
        <v>169</v>
      </c>
      <c r="L305">
        <v>2</v>
      </c>
      <c r="M305">
        <v>1</v>
      </c>
      <c r="N305">
        <v>5</v>
      </c>
      <c r="O305">
        <v>0</v>
      </c>
      <c r="P305">
        <v>1</v>
      </c>
      <c r="Q305">
        <v>2</v>
      </c>
      <c r="R305">
        <v>0</v>
      </c>
      <c r="S305">
        <v>5.25</v>
      </c>
      <c r="T305">
        <v>0</v>
      </c>
      <c r="U305">
        <v>0</v>
      </c>
      <c r="V305">
        <v>5.3</v>
      </c>
      <c r="W305" s="4">
        <v>52.5</v>
      </c>
      <c r="X305" s="4">
        <v>0</v>
      </c>
      <c r="Y305">
        <v>4</v>
      </c>
      <c r="Z305">
        <v>0</v>
      </c>
      <c r="AA305" s="4">
        <v>0</v>
      </c>
      <c r="AB305" s="4">
        <v>0</v>
      </c>
      <c r="AC305" s="4">
        <v>0</v>
      </c>
      <c r="AD305" s="4">
        <v>0</v>
      </c>
      <c r="AE305" s="4">
        <v>0</v>
      </c>
      <c r="AF305" s="4">
        <v>0</v>
      </c>
      <c r="AG305" s="4">
        <v>52.5</v>
      </c>
      <c r="AH305" s="4">
        <v>52.5</v>
      </c>
      <c r="AI305" s="4">
        <v>0</v>
      </c>
      <c r="AJ305" s="4">
        <v>0</v>
      </c>
      <c r="AK305" s="4">
        <v>0</v>
      </c>
      <c r="AL305" s="4">
        <v>0</v>
      </c>
      <c r="AM305">
        <v>0</v>
      </c>
      <c r="AN305">
        <v>0</v>
      </c>
      <c r="AO305">
        <v>0</v>
      </c>
      <c r="AP305">
        <v>0</v>
      </c>
      <c r="AQ305">
        <v>0</v>
      </c>
      <c r="AR305">
        <v>0</v>
      </c>
      <c r="AS305">
        <v>0</v>
      </c>
      <c r="AT305">
        <v>169</v>
      </c>
      <c r="AU305">
        <v>0</v>
      </c>
      <c r="AV305">
        <v>169</v>
      </c>
      <c r="AW305">
        <v>0</v>
      </c>
      <c r="AX305">
        <v>5.25</v>
      </c>
      <c r="AY305">
        <v>0</v>
      </c>
      <c r="AZ305">
        <v>5.25</v>
      </c>
      <c r="BA305">
        <v>0</v>
      </c>
      <c r="BB305">
        <v>0</v>
      </c>
      <c r="BC305">
        <v>0</v>
      </c>
      <c r="BD305">
        <v>0</v>
      </c>
      <c r="BE305">
        <v>0</v>
      </c>
      <c r="BF305">
        <v>13</v>
      </c>
    </row>
  </sheetData>
  <sortState xmlns:xlrd2="http://schemas.microsoft.com/office/spreadsheetml/2017/richdata2" ref="A2:BF302">
    <sortCondition ref="A2:A302"/>
    <sortCondition ref="B2:B30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7CFB7-9879-6743-BB8D-792A189E5A08}">
  <dimension ref="A1:BF301"/>
  <sheetViews>
    <sheetView workbookViewId="0"/>
  </sheetViews>
  <sheetFormatPr baseColWidth="10" defaultRowHeight="15"/>
  <cols>
    <col min="1" max="1" width="56.5" bestFit="1" customWidth="1"/>
    <col min="2" max="2" width="94" bestFit="1" customWidth="1"/>
  </cols>
  <sheetData>
    <row r="1" spans="1:58">
      <c r="A1" t="s">
        <v>17292</v>
      </c>
      <c r="B1" t="s">
        <v>16796</v>
      </c>
      <c r="C1" t="s">
        <v>16820</v>
      </c>
      <c r="D1" t="s">
        <v>16821</v>
      </c>
      <c r="E1" t="s">
        <v>16822</v>
      </c>
      <c r="F1" t="s">
        <v>19319</v>
      </c>
      <c r="G1" t="s">
        <v>17293</v>
      </c>
      <c r="H1" t="s">
        <v>16825</v>
      </c>
      <c r="I1" t="s">
        <v>19320</v>
      </c>
      <c r="J1" t="s">
        <v>17295</v>
      </c>
      <c r="K1" t="s">
        <v>16828</v>
      </c>
      <c r="L1" t="s">
        <v>16829</v>
      </c>
      <c r="M1" t="s">
        <v>16830</v>
      </c>
      <c r="N1" t="s">
        <v>18770</v>
      </c>
      <c r="O1" t="s">
        <v>16832</v>
      </c>
      <c r="P1" t="s">
        <v>16833</v>
      </c>
      <c r="Q1" t="s">
        <v>17297</v>
      </c>
      <c r="R1" t="s">
        <v>17298</v>
      </c>
      <c r="S1" t="s">
        <v>16836</v>
      </c>
      <c r="T1" t="s">
        <v>19321</v>
      </c>
      <c r="U1" t="s">
        <v>16838</v>
      </c>
      <c r="V1" t="s">
        <v>16839</v>
      </c>
      <c r="W1" t="s">
        <v>16840</v>
      </c>
      <c r="X1" t="s">
        <v>16841</v>
      </c>
      <c r="Y1" t="s">
        <v>18772</v>
      </c>
      <c r="Z1" t="s">
        <v>18773</v>
      </c>
      <c r="AA1" t="s">
        <v>16844</v>
      </c>
      <c r="AB1" t="s">
        <v>19322</v>
      </c>
      <c r="AC1" t="s">
        <v>16846</v>
      </c>
      <c r="AD1" t="s">
        <v>16847</v>
      </c>
      <c r="AE1" t="s">
        <v>16848</v>
      </c>
      <c r="AF1" t="s">
        <v>16849</v>
      </c>
      <c r="AG1" t="s">
        <v>19323</v>
      </c>
      <c r="AH1" t="s">
        <v>16851</v>
      </c>
      <c r="AI1" t="s">
        <v>16852</v>
      </c>
      <c r="AJ1" t="s">
        <v>16853</v>
      </c>
      <c r="AK1" t="s">
        <v>16854</v>
      </c>
      <c r="AL1" t="s">
        <v>16855</v>
      </c>
      <c r="AM1" t="s">
        <v>18775</v>
      </c>
      <c r="AN1" t="s">
        <v>19324</v>
      </c>
      <c r="AO1" t="s">
        <v>18777</v>
      </c>
      <c r="AP1" t="s">
        <v>18778</v>
      </c>
      <c r="AQ1" t="s">
        <v>18779</v>
      </c>
      <c r="AR1" t="s">
        <v>18780</v>
      </c>
      <c r="AS1" t="s">
        <v>18781</v>
      </c>
      <c r="AT1" t="s">
        <v>16856</v>
      </c>
      <c r="AU1" t="s">
        <v>16857</v>
      </c>
      <c r="AV1" t="s">
        <v>16858</v>
      </c>
      <c r="AW1" t="s">
        <v>16859</v>
      </c>
      <c r="AX1" t="s">
        <v>16860</v>
      </c>
      <c r="AY1" t="s">
        <v>16861</v>
      </c>
      <c r="AZ1" t="s">
        <v>16862</v>
      </c>
      <c r="BA1" t="s">
        <v>16863</v>
      </c>
      <c r="BB1" t="s">
        <v>16864</v>
      </c>
      <c r="BC1" t="s">
        <v>16865</v>
      </c>
      <c r="BD1" t="s">
        <v>16866</v>
      </c>
      <c r="BE1" t="s">
        <v>16867</v>
      </c>
      <c r="BF1" t="s">
        <v>18782</v>
      </c>
    </row>
    <row r="2" spans="1:58">
      <c r="A2" t="s">
        <v>16874</v>
      </c>
      <c r="B2" t="s">
        <v>16875</v>
      </c>
      <c r="C2">
        <v>0</v>
      </c>
      <c r="D2">
        <v>5</v>
      </c>
      <c r="E2">
        <v>5</v>
      </c>
      <c r="F2">
        <v>5</v>
      </c>
      <c r="G2">
        <v>0</v>
      </c>
      <c r="H2">
        <v>0</v>
      </c>
      <c r="I2">
        <v>0</v>
      </c>
      <c r="J2">
        <v>5</v>
      </c>
      <c r="K2">
        <v>11</v>
      </c>
      <c r="L2">
        <v>3</v>
      </c>
      <c r="M2">
        <v>0</v>
      </c>
      <c r="N2">
        <v>1</v>
      </c>
      <c r="O2">
        <v>1</v>
      </c>
      <c r="P2">
        <v>0</v>
      </c>
      <c r="Q2">
        <v>0</v>
      </c>
      <c r="R2">
        <v>0</v>
      </c>
      <c r="S2">
        <v>1</v>
      </c>
      <c r="T2">
        <v>0</v>
      </c>
      <c r="U2">
        <v>0</v>
      </c>
      <c r="V2">
        <v>1</v>
      </c>
      <c r="W2">
        <v>10</v>
      </c>
      <c r="X2">
        <v>0</v>
      </c>
      <c r="Y2">
        <v>2</v>
      </c>
      <c r="Z2">
        <v>2</v>
      </c>
      <c r="AA2">
        <v>0</v>
      </c>
      <c r="AB2">
        <v>0</v>
      </c>
      <c r="AC2">
        <v>0</v>
      </c>
      <c r="AD2">
        <v>0</v>
      </c>
      <c r="AE2">
        <v>0</v>
      </c>
      <c r="AF2">
        <v>0</v>
      </c>
      <c r="AG2">
        <v>10</v>
      </c>
      <c r="AH2">
        <v>10</v>
      </c>
      <c r="AI2">
        <v>0</v>
      </c>
      <c r="AJ2">
        <v>0</v>
      </c>
      <c r="AK2">
        <v>0</v>
      </c>
      <c r="AL2">
        <v>0</v>
      </c>
      <c r="AM2">
        <v>0</v>
      </c>
      <c r="AN2">
        <v>0</v>
      </c>
      <c r="AO2">
        <v>0</v>
      </c>
      <c r="AP2">
        <v>0</v>
      </c>
      <c r="AQ2">
        <v>0</v>
      </c>
      <c r="AR2">
        <v>0</v>
      </c>
      <c r="AS2">
        <v>0</v>
      </c>
      <c r="AT2">
        <v>11</v>
      </c>
      <c r="AU2">
        <v>0</v>
      </c>
      <c r="AV2">
        <v>11</v>
      </c>
      <c r="AW2">
        <v>0</v>
      </c>
      <c r="AX2">
        <v>1</v>
      </c>
      <c r="AY2">
        <v>0</v>
      </c>
      <c r="AZ2">
        <v>1</v>
      </c>
      <c r="BA2">
        <v>0</v>
      </c>
      <c r="BB2">
        <v>0</v>
      </c>
      <c r="BC2">
        <v>0</v>
      </c>
      <c r="BD2">
        <v>0</v>
      </c>
      <c r="BE2">
        <v>0</v>
      </c>
    </row>
    <row r="3" spans="1:58">
      <c r="A3" t="s">
        <v>16869</v>
      </c>
      <c r="B3" t="s">
        <v>17346</v>
      </c>
      <c r="C3">
        <v>2</v>
      </c>
      <c r="D3">
        <v>3</v>
      </c>
      <c r="E3">
        <v>3</v>
      </c>
      <c r="F3">
        <v>2</v>
      </c>
      <c r="G3">
        <v>0</v>
      </c>
      <c r="H3">
        <v>0</v>
      </c>
      <c r="I3">
        <v>0</v>
      </c>
      <c r="J3">
        <v>3</v>
      </c>
      <c r="K3">
        <v>166</v>
      </c>
      <c r="L3">
        <v>2</v>
      </c>
      <c r="M3">
        <v>0</v>
      </c>
      <c r="N3">
        <v>0</v>
      </c>
      <c r="O3">
        <v>1</v>
      </c>
      <c r="P3">
        <v>0</v>
      </c>
      <c r="Q3">
        <v>0</v>
      </c>
      <c r="R3">
        <v>0</v>
      </c>
      <c r="S3">
        <v>29.25</v>
      </c>
      <c r="T3">
        <v>0</v>
      </c>
      <c r="U3">
        <v>0</v>
      </c>
      <c r="V3">
        <v>29.25</v>
      </c>
      <c r="W3">
        <v>0</v>
      </c>
      <c r="X3">
        <v>0</v>
      </c>
      <c r="Y3">
        <v>0</v>
      </c>
      <c r="Z3">
        <v>0</v>
      </c>
      <c r="AA3">
        <v>-292.5</v>
      </c>
      <c r="AB3">
        <v>0</v>
      </c>
      <c r="AC3">
        <v>23.25</v>
      </c>
      <c r="AD3">
        <v>23.25</v>
      </c>
      <c r="AE3">
        <v>0</v>
      </c>
      <c r="AF3">
        <v>23.25</v>
      </c>
      <c r="AG3">
        <v>23.25</v>
      </c>
      <c r="AH3">
        <v>23.25</v>
      </c>
      <c r="AI3">
        <v>0</v>
      </c>
      <c r="AJ3">
        <v>0</v>
      </c>
      <c r="AK3">
        <v>0</v>
      </c>
      <c r="AL3">
        <v>0</v>
      </c>
      <c r="AM3">
        <v>0</v>
      </c>
      <c r="AN3">
        <v>0</v>
      </c>
      <c r="AO3">
        <v>0</v>
      </c>
      <c r="AP3">
        <v>0</v>
      </c>
      <c r="AQ3">
        <v>0</v>
      </c>
      <c r="AR3">
        <v>0</v>
      </c>
      <c r="AS3">
        <v>0</v>
      </c>
      <c r="AT3">
        <v>166</v>
      </c>
      <c r="AU3">
        <v>0</v>
      </c>
      <c r="AV3">
        <v>144</v>
      </c>
      <c r="AW3">
        <v>22</v>
      </c>
      <c r="AX3">
        <v>29.25</v>
      </c>
      <c r="AY3">
        <v>0</v>
      </c>
      <c r="AZ3">
        <v>0</v>
      </c>
      <c r="BA3">
        <v>29.25</v>
      </c>
      <c r="BB3">
        <v>0</v>
      </c>
      <c r="BC3">
        <v>0</v>
      </c>
      <c r="BD3">
        <v>0</v>
      </c>
      <c r="BE3">
        <v>0</v>
      </c>
      <c r="BF3">
        <v>0</v>
      </c>
    </row>
    <row r="4" spans="1:58">
      <c r="A4" t="s">
        <v>16869</v>
      </c>
      <c r="B4" t="s">
        <v>16871</v>
      </c>
      <c r="C4">
        <v>0</v>
      </c>
      <c r="D4">
        <v>7</v>
      </c>
      <c r="E4">
        <v>3</v>
      </c>
      <c r="F4">
        <v>0</v>
      </c>
      <c r="G4">
        <v>0</v>
      </c>
      <c r="H4">
        <v>0</v>
      </c>
      <c r="I4">
        <v>0</v>
      </c>
      <c r="J4">
        <v>7</v>
      </c>
      <c r="K4">
        <v>179</v>
      </c>
      <c r="L4">
        <v>3</v>
      </c>
      <c r="M4">
        <v>2</v>
      </c>
      <c r="N4">
        <v>0</v>
      </c>
      <c r="O4">
        <v>0</v>
      </c>
      <c r="P4">
        <v>2</v>
      </c>
      <c r="Q4">
        <v>0</v>
      </c>
      <c r="R4">
        <v>0</v>
      </c>
      <c r="S4">
        <v>1.5</v>
      </c>
      <c r="T4">
        <v>4</v>
      </c>
      <c r="U4">
        <v>0</v>
      </c>
      <c r="V4">
        <v>5.5</v>
      </c>
      <c r="W4">
        <v>95</v>
      </c>
      <c r="X4">
        <v>750</v>
      </c>
      <c r="Y4">
        <v>2</v>
      </c>
      <c r="Z4">
        <v>0</v>
      </c>
      <c r="AA4">
        <v>0</v>
      </c>
      <c r="AB4">
        <v>60</v>
      </c>
      <c r="AC4">
        <v>0</v>
      </c>
      <c r="AD4">
        <v>0</v>
      </c>
      <c r="AE4">
        <v>0</v>
      </c>
      <c r="AF4">
        <v>60</v>
      </c>
      <c r="AG4">
        <v>845</v>
      </c>
      <c r="AH4">
        <v>845</v>
      </c>
      <c r="AI4">
        <v>0</v>
      </c>
      <c r="AJ4">
        <v>0</v>
      </c>
      <c r="AK4">
        <v>0</v>
      </c>
      <c r="AL4">
        <v>0</v>
      </c>
      <c r="AM4">
        <v>0</v>
      </c>
      <c r="AN4">
        <v>0</v>
      </c>
      <c r="AO4">
        <v>0</v>
      </c>
      <c r="AP4">
        <v>0</v>
      </c>
      <c r="AQ4">
        <v>0</v>
      </c>
      <c r="AR4">
        <v>0</v>
      </c>
      <c r="AS4">
        <v>0</v>
      </c>
      <c r="AT4">
        <v>179</v>
      </c>
      <c r="AU4">
        <v>0</v>
      </c>
      <c r="AV4">
        <v>179</v>
      </c>
      <c r="AW4">
        <v>0</v>
      </c>
      <c r="AX4">
        <v>1.5</v>
      </c>
      <c r="AY4">
        <v>0</v>
      </c>
      <c r="AZ4">
        <v>1.5</v>
      </c>
      <c r="BA4">
        <v>0</v>
      </c>
      <c r="BB4">
        <v>4</v>
      </c>
      <c r="BC4">
        <v>0</v>
      </c>
      <c r="BD4">
        <v>4</v>
      </c>
      <c r="BE4">
        <v>0</v>
      </c>
      <c r="BF4">
        <v>0</v>
      </c>
    </row>
    <row r="5" spans="1:58">
      <c r="A5" t="s">
        <v>16869</v>
      </c>
      <c r="B5" t="s">
        <v>17498</v>
      </c>
      <c r="C5">
        <v>0</v>
      </c>
      <c r="D5">
        <v>1</v>
      </c>
      <c r="E5">
        <v>1</v>
      </c>
      <c r="F5">
        <v>1</v>
      </c>
      <c r="G5">
        <v>0</v>
      </c>
      <c r="H5">
        <v>0</v>
      </c>
      <c r="I5">
        <v>0</v>
      </c>
      <c r="J5">
        <v>1</v>
      </c>
      <c r="K5">
        <v>8</v>
      </c>
      <c r="L5">
        <v>1</v>
      </c>
      <c r="M5">
        <v>0</v>
      </c>
      <c r="N5">
        <v>0</v>
      </c>
      <c r="O5">
        <v>0</v>
      </c>
      <c r="P5">
        <v>0</v>
      </c>
      <c r="Q5">
        <v>0</v>
      </c>
      <c r="R5">
        <v>0</v>
      </c>
      <c r="S5">
        <v>0.25</v>
      </c>
      <c r="T5">
        <v>0.25</v>
      </c>
      <c r="U5">
        <v>0</v>
      </c>
      <c r="V5">
        <v>0.5</v>
      </c>
      <c r="W5">
        <v>7.5</v>
      </c>
      <c r="X5">
        <v>0</v>
      </c>
      <c r="Y5">
        <v>1</v>
      </c>
      <c r="Z5">
        <v>0</v>
      </c>
      <c r="AA5">
        <v>0</v>
      </c>
      <c r="AB5">
        <v>0</v>
      </c>
      <c r="AC5">
        <v>0</v>
      </c>
      <c r="AD5">
        <v>0</v>
      </c>
      <c r="AE5">
        <v>0</v>
      </c>
      <c r="AF5">
        <v>0</v>
      </c>
      <c r="AG5">
        <v>7.5</v>
      </c>
      <c r="AH5">
        <v>7.5</v>
      </c>
      <c r="AI5">
        <v>0</v>
      </c>
      <c r="AJ5">
        <v>0</v>
      </c>
      <c r="AK5">
        <v>0</v>
      </c>
      <c r="AL5">
        <v>0</v>
      </c>
      <c r="AM5">
        <v>0</v>
      </c>
      <c r="AN5">
        <v>0</v>
      </c>
      <c r="AO5">
        <v>0</v>
      </c>
      <c r="AP5">
        <v>0</v>
      </c>
      <c r="AQ5">
        <v>0</v>
      </c>
      <c r="AR5">
        <v>0</v>
      </c>
      <c r="AS5">
        <v>0</v>
      </c>
      <c r="AT5">
        <v>8</v>
      </c>
      <c r="AU5">
        <v>0</v>
      </c>
      <c r="AV5">
        <v>8</v>
      </c>
      <c r="AW5">
        <v>0</v>
      </c>
      <c r="AX5">
        <v>0.25</v>
      </c>
      <c r="AY5">
        <v>0</v>
      </c>
      <c r="AZ5">
        <v>0.25</v>
      </c>
      <c r="BA5">
        <v>0</v>
      </c>
      <c r="BB5">
        <v>0.25</v>
      </c>
      <c r="BC5">
        <v>0</v>
      </c>
      <c r="BD5">
        <v>0.25</v>
      </c>
      <c r="BE5">
        <v>0</v>
      </c>
      <c r="BF5">
        <v>0</v>
      </c>
    </row>
    <row r="6" spans="1:58">
      <c r="A6" t="s">
        <v>16869</v>
      </c>
      <c r="B6" t="s">
        <v>17200</v>
      </c>
      <c r="C6">
        <v>8</v>
      </c>
      <c r="D6">
        <v>405</v>
      </c>
      <c r="E6">
        <v>405</v>
      </c>
      <c r="F6">
        <v>380</v>
      </c>
      <c r="G6">
        <v>22</v>
      </c>
      <c r="H6">
        <v>8</v>
      </c>
      <c r="I6">
        <v>8</v>
      </c>
      <c r="J6">
        <v>404</v>
      </c>
      <c r="K6">
        <v>4.18</v>
      </c>
      <c r="L6">
        <v>374</v>
      </c>
      <c r="M6">
        <v>1</v>
      </c>
      <c r="N6">
        <v>1</v>
      </c>
      <c r="O6">
        <v>10</v>
      </c>
      <c r="P6">
        <v>8</v>
      </c>
      <c r="Q6">
        <v>10</v>
      </c>
      <c r="R6">
        <v>0</v>
      </c>
      <c r="S6">
        <v>13.25</v>
      </c>
      <c r="T6">
        <v>27</v>
      </c>
      <c r="U6">
        <v>0</v>
      </c>
      <c r="V6">
        <v>40.25</v>
      </c>
      <c r="W6">
        <v>672.5</v>
      </c>
      <c r="X6">
        <v>0</v>
      </c>
      <c r="Y6">
        <v>32</v>
      </c>
      <c r="Z6">
        <v>0</v>
      </c>
      <c r="AA6">
        <v>0</v>
      </c>
      <c r="AB6">
        <v>340</v>
      </c>
      <c r="AC6" s="20">
        <v>3301.52</v>
      </c>
      <c r="AD6" s="20">
        <v>3134.82</v>
      </c>
      <c r="AE6" s="20">
        <v>3270.73</v>
      </c>
      <c r="AF6" s="20">
        <v>3474.82</v>
      </c>
      <c r="AG6" s="20">
        <v>3974.02</v>
      </c>
      <c r="AH6">
        <v>703.54</v>
      </c>
      <c r="AI6" s="20">
        <v>1262.57</v>
      </c>
      <c r="AJ6" s="20">
        <v>1500.07</v>
      </c>
      <c r="AK6" s="20">
        <v>1675.07</v>
      </c>
      <c r="AL6">
        <v>412.5</v>
      </c>
      <c r="AM6">
        <v>209</v>
      </c>
      <c r="AN6">
        <v>91</v>
      </c>
      <c r="AO6">
        <v>8</v>
      </c>
      <c r="AP6">
        <v>3</v>
      </c>
      <c r="AQ6">
        <v>1</v>
      </c>
      <c r="AR6">
        <v>0</v>
      </c>
      <c r="AS6">
        <v>0</v>
      </c>
      <c r="AT6" s="21">
        <v>1691</v>
      </c>
      <c r="AU6">
        <v>89</v>
      </c>
      <c r="AV6" s="21">
        <v>1581</v>
      </c>
      <c r="AW6">
        <v>21</v>
      </c>
      <c r="AX6">
        <v>13.25</v>
      </c>
      <c r="AY6">
        <v>4.75</v>
      </c>
      <c r="AZ6">
        <v>8.5</v>
      </c>
      <c r="BA6">
        <v>0</v>
      </c>
      <c r="BB6">
        <v>27</v>
      </c>
      <c r="BC6">
        <v>18.25</v>
      </c>
      <c r="BD6">
        <v>8.75</v>
      </c>
      <c r="BE6">
        <v>0</v>
      </c>
      <c r="BF6">
        <v>394</v>
      </c>
    </row>
    <row r="7" spans="1:58">
      <c r="A7" t="s">
        <v>16869</v>
      </c>
      <c r="B7" t="s">
        <v>16872</v>
      </c>
      <c r="C7">
        <v>122</v>
      </c>
      <c r="D7">
        <v>123</v>
      </c>
      <c r="E7">
        <v>115</v>
      </c>
      <c r="F7">
        <v>115</v>
      </c>
      <c r="G7">
        <v>0</v>
      </c>
      <c r="H7">
        <v>0</v>
      </c>
      <c r="I7">
        <v>0</v>
      </c>
      <c r="J7">
        <v>45</v>
      </c>
      <c r="K7">
        <v>414</v>
      </c>
      <c r="L7">
        <v>29</v>
      </c>
      <c r="M7">
        <v>3</v>
      </c>
      <c r="N7">
        <v>12</v>
      </c>
      <c r="O7">
        <v>0</v>
      </c>
      <c r="P7">
        <v>3</v>
      </c>
      <c r="Q7">
        <v>2</v>
      </c>
      <c r="R7">
        <v>0</v>
      </c>
      <c r="S7">
        <v>21</v>
      </c>
      <c r="T7">
        <v>27.75</v>
      </c>
      <c r="U7">
        <v>0</v>
      </c>
      <c r="V7">
        <v>48.75</v>
      </c>
      <c r="W7">
        <v>0</v>
      </c>
      <c r="X7">
        <v>0</v>
      </c>
      <c r="Y7">
        <v>0</v>
      </c>
      <c r="Z7">
        <v>0</v>
      </c>
      <c r="AA7">
        <v>-765</v>
      </c>
      <c r="AB7">
        <v>0</v>
      </c>
      <c r="AC7">
        <v>0</v>
      </c>
      <c r="AD7">
        <v>0</v>
      </c>
      <c r="AE7">
        <v>0</v>
      </c>
      <c r="AF7">
        <v>40</v>
      </c>
      <c r="AG7">
        <v>0</v>
      </c>
      <c r="AH7">
        <v>0</v>
      </c>
      <c r="AI7">
        <v>0</v>
      </c>
      <c r="AJ7">
        <v>0</v>
      </c>
      <c r="AK7">
        <v>0</v>
      </c>
      <c r="AL7">
        <v>0</v>
      </c>
      <c r="AM7">
        <v>0</v>
      </c>
      <c r="AN7">
        <v>0</v>
      </c>
      <c r="AO7">
        <v>0</v>
      </c>
      <c r="AP7">
        <v>0</v>
      </c>
      <c r="AQ7">
        <v>0</v>
      </c>
      <c r="AR7">
        <v>0</v>
      </c>
      <c r="AS7">
        <v>0</v>
      </c>
      <c r="AT7">
        <v>414</v>
      </c>
      <c r="AU7">
        <v>0</v>
      </c>
      <c r="AV7">
        <v>0</v>
      </c>
      <c r="AW7">
        <v>414</v>
      </c>
      <c r="AX7">
        <v>21</v>
      </c>
      <c r="AY7">
        <v>0</v>
      </c>
      <c r="AZ7">
        <v>0</v>
      </c>
      <c r="BA7">
        <v>21</v>
      </c>
      <c r="BB7">
        <v>27.75</v>
      </c>
      <c r="BC7">
        <v>0</v>
      </c>
      <c r="BD7">
        <v>0</v>
      </c>
      <c r="BE7">
        <v>27.75</v>
      </c>
      <c r="BF7">
        <v>122</v>
      </c>
    </row>
    <row r="8" spans="1:58">
      <c r="A8" t="s">
        <v>16869</v>
      </c>
      <c r="B8" t="s">
        <v>16873</v>
      </c>
      <c r="C8">
        <v>0</v>
      </c>
      <c r="D8">
        <v>6</v>
      </c>
      <c r="E8">
        <v>6</v>
      </c>
      <c r="F8">
        <v>5</v>
      </c>
      <c r="G8">
        <v>2</v>
      </c>
      <c r="H8">
        <v>1</v>
      </c>
      <c r="I8">
        <v>0</v>
      </c>
      <c r="J8">
        <v>6</v>
      </c>
      <c r="K8">
        <v>86</v>
      </c>
      <c r="L8">
        <v>3</v>
      </c>
      <c r="M8">
        <v>0</v>
      </c>
      <c r="N8">
        <v>0</v>
      </c>
      <c r="O8">
        <v>1</v>
      </c>
      <c r="P8">
        <v>0</v>
      </c>
      <c r="Q8">
        <v>1</v>
      </c>
      <c r="R8">
        <v>0</v>
      </c>
      <c r="S8">
        <v>9.5</v>
      </c>
      <c r="T8">
        <v>1.5</v>
      </c>
      <c r="U8">
        <v>0</v>
      </c>
      <c r="V8">
        <v>11</v>
      </c>
      <c r="W8">
        <v>125</v>
      </c>
      <c r="X8">
        <v>0</v>
      </c>
      <c r="Y8">
        <v>4</v>
      </c>
      <c r="Z8">
        <v>0</v>
      </c>
      <c r="AA8">
        <v>0</v>
      </c>
      <c r="AB8">
        <v>35</v>
      </c>
      <c r="AC8">
        <v>90.25</v>
      </c>
      <c r="AD8">
        <v>90.25</v>
      </c>
      <c r="AE8">
        <v>9.5</v>
      </c>
      <c r="AF8">
        <v>125.25</v>
      </c>
      <c r="AG8">
        <v>215.25</v>
      </c>
      <c r="AH8">
        <v>205.75</v>
      </c>
      <c r="AI8">
        <v>0</v>
      </c>
      <c r="AJ8">
        <v>0</v>
      </c>
      <c r="AK8">
        <v>0</v>
      </c>
      <c r="AL8">
        <v>0</v>
      </c>
      <c r="AM8">
        <v>0</v>
      </c>
      <c r="AN8">
        <v>1</v>
      </c>
      <c r="AO8">
        <v>0</v>
      </c>
      <c r="AP8">
        <v>0</v>
      </c>
      <c r="AQ8">
        <v>0</v>
      </c>
      <c r="AR8">
        <v>0</v>
      </c>
      <c r="AS8">
        <v>0</v>
      </c>
      <c r="AT8">
        <v>86</v>
      </c>
      <c r="AU8">
        <v>19</v>
      </c>
      <c r="AV8">
        <v>67</v>
      </c>
      <c r="AW8">
        <v>0</v>
      </c>
      <c r="AX8">
        <v>9.5</v>
      </c>
      <c r="AY8">
        <v>0</v>
      </c>
      <c r="AZ8">
        <v>9.5</v>
      </c>
      <c r="BA8">
        <v>0</v>
      </c>
      <c r="BB8">
        <v>1.5</v>
      </c>
      <c r="BC8">
        <v>0</v>
      </c>
      <c r="BD8">
        <v>1.5</v>
      </c>
      <c r="BE8">
        <v>0</v>
      </c>
      <c r="BF8" s="21">
        <v>2050</v>
      </c>
    </row>
    <row r="9" spans="1:58">
      <c r="A9" t="s">
        <v>16869</v>
      </c>
      <c r="B9" t="s">
        <v>18785</v>
      </c>
      <c r="C9">
        <v>0</v>
      </c>
      <c r="D9">
        <v>66</v>
      </c>
      <c r="E9">
        <v>66</v>
      </c>
      <c r="F9">
        <v>60</v>
      </c>
      <c r="G9">
        <v>3</v>
      </c>
      <c r="H9">
        <v>3</v>
      </c>
      <c r="I9">
        <v>0</v>
      </c>
      <c r="J9">
        <v>66</v>
      </c>
      <c r="K9">
        <v>721</v>
      </c>
      <c r="L9">
        <v>31</v>
      </c>
      <c r="M9">
        <v>5</v>
      </c>
      <c r="N9">
        <v>14</v>
      </c>
      <c r="O9">
        <v>3</v>
      </c>
      <c r="P9">
        <v>2</v>
      </c>
      <c r="Q9">
        <v>11</v>
      </c>
      <c r="R9">
        <v>0</v>
      </c>
      <c r="S9">
        <v>30.5</v>
      </c>
      <c r="T9">
        <v>63.25</v>
      </c>
      <c r="U9">
        <v>0</v>
      </c>
      <c r="V9">
        <v>93.75</v>
      </c>
      <c r="W9" s="20">
        <v>1570</v>
      </c>
      <c r="X9">
        <v>0</v>
      </c>
      <c r="Y9">
        <v>59</v>
      </c>
      <c r="Z9">
        <v>0</v>
      </c>
      <c r="AA9">
        <v>0</v>
      </c>
      <c r="AB9">
        <v>280</v>
      </c>
      <c r="AC9" s="20">
        <v>2780.6</v>
      </c>
      <c r="AD9" s="20">
        <v>1830.35</v>
      </c>
      <c r="AE9">
        <v>562.5</v>
      </c>
      <c r="AF9" s="20">
        <v>2110.35</v>
      </c>
      <c r="AG9" s="20">
        <v>4350.6000000000004</v>
      </c>
      <c r="AH9" s="20">
        <v>3788.1</v>
      </c>
      <c r="AI9">
        <v>0.5</v>
      </c>
      <c r="AJ9">
        <v>181.75</v>
      </c>
      <c r="AK9">
        <v>289</v>
      </c>
      <c r="AL9">
        <v>288.5</v>
      </c>
      <c r="AM9">
        <v>22</v>
      </c>
      <c r="AN9">
        <v>1</v>
      </c>
      <c r="AO9">
        <v>0</v>
      </c>
      <c r="AP9">
        <v>3</v>
      </c>
      <c r="AQ9">
        <v>0</v>
      </c>
      <c r="AR9">
        <v>0</v>
      </c>
      <c r="AS9">
        <v>0</v>
      </c>
      <c r="AT9">
        <v>721</v>
      </c>
      <c r="AU9">
        <v>87</v>
      </c>
      <c r="AV9">
        <v>634</v>
      </c>
      <c r="AW9">
        <v>0</v>
      </c>
      <c r="AX9">
        <v>30.5</v>
      </c>
      <c r="AY9">
        <v>1.25</v>
      </c>
      <c r="AZ9">
        <v>29.25</v>
      </c>
      <c r="BA9">
        <v>0</v>
      </c>
      <c r="BB9">
        <v>63.25</v>
      </c>
      <c r="BC9">
        <v>4</v>
      </c>
      <c r="BD9">
        <v>59.25</v>
      </c>
      <c r="BE9">
        <v>0</v>
      </c>
      <c r="BF9">
        <v>0</v>
      </c>
    </row>
    <row r="10" spans="1:58">
      <c r="A10" t="s">
        <v>16876</v>
      </c>
      <c r="B10" t="s">
        <v>16877</v>
      </c>
      <c r="C10">
        <v>0</v>
      </c>
      <c r="D10">
        <v>26</v>
      </c>
      <c r="E10">
        <v>26</v>
      </c>
      <c r="F10">
        <v>26</v>
      </c>
      <c r="G10">
        <v>0</v>
      </c>
      <c r="H10">
        <v>0</v>
      </c>
      <c r="I10">
        <v>0</v>
      </c>
      <c r="J10">
        <v>26</v>
      </c>
      <c r="K10">
        <v>47</v>
      </c>
      <c r="L10">
        <v>3</v>
      </c>
      <c r="M10">
        <v>20</v>
      </c>
      <c r="N10">
        <v>2</v>
      </c>
      <c r="O10">
        <v>0</v>
      </c>
      <c r="P10">
        <v>1</v>
      </c>
      <c r="Q10">
        <v>0</v>
      </c>
      <c r="R10">
        <v>0</v>
      </c>
      <c r="S10">
        <v>1.25</v>
      </c>
      <c r="T10">
        <v>0</v>
      </c>
      <c r="U10">
        <v>0</v>
      </c>
      <c r="V10">
        <v>1.25</v>
      </c>
      <c r="W10">
        <v>12.5</v>
      </c>
      <c r="X10">
        <v>0</v>
      </c>
      <c r="Y10">
        <v>4</v>
      </c>
      <c r="Z10">
        <v>1</v>
      </c>
      <c r="AA10">
        <v>0</v>
      </c>
      <c r="AB10">
        <v>0</v>
      </c>
      <c r="AC10">
        <v>0</v>
      </c>
      <c r="AD10">
        <v>0</v>
      </c>
      <c r="AE10">
        <v>0</v>
      </c>
      <c r="AF10">
        <v>0</v>
      </c>
      <c r="AG10">
        <v>12.5</v>
      </c>
      <c r="AH10">
        <v>12.5</v>
      </c>
      <c r="AI10">
        <v>0</v>
      </c>
      <c r="AJ10">
        <v>0</v>
      </c>
      <c r="AK10">
        <v>0</v>
      </c>
      <c r="AL10">
        <v>0</v>
      </c>
      <c r="AM10">
        <v>0</v>
      </c>
      <c r="AN10">
        <v>0</v>
      </c>
      <c r="AO10">
        <v>0</v>
      </c>
      <c r="AP10">
        <v>0</v>
      </c>
      <c r="AQ10">
        <v>0</v>
      </c>
      <c r="AR10">
        <v>0</v>
      </c>
      <c r="AS10">
        <v>0</v>
      </c>
      <c r="AT10">
        <v>47</v>
      </c>
      <c r="AU10">
        <v>0</v>
      </c>
      <c r="AV10">
        <v>47</v>
      </c>
      <c r="AW10">
        <v>0</v>
      </c>
      <c r="AX10">
        <v>1.25</v>
      </c>
      <c r="AY10">
        <v>0</v>
      </c>
      <c r="AZ10">
        <v>1.25</v>
      </c>
      <c r="BA10">
        <v>0</v>
      </c>
      <c r="BB10">
        <v>0</v>
      </c>
      <c r="BC10">
        <v>0</v>
      </c>
      <c r="BD10">
        <v>0</v>
      </c>
      <c r="BE10">
        <v>0</v>
      </c>
      <c r="BF10">
        <v>480</v>
      </c>
    </row>
    <row r="11" spans="1:58">
      <c r="A11" t="s">
        <v>17496</v>
      </c>
      <c r="B11" t="s">
        <v>17497</v>
      </c>
      <c r="C11">
        <v>0</v>
      </c>
      <c r="D11">
        <v>1</v>
      </c>
      <c r="E11">
        <v>1</v>
      </c>
      <c r="F11">
        <v>1</v>
      </c>
      <c r="G11">
        <v>0</v>
      </c>
      <c r="H11">
        <v>0</v>
      </c>
      <c r="I11">
        <v>0</v>
      </c>
      <c r="J11">
        <v>1</v>
      </c>
      <c r="K11">
        <v>10</v>
      </c>
      <c r="L11">
        <v>0</v>
      </c>
      <c r="M11">
        <v>0</v>
      </c>
      <c r="N11">
        <v>1</v>
      </c>
      <c r="O11">
        <v>0</v>
      </c>
      <c r="P11">
        <v>0</v>
      </c>
      <c r="Q11">
        <v>0</v>
      </c>
      <c r="R11">
        <v>0</v>
      </c>
      <c r="S11">
        <v>1.25</v>
      </c>
      <c r="T11">
        <v>2.75</v>
      </c>
      <c r="U11">
        <v>0.5</v>
      </c>
      <c r="V11">
        <v>4.5</v>
      </c>
      <c r="W11">
        <v>67.5</v>
      </c>
      <c r="X11">
        <v>0</v>
      </c>
      <c r="Y11">
        <v>0</v>
      </c>
      <c r="Z11">
        <v>1</v>
      </c>
      <c r="AA11">
        <v>0</v>
      </c>
      <c r="AB11">
        <v>7.5</v>
      </c>
      <c r="AC11">
        <v>0.75</v>
      </c>
      <c r="AD11">
        <v>0.75</v>
      </c>
      <c r="AE11">
        <v>8.25</v>
      </c>
      <c r="AF11">
        <v>8.25</v>
      </c>
      <c r="AG11">
        <v>78.25</v>
      </c>
      <c r="AH11">
        <v>70</v>
      </c>
      <c r="AI11">
        <v>0</v>
      </c>
      <c r="AJ11">
        <v>0</v>
      </c>
      <c r="AK11">
        <v>0</v>
      </c>
      <c r="AL11">
        <v>0</v>
      </c>
      <c r="AM11">
        <v>0</v>
      </c>
      <c r="AN11">
        <v>1</v>
      </c>
      <c r="AO11">
        <v>0</v>
      </c>
      <c r="AP11">
        <v>0</v>
      </c>
      <c r="AQ11">
        <v>0</v>
      </c>
      <c r="AR11">
        <v>0</v>
      </c>
      <c r="AS11">
        <v>0</v>
      </c>
      <c r="AT11">
        <v>10</v>
      </c>
      <c r="AU11">
        <v>0</v>
      </c>
      <c r="AV11">
        <v>10</v>
      </c>
      <c r="AW11">
        <v>0</v>
      </c>
      <c r="AX11">
        <v>1.25</v>
      </c>
      <c r="AY11">
        <v>0</v>
      </c>
      <c r="AZ11">
        <v>1.25</v>
      </c>
      <c r="BA11">
        <v>0</v>
      </c>
      <c r="BB11">
        <v>2.75</v>
      </c>
      <c r="BC11">
        <v>0</v>
      </c>
      <c r="BD11">
        <v>2.75</v>
      </c>
      <c r="BE11">
        <v>0</v>
      </c>
    </row>
    <row r="12" spans="1:58">
      <c r="A12" t="s">
        <v>19325</v>
      </c>
      <c r="B12" t="s">
        <v>19326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row>
    <row r="13" spans="1:58">
      <c r="A13" t="s">
        <v>16878</v>
      </c>
      <c r="B13" t="s">
        <v>17347</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row>
    <row r="14" spans="1:58">
      <c r="A14" t="s">
        <v>17210</v>
      </c>
      <c r="B14" t="s">
        <v>17211</v>
      </c>
      <c r="C14">
        <v>0</v>
      </c>
      <c r="D14">
        <v>12</v>
      </c>
      <c r="E14">
        <v>11</v>
      </c>
      <c r="F14">
        <v>10</v>
      </c>
      <c r="G14">
        <v>0</v>
      </c>
      <c r="H14">
        <v>0</v>
      </c>
      <c r="I14">
        <v>0</v>
      </c>
      <c r="J14">
        <v>12</v>
      </c>
      <c r="K14">
        <v>136</v>
      </c>
      <c r="L14">
        <v>4</v>
      </c>
      <c r="M14">
        <v>4</v>
      </c>
      <c r="N14">
        <v>2</v>
      </c>
      <c r="O14">
        <v>1</v>
      </c>
      <c r="P14">
        <v>1</v>
      </c>
      <c r="Q14">
        <v>0</v>
      </c>
      <c r="R14">
        <v>0</v>
      </c>
      <c r="S14">
        <v>5.75</v>
      </c>
      <c r="T14">
        <v>2.75</v>
      </c>
      <c r="U14">
        <v>0</v>
      </c>
      <c r="V14">
        <v>8.5</v>
      </c>
      <c r="W14">
        <v>112.5</v>
      </c>
      <c r="X14">
        <v>0</v>
      </c>
      <c r="Y14">
        <v>5</v>
      </c>
      <c r="Z14">
        <v>0</v>
      </c>
      <c r="AA14">
        <v>0</v>
      </c>
      <c r="AB14">
        <v>0</v>
      </c>
      <c r="AC14">
        <v>0</v>
      </c>
      <c r="AD14">
        <v>0</v>
      </c>
      <c r="AE14">
        <v>0</v>
      </c>
      <c r="AF14">
        <v>0</v>
      </c>
      <c r="AG14">
        <v>112.5</v>
      </c>
      <c r="AH14">
        <v>112.5</v>
      </c>
      <c r="AI14">
        <v>0</v>
      </c>
      <c r="AJ14">
        <v>0</v>
      </c>
      <c r="AK14">
        <v>0</v>
      </c>
      <c r="AL14">
        <v>0</v>
      </c>
      <c r="AM14">
        <v>0</v>
      </c>
      <c r="AN14">
        <v>0</v>
      </c>
      <c r="AO14">
        <v>0</v>
      </c>
      <c r="AP14">
        <v>0</v>
      </c>
      <c r="AQ14">
        <v>0</v>
      </c>
      <c r="AR14">
        <v>0</v>
      </c>
      <c r="AS14">
        <v>0</v>
      </c>
      <c r="AT14">
        <v>136</v>
      </c>
      <c r="AU14">
        <v>0</v>
      </c>
      <c r="AV14">
        <v>136</v>
      </c>
      <c r="AW14">
        <v>0</v>
      </c>
      <c r="AX14">
        <v>5.75</v>
      </c>
      <c r="AY14">
        <v>0</v>
      </c>
      <c r="AZ14">
        <v>5.75</v>
      </c>
      <c r="BA14">
        <v>0</v>
      </c>
      <c r="BB14">
        <v>2.75</v>
      </c>
      <c r="BC14">
        <v>0</v>
      </c>
      <c r="BD14">
        <v>2.75</v>
      </c>
      <c r="BE14">
        <v>0</v>
      </c>
      <c r="BF14">
        <v>0</v>
      </c>
    </row>
    <row r="15" spans="1:58">
      <c r="A15" t="s">
        <v>16879</v>
      </c>
      <c r="B15" t="s">
        <v>16880</v>
      </c>
      <c r="C15">
        <v>0</v>
      </c>
      <c r="D15">
        <v>1</v>
      </c>
      <c r="E15">
        <v>1</v>
      </c>
      <c r="F15">
        <v>1</v>
      </c>
      <c r="G15">
        <v>1</v>
      </c>
      <c r="H15">
        <v>0</v>
      </c>
      <c r="I15">
        <v>1</v>
      </c>
      <c r="J15">
        <v>1</v>
      </c>
      <c r="K15">
        <v>13</v>
      </c>
      <c r="L15">
        <v>1</v>
      </c>
      <c r="M15">
        <v>0</v>
      </c>
      <c r="N15">
        <v>0</v>
      </c>
      <c r="O15">
        <v>0</v>
      </c>
      <c r="P15">
        <v>0</v>
      </c>
      <c r="Q15">
        <v>0</v>
      </c>
      <c r="R15">
        <v>0</v>
      </c>
      <c r="S15">
        <v>0.5</v>
      </c>
      <c r="T15">
        <v>0</v>
      </c>
      <c r="U15">
        <v>0</v>
      </c>
      <c r="V15">
        <v>0.5</v>
      </c>
      <c r="W15">
        <v>5</v>
      </c>
      <c r="X15">
        <v>0</v>
      </c>
      <c r="Y15">
        <v>1</v>
      </c>
      <c r="Z15">
        <v>0</v>
      </c>
      <c r="AA15">
        <v>0</v>
      </c>
      <c r="AB15">
        <v>0</v>
      </c>
      <c r="AC15">
        <v>0</v>
      </c>
      <c r="AD15">
        <v>0</v>
      </c>
      <c r="AE15">
        <v>0</v>
      </c>
      <c r="AF15">
        <v>0</v>
      </c>
      <c r="AG15">
        <v>5</v>
      </c>
      <c r="AH15">
        <v>5</v>
      </c>
      <c r="AI15">
        <v>0</v>
      </c>
      <c r="AJ15">
        <v>0</v>
      </c>
      <c r="AK15">
        <v>0</v>
      </c>
      <c r="AL15">
        <v>0</v>
      </c>
      <c r="AM15">
        <v>0</v>
      </c>
      <c r="AN15">
        <v>0</v>
      </c>
      <c r="AO15">
        <v>0</v>
      </c>
      <c r="AP15">
        <v>0</v>
      </c>
      <c r="AQ15">
        <v>0</v>
      </c>
      <c r="AR15">
        <v>0</v>
      </c>
      <c r="AS15">
        <v>0</v>
      </c>
      <c r="AT15">
        <v>13</v>
      </c>
      <c r="AU15">
        <v>0</v>
      </c>
      <c r="AV15">
        <v>13</v>
      </c>
      <c r="AW15">
        <v>0</v>
      </c>
      <c r="AX15">
        <v>0.5</v>
      </c>
      <c r="AY15">
        <v>0</v>
      </c>
      <c r="AZ15">
        <v>0.5</v>
      </c>
      <c r="BA15">
        <v>0</v>
      </c>
      <c r="BB15">
        <v>0</v>
      </c>
      <c r="BC15">
        <v>0</v>
      </c>
      <c r="BD15">
        <v>0</v>
      </c>
      <c r="BE15">
        <v>0</v>
      </c>
      <c r="BF15">
        <v>0</v>
      </c>
    </row>
    <row r="16" spans="1:58">
      <c r="A16" t="s">
        <v>16881</v>
      </c>
      <c r="B16" t="s">
        <v>16882</v>
      </c>
      <c r="C16">
        <v>4</v>
      </c>
      <c r="D16">
        <v>7</v>
      </c>
      <c r="E16">
        <v>7</v>
      </c>
      <c r="F16">
        <v>3</v>
      </c>
      <c r="G16">
        <v>0</v>
      </c>
      <c r="H16">
        <v>1</v>
      </c>
      <c r="I16">
        <v>0</v>
      </c>
      <c r="J16">
        <v>7</v>
      </c>
      <c r="K16">
        <v>79</v>
      </c>
      <c r="L16">
        <v>5</v>
      </c>
      <c r="M16">
        <v>2</v>
      </c>
      <c r="N16">
        <v>0</v>
      </c>
      <c r="O16">
        <v>0</v>
      </c>
      <c r="P16">
        <v>1</v>
      </c>
      <c r="Q16">
        <v>7</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79</v>
      </c>
      <c r="AU16">
        <v>15</v>
      </c>
      <c r="AV16">
        <v>37</v>
      </c>
      <c r="AW16">
        <v>27</v>
      </c>
      <c r="AX16">
        <v>0</v>
      </c>
      <c r="AY16">
        <v>0</v>
      </c>
      <c r="AZ16">
        <v>0</v>
      </c>
      <c r="BA16">
        <v>0</v>
      </c>
      <c r="BB16">
        <v>0</v>
      </c>
      <c r="BC16">
        <v>0</v>
      </c>
      <c r="BD16">
        <v>0</v>
      </c>
      <c r="BE16">
        <v>0</v>
      </c>
    </row>
    <row r="17" spans="1:58">
      <c r="A17" t="s">
        <v>16881</v>
      </c>
      <c r="B17" t="s">
        <v>16882</v>
      </c>
      <c r="C17">
        <v>1</v>
      </c>
      <c r="D17">
        <v>4</v>
      </c>
      <c r="E17">
        <v>4</v>
      </c>
      <c r="F17">
        <v>0</v>
      </c>
      <c r="G17">
        <v>0</v>
      </c>
      <c r="H17">
        <v>4</v>
      </c>
      <c r="I17">
        <v>2</v>
      </c>
      <c r="J17">
        <v>4</v>
      </c>
      <c r="K17">
        <v>43</v>
      </c>
      <c r="L17">
        <v>0</v>
      </c>
      <c r="M17">
        <v>2</v>
      </c>
      <c r="N17">
        <v>0</v>
      </c>
      <c r="O17">
        <v>0</v>
      </c>
      <c r="P17">
        <v>0</v>
      </c>
      <c r="Q17">
        <v>2</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43</v>
      </c>
      <c r="AU17">
        <v>43</v>
      </c>
      <c r="AV17">
        <v>0</v>
      </c>
      <c r="AW17">
        <v>3</v>
      </c>
      <c r="AX17">
        <v>0</v>
      </c>
      <c r="AY17">
        <v>0</v>
      </c>
      <c r="AZ17">
        <v>0</v>
      </c>
      <c r="BA17">
        <v>0</v>
      </c>
      <c r="BB17">
        <v>0</v>
      </c>
      <c r="BC17">
        <v>0</v>
      </c>
      <c r="BD17">
        <v>0</v>
      </c>
      <c r="BE17">
        <v>0</v>
      </c>
      <c r="BF17">
        <v>5</v>
      </c>
    </row>
    <row r="18" spans="1:58">
      <c r="A18" t="s">
        <v>19327</v>
      </c>
      <c r="B18" t="s">
        <v>19328</v>
      </c>
      <c r="C18">
        <v>0</v>
      </c>
      <c r="D18">
        <v>22</v>
      </c>
      <c r="E18">
        <v>0</v>
      </c>
      <c r="F18">
        <v>22</v>
      </c>
      <c r="G18">
        <v>0</v>
      </c>
      <c r="H18">
        <v>0</v>
      </c>
      <c r="I18">
        <v>0</v>
      </c>
      <c r="J18">
        <v>20</v>
      </c>
      <c r="K18">
        <v>778</v>
      </c>
      <c r="L18">
        <v>13</v>
      </c>
      <c r="M18">
        <v>7</v>
      </c>
      <c r="N18">
        <v>0</v>
      </c>
      <c r="O18">
        <v>0</v>
      </c>
      <c r="P18">
        <v>0</v>
      </c>
      <c r="Q18">
        <v>0</v>
      </c>
      <c r="R18">
        <v>0</v>
      </c>
      <c r="S18">
        <v>5.5</v>
      </c>
      <c r="T18">
        <v>0</v>
      </c>
      <c r="U18">
        <v>0</v>
      </c>
      <c r="V18">
        <v>4.75</v>
      </c>
      <c r="W18">
        <v>47.5</v>
      </c>
      <c r="X18">
        <v>0</v>
      </c>
      <c r="Y18">
        <v>19</v>
      </c>
      <c r="Z18">
        <v>0</v>
      </c>
      <c r="AA18">
        <v>0</v>
      </c>
      <c r="AB18">
        <v>0</v>
      </c>
      <c r="AC18">
        <v>2.19</v>
      </c>
      <c r="AD18">
        <v>0</v>
      </c>
      <c r="AE18">
        <v>15</v>
      </c>
      <c r="AF18">
        <v>0</v>
      </c>
      <c r="AG18">
        <v>43.49</v>
      </c>
      <c r="AH18">
        <v>38</v>
      </c>
      <c r="AI18">
        <v>0</v>
      </c>
      <c r="AJ18">
        <v>0</v>
      </c>
      <c r="AK18">
        <v>0</v>
      </c>
      <c r="AL18">
        <v>0</v>
      </c>
      <c r="AM18">
        <v>0</v>
      </c>
      <c r="AN18">
        <v>2</v>
      </c>
      <c r="AO18">
        <v>0</v>
      </c>
      <c r="AP18">
        <v>0</v>
      </c>
      <c r="AQ18">
        <v>0</v>
      </c>
      <c r="AR18">
        <v>0</v>
      </c>
      <c r="AS18">
        <v>0</v>
      </c>
      <c r="AT18">
        <v>428</v>
      </c>
      <c r="AU18">
        <v>0</v>
      </c>
      <c r="AV18">
        <v>428</v>
      </c>
      <c r="AW18">
        <v>0</v>
      </c>
      <c r="AX18">
        <v>4.25</v>
      </c>
      <c r="AY18">
        <v>0</v>
      </c>
      <c r="AZ18">
        <v>4.25</v>
      </c>
      <c r="BA18">
        <v>0</v>
      </c>
      <c r="BB18">
        <v>0</v>
      </c>
      <c r="BC18">
        <v>0</v>
      </c>
      <c r="BD18">
        <v>0</v>
      </c>
      <c r="BE18">
        <v>0</v>
      </c>
      <c r="BF18">
        <v>895</v>
      </c>
    </row>
    <row r="19" spans="1:58">
      <c r="A19" t="s">
        <v>17212</v>
      </c>
      <c r="B19" t="s">
        <v>17213</v>
      </c>
      <c r="C19">
        <v>1</v>
      </c>
      <c r="D19">
        <v>16</v>
      </c>
      <c r="E19">
        <v>0</v>
      </c>
      <c r="F19">
        <v>16</v>
      </c>
      <c r="G19">
        <v>0</v>
      </c>
      <c r="H19">
        <v>0</v>
      </c>
      <c r="I19">
        <v>0</v>
      </c>
      <c r="J19">
        <v>15</v>
      </c>
      <c r="K19">
        <v>208</v>
      </c>
      <c r="L19">
        <v>8</v>
      </c>
      <c r="M19">
        <v>0</v>
      </c>
      <c r="N19">
        <v>1</v>
      </c>
      <c r="O19">
        <v>4</v>
      </c>
      <c r="P19">
        <v>0</v>
      </c>
      <c r="Q19">
        <v>2</v>
      </c>
      <c r="R19">
        <v>0</v>
      </c>
      <c r="S19">
        <v>82.15</v>
      </c>
      <c r="T19">
        <v>83</v>
      </c>
      <c r="U19">
        <v>0</v>
      </c>
      <c r="V19">
        <v>165.15</v>
      </c>
      <c r="W19" s="20">
        <v>2461.5</v>
      </c>
      <c r="X19">
        <v>0</v>
      </c>
      <c r="Y19">
        <v>8</v>
      </c>
      <c r="Z19">
        <v>2</v>
      </c>
      <c r="AA19">
        <v>-20</v>
      </c>
      <c r="AB19" s="20">
        <v>2240</v>
      </c>
      <c r="AC19">
        <v>133.75</v>
      </c>
      <c r="AD19">
        <v>78.75</v>
      </c>
      <c r="AE19">
        <v>92.75</v>
      </c>
      <c r="AF19" s="20">
        <v>2318.75</v>
      </c>
      <c r="AG19" s="20">
        <v>2595.25</v>
      </c>
      <c r="AH19" s="20">
        <v>2502.5</v>
      </c>
      <c r="AI19">
        <v>0</v>
      </c>
      <c r="AJ19">
        <v>0</v>
      </c>
      <c r="AK19">
        <v>0</v>
      </c>
      <c r="AL19">
        <v>0</v>
      </c>
      <c r="AM19">
        <v>0</v>
      </c>
      <c r="AN19">
        <v>2</v>
      </c>
      <c r="AO19">
        <v>1</v>
      </c>
      <c r="AP19">
        <v>0</v>
      </c>
      <c r="AQ19">
        <v>0</v>
      </c>
      <c r="AR19">
        <v>0</v>
      </c>
      <c r="AS19">
        <v>0</v>
      </c>
      <c r="AT19">
        <v>208</v>
      </c>
      <c r="AU19">
        <v>0</v>
      </c>
      <c r="AV19">
        <v>200</v>
      </c>
      <c r="AW19">
        <v>8</v>
      </c>
      <c r="AX19">
        <v>82.15</v>
      </c>
      <c r="AY19">
        <v>0</v>
      </c>
      <c r="AZ19">
        <v>80.150000000000006</v>
      </c>
      <c r="BA19">
        <v>2</v>
      </c>
      <c r="BB19">
        <v>83</v>
      </c>
      <c r="BC19">
        <v>0</v>
      </c>
      <c r="BD19">
        <v>83</v>
      </c>
      <c r="BE19">
        <v>0</v>
      </c>
      <c r="BF19">
        <v>0</v>
      </c>
    </row>
    <row r="20" spans="1:58">
      <c r="A20" t="s">
        <v>19329</v>
      </c>
      <c r="B20" t="s">
        <v>19330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row>
    <row r="21" spans="1:58">
      <c r="A21" t="s">
        <v>16883</v>
      </c>
      <c r="B21" t="s">
        <v>17348</v>
      </c>
      <c r="C21">
        <v>0</v>
      </c>
      <c r="D21">
        <v>6</v>
      </c>
      <c r="E21">
        <v>6</v>
      </c>
      <c r="F21">
        <v>6</v>
      </c>
      <c r="G21">
        <v>1</v>
      </c>
      <c r="H21">
        <v>0</v>
      </c>
      <c r="I21">
        <v>0</v>
      </c>
      <c r="J21">
        <v>6</v>
      </c>
      <c r="K21">
        <v>35</v>
      </c>
      <c r="L21">
        <v>5</v>
      </c>
      <c r="M21">
        <v>0</v>
      </c>
      <c r="N21">
        <v>0</v>
      </c>
      <c r="O21">
        <v>0</v>
      </c>
      <c r="P21">
        <v>0</v>
      </c>
      <c r="Q21">
        <v>1</v>
      </c>
      <c r="R21">
        <v>0</v>
      </c>
      <c r="S21">
        <v>14.5</v>
      </c>
      <c r="T21">
        <v>0</v>
      </c>
      <c r="U21">
        <v>0</v>
      </c>
      <c r="V21">
        <v>14.5</v>
      </c>
      <c r="W21">
        <v>145</v>
      </c>
      <c r="X21">
        <v>0</v>
      </c>
      <c r="Y21">
        <v>5</v>
      </c>
      <c r="Z21">
        <v>0</v>
      </c>
      <c r="AA21">
        <v>0</v>
      </c>
      <c r="AB21">
        <v>10</v>
      </c>
      <c r="AC21">
        <v>3</v>
      </c>
      <c r="AD21">
        <v>3</v>
      </c>
      <c r="AE21">
        <v>13</v>
      </c>
      <c r="AF21">
        <v>13</v>
      </c>
      <c r="AG21">
        <v>148</v>
      </c>
      <c r="AH21">
        <v>135</v>
      </c>
      <c r="AI21">
        <v>0</v>
      </c>
      <c r="AJ21">
        <v>0</v>
      </c>
      <c r="AK21">
        <v>0</v>
      </c>
      <c r="AL21">
        <v>0</v>
      </c>
      <c r="AM21">
        <v>0</v>
      </c>
      <c r="AN21">
        <v>2</v>
      </c>
      <c r="AO21">
        <v>0</v>
      </c>
      <c r="AP21">
        <v>0</v>
      </c>
      <c r="AQ21">
        <v>0</v>
      </c>
      <c r="AR21">
        <v>0</v>
      </c>
      <c r="AS21">
        <v>0</v>
      </c>
      <c r="AT21">
        <v>35</v>
      </c>
      <c r="AU21">
        <v>0</v>
      </c>
      <c r="AV21">
        <v>35</v>
      </c>
      <c r="AW21">
        <v>0</v>
      </c>
      <c r="AX21">
        <v>14.5</v>
      </c>
      <c r="AY21">
        <v>0</v>
      </c>
      <c r="AZ21">
        <v>14.5</v>
      </c>
      <c r="BA21">
        <v>0</v>
      </c>
      <c r="BB21">
        <v>0</v>
      </c>
      <c r="BC21">
        <v>0</v>
      </c>
      <c r="BD21">
        <v>0</v>
      </c>
      <c r="BE21">
        <v>0</v>
      </c>
      <c r="BF21">
        <v>0</v>
      </c>
    </row>
    <row r="22" spans="1:58">
      <c r="A22" t="s">
        <v>17214</v>
      </c>
      <c r="B22" t="s">
        <v>17215</v>
      </c>
      <c r="C22">
        <v>2</v>
      </c>
      <c r="D22">
        <v>2</v>
      </c>
      <c r="E22">
        <v>2</v>
      </c>
      <c r="F22">
        <v>2</v>
      </c>
      <c r="G22">
        <v>2</v>
      </c>
      <c r="H22">
        <v>2</v>
      </c>
      <c r="I22">
        <v>2</v>
      </c>
      <c r="J22">
        <v>2</v>
      </c>
      <c r="K22">
        <v>19</v>
      </c>
      <c r="L22">
        <v>2</v>
      </c>
      <c r="M22">
        <v>0</v>
      </c>
      <c r="N22">
        <v>0</v>
      </c>
      <c r="O22">
        <v>0</v>
      </c>
      <c r="P22">
        <v>0</v>
      </c>
      <c r="Q22">
        <v>0</v>
      </c>
      <c r="R22">
        <v>0</v>
      </c>
      <c r="S22">
        <v>1.75</v>
      </c>
      <c r="T22">
        <v>1.25</v>
      </c>
      <c r="U22">
        <v>1.75</v>
      </c>
      <c r="V22">
        <v>1.75</v>
      </c>
      <c r="W22">
        <v>3.5</v>
      </c>
      <c r="X22">
        <v>0</v>
      </c>
      <c r="Y22">
        <v>0</v>
      </c>
      <c r="Z22">
        <v>0</v>
      </c>
      <c r="AA22">
        <v>0</v>
      </c>
      <c r="AB22">
        <v>0</v>
      </c>
      <c r="AC22">
        <v>3.5</v>
      </c>
      <c r="AD22">
        <v>3.5</v>
      </c>
      <c r="AE22">
        <v>3.5</v>
      </c>
      <c r="AF22">
        <v>3.5</v>
      </c>
      <c r="AG22">
        <v>3.5</v>
      </c>
      <c r="AH22">
        <v>0</v>
      </c>
      <c r="AI22">
        <v>0</v>
      </c>
      <c r="AJ22">
        <v>3.5</v>
      </c>
      <c r="AK22">
        <v>3.5</v>
      </c>
      <c r="AL22">
        <v>0</v>
      </c>
      <c r="AM22">
        <v>2</v>
      </c>
      <c r="AN22">
        <v>0</v>
      </c>
      <c r="AO22">
        <v>0</v>
      </c>
      <c r="AP22">
        <v>0</v>
      </c>
      <c r="AQ22">
        <v>0</v>
      </c>
      <c r="AR22">
        <v>0</v>
      </c>
      <c r="AS22">
        <v>0</v>
      </c>
      <c r="AT22">
        <v>2</v>
      </c>
      <c r="AU22">
        <v>2</v>
      </c>
      <c r="AV22">
        <v>2</v>
      </c>
      <c r="AW22">
        <v>2</v>
      </c>
      <c r="AX22">
        <v>1.75</v>
      </c>
      <c r="AY22">
        <v>0</v>
      </c>
      <c r="AZ22">
        <v>0</v>
      </c>
      <c r="BA22">
        <v>0</v>
      </c>
      <c r="BB22">
        <v>1.75</v>
      </c>
      <c r="BC22">
        <v>1.75</v>
      </c>
      <c r="BD22">
        <v>1.75</v>
      </c>
      <c r="BE22">
        <v>1.75</v>
      </c>
      <c r="BF22">
        <v>0</v>
      </c>
    </row>
    <row r="23" spans="1:58">
      <c r="A23" t="s">
        <v>16884</v>
      </c>
      <c r="B23" t="s">
        <v>16885</v>
      </c>
      <c r="C23">
        <v>0</v>
      </c>
      <c r="D23">
        <v>20</v>
      </c>
      <c r="E23">
        <v>20</v>
      </c>
      <c r="F23">
        <v>20</v>
      </c>
      <c r="G23">
        <v>0</v>
      </c>
      <c r="H23">
        <v>2</v>
      </c>
      <c r="I23">
        <v>0</v>
      </c>
      <c r="J23">
        <v>20</v>
      </c>
      <c r="K23">
        <v>146</v>
      </c>
      <c r="L23">
        <v>7</v>
      </c>
      <c r="M23">
        <v>0</v>
      </c>
      <c r="N23">
        <v>0</v>
      </c>
      <c r="O23">
        <v>10</v>
      </c>
      <c r="P23">
        <v>0</v>
      </c>
      <c r="Q23">
        <v>3</v>
      </c>
      <c r="R23">
        <v>0</v>
      </c>
      <c r="S23">
        <v>9.75</v>
      </c>
      <c r="T23">
        <v>4</v>
      </c>
      <c r="U23">
        <v>0</v>
      </c>
      <c r="V23">
        <v>13.75</v>
      </c>
      <c r="W23">
        <v>177.5</v>
      </c>
      <c r="X23">
        <v>0</v>
      </c>
      <c r="Y23">
        <v>7</v>
      </c>
      <c r="Z23">
        <v>0</v>
      </c>
      <c r="AA23">
        <v>0</v>
      </c>
      <c r="AB23">
        <v>25</v>
      </c>
      <c r="AC23">
        <v>117.75</v>
      </c>
      <c r="AD23">
        <v>117.75</v>
      </c>
      <c r="AE23">
        <v>142.75</v>
      </c>
      <c r="AF23">
        <v>142.75</v>
      </c>
      <c r="AG23">
        <v>295.25</v>
      </c>
      <c r="AH23">
        <v>152.5</v>
      </c>
      <c r="AI23">
        <v>28</v>
      </c>
      <c r="AJ23">
        <v>28</v>
      </c>
      <c r="AK23">
        <v>58</v>
      </c>
      <c r="AL23">
        <v>30</v>
      </c>
      <c r="AM23">
        <v>2</v>
      </c>
      <c r="AN23">
        <v>3</v>
      </c>
      <c r="AO23">
        <v>1</v>
      </c>
      <c r="AP23">
        <v>0</v>
      </c>
      <c r="AQ23">
        <v>0</v>
      </c>
      <c r="AR23">
        <v>0</v>
      </c>
      <c r="AS23">
        <v>0</v>
      </c>
      <c r="AT23">
        <v>146</v>
      </c>
      <c r="AU23">
        <v>47</v>
      </c>
      <c r="AV23">
        <v>99</v>
      </c>
      <c r="AW23">
        <v>0</v>
      </c>
      <c r="AX23">
        <v>9.75</v>
      </c>
      <c r="AY23">
        <v>3</v>
      </c>
      <c r="AZ23">
        <v>6.75</v>
      </c>
      <c r="BA23">
        <v>0</v>
      </c>
      <c r="BB23">
        <v>4</v>
      </c>
      <c r="BC23">
        <v>0.5</v>
      </c>
      <c r="BD23">
        <v>3.5</v>
      </c>
      <c r="BE23">
        <v>0</v>
      </c>
      <c r="BF23">
        <v>413</v>
      </c>
    </row>
    <row r="24" spans="1:58">
      <c r="A24" t="s">
        <v>17352</v>
      </c>
      <c r="B24" t="s">
        <v>17353</v>
      </c>
      <c r="C24">
        <v>0</v>
      </c>
      <c r="D24">
        <v>4</v>
      </c>
      <c r="E24">
        <v>0</v>
      </c>
      <c r="F24">
        <v>4</v>
      </c>
      <c r="G24">
        <v>0</v>
      </c>
      <c r="H24">
        <v>0</v>
      </c>
      <c r="I24">
        <v>0</v>
      </c>
      <c r="J24">
        <v>4</v>
      </c>
      <c r="K24">
        <v>81</v>
      </c>
      <c r="L24">
        <v>1</v>
      </c>
      <c r="M24">
        <v>2</v>
      </c>
      <c r="N24">
        <v>0</v>
      </c>
      <c r="O24">
        <v>1</v>
      </c>
      <c r="P24">
        <v>0</v>
      </c>
      <c r="Q24">
        <v>0</v>
      </c>
      <c r="R24">
        <v>0</v>
      </c>
      <c r="S24">
        <v>0.25</v>
      </c>
      <c r="T24">
        <v>0</v>
      </c>
      <c r="U24">
        <v>0</v>
      </c>
      <c r="V24">
        <v>0.25</v>
      </c>
      <c r="W24">
        <v>2.5</v>
      </c>
      <c r="X24">
        <v>0</v>
      </c>
      <c r="Y24">
        <v>1</v>
      </c>
      <c r="Z24">
        <v>0</v>
      </c>
      <c r="AA24">
        <v>0</v>
      </c>
      <c r="AB24">
        <v>0</v>
      </c>
      <c r="AC24">
        <v>0</v>
      </c>
      <c r="AD24">
        <v>0</v>
      </c>
      <c r="AE24">
        <v>0</v>
      </c>
      <c r="AF24">
        <v>0</v>
      </c>
      <c r="AG24">
        <v>2.5</v>
      </c>
      <c r="AH24">
        <v>2.5</v>
      </c>
      <c r="AI24">
        <v>0</v>
      </c>
      <c r="AJ24">
        <v>0</v>
      </c>
      <c r="AK24">
        <v>0</v>
      </c>
      <c r="AL24">
        <v>0</v>
      </c>
      <c r="AM24">
        <v>0</v>
      </c>
      <c r="AN24">
        <v>0</v>
      </c>
      <c r="AO24">
        <v>0</v>
      </c>
      <c r="AP24">
        <v>0</v>
      </c>
      <c r="AQ24">
        <v>0</v>
      </c>
      <c r="AR24">
        <v>0</v>
      </c>
      <c r="AS24">
        <v>0</v>
      </c>
      <c r="AT24">
        <v>81</v>
      </c>
      <c r="AU24">
        <v>0</v>
      </c>
      <c r="AV24">
        <v>81</v>
      </c>
      <c r="AW24">
        <v>0</v>
      </c>
      <c r="AX24">
        <v>0.25</v>
      </c>
      <c r="AY24">
        <v>0</v>
      </c>
      <c r="AZ24">
        <v>0.25</v>
      </c>
      <c r="BA24">
        <v>0</v>
      </c>
      <c r="BB24">
        <v>0</v>
      </c>
      <c r="BC24">
        <v>0</v>
      </c>
      <c r="BD24">
        <v>0</v>
      </c>
      <c r="BE24">
        <v>0</v>
      </c>
      <c r="BF24">
        <v>2</v>
      </c>
    </row>
    <row r="25" spans="1:58">
      <c r="A25" t="s">
        <v>17216</v>
      </c>
      <c r="B25" t="s">
        <v>17217</v>
      </c>
      <c r="C25">
        <v>0</v>
      </c>
      <c r="D25">
        <v>11</v>
      </c>
      <c r="E25">
        <v>10</v>
      </c>
      <c r="F25">
        <v>7</v>
      </c>
      <c r="G25">
        <v>2</v>
      </c>
      <c r="H25">
        <v>2</v>
      </c>
      <c r="I25">
        <v>0</v>
      </c>
      <c r="J25">
        <v>10</v>
      </c>
      <c r="K25">
        <v>114</v>
      </c>
      <c r="L25">
        <v>6</v>
      </c>
      <c r="M25">
        <v>0</v>
      </c>
      <c r="N25">
        <v>2</v>
      </c>
      <c r="O25">
        <v>2</v>
      </c>
      <c r="P25">
        <v>0</v>
      </c>
      <c r="Q25">
        <v>0</v>
      </c>
      <c r="R25">
        <v>0</v>
      </c>
      <c r="S25">
        <v>24.25</v>
      </c>
      <c r="T25">
        <v>20.5</v>
      </c>
      <c r="U25">
        <v>1</v>
      </c>
      <c r="V25">
        <v>45.75</v>
      </c>
      <c r="W25">
        <v>652.5</v>
      </c>
      <c r="X25">
        <v>0</v>
      </c>
      <c r="Y25">
        <v>8</v>
      </c>
      <c r="Z25">
        <v>0</v>
      </c>
      <c r="AA25">
        <v>0</v>
      </c>
      <c r="AB25">
        <v>500</v>
      </c>
      <c r="AC25">
        <v>785.6</v>
      </c>
      <c r="AD25">
        <v>785.6</v>
      </c>
      <c r="AE25">
        <v>460.1</v>
      </c>
      <c r="AF25" s="20">
        <v>1285.5999999999999</v>
      </c>
      <c r="AG25" s="20">
        <v>1458.1</v>
      </c>
      <c r="AH25">
        <v>998</v>
      </c>
      <c r="AI25">
        <v>388.6</v>
      </c>
      <c r="AJ25">
        <v>388.6</v>
      </c>
      <c r="AK25">
        <v>448.6</v>
      </c>
      <c r="AL25">
        <v>60</v>
      </c>
      <c r="AM25">
        <v>2</v>
      </c>
      <c r="AN25">
        <v>3</v>
      </c>
      <c r="AO25">
        <v>0</v>
      </c>
      <c r="AP25">
        <v>1</v>
      </c>
      <c r="AQ25">
        <v>0</v>
      </c>
      <c r="AR25">
        <v>0</v>
      </c>
      <c r="AS25">
        <v>0</v>
      </c>
      <c r="AT25">
        <v>114</v>
      </c>
      <c r="AU25">
        <v>37</v>
      </c>
      <c r="AV25">
        <v>77</v>
      </c>
      <c r="AW25">
        <v>0</v>
      </c>
      <c r="AX25">
        <v>24.25</v>
      </c>
      <c r="AY25">
        <v>1</v>
      </c>
      <c r="AZ25">
        <v>23.25</v>
      </c>
      <c r="BA25">
        <v>0</v>
      </c>
      <c r="BB25">
        <v>20.5</v>
      </c>
      <c r="BC25">
        <v>17</v>
      </c>
      <c r="BD25">
        <v>3.5</v>
      </c>
      <c r="BE25">
        <v>0</v>
      </c>
      <c r="BF25">
        <v>11</v>
      </c>
    </row>
    <row r="26" spans="1:58">
      <c r="A26" t="s">
        <v>17218</v>
      </c>
      <c r="B26" t="s">
        <v>18786</v>
      </c>
      <c r="C26">
        <v>0</v>
      </c>
      <c r="D26">
        <v>15</v>
      </c>
      <c r="E26">
        <v>14</v>
      </c>
      <c r="F26">
        <v>15</v>
      </c>
      <c r="G26">
        <v>2</v>
      </c>
      <c r="H26">
        <v>1</v>
      </c>
      <c r="I26">
        <v>1</v>
      </c>
      <c r="J26">
        <v>15</v>
      </c>
      <c r="K26">
        <v>103</v>
      </c>
      <c r="L26">
        <v>7</v>
      </c>
      <c r="M26">
        <v>2</v>
      </c>
      <c r="N26">
        <v>2</v>
      </c>
      <c r="O26">
        <v>1</v>
      </c>
      <c r="P26">
        <v>3</v>
      </c>
      <c r="Q26">
        <v>0</v>
      </c>
      <c r="R26">
        <v>0</v>
      </c>
      <c r="S26">
        <v>6.25</v>
      </c>
      <c r="T26">
        <v>0</v>
      </c>
      <c r="U26">
        <v>2</v>
      </c>
      <c r="V26">
        <v>8.25</v>
      </c>
      <c r="W26">
        <v>62.5</v>
      </c>
      <c r="X26">
        <v>0</v>
      </c>
      <c r="Y26">
        <v>11</v>
      </c>
      <c r="Z26">
        <v>0</v>
      </c>
      <c r="AA26">
        <v>0</v>
      </c>
      <c r="AB26">
        <v>0</v>
      </c>
      <c r="AC26">
        <v>10</v>
      </c>
      <c r="AD26">
        <v>10</v>
      </c>
      <c r="AE26">
        <v>10</v>
      </c>
      <c r="AF26">
        <v>10</v>
      </c>
      <c r="AG26">
        <v>102.5</v>
      </c>
      <c r="AH26">
        <v>97.5</v>
      </c>
      <c r="AI26">
        <v>0</v>
      </c>
      <c r="AJ26">
        <v>0</v>
      </c>
      <c r="AK26">
        <v>0</v>
      </c>
      <c r="AL26">
        <v>0</v>
      </c>
      <c r="AM26">
        <v>0</v>
      </c>
      <c r="AN26">
        <v>1</v>
      </c>
      <c r="AO26">
        <v>0</v>
      </c>
      <c r="AP26">
        <v>0</v>
      </c>
      <c r="AQ26">
        <v>0</v>
      </c>
      <c r="AR26">
        <v>0</v>
      </c>
      <c r="AS26">
        <v>0</v>
      </c>
      <c r="AT26">
        <v>103</v>
      </c>
      <c r="AU26">
        <v>23</v>
      </c>
      <c r="AV26">
        <v>80</v>
      </c>
      <c r="AW26">
        <v>0</v>
      </c>
      <c r="AX26">
        <v>6.25</v>
      </c>
      <c r="AY26">
        <v>0</v>
      </c>
      <c r="AZ26">
        <v>6.25</v>
      </c>
      <c r="BA26">
        <v>0</v>
      </c>
      <c r="BB26">
        <v>0</v>
      </c>
      <c r="BC26">
        <v>0</v>
      </c>
      <c r="BD26">
        <v>0</v>
      </c>
      <c r="BE26">
        <v>0</v>
      </c>
      <c r="BF26">
        <v>75</v>
      </c>
    </row>
    <row r="27" spans="1:58">
      <c r="A27" t="s">
        <v>16886</v>
      </c>
      <c r="B27" t="s">
        <v>18787</v>
      </c>
      <c r="C27">
        <v>27</v>
      </c>
      <c r="D27">
        <v>27</v>
      </c>
      <c r="E27">
        <v>27</v>
      </c>
      <c r="F27">
        <v>27</v>
      </c>
      <c r="G27">
        <v>0</v>
      </c>
      <c r="H27">
        <v>0</v>
      </c>
      <c r="I27">
        <v>0</v>
      </c>
      <c r="J27">
        <v>27</v>
      </c>
      <c r="K27">
        <v>573</v>
      </c>
      <c r="L27">
        <v>20</v>
      </c>
      <c r="M27">
        <v>0</v>
      </c>
      <c r="N27">
        <v>2</v>
      </c>
      <c r="O27">
        <v>3</v>
      </c>
      <c r="P27">
        <v>2</v>
      </c>
      <c r="Q27">
        <v>0</v>
      </c>
      <c r="R27">
        <v>0</v>
      </c>
      <c r="S27">
        <v>64</v>
      </c>
      <c r="T27">
        <v>57.5</v>
      </c>
      <c r="U27">
        <v>0</v>
      </c>
      <c r="V27">
        <v>121.5</v>
      </c>
      <c r="W27">
        <v>0</v>
      </c>
      <c r="X27">
        <v>3</v>
      </c>
      <c r="Y27">
        <v>0</v>
      </c>
      <c r="Z27">
        <v>0</v>
      </c>
      <c r="AA27" s="20">
        <v>-1665</v>
      </c>
      <c r="AB27">
        <v>0</v>
      </c>
      <c r="AC27">
        <v>401.65</v>
      </c>
      <c r="AD27">
        <v>401.65</v>
      </c>
      <c r="AE27">
        <v>446.65</v>
      </c>
      <c r="AF27">
        <v>401.65</v>
      </c>
      <c r="AG27">
        <v>404.65</v>
      </c>
      <c r="AH27">
        <v>3</v>
      </c>
      <c r="AI27">
        <v>0</v>
      </c>
      <c r="AJ27">
        <v>0</v>
      </c>
      <c r="AK27">
        <v>0</v>
      </c>
      <c r="AL27">
        <v>0</v>
      </c>
      <c r="AM27">
        <v>4</v>
      </c>
      <c r="AN27">
        <v>4</v>
      </c>
      <c r="AO27">
        <v>0</v>
      </c>
      <c r="AP27">
        <v>2</v>
      </c>
      <c r="AQ27">
        <v>0</v>
      </c>
      <c r="AR27">
        <v>0</v>
      </c>
      <c r="AS27">
        <v>0</v>
      </c>
      <c r="AT27">
        <v>573</v>
      </c>
      <c r="AU27">
        <v>0</v>
      </c>
      <c r="AV27">
        <v>0</v>
      </c>
      <c r="AW27">
        <v>573</v>
      </c>
      <c r="AX27">
        <v>64</v>
      </c>
      <c r="AY27">
        <v>0</v>
      </c>
      <c r="AZ27">
        <v>0</v>
      </c>
      <c r="BA27">
        <v>64</v>
      </c>
      <c r="BB27">
        <v>57.5</v>
      </c>
      <c r="BC27">
        <v>0</v>
      </c>
      <c r="BD27">
        <v>0</v>
      </c>
      <c r="BE27">
        <v>57.5</v>
      </c>
      <c r="BF27">
        <v>10</v>
      </c>
    </row>
    <row r="28" spans="1:58">
      <c r="A28" t="s">
        <v>16887</v>
      </c>
      <c r="B28" t="s">
        <v>17354</v>
      </c>
      <c r="C28">
        <v>0</v>
      </c>
      <c r="D28">
        <v>3</v>
      </c>
      <c r="E28">
        <v>3</v>
      </c>
      <c r="F28">
        <v>3</v>
      </c>
      <c r="G28">
        <v>0</v>
      </c>
      <c r="H28">
        <v>1</v>
      </c>
      <c r="I28">
        <v>0</v>
      </c>
      <c r="J28">
        <v>3</v>
      </c>
      <c r="K28">
        <v>27</v>
      </c>
      <c r="L28">
        <v>3</v>
      </c>
      <c r="M28">
        <v>0</v>
      </c>
      <c r="N28">
        <v>0</v>
      </c>
      <c r="O28">
        <v>0</v>
      </c>
      <c r="P28">
        <v>0</v>
      </c>
      <c r="Q28">
        <v>0</v>
      </c>
      <c r="R28">
        <v>0</v>
      </c>
      <c r="S28">
        <v>2</v>
      </c>
      <c r="T28">
        <v>0.75</v>
      </c>
      <c r="U28">
        <v>1.5</v>
      </c>
      <c r="V28">
        <v>4.25</v>
      </c>
      <c r="W28">
        <v>35</v>
      </c>
      <c r="X28">
        <v>0</v>
      </c>
      <c r="Y28">
        <v>1</v>
      </c>
      <c r="Z28">
        <v>0</v>
      </c>
      <c r="AA28">
        <v>0</v>
      </c>
      <c r="AB28">
        <v>0</v>
      </c>
      <c r="AC28">
        <v>26.64</v>
      </c>
      <c r="AD28">
        <v>26.64</v>
      </c>
      <c r="AE28">
        <v>46.64</v>
      </c>
      <c r="AF28">
        <v>26.64</v>
      </c>
      <c r="AG28">
        <v>91.64</v>
      </c>
      <c r="AH28">
        <v>32.5</v>
      </c>
      <c r="AI28">
        <v>44</v>
      </c>
      <c r="AJ28">
        <v>24</v>
      </c>
      <c r="AK28">
        <v>64</v>
      </c>
      <c r="AL28">
        <v>20</v>
      </c>
      <c r="AM28">
        <v>1</v>
      </c>
      <c r="AN28">
        <v>1</v>
      </c>
      <c r="AO28">
        <v>0</v>
      </c>
      <c r="AP28">
        <v>0</v>
      </c>
      <c r="AQ28">
        <v>0</v>
      </c>
      <c r="AR28">
        <v>0</v>
      </c>
      <c r="AS28">
        <v>0</v>
      </c>
      <c r="AT28">
        <v>27</v>
      </c>
      <c r="AU28">
        <v>16</v>
      </c>
      <c r="AV28">
        <v>11</v>
      </c>
      <c r="AW28">
        <v>0</v>
      </c>
      <c r="AX28">
        <v>2</v>
      </c>
      <c r="AY28">
        <v>1.5</v>
      </c>
      <c r="AZ28">
        <v>0.5</v>
      </c>
      <c r="BA28">
        <v>0</v>
      </c>
      <c r="BB28">
        <v>0.75</v>
      </c>
      <c r="BC28">
        <v>0.25</v>
      </c>
      <c r="BD28">
        <v>0.5</v>
      </c>
      <c r="BE28">
        <v>0</v>
      </c>
      <c r="BF28">
        <v>3</v>
      </c>
    </row>
    <row r="29" spans="1:58">
      <c r="A29" t="s">
        <v>17207</v>
      </c>
      <c r="B29" t="s">
        <v>17208</v>
      </c>
      <c r="C29">
        <v>33</v>
      </c>
      <c r="D29">
        <v>355</v>
      </c>
      <c r="E29">
        <v>355</v>
      </c>
      <c r="F29">
        <v>355</v>
      </c>
      <c r="G29">
        <v>0</v>
      </c>
      <c r="H29">
        <v>109</v>
      </c>
      <c r="I29">
        <v>16</v>
      </c>
      <c r="J29">
        <v>340</v>
      </c>
      <c r="K29">
        <v>4890</v>
      </c>
      <c r="L29">
        <v>317</v>
      </c>
      <c r="M29">
        <v>7</v>
      </c>
      <c r="N29">
        <v>3</v>
      </c>
      <c r="O29">
        <v>13</v>
      </c>
      <c r="P29">
        <v>2</v>
      </c>
      <c r="Q29">
        <v>0</v>
      </c>
      <c r="R29">
        <v>0</v>
      </c>
      <c r="S29">
        <v>89</v>
      </c>
      <c r="T29">
        <v>84.5</v>
      </c>
      <c r="U29">
        <v>0</v>
      </c>
      <c r="V29">
        <v>173.25</v>
      </c>
      <c r="W29">
        <v>2556.5</v>
      </c>
      <c r="X29">
        <v>0</v>
      </c>
      <c r="Y29">
        <v>289</v>
      </c>
      <c r="Z29">
        <v>33</v>
      </c>
      <c r="AA29">
        <v>-235</v>
      </c>
      <c r="AB29">
        <v>0</v>
      </c>
      <c r="AC29">
        <v>455.82</v>
      </c>
      <c r="AD29">
        <v>455.82</v>
      </c>
      <c r="AE29">
        <v>455.82</v>
      </c>
      <c r="AF29">
        <v>455.82</v>
      </c>
      <c r="AG29">
        <v>3004.82</v>
      </c>
      <c r="AH29">
        <v>2549</v>
      </c>
      <c r="AI29">
        <v>43</v>
      </c>
      <c r="AJ29">
        <v>43</v>
      </c>
      <c r="AK29">
        <v>805.5</v>
      </c>
      <c r="AL29">
        <v>762.5</v>
      </c>
      <c r="AM29">
        <v>112</v>
      </c>
      <c r="AN29">
        <v>32</v>
      </c>
      <c r="AO29">
        <v>0</v>
      </c>
      <c r="AP29">
        <v>0</v>
      </c>
      <c r="AQ29">
        <v>0</v>
      </c>
      <c r="AR29">
        <v>0</v>
      </c>
      <c r="AS29">
        <v>0</v>
      </c>
      <c r="AT29">
        <v>4890</v>
      </c>
      <c r="AU29">
        <v>1475</v>
      </c>
      <c r="AV29">
        <v>2964</v>
      </c>
      <c r="AW29">
        <v>455</v>
      </c>
      <c r="AX29">
        <v>87.75</v>
      </c>
      <c r="AY29">
        <v>27.5</v>
      </c>
      <c r="AZ29">
        <v>53.25</v>
      </c>
      <c r="BA29">
        <v>8</v>
      </c>
      <c r="BB29">
        <v>84.5</v>
      </c>
      <c r="BC29">
        <v>24.5</v>
      </c>
      <c r="BD29">
        <v>52.75</v>
      </c>
      <c r="BE29">
        <v>8</v>
      </c>
    </row>
    <row r="30" spans="1:58">
      <c r="A30" t="s">
        <v>17207</v>
      </c>
      <c r="B30" t="s">
        <v>17208</v>
      </c>
      <c r="C30">
        <v>55</v>
      </c>
      <c r="D30">
        <v>350</v>
      </c>
      <c r="E30">
        <v>350</v>
      </c>
      <c r="F30">
        <v>346</v>
      </c>
      <c r="G30">
        <v>5</v>
      </c>
      <c r="H30">
        <v>97</v>
      </c>
      <c r="I30">
        <v>3</v>
      </c>
      <c r="J30">
        <v>350</v>
      </c>
      <c r="K30" s="21">
        <v>4855</v>
      </c>
      <c r="L30">
        <v>314</v>
      </c>
      <c r="M30">
        <v>3</v>
      </c>
      <c r="N30">
        <v>4</v>
      </c>
      <c r="O30">
        <v>24</v>
      </c>
      <c r="P30">
        <v>2</v>
      </c>
      <c r="Q30">
        <v>3</v>
      </c>
      <c r="R30">
        <v>0</v>
      </c>
      <c r="S30">
        <v>91</v>
      </c>
      <c r="T30">
        <v>113</v>
      </c>
      <c r="U30">
        <v>0.75</v>
      </c>
      <c r="V30">
        <v>204.75</v>
      </c>
      <c r="W30" s="20">
        <v>2757.5</v>
      </c>
      <c r="X30">
        <v>0</v>
      </c>
      <c r="Y30">
        <v>295</v>
      </c>
      <c r="Z30">
        <v>0</v>
      </c>
      <c r="AA30">
        <v>-412.5</v>
      </c>
      <c r="AB30">
        <v>500</v>
      </c>
      <c r="AC30" s="20">
        <v>1050</v>
      </c>
      <c r="AD30" s="20">
        <v>1050</v>
      </c>
      <c r="AE30">
        <v>578.5</v>
      </c>
      <c r="AF30" s="20">
        <v>1536.5</v>
      </c>
      <c r="AG30" s="20">
        <v>3817.75</v>
      </c>
      <c r="AH30" s="20">
        <v>3239.25</v>
      </c>
      <c r="AI30">
        <v>502</v>
      </c>
      <c r="AJ30" s="20">
        <v>1189</v>
      </c>
      <c r="AK30" s="20">
        <v>1959</v>
      </c>
      <c r="AL30" s="20">
        <v>1457</v>
      </c>
      <c r="AM30">
        <v>39</v>
      </c>
      <c r="AN30">
        <v>5</v>
      </c>
      <c r="AO30">
        <v>1</v>
      </c>
      <c r="AP30">
        <v>1</v>
      </c>
      <c r="AQ30">
        <v>0</v>
      </c>
      <c r="AR30">
        <v>0</v>
      </c>
      <c r="AS30">
        <v>0</v>
      </c>
      <c r="AT30" s="21">
        <v>4855</v>
      </c>
      <c r="AU30" s="21">
        <v>1525</v>
      </c>
      <c r="AV30" s="21">
        <v>2642</v>
      </c>
      <c r="AW30">
        <v>701</v>
      </c>
      <c r="AX30">
        <v>91</v>
      </c>
      <c r="AY30">
        <v>27.75</v>
      </c>
      <c r="AZ30">
        <v>50</v>
      </c>
      <c r="BA30">
        <v>13.5</v>
      </c>
      <c r="BB30">
        <v>113</v>
      </c>
      <c r="BC30">
        <v>49.75</v>
      </c>
      <c r="BD30">
        <v>50</v>
      </c>
      <c r="BE30">
        <v>13.5</v>
      </c>
      <c r="BF30" s="21">
        <v>1294</v>
      </c>
    </row>
    <row r="31" spans="1:58">
      <c r="A31" t="s">
        <v>19331</v>
      </c>
      <c r="B31" t="s">
        <v>18788</v>
      </c>
      <c r="C31">
        <v>2</v>
      </c>
      <c r="D31">
        <v>17</v>
      </c>
      <c r="E31">
        <v>1</v>
      </c>
      <c r="F31">
        <v>17</v>
      </c>
      <c r="G31">
        <v>0</v>
      </c>
      <c r="H31">
        <v>0</v>
      </c>
      <c r="I31">
        <v>0</v>
      </c>
      <c r="J31">
        <v>17</v>
      </c>
      <c r="K31">
        <v>178</v>
      </c>
      <c r="L31">
        <v>10</v>
      </c>
      <c r="M31">
        <v>3</v>
      </c>
      <c r="N31">
        <v>3</v>
      </c>
      <c r="O31">
        <v>0</v>
      </c>
      <c r="P31">
        <v>0</v>
      </c>
      <c r="Q31">
        <v>1</v>
      </c>
      <c r="R31">
        <v>0</v>
      </c>
      <c r="S31">
        <v>39.75</v>
      </c>
      <c r="T31">
        <v>103.5</v>
      </c>
      <c r="U31">
        <v>0</v>
      </c>
      <c r="V31">
        <v>143.25</v>
      </c>
      <c r="W31">
        <v>0</v>
      </c>
      <c r="X31">
        <v>0</v>
      </c>
      <c r="Y31">
        <v>0</v>
      </c>
      <c r="Z31">
        <v>0</v>
      </c>
      <c r="AA31" s="20">
        <v>-2467.5</v>
      </c>
      <c r="AB31">
        <v>0</v>
      </c>
      <c r="AC31">
        <v>0</v>
      </c>
      <c r="AD31">
        <v>0</v>
      </c>
      <c r="AE31">
        <v>0</v>
      </c>
      <c r="AF31">
        <v>0</v>
      </c>
      <c r="AG31">
        <v>0</v>
      </c>
      <c r="AH31">
        <v>0</v>
      </c>
      <c r="AI31">
        <v>0</v>
      </c>
      <c r="AJ31">
        <v>0</v>
      </c>
      <c r="AK31">
        <v>0</v>
      </c>
      <c r="AL31">
        <v>0</v>
      </c>
      <c r="AM31">
        <v>0</v>
      </c>
      <c r="AN31">
        <v>0</v>
      </c>
      <c r="AO31">
        <v>0</v>
      </c>
      <c r="AP31">
        <v>0</v>
      </c>
      <c r="AQ31">
        <v>0</v>
      </c>
      <c r="AR31">
        <v>0</v>
      </c>
      <c r="AS31">
        <v>0</v>
      </c>
      <c r="AT31">
        <v>178</v>
      </c>
      <c r="AU31">
        <v>0</v>
      </c>
      <c r="AV31">
        <v>146</v>
      </c>
      <c r="AW31">
        <v>32</v>
      </c>
      <c r="AX31">
        <v>39.75</v>
      </c>
      <c r="AY31">
        <v>0</v>
      </c>
      <c r="AZ31">
        <v>0</v>
      </c>
      <c r="BA31">
        <v>39.75</v>
      </c>
      <c r="BB31">
        <v>103.5</v>
      </c>
      <c r="BC31">
        <v>0</v>
      </c>
      <c r="BD31">
        <v>0</v>
      </c>
      <c r="BE31">
        <v>103.5</v>
      </c>
      <c r="BF31">
        <v>0</v>
      </c>
    </row>
    <row r="32" spans="1:58">
      <c r="A32" t="s">
        <v>17219</v>
      </c>
      <c r="B32" t="s">
        <v>17220</v>
      </c>
      <c r="C32">
        <v>1</v>
      </c>
      <c r="D32">
        <v>43</v>
      </c>
      <c r="E32">
        <v>43</v>
      </c>
      <c r="F32">
        <v>43</v>
      </c>
      <c r="G32">
        <v>7</v>
      </c>
      <c r="H32">
        <v>11</v>
      </c>
      <c r="I32">
        <v>4</v>
      </c>
      <c r="J32">
        <v>41</v>
      </c>
      <c r="K32">
        <v>568</v>
      </c>
      <c r="L32">
        <v>11</v>
      </c>
      <c r="M32">
        <v>2</v>
      </c>
      <c r="N32">
        <v>11</v>
      </c>
      <c r="O32">
        <v>9</v>
      </c>
      <c r="P32">
        <v>3</v>
      </c>
      <c r="Q32">
        <v>4</v>
      </c>
      <c r="R32">
        <v>0</v>
      </c>
      <c r="S32">
        <v>6.7</v>
      </c>
      <c r="T32">
        <v>14.5</v>
      </c>
      <c r="U32">
        <v>21</v>
      </c>
      <c r="V32">
        <v>23.95</v>
      </c>
      <c r="W32">
        <v>224.45</v>
      </c>
      <c r="X32">
        <v>5</v>
      </c>
      <c r="Y32">
        <v>11</v>
      </c>
      <c r="Z32">
        <v>0</v>
      </c>
      <c r="AA32">
        <v>0</v>
      </c>
      <c r="AB32">
        <v>24.5</v>
      </c>
      <c r="AC32" s="20">
        <v>1073</v>
      </c>
      <c r="AD32" s="20">
        <v>1080.25</v>
      </c>
      <c r="AE32">
        <v>964.75</v>
      </c>
      <c r="AF32" s="20">
        <v>1104.75</v>
      </c>
      <c r="AG32" s="20">
        <v>1722.45</v>
      </c>
      <c r="AH32">
        <v>757.7</v>
      </c>
      <c r="AI32">
        <v>891.25</v>
      </c>
      <c r="AJ32">
        <v>893.25</v>
      </c>
      <c r="AK32" s="20">
        <v>1053.25</v>
      </c>
      <c r="AL32">
        <v>162</v>
      </c>
      <c r="AM32">
        <v>2</v>
      </c>
      <c r="AN32">
        <v>6</v>
      </c>
      <c r="AO32">
        <v>0</v>
      </c>
      <c r="AP32">
        <v>2</v>
      </c>
      <c r="AQ32">
        <v>0</v>
      </c>
      <c r="AR32">
        <v>0</v>
      </c>
      <c r="AS32">
        <v>0</v>
      </c>
      <c r="AT32">
        <v>568</v>
      </c>
      <c r="AU32">
        <v>320</v>
      </c>
      <c r="AV32">
        <v>219</v>
      </c>
      <c r="AW32">
        <v>29</v>
      </c>
      <c r="AX32">
        <v>6.7</v>
      </c>
      <c r="AY32">
        <v>0.25</v>
      </c>
      <c r="AZ32">
        <v>6.45</v>
      </c>
      <c r="BA32">
        <v>0</v>
      </c>
      <c r="BB32">
        <v>14.5</v>
      </c>
      <c r="BC32">
        <v>4</v>
      </c>
      <c r="BD32">
        <v>10.5</v>
      </c>
      <c r="BE32">
        <v>0</v>
      </c>
      <c r="BF32" s="21">
        <v>55481</v>
      </c>
    </row>
    <row r="33" spans="1:58">
      <c r="A33" t="s">
        <v>17209</v>
      </c>
      <c r="B33" t="s">
        <v>18789</v>
      </c>
      <c r="C33">
        <v>2</v>
      </c>
      <c r="D33">
        <v>7</v>
      </c>
      <c r="E33">
        <v>7</v>
      </c>
      <c r="F33">
        <v>7</v>
      </c>
      <c r="G33">
        <v>4</v>
      </c>
      <c r="H33">
        <v>3</v>
      </c>
      <c r="I33">
        <v>2</v>
      </c>
      <c r="J33">
        <v>6</v>
      </c>
      <c r="K33">
        <v>79</v>
      </c>
      <c r="L33">
        <v>0</v>
      </c>
      <c r="M33">
        <v>0</v>
      </c>
      <c r="N33">
        <v>4</v>
      </c>
      <c r="O33">
        <v>1</v>
      </c>
      <c r="P33">
        <v>0</v>
      </c>
      <c r="Q33">
        <v>2</v>
      </c>
      <c r="R33">
        <v>1</v>
      </c>
      <c r="S33">
        <v>6</v>
      </c>
      <c r="T33">
        <v>10.75</v>
      </c>
      <c r="U33">
        <v>42.75</v>
      </c>
      <c r="V33">
        <v>59.5</v>
      </c>
      <c r="W33">
        <v>242.5</v>
      </c>
      <c r="X33">
        <v>579</v>
      </c>
      <c r="Y33">
        <v>2</v>
      </c>
      <c r="Z33">
        <v>2</v>
      </c>
      <c r="AA33">
        <v>-32.5</v>
      </c>
      <c r="AB33">
        <v>170</v>
      </c>
      <c r="AC33">
        <v>136.75</v>
      </c>
      <c r="AD33">
        <v>81.75</v>
      </c>
      <c r="AE33">
        <v>183.5</v>
      </c>
      <c r="AF33">
        <v>251.75</v>
      </c>
      <c r="AG33" s="20">
        <v>1813.25</v>
      </c>
      <c r="AH33" s="20">
        <v>1629.75</v>
      </c>
      <c r="AI33">
        <v>179.5</v>
      </c>
      <c r="AJ33">
        <v>247.25</v>
      </c>
      <c r="AK33" s="20">
        <v>1723.75</v>
      </c>
      <c r="AL33" s="20">
        <v>1544.25</v>
      </c>
      <c r="AM33">
        <v>1</v>
      </c>
      <c r="AN33">
        <v>1</v>
      </c>
      <c r="AO33">
        <v>0</v>
      </c>
      <c r="AP33">
        <v>1</v>
      </c>
      <c r="AQ33">
        <v>0</v>
      </c>
      <c r="AR33">
        <v>0</v>
      </c>
      <c r="AS33">
        <v>0</v>
      </c>
      <c r="AT33">
        <v>79</v>
      </c>
      <c r="AU33">
        <v>30</v>
      </c>
      <c r="AV33">
        <v>28</v>
      </c>
      <c r="AW33">
        <v>21</v>
      </c>
      <c r="AX33">
        <v>6</v>
      </c>
      <c r="AY33">
        <v>4.25</v>
      </c>
      <c r="AZ33">
        <v>0.5</v>
      </c>
      <c r="BA33">
        <v>1.25</v>
      </c>
      <c r="BB33">
        <v>10.75</v>
      </c>
      <c r="BC33">
        <v>8.5</v>
      </c>
      <c r="BD33">
        <v>1.25</v>
      </c>
      <c r="BE33">
        <v>1</v>
      </c>
      <c r="BF33">
        <v>2</v>
      </c>
    </row>
    <row r="34" spans="1:58">
      <c r="A34" t="s">
        <v>16888</v>
      </c>
      <c r="B34" t="s">
        <v>17350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row>
    <row r="35" spans="1:58">
      <c r="A35" t="s">
        <v>17355</v>
      </c>
      <c r="B35" t="s">
        <v>17356</v>
      </c>
      <c r="C35">
        <v>0</v>
      </c>
      <c r="D35">
        <v>11</v>
      </c>
      <c r="E35">
        <v>11</v>
      </c>
      <c r="F35">
        <v>11</v>
      </c>
      <c r="G35">
        <v>2</v>
      </c>
      <c r="H35">
        <v>1</v>
      </c>
      <c r="I35">
        <v>0</v>
      </c>
      <c r="J35">
        <v>11</v>
      </c>
      <c r="K35">
        <v>187</v>
      </c>
      <c r="L35">
        <v>4</v>
      </c>
      <c r="M35">
        <v>0</v>
      </c>
      <c r="N35">
        <v>2</v>
      </c>
      <c r="O35">
        <v>3</v>
      </c>
      <c r="P35">
        <v>1</v>
      </c>
      <c r="Q35">
        <v>1</v>
      </c>
      <c r="R35">
        <v>0</v>
      </c>
      <c r="S35">
        <v>19.5</v>
      </c>
      <c r="T35">
        <v>49.75</v>
      </c>
      <c r="U35">
        <v>0</v>
      </c>
      <c r="V35">
        <v>69.25</v>
      </c>
      <c r="W35" s="20">
        <v>1190</v>
      </c>
      <c r="X35">
        <v>0</v>
      </c>
      <c r="Y35">
        <v>3</v>
      </c>
      <c r="Z35">
        <v>7</v>
      </c>
      <c r="AA35">
        <v>0</v>
      </c>
      <c r="AB35">
        <v>860</v>
      </c>
      <c r="AC35">
        <v>126.5</v>
      </c>
      <c r="AD35">
        <v>1.25</v>
      </c>
      <c r="AE35">
        <v>21.25</v>
      </c>
      <c r="AF35">
        <v>861.25</v>
      </c>
      <c r="AG35" s="20">
        <v>1316.5</v>
      </c>
      <c r="AH35" s="20">
        <v>1295.25</v>
      </c>
      <c r="AI35">
        <v>21.25</v>
      </c>
      <c r="AJ35">
        <v>21.25</v>
      </c>
      <c r="AK35">
        <v>81.25</v>
      </c>
      <c r="AL35">
        <v>60</v>
      </c>
      <c r="AM35">
        <v>0</v>
      </c>
      <c r="AN35">
        <v>1</v>
      </c>
      <c r="AO35">
        <v>0</v>
      </c>
      <c r="AP35">
        <v>0</v>
      </c>
      <c r="AQ35">
        <v>0</v>
      </c>
      <c r="AR35">
        <v>0</v>
      </c>
      <c r="AS35">
        <v>0</v>
      </c>
      <c r="AT35">
        <v>187</v>
      </c>
      <c r="AU35">
        <v>86</v>
      </c>
      <c r="AV35">
        <v>101</v>
      </c>
      <c r="AW35">
        <v>0</v>
      </c>
      <c r="AX35">
        <v>19.5</v>
      </c>
      <c r="AY35">
        <v>2</v>
      </c>
      <c r="AZ35">
        <v>17.5</v>
      </c>
      <c r="BA35">
        <v>0</v>
      </c>
      <c r="BB35">
        <v>49.75</v>
      </c>
      <c r="BC35">
        <v>3</v>
      </c>
      <c r="BD35">
        <v>46.75</v>
      </c>
      <c r="BE35">
        <v>0</v>
      </c>
      <c r="BF35">
        <v>0</v>
      </c>
    </row>
    <row r="36" spans="1:58">
      <c r="A36" t="s">
        <v>16889</v>
      </c>
      <c r="B36" t="s">
        <v>17351</v>
      </c>
      <c r="C36">
        <v>0</v>
      </c>
      <c r="D36">
        <v>10</v>
      </c>
      <c r="E36">
        <v>9</v>
      </c>
      <c r="F36">
        <v>10</v>
      </c>
      <c r="G36">
        <v>0</v>
      </c>
      <c r="H36">
        <v>0</v>
      </c>
      <c r="I36">
        <v>0</v>
      </c>
      <c r="J36">
        <v>10</v>
      </c>
      <c r="K36">
        <v>113</v>
      </c>
      <c r="L36">
        <v>7</v>
      </c>
      <c r="M36">
        <v>0</v>
      </c>
      <c r="N36">
        <v>0</v>
      </c>
      <c r="O36">
        <v>2</v>
      </c>
      <c r="P36">
        <v>0</v>
      </c>
      <c r="Q36">
        <v>1</v>
      </c>
      <c r="R36">
        <v>0</v>
      </c>
      <c r="S36">
        <v>2.5</v>
      </c>
      <c r="T36">
        <v>5</v>
      </c>
      <c r="U36">
        <v>0</v>
      </c>
      <c r="V36">
        <v>7.5</v>
      </c>
      <c r="W36">
        <v>125</v>
      </c>
      <c r="X36">
        <v>0</v>
      </c>
      <c r="Y36">
        <v>6</v>
      </c>
      <c r="Z36">
        <v>1</v>
      </c>
      <c r="AA36">
        <v>0</v>
      </c>
      <c r="AB36">
        <v>0</v>
      </c>
      <c r="AC36">
        <v>23.25</v>
      </c>
      <c r="AD36">
        <v>23.25</v>
      </c>
      <c r="AE36">
        <v>23.25</v>
      </c>
      <c r="AF36">
        <v>23.25</v>
      </c>
      <c r="AG36">
        <v>148.25</v>
      </c>
      <c r="AH36">
        <v>125</v>
      </c>
      <c r="AI36">
        <v>0</v>
      </c>
      <c r="AJ36">
        <v>0</v>
      </c>
      <c r="AK36">
        <v>0</v>
      </c>
      <c r="AL36">
        <v>0</v>
      </c>
      <c r="AM36">
        <v>1</v>
      </c>
      <c r="AN36">
        <v>2</v>
      </c>
      <c r="AO36">
        <v>0</v>
      </c>
      <c r="AP36">
        <v>0</v>
      </c>
      <c r="AQ36">
        <v>0</v>
      </c>
      <c r="AR36">
        <v>0</v>
      </c>
      <c r="AS36">
        <v>0</v>
      </c>
      <c r="AT36">
        <v>113</v>
      </c>
      <c r="AU36">
        <v>0</v>
      </c>
      <c r="AV36">
        <v>113</v>
      </c>
      <c r="AW36">
        <v>0</v>
      </c>
      <c r="AX36">
        <v>2.5</v>
      </c>
      <c r="AY36">
        <v>0</v>
      </c>
      <c r="AZ36">
        <v>2.5</v>
      </c>
      <c r="BA36">
        <v>0</v>
      </c>
      <c r="BB36">
        <v>5</v>
      </c>
      <c r="BC36">
        <v>0</v>
      </c>
      <c r="BD36">
        <v>5</v>
      </c>
      <c r="BE36">
        <v>0</v>
      </c>
      <c r="BF36">
        <v>0</v>
      </c>
    </row>
    <row r="37" spans="1:58">
      <c r="A37" t="s">
        <v>16890</v>
      </c>
      <c r="B37" t="s">
        <v>16891</v>
      </c>
      <c r="C37">
        <v>0</v>
      </c>
      <c r="D37">
        <v>45</v>
      </c>
      <c r="E37">
        <v>30</v>
      </c>
      <c r="F37">
        <v>45</v>
      </c>
      <c r="G37">
        <v>8</v>
      </c>
      <c r="H37">
        <v>13</v>
      </c>
      <c r="I37">
        <v>0</v>
      </c>
      <c r="J37">
        <v>43</v>
      </c>
      <c r="K37">
        <v>461</v>
      </c>
      <c r="L37">
        <v>18</v>
      </c>
      <c r="M37">
        <v>1</v>
      </c>
      <c r="N37">
        <v>10</v>
      </c>
      <c r="O37">
        <v>1</v>
      </c>
      <c r="P37">
        <v>7</v>
      </c>
      <c r="Q37">
        <v>7</v>
      </c>
      <c r="R37">
        <v>0</v>
      </c>
      <c r="S37">
        <v>55.75</v>
      </c>
      <c r="T37">
        <v>5.5</v>
      </c>
      <c r="U37">
        <v>0</v>
      </c>
      <c r="V37">
        <v>61.25</v>
      </c>
      <c r="W37">
        <v>667.5</v>
      </c>
      <c r="X37">
        <v>0</v>
      </c>
      <c r="Y37">
        <v>25</v>
      </c>
      <c r="Z37">
        <v>1</v>
      </c>
      <c r="AA37">
        <v>0</v>
      </c>
      <c r="AB37">
        <v>140</v>
      </c>
      <c r="AC37" s="20">
        <v>2931.25</v>
      </c>
      <c r="AD37" s="20">
        <v>2931.25</v>
      </c>
      <c r="AE37" s="20">
        <v>2794.25</v>
      </c>
      <c r="AF37" s="20">
        <v>3071.25</v>
      </c>
      <c r="AG37" s="20">
        <v>3598.75</v>
      </c>
      <c r="AH37">
        <v>804.5</v>
      </c>
      <c r="AI37" s="20">
        <v>2116.75</v>
      </c>
      <c r="AJ37" s="20">
        <v>2358.75</v>
      </c>
      <c r="AK37" s="20">
        <v>2643.75</v>
      </c>
      <c r="AL37">
        <v>527</v>
      </c>
      <c r="AM37">
        <v>0</v>
      </c>
      <c r="AN37">
        <v>10</v>
      </c>
      <c r="AO37">
        <v>2</v>
      </c>
      <c r="AP37">
        <v>7</v>
      </c>
      <c r="AQ37">
        <v>2</v>
      </c>
      <c r="AR37">
        <v>0</v>
      </c>
      <c r="AS37">
        <v>0</v>
      </c>
      <c r="AT37">
        <v>461</v>
      </c>
      <c r="AU37">
        <v>194</v>
      </c>
      <c r="AV37">
        <v>267</v>
      </c>
      <c r="AW37">
        <v>0</v>
      </c>
      <c r="AX37">
        <v>55.75</v>
      </c>
      <c r="AY37">
        <v>32.5</v>
      </c>
      <c r="AZ37">
        <v>23.25</v>
      </c>
      <c r="BA37">
        <v>0</v>
      </c>
      <c r="BB37">
        <v>5.5</v>
      </c>
      <c r="BC37">
        <v>3.25</v>
      </c>
      <c r="BD37">
        <v>2.25</v>
      </c>
      <c r="BE37">
        <v>0</v>
      </c>
      <c r="BF37" s="21">
        <v>23141</v>
      </c>
    </row>
    <row r="38" spans="1:58">
      <c r="A38" t="s">
        <v>16892</v>
      </c>
      <c r="B38" t="s">
        <v>16893</v>
      </c>
      <c r="C38">
        <v>0</v>
      </c>
      <c r="D38">
        <v>4</v>
      </c>
      <c r="E38">
        <v>4</v>
      </c>
      <c r="F38">
        <v>3</v>
      </c>
      <c r="G38">
        <v>1</v>
      </c>
      <c r="H38">
        <v>0</v>
      </c>
      <c r="I38">
        <v>1</v>
      </c>
      <c r="J38">
        <v>4</v>
      </c>
      <c r="K38">
        <v>41</v>
      </c>
      <c r="L38">
        <v>2</v>
      </c>
      <c r="M38">
        <v>1</v>
      </c>
      <c r="N38">
        <v>1</v>
      </c>
      <c r="O38">
        <v>0</v>
      </c>
      <c r="P38">
        <v>0</v>
      </c>
      <c r="Q38">
        <v>0</v>
      </c>
      <c r="R38">
        <v>0</v>
      </c>
      <c r="S38">
        <v>6.75</v>
      </c>
      <c r="T38">
        <v>10</v>
      </c>
      <c r="U38">
        <v>0</v>
      </c>
      <c r="V38">
        <v>16.75</v>
      </c>
      <c r="W38">
        <v>267.5</v>
      </c>
      <c r="X38">
        <v>0</v>
      </c>
      <c r="Y38">
        <v>2</v>
      </c>
      <c r="Z38">
        <v>2</v>
      </c>
      <c r="AA38">
        <v>0</v>
      </c>
      <c r="AB38">
        <v>125</v>
      </c>
      <c r="AC38">
        <v>0</v>
      </c>
      <c r="AD38">
        <v>0</v>
      </c>
      <c r="AE38">
        <v>0</v>
      </c>
      <c r="AF38">
        <v>125</v>
      </c>
      <c r="AG38">
        <v>267.5</v>
      </c>
      <c r="AH38">
        <v>267.5</v>
      </c>
      <c r="AI38">
        <v>0</v>
      </c>
      <c r="AJ38">
        <v>0</v>
      </c>
      <c r="AK38">
        <v>0</v>
      </c>
      <c r="AL38">
        <v>0</v>
      </c>
      <c r="AM38">
        <v>0</v>
      </c>
      <c r="AN38">
        <v>0</v>
      </c>
      <c r="AO38">
        <v>0</v>
      </c>
      <c r="AP38">
        <v>0</v>
      </c>
      <c r="AQ38">
        <v>0</v>
      </c>
      <c r="AR38">
        <v>0</v>
      </c>
      <c r="AS38">
        <v>0</v>
      </c>
      <c r="AT38">
        <v>41</v>
      </c>
      <c r="AU38">
        <v>0</v>
      </c>
      <c r="AV38">
        <v>41</v>
      </c>
      <c r="AW38">
        <v>0</v>
      </c>
      <c r="AX38">
        <v>6.75</v>
      </c>
      <c r="AY38">
        <v>0</v>
      </c>
      <c r="AZ38">
        <v>6.75</v>
      </c>
      <c r="BA38">
        <v>0</v>
      </c>
      <c r="BB38">
        <v>10</v>
      </c>
      <c r="BC38">
        <v>0</v>
      </c>
      <c r="BD38">
        <v>10</v>
      </c>
      <c r="BE38">
        <v>0</v>
      </c>
      <c r="BF38">
        <v>0</v>
      </c>
    </row>
    <row r="39" spans="1:58">
      <c r="A39" t="s">
        <v>16894</v>
      </c>
      <c r="B39" t="s">
        <v>16895</v>
      </c>
      <c r="C39">
        <v>0</v>
      </c>
      <c r="D39">
        <v>1</v>
      </c>
      <c r="E39">
        <v>1</v>
      </c>
      <c r="F39">
        <v>1</v>
      </c>
      <c r="G39">
        <v>0</v>
      </c>
      <c r="H39">
        <v>0</v>
      </c>
      <c r="I39">
        <v>0</v>
      </c>
      <c r="J39">
        <v>1</v>
      </c>
      <c r="K39">
        <v>0</v>
      </c>
      <c r="L39">
        <v>1</v>
      </c>
      <c r="M39">
        <v>0</v>
      </c>
      <c r="N39">
        <v>0</v>
      </c>
      <c r="O39">
        <v>0</v>
      </c>
      <c r="P39">
        <v>0</v>
      </c>
      <c r="Q39">
        <v>0</v>
      </c>
      <c r="R39">
        <v>0</v>
      </c>
      <c r="S39">
        <v>0.25</v>
      </c>
      <c r="T39">
        <v>0.25</v>
      </c>
      <c r="U39">
        <v>0</v>
      </c>
      <c r="V39">
        <v>0.5</v>
      </c>
      <c r="W39">
        <v>7.5</v>
      </c>
      <c r="X39">
        <v>0</v>
      </c>
      <c r="Y39">
        <v>1</v>
      </c>
      <c r="Z39">
        <v>0</v>
      </c>
      <c r="AA39">
        <v>0</v>
      </c>
      <c r="AB39">
        <v>0</v>
      </c>
      <c r="AC39">
        <v>0</v>
      </c>
      <c r="AD39">
        <v>0</v>
      </c>
      <c r="AE39">
        <v>0</v>
      </c>
      <c r="AF39">
        <v>0</v>
      </c>
      <c r="AG39">
        <v>7.5</v>
      </c>
      <c r="AH39">
        <v>7.5</v>
      </c>
      <c r="AI39">
        <v>0</v>
      </c>
      <c r="AJ39">
        <v>0</v>
      </c>
      <c r="AK39">
        <v>0</v>
      </c>
      <c r="AL39">
        <v>0</v>
      </c>
      <c r="AM39">
        <v>1</v>
      </c>
      <c r="AN39">
        <v>0</v>
      </c>
      <c r="AO39">
        <v>1</v>
      </c>
      <c r="AP39">
        <v>0</v>
      </c>
      <c r="AQ39">
        <v>0</v>
      </c>
      <c r="AR39">
        <v>0</v>
      </c>
      <c r="AS39">
        <v>0</v>
      </c>
      <c r="AT39">
        <v>0</v>
      </c>
      <c r="AU39">
        <v>0</v>
      </c>
      <c r="AV39">
        <v>0</v>
      </c>
      <c r="AW39">
        <v>0</v>
      </c>
      <c r="AX39">
        <v>0</v>
      </c>
      <c r="AY39">
        <v>0</v>
      </c>
      <c r="AZ39">
        <v>0</v>
      </c>
      <c r="BA39">
        <v>0</v>
      </c>
      <c r="BB39">
        <v>0</v>
      </c>
      <c r="BC39">
        <v>0</v>
      </c>
      <c r="BD39">
        <v>0</v>
      </c>
      <c r="BE39">
        <v>0</v>
      </c>
      <c r="BF39">
        <v>0</v>
      </c>
    </row>
    <row r="40" spans="1:58">
      <c r="A40" t="s">
        <v>16894</v>
      </c>
      <c r="B40" t="s">
        <v>19332</v>
      </c>
      <c r="C40">
        <v>0</v>
      </c>
      <c r="D40">
        <v>3</v>
      </c>
      <c r="E40">
        <v>3</v>
      </c>
      <c r="F40">
        <v>2</v>
      </c>
      <c r="G40">
        <v>1</v>
      </c>
      <c r="H40">
        <v>0</v>
      </c>
      <c r="I40">
        <v>0</v>
      </c>
      <c r="J40">
        <v>3</v>
      </c>
      <c r="K40">
        <v>23</v>
      </c>
      <c r="L40">
        <v>1</v>
      </c>
      <c r="M40">
        <v>0</v>
      </c>
      <c r="N40">
        <v>0</v>
      </c>
      <c r="O40">
        <v>2</v>
      </c>
      <c r="P40">
        <v>0</v>
      </c>
      <c r="Q40">
        <v>0</v>
      </c>
      <c r="R40">
        <v>0</v>
      </c>
      <c r="S40">
        <v>1</v>
      </c>
      <c r="T40">
        <v>2</v>
      </c>
      <c r="U40">
        <v>0</v>
      </c>
      <c r="V40">
        <v>3</v>
      </c>
      <c r="W40">
        <v>50</v>
      </c>
      <c r="X40">
        <v>0</v>
      </c>
      <c r="Y40">
        <v>0</v>
      </c>
      <c r="Z40">
        <v>1</v>
      </c>
      <c r="AA40">
        <v>0</v>
      </c>
      <c r="AB40">
        <v>0</v>
      </c>
      <c r="AC40">
        <v>0</v>
      </c>
      <c r="AD40">
        <v>0</v>
      </c>
      <c r="AE40">
        <v>0</v>
      </c>
      <c r="AF40">
        <v>0</v>
      </c>
      <c r="AG40">
        <v>50</v>
      </c>
      <c r="AH40">
        <v>50</v>
      </c>
      <c r="AI40">
        <v>0</v>
      </c>
      <c r="AJ40">
        <v>0</v>
      </c>
      <c r="AK40">
        <v>0</v>
      </c>
      <c r="AL40">
        <v>0</v>
      </c>
      <c r="AM40">
        <v>0</v>
      </c>
      <c r="AN40">
        <v>0</v>
      </c>
      <c r="AO40">
        <v>0</v>
      </c>
      <c r="AP40">
        <v>0</v>
      </c>
      <c r="AQ40">
        <v>0</v>
      </c>
      <c r="AR40">
        <v>0</v>
      </c>
      <c r="AS40">
        <v>0</v>
      </c>
      <c r="AT40">
        <v>23</v>
      </c>
      <c r="AU40">
        <v>0</v>
      </c>
      <c r="AV40">
        <v>23</v>
      </c>
      <c r="AW40">
        <v>0</v>
      </c>
      <c r="AX40">
        <v>1</v>
      </c>
      <c r="AY40">
        <v>0</v>
      </c>
      <c r="AZ40">
        <v>1</v>
      </c>
      <c r="BA40">
        <v>0</v>
      </c>
      <c r="BB40">
        <v>2</v>
      </c>
      <c r="BC40">
        <v>0</v>
      </c>
      <c r="BD40">
        <v>2</v>
      </c>
      <c r="BE40">
        <v>0</v>
      </c>
      <c r="BF40">
        <v>0</v>
      </c>
    </row>
    <row r="41" spans="1:58">
      <c r="A41" t="s">
        <v>16894</v>
      </c>
      <c r="B41" t="s">
        <v>18791</v>
      </c>
      <c r="C41">
        <v>0</v>
      </c>
      <c r="D41">
        <v>6</v>
      </c>
      <c r="E41">
        <v>6</v>
      </c>
      <c r="F41">
        <v>6</v>
      </c>
      <c r="G41">
        <v>0</v>
      </c>
      <c r="H41">
        <v>0</v>
      </c>
      <c r="I41">
        <v>0</v>
      </c>
      <c r="J41">
        <v>6</v>
      </c>
      <c r="K41">
        <v>20</v>
      </c>
      <c r="L41">
        <v>6</v>
      </c>
      <c r="M41">
        <v>0</v>
      </c>
      <c r="N41">
        <v>0</v>
      </c>
      <c r="O41">
        <v>0</v>
      </c>
      <c r="P41">
        <v>0</v>
      </c>
      <c r="Q41">
        <v>0</v>
      </c>
      <c r="R41">
        <v>0</v>
      </c>
      <c r="S41">
        <v>10.1</v>
      </c>
      <c r="T41">
        <v>8</v>
      </c>
      <c r="U41">
        <v>10.8</v>
      </c>
      <c r="V41">
        <v>27.9</v>
      </c>
      <c r="W41">
        <v>252</v>
      </c>
      <c r="X41">
        <v>0</v>
      </c>
      <c r="Y41">
        <v>5</v>
      </c>
      <c r="Z41">
        <v>0</v>
      </c>
      <c r="AA41">
        <v>0</v>
      </c>
      <c r="AB41">
        <v>0</v>
      </c>
      <c r="AC41">
        <v>6</v>
      </c>
      <c r="AD41">
        <v>6</v>
      </c>
      <c r="AE41">
        <v>6</v>
      </c>
      <c r="AF41">
        <v>6</v>
      </c>
      <c r="AG41">
        <v>453</v>
      </c>
      <c r="AH41">
        <v>447</v>
      </c>
      <c r="AI41">
        <v>0</v>
      </c>
      <c r="AJ41">
        <v>0</v>
      </c>
      <c r="AK41">
        <v>0</v>
      </c>
      <c r="AL41">
        <v>0</v>
      </c>
      <c r="AM41">
        <v>3</v>
      </c>
      <c r="AN41">
        <v>0</v>
      </c>
      <c r="AO41">
        <v>0</v>
      </c>
      <c r="AP41">
        <v>0</v>
      </c>
      <c r="AQ41">
        <v>0</v>
      </c>
      <c r="AR41">
        <v>0</v>
      </c>
      <c r="AS41">
        <v>0</v>
      </c>
      <c r="AT41">
        <v>20</v>
      </c>
      <c r="AU41">
        <v>0</v>
      </c>
      <c r="AV41">
        <v>20</v>
      </c>
      <c r="AW41">
        <v>0</v>
      </c>
      <c r="AX41">
        <v>10.1</v>
      </c>
      <c r="AY41">
        <v>0</v>
      </c>
      <c r="AZ41">
        <v>10.1</v>
      </c>
      <c r="BA41">
        <v>0</v>
      </c>
      <c r="BB41">
        <v>8</v>
      </c>
      <c r="BC41">
        <v>0</v>
      </c>
      <c r="BD41">
        <v>8</v>
      </c>
      <c r="BE41">
        <v>0</v>
      </c>
      <c r="BF41">
        <v>0</v>
      </c>
    </row>
    <row r="42" spans="1:58">
      <c r="A42" t="s">
        <v>16896</v>
      </c>
      <c r="B42" t="s">
        <v>16897</v>
      </c>
      <c r="C42">
        <v>0</v>
      </c>
      <c r="D42">
        <v>1</v>
      </c>
      <c r="E42">
        <v>1</v>
      </c>
      <c r="F42">
        <v>1</v>
      </c>
      <c r="G42">
        <v>1</v>
      </c>
      <c r="H42">
        <v>1</v>
      </c>
      <c r="I42">
        <v>1</v>
      </c>
      <c r="J42">
        <v>1</v>
      </c>
      <c r="K42">
        <v>19</v>
      </c>
      <c r="L42">
        <v>1</v>
      </c>
      <c r="M42">
        <v>0</v>
      </c>
      <c r="N42">
        <v>0</v>
      </c>
      <c r="O42">
        <v>0</v>
      </c>
      <c r="P42">
        <v>0</v>
      </c>
      <c r="Q42">
        <v>0</v>
      </c>
      <c r="R42">
        <v>0</v>
      </c>
      <c r="S42">
        <v>1.5</v>
      </c>
      <c r="T42">
        <v>0.5</v>
      </c>
      <c r="U42">
        <v>0</v>
      </c>
      <c r="V42">
        <v>2</v>
      </c>
      <c r="W42">
        <v>25</v>
      </c>
      <c r="X42">
        <v>0</v>
      </c>
      <c r="Y42">
        <v>1</v>
      </c>
      <c r="Z42">
        <v>0</v>
      </c>
      <c r="AA42">
        <v>0</v>
      </c>
      <c r="AB42">
        <v>0</v>
      </c>
      <c r="AC42">
        <v>0</v>
      </c>
      <c r="AD42">
        <v>0</v>
      </c>
      <c r="AE42">
        <v>0</v>
      </c>
      <c r="AF42">
        <v>0</v>
      </c>
      <c r="AG42">
        <v>25</v>
      </c>
      <c r="AH42">
        <v>25</v>
      </c>
      <c r="AI42">
        <v>0</v>
      </c>
      <c r="AJ42">
        <v>0</v>
      </c>
      <c r="AK42">
        <v>25</v>
      </c>
      <c r="AL42">
        <v>25</v>
      </c>
      <c r="AM42">
        <v>0</v>
      </c>
      <c r="AN42">
        <v>0</v>
      </c>
      <c r="AO42">
        <v>0</v>
      </c>
      <c r="AP42">
        <v>0</v>
      </c>
      <c r="AQ42">
        <v>0</v>
      </c>
      <c r="AR42">
        <v>0</v>
      </c>
      <c r="AS42">
        <v>0</v>
      </c>
      <c r="AT42">
        <v>19</v>
      </c>
      <c r="AU42">
        <v>19</v>
      </c>
      <c r="AV42">
        <v>0</v>
      </c>
      <c r="AW42">
        <v>0</v>
      </c>
      <c r="AX42">
        <v>1.5</v>
      </c>
      <c r="AY42">
        <v>1.5</v>
      </c>
      <c r="AZ42">
        <v>0</v>
      </c>
      <c r="BA42">
        <v>0</v>
      </c>
      <c r="BB42">
        <v>0.5</v>
      </c>
      <c r="BC42">
        <v>0.5</v>
      </c>
      <c r="BD42">
        <v>0</v>
      </c>
      <c r="BE42">
        <v>0</v>
      </c>
      <c r="BF42">
        <v>1</v>
      </c>
    </row>
    <row r="43" spans="1:58">
      <c r="A43" t="s">
        <v>16900</v>
      </c>
      <c r="B43" t="s">
        <v>16901</v>
      </c>
      <c r="C43">
        <v>0</v>
      </c>
      <c r="D43">
        <v>2</v>
      </c>
      <c r="E43">
        <v>2</v>
      </c>
      <c r="F43">
        <v>2</v>
      </c>
      <c r="G43">
        <v>0</v>
      </c>
      <c r="H43">
        <v>0</v>
      </c>
      <c r="I43">
        <v>0</v>
      </c>
      <c r="J43">
        <v>2</v>
      </c>
      <c r="K43">
        <v>10</v>
      </c>
      <c r="L43">
        <v>2</v>
      </c>
      <c r="M43">
        <v>0</v>
      </c>
      <c r="N43">
        <v>0</v>
      </c>
      <c r="O43">
        <v>0</v>
      </c>
      <c r="P43">
        <v>0</v>
      </c>
      <c r="Q43">
        <v>0</v>
      </c>
      <c r="R43">
        <v>0</v>
      </c>
      <c r="S43">
        <v>0.5</v>
      </c>
      <c r="T43">
        <v>0.5</v>
      </c>
      <c r="U43">
        <v>0</v>
      </c>
      <c r="V43">
        <v>1</v>
      </c>
      <c r="W43">
        <v>15</v>
      </c>
      <c r="X43">
        <v>0</v>
      </c>
      <c r="Y43">
        <v>2</v>
      </c>
      <c r="Z43">
        <v>0</v>
      </c>
      <c r="AA43">
        <v>0</v>
      </c>
      <c r="AB43">
        <v>0</v>
      </c>
      <c r="AC43">
        <v>0</v>
      </c>
      <c r="AD43">
        <v>0</v>
      </c>
      <c r="AE43">
        <v>0</v>
      </c>
      <c r="AF43">
        <v>0</v>
      </c>
      <c r="AG43">
        <v>15</v>
      </c>
      <c r="AH43">
        <v>15</v>
      </c>
      <c r="AI43">
        <v>0</v>
      </c>
      <c r="AJ43">
        <v>0</v>
      </c>
      <c r="AK43">
        <v>0</v>
      </c>
      <c r="AL43">
        <v>0</v>
      </c>
      <c r="AM43">
        <v>0</v>
      </c>
      <c r="AN43">
        <v>0</v>
      </c>
      <c r="AO43">
        <v>0</v>
      </c>
      <c r="AP43">
        <v>0</v>
      </c>
      <c r="AQ43">
        <v>0</v>
      </c>
      <c r="AR43">
        <v>0</v>
      </c>
      <c r="AS43">
        <v>0</v>
      </c>
      <c r="AT43">
        <v>10</v>
      </c>
      <c r="AU43">
        <v>0</v>
      </c>
      <c r="AV43">
        <v>10</v>
      </c>
      <c r="AW43">
        <v>0</v>
      </c>
      <c r="AX43">
        <v>0.5</v>
      </c>
      <c r="AY43">
        <v>0</v>
      </c>
      <c r="AZ43">
        <v>0.5</v>
      </c>
      <c r="BA43">
        <v>0</v>
      </c>
      <c r="BB43">
        <v>0.5</v>
      </c>
      <c r="BC43">
        <v>0</v>
      </c>
      <c r="BD43">
        <v>0.5</v>
      </c>
      <c r="BE43">
        <v>0</v>
      </c>
      <c r="BF43">
        <v>0</v>
      </c>
    </row>
    <row r="44" spans="1:58">
      <c r="A44" t="s">
        <v>16902</v>
      </c>
      <c r="B44" t="s">
        <v>16903</v>
      </c>
      <c r="C44">
        <v>0</v>
      </c>
      <c r="D44">
        <v>2</v>
      </c>
      <c r="E44">
        <v>2</v>
      </c>
      <c r="F44">
        <v>2</v>
      </c>
      <c r="G44">
        <v>0</v>
      </c>
      <c r="H44">
        <v>0</v>
      </c>
      <c r="I44">
        <v>0</v>
      </c>
      <c r="J44">
        <v>2</v>
      </c>
      <c r="K44">
        <v>6</v>
      </c>
      <c r="L44">
        <v>1</v>
      </c>
      <c r="M44">
        <v>0</v>
      </c>
      <c r="N44">
        <v>1</v>
      </c>
      <c r="O44">
        <v>0</v>
      </c>
      <c r="P44">
        <v>0</v>
      </c>
      <c r="Q44">
        <v>0</v>
      </c>
      <c r="R44">
        <v>0</v>
      </c>
      <c r="S44">
        <v>1.25</v>
      </c>
      <c r="T44">
        <v>1</v>
      </c>
      <c r="U44">
        <v>2</v>
      </c>
      <c r="V44">
        <v>4.25</v>
      </c>
      <c r="W44">
        <v>32.5</v>
      </c>
      <c r="X44">
        <v>0</v>
      </c>
      <c r="Y44">
        <v>2</v>
      </c>
      <c r="Z44">
        <v>0</v>
      </c>
      <c r="AA44">
        <v>0</v>
      </c>
      <c r="AB44">
        <v>0</v>
      </c>
      <c r="AC44">
        <v>0</v>
      </c>
      <c r="AD44">
        <v>0</v>
      </c>
      <c r="AE44">
        <v>0</v>
      </c>
      <c r="AF44">
        <v>0</v>
      </c>
      <c r="AG44">
        <v>72.5</v>
      </c>
      <c r="AH44">
        <v>72.5</v>
      </c>
      <c r="AI44">
        <v>0</v>
      </c>
      <c r="AJ44">
        <v>0</v>
      </c>
      <c r="AK44">
        <v>0</v>
      </c>
      <c r="AL44">
        <v>0</v>
      </c>
      <c r="AM44">
        <v>0</v>
      </c>
      <c r="AN44">
        <v>0</v>
      </c>
      <c r="AO44">
        <v>0</v>
      </c>
      <c r="AP44">
        <v>0</v>
      </c>
      <c r="AQ44">
        <v>0</v>
      </c>
      <c r="AR44">
        <v>0</v>
      </c>
      <c r="AS44">
        <v>0</v>
      </c>
      <c r="AT44">
        <v>6</v>
      </c>
      <c r="AU44">
        <v>0</v>
      </c>
      <c r="AV44">
        <v>6</v>
      </c>
      <c r="AW44">
        <v>0</v>
      </c>
      <c r="AX44">
        <v>1.25</v>
      </c>
      <c r="AY44">
        <v>0</v>
      </c>
      <c r="AZ44">
        <v>1.25</v>
      </c>
      <c r="BA44">
        <v>0</v>
      </c>
      <c r="BB44">
        <v>1</v>
      </c>
      <c r="BC44">
        <v>0</v>
      </c>
      <c r="BD44">
        <v>1</v>
      </c>
      <c r="BE44">
        <v>0</v>
      </c>
      <c r="BF44">
        <v>2</v>
      </c>
    </row>
    <row r="45" spans="1:58">
      <c r="A45" t="s">
        <v>16906</v>
      </c>
      <c r="B45" t="s">
        <v>16907</v>
      </c>
      <c r="C45">
        <v>0</v>
      </c>
      <c r="D45">
        <v>1</v>
      </c>
      <c r="E45">
        <v>0</v>
      </c>
      <c r="F45">
        <v>1</v>
      </c>
      <c r="G45">
        <v>0</v>
      </c>
      <c r="H45">
        <v>0</v>
      </c>
      <c r="I45">
        <v>0</v>
      </c>
      <c r="J45">
        <v>1</v>
      </c>
      <c r="K45">
        <v>1</v>
      </c>
      <c r="L45">
        <v>1</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2</v>
      </c>
      <c r="AU45">
        <v>0</v>
      </c>
      <c r="AV45">
        <v>2</v>
      </c>
      <c r="AW45">
        <v>0</v>
      </c>
      <c r="AX45">
        <v>0</v>
      </c>
      <c r="AY45">
        <v>0</v>
      </c>
      <c r="AZ45">
        <v>0</v>
      </c>
      <c r="BA45">
        <v>0</v>
      </c>
      <c r="BB45">
        <v>0</v>
      </c>
      <c r="BC45">
        <v>0</v>
      </c>
      <c r="BD45">
        <v>0</v>
      </c>
      <c r="BE45">
        <v>0</v>
      </c>
      <c r="BF45">
        <v>47</v>
      </c>
    </row>
    <row r="46" spans="1:58">
      <c r="A46" t="s">
        <v>16908</v>
      </c>
      <c r="B46" t="s">
        <v>16909</v>
      </c>
      <c r="C46">
        <v>0</v>
      </c>
      <c r="D46">
        <v>31</v>
      </c>
      <c r="E46">
        <v>25</v>
      </c>
      <c r="F46">
        <v>17</v>
      </c>
      <c r="G46">
        <v>0</v>
      </c>
      <c r="H46">
        <v>8</v>
      </c>
      <c r="I46">
        <v>7</v>
      </c>
      <c r="J46">
        <v>24</v>
      </c>
      <c r="K46">
        <v>64</v>
      </c>
      <c r="L46">
        <v>16</v>
      </c>
      <c r="M46">
        <v>1</v>
      </c>
      <c r="N46">
        <v>1</v>
      </c>
      <c r="O46">
        <v>8</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64</v>
      </c>
      <c r="AU46">
        <v>9</v>
      </c>
      <c r="AV46">
        <v>55</v>
      </c>
      <c r="AW46">
        <v>0</v>
      </c>
      <c r="AX46">
        <v>0</v>
      </c>
      <c r="AY46">
        <v>0</v>
      </c>
      <c r="AZ46">
        <v>0</v>
      </c>
      <c r="BA46">
        <v>0</v>
      </c>
      <c r="BB46">
        <v>0</v>
      </c>
      <c r="BC46">
        <v>0</v>
      </c>
      <c r="BD46">
        <v>0</v>
      </c>
      <c r="BE46">
        <v>0</v>
      </c>
      <c r="BF46">
        <v>5</v>
      </c>
    </row>
    <row r="47" spans="1:58">
      <c r="A47" t="s">
        <v>17221</v>
      </c>
      <c r="B47" t="s">
        <v>17405</v>
      </c>
      <c r="C47">
        <v>0</v>
      </c>
      <c r="D47">
        <v>76</v>
      </c>
      <c r="E47">
        <v>68</v>
      </c>
      <c r="F47">
        <v>34</v>
      </c>
      <c r="G47">
        <v>5</v>
      </c>
      <c r="H47">
        <v>6</v>
      </c>
      <c r="I47">
        <v>1</v>
      </c>
      <c r="J47">
        <v>57</v>
      </c>
      <c r="K47">
        <v>328</v>
      </c>
      <c r="L47">
        <v>44</v>
      </c>
      <c r="M47">
        <v>1</v>
      </c>
      <c r="N47">
        <v>0</v>
      </c>
      <c r="O47">
        <v>0</v>
      </c>
      <c r="P47">
        <v>0</v>
      </c>
      <c r="Q47">
        <v>15</v>
      </c>
      <c r="R47">
        <v>0</v>
      </c>
      <c r="S47">
        <v>712.75</v>
      </c>
      <c r="T47">
        <v>0.25</v>
      </c>
      <c r="U47">
        <v>0</v>
      </c>
      <c r="V47">
        <v>713</v>
      </c>
      <c r="W47" s="20">
        <v>7132.5</v>
      </c>
      <c r="X47">
        <v>0</v>
      </c>
      <c r="Y47">
        <v>39</v>
      </c>
      <c r="Z47">
        <v>0</v>
      </c>
      <c r="AA47">
        <v>0</v>
      </c>
      <c r="AB47" s="20">
        <v>6565</v>
      </c>
      <c r="AC47">
        <v>30.1</v>
      </c>
      <c r="AD47">
        <v>30.1</v>
      </c>
      <c r="AE47">
        <v>28</v>
      </c>
      <c r="AF47" s="20">
        <v>6595.1</v>
      </c>
      <c r="AG47" s="20">
        <v>7162.6</v>
      </c>
      <c r="AH47" s="20">
        <v>7134.6</v>
      </c>
      <c r="AI47">
        <v>26.9</v>
      </c>
      <c r="AJ47">
        <v>29</v>
      </c>
      <c r="AK47">
        <v>39</v>
      </c>
      <c r="AL47">
        <v>12.1</v>
      </c>
      <c r="AM47">
        <v>1</v>
      </c>
      <c r="AN47">
        <v>1</v>
      </c>
      <c r="AO47">
        <v>0</v>
      </c>
      <c r="AP47">
        <v>0</v>
      </c>
      <c r="AQ47">
        <v>0</v>
      </c>
      <c r="AR47">
        <v>0</v>
      </c>
      <c r="AS47">
        <v>0</v>
      </c>
      <c r="AT47">
        <v>328</v>
      </c>
      <c r="AU47">
        <v>43</v>
      </c>
      <c r="AV47">
        <v>285</v>
      </c>
      <c r="AW47">
        <v>0</v>
      </c>
      <c r="AX47">
        <v>712.75</v>
      </c>
      <c r="AY47">
        <v>1</v>
      </c>
      <c r="AZ47">
        <v>711.75</v>
      </c>
      <c r="BA47">
        <v>0</v>
      </c>
      <c r="BB47">
        <v>0.25</v>
      </c>
      <c r="BC47">
        <v>0</v>
      </c>
      <c r="BD47">
        <v>0.25</v>
      </c>
      <c r="BE47">
        <v>0</v>
      </c>
      <c r="BF47" s="21">
        <v>122614</v>
      </c>
    </row>
    <row r="48" spans="1:58">
      <c r="A48" t="s">
        <v>16910</v>
      </c>
      <c r="B48" t="s">
        <v>16911</v>
      </c>
      <c r="C48">
        <v>0</v>
      </c>
      <c r="D48">
        <v>1</v>
      </c>
      <c r="E48">
        <v>1</v>
      </c>
      <c r="F48">
        <v>1</v>
      </c>
      <c r="G48">
        <v>1</v>
      </c>
      <c r="H48">
        <v>1</v>
      </c>
      <c r="I48">
        <v>1</v>
      </c>
      <c r="J48">
        <v>1</v>
      </c>
      <c r="K48">
        <v>149</v>
      </c>
      <c r="L48">
        <v>1</v>
      </c>
      <c r="M48">
        <v>0</v>
      </c>
      <c r="N48">
        <v>0</v>
      </c>
      <c r="O48">
        <v>0</v>
      </c>
      <c r="P48">
        <v>0</v>
      </c>
      <c r="Q48">
        <v>0</v>
      </c>
      <c r="R48">
        <v>0</v>
      </c>
      <c r="S48">
        <v>32</v>
      </c>
      <c r="T48">
        <v>6</v>
      </c>
      <c r="U48">
        <v>0</v>
      </c>
      <c r="V48">
        <v>38</v>
      </c>
      <c r="W48">
        <v>440</v>
      </c>
      <c r="X48">
        <v>0</v>
      </c>
      <c r="Y48">
        <v>1</v>
      </c>
      <c r="Z48">
        <v>0</v>
      </c>
      <c r="AA48">
        <v>0</v>
      </c>
      <c r="AB48">
        <v>410</v>
      </c>
      <c r="AC48">
        <v>0</v>
      </c>
      <c r="AD48">
        <v>0</v>
      </c>
      <c r="AE48">
        <v>200</v>
      </c>
      <c r="AF48">
        <v>410</v>
      </c>
      <c r="AG48">
        <v>440</v>
      </c>
      <c r="AH48">
        <v>240</v>
      </c>
      <c r="AI48">
        <v>200</v>
      </c>
      <c r="AJ48">
        <v>410</v>
      </c>
      <c r="AK48">
        <v>440</v>
      </c>
      <c r="AL48">
        <v>240</v>
      </c>
      <c r="AM48">
        <v>0</v>
      </c>
      <c r="AN48">
        <v>0</v>
      </c>
      <c r="AO48">
        <v>0</v>
      </c>
      <c r="AP48">
        <v>1</v>
      </c>
      <c r="AQ48">
        <v>0</v>
      </c>
      <c r="AR48">
        <v>0</v>
      </c>
      <c r="AS48">
        <v>0</v>
      </c>
      <c r="AT48">
        <v>149</v>
      </c>
      <c r="AU48">
        <v>149</v>
      </c>
      <c r="AV48">
        <v>0</v>
      </c>
      <c r="AW48">
        <v>0</v>
      </c>
      <c r="AX48">
        <v>32</v>
      </c>
      <c r="AY48">
        <v>32</v>
      </c>
      <c r="AZ48">
        <v>0</v>
      </c>
      <c r="BA48">
        <v>0</v>
      </c>
      <c r="BB48">
        <v>6</v>
      </c>
      <c r="BC48">
        <v>6</v>
      </c>
      <c r="BD48">
        <v>0</v>
      </c>
      <c r="BE48">
        <v>0</v>
      </c>
      <c r="BF48">
        <v>180</v>
      </c>
    </row>
    <row r="49" spans="1:58">
      <c r="A49" t="s">
        <v>16912</v>
      </c>
      <c r="B49" t="s">
        <v>16913</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500</v>
      </c>
    </row>
    <row r="50" spans="1:58">
      <c r="A50" t="s">
        <v>16914</v>
      </c>
      <c r="B50" t="s">
        <v>16915</v>
      </c>
      <c r="C50">
        <v>0</v>
      </c>
      <c r="D50">
        <v>10</v>
      </c>
      <c r="E50">
        <v>10</v>
      </c>
      <c r="F50">
        <v>9</v>
      </c>
      <c r="G50">
        <v>1</v>
      </c>
      <c r="H50">
        <v>2</v>
      </c>
      <c r="I50">
        <v>0</v>
      </c>
      <c r="J50">
        <v>10</v>
      </c>
      <c r="K50">
        <v>107</v>
      </c>
      <c r="L50">
        <v>3</v>
      </c>
      <c r="M50">
        <v>2</v>
      </c>
      <c r="N50">
        <v>2</v>
      </c>
      <c r="O50">
        <v>3</v>
      </c>
      <c r="P50">
        <v>0</v>
      </c>
      <c r="Q50">
        <v>0</v>
      </c>
      <c r="R50">
        <v>0</v>
      </c>
      <c r="S50">
        <v>1</v>
      </c>
      <c r="T50">
        <v>11</v>
      </c>
      <c r="U50">
        <v>0</v>
      </c>
      <c r="V50">
        <v>12</v>
      </c>
      <c r="W50">
        <v>230</v>
      </c>
      <c r="X50">
        <v>0</v>
      </c>
      <c r="Y50">
        <v>0</v>
      </c>
      <c r="Z50">
        <v>1</v>
      </c>
      <c r="AA50">
        <v>0</v>
      </c>
      <c r="AB50">
        <v>170</v>
      </c>
      <c r="AC50">
        <v>15</v>
      </c>
      <c r="AD50">
        <v>15</v>
      </c>
      <c r="AE50">
        <v>162.6</v>
      </c>
      <c r="AF50">
        <v>185</v>
      </c>
      <c r="AG50">
        <v>245</v>
      </c>
      <c r="AH50">
        <v>82.4</v>
      </c>
      <c r="AI50">
        <v>150</v>
      </c>
      <c r="AJ50">
        <v>170</v>
      </c>
      <c r="AK50">
        <v>230</v>
      </c>
      <c r="AL50">
        <v>80</v>
      </c>
      <c r="AM50">
        <v>0</v>
      </c>
      <c r="AN50">
        <v>1</v>
      </c>
      <c r="AO50">
        <v>0</v>
      </c>
      <c r="AP50">
        <v>1</v>
      </c>
      <c r="AQ50">
        <v>0</v>
      </c>
      <c r="AR50">
        <v>0</v>
      </c>
      <c r="AS50">
        <v>0</v>
      </c>
      <c r="AT50">
        <v>107</v>
      </c>
      <c r="AU50">
        <v>91</v>
      </c>
      <c r="AV50">
        <v>16</v>
      </c>
      <c r="AW50">
        <v>0</v>
      </c>
      <c r="AX50">
        <v>1</v>
      </c>
      <c r="AY50">
        <v>1</v>
      </c>
      <c r="AZ50">
        <v>0</v>
      </c>
      <c r="BA50">
        <v>0</v>
      </c>
      <c r="BB50">
        <v>11</v>
      </c>
      <c r="BC50">
        <v>11</v>
      </c>
      <c r="BD50">
        <v>0</v>
      </c>
      <c r="BE50">
        <v>0</v>
      </c>
      <c r="BF50">
        <v>0</v>
      </c>
    </row>
    <row r="51" spans="1:58">
      <c r="A51" t="s">
        <v>16916</v>
      </c>
      <c r="B51" t="s">
        <v>16917</v>
      </c>
      <c r="C51">
        <v>0</v>
      </c>
      <c r="D51">
        <v>1</v>
      </c>
      <c r="E51">
        <v>1</v>
      </c>
      <c r="F51">
        <v>1</v>
      </c>
      <c r="G51">
        <v>1</v>
      </c>
      <c r="H51">
        <v>1</v>
      </c>
      <c r="I51">
        <v>0</v>
      </c>
      <c r="J51">
        <v>1</v>
      </c>
      <c r="K51">
        <v>18</v>
      </c>
      <c r="L51">
        <v>0</v>
      </c>
      <c r="M51">
        <v>0</v>
      </c>
      <c r="N51">
        <v>0</v>
      </c>
      <c r="O51">
        <v>0</v>
      </c>
      <c r="P51">
        <v>1</v>
      </c>
      <c r="Q51">
        <v>0</v>
      </c>
      <c r="R51">
        <v>0</v>
      </c>
      <c r="S51">
        <v>11</v>
      </c>
      <c r="T51">
        <v>0</v>
      </c>
      <c r="U51">
        <v>0</v>
      </c>
      <c r="V51">
        <v>11</v>
      </c>
      <c r="W51">
        <v>110</v>
      </c>
      <c r="X51">
        <v>0</v>
      </c>
      <c r="Y51">
        <v>0</v>
      </c>
      <c r="Z51">
        <v>1</v>
      </c>
      <c r="AA51">
        <v>0</v>
      </c>
      <c r="AB51">
        <v>50</v>
      </c>
      <c r="AC51">
        <v>0</v>
      </c>
      <c r="AD51">
        <v>0</v>
      </c>
      <c r="AE51">
        <v>0</v>
      </c>
      <c r="AF51">
        <v>50</v>
      </c>
      <c r="AG51">
        <v>110</v>
      </c>
      <c r="AH51">
        <v>110</v>
      </c>
      <c r="AI51">
        <v>0</v>
      </c>
      <c r="AJ51">
        <v>50</v>
      </c>
      <c r="AK51">
        <v>110</v>
      </c>
      <c r="AL51">
        <v>110</v>
      </c>
      <c r="AM51">
        <v>0</v>
      </c>
      <c r="AN51">
        <v>0</v>
      </c>
      <c r="AO51">
        <v>0</v>
      </c>
      <c r="AP51">
        <v>0</v>
      </c>
      <c r="AQ51">
        <v>0</v>
      </c>
      <c r="AR51">
        <v>0</v>
      </c>
      <c r="AS51">
        <v>0</v>
      </c>
      <c r="AT51">
        <v>18</v>
      </c>
      <c r="AU51">
        <v>18</v>
      </c>
      <c r="AV51">
        <v>0</v>
      </c>
      <c r="AW51">
        <v>0</v>
      </c>
      <c r="AX51">
        <v>11</v>
      </c>
      <c r="AY51">
        <v>11</v>
      </c>
      <c r="AZ51">
        <v>0</v>
      </c>
      <c r="BA51">
        <v>0</v>
      </c>
      <c r="BB51">
        <v>0</v>
      </c>
      <c r="BC51">
        <v>0</v>
      </c>
      <c r="BD51">
        <v>0</v>
      </c>
      <c r="BE51">
        <v>0</v>
      </c>
      <c r="BF51">
        <v>1</v>
      </c>
    </row>
    <row r="52" spans="1:58">
      <c r="A52" t="s">
        <v>16941</v>
      </c>
      <c r="B52" t="s">
        <v>16942</v>
      </c>
      <c r="C52">
        <v>1</v>
      </c>
      <c r="D52">
        <v>8</v>
      </c>
      <c r="E52">
        <v>8</v>
      </c>
      <c r="F52">
        <v>2</v>
      </c>
      <c r="G52">
        <v>0</v>
      </c>
      <c r="H52">
        <v>0</v>
      </c>
      <c r="I52">
        <v>1</v>
      </c>
      <c r="J52">
        <v>8</v>
      </c>
      <c r="K52">
        <v>26</v>
      </c>
      <c r="L52">
        <v>8</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26</v>
      </c>
      <c r="AU52">
        <v>0</v>
      </c>
      <c r="AV52">
        <v>25</v>
      </c>
      <c r="AW52">
        <v>1</v>
      </c>
      <c r="AX52">
        <v>0</v>
      </c>
      <c r="AY52">
        <v>0</v>
      </c>
      <c r="AZ52">
        <v>0</v>
      </c>
      <c r="BA52">
        <v>0</v>
      </c>
      <c r="BB52">
        <v>0</v>
      </c>
      <c r="BC52">
        <v>0</v>
      </c>
      <c r="BD52">
        <v>0</v>
      </c>
      <c r="BE52">
        <v>0</v>
      </c>
      <c r="BF52">
        <v>2</v>
      </c>
    </row>
    <row r="53" spans="1:58">
      <c r="A53" t="s">
        <v>16920</v>
      </c>
      <c r="B53" t="s">
        <v>16921</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row>
    <row r="54" spans="1:58">
      <c r="A54" t="s">
        <v>16922</v>
      </c>
      <c r="B54" t="s">
        <v>16923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4</v>
      </c>
    </row>
    <row r="55" spans="1:58">
      <c r="A55" t="s">
        <v>16924</v>
      </c>
      <c r="B55" t="s">
        <v>16925</v>
      </c>
      <c r="C55">
        <v>0</v>
      </c>
      <c r="D55">
        <v>7</v>
      </c>
      <c r="E55">
        <v>7</v>
      </c>
      <c r="F55">
        <v>6</v>
      </c>
      <c r="G55">
        <v>0</v>
      </c>
      <c r="H55">
        <v>1</v>
      </c>
      <c r="I55">
        <v>0</v>
      </c>
      <c r="J55">
        <v>7</v>
      </c>
      <c r="K55">
        <v>273</v>
      </c>
      <c r="L55">
        <v>7</v>
      </c>
      <c r="M55">
        <v>0</v>
      </c>
      <c r="N55">
        <v>0</v>
      </c>
      <c r="O55">
        <v>0</v>
      </c>
      <c r="P55">
        <v>0</v>
      </c>
      <c r="Q55">
        <v>0</v>
      </c>
      <c r="R55">
        <v>0</v>
      </c>
      <c r="S55">
        <v>12.5</v>
      </c>
      <c r="T55">
        <v>13.5</v>
      </c>
      <c r="U55">
        <v>0</v>
      </c>
      <c r="V55">
        <v>26</v>
      </c>
      <c r="W55">
        <v>395</v>
      </c>
      <c r="X55">
        <v>0</v>
      </c>
      <c r="Y55">
        <v>1</v>
      </c>
      <c r="Z55">
        <v>0</v>
      </c>
      <c r="AA55">
        <v>0</v>
      </c>
      <c r="AB55">
        <v>365</v>
      </c>
      <c r="AC55">
        <v>73.099999999999994</v>
      </c>
      <c r="AD55">
        <v>73.099999999999994</v>
      </c>
      <c r="AE55">
        <v>73.099999999999994</v>
      </c>
      <c r="AF55">
        <v>438.1</v>
      </c>
      <c r="AG55">
        <v>468.1</v>
      </c>
      <c r="AH55">
        <v>395</v>
      </c>
      <c r="AI55">
        <v>20.399999999999999</v>
      </c>
      <c r="AJ55">
        <v>385.4</v>
      </c>
      <c r="AK55">
        <v>415.4</v>
      </c>
      <c r="AL55">
        <v>395</v>
      </c>
      <c r="AM55">
        <v>0</v>
      </c>
      <c r="AN55">
        <v>4</v>
      </c>
      <c r="AO55">
        <v>0</v>
      </c>
      <c r="AP55">
        <v>0</v>
      </c>
      <c r="AQ55">
        <v>0</v>
      </c>
      <c r="AR55">
        <v>0</v>
      </c>
      <c r="AS55">
        <v>0</v>
      </c>
      <c r="AT55">
        <v>273</v>
      </c>
      <c r="AU55">
        <v>162</v>
      </c>
      <c r="AV55">
        <v>111</v>
      </c>
      <c r="AW55">
        <v>0</v>
      </c>
      <c r="AX55">
        <v>12.5</v>
      </c>
      <c r="AY55">
        <v>12.5</v>
      </c>
      <c r="AZ55">
        <v>0</v>
      </c>
      <c r="BA55">
        <v>0</v>
      </c>
      <c r="BB55">
        <v>13.5</v>
      </c>
      <c r="BC55">
        <v>13.5</v>
      </c>
      <c r="BD55">
        <v>0</v>
      </c>
      <c r="BE55">
        <v>0</v>
      </c>
      <c r="BF55">
        <v>0</v>
      </c>
    </row>
    <row r="56" spans="1:58">
      <c r="A56" t="s">
        <v>16926</v>
      </c>
      <c r="B56" t="s">
        <v>16927</v>
      </c>
      <c r="C56">
        <v>4</v>
      </c>
      <c r="D56">
        <v>5</v>
      </c>
      <c r="E56">
        <v>5</v>
      </c>
      <c r="F56">
        <v>4</v>
      </c>
      <c r="G56">
        <v>0</v>
      </c>
      <c r="H56">
        <v>0</v>
      </c>
      <c r="I56">
        <v>0</v>
      </c>
      <c r="J56">
        <v>5</v>
      </c>
      <c r="K56">
        <v>51</v>
      </c>
      <c r="L56">
        <v>5</v>
      </c>
      <c r="M56">
        <v>0</v>
      </c>
      <c r="N56">
        <v>0</v>
      </c>
      <c r="O56">
        <v>0</v>
      </c>
      <c r="P56">
        <v>0</v>
      </c>
      <c r="Q56">
        <v>0</v>
      </c>
      <c r="R56">
        <v>0</v>
      </c>
      <c r="S56">
        <v>4.5</v>
      </c>
      <c r="T56">
        <v>0</v>
      </c>
      <c r="U56">
        <v>0</v>
      </c>
      <c r="V56">
        <v>4.5</v>
      </c>
      <c r="W56">
        <v>10</v>
      </c>
      <c r="X56">
        <v>0</v>
      </c>
      <c r="Y56">
        <v>1</v>
      </c>
      <c r="Z56">
        <v>0</v>
      </c>
      <c r="AA56">
        <v>-35</v>
      </c>
      <c r="AB56">
        <v>0</v>
      </c>
      <c r="AC56">
        <v>0</v>
      </c>
      <c r="AD56">
        <v>0</v>
      </c>
      <c r="AE56">
        <v>0</v>
      </c>
      <c r="AF56">
        <v>0</v>
      </c>
      <c r="AG56">
        <v>10</v>
      </c>
      <c r="AH56">
        <v>10</v>
      </c>
      <c r="AI56">
        <v>0</v>
      </c>
      <c r="AJ56">
        <v>0</v>
      </c>
      <c r="AK56">
        <v>0</v>
      </c>
      <c r="AL56">
        <v>0</v>
      </c>
      <c r="AM56">
        <v>0</v>
      </c>
      <c r="AN56">
        <v>0</v>
      </c>
      <c r="AO56">
        <v>0</v>
      </c>
      <c r="AP56">
        <v>0</v>
      </c>
      <c r="AQ56">
        <v>0</v>
      </c>
      <c r="AR56">
        <v>0</v>
      </c>
      <c r="AS56">
        <v>0</v>
      </c>
      <c r="AT56">
        <v>51</v>
      </c>
      <c r="AU56">
        <v>0</v>
      </c>
      <c r="AV56">
        <v>20</v>
      </c>
      <c r="AW56">
        <v>31</v>
      </c>
      <c r="AX56">
        <v>4.5</v>
      </c>
      <c r="AY56">
        <v>0</v>
      </c>
      <c r="AZ56">
        <v>1</v>
      </c>
      <c r="BA56">
        <v>3.5</v>
      </c>
      <c r="BB56">
        <v>0</v>
      </c>
      <c r="BC56">
        <v>0</v>
      </c>
      <c r="BD56">
        <v>0</v>
      </c>
      <c r="BE56">
        <v>0</v>
      </c>
      <c r="BF56" s="21">
        <v>8000</v>
      </c>
    </row>
    <row r="57" spans="1:58">
      <c r="A57" t="s">
        <v>16928</v>
      </c>
      <c r="B57" t="s">
        <v>16929</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s="21">
        <v>6331</v>
      </c>
    </row>
    <row r="58" spans="1:58">
      <c r="A58" t="s">
        <v>16930</v>
      </c>
      <c r="B58" t="s">
        <v>16931</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row>
    <row r="59" spans="1:58">
      <c r="A59" t="s">
        <v>17222</v>
      </c>
      <c r="B59" t="s">
        <v>17223</v>
      </c>
      <c r="C59">
        <v>1</v>
      </c>
      <c r="D59">
        <v>58</v>
      </c>
      <c r="E59">
        <v>35</v>
      </c>
      <c r="F59">
        <v>47</v>
      </c>
      <c r="G59">
        <v>2</v>
      </c>
      <c r="H59">
        <v>15</v>
      </c>
      <c r="I59">
        <v>1</v>
      </c>
      <c r="J59">
        <v>56</v>
      </c>
      <c r="K59">
        <v>452</v>
      </c>
      <c r="L59">
        <v>36</v>
      </c>
      <c r="M59">
        <v>2</v>
      </c>
      <c r="N59">
        <v>16</v>
      </c>
      <c r="O59">
        <v>1</v>
      </c>
      <c r="P59">
        <v>0</v>
      </c>
      <c r="Q59">
        <v>1</v>
      </c>
      <c r="R59">
        <v>3</v>
      </c>
      <c r="S59">
        <v>49.75</v>
      </c>
      <c r="T59">
        <v>37.15</v>
      </c>
      <c r="U59">
        <v>0</v>
      </c>
      <c r="V59">
        <v>85.4</v>
      </c>
      <c r="W59" s="20">
        <v>1240.5</v>
      </c>
      <c r="X59">
        <v>0</v>
      </c>
      <c r="Y59">
        <v>44</v>
      </c>
      <c r="Z59">
        <v>0</v>
      </c>
      <c r="AA59">
        <v>0</v>
      </c>
      <c r="AB59">
        <v>370</v>
      </c>
      <c r="AC59">
        <v>268.3</v>
      </c>
      <c r="AD59">
        <v>245.6</v>
      </c>
      <c r="AE59">
        <v>608.6</v>
      </c>
      <c r="AF59">
        <v>615.6</v>
      </c>
      <c r="AG59" s="20">
        <v>1508.8</v>
      </c>
      <c r="AH59">
        <v>900.2</v>
      </c>
      <c r="AI59">
        <v>551.70000000000005</v>
      </c>
      <c r="AJ59">
        <v>551.70000000000005</v>
      </c>
      <c r="AK59">
        <v>858.9</v>
      </c>
      <c r="AL59">
        <v>307.2</v>
      </c>
      <c r="AM59">
        <v>23</v>
      </c>
      <c r="AN59">
        <v>3</v>
      </c>
      <c r="AO59">
        <v>20</v>
      </c>
      <c r="AP59">
        <v>0</v>
      </c>
      <c r="AQ59">
        <v>15</v>
      </c>
      <c r="AR59">
        <v>0</v>
      </c>
      <c r="AS59">
        <v>14</v>
      </c>
      <c r="AT59">
        <v>452</v>
      </c>
      <c r="AU59">
        <v>212</v>
      </c>
      <c r="AV59">
        <v>247</v>
      </c>
      <c r="AW59">
        <v>29</v>
      </c>
      <c r="AX59">
        <v>40</v>
      </c>
      <c r="AY59">
        <v>16.75</v>
      </c>
      <c r="AZ59">
        <v>23.25</v>
      </c>
      <c r="BA59">
        <v>0</v>
      </c>
      <c r="BB59">
        <v>30.15</v>
      </c>
      <c r="BC59">
        <v>24.5</v>
      </c>
      <c r="BD59">
        <v>5.65</v>
      </c>
      <c r="BE59">
        <v>0</v>
      </c>
      <c r="BF59">
        <v>291</v>
      </c>
    </row>
    <row r="60" spans="1:58">
      <c r="A60" t="s">
        <v>16943</v>
      </c>
      <c r="B60" t="s">
        <v>16944</v>
      </c>
      <c r="C60">
        <v>0</v>
      </c>
      <c r="D60">
        <v>1</v>
      </c>
      <c r="E60">
        <v>1</v>
      </c>
      <c r="F60">
        <v>1</v>
      </c>
      <c r="G60">
        <v>0</v>
      </c>
      <c r="H60">
        <v>0</v>
      </c>
      <c r="I60">
        <v>0</v>
      </c>
      <c r="J60">
        <v>1</v>
      </c>
      <c r="K60">
        <v>2</v>
      </c>
      <c r="L60">
        <v>1</v>
      </c>
      <c r="M60">
        <v>0</v>
      </c>
      <c r="N60">
        <v>0</v>
      </c>
      <c r="O60">
        <v>0</v>
      </c>
      <c r="P60">
        <v>0</v>
      </c>
      <c r="Q60">
        <v>0</v>
      </c>
      <c r="R60">
        <v>0</v>
      </c>
      <c r="S60">
        <v>0.25</v>
      </c>
      <c r="T60">
        <v>0.25</v>
      </c>
      <c r="U60">
        <v>0</v>
      </c>
      <c r="V60">
        <v>0.5</v>
      </c>
      <c r="W60">
        <v>7.5</v>
      </c>
      <c r="X60">
        <v>0</v>
      </c>
      <c r="Y60">
        <v>1</v>
      </c>
      <c r="Z60">
        <v>0</v>
      </c>
      <c r="AA60">
        <v>0</v>
      </c>
      <c r="AB60">
        <v>0</v>
      </c>
      <c r="AC60">
        <v>0</v>
      </c>
      <c r="AD60">
        <v>0</v>
      </c>
      <c r="AE60">
        <v>0</v>
      </c>
      <c r="AF60">
        <v>0</v>
      </c>
      <c r="AG60">
        <v>7.5</v>
      </c>
      <c r="AH60">
        <v>7.5</v>
      </c>
      <c r="AI60">
        <v>0</v>
      </c>
      <c r="AJ60">
        <v>0</v>
      </c>
      <c r="AK60">
        <v>0</v>
      </c>
      <c r="AL60">
        <v>0</v>
      </c>
      <c r="AM60">
        <v>0</v>
      </c>
      <c r="AN60">
        <v>0</v>
      </c>
      <c r="AO60">
        <v>0</v>
      </c>
      <c r="AP60">
        <v>0</v>
      </c>
      <c r="AQ60">
        <v>0</v>
      </c>
      <c r="AR60">
        <v>0</v>
      </c>
      <c r="AS60">
        <v>0</v>
      </c>
      <c r="AT60">
        <v>2</v>
      </c>
      <c r="AU60">
        <v>0</v>
      </c>
      <c r="AV60">
        <v>2</v>
      </c>
      <c r="AW60">
        <v>0</v>
      </c>
      <c r="AX60">
        <v>0.25</v>
      </c>
      <c r="AY60">
        <v>0</v>
      </c>
      <c r="AZ60">
        <v>0.25</v>
      </c>
      <c r="BA60">
        <v>0</v>
      </c>
      <c r="BB60">
        <v>0.25</v>
      </c>
      <c r="BC60">
        <v>0</v>
      </c>
      <c r="BD60">
        <v>0.25</v>
      </c>
      <c r="BE60">
        <v>0</v>
      </c>
      <c r="BF60">
        <v>0</v>
      </c>
    </row>
    <row r="61" spans="1:58">
      <c r="A61" t="s">
        <v>17224</v>
      </c>
      <c r="B61" t="s">
        <v>17225</v>
      </c>
      <c r="C61">
        <v>0</v>
      </c>
      <c r="D61">
        <v>5</v>
      </c>
      <c r="E61">
        <v>5</v>
      </c>
      <c r="F61">
        <v>5</v>
      </c>
      <c r="G61">
        <v>1</v>
      </c>
      <c r="H61">
        <v>0</v>
      </c>
      <c r="I61">
        <v>0</v>
      </c>
      <c r="J61">
        <v>5</v>
      </c>
      <c r="K61">
        <v>20</v>
      </c>
      <c r="L61">
        <v>4</v>
      </c>
      <c r="M61">
        <v>1</v>
      </c>
      <c r="N61">
        <v>0</v>
      </c>
      <c r="O61">
        <v>0</v>
      </c>
      <c r="P61">
        <v>0</v>
      </c>
      <c r="Q61">
        <v>0</v>
      </c>
      <c r="R61">
        <v>0</v>
      </c>
      <c r="S61">
        <v>8.75</v>
      </c>
      <c r="T61">
        <v>2.5</v>
      </c>
      <c r="U61">
        <v>0</v>
      </c>
      <c r="V61">
        <v>15.55</v>
      </c>
      <c r="W61">
        <v>137.5</v>
      </c>
      <c r="X61">
        <v>0</v>
      </c>
      <c r="Y61">
        <v>2</v>
      </c>
      <c r="Z61">
        <v>1</v>
      </c>
      <c r="AA61">
        <v>0</v>
      </c>
      <c r="AB61">
        <v>37.5</v>
      </c>
      <c r="AC61">
        <v>0</v>
      </c>
      <c r="AD61">
        <v>0</v>
      </c>
      <c r="AE61">
        <v>0</v>
      </c>
      <c r="AF61">
        <v>37.5</v>
      </c>
      <c r="AG61">
        <v>137.5</v>
      </c>
      <c r="AH61">
        <v>137.5</v>
      </c>
      <c r="AI61">
        <v>0</v>
      </c>
      <c r="AJ61">
        <v>0</v>
      </c>
      <c r="AK61">
        <v>0</v>
      </c>
      <c r="AL61">
        <v>0</v>
      </c>
      <c r="AM61">
        <v>0</v>
      </c>
      <c r="AN61">
        <v>0</v>
      </c>
      <c r="AO61">
        <v>0</v>
      </c>
      <c r="AP61">
        <v>0</v>
      </c>
      <c r="AQ61">
        <v>0</v>
      </c>
      <c r="AR61">
        <v>0</v>
      </c>
      <c r="AS61">
        <v>0</v>
      </c>
      <c r="AT61">
        <v>20</v>
      </c>
      <c r="AU61">
        <v>0</v>
      </c>
      <c r="AV61">
        <v>20</v>
      </c>
      <c r="AW61">
        <v>0</v>
      </c>
      <c r="AX61">
        <v>8.75</v>
      </c>
      <c r="AY61">
        <v>0</v>
      </c>
      <c r="AZ61">
        <v>8.75</v>
      </c>
      <c r="BA61">
        <v>0</v>
      </c>
      <c r="BB61">
        <v>2.5</v>
      </c>
      <c r="BC61">
        <v>0</v>
      </c>
      <c r="BD61">
        <v>2.5</v>
      </c>
      <c r="BE61">
        <v>0</v>
      </c>
      <c r="BF61">
        <v>150</v>
      </c>
    </row>
    <row r="62" spans="1:58">
      <c r="A62" t="s">
        <v>16945</v>
      </c>
      <c r="B62" t="s">
        <v>16946</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row>
    <row r="63" spans="1:58">
      <c r="A63" t="s">
        <v>16951</v>
      </c>
      <c r="B63" t="s">
        <v>17398</v>
      </c>
      <c r="C63">
        <v>0</v>
      </c>
      <c r="D63">
        <v>5</v>
      </c>
      <c r="E63">
        <v>5</v>
      </c>
      <c r="F63">
        <v>5</v>
      </c>
      <c r="G63">
        <v>0</v>
      </c>
      <c r="H63">
        <v>0</v>
      </c>
      <c r="I63">
        <v>0</v>
      </c>
      <c r="J63">
        <v>5</v>
      </c>
      <c r="K63">
        <v>71</v>
      </c>
      <c r="L63">
        <v>0</v>
      </c>
      <c r="M63">
        <v>0</v>
      </c>
      <c r="N63">
        <v>0</v>
      </c>
      <c r="O63">
        <v>5</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71</v>
      </c>
      <c r="AU63">
        <v>0</v>
      </c>
      <c r="AV63">
        <v>71</v>
      </c>
      <c r="AW63">
        <v>0</v>
      </c>
      <c r="AX63">
        <v>0</v>
      </c>
      <c r="AY63">
        <v>0</v>
      </c>
      <c r="AZ63">
        <v>0</v>
      </c>
      <c r="BA63">
        <v>0</v>
      </c>
      <c r="BB63">
        <v>0</v>
      </c>
      <c r="BC63">
        <v>0</v>
      </c>
      <c r="BD63">
        <v>0</v>
      </c>
      <c r="BE63">
        <v>0</v>
      </c>
      <c r="BF63">
        <v>0</v>
      </c>
    </row>
    <row r="64" spans="1:58">
      <c r="A64" t="s">
        <v>16954</v>
      </c>
      <c r="B64" t="s">
        <v>16955</v>
      </c>
      <c r="C64">
        <v>0</v>
      </c>
      <c r="D64">
        <v>12</v>
      </c>
      <c r="E64">
        <v>12</v>
      </c>
      <c r="F64">
        <v>12</v>
      </c>
      <c r="G64">
        <v>0</v>
      </c>
      <c r="H64">
        <v>0</v>
      </c>
      <c r="I64">
        <v>0</v>
      </c>
      <c r="J64">
        <v>12</v>
      </c>
      <c r="K64">
        <v>37</v>
      </c>
      <c r="L64">
        <v>4</v>
      </c>
      <c r="M64">
        <v>1</v>
      </c>
      <c r="N64">
        <v>1</v>
      </c>
      <c r="O64">
        <v>6</v>
      </c>
      <c r="P64">
        <v>0</v>
      </c>
      <c r="Q64">
        <v>0</v>
      </c>
      <c r="R64">
        <v>0</v>
      </c>
      <c r="S64">
        <v>2</v>
      </c>
      <c r="T64">
        <v>0.5</v>
      </c>
      <c r="U64">
        <v>0</v>
      </c>
      <c r="V64">
        <v>2.5</v>
      </c>
      <c r="W64">
        <v>30</v>
      </c>
      <c r="X64">
        <v>0</v>
      </c>
      <c r="Y64">
        <v>1</v>
      </c>
      <c r="Z64">
        <v>0</v>
      </c>
      <c r="AA64">
        <v>0</v>
      </c>
      <c r="AB64">
        <v>0</v>
      </c>
      <c r="AC64">
        <v>67.5</v>
      </c>
      <c r="AD64">
        <v>67.5</v>
      </c>
      <c r="AE64">
        <v>67.5</v>
      </c>
      <c r="AF64">
        <v>67.5</v>
      </c>
      <c r="AG64">
        <v>97.5</v>
      </c>
      <c r="AH64">
        <v>30</v>
      </c>
      <c r="AI64">
        <v>0</v>
      </c>
      <c r="AJ64">
        <v>0</v>
      </c>
      <c r="AK64">
        <v>0</v>
      </c>
      <c r="AL64">
        <v>0</v>
      </c>
      <c r="AM64">
        <v>0</v>
      </c>
      <c r="AN64">
        <v>0</v>
      </c>
      <c r="AO64">
        <v>1</v>
      </c>
      <c r="AP64">
        <v>0</v>
      </c>
      <c r="AQ64">
        <v>0</v>
      </c>
      <c r="AR64">
        <v>0</v>
      </c>
      <c r="AS64">
        <v>0</v>
      </c>
      <c r="AT64">
        <v>37</v>
      </c>
      <c r="AU64">
        <v>0</v>
      </c>
      <c r="AV64">
        <v>37</v>
      </c>
      <c r="AW64">
        <v>0</v>
      </c>
      <c r="AX64">
        <v>2</v>
      </c>
      <c r="AY64">
        <v>0</v>
      </c>
      <c r="AZ64">
        <v>2</v>
      </c>
      <c r="BA64">
        <v>0</v>
      </c>
      <c r="BB64">
        <v>0.5</v>
      </c>
      <c r="BC64">
        <v>0</v>
      </c>
      <c r="BD64">
        <v>0.5</v>
      </c>
      <c r="BE64">
        <v>0</v>
      </c>
      <c r="BF64" s="21">
        <v>5145</v>
      </c>
    </row>
    <row r="65" spans="1:58">
      <c r="A65" t="s">
        <v>16956</v>
      </c>
      <c r="B65" t="s">
        <v>16957</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row>
    <row r="66" spans="1:58">
      <c r="A66" t="s">
        <v>19333</v>
      </c>
      <c r="B66" t="s">
        <v>19334</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row>
    <row r="67" spans="1:58">
      <c r="A67" t="s">
        <v>16958</v>
      </c>
      <c r="B67" t="s">
        <v>16959</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row>
    <row r="68" spans="1:58">
      <c r="A68" t="s">
        <v>16960</v>
      </c>
      <c r="B68" t="s">
        <v>18795</v>
      </c>
      <c r="C68">
        <v>5</v>
      </c>
      <c r="D68">
        <v>35</v>
      </c>
      <c r="E68">
        <v>0</v>
      </c>
      <c r="F68">
        <v>33</v>
      </c>
      <c r="G68">
        <v>0</v>
      </c>
      <c r="H68">
        <v>3</v>
      </c>
      <c r="I68">
        <v>0</v>
      </c>
      <c r="J68">
        <v>35</v>
      </c>
      <c r="K68">
        <v>210</v>
      </c>
      <c r="L68">
        <v>35</v>
      </c>
      <c r="M68">
        <v>0</v>
      </c>
      <c r="N68">
        <v>0</v>
      </c>
      <c r="O68">
        <v>0</v>
      </c>
      <c r="P68">
        <v>0</v>
      </c>
      <c r="Q68">
        <v>0</v>
      </c>
      <c r="R68">
        <v>0</v>
      </c>
      <c r="S68">
        <v>18.5</v>
      </c>
      <c r="T68">
        <v>0</v>
      </c>
      <c r="U68">
        <v>0</v>
      </c>
      <c r="V68">
        <v>18.5</v>
      </c>
      <c r="W68">
        <v>165</v>
      </c>
      <c r="X68">
        <v>0</v>
      </c>
      <c r="Y68">
        <v>30</v>
      </c>
      <c r="Z68">
        <v>0</v>
      </c>
      <c r="AA68">
        <v>-20</v>
      </c>
      <c r="AB68">
        <v>0</v>
      </c>
      <c r="AC68">
        <v>163.5</v>
      </c>
      <c r="AD68">
        <v>163</v>
      </c>
      <c r="AE68">
        <v>68</v>
      </c>
      <c r="AF68">
        <v>163</v>
      </c>
      <c r="AG68">
        <v>328.5</v>
      </c>
      <c r="AH68">
        <v>246</v>
      </c>
      <c r="AI68">
        <v>6.5</v>
      </c>
      <c r="AJ68">
        <v>12.5</v>
      </c>
      <c r="AK68">
        <v>22.5</v>
      </c>
      <c r="AL68">
        <v>16</v>
      </c>
      <c r="AM68">
        <v>10</v>
      </c>
      <c r="AN68">
        <v>4</v>
      </c>
      <c r="AO68">
        <v>0</v>
      </c>
      <c r="AP68">
        <v>0</v>
      </c>
      <c r="AQ68">
        <v>0</v>
      </c>
      <c r="AR68">
        <v>0</v>
      </c>
      <c r="AS68">
        <v>0</v>
      </c>
      <c r="AT68">
        <v>210</v>
      </c>
      <c r="AU68">
        <v>19</v>
      </c>
      <c r="AV68">
        <v>176</v>
      </c>
      <c r="AW68">
        <v>14</v>
      </c>
      <c r="AX68">
        <v>18.5</v>
      </c>
      <c r="AY68">
        <v>1.5</v>
      </c>
      <c r="AZ68">
        <v>13.25</v>
      </c>
      <c r="BA68">
        <v>2</v>
      </c>
      <c r="BB68">
        <v>0</v>
      </c>
      <c r="BC68">
        <v>0</v>
      </c>
      <c r="BD68">
        <v>0</v>
      </c>
      <c r="BE68">
        <v>0</v>
      </c>
      <c r="BF68">
        <v>15</v>
      </c>
    </row>
    <row r="69" spans="1:58">
      <c r="A69" t="s">
        <v>16961</v>
      </c>
      <c r="B69" t="s">
        <v>16962</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row>
    <row r="70" spans="1:58">
      <c r="A70" t="s">
        <v>18796</v>
      </c>
      <c r="B70" t="s">
        <v>18797</v>
      </c>
      <c r="C70">
        <v>0</v>
      </c>
      <c r="D70">
        <v>2</v>
      </c>
      <c r="E70">
        <v>1</v>
      </c>
      <c r="F70">
        <v>1</v>
      </c>
      <c r="G70">
        <v>0</v>
      </c>
      <c r="H70">
        <v>0</v>
      </c>
      <c r="I70">
        <v>0</v>
      </c>
      <c r="J70">
        <v>2</v>
      </c>
      <c r="K70">
        <v>153</v>
      </c>
      <c r="L70">
        <v>2</v>
      </c>
      <c r="M70">
        <v>0</v>
      </c>
      <c r="N70">
        <v>0</v>
      </c>
      <c r="O70">
        <v>0</v>
      </c>
      <c r="P70">
        <v>0</v>
      </c>
      <c r="Q70">
        <v>0</v>
      </c>
      <c r="R70">
        <v>0</v>
      </c>
      <c r="S70">
        <v>4.25</v>
      </c>
      <c r="T70">
        <v>0</v>
      </c>
      <c r="U70">
        <v>0</v>
      </c>
      <c r="V70">
        <v>4.25</v>
      </c>
      <c r="W70">
        <v>42.5</v>
      </c>
      <c r="X70">
        <v>0</v>
      </c>
      <c r="Y70">
        <v>2</v>
      </c>
      <c r="Z70">
        <v>0</v>
      </c>
      <c r="AA70">
        <v>0</v>
      </c>
      <c r="AB70">
        <v>10</v>
      </c>
      <c r="AC70">
        <v>0</v>
      </c>
      <c r="AD70">
        <v>0</v>
      </c>
      <c r="AE70">
        <v>0</v>
      </c>
      <c r="AF70">
        <v>10</v>
      </c>
      <c r="AG70">
        <v>42.5</v>
      </c>
      <c r="AH70">
        <v>42.5</v>
      </c>
      <c r="AI70">
        <v>0</v>
      </c>
      <c r="AJ70">
        <v>0</v>
      </c>
      <c r="AK70">
        <v>0</v>
      </c>
      <c r="AL70">
        <v>0</v>
      </c>
      <c r="AM70">
        <v>0</v>
      </c>
      <c r="AN70">
        <v>0</v>
      </c>
      <c r="AO70">
        <v>0</v>
      </c>
      <c r="AP70">
        <v>0</v>
      </c>
      <c r="AQ70">
        <v>0</v>
      </c>
      <c r="AR70">
        <v>0</v>
      </c>
      <c r="AS70">
        <v>0</v>
      </c>
      <c r="AT70">
        <v>153</v>
      </c>
      <c r="AU70">
        <v>0</v>
      </c>
      <c r="AV70">
        <v>153</v>
      </c>
      <c r="AW70">
        <v>0</v>
      </c>
      <c r="AX70">
        <v>4.25</v>
      </c>
      <c r="AY70">
        <v>0</v>
      </c>
      <c r="AZ70">
        <v>4.25</v>
      </c>
      <c r="BA70">
        <v>0</v>
      </c>
      <c r="BB70">
        <v>0</v>
      </c>
      <c r="BC70">
        <v>0</v>
      </c>
      <c r="BD70">
        <v>0</v>
      </c>
      <c r="BE70">
        <v>0</v>
      </c>
      <c r="BF70">
        <v>2</v>
      </c>
    </row>
    <row r="71" spans="1:58">
      <c r="A71" t="s">
        <v>17395</v>
      </c>
      <c r="B71" t="s">
        <v>17396</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row>
    <row r="72" spans="1:58">
      <c r="A72" t="s">
        <v>16963</v>
      </c>
      <c r="B72" t="s">
        <v>16964</v>
      </c>
      <c r="C72">
        <v>0</v>
      </c>
      <c r="D72">
        <v>7</v>
      </c>
      <c r="E72">
        <v>7</v>
      </c>
      <c r="F72">
        <v>7</v>
      </c>
      <c r="G72">
        <v>0</v>
      </c>
      <c r="H72">
        <v>0</v>
      </c>
      <c r="I72">
        <v>0</v>
      </c>
      <c r="J72">
        <v>7</v>
      </c>
      <c r="K72">
        <v>21</v>
      </c>
      <c r="L72">
        <v>7</v>
      </c>
      <c r="M72">
        <v>0</v>
      </c>
      <c r="N72">
        <v>0</v>
      </c>
      <c r="O72">
        <v>0</v>
      </c>
      <c r="P72">
        <v>0</v>
      </c>
      <c r="Q72">
        <v>0</v>
      </c>
      <c r="R72">
        <v>0</v>
      </c>
      <c r="S72">
        <v>1.75</v>
      </c>
      <c r="T72">
        <v>3.5</v>
      </c>
      <c r="U72">
        <v>0</v>
      </c>
      <c r="V72">
        <v>5.25</v>
      </c>
      <c r="W72">
        <v>87.5</v>
      </c>
      <c r="X72">
        <v>0</v>
      </c>
      <c r="Y72">
        <v>6</v>
      </c>
      <c r="Z72">
        <v>1</v>
      </c>
      <c r="AA72">
        <v>0</v>
      </c>
      <c r="AB72">
        <v>12.5</v>
      </c>
      <c r="AC72">
        <v>0</v>
      </c>
      <c r="AD72">
        <v>0</v>
      </c>
      <c r="AE72">
        <v>12.5</v>
      </c>
      <c r="AF72">
        <v>12.5</v>
      </c>
      <c r="AG72">
        <v>87.5</v>
      </c>
      <c r="AH72">
        <v>75</v>
      </c>
      <c r="AI72">
        <v>0</v>
      </c>
      <c r="AJ72">
        <v>0</v>
      </c>
      <c r="AK72">
        <v>0</v>
      </c>
      <c r="AL72">
        <v>0</v>
      </c>
      <c r="AM72">
        <v>0</v>
      </c>
      <c r="AN72">
        <v>1</v>
      </c>
      <c r="AO72">
        <v>0</v>
      </c>
      <c r="AP72">
        <v>0</v>
      </c>
      <c r="AQ72">
        <v>0</v>
      </c>
      <c r="AR72">
        <v>0</v>
      </c>
      <c r="AS72">
        <v>0</v>
      </c>
      <c r="AT72">
        <v>21</v>
      </c>
      <c r="AU72">
        <v>0</v>
      </c>
      <c r="AV72">
        <v>21</v>
      </c>
      <c r="AW72">
        <v>0</v>
      </c>
      <c r="AX72">
        <v>1.75</v>
      </c>
      <c r="AY72">
        <v>0</v>
      </c>
      <c r="AZ72">
        <v>1.75</v>
      </c>
      <c r="BA72">
        <v>0</v>
      </c>
      <c r="BB72">
        <v>3.5</v>
      </c>
      <c r="BC72">
        <v>0</v>
      </c>
      <c r="BD72">
        <v>3.5</v>
      </c>
      <c r="BE72">
        <v>0</v>
      </c>
      <c r="BF72">
        <v>5</v>
      </c>
    </row>
    <row r="73" spans="1:58">
      <c r="A73" t="s">
        <v>16965</v>
      </c>
      <c r="B73" t="s">
        <v>16966</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row>
    <row r="74" spans="1:58">
      <c r="A74" t="s">
        <v>17373</v>
      </c>
      <c r="B74" t="s">
        <v>17374</v>
      </c>
      <c r="C74">
        <v>2</v>
      </c>
      <c r="D74">
        <v>11</v>
      </c>
      <c r="E74">
        <v>11</v>
      </c>
      <c r="F74">
        <v>7</v>
      </c>
      <c r="G74">
        <v>1</v>
      </c>
      <c r="H74">
        <v>3</v>
      </c>
      <c r="I74">
        <v>3</v>
      </c>
      <c r="J74">
        <v>11</v>
      </c>
      <c r="K74">
        <v>135</v>
      </c>
      <c r="L74">
        <v>7</v>
      </c>
      <c r="M74">
        <v>0</v>
      </c>
      <c r="N74">
        <v>0</v>
      </c>
      <c r="O74">
        <v>3</v>
      </c>
      <c r="P74">
        <v>0</v>
      </c>
      <c r="Q74">
        <v>1</v>
      </c>
      <c r="R74">
        <v>2</v>
      </c>
      <c r="S74">
        <v>2</v>
      </c>
      <c r="T74">
        <v>19.25</v>
      </c>
      <c r="U74">
        <v>1</v>
      </c>
      <c r="V74">
        <v>22.25</v>
      </c>
      <c r="W74">
        <v>405</v>
      </c>
      <c r="X74">
        <v>0</v>
      </c>
      <c r="Y74">
        <v>5</v>
      </c>
      <c r="Z74">
        <v>0</v>
      </c>
      <c r="AA74">
        <v>0</v>
      </c>
      <c r="AB74">
        <v>255</v>
      </c>
      <c r="AC74" s="20">
        <v>1059</v>
      </c>
      <c r="AD74" s="20">
        <v>1059</v>
      </c>
      <c r="AE74">
        <v>934</v>
      </c>
      <c r="AF74" s="20">
        <v>1314</v>
      </c>
      <c r="AG74" s="20">
        <v>1484</v>
      </c>
      <c r="AH74">
        <v>550</v>
      </c>
      <c r="AI74">
        <v>738</v>
      </c>
      <c r="AJ74">
        <v>747.5</v>
      </c>
      <c r="AK74">
        <v>807.5</v>
      </c>
      <c r="AL74">
        <v>69.5</v>
      </c>
      <c r="AM74">
        <v>0</v>
      </c>
      <c r="AN74">
        <v>1</v>
      </c>
      <c r="AO74">
        <v>1</v>
      </c>
      <c r="AP74">
        <v>4</v>
      </c>
      <c r="AQ74">
        <v>0</v>
      </c>
      <c r="AR74">
        <v>0</v>
      </c>
      <c r="AS74">
        <v>0</v>
      </c>
      <c r="AT74">
        <v>135</v>
      </c>
      <c r="AU74">
        <v>39</v>
      </c>
      <c r="AV74">
        <v>38</v>
      </c>
      <c r="AW74">
        <v>71</v>
      </c>
      <c r="AX74">
        <v>2</v>
      </c>
      <c r="AY74">
        <v>0.75</v>
      </c>
      <c r="AZ74">
        <v>1.25</v>
      </c>
      <c r="BA74">
        <v>0</v>
      </c>
      <c r="BB74">
        <v>19.25</v>
      </c>
      <c r="BC74">
        <v>5.5</v>
      </c>
      <c r="BD74">
        <v>13.75</v>
      </c>
      <c r="BE74">
        <v>0</v>
      </c>
      <c r="BF74">
        <v>108</v>
      </c>
    </row>
    <row r="75" spans="1:58">
      <c r="A75" t="s">
        <v>17376</v>
      </c>
      <c r="B75" t="s">
        <v>17377</v>
      </c>
      <c r="C75">
        <v>8</v>
      </c>
      <c r="D75">
        <v>39</v>
      </c>
      <c r="E75">
        <v>39</v>
      </c>
      <c r="F75">
        <v>37</v>
      </c>
      <c r="G75">
        <v>0</v>
      </c>
      <c r="H75">
        <v>0</v>
      </c>
      <c r="I75">
        <v>0</v>
      </c>
      <c r="J75">
        <v>39</v>
      </c>
      <c r="K75">
        <v>123</v>
      </c>
      <c r="L75">
        <v>0</v>
      </c>
      <c r="M75">
        <v>29</v>
      </c>
      <c r="N75">
        <v>5</v>
      </c>
      <c r="O75">
        <v>5</v>
      </c>
      <c r="P75">
        <v>0</v>
      </c>
      <c r="Q75">
        <v>0</v>
      </c>
      <c r="R75">
        <v>0</v>
      </c>
      <c r="S75">
        <v>10</v>
      </c>
      <c r="T75">
        <v>0.5</v>
      </c>
      <c r="U75">
        <v>0</v>
      </c>
      <c r="V75">
        <v>10.5</v>
      </c>
      <c r="W75">
        <v>92.5</v>
      </c>
      <c r="X75">
        <v>0</v>
      </c>
      <c r="Y75">
        <v>31</v>
      </c>
      <c r="Z75">
        <v>0</v>
      </c>
      <c r="AA75">
        <v>-17.5</v>
      </c>
      <c r="AB75">
        <v>0</v>
      </c>
      <c r="AC75">
        <v>0</v>
      </c>
      <c r="AD75">
        <v>0</v>
      </c>
      <c r="AE75">
        <v>0</v>
      </c>
      <c r="AF75">
        <v>0</v>
      </c>
      <c r="AG75">
        <v>92.5</v>
      </c>
      <c r="AH75">
        <v>92.5</v>
      </c>
      <c r="AI75">
        <v>0</v>
      </c>
      <c r="AJ75">
        <v>0</v>
      </c>
      <c r="AK75">
        <v>0</v>
      </c>
      <c r="AL75">
        <v>0</v>
      </c>
      <c r="AM75">
        <v>0</v>
      </c>
      <c r="AN75">
        <v>0</v>
      </c>
      <c r="AO75">
        <v>0</v>
      </c>
      <c r="AP75">
        <v>0</v>
      </c>
      <c r="AQ75">
        <v>0</v>
      </c>
      <c r="AR75">
        <v>0</v>
      </c>
      <c r="AS75">
        <v>0</v>
      </c>
      <c r="AT75">
        <v>123</v>
      </c>
      <c r="AU75">
        <v>0</v>
      </c>
      <c r="AV75">
        <v>108</v>
      </c>
      <c r="AW75">
        <v>15</v>
      </c>
      <c r="AX75">
        <v>10</v>
      </c>
      <c r="AY75">
        <v>0</v>
      </c>
      <c r="AZ75">
        <v>8.25</v>
      </c>
      <c r="BA75">
        <v>1.75</v>
      </c>
      <c r="BB75">
        <v>0.5</v>
      </c>
      <c r="BC75">
        <v>0</v>
      </c>
      <c r="BD75">
        <v>0.5</v>
      </c>
      <c r="BE75">
        <v>0</v>
      </c>
      <c r="BF75">
        <v>0</v>
      </c>
    </row>
    <row r="76" spans="1:58">
      <c r="A76" t="s">
        <v>16967</v>
      </c>
      <c r="B76" t="s">
        <v>16968</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row>
    <row r="77" spans="1:58">
      <c r="A77" t="s">
        <v>16971</v>
      </c>
      <c r="B77" t="s">
        <v>17397</v>
      </c>
      <c r="C77">
        <v>25</v>
      </c>
      <c r="D77">
        <v>28</v>
      </c>
      <c r="E77">
        <v>3</v>
      </c>
      <c r="F77">
        <v>25</v>
      </c>
      <c r="G77">
        <v>0</v>
      </c>
      <c r="H77">
        <v>0</v>
      </c>
      <c r="I77">
        <v>0</v>
      </c>
      <c r="J77">
        <v>28</v>
      </c>
      <c r="K77">
        <v>147</v>
      </c>
      <c r="L77">
        <v>23</v>
      </c>
      <c r="M77">
        <v>0</v>
      </c>
      <c r="N77">
        <v>0</v>
      </c>
      <c r="O77">
        <v>2</v>
      </c>
      <c r="P77">
        <v>0</v>
      </c>
      <c r="Q77">
        <v>0</v>
      </c>
      <c r="R77">
        <v>0</v>
      </c>
      <c r="S77">
        <v>6.25</v>
      </c>
      <c r="T77">
        <v>0.75</v>
      </c>
      <c r="U77">
        <v>0</v>
      </c>
      <c r="V77">
        <v>7</v>
      </c>
      <c r="W77">
        <v>15</v>
      </c>
      <c r="X77">
        <v>0</v>
      </c>
      <c r="Y77">
        <v>2</v>
      </c>
      <c r="Z77">
        <v>0</v>
      </c>
      <c r="AA77">
        <v>-62.5</v>
      </c>
      <c r="AB77">
        <v>0</v>
      </c>
      <c r="AC77">
        <v>63</v>
      </c>
      <c r="AD77">
        <v>63</v>
      </c>
      <c r="AE77">
        <v>63</v>
      </c>
      <c r="AF77">
        <v>63</v>
      </c>
      <c r="AG77">
        <v>78</v>
      </c>
      <c r="AH77">
        <v>15</v>
      </c>
      <c r="AI77">
        <v>0</v>
      </c>
      <c r="AJ77">
        <v>0</v>
      </c>
      <c r="AK77">
        <v>0</v>
      </c>
      <c r="AL77">
        <v>0</v>
      </c>
      <c r="AM77">
        <v>0</v>
      </c>
      <c r="AN77">
        <v>3</v>
      </c>
      <c r="AO77">
        <v>0</v>
      </c>
      <c r="AP77">
        <v>0</v>
      </c>
      <c r="AQ77">
        <v>0</v>
      </c>
      <c r="AR77">
        <v>0</v>
      </c>
      <c r="AS77">
        <v>0</v>
      </c>
      <c r="AT77">
        <v>147</v>
      </c>
      <c r="AU77">
        <v>0</v>
      </c>
      <c r="AV77">
        <v>12</v>
      </c>
      <c r="AW77">
        <v>135</v>
      </c>
      <c r="AX77">
        <v>6.25</v>
      </c>
      <c r="AY77">
        <v>0</v>
      </c>
      <c r="AZ77">
        <v>0</v>
      </c>
      <c r="BA77">
        <v>6.25</v>
      </c>
      <c r="BB77">
        <v>0.75</v>
      </c>
      <c r="BC77">
        <v>0</v>
      </c>
      <c r="BD77">
        <v>0.75</v>
      </c>
      <c r="BE77">
        <v>0</v>
      </c>
    </row>
    <row r="78" spans="1:58">
      <c r="A78" t="s">
        <v>16972</v>
      </c>
      <c r="B78" t="s">
        <v>16973</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row>
    <row r="79" spans="1:58">
      <c r="A79" t="s">
        <v>16976</v>
      </c>
      <c r="B79" t="s">
        <v>19335</v>
      </c>
      <c r="C79">
        <v>0</v>
      </c>
      <c r="D79">
        <v>21</v>
      </c>
      <c r="E79">
        <v>21</v>
      </c>
      <c r="F79">
        <v>21</v>
      </c>
      <c r="G79">
        <v>3</v>
      </c>
      <c r="H79">
        <v>0</v>
      </c>
      <c r="I79">
        <v>0</v>
      </c>
      <c r="J79">
        <v>21</v>
      </c>
      <c r="K79">
        <v>86</v>
      </c>
      <c r="L79">
        <v>20</v>
      </c>
      <c r="M79">
        <v>0</v>
      </c>
      <c r="N79">
        <v>0</v>
      </c>
      <c r="O79">
        <v>0</v>
      </c>
      <c r="P79">
        <v>0</v>
      </c>
      <c r="Q79">
        <v>1</v>
      </c>
      <c r="R79">
        <v>0</v>
      </c>
      <c r="S79">
        <v>6.75</v>
      </c>
      <c r="T79">
        <v>0</v>
      </c>
      <c r="U79">
        <v>0</v>
      </c>
      <c r="V79">
        <v>6.75</v>
      </c>
      <c r="W79">
        <v>67.5</v>
      </c>
      <c r="X79">
        <v>0</v>
      </c>
      <c r="Y79">
        <v>21</v>
      </c>
      <c r="Z79">
        <v>0</v>
      </c>
      <c r="AA79">
        <v>0</v>
      </c>
      <c r="AB79">
        <v>0</v>
      </c>
      <c r="AC79">
        <v>0</v>
      </c>
      <c r="AD79">
        <v>0</v>
      </c>
      <c r="AE79">
        <v>0</v>
      </c>
      <c r="AF79">
        <v>0</v>
      </c>
      <c r="AG79">
        <v>67.5</v>
      </c>
      <c r="AH79">
        <v>67.5</v>
      </c>
      <c r="AI79">
        <v>0</v>
      </c>
      <c r="AJ79">
        <v>0</v>
      </c>
      <c r="AK79">
        <v>0</v>
      </c>
      <c r="AL79">
        <v>0</v>
      </c>
      <c r="AM79">
        <v>0</v>
      </c>
      <c r="AN79">
        <v>0</v>
      </c>
      <c r="AO79">
        <v>0</v>
      </c>
      <c r="AP79">
        <v>0</v>
      </c>
      <c r="AQ79">
        <v>0</v>
      </c>
      <c r="AR79">
        <v>0</v>
      </c>
      <c r="AS79">
        <v>0</v>
      </c>
      <c r="AT79">
        <v>86</v>
      </c>
      <c r="AU79">
        <v>0</v>
      </c>
      <c r="AV79">
        <v>86</v>
      </c>
      <c r="AW79">
        <v>0</v>
      </c>
      <c r="AX79">
        <v>6.75</v>
      </c>
      <c r="AY79">
        <v>0</v>
      </c>
      <c r="AZ79">
        <v>6.75</v>
      </c>
      <c r="BA79">
        <v>0</v>
      </c>
      <c r="BB79">
        <v>0</v>
      </c>
      <c r="BC79">
        <v>0</v>
      </c>
      <c r="BD79">
        <v>0</v>
      </c>
      <c r="BE79">
        <v>0</v>
      </c>
      <c r="BF79">
        <v>22</v>
      </c>
    </row>
    <row r="80" spans="1:58">
      <c r="A80" t="s">
        <v>18802</v>
      </c>
      <c r="B80" t="s">
        <v>18803</v>
      </c>
      <c r="C80">
        <v>0</v>
      </c>
      <c r="D80">
        <v>1</v>
      </c>
      <c r="E80">
        <v>0</v>
      </c>
      <c r="F80">
        <v>1</v>
      </c>
      <c r="G80">
        <v>0</v>
      </c>
      <c r="H80">
        <v>0</v>
      </c>
      <c r="I80">
        <v>0</v>
      </c>
      <c r="J80">
        <v>1</v>
      </c>
      <c r="K80">
        <v>11</v>
      </c>
      <c r="L80">
        <v>1</v>
      </c>
      <c r="M80">
        <v>0</v>
      </c>
      <c r="N80">
        <v>0</v>
      </c>
      <c r="O80">
        <v>0</v>
      </c>
      <c r="P80">
        <v>0</v>
      </c>
      <c r="Q80">
        <v>0</v>
      </c>
      <c r="R80">
        <v>0</v>
      </c>
      <c r="S80">
        <v>2.25</v>
      </c>
      <c r="T80">
        <v>5.25</v>
      </c>
      <c r="U80">
        <v>0</v>
      </c>
      <c r="V80">
        <v>7.5</v>
      </c>
      <c r="W80">
        <v>127.5</v>
      </c>
      <c r="X80">
        <v>0</v>
      </c>
      <c r="Y80">
        <v>1</v>
      </c>
      <c r="Z80">
        <v>0</v>
      </c>
      <c r="AA80">
        <v>0</v>
      </c>
      <c r="AB80">
        <v>97.5</v>
      </c>
      <c r="AC80">
        <v>0</v>
      </c>
      <c r="AD80">
        <v>0</v>
      </c>
      <c r="AE80">
        <v>0</v>
      </c>
      <c r="AF80">
        <v>97.5</v>
      </c>
      <c r="AG80">
        <v>127.5</v>
      </c>
      <c r="AH80">
        <v>127.5</v>
      </c>
      <c r="AI80">
        <v>0</v>
      </c>
      <c r="AJ80">
        <v>0</v>
      </c>
      <c r="AK80">
        <v>0</v>
      </c>
      <c r="AL80">
        <v>0</v>
      </c>
      <c r="AM80">
        <v>0</v>
      </c>
      <c r="AN80">
        <v>0</v>
      </c>
      <c r="AO80">
        <v>0</v>
      </c>
      <c r="AP80">
        <v>0</v>
      </c>
      <c r="AQ80">
        <v>0</v>
      </c>
      <c r="AR80">
        <v>0</v>
      </c>
      <c r="AS80">
        <v>0</v>
      </c>
      <c r="AT80">
        <v>11</v>
      </c>
      <c r="AU80">
        <v>0</v>
      </c>
      <c r="AV80">
        <v>11</v>
      </c>
      <c r="AW80">
        <v>0</v>
      </c>
      <c r="AX80">
        <v>2.25</v>
      </c>
      <c r="AY80">
        <v>0</v>
      </c>
      <c r="AZ80">
        <v>2.25</v>
      </c>
      <c r="BA80">
        <v>0</v>
      </c>
      <c r="BB80">
        <v>5.25</v>
      </c>
      <c r="BC80">
        <v>0</v>
      </c>
      <c r="BD80">
        <v>5.25</v>
      </c>
      <c r="BE80">
        <v>0</v>
      </c>
      <c r="BF80">
        <v>7</v>
      </c>
    </row>
    <row r="81" spans="1:58">
      <c r="A81" t="s">
        <v>16935</v>
      </c>
      <c r="B81" t="s">
        <v>17389</v>
      </c>
      <c r="C81">
        <v>0</v>
      </c>
      <c r="D81">
        <v>17</v>
      </c>
      <c r="E81">
        <v>17</v>
      </c>
      <c r="F81">
        <v>10</v>
      </c>
      <c r="G81">
        <v>3</v>
      </c>
      <c r="H81">
        <v>0</v>
      </c>
      <c r="I81">
        <v>0</v>
      </c>
      <c r="J81">
        <v>17</v>
      </c>
      <c r="K81">
        <v>244</v>
      </c>
      <c r="L81">
        <v>1</v>
      </c>
      <c r="M81">
        <v>2</v>
      </c>
      <c r="N81">
        <v>0</v>
      </c>
      <c r="O81">
        <v>10</v>
      </c>
      <c r="P81">
        <v>1</v>
      </c>
      <c r="Q81">
        <v>3</v>
      </c>
      <c r="R81">
        <v>0</v>
      </c>
      <c r="S81">
        <v>6</v>
      </c>
      <c r="T81">
        <v>0</v>
      </c>
      <c r="U81">
        <v>0</v>
      </c>
      <c r="V81">
        <v>4</v>
      </c>
      <c r="W81">
        <v>40</v>
      </c>
      <c r="X81">
        <v>0</v>
      </c>
      <c r="Y81">
        <v>3</v>
      </c>
      <c r="Z81">
        <v>0</v>
      </c>
      <c r="AA81">
        <v>0</v>
      </c>
      <c r="AB81">
        <v>0</v>
      </c>
      <c r="AC81">
        <v>0</v>
      </c>
      <c r="AD81">
        <v>0</v>
      </c>
      <c r="AE81">
        <v>0</v>
      </c>
      <c r="AF81">
        <v>0</v>
      </c>
      <c r="AG81">
        <v>40</v>
      </c>
      <c r="AH81">
        <v>40</v>
      </c>
      <c r="AI81">
        <v>0</v>
      </c>
      <c r="AJ81">
        <v>0</v>
      </c>
      <c r="AK81">
        <v>0</v>
      </c>
      <c r="AL81">
        <v>0</v>
      </c>
      <c r="AM81">
        <v>0</v>
      </c>
      <c r="AN81">
        <v>0</v>
      </c>
      <c r="AO81">
        <v>0</v>
      </c>
      <c r="AP81">
        <v>0</v>
      </c>
      <c r="AQ81">
        <v>0</v>
      </c>
      <c r="AR81">
        <v>0</v>
      </c>
      <c r="AS81">
        <v>0</v>
      </c>
      <c r="AT81">
        <v>244</v>
      </c>
      <c r="AU81">
        <v>0</v>
      </c>
      <c r="AV81">
        <v>244</v>
      </c>
      <c r="AW81">
        <v>0</v>
      </c>
      <c r="AX81">
        <v>4</v>
      </c>
      <c r="AY81">
        <v>0</v>
      </c>
      <c r="AZ81">
        <v>4</v>
      </c>
      <c r="BA81">
        <v>0</v>
      </c>
      <c r="BB81">
        <v>0</v>
      </c>
      <c r="BC81">
        <v>0</v>
      </c>
      <c r="BD81">
        <v>0</v>
      </c>
      <c r="BE81">
        <v>0</v>
      </c>
      <c r="BF81">
        <v>0</v>
      </c>
    </row>
    <row r="82" spans="1:58">
      <c r="A82" t="s">
        <v>17390</v>
      </c>
      <c r="B82" t="s">
        <v>17391</v>
      </c>
      <c r="C82">
        <v>0</v>
      </c>
      <c r="D82">
        <v>28</v>
      </c>
      <c r="E82">
        <v>0</v>
      </c>
      <c r="F82">
        <v>28</v>
      </c>
      <c r="G82">
        <v>0</v>
      </c>
      <c r="H82">
        <v>0</v>
      </c>
      <c r="I82">
        <v>0</v>
      </c>
      <c r="J82">
        <v>28</v>
      </c>
      <c r="K82">
        <v>184</v>
      </c>
      <c r="L82">
        <v>25</v>
      </c>
      <c r="M82">
        <v>0</v>
      </c>
      <c r="N82">
        <v>0</v>
      </c>
      <c r="O82">
        <v>3</v>
      </c>
      <c r="P82">
        <v>0</v>
      </c>
      <c r="Q82">
        <v>0</v>
      </c>
      <c r="R82">
        <v>0</v>
      </c>
      <c r="S82">
        <v>32</v>
      </c>
      <c r="T82">
        <v>32</v>
      </c>
      <c r="U82">
        <v>0</v>
      </c>
      <c r="V82">
        <v>64</v>
      </c>
      <c r="W82">
        <v>960</v>
      </c>
      <c r="X82">
        <v>0</v>
      </c>
      <c r="Y82">
        <v>25</v>
      </c>
      <c r="Z82">
        <v>0</v>
      </c>
      <c r="AA82">
        <v>0</v>
      </c>
      <c r="AB82">
        <v>210</v>
      </c>
      <c r="AC82" s="20">
        <v>2552.8000000000002</v>
      </c>
      <c r="AD82" s="20">
        <v>2552.8000000000002</v>
      </c>
      <c r="AE82" s="20">
        <v>1652.8</v>
      </c>
      <c r="AF82" s="20">
        <v>2762.8</v>
      </c>
      <c r="AG82" s="20">
        <v>3512.8</v>
      </c>
      <c r="AH82" s="20">
        <v>1860</v>
      </c>
      <c r="AI82">
        <v>0</v>
      </c>
      <c r="AJ82">
        <v>0</v>
      </c>
      <c r="AK82">
        <v>0</v>
      </c>
      <c r="AL82">
        <v>0</v>
      </c>
      <c r="AM82">
        <v>0</v>
      </c>
      <c r="AN82">
        <v>0</v>
      </c>
      <c r="AO82">
        <v>0</v>
      </c>
      <c r="AP82">
        <v>15</v>
      </c>
      <c r="AQ82">
        <v>0</v>
      </c>
      <c r="AR82">
        <v>0</v>
      </c>
      <c r="AS82">
        <v>0</v>
      </c>
      <c r="AT82">
        <v>184</v>
      </c>
      <c r="AU82">
        <v>0</v>
      </c>
      <c r="AV82">
        <v>184</v>
      </c>
      <c r="AW82">
        <v>0</v>
      </c>
      <c r="AX82">
        <v>32</v>
      </c>
      <c r="AY82">
        <v>0</v>
      </c>
      <c r="AZ82">
        <v>32</v>
      </c>
      <c r="BA82">
        <v>0</v>
      </c>
      <c r="BB82">
        <v>32</v>
      </c>
      <c r="BC82">
        <v>0</v>
      </c>
      <c r="BD82">
        <v>32</v>
      </c>
      <c r="BE82">
        <v>0</v>
      </c>
      <c r="BF82">
        <v>900</v>
      </c>
    </row>
    <row r="83" spans="1:58">
      <c r="A83" t="s">
        <v>16936</v>
      </c>
      <c r="B83" t="s">
        <v>16937</v>
      </c>
      <c r="C83">
        <v>0</v>
      </c>
      <c r="D83">
        <v>21</v>
      </c>
      <c r="E83">
        <v>21</v>
      </c>
      <c r="F83">
        <v>13</v>
      </c>
      <c r="G83">
        <v>1</v>
      </c>
      <c r="H83">
        <v>0</v>
      </c>
      <c r="I83">
        <v>2</v>
      </c>
      <c r="J83">
        <v>21</v>
      </c>
      <c r="K83">
        <v>274</v>
      </c>
      <c r="L83">
        <v>15</v>
      </c>
      <c r="M83">
        <v>0</v>
      </c>
      <c r="N83">
        <v>1</v>
      </c>
      <c r="O83">
        <v>4</v>
      </c>
      <c r="P83">
        <v>0</v>
      </c>
      <c r="Q83">
        <v>1</v>
      </c>
      <c r="R83">
        <v>0</v>
      </c>
      <c r="S83">
        <v>35</v>
      </c>
      <c r="T83">
        <v>45.5</v>
      </c>
      <c r="U83">
        <v>0</v>
      </c>
      <c r="V83">
        <v>80.5</v>
      </c>
      <c r="W83" s="20">
        <v>1260</v>
      </c>
      <c r="X83">
        <v>0</v>
      </c>
      <c r="Y83">
        <v>21</v>
      </c>
      <c r="Z83">
        <v>0</v>
      </c>
      <c r="AA83">
        <v>0</v>
      </c>
      <c r="AB83">
        <v>805</v>
      </c>
      <c r="AC83">
        <v>0</v>
      </c>
      <c r="AD83">
        <v>0</v>
      </c>
      <c r="AE83">
        <v>0</v>
      </c>
      <c r="AF83">
        <v>805</v>
      </c>
      <c r="AG83" s="20">
        <v>1260</v>
      </c>
      <c r="AH83" s="20">
        <v>1260</v>
      </c>
      <c r="AI83">
        <v>0</v>
      </c>
      <c r="AJ83">
        <v>0</v>
      </c>
      <c r="AK83">
        <v>0</v>
      </c>
      <c r="AL83">
        <v>0</v>
      </c>
      <c r="AM83">
        <v>0</v>
      </c>
      <c r="AN83">
        <v>0</v>
      </c>
      <c r="AO83">
        <v>0</v>
      </c>
      <c r="AP83">
        <v>0</v>
      </c>
      <c r="AQ83">
        <v>0</v>
      </c>
      <c r="AR83">
        <v>0</v>
      </c>
      <c r="AS83">
        <v>0</v>
      </c>
      <c r="AT83">
        <v>274</v>
      </c>
      <c r="AU83">
        <v>0</v>
      </c>
      <c r="AV83">
        <v>274</v>
      </c>
      <c r="AW83">
        <v>0</v>
      </c>
      <c r="AX83">
        <v>35</v>
      </c>
      <c r="AY83">
        <v>0</v>
      </c>
      <c r="AZ83">
        <v>35</v>
      </c>
      <c r="BA83">
        <v>0</v>
      </c>
      <c r="BB83">
        <v>45.5</v>
      </c>
      <c r="BC83">
        <v>0</v>
      </c>
      <c r="BD83">
        <v>45.5</v>
      </c>
      <c r="BE83">
        <v>0</v>
      </c>
      <c r="BF83">
        <v>300</v>
      </c>
    </row>
    <row r="84" spans="1:58">
      <c r="A84" t="s">
        <v>16977</v>
      </c>
      <c r="B84" t="s">
        <v>17380</v>
      </c>
      <c r="C84">
        <v>1</v>
      </c>
      <c r="D84">
        <v>8</v>
      </c>
      <c r="E84">
        <v>8</v>
      </c>
      <c r="F84">
        <v>8</v>
      </c>
      <c r="G84">
        <v>0</v>
      </c>
      <c r="H84">
        <v>0</v>
      </c>
      <c r="I84">
        <v>0</v>
      </c>
      <c r="J84">
        <v>8</v>
      </c>
      <c r="K84">
        <v>43</v>
      </c>
      <c r="L84">
        <v>2</v>
      </c>
      <c r="M84">
        <v>0</v>
      </c>
      <c r="N84">
        <v>1</v>
      </c>
      <c r="O84">
        <v>4</v>
      </c>
      <c r="P84">
        <v>0</v>
      </c>
      <c r="Q84">
        <v>0</v>
      </c>
      <c r="R84">
        <v>0</v>
      </c>
      <c r="S84">
        <v>4</v>
      </c>
      <c r="T84">
        <v>1.75</v>
      </c>
      <c r="U84">
        <v>0</v>
      </c>
      <c r="V84">
        <v>5.75</v>
      </c>
      <c r="W84">
        <v>57.5</v>
      </c>
      <c r="X84">
        <v>0</v>
      </c>
      <c r="Y84">
        <v>2</v>
      </c>
      <c r="Z84">
        <v>1</v>
      </c>
      <c r="AA84">
        <v>0</v>
      </c>
      <c r="AB84">
        <v>0</v>
      </c>
      <c r="AC84">
        <v>2.2000000000000002</v>
      </c>
      <c r="AD84">
        <v>0</v>
      </c>
      <c r="AE84">
        <v>2.2000000000000002</v>
      </c>
      <c r="AF84">
        <v>0</v>
      </c>
      <c r="AG84">
        <v>59.7</v>
      </c>
      <c r="AH84">
        <v>57.5</v>
      </c>
      <c r="AI84">
        <v>0</v>
      </c>
      <c r="AJ84">
        <v>0</v>
      </c>
      <c r="AK84">
        <v>0</v>
      </c>
      <c r="AL84">
        <v>0</v>
      </c>
      <c r="AM84">
        <v>43</v>
      </c>
      <c r="AN84">
        <v>0</v>
      </c>
      <c r="AO84">
        <v>42</v>
      </c>
      <c r="AP84">
        <v>1</v>
      </c>
      <c r="AQ84">
        <v>4</v>
      </c>
      <c r="AR84">
        <v>0</v>
      </c>
      <c r="AS84">
        <v>3.25</v>
      </c>
      <c r="AT84">
        <v>0.75</v>
      </c>
      <c r="AU84">
        <v>1.75</v>
      </c>
      <c r="AV84">
        <v>0</v>
      </c>
      <c r="AW84">
        <v>1.25</v>
      </c>
      <c r="AX84">
        <v>0.5</v>
      </c>
    </row>
    <row r="85" spans="1:58">
      <c r="A85" t="s">
        <v>16977</v>
      </c>
      <c r="B85" t="s">
        <v>17380</v>
      </c>
      <c r="C85">
        <v>0</v>
      </c>
      <c r="D85">
        <v>7</v>
      </c>
      <c r="E85">
        <v>7</v>
      </c>
      <c r="F85">
        <v>6</v>
      </c>
      <c r="G85">
        <v>1</v>
      </c>
      <c r="H85">
        <v>0</v>
      </c>
      <c r="I85">
        <v>0</v>
      </c>
      <c r="J85">
        <v>7</v>
      </c>
      <c r="K85">
        <v>208</v>
      </c>
      <c r="L85">
        <v>3</v>
      </c>
      <c r="M85">
        <v>0</v>
      </c>
      <c r="N85">
        <v>0</v>
      </c>
      <c r="O85">
        <v>4</v>
      </c>
      <c r="P85">
        <v>0</v>
      </c>
      <c r="Q85">
        <v>0</v>
      </c>
      <c r="R85">
        <v>0</v>
      </c>
      <c r="S85">
        <v>0</v>
      </c>
      <c r="T85">
        <v>0</v>
      </c>
      <c r="U85">
        <v>40</v>
      </c>
      <c r="V85">
        <v>40</v>
      </c>
      <c r="W85">
        <v>0</v>
      </c>
      <c r="X85">
        <v>0</v>
      </c>
      <c r="Y85">
        <v>0</v>
      </c>
      <c r="Z85">
        <v>0</v>
      </c>
      <c r="AA85">
        <v>0</v>
      </c>
      <c r="AB85">
        <v>0</v>
      </c>
      <c r="AC85">
        <v>0</v>
      </c>
      <c r="AD85">
        <v>0</v>
      </c>
      <c r="AE85">
        <v>0</v>
      </c>
      <c r="AF85">
        <v>0</v>
      </c>
      <c r="AG85">
        <v>800</v>
      </c>
      <c r="AH85">
        <v>800</v>
      </c>
      <c r="AI85">
        <v>0</v>
      </c>
      <c r="AJ85">
        <v>0</v>
      </c>
      <c r="AK85">
        <v>0</v>
      </c>
      <c r="AL85">
        <v>0</v>
      </c>
      <c r="AM85">
        <v>0</v>
      </c>
      <c r="AN85">
        <v>0</v>
      </c>
      <c r="AO85">
        <v>0</v>
      </c>
      <c r="AP85">
        <v>0</v>
      </c>
      <c r="AQ85">
        <v>0</v>
      </c>
      <c r="AR85">
        <v>0</v>
      </c>
      <c r="AS85">
        <v>0</v>
      </c>
      <c r="AT85">
        <v>208</v>
      </c>
      <c r="AU85">
        <v>0</v>
      </c>
      <c r="AV85">
        <v>208</v>
      </c>
      <c r="AW85">
        <v>0</v>
      </c>
      <c r="AX85">
        <v>0</v>
      </c>
      <c r="AY85">
        <v>0</v>
      </c>
      <c r="AZ85">
        <v>0</v>
      </c>
      <c r="BA85">
        <v>0</v>
      </c>
      <c r="BB85">
        <v>0</v>
      </c>
      <c r="BC85">
        <v>0</v>
      </c>
      <c r="BD85">
        <v>0</v>
      </c>
      <c r="BE85">
        <v>0</v>
      </c>
      <c r="BF85">
        <v>7</v>
      </c>
    </row>
    <row r="86" spans="1:58">
      <c r="A86" t="s">
        <v>16980</v>
      </c>
      <c r="B86" t="s">
        <v>16981</v>
      </c>
      <c r="C86">
        <v>16</v>
      </c>
      <c r="D86">
        <v>79</v>
      </c>
      <c r="E86">
        <v>76</v>
      </c>
      <c r="F86">
        <v>72</v>
      </c>
      <c r="G86">
        <v>8</v>
      </c>
      <c r="H86">
        <v>0</v>
      </c>
      <c r="I86">
        <v>0</v>
      </c>
      <c r="J86">
        <v>76</v>
      </c>
      <c r="K86">
        <v>334</v>
      </c>
      <c r="L86">
        <v>74</v>
      </c>
      <c r="M86">
        <v>1</v>
      </c>
      <c r="N86">
        <v>0</v>
      </c>
      <c r="O86">
        <v>1</v>
      </c>
      <c r="P86">
        <v>0</v>
      </c>
      <c r="Q86">
        <v>0</v>
      </c>
      <c r="R86">
        <v>0</v>
      </c>
      <c r="S86">
        <v>30.75</v>
      </c>
      <c r="T86">
        <v>5.25</v>
      </c>
      <c r="U86">
        <v>0</v>
      </c>
      <c r="V86">
        <v>36</v>
      </c>
      <c r="W86">
        <v>362.5</v>
      </c>
      <c r="X86">
        <v>0</v>
      </c>
      <c r="Y86">
        <v>59</v>
      </c>
      <c r="Z86">
        <v>1</v>
      </c>
      <c r="AA86">
        <v>-50</v>
      </c>
      <c r="AB86">
        <v>25</v>
      </c>
      <c r="AC86">
        <v>0</v>
      </c>
      <c r="AD86">
        <v>0</v>
      </c>
      <c r="AE86">
        <v>0</v>
      </c>
      <c r="AF86">
        <v>25</v>
      </c>
      <c r="AG86">
        <v>362.5</v>
      </c>
      <c r="AH86">
        <v>362.5</v>
      </c>
      <c r="AI86">
        <v>0</v>
      </c>
      <c r="AJ86">
        <v>0</v>
      </c>
      <c r="AK86">
        <v>0</v>
      </c>
      <c r="AL86">
        <v>0</v>
      </c>
      <c r="AM86">
        <v>0</v>
      </c>
      <c r="AN86">
        <v>0</v>
      </c>
      <c r="AO86">
        <v>0</v>
      </c>
      <c r="AP86">
        <v>0</v>
      </c>
      <c r="AQ86">
        <v>0</v>
      </c>
      <c r="AR86">
        <v>0</v>
      </c>
      <c r="AS86">
        <v>0</v>
      </c>
      <c r="AT86">
        <v>334</v>
      </c>
      <c r="AU86">
        <v>0</v>
      </c>
      <c r="AV86">
        <v>262</v>
      </c>
      <c r="AW86">
        <v>72</v>
      </c>
      <c r="AX86">
        <v>30.75</v>
      </c>
      <c r="AY86">
        <v>0</v>
      </c>
      <c r="AZ86">
        <v>25.75</v>
      </c>
      <c r="BA86">
        <v>5</v>
      </c>
      <c r="BB86">
        <v>5.25</v>
      </c>
      <c r="BC86">
        <v>0</v>
      </c>
      <c r="BD86">
        <v>5.25</v>
      </c>
      <c r="BE86">
        <v>0</v>
      </c>
      <c r="BF86">
        <v>0</v>
      </c>
    </row>
    <row r="87" spans="1:58">
      <c r="A87" t="s">
        <v>16982</v>
      </c>
      <c r="B87" t="s">
        <v>17343</v>
      </c>
      <c r="C87">
        <v>0</v>
      </c>
      <c r="D87">
        <v>8</v>
      </c>
      <c r="E87">
        <v>8</v>
      </c>
      <c r="F87">
        <v>6</v>
      </c>
      <c r="G87">
        <v>1</v>
      </c>
      <c r="H87">
        <v>2</v>
      </c>
      <c r="I87">
        <v>0</v>
      </c>
      <c r="J87">
        <v>8</v>
      </c>
      <c r="K87">
        <v>69</v>
      </c>
      <c r="L87">
        <v>6</v>
      </c>
      <c r="M87">
        <v>0</v>
      </c>
      <c r="N87">
        <v>0</v>
      </c>
      <c r="O87">
        <v>2</v>
      </c>
      <c r="P87">
        <v>0</v>
      </c>
      <c r="Q87">
        <v>0</v>
      </c>
      <c r="R87">
        <v>0</v>
      </c>
      <c r="S87">
        <v>11</v>
      </c>
      <c r="T87">
        <v>2.25</v>
      </c>
      <c r="U87">
        <v>0</v>
      </c>
      <c r="V87">
        <v>13.25</v>
      </c>
      <c r="W87">
        <v>155</v>
      </c>
      <c r="X87">
        <v>0</v>
      </c>
      <c r="Y87">
        <v>7</v>
      </c>
      <c r="Z87">
        <v>0</v>
      </c>
      <c r="AA87">
        <v>0</v>
      </c>
      <c r="AB87">
        <v>60</v>
      </c>
      <c r="AC87">
        <v>0</v>
      </c>
      <c r="AD87">
        <v>0</v>
      </c>
      <c r="AE87">
        <v>0</v>
      </c>
      <c r="AF87">
        <v>60</v>
      </c>
      <c r="AG87">
        <v>155</v>
      </c>
      <c r="AH87">
        <v>155</v>
      </c>
      <c r="AI87">
        <v>0</v>
      </c>
      <c r="AJ87">
        <v>50</v>
      </c>
      <c r="AK87">
        <v>80</v>
      </c>
      <c r="AL87">
        <v>80</v>
      </c>
      <c r="AM87">
        <v>0</v>
      </c>
      <c r="AN87">
        <v>0</v>
      </c>
      <c r="AO87">
        <v>0</v>
      </c>
      <c r="AP87">
        <v>0</v>
      </c>
      <c r="AQ87">
        <v>0</v>
      </c>
      <c r="AR87">
        <v>0</v>
      </c>
      <c r="AS87">
        <v>0</v>
      </c>
      <c r="AT87">
        <v>69</v>
      </c>
      <c r="AU87">
        <v>34</v>
      </c>
      <c r="AV87">
        <v>35</v>
      </c>
      <c r="AW87">
        <v>0</v>
      </c>
      <c r="AX87">
        <v>11</v>
      </c>
      <c r="AY87">
        <v>8</v>
      </c>
      <c r="AZ87">
        <v>3</v>
      </c>
      <c r="BA87">
        <v>0</v>
      </c>
      <c r="BB87">
        <v>2.25</v>
      </c>
      <c r="BC87">
        <v>0</v>
      </c>
      <c r="BD87">
        <v>2.25</v>
      </c>
      <c r="BE87">
        <v>0</v>
      </c>
      <c r="BF87">
        <v>27</v>
      </c>
    </row>
    <row r="88" spans="1:58">
      <c r="A88" t="s">
        <v>16983</v>
      </c>
      <c r="B88" t="s">
        <v>16984</v>
      </c>
      <c r="C88">
        <v>0</v>
      </c>
      <c r="D88">
        <v>21</v>
      </c>
      <c r="E88">
        <v>21</v>
      </c>
      <c r="F88">
        <v>21</v>
      </c>
      <c r="G88">
        <v>0</v>
      </c>
      <c r="H88">
        <v>0</v>
      </c>
      <c r="I88">
        <v>0</v>
      </c>
      <c r="J88">
        <v>21</v>
      </c>
      <c r="K88">
        <v>115</v>
      </c>
      <c r="L88">
        <v>17</v>
      </c>
      <c r="M88">
        <v>0</v>
      </c>
      <c r="N88">
        <v>1</v>
      </c>
      <c r="O88">
        <v>3</v>
      </c>
      <c r="P88">
        <v>0</v>
      </c>
      <c r="Q88">
        <v>0</v>
      </c>
      <c r="R88">
        <v>0</v>
      </c>
      <c r="S88">
        <v>5.75</v>
      </c>
      <c r="T88">
        <v>5.5</v>
      </c>
      <c r="U88">
        <v>0</v>
      </c>
      <c r="V88">
        <v>11.25</v>
      </c>
      <c r="W88">
        <v>167.5</v>
      </c>
      <c r="X88">
        <v>0</v>
      </c>
      <c r="Y88">
        <v>21</v>
      </c>
      <c r="Z88">
        <v>0</v>
      </c>
      <c r="AA88">
        <v>0</v>
      </c>
      <c r="AB88">
        <v>0</v>
      </c>
      <c r="AC88">
        <v>184</v>
      </c>
      <c r="AD88">
        <v>74</v>
      </c>
      <c r="AE88">
        <v>74</v>
      </c>
      <c r="AF88">
        <v>74</v>
      </c>
      <c r="AG88">
        <v>351.5</v>
      </c>
      <c r="AH88">
        <v>277.5</v>
      </c>
      <c r="AI88">
        <v>0</v>
      </c>
      <c r="AJ88">
        <v>0</v>
      </c>
      <c r="AK88">
        <v>0</v>
      </c>
      <c r="AL88">
        <v>0</v>
      </c>
      <c r="AM88">
        <v>15</v>
      </c>
      <c r="AN88">
        <v>3</v>
      </c>
      <c r="AO88">
        <v>0</v>
      </c>
      <c r="AP88">
        <v>0</v>
      </c>
      <c r="AQ88">
        <v>0</v>
      </c>
      <c r="AR88">
        <v>0</v>
      </c>
      <c r="AS88">
        <v>0</v>
      </c>
      <c r="AT88">
        <v>115</v>
      </c>
      <c r="AU88">
        <v>0</v>
      </c>
      <c r="AV88">
        <v>115</v>
      </c>
      <c r="AW88">
        <v>0</v>
      </c>
      <c r="AX88">
        <v>5.75</v>
      </c>
      <c r="AY88">
        <v>0</v>
      </c>
      <c r="AZ88">
        <v>5.75</v>
      </c>
      <c r="BA88">
        <v>0</v>
      </c>
      <c r="BB88">
        <v>5.5</v>
      </c>
      <c r="BC88">
        <v>0</v>
      </c>
      <c r="BD88">
        <v>5.5</v>
      </c>
      <c r="BE88">
        <v>0</v>
      </c>
    </row>
    <row r="89" spans="1:58">
      <c r="A89" t="s">
        <v>16985</v>
      </c>
      <c r="B89" t="s">
        <v>19336</v>
      </c>
      <c r="C89">
        <v>0</v>
      </c>
      <c r="D89">
        <v>2</v>
      </c>
      <c r="E89">
        <v>2</v>
      </c>
      <c r="F89">
        <v>2</v>
      </c>
      <c r="G89">
        <v>0</v>
      </c>
      <c r="H89">
        <v>0</v>
      </c>
      <c r="I89">
        <v>0</v>
      </c>
      <c r="J89">
        <v>2</v>
      </c>
      <c r="K89">
        <v>11</v>
      </c>
      <c r="L89">
        <v>1</v>
      </c>
      <c r="M89">
        <v>1</v>
      </c>
      <c r="N89">
        <v>0</v>
      </c>
      <c r="O89">
        <v>0</v>
      </c>
      <c r="P89">
        <v>0</v>
      </c>
      <c r="Q89">
        <v>0</v>
      </c>
      <c r="R89">
        <v>0</v>
      </c>
      <c r="S89">
        <v>2</v>
      </c>
      <c r="T89">
        <v>0</v>
      </c>
      <c r="U89">
        <v>0</v>
      </c>
      <c r="V89">
        <v>2</v>
      </c>
      <c r="W89">
        <v>20</v>
      </c>
      <c r="X89">
        <v>0</v>
      </c>
      <c r="Y89">
        <v>2</v>
      </c>
      <c r="Z89">
        <v>0</v>
      </c>
      <c r="AA89">
        <v>0</v>
      </c>
      <c r="AB89">
        <v>0</v>
      </c>
      <c r="AC89">
        <v>0</v>
      </c>
      <c r="AD89">
        <v>0</v>
      </c>
      <c r="AE89">
        <v>0</v>
      </c>
      <c r="AF89">
        <v>0</v>
      </c>
      <c r="AG89">
        <v>20</v>
      </c>
      <c r="AH89">
        <v>20</v>
      </c>
      <c r="AI89">
        <v>0</v>
      </c>
      <c r="AJ89">
        <v>0</v>
      </c>
      <c r="AK89">
        <v>0</v>
      </c>
      <c r="AL89">
        <v>0</v>
      </c>
      <c r="AM89">
        <v>0</v>
      </c>
      <c r="AN89">
        <v>0</v>
      </c>
      <c r="AO89">
        <v>0</v>
      </c>
      <c r="AP89">
        <v>0</v>
      </c>
      <c r="AQ89">
        <v>0</v>
      </c>
      <c r="AR89">
        <v>0</v>
      </c>
      <c r="AS89">
        <v>0</v>
      </c>
      <c r="AT89">
        <v>11</v>
      </c>
      <c r="AU89">
        <v>0</v>
      </c>
      <c r="AV89">
        <v>11</v>
      </c>
      <c r="AW89">
        <v>0</v>
      </c>
      <c r="AX89">
        <v>2</v>
      </c>
      <c r="AY89">
        <v>0</v>
      </c>
      <c r="AZ89">
        <v>2</v>
      </c>
      <c r="BA89">
        <v>0</v>
      </c>
      <c r="BB89">
        <v>0</v>
      </c>
      <c r="BC89">
        <v>0</v>
      </c>
      <c r="BD89">
        <v>0</v>
      </c>
      <c r="BE89">
        <v>0</v>
      </c>
      <c r="BF89">
        <v>550</v>
      </c>
    </row>
    <row r="90" spans="1:58">
      <c r="A90" t="s">
        <v>16987</v>
      </c>
      <c r="B90" t="s">
        <v>17382</v>
      </c>
      <c r="C90">
        <v>5</v>
      </c>
      <c r="D90">
        <v>7</v>
      </c>
      <c r="E90">
        <v>7</v>
      </c>
      <c r="F90">
        <v>6</v>
      </c>
      <c r="G90">
        <v>3</v>
      </c>
      <c r="H90">
        <v>1</v>
      </c>
      <c r="I90">
        <v>1</v>
      </c>
      <c r="J90">
        <v>7</v>
      </c>
      <c r="K90">
        <v>143</v>
      </c>
      <c r="L90">
        <v>6</v>
      </c>
      <c r="M90">
        <v>1</v>
      </c>
      <c r="N90">
        <v>0</v>
      </c>
      <c r="O90">
        <v>0</v>
      </c>
      <c r="P90">
        <v>0</v>
      </c>
      <c r="Q90">
        <v>0</v>
      </c>
      <c r="R90">
        <v>0</v>
      </c>
      <c r="S90">
        <v>77.25</v>
      </c>
      <c r="T90">
        <v>65.75</v>
      </c>
      <c r="U90">
        <v>0</v>
      </c>
      <c r="V90">
        <v>143</v>
      </c>
      <c r="W90" s="20">
        <v>2000</v>
      </c>
      <c r="X90">
        <v>0</v>
      </c>
      <c r="Y90">
        <v>1</v>
      </c>
      <c r="Z90">
        <v>0</v>
      </c>
      <c r="AA90">
        <v>-87.5</v>
      </c>
      <c r="AB90" s="20">
        <v>1970</v>
      </c>
      <c r="AC90">
        <v>325</v>
      </c>
      <c r="AD90">
        <v>325</v>
      </c>
      <c r="AE90" s="20">
        <v>2170</v>
      </c>
      <c r="AF90" s="20">
        <v>2295</v>
      </c>
      <c r="AG90" s="20">
        <v>2325</v>
      </c>
      <c r="AH90">
        <v>155</v>
      </c>
      <c r="AI90" s="20">
        <v>2170</v>
      </c>
      <c r="AJ90" s="20">
        <v>2170</v>
      </c>
      <c r="AK90" s="20">
        <v>2200</v>
      </c>
      <c r="AL90">
        <v>30</v>
      </c>
      <c r="AM90">
        <v>0</v>
      </c>
      <c r="AN90">
        <v>0</v>
      </c>
      <c r="AO90">
        <v>0</v>
      </c>
      <c r="AP90">
        <v>0</v>
      </c>
      <c r="AQ90">
        <v>0</v>
      </c>
      <c r="AR90">
        <v>1</v>
      </c>
      <c r="AS90">
        <v>0</v>
      </c>
      <c r="AT90">
        <v>143</v>
      </c>
      <c r="AU90">
        <v>102</v>
      </c>
      <c r="AV90">
        <v>10</v>
      </c>
      <c r="AW90">
        <v>31</v>
      </c>
      <c r="AX90">
        <v>77.25</v>
      </c>
      <c r="AY90">
        <v>76</v>
      </c>
      <c r="AZ90">
        <v>0</v>
      </c>
      <c r="BA90">
        <v>1.25</v>
      </c>
      <c r="BB90">
        <v>65.75</v>
      </c>
      <c r="BC90">
        <v>62</v>
      </c>
      <c r="BD90">
        <v>0</v>
      </c>
      <c r="BE90">
        <v>3.75</v>
      </c>
      <c r="BF90">
        <v>6</v>
      </c>
    </row>
    <row r="91" spans="1:58">
      <c r="A91" t="s">
        <v>16988</v>
      </c>
      <c r="B91" t="s">
        <v>16989</v>
      </c>
      <c r="C91">
        <v>4</v>
      </c>
      <c r="D91">
        <v>9</v>
      </c>
      <c r="E91">
        <v>3</v>
      </c>
      <c r="F91">
        <v>9</v>
      </c>
      <c r="G91">
        <v>0</v>
      </c>
      <c r="H91">
        <v>0</v>
      </c>
      <c r="I91">
        <v>0</v>
      </c>
      <c r="J91">
        <v>9</v>
      </c>
      <c r="K91">
        <v>19</v>
      </c>
      <c r="L91">
        <v>5</v>
      </c>
      <c r="M91">
        <v>4</v>
      </c>
      <c r="N91">
        <v>0</v>
      </c>
      <c r="O91">
        <v>0</v>
      </c>
      <c r="P91">
        <v>0</v>
      </c>
      <c r="Q91">
        <v>0</v>
      </c>
      <c r="R91">
        <v>0</v>
      </c>
      <c r="S91">
        <v>3.75</v>
      </c>
      <c r="T91">
        <v>0</v>
      </c>
      <c r="U91">
        <v>0</v>
      </c>
      <c r="V91">
        <v>3.75</v>
      </c>
      <c r="W91">
        <v>25</v>
      </c>
      <c r="X91">
        <v>0</v>
      </c>
      <c r="Y91">
        <v>5</v>
      </c>
      <c r="Z91">
        <v>0</v>
      </c>
      <c r="AA91">
        <v>-12.5</v>
      </c>
      <c r="AB91">
        <v>0</v>
      </c>
      <c r="AC91">
        <v>14.75</v>
      </c>
      <c r="AD91">
        <v>14.75</v>
      </c>
      <c r="AE91">
        <v>14</v>
      </c>
      <c r="AF91">
        <v>14.75</v>
      </c>
      <c r="AG91">
        <v>39.75</v>
      </c>
      <c r="AH91">
        <v>25.75</v>
      </c>
      <c r="AI91">
        <v>0</v>
      </c>
      <c r="AJ91">
        <v>0</v>
      </c>
      <c r="AK91">
        <v>0</v>
      </c>
      <c r="AL91">
        <v>0</v>
      </c>
      <c r="AM91">
        <v>1</v>
      </c>
      <c r="AN91">
        <v>1</v>
      </c>
      <c r="AO91">
        <v>0</v>
      </c>
      <c r="AP91">
        <v>0</v>
      </c>
      <c r="AQ91">
        <v>0</v>
      </c>
      <c r="AR91">
        <v>0</v>
      </c>
      <c r="AS91">
        <v>0</v>
      </c>
      <c r="AT91">
        <v>19</v>
      </c>
      <c r="AU91">
        <v>0</v>
      </c>
      <c r="AV91">
        <v>15</v>
      </c>
      <c r="AW91">
        <v>4</v>
      </c>
      <c r="AX91">
        <v>3.75</v>
      </c>
      <c r="AY91">
        <v>0</v>
      </c>
      <c r="AZ91">
        <v>2.5</v>
      </c>
      <c r="BA91">
        <v>1.25</v>
      </c>
      <c r="BB91">
        <v>0</v>
      </c>
      <c r="BC91">
        <v>0</v>
      </c>
      <c r="BD91">
        <v>0</v>
      </c>
      <c r="BE91">
        <v>0</v>
      </c>
      <c r="BF91">
        <v>160</v>
      </c>
    </row>
    <row r="92" spans="1:58">
      <c r="A92" t="s">
        <v>16990</v>
      </c>
      <c r="B92" t="s">
        <v>17359</v>
      </c>
      <c r="C92">
        <v>2</v>
      </c>
      <c r="D92">
        <v>7</v>
      </c>
      <c r="E92">
        <v>7</v>
      </c>
      <c r="F92">
        <v>7</v>
      </c>
      <c r="G92">
        <v>3</v>
      </c>
      <c r="H92">
        <v>1</v>
      </c>
      <c r="I92">
        <v>0</v>
      </c>
      <c r="J92">
        <v>7</v>
      </c>
      <c r="K92">
        <v>88</v>
      </c>
      <c r="L92">
        <v>3</v>
      </c>
      <c r="M92">
        <v>2</v>
      </c>
      <c r="N92">
        <v>1</v>
      </c>
      <c r="O92">
        <v>0</v>
      </c>
      <c r="P92">
        <v>0</v>
      </c>
      <c r="Q92">
        <v>2</v>
      </c>
      <c r="R92">
        <v>0</v>
      </c>
      <c r="S92">
        <v>6.5</v>
      </c>
      <c r="T92">
        <v>9.25</v>
      </c>
      <c r="U92">
        <v>0</v>
      </c>
      <c r="V92">
        <v>15.75</v>
      </c>
      <c r="W92">
        <v>225</v>
      </c>
      <c r="X92">
        <v>0</v>
      </c>
      <c r="Y92">
        <v>3</v>
      </c>
      <c r="Z92">
        <v>1</v>
      </c>
      <c r="AA92">
        <v>-25</v>
      </c>
      <c r="AB92">
        <v>87.5</v>
      </c>
      <c r="AC92">
        <v>68.48</v>
      </c>
      <c r="AD92">
        <v>68.48</v>
      </c>
      <c r="AE92">
        <v>62.25</v>
      </c>
      <c r="AF92">
        <v>155.97999999999999</v>
      </c>
      <c r="AG92">
        <v>293.48</v>
      </c>
      <c r="AH92">
        <v>231.23</v>
      </c>
      <c r="AI92">
        <v>0</v>
      </c>
      <c r="AJ92">
        <v>72.5</v>
      </c>
      <c r="AK92">
        <v>132.5</v>
      </c>
      <c r="AL92">
        <v>132.5</v>
      </c>
      <c r="AM92">
        <v>0</v>
      </c>
      <c r="AN92">
        <v>2</v>
      </c>
      <c r="AO92">
        <v>0</v>
      </c>
      <c r="AP92">
        <v>0</v>
      </c>
      <c r="AQ92">
        <v>0</v>
      </c>
      <c r="AR92">
        <v>0</v>
      </c>
      <c r="AS92">
        <v>0</v>
      </c>
      <c r="AT92">
        <v>88</v>
      </c>
      <c r="AU92">
        <v>0</v>
      </c>
      <c r="AV92">
        <v>39</v>
      </c>
      <c r="AW92">
        <v>23</v>
      </c>
      <c r="AX92">
        <v>6.5</v>
      </c>
      <c r="AY92">
        <v>0.25</v>
      </c>
      <c r="AZ92">
        <v>5.75</v>
      </c>
      <c r="BA92">
        <v>0.5</v>
      </c>
      <c r="BB92">
        <v>9.25</v>
      </c>
      <c r="BC92">
        <v>6.25</v>
      </c>
      <c r="BD92">
        <v>2</v>
      </c>
      <c r="BE92">
        <v>1</v>
      </c>
      <c r="BF92" s="21">
        <v>45880</v>
      </c>
    </row>
    <row r="93" spans="1:58">
      <c r="A93" t="s">
        <v>16993</v>
      </c>
      <c r="B93" t="s">
        <v>16994</v>
      </c>
      <c r="C93">
        <v>0</v>
      </c>
      <c r="D93">
        <v>3</v>
      </c>
      <c r="E93">
        <v>3</v>
      </c>
      <c r="F93">
        <v>3</v>
      </c>
      <c r="G93">
        <v>0</v>
      </c>
      <c r="H93">
        <v>0</v>
      </c>
      <c r="I93">
        <v>0</v>
      </c>
      <c r="J93">
        <v>3</v>
      </c>
      <c r="K93">
        <v>27</v>
      </c>
      <c r="L93">
        <v>0</v>
      </c>
      <c r="M93">
        <v>0</v>
      </c>
      <c r="N93">
        <v>0</v>
      </c>
      <c r="O93">
        <v>3</v>
      </c>
      <c r="P93">
        <v>0</v>
      </c>
      <c r="Q93">
        <v>0</v>
      </c>
      <c r="R93">
        <v>0</v>
      </c>
      <c r="S93">
        <v>0.45</v>
      </c>
      <c r="T93">
        <v>0</v>
      </c>
      <c r="U93">
        <v>0</v>
      </c>
      <c r="V93">
        <v>0.75</v>
      </c>
      <c r="W93">
        <v>7.5</v>
      </c>
      <c r="X93">
        <v>0</v>
      </c>
      <c r="Y93">
        <v>3</v>
      </c>
      <c r="Z93">
        <v>0</v>
      </c>
      <c r="AA93">
        <v>0</v>
      </c>
      <c r="AB93">
        <v>0</v>
      </c>
      <c r="AC93">
        <v>0</v>
      </c>
      <c r="AD93">
        <v>0</v>
      </c>
      <c r="AE93">
        <v>0</v>
      </c>
      <c r="AF93">
        <v>0</v>
      </c>
      <c r="AG93">
        <v>7.5</v>
      </c>
      <c r="AH93">
        <v>7.5</v>
      </c>
      <c r="AI93">
        <v>0</v>
      </c>
      <c r="AJ93">
        <v>0</v>
      </c>
      <c r="AK93">
        <v>0</v>
      </c>
      <c r="AL93">
        <v>0</v>
      </c>
      <c r="AM93">
        <v>0</v>
      </c>
      <c r="AN93">
        <v>0</v>
      </c>
      <c r="AO93">
        <v>0</v>
      </c>
      <c r="AP93">
        <v>0</v>
      </c>
      <c r="AQ93">
        <v>0</v>
      </c>
      <c r="AR93">
        <v>0</v>
      </c>
      <c r="AS93">
        <v>0</v>
      </c>
      <c r="AT93">
        <v>27</v>
      </c>
      <c r="AU93">
        <v>0</v>
      </c>
      <c r="AV93">
        <v>27</v>
      </c>
      <c r="AW93">
        <v>0</v>
      </c>
      <c r="AX93">
        <v>0.75</v>
      </c>
      <c r="AY93">
        <v>0</v>
      </c>
      <c r="AZ93">
        <v>0.75</v>
      </c>
      <c r="BA93">
        <v>0</v>
      </c>
      <c r="BB93">
        <v>0</v>
      </c>
      <c r="BC93">
        <v>0</v>
      </c>
      <c r="BD93">
        <v>0</v>
      </c>
      <c r="BE93">
        <v>0</v>
      </c>
      <c r="BF93">
        <v>40</v>
      </c>
    </row>
    <row r="94" spans="1:58">
      <c r="A94" t="s">
        <v>16995</v>
      </c>
      <c r="B94" t="s">
        <v>16996</v>
      </c>
      <c r="C94">
        <v>0</v>
      </c>
      <c r="D94">
        <v>12</v>
      </c>
      <c r="E94">
        <v>12</v>
      </c>
      <c r="F94">
        <v>11</v>
      </c>
      <c r="G94">
        <v>1</v>
      </c>
      <c r="H94">
        <v>1</v>
      </c>
      <c r="I94">
        <v>0</v>
      </c>
      <c r="J94">
        <v>12</v>
      </c>
      <c r="K94">
        <v>19</v>
      </c>
      <c r="L94">
        <v>7</v>
      </c>
      <c r="M94">
        <v>2</v>
      </c>
      <c r="N94">
        <v>0</v>
      </c>
      <c r="O94">
        <v>1</v>
      </c>
      <c r="P94">
        <v>2</v>
      </c>
      <c r="Q94">
        <v>0</v>
      </c>
      <c r="R94">
        <v>0</v>
      </c>
      <c r="S94">
        <v>6.75</v>
      </c>
      <c r="T94">
        <v>0.25</v>
      </c>
      <c r="U94">
        <v>0</v>
      </c>
      <c r="V94">
        <v>7</v>
      </c>
      <c r="W94">
        <v>72.5</v>
      </c>
      <c r="X94">
        <v>0</v>
      </c>
      <c r="Y94">
        <v>10</v>
      </c>
      <c r="Z94">
        <v>0</v>
      </c>
      <c r="AA94">
        <v>0</v>
      </c>
      <c r="AB94">
        <v>0</v>
      </c>
      <c r="AC94">
        <v>18</v>
      </c>
      <c r="AD94">
        <v>18</v>
      </c>
      <c r="AE94">
        <v>8</v>
      </c>
      <c r="AF94">
        <v>10</v>
      </c>
      <c r="AG94">
        <v>82.5</v>
      </c>
      <c r="AH94">
        <v>75</v>
      </c>
      <c r="AI94">
        <v>0</v>
      </c>
      <c r="AJ94">
        <v>0</v>
      </c>
      <c r="AK94">
        <v>10</v>
      </c>
      <c r="AL94">
        <v>10</v>
      </c>
      <c r="AM94">
        <v>9</v>
      </c>
      <c r="AN94">
        <v>1</v>
      </c>
      <c r="AO94">
        <v>8</v>
      </c>
      <c r="AP94">
        <v>0</v>
      </c>
      <c r="AQ94">
        <v>7</v>
      </c>
      <c r="AR94">
        <v>1</v>
      </c>
      <c r="AS94">
        <v>6</v>
      </c>
      <c r="AT94">
        <v>19</v>
      </c>
      <c r="AU94">
        <v>0</v>
      </c>
      <c r="AV94">
        <v>19</v>
      </c>
      <c r="AW94">
        <v>0</v>
      </c>
      <c r="AX94">
        <v>3.5</v>
      </c>
      <c r="AY94">
        <v>0</v>
      </c>
      <c r="AZ94">
        <v>3.5</v>
      </c>
      <c r="BA94">
        <v>0</v>
      </c>
      <c r="BB94">
        <v>0.25</v>
      </c>
      <c r="BC94">
        <v>0</v>
      </c>
      <c r="BD94">
        <v>0.25</v>
      </c>
      <c r="BE94">
        <v>0</v>
      </c>
      <c r="BF94">
        <v>96</v>
      </c>
    </row>
    <row r="95" spans="1:58">
      <c r="A95" t="s">
        <v>16997</v>
      </c>
      <c r="B95" t="s">
        <v>16997</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21</v>
      </c>
    </row>
    <row r="96" spans="1:58">
      <c r="A96" t="s">
        <v>16999</v>
      </c>
      <c r="B96" t="s">
        <v>17000</v>
      </c>
      <c r="C96">
        <v>0</v>
      </c>
      <c r="D96">
        <v>41</v>
      </c>
      <c r="E96">
        <v>8</v>
      </c>
      <c r="F96">
        <v>29</v>
      </c>
      <c r="G96">
        <v>2</v>
      </c>
      <c r="H96">
        <v>0</v>
      </c>
      <c r="I96">
        <v>0</v>
      </c>
      <c r="J96">
        <v>41</v>
      </c>
      <c r="K96">
        <v>408</v>
      </c>
      <c r="L96">
        <v>26</v>
      </c>
      <c r="M96">
        <v>6</v>
      </c>
      <c r="N96">
        <v>5</v>
      </c>
      <c r="O96">
        <v>0</v>
      </c>
      <c r="P96">
        <v>1</v>
      </c>
      <c r="Q96">
        <v>3</v>
      </c>
      <c r="R96">
        <v>0</v>
      </c>
      <c r="S96">
        <v>57.25</v>
      </c>
      <c r="T96">
        <v>41.5</v>
      </c>
      <c r="U96">
        <v>6</v>
      </c>
      <c r="V96">
        <v>103.75</v>
      </c>
      <c r="W96" s="20">
        <v>1392.5</v>
      </c>
      <c r="X96">
        <v>0</v>
      </c>
      <c r="Y96">
        <v>30</v>
      </c>
      <c r="Z96">
        <v>10</v>
      </c>
      <c r="AA96">
        <v>0</v>
      </c>
      <c r="AB96">
        <v>730</v>
      </c>
      <c r="AC96">
        <v>0</v>
      </c>
      <c r="AD96">
        <v>0</v>
      </c>
      <c r="AE96">
        <v>0</v>
      </c>
      <c r="AF96">
        <v>730</v>
      </c>
      <c r="AG96" s="20">
        <v>1512.5</v>
      </c>
      <c r="AH96" s="20">
        <v>1512.5</v>
      </c>
      <c r="AI96">
        <v>0</v>
      </c>
      <c r="AJ96">
        <v>0</v>
      </c>
      <c r="AK96">
        <v>0</v>
      </c>
      <c r="AL96">
        <v>0</v>
      </c>
      <c r="AM96">
        <v>0</v>
      </c>
      <c r="AN96">
        <v>0</v>
      </c>
      <c r="AO96">
        <v>0</v>
      </c>
      <c r="AP96">
        <v>0</v>
      </c>
      <c r="AQ96">
        <v>0</v>
      </c>
      <c r="AR96">
        <v>0</v>
      </c>
      <c r="AS96">
        <v>0</v>
      </c>
      <c r="AT96">
        <v>408</v>
      </c>
      <c r="AU96">
        <v>0</v>
      </c>
      <c r="AV96">
        <v>408</v>
      </c>
      <c r="AW96">
        <v>0</v>
      </c>
      <c r="AX96">
        <v>57.25</v>
      </c>
      <c r="AY96">
        <v>0</v>
      </c>
      <c r="AZ96">
        <v>57.25</v>
      </c>
      <c r="BA96">
        <v>0</v>
      </c>
      <c r="BB96">
        <v>41.5</v>
      </c>
      <c r="BC96">
        <v>0</v>
      </c>
      <c r="BD96">
        <v>41.5</v>
      </c>
      <c r="BE96">
        <v>0</v>
      </c>
      <c r="BF96" s="21">
        <v>1240</v>
      </c>
    </row>
    <row r="97" spans="1:58">
      <c r="A97" t="s">
        <v>16969</v>
      </c>
      <c r="B97" t="s">
        <v>19337</v>
      </c>
      <c r="C97">
        <v>1</v>
      </c>
      <c r="D97">
        <v>5</v>
      </c>
      <c r="E97">
        <v>5</v>
      </c>
      <c r="F97">
        <v>5</v>
      </c>
      <c r="G97">
        <v>2</v>
      </c>
      <c r="H97">
        <v>0</v>
      </c>
      <c r="I97">
        <v>0</v>
      </c>
      <c r="J97">
        <v>5</v>
      </c>
      <c r="K97">
        <v>32</v>
      </c>
      <c r="L97">
        <v>4</v>
      </c>
      <c r="M97">
        <v>1</v>
      </c>
      <c r="N97">
        <v>0</v>
      </c>
      <c r="O97">
        <v>0</v>
      </c>
      <c r="P97">
        <v>0</v>
      </c>
      <c r="Q97">
        <v>0</v>
      </c>
      <c r="R97">
        <v>0</v>
      </c>
      <c r="S97">
        <v>2</v>
      </c>
      <c r="T97">
        <v>2.25</v>
      </c>
      <c r="U97">
        <v>0</v>
      </c>
      <c r="V97">
        <v>4.25</v>
      </c>
      <c r="W97">
        <v>55</v>
      </c>
      <c r="X97">
        <v>0</v>
      </c>
      <c r="Y97">
        <v>4</v>
      </c>
      <c r="Z97">
        <v>0</v>
      </c>
      <c r="AA97">
        <v>-10</v>
      </c>
      <c r="AB97">
        <v>2.5</v>
      </c>
      <c r="AC97">
        <v>0</v>
      </c>
      <c r="AD97">
        <v>0</v>
      </c>
      <c r="AE97">
        <v>0</v>
      </c>
      <c r="AF97">
        <v>2.5</v>
      </c>
      <c r="AG97">
        <v>55</v>
      </c>
      <c r="AH97">
        <v>55</v>
      </c>
      <c r="AI97">
        <v>0</v>
      </c>
      <c r="AJ97">
        <v>0</v>
      </c>
      <c r="AK97">
        <v>0</v>
      </c>
      <c r="AL97">
        <v>0</v>
      </c>
      <c r="AM97">
        <v>0</v>
      </c>
      <c r="AN97">
        <v>0</v>
      </c>
      <c r="AO97">
        <v>0</v>
      </c>
      <c r="AP97">
        <v>0</v>
      </c>
      <c r="AQ97">
        <v>0</v>
      </c>
      <c r="AR97">
        <v>0</v>
      </c>
      <c r="AS97">
        <v>0</v>
      </c>
      <c r="AT97">
        <v>32</v>
      </c>
      <c r="AU97">
        <v>0</v>
      </c>
      <c r="AV97">
        <v>26</v>
      </c>
      <c r="AW97">
        <v>6</v>
      </c>
      <c r="AX97">
        <v>2</v>
      </c>
      <c r="AY97">
        <v>0</v>
      </c>
      <c r="AZ97">
        <v>1</v>
      </c>
      <c r="BA97">
        <v>1</v>
      </c>
      <c r="BB97">
        <v>2.25</v>
      </c>
      <c r="BC97">
        <v>0</v>
      </c>
      <c r="BD97">
        <v>2.25</v>
      </c>
      <c r="BE97">
        <v>0</v>
      </c>
      <c r="BF97">
        <v>0</v>
      </c>
    </row>
    <row r="98" spans="1:58">
      <c r="A98" t="s">
        <v>16969</v>
      </c>
      <c r="B98" t="s">
        <v>18804</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s="21">
        <v>1783</v>
      </c>
    </row>
    <row r="99" spans="1:58">
      <c r="A99" t="s">
        <v>16969</v>
      </c>
      <c r="B99" t="s">
        <v>17006</v>
      </c>
      <c r="C99">
        <v>2</v>
      </c>
      <c r="D99">
        <v>3</v>
      </c>
      <c r="E99">
        <v>0</v>
      </c>
      <c r="F99">
        <v>3</v>
      </c>
      <c r="G99">
        <v>0</v>
      </c>
      <c r="H99">
        <v>0</v>
      </c>
      <c r="I99">
        <v>0</v>
      </c>
      <c r="J99">
        <v>3</v>
      </c>
      <c r="K99">
        <v>29</v>
      </c>
      <c r="L99">
        <v>1</v>
      </c>
      <c r="M99">
        <v>0</v>
      </c>
      <c r="N99">
        <v>0</v>
      </c>
      <c r="O99">
        <v>2</v>
      </c>
      <c r="P99">
        <v>0</v>
      </c>
      <c r="Q99">
        <v>0</v>
      </c>
      <c r="R99">
        <v>0</v>
      </c>
      <c r="S99">
        <v>0.5</v>
      </c>
      <c r="T99">
        <v>0.25</v>
      </c>
      <c r="U99">
        <v>0</v>
      </c>
      <c r="V99">
        <v>0.75</v>
      </c>
      <c r="W99">
        <v>0</v>
      </c>
      <c r="X99">
        <v>0</v>
      </c>
      <c r="Y99">
        <v>0</v>
      </c>
      <c r="Z99">
        <v>0</v>
      </c>
      <c r="AA99">
        <v>-10</v>
      </c>
      <c r="AB99">
        <v>0</v>
      </c>
      <c r="AC99">
        <v>1.7</v>
      </c>
      <c r="AD99">
        <v>1.7</v>
      </c>
      <c r="AE99">
        <v>1.7</v>
      </c>
      <c r="AF99">
        <v>1.7</v>
      </c>
      <c r="AG99">
        <v>1.7</v>
      </c>
      <c r="AH99">
        <v>0</v>
      </c>
      <c r="AI99">
        <v>0</v>
      </c>
      <c r="AJ99">
        <v>0</v>
      </c>
      <c r="AK99">
        <v>0</v>
      </c>
      <c r="AL99">
        <v>0</v>
      </c>
      <c r="AM99">
        <v>1</v>
      </c>
      <c r="AN99">
        <v>0</v>
      </c>
      <c r="AO99">
        <v>0</v>
      </c>
      <c r="AP99">
        <v>0</v>
      </c>
      <c r="AQ99">
        <v>0</v>
      </c>
      <c r="AR99">
        <v>0</v>
      </c>
      <c r="AS99">
        <v>0</v>
      </c>
      <c r="AT99">
        <v>29</v>
      </c>
      <c r="AU99">
        <v>0</v>
      </c>
      <c r="AV99">
        <v>10</v>
      </c>
      <c r="AW99">
        <v>19</v>
      </c>
      <c r="AX99">
        <v>0.5</v>
      </c>
      <c r="AY99">
        <v>0</v>
      </c>
      <c r="AZ99">
        <v>0</v>
      </c>
      <c r="BA99">
        <v>0.5</v>
      </c>
      <c r="BB99">
        <v>0.25</v>
      </c>
      <c r="BC99">
        <v>0</v>
      </c>
      <c r="BD99">
        <v>0</v>
      </c>
      <c r="BE99">
        <v>0.25</v>
      </c>
      <c r="BF99">
        <v>0</v>
      </c>
    </row>
    <row r="100" spans="1:58">
      <c r="A100" t="s">
        <v>16969</v>
      </c>
      <c r="B100" t="s">
        <v>19338</v>
      </c>
      <c r="C100">
        <v>0</v>
      </c>
      <c r="D100">
        <v>1</v>
      </c>
      <c r="E100">
        <v>1</v>
      </c>
      <c r="F100">
        <v>1</v>
      </c>
      <c r="G100">
        <v>1</v>
      </c>
      <c r="H100">
        <v>0</v>
      </c>
      <c r="I100">
        <v>0</v>
      </c>
      <c r="J100">
        <v>1</v>
      </c>
      <c r="K100">
        <v>12</v>
      </c>
      <c r="L100">
        <v>0</v>
      </c>
      <c r="M100">
        <v>0</v>
      </c>
      <c r="N100">
        <v>0</v>
      </c>
      <c r="O100">
        <v>0</v>
      </c>
      <c r="P100">
        <v>1</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12</v>
      </c>
      <c r="AU100">
        <v>0</v>
      </c>
      <c r="AV100">
        <v>12</v>
      </c>
      <c r="AW100">
        <v>0</v>
      </c>
      <c r="AX100">
        <v>0</v>
      </c>
      <c r="AY100">
        <v>0</v>
      </c>
      <c r="AZ100">
        <v>0</v>
      </c>
      <c r="BA100">
        <v>0</v>
      </c>
      <c r="BB100">
        <v>0</v>
      </c>
      <c r="BC100">
        <v>0</v>
      </c>
      <c r="BD100">
        <v>0</v>
      </c>
      <c r="BE100">
        <v>0</v>
      </c>
    </row>
    <row r="101" spans="1:58">
      <c r="A101" t="s">
        <v>16969</v>
      </c>
      <c r="B101" t="s">
        <v>19338</v>
      </c>
      <c r="C101">
        <v>1</v>
      </c>
      <c r="D101">
        <v>1</v>
      </c>
      <c r="E101">
        <v>1</v>
      </c>
      <c r="F101">
        <v>1</v>
      </c>
      <c r="G101">
        <v>1</v>
      </c>
      <c r="H101">
        <v>0</v>
      </c>
      <c r="I101">
        <v>0</v>
      </c>
      <c r="J101">
        <v>1</v>
      </c>
      <c r="K101">
        <v>4</v>
      </c>
      <c r="L101">
        <v>1</v>
      </c>
      <c r="M101">
        <v>0</v>
      </c>
      <c r="N101">
        <v>0</v>
      </c>
      <c r="O101">
        <v>0</v>
      </c>
      <c r="P101">
        <v>0</v>
      </c>
      <c r="Q101">
        <v>0</v>
      </c>
      <c r="R101">
        <v>0</v>
      </c>
      <c r="S101">
        <v>0.5</v>
      </c>
      <c r="T101">
        <v>0</v>
      </c>
      <c r="U101">
        <v>0</v>
      </c>
      <c r="V101">
        <v>0.5</v>
      </c>
      <c r="W101">
        <v>0</v>
      </c>
      <c r="X101">
        <v>0</v>
      </c>
      <c r="Y101">
        <v>0</v>
      </c>
      <c r="Z101">
        <v>0</v>
      </c>
      <c r="AA101">
        <v>-5</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4</v>
      </c>
      <c r="AU101">
        <v>0</v>
      </c>
      <c r="AV101">
        <v>0</v>
      </c>
      <c r="AW101">
        <v>4</v>
      </c>
      <c r="AX101">
        <v>0.5</v>
      </c>
      <c r="AY101">
        <v>0</v>
      </c>
      <c r="AZ101">
        <v>0</v>
      </c>
      <c r="BA101">
        <v>0.5</v>
      </c>
      <c r="BB101">
        <v>0</v>
      </c>
      <c r="BC101">
        <v>0</v>
      </c>
      <c r="BD101">
        <v>0</v>
      </c>
      <c r="BE101">
        <v>0</v>
      </c>
      <c r="BF101">
        <v>0</v>
      </c>
    </row>
    <row r="102" spans="1:58">
      <c r="A102" t="s">
        <v>16969</v>
      </c>
      <c r="B102" t="s">
        <v>19339</v>
      </c>
      <c r="C102">
        <v>0</v>
      </c>
      <c r="D102">
        <v>2</v>
      </c>
      <c r="E102">
        <v>0</v>
      </c>
      <c r="F102">
        <v>2</v>
      </c>
      <c r="G102">
        <v>0</v>
      </c>
      <c r="H102">
        <v>0</v>
      </c>
      <c r="I102">
        <v>0</v>
      </c>
      <c r="J102">
        <v>2</v>
      </c>
      <c r="K102">
        <v>37</v>
      </c>
      <c r="L102">
        <v>1</v>
      </c>
      <c r="M102">
        <v>0</v>
      </c>
      <c r="N102">
        <v>1</v>
      </c>
      <c r="O102">
        <v>0</v>
      </c>
      <c r="P102">
        <v>0</v>
      </c>
      <c r="Q102">
        <v>0</v>
      </c>
      <c r="R102">
        <v>0</v>
      </c>
      <c r="S102">
        <v>1.5</v>
      </c>
      <c r="T102">
        <v>3</v>
      </c>
      <c r="U102">
        <v>0</v>
      </c>
      <c r="V102">
        <v>4.5</v>
      </c>
      <c r="W102">
        <v>75</v>
      </c>
      <c r="X102">
        <v>0</v>
      </c>
      <c r="Y102">
        <v>1</v>
      </c>
      <c r="Z102">
        <v>1</v>
      </c>
      <c r="AA102">
        <v>0</v>
      </c>
      <c r="AB102">
        <v>0</v>
      </c>
      <c r="AC102">
        <v>0</v>
      </c>
      <c r="AD102">
        <v>0</v>
      </c>
      <c r="AE102">
        <v>0</v>
      </c>
      <c r="AF102">
        <v>0</v>
      </c>
      <c r="AG102">
        <v>75</v>
      </c>
      <c r="AH102">
        <v>75</v>
      </c>
      <c r="AI102">
        <v>0</v>
      </c>
      <c r="AJ102">
        <v>0</v>
      </c>
      <c r="AK102">
        <v>0</v>
      </c>
      <c r="AL102">
        <v>0</v>
      </c>
      <c r="AM102">
        <v>0</v>
      </c>
      <c r="AN102">
        <v>0</v>
      </c>
      <c r="AO102">
        <v>0</v>
      </c>
      <c r="AP102">
        <v>0</v>
      </c>
      <c r="AQ102">
        <v>0</v>
      </c>
      <c r="AR102">
        <v>0</v>
      </c>
      <c r="AS102">
        <v>0</v>
      </c>
      <c r="AT102">
        <v>37</v>
      </c>
      <c r="AU102">
        <v>0</v>
      </c>
      <c r="AV102">
        <v>37</v>
      </c>
      <c r="AW102">
        <v>0</v>
      </c>
      <c r="AX102">
        <v>1.5</v>
      </c>
      <c r="AY102">
        <v>0</v>
      </c>
      <c r="AZ102">
        <v>1.5</v>
      </c>
      <c r="BA102">
        <v>0</v>
      </c>
      <c r="BB102">
        <v>3</v>
      </c>
      <c r="BC102">
        <v>0</v>
      </c>
      <c r="BD102">
        <v>3</v>
      </c>
      <c r="BE102">
        <v>0</v>
      </c>
      <c r="BF102">
        <v>0</v>
      </c>
    </row>
    <row r="103" spans="1:58">
      <c r="A103" t="s">
        <v>16969</v>
      </c>
      <c r="B103" t="s">
        <v>17021</v>
      </c>
      <c r="C103">
        <v>0</v>
      </c>
      <c r="D103">
        <v>2</v>
      </c>
      <c r="E103">
        <v>2</v>
      </c>
      <c r="F103">
        <v>2</v>
      </c>
      <c r="G103">
        <v>0</v>
      </c>
      <c r="H103">
        <v>1</v>
      </c>
      <c r="I103">
        <v>0</v>
      </c>
      <c r="J103">
        <v>2</v>
      </c>
      <c r="K103">
        <v>3</v>
      </c>
      <c r="L103">
        <v>1</v>
      </c>
      <c r="M103">
        <v>1</v>
      </c>
      <c r="N103">
        <v>0</v>
      </c>
      <c r="O103">
        <v>0</v>
      </c>
      <c r="P103">
        <v>0</v>
      </c>
      <c r="Q103">
        <v>0</v>
      </c>
      <c r="R103">
        <v>0</v>
      </c>
      <c r="S103">
        <v>0</v>
      </c>
      <c r="T103">
        <v>0</v>
      </c>
      <c r="U103">
        <v>0</v>
      </c>
      <c r="V103">
        <v>0.25</v>
      </c>
      <c r="W103">
        <v>2.5</v>
      </c>
      <c r="X103">
        <v>0</v>
      </c>
      <c r="Y103">
        <v>1</v>
      </c>
      <c r="Z103">
        <v>0</v>
      </c>
      <c r="AA103">
        <v>0</v>
      </c>
      <c r="AB103">
        <v>0</v>
      </c>
      <c r="AC103">
        <v>0</v>
      </c>
      <c r="AD103">
        <v>0</v>
      </c>
      <c r="AE103">
        <v>0</v>
      </c>
      <c r="AF103">
        <v>0</v>
      </c>
      <c r="AG103">
        <v>2.5</v>
      </c>
      <c r="AH103">
        <v>2.5</v>
      </c>
      <c r="AI103">
        <v>0</v>
      </c>
      <c r="AJ103">
        <v>0</v>
      </c>
      <c r="AK103">
        <v>0</v>
      </c>
      <c r="AL103">
        <v>0</v>
      </c>
      <c r="AM103">
        <v>0</v>
      </c>
      <c r="AN103">
        <v>0</v>
      </c>
      <c r="AO103">
        <v>0</v>
      </c>
      <c r="AP103">
        <v>0</v>
      </c>
      <c r="AQ103">
        <v>0</v>
      </c>
      <c r="AR103">
        <v>0</v>
      </c>
      <c r="AS103">
        <v>0</v>
      </c>
      <c r="AT103">
        <v>3</v>
      </c>
      <c r="AU103">
        <v>2</v>
      </c>
      <c r="AV103">
        <v>1</v>
      </c>
      <c r="AW103">
        <v>0</v>
      </c>
      <c r="AX103">
        <v>0.25</v>
      </c>
      <c r="AY103">
        <v>0</v>
      </c>
      <c r="AZ103">
        <v>0.25</v>
      </c>
      <c r="BA103">
        <v>0</v>
      </c>
      <c r="BB103">
        <v>0</v>
      </c>
      <c r="BC103">
        <v>0</v>
      </c>
      <c r="BD103">
        <v>0</v>
      </c>
      <c r="BE103">
        <v>0</v>
      </c>
    </row>
    <row r="104" spans="1:58">
      <c r="A104" t="s">
        <v>16969</v>
      </c>
      <c r="B104" t="s">
        <v>17021</v>
      </c>
      <c r="C104">
        <v>0</v>
      </c>
      <c r="D104">
        <v>1</v>
      </c>
      <c r="E104">
        <v>1</v>
      </c>
      <c r="F104">
        <v>1</v>
      </c>
      <c r="G104">
        <v>0</v>
      </c>
      <c r="H104">
        <v>0</v>
      </c>
      <c r="I104">
        <v>0</v>
      </c>
      <c r="J104">
        <v>1</v>
      </c>
      <c r="K104">
        <v>7</v>
      </c>
      <c r="L104">
        <v>1</v>
      </c>
      <c r="M104">
        <v>0</v>
      </c>
      <c r="N104">
        <v>0</v>
      </c>
      <c r="O104">
        <v>0</v>
      </c>
      <c r="P104">
        <v>0</v>
      </c>
      <c r="Q104">
        <v>0</v>
      </c>
      <c r="R104">
        <v>0</v>
      </c>
      <c r="S104">
        <v>2</v>
      </c>
      <c r="T104">
        <v>0</v>
      </c>
      <c r="U104">
        <v>0</v>
      </c>
      <c r="V104">
        <v>2</v>
      </c>
      <c r="W104">
        <v>20</v>
      </c>
      <c r="X104">
        <v>0</v>
      </c>
      <c r="Y104">
        <v>1</v>
      </c>
      <c r="Z104">
        <v>0</v>
      </c>
      <c r="AA104">
        <v>0</v>
      </c>
      <c r="AB104">
        <v>0</v>
      </c>
      <c r="AC104">
        <v>0</v>
      </c>
      <c r="AD104">
        <v>0</v>
      </c>
      <c r="AE104">
        <v>0</v>
      </c>
      <c r="AF104">
        <v>0</v>
      </c>
      <c r="AG104">
        <v>20</v>
      </c>
      <c r="AH104">
        <v>20</v>
      </c>
      <c r="AI104">
        <v>0</v>
      </c>
      <c r="AJ104">
        <v>0</v>
      </c>
      <c r="AK104">
        <v>0</v>
      </c>
      <c r="AL104">
        <v>0</v>
      </c>
      <c r="AM104">
        <v>0</v>
      </c>
      <c r="AN104">
        <v>0</v>
      </c>
      <c r="AO104">
        <v>0</v>
      </c>
      <c r="AP104">
        <v>0</v>
      </c>
      <c r="AQ104">
        <v>0</v>
      </c>
      <c r="AR104">
        <v>0</v>
      </c>
      <c r="AS104">
        <v>0</v>
      </c>
      <c r="AT104">
        <v>7</v>
      </c>
      <c r="AU104">
        <v>0</v>
      </c>
      <c r="AV104">
        <v>7</v>
      </c>
      <c r="AW104">
        <v>0</v>
      </c>
      <c r="AX104">
        <v>2</v>
      </c>
      <c r="AY104">
        <v>0</v>
      </c>
      <c r="AZ104">
        <v>2</v>
      </c>
      <c r="BA104">
        <v>0</v>
      </c>
      <c r="BB104">
        <v>0</v>
      </c>
      <c r="BC104">
        <v>0</v>
      </c>
      <c r="BD104">
        <v>0</v>
      </c>
      <c r="BE104">
        <v>0</v>
      </c>
      <c r="BF104">
        <v>0</v>
      </c>
    </row>
    <row r="105" spans="1:58">
      <c r="A105" t="s">
        <v>16969</v>
      </c>
      <c r="B105" t="s">
        <v>18809</v>
      </c>
      <c r="C105">
        <v>1</v>
      </c>
      <c r="D105">
        <v>28</v>
      </c>
      <c r="E105">
        <v>28</v>
      </c>
      <c r="F105">
        <v>28</v>
      </c>
      <c r="G105">
        <v>0</v>
      </c>
      <c r="H105">
        <v>0</v>
      </c>
      <c r="I105">
        <v>0</v>
      </c>
      <c r="J105">
        <v>28</v>
      </c>
      <c r="K105">
        <v>274</v>
      </c>
      <c r="L105">
        <v>17</v>
      </c>
      <c r="M105">
        <v>0</v>
      </c>
      <c r="N105">
        <v>1</v>
      </c>
      <c r="O105">
        <v>6</v>
      </c>
      <c r="P105">
        <v>0</v>
      </c>
      <c r="Q105">
        <v>4</v>
      </c>
      <c r="R105">
        <v>0</v>
      </c>
      <c r="S105">
        <v>10.25</v>
      </c>
      <c r="T105">
        <v>6</v>
      </c>
      <c r="U105">
        <v>0</v>
      </c>
      <c r="V105">
        <v>16.25</v>
      </c>
      <c r="W105">
        <v>220</v>
      </c>
      <c r="X105">
        <v>0</v>
      </c>
      <c r="Y105">
        <v>27</v>
      </c>
      <c r="Z105">
        <v>0</v>
      </c>
      <c r="AA105">
        <v>-2.5</v>
      </c>
      <c r="AB105">
        <v>37.5</v>
      </c>
      <c r="AC105">
        <v>2.54</v>
      </c>
      <c r="AD105">
        <v>2.54</v>
      </c>
      <c r="AE105">
        <v>40.04</v>
      </c>
      <c r="AF105">
        <v>40.04</v>
      </c>
      <c r="AG105">
        <v>222.54</v>
      </c>
      <c r="AH105">
        <v>182.5</v>
      </c>
      <c r="AI105">
        <v>0</v>
      </c>
      <c r="AJ105">
        <v>0</v>
      </c>
      <c r="AK105">
        <v>0</v>
      </c>
      <c r="AL105">
        <v>0</v>
      </c>
      <c r="AM105">
        <v>1</v>
      </c>
      <c r="AN105">
        <v>1</v>
      </c>
      <c r="AO105">
        <v>0</v>
      </c>
      <c r="AP105">
        <v>0</v>
      </c>
      <c r="AQ105">
        <v>0</v>
      </c>
      <c r="AR105">
        <v>0</v>
      </c>
      <c r="AS105">
        <v>0</v>
      </c>
      <c r="AT105">
        <v>274</v>
      </c>
      <c r="AU105">
        <v>0</v>
      </c>
      <c r="AV105">
        <v>272</v>
      </c>
      <c r="AW105">
        <v>2</v>
      </c>
      <c r="AX105">
        <v>10.25</v>
      </c>
      <c r="AY105">
        <v>0</v>
      </c>
      <c r="AZ105">
        <v>10</v>
      </c>
      <c r="BA105">
        <v>0.25</v>
      </c>
      <c r="BB105">
        <v>6</v>
      </c>
      <c r="BC105">
        <v>0</v>
      </c>
      <c r="BD105">
        <v>6</v>
      </c>
      <c r="BE105">
        <v>0</v>
      </c>
      <c r="BF105">
        <v>11</v>
      </c>
    </row>
    <row r="106" spans="1:58">
      <c r="A106" t="s">
        <v>16969</v>
      </c>
      <c r="B106" t="s">
        <v>17328</v>
      </c>
      <c r="C106">
        <v>0</v>
      </c>
      <c r="D106">
        <v>17</v>
      </c>
      <c r="E106">
        <v>15</v>
      </c>
      <c r="F106">
        <v>17</v>
      </c>
      <c r="G106">
        <v>2</v>
      </c>
      <c r="H106">
        <v>0</v>
      </c>
      <c r="I106">
        <v>1</v>
      </c>
      <c r="J106">
        <v>17</v>
      </c>
      <c r="K106">
        <v>60</v>
      </c>
      <c r="L106">
        <v>13</v>
      </c>
      <c r="M106">
        <v>0</v>
      </c>
      <c r="N106">
        <v>2</v>
      </c>
      <c r="O106">
        <v>0</v>
      </c>
      <c r="P106">
        <v>2</v>
      </c>
      <c r="Q106">
        <v>0</v>
      </c>
      <c r="R106">
        <v>0</v>
      </c>
      <c r="S106">
        <v>20</v>
      </c>
      <c r="T106">
        <v>5</v>
      </c>
      <c r="U106">
        <v>0</v>
      </c>
      <c r="V106">
        <v>25</v>
      </c>
      <c r="W106">
        <v>300</v>
      </c>
      <c r="X106">
        <v>0</v>
      </c>
      <c r="Y106">
        <v>12</v>
      </c>
      <c r="Z106">
        <v>3</v>
      </c>
      <c r="AA106">
        <v>0</v>
      </c>
      <c r="AB106">
        <v>0</v>
      </c>
      <c r="AC106">
        <v>0</v>
      </c>
      <c r="AD106">
        <v>0</v>
      </c>
      <c r="AE106">
        <v>0</v>
      </c>
      <c r="AF106">
        <v>0</v>
      </c>
      <c r="AG106">
        <v>300</v>
      </c>
      <c r="AH106">
        <v>300</v>
      </c>
      <c r="AI106">
        <v>0</v>
      </c>
      <c r="AJ106">
        <v>0</v>
      </c>
      <c r="AK106">
        <v>0</v>
      </c>
      <c r="AL106">
        <v>0</v>
      </c>
      <c r="AM106">
        <v>1</v>
      </c>
      <c r="AN106">
        <v>0</v>
      </c>
      <c r="AO106">
        <v>1</v>
      </c>
      <c r="AP106">
        <v>0</v>
      </c>
      <c r="AQ106">
        <v>1</v>
      </c>
      <c r="AR106">
        <v>0</v>
      </c>
      <c r="AS106">
        <v>1</v>
      </c>
      <c r="AT106">
        <v>60</v>
      </c>
      <c r="AU106">
        <v>0</v>
      </c>
      <c r="AV106">
        <v>60</v>
      </c>
      <c r="AW106">
        <v>0</v>
      </c>
      <c r="AX106">
        <v>19.75</v>
      </c>
      <c r="AY106">
        <v>0</v>
      </c>
      <c r="AZ106">
        <v>19.75</v>
      </c>
      <c r="BA106">
        <v>0</v>
      </c>
      <c r="BB106">
        <v>5</v>
      </c>
      <c r="BC106">
        <v>0</v>
      </c>
      <c r="BD106">
        <v>5</v>
      </c>
      <c r="BE106">
        <v>0</v>
      </c>
      <c r="BF106">
        <v>27</v>
      </c>
    </row>
    <row r="107" spans="1:58">
      <c r="A107" t="s">
        <v>16969</v>
      </c>
      <c r="B107" t="s">
        <v>17327</v>
      </c>
      <c r="C107">
        <v>1</v>
      </c>
      <c r="D107">
        <v>4</v>
      </c>
      <c r="E107">
        <v>4</v>
      </c>
      <c r="F107">
        <v>4</v>
      </c>
      <c r="G107">
        <v>0</v>
      </c>
      <c r="H107">
        <v>0</v>
      </c>
      <c r="I107">
        <v>0</v>
      </c>
      <c r="J107">
        <v>4</v>
      </c>
      <c r="K107">
        <v>7</v>
      </c>
      <c r="L107">
        <v>1</v>
      </c>
      <c r="M107">
        <v>3</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7</v>
      </c>
      <c r="AU107">
        <v>0</v>
      </c>
      <c r="AV107">
        <v>6</v>
      </c>
      <c r="AW107">
        <v>1</v>
      </c>
      <c r="AX107">
        <v>0</v>
      </c>
      <c r="AY107">
        <v>0</v>
      </c>
      <c r="AZ107">
        <v>0</v>
      </c>
      <c r="BA107">
        <v>0</v>
      </c>
      <c r="BB107">
        <v>0</v>
      </c>
      <c r="BC107">
        <v>0</v>
      </c>
      <c r="BD107">
        <v>0</v>
      </c>
      <c r="BE107">
        <v>0</v>
      </c>
      <c r="BF107">
        <v>0</v>
      </c>
    </row>
    <row r="108" spans="1:58">
      <c r="A108" t="s">
        <v>16969</v>
      </c>
      <c r="B108" t="s">
        <v>18811</v>
      </c>
      <c r="C108">
        <v>0</v>
      </c>
      <c r="D108">
        <v>2</v>
      </c>
      <c r="E108">
        <v>2</v>
      </c>
      <c r="F108">
        <v>2</v>
      </c>
      <c r="G108">
        <v>0</v>
      </c>
      <c r="H108">
        <v>0</v>
      </c>
      <c r="I108">
        <v>0</v>
      </c>
      <c r="J108">
        <v>2</v>
      </c>
      <c r="K108">
        <v>3</v>
      </c>
      <c r="L108">
        <v>2</v>
      </c>
      <c r="M108">
        <v>0</v>
      </c>
      <c r="N108">
        <v>0</v>
      </c>
      <c r="O108">
        <v>0</v>
      </c>
      <c r="P108">
        <v>0</v>
      </c>
      <c r="Q108">
        <v>0</v>
      </c>
      <c r="R108">
        <v>0</v>
      </c>
      <c r="S108">
        <v>2</v>
      </c>
      <c r="T108">
        <v>0.25</v>
      </c>
      <c r="U108">
        <v>0</v>
      </c>
      <c r="V108">
        <v>2.25</v>
      </c>
      <c r="W108">
        <v>25</v>
      </c>
      <c r="X108">
        <v>0</v>
      </c>
      <c r="Y108">
        <v>2</v>
      </c>
      <c r="Z108">
        <v>0</v>
      </c>
      <c r="AA108">
        <v>0</v>
      </c>
      <c r="AB108">
        <v>0</v>
      </c>
      <c r="AC108">
        <v>5</v>
      </c>
      <c r="AD108">
        <v>0</v>
      </c>
      <c r="AE108">
        <v>0</v>
      </c>
      <c r="AF108">
        <v>0</v>
      </c>
      <c r="AG108">
        <v>30</v>
      </c>
      <c r="AH108">
        <v>30</v>
      </c>
      <c r="AI108">
        <v>0</v>
      </c>
      <c r="AJ108">
        <v>0</v>
      </c>
      <c r="AK108">
        <v>0</v>
      </c>
      <c r="AL108">
        <v>0</v>
      </c>
      <c r="AM108">
        <v>0</v>
      </c>
      <c r="AN108">
        <v>0</v>
      </c>
      <c r="AO108">
        <v>0</v>
      </c>
      <c r="AP108">
        <v>0</v>
      </c>
      <c r="AQ108">
        <v>0</v>
      </c>
      <c r="AR108">
        <v>0</v>
      </c>
      <c r="AS108">
        <v>0</v>
      </c>
      <c r="AT108">
        <v>3</v>
      </c>
      <c r="AU108">
        <v>0</v>
      </c>
      <c r="AV108">
        <v>3</v>
      </c>
      <c r="AW108">
        <v>0</v>
      </c>
      <c r="AX108">
        <v>2</v>
      </c>
      <c r="AY108">
        <v>0</v>
      </c>
      <c r="AZ108">
        <v>2</v>
      </c>
      <c r="BA108">
        <v>0</v>
      </c>
      <c r="BB108">
        <v>0.25</v>
      </c>
      <c r="BC108">
        <v>0</v>
      </c>
      <c r="BD108">
        <v>0.25</v>
      </c>
      <c r="BE108">
        <v>0</v>
      </c>
      <c r="BF108">
        <v>0</v>
      </c>
    </row>
    <row r="109" spans="1:58">
      <c r="A109" t="s">
        <v>16969</v>
      </c>
      <c r="B109" t="s">
        <v>17030</v>
      </c>
      <c r="C109">
        <v>0</v>
      </c>
      <c r="D109">
        <v>15</v>
      </c>
      <c r="E109">
        <v>15</v>
      </c>
      <c r="F109">
        <v>15</v>
      </c>
      <c r="G109">
        <v>0</v>
      </c>
      <c r="H109">
        <v>0</v>
      </c>
      <c r="I109">
        <v>0</v>
      </c>
      <c r="J109">
        <v>15</v>
      </c>
      <c r="K109">
        <v>25</v>
      </c>
      <c r="L109">
        <v>11</v>
      </c>
      <c r="M109">
        <v>1</v>
      </c>
      <c r="N109">
        <v>0</v>
      </c>
      <c r="O109">
        <v>3</v>
      </c>
      <c r="P109">
        <v>0</v>
      </c>
      <c r="Q109">
        <v>0</v>
      </c>
      <c r="R109">
        <v>0</v>
      </c>
      <c r="S109">
        <v>4.75</v>
      </c>
      <c r="T109">
        <v>4</v>
      </c>
      <c r="U109">
        <v>0</v>
      </c>
      <c r="V109">
        <v>8.75</v>
      </c>
      <c r="W109">
        <v>127.5</v>
      </c>
      <c r="X109">
        <v>0</v>
      </c>
      <c r="Y109">
        <v>6</v>
      </c>
      <c r="Z109">
        <v>0</v>
      </c>
      <c r="AA109">
        <v>0</v>
      </c>
      <c r="AB109">
        <v>30</v>
      </c>
      <c r="AC109">
        <v>0</v>
      </c>
      <c r="AD109">
        <v>0</v>
      </c>
      <c r="AE109">
        <v>0</v>
      </c>
      <c r="AF109">
        <v>30</v>
      </c>
      <c r="AG109">
        <v>127.5</v>
      </c>
      <c r="AH109">
        <v>127.5</v>
      </c>
      <c r="AI109">
        <v>0</v>
      </c>
      <c r="AJ109">
        <v>0</v>
      </c>
      <c r="AK109">
        <v>0</v>
      </c>
      <c r="AL109">
        <v>0</v>
      </c>
      <c r="AM109">
        <v>0</v>
      </c>
      <c r="AN109">
        <v>0</v>
      </c>
      <c r="AO109">
        <v>0</v>
      </c>
      <c r="AP109">
        <v>0</v>
      </c>
      <c r="AQ109">
        <v>0</v>
      </c>
      <c r="AR109">
        <v>0</v>
      </c>
      <c r="AS109">
        <v>0</v>
      </c>
      <c r="AT109">
        <v>25</v>
      </c>
      <c r="AU109">
        <v>0</v>
      </c>
      <c r="AV109">
        <v>25</v>
      </c>
      <c r="AW109">
        <v>0</v>
      </c>
      <c r="AX109">
        <v>4.75</v>
      </c>
      <c r="AY109">
        <v>0</v>
      </c>
      <c r="AZ109">
        <v>4.75</v>
      </c>
      <c r="BA109">
        <v>0</v>
      </c>
      <c r="BB109">
        <v>4</v>
      </c>
      <c r="BC109">
        <v>0</v>
      </c>
      <c r="BD109">
        <v>4</v>
      </c>
      <c r="BE109">
        <v>0</v>
      </c>
      <c r="BF109">
        <v>15</v>
      </c>
    </row>
    <row r="110" spans="1:58">
      <c r="A110" t="s">
        <v>16969</v>
      </c>
      <c r="B110" t="s">
        <v>19340</v>
      </c>
      <c r="C110">
        <v>0</v>
      </c>
      <c r="D110">
        <v>34</v>
      </c>
      <c r="E110">
        <v>2</v>
      </c>
      <c r="F110">
        <v>32</v>
      </c>
      <c r="G110">
        <v>0</v>
      </c>
      <c r="H110">
        <v>0</v>
      </c>
      <c r="I110">
        <v>0</v>
      </c>
      <c r="J110">
        <v>34</v>
      </c>
      <c r="K110">
        <v>135</v>
      </c>
      <c r="L110">
        <v>30</v>
      </c>
      <c r="M110">
        <v>0</v>
      </c>
      <c r="N110">
        <v>4</v>
      </c>
      <c r="O110">
        <v>0</v>
      </c>
      <c r="P110">
        <v>0</v>
      </c>
      <c r="Q110">
        <v>0</v>
      </c>
      <c r="R110">
        <v>0</v>
      </c>
      <c r="S110">
        <v>20.75</v>
      </c>
      <c r="T110">
        <v>17</v>
      </c>
      <c r="U110">
        <v>0</v>
      </c>
      <c r="V110">
        <v>37.75</v>
      </c>
      <c r="W110">
        <v>547.5</v>
      </c>
      <c r="X110">
        <v>0</v>
      </c>
      <c r="Y110">
        <v>34</v>
      </c>
      <c r="Z110">
        <v>0</v>
      </c>
      <c r="AA110">
        <v>0</v>
      </c>
      <c r="AB110">
        <v>0</v>
      </c>
      <c r="AC110">
        <v>0</v>
      </c>
      <c r="AD110">
        <v>0</v>
      </c>
      <c r="AE110">
        <v>0</v>
      </c>
      <c r="AF110">
        <v>0</v>
      </c>
      <c r="AG110">
        <v>547.5</v>
      </c>
      <c r="AH110">
        <v>547.5</v>
      </c>
      <c r="AI110">
        <v>0</v>
      </c>
      <c r="AJ110">
        <v>0</v>
      </c>
      <c r="AK110">
        <v>0</v>
      </c>
      <c r="AL110">
        <v>0</v>
      </c>
      <c r="AM110">
        <v>0</v>
      </c>
      <c r="AN110">
        <v>0</v>
      </c>
      <c r="AO110">
        <v>0</v>
      </c>
      <c r="AP110">
        <v>0</v>
      </c>
      <c r="AQ110">
        <v>0</v>
      </c>
      <c r="AR110">
        <v>0</v>
      </c>
      <c r="AS110">
        <v>0</v>
      </c>
      <c r="AT110">
        <v>135</v>
      </c>
      <c r="AU110">
        <v>0</v>
      </c>
      <c r="AV110">
        <v>135</v>
      </c>
      <c r="AW110">
        <v>0</v>
      </c>
      <c r="AX110">
        <v>20.75</v>
      </c>
      <c r="AY110">
        <v>0</v>
      </c>
      <c r="AZ110">
        <v>20.75</v>
      </c>
      <c r="BA110">
        <v>0</v>
      </c>
      <c r="BB110">
        <v>17</v>
      </c>
      <c r="BC110">
        <v>0</v>
      </c>
      <c r="BD110">
        <v>17</v>
      </c>
      <c r="BE110">
        <v>0</v>
      </c>
      <c r="BF110">
        <v>0</v>
      </c>
    </row>
    <row r="111" spans="1:58">
      <c r="A111" t="s">
        <v>16898</v>
      </c>
      <c r="B111" t="s">
        <v>16899</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row>
    <row r="112" spans="1:58">
      <c r="A112" t="s">
        <v>16898</v>
      </c>
      <c r="B112" t="s">
        <v>17031</v>
      </c>
      <c r="C112">
        <v>0</v>
      </c>
      <c r="D112">
        <v>1</v>
      </c>
      <c r="E112">
        <v>1</v>
      </c>
      <c r="F112">
        <v>0</v>
      </c>
      <c r="G112">
        <v>1</v>
      </c>
      <c r="H112">
        <v>0</v>
      </c>
      <c r="I112">
        <v>0</v>
      </c>
      <c r="J112">
        <v>1</v>
      </c>
      <c r="K112">
        <v>19</v>
      </c>
      <c r="L112">
        <v>1</v>
      </c>
      <c r="M112">
        <v>0</v>
      </c>
      <c r="N112">
        <v>0</v>
      </c>
      <c r="O112">
        <v>0</v>
      </c>
      <c r="P112">
        <v>0</v>
      </c>
      <c r="Q112">
        <v>0</v>
      </c>
      <c r="R112">
        <v>0</v>
      </c>
      <c r="S112">
        <v>1</v>
      </c>
      <c r="T112">
        <v>3</v>
      </c>
      <c r="U112">
        <v>0</v>
      </c>
      <c r="V112">
        <v>4</v>
      </c>
      <c r="W112">
        <v>70</v>
      </c>
      <c r="X112">
        <v>0</v>
      </c>
      <c r="Y112">
        <v>0</v>
      </c>
      <c r="Z112">
        <v>1</v>
      </c>
      <c r="AA112">
        <v>0</v>
      </c>
      <c r="AB112">
        <v>10</v>
      </c>
      <c r="AC112">
        <v>65.5</v>
      </c>
      <c r="AD112">
        <v>65.5</v>
      </c>
      <c r="AE112">
        <v>75.5</v>
      </c>
      <c r="AF112">
        <v>75.5</v>
      </c>
      <c r="AG112">
        <v>135.5</v>
      </c>
      <c r="AH112">
        <v>60</v>
      </c>
      <c r="AI112">
        <v>0</v>
      </c>
      <c r="AJ112">
        <v>0</v>
      </c>
      <c r="AK112">
        <v>0</v>
      </c>
      <c r="AL112">
        <v>0</v>
      </c>
      <c r="AM112">
        <v>0</v>
      </c>
      <c r="AN112">
        <v>0</v>
      </c>
      <c r="AO112">
        <v>1</v>
      </c>
      <c r="AP112">
        <v>0</v>
      </c>
      <c r="AQ112">
        <v>0</v>
      </c>
      <c r="AR112">
        <v>0</v>
      </c>
      <c r="AS112">
        <v>0</v>
      </c>
      <c r="AT112">
        <v>19</v>
      </c>
      <c r="AU112">
        <v>0</v>
      </c>
      <c r="AV112">
        <v>19</v>
      </c>
      <c r="AW112">
        <v>0</v>
      </c>
      <c r="AX112">
        <v>1</v>
      </c>
      <c r="AY112">
        <v>0</v>
      </c>
      <c r="AZ112">
        <v>1</v>
      </c>
      <c r="BA112">
        <v>0</v>
      </c>
      <c r="BB112">
        <v>3</v>
      </c>
      <c r="BC112">
        <v>0</v>
      </c>
      <c r="BD112">
        <v>3</v>
      </c>
      <c r="BE112">
        <v>0</v>
      </c>
      <c r="BF112">
        <v>0</v>
      </c>
    </row>
    <row r="113" spans="1:58">
      <c r="A113" t="s">
        <v>16898</v>
      </c>
      <c r="B113" t="s">
        <v>17007</v>
      </c>
      <c r="C113">
        <v>0</v>
      </c>
      <c r="D113">
        <v>2</v>
      </c>
      <c r="E113">
        <v>2</v>
      </c>
      <c r="F113">
        <v>2</v>
      </c>
      <c r="G113">
        <v>0</v>
      </c>
      <c r="H113">
        <v>0</v>
      </c>
      <c r="I113">
        <v>0</v>
      </c>
      <c r="J113">
        <v>2</v>
      </c>
      <c r="K113">
        <v>16</v>
      </c>
      <c r="L113">
        <v>2</v>
      </c>
      <c r="M113">
        <v>0</v>
      </c>
      <c r="N113">
        <v>0</v>
      </c>
      <c r="O113">
        <v>0</v>
      </c>
      <c r="P113">
        <v>0</v>
      </c>
      <c r="Q113">
        <v>0</v>
      </c>
      <c r="R113">
        <v>0</v>
      </c>
      <c r="S113">
        <v>0.5</v>
      </c>
      <c r="T113">
        <v>2</v>
      </c>
      <c r="U113">
        <v>0</v>
      </c>
      <c r="V113">
        <v>2.5</v>
      </c>
      <c r="W113">
        <v>45</v>
      </c>
      <c r="X113">
        <v>0</v>
      </c>
      <c r="Y113">
        <v>2</v>
      </c>
      <c r="Z113">
        <v>0</v>
      </c>
      <c r="AA113">
        <v>0</v>
      </c>
      <c r="AB113">
        <v>0</v>
      </c>
      <c r="AC113">
        <v>0</v>
      </c>
      <c r="AD113">
        <v>0</v>
      </c>
      <c r="AE113">
        <v>0</v>
      </c>
      <c r="AF113">
        <v>0</v>
      </c>
      <c r="AG113">
        <v>45</v>
      </c>
      <c r="AH113">
        <v>45</v>
      </c>
      <c r="AI113">
        <v>0</v>
      </c>
      <c r="AJ113">
        <v>0</v>
      </c>
      <c r="AK113">
        <v>0</v>
      </c>
      <c r="AL113">
        <v>0</v>
      </c>
      <c r="AM113">
        <v>0</v>
      </c>
      <c r="AN113">
        <v>0</v>
      </c>
      <c r="AO113">
        <v>0</v>
      </c>
      <c r="AP113">
        <v>0</v>
      </c>
      <c r="AQ113">
        <v>0</v>
      </c>
      <c r="AR113">
        <v>0</v>
      </c>
      <c r="AS113">
        <v>0</v>
      </c>
      <c r="AT113">
        <v>16</v>
      </c>
      <c r="AU113">
        <v>0</v>
      </c>
      <c r="AV113">
        <v>16</v>
      </c>
      <c r="AW113">
        <v>0</v>
      </c>
      <c r="AX113">
        <v>0.5</v>
      </c>
      <c r="AY113">
        <v>0</v>
      </c>
      <c r="AZ113">
        <v>0.5</v>
      </c>
      <c r="BA113">
        <v>0</v>
      </c>
      <c r="BB113">
        <v>2</v>
      </c>
      <c r="BC113">
        <v>0</v>
      </c>
      <c r="BD113">
        <v>2</v>
      </c>
      <c r="BE113">
        <v>0</v>
      </c>
      <c r="BF113">
        <v>0</v>
      </c>
    </row>
    <row r="114" spans="1:58">
      <c r="A114" t="s">
        <v>16898</v>
      </c>
      <c r="B114" t="s">
        <v>17032</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row>
    <row r="115" spans="1:58">
      <c r="A115" t="s">
        <v>16898</v>
      </c>
      <c r="B115" t="s">
        <v>17009</v>
      </c>
      <c r="C115">
        <v>0</v>
      </c>
      <c r="D115">
        <v>4</v>
      </c>
      <c r="E115">
        <v>4</v>
      </c>
      <c r="F115">
        <v>4</v>
      </c>
      <c r="G115">
        <v>1</v>
      </c>
      <c r="H115">
        <v>0</v>
      </c>
      <c r="I115">
        <v>0</v>
      </c>
      <c r="J115">
        <v>4</v>
      </c>
      <c r="K115">
        <v>14</v>
      </c>
      <c r="L115">
        <v>4</v>
      </c>
      <c r="M115">
        <v>0</v>
      </c>
      <c r="N115">
        <v>0</v>
      </c>
      <c r="O115">
        <v>0</v>
      </c>
      <c r="P115">
        <v>0</v>
      </c>
      <c r="Q115">
        <v>0</v>
      </c>
      <c r="R115">
        <v>0</v>
      </c>
      <c r="S115">
        <v>2</v>
      </c>
      <c r="T115">
        <v>0.5</v>
      </c>
      <c r="U115">
        <v>0</v>
      </c>
      <c r="V115">
        <v>2.5</v>
      </c>
      <c r="W115">
        <v>30</v>
      </c>
      <c r="X115">
        <v>0.35</v>
      </c>
      <c r="Y115">
        <v>2</v>
      </c>
      <c r="Z115">
        <v>2</v>
      </c>
      <c r="AA115">
        <v>0</v>
      </c>
      <c r="AB115">
        <v>0</v>
      </c>
      <c r="AC115">
        <v>0.4</v>
      </c>
      <c r="AD115">
        <v>0.25</v>
      </c>
      <c r="AE115">
        <v>0</v>
      </c>
      <c r="AF115">
        <v>0.25</v>
      </c>
      <c r="AG115">
        <v>30.75</v>
      </c>
      <c r="AH115">
        <v>30.75</v>
      </c>
      <c r="AI115">
        <v>0</v>
      </c>
      <c r="AJ115">
        <v>0</v>
      </c>
      <c r="AK115">
        <v>0</v>
      </c>
      <c r="AL115">
        <v>0</v>
      </c>
      <c r="AM115">
        <v>0</v>
      </c>
      <c r="AN115">
        <v>0</v>
      </c>
      <c r="AO115">
        <v>0</v>
      </c>
      <c r="AP115">
        <v>0</v>
      </c>
      <c r="AQ115">
        <v>0</v>
      </c>
      <c r="AR115">
        <v>0</v>
      </c>
      <c r="AS115">
        <v>0</v>
      </c>
      <c r="AT115">
        <v>14</v>
      </c>
      <c r="AU115">
        <v>0</v>
      </c>
      <c r="AV115">
        <v>14</v>
      </c>
      <c r="AW115">
        <v>0</v>
      </c>
      <c r="AX115">
        <v>2</v>
      </c>
      <c r="AY115">
        <v>0</v>
      </c>
      <c r="AZ115">
        <v>2</v>
      </c>
      <c r="BA115">
        <v>0</v>
      </c>
      <c r="BB115">
        <v>0.5</v>
      </c>
      <c r="BC115">
        <v>0</v>
      </c>
      <c r="BD115">
        <v>0.5</v>
      </c>
      <c r="BE115">
        <v>0</v>
      </c>
      <c r="BF115">
        <v>0</v>
      </c>
    </row>
    <row r="116" spans="1:58">
      <c r="A116" t="s">
        <v>16898</v>
      </c>
      <c r="B116" t="s">
        <v>18812</v>
      </c>
      <c r="C116">
        <v>2</v>
      </c>
      <c r="D116">
        <v>2</v>
      </c>
      <c r="E116">
        <v>2</v>
      </c>
      <c r="F116">
        <v>0</v>
      </c>
      <c r="G116">
        <v>0</v>
      </c>
      <c r="H116">
        <v>0</v>
      </c>
      <c r="I116">
        <v>0</v>
      </c>
      <c r="J116">
        <v>2</v>
      </c>
      <c r="K116">
        <v>2</v>
      </c>
      <c r="L116">
        <v>2</v>
      </c>
      <c r="M116">
        <v>0</v>
      </c>
      <c r="N116">
        <v>0</v>
      </c>
      <c r="O116">
        <v>0</v>
      </c>
      <c r="P116">
        <v>0</v>
      </c>
      <c r="Q116">
        <v>0</v>
      </c>
      <c r="R116">
        <v>0</v>
      </c>
      <c r="S116">
        <v>0.5</v>
      </c>
      <c r="T116">
        <v>0</v>
      </c>
      <c r="U116">
        <v>0</v>
      </c>
      <c r="V116">
        <v>0.5</v>
      </c>
      <c r="W116">
        <v>0</v>
      </c>
      <c r="X116">
        <v>0</v>
      </c>
      <c r="Y116">
        <v>0</v>
      </c>
      <c r="Z116">
        <v>0</v>
      </c>
      <c r="AA116">
        <v>-5</v>
      </c>
      <c r="AB116">
        <v>0</v>
      </c>
      <c r="AC116">
        <v>6</v>
      </c>
      <c r="AD116">
        <v>6</v>
      </c>
      <c r="AE116">
        <v>6</v>
      </c>
      <c r="AF116">
        <v>6</v>
      </c>
      <c r="AG116">
        <v>6</v>
      </c>
      <c r="AH116">
        <v>0</v>
      </c>
      <c r="AI116">
        <v>0</v>
      </c>
      <c r="AJ116">
        <v>0</v>
      </c>
      <c r="AK116">
        <v>0</v>
      </c>
      <c r="AL116">
        <v>0</v>
      </c>
      <c r="AM116">
        <v>2</v>
      </c>
      <c r="AN116">
        <v>0</v>
      </c>
      <c r="AO116">
        <v>0</v>
      </c>
      <c r="AP116">
        <v>0</v>
      </c>
      <c r="AQ116">
        <v>0</v>
      </c>
      <c r="AR116">
        <v>0</v>
      </c>
      <c r="AS116">
        <v>0</v>
      </c>
      <c r="AT116">
        <v>2</v>
      </c>
      <c r="AU116">
        <v>0</v>
      </c>
      <c r="AV116">
        <v>0</v>
      </c>
      <c r="AW116">
        <v>2</v>
      </c>
      <c r="AX116">
        <v>0.5</v>
      </c>
      <c r="AY116">
        <v>0</v>
      </c>
      <c r="AZ116">
        <v>0</v>
      </c>
      <c r="BA116">
        <v>0.5</v>
      </c>
      <c r="BB116">
        <v>0</v>
      </c>
      <c r="BC116">
        <v>0</v>
      </c>
      <c r="BD116">
        <v>0</v>
      </c>
      <c r="BE116">
        <v>0</v>
      </c>
      <c r="BF116">
        <v>0</v>
      </c>
    </row>
    <row r="117" spans="1:58">
      <c r="A117" t="s">
        <v>16898</v>
      </c>
      <c r="B117" t="s">
        <v>18813</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row>
    <row r="118" spans="1:58">
      <c r="A118" t="s">
        <v>16898</v>
      </c>
      <c r="B118" t="s">
        <v>17205</v>
      </c>
      <c r="C118">
        <v>0</v>
      </c>
      <c r="D118">
        <v>12</v>
      </c>
      <c r="E118">
        <v>12</v>
      </c>
      <c r="F118">
        <v>12</v>
      </c>
      <c r="G118">
        <v>0</v>
      </c>
      <c r="H118">
        <v>3</v>
      </c>
      <c r="I118">
        <v>0</v>
      </c>
      <c r="J118">
        <v>11</v>
      </c>
      <c r="K118">
        <v>70</v>
      </c>
      <c r="L118">
        <v>4</v>
      </c>
      <c r="M118">
        <v>2</v>
      </c>
      <c r="N118">
        <v>0</v>
      </c>
      <c r="O118">
        <v>3</v>
      </c>
      <c r="P118">
        <v>1</v>
      </c>
      <c r="Q118">
        <v>1</v>
      </c>
      <c r="R118">
        <v>0</v>
      </c>
      <c r="S118">
        <v>8.25</v>
      </c>
      <c r="T118">
        <v>3.25</v>
      </c>
      <c r="U118">
        <v>0</v>
      </c>
      <c r="V118">
        <v>11.5</v>
      </c>
      <c r="W118">
        <v>147.5</v>
      </c>
      <c r="X118">
        <v>0</v>
      </c>
      <c r="Y118">
        <v>5</v>
      </c>
      <c r="Z118">
        <v>0</v>
      </c>
      <c r="AA118">
        <v>0</v>
      </c>
      <c r="AB118">
        <v>87.5</v>
      </c>
      <c r="AC118">
        <v>5.21</v>
      </c>
      <c r="AD118">
        <v>5.21</v>
      </c>
      <c r="AE118">
        <v>92.71</v>
      </c>
      <c r="AF118">
        <v>92.71</v>
      </c>
      <c r="AG118">
        <v>152.71</v>
      </c>
      <c r="AH118">
        <v>60</v>
      </c>
      <c r="AI118">
        <v>0</v>
      </c>
      <c r="AJ118">
        <v>0</v>
      </c>
      <c r="AK118">
        <v>0</v>
      </c>
      <c r="AL118">
        <v>0</v>
      </c>
      <c r="AM118">
        <v>0</v>
      </c>
      <c r="AN118">
        <v>0</v>
      </c>
      <c r="AO118">
        <v>1</v>
      </c>
      <c r="AP118">
        <v>0</v>
      </c>
      <c r="AQ118">
        <v>0</v>
      </c>
      <c r="AR118">
        <v>0</v>
      </c>
      <c r="AS118">
        <v>0</v>
      </c>
      <c r="AT118">
        <v>70</v>
      </c>
      <c r="AU118">
        <v>34</v>
      </c>
      <c r="AV118">
        <v>36</v>
      </c>
      <c r="AW118">
        <v>0</v>
      </c>
      <c r="AX118">
        <v>8.25</v>
      </c>
      <c r="AY118">
        <v>0</v>
      </c>
      <c r="AZ118">
        <v>8.25</v>
      </c>
      <c r="BA118">
        <v>0</v>
      </c>
      <c r="BB118">
        <v>3.25</v>
      </c>
      <c r="BC118">
        <v>0</v>
      </c>
      <c r="BD118">
        <v>3.25</v>
      </c>
      <c r="BE118">
        <v>0</v>
      </c>
      <c r="BF118">
        <v>0</v>
      </c>
    </row>
    <row r="119" spans="1:58">
      <c r="A119" t="s">
        <v>16898</v>
      </c>
      <c r="B119" t="s">
        <v>17010</v>
      </c>
      <c r="C119">
        <v>0</v>
      </c>
      <c r="D119">
        <v>18</v>
      </c>
      <c r="E119">
        <v>18</v>
      </c>
      <c r="F119">
        <v>18</v>
      </c>
      <c r="G119">
        <v>2</v>
      </c>
      <c r="H119">
        <v>0</v>
      </c>
      <c r="I119">
        <v>0</v>
      </c>
      <c r="J119">
        <v>18</v>
      </c>
      <c r="K119">
        <v>94</v>
      </c>
      <c r="L119">
        <v>1</v>
      </c>
      <c r="M119">
        <v>5</v>
      </c>
      <c r="N119">
        <v>12</v>
      </c>
      <c r="O119">
        <v>0</v>
      </c>
      <c r="P119">
        <v>0</v>
      </c>
      <c r="Q119">
        <v>0</v>
      </c>
      <c r="R119">
        <v>0</v>
      </c>
      <c r="S119">
        <v>2.25</v>
      </c>
      <c r="T119">
        <v>25</v>
      </c>
      <c r="U119">
        <v>0</v>
      </c>
      <c r="V119">
        <v>27.25</v>
      </c>
      <c r="W119">
        <v>522.5</v>
      </c>
      <c r="X119">
        <v>0</v>
      </c>
      <c r="Y119">
        <v>10</v>
      </c>
      <c r="Z119">
        <v>2</v>
      </c>
      <c r="AA119">
        <v>0</v>
      </c>
      <c r="AB119">
        <v>240</v>
      </c>
      <c r="AC119">
        <v>15.05</v>
      </c>
      <c r="AD119">
        <v>15.8</v>
      </c>
      <c r="AE119">
        <v>250.25</v>
      </c>
      <c r="AF119">
        <v>255.8</v>
      </c>
      <c r="AG119">
        <v>537.54999999999995</v>
      </c>
      <c r="AH119">
        <v>287.3</v>
      </c>
      <c r="AI119">
        <v>0</v>
      </c>
      <c r="AJ119">
        <v>0</v>
      </c>
      <c r="AK119">
        <v>0</v>
      </c>
      <c r="AL119">
        <v>0</v>
      </c>
      <c r="AM119">
        <v>3</v>
      </c>
      <c r="AN119">
        <v>2</v>
      </c>
      <c r="AO119">
        <v>0</v>
      </c>
      <c r="AP119">
        <v>1</v>
      </c>
      <c r="AQ119">
        <v>0</v>
      </c>
      <c r="AR119">
        <v>0</v>
      </c>
      <c r="AS119">
        <v>0</v>
      </c>
      <c r="AT119">
        <v>94</v>
      </c>
      <c r="AU119">
        <v>0</v>
      </c>
      <c r="AV119">
        <v>94</v>
      </c>
      <c r="AW119">
        <v>0</v>
      </c>
      <c r="AX119">
        <v>2.25</v>
      </c>
      <c r="AY119">
        <v>0</v>
      </c>
      <c r="AZ119">
        <v>2.25</v>
      </c>
      <c r="BA119">
        <v>0</v>
      </c>
      <c r="BB119">
        <v>25</v>
      </c>
      <c r="BC119">
        <v>0</v>
      </c>
      <c r="BD119">
        <v>25</v>
      </c>
      <c r="BE119">
        <v>0</v>
      </c>
      <c r="BF119">
        <v>12</v>
      </c>
    </row>
    <row r="120" spans="1:58">
      <c r="A120" t="s">
        <v>16898</v>
      </c>
      <c r="B120" t="s">
        <v>17011</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row>
    <row r="121" spans="1:58">
      <c r="A121" t="s">
        <v>16898</v>
      </c>
      <c r="B121" t="s">
        <v>17033</v>
      </c>
      <c r="C121">
        <v>0</v>
      </c>
      <c r="D121">
        <v>3</v>
      </c>
      <c r="E121">
        <v>3</v>
      </c>
      <c r="F121">
        <v>3</v>
      </c>
      <c r="G121">
        <v>0</v>
      </c>
      <c r="H121">
        <v>0</v>
      </c>
      <c r="I121">
        <v>0</v>
      </c>
      <c r="J121">
        <v>3</v>
      </c>
      <c r="K121">
        <v>27</v>
      </c>
      <c r="L121">
        <v>2</v>
      </c>
      <c r="M121">
        <v>0</v>
      </c>
      <c r="N121">
        <v>1</v>
      </c>
      <c r="O121">
        <v>0</v>
      </c>
      <c r="P121">
        <v>0</v>
      </c>
      <c r="Q121">
        <v>0</v>
      </c>
      <c r="R121">
        <v>0</v>
      </c>
      <c r="S121">
        <v>3.5</v>
      </c>
      <c r="T121">
        <v>6</v>
      </c>
      <c r="U121">
        <v>3</v>
      </c>
      <c r="V121">
        <v>12.5</v>
      </c>
      <c r="W121">
        <v>155</v>
      </c>
      <c r="X121">
        <v>0</v>
      </c>
      <c r="Y121">
        <v>3</v>
      </c>
      <c r="Z121">
        <v>0</v>
      </c>
      <c r="AA121">
        <v>0</v>
      </c>
      <c r="AB121">
        <v>65</v>
      </c>
      <c r="AC121">
        <v>0</v>
      </c>
      <c r="AD121">
        <v>0</v>
      </c>
      <c r="AE121">
        <v>65</v>
      </c>
      <c r="AF121">
        <v>65</v>
      </c>
      <c r="AG121">
        <v>215</v>
      </c>
      <c r="AH121">
        <v>150</v>
      </c>
      <c r="AI121">
        <v>0</v>
      </c>
      <c r="AJ121">
        <v>0</v>
      </c>
      <c r="AK121">
        <v>0</v>
      </c>
      <c r="AL121">
        <v>0</v>
      </c>
      <c r="AM121">
        <v>0</v>
      </c>
      <c r="AN121">
        <v>3</v>
      </c>
      <c r="AO121">
        <v>0</v>
      </c>
      <c r="AP121">
        <v>0</v>
      </c>
      <c r="AQ121">
        <v>0</v>
      </c>
      <c r="AR121">
        <v>0</v>
      </c>
      <c r="AS121">
        <v>0</v>
      </c>
      <c r="AT121">
        <v>27</v>
      </c>
      <c r="AU121">
        <v>0</v>
      </c>
      <c r="AV121">
        <v>27</v>
      </c>
      <c r="AW121">
        <v>0</v>
      </c>
      <c r="AX121">
        <v>3.5</v>
      </c>
      <c r="AY121">
        <v>0</v>
      </c>
      <c r="AZ121">
        <v>3.5</v>
      </c>
      <c r="BA121">
        <v>0</v>
      </c>
      <c r="BB121">
        <v>6</v>
      </c>
      <c r="BC121">
        <v>0</v>
      </c>
      <c r="BD121">
        <v>6</v>
      </c>
      <c r="BE121">
        <v>0</v>
      </c>
      <c r="BF121">
        <v>25</v>
      </c>
    </row>
    <row r="122" spans="1:58">
      <c r="A122" t="s">
        <v>16898</v>
      </c>
      <c r="B122" t="s">
        <v>17034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row>
    <row r="123" spans="1:58">
      <c r="A123" t="s">
        <v>17035</v>
      </c>
      <c r="B123" t="s">
        <v>18814</v>
      </c>
      <c r="C123">
        <v>0</v>
      </c>
      <c r="D123">
        <v>2</v>
      </c>
      <c r="E123">
        <v>2</v>
      </c>
      <c r="F123">
        <v>2</v>
      </c>
      <c r="G123">
        <v>0</v>
      </c>
      <c r="H123">
        <v>0</v>
      </c>
      <c r="I123">
        <v>1</v>
      </c>
      <c r="J123">
        <v>2</v>
      </c>
      <c r="K123">
        <v>120</v>
      </c>
      <c r="L123">
        <v>0</v>
      </c>
      <c r="M123">
        <v>0</v>
      </c>
      <c r="N123">
        <v>2</v>
      </c>
      <c r="O123">
        <v>0</v>
      </c>
      <c r="P123">
        <v>0</v>
      </c>
      <c r="Q123">
        <v>0</v>
      </c>
      <c r="R123">
        <v>0</v>
      </c>
      <c r="S123">
        <v>0.25</v>
      </c>
      <c r="T123">
        <v>25</v>
      </c>
      <c r="U123">
        <v>25</v>
      </c>
      <c r="V123">
        <v>50.25</v>
      </c>
      <c r="W123">
        <v>502.5</v>
      </c>
      <c r="X123">
        <v>280</v>
      </c>
      <c r="Y123">
        <v>1</v>
      </c>
      <c r="Z123">
        <v>0</v>
      </c>
      <c r="AA123">
        <v>0</v>
      </c>
      <c r="AB123">
        <v>472.5</v>
      </c>
      <c r="AC123">
        <v>12</v>
      </c>
      <c r="AD123">
        <v>5.58</v>
      </c>
      <c r="AE123">
        <v>478.08</v>
      </c>
      <c r="AF123">
        <v>478.08</v>
      </c>
      <c r="AG123" s="20">
        <v>1294.5</v>
      </c>
      <c r="AH123">
        <v>816.42</v>
      </c>
      <c r="AI123">
        <v>0</v>
      </c>
      <c r="AJ123">
        <v>0</v>
      </c>
      <c r="AK123">
        <v>0</v>
      </c>
      <c r="AL123">
        <v>0</v>
      </c>
      <c r="AM123">
        <v>0</v>
      </c>
      <c r="AN123">
        <v>0</v>
      </c>
      <c r="AO123">
        <v>0</v>
      </c>
      <c r="AP123">
        <v>1</v>
      </c>
      <c r="AQ123">
        <v>0</v>
      </c>
      <c r="AR123">
        <v>0</v>
      </c>
      <c r="AS123">
        <v>0</v>
      </c>
      <c r="AT123">
        <v>120</v>
      </c>
      <c r="AU123">
        <v>0</v>
      </c>
      <c r="AV123">
        <v>120</v>
      </c>
      <c r="AW123">
        <v>0</v>
      </c>
      <c r="AX123">
        <v>0.25</v>
      </c>
      <c r="AY123">
        <v>0</v>
      </c>
      <c r="AZ123">
        <v>0.25</v>
      </c>
      <c r="BA123">
        <v>0</v>
      </c>
      <c r="BB123">
        <v>25</v>
      </c>
      <c r="BC123">
        <v>0</v>
      </c>
      <c r="BD123">
        <v>25</v>
      </c>
      <c r="BE123">
        <v>0</v>
      </c>
      <c r="BF123" s="21">
        <v>73222</v>
      </c>
    </row>
    <row r="124" spans="1:58">
      <c r="A124" t="s">
        <v>17035</v>
      </c>
      <c r="B124" t="s">
        <v>17507</v>
      </c>
      <c r="C124">
        <v>0</v>
      </c>
      <c r="D124">
        <v>53</v>
      </c>
      <c r="E124">
        <v>53</v>
      </c>
      <c r="F124">
        <v>43</v>
      </c>
      <c r="G124">
        <v>1</v>
      </c>
      <c r="H124">
        <v>0</v>
      </c>
      <c r="I124">
        <v>0</v>
      </c>
      <c r="J124">
        <v>53</v>
      </c>
      <c r="K124">
        <v>553</v>
      </c>
      <c r="L124">
        <v>14</v>
      </c>
      <c r="M124">
        <v>26</v>
      </c>
      <c r="N124">
        <v>8</v>
      </c>
      <c r="O124">
        <v>0</v>
      </c>
      <c r="P124">
        <v>0</v>
      </c>
      <c r="Q124">
        <v>5</v>
      </c>
      <c r="R124">
        <v>0</v>
      </c>
      <c r="S124">
        <v>29.5</v>
      </c>
      <c r="T124">
        <v>159.25</v>
      </c>
      <c r="U124">
        <v>1</v>
      </c>
      <c r="V124">
        <v>189.75</v>
      </c>
      <c r="W124" s="20">
        <v>3480</v>
      </c>
      <c r="X124">
        <v>0</v>
      </c>
      <c r="Y124">
        <v>19</v>
      </c>
      <c r="Z124">
        <v>0</v>
      </c>
      <c r="AA124">
        <v>0</v>
      </c>
      <c r="AB124" s="20">
        <v>3072.5</v>
      </c>
      <c r="AC124">
        <v>0</v>
      </c>
      <c r="AD124">
        <v>0</v>
      </c>
      <c r="AE124">
        <v>0</v>
      </c>
      <c r="AF124" s="20">
        <v>3072.5</v>
      </c>
      <c r="AG124" s="20">
        <v>3485</v>
      </c>
      <c r="AH124" s="20">
        <v>3485</v>
      </c>
      <c r="AI124">
        <v>0</v>
      </c>
      <c r="AJ124">
        <v>0</v>
      </c>
      <c r="AK124">
        <v>0</v>
      </c>
      <c r="AL124">
        <v>0</v>
      </c>
      <c r="AM124">
        <v>0</v>
      </c>
      <c r="AN124">
        <v>0</v>
      </c>
      <c r="AO124">
        <v>0</v>
      </c>
      <c r="AP124">
        <v>0</v>
      </c>
      <c r="AQ124">
        <v>0</v>
      </c>
      <c r="AR124">
        <v>0</v>
      </c>
      <c r="AS124">
        <v>0</v>
      </c>
      <c r="AT124">
        <v>553</v>
      </c>
      <c r="AU124">
        <v>0</v>
      </c>
      <c r="AV124">
        <v>553</v>
      </c>
      <c r="AW124">
        <v>0</v>
      </c>
      <c r="AX124">
        <v>29</v>
      </c>
      <c r="AY124">
        <v>0</v>
      </c>
      <c r="AZ124">
        <v>29</v>
      </c>
      <c r="BA124">
        <v>0</v>
      </c>
      <c r="BB124">
        <v>158.75</v>
      </c>
      <c r="BC124">
        <v>0</v>
      </c>
      <c r="BD124">
        <v>158.75</v>
      </c>
      <c r="BE124">
        <v>0</v>
      </c>
      <c r="BF124">
        <v>53</v>
      </c>
    </row>
    <row r="125" spans="1:58">
      <c r="A125" t="s">
        <v>16932</v>
      </c>
      <c r="B125" t="s">
        <v>17371</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row>
    <row r="126" spans="1:58">
      <c r="A126" t="s">
        <v>16932</v>
      </c>
      <c r="B126" t="s">
        <v>17361</v>
      </c>
      <c r="C126">
        <v>0</v>
      </c>
      <c r="D126">
        <v>1</v>
      </c>
      <c r="E126">
        <v>1</v>
      </c>
      <c r="F126">
        <v>0</v>
      </c>
      <c r="G126">
        <v>0</v>
      </c>
      <c r="H126">
        <v>0</v>
      </c>
      <c r="I126">
        <v>0</v>
      </c>
      <c r="J126">
        <v>1</v>
      </c>
      <c r="K126">
        <v>17</v>
      </c>
      <c r="L126">
        <v>0</v>
      </c>
      <c r="M126">
        <v>0</v>
      </c>
      <c r="N126">
        <v>0</v>
      </c>
      <c r="O126">
        <v>1</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17</v>
      </c>
      <c r="AU126">
        <v>0</v>
      </c>
      <c r="AV126">
        <v>17</v>
      </c>
      <c r="AW126">
        <v>0</v>
      </c>
      <c r="AX126">
        <v>0</v>
      </c>
      <c r="AY126">
        <v>0</v>
      </c>
      <c r="AZ126">
        <v>0</v>
      </c>
      <c r="BA126">
        <v>0</v>
      </c>
      <c r="BB126">
        <v>0</v>
      </c>
      <c r="BC126">
        <v>0</v>
      </c>
      <c r="BD126">
        <v>0</v>
      </c>
      <c r="BE126">
        <v>0</v>
      </c>
      <c r="BF126">
        <v>1</v>
      </c>
    </row>
    <row r="127" spans="1:58">
      <c r="A127" t="s">
        <v>16932</v>
      </c>
      <c r="B127" t="s">
        <v>17036</v>
      </c>
      <c r="C127">
        <v>0</v>
      </c>
      <c r="D127">
        <v>66</v>
      </c>
      <c r="E127">
        <v>64</v>
      </c>
      <c r="F127">
        <v>64</v>
      </c>
      <c r="G127">
        <v>0</v>
      </c>
      <c r="H127">
        <v>22</v>
      </c>
      <c r="I127">
        <v>1</v>
      </c>
      <c r="J127">
        <v>66</v>
      </c>
      <c r="K127">
        <v>765</v>
      </c>
      <c r="L127">
        <v>34</v>
      </c>
      <c r="M127">
        <v>2</v>
      </c>
      <c r="N127">
        <v>3</v>
      </c>
      <c r="O127">
        <v>4</v>
      </c>
      <c r="P127">
        <v>5</v>
      </c>
      <c r="Q127">
        <v>15</v>
      </c>
      <c r="R127">
        <v>0</v>
      </c>
      <c r="S127">
        <v>44.75</v>
      </c>
      <c r="T127">
        <v>69.5</v>
      </c>
      <c r="U127">
        <v>30</v>
      </c>
      <c r="V127">
        <v>106</v>
      </c>
      <c r="W127" s="20">
        <v>1480</v>
      </c>
      <c r="X127">
        <v>0</v>
      </c>
      <c r="Y127">
        <v>25</v>
      </c>
      <c r="Z127">
        <v>4</v>
      </c>
      <c r="AA127">
        <v>0</v>
      </c>
      <c r="AB127">
        <v>665</v>
      </c>
      <c r="AC127">
        <v>237.2</v>
      </c>
      <c r="AD127">
        <v>211.5</v>
      </c>
      <c r="AE127">
        <v>294.07</v>
      </c>
      <c r="AF127">
        <v>876.5</v>
      </c>
      <c r="AG127" s="20">
        <v>2317.1999999999998</v>
      </c>
      <c r="AH127" s="20">
        <v>2023.13</v>
      </c>
      <c r="AI127">
        <v>148.25</v>
      </c>
      <c r="AJ127">
        <v>181.6</v>
      </c>
      <c r="AK127">
        <v>721.45</v>
      </c>
      <c r="AL127">
        <v>573.20000000000005</v>
      </c>
      <c r="AM127">
        <v>5</v>
      </c>
      <c r="AN127">
        <v>8</v>
      </c>
      <c r="AO127">
        <v>1</v>
      </c>
      <c r="AP127">
        <v>1</v>
      </c>
      <c r="AQ127">
        <v>0</v>
      </c>
      <c r="AR127">
        <v>0</v>
      </c>
      <c r="AS127">
        <v>0</v>
      </c>
      <c r="AT127">
        <v>765</v>
      </c>
      <c r="AU127">
        <v>397</v>
      </c>
      <c r="AV127">
        <v>368</v>
      </c>
      <c r="AW127">
        <v>0</v>
      </c>
      <c r="AX127">
        <v>44.75</v>
      </c>
      <c r="AY127">
        <v>18.5</v>
      </c>
      <c r="AZ127">
        <v>26.25</v>
      </c>
      <c r="BA127">
        <v>0</v>
      </c>
      <c r="BB127">
        <v>69.5</v>
      </c>
      <c r="BC127">
        <v>16</v>
      </c>
      <c r="BD127">
        <v>53.5</v>
      </c>
      <c r="BE127">
        <v>0</v>
      </c>
      <c r="BF127" s="21">
        <v>29600</v>
      </c>
    </row>
    <row r="128" spans="1:58">
      <c r="A128" t="s">
        <v>16932</v>
      </c>
      <c r="B128" t="s">
        <v>18815</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row>
    <row r="129" spans="1:58">
      <c r="A129" t="s">
        <v>16932</v>
      </c>
      <c r="B129" t="s">
        <v>17360</v>
      </c>
      <c r="C129">
        <v>0</v>
      </c>
      <c r="D129">
        <v>13</v>
      </c>
      <c r="E129">
        <v>9</v>
      </c>
      <c r="F129">
        <v>2</v>
      </c>
      <c r="G129">
        <v>1</v>
      </c>
      <c r="H129">
        <v>10</v>
      </c>
      <c r="I129">
        <v>0</v>
      </c>
      <c r="J129">
        <v>6</v>
      </c>
      <c r="K129">
        <v>155</v>
      </c>
      <c r="L129">
        <v>5</v>
      </c>
      <c r="M129">
        <v>0</v>
      </c>
      <c r="N129">
        <v>0</v>
      </c>
      <c r="O129">
        <v>2</v>
      </c>
      <c r="P129">
        <v>0</v>
      </c>
      <c r="Q129">
        <v>0</v>
      </c>
      <c r="R129">
        <v>0</v>
      </c>
      <c r="S129">
        <v>1</v>
      </c>
      <c r="T129">
        <v>1</v>
      </c>
      <c r="U129">
        <v>0</v>
      </c>
      <c r="V129">
        <v>2</v>
      </c>
      <c r="W129">
        <v>30</v>
      </c>
      <c r="X129">
        <v>0</v>
      </c>
      <c r="Y129">
        <v>0</v>
      </c>
      <c r="Z129">
        <v>1</v>
      </c>
      <c r="AA129">
        <v>0</v>
      </c>
      <c r="AB129">
        <v>0</v>
      </c>
      <c r="AC129">
        <v>36.5</v>
      </c>
      <c r="AD129">
        <v>36.5</v>
      </c>
      <c r="AE129">
        <v>36.5</v>
      </c>
      <c r="AF129">
        <v>36.5</v>
      </c>
      <c r="AG129">
        <v>66.5</v>
      </c>
      <c r="AH129">
        <v>30</v>
      </c>
      <c r="AI129">
        <v>0</v>
      </c>
      <c r="AJ129">
        <v>0</v>
      </c>
      <c r="AK129">
        <v>0</v>
      </c>
      <c r="AL129">
        <v>0</v>
      </c>
      <c r="AM129">
        <v>0</v>
      </c>
      <c r="AN129">
        <v>1</v>
      </c>
      <c r="AO129">
        <v>0</v>
      </c>
      <c r="AP129">
        <v>0</v>
      </c>
      <c r="AQ129">
        <v>0</v>
      </c>
      <c r="AR129">
        <v>0</v>
      </c>
      <c r="AS129">
        <v>0</v>
      </c>
      <c r="AT129">
        <v>155</v>
      </c>
      <c r="AU129">
        <v>95</v>
      </c>
      <c r="AV129">
        <v>60</v>
      </c>
      <c r="AW129">
        <v>0</v>
      </c>
      <c r="AX129">
        <v>1</v>
      </c>
      <c r="AY129">
        <v>0</v>
      </c>
      <c r="AZ129">
        <v>1</v>
      </c>
      <c r="BA129">
        <v>0</v>
      </c>
      <c r="BB129">
        <v>1</v>
      </c>
      <c r="BC129">
        <v>0</v>
      </c>
      <c r="BD129">
        <v>1</v>
      </c>
      <c r="BE129">
        <v>0</v>
      </c>
      <c r="BF129">
        <v>1</v>
      </c>
    </row>
    <row r="130" spans="1:58">
      <c r="A130" t="s">
        <v>16932</v>
      </c>
      <c r="B130" t="s">
        <v>18816</v>
      </c>
      <c r="C130">
        <v>0</v>
      </c>
      <c r="D130">
        <v>4</v>
      </c>
      <c r="E130">
        <v>4</v>
      </c>
      <c r="F130">
        <v>4</v>
      </c>
      <c r="G130">
        <v>0</v>
      </c>
      <c r="H130">
        <v>0</v>
      </c>
      <c r="I130">
        <v>0</v>
      </c>
      <c r="J130">
        <v>4</v>
      </c>
      <c r="K130">
        <v>27</v>
      </c>
      <c r="L130">
        <v>1</v>
      </c>
      <c r="M130">
        <v>0</v>
      </c>
      <c r="N130">
        <v>0</v>
      </c>
      <c r="O130">
        <v>0</v>
      </c>
      <c r="P130">
        <v>0</v>
      </c>
      <c r="Q130">
        <v>0</v>
      </c>
      <c r="R130">
        <v>0</v>
      </c>
      <c r="S130">
        <v>1</v>
      </c>
      <c r="T130">
        <v>1</v>
      </c>
      <c r="U130">
        <v>0</v>
      </c>
      <c r="V130">
        <v>2</v>
      </c>
      <c r="W130">
        <v>30</v>
      </c>
      <c r="X130">
        <v>0</v>
      </c>
      <c r="Y130">
        <v>1</v>
      </c>
      <c r="Z130">
        <v>0</v>
      </c>
      <c r="AA130">
        <v>0</v>
      </c>
      <c r="AB130">
        <v>0</v>
      </c>
      <c r="AC130">
        <v>0</v>
      </c>
      <c r="AD130">
        <v>0</v>
      </c>
      <c r="AE130">
        <v>0</v>
      </c>
      <c r="AF130">
        <v>0</v>
      </c>
      <c r="AG130">
        <v>30</v>
      </c>
      <c r="AH130">
        <v>30</v>
      </c>
      <c r="AI130">
        <v>0</v>
      </c>
      <c r="AJ130">
        <v>0</v>
      </c>
      <c r="AK130">
        <v>0</v>
      </c>
      <c r="AL130">
        <v>0</v>
      </c>
      <c r="AM130">
        <v>0</v>
      </c>
      <c r="AN130">
        <v>0</v>
      </c>
      <c r="AO130">
        <v>0</v>
      </c>
      <c r="AP130">
        <v>0</v>
      </c>
      <c r="AQ130">
        <v>0</v>
      </c>
      <c r="AR130">
        <v>0</v>
      </c>
      <c r="AS130">
        <v>0</v>
      </c>
      <c r="AT130">
        <v>27</v>
      </c>
      <c r="AU130">
        <v>0</v>
      </c>
      <c r="AV130">
        <v>27</v>
      </c>
      <c r="AW130">
        <v>0</v>
      </c>
      <c r="AX130">
        <v>1</v>
      </c>
      <c r="AY130">
        <v>0</v>
      </c>
      <c r="AZ130">
        <v>1</v>
      </c>
      <c r="BA130">
        <v>0</v>
      </c>
      <c r="BB130">
        <v>1</v>
      </c>
      <c r="BC130">
        <v>0</v>
      </c>
      <c r="BD130">
        <v>1</v>
      </c>
      <c r="BE130">
        <v>0</v>
      </c>
      <c r="BF130">
        <v>0</v>
      </c>
    </row>
    <row r="131" spans="1:58">
      <c r="A131" t="s">
        <v>16932</v>
      </c>
      <c r="B131" t="s">
        <v>18817</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row>
    <row r="132" spans="1:58">
      <c r="A132" t="s">
        <v>16932</v>
      </c>
      <c r="B132" t="s">
        <v>17370</v>
      </c>
      <c r="C132">
        <v>0</v>
      </c>
      <c r="D132">
        <v>2</v>
      </c>
      <c r="E132">
        <v>0</v>
      </c>
      <c r="F132">
        <v>2</v>
      </c>
      <c r="G132">
        <v>0</v>
      </c>
      <c r="H132">
        <v>0</v>
      </c>
      <c r="I132">
        <v>0</v>
      </c>
      <c r="J132">
        <v>2</v>
      </c>
      <c r="K132">
        <v>15</v>
      </c>
      <c r="L132">
        <v>0</v>
      </c>
      <c r="M132">
        <v>0</v>
      </c>
      <c r="N132">
        <v>0</v>
      </c>
      <c r="O132">
        <v>2</v>
      </c>
      <c r="P132">
        <v>0</v>
      </c>
      <c r="Q132">
        <v>0</v>
      </c>
      <c r="R132">
        <v>0</v>
      </c>
      <c r="S132">
        <v>1</v>
      </c>
      <c r="T132">
        <v>1</v>
      </c>
      <c r="U132">
        <v>0</v>
      </c>
      <c r="V132">
        <v>2</v>
      </c>
      <c r="W132">
        <v>30</v>
      </c>
      <c r="X132">
        <v>0</v>
      </c>
      <c r="Y132">
        <v>1</v>
      </c>
      <c r="Z132">
        <v>0</v>
      </c>
      <c r="AA132">
        <v>0</v>
      </c>
      <c r="AB132">
        <v>0</v>
      </c>
      <c r="AC132">
        <v>3.84</v>
      </c>
      <c r="AD132">
        <v>0</v>
      </c>
      <c r="AE132">
        <v>0</v>
      </c>
      <c r="AF132">
        <v>0</v>
      </c>
      <c r="AG132">
        <v>0</v>
      </c>
      <c r="AH132">
        <v>0</v>
      </c>
      <c r="AI132">
        <v>0</v>
      </c>
      <c r="AJ132">
        <v>0</v>
      </c>
      <c r="AK132">
        <v>0</v>
      </c>
      <c r="AL132">
        <v>0</v>
      </c>
      <c r="AM132">
        <v>0</v>
      </c>
      <c r="AN132">
        <v>0</v>
      </c>
      <c r="AO132">
        <v>0</v>
      </c>
      <c r="AP132">
        <v>0</v>
      </c>
      <c r="AQ132">
        <v>0</v>
      </c>
      <c r="AR132">
        <v>0</v>
      </c>
      <c r="AS132">
        <v>0</v>
      </c>
      <c r="AT132">
        <v>15</v>
      </c>
      <c r="AU132">
        <v>0</v>
      </c>
      <c r="AV132">
        <v>15</v>
      </c>
      <c r="AW132">
        <v>0</v>
      </c>
      <c r="AX132">
        <v>1</v>
      </c>
      <c r="AY132">
        <v>0</v>
      </c>
      <c r="AZ132">
        <v>1</v>
      </c>
      <c r="BA132">
        <v>0</v>
      </c>
      <c r="BB132">
        <v>1</v>
      </c>
      <c r="BC132">
        <v>0</v>
      </c>
      <c r="BD132">
        <v>1</v>
      </c>
      <c r="BE132">
        <v>0</v>
      </c>
      <c r="BF132">
        <v>31</v>
      </c>
    </row>
    <row r="133" spans="1:58">
      <c r="A133" t="s">
        <v>17041</v>
      </c>
      <c r="B133" t="s">
        <v>17325</v>
      </c>
      <c r="C133">
        <v>0</v>
      </c>
      <c r="D133">
        <v>2</v>
      </c>
      <c r="E133">
        <v>2</v>
      </c>
      <c r="F133">
        <v>2</v>
      </c>
      <c r="G133">
        <v>1</v>
      </c>
      <c r="H133">
        <v>1</v>
      </c>
      <c r="I133">
        <v>0</v>
      </c>
      <c r="J133">
        <v>2</v>
      </c>
      <c r="K133">
        <v>17</v>
      </c>
      <c r="L133">
        <v>1</v>
      </c>
      <c r="M133">
        <v>0</v>
      </c>
      <c r="N133">
        <v>0</v>
      </c>
      <c r="O133">
        <v>0</v>
      </c>
      <c r="P133">
        <v>1</v>
      </c>
      <c r="Q133">
        <v>0</v>
      </c>
      <c r="R133">
        <v>0</v>
      </c>
      <c r="S133">
        <v>4.25</v>
      </c>
      <c r="T133">
        <v>1.25</v>
      </c>
      <c r="U133">
        <v>3</v>
      </c>
      <c r="V133">
        <v>8.5</v>
      </c>
      <c r="W133">
        <v>67.5</v>
      </c>
      <c r="X133">
        <v>84</v>
      </c>
      <c r="Y133">
        <v>2</v>
      </c>
      <c r="Z133">
        <v>0</v>
      </c>
      <c r="AA133">
        <v>0</v>
      </c>
      <c r="AB133">
        <v>10</v>
      </c>
      <c r="AC133">
        <v>0</v>
      </c>
      <c r="AD133">
        <v>0</v>
      </c>
      <c r="AE133">
        <v>0</v>
      </c>
      <c r="AF133">
        <v>10</v>
      </c>
      <c r="AG133">
        <v>211.5</v>
      </c>
      <c r="AH133">
        <v>211.5</v>
      </c>
      <c r="AI133">
        <v>0</v>
      </c>
      <c r="AJ133">
        <v>10</v>
      </c>
      <c r="AK133">
        <v>100</v>
      </c>
      <c r="AL133">
        <v>100</v>
      </c>
      <c r="AM133">
        <v>0</v>
      </c>
      <c r="AN133">
        <v>0</v>
      </c>
      <c r="AO133">
        <v>0</v>
      </c>
      <c r="AP133">
        <v>0</v>
      </c>
      <c r="AQ133">
        <v>0</v>
      </c>
      <c r="AR133">
        <v>0</v>
      </c>
      <c r="AS133">
        <v>0</v>
      </c>
      <c r="AT133">
        <v>17</v>
      </c>
      <c r="AU133">
        <v>12</v>
      </c>
      <c r="AV133">
        <v>5</v>
      </c>
      <c r="AW133">
        <v>0</v>
      </c>
      <c r="AX133">
        <v>4.25</v>
      </c>
      <c r="AY133">
        <v>4</v>
      </c>
      <c r="AZ133">
        <v>0.25</v>
      </c>
      <c r="BA133">
        <v>0</v>
      </c>
      <c r="BB133">
        <v>1.25</v>
      </c>
      <c r="BC133">
        <v>0</v>
      </c>
      <c r="BD133">
        <v>1.25</v>
      </c>
      <c r="BE133">
        <v>0</v>
      </c>
      <c r="BF133">
        <v>165</v>
      </c>
    </row>
    <row r="134" spans="1:58">
      <c r="A134" t="s">
        <v>17041</v>
      </c>
      <c r="B134" t="s">
        <v>17042</v>
      </c>
      <c r="C134">
        <v>0</v>
      </c>
      <c r="D134">
        <v>38</v>
      </c>
      <c r="E134">
        <v>35</v>
      </c>
      <c r="F134">
        <v>38</v>
      </c>
      <c r="G134">
        <v>1</v>
      </c>
      <c r="H134">
        <v>1</v>
      </c>
      <c r="I134">
        <v>2</v>
      </c>
      <c r="J134">
        <v>36</v>
      </c>
      <c r="K134">
        <v>125</v>
      </c>
      <c r="L134">
        <v>29</v>
      </c>
      <c r="M134">
        <v>0</v>
      </c>
      <c r="N134">
        <v>1</v>
      </c>
      <c r="O134">
        <v>1</v>
      </c>
      <c r="P134">
        <v>1</v>
      </c>
      <c r="Q134">
        <v>0</v>
      </c>
      <c r="R134">
        <v>0</v>
      </c>
      <c r="S134">
        <v>18.75</v>
      </c>
      <c r="T134">
        <v>0</v>
      </c>
      <c r="U134">
        <v>0</v>
      </c>
      <c r="V134">
        <v>16.55</v>
      </c>
      <c r="W134">
        <v>185.5</v>
      </c>
      <c r="X134">
        <v>0</v>
      </c>
      <c r="Y134">
        <v>36</v>
      </c>
      <c r="Z134">
        <v>0</v>
      </c>
      <c r="AA134">
        <v>0</v>
      </c>
      <c r="AB134">
        <v>20</v>
      </c>
      <c r="AC134">
        <v>490.5</v>
      </c>
      <c r="AD134">
        <v>490.5</v>
      </c>
      <c r="AE134">
        <v>0</v>
      </c>
      <c r="AF134">
        <v>510.5</v>
      </c>
      <c r="AG134">
        <v>676</v>
      </c>
      <c r="AH134">
        <v>676</v>
      </c>
      <c r="AI134">
        <v>0</v>
      </c>
      <c r="AJ134">
        <v>0</v>
      </c>
      <c r="AK134">
        <v>0</v>
      </c>
      <c r="AL134">
        <v>0</v>
      </c>
      <c r="AM134">
        <v>0</v>
      </c>
      <c r="AN134">
        <v>0</v>
      </c>
      <c r="AO134">
        <v>0</v>
      </c>
      <c r="AP134">
        <v>0</v>
      </c>
      <c r="AQ134">
        <v>0</v>
      </c>
      <c r="AR134">
        <v>0</v>
      </c>
      <c r="AS134">
        <v>0</v>
      </c>
      <c r="AT134">
        <v>125</v>
      </c>
      <c r="AU134">
        <v>11</v>
      </c>
      <c r="AV134">
        <v>114</v>
      </c>
      <c r="AW134">
        <v>0</v>
      </c>
      <c r="AX134">
        <v>18.75</v>
      </c>
      <c r="AY134">
        <v>0</v>
      </c>
      <c r="AZ134">
        <v>18.75</v>
      </c>
      <c r="BA134">
        <v>0</v>
      </c>
      <c r="BB134">
        <v>0</v>
      </c>
      <c r="BC134">
        <v>0</v>
      </c>
      <c r="BD134">
        <v>0</v>
      </c>
      <c r="BE134">
        <v>0</v>
      </c>
      <c r="BF134">
        <v>0</v>
      </c>
    </row>
    <row r="135" spans="1:58">
      <c r="A135" t="s">
        <v>17041</v>
      </c>
      <c r="B135" t="s">
        <v>17043</v>
      </c>
      <c r="C135">
        <v>1</v>
      </c>
      <c r="D135">
        <v>2</v>
      </c>
      <c r="E135">
        <v>2</v>
      </c>
      <c r="F135">
        <v>2</v>
      </c>
      <c r="G135">
        <v>0</v>
      </c>
      <c r="H135">
        <v>0</v>
      </c>
      <c r="I135">
        <v>0</v>
      </c>
      <c r="J135">
        <v>2</v>
      </c>
      <c r="K135">
        <v>9</v>
      </c>
      <c r="L135">
        <v>0</v>
      </c>
      <c r="M135">
        <v>2</v>
      </c>
      <c r="N135">
        <v>0</v>
      </c>
      <c r="O135">
        <v>0</v>
      </c>
      <c r="P135">
        <v>0</v>
      </c>
      <c r="Q135">
        <v>0</v>
      </c>
      <c r="R135">
        <v>0</v>
      </c>
      <c r="S135">
        <v>1</v>
      </c>
      <c r="T135">
        <v>0</v>
      </c>
      <c r="U135">
        <v>0</v>
      </c>
      <c r="V135">
        <v>1</v>
      </c>
      <c r="W135">
        <v>0</v>
      </c>
      <c r="X135">
        <v>0</v>
      </c>
      <c r="Y135">
        <v>0</v>
      </c>
      <c r="Z135">
        <v>0</v>
      </c>
      <c r="AA135">
        <v>-10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9</v>
      </c>
      <c r="AU135">
        <v>0</v>
      </c>
      <c r="AV135">
        <v>3</v>
      </c>
      <c r="AW135">
        <v>6</v>
      </c>
      <c r="AX135">
        <v>1</v>
      </c>
      <c r="AY135">
        <v>0</v>
      </c>
      <c r="AZ135">
        <v>0</v>
      </c>
      <c r="BA135">
        <v>1</v>
      </c>
      <c r="BB135">
        <v>0</v>
      </c>
      <c r="BC135">
        <v>0</v>
      </c>
      <c r="BD135">
        <v>0</v>
      </c>
      <c r="BE135">
        <v>0</v>
      </c>
      <c r="BF135">
        <v>229</v>
      </c>
    </row>
    <row r="136" spans="1:58">
      <c r="A136" t="s">
        <v>17041</v>
      </c>
      <c r="B136" t="s">
        <v>19341</v>
      </c>
      <c r="C136">
        <v>0</v>
      </c>
      <c r="D136">
        <v>54</v>
      </c>
      <c r="E136">
        <v>54</v>
      </c>
      <c r="F136">
        <v>50</v>
      </c>
      <c r="G136">
        <v>0</v>
      </c>
      <c r="H136">
        <v>12</v>
      </c>
      <c r="I136">
        <v>0</v>
      </c>
      <c r="J136">
        <v>54</v>
      </c>
      <c r="K136">
        <v>270</v>
      </c>
      <c r="L136">
        <v>47</v>
      </c>
      <c r="M136">
        <v>0</v>
      </c>
      <c r="N136">
        <v>2</v>
      </c>
      <c r="O136">
        <v>4</v>
      </c>
      <c r="P136">
        <v>1</v>
      </c>
      <c r="Q136">
        <v>0</v>
      </c>
      <c r="R136">
        <v>0</v>
      </c>
      <c r="S136">
        <v>68.5</v>
      </c>
      <c r="T136">
        <v>61</v>
      </c>
      <c r="U136">
        <v>0</v>
      </c>
      <c r="V136">
        <v>129.5</v>
      </c>
      <c r="W136" s="20">
        <v>1905</v>
      </c>
      <c r="X136">
        <v>0</v>
      </c>
      <c r="Y136">
        <v>33</v>
      </c>
      <c r="Z136">
        <v>21</v>
      </c>
      <c r="AA136">
        <v>0</v>
      </c>
      <c r="AB136">
        <v>630</v>
      </c>
      <c r="AC136">
        <v>0</v>
      </c>
      <c r="AD136">
        <v>0</v>
      </c>
      <c r="AE136">
        <v>0</v>
      </c>
      <c r="AF136">
        <v>630</v>
      </c>
      <c r="AG136" s="20">
        <v>1905</v>
      </c>
      <c r="AH136" s="20">
        <v>1905</v>
      </c>
      <c r="AI136">
        <v>0</v>
      </c>
      <c r="AJ136">
        <v>490</v>
      </c>
      <c r="AK136">
        <v>920</v>
      </c>
      <c r="AL136">
        <v>920</v>
      </c>
      <c r="AM136">
        <v>0</v>
      </c>
      <c r="AN136">
        <v>0</v>
      </c>
      <c r="AO136">
        <v>0</v>
      </c>
      <c r="AP136">
        <v>0</v>
      </c>
      <c r="AQ136">
        <v>0</v>
      </c>
      <c r="AR136">
        <v>0</v>
      </c>
      <c r="AS136">
        <v>0</v>
      </c>
      <c r="AT136">
        <v>270</v>
      </c>
      <c r="AU136">
        <v>132</v>
      </c>
      <c r="AV136">
        <v>138</v>
      </c>
      <c r="AW136">
        <v>0</v>
      </c>
      <c r="AX136">
        <v>68.5</v>
      </c>
      <c r="AY136">
        <v>26.5</v>
      </c>
      <c r="AZ136">
        <v>42</v>
      </c>
      <c r="BA136">
        <v>0</v>
      </c>
      <c r="BB136">
        <v>61</v>
      </c>
      <c r="BC136">
        <v>32.75</v>
      </c>
      <c r="BD136">
        <v>28.25</v>
      </c>
      <c r="BE136">
        <v>0</v>
      </c>
      <c r="BF136">
        <v>0</v>
      </c>
    </row>
    <row r="137" spans="1:58">
      <c r="A137" t="s">
        <v>17041</v>
      </c>
      <c r="B137" t="s">
        <v>17303</v>
      </c>
      <c r="C137">
        <v>0</v>
      </c>
      <c r="D137">
        <v>4</v>
      </c>
      <c r="E137">
        <v>0</v>
      </c>
      <c r="F137">
        <v>4</v>
      </c>
      <c r="G137">
        <v>1</v>
      </c>
      <c r="H137">
        <v>0</v>
      </c>
      <c r="I137">
        <v>0</v>
      </c>
      <c r="J137">
        <v>4</v>
      </c>
      <c r="K137">
        <v>4</v>
      </c>
      <c r="L137">
        <v>4</v>
      </c>
      <c r="M137">
        <v>0</v>
      </c>
      <c r="N137">
        <v>0</v>
      </c>
      <c r="O137">
        <v>0</v>
      </c>
      <c r="P137">
        <v>0</v>
      </c>
      <c r="Q137">
        <v>0</v>
      </c>
      <c r="R137">
        <v>0</v>
      </c>
      <c r="S137">
        <v>1.25</v>
      </c>
      <c r="T137">
        <v>0</v>
      </c>
      <c r="U137">
        <v>0</v>
      </c>
      <c r="V137">
        <v>1.25</v>
      </c>
      <c r="W137">
        <v>12.5</v>
      </c>
      <c r="X137">
        <v>0</v>
      </c>
      <c r="Y137">
        <v>4</v>
      </c>
      <c r="Z137">
        <v>0</v>
      </c>
      <c r="AA137">
        <v>0</v>
      </c>
      <c r="AB137">
        <v>0</v>
      </c>
      <c r="AC137">
        <v>0</v>
      </c>
      <c r="AD137">
        <v>0</v>
      </c>
      <c r="AE137">
        <v>0</v>
      </c>
      <c r="AF137">
        <v>0</v>
      </c>
      <c r="AG137">
        <v>12.5</v>
      </c>
      <c r="AH137">
        <v>12.5</v>
      </c>
      <c r="AI137">
        <v>0</v>
      </c>
      <c r="AJ137">
        <v>0</v>
      </c>
      <c r="AK137">
        <v>0</v>
      </c>
      <c r="AL137">
        <v>0</v>
      </c>
      <c r="AM137">
        <v>0</v>
      </c>
      <c r="AN137">
        <v>0</v>
      </c>
      <c r="AO137">
        <v>0</v>
      </c>
      <c r="AP137">
        <v>0</v>
      </c>
      <c r="AQ137">
        <v>0</v>
      </c>
      <c r="AR137">
        <v>0</v>
      </c>
      <c r="AS137">
        <v>0</v>
      </c>
      <c r="AT137">
        <v>4</v>
      </c>
      <c r="AU137">
        <v>0</v>
      </c>
      <c r="AV137">
        <v>4</v>
      </c>
      <c r="AW137">
        <v>0</v>
      </c>
      <c r="AX137">
        <v>1.25</v>
      </c>
      <c r="AY137">
        <v>0</v>
      </c>
      <c r="AZ137">
        <v>1.25</v>
      </c>
      <c r="BA137">
        <v>0</v>
      </c>
      <c r="BB137">
        <v>0</v>
      </c>
      <c r="BC137">
        <v>0</v>
      </c>
      <c r="BD137">
        <v>0</v>
      </c>
      <c r="BE137">
        <v>0</v>
      </c>
      <c r="BF137">
        <v>165</v>
      </c>
    </row>
    <row r="138" spans="1:58">
      <c r="A138" t="s">
        <v>17041</v>
      </c>
      <c r="B138" t="s">
        <v>19342</v>
      </c>
      <c r="C138">
        <v>0</v>
      </c>
      <c r="D138">
        <v>3</v>
      </c>
      <c r="E138">
        <v>1</v>
      </c>
      <c r="F138">
        <v>0</v>
      </c>
      <c r="G138">
        <v>0</v>
      </c>
      <c r="H138">
        <v>0</v>
      </c>
      <c r="I138">
        <v>0</v>
      </c>
      <c r="J138">
        <v>3</v>
      </c>
      <c r="K138">
        <v>45</v>
      </c>
      <c r="L138">
        <v>3</v>
      </c>
      <c r="M138">
        <v>0</v>
      </c>
      <c r="N138">
        <v>0</v>
      </c>
      <c r="O138">
        <v>0</v>
      </c>
      <c r="P138">
        <v>0</v>
      </c>
      <c r="Q138">
        <v>0</v>
      </c>
      <c r="R138">
        <v>0</v>
      </c>
      <c r="S138">
        <v>0.75</v>
      </c>
      <c r="T138">
        <v>0</v>
      </c>
      <c r="U138">
        <v>0</v>
      </c>
      <c r="V138">
        <v>0.75</v>
      </c>
      <c r="W138">
        <v>7.5</v>
      </c>
      <c r="X138">
        <v>0</v>
      </c>
      <c r="Y138">
        <v>3</v>
      </c>
      <c r="Z138">
        <v>0</v>
      </c>
      <c r="AA138">
        <v>0</v>
      </c>
      <c r="AB138">
        <v>0</v>
      </c>
      <c r="AC138">
        <v>0</v>
      </c>
      <c r="AD138">
        <v>0</v>
      </c>
      <c r="AE138">
        <v>0</v>
      </c>
      <c r="AF138">
        <v>0</v>
      </c>
      <c r="AG138">
        <v>7.5</v>
      </c>
      <c r="AH138">
        <v>7.5</v>
      </c>
      <c r="AI138">
        <v>0</v>
      </c>
      <c r="AJ138">
        <v>0</v>
      </c>
      <c r="AK138">
        <v>0</v>
      </c>
      <c r="AL138">
        <v>0</v>
      </c>
      <c r="AM138">
        <v>0</v>
      </c>
      <c r="AN138">
        <v>0</v>
      </c>
      <c r="AO138">
        <v>0</v>
      </c>
      <c r="AP138">
        <v>0</v>
      </c>
      <c r="AQ138">
        <v>0</v>
      </c>
      <c r="AR138">
        <v>0</v>
      </c>
      <c r="AS138">
        <v>0</v>
      </c>
      <c r="AT138">
        <v>45</v>
      </c>
      <c r="AU138">
        <v>0</v>
      </c>
      <c r="AV138">
        <v>45</v>
      </c>
      <c r="AW138">
        <v>0</v>
      </c>
      <c r="AX138">
        <v>0.75</v>
      </c>
      <c r="AY138">
        <v>0</v>
      </c>
      <c r="AZ138">
        <v>0.75</v>
      </c>
      <c r="BA138">
        <v>0</v>
      </c>
      <c r="BB138">
        <v>0</v>
      </c>
      <c r="BC138">
        <v>0</v>
      </c>
      <c r="BD138">
        <v>0</v>
      </c>
      <c r="BE138">
        <v>0</v>
      </c>
    </row>
    <row r="139" spans="1:58">
      <c r="A139" t="s">
        <v>17044</v>
      </c>
      <c r="B139" t="s">
        <v>17046</v>
      </c>
      <c r="C139">
        <v>0</v>
      </c>
      <c r="D139">
        <v>3</v>
      </c>
      <c r="E139">
        <v>3</v>
      </c>
      <c r="F139">
        <v>3</v>
      </c>
      <c r="G139">
        <v>1</v>
      </c>
      <c r="H139">
        <v>0</v>
      </c>
      <c r="I139">
        <v>0</v>
      </c>
      <c r="J139">
        <v>3</v>
      </c>
      <c r="K139">
        <v>19</v>
      </c>
      <c r="L139">
        <v>0</v>
      </c>
      <c r="M139">
        <v>1</v>
      </c>
      <c r="N139">
        <v>0</v>
      </c>
      <c r="O139">
        <v>2</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19</v>
      </c>
      <c r="AU139">
        <v>0</v>
      </c>
      <c r="AV139">
        <v>19</v>
      </c>
      <c r="AW139">
        <v>0</v>
      </c>
      <c r="AX139">
        <v>0</v>
      </c>
      <c r="AY139">
        <v>0</v>
      </c>
      <c r="AZ139">
        <v>0</v>
      </c>
      <c r="BA139">
        <v>0</v>
      </c>
      <c r="BB139">
        <v>0</v>
      </c>
      <c r="BC139">
        <v>0</v>
      </c>
      <c r="BD139">
        <v>0</v>
      </c>
      <c r="BE139">
        <v>0</v>
      </c>
      <c r="BF139">
        <v>0</v>
      </c>
    </row>
    <row r="140" spans="1:58">
      <c r="A140" t="s">
        <v>17044</v>
      </c>
      <c r="B140" t="s">
        <v>19343</v>
      </c>
      <c r="C140">
        <v>0</v>
      </c>
      <c r="D140">
        <v>1</v>
      </c>
      <c r="E140">
        <v>0</v>
      </c>
      <c r="F140">
        <v>1</v>
      </c>
      <c r="G140">
        <v>0</v>
      </c>
      <c r="H140">
        <v>0</v>
      </c>
      <c r="I140">
        <v>0</v>
      </c>
      <c r="J140">
        <v>1</v>
      </c>
      <c r="K140">
        <v>1</v>
      </c>
      <c r="L140">
        <v>1</v>
      </c>
      <c r="M140">
        <v>0</v>
      </c>
      <c r="N140">
        <v>0</v>
      </c>
      <c r="O140">
        <v>0</v>
      </c>
      <c r="P140">
        <v>0</v>
      </c>
      <c r="Q140">
        <v>0</v>
      </c>
      <c r="R140">
        <v>0</v>
      </c>
      <c r="S140">
        <v>0.25</v>
      </c>
      <c r="T140">
        <v>0</v>
      </c>
      <c r="U140">
        <v>0</v>
      </c>
      <c r="V140">
        <v>0.25</v>
      </c>
      <c r="W140">
        <v>2.5</v>
      </c>
      <c r="X140">
        <v>0</v>
      </c>
      <c r="Y140">
        <v>1</v>
      </c>
      <c r="Z140">
        <v>0</v>
      </c>
      <c r="AA140">
        <v>0</v>
      </c>
      <c r="AB140">
        <v>0</v>
      </c>
      <c r="AC140">
        <v>9</v>
      </c>
      <c r="AD140">
        <v>9</v>
      </c>
      <c r="AE140">
        <v>9</v>
      </c>
      <c r="AF140">
        <v>9</v>
      </c>
      <c r="AG140">
        <v>11.5</v>
      </c>
      <c r="AH140">
        <v>2.5</v>
      </c>
      <c r="AI140">
        <v>0</v>
      </c>
      <c r="AJ140">
        <v>0</v>
      </c>
      <c r="AK140">
        <v>0</v>
      </c>
      <c r="AL140">
        <v>0</v>
      </c>
      <c r="AM140">
        <v>0</v>
      </c>
      <c r="AN140">
        <v>1</v>
      </c>
      <c r="AO140">
        <v>0</v>
      </c>
      <c r="AP140">
        <v>0</v>
      </c>
      <c r="AQ140">
        <v>0</v>
      </c>
      <c r="AR140">
        <v>0</v>
      </c>
      <c r="AS140">
        <v>0</v>
      </c>
      <c r="AT140">
        <v>1</v>
      </c>
      <c r="AU140">
        <v>0</v>
      </c>
      <c r="AV140">
        <v>1</v>
      </c>
      <c r="AW140">
        <v>0</v>
      </c>
      <c r="AX140">
        <v>0.25</v>
      </c>
      <c r="AY140">
        <v>0</v>
      </c>
      <c r="AZ140">
        <v>0.25</v>
      </c>
      <c r="BA140">
        <v>0</v>
      </c>
      <c r="BB140">
        <v>0</v>
      </c>
      <c r="BC140">
        <v>0</v>
      </c>
      <c r="BD140">
        <v>0</v>
      </c>
      <c r="BE140">
        <v>0</v>
      </c>
      <c r="BF140">
        <v>0</v>
      </c>
    </row>
    <row r="141" spans="1:58">
      <c r="A141" t="s">
        <v>17044</v>
      </c>
      <c r="B141" t="s">
        <v>17048</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row>
    <row r="142" spans="1:58">
      <c r="A142" t="s">
        <v>17044</v>
      </c>
      <c r="B142" t="s">
        <v>17049</v>
      </c>
      <c r="C142">
        <v>2</v>
      </c>
      <c r="D142">
        <v>27</v>
      </c>
      <c r="E142">
        <v>27</v>
      </c>
      <c r="F142">
        <v>22</v>
      </c>
      <c r="G142">
        <v>0</v>
      </c>
      <c r="H142">
        <v>0</v>
      </c>
      <c r="I142">
        <v>0</v>
      </c>
      <c r="J142">
        <v>26</v>
      </c>
      <c r="K142">
        <v>296</v>
      </c>
      <c r="L142">
        <v>12</v>
      </c>
      <c r="M142">
        <v>4</v>
      </c>
      <c r="N142">
        <v>4</v>
      </c>
      <c r="O142">
        <v>0</v>
      </c>
      <c r="P142">
        <v>0</v>
      </c>
      <c r="Q142">
        <v>7</v>
      </c>
      <c r="R142">
        <v>0</v>
      </c>
      <c r="S142">
        <v>4</v>
      </c>
      <c r="T142">
        <v>14</v>
      </c>
      <c r="U142">
        <v>0</v>
      </c>
      <c r="V142">
        <v>18</v>
      </c>
      <c r="W142">
        <v>320</v>
      </c>
      <c r="X142">
        <v>0</v>
      </c>
      <c r="Y142">
        <v>15</v>
      </c>
      <c r="Z142">
        <v>0</v>
      </c>
      <c r="AA142">
        <v>0</v>
      </c>
      <c r="AB142">
        <v>140</v>
      </c>
      <c r="AC142">
        <v>169.75</v>
      </c>
      <c r="AD142">
        <v>150.75</v>
      </c>
      <c r="AE142">
        <v>262.5</v>
      </c>
      <c r="AF142">
        <v>290.75</v>
      </c>
      <c r="AG142">
        <v>489.75</v>
      </c>
      <c r="AH142">
        <v>227.25</v>
      </c>
      <c r="AI142">
        <v>0</v>
      </c>
      <c r="AJ142">
        <v>0</v>
      </c>
      <c r="AK142">
        <v>0</v>
      </c>
      <c r="AL142">
        <v>0</v>
      </c>
      <c r="AM142">
        <v>3</v>
      </c>
      <c r="AN142">
        <v>6</v>
      </c>
      <c r="AO142">
        <v>0</v>
      </c>
      <c r="AP142">
        <v>1</v>
      </c>
      <c r="AQ142">
        <v>0</v>
      </c>
      <c r="AR142">
        <v>0</v>
      </c>
      <c r="AS142">
        <v>0</v>
      </c>
      <c r="AT142">
        <v>296</v>
      </c>
      <c r="AU142">
        <v>0</v>
      </c>
      <c r="AV142">
        <v>275</v>
      </c>
      <c r="AW142">
        <v>21</v>
      </c>
      <c r="AX142">
        <v>4</v>
      </c>
      <c r="AY142">
        <v>0</v>
      </c>
      <c r="AZ142">
        <v>4</v>
      </c>
      <c r="BA142">
        <v>0</v>
      </c>
      <c r="BB142">
        <v>14</v>
      </c>
      <c r="BC142">
        <v>0</v>
      </c>
      <c r="BD142">
        <v>14</v>
      </c>
      <c r="BE142">
        <v>0</v>
      </c>
      <c r="BF142">
        <v>0</v>
      </c>
    </row>
    <row r="143" spans="1:58">
      <c r="A143" t="s">
        <v>17044</v>
      </c>
      <c r="B143" t="s">
        <v>17050</v>
      </c>
      <c r="C143">
        <v>0</v>
      </c>
      <c r="D143">
        <v>11</v>
      </c>
      <c r="E143">
        <v>11</v>
      </c>
      <c r="F143">
        <v>6</v>
      </c>
      <c r="G143">
        <v>1</v>
      </c>
      <c r="H143">
        <v>4</v>
      </c>
      <c r="I143">
        <v>0</v>
      </c>
      <c r="J143">
        <v>11</v>
      </c>
      <c r="K143">
        <v>199</v>
      </c>
      <c r="L143">
        <v>2</v>
      </c>
      <c r="M143">
        <v>1</v>
      </c>
      <c r="N143">
        <v>2</v>
      </c>
      <c r="O143">
        <v>6</v>
      </c>
      <c r="P143">
        <v>0</v>
      </c>
      <c r="Q143">
        <v>0</v>
      </c>
      <c r="R143">
        <v>0</v>
      </c>
      <c r="S143">
        <v>19</v>
      </c>
      <c r="T143">
        <v>18</v>
      </c>
      <c r="U143">
        <v>0</v>
      </c>
      <c r="V143">
        <v>37</v>
      </c>
      <c r="W143">
        <v>550</v>
      </c>
      <c r="X143">
        <v>0</v>
      </c>
      <c r="Y143">
        <v>4</v>
      </c>
      <c r="Z143">
        <v>0</v>
      </c>
      <c r="AA143">
        <v>0</v>
      </c>
      <c r="AB143">
        <v>485</v>
      </c>
      <c r="AC143">
        <v>4.92</v>
      </c>
      <c r="AD143">
        <v>4.92</v>
      </c>
      <c r="AE143">
        <v>304</v>
      </c>
      <c r="AF143">
        <v>489.92</v>
      </c>
      <c r="AG143">
        <v>554.91999999999996</v>
      </c>
      <c r="AH143">
        <v>250.92</v>
      </c>
      <c r="AI143">
        <v>0</v>
      </c>
      <c r="AJ143">
        <v>3.92</v>
      </c>
      <c r="AK143">
        <v>8.92</v>
      </c>
      <c r="AL143">
        <v>8.92</v>
      </c>
      <c r="AM143">
        <v>0</v>
      </c>
      <c r="AN143">
        <v>0</v>
      </c>
      <c r="AO143">
        <v>0</v>
      </c>
      <c r="AP143">
        <v>2</v>
      </c>
      <c r="AQ143">
        <v>0</v>
      </c>
      <c r="AR143">
        <v>0</v>
      </c>
      <c r="AS143">
        <v>0</v>
      </c>
      <c r="AT143">
        <v>199</v>
      </c>
      <c r="AU143">
        <v>77</v>
      </c>
      <c r="AV143">
        <v>122</v>
      </c>
      <c r="AW143">
        <v>0</v>
      </c>
      <c r="AX143">
        <v>19</v>
      </c>
      <c r="AY143">
        <v>0.5</v>
      </c>
      <c r="AZ143">
        <v>18.5</v>
      </c>
      <c r="BA143">
        <v>0</v>
      </c>
      <c r="BB143">
        <v>18</v>
      </c>
      <c r="BC143">
        <v>0</v>
      </c>
      <c r="BD143">
        <v>18</v>
      </c>
      <c r="BE143">
        <v>0</v>
      </c>
      <c r="BF143">
        <v>0</v>
      </c>
    </row>
    <row r="144" spans="1:58">
      <c r="A144" t="s">
        <v>17044</v>
      </c>
      <c r="B144" t="s">
        <v>17341</v>
      </c>
      <c r="C144">
        <v>0</v>
      </c>
      <c r="D144">
        <v>1</v>
      </c>
      <c r="E144">
        <v>0</v>
      </c>
      <c r="F144">
        <v>0</v>
      </c>
      <c r="G144">
        <v>0</v>
      </c>
      <c r="H144">
        <v>0</v>
      </c>
      <c r="I144">
        <v>0</v>
      </c>
      <c r="J144">
        <v>1</v>
      </c>
      <c r="K144">
        <v>11</v>
      </c>
      <c r="L144">
        <v>1</v>
      </c>
      <c r="M144">
        <v>0</v>
      </c>
      <c r="N144">
        <v>0</v>
      </c>
      <c r="O144">
        <v>0</v>
      </c>
      <c r="P144">
        <v>0</v>
      </c>
      <c r="Q144">
        <v>0</v>
      </c>
      <c r="R144">
        <v>0</v>
      </c>
      <c r="S144">
        <v>1</v>
      </c>
      <c r="T144">
        <v>0</v>
      </c>
      <c r="U144">
        <v>0</v>
      </c>
      <c r="V144">
        <v>1</v>
      </c>
      <c r="W144">
        <v>10</v>
      </c>
      <c r="X144">
        <v>0</v>
      </c>
      <c r="Y144">
        <v>1</v>
      </c>
      <c r="Z144">
        <v>0</v>
      </c>
      <c r="AA144">
        <v>0</v>
      </c>
      <c r="AB144">
        <v>0</v>
      </c>
      <c r="AC144">
        <v>0</v>
      </c>
      <c r="AD144">
        <v>0</v>
      </c>
      <c r="AE144">
        <v>0</v>
      </c>
      <c r="AF144">
        <v>0</v>
      </c>
      <c r="AG144">
        <v>10</v>
      </c>
      <c r="AH144">
        <v>10</v>
      </c>
      <c r="AI144">
        <v>0</v>
      </c>
      <c r="AJ144">
        <v>0</v>
      </c>
      <c r="AK144">
        <v>0</v>
      </c>
      <c r="AL144">
        <v>0</v>
      </c>
      <c r="AM144">
        <v>0</v>
      </c>
      <c r="AN144">
        <v>0</v>
      </c>
      <c r="AO144">
        <v>0</v>
      </c>
      <c r="AP144">
        <v>0</v>
      </c>
      <c r="AQ144">
        <v>0</v>
      </c>
      <c r="AR144">
        <v>0</v>
      </c>
      <c r="AS144">
        <v>0</v>
      </c>
      <c r="AT144">
        <v>11</v>
      </c>
      <c r="AU144">
        <v>0</v>
      </c>
      <c r="AV144">
        <v>11</v>
      </c>
      <c r="AW144">
        <v>0</v>
      </c>
      <c r="AX144">
        <v>1</v>
      </c>
      <c r="AY144">
        <v>0</v>
      </c>
      <c r="AZ144">
        <v>1</v>
      </c>
      <c r="BA144">
        <v>0</v>
      </c>
      <c r="BB144">
        <v>0</v>
      </c>
      <c r="BC144">
        <v>0</v>
      </c>
      <c r="BD144">
        <v>0</v>
      </c>
      <c r="BE144">
        <v>0</v>
      </c>
    </row>
    <row r="145" spans="1:58">
      <c r="A145" t="s">
        <v>17044</v>
      </c>
      <c r="B145" t="s">
        <v>17342</v>
      </c>
      <c r="C145">
        <v>0</v>
      </c>
      <c r="D145">
        <v>2</v>
      </c>
      <c r="E145">
        <v>2</v>
      </c>
      <c r="F145">
        <v>1</v>
      </c>
      <c r="G145">
        <v>0</v>
      </c>
      <c r="H145">
        <v>0</v>
      </c>
      <c r="I145">
        <v>0</v>
      </c>
      <c r="J145">
        <v>2</v>
      </c>
      <c r="K145">
        <v>13</v>
      </c>
      <c r="L145">
        <v>1</v>
      </c>
      <c r="M145">
        <v>0</v>
      </c>
      <c r="N145">
        <v>0</v>
      </c>
      <c r="O145">
        <v>1</v>
      </c>
      <c r="P145">
        <v>0</v>
      </c>
      <c r="Q145">
        <v>0</v>
      </c>
      <c r="R145">
        <v>0</v>
      </c>
      <c r="S145">
        <v>1.25</v>
      </c>
      <c r="T145">
        <v>0</v>
      </c>
      <c r="U145">
        <v>0</v>
      </c>
      <c r="V145">
        <v>1.25</v>
      </c>
      <c r="W145">
        <v>12.5</v>
      </c>
      <c r="X145">
        <v>0</v>
      </c>
      <c r="Y145">
        <v>2</v>
      </c>
      <c r="Z145">
        <v>0</v>
      </c>
      <c r="AA145">
        <v>0</v>
      </c>
      <c r="AB145">
        <v>0</v>
      </c>
      <c r="AC145">
        <v>0</v>
      </c>
      <c r="AD145">
        <v>0</v>
      </c>
      <c r="AE145">
        <v>0</v>
      </c>
      <c r="AF145">
        <v>0</v>
      </c>
      <c r="AG145">
        <v>12.5</v>
      </c>
      <c r="AH145">
        <v>12.5</v>
      </c>
      <c r="AI145">
        <v>0</v>
      </c>
      <c r="AJ145">
        <v>0</v>
      </c>
      <c r="AK145">
        <v>0</v>
      </c>
      <c r="AL145">
        <v>0</v>
      </c>
      <c r="AM145">
        <v>0</v>
      </c>
      <c r="AN145">
        <v>0</v>
      </c>
      <c r="AO145">
        <v>0</v>
      </c>
      <c r="AP145">
        <v>0</v>
      </c>
      <c r="AQ145">
        <v>0</v>
      </c>
      <c r="AR145">
        <v>0</v>
      </c>
      <c r="AS145">
        <v>0</v>
      </c>
      <c r="AT145">
        <v>13</v>
      </c>
      <c r="AU145">
        <v>0</v>
      </c>
      <c r="AV145">
        <v>13</v>
      </c>
      <c r="AW145">
        <v>0</v>
      </c>
      <c r="AX145">
        <v>1.25</v>
      </c>
      <c r="AY145">
        <v>0</v>
      </c>
      <c r="AZ145">
        <v>1.25</v>
      </c>
      <c r="BA145">
        <v>0</v>
      </c>
      <c r="BB145">
        <v>0</v>
      </c>
      <c r="BC145">
        <v>0</v>
      </c>
      <c r="BD145">
        <v>0</v>
      </c>
      <c r="BE145">
        <v>0</v>
      </c>
      <c r="BF145">
        <v>0</v>
      </c>
    </row>
    <row r="146" spans="1:58">
      <c r="A146" t="s">
        <v>17044</v>
      </c>
      <c r="B146" t="s">
        <v>17057</v>
      </c>
      <c r="C146">
        <v>73</v>
      </c>
      <c r="D146">
        <v>112</v>
      </c>
      <c r="E146">
        <v>112</v>
      </c>
      <c r="F146">
        <v>107</v>
      </c>
      <c r="G146">
        <v>7</v>
      </c>
      <c r="H146">
        <v>4</v>
      </c>
      <c r="I146">
        <v>2</v>
      </c>
      <c r="J146">
        <v>112</v>
      </c>
      <c r="K146">
        <v>974</v>
      </c>
      <c r="L146">
        <v>62</v>
      </c>
      <c r="M146">
        <v>4</v>
      </c>
      <c r="N146">
        <v>30</v>
      </c>
      <c r="O146">
        <v>4</v>
      </c>
      <c r="P146">
        <v>0</v>
      </c>
      <c r="Q146">
        <v>10</v>
      </c>
      <c r="R146">
        <v>0</v>
      </c>
      <c r="S146">
        <v>41.85</v>
      </c>
      <c r="T146">
        <v>30</v>
      </c>
      <c r="U146">
        <v>0.5</v>
      </c>
      <c r="V146">
        <v>72.349999999999994</v>
      </c>
      <c r="W146">
        <v>453</v>
      </c>
      <c r="X146">
        <v>0</v>
      </c>
      <c r="Y146">
        <v>35</v>
      </c>
      <c r="Z146">
        <v>0</v>
      </c>
      <c r="AA146">
        <v>-565.58000000000004</v>
      </c>
      <c r="AB146">
        <v>75</v>
      </c>
      <c r="AC146">
        <v>856.34</v>
      </c>
      <c r="AD146">
        <v>764.1</v>
      </c>
      <c r="AE146">
        <v>809.84</v>
      </c>
      <c r="AF146">
        <v>836.35</v>
      </c>
      <c r="AG146" s="20">
        <v>1319.34</v>
      </c>
      <c r="AH146">
        <v>511</v>
      </c>
      <c r="AI146">
        <v>290.75</v>
      </c>
      <c r="AJ146">
        <v>335.25</v>
      </c>
      <c r="AK146">
        <v>400.75</v>
      </c>
      <c r="AL146">
        <v>110</v>
      </c>
      <c r="AM146">
        <v>54</v>
      </c>
      <c r="AN146">
        <v>34</v>
      </c>
      <c r="AO146">
        <v>0</v>
      </c>
      <c r="AP146">
        <v>1</v>
      </c>
      <c r="AQ146">
        <v>0</v>
      </c>
      <c r="AR146">
        <v>0</v>
      </c>
      <c r="AS146">
        <v>0</v>
      </c>
      <c r="AT146">
        <v>974</v>
      </c>
      <c r="AU146">
        <v>54</v>
      </c>
      <c r="AV146">
        <v>253</v>
      </c>
      <c r="AW146">
        <v>667</v>
      </c>
      <c r="AX146">
        <v>41.85</v>
      </c>
      <c r="AY146">
        <v>5.5</v>
      </c>
      <c r="AZ146">
        <v>12.3</v>
      </c>
      <c r="BA146">
        <v>24.05</v>
      </c>
      <c r="BB146">
        <v>30</v>
      </c>
      <c r="BC146">
        <v>3.5</v>
      </c>
      <c r="BD146">
        <v>10.25</v>
      </c>
      <c r="BE146">
        <v>16.25</v>
      </c>
      <c r="BF146">
        <v>0</v>
      </c>
    </row>
    <row r="147" spans="1:58">
      <c r="A147" t="s">
        <v>17044</v>
      </c>
      <c r="B147" t="s">
        <v>17340</v>
      </c>
      <c r="C147">
        <v>0</v>
      </c>
      <c r="D147">
        <v>3</v>
      </c>
      <c r="E147">
        <v>3</v>
      </c>
      <c r="F147">
        <v>3</v>
      </c>
      <c r="G147">
        <v>1</v>
      </c>
      <c r="H147">
        <v>0</v>
      </c>
      <c r="I147">
        <v>0</v>
      </c>
      <c r="J147">
        <v>3</v>
      </c>
      <c r="K147">
        <v>36</v>
      </c>
      <c r="L147">
        <v>2</v>
      </c>
      <c r="M147">
        <v>0</v>
      </c>
      <c r="N147">
        <v>0</v>
      </c>
      <c r="O147">
        <v>1</v>
      </c>
      <c r="P147">
        <v>0</v>
      </c>
      <c r="Q147">
        <v>0</v>
      </c>
      <c r="R147">
        <v>0</v>
      </c>
      <c r="S147">
        <v>7</v>
      </c>
      <c r="T147">
        <v>0</v>
      </c>
      <c r="U147">
        <v>0</v>
      </c>
      <c r="V147">
        <v>7</v>
      </c>
      <c r="W147">
        <v>70</v>
      </c>
      <c r="X147">
        <v>0</v>
      </c>
      <c r="Y147">
        <v>3</v>
      </c>
      <c r="Z147">
        <v>0</v>
      </c>
      <c r="AA147">
        <v>0</v>
      </c>
      <c r="AB147">
        <v>0</v>
      </c>
      <c r="AC147">
        <v>67</v>
      </c>
      <c r="AD147">
        <v>57</v>
      </c>
      <c r="AE147">
        <v>67</v>
      </c>
      <c r="AF147">
        <v>57</v>
      </c>
      <c r="AG147">
        <v>137</v>
      </c>
      <c r="AH147">
        <v>70</v>
      </c>
      <c r="AI147">
        <v>0</v>
      </c>
      <c r="AJ147">
        <v>0</v>
      </c>
      <c r="AK147">
        <v>0</v>
      </c>
      <c r="AL147">
        <v>0</v>
      </c>
      <c r="AM147">
        <v>0</v>
      </c>
      <c r="AN147">
        <v>1</v>
      </c>
      <c r="AO147">
        <v>1</v>
      </c>
      <c r="AP147">
        <v>0</v>
      </c>
      <c r="AQ147">
        <v>0</v>
      </c>
      <c r="AR147">
        <v>0</v>
      </c>
      <c r="AS147">
        <v>0</v>
      </c>
      <c r="AT147">
        <v>36</v>
      </c>
      <c r="AU147">
        <v>0</v>
      </c>
      <c r="AV147">
        <v>36</v>
      </c>
      <c r="AW147">
        <v>0</v>
      </c>
      <c r="AX147">
        <v>7</v>
      </c>
      <c r="AY147">
        <v>0</v>
      </c>
      <c r="AZ147">
        <v>7</v>
      </c>
      <c r="BA147">
        <v>0</v>
      </c>
      <c r="BB147">
        <v>0</v>
      </c>
      <c r="BC147">
        <v>0</v>
      </c>
      <c r="BD147">
        <v>0</v>
      </c>
      <c r="BE147">
        <v>0</v>
      </c>
      <c r="BF147">
        <v>47</v>
      </c>
    </row>
    <row r="148" spans="1:58">
      <c r="A148" t="s">
        <v>17044</v>
      </c>
      <c r="B148" t="s">
        <v>17058</v>
      </c>
      <c r="C148">
        <v>38</v>
      </c>
      <c r="D148">
        <v>86</v>
      </c>
      <c r="E148">
        <v>86</v>
      </c>
      <c r="F148">
        <v>86</v>
      </c>
      <c r="G148">
        <v>2</v>
      </c>
      <c r="H148">
        <v>0</v>
      </c>
      <c r="I148">
        <v>0</v>
      </c>
      <c r="J148">
        <v>86</v>
      </c>
      <c r="K148">
        <v>490</v>
      </c>
      <c r="L148">
        <v>20</v>
      </c>
      <c r="M148">
        <v>28</v>
      </c>
      <c r="N148">
        <v>20</v>
      </c>
      <c r="O148">
        <v>11</v>
      </c>
      <c r="P148">
        <v>1</v>
      </c>
      <c r="Q148">
        <v>6</v>
      </c>
      <c r="R148">
        <v>0</v>
      </c>
      <c r="S148">
        <v>19.25</v>
      </c>
      <c r="T148">
        <v>21.25</v>
      </c>
      <c r="U148">
        <v>0</v>
      </c>
      <c r="V148">
        <v>40.5</v>
      </c>
      <c r="W148">
        <v>372.5</v>
      </c>
      <c r="X148">
        <v>0</v>
      </c>
      <c r="Y148">
        <v>43</v>
      </c>
      <c r="Z148">
        <v>1</v>
      </c>
      <c r="AA148">
        <v>-245</v>
      </c>
      <c r="AB148">
        <v>0</v>
      </c>
      <c r="AC148" s="20">
        <v>1658.75</v>
      </c>
      <c r="AD148">
        <v>838.25</v>
      </c>
      <c r="AE148">
        <v>758</v>
      </c>
      <c r="AF148">
        <v>838.25</v>
      </c>
      <c r="AG148" s="20">
        <v>2031.25</v>
      </c>
      <c r="AH148" s="20">
        <v>1273.25</v>
      </c>
      <c r="AI148">
        <v>0</v>
      </c>
      <c r="AJ148">
        <v>0</v>
      </c>
      <c r="AK148">
        <v>0</v>
      </c>
      <c r="AL148">
        <v>0</v>
      </c>
      <c r="AM148">
        <v>19</v>
      </c>
      <c r="AN148">
        <v>15</v>
      </c>
      <c r="AO148">
        <v>0</v>
      </c>
      <c r="AP148">
        <v>2</v>
      </c>
      <c r="AQ148">
        <v>0</v>
      </c>
      <c r="AR148">
        <v>0</v>
      </c>
      <c r="AS148">
        <v>0</v>
      </c>
      <c r="AT148">
        <v>490</v>
      </c>
      <c r="AU148">
        <v>0</v>
      </c>
      <c r="AV148">
        <v>249</v>
      </c>
      <c r="AW148">
        <v>241</v>
      </c>
      <c r="AX148">
        <v>19.25</v>
      </c>
      <c r="AY148">
        <v>0</v>
      </c>
      <c r="AZ148">
        <v>11.75</v>
      </c>
      <c r="BA148">
        <v>7.5</v>
      </c>
      <c r="BB148">
        <v>21.25</v>
      </c>
      <c r="BC148">
        <v>0</v>
      </c>
      <c r="BD148">
        <v>12.75</v>
      </c>
      <c r="BE148">
        <v>8.5</v>
      </c>
      <c r="BF148">
        <v>0</v>
      </c>
    </row>
    <row r="149" spans="1:58">
      <c r="A149" t="s">
        <v>17059</v>
      </c>
      <c r="B149" t="s">
        <v>19344</v>
      </c>
      <c r="C149">
        <v>0</v>
      </c>
      <c r="D149">
        <v>2</v>
      </c>
      <c r="E149">
        <v>1</v>
      </c>
      <c r="F149">
        <v>1</v>
      </c>
      <c r="G149">
        <v>0</v>
      </c>
      <c r="H149">
        <v>1</v>
      </c>
      <c r="I149">
        <v>0</v>
      </c>
      <c r="J149">
        <v>2</v>
      </c>
      <c r="K149">
        <v>40</v>
      </c>
      <c r="L149">
        <v>0</v>
      </c>
      <c r="M149">
        <v>0</v>
      </c>
      <c r="N149">
        <v>0</v>
      </c>
      <c r="O149">
        <v>1</v>
      </c>
      <c r="P149">
        <v>1</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40</v>
      </c>
      <c r="AU149">
        <v>35</v>
      </c>
      <c r="AV149">
        <v>5</v>
      </c>
      <c r="AW149">
        <v>0</v>
      </c>
      <c r="AX149">
        <v>0</v>
      </c>
      <c r="AY149">
        <v>0</v>
      </c>
      <c r="AZ149">
        <v>0</v>
      </c>
      <c r="BA149">
        <v>0</v>
      </c>
      <c r="BB149">
        <v>0</v>
      </c>
      <c r="BC149">
        <v>0</v>
      </c>
      <c r="BD149">
        <v>0</v>
      </c>
      <c r="BE149">
        <v>0</v>
      </c>
      <c r="BF149">
        <v>0</v>
      </c>
    </row>
    <row r="150" spans="1:58">
      <c r="A150" t="s">
        <v>17059</v>
      </c>
      <c r="B150" t="s">
        <v>19345</v>
      </c>
      <c r="C150">
        <v>0</v>
      </c>
      <c r="D150">
        <v>1</v>
      </c>
      <c r="E150">
        <v>1</v>
      </c>
      <c r="F150">
        <v>0</v>
      </c>
      <c r="G150">
        <v>0</v>
      </c>
      <c r="H150">
        <v>0</v>
      </c>
      <c r="I150">
        <v>0</v>
      </c>
      <c r="J150">
        <v>1</v>
      </c>
      <c r="K150">
        <v>3</v>
      </c>
      <c r="L150">
        <v>1</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3</v>
      </c>
      <c r="AU150">
        <v>0</v>
      </c>
      <c r="AV150">
        <v>3</v>
      </c>
      <c r="AW150">
        <v>0</v>
      </c>
      <c r="AX150">
        <v>0</v>
      </c>
      <c r="AY150">
        <v>0</v>
      </c>
      <c r="AZ150">
        <v>0</v>
      </c>
      <c r="BA150">
        <v>0</v>
      </c>
      <c r="BB150">
        <v>0</v>
      </c>
      <c r="BC150">
        <v>0</v>
      </c>
      <c r="BD150">
        <v>0</v>
      </c>
      <c r="BE150">
        <v>0</v>
      </c>
    </row>
    <row r="151" spans="1:58">
      <c r="A151" t="s">
        <v>17059</v>
      </c>
      <c r="B151" t="s">
        <v>19345</v>
      </c>
      <c r="C151">
        <v>0</v>
      </c>
      <c r="D151">
        <v>8</v>
      </c>
      <c r="E151">
        <v>0</v>
      </c>
      <c r="F151">
        <v>8</v>
      </c>
      <c r="G151">
        <v>0</v>
      </c>
      <c r="H151">
        <v>8</v>
      </c>
      <c r="I151">
        <v>1</v>
      </c>
      <c r="J151">
        <v>8</v>
      </c>
      <c r="K151">
        <v>109</v>
      </c>
      <c r="L151">
        <v>0</v>
      </c>
      <c r="M151">
        <v>0</v>
      </c>
      <c r="N151">
        <v>0</v>
      </c>
      <c r="O151">
        <v>0</v>
      </c>
      <c r="P151">
        <v>1</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109</v>
      </c>
      <c r="AU151">
        <v>109</v>
      </c>
      <c r="AV151">
        <v>0</v>
      </c>
      <c r="AW151">
        <v>0</v>
      </c>
      <c r="AX151">
        <v>0</v>
      </c>
      <c r="AY151">
        <v>0</v>
      </c>
      <c r="AZ151">
        <v>0</v>
      </c>
      <c r="BA151">
        <v>0</v>
      </c>
      <c r="BB151">
        <v>0</v>
      </c>
      <c r="BC151">
        <v>0</v>
      </c>
      <c r="BD151">
        <v>0</v>
      </c>
      <c r="BE151">
        <v>0</v>
      </c>
      <c r="BF151">
        <v>0</v>
      </c>
    </row>
    <row r="152" spans="1:58">
      <c r="A152" t="s">
        <v>16978</v>
      </c>
      <c r="B152" t="s">
        <v>18823</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118</v>
      </c>
    </row>
    <row r="153" spans="1:58">
      <c r="A153" t="s">
        <v>16978</v>
      </c>
      <c r="B153" t="s">
        <v>17330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25</v>
      </c>
    </row>
    <row r="154" spans="1:58">
      <c r="A154" t="s">
        <v>16978</v>
      </c>
      <c r="B154" t="s">
        <v>18824</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row>
    <row r="155" spans="1:58">
      <c r="A155" t="s">
        <v>16978</v>
      </c>
      <c r="B155" t="s">
        <v>17064</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row>
    <row r="156" spans="1:58">
      <c r="A156" t="s">
        <v>16978</v>
      </c>
      <c r="B156" t="s">
        <v>17066</v>
      </c>
      <c r="C156">
        <v>0</v>
      </c>
      <c r="D156">
        <v>1</v>
      </c>
      <c r="E156">
        <v>0</v>
      </c>
      <c r="F156">
        <v>1</v>
      </c>
      <c r="G156">
        <v>0</v>
      </c>
      <c r="H156">
        <v>0</v>
      </c>
      <c r="I156">
        <v>0</v>
      </c>
      <c r="J156">
        <v>1</v>
      </c>
      <c r="K156">
        <v>1</v>
      </c>
      <c r="L156">
        <v>1</v>
      </c>
      <c r="M156">
        <v>0</v>
      </c>
      <c r="N156">
        <v>0</v>
      </c>
      <c r="O156">
        <v>0</v>
      </c>
      <c r="P156">
        <v>0</v>
      </c>
      <c r="Q156">
        <v>0</v>
      </c>
      <c r="R156">
        <v>0</v>
      </c>
      <c r="S156">
        <v>0.75</v>
      </c>
      <c r="T156">
        <v>0</v>
      </c>
      <c r="U156">
        <v>0</v>
      </c>
      <c r="V156">
        <v>0.75</v>
      </c>
      <c r="W156">
        <v>7.5</v>
      </c>
      <c r="X156">
        <v>0</v>
      </c>
      <c r="Y156">
        <v>1</v>
      </c>
      <c r="Z156">
        <v>0</v>
      </c>
      <c r="AA156">
        <v>0</v>
      </c>
      <c r="AB156">
        <v>0</v>
      </c>
      <c r="AC156">
        <v>0</v>
      </c>
      <c r="AD156">
        <v>0</v>
      </c>
      <c r="AE156">
        <v>0</v>
      </c>
      <c r="AF156">
        <v>0</v>
      </c>
      <c r="AG156">
        <v>7.5</v>
      </c>
      <c r="AH156">
        <v>7.5</v>
      </c>
      <c r="AI156">
        <v>0</v>
      </c>
      <c r="AJ156">
        <v>0</v>
      </c>
      <c r="AK156">
        <v>0</v>
      </c>
      <c r="AL156">
        <v>0</v>
      </c>
      <c r="AM156">
        <v>0</v>
      </c>
      <c r="AN156">
        <v>0</v>
      </c>
      <c r="AO156">
        <v>0</v>
      </c>
      <c r="AP156">
        <v>0</v>
      </c>
      <c r="AQ156">
        <v>0</v>
      </c>
      <c r="AR156">
        <v>0</v>
      </c>
      <c r="AS156">
        <v>0</v>
      </c>
      <c r="AT156">
        <v>1</v>
      </c>
      <c r="AU156">
        <v>0</v>
      </c>
      <c r="AV156">
        <v>1</v>
      </c>
      <c r="AW156">
        <v>0</v>
      </c>
      <c r="AX156">
        <v>0.75</v>
      </c>
      <c r="AY156">
        <v>0</v>
      </c>
      <c r="AZ156">
        <v>0.75</v>
      </c>
      <c r="BA156">
        <v>0</v>
      </c>
      <c r="BB156">
        <v>0</v>
      </c>
      <c r="BC156">
        <v>0</v>
      </c>
      <c r="BD156">
        <v>0</v>
      </c>
      <c r="BE156">
        <v>0</v>
      </c>
    </row>
    <row r="157" spans="1:58">
      <c r="A157" t="s">
        <v>16978</v>
      </c>
      <c r="B157" t="s">
        <v>17066</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row>
    <row r="158" spans="1:58">
      <c r="A158" t="s">
        <v>16978</v>
      </c>
      <c r="B158" t="s">
        <v>17067</v>
      </c>
      <c r="C158">
        <v>0</v>
      </c>
      <c r="D158">
        <v>1</v>
      </c>
      <c r="E158">
        <v>1</v>
      </c>
      <c r="F158">
        <v>1</v>
      </c>
      <c r="G158">
        <v>1</v>
      </c>
      <c r="H158">
        <v>1</v>
      </c>
      <c r="I158">
        <v>0</v>
      </c>
      <c r="J158">
        <v>1</v>
      </c>
      <c r="K158">
        <v>0</v>
      </c>
      <c r="L158">
        <v>1</v>
      </c>
      <c r="M158">
        <v>0</v>
      </c>
      <c r="N158">
        <v>0</v>
      </c>
      <c r="O158">
        <v>0</v>
      </c>
      <c r="P158">
        <v>0</v>
      </c>
      <c r="Q158">
        <v>0</v>
      </c>
      <c r="R158">
        <v>0</v>
      </c>
      <c r="S158">
        <v>0.25</v>
      </c>
      <c r="T158">
        <v>0.25</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row>
    <row r="159" spans="1:58">
      <c r="A159" t="s">
        <v>16978</v>
      </c>
      <c r="B159" t="s">
        <v>17067</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row>
    <row r="160" spans="1:58">
      <c r="A160" t="s">
        <v>16978</v>
      </c>
      <c r="B160" t="s">
        <v>17331</v>
      </c>
      <c r="C160">
        <v>2</v>
      </c>
      <c r="D160">
        <v>2</v>
      </c>
      <c r="E160">
        <v>0</v>
      </c>
      <c r="F160">
        <v>2</v>
      </c>
      <c r="G160">
        <v>0</v>
      </c>
      <c r="H160">
        <v>0</v>
      </c>
      <c r="I160">
        <v>0</v>
      </c>
      <c r="J160">
        <v>2</v>
      </c>
      <c r="K160">
        <v>2</v>
      </c>
      <c r="L160">
        <v>2</v>
      </c>
      <c r="M160">
        <v>0</v>
      </c>
      <c r="N160">
        <v>0</v>
      </c>
      <c r="O160">
        <v>0</v>
      </c>
      <c r="P160">
        <v>0</v>
      </c>
      <c r="Q160">
        <v>0</v>
      </c>
      <c r="R160">
        <v>0</v>
      </c>
      <c r="S160">
        <v>1</v>
      </c>
      <c r="T160">
        <v>0</v>
      </c>
      <c r="U160">
        <v>0</v>
      </c>
      <c r="V160">
        <v>1</v>
      </c>
      <c r="W160">
        <v>0</v>
      </c>
      <c r="X160">
        <v>0</v>
      </c>
      <c r="Y160">
        <v>0</v>
      </c>
      <c r="Z160">
        <v>0</v>
      </c>
      <c r="AA160">
        <v>-10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2</v>
      </c>
      <c r="AU160">
        <v>0</v>
      </c>
      <c r="AV160">
        <v>0</v>
      </c>
      <c r="AW160">
        <v>2</v>
      </c>
      <c r="AX160">
        <v>1</v>
      </c>
      <c r="AY160">
        <v>0</v>
      </c>
      <c r="AZ160">
        <v>0</v>
      </c>
      <c r="BA160">
        <v>1</v>
      </c>
      <c r="BB160">
        <v>0</v>
      </c>
      <c r="BC160">
        <v>0</v>
      </c>
      <c r="BD160">
        <v>0</v>
      </c>
      <c r="BE160">
        <v>0</v>
      </c>
      <c r="BF160">
        <v>2</v>
      </c>
    </row>
    <row r="161" spans="1:58">
      <c r="A161" t="s">
        <v>16978</v>
      </c>
      <c r="B161" t="s">
        <v>17332</v>
      </c>
      <c r="C161">
        <v>27</v>
      </c>
      <c r="D161">
        <v>27</v>
      </c>
      <c r="E161">
        <v>0</v>
      </c>
      <c r="F161">
        <v>0</v>
      </c>
      <c r="G161">
        <v>0</v>
      </c>
      <c r="H161">
        <v>0</v>
      </c>
      <c r="I161">
        <v>0</v>
      </c>
      <c r="J161">
        <v>27</v>
      </c>
      <c r="K161">
        <v>171</v>
      </c>
      <c r="L161">
        <v>27</v>
      </c>
      <c r="M161">
        <v>0</v>
      </c>
      <c r="N161">
        <v>0</v>
      </c>
      <c r="O161">
        <v>0</v>
      </c>
      <c r="P161">
        <v>0</v>
      </c>
      <c r="Q161">
        <v>0</v>
      </c>
      <c r="R161">
        <v>0</v>
      </c>
      <c r="S161">
        <v>13.5</v>
      </c>
      <c r="T161">
        <v>0</v>
      </c>
      <c r="U161">
        <v>0</v>
      </c>
      <c r="V161">
        <v>13.5</v>
      </c>
      <c r="W161">
        <v>0</v>
      </c>
      <c r="X161">
        <v>0</v>
      </c>
      <c r="Y161">
        <v>0</v>
      </c>
      <c r="Z161">
        <v>0</v>
      </c>
      <c r="AA161">
        <v>-135</v>
      </c>
      <c r="AB161">
        <v>0</v>
      </c>
      <c r="AC161">
        <v>135</v>
      </c>
      <c r="AD161">
        <v>135</v>
      </c>
      <c r="AE161">
        <v>135</v>
      </c>
      <c r="AF161">
        <v>135</v>
      </c>
      <c r="AG161">
        <v>135</v>
      </c>
      <c r="AH161">
        <v>0</v>
      </c>
      <c r="AI161">
        <v>0</v>
      </c>
      <c r="AJ161">
        <v>0</v>
      </c>
      <c r="AK161">
        <v>0</v>
      </c>
      <c r="AL161">
        <v>0</v>
      </c>
      <c r="AM161">
        <v>0</v>
      </c>
      <c r="AN161">
        <v>27</v>
      </c>
      <c r="AO161">
        <v>0</v>
      </c>
      <c r="AP161">
        <v>0</v>
      </c>
      <c r="AQ161">
        <v>0</v>
      </c>
      <c r="AR161">
        <v>0</v>
      </c>
      <c r="AS161">
        <v>0</v>
      </c>
      <c r="AT161">
        <v>171</v>
      </c>
      <c r="AU161">
        <v>0</v>
      </c>
      <c r="AV161">
        <v>0</v>
      </c>
      <c r="AW161">
        <v>171</v>
      </c>
      <c r="AX161">
        <v>13.5</v>
      </c>
      <c r="AY161">
        <v>0</v>
      </c>
      <c r="AZ161">
        <v>0</v>
      </c>
      <c r="BA161">
        <v>13.5</v>
      </c>
      <c r="BB161">
        <v>0</v>
      </c>
      <c r="BC161">
        <v>0</v>
      </c>
      <c r="BD161">
        <v>0</v>
      </c>
      <c r="BE161">
        <v>0</v>
      </c>
      <c r="BF161">
        <v>27</v>
      </c>
    </row>
    <row r="162" spans="1:58">
      <c r="A162" t="s">
        <v>16978</v>
      </c>
      <c r="B162" t="s">
        <v>17068</v>
      </c>
      <c r="C162">
        <v>0</v>
      </c>
      <c r="D162">
        <v>2</v>
      </c>
      <c r="E162">
        <v>0</v>
      </c>
      <c r="F162">
        <v>1</v>
      </c>
      <c r="G162">
        <v>1</v>
      </c>
      <c r="H162">
        <v>0</v>
      </c>
      <c r="I162">
        <v>0</v>
      </c>
      <c r="J162">
        <v>2</v>
      </c>
      <c r="K162">
        <v>46</v>
      </c>
      <c r="L162">
        <v>2</v>
      </c>
      <c r="M162">
        <v>0</v>
      </c>
      <c r="N162">
        <v>0</v>
      </c>
      <c r="O162">
        <v>0</v>
      </c>
      <c r="P162">
        <v>0</v>
      </c>
      <c r="Q162">
        <v>0</v>
      </c>
      <c r="R162">
        <v>0</v>
      </c>
      <c r="S162">
        <v>3.25</v>
      </c>
      <c r="T162">
        <v>1</v>
      </c>
      <c r="U162">
        <v>0</v>
      </c>
      <c r="V162">
        <v>4.25</v>
      </c>
      <c r="W162">
        <v>52.5</v>
      </c>
      <c r="X162">
        <v>0</v>
      </c>
      <c r="Y162">
        <v>2</v>
      </c>
      <c r="Z162">
        <v>0</v>
      </c>
      <c r="AA162">
        <v>0</v>
      </c>
      <c r="AB162">
        <v>20</v>
      </c>
      <c r="AC162">
        <v>0</v>
      </c>
      <c r="AD162">
        <v>0</v>
      </c>
      <c r="AE162">
        <v>0</v>
      </c>
      <c r="AF162">
        <v>20</v>
      </c>
      <c r="AG162">
        <v>52.5</v>
      </c>
      <c r="AH162">
        <v>52.5</v>
      </c>
      <c r="AI162">
        <v>0</v>
      </c>
      <c r="AJ162">
        <v>0</v>
      </c>
      <c r="AK162">
        <v>0</v>
      </c>
      <c r="AL162">
        <v>0</v>
      </c>
      <c r="AM162">
        <v>0</v>
      </c>
      <c r="AN162">
        <v>0</v>
      </c>
      <c r="AO162">
        <v>0</v>
      </c>
      <c r="AP162">
        <v>0</v>
      </c>
      <c r="AQ162">
        <v>0</v>
      </c>
      <c r="AR162">
        <v>0</v>
      </c>
      <c r="AS162">
        <v>0</v>
      </c>
      <c r="AT162">
        <v>46</v>
      </c>
      <c r="AU162">
        <v>0</v>
      </c>
      <c r="AV162">
        <v>46</v>
      </c>
      <c r="AW162">
        <v>0</v>
      </c>
      <c r="AX162">
        <v>3.25</v>
      </c>
      <c r="AY162">
        <v>0</v>
      </c>
      <c r="AZ162">
        <v>3.25</v>
      </c>
      <c r="BA162">
        <v>0</v>
      </c>
      <c r="BB162">
        <v>1</v>
      </c>
      <c r="BC162">
        <v>0</v>
      </c>
      <c r="BD162">
        <v>1</v>
      </c>
      <c r="BE162">
        <v>0</v>
      </c>
      <c r="BF162">
        <v>0</v>
      </c>
    </row>
    <row r="163" spans="1:58">
      <c r="A163" t="s">
        <v>16978</v>
      </c>
      <c r="B163" t="s">
        <v>17363</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row>
    <row r="164" spans="1:58">
      <c r="A164" t="s">
        <v>16978</v>
      </c>
      <c r="B164" t="s">
        <v>17069</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8</v>
      </c>
    </row>
    <row r="165" spans="1:58">
      <c r="A165" t="s">
        <v>16978</v>
      </c>
      <c r="B165" t="s">
        <v>19346</v>
      </c>
      <c r="C165">
        <v>0</v>
      </c>
      <c r="D165">
        <v>1</v>
      </c>
      <c r="E165">
        <v>1</v>
      </c>
      <c r="F165">
        <v>1</v>
      </c>
      <c r="G165">
        <v>0</v>
      </c>
      <c r="H165">
        <v>0</v>
      </c>
      <c r="I165">
        <v>0</v>
      </c>
      <c r="J165">
        <v>1</v>
      </c>
      <c r="K165">
        <v>2</v>
      </c>
      <c r="L165">
        <v>1</v>
      </c>
      <c r="M165">
        <v>0</v>
      </c>
      <c r="N165">
        <v>0</v>
      </c>
      <c r="O165">
        <v>0</v>
      </c>
      <c r="P165">
        <v>0</v>
      </c>
      <c r="Q165">
        <v>0</v>
      </c>
      <c r="R165">
        <v>0</v>
      </c>
      <c r="S165">
        <v>1</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2</v>
      </c>
      <c r="AU165">
        <v>0</v>
      </c>
      <c r="AV165">
        <v>2</v>
      </c>
      <c r="AW165">
        <v>0</v>
      </c>
      <c r="AX165">
        <v>1</v>
      </c>
      <c r="AY165">
        <v>0</v>
      </c>
      <c r="AZ165">
        <v>1</v>
      </c>
      <c r="BA165">
        <v>0</v>
      </c>
      <c r="BB165">
        <v>0</v>
      </c>
      <c r="BC165">
        <v>0</v>
      </c>
      <c r="BD165">
        <v>0</v>
      </c>
      <c r="BE165">
        <v>0</v>
      </c>
      <c r="BF165">
        <v>5</v>
      </c>
    </row>
    <row r="166" spans="1:58">
      <c r="A166" t="s">
        <v>16978</v>
      </c>
      <c r="B166" t="s">
        <v>17073</v>
      </c>
      <c r="C166">
        <v>3</v>
      </c>
      <c r="D166">
        <v>7</v>
      </c>
      <c r="E166">
        <v>7</v>
      </c>
      <c r="F166">
        <v>7</v>
      </c>
      <c r="G166">
        <v>3</v>
      </c>
      <c r="H166">
        <v>2</v>
      </c>
      <c r="I166">
        <v>3</v>
      </c>
      <c r="J166">
        <v>7</v>
      </c>
      <c r="K166">
        <v>48</v>
      </c>
      <c r="L166">
        <v>5</v>
      </c>
      <c r="M166">
        <v>0</v>
      </c>
      <c r="N166">
        <v>1</v>
      </c>
      <c r="O166">
        <v>0</v>
      </c>
      <c r="P166">
        <v>0</v>
      </c>
      <c r="Q166">
        <v>1</v>
      </c>
      <c r="R166">
        <v>0</v>
      </c>
      <c r="S166">
        <v>3.65</v>
      </c>
      <c r="T166">
        <v>0</v>
      </c>
      <c r="U166">
        <v>0</v>
      </c>
      <c r="V166">
        <v>3.65</v>
      </c>
      <c r="W166">
        <v>20</v>
      </c>
      <c r="X166">
        <v>0</v>
      </c>
      <c r="Y166">
        <v>4</v>
      </c>
      <c r="Z166">
        <v>0</v>
      </c>
      <c r="AA166">
        <v>-16.5</v>
      </c>
      <c r="AB166">
        <v>0</v>
      </c>
      <c r="AC166">
        <v>0</v>
      </c>
      <c r="AD166">
        <v>0</v>
      </c>
      <c r="AE166">
        <v>0</v>
      </c>
      <c r="AF166">
        <v>0</v>
      </c>
      <c r="AG166">
        <v>20</v>
      </c>
      <c r="AH166">
        <v>20</v>
      </c>
      <c r="AI166">
        <v>0</v>
      </c>
      <c r="AJ166">
        <v>0</v>
      </c>
      <c r="AK166">
        <v>2.5</v>
      </c>
      <c r="AL166">
        <v>2.5</v>
      </c>
      <c r="AM166">
        <v>0</v>
      </c>
      <c r="AN166">
        <v>0</v>
      </c>
      <c r="AO166">
        <v>0</v>
      </c>
      <c r="AP166">
        <v>0</v>
      </c>
      <c r="AQ166">
        <v>0</v>
      </c>
      <c r="AR166">
        <v>0</v>
      </c>
      <c r="AS166">
        <v>0</v>
      </c>
      <c r="AT166">
        <v>48</v>
      </c>
      <c r="AU166">
        <v>10</v>
      </c>
      <c r="AV166">
        <v>19</v>
      </c>
      <c r="AW166">
        <v>25</v>
      </c>
      <c r="AX166">
        <v>3.65</v>
      </c>
      <c r="AY166">
        <v>1.25</v>
      </c>
      <c r="AZ166">
        <v>1.75</v>
      </c>
      <c r="BA166">
        <v>1.65</v>
      </c>
      <c r="BB166">
        <v>0</v>
      </c>
      <c r="BC166">
        <v>0</v>
      </c>
      <c r="BD166">
        <v>0</v>
      </c>
      <c r="BE166">
        <v>0</v>
      </c>
      <c r="BF166">
        <v>7</v>
      </c>
    </row>
    <row r="167" spans="1:58">
      <c r="A167" t="s">
        <v>16978</v>
      </c>
      <c r="B167" t="s">
        <v>17365</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row>
    <row r="168" spans="1:58">
      <c r="A168" t="s">
        <v>16978</v>
      </c>
      <c r="B168" t="s">
        <v>17366</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row>
    <row r="169" spans="1:58">
      <c r="A169" t="s">
        <v>16978</v>
      </c>
      <c r="B169" t="s">
        <v>18827</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row>
    <row r="170" spans="1:58">
      <c r="A170" t="s">
        <v>16978</v>
      </c>
      <c r="B170" t="s">
        <v>17078</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284</v>
      </c>
    </row>
    <row r="171" spans="1:58">
      <c r="A171" t="s">
        <v>16978</v>
      </c>
      <c r="B171" t="s">
        <v>17079</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350</v>
      </c>
    </row>
    <row r="172" spans="1:58">
      <c r="A172" t="s">
        <v>16978</v>
      </c>
      <c r="B172" t="s">
        <v>18828</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1</v>
      </c>
      <c r="AN172">
        <v>1</v>
      </c>
      <c r="AO172">
        <v>1</v>
      </c>
      <c r="AP172">
        <v>1</v>
      </c>
      <c r="AQ172">
        <v>1</v>
      </c>
      <c r="AR172">
        <v>1</v>
      </c>
      <c r="AS172">
        <v>1</v>
      </c>
      <c r="AT172">
        <v>0</v>
      </c>
      <c r="AU172">
        <v>0</v>
      </c>
      <c r="AV172">
        <v>0</v>
      </c>
      <c r="AW172">
        <v>0</v>
      </c>
      <c r="AX172">
        <v>0</v>
      </c>
      <c r="AY172">
        <v>0</v>
      </c>
      <c r="AZ172">
        <v>0</v>
      </c>
      <c r="BA172">
        <v>0</v>
      </c>
      <c r="BB172">
        <v>0</v>
      </c>
      <c r="BC172">
        <v>0</v>
      </c>
      <c r="BD172">
        <v>0</v>
      </c>
      <c r="BE172">
        <v>0</v>
      </c>
      <c r="BF172">
        <v>0</v>
      </c>
    </row>
    <row r="173" spans="1:58">
      <c r="A173" t="s">
        <v>16978</v>
      </c>
      <c r="B173" t="s">
        <v>19347</v>
      </c>
      <c r="C173">
        <v>0</v>
      </c>
      <c r="D173">
        <v>2</v>
      </c>
      <c r="E173">
        <v>2</v>
      </c>
      <c r="F173">
        <v>2</v>
      </c>
      <c r="G173">
        <v>0</v>
      </c>
      <c r="H173">
        <v>0</v>
      </c>
      <c r="I173">
        <v>0</v>
      </c>
      <c r="J173">
        <v>2</v>
      </c>
      <c r="K173">
        <v>13</v>
      </c>
      <c r="L173">
        <v>2</v>
      </c>
      <c r="M173">
        <v>0</v>
      </c>
      <c r="N173">
        <v>0</v>
      </c>
      <c r="O173">
        <v>0</v>
      </c>
      <c r="P173">
        <v>0</v>
      </c>
      <c r="Q173">
        <v>0</v>
      </c>
      <c r="R173">
        <v>0</v>
      </c>
      <c r="S173">
        <v>8</v>
      </c>
      <c r="T173">
        <v>8</v>
      </c>
      <c r="U173">
        <v>0</v>
      </c>
      <c r="V173">
        <v>16</v>
      </c>
      <c r="W173">
        <v>240</v>
      </c>
      <c r="X173">
        <v>0</v>
      </c>
      <c r="Y173">
        <v>2</v>
      </c>
      <c r="Z173">
        <v>0</v>
      </c>
      <c r="AA173">
        <v>0</v>
      </c>
      <c r="AB173">
        <v>180</v>
      </c>
      <c r="AC173">
        <v>0</v>
      </c>
      <c r="AD173">
        <v>0</v>
      </c>
      <c r="AE173">
        <v>10</v>
      </c>
      <c r="AF173">
        <v>180</v>
      </c>
      <c r="AG173">
        <v>240</v>
      </c>
      <c r="AH173">
        <v>230</v>
      </c>
      <c r="AI173">
        <v>0</v>
      </c>
      <c r="AJ173">
        <v>0</v>
      </c>
      <c r="AK173">
        <v>0</v>
      </c>
      <c r="AL173">
        <v>0</v>
      </c>
      <c r="AM173">
        <v>0</v>
      </c>
      <c r="AN173">
        <v>1</v>
      </c>
      <c r="AO173">
        <v>0</v>
      </c>
      <c r="AP173">
        <v>0</v>
      </c>
      <c r="AQ173">
        <v>0</v>
      </c>
      <c r="AR173">
        <v>0</v>
      </c>
      <c r="AS173">
        <v>0</v>
      </c>
      <c r="AT173">
        <v>13</v>
      </c>
      <c r="AU173">
        <v>0</v>
      </c>
      <c r="AV173">
        <v>13</v>
      </c>
      <c r="AW173">
        <v>0</v>
      </c>
      <c r="AX173">
        <v>8</v>
      </c>
      <c r="AY173">
        <v>0</v>
      </c>
      <c r="AZ173">
        <v>8</v>
      </c>
      <c r="BA173">
        <v>0</v>
      </c>
      <c r="BB173">
        <v>8</v>
      </c>
      <c r="BC173">
        <v>0</v>
      </c>
      <c r="BD173">
        <v>8</v>
      </c>
      <c r="BE173">
        <v>0</v>
      </c>
    </row>
    <row r="174" spans="1:58">
      <c r="A174" t="s">
        <v>16978</v>
      </c>
      <c r="B174" t="s">
        <v>19347</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100</v>
      </c>
    </row>
    <row r="175" spans="1:58">
      <c r="A175" t="s">
        <v>16978</v>
      </c>
      <c r="B175" t="s">
        <v>17054</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row>
    <row r="176" spans="1:58">
      <c r="A176" t="s">
        <v>16978</v>
      </c>
      <c r="B176" t="s">
        <v>17056</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row>
    <row r="177" spans="1:58">
      <c r="A177" t="s">
        <v>16978</v>
      </c>
      <c r="B177" t="s">
        <v>17080</v>
      </c>
      <c r="C177">
        <v>16</v>
      </c>
      <c r="D177">
        <v>64</v>
      </c>
      <c r="E177">
        <v>64</v>
      </c>
      <c r="F177">
        <v>64</v>
      </c>
      <c r="G177">
        <v>0</v>
      </c>
      <c r="H177">
        <v>38</v>
      </c>
      <c r="I177">
        <v>0</v>
      </c>
      <c r="J177">
        <v>64</v>
      </c>
      <c r="K177">
        <v>134</v>
      </c>
      <c r="L177">
        <v>64</v>
      </c>
      <c r="M177">
        <v>0</v>
      </c>
      <c r="N177">
        <v>0</v>
      </c>
      <c r="O177">
        <v>0</v>
      </c>
      <c r="P177">
        <v>0</v>
      </c>
      <c r="Q177">
        <v>0</v>
      </c>
      <c r="R177">
        <v>0</v>
      </c>
      <c r="S177">
        <v>21.75</v>
      </c>
      <c r="T177">
        <v>0</v>
      </c>
      <c r="U177">
        <v>0</v>
      </c>
      <c r="V177">
        <v>21.5</v>
      </c>
      <c r="W177">
        <v>172.5</v>
      </c>
      <c r="X177">
        <v>0</v>
      </c>
      <c r="Y177">
        <v>48</v>
      </c>
      <c r="Z177">
        <v>0</v>
      </c>
      <c r="AA177">
        <v>-45</v>
      </c>
      <c r="AB177">
        <v>0</v>
      </c>
      <c r="AC177">
        <v>0</v>
      </c>
      <c r="AD177">
        <v>0</v>
      </c>
      <c r="AE177">
        <v>0</v>
      </c>
      <c r="AF177">
        <v>0</v>
      </c>
      <c r="AG177">
        <v>172.5</v>
      </c>
      <c r="AH177">
        <v>172.5</v>
      </c>
      <c r="AI177">
        <v>0</v>
      </c>
      <c r="AJ177">
        <v>0</v>
      </c>
      <c r="AK177">
        <v>0</v>
      </c>
      <c r="AL177">
        <v>0</v>
      </c>
      <c r="AM177">
        <v>0</v>
      </c>
      <c r="AN177">
        <v>0</v>
      </c>
      <c r="AO177">
        <v>0</v>
      </c>
      <c r="AP177">
        <v>0</v>
      </c>
      <c r="AQ177">
        <v>0</v>
      </c>
      <c r="AR177">
        <v>0</v>
      </c>
      <c r="AS177">
        <v>0</v>
      </c>
      <c r="AT177">
        <v>134</v>
      </c>
      <c r="AU177">
        <v>0</v>
      </c>
      <c r="AV177">
        <v>112</v>
      </c>
      <c r="AW177">
        <v>21</v>
      </c>
      <c r="AX177">
        <v>21.75</v>
      </c>
      <c r="AY177">
        <v>0</v>
      </c>
      <c r="AZ177">
        <v>17</v>
      </c>
      <c r="BA177">
        <v>4.5</v>
      </c>
      <c r="BB177">
        <v>0</v>
      </c>
      <c r="BC177">
        <v>0</v>
      </c>
      <c r="BD177">
        <v>0</v>
      </c>
      <c r="BE177">
        <v>0</v>
      </c>
      <c r="BF177">
        <v>245</v>
      </c>
    </row>
    <row r="178" spans="1:58">
      <c r="A178" t="s">
        <v>16978</v>
      </c>
      <c r="B178" t="s">
        <v>17081</v>
      </c>
      <c r="C178">
        <v>1</v>
      </c>
      <c r="D178">
        <v>1</v>
      </c>
      <c r="E178">
        <v>1</v>
      </c>
      <c r="F178">
        <v>1</v>
      </c>
      <c r="G178">
        <v>1</v>
      </c>
      <c r="H178">
        <v>0</v>
      </c>
      <c r="I178">
        <v>0</v>
      </c>
      <c r="J178">
        <v>1</v>
      </c>
      <c r="K178">
        <v>43</v>
      </c>
      <c r="L178">
        <v>1</v>
      </c>
      <c r="M178">
        <v>0</v>
      </c>
      <c r="N178">
        <v>0</v>
      </c>
      <c r="O178">
        <v>0</v>
      </c>
      <c r="P178">
        <v>0</v>
      </c>
      <c r="Q178">
        <v>0</v>
      </c>
      <c r="R178">
        <v>0</v>
      </c>
      <c r="S178">
        <v>4</v>
      </c>
      <c r="T178">
        <v>0</v>
      </c>
      <c r="U178">
        <v>0</v>
      </c>
      <c r="V178">
        <v>4</v>
      </c>
      <c r="W178">
        <v>0</v>
      </c>
      <c r="X178">
        <v>0</v>
      </c>
      <c r="Y178">
        <v>0</v>
      </c>
      <c r="Z178">
        <v>0</v>
      </c>
      <c r="AA178">
        <v>-40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43</v>
      </c>
      <c r="AU178">
        <v>0</v>
      </c>
      <c r="AV178">
        <v>0</v>
      </c>
      <c r="AW178">
        <v>43</v>
      </c>
      <c r="AX178">
        <v>4</v>
      </c>
      <c r="AY178">
        <v>0</v>
      </c>
      <c r="AZ178">
        <v>0</v>
      </c>
      <c r="BA178">
        <v>4</v>
      </c>
      <c r="BB178">
        <v>0</v>
      </c>
      <c r="BC178">
        <v>0</v>
      </c>
      <c r="BD178">
        <v>0</v>
      </c>
      <c r="BE178">
        <v>0</v>
      </c>
      <c r="BF178">
        <v>0</v>
      </c>
    </row>
    <row r="179" spans="1:58">
      <c r="A179" t="s">
        <v>16978</v>
      </c>
      <c r="B179" t="s">
        <v>17082</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32</v>
      </c>
    </row>
    <row r="180" spans="1:58">
      <c r="A180" t="s">
        <v>16978</v>
      </c>
      <c r="B180" t="s">
        <v>18830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row>
    <row r="181" spans="1:58">
      <c r="A181" t="s">
        <v>16978</v>
      </c>
      <c r="B181" t="s">
        <v>17369</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400</v>
      </c>
    </row>
    <row r="182" spans="1:58">
      <c r="A182" t="s">
        <v>16978</v>
      </c>
      <c r="B182" t="s">
        <v>19348</v>
      </c>
      <c r="C182">
        <v>9</v>
      </c>
      <c r="D182">
        <v>78</v>
      </c>
      <c r="E182">
        <v>76</v>
      </c>
      <c r="F182">
        <v>78</v>
      </c>
      <c r="G182">
        <v>2</v>
      </c>
      <c r="H182">
        <v>7</v>
      </c>
      <c r="I182">
        <v>4</v>
      </c>
      <c r="J182">
        <v>78</v>
      </c>
      <c r="K182">
        <v>940</v>
      </c>
      <c r="L182">
        <v>21</v>
      </c>
      <c r="M182">
        <v>4</v>
      </c>
      <c r="N182">
        <v>41</v>
      </c>
      <c r="O182">
        <v>7</v>
      </c>
      <c r="P182">
        <v>0</v>
      </c>
      <c r="Q182">
        <v>5</v>
      </c>
      <c r="R182">
        <v>0</v>
      </c>
      <c r="S182">
        <v>77.25</v>
      </c>
      <c r="T182">
        <v>198.5</v>
      </c>
      <c r="U182">
        <v>0</v>
      </c>
      <c r="V182">
        <v>275.75</v>
      </c>
      <c r="W182" s="20">
        <v>4567.5</v>
      </c>
      <c r="X182">
        <v>0</v>
      </c>
      <c r="Y182">
        <v>51</v>
      </c>
      <c r="Z182">
        <v>17</v>
      </c>
      <c r="AA182">
        <v>-175</v>
      </c>
      <c r="AB182" s="20">
        <v>3415</v>
      </c>
      <c r="AC182">
        <v>579</v>
      </c>
      <c r="AD182">
        <v>579</v>
      </c>
      <c r="AE182" s="20">
        <v>1251.5</v>
      </c>
      <c r="AF182" s="20">
        <v>3994</v>
      </c>
      <c r="AG182" s="20">
        <v>5146.5</v>
      </c>
      <c r="AH182" s="20">
        <v>3895</v>
      </c>
      <c r="AI182">
        <v>715.4</v>
      </c>
      <c r="AJ182" s="20">
        <v>2900.4</v>
      </c>
      <c r="AK182" s="20">
        <v>3157.9</v>
      </c>
      <c r="AL182" s="20">
        <v>2442.5</v>
      </c>
      <c r="AM182">
        <v>0</v>
      </c>
      <c r="AN182">
        <v>5</v>
      </c>
      <c r="AO182">
        <v>2</v>
      </c>
      <c r="AP182">
        <v>2</v>
      </c>
      <c r="AQ182">
        <v>1</v>
      </c>
      <c r="AR182">
        <v>0</v>
      </c>
      <c r="AS182">
        <v>0</v>
      </c>
      <c r="AT182">
        <v>940</v>
      </c>
      <c r="AU182">
        <v>217</v>
      </c>
      <c r="AV182">
        <v>663</v>
      </c>
      <c r="AW182">
        <v>60</v>
      </c>
      <c r="AX182">
        <v>77.25</v>
      </c>
      <c r="AY182">
        <v>37.75</v>
      </c>
      <c r="AZ182">
        <v>36.5</v>
      </c>
      <c r="BA182">
        <v>3</v>
      </c>
      <c r="BB182">
        <v>198.5</v>
      </c>
      <c r="BC182">
        <v>124.25</v>
      </c>
      <c r="BD182">
        <v>67</v>
      </c>
      <c r="BE182">
        <v>7.25</v>
      </c>
      <c r="BF182">
        <v>30</v>
      </c>
    </row>
    <row r="183" spans="1:58">
      <c r="A183" t="s">
        <v>16978</v>
      </c>
      <c r="B183" t="s">
        <v>17086</v>
      </c>
      <c r="C183">
        <v>0</v>
      </c>
      <c r="D183">
        <v>7</v>
      </c>
      <c r="E183">
        <v>0</v>
      </c>
      <c r="F183">
        <v>7</v>
      </c>
      <c r="G183">
        <v>0</v>
      </c>
      <c r="H183">
        <v>0</v>
      </c>
      <c r="I183">
        <v>0</v>
      </c>
      <c r="J183">
        <v>6</v>
      </c>
      <c r="K183">
        <v>32</v>
      </c>
      <c r="L183">
        <v>5</v>
      </c>
      <c r="M183">
        <v>1</v>
      </c>
      <c r="N183">
        <v>0</v>
      </c>
      <c r="O183">
        <v>0</v>
      </c>
      <c r="P183">
        <v>0</v>
      </c>
      <c r="Q183">
        <v>0</v>
      </c>
      <c r="R183">
        <v>0</v>
      </c>
      <c r="S183">
        <v>6</v>
      </c>
      <c r="T183">
        <v>0</v>
      </c>
      <c r="U183">
        <v>0</v>
      </c>
      <c r="V183">
        <v>6</v>
      </c>
      <c r="W183">
        <v>60</v>
      </c>
      <c r="X183">
        <v>0</v>
      </c>
      <c r="Y183">
        <v>4</v>
      </c>
      <c r="Z183">
        <v>0</v>
      </c>
      <c r="AA183">
        <v>0</v>
      </c>
      <c r="AB183">
        <v>20</v>
      </c>
      <c r="AC183">
        <v>0</v>
      </c>
      <c r="AD183">
        <v>0</v>
      </c>
      <c r="AE183">
        <v>0</v>
      </c>
      <c r="AF183">
        <v>20</v>
      </c>
      <c r="AG183">
        <v>60</v>
      </c>
      <c r="AH183">
        <v>60</v>
      </c>
      <c r="AI183">
        <v>0</v>
      </c>
      <c r="AJ183">
        <v>0</v>
      </c>
      <c r="AK183">
        <v>0</v>
      </c>
      <c r="AL183">
        <v>0</v>
      </c>
      <c r="AM183">
        <v>0</v>
      </c>
      <c r="AN183">
        <v>0</v>
      </c>
      <c r="AO183">
        <v>0</v>
      </c>
      <c r="AP183">
        <v>0</v>
      </c>
      <c r="AQ183">
        <v>0</v>
      </c>
      <c r="AR183">
        <v>0</v>
      </c>
      <c r="AS183">
        <v>0</v>
      </c>
      <c r="AT183">
        <v>32</v>
      </c>
      <c r="AU183">
        <v>0</v>
      </c>
      <c r="AV183">
        <v>32</v>
      </c>
      <c r="AW183">
        <v>0</v>
      </c>
      <c r="AX183">
        <v>6</v>
      </c>
      <c r="AY183">
        <v>0</v>
      </c>
      <c r="AZ183">
        <v>6</v>
      </c>
      <c r="BA183">
        <v>0</v>
      </c>
      <c r="BB183">
        <v>0</v>
      </c>
      <c r="BC183">
        <v>0</v>
      </c>
      <c r="BD183">
        <v>0</v>
      </c>
      <c r="BE183">
        <v>0</v>
      </c>
      <c r="BF183">
        <v>1</v>
      </c>
    </row>
    <row r="184" spans="1:58">
      <c r="A184" t="s">
        <v>16978</v>
      </c>
      <c r="B184" t="s">
        <v>17087</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row>
    <row r="185" spans="1:58">
      <c r="A185" t="s">
        <v>16978</v>
      </c>
      <c r="B185" t="s">
        <v>17088</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107</v>
      </c>
    </row>
    <row r="186" spans="1:58">
      <c r="A186" t="s">
        <v>16978</v>
      </c>
      <c r="B186" t="s">
        <v>17088</v>
      </c>
      <c r="C186">
        <v>0</v>
      </c>
      <c r="D186">
        <v>2</v>
      </c>
      <c r="E186">
        <v>2</v>
      </c>
      <c r="F186">
        <v>2</v>
      </c>
      <c r="G186">
        <v>0</v>
      </c>
      <c r="H186">
        <v>0</v>
      </c>
      <c r="I186">
        <v>0</v>
      </c>
      <c r="J186">
        <v>0</v>
      </c>
      <c r="K186">
        <v>0</v>
      </c>
      <c r="L186">
        <v>0</v>
      </c>
      <c r="M186">
        <v>2</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row>
    <row r="187" spans="1:58">
      <c r="A187" t="s">
        <v>16978</v>
      </c>
      <c r="B187" t="s">
        <v>17089</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row>
    <row r="188" spans="1:58">
      <c r="A188" t="s">
        <v>16978</v>
      </c>
      <c r="B188" t="s">
        <v>17090</v>
      </c>
      <c r="C188">
        <v>0</v>
      </c>
      <c r="D188">
        <v>2</v>
      </c>
      <c r="E188">
        <v>0</v>
      </c>
      <c r="F188">
        <v>1</v>
      </c>
      <c r="G188">
        <v>0</v>
      </c>
      <c r="H188">
        <v>0</v>
      </c>
      <c r="I188">
        <v>0</v>
      </c>
      <c r="J188">
        <v>1</v>
      </c>
      <c r="K188">
        <v>38</v>
      </c>
      <c r="L188">
        <v>1</v>
      </c>
      <c r="M188">
        <v>0</v>
      </c>
      <c r="N188">
        <v>0</v>
      </c>
      <c r="O188">
        <v>1</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38</v>
      </c>
      <c r="AU188">
        <v>0</v>
      </c>
      <c r="AV188">
        <v>38</v>
      </c>
      <c r="AW188">
        <v>0</v>
      </c>
      <c r="AX188">
        <v>0</v>
      </c>
      <c r="AY188">
        <v>0</v>
      </c>
      <c r="AZ188">
        <v>0</v>
      </c>
      <c r="BA188">
        <v>0</v>
      </c>
      <c r="BB188">
        <v>0</v>
      </c>
      <c r="BC188">
        <v>0</v>
      </c>
      <c r="BD188">
        <v>0</v>
      </c>
      <c r="BE188">
        <v>0</v>
      </c>
      <c r="BF188">
        <v>9</v>
      </c>
    </row>
    <row r="189" spans="1:58">
      <c r="A189" t="s">
        <v>16978</v>
      </c>
      <c r="B189" t="s">
        <v>17091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row>
    <row r="190" spans="1:58">
      <c r="A190" t="s">
        <v>16978</v>
      </c>
      <c r="B190" t="s">
        <v>17092</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row>
    <row r="191" spans="1:58">
      <c r="A191" t="s">
        <v>17097</v>
      </c>
      <c r="B191" t="s">
        <v>18831</v>
      </c>
      <c r="C191">
        <v>5</v>
      </c>
      <c r="D191">
        <v>21</v>
      </c>
      <c r="E191">
        <v>21</v>
      </c>
      <c r="F191">
        <v>18</v>
      </c>
      <c r="G191">
        <v>4</v>
      </c>
      <c r="H191">
        <v>6</v>
      </c>
      <c r="I191">
        <v>1</v>
      </c>
      <c r="J191">
        <v>21</v>
      </c>
      <c r="K191">
        <v>291</v>
      </c>
      <c r="L191">
        <v>3</v>
      </c>
      <c r="M191">
        <v>2</v>
      </c>
      <c r="N191">
        <v>3</v>
      </c>
      <c r="O191">
        <v>8</v>
      </c>
      <c r="P191">
        <v>0</v>
      </c>
      <c r="Q191">
        <v>5</v>
      </c>
      <c r="R191">
        <v>0</v>
      </c>
      <c r="S191">
        <v>8.25</v>
      </c>
      <c r="T191">
        <v>33</v>
      </c>
      <c r="U191">
        <v>1</v>
      </c>
      <c r="V191">
        <v>42.25</v>
      </c>
      <c r="W191">
        <v>715</v>
      </c>
      <c r="X191">
        <v>0</v>
      </c>
      <c r="Y191">
        <v>3</v>
      </c>
      <c r="Z191">
        <v>5</v>
      </c>
      <c r="AA191">
        <v>-27.5</v>
      </c>
      <c r="AB191">
        <v>570</v>
      </c>
      <c r="AC191">
        <v>11.7</v>
      </c>
      <c r="AD191">
        <v>0</v>
      </c>
      <c r="AE191">
        <v>555</v>
      </c>
      <c r="AF191">
        <v>570</v>
      </c>
      <c r="AG191">
        <v>746.7</v>
      </c>
      <c r="AH191">
        <v>191.7</v>
      </c>
      <c r="AI191">
        <v>555</v>
      </c>
      <c r="AJ191">
        <v>570</v>
      </c>
      <c r="AK191">
        <v>641.45000000000005</v>
      </c>
      <c r="AL191">
        <v>86.45</v>
      </c>
      <c r="AM191">
        <v>0</v>
      </c>
      <c r="AN191">
        <v>0</v>
      </c>
      <c r="AO191">
        <v>0</v>
      </c>
      <c r="AP191">
        <v>0</v>
      </c>
      <c r="AQ191">
        <v>1</v>
      </c>
      <c r="AR191">
        <v>0</v>
      </c>
      <c r="AS191">
        <v>0</v>
      </c>
      <c r="AT191">
        <v>291</v>
      </c>
      <c r="AU191">
        <v>134</v>
      </c>
      <c r="AV191">
        <v>112</v>
      </c>
      <c r="AW191">
        <v>45</v>
      </c>
      <c r="AX191">
        <v>8.25</v>
      </c>
      <c r="AY191">
        <v>1.5</v>
      </c>
      <c r="AZ191">
        <v>5</v>
      </c>
      <c r="BA191">
        <v>1.75</v>
      </c>
      <c r="BB191">
        <v>33</v>
      </c>
      <c r="BC191">
        <v>30.75</v>
      </c>
      <c r="BD191">
        <v>1.75</v>
      </c>
      <c r="BE191">
        <v>0.5</v>
      </c>
      <c r="BF191">
        <v>600</v>
      </c>
    </row>
    <row r="192" spans="1:58">
      <c r="A192" t="s">
        <v>18833</v>
      </c>
      <c r="B192" t="s">
        <v>18834</v>
      </c>
      <c r="C192">
        <v>0</v>
      </c>
      <c r="D192">
        <v>19</v>
      </c>
      <c r="E192">
        <v>4</v>
      </c>
      <c r="F192">
        <v>17</v>
      </c>
      <c r="G192">
        <v>2</v>
      </c>
      <c r="H192">
        <v>1</v>
      </c>
      <c r="I192">
        <v>1</v>
      </c>
      <c r="J192">
        <v>19</v>
      </c>
      <c r="K192">
        <v>99</v>
      </c>
      <c r="L192">
        <v>13</v>
      </c>
      <c r="M192">
        <v>0</v>
      </c>
      <c r="N192">
        <v>1</v>
      </c>
      <c r="O192">
        <v>3</v>
      </c>
      <c r="P192">
        <v>0</v>
      </c>
      <c r="Q192">
        <v>1</v>
      </c>
      <c r="R192">
        <v>0</v>
      </c>
      <c r="S192">
        <v>13.5</v>
      </c>
      <c r="T192">
        <v>0</v>
      </c>
      <c r="U192">
        <v>4</v>
      </c>
      <c r="V192">
        <v>17.5</v>
      </c>
      <c r="W192">
        <v>135</v>
      </c>
      <c r="X192">
        <v>0</v>
      </c>
      <c r="Y192">
        <v>17</v>
      </c>
      <c r="Z192">
        <v>0</v>
      </c>
      <c r="AA192">
        <v>0</v>
      </c>
      <c r="AB192">
        <v>10</v>
      </c>
      <c r="AC192">
        <v>0</v>
      </c>
      <c r="AD192">
        <v>0</v>
      </c>
      <c r="AE192">
        <v>0</v>
      </c>
      <c r="AF192">
        <v>10</v>
      </c>
      <c r="AG192">
        <v>215</v>
      </c>
      <c r="AH192">
        <v>215</v>
      </c>
      <c r="AI192">
        <v>0</v>
      </c>
      <c r="AJ192">
        <v>0</v>
      </c>
      <c r="AK192">
        <v>0</v>
      </c>
      <c r="AL192">
        <v>0</v>
      </c>
      <c r="AM192">
        <v>0</v>
      </c>
      <c r="AN192">
        <v>0</v>
      </c>
      <c r="AO192">
        <v>0</v>
      </c>
      <c r="AP192">
        <v>0</v>
      </c>
      <c r="AQ192">
        <v>0</v>
      </c>
      <c r="AR192">
        <v>0</v>
      </c>
      <c r="AS192">
        <v>0</v>
      </c>
      <c r="AT192">
        <v>99</v>
      </c>
      <c r="AU192">
        <v>11</v>
      </c>
      <c r="AV192">
        <v>88</v>
      </c>
      <c r="AW192">
        <v>0</v>
      </c>
      <c r="AX192">
        <v>13.5</v>
      </c>
      <c r="AY192">
        <v>0</v>
      </c>
      <c r="AZ192">
        <v>13.5</v>
      </c>
      <c r="BA192">
        <v>0</v>
      </c>
      <c r="BB192">
        <v>0</v>
      </c>
      <c r="BC192">
        <v>0</v>
      </c>
      <c r="BD192">
        <v>0</v>
      </c>
      <c r="BE192">
        <v>0</v>
      </c>
      <c r="BF192" s="21">
        <v>80000</v>
      </c>
    </row>
    <row r="193" spans="1:58">
      <c r="A193" t="s">
        <v>17099</v>
      </c>
      <c r="B193" t="s">
        <v>18832</v>
      </c>
      <c r="C193">
        <v>11</v>
      </c>
      <c r="D193">
        <v>17</v>
      </c>
      <c r="E193">
        <v>8</v>
      </c>
      <c r="F193">
        <v>3</v>
      </c>
      <c r="G193">
        <v>1</v>
      </c>
      <c r="H193">
        <v>1</v>
      </c>
      <c r="I193">
        <v>0</v>
      </c>
      <c r="J193">
        <v>10</v>
      </c>
      <c r="K193">
        <v>94</v>
      </c>
      <c r="L193">
        <v>5</v>
      </c>
      <c r="M193">
        <v>0</v>
      </c>
      <c r="N193">
        <v>2</v>
      </c>
      <c r="O193">
        <v>0</v>
      </c>
      <c r="P193">
        <v>0</v>
      </c>
      <c r="Q193">
        <v>0</v>
      </c>
      <c r="R193">
        <v>0</v>
      </c>
      <c r="S193">
        <v>11.5</v>
      </c>
      <c r="T193">
        <v>3</v>
      </c>
      <c r="U193">
        <v>0</v>
      </c>
      <c r="V193">
        <v>14.5</v>
      </c>
      <c r="W193">
        <v>70</v>
      </c>
      <c r="X193">
        <v>0</v>
      </c>
      <c r="Y193">
        <v>2</v>
      </c>
      <c r="Z193">
        <v>0</v>
      </c>
      <c r="AA193">
        <v>-105</v>
      </c>
      <c r="AB193">
        <v>0</v>
      </c>
      <c r="AC193">
        <v>89.7</v>
      </c>
      <c r="AD193">
        <v>0</v>
      </c>
      <c r="AE193">
        <v>30</v>
      </c>
      <c r="AF193">
        <v>0</v>
      </c>
      <c r="AG193">
        <v>159.69999999999999</v>
      </c>
      <c r="AH193">
        <v>129.69999999999999</v>
      </c>
      <c r="AI193">
        <v>0</v>
      </c>
      <c r="AJ193">
        <v>0</v>
      </c>
      <c r="AK193">
        <v>0</v>
      </c>
      <c r="AL193">
        <v>0</v>
      </c>
      <c r="AM193">
        <v>0</v>
      </c>
      <c r="AN193">
        <v>1</v>
      </c>
      <c r="AO193">
        <v>0</v>
      </c>
      <c r="AP193">
        <v>0</v>
      </c>
      <c r="AQ193">
        <v>0</v>
      </c>
      <c r="AR193">
        <v>0</v>
      </c>
      <c r="AS193">
        <v>0</v>
      </c>
      <c r="AT193">
        <v>94</v>
      </c>
      <c r="AU193">
        <v>22</v>
      </c>
      <c r="AV193">
        <v>39</v>
      </c>
      <c r="AW193">
        <v>33</v>
      </c>
      <c r="AX193">
        <v>11.5</v>
      </c>
      <c r="AY193">
        <v>0</v>
      </c>
      <c r="AZ193">
        <v>5</v>
      </c>
      <c r="BA193">
        <v>6.5</v>
      </c>
      <c r="BB193">
        <v>3</v>
      </c>
      <c r="BC193">
        <v>0</v>
      </c>
      <c r="BD193">
        <v>1</v>
      </c>
      <c r="BE193">
        <v>2</v>
      </c>
      <c r="BF193">
        <v>0</v>
      </c>
    </row>
    <row r="194" spans="1:58">
      <c r="A194" t="s">
        <v>16974</v>
      </c>
      <c r="B194" t="s">
        <v>17129</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row>
    <row r="195" spans="1:58">
      <c r="A195" t="s">
        <v>16974</v>
      </c>
      <c r="B195" t="s">
        <v>17055</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row>
    <row r="196" spans="1:58">
      <c r="A196" t="s">
        <v>16974</v>
      </c>
      <c r="B196" t="s">
        <v>17102</v>
      </c>
      <c r="C196">
        <v>0</v>
      </c>
      <c r="D196">
        <v>5</v>
      </c>
      <c r="E196">
        <v>5</v>
      </c>
      <c r="F196">
        <v>0</v>
      </c>
      <c r="G196">
        <v>0</v>
      </c>
      <c r="H196">
        <v>0</v>
      </c>
      <c r="I196">
        <v>0</v>
      </c>
      <c r="J196">
        <v>5</v>
      </c>
      <c r="K196">
        <v>70</v>
      </c>
      <c r="L196">
        <v>1</v>
      </c>
      <c r="M196">
        <v>0</v>
      </c>
      <c r="N196">
        <v>3</v>
      </c>
      <c r="O196">
        <v>0</v>
      </c>
      <c r="P196">
        <v>0</v>
      </c>
      <c r="Q196">
        <v>0</v>
      </c>
      <c r="R196">
        <v>0</v>
      </c>
      <c r="S196">
        <v>1.25</v>
      </c>
      <c r="T196">
        <v>3.75</v>
      </c>
      <c r="U196">
        <v>0</v>
      </c>
      <c r="V196">
        <v>5</v>
      </c>
      <c r="W196">
        <v>87.5</v>
      </c>
      <c r="X196">
        <v>0</v>
      </c>
      <c r="Y196">
        <v>5</v>
      </c>
      <c r="Z196">
        <v>0</v>
      </c>
      <c r="AA196">
        <v>0</v>
      </c>
      <c r="AB196">
        <v>0</v>
      </c>
      <c r="AC196">
        <v>39.549999999999997</v>
      </c>
      <c r="AD196">
        <v>39.549999999999997</v>
      </c>
      <c r="AE196">
        <v>39.549999999999997</v>
      </c>
      <c r="AF196">
        <v>39.549999999999997</v>
      </c>
      <c r="AG196">
        <v>127.05</v>
      </c>
      <c r="AH196">
        <v>87.5</v>
      </c>
      <c r="AI196">
        <v>0</v>
      </c>
      <c r="AJ196">
        <v>0</v>
      </c>
      <c r="AK196">
        <v>0</v>
      </c>
      <c r="AL196">
        <v>0</v>
      </c>
      <c r="AM196">
        <v>0</v>
      </c>
      <c r="AN196">
        <v>4</v>
      </c>
      <c r="AO196">
        <v>0</v>
      </c>
      <c r="AP196">
        <v>0</v>
      </c>
      <c r="AQ196">
        <v>0</v>
      </c>
      <c r="AR196">
        <v>0</v>
      </c>
      <c r="AS196">
        <v>0</v>
      </c>
      <c r="AT196">
        <v>70</v>
      </c>
      <c r="AU196">
        <v>0</v>
      </c>
      <c r="AV196">
        <v>70</v>
      </c>
      <c r="AW196">
        <v>0</v>
      </c>
      <c r="AX196">
        <v>1.25</v>
      </c>
      <c r="AY196">
        <v>0</v>
      </c>
      <c r="AZ196">
        <v>1.25</v>
      </c>
      <c r="BA196">
        <v>0</v>
      </c>
      <c r="BB196">
        <v>3.75</v>
      </c>
      <c r="BC196">
        <v>0</v>
      </c>
      <c r="BD196">
        <v>3.75</v>
      </c>
      <c r="BE196">
        <v>0</v>
      </c>
    </row>
    <row r="197" spans="1:58">
      <c r="A197" t="s">
        <v>16974</v>
      </c>
      <c r="B197" t="s">
        <v>17102</v>
      </c>
      <c r="C197">
        <v>0</v>
      </c>
      <c r="D197">
        <v>9</v>
      </c>
      <c r="E197">
        <v>9</v>
      </c>
      <c r="F197">
        <v>8</v>
      </c>
      <c r="G197">
        <v>0</v>
      </c>
      <c r="H197">
        <v>0</v>
      </c>
      <c r="I197">
        <v>0</v>
      </c>
      <c r="J197">
        <v>9</v>
      </c>
      <c r="K197">
        <v>109</v>
      </c>
      <c r="L197">
        <v>1</v>
      </c>
      <c r="M197">
        <v>0</v>
      </c>
      <c r="N197">
        <v>8</v>
      </c>
      <c r="O197">
        <v>0</v>
      </c>
      <c r="P197">
        <v>0</v>
      </c>
      <c r="Q197">
        <v>0</v>
      </c>
      <c r="R197">
        <v>0</v>
      </c>
      <c r="S197">
        <v>6</v>
      </c>
      <c r="T197">
        <v>14.25</v>
      </c>
      <c r="U197">
        <v>0</v>
      </c>
      <c r="V197">
        <v>20.25</v>
      </c>
      <c r="W197">
        <v>345</v>
      </c>
      <c r="X197">
        <v>0</v>
      </c>
      <c r="Y197">
        <v>9</v>
      </c>
      <c r="Z197">
        <v>0</v>
      </c>
      <c r="AA197">
        <v>0</v>
      </c>
      <c r="AB197">
        <v>100</v>
      </c>
      <c r="AC197">
        <v>251.2</v>
      </c>
      <c r="AD197">
        <v>251.25</v>
      </c>
      <c r="AE197">
        <v>259</v>
      </c>
      <c r="AF197">
        <v>351.25</v>
      </c>
      <c r="AG197">
        <v>596.20000000000005</v>
      </c>
      <c r="AH197">
        <v>337.2</v>
      </c>
      <c r="AI197">
        <v>0</v>
      </c>
      <c r="AJ197">
        <v>0</v>
      </c>
      <c r="AK197">
        <v>0</v>
      </c>
      <c r="AL197">
        <v>0</v>
      </c>
      <c r="AM197">
        <v>0</v>
      </c>
      <c r="AN197">
        <v>7</v>
      </c>
      <c r="AO197">
        <v>1</v>
      </c>
      <c r="AP197">
        <v>0</v>
      </c>
      <c r="AQ197">
        <v>0</v>
      </c>
      <c r="AR197">
        <v>0</v>
      </c>
      <c r="AS197">
        <v>0</v>
      </c>
      <c r="AT197">
        <v>109</v>
      </c>
      <c r="AU197">
        <v>0</v>
      </c>
      <c r="AV197">
        <v>109</v>
      </c>
      <c r="AW197">
        <v>0</v>
      </c>
      <c r="AX197">
        <v>6</v>
      </c>
      <c r="AY197">
        <v>0</v>
      </c>
      <c r="AZ197">
        <v>6</v>
      </c>
      <c r="BA197">
        <v>0</v>
      </c>
      <c r="BB197">
        <v>14.25</v>
      </c>
      <c r="BC197">
        <v>0</v>
      </c>
      <c r="BD197">
        <v>14.25</v>
      </c>
      <c r="BE197">
        <v>0</v>
      </c>
      <c r="BF197">
        <v>0</v>
      </c>
    </row>
    <row r="198" spans="1:58">
      <c r="A198" t="s">
        <v>16974</v>
      </c>
      <c r="B198" t="s">
        <v>17103</v>
      </c>
      <c r="C198">
        <v>0</v>
      </c>
      <c r="D198">
        <v>2</v>
      </c>
      <c r="E198">
        <v>2</v>
      </c>
      <c r="F198">
        <v>2</v>
      </c>
      <c r="G198">
        <v>0</v>
      </c>
      <c r="H198">
        <v>0</v>
      </c>
      <c r="I198">
        <v>0</v>
      </c>
      <c r="J198">
        <v>2</v>
      </c>
      <c r="K198">
        <v>4</v>
      </c>
      <c r="L198">
        <v>0</v>
      </c>
      <c r="M198">
        <v>0</v>
      </c>
      <c r="N198">
        <v>0</v>
      </c>
      <c r="O198">
        <v>1</v>
      </c>
      <c r="P198">
        <v>0</v>
      </c>
      <c r="Q198">
        <v>1</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4</v>
      </c>
      <c r="AU198">
        <v>0</v>
      </c>
      <c r="AV198">
        <v>4</v>
      </c>
      <c r="AW198">
        <v>0</v>
      </c>
      <c r="AX198">
        <v>0</v>
      </c>
      <c r="AY198">
        <v>0</v>
      </c>
      <c r="AZ198">
        <v>0</v>
      </c>
      <c r="BA198">
        <v>0</v>
      </c>
      <c r="BB198">
        <v>0</v>
      </c>
      <c r="BC198">
        <v>0</v>
      </c>
      <c r="BD198">
        <v>0</v>
      </c>
      <c r="BE198">
        <v>0</v>
      </c>
      <c r="BF198">
        <v>327</v>
      </c>
    </row>
    <row r="199" spans="1:58">
      <c r="A199" t="s">
        <v>16974</v>
      </c>
      <c r="B199" t="s">
        <v>18835</v>
      </c>
      <c r="C199">
        <v>20</v>
      </c>
      <c r="D199">
        <v>73</v>
      </c>
      <c r="E199">
        <v>15</v>
      </c>
      <c r="F199">
        <v>61</v>
      </c>
      <c r="G199">
        <v>17</v>
      </c>
      <c r="H199">
        <v>12</v>
      </c>
      <c r="I199">
        <v>3</v>
      </c>
      <c r="J199">
        <v>70</v>
      </c>
      <c r="K199">
        <v>484</v>
      </c>
      <c r="L199">
        <v>59</v>
      </c>
      <c r="M199">
        <v>1</v>
      </c>
      <c r="N199">
        <v>1</v>
      </c>
      <c r="O199">
        <v>12</v>
      </c>
      <c r="P199">
        <v>0</v>
      </c>
      <c r="Q199">
        <v>1</v>
      </c>
      <c r="R199">
        <v>0</v>
      </c>
      <c r="S199">
        <v>88</v>
      </c>
      <c r="T199">
        <v>118.75</v>
      </c>
      <c r="U199">
        <v>0</v>
      </c>
      <c r="V199">
        <v>206.75</v>
      </c>
      <c r="W199" s="20">
        <v>2565</v>
      </c>
      <c r="X199">
        <v>0</v>
      </c>
      <c r="Y199">
        <v>53</v>
      </c>
      <c r="Z199">
        <v>0</v>
      </c>
      <c r="AA199">
        <v>-690</v>
      </c>
      <c r="AB199" s="20">
        <v>1760</v>
      </c>
      <c r="AC199">
        <v>11.9</v>
      </c>
      <c r="AD199">
        <v>0</v>
      </c>
      <c r="AE199">
        <v>0</v>
      </c>
      <c r="AF199" s="20">
        <v>1760</v>
      </c>
      <c r="AG199" s="20">
        <v>2576.9</v>
      </c>
      <c r="AH199" s="20">
        <v>2576.9</v>
      </c>
      <c r="AI199">
        <v>0</v>
      </c>
      <c r="AJ199" s="20">
        <v>1685</v>
      </c>
      <c r="AK199" s="20">
        <v>1915</v>
      </c>
      <c r="AL199" s="20">
        <v>1915</v>
      </c>
      <c r="AM199">
        <v>0</v>
      </c>
      <c r="AN199">
        <v>0</v>
      </c>
      <c r="AO199">
        <v>0</v>
      </c>
      <c r="AP199">
        <v>0</v>
      </c>
      <c r="AQ199">
        <v>0</v>
      </c>
      <c r="AR199">
        <v>0</v>
      </c>
      <c r="AS199">
        <v>0</v>
      </c>
      <c r="AT199">
        <v>484</v>
      </c>
      <c r="AU199">
        <v>242</v>
      </c>
      <c r="AV199">
        <v>145</v>
      </c>
      <c r="AW199">
        <v>153</v>
      </c>
      <c r="AX199">
        <v>88</v>
      </c>
      <c r="AY199">
        <v>55.5</v>
      </c>
      <c r="AZ199">
        <v>25</v>
      </c>
      <c r="BA199">
        <v>15.5</v>
      </c>
      <c r="BB199">
        <v>118.75</v>
      </c>
      <c r="BC199">
        <v>91.5</v>
      </c>
      <c r="BD199">
        <v>20</v>
      </c>
      <c r="BE199">
        <v>26.75</v>
      </c>
      <c r="BF199">
        <v>21</v>
      </c>
    </row>
    <row r="200" spans="1:58">
      <c r="A200" t="s">
        <v>16974</v>
      </c>
      <c r="B200" t="s">
        <v>17313</v>
      </c>
      <c r="C200">
        <v>0</v>
      </c>
      <c r="D200">
        <v>2</v>
      </c>
      <c r="E200">
        <v>2</v>
      </c>
      <c r="F200">
        <v>2</v>
      </c>
      <c r="G200">
        <v>0</v>
      </c>
      <c r="H200">
        <v>0</v>
      </c>
      <c r="I200">
        <v>0</v>
      </c>
      <c r="J200">
        <v>2</v>
      </c>
      <c r="K200">
        <v>2</v>
      </c>
      <c r="L200">
        <v>1</v>
      </c>
      <c r="M200">
        <v>0</v>
      </c>
      <c r="N200">
        <v>0</v>
      </c>
      <c r="O200">
        <v>1</v>
      </c>
      <c r="P200">
        <v>0</v>
      </c>
      <c r="Q200">
        <v>0</v>
      </c>
      <c r="R200">
        <v>0</v>
      </c>
      <c r="S200">
        <v>1</v>
      </c>
      <c r="T200">
        <v>0</v>
      </c>
      <c r="U200">
        <v>0</v>
      </c>
      <c r="V200">
        <v>1</v>
      </c>
      <c r="W200">
        <v>10</v>
      </c>
      <c r="X200">
        <v>0</v>
      </c>
      <c r="Y200">
        <v>2</v>
      </c>
      <c r="Z200">
        <v>0</v>
      </c>
      <c r="AA200">
        <v>0</v>
      </c>
      <c r="AB200">
        <v>0</v>
      </c>
      <c r="AC200">
        <v>0</v>
      </c>
      <c r="AD200">
        <v>0</v>
      </c>
      <c r="AE200">
        <v>0</v>
      </c>
      <c r="AF200">
        <v>0</v>
      </c>
      <c r="AG200">
        <v>10</v>
      </c>
      <c r="AH200">
        <v>10</v>
      </c>
      <c r="AI200">
        <v>0</v>
      </c>
      <c r="AJ200">
        <v>0</v>
      </c>
      <c r="AK200">
        <v>0</v>
      </c>
      <c r="AL200">
        <v>0</v>
      </c>
      <c r="AM200">
        <v>0</v>
      </c>
      <c r="AN200">
        <v>0</v>
      </c>
      <c r="AO200">
        <v>0</v>
      </c>
      <c r="AP200">
        <v>0</v>
      </c>
      <c r="AQ200">
        <v>0</v>
      </c>
      <c r="AR200">
        <v>0</v>
      </c>
      <c r="AS200">
        <v>0</v>
      </c>
      <c r="AT200">
        <v>2</v>
      </c>
      <c r="AU200">
        <v>0</v>
      </c>
      <c r="AV200">
        <v>2</v>
      </c>
      <c r="AW200">
        <v>0</v>
      </c>
      <c r="AX200">
        <v>1</v>
      </c>
      <c r="AY200">
        <v>0</v>
      </c>
      <c r="AZ200">
        <v>1</v>
      </c>
      <c r="BA200">
        <v>0</v>
      </c>
      <c r="BB200">
        <v>0</v>
      </c>
      <c r="BC200">
        <v>0</v>
      </c>
      <c r="BD200">
        <v>0</v>
      </c>
      <c r="BE200">
        <v>0</v>
      </c>
      <c r="BF200">
        <v>4</v>
      </c>
    </row>
    <row r="201" spans="1:58">
      <c r="A201" t="s">
        <v>16974</v>
      </c>
      <c r="B201" t="s">
        <v>17108</v>
      </c>
      <c r="C201">
        <v>3</v>
      </c>
      <c r="D201">
        <v>5</v>
      </c>
      <c r="E201">
        <v>5</v>
      </c>
      <c r="F201">
        <v>5</v>
      </c>
      <c r="G201">
        <v>0</v>
      </c>
      <c r="H201">
        <v>0</v>
      </c>
      <c r="I201">
        <v>0</v>
      </c>
      <c r="J201">
        <v>5</v>
      </c>
      <c r="K201">
        <v>5</v>
      </c>
      <c r="L201">
        <v>5</v>
      </c>
      <c r="M201">
        <v>0</v>
      </c>
      <c r="N201">
        <v>0</v>
      </c>
      <c r="O201">
        <v>0</v>
      </c>
      <c r="P201">
        <v>0</v>
      </c>
      <c r="Q201">
        <v>0</v>
      </c>
      <c r="R201">
        <v>0</v>
      </c>
      <c r="S201">
        <v>2.5</v>
      </c>
      <c r="T201">
        <v>0</v>
      </c>
      <c r="U201">
        <v>0</v>
      </c>
      <c r="V201">
        <v>2.5</v>
      </c>
      <c r="W201">
        <v>5</v>
      </c>
      <c r="X201">
        <v>0</v>
      </c>
      <c r="Y201">
        <v>2</v>
      </c>
      <c r="Z201">
        <v>0</v>
      </c>
      <c r="AA201">
        <v>-20</v>
      </c>
      <c r="AB201">
        <v>0</v>
      </c>
      <c r="AC201">
        <v>0</v>
      </c>
      <c r="AD201">
        <v>0</v>
      </c>
      <c r="AE201">
        <v>0</v>
      </c>
      <c r="AF201">
        <v>0</v>
      </c>
      <c r="AG201">
        <v>5</v>
      </c>
      <c r="AH201">
        <v>5</v>
      </c>
      <c r="AI201">
        <v>0</v>
      </c>
      <c r="AJ201">
        <v>0</v>
      </c>
      <c r="AK201">
        <v>0</v>
      </c>
      <c r="AL201">
        <v>0</v>
      </c>
      <c r="AM201">
        <v>0</v>
      </c>
      <c r="AN201">
        <v>0</v>
      </c>
      <c r="AO201">
        <v>0</v>
      </c>
      <c r="AP201">
        <v>0</v>
      </c>
      <c r="AQ201">
        <v>0</v>
      </c>
      <c r="AR201">
        <v>0</v>
      </c>
      <c r="AS201">
        <v>0</v>
      </c>
      <c r="AT201">
        <v>5</v>
      </c>
      <c r="AU201">
        <v>0</v>
      </c>
      <c r="AV201">
        <v>2</v>
      </c>
      <c r="AW201">
        <v>3</v>
      </c>
      <c r="AX201">
        <v>2.5</v>
      </c>
      <c r="AY201">
        <v>0</v>
      </c>
      <c r="AZ201">
        <v>0.5</v>
      </c>
      <c r="BA201">
        <v>2</v>
      </c>
      <c r="BB201">
        <v>0</v>
      </c>
      <c r="BC201">
        <v>0</v>
      </c>
      <c r="BD201">
        <v>0</v>
      </c>
      <c r="BE201">
        <v>0</v>
      </c>
      <c r="BF201">
        <v>0</v>
      </c>
    </row>
    <row r="202" spans="1:58">
      <c r="A202" t="s">
        <v>16974</v>
      </c>
      <c r="B202" t="s">
        <v>17108</v>
      </c>
      <c r="C202">
        <v>5</v>
      </c>
      <c r="D202">
        <v>9</v>
      </c>
      <c r="E202">
        <v>9</v>
      </c>
      <c r="F202">
        <v>9</v>
      </c>
      <c r="G202">
        <v>0</v>
      </c>
      <c r="H202">
        <v>0</v>
      </c>
      <c r="I202">
        <v>0</v>
      </c>
      <c r="J202">
        <v>9</v>
      </c>
      <c r="K202">
        <v>34</v>
      </c>
      <c r="L202">
        <v>9</v>
      </c>
      <c r="M202">
        <v>0</v>
      </c>
      <c r="N202">
        <v>0</v>
      </c>
      <c r="O202">
        <v>0</v>
      </c>
      <c r="P202">
        <v>0</v>
      </c>
      <c r="Q202">
        <v>0</v>
      </c>
      <c r="R202">
        <v>0</v>
      </c>
      <c r="S202">
        <v>8.5</v>
      </c>
      <c r="T202">
        <v>0</v>
      </c>
      <c r="U202">
        <v>0</v>
      </c>
      <c r="V202">
        <v>8.5</v>
      </c>
      <c r="W202">
        <v>37.5</v>
      </c>
      <c r="X202">
        <v>0</v>
      </c>
      <c r="Y202">
        <v>4</v>
      </c>
      <c r="Z202">
        <v>0</v>
      </c>
      <c r="AA202">
        <v>-47.5</v>
      </c>
      <c r="AB202">
        <v>0</v>
      </c>
      <c r="AC202">
        <v>0</v>
      </c>
      <c r="AD202">
        <v>0</v>
      </c>
      <c r="AE202">
        <v>0</v>
      </c>
      <c r="AF202">
        <v>0</v>
      </c>
      <c r="AG202">
        <v>37.5</v>
      </c>
      <c r="AH202">
        <v>37.5</v>
      </c>
      <c r="AI202">
        <v>0</v>
      </c>
      <c r="AJ202">
        <v>0</v>
      </c>
      <c r="AK202">
        <v>0</v>
      </c>
      <c r="AL202">
        <v>0</v>
      </c>
      <c r="AM202">
        <v>0</v>
      </c>
      <c r="AN202">
        <v>0</v>
      </c>
      <c r="AO202">
        <v>0</v>
      </c>
      <c r="AP202">
        <v>0</v>
      </c>
      <c r="AQ202">
        <v>0</v>
      </c>
      <c r="AR202">
        <v>0</v>
      </c>
      <c r="AS202">
        <v>0</v>
      </c>
      <c r="AT202">
        <v>34</v>
      </c>
      <c r="AU202">
        <v>0</v>
      </c>
      <c r="AV202">
        <v>13</v>
      </c>
      <c r="AW202">
        <v>21</v>
      </c>
      <c r="AX202">
        <v>8.5</v>
      </c>
      <c r="AY202">
        <v>0</v>
      </c>
      <c r="AZ202">
        <v>3.75</v>
      </c>
      <c r="BA202">
        <v>4.75</v>
      </c>
      <c r="BB202">
        <v>0</v>
      </c>
      <c r="BC202">
        <v>0</v>
      </c>
      <c r="BD202">
        <v>0</v>
      </c>
      <c r="BE202">
        <v>0</v>
      </c>
    </row>
    <row r="203" spans="1:58">
      <c r="A203" t="s">
        <v>16974</v>
      </c>
      <c r="B203" t="s">
        <v>17109</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row>
    <row r="204" spans="1:58">
      <c r="A204" t="s">
        <v>16974</v>
      </c>
      <c r="B204" t="s">
        <v>17312</v>
      </c>
      <c r="C204">
        <v>1</v>
      </c>
      <c r="D204">
        <v>1</v>
      </c>
      <c r="E204">
        <v>1</v>
      </c>
      <c r="F204">
        <v>1</v>
      </c>
      <c r="G204">
        <v>0</v>
      </c>
      <c r="H204">
        <v>1</v>
      </c>
      <c r="I204">
        <v>0</v>
      </c>
      <c r="J204">
        <v>1</v>
      </c>
      <c r="K204">
        <v>10</v>
      </c>
      <c r="L204">
        <v>0</v>
      </c>
      <c r="M204">
        <v>0</v>
      </c>
      <c r="N204">
        <v>1</v>
      </c>
      <c r="O204">
        <v>0</v>
      </c>
      <c r="P204">
        <v>0</v>
      </c>
      <c r="Q204">
        <v>0</v>
      </c>
      <c r="R204">
        <v>0</v>
      </c>
      <c r="S204">
        <v>0.5</v>
      </c>
      <c r="T204">
        <v>0.25</v>
      </c>
      <c r="U204">
        <v>0.5</v>
      </c>
      <c r="V204">
        <v>1.25</v>
      </c>
      <c r="W204">
        <v>0</v>
      </c>
      <c r="X204">
        <v>0</v>
      </c>
      <c r="Y204">
        <v>0</v>
      </c>
      <c r="Z204">
        <v>0</v>
      </c>
      <c r="AA204">
        <v>-10</v>
      </c>
      <c r="AB204">
        <v>0</v>
      </c>
      <c r="AC204">
        <v>1.85</v>
      </c>
      <c r="AD204">
        <v>1.85</v>
      </c>
      <c r="AE204">
        <v>0</v>
      </c>
      <c r="AF204">
        <v>1.85</v>
      </c>
      <c r="AG204">
        <v>11.85</v>
      </c>
      <c r="AH204">
        <v>11.85</v>
      </c>
      <c r="AI204">
        <v>0</v>
      </c>
      <c r="AJ204">
        <v>1.85</v>
      </c>
      <c r="AK204">
        <v>11.85</v>
      </c>
      <c r="AL204">
        <v>11.85</v>
      </c>
      <c r="AM204">
        <v>0</v>
      </c>
      <c r="AN204">
        <v>0</v>
      </c>
      <c r="AO204">
        <v>0</v>
      </c>
      <c r="AP204">
        <v>0</v>
      </c>
      <c r="AQ204">
        <v>0</v>
      </c>
      <c r="AR204">
        <v>0</v>
      </c>
      <c r="AS204">
        <v>0</v>
      </c>
      <c r="AT204">
        <v>10</v>
      </c>
      <c r="AU204">
        <v>10</v>
      </c>
      <c r="AV204">
        <v>0</v>
      </c>
      <c r="AW204">
        <v>10</v>
      </c>
      <c r="AX204">
        <v>0.5</v>
      </c>
      <c r="AY204">
        <v>0.5</v>
      </c>
      <c r="AZ204">
        <v>0</v>
      </c>
      <c r="BA204">
        <v>0.5</v>
      </c>
      <c r="BB204">
        <v>0.25</v>
      </c>
      <c r="BC204">
        <v>0.25</v>
      </c>
      <c r="BD204">
        <v>0</v>
      </c>
      <c r="BE204">
        <v>0.25</v>
      </c>
      <c r="BF204">
        <v>1</v>
      </c>
    </row>
    <row r="205" spans="1:58">
      <c r="A205" t="s">
        <v>16974</v>
      </c>
      <c r="B205" t="s">
        <v>17110</v>
      </c>
      <c r="C205">
        <v>0</v>
      </c>
      <c r="D205">
        <v>6</v>
      </c>
      <c r="E205">
        <v>0</v>
      </c>
      <c r="F205">
        <v>6</v>
      </c>
      <c r="G205">
        <v>0</v>
      </c>
      <c r="H205">
        <v>0</v>
      </c>
      <c r="I205">
        <v>0</v>
      </c>
      <c r="J205">
        <v>6</v>
      </c>
      <c r="K205">
        <v>59</v>
      </c>
      <c r="L205">
        <v>6</v>
      </c>
      <c r="M205">
        <v>0</v>
      </c>
      <c r="N205">
        <v>0</v>
      </c>
      <c r="O205">
        <v>0</v>
      </c>
      <c r="P205">
        <v>0</v>
      </c>
      <c r="Q205">
        <v>0</v>
      </c>
      <c r="R205">
        <v>0</v>
      </c>
      <c r="S205">
        <v>1.5</v>
      </c>
      <c r="T205">
        <v>0.25</v>
      </c>
      <c r="U205">
        <v>0</v>
      </c>
      <c r="V205">
        <v>1.75</v>
      </c>
      <c r="W205">
        <v>20</v>
      </c>
      <c r="X205">
        <v>0</v>
      </c>
      <c r="Y205">
        <v>5</v>
      </c>
      <c r="Z205">
        <v>0</v>
      </c>
      <c r="AA205">
        <v>0</v>
      </c>
      <c r="AB205">
        <v>0</v>
      </c>
      <c r="AC205">
        <v>0.5</v>
      </c>
      <c r="AD205">
        <v>0.5</v>
      </c>
      <c r="AE205">
        <v>0</v>
      </c>
      <c r="AF205">
        <v>0.5</v>
      </c>
      <c r="AG205">
        <v>20.5</v>
      </c>
      <c r="AH205">
        <v>20.5</v>
      </c>
      <c r="AI205">
        <v>0</v>
      </c>
      <c r="AJ205">
        <v>0</v>
      </c>
      <c r="AK205">
        <v>0</v>
      </c>
      <c r="AL205">
        <v>0</v>
      </c>
      <c r="AM205">
        <v>0</v>
      </c>
      <c r="AN205">
        <v>0</v>
      </c>
      <c r="AO205">
        <v>0</v>
      </c>
      <c r="AP205">
        <v>0</v>
      </c>
      <c r="AQ205">
        <v>0</v>
      </c>
      <c r="AR205">
        <v>0</v>
      </c>
      <c r="AS205">
        <v>0</v>
      </c>
      <c r="AT205">
        <v>59</v>
      </c>
      <c r="AU205">
        <v>0</v>
      </c>
      <c r="AV205">
        <v>59</v>
      </c>
      <c r="AW205">
        <v>0</v>
      </c>
      <c r="AX205">
        <v>1.5</v>
      </c>
      <c r="AY205">
        <v>0</v>
      </c>
      <c r="AZ205">
        <v>1.5</v>
      </c>
      <c r="BA205">
        <v>0</v>
      </c>
      <c r="BB205">
        <v>0.25</v>
      </c>
      <c r="BC205">
        <v>0</v>
      </c>
      <c r="BD205">
        <v>0.25</v>
      </c>
      <c r="BE205">
        <v>0</v>
      </c>
      <c r="BF205">
        <v>0</v>
      </c>
    </row>
    <row r="206" spans="1:58">
      <c r="A206" t="s">
        <v>16974</v>
      </c>
      <c r="B206" t="s">
        <v>17111</v>
      </c>
      <c r="C206">
        <v>0</v>
      </c>
      <c r="D206">
        <v>11</v>
      </c>
      <c r="E206">
        <v>1</v>
      </c>
      <c r="F206">
        <v>11</v>
      </c>
      <c r="G206">
        <v>1</v>
      </c>
      <c r="H206">
        <v>0</v>
      </c>
      <c r="I206">
        <v>0</v>
      </c>
      <c r="J206">
        <v>11</v>
      </c>
      <c r="K206">
        <v>48</v>
      </c>
      <c r="L206">
        <v>11</v>
      </c>
      <c r="M206">
        <v>0</v>
      </c>
      <c r="N206">
        <v>0</v>
      </c>
      <c r="O206">
        <v>0</v>
      </c>
      <c r="P206">
        <v>0</v>
      </c>
      <c r="Q206">
        <v>0</v>
      </c>
      <c r="R206">
        <v>0</v>
      </c>
      <c r="S206">
        <v>4.25</v>
      </c>
      <c r="T206">
        <v>0</v>
      </c>
      <c r="U206">
        <v>0</v>
      </c>
      <c r="V206">
        <v>4.25</v>
      </c>
      <c r="W206">
        <v>42.5</v>
      </c>
      <c r="X206">
        <v>0</v>
      </c>
      <c r="Y206">
        <v>9</v>
      </c>
      <c r="Z206">
        <v>2</v>
      </c>
      <c r="AA206">
        <v>0</v>
      </c>
      <c r="AB206">
        <v>0</v>
      </c>
      <c r="AC206">
        <v>14</v>
      </c>
      <c r="AD206">
        <v>14</v>
      </c>
      <c r="AE206">
        <v>0</v>
      </c>
      <c r="AF206">
        <v>14</v>
      </c>
      <c r="AG206">
        <v>56.5</v>
      </c>
      <c r="AH206">
        <v>56.5</v>
      </c>
      <c r="AI206">
        <v>0</v>
      </c>
      <c r="AJ206">
        <v>0</v>
      </c>
      <c r="AK206">
        <v>0</v>
      </c>
      <c r="AL206">
        <v>0</v>
      </c>
      <c r="AM206">
        <v>0</v>
      </c>
      <c r="AN206">
        <v>0</v>
      </c>
      <c r="AO206">
        <v>0</v>
      </c>
      <c r="AP206">
        <v>0</v>
      </c>
      <c r="AQ206">
        <v>0</v>
      </c>
      <c r="AR206">
        <v>0</v>
      </c>
      <c r="AS206">
        <v>0</v>
      </c>
      <c r="AT206">
        <v>48</v>
      </c>
      <c r="AU206">
        <v>0</v>
      </c>
      <c r="AV206">
        <v>48</v>
      </c>
      <c r="AW206">
        <v>0</v>
      </c>
      <c r="AX206">
        <v>4.25</v>
      </c>
      <c r="AY206">
        <v>0</v>
      </c>
      <c r="AZ206">
        <v>4.25</v>
      </c>
      <c r="BA206">
        <v>0</v>
      </c>
      <c r="BB206">
        <v>0</v>
      </c>
      <c r="BC206">
        <v>0</v>
      </c>
      <c r="BD206">
        <v>0</v>
      </c>
      <c r="BE206">
        <v>0</v>
      </c>
      <c r="BF206">
        <v>0</v>
      </c>
    </row>
    <row r="207" spans="1:58">
      <c r="A207" t="s">
        <v>16974</v>
      </c>
      <c r="B207" t="s">
        <v>17386</v>
      </c>
      <c r="C207">
        <v>0</v>
      </c>
      <c r="D207">
        <v>2</v>
      </c>
      <c r="E207">
        <v>2</v>
      </c>
      <c r="F207">
        <v>2</v>
      </c>
      <c r="G207">
        <v>0</v>
      </c>
      <c r="H207">
        <v>0</v>
      </c>
      <c r="I207">
        <v>0</v>
      </c>
      <c r="J207">
        <v>2</v>
      </c>
      <c r="K207">
        <v>23</v>
      </c>
      <c r="L207">
        <v>1</v>
      </c>
      <c r="M207">
        <v>1</v>
      </c>
      <c r="N207">
        <v>0</v>
      </c>
      <c r="O207">
        <v>0</v>
      </c>
      <c r="P207">
        <v>0</v>
      </c>
      <c r="Q207">
        <v>0</v>
      </c>
      <c r="R207">
        <v>0</v>
      </c>
      <c r="S207">
        <v>0.25</v>
      </c>
      <c r="T207">
        <v>0.25</v>
      </c>
      <c r="U207">
        <v>0.25</v>
      </c>
      <c r="V207">
        <v>0.75</v>
      </c>
      <c r="W207">
        <v>7.5</v>
      </c>
      <c r="X207">
        <v>0</v>
      </c>
      <c r="Y207">
        <v>1</v>
      </c>
      <c r="Z207">
        <v>0</v>
      </c>
      <c r="AA207">
        <v>0</v>
      </c>
      <c r="AB207">
        <v>0</v>
      </c>
      <c r="AC207">
        <v>0</v>
      </c>
      <c r="AD207">
        <v>0</v>
      </c>
      <c r="AE207">
        <v>0</v>
      </c>
      <c r="AF207">
        <v>0</v>
      </c>
      <c r="AG207">
        <v>12.5</v>
      </c>
      <c r="AH207">
        <v>12.5</v>
      </c>
      <c r="AI207">
        <v>0</v>
      </c>
      <c r="AJ207">
        <v>0</v>
      </c>
      <c r="AK207">
        <v>0</v>
      </c>
      <c r="AL207">
        <v>0</v>
      </c>
      <c r="AM207">
        <v>0</v>
      </c>
      <c r="AN207">
        <v>0</v>
      </c>
      <c r="AO207">
        <v>0</v>
      </c>
      <c r="AP207">
        <v>0</v>
      </c>
      <c r="AQ207">
        <v>0</v>
      </c>
      <c r="AR207">
        <v>0</v>
      </c>
      <c r="AS207">
        <v>0</v>
      </c>
      <c r="AT207">
        <v>23</v>
      </c>
      <c r="AU207">
        <v>0</v>
      </c>
      <c r="AV207">
        <v>23</v>
      </c>
      <c r="AW207">
        <v>0</v>
      </c>
      <c r="AX207">
        <v>0.25</v>
      </c>
      <c r="AY207">
        <v>0</v>
      </c>
      <c r="AZ207">
        <v>0.25</v>
      </c>
      <c r="BA207">
        <v>0</v>
      </c>
      <c r="BB207">
        <v>0.25</v>
      </c>
      <c r="BC207">
        <v>0</v>
      </c>
      <c r="BD207">
        <v>0.25</v>
      </c>
      <c r="BE207">
        <v>0</v>
      </c>
      <c r="BF207" s="21">
        <v>90779</v>
      </c>
    </row>
    <row r="208" spans="1:58">
      <c r="A208" t="s">
        <v>16974</v>
      </c>
      <c r="B208" t="s">
        <v>17309</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row>
    <row r="209" spans="1:58">
      <c r="A209" t="s">
        <v>16974</v>
      </c>
      <c r="B209" t="s">
        <v>17117</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row>
    <row r="210" spans="1:58">
      <c r="A210" t="s">
        <v>16974</v>
      </c>
      <c r="B210" t="s">
        <v>17118</v>
      </c>
      <c r="C210">
        <v>0</v>
      </c>
      <c r="D210">
        <v>3</v>
      </c>
      <c r="E210">
        <v>0</v>
      </c>
      <c r="F210">
        <v>0</v>
      </c>
      <c r="G210">
        <v>0</v>
      </c>
      <c r="H210">
        <v>0</v>
      </c>
      <c r="I210">
        <v>0</v>
      </c>
      <c r="J210">
        <v>3</v>
      </c>
      <c r="K210">
        <v>24</v>
      </c>
      <c r="L210">
        <v>3</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24</v>
      </c>
      <c r="AU210">
        <v>0</v>
      </c>
      <c r="AV210">
        <v>24</v>
      </c>
      <c r="AW210">
        <v>0</v>
      </c>
      <c r="AX210">
        <v>0</v>
      </c>
      <c r="AY210">
        <v>0</v>
      </c>
      <c r="AZ210">
        <v>0</v>
      </c>
      <c r="BA210">
        <v>0</v>
      </c>
      <c r="BB210">
        <v>0</v>
      </c>
      <c r="BC210">
        <v>0</v>
      </c>
      <c r="BD210">
        <v>0</v>
      </c>
      <c r="BE210">
        <v>0</v>
      </c>
      <c r="BF210">
        <v>3</v>
      </c>
    </row>
    <row r="211" spans="1:58">
      <c r="A211" t="s">
        <v>16974</v>
      </c>
      <c r="B211" t="s">
        <v>17119</v>
      </c>
      <c r="C211">
        <v>0</v>
      </c>
      <c r="D211">
        <v>2</v>
      </c>
      <c r="E211">
        <v>0</v>
      </c>
      <c r="F211">
        <v>2</v>
      </c>
      <c r="G211">
        <v>0</v>
      </c>
      <c r="H211">
        <v>0</v>
      </c>
      <c r="I211">
        <v>0</v>
      </c>
      <c r="J211">
        <v>2</v>
      </c>
      <c r="K211">
        <v>9</v>
      </c>
      <c r="L211">
        <v>2</v>
      </c>
      <c r="M211">
        <v>0</v>
      </c>
      <c r="N211">
        <v>0</v>
      </c>
      <c r="O211">
        <v>0</v>
      </c>
      <c r="P211">
        <v>0</v>
      </c>
      <c r="Q211">
        <v>0</v>
      </c>
      <c r="R211">
        <v>0</v>
      </c>
      <c r="S211">
        <v>0.5</v>
      </c>
      <c r="T211">
        <v>0</v>
      </c>
      <c r="U211">
        <v>0</v>
      </c>
      <c r="V211">
        <v>0.5</v>
      </c>
      <c r="W211">
        <v>5</v>
      </c>
      <c r="X211">
        <v>0</v>
      </c>
      <c r="Y211">
        <v>2</v>
      </c>
      <c r="Z211">
        <v>0</v>
      </c>
      <c r="AA211">
        <v>0</v>
      </c>
      <c r="AB211">
        <v>0</v>
      </c>
      <c r="AC211">
        <v>0</v>
      </c>
      <c r="AD211">
        <v>0</v>
      </c>
      <c r="AE211">
        <v>0</v>
      </c>
      <c r="AF211">
        <v>0</v>
      </c>
      <c r="AG211">
        <v>5</v>
      </c>
      <c r="AH211">
        <v>5</v>
      </c>
      <c r="AI211">
        <v>0</v>
      </c>
      <c r="AJ211">
        <v>0</v>
      </c>
      <c r="AK211">
        <v>0</v>
      </c>
      <c r="AL211">
        <v>0</v>
      </c>
      <c r="AM211">
        <v>0</v>
      </c>
      <c r="AN211">
        <v>0</v>
      </c>
      <c r="AO211">
        <v>0</v>
      </c>
      <c r="AP211">
        <v>0</v>
      </c>
      <c r="AQ211">
        <v>0</v>
      </c>
      <c r="AR211">
        <v>0</v>
      </c>
      <c r="AS211">
        <v>0</v>
      </c>
      <c r="AT211">
        <v>9</v>
      </c>
      <c r="AU211">
        <v>0</v>
      </c>
      <c r="AV211">
        <v>9</v>
      </c>
      <c r="AW211">
        <v>0</v>
      </c>
      <c r="AX211">
        <v>0.5</v>
      </c>
      <c r="AY211">
        <v>0</v>
      </c>
      <c r="AZ211">
        <v>0.5</v>
      </c>
      <c r="BA211">
        <v>0</v>
      </c>
      <c r="BB211">
        <v>0</v>
      </c>
      <c r="BC211">
        <v>0</v>
      </c>
      <c r="BD211">
        <v>0</v>
      </c>
      <c r="BE211">
        <v>0</v>
      </c>
      <c r="BF211">
        <v>2</v>
      </c>
    </row>
    <row r="212" spans="1:58">
      <c r="A212" t="s">
        <v>16974</v>
      </c>
      <c r="B212" t="s">
        <v>17096</v>
      </c>
      <c r="C212">
        <v>1</v>
      </c>
      <c r="D212">
        <v>5</v>
      </c>
      <c r="E212">
        <v>5</v>
      </c>
      <c r="F212">
        <v>5</v>
      </c>
      <c r="G212">
        <v>1</v>
      </c>
      <c r="H212">
        <v>0</v>
      </c>
      <c r="I212">
        <v>0</v>
      </c>
      <c r="J212">
        <v>5</v>
      </c>
      <c r="K212">
        <v>58</v>
      </c>
      <c r="L212">
        <v>2</v>
      </c>
      <c r="M212">
        <v>0</v>
      </c>
      <c r="N212">
        <v>0</v>
      </c>
      <c r="O212">
        <v>1</v>
      </c>
      <c r="P212">
        <v>1</v>
      </c>
      <c r="Q212">
        <v>1</v>
      </c>
      <c r="R212">
        <v>0</v>
      </c>
      <c r="S212">
        <v>1</v>
      </c>
      <c r="T212">
        <v>0</v>
      </c>
      <c r="U212">
        <v>0</v>
      </c>
      <c r="V212">
        <v>1</v>
      </c>
      <c r="W212">
        <v>10</v>
      </c>
      <c r="X212">
        <v>0</v>
      </c>
      <c r="Y212">
        <v>1</v>
      </c>
      <c r="Z212">
        <v>0</v>
      </c>
      <c r="AA212">
        <v>0</v>
      </c>
      <c r="AB212">
        <v>0</v>
      </c>
      <c r="AC212">
        <v>0</v>
      </c>
      <c r="AD212">
        <v>0</v>
      </c>
      <c r="AE212">
        <v>0</v>
      </c>
      <c r="AF212">
        <v>0</v>
      </c>
      <c r="AG212">
        <v>10</v>
      </c>
      <c r="AH212">
        <v>10</v>
      </c>
      <c r="AI212">
        <v>0</v>
      </c>
      <c r="AJ212">
        <v>0</v>
      </c>
      <c r="AK212">
        <v>0</v>
      </c>
      <c r="AL212">
        <v>0</v>
      </c>
      <c r="AM212">
        <v>0</v>
      </c>
      <c r="AN212">
        <v>0</v>
      </c>
      <c r="AO212">
        <v>0</v>
      </c>
      <c r="AP212">
        <v>0</v>
      </c>
      <c r="AQ212">
        <v>0</v>
      </c>
      <c r="AR212">
        <v>0</v>
      </c>
      <c r="AS212">
        <v>0</v>
      </c>
      <c r="AT212">
        <v>58</v>
      </c>
      <c r="AU212">
        <v>0</v>
      </c>
      <c r="AV212">
        <v>47</v>
      </c>
      <c r="AW212">
        <v>11</v>
      </c>
      <c r="AX212">
        <v>1</v>
      </c>
      <c r="AY212">
        <v>0</v>
      </c>
      <c r="AZ212">
        <v>1</v>
      </c>
      <c r="BA212">
        <v>0</v>
      </c>
      <c r="BB212">
        <v>0</v>
      </c>
      <c r="BC212">
        <v>0</v>
      </c>
      <c r="BD212">
        <v>0</v>
      </c>
      <c r="BE212">
        <v>0</v>
      </c>
      <c r="BF212" s="21">
        <v>5700</v>
      </c>
    </row>
    <row r="213" spans="1:58">
      <c r="A213" t="s">
        <v>16974</v>
      </c>
      <c r="B213" t="s">
        <v>17120</v>
      </c>
      <c r="C213">
        <v>0</v>
      </c>
      <c r="D213">
        <v>1</v>
      </c>
      <c r="E213">
        <v>0</v>
      </c>
      <c r="F213">
        <v>1</v>
      </c>
      <c r="G213">
        <v>0</v>
      </c>
      <c r="H213">
        <v>0</v>
      </c>
      <c r="I213">
        <v>0</v>
      </c>
      <c r="J213">
        <v>1</v>
      </c>
      <c r="K213">
        <v>8</v>
      </c>
      <c r="L213">
        <v>0</v>
      </c>
      <c r="M213">
        <v>0</v>
      </c>
      <c r="N213">
        <v>0</v>
      </c>
      <c r="O213">
        <v>1</v>
      </c>
      <c r="P213">
        <v>0</v>
      </c>
      <c r="Q213">
        <v>0</v>
      </c>
      <c r="R213">
        <v>0</v>
      </c>
      <c r="S213">
        <v>1</v>
      </c>
      <c r="T213">
        <v>1</v>
      </c>
      <c r="U213">
        <v>0</v>
      </c>
      <c r="V213">
        <v>2</v>
      </c>
      <c r="W213">
        <v>30</v>
      </c>
      <c r="X213">
        <v>0</v>
      </c>
      <c r="Y213">
        <v>1</v>
      </c>
      <c r="Z213">
        <v>0</v>
      </c>
      <c r="AA213">
        <v>0</v>
      </c>
      <c r="AB213">
        <v>0</v>
      </c>
      <c r="AC213">
        <v>0</v>
      </c>
      <c r="AD213">
        <v>0</v>
      </c>
      <c r="AE213">
        <v>0</v>
      </c>
      <c r="AF213">
        <v>0</v>
      </c>
      <c r="AG213">
        <v>30</v>
      </c>
      <c r="AH213">
        <v>30</v>
      </c>
      <c r="AI213">
        <v>0</v>
      </c>
      <c r="AJ213">
        <v>0</v>
      </c>
      <c r="AK213">
        <v>0</v>
      </c>
      <c r="AL213">
        <v>0</v>
      </c>
      <c r="AM213">
        <v>0</v>
      </c>
      <c r="AN213">
        <v>0</v>
      </c>
      <c r="AO213">
        <v>0</v>
      </c>
      <c r="AP213">
        <v>0</v>
      </c>
      <c r="AQ213">
        <v>0</v>
      </c>
      <c r="AR213">
        <v>0</v>
      </c>
      <c r="AS213">
        <v>0</v>
      </c>
      <c r="AT213">
        <v>8</v>
      </c>
      <c r="AU213">
        <v>0</v>
      </c>
      <c r="AV213">
        <v>8</v>
      </c>
      <c r="AW213">
        <v>0</v>
      </c>
      <c r="AX213">
        <v>1</v>
      </c>
      <c r="AY213">
        <v>0</v>
      </c>
      <c r="AZ213">
        <v>1</v>
      </c>
      <c r="BA213">
        <v>0</v>
      </c>
      <c r="BB213">
        <v>1</v>
      </c>
      <c r="BC213">
        <v>0</v>
      </c>
      <c r="BD213">
        <v>1</v>
      </c>
      <c r="BE213">
        <v>0</v>
      </c>
      <c r="BF213">
        <v>10</v>
      </c>
    </row>
    <row r="214" spans="1:58">
      <c r="A214" t="s">
        <v>16974</v>
      </c>
      <c r="B214" t="s">
        <v>17336</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row>
    <row r="215" spans="1:58">
      <c r="A215" t="s">
        <v>16974</v>
      </c>
      <c r="B215" t="s">
        <v>17308</v>
      </c>
      <c r="C215">
        <v>0</v>
      </c>
      <c r="D215">
        <v>1</v>
      </c>
      <c r="E215">
        <v>1</v>
      </c>
      <c r="F215">
        <v>1</v>
      </c>
      <c r="G215">
        <v>1</v>
      </c>
      <c r="H215">
        <v>1</v>
      </c>
      <c r="I215">
        <v>1</v>
      </c>
      <c r="J215">
        <v>0</v>
      </c>
      <c r="K215">
        <v>0</v>
      </c>
      <c r="L215">
        <v>0</v>
      </c>
      <c r="M215">
        <v>1</v>
      </c>
      <c r="N215">
        <v>0</v>
      </c>
      <c r="O215">
        <v>0</v>
      </c>
      <c r="P215">
        <v>0</v>
      </c>
      <c r="Q215">
        <v>0</v>
      </c>
      <c r="R215">
        <v>0</v>
      </c>
      <c r="S215">
        <v>0</v>
      </c>
      <c r="T215">
        <v>0</v>
      </c>
      <c r="U215">
        <v>0</v>
      </c>
      <c r="V215">
        <v>0</v>
      </c>
      <c r="W215" s="4">
        <v>0</v>
      </c>
      <c r="X215" s="4">
        <v>0</v>
      </c>
      <c r="Y215">
        <v>0</v>
      </c>
      <c r="Z215">
        <v>0</v>
      </c>
      <c r="AA215" s="4">
        <v>0</v>
      </c>
      <c r="AB215" s="4">
        <v>0</v>
      </c>
      <c r="AC215" s="4">
        <v>0</v>
      </c>
      <c r="AD215" s="4">
        <v>0</v>
      </c>
      <c r="AE215" s="4">
        <v>0</v>
      </c>
      <c r="AF215" s="4">
        <v>0</v>
      </c>
      <c r="AG215" s="4">
        <v>0</v>
      </c>
      <c r="AH215" s="4">
        <v>0</v>
      </c>
      <c r="AI215" s="4">
        <v>0</v>
      </c>
      <c r="AJ215" s="4">
        <v>0</v>
      </c>
      <c r="AK215" s="4">
        <v>0</v>
      </c>
      <c r="AL215" s="4">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row>
    <row r="216" spans="1:58">
      <c r="A216" t="s">
        <v>16974</v>
      </c>
      <c r="B216" t="s">
        <v>17308</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row>
    <row r="217" spans="1:58">
      <c r="A217" t="s">
        <v>16974</v>
      </c>
      <c r="B217" t="s">
        <v>17121</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90</v>
      </c>
    </row>
    <row r="218" spans="1:58">
      <c r="A218" t="s">
        <v>16974</v>
      </c>
      <c r="B218" t="s">
        <v>17122</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row>
    <row r="219" spans="1:58">
      <c r="A219" t="s">
        <v>16974</v>
      </c>
      <c r="B219" t="s">
        <v>17125</v>
      </c>
      <c r="C219">
        <v>0</v>
      </c>
      <c r="D219">
        <v>32</v>
      </c>
      <c r="E219">
        <v>0</v>
      </c>
      <c r="F219">
        <v>23</v>
      </c>
      <c r="G219">
        <v>0</v>
      </c>
      <c r="H219">
        <v>0</v>
      </c>
      <c r="I219">
        <v>0</v>
      </c>
      <c r="J219">
        <v>32</v>
      </c>
      <c r="K219">
        <v>353</v>
      </c>
      <c r="L219">
        <v>32</v>
      </c>
      <c r="M219">
        <v>0</v>
      </c>
      <c r="N219">
        <v>0</v>
      </c>
      <c r="O219">
        <v>0</v>
      </c>
      <c r="P219">
        <v>0</v>
      </c>
      <c r="Q219">
        <v>0</v>
      </c>
      <c r="R219">
        <v>0</v>
      </c>
      <c r="S219">
        <v>105.5</v>
      </c>
      <c r="T219">
        <v>0</v>
      </c>
      <c r="U219">
        <v>0</v>
      </c>
      <c r="V219">
        <v>105.5</v>
      </c>
      <c r="W219" s="20">
        <v>1055</v>
      </c>
      <c r="X219">
        <v>0</v>
      </c>
      <c r="Y219">
        <v>32</v>
      </c>
      <c r="Z219">
        <v>0</v>
      </c>
      <c r="AA219">
        <v>0</v>
      </c>
      <c r="AB219">
        <v>305</v>
      </c>
      <c r="AC219">
        <v>0</v>
      </c>
      <c r="AD219">
        <v>0</v>
      </c>
      <c r="AE219">
        <v>0</v>
      </c>
      <c r="AF219">
        <v>305</v>
      </c>
      <c r="AG219" s="20">
        <v>1055</v>
      </c>
      <c r="AH219" s="20">
        <v>1055</v>
      </c>
      <c r="AI219">
        <v>0</v>
      </c>
      <c r="AJ219">
        <v>0</v>
      </c>
      <c r="AK219">
        <v>0</v>
      </c>
      <c r="AL219">
        <v>0</v>
      </c>
      <c r="AM219">
        <v>0</v>
      </c>
      <c r="AN219">
        <v>0</v>
      </c>
      <c r="AO219">
        <v>0</v>
      </c>
      <c r="AP219">
        <v>0</v>
      </c>
      <c r="AQ219">
        <v>0</v>
      </c>
      <c r="AR219">
        <v>0</v>
      </c>
      <c r="AS219">
        <v>0</v>
      </c>
      <c r="AT219">
        <v>353</v>
      </c>
      <c r="AU219">
        <v>0</v>
      </c>
      <c r="AV219">
        <v>353</v>
      </c>
      <c r="AW219">
        <v>0</v>
      </c>
      <c r="AX219">
        <v>105.5</v>
      </c>
      <c r="AY219">
        <v>0</v>
      </c>
      <c r="AZ219">
        <v>105.5</v>
      </c>
      <c r="BA219">
        <v>0</v>
      </c>
      <c r="BB219">
        <v>0</v>
      </c>
      <c r="BC219">
        <v>0</v>
      </c>
      <c r="BD219">
        <v>0</v>
      </c>
      <c r="BE219">
        <v>0</v>
      </c>
      <c r="BF219">
        <v>33</v>
      </c>
    </row>
    <row r="220" spans="1:58">
      <c r="A220" t="s">
        <v>16974</v>
      </c>
      <c r="B220" t="s">
        <v>17126</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row>
    <row r="221" spans="1:58">
      <c r="A221" t="s">
        <v>16974</v>
      </c>
      <c r="B221" t="s">
        <v>18837</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row>
    <row r="222" spans="1:58">
      <c r="A222" t="s">
        <v>16974</v>
      </c>
      <c r="B222" t="s">
        <v>17127</v>
      </c>
      <c r="C222">
        <v>0</v>
      </c>
      <c r="D222">
        <v>65</v>
      </c>
      <c r="E222">
        <v>0</v>
      </c>
      <c r="F222">
        <v>53</v>
      </c>
      <c r="G222">
        <v>0</v>
      </c>
      <c r="H222">
        <v>0</v>
      </c>
      <c r="I222">
        <v>0</v>
      </c>
      <c r="J222">
        <v>65</v>
      </c>
      <c r="K222">
        <v>452</v>
      </c>
      <c r="L222">
        <v>65</v>
      </c>
      <c r="M222">
        <v>0</v>
      </c>
      <c r="N222">
        <v>0</v>
      </c>
      <c r="O222">
        <v>0</v>
      </c>
      <c r="P222">
        <v>0</v>
      </c>
      <c r="Q222">
        <v>0</v>
      </c>
      <c r="R222">
        <v>0</v>
      </c>
      <c r="S222">
        <v>21.5</v>
      </c>
      <c r="T222">
        <v>16.25</v>
      </c>
      <c r="U222">
        <v>0</v>
      </c>
      <c r="V222">
        <v>37.75</v>
      </c>
      <c r="W222">
        <v>540</v>
      </c>
      <c r="X222">
        <v>0</v>
      </c>
      <c r="Y222">
        <v>32</v>
      </c>
      <c r="Z222">
        <v>0</v>
      </c>
      <c r="AA222">
        <v>0</v>
      </c>
      <c r="AB222">
        <v>120</v>
      </c>
      <c r="AC222">
        <v>13.3</v>
      </c>
      <c r="AD222">
        <v>13.3</v>
      </c>
      <c r="AE222">
        <v>13.3</v>
      </c>
      <c r="AF222">
        <v>133.30000000000001</v>
      </c>
      <c r="AG222">
        <v>553.29999999999995</v>
      </c>
      <c r="AH222">
        <v>540</v>
      </c>
      <c r="AI222">
        <v>0</v>
      </c>
      <c r="AJ222">
        <v>0</v>
      </c>
      <c r="AK222">
        <v>0</v>
      </c>
      <c r="AL222">
        <v>0</v>
      </c>
      <c r="AM222">
        <v>0</v>
      </c>
      <c r="AN222">
        <v>2</v>
      </c>
      <c r="AO222">
        <v>0</v>
      </c>
      <c r="AP222">
        <v>0</v>
      </c>
      <c r="AQ222">
        <v>0</v>
      </c>
      <c r="AR222">
        <v>0</v>
      </c>
      <c r="AS222">
        <v>0</v>
      </c>
      <c r="AT222">
        <v>452</v>
      </c>
      <c r="AU222">
        <v>0</v>
      </c>
      <c r="AV222">
        <v>452</v>
      </c>
      <c r="AW222">
        <v>0</v>
      </c>
      <c r="AX222">
        <v>21.5</v>
      </c>
      <c r="AY222">
        <v>0</v>
      </c>
      <c r="AZ222">
        <v>21.5</v>
      </c>
      <c r="BA222">
        <v>0</v>
      </c>
      <c r="BB222">
        <v>16.25</v>
      </c>
      <c r="BC222">
        <v>0</v>
      </c>
      <c r="BD222">
        <v>16.25</v>
      </c>
      <c r="BE222">
        <v>0</v>
      </c>
      <c r="BF222">
        <v>100</v>
      </c>
    </row>
    <row r="223" spans="1:58">
      <c r="A223" t="s">
        <v>16974</v>
      </c>
      <c r="B223" t="s">
        <v>17128</v>
      </c>
      <c r="C223">
        <v>0</v>
      </c>
      <c r="D223">
        <v>74</v>
      </c>
      <c r="E223">
        <v>74</v>
      </c>
      <c r="F223">
        <v>68</v>
      </c>
      <c r="G223">
        <v>0</v>
      </c>
      <c r="H223">
        <v>0</v>
      </c>
      <c r="I223">
        <v>0</v>
      </c>
      <c r="J223">
        <v>74</v>
      </c>
      <c r="K223">
        <v>456</v>
      </c>
      <c r="L223">
        <v>72</v>
      </c>
      <c r="M223">
        <v>1</v>
      </c>
      <c r="N223">
        <v>0</v>
      </c>
      <c r="O223">
        <v>0</v>
      </c>
      <c r="P223">
        <v>0</v>
      </c>
      <c r="Q223">
        <v>1</v>
      </c>
      <c r="R223">
        <v>0</v>
      </c>
      <c r="S223">
        <v>23.5</v>
      </c>
      <c r="T223">
        <v>0</v>
      </c>
      <c r="U223">
        <v>0</v>
      </c>
      <c r="V223">
        <v>23.5</v>
      </c>
      <c r="W223">
        <v>235.04</v>
      </c>
      <c r="X223">
        <v>0</v>
      </c>
      <c r="Y223">
        <v>74</v>
      </c>
      <c r="Z223">
        <v>0</v>
      </c>
      <c r="AA223">
        <v>0</v>
      </c>
      <c r="AB223">
        <v>0</v>
      </c>
      <c r="AC223">
        <v>0</v>
      </c>
      <c r="AD223">
        <v>0</v>
      </c>
      <c r="AE223">
        <v>0</v>
      </c>
      <c r="AF223">
        <v>0</v>
      </c>
      <c r="AG223">
        <v>235.04</v>
      </c>
      <c r="AH223">
        <v>235.04</v>
      </c>
      <c r="AI223">
        <v>0</v>
      </c>
      <c r="AJ223">
        <v>0</v>
      </c>
      <c r="AK223">
        <v>0</v>
      </c>
      <c r="AL223">
        <v>0</v>
      </c>
      <c r="AM223">
        <v>0</v>
      </c>
      <c r="AN223">
        <v>0</v>
      </c>
      <c r="AO223">
        <v>0</v>
      </c>
      <c r="AP223">
        <v>0</v>
      </c>
      <c r="AQ223">
        <v>0</v>
      </c>
      <c r="AR223">
        <v>0</v>
      </c>
      <c r="AS223">
        <v>0</v>
      </c>
      <c r="AT223">
        <v>456</v>
      </c>
      <c r="AU223">
        <v>0</v>
      </c>
      <c r="AV223">
        <v>456</v>
      </c>
      <c r="AW223">
        <v>0</v>
      </c>
      <c r="AX223">
        <v>23.5</v>
      </c>
      <c r="AY223">
        <v>0</v>
      </c>
      <c r="AZ223">
        <v>23.5</v>
      </c>
      <c r="BA223">
        <v>0</v>
      </c>
      <c r="BB223">
        <v>0</v>
      </c>
      <c r="BC223">
        <v>0</v>
      </c>
      <c r="BD223">
        <v>0</v>
      </c>
      <c r="BE223">
        <v>0</v>
      </c>
      <c r="BF223">
        <v>74</v>
      </c>
    </row>
    <row r="224" spans="1:58">
      <c r="A224" t="s">
        <v>16974</v>
      </c>
      <c r="B224" t="s">
        <v>17201</v>
      </c>
      <c r="C224">
        <v>0</v>
      </c>
      <c r="D224" s="21">
        <v>3418</v>
      </c>
      <c r="E224" s="21">
        <v>3003</v>
      </c>
      <c r="F224" s="21">
        <v>1430</v>
      </c>
      <c r="G224">
        <v>7</v>
      </c>
      <c r="H224" s="21">
        <v>1129</v>
      </c>
      <c r="I224">
        <v>0</v>
      </c>
      <c r="J224" s="21">
        <v>3407</v>
      </c>
      <c r="K224" s="21">
        <v>54680</v>
      </c>
      <c r="L224">
        <v>516</v>
      </c>
      <c r="M224">
        <v>0</v>
      </c>
      <c r="N224">
        <v>35</v>
      </c>
      <c r="O224" s="21">
        <v>2768</v>
      </c>
      <c r="P224">
        <v>53</v>
      </c>
      <c r="Q224">
        <v>32</v>
      </c>
      <c r="R224">
        <v>0</v>
      </c>
      <c r="S224">
        <v>911</v>
      </c>
      <c r="T224">
        <v>189.75</v>
      </c>
      <c r="U224">
        <v>0</v>
      </c>
      <c r="V224" s="20">
        <v>1100.75</v>
      </c>
      <c r="W224" s="20">
        <v>12903.24</v>
      </c>
      <c r="X224">
        <v>0</v>
      </c>
      <c r="Y224" s="21">
        <v>3401</v>
      </c>
      <c r="Z224">
        <v>0</v>
      </c>
      <c r="AA224">
        <v>0</v>
      </c>
      <c r="AB224">
        <v>490</v>
      </c>
      <c r="AC224">
        <v>689.75</v>
      </c>
      <c r="AD224">
        <v>822.15</v>
      </c>
      <c r="AE224">
        <v>740.2</v>
      </c>
      <c r="AF224" s="20">
        <v>1312.15</v>
      </c>
      <c r="AG224" s="20">
        <v>13592.99</v>
      </c>
      <c r="AH224" s="20">
        <v>12852.79</v>
      </c>
      <c r="AI224">
        <v>291</v>
      </c>
      <c r="AJ224">
        <v>393.1</v>
      </c>
      <c r="AK224" s="20">
        <v>3658.5</v>
      </c>
      <c r="AL224" s="20">
        <v>3367.5</v>
      </c>
      <c r="AM224">
        <v>30</v>
      </c>
      <c r="AN224">
        <v>19</v>
      </c>
      <c r="AO224">
        <v>2</v>
      </c>
      <c r="AP224">
        <v>2</v>
      </c>
      <c r="AQ224">
        <v>0</v>
      </c>
      <c r="AR224">
        <v>0</v>
      </c>
      <c r="AS224">
        <v>0</v>
      </c>
      <c r="AT224" s="21">
        <v>54680</v>
      </c>
      <c r="AU224" s="21">
        <v>28374</v>
      </c>
      <c r="AV224" s="21">
        <v>26306</v>
      </c>
      <c r="AW224">
        <v>0</v>
      </c>
      <c r="AX224">
        <v>910.82</v>
      </c>
      <c r="AY224">
        <v>294.75</v>
      </c>
      <c r="AZ224">
        <v>616.07000000000005</v>
      </c>
      <c r="BA224">
        <v>0</v>
      </c>
      <c r="BB224">
        <v>189.75</v>
      </c>
      <c r="BC224">
        <v>20.5</v>
      </c>
      <c r="BD224">
        <v>169.25</v>
      </c>
      <c r="BE224">
        <v>0</v>
      </c>
      <c r="BF224">
        <v>0</v>
      </c>
    </row>
    <row r="225" spans="1:58">
      <c r="A225" t="s">
        <v>16974</v>
      </c>
      <c r="B225" t="s">
        <v>17130</v>
      </c>
      <c r="C225">
        <v>0</v>
      </c>
      <c r="D225">
        <v>7</v>
      </c>
      <c r="E225">
        <v>7</v>
      </c>
      <c r="F225">
        <v>7</v>
      </c>
      <c r="G225">
        <v>0</v>
      </c>
      <c r="H225">
        <v>0</v>
      </c>
      <c r="I225">
        <v>0</v>
      </c>
      <c r="J225">
        <v>7</v>
      </c>
      <c r="K225">
        <v>14</v>
      </c>
      <c r="L225">
        <v>7</v>
      </c>
      <c r="M225">
        <v>0</v>
      </c>
      <c r="N225">
        <v>0</v>
      </c>
      <c r="O225">
        <v>0</v>
      </c>
      <c r="P225">
        <v>0</v>
      </c>
      <c r="Q225">
        <v>0</v>
      </c>
      <c r="R225">
        <v>0</v>
      </c>
      <c r="S225">
        <v>5</v>
      </c>
      <c r="T225">
        <v>3</v>
      </c>
      <c r="U225">
        <v>0</v>
      </c>
      <c r="V225">
        <v>8</v>
      </c>
      <c r="W225">
        <v>110</v>
      </c>
      <c r="X225">
        <v>0</v>
      </c>
      <c r="Y225">
        <v>7</v>
      </c>
      <c r="Z225">
        <v>0</v>
      </c>
      <c r="AA225">
        <v>0</v>
      </c>
      <c r="AB225">
        <v>0</v>
      </c>
      <c r="AC225">
        <v>0</v>
      </c>
      <c r="AD225">
        <v>0</v>
      </c>
      <c r="AE225">
        <v>0</v>
      </c>
      <c r="AF225">
        <v>0</v>
      </c>
      <c r="AG225">
        <v>110</v>
      </c>
      <c r="AH225">
        <v>110</v>
      </c>
      <c r="AI225">
        <v>0</v>
      </c>
      <c r="AJ225">
        <v>0</v>
      </c>
      <c r="AK225">
        <v>0</v>
      </c>
      <c r="AL225">
        <v>0</v>
      </c>
      <c r="AM225">
        <v>0</v>
      </c>
      <c r="AN225">
        <v>0</v>
      </c>
      <c r="AO225">
        <v>0</v>
      </c>
      <c r="AP225">
        <v>0</v>
      </c>
      <c r="AQ225">
        <v>0</v>
      </c>
      <c r="AR225">
        <v>0</v>
      </c>
      <c r="AS225">
        <v>0</v>
      </c>
      <c r="AT225">
        <v>14</v>
      </c>
      <c r="AU225">
        <v>0</v>
      </c>
      <c r="AV225">
        <v>14</v>
      </c>
      <c r="AW225">
        <v>0</v>
      </c>
      <c r="AX225">
        <v>5</v>
      </c>
      <c r="AY225">
        <v>0</v>
      </c>
      <c r="AZ225">
        <v>5</v>
      </c>
      <c r="BA225">
        <v>0</v>
      </c>
      <c r="BB225">
        <v>3</v>
      </c>
      <c r="BC225">
        <v>0</v>
      </c>
      <c r="BD225">
        <v>3</v>
      </c>
      <c r="BE225">
        <v>0</v>
      </c>
      <c r="BF225" s="21">
        <v>3357</v>
      </c>
    </row>
    <row r="226" spans="1:58">
      <c r="A226" t="s">
        <v>16974</v>
      </c>
      <c r="B226" t="s">
        <v>17131</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row>
    <row r="227" spans="1:58">
      <c r="A227" t="s">
        <v>16974</v>
      </c>
      <c r="B227" t="s">
        <v>17040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row>
    <row r="228" spans="1:58">
      <c r="A228" t="s">
        <v>16974</v>
      </c>
      <c r="B228" t="s">
        <v>16975</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row>
    <row r="229" spans="1:58">
      <c r="A229" t="s">
        <v>16974</v>
      </c>
      <c r="B229" t="s">
        <v>17085</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row>
    <row r="230" spans="1:58">
      <c r="A230" t="s">
        <v>16974</v>
      </c>
      <c r="B230" t="s">
        <v>17132</v>
      </c>
      <c r="C230">
        <v>6</v>
      </c>
      <c r="D230">
        <v>322</v>
      </c>
      <c r="E230">
        <v>322</v>
      </c>
      <c r="F230">
        <v>215</v>
      </c>
      <c r="G230">
        <v>53</v>
      </c>
      <c r="H230">
        <v>37</v>
      </c>
      <c r="I230">
        <v>57</v>
      </c>
      <c r="J230">
        <v>322</v>
      </c>
      <c r="K230" s="21">
        <v>2553</v>
      </c>
      <c r="L230">
        <v>175</v>
      </c>
      <c r="M230">
        <v>86</v>
      </c>
      <c r="N230">
        <v>53</v>
      </c>
      <c r="O230">
        <v>0</v>
      </c>
      <c r="P230">
        <v>0</v>
      </c>
      <c r="Q230">
        <v>1</v>
      </c>
      <c r="R230">
        <v>0</v>
      </c>
      <c r="S230">
        <v>280.25</v>
      </c>
      <c r="T230">
        <v>0</v>
      </c>
      <c r="U230">
        <v>0</v>
      </c>
      <c r="V230">
        <v>280.25</v>
      </c>
      <c r="W230" s="20">
        <v>2760</v>
      </c>
      <c r="X230">
        <v>0</v>
      </c>
      <c r="Y230">
        <v>316</v>
      </c>
      <c r="Z230">
        <v>0</v>
      </c>
      <c r="AA230">
        <v>-42.5</v>
      </c>
      <c r="AB230">
        <v>12.5</v>
      </c>
      <c r="AC230">
        <v>0</v>
      </c>
      <c r="AD230">
        <v>0</v>
      </c>
      <c r="AE230">
        <v>0</v>
      </c>
      <c r="AF230">
        <v>12.5</v>
      </c>
      <c r="AG230" s="20">
        <v>2760</v>
      </c>
      <c r="AH230" s="20">
        <v>2760</v>
      </c>
      <c r="AI230">
        <v>0</v>
      </c>
      <c r="AJ230">
        <v>12.5</v>
      </c>
      <c r="AK230">
        <v>695</v>
      </c>
      <c r="AL230">
        <v>695</v>
      </c>
      <c r="AM230">
        <v>0</v>
      </c>
      <c r="AN230">
        <v>0</v>
      </c>
      <c r="AO230">
        <v>0</v>
      </c>
      <c r="AP230">
        <v>0</v>
      </c>
      <c r="AQ230">
        <v>0</v>
      </c>
      <c r="AR230">
        <v>0</v>
      </c>
      <c r="AS230">
        <v>0</v>
      </c>
      <c r="AT230" s="21">
        <v>2553</v>
      </c>
      <c r="AU230">
        <v>373</v>
      </c>
      <c r="AV230" s="21">
        <v>2127</v>
      </c>
      <c r="AW230">
        <v>56</v>
      </c>
      <c r="AX230">
        <v>280.25</v>
      </c>
      <c r="AY230">
        <v>71.5</v>
      </c>
      <c r="AZ230">
        <v>206.5</v>
      </c>
      <c r="BA230">
        <v>4.25</v>
      </c>
      <c r="BB230">
        <v>0</v>
      </c>
      <c r="BC230">
        <v>0</v>
      </c>
      <c r="BD230">
        <v>0</v>
      </c>
      <c r="BE230">
        <v>0</v>
      </c>
      <c r="BF230">
        <v>321</v>
      </c>
    </row>
    <row r="231" spans="1:58">
      <c r="A231" t="s">
        <v>16974</v>
      </c>
      <c r="B231" t="s">
        <v>17133</v>
      </c>
      <c r="C231">
        <v>0</v>
      </c>
      <c r="D231">
        <v>4</v>
      </c>
      <c r="E231">
        <v>4</v>
      </c>
      <c r="F231">
        <v>3</v>
      </c>
      <c r="G231">
        <v>0</v>
      </c>
      <c r="H231">
        <v>2</v>
      </c>
      <c r="I231">
        <v>0</v>
      </c>
      <c r="J231">
        <v>3</v>
      </c>
      <c r="K231">
        <v>62</v>
      </c>
      <c r="L231">
        <v>1</v>
      </c>
      <c r="M231">
        <v>0</v>
      </c>
      <c r="N231">
        <v>2</v>
      </c>
      <c r="O231">
        <v>1</v>
      </c>
      <c r="P231">
        <v>0</v>
      </c>
      <c r="Q231">
        <v>0</v>
      </c>
      <c r="R231">
        <v>0</v>
      </c>
      <c r="S231">
        <v>7.25</v>
      </c>
      <c r="T231">
        <v>19</v>
      </c>
      <c r="U231">
        <v>0</v>
      </c>
      <c r="V231">
        <v>26.25</v>
      </c>
      <c r="W231">
        <v>452.5</v>
      </c>
      <c r="X231">
        <v>0</v>
      </c>
      <c r="Y231">
        <v>4</v>
      </c>
      <c r="Z231">
        <v>0</v>
      </c>
      <c r="AA231">
        <v>0</v>
      </c>
      <c r="AB231">
        <v>360</v>
      </c>
      <c r="AC231">
        <v>113.91</v>
      </c>
      <c r="AD231">
        <v>73.66</v>
      </c>
      <c r="AE231">
        <v>213.66</v>
      </c>
      <c r="AF231">
        <v>433.66</v>
      </c>
      <c r="AG231">
        <v>566.41</v>
      </c>
      <c r="AH231">
        <v>352.75</v>
      </c>
      <c r="AI231">
        <v>0</v>
      </c>
      <c r="AJ231">
        <v>220</v>
      </c>
      <c r="AK231">
        <v>320.25</v>
      </c>
      <c r="AL231">
        <v>320.25</v>
      </c>
      <c r="AM231">
        <v>0</v>
      </c>
      <c r="AN231">
        <v>0</v>
      </c>
      <c r="AO231">
        <v>0</v>
      </c>
      <c r="AP231">
        <v>1</v>
      </c>
      <c r="AQ231">
        <v>0</v>
      </c>
      <c r="AR231">
        <v>0</v>
      </c>
      <c r="AS231">
        <v>0</v>
      </c>
      <c r="AT231">
        <v>62</v>
      </c>
      <c r="AU231">
        <v>43</v>
      </c>
      <c r="AV231">
        <v>19</v>
      </c>
      <c r="AW231">
        <v>0</v>
      </c>
      <c r="AX231">
        <v>7.25</v>
      </c>
      <c r="AY231">
        <v>6</v>
      </c>
      <c r="AZ231">
        <v>1.25</v>
      </c>
      <c r="BA231">
        <v>0</v>
      </c>
      <c r="BB231">
        <v>19</v>
      </c>
      <c r="BC231">
        <v>11</v>
      </c>
      <c r="BD231">
        <v>8</v>
      </c>
      <c r="BE231">
        <v>0</v>
      </c>
      <c r="BF231">
        <v>0</v>
      </c>
    </row>
    <row r="232" spans="1:58">
      <c r="A232" t="s">
        <v>16974</v>
      </c>
      <c r="B232" t="s">
        <v>17134</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20</v>
      </c>
    </row>
    <row r="233" spans="1:58">
      <c r="A233" t="s">
        <v>16974</v>
      </c>
      <c r="B233" t="s">
        <v>17135</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row>
    <row r="234" spans="1:58">
      <c r="A234" t="s">
        <v>16974</v>
      </c>
      <c r="B234" t="s">
        <v>17136</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row>
    <row r="235" spans="1:58">
      <c r="A235" t="s">
        <v>16974</v>
      </c>
      <c r="B235" t="s">
        <v>17138</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row>
    <row r="236" spans="1:58">
      <c r="A236" t="s">
        <v>16974</v>
      </c>
      <c r="B236" t="s">
        <v>17314</v>
      </c>
      <c r="C236">
        <v>0</v>
      </c>
      <c r="D236">
        <v>1</v>
      </c>
      <c r="E236">
        <v>1</v>
      </c>
      <c r="F236">
        <v>0</v>
      </c>
      <c r="G236">
        <v>1</v>
      </c>
      <c r="H236">
        <v>0</v>
      </c>
      <c r="I236">
        <v>0</v>
      </c>
      <c r="J236">
        <v>1</v>
      </c>
      <c r="K236">
        <v>38</v>
      </c>
      <c r="L236">
        <v>0</v>
      </c>
      <c r="M236">
        <v>0</v>
      </c>
      <c r="N236">
        <v>0</v>
      </c>
      <c r="O236">
        <v>0</v>
      </c>
      <c r="P236">
        <v>0</v>
      </c>
      <c r="Q236">
        <v>1</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38</v>
      </c>
      <c r="AU236">
        <v>0</v>
      </c>
      <c r="AV236">
        <v>38</v>
      </c>
      <c r="AW236">
        <v>0</v>
      </c>
      <c r="AX236">
        <v>0</v>
      </c>
      <c r="AY236">
        <v>0</v>
      </c>
      <c r="AZ236">
        <v>0</v>
      </c>
      <c r="BA236">
        <v>0</v>
      </c>
      <c r="BB236">
        <v>0</v>
      </c>
      <c r="BC236">
        <v>0</v>
      </c>
      <c r="BD236">
        <v>0</v>
      </c>
      <c r="BE236">
        <v>0</v>
      </c>
      <c r="BF236">
        <v>1</v>
      </c>
    </row>
    <row r="237" spans="1:58">
      <c r="A237" t="s">
        <v>16974</v>
      </c>
      <c r="B237" t="s">
        <v>17139</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row>
    <row r="238" spans="1:58">
      <c r="A238" t="s">
        <v>16974</v>
      </c>
      <c r="B238" t="s">
        <v>19349</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36</v>
      </c>
    </row>
    <row r="239" spans="1:58">
      <c r="A239" t="s">
        <v>16974</v>
      </c>
      <c r="B239" t="s">
        <v>19350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row>
    <row r="240" spans="1:58">
      <c r="A240" t="s">
        <v>16974</v>
      </c>
      <c r="B240" t="s">
        <v>17143</v>
      </c>
      <c r="C240">
        <v>0</v>
      </c>
      <c r="D240">
        <v>14</v>
      </c>
      <c r="E240">
        <v>14</v>
      </c>
      <c r="F240">
        <v>12</v>
      </c>
      <c r="G240">
        <v>2</v>
      </c>
      <c r="H240">
        <v>4</v>
      </c>
      <c r="I240">
        <v>1</v>
      </c>
      <c r="J240">
        <v>14</v>
      </c>
      <c r="K240">
        <v>558</v>
      </c>
      <c r="L240">
        <v>9</v>
      </c>
      <c r="M240">
        <v>0</v>
      </c>
      <c r="N240">
        <v>4</v>
      </c>
      <c r="O240">
        <v>0</v>
      </c>
      <c r="P240">
        <v>0</v>
      </c>
      <c r="Q240">
        <v>1</v>
      </c>
      <c r="R240">
        <v>0</v>
      </c>
      <c r="S240">
        <v>57</v>
      </c>
      <c r="T240">
        <v>40.25</v>
      </c>
      <c r="U240">
        <v>0</v>
      </c>
      <c r="V240">
        <v>97.25</v>
      </c>
      <c r="W240">
        <v>975</v>
      </c>
      <c r="X240">
        <v>0</v>
      </c>
      <c r="Y240">
        <v>12</v>
      </c>
      <c r="Z240">
        <v>1</v>
      </c>
      <c r="AA240">
        <v>0</v>
      </c>
      <c r="AB240">
        <v>670</v>
      </c>
      <c r="AC240">
        <v>84.65</v>
      </c>
      <c r="AD240">
        <v>84.65</v>
      </c>
      <c r="AE240">
        <v>94.65</v>
      </c>
      <c r="AF240">
        <v>754.65</v>
      </c>
      <c r="AG240" s="20">
        <v>1059.6500000000001</v>
      </c>
      <c r="AH240">
        <v>965</v>
      </c>
      <c r="AI240">
        <v>48.85</v>
      </c>
      <c r="AJ240">
        <v>108.85</v>
      </c>
      <c r="AK240">
        <v>153.85</v>
      </c>
      <c r="AL240">
        <v>105</v>
      </c>
      <c r="AM240">
        <v>0</v>
      </c>
      <c r="AN240">
        <v>3</v>
      </c>
      <c r="AO240">
        <v>1</v>
      </c>
      <c r="AP240">
        <v>0</v>
      </c>
      <c r="AQ240">
        <v>1</v>
      </c>
      <c r="AR240">
        <v>0</v>
      </c>
      <c r="AS240">
        <v>0</v>
      </c>
      <c r="AT240">
        <v>558</v>
      </c>
      <c r="AU240">
        <v>236</v>
      </c>
      <c r="AV240">
        <v>322</v>
      </c>
      <c r="AW240">
        <v>0</v>
      </c>
      <c r="AX240">
        <v>57</v>
      </c>
      <c r="AY240">
        <v>4</v>
      </c>
      <c r="AZ240">
        <v>53</v>
      </c>
      <c r="BA240">
        <v>0</v>
      </c>
      <c r="BB240">
        <v>40.25</v>
      </c>
      <c r="BC240">
        <v>3.75</v>
      </c>
      <c r="BD240">
        <v>36.5</v>
      </c>
      <c r="BE240">
        <v>0</v>
      </c>
      <c r="BF240">
        <v>0</v>
      </c>
    </row>
    <row r="241" spans="1:58">
      <c r="A241" t="s">
        <v>16974</v>
      </c>
      <c r="B241" t="s">
        <v>19351</v>
      </c>
      <c r="C241">
        <v>0</v>
      </c>
      <c r="D241">
        <v>3</v>
      </c>
      <c r="E241">
        <v>3</v>
      </c>
      <c r="F241">
        <v>1</v>
      </c>
      <c r="G241">
        <v>2</v>
      </c>
      <c r="H241">
        <v>2</v>
      </c>
      <c r="I241">
        <v>0</v>
      </c>
      <c r="J241">
        <v>3</v>
      </c>
      <c r="K241">
        <v>53</v>
      </c>
      <c r="L241">
        <v>3</v>
      </c>
      <c r="M241">
        <v>0</v>
      </c>
      <c r="N241">
        <v>0</v>
      </c>
      <c r="O241">
        <v>0</v>
      </c>
      <c r="P241">
        <v>0</v>
      </c>
      <c r="Q241">
        <v>0</v>
      </c>
      <c r="R241">
        <v>0</v>
      </c>
      <c r="S241">
        <v>1.5</v>
      </c>
      <c r="T241">
        <v>1</v>
      </c>
      <c r="U241">
        <v>0</v>
      </c>
      <c r="V241">
        <v>2.5</v>
      </c>
      <c r="W241">
        <v>35</v>
      </c>
      <c r="X241">
        <v>0</v>
      </c>
      <c r="Y241">
        <v>3</v>
      </c>
      <c r="Z241">
        <v>0</v>
      </c>
      <c r="AA241">
        <v>0</v>
      </c>
      <c r="AB241">
        <v>0</v>
      </c>
      <c r="AC241">
        <v>0</v>
      </c>
      <c r="AD241">
        <v>0</v>
      </c>
      <c r="AE241">
        <v>0</v>
      </c>
      <c r="AF241">
        <v>0</v>
      </c>
      <c r="AG241">
        <v>35</v>
      </c>
      <c r="AH241">
        <v>35</v>
      </c>
      <c r="AI241">
        <v>0</v>
      </c>
      <c r="AJ241">
        <v>0</v>
      </c>
      <c r="AK241">
        <v>27.5</v>
      </c>
      <c r="AL241">
        <v>27.5</v>
      </c>
      <c r="AM241">
        <v>0</v>
      </c>
      <c r="AN241">
        <v>0</v>
      </c>
      <c r="AO241">
        <v>0</v>
      </c>
      <c r="AP241">
        <v>0</v>
      </c>
      <c r="AQ241">
        <v>0</v>
      </c>
      <c r="AR241">
        <v>0</v>
      </c>
      <c r="AS241">
        <v>0</v>
      </c>
      <c r="AT241">
        <v>53</v>
      </c>
      <c r="AU241">
        <v>49</v>
      </c>
      <c r="AV241">
        <v>4</v>
      </c>
      <c r="AW241">
        <v>0</v>
      </c>
      <c r="AX241">
        <v>1.5</v>
      </c>
      <c r="AY241">
        <v>1.25</v>
      </c>
      <c r="AZ241">
        <v>0.25</v>
      </c>
      <c r="BA241">
        <v>0</v>
      </c>
      <c r="BB241">
        <v>1</v>
      </c>
      <c r="BC241">
        <v>0.75</v>
      </c>
      <c r="BD241">
        <v>0.25</v>
      </c>
      <c r="BE241">
        <v>0</v>
      </c>
      <c r="BF241">
        <v>3</v>
      </c>
    </row>
    <row r="242" spans="1:58">
      <c r="A242" t="s">
        <v>16974</v>
      </c>
      <c r="B242" t="s">
        <v>17144</v>
      </c>
      <c r="C242">
        <v>0</v>
      </c>
      <c r="D242">
        <v>3</v>
      </c>
      <c r="E242">
        <v>0</v>
      </c>
      <c r="F242">
        <v>3</v>
      </c>
      <c r="G242">
        <v>0</v>
      </c>
      <c r="H242">
        <v>0</v>
      </c>
      <c r="I242">
        <v>0</v>
      </c>
      <c r="J242">
        <v>3</v>
      </c>
      <c r="K242">
        <v>9</v>
      </c>
      <c r="L242">
        <v>3</v>
      </c>
      <c r="M242">
        <v>0</v>
      </c>
      <c r="N242">
        <v>0</v>
      </c>
      <c r="O242">
        <v>0</v>
      </c>
      <c r="P242">
        <v>0</v>
      </c>
      <c r="Q242">
        <v>0</v>
      </c>
      <c r="R242">
        <v>0</v>
      </c>
      <c r="S242">
        <v>2</v>
      </c>
      <c r="T242">
        <v>0.5</v>
      </c>
      <c r="U242">
        <v>0.5</v>
      </c>
      <c r="V242">
        <v>3</v>
      </c>
      <c r="W242">
        <v>30</v>
      </c>
      <c r="X242">
        <v>0</v>
      </c>
      <c r="Y242">
        <v>3</v>
      </c>
      <c r="Z242">
        <v>0</v>
      </c>
      <c r="AA242">
        <v>0</v>
      </c>
      <c r="AB242">
        <v>0</v>
      </c>
      <c r="AC242">
        <v>0</v>
      </c>
      <c r="AD242">
        <v>0</v>
      </c>
      <c r="AE242">
        <v>0</v>
      </c>
      <c r="AF242">
        <v>0</v>
      </c>
      <c r="AG242">
        <v>40</v>
      </c>
      <c r="AH242">
        <v>40</v>
      </c>
      <c r="AI242">
        <v>0</v>
      </c>
      <c r="AJ242">
        <v>0</v>
      </c>
      <c r="AK242">
        <v>0</v>
      </c>
      <c r="AL242">
        <v>0</v>
      </c>
      <c r="AM242">
        <v>0</v>
      </c>
      <c r="AN242">
        <v>0</v>
      </c>
      <c r="AO242">
        <v>0</v>
      </c>
      <c r="AP242">
        <v>0</v>
      </c>
      <c r="AQ242">
        <v>0</v>
      </c>
      <c r="AR242">
        <v>0</v>
      </c>
      <c r="AS242">
        <v>0</v>
      </c>
      <c r="AT242">
        <v>9</v>
      </c>
      <c r="AU242">
        <v>0</v>
      </c>
      <c r="AV242">
        <v>9</v>
      </c>
      <c r="AW242">
        <v>0</v>
      </c>
      <c r="AX242">
        <v>2</v>
      </c>
      <c r="AY242">
        <v>0</v>
      </c>
      <c r="AZ242">
        <v>2</v>
      </c>
      <c r="BA242">
        <v>0</v>
      </c>
      <c r="BB242">
        <v>0.5</v>
      </c>
      <c r="BC242">
        <v>0</v>
      </c>
      <c r="BD242">
        <v>0.5</v>
      </c>
      <c r="BE242">
        <v>0</v>
      </c>
      <c r="BF242">
        <v>848</v>
      </c>
    </row>
    <row r="243" spans="1:58">
      <c r="A243" t="s">
        <v>16974</v>
      </c>
      <c r="B243" t="s">
        <v>17145</v>
      </c>
      <c r="C243">
        <v>0</v>
      </c>
      <c r="D243">
        <v>3</v>
      </c>
      <c r="E243">
        <v>0</v>
      </c>
      <c r="F243">
        <v>3</v>
      </c>
      <c r="G243">
        <v>0</v>
      </c>
      <c r="H243">
        <v>0</v>
      </c>
      <c r="I243">
        <v>0</v>
      </c>
      <c r="J243">
        <v>3</v>
      </c>
      <c r="K243">
        <v>22</v>
      </c>
      <c r="L243">
        <v>0</v>
      </c>
      <c r="M243">
        <v>0</v>
      </c>
      <c r="N243">
        <v>1</v>
      </c>
      <c r="O243">
        <v>2</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22</v>
      </c>
      <c r="AU243">
        <v>0</v>
      </c>
      <c r="AV243">
        <v>22</v>
      </c>
      <c r="AW243">
        <v>0</v>
      </c>
      <c r="AX243">
        <v>0</v>
      </c>
      <c r="AY243">
        <v>0</v>
      </c>
      <c r="AZ243">
        <v>0</v>
      </c>
      <c r="BA243">
        <v>0</v>
      </c>
      <c r="BB243">
        <v>0</v>
      </c>
      <c r="BC243">
        <v>0</v>
      </c>
      <c r="BD243">
        <v>0</v>
      </c>
      <c r="BE243">
        <v>0</v>
      </c>
    </row>
    <row r="244" spans="1:58">
      <c r="A244" t="s">
        <v>16974</v>
      </c>
      <c r="B244" t="s">
        <v>17145</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row>
    <row r="245" spans="1:58">
      <c r="A245" t="s">
        <v>16974</v>
      </c>
      <c r="B245" t="s">
        <v>17322</v>
      </c>
      <c r="C245">
        <v>0</v>
      </c>
      <c r="D245">
        <v>1</v>
      </c>
      <c r="E245">
        <v>1</v>
      </c>
      <c r="F245">
        <v>1</v>
      </c>
      <c r="G245">
        <v>0</v>
      </c>
      <c r="H245">
        <v>0</v>
      </c>
      <c r="I245">
        <v>0</v>
      </c>
      <c r="J245">
        <v>1</v>
      </c>
      <c r="K245">
        <v>5</v>
      </c>
      <c r="L245">
        <v>0</v>
      </c>
      <c r="M245">
        <v>0</v>
      </c>
      <c r="N245">
        <v>0</v>
      </c>
      <c r="O245">
        <v>1</v>
      </c>
      <c r="P245">
        <v>0</v>
      </c>
      <c r="Q245">
        <v>0</v>
      </c>
      <c r="R245">
        <v>0</v>
      </c>
      <c r="S245">
        <v>0.5</v>
      </c>
      <c r="T245">
        <v>0</v>
      </c>
      <c r="U245">
        <v>0</v>
      </c>
      <c r="V245">
        <v>0.5</v>
      </c>
      <c r="W245">
        <v>5</v>
      </c>
      <c r="X245">
        <v>0</v>
      </c>
      <c r="Y245">
        <v>0</v>
      </c>
      <c r="Z245">
        <v>1</v>
      </c>
      <c r="AA245">
        <v>0</v>
      </c>
      <c r="AB245">
        <v>0</v>
      </c>
      <c r="AC245">
        <v>0</v>
      </c>
      <c r="AD245">
        <v>0</v>
      </c>
      <c r="AE245">
        <v>0</v>
      </c>
      <c r="AF245">
        <v>0</v>
      </c>
      <c r="AG245">
        <v>5</v>
      </c>
      <c r="AH245">
        <v>5</v>
      </c>
      <c r="AI245">
        <v>0</v>
      </c>
      <c r="AJ245">
        <v>0</v>
      </c>
      <c r="AK245">
        <v>0</v>
      </c>
      <c r="AL245">
        <v>0</v>
      </c>
      <c r="AM245">
        <v>0</v>
      </c>
      <c r="AN245">
        <v>0</v>
      </c>
      <c r="AO245">
        <v>0</v>
      </c>
      <c r="AP245">
        <v>0</v>
      </c>
      <c r="AQ245">
        <v>0</v>
      </c>
      <c r="AR245">
        <v>0</v>
      </c>
      <c r="AS245">
        <v>0</v>
      </c>
      <c r="AT245">
        <v>5</v>
      </c>
      <c r="AU245">
        <v>0</v>
      </c>
      <c r="AV245">
        <v>5</v>
      </c>
      <c r="AW245">
        <v>0</v>
      </c>
      <c r="AX245">
        <v>0.5</v>
      </c>
      <c r="AY245">
        <v>0</v>
      </c>
      <c r="AZ245">
        <v>0.5</v>
      </c>
      <c r="BA245">
        <v>0</v>
      </c>
      <c r="BB245">
        <v>0</v>
      </c>
      <c r="BC245">
        <v>0</v>
      </c>
      <c r="BD245">
        <v>0</v>
      </c>
      <c r="BE245">
        <v>0</v>
      </c>
    </row>
    <row r="246" spans="1:58">
      <c r="A246" t="s">
        <v>16974</v>
      </c>
      <c r="B246" t="s">
        <v>17322</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row>
    <row r="247" spans="1:58">
      <c r="A247" t="s">
        <v>16974</v>
      </c>
      <c r="B247" t="s">
        <v>17323</v>
      </c>
      <c r="C247">
        <v>0</v>
      </c>
      <c r="D247">
        <v>1</v>
      </c>
      <c r="E247">
        <v>1</v>
      </c>
      <c r="F247">
        <v>1</v>
      </c>
      <c r="G247">
        <v>0</v>
      </c>
      <c r="H247">
        <v>0</v>
      </c>
      <c r="I247">
        <v>0</v>
      </c>
      <c r="J247">
        <v>1</v>
      </c>
      <c r="K247">
        <v>1</v>
      </c>
      <c r="L247">
        <v>1</v>
      </c>
      <c r="M247">
        <v>0</v>
      </c>
      <c r="N247">
        <v>0</v>
      </c>
      <c r="O247">
        <v>0</v>
      </c>
      <c r="P247">
        <v>0</v>
      </c>
      <c r="Q247">
        <v>0</v>
      </c>
      <c r="R247">
        <v>0</v>
      </c>
      <c r="S247">
        <v>0.25</v>
      </c>
      <c r="T247">
        <v>0</v>
      </c>
      <c r="U247">
        <v>0</v>
      </c>
      <c r="V247">
        <v>0.25</v>
      </c>
      <c r="W247">
        <v>2.5</v>
      </c>
      <c r="X247">
        <v>0</v>
      </c>
      <c r="Y247">
        <v>1</v>
      </c>
      <c r="Z247">
        <v>0</v>
      </c>
      <c r="AA247">
        <v>0</v>
      </c>
      <c r="AB247">
        <v>0</v>
      </c>
      <c r="AC247">
        <v>0</v>
      </c>
      <c r="AD247">
        <v>0</v>
      </c>
      <c r="AE247">
        <v>0</v>
      </c>
      <c r="AF247">
        <v>0</v>
      </c>
      <c r="AG247">
        <v>2.5</v>
      </c>
      <c r="AH247">
        <v>2.5</v>
      </c>
      <c r="AI247">
        <v>0</v>
      </c>
      <c r="AJ247">
        <v>0</v>
      </c>
      <c r="AK247">
        <v>0</v>
      </c>
      <c r="AL247">
        <v>0</v>
      </c>
      <c r="AM247">
        <v>0</v>
      </c>
      <c r="AN247">
        <v>0</v>
      </c>
      <c r="AO247">
        <v>0</v>
      </c>
      <c r="AP247">
        <v>0</v>
      </c>
      <c r="AQ247">
        <v>0</v>
      </c>
      <c r="AR247">
        <v>0</v>
      </c>
      <c r="AS247">
        <v>0</v>
      </c>
      <c r="AT247">
        <v>1</v>
      </c>
      <c r="AU247">
        <v>0</v>
      </c>
      <c r="AV247">
        <v>1</v>
      </c>
      <c r="AW247">
        <v>0</v>
      </c>
      <c r="AX247">
        <v>0.25</v>
      </c>
      <c r="AY247">
        <v>0</v>
      </c>
      <c r="AZ247">
        <v>0.25</v>
      </c>
      <c r="BA247">
        <v>0</v>
      </c>
      <c r="BB247">
        <v>0</v>
      </c>
      <c r="BC247">
        <v>0</v>
      </c>
      <c r="BD247">
        <v>0</v>
      </c>
      <c r="BE247">
        <v>0</v>
      </c>
    </row>
    <row r="248" spans="1:58">
      <c r="A248" t="s">
        <v>16974</v>
      </c>
      <c r="B248" t="s">
        <v>17323</v>
      </c>
      <c r="C248">
        <v>0</v>
      </c>
      <c r="D248">
        <v>2</v>
      </c>
      <c r="E248">
        <v>2</v>
      </c>
      <c r="F248">
        <v>2</v>
      </c>
      <c r="G248">
        <v>0</v>
      </c>
      <c r="H248">
        <v>0</v>
      </c>
      <c r="I248">
        <v>0</v>
      </c>
      <c r="J248">
        <v>2</v>
      </c>
      <c r="K248">
        <v>5</v>
      </c>
      <c r="L248">
        <v>2</v>
      </c>
      <c r="M248">
        <v>0</v>
      </c>
      <c r="N248">
        <v>0</v>
      </c>
      <c r="O248">
        <v>0</v>
      </c>
      <c r="P248">
        <v>0</v>
      </c>
      <c r="Q248">
        <v>0</v>
      </c>
      <c r="R248">
        <v>0</v>
      </c>
      <c r="S248">
        <v>0.75</v>
      </c>
      <c r="T248">
        <v>0</v>
      </c>
      <c r="U248">
        <v>0</v>
      </c>
      <c r="V248">
        <v>0.75</v>
      </c>
      <c r="W248">
        <v>7.5</v>
      </c>
      <c r="X248">
        <v>0</v>
      </c>
      <c r="Y248">
        <v>2</v>
      </c>
      <c r="Z248">
        <v>0</v>
      </c>
      <c r="AA248">
        <v>0</v>
      </c>
      <c r="AB248">
        <v>0</v>
      </c>
      <c r="AC248">
        <v>0</v>
      </c>
      <c r="AD248">
        <v>0</v>
      </c>
      <c r="AE248">
        <v>0</v>
      </c>
      <c r="AF248">
        <v>0</v>
      </c>
      <c r="AG248">
        <v>7.5</v>
      </c>
      <c r="AH248">
        <v>7.5</v>
      </c>
      <c r="AI248">
        <v>0</v>
      </c>
      <c r="AJ248">
        <v>0</v>
      </c>
      <c r="AK248">
        <v>0</v>
      </c>
      <c r="AL248">
        <v>0</v>
      </c>
      <c r="AM248">
        <v>0</v>
      </c>
      <c r="AN248">
        <v>0</v>
      </c>
      <c r="AO248">
        <v>0</v>
      </c>
      <c r="AP248">
        <v>0</v>
      </c>
      <c r="AQ248">
        <v>0</v>
      </c>
      <c r="AR248">
        <v>0</v>
      </c>
      <c r="AS248">
        <v>0</v>
      </c>
      <c r="AT248">
        <v>5</v>
      </c>
      <c r="AU248">
        <v>0</v>
      </c>
      <c r="AV248">
        <v>5</v>
      </c>
      <c r="AW248">
        <v>0</v>
      </c>
      <c r="AX248">
        <v>0.75</v>
      </c>
      <c r="AY248">
        <v>0</v>
      </c>
      <c r="AZ248">
        <v>0.75</v>
      </c>
      <c r="BA248">
        <v>0</v>
      </c>
      <c r="BB248">
        <v>0</v>
      </c>
      <c r="BC248">
        <v>0</v>
      </c>
      <c r="BD248">
        <v>0</v>
      </c>
      <c r="BE248">
        <v>0</v>
      </c>
      <c r="BF248">
        <v>2</v>
      </c>
    </row>
    <row r="249" spans="1:58">
      <c r="A249" t="s">
        <v>16974</v>
      </c>
      <c r="B249" t="s">
        <v>19352</v>
      </c>
      <c r="C249">
        <v>246</v>
      </c>
      <c r="D249">
        <v>246</v>
      </c>
      <c r="E249">
        <v>0</v>
      </c>
      <c r="F249">
        <v>246</v>
      </c>
      <c r="G249">
        <v>0</v>
      </c>
      <c r="H249">
        <v>0</v>
      </c>
      <c r="I249">
        <v>0</v>
      </c>
      <c r="J249">
        <v>246</v>
      </c>
      <c r="K249">
        <v>347</v>
      </c>
      <c r="L249">
        <v>246</v>
      </c>
      <c r="M249">
        <v>0</v>
      </c>
      <c r="N249">
        <v>0</v>
      </c>
      <c r="O249">
        <v>0</v>
      </c>
      <c r="P249">
        <v>0</v>
      </c>
      <c r="Q249">
        <v>0</v>
      </c>
      <c r="R249">
        <v>0</v>
      </c>
      <c r="S249">
        <v>0</v>
      </c>
      <c r="T249">
        <v>0</v>
      </c>
      <c r="U249">
        <v>0</v>
      </c>
      <c r="V249">
        <v>0</v>
      </c>
      <c r="W249">
        <v>0</v>
      </c>
      <c r="X249">
        <v>0</v>
      </c>
      <c r="Y249">
        <v>0</v>
      </c>
      <c r="Z249">
        <v>0</v>
      </c>
      <c r="AA249">
        <v>0</v>
      </c>
      <c r="AB249">
        <v>0</v>
      </c>
      <c r="AC249">
        <v>0</v>
      </c>
      <c r="AD249">
        <v>0</v>
      </c>
      <c r="AE249">
        <v>35</v>
      </c>
      <c r="AF249">
        <v>0</v>
      </c>
      <c r="AG249">
        <v>0</v>
      </c>
      <c r="AH249">
        <v>0</v>
      </c>
      <c r="AJ249">
        <v>0</v>
      </c>
      <c r="AK249">
        <v>0</v>
      </c>
      <c r="AL249">
        <v>0</v>
      </c>
      <c r="AM249">
        <v>0</v>
      </c>
      <c r="AN249">
        <v>1</v>
      </c>
      <c r="AO249">
        <v>0</v>
      </c>
      <c r="AP249">
        <v>0</v>
      </c>
      <c r="AQ249">
        <v>0</v>
      </c>
      <c r="AR249">
        <v>0</v>
      </c>
      <c r="AS249">
        <v>0</v>
      </c>
      <c r="AT249">
        <v>347</v>
      </c>
      <c r="AU249">
        <v>0</v>
      </c>
      <c r="AV249">
        <v>0</v>
      </c>
      <c r="AW249">
        <v>347</v>
      </c>
      <c r="AX249">
        <v>0</v>
      </c>
      <c r="AY249">
        <v>0</v>
      </c>
      <c r="AZ249">
        <v>0</v>
      </c>
      <c r="BA249">
        <v>0</v>
      </c>
      <c r="BB249">
        <v>0</v>
      </c>
      <c r="BC249">
        <v>0</v>
      </c>
      <c r="BD249">
        <v>0</v>
      </c>
      <c r="BE249">
        <v>0</v>
      </c>
      <c r="BF249">
        <v>100</v>
      </c>
    </row>
    <row r="250" spans="1:58">
      <c r="A250" t="s">
        <v>17148</v>
      </c>
      <c r="B250" t="s">
        <v>17304</v>
      </c>
      <c r="C250">
        <v>0</v>
      </c>
      <c r="D250">
        <v>8</v>
      </c>
      <c r="E250">
        <v>0</v>
      </c>
      <c r="F250">
        <v>4</v>
      </c>
      <c r="G250">
        <v>3</v>
      </c>
      <c r="H250">
        <v>0</v>
      </c>
      <c r="I250">
        <v>0</v>
      </c>
      <c r="J250">
        <v>8</v>
      </c>
      <c r="K250">
        <v>91</v>
      </c>
      <c r="L250">
        <v>3</v>
      </c>
      <c r="M250">
        <v>0</v>
      </c>
      <c r="N250">
        <v>5</v>
      </c>
      <c r="O250">
        <v>0</v>
      </c>
      <c r="P250">
        <v>0</v>
      </c>
      <c r="Q250">
        <v>0</v>
      </c>
      <c r="R250">
        <v>0</v>
      </c>
      <c r="S250">
        <v>6.75</v>
      </c>
      <c r="T250">
        <v>0</v>
      </c>
      <c r="U250">
        <v>0</v>
      </c>
      <c r="V250">
        <v>6.75</v>
      </c>
      <c r="W250">
        <v>67.5</v>
      </c>
      <c r="X250">
        <v>0</v>
      </c>
      <c r="Y250">
        <v>8</v>
      </c>
      <c r="Z250">
        <v>0</v>
      </c>
      <c r="AA250">
        <v>0</v>
      </c>
      <c r="AB250">
        <v>0</v>
      </c>
      <c r="AC250">
        <v>0</v>
      </c>
      <c r="AD250">
        <v>0</v>
      </c>
      <c r="AE250">
        <v>0</v>
      </c>
      <c r="AF250">
        <v>0</v>
      </c>
      <c r="AG250">
        <v>67.5</v>
      </c>
      <c r="AH250">
        <v>67.5</v>
      </c>
      <c r="AI250">
        <v>0</v>
      </c>
      <c r="AJ250">
        <v>0</v>
      </c>
      <c r="AK250">
        <v>0</v>
      </c>
      <c r="AL250">
        <v>0</v>
      </c>
      <c r="AM250">
        <v>0</v>
      </c>
      <c r="AN250">
        <v>0</v>
      </c>
      <c r="AO250">
        <v>0</v>
      </c>
      <c r="AP250">
        <v>0</v>
      </c>
      <c r="AQ250">
        <v>0</v>
      </c>
      <c r="AR250">
        <v>0</v>
      </c>
      <c r="AS250">
        <v>0</v>
      </c>
      <c r="AT250">
        <v>91</v>
      </c>
      <c r="AU250">
        <v>0</v>
      </c>
      <c r="AV250">
        <v>91</v>
      </c>
      <c r="AW250">
        <v>0</v>
      </c>
      <c r="AX250">
        <v>6.75</v>
      </c>
      <c r="AY250">
        <v>0</v>
      </c>
      <c r="AZ250">
        <v>6.75</v>
      </c>
      <c r="BA250">
        <v>0</v>
      </c>
      <c r="BB250">
        <v>0</v>
      </c>
      <c r="BC250">
        <v>0</v>
      </c>
      <c r="BD250">
        <v>0</v>
      </c>
      <c r="BE250">
        <v>0</v>
      </c>
      <c r="BF250">
        <v>0</v>
      </c>
    </row>
    <row r="251" spans="1:58">
      <c r="A251" t="s">
        <v>17150</v>
      </c>
      <c r="B251" t="s">
        <v>17152</v>
      </c>
      <c r="C251">
        <v>0</v>
      </c>
      <c r="D251">
        <v>15</v>
      </c>
      <c r="E251">
        <v>15</v>
      </c>
      <c r="F251">
        <v>15</v>
      </c>
      <c r="G251">
        <v>4</v>
      </c>
      <c r="H251">
        <v>1</v>
      </c>
      <c r="I251">
        <v>1</v>
      </c>
      <c r="J251">
        <v>15</v>
      </c>
      <c r="K251">
        <v>176</v>
      </c>
      <c r="L251">
        <v>6</v>
      </c>
      <c r="M251">
        <v>1</v>
      </c>
      <c r="N251">
        <v>3</v>
      </c>
      <c r="O251">
        <v>4</v>
      </c>
      <c r="P251">
        <v>0</v>
      </c>
      <c r="Q251">
        <v>0</v>
      </c>
      <c r="R251">
        <v>0</v>
      </c>
      <c r="S251">
        <v>13.25</v>
      </c>
      <c r="T251">
        <v>4</v>
      </c>
      <c r="U251">
        <v>0</v>
      </c>
      <c r="V251">
        <v>17.25</v>
      </c>
      <c r="W251">
        <v>212.5</v>
      </c>
      <c r="X251">
        <v>0</v>
      </c>
      <c r="Y251">
        <v>14</v>
      </c>
      <c r="Z251">
        <v>0</v>
      </c>
      <c r="AA251">
        <v>0</v>
      </c>
      <c r="AB251">
        <v>20</v>
      </c>
      <c r="AC251">
        <v>33.75</v>
      </c>
      <c r="AD251">
        <v>0</v>
      </c>
      <c r="AE251">
        <v>0</v>
      </c>
      <c r="AF251">
        <v>20</v>
      </c>
      <c r="AG251">
        <v>246.25</v>
      </c>
      <c r="AH251">
        <v>246.25</v>
      </c>
      <c r="AI251">
        <v>0</v>
      </c>
      <c r="AJ251">
        <v>0</v>
      </c>
      <c r="AK251">
        <v>15</v>
      </c>
      <c r="AL251">
        <v>15</v>
      </c>
      <c r="AM251">
        <v>0</v>
      </c>
      <c r="AN251">
        <v>0</v>
      </c>
      <c r="AO251">
        <v>0</v>
      </c>
      <c r="AP251">
        <v>0</v>
      </c>
      <c r="AQ251">
        <v>0</v>
      </c>
      <c r="AR251">
        <v>0</v>
      </c>
      <c r="AS251">
        <v>0</v>
      </c>
      <c r="AT251">
        <v>176</v>
      </c>
      <c r="AU251">
        <v>45</v>
      </c>
      <c r="AV251">
        <v>131</v>
      </c>
      <c r="AW251">
        <v>0</v>
      </c>
      <c r="AX251">
        <v>13.25</v>
      </c>
      <c r="AY251">
        <v>1</v>
      </c>
      <c r="AZ251">
        <v>12.25</v>
      </c>
      <c r="BA251">
        <v>0</v>
      </c>
      <c r="BB251">
        <v>4</v>
      </c>
      <c r="BC251">
        <v>0.25</v>
      </c>
      <c r="BD251">
        <v>3.75</v>
      </c>
      <c r="BE251">
        <v>0</v>
      </c>
    </row>
    <row r="252" spans="1:58">
      <c r="A252" t="s">
        <v>17150</v>
      </c>
      <c r="B252" t="s">
        <v>17152</v>
      </c>
      <c r="C252">
        <v>1</v>
      </c>
      <c r="D252">
        <v>7</v>
      </c>
      <c r="E252">
        <v>7</v>
      </c>
      <c r="F252">
        <v>5</v>
      </c>
      <c r="G252">
        <v>2</v>
      </c>
      <c r="H252">
        <v>0</v>
      </c>
      <c r="I252">
        <v>1</v>
      </c>
      <c r="J252">
        <v>7</v>
      </c>
      <c r="K252">
        <v>93</v>
      </c>
      <c r="L252">
        <v>2</v>
      </c>
      <c r="M252">
        <v>0</v>
      </c>
      <c r="N252">
        <v>3</v>
      </c>
      <c r="O252">
        <v>1</v>
      </c>
      <c r="P252">
        <v>0</v>
      </c>
      <c r="Q252">
        <v>0</v>
      </c>
      <c r="R252">
        <v>0</v>
      </c>
      <c r="S252">
        <v>0</v>
      </c>
      <c r="T252">
        <v>0</v>
      </c>
      <c r="U252">
        <v>0</v>
      </c>
      <c r="V252">
        <v>0</v>
      </c>
      <c r="W252">
        <v>0</v>
      </c>
      <c r="X252">
        <v>0</v>
      </c>
      <c r="Y252">
        <v>0</v>
      </c>
      <c r="Z252">
        <v>0</v>
      </c>
      <c r="AA252">
        <v>0</v>
      </c>
      <c r="AB252">
        <v>0</v>
      </c>
      <c r="AC252">
        <v>35</v>
      </c>
      <c r="AD252">
        <v>35</v>
      </c>
      <c r="AE252">
        <v>0</v>
      </c>
      <c r="AF252">
        <v>35</v>
      </c>
      <c r="AG252">
        <v>35</v>
      </c>
      <c r="AH252">
        <v>35</v>
      </c>
      <c r="AI252">
        <v>0</v>
      </c>
      <c r="AJ252">
        <v>0</v>
      </c>
      <c r="AK252">
        <v>0</v>
      </c>
      <c r="AL252">
        <v>0</v>
      </c>
      <c r="AM252">
        <v>0</v>
      </c>
      <c r="AN252">
        <v>0</v>
      </c>
      <c r="AO252">
        <v>0</v>
      </c>
      <c r="AP252">
        <v>0</v>
      </c>
      <c r="AQ252">
        <v>0</v>
      </c>
      <c r="AR252">
        <v>0</v>
      </c>
      <c r="AS252">
        <v>0</v>
      </c>
      <c r="AT252">
        <v>93</v>
      </c>
      <c r="AU252">
        <v>0</v>
      </c>
      <c r="AV252">
        <v>68</v>
      </c>
      <c r="AW252">
        <v>25</v>
      </c>
      <c r="AX252">
        <v>0</v>
      </c>
      <c r="AY252">
        <v>0</v>
      </c>
      <c r="AZ252">
        <v>0</v>
      </c>
      <c r="BA252">
        <v>0</v>
      </c>
      <c r="BB252">
        <v>0</v>
      </c>
      <c r="BC252">
        <v>0</v>
      </c>
      <c r="BD252">
        <v>0</v>
      </c>
      <c r="BE252">
        <v>0</v>
      </c>
      <c r="BF252">
        <v>1</v>
      </c>
    </row>
    <row r="253" spans="1:58">
      <c r="A253" t="s">
        <v>17150</v>
      </c>
      <c r="B253" t="s">
        <v>18838</v>
      </c>
      <c r="C253">
        <v>0</v>
      </c>
      <c r="D253">
        <v>57</v>
      </c>
      <c r="E253">
        <v>57</v>
      </c>
      <c r="F253">
        <v>38</v>
      </c>
      <c r="G253">
        <v>6</v>
      </c>
      <c r="H253">
        <v>4</v>
      </c>
      <c r="I253">
        <v>4</v>
      </c>
      <c r="J253">
        <v>57</v>
      </c>
      <c r="K253">
        <v>938</v>
      </c>
      <c r="L253">
        <v>23</v>
      </c>
      <c r="M253">
        <v>3</v>
      </c>
      <c r="N253">
        <v>20</v>
      </c>
      <c r="O253">
        <v>11</v>
      </c>
      <c r="P253">
        <v>0</v>
      </c>
      <c r="Q253">
        <v>3</v>
      </c>
      <c r="R253">
        <v>0</v>
      </c>
      <c r="S253">
        <v>51.5</v>
      </c>
      <c r="T253">
        <v>52.75</v>
      </c>
      <c r="U253">
        <v>0</v>
      </c>
      <c r="V253">
        <v>104.25</v>
      </c>
      <c r="W253" s="20">
        <v>1570</v>
      </c>
      <c r="X253">
        <v>0</v>
      </c>
      <c r="Y253">
        <v>47</v>
      </c>
      <c r="Z253">
        <v>3</v>
      </c>
      <c r="AA253">
        <v>0</v>
      </c>
      <c r="AB253">
        <v>735</v>
      </c>
      <c r="AC253">
        <v>58.5</v>
      </c>
      <c r="AD253">
        <v>58.5</v>
      </c>
      <c r="AE253">
        <v>58.5</v>
      </c>
      <c r="AF253">
        <v>793.5</v>
      </c>
      <c r="AG253" s="20">
        <v>1628.5</v>
      </c>
      <c r="AH253" s="20">
        <v>1570</v>
      </c>
      <c r="AI253">
        <v>0</v>
      </c>
      <c r="AJ253">
        <v>460</v>
      </c>
      <c r="AK253">
        <v>640</v>
      </c>
      <c r="AL253">
        <v>640</v>
      </c>
      <c r="AM253">
        <v>0</v>
      </c>
      <c r="AN253">
        <v>2</v>
      </c>
      <c r="AO253">
        <v>0</v>
      </c>
      <c r="AP253">
        <v>0</v>
      </c>
      <c r="AQ253">
        <v>0</v>
      </c>
      <c r="AR253">
        <v>0</v>
      </c>
      <c r="AS253">
        <v>0</v>
      </c>
      <c r="AT253">
        <v>938</v>
      </c>
      <c r="AU253">
        <v>130</v>
      </c>
      <c r="AV253">
        <v>808</v>
      </c>
      <c r="AW253">
        <v>0</v>
      </c>
      <c r="AX253">
        <v>51.5</v>
      </c>
      <c r="AY253">
        <v>14</v>
      </c>
      <c r="AZ253">
        <v>37.5</v>
      </c>
      <c r="BA253">
        <v>0</v>
      </c>
      <c r="BB253">
        <v>52.75</v>
      </c>
      <c r="BC253">
        <v>25</v>
      </c>
      <c r="BD253">
        <v>27.75</v>
      </c>
      <c r="BE253">
        <v>0</v>
      </c>
      <c r="BF253" s="21">
        <v>24000</v>
      </c>
    </row>
    <row r="254" spans="1:58">
      <c r="A254" t="s">
        <v>17202</v>
      </c>
      <c r="B254" t="s">
        <v>19353</v>
      </c>
      <c r="C254">
        <v>0</v>
      </c>
      <c r="D254">
        <v>1</v>
      </c>
      <c r="E254">
        <v>1</v>
      </c>
      <c r="F254">
        <v>1</v>
      </c>
      <c r="G254">
        <v>0</v>
      </c>
      <c r="H254">
        <v>0</v>
      </c>
      <c r="I254">
        <v>0</v>
      </c>
      <c r="J254">
        <v>1</v>
      </c>
      <c r="K254">
        <v>7</v>
      </c>
      <c r="L254">
        <v>1</v>
      </c>
      <c r="M254">
        <v>0</v>
      </c>
      <c r="N254">
        <v>0</v>
      </c>
      <c r="O254">
        <v>0</v>
      </c>
      <c r="P254">
        <v>0</v>
      </c>
      <c r="Q254">
        <v>0</v>
      </c>
      <c r="R254">
        <v>0</v>
      </c>
      <c r="S254">
        <v>3</v>
      </c>
      <c r="T254">
        <v>5</v>
      </c>
      <c r="U254">
        <v>0</v>
      </c>
      <c r="V254">
        <v>8</v>
      </c>
      <c r="W254">
        <v>130</v>
      </c>
      <c r="X254">
        <v>0</v>
      </c>
      <c r="Y254">
        <v>0</v>
      </c>
      <c r="Z254">
        <v>1</v>
      </c>
      <c r="AA254">
        <v>0</v>
      </c>
      <c r="AB254">
        <v>70</v>
      </c>
      <c r="AC254">
        <v>0</v>
      </c>
      <c r="AD254">
        <v>0</v>
      </c>
      <c r="AE254">
        <v>70</v>
      </c>
      <c r="AF254">
        <v>70</v>
      </c>
      <c r="AG254">
        <v>130</v>
      </c>
      <c r="AH254">
        <v>60</v>
      </c>
      <c r="AI254">
        <v>0</v>
      </c>
      <c r="AJ254">
        <v>0</v>
      </c>
      <c r="AK254">
        <v>0</v>
      </c>
      <c r="AL254">
        <v>0</v>
      </c>
      <c r="AM254">
        <v>0</v>
      </c>
      <c r="AN254">
        <v>0</v>
      </c>
      <c r="AO254">
        <v>1</v>
      </c>
      <c r="AP254">
        <v>0</v>
      </c>
      <c r="AQ254">
        <v>0</v>
      </c>
      <c r="AR254">
        <v>0</v>
      </c>
      <c r="AS254">
        <v>0</v>
      </c>
      <c r="AT254">
        <v>7</v>
      </c>
      <c r="AU254">
        <v>0</v>
      </c>
      <c r="AV254">
        <v>7</v>
      </c>
      <c r="AW254">
        <v>0</v>
      </c>
      <c r="AX254">
        <v>3</v>
      </c>
      <c r="AY254">
        <v>0</v>
      </c>
      <c r="AZ254">
        <v>3</v>
      </c>
      <c r="BA254">
        <v>0</v>
      </c>
      <c r="BB254">
        <v>5</v>
      </c>
      <c r="BC254">
        <v>0</v>
      </c>
      <c r="BD254">
        <v>5</v>
      </c>
      <c r="BE254">
        <v>0</v>
      </c>
    </row>
    <row r="255" spans="1:58">
      <c r="A255" t="s">
        <v>17202</v>
      </c>
      <c r="B255" t="s">
        <v>19354</v>
      </c>
      <c r="C255">
        <v>0</v>
      </c>
      <c r="D255">
        <v>2</v>
      </c>
      <c r="E255">
        <v>2</v>
      </c>
      <c r="F255">
        <v>0</v>
      </c>
      <c r="G255">
        <v>0</v>
      </c>
      <c r="H255">
        <v>0</v>
      </c>
      <c r="I255">
        <v>0</v>
      </c>
      <c r="J255">
        <v>2</v>
      </c>
      <c r="K255">
        <v>155</v>
      </c>
      <c r="L255">
        <v>2</v>
      </c>
      <c r="M255">
        <v>0</v>
      </c>
      <c r="N255">
        <v>0</v>
      </c>
      <c r="O255">
        <v>0</v>
      </c>
      <c r="P255">
        <v>0</v>
      </c>
      <c r="Q255">
        <v>0</v>
      </c>
      <c r="R255">
        <v>0</v>
      </c>
      <c r="S255">
        <v>1</v>
      </c>
      <c r="T255">
        <v>0</v>
      </c>
      <c r="U255">
        <v>0.25</v>
      </c>
      <c r="V255">
        <v>1.25</v>
      </c>
      <c r="W255">
        <v>10</v>
      </c>
      <c r="X255">
        <v>0</v>
      </c>
      <c r="Y255">
        <v>2</v>
      </c>
      <c r="Z255">
        <v>0</v>
      </c>
      <c r="AA255">
        <v>0</v>
      </c>
      <c r="AB255">
        <v>0</v>
      </c>
      <c r="AC255">
        <v>0</v>
      </c>
      <c r="AD255">
        <v>0</v>
      </c>
      <c r="AE255">
        <v>0</v>
      </c>
      <c r="AF255">
        <v>0</v>
      </c>
      <c r="AG255">
        <v>15</v>
      </c>
      <c r="AH255">
        <v>15</v>
      </c>
      <c r="AI255">
        <v>0</v>
      </c>
      <c r="AJ255">
        <v>0</v>
      </c>
      <c r="AK255">
        <v>0</v>
      </c>
      <c r="AL255">
        <v>0</v>
      </c>
      <c r="AM255">
        <v>0</v>
      </c>
      <c r="AN255">
        <v>0</v>
      </c>
      <c r="AO255">
        <v>0</v>
      </c>
      <c r="AP255">
        <v>0</v>
      </c>
      <c r="AQ255">
        <v>0</v>
      </c>
      <c r="AR255">
        <v>0</v>
      </c>
      <c r="AS255">
        <v>0</v>
      </c>
      <c r="AT255">
        <v>155</v>
      </c>
      <c r="AU255">
        <v>0</v>
      </c>
      <c r="AV255">
        <v>155</v>
      </c>
      <c r="AW255">
        <v>0</v>
      </c>
      <c r="AX255">
        <v>1</v>
      </c>
      <c r="AY255">
        <v>0</v>
      </c>
      <c r="AZ255">
        <v>1</v>
      </c>
      <c r="BA255">
        <v>0</v>
      </c>
      <c r="BB255">
        <v>0</v>
      </c>
      <c r="BC255">
        <v>0</v>
      </c>
      <c r="BD255">
        <v>0</v>
      </c>
      <c r="BE255">
        <v>0</v>
      </c>
      <c r="BF255">
        <v>0</v>
      </c>
    </row>
    <row r="256" spans="1:58">
      <c r="A256" t="s">
        <v>17202</v>
      </c>
      <c r="B256" t="s">
        <v>18841</v>
      </c>
      <c r="C256">
        <v>0</v>
      </c>
      <c r="D256">
        <v>1</v>
      </c>
      <c r="E256">
        <v>0</v>
      </c>
      <c r="F256">
        <v>1</v>
      </c>
      <c r="G256">
        <v>0</v>
      </c>
      <c r="H256">
        <v>0</v>
      </c>
      <c r="I256">
        <v>0</v>
      </c>
      <c r="J256">
        <v>1</v>
      </c>
      <c r="K256">
        <v>5</v>
      </c>
      <c r="L256">
        <v>1</v>
      </c>
      <c r="M256">
        <v>0</v>
      </c>
      <c r="N256">
        <v>0</v>
      </c>
      <c r="O256">
        <v>0</v>
      </c>
      <c r="P256">
        <v>0</v>
      </c>
      <c r="Q256">
        <v>0</v>
      </c>
      <c r="R256">
        <v>0</v>
      </c>
      <c r="S256">
        <v>1</v>
      </c>
      <c r="T256">
        <v>0</v>
      </c>
      <c r="U256">
        <v>0</v>
      </c>
      <c r="V256">
        <v>1</v>
      </c>
      <c r="W256">
        <v>10</v>
      </c>
      <c r="X256">
        <v>0</v>
      </c>
      <c r="Y256">
        <v>1</v>
      </c>
      <c r="Z256">
        <v>0</v>
      </c>
      <c r="AA256">
        <v>0</v>
      </c>
      <c r="AB256">
        <v>0</v>
      </c>
      <c r="AC256">
        <v>0</v>
      </c>
      <c r="AD256">
        <v>0</v>
      </c>
      <c r="AE256">
        <v>0</v>
      </c>
      <c r="AF256">
        <v>0</v>
      </c>
      <c r="AG256">
        <v>10</v>
      </c>
      <c r="AH256">
        <v>10</v>
      </c>
      <c r="AI256">
        <v>0</v>
      </c>
      <c r="AJ256">
        <v>0</v>
      </c>
      <c r="AK256">
        <v>0</v>
      </c>
      <c r="AL256">
        <v>0</v>
      </c>
      <c r="AM256">
        <v>0</v>
      </c>
      <c r="AN256">
        <v>0</v>
      </c>
      <c r="AO256">
        <v>0</v>
      </c>
      <c r="AP256">
        <v>0</v>
      </c>
      <c r="AQ256">
        <v>0</v>
      </c>
      <c r="AR256">
        <v>0</v>
      </c>
      <c r="AS256">
        <v>0</v>
      </c>
      <c r="AT256">
        <v>5</v>
      </c>
      <c r="AU256">
        <v>0</v>
      </c>
      <c r="AV256">
        <v>5</v>
      </c>
      <c r="AW256">
        <v>0</v>
      </c>
      <c r="AX256">
        <v>1</v>
      </c>
      <c r="AY256">
        <v>0</v>
      </c>
      <c r="AZ256">
        <v>1</v>
      </c>
      <c r="BA256">
        <v>0</v>
      </c>
      <c r="BB256">
        <v>0</v>
      </c>
      <c r="BC256">
        <v>0</v>
      </c>
      <c r="BD256">
        <v>0</v>
      </c>
      <c r="BE256">
        <v>0</v>
      </c>
    </row>
    <row r="257" spans="1:58">
      <c r="A257" t="s">
        <v>17202</v>
      </c>
      <c r="B257" t="s">
        <v>18842</v>
      </c>
      <c r="C257">
        <v>0</v>
      </c>
      <c r="D257">
        <v>1</v>
      </c>
      <c r="E257">
        <v>1</v>
      </c>
      <c r="F257">
        <v>1</v>
      </c>
      <c r="G257">
        <v>0</v>
      </c>
      <c r="H257">
        <v>0</v>
      </c>
      <c r="I257">
        <v>0</v>
      </c>
      <c r="J257">
        <v>1</v>
      </c>
      <c r="K257">
        <v>6</v>
      </c>
      <c r="L257">
        <v>0</v>
      </c>
      <c r="M257">
        <v>0</v>
      </c>
      <c r="N257">
        <v>1</v>
      </c>
      <c r="O257">
        <v>0</v>
      </c>
      <c r="P257">
        <v>0</v>
      </c>
      <c r="Q257">
        <v>0</v>
      </c>
      <c r="R257">
        <v>0</v>
      </c>
      <c r="S257">
        <v>1</v>
      </c>
      <c r="T257">
        <v>0</v>
      </c>
      <c r="U257">
        <v>0</v>
      </c>
      <c r="V257">
        <v>1</v>
      </c>
      <c r="W257">
        <v>10</v>
      </c>
      <c r="X257">
        <v>0</v>
      </c>
      <c r="Y257">
        <v>1</v>
      </c>
      <c r="Z257">
        <v>0</v>
      </c>
      <c r="AA257">
        <v>0</v>
      </c>
      <c r="AB257">
        <v>0</v>
      </c>
      <c r="AC257">
        <v>0</v>
      </c>
      <c r="AD257">
        <v>15.5</v>
      </c>
      <c r="AE257">
        <v>16</v>
      </c>
      <c r="AF257">
        <v>15.5</v>
      </c>
      <c r="AG257">
        <v>10</v>
      </c>
      <c r="AH257">
        <v>0</v>
      </c>
      <c r="AI257">
        <v>0</v>
      </c>
      <c r="AJ257">
        <v>0</v>
      </c>
      <c r="AK257">
        <v>0</v>
      </c>
      <c r="AL257">
        <v>0</v>
      </c>
      <c r="AM257">
        <v>0</v>
      </c>
      <c r="AN257">
        <v>1</v>
      </c>
      <c r="AO257">
        <v>0</v>
      </c>
      <c r="AP257">
        <v>0</v>
      </c>
      <c r="AQ257">
        <v>0</v>
      </c>
      <c r="AR257">
        <v>0</v>
      </c>
      <c r="AS257">
        <v>0</v>
      </c>
      <c r="AT257">
        <v>6</v>
      </c>
      <c r="AU257">
        <v>0</v>
      </c>
      <c r="AV257">
        <v>6</v>
      </c>
      <c r="AW257">
        <v>0</v>
      </c>
      <c r="AX257">
        <v>1</v>
      </c>
      <c r="AY257">
        <v>0</v>
      </c>
      <c r="AZ257">
        <v>1</v>
      </c>
      <c r="BA257">
        <v>0</v>
      </c>
      <c r="BB257">
        <v>0</v>
      </c>
      <c r="BC257">
        <v>0</v>
      </c>
      <c r="BD257">
        <v>0</v>
      </c>
      <c r="BE257">
        <v>0</v>
      </c>
    </row>
    <row r="258" spans="1:58">
      <c r="A258" t="s">
        <v>17202</v>
      </c>
      <c r="B258" t="s">
        <v>19355</v>
      </c>
      <c r="C258">
        <v>0</v>
      </c>
      <c r="D258">
        <v>1</v>
      </c>
      <c r="E258">
        <v>1</v>
      </c>
      <c r="F258">
        <v>1</v>
      </c>
      <c r="G258">
        <v>0</v>
      </c>
      <c r="H258">
        <v>0</v>
      </c>
      <c r="I258">
        <v>0</v>
      </c>
      <c r="J258">
        <v>1</v>
      </c>
      <c r="K258">
        <v>9</v>
      </c>
      <c r="L258">
        <v>0</v>
      </c>
      <c r="M258">
        <v>0</v>
      </c>
      <c r="N258">
        <v>1</v>
      </c>
      <c r="O258">
        <v>0</v>
      </c>
      <c r="P258">
        <v>0</v>
      </c>
      <c r="Q258">
        <v>0</v>
      </c>
      <c r="R258">
        <v>0</v>
      </c>
      <c r="S258">
        <v>0.25</v>
      </c>
      <c r="T258">
        <v>0.25</v>
      </c>
      <c r="U258">
        <v>0</v>
      </c>
      <c r="V258">
        <v>0.5</v>
      </c>
      <c r="W258">
        <v>7.5</v>
      </c>
      <c r="X258">
        <v>0</v>
      </c>
      <c r="Y258">
        <v>1</v>
      </c>
      <c r="Z258">
        <v>0</v>
      </c>
      <c r="AA258">
        <v>0</v>
      </c>
      <c r="AB258">
        <v>0</v>
      </c>
      <c r="AC258">
        <v>13.75</v>
      </c>
      <c r="AD258">
        <v>13.75</v>
      </c>
      <c r="AE258">
        <v>13.75</v>
      </c>
      <c r="AF258">
        <v>13.75</v>
      </c>
      <c r="AG258">
        <v>21.25</v>
      </c>
      <c r="AH258">
        <v>7.5</v>
      </c>
      <c r="AI258">
        <v>0</v>
      </c>
      <c r="AJ258">
        <v>0</v>
      </c>
      <c r="AK258">
        <v>0</v>
      </c>
      <c r="AL258">
        <v>0</v>
      </c>
      <c r="AM258">
        <v>0</v>
      </c>
      <c r="AN258">
        <v>1</v>
      </c>
      <c r="AO258">
        <v>0</v>
      </c>
      <c r="AP258">
        <v>0</v>
      </c>
      <c r="AQ258">
        <v>0</v>
      </c>
      <c r="AR258">
        <v>0</v>
      </c>
      <c r="AS258">
        <v>0</v>
      </c>
      <c r="AT258">
        <v>9</v>
      </c>
      <c r="AU258">
        <v>0</v>
      </c>
      <c r="AV258">
        <v>9</v>
      </c>
      <c r="AW258">
        <v>0</v>
      </c>
      <c r="AX258">
        <v>0.25</v>
      </c>
      <c r="AY258">
        <v>0</v>
      </c>
      <c r="AZ258">
        <v>0.25</v>
      </c>
      <c r="BA258">
        <v>0</v>
      </c>
      <c r="BB258">
        <v>0.25</v>
      </c>
      <c r="BC258">
        <v>0</v>
      </c>
      <c r="BD258">
        <v>0.25</v>
      </c>
      <c r="BE258">
        <v>0</v>
      </c>
      <c r="BF258" s="21">
        <v>138323</v>
      </c>
    </row>
    <row r="259" spans="1:58">
      <c r="A259" t="s">
        <v>17202</v>
      </c>
      <c r="B259" t="s">
        <v>18843</v>
      </c>
      <c r="C259">
        <v>0</v>
      </c>
      <c r="D259">
        <v>1</v>
      </c>
      <c r="E259">
        <v>1</v>
      </c>
      <c r="F259">
        <v>1</v>
      </c>
      <c r="G259">
        <v>0</v>
      </c>
      <c r="H259">
        <v>0</v>
      </c>
      <c r="I259">
        <v>0</v>
      </c>
      <c r="J259">
        <v>1</v>
      </c>
      <c r="K259">
        <v>5</v>
      </c>
      <c r="L259">
        <v>1</v>
      </c>
      <c r="M259">
        <v>0</v>
      </c>
      <c r="N259">
        <v>0</v>
      </c>
      <c r="O259">
        <v>0</v>
      </c>
      <c r="P259">
        <v>0</v>
      </c>
      <c r="Q259">
        <v>0</v>
      </c>
      <c r="R259">
        <v>0</v>
      </c>
      <c r="S259">
        <v>5</v>
      </c>
      <c r="T259">
        <v>19</v>
      </c>
      <c r="U259">
        <v>0</v>
      </c>
      <c r="V259">
        <v>24</v>
      </c>
      <c r="W259">
        <v>430</v>
      </c>
      <c r="X259">
        <v>0</v>
      </c>
      <c r="Y259">
        <v>0</v>
      </c>
      <c r="Z259">
        <v>1</v>
      </c>
      <c r="AA259">
        <v>0</v>
      </c>
      <c r="AB259">
        <v>370</v>
      </c>
      <c r="AC259">
        <v>25</v>
      </c>
      <c r="AD259">
        <v>25</v>
      </c>
      <c r="AE259">
        <v>25</v>
      </c>
      <c r="AF259">
        <v>395</v>
      </c>
      <c r="AG259">
        <v>455</v>
      </c>
      <c r="AH259">
        <v>430</v>
      </c>
      <c r="AI259">
        <v>0</v>
      </c>
      <c r="AJ259">
        <v>0</v>
      </c>
      <c r="AK259">
        <v>0</v>
      </c>
      <c r="AL259">
        <v>0</v>
      </c>
      <c r="AM259">
        <v>0</v>
      </c>
      <c r="AN259">
        <v>1</v>
      </c>
      <c r="AO259">
        <v>0</v>
      </c>
      <c r="AP259">
        <v>0</v>
      </c>
      <c r="AQ259">
        <v>0</v>
      </c>
      <c r="AR259">
        <v>0</v>
      </c>
      <c r="AS259">
        <v>0</v>
      </c>
      <c r="AT259">
        <v>5</v>
      </c>
      <c r="AU259">
        <v>0</v>
      </c>
      <c r="AV259">
        <v>5</v>
      </c>
      <c r="AW259">
        <v>0</v>
      </c>
      <c r="AX259">
        <v>5</v>
      </c>
      <c r="AY259">
        <v>0</v>
      </c>
      <c r="AZ259">
        <v>5</v>
      </c>
      <c r="BA259">
        <v>0</v>
      </c>
      <c r="BB259">
        <v>19</v>
      </c>
      <c r="BC259">
        <v>0</v>
      </c>
      <c r="BD259">
        <v>19</v>
      </c>
      <c r="BE259">
        <v>0</v>
      </c>
      <c r="BF259">
        <v>0</v>
      </c>
    </row>
    <row r="260" spans="1:58">
      <c r="A260" t="s">
        <v>17140</v>
      </c>
      <c r="B260" t="s">
        <v>17156</v>
      </c>
      <c r="C260">
        <v>0</v>
      </c>
      <c r="D260">
        <v>5</v>
      </c>
      <c r="E260">
        <v>5</v>
      </c>
      <c r="F260">
        <v>5</v>
      </c>
      <c r="G260">
        <v>2</v>
      </c>
      <c r="H260">
        <v>1</v>
      </c>
      <c r="I260">
        <v>0</v>
      </c>
      <c r="J260">
        <v>5</v>
      </c>
      <c r="K260">
        <v>34</v>
      </c>
      <c r="L260">
        <v>0</v>
      </c>
      <c r="M260">
        <v>3</v>
      </c>
      <c r="N260">
        <v>2</v>
      </c>
      <c r="O260">
        <v>0</v>
      </c>
      <c r="P260">
        <v>0</v>
      </c>
      <c r="Q260">
        <v>0</v>
      </c>
      <c r="R260">
        <v>0</v>
      </c>
      <c r="S260">
        <v>3.25</v>
      </c>
      <c r="T260">
        <v>15</v>
      </c>
      <c r="U260">
        <v>116</v>
      </c>
      <c r="V260">
        <v>134.25</v>
      </c>
      <c r="W260">
        <v>332.5</v>
      </c>
      <c r="X260">
        <v>0</v>
      </c>
      <c r="Y260">
        <v>4</v>
      </c>
      <c r="Z260">
        <v>0</v>
      </c>
      <c r="AA260">
        <v>0</v>
      </c>
      <c r="AB260">
        <v>222.5</v>
      </c>
      <c r="AC260">
        <v>0</v>
      </c>
      <c r="AD260">
        <v>0</v>
      </c>
      <c r="AE260">
        <v>0</v>
      </c>
      <c r="AF260">
        <v>222.5</v>
      </c>
      <c r="AG260" s="20">
        <v>2652.5</v>
      </c>
      <c r="AH260" s="20">
        <v>2652.5</v>
      </c>
      <c r="AI260">
        <v>0</v>
      </c>
      <c r="AJ260">
        <v>20</v>
      </c>
      <c r="AK260">
        <v>370</v>
      </c>
      <c r="AL260">
        <v>370</v>
      </c>
      <c r="AM260">
        <v>0</v>
      </c>
      <c r="AN260">
        <v>0</v>
      </c>
      <c r="AO260">
        <v>0</v>
      </c>
      <c r="AP260">
        <v>0</v>
      </c>
      <c r="AQ260">
        <v>0</v>
      </c>
      <c r="AR260">
        <v>0</v>
      </c>
      <c r="AS260">
        <v>0</v>
      </c>
      <c r="AT260">
        <v>34</v>
      </c>
      <c r="AU260">
        <v>1</v>
      </c>
      <c r="AV260">
        <v>33</v>
      </c>
      <c r="AW260">
        <v>0</v>
      </c>
      <c r="AX260">
        <v>3.25</v>
      </c>
      <c r="AY260">
        <v>1</v>
      </c>
      <c r="AZ260">
        <v>2.25</v>
      </c>
      <c r="BA260">
        <v>0</v>
      </c>
      <c r="BB260">
        <v>15</v>
      </c>
      <c r="BC260">
        <v>2</v>
      </c>
      <c r="BD260">
        <v>13</v>
      </c>
      <c r="BE260">
        <v>0</v>
      </c>
      <c r="BF260">
        <v>0</v>
      </c>
    </row>
    <row r="261" spans="1:58">
      <c r="A261" t="s">
        <v>17140</v>
      </c>
      <c r="B261" t="s">
        <v>17157</v>
      </c>
      <c r="C261">
        <v>0</v>
      </c>
      <c r="D261">
        <v>7</v>
      </c>
      <c r="E261">
        <v>6</v>
      </c>
      <c r="F261">
        <v>7</v>
      </c>
      <c r="G261">
        <v>0</v>
      </c>
      <c r="H261">
        <v>0</v>
      </c>
      <c r="I261">
        <v>0</v>
      </c>
      <c r="J261">
        <v>7</v>
      </c>
      <c r="K261">
        <v>92</v>
      </c>
      <c r="L261">
        <v>4</v>
      </c>
      <c r="M261">
        <v>2</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92</v>
      </c>
      <c r="AU261">
        <v>0</v>
      </c>
      <c r="AV261">
        <v>92</v>
      </c>
      <c r="AW261">
        <v>0</v>
      </c>
      <c r="AX261">
        <v>0</v>
      </c>
      <c r="AY261">
        <v>0</v>
      </c>
      <c r="AZ261">
        <v>0</v>
      </c>
      <c r="BA261">
        <v>0</v>
      </c>
      <c r="BB261">
        <v>0</v>
      </c>
      <c r="BC261">
        <v>0</v>
      </c>
      <c r="BD261">
        <v>0</v>
      </c>
      <c r="BE261">
        <v>0</v>
      </c>
      <c r="BF261">
        <v>200</v>
      </c>
    </row>
    <row r="262" spans="1:58">
      <c r="A262" t="s">
        <v>17140</v>
      </c>
      <c r="B262" t="s">
        <v>17160</v>
      </c>
      <c r="C262">
        <v>0</v>
      </c>
      <c r="D262">
        <v>1</v>
      </c>
      <c r="E262">
        <v>1</v>
      </c>
      <c r="F262">
        <v>1</v>
      </c>
      <c r="G262">
        <v>1</v>
      </c>
      <c r="H262">
        <v>0</v>
      </c>
      <c r="I262">
        <v>0</v>
      </c>
      <c r="J262">
        <v>1</v>
      </c>
      <c r="K262">
        <v>1</v>
      </c>
      <c r="L262">
        <v>1</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1</v>
      </c>
      <c r="AU262">
        <v>0</v>
      </c>
      <c r="AV262">
        <v>1</v>
      </c>
      <c r="AW262">
        <v>0</v>
      </c>
      <c r="AX262">
        <v>0</v>
      </c>
      <c r="AY262">
        <v>0</v>
      </c>
      <c r="AZ262">
        <v>0</v>
      </c>
      <c r="BA262">
        <v>0</v>
      </c>
      <c r="BB262">
        <v>0</v>
      </c>
      <c r="BC262">
        <v>0</v>
      </c>
      <c r="BD262">
        <v>0</v>
      </c>
      <c r="BE262">
        <v>0</v>
      </c>
      <c r="BF262">
        <v>51</v>
      </c>
    </row>
    <row r="263" spans="1:58">
      <c r="A263" t="s">
        <v>17140</v>
      </c>
      <c r="B263" t="s">
        <v>17161</v>
      </c>
      <c r="C263">
        <v>0</v>
      </c>
      <c r="D263">
        <v>23</v>
      </c>
      <c r="E263">
        <v>23</v>
      </c>
      <c r="F263">
        <v>20</v>
      </c>
      <c r="G263">
        <v>0</v>
      </c>
      <c r="H263">
        <v>3</v>
      </c>
      <c r="I263">
        <v>0</v>
      </c>
      <c r="J263">
        <v>23</v>
      </c>
      <c r="K263">
        <v>304</v>
      </c>
      <c r="L263">
        <v>5</v>
      </c>
      <c r="M263">
        <v>10</v>
      </c>
      <c r="N263">
        <v>2</v>
      </c>
      <c r="O263">
        <v>2</v>
      </c>
      <c r="P263">
        <v>0</v>
      </c>
      <c r="Q263">
        <v>4</v>
      </c>
      <c r="R263">
        <v>0</v>
      </c>
      <c r="S263">
        <v>10.25</v>
      </c>
      <c r="T263">
        <v>10.75</v>
      </c>
      <c r="U263">
        <v>0</v>
      </c>
      <c r="V263">
        <v>21</v>
      </c>
      <c r="W263">
        <v>317.5</v>
      </c>
      <c r="X263">
        <v>0</v>
      </c>
      <c r="Y263">
        <v>23</v>
      </c>
      <c r="Z263">
        <v>0</v>
      </c>
      <c r="AA263">
        <v>0</v>
      </c>
      <c r="AB263">
        <v>10</v>
      </c>
      <c r="AC263">
        <v>209.82</v>
      </c>
      <c r="AD263">
        <v>141.37</v>
      </c>
      <c r="AE263">
        <v>141.37</v>
      </c>
      <c r="AF263">
        <v>151.37</v>
      </c>
      <c r="AG263">
        <v>527.32000000000005</v>
      </c>
      <c r="AH263">
        <v>385.95</v>
      </c>
      <c r="AI263">
        <v>124.87</v>
      </c>
      <c r="AJ263">
        <v>124.87</v>
      </c>
      <c r="AK263">
        <v>183.47</v>
      </c>
      <c r="AL263">
        <v>58.6</v>
      </c>
      <c r="AM263">
        <v>0</v>
      </c>
      <c r="AN263">
        <v>1</v>
      </c>
      <c r="AO263">
        <v>0</v>
      </c>
      <c r="AP263">
        <v>1</v>
      </c>
      <c r="AQ263">
        <v>0</v>
      </c>
      <c r="AR263">
        <v>0</v>
      </c>
      <c r="AS263">
        <v>0</v>
      </c>
      <c r="AT263">
        <v>304</v>
      </c>
      <c r="AU263">
        <v>202</v>
      </c>
      <c r="AV263">
        <v>102</v>
      </c>
      <c r="AW263">
        <v>0</v>
      </c>
      <c r="AX263">
        <v>10.25</v>
      </c>
      <c r="AY263">
        <v>1.5</v>
      </c>
      <c r="AZ263">
        <v>8.75</v>
      </c>
      <c r="BA263">
        <v>0</v>
      </c>
      <c r="BB263">
        <v>10.75</v>
      </c>
      <c r="BC263">
        <v>1.5</v>
      </c>
      <c r="BD263">
        <v>9.25</v>
      </c>
      <c r="BE263">
        <v>0</v>
      </c>
      <c r="BF263">
        <v>0</v>
      </c>
    </row>
    <row r="264" spans="1:58" ht="16">
      <c r="A264" s="14" t="s">
        <v>17140</v>
      </c>
      <c r="B264" s="14" t="s">
        <v>17159</v>
      </c>
      <c r="C264">
        <v>0</v>
      </c>
      <c r="D264">
        <v>13</v>
      </c>
      <c r="E264">
        <v>13</v>
      </c>
      <c r="F264">
        <v>0</v>
      </c>
      <c r="G264">
        <v>0</v>
      </c>
      <c r="H264">
        <v>0</v>
      </c>
      <c r="I264">
        <v>0</v>
      </c>
      <c r="J264">
        <v>13</v>
      </c>
      <c r="K264">
        <v>13</v>
      </c>
      <c r="L264">
        <v>0</v>
      </c>
      <c r="M264">
        <v>0</v>
      </c>
      <c r="N264">
        <v>0</v>
      </c>
      <c r="O264">
        <v>0</v>
      </c>
      <c r="P264">
        <v>0</v>
      </c>
      <c r="Q264">
        <v>0</v>
      </c>
      <c r="R264">
        <v>0</v>
      </c>
      <c r="S264">
        <v>0.26500000000000001</v>
      </c>
      <c r="T264">
        <v>0</v>
      </c>
      <c r="U264">
        <v>0</v>
      </c>
      <c r="V264">
        <v>0.26500000000000001</v>
      </c>
      <c r="W264">
        <v>2.65</v>
      </c>
      <c r="X264">
        <v>0</v>
      </c>
      <c r="Y264">
        <v>2</v>
      </c>
      <c r="Z264">
        <v>0</v>
      </c>
      <c r="AA264">
        <v>0</v>
      </c>
      <c r="AB264">
        <v>0</v>
      </c>
      <c r="AC264">
        <v>0</v>
      </c>
      <c r="AD264">
        <v>0</v>
      </c>
      <c r="AE264">
        <v>0</v>
      </c>
      <c r="AF264">
        <v>0</v>
      </c>
      <c r="AG264">
        <v>2.65</v>
      </c>
      <c r="AH264">
        <v>2.65</v>
      </c>
      <c r="AI264">
        <v>0</v>
      </c>
      <c r="AJ264">
        <v>0</v>
      </c>
      <c r="AK264">
        <v>0</v>
      </c>
      <c r="AL264">
        <v>0</v>
      </c>
      <c r="AM264">
        <v>0</v>
      </c>
      <c r="AN264">
        <v>0</v>
      </c>
      <c r="AO264">
        <v>0</v>
      </c>
      <c r="AP264">
        <v>0</v>
      </c>
      <c r="AQ264">
        <v>0</v>
      </c>
      <c r="AR264">
        <v>0</v>
      </c>
      <c r="AS264">
        <v>0</v>
      </c>
      <c r="AT264">
        <v>13</v>
      </c>
      <c r="AU264">
        <v>0</v>
      </c>
      <c r="AV264">
        <v>13</v>
      </c>
      <c r="AW264">
        <v>0</v>
      </c>
      <c r="AX264">
        <v>5.25</v>
      </c>
      <c r="AY264">
        <v>0</v>
      </c>
      <c r="AZ264">
        <v>5.25</v>
      </c>
      <c r="BA264">
        <v>0</v>
      </c>
      <c r="BB264">
        <v>0</v>
      </c>
      <c r="BC264">
        <v>0</v>
      </c>
      <c r="BD264">
        <v>0</v>
      </c>
      <c r="BE264">
        <v>0</v>
      </c>
    </row>
    <row r="265" spans="1:58" ht="16">
      <c r="A265" s="14" t="s">
        <v>17140</v>
      </c>
      <c r="B265" s="14" t="s">
        <v>17159</v>
      </c>
      <c r="C265">
        <v>0</v>
      </c>
      <c r="D265">
        <v>20</v>
      </c>
      <c r="E265">
        <v>20</v>
      </c>
      <c r="F265">
        <v>0</v>
      </c>
      <c r="G265">
        <v>0</v>
      </c>
      <c r="H265">
        <v>0</v>
      </c>
      <c r="I265">
        <v>0</v>
      </c>
      <c r="J265">
        <v>0</v>
      </c>
      <c r="K265">
        <v>20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20</v>
      </c>
      <c r="AU265">
        <v>0</v>
      </c>
      <c r="AV265">
        <v>20</v>
      </c>
      <c r="AW265">
        <v>0</v>
      </c>
      <c r="AX265">
        <v>5</v>
      </c>
      <c r="AY265">
        <v>0</v>
      </c>
      <c r="AZ265">
        <v>5</v>
      </c>
      <c r="BA265">
        <v>0</v>
      </c>
      <c r="BB265">
        <v>0</v>
      </c>
      <c r="BC265">
        <v>0</v>
      </c>
      <c r="BD265">
        <v>0</v>
      </c>
      <c r="BE265">
        <v>0</v>
      </c>
    </row>
    <row r="266" spans="1:58">
      <c r="A266" t="s">
        <v>17140</v>
      </c>
      <c r="B266" t="s">
        <v>17141</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row>
    <row r="267" spans="1:58">
      <c r="A267" t="s">
        <v>17140</v>
      </c>
      <c r="B267" t="s">
        <v>17163</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row>
    <row r="268" spans="1:58">
      <c r="A268" t="s">
        <v>17140</v>
      </c>
      <c r="B268" t="s">
        <v>17165</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row>
    <row r="269" spans="1:58">
      <c r="A269" t="s">
        <v>17140</v>
      </c>
      <c r="B269" t="s">
        <v>17166</v>
      </c>
      <c r="C269">
        <v>0</v>
      </c>
      <c r="D269">
        <v>14</v>
      </c>
      <c r="E269">
        <v>14</v>
      </c>
      <c r="F269">
        <v>12</v>
      </c>
      <c r="G269">
        <v>0</v>
      </c>
      <c r="H269">
        <v>0</v>
      </c>
      <c r="I269">
        <v>0</v>
      </c>
      <c r="J269">
        <v>14</v>
      </c>
      <c r="K269">
        <v>55</v>
      </c>
      <c r="L269">
        <v>10</v>
      </c>
      <c r="M269">
        <v>2</v>
      </c>
      <c r="N269">
        <v>1</v>
      </c>
      <c r="O269">
        <v>0</v>
      </c>
      <c r="P269">
        <v>0</v>
      </c>
      <c r="Q269">
        <v>1</v>
      </c>
      <c r="R269">
        <v>0</v>
      </c>
      <c r="S269">
        <v>20.75</v>
      </c>
      <c r="T269">
        <v>16.5</v>
      </c>
      <c r="U269">
        <v>0</v>
      </c>
      <c r="V269">
        <v>37.25</v>
      </c>
      <c r="W269">
        <v>537.5</v>
      </c>
      <c r="X269">
        <v>0</v>
      </c>
      <c r="Y269">
        <v>10</v>
      </c>
      <c r="Z269">
        <v>1</v>
      </c>
      <c r="AA269">
        <v>0</v>
      </c>
      <c r="AB269">
        <v>367.5</v>
      </c>
      <c r="AC269">
        <v>49.34</v>
      </c>
      <c r="AD269">
        <v>48.14</v>
      </c>
      <c r="AE269">
        <v>415.64</v>
      </c>
      <c r="AF269">
        <v>415.64</v>
      </c>
      <c r="AG269">
        <v>586.84</v>
      </c>
      <c r="AH269">
        <v>171.2</v>
      </c>
      <c r="AI269">
        <v>0</v>
      </c>
      <c r="AJ269">
        <v>0</v>
      </c>
      <c r="AK269">
        <v>0</v>
      </c>
      <c r="AL269">
        <v>0</v>
      </c>
      <c r="AM269">
        <v>1</v>
      </c>
      <c r="AN269">
        <v>1</v>
      </c>
      <c r="AO269">
        <v>0</v>
      </c>
      <c r="AP269">
        <v>2</v>
      </c>
      <c r="AQ269">
        <v>0</v>
      </c>
      <c r="AR269">
        <v>0</v>
      </c>
      <c r="AS269">
        <v>0</v>
      </c>
      <c r="AT269">
        <v>55</v>
      </c>
      <c r="AU269">
        <v>0</v>
      </c>
      <c r="AV269">
        <v>55</v>
      </c>
      <c r="AW269">
        <v>0</v>
      </c>
      <c r="AX269">
        <v>20.75</v>
      </c>
      <c r="AY269">
        <v>0</v>
      </c>
      <c r="AZ269">
        <v>20.75</v>
      </c>
      <c r="BA269">
        <v>0</v>
      </c>
      <c r="BB269">
        <v>16.5</v>
      </c>
      <c r="BC269">
        <v>0</v>
      </c>
      <c r="BD269">
        <v>16.5</v>
      </c>
      <c r="BE269">
        <v>0</v>
      </c>
      <c r="BF269">
        <v>0</v>
      </c>
    </row>
    <row r="270" spans="1:58">
      <c r="A270" t="s">
        <v>17140</v>
      </c>
      <c r="B270" t="s">
        <v>17167</v>
      </c>
      <c r="C270">
        <v>0</v>
      </c>
      <c r="D270">
        <v>1</v>
      </c>
      <c r="E270">
        <v>0</v>
      </c>
      <c r="F270">
        <v>1</v>
      </c>
      <c r="G270">
        <v>0</v>
      </c>
      <c r="H270">
        <v>0</v>
      </c>
      <c r="I270">
        <v>0</v>
      </c>
      <c r="J270">
        <v>1</v>
      </c>
      <c r="K270">
        <v>9</v>
      </c>
      <c r="L270">
        <v>0</v>
      </c>
      <c r="M270">
        <v>0</v>
      </c>
      <c r="N270">
        <v>1</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9</v>
      </c>
      <c r="AU270">
        <v>0</v>
      </c>
      <c r="AV270">
        <v>9</v>
      </c>
      <c r="AW270">
        <v>0</v>
      </c>
      <c r="AX270">
        <v>0</v>
      </c>
      <c r="AY270">
        <v>0</v>
      </c>
      <c r="AZ270">
        <v>0</v>
      </c>
      <c r="BA270">
        <v>0</v>
      </c>
      <c r="BB270">
        <v>0</v>
      </c>
      <c r="BC270">
        <v>0</v>
      </c>
      <c r="BD270">
        <v>0</v>
      </c>
      <c r="BE270">
        <v>0</v>
      </c>
    </row>
    <row r="271" spans="1:58">
      <c r="A271" t="s">
        <v>17140</v>
      </c>
      <c r="B271" t="s">
        <v>17168</v>
      </c>
      <c r="C271">
        <v>0</v>
      </c>
      <c r="D271">
        <v>7</v>
      </c>
      <c r="E271">
        <v>0</v>
      </c>
      <c r="F271">
        <v>7</v>
      </c>
      <c r="G271">
        <v>0</v>
      </c>
      <c r="H271">
        <v>0</v>
      </c>
      <c r="I271">
        <v>0</v>
      </c>
      <c r="J271">
        <v>7</v>
      </c>
      <c r="K271">
        <v>23</v>
      </c>
      <c r="L271">
        <v>0</v>
      </c>
      <c r="M271">
        <v>0</v>
      </c>
      <c r="N271">
        <v>0</v>
      </c>
      <c r="O271">
        <v>0</v>
      </c>
      <c r="P271">
        <v>0</v>
      </c>
      <c r="Q271">
        <v>0</v>
      </c>
      <c r="R271">
        <v>0</v>
      </c>
      <c r="S271">
        <v>7</v>
      </c>
      <c r="T271">
        <v>0</v>
      </c>
      <c r="U271">
        <v>0</v>
      </c>
      <c r="V271">
        <v>7</v>
      </c>
      <c r="W271">
        <v>70</v>
      </c>
      <c r="X271">
        <v>0</v>
      </c>
      <c r="Y271">
        <v>7</v>
      </c>
      <c r="Z271">
        <v>0</v>
      </c>
      <c r="AA271">
        <v>0</v>
      </c>
      <c r="AB271">
        <v>0</v>
      </c>
      <c r="AC271">
        <v>0</v>
      </c>
      <c r="AD271">
        <v>0</v>
      </c>
      <c r="AE271">
        <v>0</v>
      </c>
      <c r="AF271">
        <v>0</v>
      </c>
      <c r="AG271">
        <v>70</v>
      </c>
      <c r="AH271">
        <v>70</v>
      </c>
      <c r="AI271">
        <v>0</v>
      </c>
      <c r="AJ271">
        <v>0</v>
      </c>
      <c r="AK271">
        <v>0</v>
      </c>
      <c r="AL271">
        <v>0</v>
      </c>
      <c r="AM271">
        <v>0</v>
      </c>
      <c r="AN271">
        <v>0</v>
      </c>
      <c r="AO271">
        <v>0</v>
      </c>
      <c r="AP271">
        <v>0</v>
      </c>
      <c r="AQ271">
        <v>0</v>
      </c>
      <c r="AR271">
        <v>0</v>
      </c>
      <c r="AS271">
        <v>0</v>
      </c>
      <c r="AT271">
        <v>23</v>
      </c>
      <c r="AU271">
        <v>0</v>
      </c>
      <c r="AV271">
        <v>23</v>
      </c>
      <c r="AW271">
        <v>0</v>
      </c>
      <c r="AX271">
        <v>7</v>
      </c>
      <c r="AY271">
        <v>0</v>
      </c>
      <c r="AZ271">
        <v>7</v>
      </c>
      <c r="BA271">
        <v>0</v>
      </c>
      <c r="BB271">
        <v>0</v>
      </c>
      <c r="BC271">
        <v>0</v>
      </c>
      <c r="BD271">
        <v>0</v>
      </c>
      <c r="BE271">
        <v>0</v>
      </c>
      <c r="BF271">
        <v>0</v>
      </c>
    </row>
    <row r="272" spans="1:58">
      <c r="A272" t="s">
        <v>17169</v>
      </c>
      <c r="B272" t="s">
        <v>17170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36</v>
      </c>
    </row>
    <row r="273" spans="1:58">
      <c r="A273" t="s">
        <v>17169</v>
      </c>
      <c r="B273" t="s">
        <v>17319</v>
      </c>
      <c r="C273">
        <v>0</v>
      </c>
      <c r="D273">
        <v>6</v>
      </c>
      <c r="E273">
        <v>5</v>
      </c>
      <c r="F273">
        <v>3</v>
      </c>
      <c r="G273">
        <v>1</v>
      </c>
      <c r="H273">
        <v>0</v>
      </c>
      <c r="I273">
        <v>0</v>
      </c>
      <c r="J273">
        <v>6</v>
      </c>
      <c r="K273">
        <v>69</v>
      </c>
      <c r="L273">
        <v>6</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69</v>
      </c>
      <c r="AU273">
        <v>0</v>
      </c>
      <c r="AV273">
        <v>69</v>
      </c>
      <c r="AW273">
        <v>0</v>
      </c>
      <c r="AX273">
        <v>0</v>
      </c>
      <c r="AY273">
        <v>0</v>
      </c>
      <c r="AZ273">
        <v>0</v>
      </c>
      <c r="BA273">
        <v>0</v>
      </c>
      <c r="BB273">
        <v>0</v>
      </c>
      <c r="BC273">
        <v>0</v>
      </c>
      <c r="BD273">
        <v>0</v>
      </c>
      <c r="BE273">
        <v>0</v>
      </c>
      <c r="BF273">
        <v>38</v>
      </c>
    </row>
    <row r="274" spans="1:58">
      <c r="A274" t="s">
        <v>17169</v>
      </c>
      <c r="B274" t="s">
        <v>17172</v>
      </c>
      <c r="C274">
        <v>0</v>
      </c>
      <c r="D274">
        <v>53</v>
      </c>
      <c r="E274">
        <v>53</v>
      </c>
      <c r="F274">
        <v>41</v>
      </c>
      <c r="G274">
        <v>0</v>
      </c>
      <c r="H274">
        <v>0</v>
      </c>
      <c r="I274">
        <v>1</v>
      </c>
      <c r="J274">
        <v>52</v>
      </c>
      <c r="K274">
        <v>443</v>
      </c>
      <c r="L274">
        <v>33</v>
      </c>
      <c r="M274">
        <v>0</v>
      </c>
      <c r="N274">
        <v>4</v>
      </c>
      <c r="O274">
        <v>14</v>
      </c>
      <c r="P274">
        <v>0</v>
      </c>
      <c r="Q274">
        <v>3</v>
      </c>
      <c r="R274">
        <v>0</v>
      </c>
      <c r="S274">
        <v>74.5</v>
      </c>
      <c r="T274">
        <v>53</v>
      </c>
      <c r="U274">
        <v>0</v>
      </c>
      <c r="V274">
        <v>127.5</v>
      </c>
      <c r="W274" s="20">
        <v>1805</v>
      </c>
      <c r="X274">
        <v>0</v>
      </c>
      <c r="Y274">
        <v>36</v>
      </c>
      <c r="Z274">
        <v>0</v>
      </c>
      <c r="AA274">
        <v>0</v>
      </c>
      <c r="AB274" s="20">
        <v>1262.5</v>
      </c>
      <c r="AC274">
        <v>255.27</v>
      </c>
      <c r="AD274">
        <v>194.15</v>
      </c>
      <c r="AE274">
        <v>364.15</v>
      </c>
      <c r="AF274" s="20">
        <v>1456.65</v>
      </c>
      <c r="AG274" s="20">
        <v>2060.27</v>
      </c>
      <c r="AH274" s="20">
        <v>1846.12</v>
      </c>
      <c r="AI274">
        <v>0</v>
      </c>
      <c r="AJ274">
        <v>0</v>
      </c>
      <c r="AK274">
        <v>0</v>
      </c>
      <c r="AL274">
        <v>0</v>
      </c>
      <c r="AM274">
        <v>3</v>
      </c>
      <c r="AN274">
        <v>2</v>
      </c>
      <c r="AO274">
        <v>0</v>
      </c>
      <c r="AP274">
        <v>1</v>
      </c>
      <c r="AQ274">
        <v>0</v>
      </c>
      <c r="AR274">
        <v>0</v>
      </c>
      <c r="AS274">
        <v>0</v>
      </c>
      <c r="AT274">
        <v>443</v>
      </c>
      <c r="AU274">
        <v>0</v>
      </c>
      <c r="AV274">
        <v>443</v>
      </c>
      <c r="AW274">
        <v>0</v>
      </c>
      <c r="AX274">
        <v>74.5</v>
      </c>
      <c r="AY274">
        <v>0</v>
      </c>
      <c r="AZ274">
        <v>74.5</v>
      </c>
      <c r="BA274">
        <v>0</v>
      </c>
      <c r="BB274">
        <v>53</v>
      </c>
      <c r="BC274">
        <v>0</v>
      </c>
      <c r="BD274">
        <v>53</v>
      </c>
      <c r="BE274">
        <v>0</v>
      </c>
      <c r="BF274">
        <v>33</v>
      </c>
    </row>
    <row r="275" spans="1:58">
      <c r="A275" t="s">
        <v>17169</v>
      </c>
      <c r="B275" t="s">
        <v>17173</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s="21">
        <v>9500</v>
      </c>
    </row>
    <row r="276" spans="1:58">
      <c r="A276" t="s">
        <v>17169</v>
      </c>
      <c r="B276" t="s">
        <v>17177</v>
      </c>
      <c r="C276">
        <v>0</v>
      </c>
      <c r="D276">
        <v>3</v>
      </c>
      <c r="E276">
        <v>3</v>
      </c>
      <c r="F276">
        <v>3</v>
      </c>
      <c r="G276">
        <v>0</v>
      </c>
      <c r="H276">
        <v>0</v>
      </c>
      <c r="I276">
        <v>0</v>
      </c>
      <c r="J276">
        <v>3</v>
      </c>
      <c r="K276">
        <v>6</v>
      </c>
      <c r="L276">
        <v>3</v>
      </c>
      <c r="M276">
        <v>0</v>
      </c>
      <c r="N276">
        <v>0</v>
      </c>
      <c r="O276">
        <v>0</v>
      </c>
      <c r="P276">
        <v>0</v>
      </c>
      <c r="Q276">
        <v>0</v>
      </c>
      <c r="R276">
        <v>0</v>
      </c>
      <c r="S276">
        <v>0</v>
      </c>
      <c r="T276">
        <v>0</v>
      </c>
      <c r="U276">
        <v>0</v>
      </c>
      <c r="V276">
        <v>2.25</v>
      </c>
      <c r="W276">
        <v>0</v>
      </c>
      <c r="X276">
        <v>0</v>
      </c>
      <c r="Y276">
        <v>0</v>
      </c>
      <c r="Z276">
        <v>0</v>
      </c>
      <c r="AA276">
        <v>0</v>
      </c>
      <c r="AB276">
        <v>0</v>
      </c>
      <c r="AC276">
        <v>0</v>
      </c>
      <c r="AD276">
        <v>0</v>
      </c>
      <c r="AE276">
        <v>0</v>
      </c>
      <c r="AF276">
        <v>16</v>
      </c>
      <c r="AG276">
        <v>0</v>
      </c>
      <c r="AH276">
        <v>0</v>
      </c>
      <c r="AI276">
        <v>0</v>
      </c>
      <c r="AJ276">
        <v>0</v>
      </c>
      <c r="AK276">
        <v>0</v>
      </c>
      <c r="AL276">
        <v>0</v>
      </c>
      <c r="AM276">
        <v>0</v>
      </c>
      <c r="AN276">
        <v>0</v>
      </c>
      <c r="AO276">
        <v>0</v>
      </c>
      <c r="AP276">
        <v>0</v>
      </c>
      <c r="AQ276">
        <v>0</v>
      </c>
      <c r="AR276">
        <v>0</v>
      </c>
      <c r="AS276">
        <v>0</v>
      </c>
      <c r="AT276">
        <v>6</v>
      </c>
      <c r="AU276">
        <v>0</v>
      </c>
      <c r="AV276">
        <v>6</v>
      </c>
      <c r="AW276">
        <v>0</v>
      </c>
      <c r="AX276">
        <v>0</v>
      </c>
      <c r="AY276">
        <v>0</v>
      </c>
      <c r="AZ276">
        <v>0</v>
      </c>
      <c r="BA276">
        <v>0</v>
      </c>
      <c r="BB276">
        <v>0</v>
      </c>
      <c r="BC276">
        <v>0</v>
      </c>
      <c r="BD276">
        <v>0</v>
      </c>
      <c r="BE276">
        <v>0</v>
      </c>
    </row>
    <row r="277" spans="1:58">
      <c r="A277" t="s">
        <v>17169</v>
      </c>
      <c r="B277" t="s">
        <v>17177</v>
      </c>
      <c r="C277">
        <v>0</v>
      </c>
      <c r="D277">
        <v>3</v>
      </c>
      <c r="E277">
        <v>3</v>
      </c>
      <c r="F277">
        <v>3</v>
      </c>
      <c r="G277">
        <v>0</v>
      </c>
      <c r="H277">
        <v>0</v>
      </c>
      <c r="I277">
        <v>0</v>
      </c>
      <c r="J277">
        <v>3</v>
      </c>
      <c r="K277">
        <v>11</v>
      </c>
      <c r="L277">
        <v>3</v>
      </c>
      <c r="M277">
        <v>0</v>
      </c>
      <c r="N277">
        <v>0</v>
      </c>
      <c r="O277">
        <v>0</v>
      </c>
      <c r="P277">
        <v>0</v>
      </c>
      <c r="Q277">
        <v>0</v>
      </c>
      <c r="R277">
        <v>0</v>
      </c>
      <c r="S277">
        <v>0</v>
      </c>
      <c r="T277">
        <v>0</v>
      </c>
      <c r="U277">
        <v>0</v>
      </c>
      <c r="V277">
        <v>11</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11</v>
      </c>
      <c r="AU277">
        <v>0</v>
      </c>
      <c r="AV277">
        <v>11</v>
      </c>
      <c r="AW277">
        <v>0</v>
      </c>
      <c r="AX277">
        <v>0</v>
      </c>
      <c r="AY277">
        <v>0</v>
      </c>
      <c r="AZ277">
        <v>0</v>
      </c>
      <c r="BA277">
        <v>0</v>
      </c>
      <c r="BB277">
        <v>0</v>
      </c>
      <c r="BC277">
        <v>0</v>
      </c>
      <c r="BD277">
        <v>0</v>
      </c>
      <c r="BE277">
        <v>0</v>
      </c>
      <c r="BF277" s="21">
        <v>1000</v>
      </c>
    </row>
    <row r="278" spans="1:58">
      <c r="A278" t="s">
        <v>17169</v>
      </c>
      <c r="B278" t="s">
        <v>17307</v>
      </c>
      <c r="C278">
        <v>0</v>
      </c>
      <c r="D278">
        <v>15</v>
      </c>
      <c r="E278">
        <v>14</v>
      </c>
      <c r="F278">
        <v>14</v>
      </c>
      <c r="G278">
        <v>0</v>
      </c>
      <c r="H278">
        <v>0</v>
      </c>
      <c r="I278">
        <v>0</v>
      </c>
      <c r="J278">
        <v>14</v>
      </c>
      <c r="K278">
        <v>37</v>
      </c>
      <c r="L278">
        <v>11</v>
      </c>
      <c r="M278">
        <v>0</v>
      </c>
      <c r="N278">
        <v>3</v>
      </c>
      <c r="O278">
        <v>0</v>
      </c>
      <c r="P278">
        <v>0</v>
      </c>
      <c r="Q278">
        <v>0</v>
      </c>
      <c r="R278">
        <v>0</v>
      </c>
      <c r="S278">
        <v>5.5</v>
      </c>
      <c r="T278">
        <v>2.25</v>
      </c>
      <c r="U278">
        <v>0</v>
      </c>
      <c r="V278">
        <v>7.75</v>
      </c>
      <c r="W278">
        <v>100</v>
      </c>
      <c r="X278">
        <v>0</v>
      </c>
      <c r="Y278">
        <v>12</v>
      </c>
      <c r="Z278">
        <v>2</v>
      </c>
      <c r="AA278">
        <v>0</v>
      </c>
      <c r="AB278">
        <v>0</v>
      </c>
      <c r="AC278">
        <v>0</v>
      </c>
      <c r="AD278">
        <v>0</v>
      </c>
      <c r="AE278">
        <v>0</v>
      </c>
      <c r="AF278">
        <v>0</v>
      </c>
      <c r="AG278">
        <v>100</v>
      </c>
      <c r="AH278">
        <v>100</v>
      </c>
      <c r="AI278">
        <v>0</v>
      </c>
      <c r="AJ278">
        <v>0</v>
      </c>
      <c r="AK278">
        <v>0</v>
      </c>
      <c r="AL278">
        <v>0</v>
      </c>
      <c r="AM278">
        <v>0</v>
      </c>
      <c r="AN278">
        <v>0</v>
      </c>
      <c r="AO278">
        <v>0</v>
      </c>
      <c r="AP278">
        <v>0</v>
      </c>
      <c r="AQ278">
        <v>0</v>
      </c>
      <c r="AR278">
        <v>0</v>
      </c>
      <c r="AS278">
        <v>0</v>
      </c>
      <c r="AT278">
        <v>37</v>
      </c>
      <c r="AU278">
        <v>0</v>
      </c>
      <c r="AV278">
        <v>37</v>
      </c>
      <c r="AW278">
        <v>0</v>
      </c>
      <c r="AX278">
        <v>5.5</v>
      </c>
      <c r="AY278">
        <v>0</v>
      </c>
      <c r="AZ278">
        <v>5.5</v>
      </c>
      <c r="BA278">
        <v>0</v>
      </c>
      <c r="BB278">
        <v>2.25</v>
      </c>
      <c r="BC278">
        <v>0</v>
      </c>
      <c r="BD278">
        <v>2.25</v>
      </c>
      <c r="BE278">
        <v>0</v>
      </c>
      <c r="BF278" s="21">
        <v>2300</v>
      </c>
    </row>
    <row r="279" spans="1:58">
      <c r="A279" t="s">
        <v>17169</v>
      </c>
      <c r="B279" t="s">
        <v>17179</v>
      </c>
      <c r="C279">
        <v>0</v>
      </c>
      <c r="D279">
        <v>24</v>
      </c>
      <c r="E279">
        <v>23</v>
      </c>
      <c r="F279">
        <v>8</v>
      </c>
      <c r="G279">
        <v>0</v>
      </c>
      <c r="H279">
        <v>17</v>
      </c>
      <c r="I279">
        <v>0</v>
      </c>
      <c r="J279">
        <v>24</v>
      </c>
      <c r="K279">
        <v>498</v>
      </c>
      <c r="L279">
        <v>19</v>
      </c>
      <c r="M279">
        <v>0</v>
      </c>
      <c r="N279">
        <v>2</v>
      </c>
      <c r="O279">
        <v>1</v>
      </c>
      <c r="P279">
        <v>2</v>
      </c>
      <c r="Q279">
        <v>0</v>
      </c>
      <c r="R279">
        <v>5</v>
      </c>
      <c r="S279">
        <v>255</v>
      </c>
      <c r="T279">
        <v>82.5</v>
      </c>
      <c r="U279">
        <v>0</v>
      </c>
      <c r="V279">
        <v>337.5</v>
      </c>
      <c r="W279" s="20">
        <v>4200</v>
      </c>
      <c r="X279">
        <v>0</v>
      </c>
      <c r="Y279">
        <v>9</v>
      </c>
      <c r="Z279">
        <v>1</v>
      </c>
      <c r="AA279">
        <v>0</v>
      </c>
      <c r="AB279" s="20">
        <v>3962</v>
      </c>
      <c r="AC279">
        <v>227</v>
      </c>
      <c r="AD279">
        <v>227</v>
      </c>
      <c r="AE279">
        <v>0</v>
      </c>
      <c r="AF279" s="20">
        <v>4189</v>
      </c>
      <c r="AG279" s="20">
        <v>4427</v>
      </c>
      <c r="AH279" s="20">
        <v>4427</v>
      </c>
      <c r="AI279">
        <v>0</v>
      </c>
      <c r="AJ279" s="20">
        <v>3389</v>
      </c>
      <c r="AK279" s="20">
        <v>3597</v>
      </c>
      <c r="AL279" s="20">
        <v>3597</v>
      </c>
      <c r="AM279">
        <v>0</v>
      </c>
      <c r="AN279">
        <v>0</v>
      </c>
      <c r="AO279">
        <v>0</v>
      </c>
      <c r="AP279">
        <v>0</v>
      </c>
      <c r="AQ279">
        <v>0</v>
      </c>
      <c r="AR279">
        <v>0</v>
      </c>
      <c r="AS279">
        <v>0</v>
      </c>
      <c r="AT279">
        <v>498</v>
      </c>
      <c r="AU279">
        <v>378</v>
      </c>
      <c r="AV279">
        <v>120</v>
      </c>
      <c r="AW279">
        <v>0</v>
      </c>
      <c r="AX279">
        <v>255</v>
      </c>
      <c r="AY279">
        <v>206</v>
      </c>
      <c r="AZ279">
        <v>49</v>
      </c>
      <c r="BA279">
        <v>0</v>
      </c>
      <c r="BB279">
        <v>82.5</v>
      </c>
      <c r="BC279">
        <v>65.5</v>
      </c>
      <c r="BD279">
        <v>17</v>
      </c>
      <c r="BE279">
        <v>0</v>
      </c>
      <c r="BF279">
        <v>30</v>
      </c>
    </row>
    <row r="280" spans="1:58">
      <c r="A280" t="s">
        <v>17169</v>
      </c>
      <c r="B280" t="s">
        <v>18850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row>
    <row r="281" spans="1:58">
      <c r="A281" t="s">
        <v>17169</v>
      </c>
      <c r="B281" t="s">
        <v>17181</v>
      </c>
      <c r="C281">
        <v>1</v>
      </c>
      <c r="D281">
        <v>27</v>
      </c>
      <c r="E281">
        <v>18</v>
      </c>
      <c r="F281">
        <v>10</v>
      </c>
      <c r="G281">
        <v>1</v>
      </c>
      <c r="H281">
        <v>1</v>
      </c>
      <c r="I281">
        <v>0</v>
      </c>
      <c r="J281">
        <v>17</v>
      </c>
      <c r="K281">
        <v>329</v>
      </c>
      <c r="L281">
        <v>14</v>
      </c>
      <c r="M281">
        <v>1</v>
      </c>
      <c r="N281">
        <v>1</v>
      </c>
      <c r="O281">
        <v>0</v>
      </c>
      <c r="P281">
        <v>0</v>
      </c>
      <c r="Q281">
        <v>0</v>
      </c>
      <c r="R281">
        <v>0</v>
      </c>
      <c r="S281">
        <v>7.5</v>
      </c>
      <c r="T281">
        <v>1</v>
      </c>
      <c r="U281">
        <v>0</v>
      </c>
      <c r="V281">
        <v>8.5</v>
      </c>
      <c r="W281">
        <v>95</v>
      </c>
      <c r="X281">
        <v>0</v>
      </c>
      <c r="Y281">
        <v>5</v>
      </c>
      <c r="Z281">
        <v>0</v>
      </c>
      <c r="AA281">
        <v>0</v>
      </c>
      <c r="AB281">
        <v>0</v>
      </c>
      <c r="AC281">
        <v>0</v>
      </c>
      <c r="AD281">
        <v>0</v>
      </c>
      <c r="AE281">
        <v>0</v>
      </c>
      <c r="AF281">
        <v>0</v>
      </c>
      <c r="AG281">
        <v>95</v>
      </c>
      <c r="AH281">
        <v>95</v>
      </c>
      <c r="AI281">
        <v>0</v>
      </c>
      <c r="AJ281">
        <v>0</v>
      </c>
      <c r="AK281">
        <v>0</v>
      </c>
      <c r="AL281">
        <v>0</v>
      </c>
      <c r="AM281">
        <v>0</v>
      </c>
      <c r="AN281">
        <v>0</v>
      </c>
      <c r="AO281">
        <v>0</v>
      </c>
      <c r="AP281">
        <v>0</v>
      </c>
      <c r="AQ281">
        <v>0</v>
      </c>
      <c r="AR281">
        <v>0</v>
      </c>
      <c r="AS281">
        <v>0</v>
      </c>
      <c r="AT281">
        <v>329</v>
      </c>
      <c r="AU281">
        <v>0</v>
      </c>
      <c r="AV281">
        <v>325</v>
      </c>
      <c r="AW281">
        <v>4</v>
      </c>
      <c r="AX281">
        <v>7.5</v>
      </c>
      <c r="AY281">
        <v>0</v>
      </c>
      <c r="AZ281">
        <v>7.5</v>
      </c>
      <c r="BA281">
        <v>0</v>
      </c>
      <c r="BB281">
        <v>1</v>
      </c>
      <c r="BC281">
        <v>0</v>
      </c>
      <c r="BD281">
        <v>1</v>
      </c>
      <c r="BE281">
        <v>0</v>
      </c>
      <c r="BF281">
        <v>200</v>
      </c>
    </row>
    <row r="282" spans="1:58">
      <c r="A282" t="s">
        <v>17169</v>
      </c>
      <c r="B282" t="s">
        <v>18851</v>
      </c>
      <c r="C282">
        <v>0</v>
      </c>
      <c r="D282">
        <v>1</v>
      </c>
      <c r="E282">
        <v>1</v>
      </c>
      <c r="F282">
        <v>0</v>
      </c>
      <c r="G282">
        <v>0</v>
      </c>
      <c r="H282">
        <v>0</v>
      </c>
      <c r="I282">
        <v>0</v>
      </c>
      <c r="J282">
        <v>1</v>
      </c>
      <c r="K282">
        <v>3</v>
      </c>
      <c r="L282">
        <v>0</v>
      </c>
      <c r="M282">
        <v>0</v>
      </c>
      <c r="N282">
        <v>0</v>
      </c>
      <c r="O282">
        <v>0</v>
      </c>
      <c r="P282">
        <v>1</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3</v>
      </c>
      <c r="AU282">
        <v>0</v>
      </c>
      <c r="AV282">
        <v>3</v>
      </c>
      <c r="AW282">
        <v>0</v>
      </c>
      <c r="AX282">
        <v>0</v>
      </c>
      <c r="AY282">
        <v>0</v>
      </c>
      <c r="AZ282">
        <v>0</v>
      </c>
      <c r="BA282">
        <v>0</v>
      </c>
      <c r="BB282">
        <v>0</v>
      </c>
      <c r="BC282">
        <v>0</v>
      </c>
      <c r="BD282">
        <v>0</v>
      </c>
      <c r="BE282">
        <v>0</v>
      </c>
      <c r="BF282">
        <v>0</v>
      </c>
    </row>
    <row r="283" spans="1:58">
      <c r="A283" t="s">
        <v>17169</v>
      </c>
      <c r="B283" t="s">
        <v>17183</v>
      </c>
      <c r="C283">
        <v>0</v>
      </c>
      <c r="D283">
        <v>93</v>
      </c>
      <c r="E283">
        <v>93</v>
      </c>
      <c r="F283">
        <v>80</v>
      </c>
      <c r="G283">
        <v>11</v>
      </c>
      <c r="H283">
        <v>4</v>
      </c>
      <c r="I283">
        <v>7</v>
      </c>
      <c r="J283">
        <v>93</v>
      </c>
      <c r="K283" s="21">
        <v>1318</v>
      </c>
      <c r="L283">
        <v>52</v>
      </c>
      <c r="M283">
        <v>5</v>
      </c>
      <c r="N283">
        <v>7</v>
      </c>
      <c r="O283">
        <v>25</v>
      </c>
      <c r="P283">
        <v>2</v>
      </c>
      <c r="Q283">
        <v>2</v>
      </c>
      <c r="R283">
        <v>0</v>
      </c>
      <c r="S283">
        <v>16</v>
      </c>
      <c r="T283">
        <v>8</v>
      </c>
      <c r="U283">
        <v>0</v>
      </c>
      <c r="V283">
        <v>24</v>
      </c>
      <c r="W283">
        <v>320</v>
      </c>
      <c r="X283">
        <v>0</v>
      </c>
      <c r="Y283">
        <v>1</v>
      </c>
      <c r="Z283">
        <v>1</v>
      </c>
      <c r="AA283">
        <v>0</v>
      </c>
      <c r="AB283">
        <v>230</v>
      </c>
      <c r="AC283">
        <v>0</v>
      </c>
      <c r="AD283">
        <v>0</v>
      </c>
      <c r="AE283">
        <v>0</v>
      </c>
      <c r="AF283">
        <v>230</v>
      </c>
      <c r="AG283">
        <v>320</v>
      </c>
      <c r="AH283">
        <v>320</v>
      </c>
      <c r="AI283">
        <v>0</v>
      </c>
      <c r="AJ283">
        <v>150</v>
      </c>
      <c r="AK283">
        <v>180</v>
      </c>
      <c r="AL283">
        <v>180</v>
      </c>
      <c r="AM283">
        <v>0</v>
      </c>
      <c r="AN283">
        <v>0</v>
      </c>
      <c r="AO283">
        <v>0</v>
      </c>
      <c r="AP283">
        <v>0</v>
      </c>
      <c r="AQ283">
        <v>0</v>
      </c>
      <c r="AR283">
        <v>0</v>
      </c>
      <c r="AS283">
        <v>0</v>
      </c>
      <c r="AT283" s="21">
        <v>1318</v>
      </c>
      <c r="AU283">
        <v>229</v>
      </c>
      <c r="AV283" s="21">
        <v>1089</v>
      </c>
      <c r="AW283">
        <v>0</v>
      </c>
      <c r="AX283">
        <v>16</v>
      </c>
      <c r="AY283">
        <v>10</v>
      </c>
      <c r="AZ283">
        <v>6</v>
      </c>
      <c r="BA283">
        <v>0</v>
      </c>
      <c r="BB283">
        <v>8</v>
      </c>
      <c r="BC283">
        <v>4</v>
      </c>
      <c r="BD283">
        <v>4</v>
      </c>
      <c r="BE283">
        <v>0</v>
      </c>
      <c r="BF283">
        <v>20</v>
      </c>
    </row>
    <row r="284" spans="1:58">
      <c r="A284" t="s">
        <v>17169</v>
      </c>
      <c r="B284" t="s">
        <v>17184</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row>
    <row r="285" spans="1:58">
      <c r="A285" t="s">
        <v>17169</v>
      </c>
      <c r="B285" t="s">
        <v>17358</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s="21">
        <v>5000</v>
      </c>
    </row>
    <row r="286" spans="1:58">
      <c r="A286" t="s">
        <v>17300</v>
      </c>
      <c r="B286" t="s">
        <v>17301</v>
      </c>
      <c r="C286">
        <v>0</v>
      </c>
      <c r="D286">
        <v>7</v>
      </c>
      <c r="E286">
        <v>7</v>
      </c>
      <c r="F286">
        <v>7</v>
      </c>
      <c r="G286">
        <v>1</v>
      </c>
      <c r="H286">
        <v>0</v>
      </c>
      <c r="I286">
        <v>0</v>
      </c>
      <c r="J286">
        <v>7</v>
      </c>
      <c r="K286">
        <v>38</v>
      </c>
      <c r="L286">
        <v>3</v>
      </c>
      <c r="M286">
        <v>1</v>
      </c>
      <c r="N286">
        <v>2</v>
      </c>
      <c r="O286">
        <v>1</v>
      </c>
      <c r="P286">
        <v>0</v>
      </c>
      <c r="Q286">
        <v>0</v>
      </c>
      <c r="R286">
        <v>0</v>
      </c>
      <c r="S286">
        <v>0.75</v>
      </c>
      <c r="T286">
        <v>1.25</v>
      </c>
      <c r="U286">
        <v>2.5</v>
      </c>
      <c r="V286">
        <v>4.5</v>
      </c>
      <c r="W286">
        <v>32.5</v>
      </c>
      <c r="X286">
        <v>0</v>
      </c>
      <c r="Y286">
        <v>6</v>
      </c>
      <c r="Z286">
        <v>0</v>
      </c>
      <c r="AA286">
        <v>0</v>
      </c>
      <c r="AB286">
        <v>0</v>
      </c>
      <c r="AC286">
        <v>0</v>
      </c>
      <c r="AD286">
        <v>0</v>
      </c>
      <c r="AE286">
        <v>0</v>
      </c>
      <c r="AF286">
        <v>0</v>
      </c>
      <c r="AG286">
        <v>82.5</v>
      </c>
      <c r="AH286">
        <v>82.5</v>
      </c>
      <c r="AI286">
        <v>0</v>
      </c>
      <c r="AJ286">
        <v>0</v>
      </c>
      <c r="AK286">
        <v>0</v>
      </c>
      <c r="AL286">
        <v>0</v>
      </c>
      <c r="AM286">
        <v>0</v>
      </c>
      <c r="AN286">
        <v>0</v>
      </c>
      <c r="AO286">
        <v>0</v>
      </c>
      <c r="AP286">
        <v>0</v>
      </c>
      <c r="AQ286">
        <v>0</v>
      </c>
      <c r="AR286">
        <v>0</v>
      </c>
      <c r="AS286">
        <v>0</v>
      </c>
      <c r="AT286">
        <v>38</v>
      </c>
      <c r="AU286">
        <v>0</v>
      </c>
      <c r="AV286">
        <v>38</v>
      </c>
      <c r="AW286">
        <v>0</v>
      </c>
      <c r="AX286">
        <v>0.75</v>
      </c>
      <c r="AY286">
        <v>0</v>
      </c>
      <c r="AZ286">
        <v>0.75</v>
      </c>
      <c r="BA286">
        <v>0</v>
      </c>
      <c r="BB286">
        <v>1.25</v>
      </c>
      <c r="BC286">
        <v>0</v>
      </c>
      <c r="BD286">
        <v>1.25</v>
      </c>
      <c r="BE286">
        <v>0</v>
      </c>
      <c r="BF286">
        <v>13</v>
      </c>
    </row>
    <row r="287" spans="1:58">
      <c r="A287" t="s">
        <v>17300</v>
      </c>
      <c r="B287" t="s">
        <v>17378</v>
      </c>
      <c r="C287">
        <v>0</v>
      </c>
      <c r="D287">
        <v>10</v>
      </c>
      <c r="E287">
        <v>10</v>
      </c>
      <c r="F287">
        <v>10</v>
      </c>
      <c r="G287">
        <v>0</v>
      </c>
      <c r="H287">
        <v>0</v>
      </c>
      <c r="I287">
        <v>0</v>
      </c>
      <c r="J287">
        <v>10</v>
      </c>
      <c r="K287">
        <v>53</v>
      </c>
      <c r="L287">
        <v>7</v>
      </c>
      <c r="M287">
        <v>3</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53</v>
      </c>
      <c r="AU287">
        <v>0</v>
      </c>
      <c r="AV287">
        <v>53</v>
      </c>
      <c r="AW287">
        <v>0</v>
      </c>
      <c r="AX287">
        <v>0</v>
      </c>
      <c r="AY287">
        <v>0</v>
      </c>
      <c r="AZ287">
        <v>0</v>
      </c>
      <c r="BA287">
        <v>0</v>
      </c>
      <c r="BB287">
        <v>0</v>
      </c>
      <c r="BC287">
        <v>0</v>
      </c>
      <c r="BD287">
        <v>0</v>
      </c>
      <c r="BE287">
        <v>0</v>
      </c>
      <c r="BF287">
        <v>25</v>
      </c>
    </row>
    <row r="288" spans="1:58">
      <c r="A288" t="s">
        <v>17300</v>
      </c>
      <c r="B288" t="s">
        <v>17329</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s="21">
        <v>3956</v>
      </c>
    </row>
    <row r="289" spans="1:58">
      <c r="A289" t="s">
        <v>17300</v>
      </c>
      <c r="B289" t="s">
        <v>17316</v>
      </c>
      <c r="C289">
        <v>7</v>
      </c>
      <c r="D289">
        <v>14</v>
      </c>
      <c r="E289">
        <v>14</v>
      </c>
      <c r="F289">
        <v>14</v>
      </c>
      <c r="G289">
        <v>0</v>
      </c>
      <c r="H289">
        <v>0</v>
      </c>
      <c r="I289">
        <v>0</v>
      </c>
      <c r="J289">
        <v>14</v>
      </c>
      <c r="K289">
        <v>46</v>
      </c>
      <c r="L289">
        <v>4</v>
      </c>
      <c r="M289">
        <v>7</v>
      </c>
      <c r="N289">
        <v>0</v>
      </c>
      <c r="O289">
        <v>0</v>
      </c>
      <c r="P289">
        <v>2</v>
      </c>
      <c r="Q289">
        <v>1</v>
      </c>
      <c r="R289">
        <v>0</v>
      </c>
      <c r="S289">
        <v>0.75</v>
      </c>
      <c r="T289">
        <v>0.75</v>
      </c>
      <c r="U289">
        <v>0.75</v>
      </c>
      <c r="V289">
        <v>2.25</v>
      </c>
      <c r="W289">
        <v>7.5</v>
      </c>
      <c r="X289">
        <v>0</v>
      </c>
      <c r="Y289">
        <v>1</v>
      </c>
      <c r="Z289">
        <v>0</v>
      </c>
      <c r="AA289">
        <v>-15</v>
      </c>
      <c r="AB289">
        <v>0</v>
      </c>
      <c r="AC289">
        <v>0</v>
      </c>
      <c r="AD289">
        <v>0</v>
      </c>
      <c r="AE289">
        <v>0</v>
      </c>
      <c r="AF289">
        <v>0</v>
      </c>
      <c r="AG289">
        <v>22.5</v>
      </c>
      <c r="AH289">
        <v>22.5</v>
      </c>
      <c r="AI289">
        <v>0</v>
      </c>
      <c r="AJ289">
        <v>0</v>
      </c>
      <c r="AK289">
        <v>0</v>
      </c>
      <c r="AL289">
        <v>0</v>
      </c>
      <c r="AM289">
        <v>0</v>
      </c>
      <c r="AN289">
        <v>0</v>
      </c>
      <c r="AO289">
        <v>0</v>
      </c>
      <c r="AP289">
        <v>0</v>
      </c>
      <c r="AQ289">
        <v>0</v>
      </c>
      <c r="AR289">
        <v>0</v>
      </c>
      <c r="AS289">
        <v>0</v>
      </c>
      <c r="AT289">
        <v>46</v>
      </c>
      <c r="AU289">
        <v>0</v>
      </c>
      <c r="AV289">
        <v>23</v>
      </c>
      <c r="AW289">
        <v>23</v>
      </c>
      <c r="AX289">
        <v>0.75</v>
      </c>
      <c r="AY289">
        <v>0</v>
      </c>
      <c r="AZ289">
        <v>0.25</v>
      </c>
      <c r="BA289">
        <v>0.5</v>
      </c>
      <c r="BB289">
        <v>0.75</v>
      </c>
      <c r="BC289">
        <v>0</v>
      </c>
      <c r="BD289">
        <v>0.25</v>
      </c>
      <c r="BE289">
        <v>0.5</v>
      </c>
      <c r="BF289">
        <v>17</v>
      </c>
    </row>
    <row r="290" spans="1:58">
      <c r="A290" t="s">
        <v>17300</v>
      </c>
      <c r="B290" t="s">
        <v>17381</v>
      </c>
      <c r="C290">
        <v>7</v>
      </c>
      <c r="D290">
        <v>10</v>
      </c>
      <c r="E290">
        <v>5</v>
      </c>
      <c r="F290">
        <v>8</v>
      </c>
      <c r="G290">
        <v>0</v>
      </c>
      <c r="H290">
        <v>0</v>
      </c>
      <c r="I290">
        <v>0</v>
      </c>
      <c r="J290">
        <v>10</v>
      </c>
      <c r="K290">
        <v>64</v>
      </c>
      <c r="L290">
        <v>4</v>
      </c>
      <c r="M290">
        <v>0</v>
      </c>
      <c r="N290">
        <v>2</v>
      </c>
      <c r="O290">
        <v>3</v>
      </c>
      <c r="P290">
        <v>1</v>
      </c>
      <c r="Q290">
        <v>0</v>
      </c>
      <c r="R290">
        <v>0</v>
      </c>
      <c r="S290">
        <v>10.75</v>
      </c>
      <c r="T290">
        <v>0</v>
      </c>
      <c r="U290">
        <v>7</v>
      </c>
      <c r="V290">
        <v>17.75</v>
      </c>
      <c r="W290">
        <v>15</v>
      </c>
      <c r="X290">
        <v>0</v>
      </c>
      <c r="Y290">
        <v>2</v>
      </c>
      <c r="Z290">
        <v>1</v>
      </c>
      <c r="AA290">
        <v>-92.5</v>
      </c>
      <c r="AB290">
        <v>0</v>
      </c>
      <c r="AC290">
        <v>0</v>
      </c>
      <c r="AD290">
        <v>0</v>
      </c>
      <c r="AE290">
        <v>0</v>
      </c>
      <c r="AF290">
        <v>0</v>
      </c>
      <c r="AG290">
        <v>155</v>
      </c>
      <c r="AH290">
        <v>155</v>
      </c>
      <c r="AI290">
        <v>0</v>
      </c>
      <c r="AJ290">
        <v>0</v>
      </c>
      <c r="AK290">
        <v>0</v>
      </c>
      <c r="AL290">
        <v>0</v>
      </c>
      <c r="AM290">
        <v>0</v>
      </c>
      <c r="AN290">
        <v>0</v>
      </c>
      <c r="AO290">
        <v>0</v>
      </c>
      <c r="AP290">
        <v>0</v>
      </c>
      <c r="AQ290">
        <v>0</v>
      </c>
      <c r="AR290">
        <v>0</v>
      </c>
      <c r="AS290">
        <v>0</v>
      </c>
      <c r="AT290">
        <v>64</v>
      </c>
      <c r="AU290">
        <v>0</v>
      </c>
      <c r="AV290">
        <v>20</v>
      </c>
      <c r="AW290">
        <v>44</v>
      </c>
      <c r="AX290">
        <v>10.75</v>
      </c>
      <c r="AY290">
        <v>0</v>
      </c>
      <c r="AZ290">
        <v>1.5</v>
      </c>
      <c r="BA290">
        <v>9.25</v>
      </c>
      <c r="BB290">
        <v>0</v>
      </c>
      <c r="BC290">
        <v>0</v>
      </c>
      <c r="BD290">
        <v>0</v>
      </c>
      <c r="BE290">
        <v>0</v>
      </c>
      <c r="BF290">
        <v>6</v>
      </c>
    </row>
    <row r="291" spans="1:58">
      <c r="A291" t="s">
        <v>17300</v>
      </c>
      <c r="B291" t="s">
        <v>17339</v>
      </c>
      <c r="C291">
        <v>0</v>
      </c>
      <c r="D291">
        <v>15</v>
      </c>
      <c r="E291">
        <v>15</v>
      </c>
      <c r="F291">
        <v>15</v>
      </c>
      <c r="G291">
        <v>0</v>
      </c>
      <c r="H291">
        <v>0</v>
      </c>
      <c r="I291">
        <v>0</v>
      </c>
      <c r="J291">
        <v>15</v>
      </c>
      <c r="K291">
        <v>44</v>
      </c>
      <c r="L291">
        <v>13</v>
      </c>
      <c r="M291">
        <v>2</v>
      </c>
      <c r="N291">
        <v>0</v>
      </c>
      <c r="O291">
        <v>0</v>
      </c>
      <c r="P291">
        <v>0</v>
      </c>
      <c r="Q291">
        <v>0</v>
      </c>
      <c r="R291">
        <v>0</v>
      </c>
      <c r="S291">
        <v>5.3</v>
      </c>
      <c r="T291">
        <v>0.75</v>
      </c>
      <c r="U291">
        <v>0</v>
      </c>
      <c r="V291">
        <v>3.55</v>
      </c>
      <c r="W291">
        <v>66</v>
      </c>
      <c r="X291">
        <v>0</v>
      </c>
      <c r="Y291">
        <v>10</v>
      </c>
      <c r="Z291">
        <v>0</v>
      </c>
      <c r="AA291">
        <v>0</v>
      </c>
      <c r="AB291">
        <v>0</v>
      </c>
      <c r="AC291">
        <v>0</v>
      </c>
      <c r="AD291">
        <v>0</v>
      </c>
      <c r="AE291">
        <v>0</v>
      </c>
      <c r="AF291">
        <v>0</v>
      </c>
      <c r="AG291">
        <v>66</v>
      </c>
      <c r="AH291">
        <v>66</v>
      </c>
      <c r="AI291">
        <v>0</v>
      </c>
      <c r="AJ291">
        <v>0</v>
      </c>
      <c r="AK291">
        <v>0</v>
      </c>
      <c r="AL291">
        <v>0</v>
      </c>
      <c r="AM291">
        <v>0</v>
      </c>
      <c r="AN291">
        <v>0</v>
      </c>
      <c r="AO291">
        <v>0</v>
      </c>
      <c r="AP291">
        <v>0</v>
      </c>
      <c r="AQ291">
        <v>0</v>
      </c>
      <c r="AR291">
        <v>0</v>
      </c>
      <c r="AS291">
        <v>0</v>
      </c>
      <c r="AT291">
        <v>44</v>
      </c>
      <c r="AU291">
        <v>0</v>
      </c>
      <c r="AV291">
        <v>44</v>
      </c>
      <c r="AW291">
        <v>0</v>
      </c>
      <c r="AX291">
        <v>5.3</v>
      </c>
      <c r="AY291">
        <v>0</v>
      </c>
      <c r="AZ291">
        <v>5.3</v>
      </c>
      <c r="BA291">
        <v>0</v>
      </c>
      <c r="BB291">
        <v>0.75</v>
      </c>
      <c r="BC291">
        <v>0</v>
      </c>
      <c r="BD291">
        <v>0.75</v>
      </c>
      <c r="BE291">
        <v>0</v>
      </c>
      <c r="BF291">
        <v>0</v>
      </c>
    </row>
    <row r="292" spans="1:58">
      <c r="A292" t="s">
        <v>17185</v>
      </c>
      <c r="B292" t="s">
        <v>18852</v>
      </c>
      <c r="C292">
        <v>0</v>
      </c>
      <c r="D292">
        <v>5</v>
      </c>
      <c r="E292">
        <v>5</v>
      </c>
      <c r="F292">
        <v>5</v>
      </c>
      <c r="G292">
        <v>0</v>
      </c>
      <c r="H292">
        <v>0</v>
      </c>
      <c r="I292">
        <v>0</v>
      </c>
      <c r="J292">
        <v>5</v>
      </c>
      <c r="K292">
        <v>57</v>
      </c>
      <c r="L292">
        <v>0</v>
      </c>
      <c r="M292">
        <v>0</v>
      </c>
      <c r="N292">
        <v>0</v>
      </c>
      <c r="O292">
        <v>3</v>
      </c>
      <c r="P292">
        <v>0</v>
      </c>
      <c r="Q292">
        <v>2</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57</v>
      </c>
      <c r="AU292">
        <v>0</v>
      </c>
      <c r="AV292">
        <v>57</v>
      </c>
      <c r="AW292">
        <v>0</v>
      </c>
      <c r="AX292">
        <v>0</v>
      </c>
      <c r="AY292">
        <v>0</v>
      </c>
      <c r="AZ292">
        <v>0</v>
      </c>
      <c r="BA292">
        <v>0</v>
      </c>
      <c r="BB292">
        <v>0</v>
      </c>
      <c r="BC292">
        <v>0</v>
      </c>
      <c r="BD292">
        <v>0</v>
      </c>
      <c r="BE292">
        <v>0</v>
      </c>
      <c r="BF292">
        <v>5</v>
      </c>
    </row>
    <row r="293" spans="1:58">
      <c r="A293" t="s">
        <v>17188</v>
      </c>
      <c r="B293" t="s">
        <v>17189</v>
      </c>
      <c r="C293">
        <v>10</v>
      </c>
      <c r="D293">
        <v>33</v>
      </c>
      <c r="E293">
        <v>0</v>
      </c>
      <c r="F293">
        <v>0</v>
      </c>
      <c r="G293">
        <v>0</v>
      </c>
      <c r="H293">
        <v>0</v>
      </c>
      <c r="I293">
        <v>0</v>
      </c>
      <c r="J293">
        <v>33</v>
      </c>
      <c r="K293">
        <v>285</v>
      </c>
      <c r="L293">
        <v>18</v>
      </c>
      <c r="M293">
        <v>7</v>
      </c>
      <c r="N293">
        <v>1</v>
      </c>
      <c r="O293">
        <v>2</v>
      </c>
      <c r="P293">
        <v>0</v>
      </c>
      <c r="Q293">
        <v>5</v>
      </c>
      <c r="R293">
        <v>0</v>
      </c>
      <c r="S293">
        <v>134</v>
      </c>
      <c r="T293">
        <v>269.75</v>
      </c>
      <c r="U293">
        <v>0</v>
      </c>
      <c r="V293">
        <v>403.75</v>
      </c>
      <c r="W293" s="20">
        <v>6735</v>
      </c>
      <c r="X293">
        <v>0</v>
      </c>
      <c r="Y293">
        <v>2</v>
      </c>
      <c r="Z293">
        <v>2</v>
      </c>
      <c r="AA293">
        <v>0</v>
      </c>
      <c r="AB293" s="20">
        <v>6555</v>
      </c>
      <c r="AC293" s="20">
        <v>4451.6499999999996</v>
      </c>
      <c r="AD293" s="20">
        <v>3615.65</v>
      </c>
      <c r="AE293">
        <v>0</v>
      </c>
      <c r="AF293" s="20">
        <v>10170.65</v>
      </c>
      <c r="AG293" s="20">
        <v>11186.65</v>
      </c>
      <c r="AH293" s="20">
        <v>11186.65</v>
      </c>
      <c r="AI293">
        <v>0</v>
      </c>
      <c r="AJ293">
        <v>0</v>
      </c>
      <c r="AK293">
        <v>0</v>
      </c>
      <c r="AL293">
        <v>0</v>
      </c>
      <c r="AM293">
        <v>0</v>
      </c>
      <c r="AN293">
        <v>0</v>
      </c>
      <c r="AO293">
        <v>0</v>
      </c>
      <c r="AP293">
        <v>0</v>
      </c>
      <c r="AQ293">
        <v>0</v>
      </c>
      <c r="AR293">
        <v>0</v>
      </c>
      <c r="AS293">
        <v>0</v>
      </c>
      <c r="AT293">
        <v>285</v>
      </c>
      <c r="AU293">
        <v>0</v>
      </c>
      <c r="AV293">
        <v>192</v>
      </c>
      <c r="AW293">
        <v>93</v>
      </c>
      <c r="AX293">
        <v>134</v>
      </c>
      <c r="AY293">
        <v>0</v>
      </c>
      <c r="AZ293">
        <v>134</v>
      </c>
      <c r="BA293">
        <v>0</v>
      </c>
      <c r="BB293">
        <v>269.75</v>
      </c>
      <c r="BC293">
        <v>0</v>
      </c>
      <c r="BD293">
        <v>269.75</v>
      </c>
      <c r="BE293">
        <v>0</v>
      </c>
      <c r="BF293">
        <v>425</v>
      </c>
    </row>
    <row r="294" spans="1:58">
      <c r="A294" t="s">
        <v>17191</v>
      </c>
      <c r="B294" t="s">
        <v>17192</v>
      </c>
      <c r="C294">
        <v>0</v>
      </c>
      <c r="D294">
        <v>14</v>
      </c>
      <c r="E294">
        <v>14</v>
      </c>
      <c r="F294">
        <v>14</v>
      </c>
      <c r="G294">
        <v>2</v>
      </c>
      <c r="H294">
        <v>2</v>
      </c>
      <c r="I294">
        <v>2</v>
      </c>
      <c r="J294">
        <v>14</v>
      </c>
      <c r="K294">
        <v>215</v>
      </c>
      <c r="L294">
        <v>3</v>
      </c>
      <c r="M294">
        <v>4</v>
      </c>
      <c r="N294">
        <v>2</v>
      </c>
      <c r="O294">
        <v>5</v>
      </c>
      <c r="P294">
        <v>0</v>
      </c>
      <c r="Q294">
        <v>0</v>
      </c>
      <c r="R294">
        <v>0</v>
      </c>
      <c r="S294">
        <v>2.25</v>
      </c>
      <c r="T294">
        <v>6.5</v>
      </c>
      <c r="U294">
        <v>0.5</v>
      </c>
      <c r="V294">
        <v>9.25</v>
      </c>
      <c r="W294">
        <v>152.5</v>
      </c>
      <c r="X294">
        <v>0</v>
      </c>
      <c r="Y294">
        <v>4</v>
      </c>
      <c r="Z294">
        <v>0</v>
      </c>
      <c r="AA294">
        <v>0</v>
      </c>
      <c r="AB294">
        <v>67.5</v>
      </c>
      <c r="AC294">
        <v>7.65</v>
      </c>
      <c r="AD294">
        <v>7.65</v>
      </c>
      <c r="AE294">
        <v>75.150000000000006</v>
      </c>
      <c r="AF294">
        <v>75.150000000000006</v>
      </c>
      <c r="AG294">
        <v>170.15</v>
      </c>
      <c r="AH294">
        <v>95</v>
      </c>
      <c r="AI294">
        <v>0</v>
      </c>
      <c r="AJ294">
        <v>0</v>
      </c>
      <c r="AK294">
        <v>0</v>
      </c>
      <c r="AL294">
        <v>0</v>
      </c>
      <c r="AM294">
        <v>0</v>
      </c>
      <c r="AN294">
        <v>1</v>
      </c>
      <c r="AO294">
        <v>1</v>
      </c>
      <c r="AP294">
        <v>0</v>
      </c>
      <c r="AQ294">
        <v>0</v>
      </c>
      <c r="AR294">
        <v>0</v>
      </c>
      <c r="AS294">
        <v>0</v>
      </c>
      <c r="AT294">
        <v>215</v>
      </c>
      <c r="AU294">
        <v>42</v>
      </c>
      <c r="AV294">
        <v>173</v>
      </c>
      <c r="AW294">
        <v>0</v>
      </c>
      <c r="AX294">
        <v>2.25</v>
      </c>
      <c r="AY294">
        <v>0</v>
      </c>
      <c r="AZ294">
        <v>2.25</v>
      </c>
      <c r="BA294">
        <v>0</v>
      </c>
      <c r="BB294">
        <v>6.5</v>
      </c>
      <c r="BC294">
        <v>0</v>
      </c>
      <c r="BD294">
        <v>6.5</v>
      </c>
      <c r="BE294">
        <v>0</v>
      </c>
      <c r="BF294">
        <v>0</v>
      </c>
    </row>
    <row r="295" spans="1:58">
      <c r="A295" t="s">
        <v>17193</v>
      </c>
      <c r="B295" t="s">
        <v>17194</v>
      </c>
      <c r="C295">
        <v>0</v>
      </c>
      <c r="D295">
        <v>26</v>
      </c>
      <c r="E295">
        <v>24</v>
      </c>
      <c r="F295">
        <v>22</v>
      </c>
      <c r="G295">
        <v>1</v>
      </c>
      <c r="H295">
        <v>1</v>
      </c>
      <c r="I295">
        <v>2</v>
      </c>
      <c r="J295">
        <v>26</v>
      </c>
      <c r="K295">
        <v>284</v>
      </c>
      <c r="L295">
        <v>7</v>
      </c>
      <c r="M295">
        <v>2</v>
      </c>
      <c r="N295">
        <v>3</v>
      </c>
      <c r="O295">
        <v>10</v>
      </c>
      <c r="P295">
        <v>2</v>
      </c>
      <c r="Q295">
        <v>2</v>
      </c>
      <c r="R295">
        <v>0</v>
      </c>
      <c r="S295">
        <v>12.75</v>
      </c>
      <c r="T295">
        <v>18.5</v>
      </c>
      <c r="U295">
        <v>0.25</v>
      </c>
      <c r="V295">
        <v>31.5</v>
      </c>
      <c r="W295">
        <v>497.5</v>
      </c>
      <c r="X295">
        <v>0</v>
      </c>
      <c r="Y295">
        <v>20</v>
      </c>
      <c r="Z295">
        <v>6</v>
      </c>
      <c r="AA295">
        <v>0</v>
      </c>
      <c r="AB295">
        <v>212.5</v>
      </c>
      <c r="AC295">
        <v>20.75</v>
      </c>
      <c r="AD295">
        <v>20.75</v>
      </c>
      <c r="AE295">
        <v>130.75</v>
      </c>
      <c r="AF295">
        <v>233.25</v>
      </c>
      <c r="AG295">
        <v>523.25</v>
      </c>
      <c r="AH295">
        <v>392.5</v>
      </c>
      <c r="AI295">
        <v>115.75</v>
      </c>
      <c r="AJ295">
        <v>218.25</v>
      </c>
      <c r="AK295">
        <v>278.25</v>
      </c>
      <c r="AL295">
        <v>162.5</v>
      </c>
      <c r="AM295">
        <v>0</v>
      </c>
      <c r="AN295">
        <v>1</v>
      </c>
      <c r="AO295">
        <v>0</v>
      </c>
      <c r="AP295">
        <v>1</v>
      </c>
      <c r="AQ295">
        <v>0</v>
      </c>
      <c r="AR295">
        <v>0</v>
      </c>
      <c r="AS295">
        <v>0</v>
      </c>
      <c r="AT295">
        <v>284</v>
      </c>
      <c r="AU295">
        <v>11</v>
      </c>
      <c r="AV295">
        <v>273</v>
      </c>
      <c r="AW295">
        <v>0</v>
      </c>
      <c r="AX295">
        <v>12.75</v>
      </c>
      <c r="AY295">
        <v>4</v>
      </c>
      <c r="AZ295">
        <v>8.75</v>
      </c>
      <c r="BA295">
        <v>0</v>
      </c>
      <c r="BB295">
        <v>18.5</v>
      </c>
      <c r="BC295">
        <v>11.25</v>
      </c>
      <c r="BD295">
        <v>7.25</v>
      </c>
      <c r="BE295">
        <v>0</v>
      </c>
      <c r="BF295">
        <v>0</v>
      </c>
    </row>
    <row r="296" spans="1:58">
      <c r="A296" t="s">
        <v>17193</v>
      </c>
      <c r="B296" t="s">
        <v>17195</v>
      </c>
      <c r="C296">
        <v>0</v>
      </c>
      <c r="D296">
        <v>20</v>
      </c>
      <c r="E296">
        <v>20</v>
      </c>
      <c r="F296">
        <v>15</v>
      </c>
      <c r="G296">
        <v>4</v>
      </c>
      <c r="H296">
        <v>4</v>
      </c>
      <c r="I296">
        <v>1</v>
      </c>
      <c r="J296">
        <v>19</v>
      </c>
      <c r="K296">
        <v>204</v>
      </c>
      <c r="L296">
        <v>15</v>
      </c>
      <c r="M296">
        <v>1</v>
      </c>
      <c r="N296">
        <v>1</v>
      </c>
      <c r="O296">
        <v>1</v>
      </c>
      <c r="P296">
        <v>1</v>
      </c>
      <c r="Q296">
        <v>0</v>
      </c>
      <c r="R296">
        <v>0</v>
      </c>
      <c r="S296">
        <v>5.5</v>
      </c>
      <c r="T296">
        <v>0</v>
      </c>
      <c r="U296">
        <v>0</v>
      </c>
      <c r="V296">
        <v>5.5</v>
      </c>
      <c r="W296">
        <v>55</v>
      </c>
      <c r="X296">
        <v>0</v>
      </c>
      <c r="Y296">
        <v>19</v>
      </c>
      <c r="Z296">
        <v>0</v>
      </c>
      <c r="AA296">
        <v>0</v>
      </c>
      <c r="AB296">
        <v>0</v>
      </c>
      <c r="AC296">
        <v>290.75</v>
      </c>
      <c r="AD296">
        <v>290.75</v>
      </c>
      <c r="AE296">
        <v>290.75</v>
      </c>
      <c r="AF296">
        <v>290.75</v>
      </c>
      <c r="AG296">
        <v>345.75</v>
      </c>
      <c r="AH296">
        <v>55</v>
      </c>
      <c r="AI296">
        <v>104</v>
      </c>
      <c r="AJ296">
        <v>104</v>
      </c>
      <c r="AK296">
        <v>114</v>
      </c>
      <c r="AL296">
        <v>10</v>
      </c>
      <c r="AM296">
        <v>1</v>
      </c>
      <c r="AN296">
        <v>4</v>
      </c>
      <c r="AO296">
        <v>0</v>
      </c>
      <c r="AP296">
        <v>1</v>
      </c>
      <c r="AQ296">
        <v>0</v>
      </c>
      <c r="AR296">
        <v>0</v>
      </c>
      <c r="AS296">
        <v>0</v>
      </c>
      <c r="AT296">
        <v>204</v>
      </c>
      <c r="AU296">
        <v>19</v>
      </c>
      <c r="AV296">
        <v>185</v>
      </c>
      <c r="AW296">
        <v>0</v>
      </c>
      <c r="AX296">
        <v>5.5</v>
      </c>
      <c r="AY296">
        <v>1</v>
      </c>
      <c r="AZ296">
        <v>4.5</v>
      </c>
      <c r="BA296">
        <v>0</v>
      </c>
      <c r="BB296">
        <v>0</v>
      </c>
      <c r="BC296">
        <v>0</v>
      </c>
      <c r="BD296">
        <v>0</v>
      </c>
      <c r="BE296">
        <v>0</v>
      </c>
      <c r="BF296">
        <v>30</v>
      </c>
    </row>
    <row r="297" spans="1:58">
      <c r="A297" t="s">
        <v>17193</v>
      </c>
      <c r="B297" t="s">
        <v>17196</v>
      </c>
      <c r="C297">
        <v>0</v>
      </c>
      <c r="D297">
        <v>23</v>
      </c>
      <c r="E297">
        <v>23</v>
      </c>
      <c r="F297">
        <v>19</v>
      </c>
      <c r="G297">
        <v>1</v>
      </c>
      <c r="H297">
        <v>3</v>
      </c>
      <c r="I297">
        <v>1</v>
      </c>
      <c r="J297">
        <v>23</v>
      </c>
      <c r="K297">
        <v>278</v>
      </c>
      <c r="L297">
        <v>18</v>
      </c>
      <c r="M297">
        <v>0</v>
      </c>
      <c r="N297">
        <v>1</v>
      </c>
      <c r="O297">
        <v>3</v>
      </c>
      <c r="P297">
        <v>0</v>
      </c>
      <c r="Q297">
        <v>0</v>
      </c>
      <c r="R297">
        <v>0</v>
      </c>
      <c r="S297">
        <v>29.75</v>
      </c>
      <c r="T297">
        <v>20.5</v>
      </c>
      <c r="U297">
        <v>0</v>
      </c>
      <c r="V297">
        <v>50.25</v>
      </c>
      <c r="W297">
        <v>707.5</v>
      </c>
      <c r="X297">
        <v>0</v>
      </c>
      <c r="Y297">
        <v>23</v>
      </c>
      <c r="Z297">
        <v>0</v>
      </c>
      <c r="AA297">
        <v>0</v>
      </c>
      <c r="AB297">
        <v>300</v>
      </c>
      <c r="AC297">
        <v>336.25</v>
      </c>
      <c r="AD297">
        <v>336.25</v>
      </c>
      <c r="AE297">
        <v>530.25</v>
      </c>
      <c r="AF297">
        <v>636.25</v>
      </c>
      <c r="AG297" s="20">
        <v>1013.75</v>
      </c>
      <c r="AH297">
        <v>483.5</v>
      </c>
      <c r="AI297">
        <v>302.75</v>
      </c>
      <c r="AJ297">
        <v>391.75</v>
      </c>
      <c r="AK297">
        <v>481.75</v>
      </c>
      <c r="AL297">
        <v>179</v>
      </c>
      <c r="AM297">
        <v>0</v>
      </c>
      <c r="AN297">
        <v>7</v>
      </c>
      <c r="AO297">
        <v>3</v>
      </c>
      <c r="AP297">
        <v>1</v>
      </c>
      <c r="AQ297">
        <v>0</v>
      </c>
      <c r="AR297">
        <v>0</v>
      </c>
      <c r="AS297">
        <v>0</v>
      </c>
      <c r="AT297">
        <v>278</v>
      </c>
      <c r="AU297">
        <v>65</v>
      </c>
      <c r="AV297">
        <v>213</v>
      </c>
      <c r="AW297">
        <v>0</v>
      </c>
      <c r="AX297">
        <v>29.75</v>
      </c>
      <c r="AY297">
        <v>11</v>
      </c>
      <c r="AZ297">
        <v>18.75</v>
      </c>
      <c r="BA297">
        <v>0</v>
      </c>
      <c r="BB297">
        <v>20.5</v>
      </c>
      <c r="BC297">
        <v>10</v>
      </c>
      <c r="BD297">
        <v>10.5</v>
      </c>
      <c r="BE297">
        <v>0</v>
      </c>
      <c r="BF297">
        <v>0</v>
      </c>
    </row>
    <row r="298" spans="1:58">
      <c r="A298" t="s">
        <v>17193</v>
      </c>
      <c r="B298" t="s">
        <v>17206</v>
      </c>
      <c r="C298">
        <v>16</v>
      </c>
      <c r="D298">
        <v>37</v>
      </c>
      <c r="E298">
        <v>12</v>
      </c>
      <c r="F298">
        <v>28</v>
      </c>
      <c r="G298">
        <v>4</v>
      </c>
      <c r="H298">
        <v>7</v>
      </c>
      <c r="I298">
        <v>3</v>
      </c>
      <c r="J298">
        <v>37</v>
      </c>
      <c r="K298">
        <v>926</v>
      </c>
      <c r="L298">
        <v>27</v>
      </c>
      <c r="M298">
        <v>4</v>
      </c>
      <c r="N298">
        <v>4</v>
      </c>
      <c r="O298">
        <v>1</v>
      </c>
      <c r="P298">
        <v>0</v>
      </c>
      <c r="Q298">
        <v>1</v>
      </c>
      <c r="R298">
        <v>0</v>
      </c>
      <c r="S298">
        <v>132.25</v>
      </c>
      <c r="T298">
        <v>56.75</v>
      </c>
      <c r="U298">
        <v>8</v>
      </c>
      <c r="V298">
        <v>197</v>
      </c>
      <c r="W298" s="20">
        <v>2252.5</v>
      </c>
      <c r="X298">
        <v>0</v>
      </c>
      <c r="Y298">
        <v>20</v>
      </c>
      <c r="Z298">
        <v>0</v>
      </c>
      <c r="AA298">
        <v>-205</v>
      </c>
      <c r="AB298" s="20">
        <v>1770</v>
      </c>
      <c r="AC298" s="20">
        <v>15479.7</v>
      </c>
      <c r="AD298" s="20">
        <v>15479.7</v>
      </c>
      <c r="AE298" s="20">
        <v>16159.7</v>
      </c>
      <c r="AF298" s="20">
        <v>17249.7</v>
      </c>
      <c r="AG298" s="20">
        <v>17892.2</v>
      </c>
      <c r="AH298" s="20">
        <v>1732.5</v>
      </c>
      <c r="AI298" s="20">
        <v>1038.5</v>
      </c>
      <c r="AJ298" s="20">
        <v>2078.5</v>
      </c>
      <c r="AK298" s="20">
        <v>2261</v>
      </c>
      <c r="AL298" s="20">
        <v>1222.5</v>
      </c>
      <c r="AM298">
        <v>1</v>
      </c>
      <c r="AN298">
        <v>4</v>
      </c>
      <c r="AO298">
        <v>0</v>
      </c>
      <c r="AP298">
        <v>2</v>
      </c>
      <c r="AQ298">
        <v>1</v>
      </c>
      <c r="AR298">
        <v>2</v>
      </c>
      <c r="AS298">
        <v>0</v>
      </c>
      <c r="AT298">
        <v>926</v>
      </c>
      <c r="AU298">
        <v>144</v>
      </c>
      <c r="AV298">
        <v>401</v>
      </c>
      <c r="AW298">
        <v>381</v>
      </c>
      <c r="AX298">
        <v>132.25</v>
      </c>
      <c r="AY298">
        <v>91.25</v>
      </c>
      <c r="AZ298">
        <v>28.5</v>
      </c>
      <c r="BA298">
        <v>12.5</v>
      </c>
      <c r="BB298">
        <v>56.75</v>
      </c>
      <c r="BC298">
        <v>41.5</v>
      </c>
      <c r="BD298">
        <v>11.25</v>
      </c>
      <c r="BE298">
        <v>4</v>
      </c>
      <c r="BF298" s="21">
        <v>1991</v>
      </c>
    </row>
    <row r="299" spans="1:58">
      <c r="A299" t="s">
        <v>17197</v>
      </c>
      <c r="B299" t="s">
        <v>17198</v>
      </c>
      <c r="C299">
        <v>0</v>
      </c>
      <c r="D299">
        <v>4</v>
      </c>
      <c r="E299">
        <v>4</v>
      </c>
      <c r="F299">
        <v>4</v>
      </c>
      <c r="G299">
        <v>0</v>
      </c>
      <c r="H299">
        <v>2</v>
      </c>
      <c r="I299">
        <v>0</v>
      </c>
      <c r="J299">
        <v>4</v>
      </c>
      <c r="K299">
        <v>39</v>
      </c>
      <c r="L299">
        <v>1</v>
      </c>
      <c r="M299">
        <v>1</v>
      </c>
      <c r="N299">
        <v>0</v>
      </c>
      <c r="O299">
        <v>0</v>
      </c>
      <c r="P299">
        <v>0</v>
      </c>
      <c r="Q299">
        <v>2</v>
      </c>
      <c r="R299">
        <v>0</v>
      </c>
      <c r="S299">
        <v>0</v>
      </c>
      <c r="T299">
        <v>0</v>
      </c>
      <c r="U299">
        <v>0</v>
      </c>
      <c r="V299">
        <v>0</v>
      </c>
      <c r="W299">
        <v>0</v>
      </c>
      <c r="X299" s="4">
        <v>0</v>
      </c>
      <c r="Y299">
        <v>0</v>
      </c>
      <c r="Z299">
        <v>0</v>
      </c>
      <c r="AA299" s="4">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39</v>
      </c>
      <c r="AU299">
        <v>19</v>
      </c>
      <c r="AV299">
        <v>20</v>
      </c>
      <c r="AW299">
        <v>0</v>
      </c>
      <c r="AX299">
        <v>0</v>
      </c>
      <c r="AY299">
        <v>0</v>
      </c>
      <c r="AZ299">
        <v>0</v>
      </c>
      <c r="BA299">
        <v>0</v>
      </c>
      <c r="BB299">
        <v>0</v>
      </c>
      <c r="BC299">
        <v>0</v>
      </c>
      <c r="BD299">
        <v>0</v>
      </c>
      <c r="BE299">
        <v>0</v>
      </c>
    </row>
    <row r="300" spans="1:58">
      <c r="A300" t="s">
        <v>17197</v>
      </c>
      <c r="B300" t="s">
        <v>17198</v>
      </c>
      <c r="C300">
        <v>2</v>
      </c>
      <c r="D300">
        <v>3</v>
      </c>
      <c r="E300">
        <v>2</v>
      </c>
      <c r="F300">
        <v>2</v>
      </c>
      <c r="G300">
        <v>1</v>
      </c>
      <c r="H300">
        <v>0</v>
      </c>
      <c r="I300">
        <v>0</v>
      </c>
      <c r="J300">
        <v>3</v>
      </c>
      <c r="K300">
        <v>44</v>
      </c>
      <c r="L300">
        <v>1</v>
      </c>
      <c r="M300">
        <v>0</v>
      </c>
      <c r="N300">
        <v>2</v>
      </c>
      <c r="O300">
        <v>0</v>
      </c>
      <c r="P300">
        <v>0</v>
      </c>
      <c r="Q300">
        <v>0</v>
      </c>
      <c r="R300">
        <v>0</v>
      </c>
      <c r="S300">
        <v>6</v>
      </c>
      <c r="T300">
        <v>0.5</v>
      </c>
      <c r="U300">
        <v>0.5</v>
      </c>
      <c r="V300">
        <v>7</v>
      </c>
      <c r="W300">
        <v>20</v>
      </c>
      <c r="X300">
        <v>0</v>
      </c>
      <c r="Y300">
        <v>1</v>
      </c>
      <c r="Z300">
        <v>0</v>
      </c>
      <c r="AA300">
        <v>-50</v>
      </c>
      <c r="AB300">
        <v>0</v>
      </c>
      <c r="AC300">
        <v>0</v>
      </c>
      <c r="AD300">
        <v>0</v>
      </c>
      <c r="AE300">
        <v>0</v>
      </c>
      <c r="AF300">
        <v>0</v>
      </c>
      <c r="AG300">
        <v>30</v>
      </c>
      <c r="AH300">
        <v>30</v>
      </c>
      <c r="AI300">
        <v>0</v>
      </c>
      <c r="AJ300">
        <v>0</v>
      </c>
      <c r="AK300">
        <v>0</v>
      </c>
      <c r="AL300">
        <v>0</v>
      </c>
      <c r="AM300">
        <v>0</v>
      </c>
      <c r="AN300">
        <v>0</v>
      </c>
      <c r="AO300">
        <v>0</v>
      </c>
      <c r="AP300">
        <v>0</v>
      </c>
      <c r="AQ300">
        <v>0</v>
      </c>
      <c r="AR300">
        <v>0</v>
      </c>
      <c r="AS300">
        <v>0</v>
      </c>
      <c r="AT300">
        <v>44</v>
      </c>
      <c r="AU300">
        <v>0</v>
      </c>
      <c r="AV300">
        <v>13</v>
      </c>
      <c r="AW300">
        <v>31</v>
      </c>
      <c r="AX300">
        <v>6</v>
      </c>
      <c r="AY300">
        <v>0</v>
      </c>
      <c r="AZ300">
        <v>2</v>
      </c>
      <c r="BA300">
        <v>4</v>
      </c>
      <c r="BB300">
        <v>0.5</v>
      </c>
      <c r="BC300">
        <v>0</v>
      </c>
      <c r="BD300">
        <v>0</v>
      </c>
      <c r="BE300">
        <v>0.5</v>
      </c>
    </row>
    <row r="301" spans="1:58">
      <c r="A301" t="s">
        <v>17197</v>
      </c>
      <c r="B301" t="s">
        <v>17198</v>
      </c>
      <c r="C301">
        <v>0</v>
      </c>
      <c r="D301">
        <v>3</v>
      </c>
      <c r="E301">
        <v>0</v>
      </c>
      <c r="F301">
        <v>0</v>
      </c>
      <c r="G301">
        <v>0</v>
      </c>
      <c r="H301">
        <v>0</v>
      </c>
      <c r="I301">
        <v>0</v>
      </c>
      <c r="J301">
        <v>3</v>
      </c>
      <c r="K301">
        <v>56</v>
      </c>
      <c r="L301">
        <v>1</v>
      </c>
      <c r="M301">
        <v>1</v>
      </c>
      <c r="N301">
        <v>0</v>
      </c>
      <c r="O301">
        <v>0</v>
      </c>
      <c r="P301">
        <v>0</v>
      </c>
      <c r="Q301">
        <v>0</v>
      </c>
      <c r="R301">
        <v>0</v>
      </c>
      <c r="S301">
        <v>4</v>
      </c>
      <c r="T301">
        <v>3</v>
      </c>
      <c r="U301">
        <v>0</v>
      </c>
      <c r="V301">
        <v>7</v>
      </c>
      <c r="W301">
        <v>100</v>
      </c>
      <c r="X301">
        <v>0</v>
      </c>
      <c r="Y301">
        <v>3</v>
      </c>
      <c r="Z301">
        <v>0</v>
      </c>
      <c r="AA301">
        <v>0</v>
      </c>
      <c r="AB301">
        <v>10</v>
      </c>
      <c r="AC301">
        <v>0</v>
      </c>
      <c r="AD301">
        <v>0</v>
      </c>
      <c r="AE301">
        <v>0</v>
      </c>
      <c r="AF301">
        <v>10</v>
      </c>
      <c r="AG301">
        <v>100</v>
      </c>
      <c r="AH301">
        <v>100</v>
      </c>
      <c r="AI301">
        <v>0</v>
      </c>
      <c r="AJ301">
        <v>0</v>
      </c>
      <c r="AK301">
        <v>0</v>
      </c>
      <c r="AL301">
        <v>0</v>
      </c>
      <c r="AM301">
        <v>0</v>
      </c>
      <c r="AN301">
        <v>0</v>
      </c>
      <c r="AO301">
        <v>0</v>
      </c>
      <c r="AP301">
        <v>0</v>
      </c>
      <c r="AQ301">
        <v>0</v>
      </c>
      <c r="AR301">
        <v>0</v>
      </c>
      <c r="AS301">
        <v>0</v>
      </c>
      <c r="AT301">
        <v>56</v>
      </c>
      <c r="AU301">
        <v>0</v>
      </c>
      <c r="AV301">
        <v>56</v>
      </c>
      <c r="AW301">
        <v>0</v>
      </c>
      <c r="AX301">
        <v>4</v>
      </c>
      <c r="AY301">
        <v>0</v>
      </c>
      <c r="AZ301">
        <v>4</v>
      </c>
      <c r="BA301">
        <v>0</v>
      </c>
      <c r="BB301">
        <v>3</v>
      </c>
      <c r="BC301">
        <v>0</v>
      </c>
      <c r="BD301">
        <v>3</v>
      </c>
      <c r="BE30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86F2C-EB67-E64D-B3D7-06F88116CFDB}">
  <dimension ref="A1:BF288"/>
  <sheetViews>
    <sheetView workbookViewId="0"/>
  </sheetViews>
  <sheetFormatPr baseColWidth="10" defaultRowHeight="15"/>
  <cols>
    <col min="1" max="1" width="48.6640625" customWidth="1"/>
    <col min="2" max="2" width="70.83203125" customWidth="1"/>
  </cols>
  <sheetData>
    <row r="1" spans="1:58" ht="17" customHeight="1">
      <c r="A1" t="s">
        <v>17292</v>
      </c>
      <c r="B1" t="s">
        <v>16796</v>
      </c>
      <c r="C1" t="s">
        <v>19940</v>
      </c>
      <c r="D1" t="s">
        <v>16821</v>
      </c>
      <c r="E1" t="s">
        <v>16822</v>
      </c>
      <c r="F1" t="s">
        <v>16823</v>
      </c>
      <c r="G1" s="1" t="s">
        <v>19941</v>
      </c>
      <c r="H1" t="s">
        <v>16825</v>
      </c>
      <c r="I1" s="1" t="s">
        <v>19942</v>
      </c>
      <c r="J1" s="1" t="s">
        <v>19943</v>
      </c>
      <c r="K1" t="s">
        <v>16828</v>
      </c>
      <c r="L1" t="s">
        <v>16829</v>
      </c>
      <c r="M1" t="s">
        <v>16830</v>
      </c>
      <c r="N1" s="1" t="s">
        <v>19944</v>
      </c>
      <c r="O1" t="s">
        <v>16832</v>
      </c>
      <c r="P1" t="s">
        <v>16833</v>
      </c>
      <c r="Q1" s="1" t="s">
        <v>19945</v>
      </c>
      <c r="R1" s="1" t="s">
        <v>19946</v>
      </c>
      <c r="S1" s="1" t="s">
        <v>19947</v>
      </c>
      <c r="T1" t="s">
        <v>19948</v>
      </c>
      <c r="U1" s="1" t="s">
        <v>19949</v>
      </c>
      <c r="V1" s="1" t="s">
        <v>19950</v>
      </c>
      <c r="W1" s="1" t="s">
        <v>19951</v>
      </c>
      <c r="X1" t="s">
        <v>16841</v>
      </c>
      <c r="Y1" s="1" t="s">
        <v>19952</v>
      </c>
      <c r="Z1" s="1" t="s">
        <v>19953</v>
      </c>
      <c r="AA1" t="s">
        <v>16844</v>
      </c>
      <c r="AB1" s="1" t="s">
        <v>19954</v>
      </c>
      <c r="AC1" s="1" t="s">
        <v>19955</v>
      </c>
      <c r="AD1" s="1" t="s">
        <v>19956</v>
      </c>
      <c r="AE1" t="s">
        <v>16848</v>
      </c>
      <c r="AF1" s="1" t="s">
        <v>19957</v>
      </c>
      <c r="AG1" s="1" t="s">
        <v>19958</v>
      </c>
      <c r="AH1" s="1" t="s">
        <v>19959</v>
      </c>
      <c r="AI1" t="s">
        <v>16852</v>
      </c>
      <c r="AJ1" t="s">
        <v>16853</v>
      </c>
      <c r="AK1" t="s">
        <v>16854</v>
      </c>
      <c r="AL1" t="s">
        <v>16855</v>
      </c>
      <c r="AM1" t="s">
        <v>18775</v>
      </c>
      <c r="AN1" t="s">
        <v>19324</v>
      </c>
      <c r="AO1" t="s">
        <v>18777</v>
      </c>
      <c r="AP1" t="s">
        <v>18778</v>
      </c>
      <c r="AQ1" t="s">
        <v>18779</v>
      </c>
      <c r="AR1" t="s">
        <v>18780</v>
      </c>
      <c r="AS1" t="s">
        <v>18781</v>
      </c>
      <c r="AT1" t="s">
        <v>16856</v>
      </c>
      <c r="AU1" t="s">
        <v>16857</v>
      </c>
      <c r="AV1" t="s">
        <v>16858</v>
      </c>
      <c r="AW1" t="s">
        <v>19960</v>
      </c>
      <c r="AX1" t="s">
        <v>16860</v>
      </c>
      <c r="AY1" t="s">
        <v>16861</v>
      </c>
      <c r="AZ1" t="s">
        <v>16862</v>
      </c>
      <c r="BA1" t="s">
        <v>16863</v>
      </c>
      <c r="BB1" t="s">
        <v>16864</v>
      </c>
      <c r="BC1" t="s">
        <v>16865</v>
      </c>
      <c r="BD1" t="s">
        <v>16866</v>
      </c>
      <c r="BE1" t="s">
        <v>16867</v>
      </c>
      <c r="BF1" t="s">
        <v>18782</v>
      </c>
    </row>
    <row r="2" spans="1:58">
      <c r="A2" t="s">
        <v>16869</v>
      </c>
      <c r="B2" t="s">
        <v>17346</v>
      </c>
      <c r="C2">
        <v>0</v>
      </c>
      <c r="D2">
        <v>1</v>
      </c>
      <c r="E2">
        <v>1</v>
      </c>
      <c r="F2">
        <v>1</v>
      </c>
      <c r="G2">
        <v>0</v>
      </c>
      <c r="H2">
        <v>0</v>
      </c>
      <c r="I2">
        <v>0</v>
      </c>
      <c r="J2">
        <v>1</v>
      </c>
      <c r="K2">
        <v>14</v>
      </c>
      <c r="L2">
        <v>1</v>
      </c>
      <c r="M2">
        <v>0</v>
      </c>
      <c r="N2">
        <v>0</v>
      </c>
      <c r="O2">
        <v>0</v>
      </c>
      <c r="P2">
        <v>0</v>
      </c>
      <c r="Q2">
        <v>0</v>
      </c>
      <c r="R2">
        <v>0</v>
      </c>
      <c r="S2">
        <v>1</v>
      </c>
      <c r="T2">
        <v>1</v>
      </c>
      <c r="U2">
        <v>0</v>
      </c>
      <c r="V2">
        <v>2</v>
      </c>
      <c r="W2">
        <v>30</v>
      </c>
      <c r="X2">
        <v>0</v>
      </c>
      <c r="Y2">
        <v>1</v>
      </c>
      <c r="Z2">
        <v>0</v>
      </c>
      <c r="AA2">
        <v>0</v>
      </c>
      <c r="AB2">
        <v>0</v>
      </c>
      <c r="AC2">
        <v>0</v>
      </c>
      <c r="AD2">
        <v>0</v>
      </c>
      <c r="AE2">
        <v>0</v>
      </c>
      <c r="AF2">
        <v>0</v>
      </c>
      <c r="AG2">
        <v>30</v>
      </c>
      <c r="AH2">
        <v>30</v>
      </c>
      <c r="AI2">
        <v>0</v>
      </c>
      <c r="AJ2">
        <v>0</v>
      </c>
      <c r="AK2">
        <v>0</v>
      </c>
      <c r="AL2">
        <v>0</v>
      </c>
      <c r="AM2">
        <v>0</v>
      </c>
      <c r="AN2">
        <v>0</v>
      </c>
      <c r="AO2">
        <v>0</v>
      </c>
      <c r="AP2">
        <v>0</v>
      </c>
      <c r="AQ2">
        <v>0</v>
      </c>
      <c r="AR2">
        <v>0</v>
      </c>
      <c r="AS2">
        <v>0</v>
      </c>
      <c r="AT2">
        <v>14</v>
      </c>
      <c r="AU2">
        <v>0</v>
      </c>
      <c r="AV2">
        <v>14</v>
      </c>
      <c r="AW2">
        <v>0</v>
      </c>
      <c r="AX2">
        <v>1</v>
      </c>
      <c r="AY2">
        <v>0</v>
      </c>
      <c r="AZ2">
        <v>1</v>
      </c>
      <c r="BA2">
        <v>0</v>
      </c>
      <c r="BB2">
        <v>1</v>
      </c>
      <c r="BC2">
        <v>0</v>
      </c>
      <c r="BD2">
        <v>1</v>
      </c>
      <c r="BE2">
        <v>0</v>
      </c>
      <c r="BF2">
        <v>1</v>
      </c>
    </row>
    <row r="3" spans="1:58">
      <c r="A3" t="s">
        <v>16869</v>
      </c>
      <c r="B3" t="s">
        <v>19961</v>
      </c>
      <c r="C3">
        <v>0</v>
      </c>
      <c r="D3">
        <v>10</v>
      </c>
      <c r="E3">
        <v>10</v>
      </c>
      <c r="F3">
        <v>7</v>
      </c>
      <c r="G3">
        <v>0</v>
      </c>
      <c r="H3">
        <v>0</v>
      </c>
      <c r="I3">
        <v>0</v>
      </c>
      <c r="J3">
        <v>10</v>
      </c>
      <c r="K3">
        <v>69</v>
      </c>
      <c r="L3">
        <v>5</v>
      </c>
      <c r="M3">
        <v>2</v>
      </c>
      <c r="N3">
        <v>3</v>
      </c>
      <c r="O3">
        <v>0</v>
      </c>
      <c r="P3">
        <v>0</v>
      </c>
      <c r="Q3">
        <v>0</v>
      </c>
      <c r="R3">
        <v>0</v>
      </c>
      <c r="S3">
        <v>3.5</v>
      </c>
      <c r="T3">
        <v>1.5</v>
      </c>
      <c r="U3">
        <v>0</v>
      </c>
      <c r="V3">
        <v>5</v>
      </c>
      <c r="W3">
        <v>65</v>
      </c>
      <c r="X3">
        <v>0</v>
      </c>
      <c r="Y3">
        <v>8</v>
      </c>
      <c r="Z3">
        <v>0</v>
      </c>
      <c r="AA3">
        <v>0</v>
      </c>
      <c r="AB3">
        <v>0</v>
      </c>
      <c r="AC3">
        <v>0</v>
      </c>
      <c r="AD3">
        <v>0</v>
      </c>
      <c r="AE3">
        <v>0</v>
      </c>
      <c r="AF3">
        <v>0</v>
      </c>
      <c r="AG3">
        <v>65</v>
      </c>
      <c r="AH3">
        <v>65</v>
      </c>
      <c r="AI3">
        <v>0</v>
      </c>
      <c r="AJ3">
        <v>0</v>
      </c>
      <c r="AK3">
        <v>0</v>
      </c>
      <c r="AL3">
        <v>0</v>
      </c>
      <c r="AM3">
        <v>0</v>
      </c>
      <c r="AN3">
        <v>0</v>
      </c>
      <c r="AO3">
        <v>0</v>
      </c>
      <c r="AP3">
        <v>0</v>
      </c>
      <c r="AQ3">
        <v>0</v>
      </c>
      <c r="AR3">
        <v>0</v>
      </c>
      <c r="AS3">
        <v>0</v>
      </c>
      <c r="AT3">
        <v>69</v>
      </c>
      <c r="AU3">
        <v>0</v>
      </c>
      <c r="AV3">
        <v>69</v>
      </c>
      <c r="AW3">
        <v>0</v>
      </c>
      <c r="AX3">
        <v>3.5</v>
      </c>
      <c r="AY3">
        <v>0</v>
      </c>
      <c r="AZ3">
        <v>3.5</v>
      </c>
      <c r="BA3">
        <v>0</v>
      </c>
      <c r="BB3">
        <v>1.5</v>
      </c>
      <c r="BC3">
        <v>0</v>
      </c>
      <c r="BD3">
        <v>1.5</v>
      </c>
      <c r="BE3">
        <v>0</v>
      </c>
      <c r="BF3">
        <v>0</v>
      </c>
    </row>
    <row r="4" spans="1:58">
      <c r="A4" t="s">
        <v>16869</v>
      </c>
      <c r="B4" t="s">
        <v>17498</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row>
    <row r="5" spans="1:58">
      <c r="A5" t="s">
        <v>16869</v>
      </c>
      <c r="B5" t="s">
        <v>18784</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row>
    <row r="6" spans="1:58">
      <c r="A6" t="s">
        <v>16869</v>
      </c>
      <c r="B6" t="s">
        <v>17200</v>
      </c>
      <c r="C6">
        <v>0</v>
      </c>
      <c r="D6">
        <v>375</v>
      </c>
      <c r="E6">
        <v>375</v>
      </c>
      <c r="F6">
        <v>338</v>
      </c>
      <c r="G6">
        <v>34</v>
      </c>
      <c r="H6">
        <v>8</v>
      </c>
      <c r="I6">
        <v>8</v>
      </c>
      <c r="J6">
        <v>375</v>
      </c>
      <c r="K6" s="21">
        <v>1794</v>
      </c>
      <c r="L6">
        <v>338</v>
      </c>
      <c r="M6">
        <v>3</v>
      </c>
      <c r="N6">
        <v>6</v>
      </c>
      <c r="O6">
        <v>15</v>
      </c>
      <c r="P6">
        <v>2</v>
      </c>
      <c r="Q6">
        <v>11</v>
      </c>
      <c r="R6">
        <v>0</v>
      </c>
      <c r="S6">
        <v>28.25</v>
      </c>
      <c r="T6">
        <v>28</v>
      </c>
      <c r="U6">
        <v>0</v>
      </c>
      <c r="V6">
        <v>56.25</v>
      </c>
      <c r="W6">
        <v>842.5</v>
      </c>
      <c r="X6">
        <v>0</v>
      </c>
      <c r="Y6">
        <v>53</v>
      </c>
      <c r="Z6">
        <v>2</v>
      </c>
      <c r="AA6">
        <v>0</v>
      </c>
      <c r="AB6">
        <v>252.5</v>
      </c>
      <c r="AC6" s="20">
        <v>1641.73</v>
      </c>
      <c r="AD6" s="20">
        <v>1459.64</v>
      </c>
      <c r="AE6" s="20">
        <v>1442.31</v>
      </c>
      <c r="AF6" s="20">
        <v>1712.14</v>
      </c>
      <c r="AG6" s="20">
        <v>2484.23</v>
      </c>
      <c r="AH6" s="20">
        <v>1041.92</v>
      </c>
      <c r="AI6">
        <v>996.32</v>
      </c>
      <c r="AJ6" s="20">
        <v>1239.6500000000001</v>
      </c>
      <c r="AK6" s="20">
        <v>1414.65</v>
      </c>
      <c r="AL6">
        <v>418.33</v>
      </c>
      <c r="AM6">
        <v>114</v>
      </c>
      <c r="AN6">
        <v>35</v>
      </c>
      <c r="AO6">
        <v>0</v>
      </c>
      <c r="AP6">
        <v>0</v>
      </c>
      <c r="AQ6">
        <v>1</v>
      </c>
      <c r="AR6">
        <v>0</v>
      </c>
      <c r="AS6">
        <v>0</v>
      </c>
      <c r="AT6" s="21">
        <v>1794</v>
      </c>
      <c r="AU6">
        <v>168</v>
      </c>
      <c r="AV6" s="21">
        <v>1626</v>
      </c>
      <c r="AW6">
        <v>0</v>
      </c>
      <c r="AX6">
        <v>28.25</v>
      </c>
      <c r="AY6">
        <v>5.5</v>
      </c>
      <c r="AZ6">
        <v>22.75</v>
      </c>
      <c r="BA6">
        <v>0</v>
      </c>
      <c r="BB6">
        <v>28</v>
      </c>
      <c r="BC6">
        <v>16.75</v>
      </c>
      <c r="BD6">
        <v>11.25</v>
      </c>
      <c r="BE6">
        <v>0</v>
      </c>
      <c r="BF6">
        <v>374</v>
      </c>
    </row>
    <row r="7" spans="1:58">
      <c r="A7" t="s">
        <v>16869</v>
      </c>
      <c r="B7" t="s">
        <v>16872</v>
      </c>
      <c r="C7">
        <v>79</v>
      </c>
      <c r="D7">
        <v>83</v>
      </c>
      <c r="E7">
        <v>77</v>
      </c>
      <c r="F7">
        <v>75</v>
      </c>
      <c r="G7">
        <v>0</v>
      </c>
      <c r="H7">
        <v>0</v>
      </c>
      <c r="I7">
        <v>0</v>
      </c>
      <c r="J7">
        <v>46</v>
      </c>
      <c r="K7">
        <v>580</v>
      </c>
      <c r="L7">
        <v>20</v>
      </c>
      <c r="M7">
        <v>7</v>
      </c>
      <c r="N7">
        <v>16</v>
      </c>
      <c r="O7">
        <v>2</v>
      </c>
      <c r="P7">
        <v>0</v>
      </c>
      <c r="Q7">
        <v>2</v>
      </c>
      <c r="R7">
        <v>0</v>
      </c>
      <c r="S7">
        <v>38.5</v>
      </c>
      <c r="T7">
        <v>54.75</v>
      </c>
      <c r="U7">
        <v>0</v>
      </c>
      <c r="V7">
        <v>91.25</v>
      </c>
      <c r="W7">
        <v>127.5</v>
      </c>
      <c r="X7">
        <v>0</v>
      </c>
      <c r="Y7">
        <v>2</v>
      </c>
      <c r="Z7">
        <v>0</v>
      </c>
      <c r="AA7" s="20">
        <v>-1302.5</v>
      </c>
      <c r="AB7">
        <v>90</v>
      </c>
      <c r="AC7" s="21">
        <v>1435</v>
      </c>
      <c r="AD7" s="21">
        <v>1435</v>
      </c>
      <c r="AE7" s="20">
        <v>1543.75</v>
      </c>
      <c r="AF7" s="21">
        <v>1545</v>
      </c>
      <c r="AG7" s="20">
        <v>1562.5</v>
      </c>
      <c r="AH7">
        <v>38.75</v>
      </c>
      <c r="AI7">
        <v>0</v>
      </c>
      <c r="AJ7">
        <v>0</v>
      </c>
      <c r="AK7">
        <v>0</v>
      </c>
      <c r="AL7">
        <v>0</v>
      </c>
      <c r="AM7">
        <v>7</v>
      </c>
      <c r="AN7">
        <v>9</v>
      </c>
      <c r="AO7">
        <v>3</v>
      </c>
      <c r="AP7">
        <v>2</v>
      </c>
      <c r="AQ7">
        <v>1</v>
      </c>
      <c r="AR7">
        <v>0</v>
      </c>
      <c r="AS7">
        <v>0</v>
      </c>
      <c r="AT7">
        <v>580</v>
      </c>
      <c r="AU7">
        <v>0</v>
      </c>
      <c r="AV7">
        <v>77</v>
      </c>
      <c r="AW7">
        <v>503</v>
      </c>
      <c r="AX7">
        <v>38.5</v>
      </c>
      <c r="AY7">
        <v>0</v>
      </c>
      <c r="AZ7">
        <v>3.25</v>
      </c>
      <c r="BA7">
        <v>35.25</v>
      </c>
      <c r="BB7">
        <v>54.75</v>
      </c>
      <c r="BC7">
        <v>0</v>
      </c>
      <c r="BD7">
        <v>7.25</v>
      </c>
      <c r="BE7">
        <v>47.5</v>
      </c>
      <c r="BF7">
        <v>81</v>
      </c>
    </row>
    <row r="8" spans="1:58">
      <c r="A8" t="s">
        <v>16869</v>
      </c>
      <c r="B8" t="s">
        <v>16873</v>
      </c>
      <c r="C8">
        <v>0</v>
      </c>
      <c r="D8">
        <v>8</v>
      </c>
      <c r="E8">
        <v>8</v>
      </c>
      <c r="F8">
        <v>6</v>
      </c>
      <c r="G8">
        <v>1</v>
      </c>
      <c r="H8">
        <v>1</v>
      </c>
      <c r="I8">
        <v>1</v>
      </c>
      <c r="J8">
        <v>8</v>
      </c>
      <c r="K8">
        <v>69</v>
      </c>
      <c r="L8">
        <v>2</v>
      </c>
      <c r="M8">
        <v>2</v>
      </c>
      <c r="N8">
        <v>2</v>
      </c>
      <c r="O8">
        <v>0</v>
      </c>
      <c r="P8">
        <v>1</v>
      </c>
      <c r="Q8">
        <v>1</v>
      </c>
      <c r="R8">
        <v>0</v>
      </c>
      <c r="S8">
        <v>251.5</v>
      </c>
      <c r="T8">
        <v>501.5</v>
      </c>
      <c r="U8">
        <v>0</v>
      </c>
      <c r="V8">
        <v>752</v>
      </c>
      <c r="W8" s="21">
        <v>12545</v>
      </c>
      <c r="X8">
        <v>0</v>
      </c>
      <c r="Y8">
        <v>3</v>
      </c>
      <c r="Z8">
        <v>0</v>
      </c>
      <c r="AA8">
        <v>0</v>
      </c>
      <c r="AB8" s="21">
        <v>12470</v>
      </c>
      <c r="AC8">
        <v>3.75</v>
      </c>
      <c r="AD8">
        <v>0</v>
      </c>
      <c r="AE8">
        <v>3.75</v>
      </c>
      <c r="AF8" s="21">
        <v>12470</v>
      </c>
      <c r="AG8" s="20">
        <v>12548.75</v>
      </c>
      <c r="AH8" s="21">
        <v>12545</v>
      </c>
      <c r="AI8">
        <v>0</v>
      </c>
      <c r="AJ8" s="21">
        <v>12470</v>
      </c>
      <c r="AK8" s="21">
        <v>12500</v>
      </c>
      <c r="AL8" s="21">
        <v>12500</v>
      </c>
      <c r="AM8">
        <v>0</v>
      </c>
      <c r="AN8">
        <v>0</v>
      </c>
      <c r="AO8">
        <v>0</v>
      </c>
      <c r="AP8">
        <v>0</v>
      </c>
      <c r="AQ8">
        <v>0</v>
      </c>
      <c r="AR8">
        <v>0</v>
      </c>
      <c r="AS8">
        <v>0</v>
      </c>
      <c r="AT8">
        <v>69</v>
      </c>
      <c r="AU8">
        <v>0</v>
      </c>
      <c r="AV8">
        <v>57</v>
      </c>
      <c r="AW8">
        <v>36</v>
      </c>
      <c r="AX8">
        <v>252.5</v>
      </c>
      <c r="AY8">
        <v>250</v>
      </c>
      <c r="AZ8">
        <v>2.5</v>
      </c>
      <c r="BA8">
        <v>0</v>
      </c>
      <c r="BB8">
        <v>502.5</v>
      </c>
      <c r="BC8">
        <v>500</v>
      </c>
      <c r="BD8">
        <v>2.5</v>
      </c>
      <c r="BE8">
        <v>0</v>
      </c>
      <c r="BF8">
        <v>607</v>
      </c>
    </row>
    <row r="9" spans="1:58">
      <c r="A9" t="s">
        <v>16874</v>
      </c>
      <c r="B9" t="s">
        <v>16875</v>
      </c>
      <c r="C9">
        <v>0</v>
      </c>
      <c r="D9">
        <v>1</v>
      </c>
      <c r="E9">
        <v>1</v>
      </c>
      <c r="F9">
        <v>1</v>
      </c>
      <c r="G9">
        <v>0</v>
      </c>
      <c r="H9">
        <v>0</v>
      </c>
      <c r="I9">
        <v>0</v>
      </c>
      <c r="J9">
        <v>1</v>
      </c>
      <c r="K9">
        <v>2</v>
      </c>
      <c r="L9">
        <v>1</v>
      </c>
      <c r="M9">
        <v>0</v>
      </c>
      <c r="N9">
        <v>0</v>
      </c>
      <c r="O9">
        <v>0</v>
      </c>
      <c r="P9">
        <v>0</v>
      </c>
      <c r="Q9">
        <v>0</v>
      </c>
      <c r="R9">
        <v>0</v>
      </c>
      <c r="S9">
        <v>0.25</v>
      </c>
      <c r="T9">
        <v>0</v>
      </c>
      <c r="U9">
        <v>0</v>
      </c>
      <c r="V9">
        <v>0.25</v>
      </c>
      <c r="W9">
        <v>2.5</v>
      </c>
      <c r="X9">
        <v>0</v>
      </c>
      <c r="Y9">
        <v>0</v>
      </c>
      <c r="Z9">
        <v>1</v>
      </c>
      <c r="AA9">
        <v>0</v>
      </c>
      <c r="AB9">
        <v>0</v>
      </c>
      <c r="AC9">
        <v>0</v>
      </c>
      <c r="AD9">
        <v>0</v>
      </c>
      <c r="AE9">
        <v>0</v>
      </c>
      <c r="AF9">
        <v>0</v>
      </c>
      <c r="AG9">
        <v>2.5</v>
      </c>
      <c r="AH9">
        <v>2.5</v>
      </c>
      <c r="AI9">
        <v>0</v>
      </c>
      <c r="AJ9">
        <v>0</v>
      </c>
      <c r="AK9">
        <v>0</v>
      </c>
      <c r="AL9">
        <v>0</v>
      </c>
      <c r="AM9">
        <v>0</v>
      </c>
      <c r="AN9">
        <v>0</v>
      </c>
      <c r="AO9">
        <v>0</v>
      </c>
      <c r="AP9">
        <v>0</v>
      </c>
      <c r="AQ9">
        <v>0</v>
      </c>
      <c r="AR9">
        <v>0</v>
      </c>
      <c r="AS9">
        <v>0</v>
      </c>
      <c r="AT9">
        <v>2</v>
      </c>
      <c r="AU9">
        <v>0</v>
      </c>
      <c r="AV9">
        <v>2</v>
      </c>
      <c r="AW9">
        <v>0</v>
      </c>
      <c r="AX9">
        <v>0.25</v>
      </c>
      <c r="AY9">
        <v>0</v>
      </c>
      <c r="AZ9">
        <v>0.25</v>
      </c>
      <c r="BA9">
        <v>0</v>
      </c>
      <c r="BB9">
        <v>0</v>
      </c>
      <c r="BC9">
        <v>0</v>
      </c>
      <c r="BD9">
        <v>0</v>
      </c>
      <c r="BE9">
        <v>0</v>
      </c>
      <c r="BF9">
        <v>0</v>
      </c>
    </row>
    <row r="10" spans="1:58">
      <c r="A10" t="s">
        <v>16876</v>
      </c>
      <c r="B10" t="s">
        <v>16877</v>
      </c>
      <c r="C10">
        <v>0</v>
      </c>
      <c r="D10">
        <v>8</v>
      </c>
      <c r="E10">
        <v>8</v>
      </c>
      <c r="F10">
        <v>8</v>
      </c>
      <c r="G10">
        <v>0</v>
      </c>
      <c r="H10">
        <v>0</v>
      </c>
      <c r="I10">
        <v>0</v>
      </c>
      <c r="J10">
        <v>8</v>
      </c>
      <c r="K10">
        <v>24</v>
      </c>
      <c r="L10">
        <v>1</v>
      </c>
      <c r="M10">
        <v>6</v>
      </c>
      <c r="N10">
        <v>0</v>
      </c>
      <c r="O10">
        <v>1</v>
      </c>
      <c r="P10">
        <v>0</v>
      </c>
      <c r="Q10">
        <v>0</v>
      </c>
      <c r="R10">
        <v>0</v>
      </c>
      <c r="S10">
        <v>2</v>
      </c>
      <c r="T10">
        <v>0</v>
      </c>
      <c r="U10">
        <v>0</v>
      </c>
      <c r="V10">
        <v>2</v>
      </c>
      <c r="W10">
        <v>20</v>
      </c>
      <c r="X10">
        <v>0</v>
      </c>
      <c r="Y10">
        <v>1</v>
      </c>
      <c r="Z10">
        <v>0</v>
      </c>
      <c r="AA10">
        <v>0</v>
      </c>
      <c r="AB10">
        <v>0</v>
      </c>
      <c r="AC10">
        <v>0</v>
      </c>
      <c r="AD10">
        <v>0</v>
      </c>
      <c r="AE10">
        <v>0</v>
      </c>
      <c r="AF10">
        <v>0</v>
      </c>
      <c r="AG10">
        <v>20</v>
      </c>
      <c r="AH10">
        <v>20</v>
      </c>
      <c r="AI10">
        <v>0</v>
      </c>
      <c r="AJ10">
        <v>0</v>
      </c>
      <c r="AK10">
        <v>0</v>
      </c>
      <c r="AL10">
        <v>0</v>
      </c>
      <c r="AM10">
        <v>0</v>
      </c>
      <c r="AN10">
        <v>0</v>
      </c>
      <c r="AO10">
        <v>0</v>
      </c>
      <c r="AP10">
        <v>0</v>
      </c>
      <c r="AQ10">
        <v>0</v>
      </c>
      <c r="AR10">
        <v>0</v>
      </c>
      <c r="AS10">
        <v>0</v>
      </c>
      <c r="AT10">
        <v>24</v>
      </c>
      <c r="AU10">
        <v>0</v>
      </c>
      <c r="AV10">
        <v>24</v>
      </c>
      <c r="AW10">
        <v>0</v>
      </c>
      <c r="AX10">
        <v>2</v>
      </c>
      <c r="AY10">
        <v>0</v>
      </c>
      <c r="AZ10">
        <v>2</v>
      </c>
      <c r="BA10">
        <v>0</v>
      </c>
      <c r="BB10">
        <v>0</v>
      </c>
      <c r="BC10">
        <v>0</v>
      </c>
      <c r="BD10">
        <v>0</v>
      </c>
      <c r="BE10">
        <v>0</v>
      </c>
      <c r="BF10">
        <v>480</v>
      </c>
    </row>
    <row r="11" spans="1:58">
      <c r="A11" t="s">
        <v>17496</v>
      </c>
      <c r="B11" t="s">
        <v>17497</v>
      </c>
      <c r="C11">
        <v>0</v>
      </c>
      <c r="D11">
        <v>2</v>
      </c>
      <c r="E11">
        <v>2</v>
      </c>
      <c r="F11">
        <v>2</v>
      </c>
      <c r="G11">
        <v>0</v>
      </c>
      <c r="H11">
        <v>0</v>
      </c>
      <c r="I11">
        <v>0</v>
      </c>
      <c r="J11">
        <v>2</v>
      </c>
      <c r="K11">
        <v>10</v>
      </c>
      <c r="L11">
        <v>1</v>
      </c>
      <c r="M11">
        <v>1</v>
      </c>
      <c r="N11">
        <v>0</v>
      </c>
      <c r="O11">
        <v>0</v>
      </c>
      <c r="P11">
        <v>0</v>
      </c>
      <c r="Q11">
        <v>0</v>
      </c>
      <c r="R11">
        <v>0</v>
      </c>
      <c r="S11">
        <v>0.25</v>
      </c>
      <c r="T11">
        <v>1.25</v>
      </c>
      <c r="U11">
        <v>0</v>
      </c>
      <c r="V11">
        <v>1.5</v>
      </c>
      <c r="W11">
        <v>27.5</v>
      </c>
      <c r="X11">
        <v>0</v>
      </c>
      <c r="Y11">
        <v>1</v>
      </c>
      <c r="Z11">
        <v>0</v>
      </c>
      <c r="AA11">
        <v>0</v>
      </c>
      <c r="AB11">
        <v>0</v>
      </c>
      <c r="AC11">
        <v>12.5</v>
      </c>
      <c r="AD11">
        <v>12.5</v>
      </c>
      <c r="AE11">
        <v>12.5</v>
      </c>
      <c r="AF11">
        <v>12.5</v>
      </c>
      <c r="AG11">
        <v>40</v>
      </c>
      <c r="AH11">
        <v>27.5</v>
      </c>
      <c r="AI11">
        <v>0</v>
      </c>
      <c r="AJ11">
        <v>0</v>
      </c>
      <c r="AK11">
        <v>0</v>
      </c>
      <c r="AL11">
        <v>0</v>
      </c>
      <c r="AM11">
        <v>0</v>
      </c>
      <c r="AN11">
        <v>1</v>
      </c>
      <c r="AO11">
        <v>0</v>
      </c>
      <c r="AP11">
        <v>0</v>
      </c>
      <c r="AQ11">
        <v>0</v>
      </c>
      <c r="AR11">
        <v>0</v>
      </c>
      <c r="AS11">
        <v>0</v>
      </c>
      <c r="AT11">
        <v>10</v>
      </c>
      <c r="AU11">
        <v>0</v>
      </c>
      <c r="AV11">
        <v>10</v>
      </c>
      <c r="AW11">
        <v>0</v>
      </c>
      <c r="AX11">
        <v>0.25</v>
      </c>
      <c r="AY11">
        <v>0</v>
      </c>
      <c r="AZ11">
        <v>0.25</v>
      </c>
      <c r="BA11">
        <v>0</v>
      </c>
      <c r="BB11">
        <v>1.25</v>
      </c>
      <c r="BC11">
        <v>0</v>
      </c>
      <c r="BD11">
        <v>1.25</v>
      </c>
      <c r="BE11">
        <v>0</v>
      </c>
      <c r="BF11">
        <v>0</v>
      </c>
    </row>
    <row r="12" spans="1:58">
      <c r="A12" t="s">
        <v>19962</v>
      </c>
      <c r="B12" t="s">
        <v>19963</v>
      </c>
      <c r="C12">
        <v>2</v>
      </c>
      <c r="D12">
        <v>2</v>
      </c>
      <c r="E12">
        <v>2</v>
      </c>
      <c r="F12">
        <v>2</v>
      </c>
      <c r="G12">
        <v>0</v>
      </c>
      <c r="H12">
        <v>1</v>
      </c>
      <c r="I12">
        <v>1</v>
      </c>
      <c r="J12">
        <v>2</v>
      </c>
      <c r="K12">
        <v>31</v>
      </c>
      <c r="L12">
        <v>0</v>
      </c>
      <c r="M12">
        <v>0</v>
      </c>
      <c r="N12">
        <v>0</v>
      </c>
      <c r="O12">
        <v>0</v>
      </c>
      <c r="P12">
        <v>0</v>
      </c>
      <c r="Q12">
        <v>2</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31</v>
      </c>
      <c r="AU12">
        <v>20</v>
      </c>
      <c r="AV12">
        <v>0</v>
      </c>
      <c r="AW12">
        <v>31</v>
      </c>
      <c r="AX12">
        <v>0</v>
      </c>
      <c r="AY12">
        <v>0</v>
      </c>
      <c r="AZ12">
        <v>0</v>
      </c>
      <c r="BA12">
        <v>0</v>
      </c>
      <c r="BB12">
        <v>0</v>
      </c>
      <c r="BC12">
        <v>0</v>
      </c>
      <c r="BD12">
        <v>0</v>
      </c>
      <c r="BE12">
        <v>0</v>
      </c>
      <c r="BF12">
        <v>0</v>
      </c>
    </row>
    <row r="13" spans="1:58">
      <c r="A13" t="s">
        <v>16878</v>
      </c>
      <c r="B13" t="s">
        <v>17347</v>
      </c>
      <c r="C13">
        <v>3</v>
      </c>
      <c r="D13">
        <v>8</v>
      </c>
      <c r="E13">
        <v>3</v>
      </c>
      <c r="F13">
        <v>7</v>
      </c>
      <c r="G13">
        <v>5</v>
      </c>
      <c r="H13">
        <v>2</v>
      </c>
      <c r="I13">
        <v>1</v>
      </c>
      <c r="J13">
        <v>7</v>
      </c>
      <c r="K13">
        <v>145</v>
      </c>
      <c r="L13">
        <v>7</v>
      </c>
      <c r="M13">
        <v>0</v>
      </c>
      <c r="N13">
        <v>0</v>
      </c>
      <c r="O13">
        <v>0</v>
      </c>
      <c r="P13">
        <v>0</v>
      </c>
      <c r="Q13">
        <v>0</v>
      </c>
      <c r="R13">
        <v>0</v>
      </c>
      <c r="S13">
        <v>6</v>
      </c>
      <c r="T13">
        <v>15.5</v>
      </c>
      <c r="U13">
        <v>0</v>
      </c>
      <c r="V13">
        <v>21.5</v>
      </c>
      <c r="W13">
        <v>370</v>
      </c>
      <c r="X13">
        <v>0</v>
      </c>
      <c r="Y13">
        <v>1</v>
      </c>
      <c r="Z13">
        <v>2</v>
      </c>
      <c r="AA13">
        <v>0</v>
      </c>
      <c r="AB13">
        <v>240</v>
      </c>
      <c r="AC13">
        <v>56.95</v>
      </c>
      <c r="AD13">
        <v>52.35</v>
      </c>
      <c r="AE13">
        <v>248.55</v>
      </c>
      <c r="AF13">
        <v>292.35000000000002</v>
      </c>
      <c r="AG13">
        <v>426.95</v>
      </c>
      <c r="AH13">
        <v>178.4</v>
      </c>
      <c r="AI13">
        <v>208.3</v>
      </c>
      <c r="AJ13">
        <v>236.85</v>
      </c>
      <c r="AK13">
        <v>301.45</v>
      </c>
      <c r="AL13">
        <v>93.15</v>
      </c>
      <c r="AM13">
        <v>1</v>
      </c>
      <c r="AN13">
        <v>2</v>
      </c>
      <c r="AO13">
        <v>0</v>
      </c>
      <c r="AP13">
        <v>1</v>
      </c>
      <c r="AQ13">
        <v>0</v>
      </c>
      <c r="AR13">
        <v>0</v>
      </c>
      <c r="AS13">
        <v>0</v>
      </c>
      <c r="AT13">
        <v>145</v>
      </c>
      <c r="AU13">
        <v>105</v>
      </c>
      <c r="AV13">
        <v>11</v>
      </c>
      <c r="AW13">
        <v>29</v>
      </c>
      <c r="AX13">
        <v>6</v>
      </c>
      <c r="AY13">
        <v>4</v>
      </c>
      <c r="AZ13">
        <v>2</v>
      </c>
      <c r="BA13">
        <v>0</v>
      </c>
      <c r="BB13">
        <v>15.5</v>
      </c>
      <c r="BC13">
        <v>12.5</v>
      </c>
      <c r="BD13">
        <v>3</v>
      </c>
      <c r="BE13">
        <v>0</v>
      </c>
      <c r="BF13">
        <v>0</v>
      </c>
    </row>
    <row r="14" spans="1:58">
      <c r="A14" t="s">
        <v>17210</v>
      </c>
      <c r="B14" t="s">
        <v>17211</v>
      </c>
      <c r="C14">
        <v>0</v>
      </c>
      <c r="D14">
        <v>7</v>
      </c>
      <c r="E14">
        <v>7</v>
      </c>
      <c r="F14">
        <v>6</v>
      </c>
      <c r="G14">
        <v>0</v>
      </c>
      <c r="H14">
        <v>0</v>
      </c>
      <c r="I14">
        <v>0</v>
      </c>
      <c r="J14">
        <v>7</v>
      </c>
      <c r="K14">
        <v>68</v>
      </c>
      <c r="L14">
        <v>1</v>
      </c>
      <c r="M14">
        <v>1</v>
      </c>
      <c r="N14">
        <v>2</v>
      </c>
      <c r="O14">
        <v>3</v>
      </c>
      <c r="P14">
        <v>0</v>
      </c>
      <c r="Q14">
        <v>0</v>
      </c>
      <c r="R14">
        <v>0</v>
      </c>
      <c r="S14">
        <v>1.25</v>
      </c>
      <c r="T14">
        <v>0.5</v>
      </c>
      <c r="U14">
        <v>0</v>
      </c>
      <c r="V14">
        <v>1.75</v>
      </c>
      <c r="W14">
        <v>22.5</v>
      </c>
      <c r="X14">
        <v>0</v>
      </c>
      <c r="Y14">
        <v>2</v>
      </c>
      <c r="Z14">
        <v>0</v>
      </c>
      <c r="AA14">
        <v>0</v>
      </c>
      <c r="AB14">
        <v>0</v>
      </c>
      <c r="AC14">
        <v>2.75</v>
      </c>
      <c r="AD14">
        <v>2.75</v>
      </c>
      <c r="AE14">
        <v>2.75</v>
      </c>
      <c r="AF14">
        <v>2.75</v>
      </c>
      <c r="AG14">
        <v>25.25</v>
      </c>
      <c r="AH14">
        <v>22.5</v>
      </c>
      <c r="AI14">
        <v>0</v>
      </c>
      <c r="AJ14">
        <v>0</v>
      </c>
      <c r="AK14">
        <v>0</v>
      </c>
      <c r="AL14">
        <v>0</v>
      </c>
      <c r="AM14">
        <v>1</v>
      </c>
      <c r="AN14">
        <v>0</v>
      </c>
      <c r="AO14">
        <v>0</v>
      </c>
      <c r="AP14">
        <v>0</v>
      </c>
      <c r="AQ14">
        <v>0</v>
      </c>
      <c r="AR14">
        <v>0</v>
      </c>
      <c r="AS14">
        <v>0</v>
      </c>
      <c r="AT14">
        <v>68</v>
      </c>
      <c r="AU14">
        <v>0</v>
      </c>
      <c r="AV14">
        <v>68</v>
      </c>
      <c r="AW14">
        <v>0</v>
      </c>
      <c r="AX14">
        <v>1.25</v>
      </c>
      <c r="AY14">
        <v>0</v>
      </c>
      <c r="AZ14">
        <v>1.25</v>
      </c>
      <c r="BA14">
        <v>0</v>
      </c>
      <c r="BB14">
        <v>0.5</v>
      </c>
      <c r="BC14">
        <v>0</v>
      </c>
      <c r="BD14">
        <v>0.5</v>
      </c>
      <c r="BE14">
        <v>0</v>
      </c>
      <c r="BF14">
        <v>0</v>
      </c>
    </row>
    <row r="15" spans="1:58">
      <c r="A15" t="s">
        <v>16879</v>
      </c>
      <c r="B15" t="s">
        <v>16880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row>
    <row r="16" spans="1:58">
      <c r="A16" t="s">
        <v>16881</v>
      </c>
      <c r="B16" t="s">
        <v>16882</v>
      </c>
      <c r="C16">
        <v>8</v>
      </c>
      <c r="D16">
        <v>14</v>
      </c>
      <c r="E16">
        <v>14</v>
      </c>
      <c r="F16">
        <v>12</v>
      </c>
      <c r="G16">
        <v>0</v>
      </c>
      <c r="H16">
        <v>1</v>
      </c>
      <c r="I16">
        <v>1</v>
      </c>
      <c r="J16">
        <v>14</v>
      </c>
      <c r="K16">
        <v>108</v>
      </c>
      <c r="L16">
        <v>7</v>
      </c>
      <c r="M16">
        <v>1</v>
      </c>
      <c r="N16">
        <v>0</v>
      </c>
      <c r="O16">
        <v>2</v>
      </c>
      <c r="P16">
        <v>0</v>
      </c>
      <c r="Q16">
        <v>4</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108</v>
      </c>
      <c r="AU16">
        <v>21</v>
      </c>
      <c r="AV16">
        <v>27</v>
      </c>
      <c r="AW16">
        <v>81</v>
      </c>
      <c r="AX16">
        <v>0</v>
      </c>
      <c r="AY16">
        <v>0</v>
      </c>
      <c r="AZ16">
        <v>0</v>
      </c>
      <c r="BA16">
        <v>0</v>
      </c>
      <c r="BB16">
        <v>0</v>
      </c>
      <c r="BC16">
        <v>0</v>
      </c>
      <c r="BD16">
        <v>0</v>
      </c>
      <c r="BE16">
        <v>0</v>
      </c>
      <c r="BF16">
        <v>9</v>
      </c>
    </row>
    <row r="17" spans="1:58">
      <c r="A17" t="s">
        <v>17212</v>
      </c>
      <c r="B17" t="s">
        <v>17213</v>
      </c>
      <c r="C17">
        <v>0</v>
      </c>
      <c r="D17">
        <v>15</v>
      </c>
      <c r="E17">
        <v>0</v>
      </c>
      <c r="F17">
        <v>15</v>
      </c>
      <c r="G17">
        <v>0</v>
      </c>
      <c r="H17">
        <v>0</v>
      </c>
      <c r="I17">
        <v>0</v>
      </c>
      <c r="J17">
        <v>14</v>
      </c>
      <c r="K17">
        <v>103</v>
      </c>
      <c r="L17">
        <v>11</v>
      </c>
      <c r="M17">
        <v>1</v>
      </c>
      <c r="N17">
        <v>0</v>
      </c>
      <c r="O17">
        <v>3</v>
      </c>
      <c r="P17">
        <v>0</v>
      </c>
      <c r="Q17">
        <v>0</v>
      </c>
      <c r="R17">
        <v>1</v>
      </c>
      <c r="S17">
        <v>11</v>
      </c>
      <c r="T17">
        <v>2</v>
      </c>
      <c r="U17">
        <v>0</v>
      </c>
      <c r="V17">
        <v>13</v>
      </c>
      <c r="W17">
        <v>150</v>
      </c>
      <c r="X17">
        <v>0</v>
      </c>
      <c r="Y17">
        <v>9</v>
      </c>
      <c r="Z17">
        <v>1</v>
      </c>
      <c r="AA17">
        <v>0</v>
      </c>
      <c r="AB17">
        <v>20</v>
      </c>
      <c r="AC17">
        <v>19.5</v>
      </c>
      <c r="AD17">
        <v>19.5</v>
      </c>
      <c r="AE17">
        <v>39.5</v>
      </c>
      <c r="AF17">
        <v>39.5</v>
      </c>
      <c r="AG17">
        <v>169.5</v>
      </c>
      <c r="AH17">
        <v>130</v>
      </c>
      <c r="AI17">
        <v>0</v>
      </c>
      <c r="AJ17">
        <v>0</v>
      </c>
      <c r="AK17">
        <v>0</v>
      </c>
      <c r="AL17">
        <v>0</v>
      </c>
      <c r="AM17">
        <v>0</v>
      </c>
      <c r="AN17">
        <v>4</v>
      </c>
      <c r="AO17">
        <v>0</v>
      </c>
      <c r="AP17">
        <v>0</v>
      </c>
      <c r="AQ17">
        <v>0</v>
      </c>
      <c r="AR17">
        <v>0</v>
      </c>
      <c r="AS17">
        <v>0</v>
      </c>
      <c r="AT17">
        <v>103</v>
      </c>
      <c r="AU17">
        <v>0</v>
      </c>
      <c r="AV17">
        <v>103</v>
      </c>
      <c r="AW17">
        <v>0</v>
      </c>
      <c r="AX17">
        <v>11</v>
      </c>
      <c r="AY17">
        <v>0</v>
      </c>
      <c r="AZ17">
        <v>11</v>
      </c>
      <c r="BA17">
        <v>0</v>
      </c>
      <c r="BB17">
        <v>2</v>
      </c>
      <c r="BC17">
        <v>0</v>
      </c>
      <c r="BD17">
        <v>2</v>
      </c>
      <c r="BE17">
        <v>0</v>
      </c>
      <c r="BF17">
        <v>14</v>
      </c>
    </row>
    <row r="18" spans="1:58">
      <c r="A18" t="s">
        <v>19329</v>
      </c>
      <c r="B18" t="s">
        <v>19330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row>
    <row r="19" spans="1:58">
      <c r="A19" t="s">
        <v>19964</v>
      </c>
      <c r="B19" t="s">
        <v>19965</v>
      </c>
      <c r="C19">
        <v>0</v>
      </c>
      <c r="D19">
        <v>1</v>
      </c>
      <c r="E19">
        <v>1</v>
      </c>
      <c r="F19">
        <v>1</v>
      </c>
      <c r="G19">
        <v>0</v>
      </c>
      <c r="H19">
        <v>0</v>
      </c>
      <c r="I19">
        <v>0</v>
      </c>
      <c r="J19">
        <v>1</v>
      </c>
      <c r="K19">
        <v>3</v>
      </c>
      <c r="L19">
        <v>0</v>
      </c>
      <c r="M19">
        <v>0</v>
      </c>
      <c r="N19">
        <v>1</v>
      </c>
      <c r="O19">
        <v>0</v>
      </c>
      <c r="P19">
        <v>0</v>
      </c>
      <c r="Q19">
        <v>0</v>
      </c>
      <c r="R19">
        <v>0</v>
      </c>
      <c r="S19">
        <v>0.5</v>
      </c>
      <c r="T19">
        <v>0.5</v>
      </c>
      <c r="U19">
        <v>0</v>
      </c>
      <c r="V19">
        <v>1</v>
      </c>
      <c r="W19">
        <v>15</v>
      </c>
      <c r="X19">
        <v>0</v>
      </c>
      <c r="Y19">
        <v>0</v>
      </c>
      <c r="Z19">
        <v>1</v>
      </c>
      <c r="AA19">
        <v>0</v>
      </c>
      <c r="AB19">
        <v>0</v>
      </c>
      <c r="AC19">
        <v>0</v>
      </c>
      <c r="AD19">
        <v>0</v>
      </c>
      <c r="AE19">
        <v>0</v>
      </c>
      <c r="AF19">
        <v>0</v>
      </c>
      <c r="AG19">
        <v>15</v>
      </c>
      <c r="AH19">
        <v>15</v>
      </c>
      <c r="AI19">
        <v>0</v>
      </c>
      <c r="AJ19">
        <v>0</v>
      </c>
      <c r="AK19">
        <v>0</v>
      </c>
      <c r="AL19">
        <v>0</v>
      </c>
      <c r="AM19">
        <v>0</v>
      </c>
      <c r="AN19">
        <v>0</v>
      </c>
      <c r="AO19">
        <v>0</v>
      </c>
      <c r="AP19">
        <v>0</v>
      </c>
      <c r="AQ19">
        <v>0</v>
      </c>
      <c r="AR19">
        <v>0</v>
      </c>
      <c r="AS19">
        <v>0</v>
      </c>
      <c r="AT19">
        <v>3</v>
      </c>
      <c r="AU19">
        <v>0</v>
      </c>
      <c r="AV19">
        <v>3</v>
      </c>
      <c r="AW19">
        <v>0</v>
      </c>
      <c r="AX19">
        <v>0.5</v>
      </c>
      <c r="AY19">
        <v>0</v>
      </c>
      <c r="AZ19">
        <v>0.5</v>
      </c>
      <c r="BA19">
        <v>0</v>
      </c>
      <c r="BB19">
        <v>0.5</v>
      </c>
      <c r="BC19">
        <v>0</v>
      </c>
      <c r="BD19">
        <v>0.5</v>
      </c>
      <c r="BE19">
        <v>0</v>
      </c>
      <c r="BF19">
        <v>1</v>
      </c>
    </row>
    <row r="20" spans="1:58">
      <c r="A20" t="s">
        <v>17214</v>
      </c>
      <c r="B20" t="s">
        <v>17215</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row>
    <row r="21" spans="1:58">
      <c r="A21" t="s">
        <v>16884</v>
      </c>
      <c r="B21" t="s">
        <v>16885</v>
      </c>
      <c r="C21">
        <v>0</v>
      </c>
      <c r="D21">
        <v>18</v>
      </c>
      <c r="E21">
        <v>18</v>
      </c>
      <c r="F21">
        <v>18</v>
      </c>
      <c r="G21">
        <v>0</v>
      </c>
      <c r="H21">
        <v>2</v>
      </c>
      <c r="I21">
        <v>0</v>
      </c>
      <c r="J21">
        <v>17</v>
      </c>
      <c r="K21">
        <v>104</v>
      </c>
      <c r="L21">
        <v>12</v>
      </c>
      <c r="M21">
        <v>1</v>
      </c>
      <c r="N21">
        <v>0</v>
      </c>
      <c r="O21">
        <v>4</v>
      </c>
      <c r="P21">
        <v>0</v>
      </c>
      <c r="Q21">
        <v>1</v>
      </c>
      <c r="R21">
        <v>0</v>
      </c>
      <c r="S21">
        <v>107.75</v>
      </c>
      <c r="T21">
        <v>26</v>
      </c>
      <c r="U21">
        <v>0</v>
      </c>
      <c r="V21">
        <v>133.75</v>
      </c>
      <c r="W21" s="20">
        <v>1597.5</v>
      </c>
      <c r="X21">
        <v>0</v>
      </c>
      <c r="Y21">
        <v>12</v>
      </c>
      <c r="Z21">
        <v>0</v>
      </c>
      <c r="AA21">
        <v>0</v>
      </c>
      <c r="AB21" s="21">
        <v>1300</v>
      </c>
      <c r="AC21">
        <v>607.5</v>
      </c>
      <c r="AD21">
        <v>607.5</v>
      </c>
      <c r="AE21">
        <v>677</v>
      </c>
      <c r="AF21" s="20">
        <v>1907.5</v>
      </c>
      <c r="AG21" s="21">
        <v>2205</v>
      </c>
      <c r="AH21" s="21">
        <v>1528</v>
      </c>
      <c r="AI21">
        <v>19</v>
      </c>
      <c r="AJ21">
        <v>19.5</v>
      </c>
      <c r="AK21">
        <v>59.5</v>
      </c>
      <c r="AL21">
        <v>40.5</v>
      </c>
      <c r="AM21">
        <v>0</v>
      </c>
      <c r="AN21">
        <v>7</v>
      </c>
      <c r="AO21">
        <v>1</v>
      </c>
      <c r="AP21">
        <v>1</v>
      </c>
      <c r="AQ21">
        <v>0</v>
      </c>
      <c r="AR21">
        <v>0</v>
      </c>
      <c r="AS21">
        <v>0</v>
      </c>
      <c r="AT21">
        <v>104</v>
      </c>
      <c r="AU21">
        <v>20</v>
      </c>
      <c r="AV21">
        <v>84</v>
      </c>
      <c r="AW21">
        <v>0</v>
      </c>
      <c r="AX21">
        <v>107.75</v>
      </c>
      <c r="AY21">
        <v>1.5</v>
      </c>
      <c r="AZ21">
        <v>106.25</v>
      </c>
      <c r="BA21">
        <v>0</v>
      </c>
      <c r="BB21">
        <v>26</v>
      </c>
      <c r="BC21">
        <v>1.25</v>
      </c>
      <c r="BD21">
        <v>24.75</v>
      </c>
      <c r="BE21">
        <v>0</v>
      </c>
      <c r="BF21">
        <v>217</v>
      </c>
    </row>
    <row r="22" spans="1:58">
      <c r="A22" t="s">
        <v>17352</v>
      </c>
      <c r="B22" t="s">
        <v>17353</v>
      </c>
      <c r="C22">
        <v>0</v>
      </c>
      <c r="D22">
        <v>3</v>
      </c>
      <c r="E22">
        <v>0</v>
      </c>
      <c r="F22">
        <v>3</v>
      </c>
      <c r="G22">
        <v>0</v>
      </c>
      <c r="H22">
        <v>0</v>
      </c>
      <c r="I22">
        <v>0</v>
      </c>
      <c r="J22">
        <v>3</v>
      </c>
      <c r="K22">
        <v>14</v>
      </c>
      <c r="L22">
        <v>1</v>
      </c>
      <c r="M22">
        <v>1</v>
      </c>
      <c r="N22">
        <v>0</v>
      </c>
      <c r="O22">
        <v>0</v>
      </c>
      <c r="P22">
        <v>1</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14</v>
      </c>
      <c r="AU22">
        <v>0</v>
      </c>
      <c r="AV22">
        <v>14</v>
      </c>
      <c r="AW22">
        <v>0</v>
      </c>
      <c r="AX22">
        <v>0</v>
      </c>
      <c r="AY22">
        <v>0</v>
      </c>
      <c r="AZ22">
        <v>0</v>
      </c>
      <c r="BA22">
        <v>0</v>
      </c>
      <c r="BB22">
        <v>0</v>
      </c>
      <c r="BC22">
        <v>0</v>
      </c>
      <c r="BD22">
        <v>0</v>
      </c>
      <c r="BE22">
        <v>0</v>
      </c>
      <c r="BF22">
        <v>0</v>
      </c>
    </row>
    <row r="23" spans="1:58">
      <c r="A23" t="s">
        <v>17216</v>
      </c>
      <c r="B23" t="s">
        <v>17217</v>
      </c>
      <c r="C23">
        <v>0</v>
      </c>
      <c r="D23">
        <v>12</v>
      </c>
      <c r="E23">
        <v>12</v>
      </c>
      <c r="F23">
        <v>11</v>
      </c>
      <c r="G23">
        <v>1</v>
      </c>
      <c r="H23">
        <v>7</v>
      </c>
      <c r="I23">
        <v>4</v>
      </c>
      <c r="J23">
        <v>12</v>
      </c>
      <c r="K23">
        <v>133</v>
      </c>
      <c r="L23">
        <v>5</v>
      </c>
      <c r="M23">
        <v>1</v>
      </c>
      <c r="N23">
        <v>0</v>
      </c>
      <c r="O23">
        <v>0</v>
      </c>
      <c r="P23">
        <v>2</v>
      </c>
      <c r="Q23">
        <v>4</v>
      </c>
      <c r="R23">
        <v>0</v>
      </c>
      <c r="S23">
        <v>20.5</v>
      </c>
      <c r="T23">
        <v>60.5</v>
      </c>
      <c r="U23">
        <v>0</v>
      </c>
      <c r="V23">
        <v>79.5</v>
      </c>
      <c r="W23" s="21">
        <v>1385</v>
      </c>
      <c r="X23">
        <v>0</v>
      </c>
      <c r="Y23">
        <v>6</v>
      </c>
      <c r="Z23">
        <v>2</v>
      </c>
      <c r="AA23">
        <v>0</v>
      </c>
      <c r="AB23" s="21">
        <v>1095</v>
      </c>
      <c r="AC23">
        <v>702.6</v>
      </c>
      <c r="AD23">
        <v>702.6</v>
      </c>
      <c r="AE23">
        <v>553.25</v>
      </c>
      <c r="AF23" s="20">
        <v>1703.35</v>
      </c>
      <c r="AG23" s="20">
        <v>1993.35</v>
      </c>
      <c r="AH23" s="20">
        <v>1444.6</v>
      </c>
      <c r="AI23">
        <v>506</v>
      </c>
      <c r="AJ23" s="20">
        <v>1629.85</v>
      </c>
      <c r="AK23" s="20">
        <v>1809.85</v>
      </c>
      <c r="AL23" s="20">
        <v>1308.3499999999999</v>
      </c>
      <c r="AM23">
        <v>1</v>
      </c>
      <c r="AN23">
        <v>1</v>
      </c>
      <c r="AO23">
        <v>1</v>
      </c>
      <c r="AP23">
        <v>2</v>
      </c>
      <c r="AQ23">
        <v>0</v>
      </c>
      <c r="AR23">
        <v>0</v>
      </c>
      <c r="AS23">
        <v>0</v>
      </c>
      <c r="AT23">
        <v>133</v>
      </c>
      <c r="AU23">
        <v>84</v>
      </c>
      <c r="AV23">
        <v>35</v>
      </c>
      <c r="AW23">
        <v>0</v>
      </c>
      <c r="AX23">
        <v>20.5</v>
      </c>
      <c r="AY23">
        <v>15</v>
      </c>
      <c r="AZ23">
        <v>5.5</v>
      </c>
      <c r="BA23">
        <v>0</v>
      </c>
      <c r="BB23">
        <v>60.5</v>
      </c>
      <c r="BC23">
        <v>55.5</v>
      </c>
      <c r="BD23">
        <v>5</v>
      </c>
      <c r="BE23">
        <v>0</v>
      </c>
      <c r="BF23">
        <v>12</v>
      </c>
    </row>
    <row r="24" spans="1:58">
      <c r="A24" t="s">
        <v>17218</v>
      </c>
      <c r="B24" t="s">
        <v>18786</v>
      </c>
      <c r="C24">
        <v>0</v>
      </c>
      <c r="D24">
        <v>9</v>
      </c>
      <c r="E24">
        <v>9</v>
      </c>
      <c r="F24">
        <v>9</v>
      </c>
      <c r="G24">
        <v>0</v>
      </c>
      <c r="H24">
        <v>0</v>
      </c>
      <c r="I24">
        <v>0</v>
      </c>
      <c r="J24">
        <v>9</v>
      </c>
      <c r="K24">
        <v>65</v>
      </c>
      <c r="L24">
        <v>6</v>
      </c>
      <c r="M24">
        <v>2</v>
      </c>
      <c r="N24">
        <v>1</v>
      </c>
      <c r="O24">
        <v>0</v>
      </c>
      <c r="P24">
        <v>0</v>
      </c>
      <c r="Q24">
        <v>0</v>
      </c>
      <c r="R24">
        <v>0</v>
      </c>
      <c r="S24">
        <v>2.75</v>
      </c>
      <c r="T24">
        <v>0</v>
      </c>
      <c r="U24">
        <v>0</v>
      </c>
      <c r="V24">
        <v>2.75</v>
      </c>
      <c r="W24">
        <v>27.5</v>
      </c>
      <c r="X24">
        <v>0</v>
      </c>
      <c r="Y24">
        <v>3</v>
      </c>
      <c r="Z24">
        <v>0</v>
      </c>
      <c r="AA24">
        <v>0</v>
      </c>
      <c r="AB24">
        <v>0</v>
      </c>
      <c r="AC24">
        <v>0</v>
      </c>
      <c r="AD24">
        <v>0</v>
      </c>
      <c r="AE24">
        <v>0</v>
      </c>
      <c r="AF24">
        <v>0</v>
      </c>
      <c r="AG24">
        <v>27.5</v>
      </c>
      <c r="AH24">
        <v>27.5</v>
      </c>
      <c r="AI24">
        <v>0</v>
      </c>
      <c r="AJ24">
        <v>0</v>
      </c>
      <c r="AK24">
        <v>0</v>
      </c>
      <c r="AL24">
        <v>0</v>
      </c>
      <c r="AM24">
        <v>0</v>
      </c>
      <c r="AN24">
        <v>0</v>
      </c>
      <c r="AO24">
        <v>0</v>
      </c>
      <c r="AP24">
        <v>0</v>
      </c>
      <c r="AQ24">
        <v>0</v>
      </c>
      <c r="AR24">
        <v>0</v>
      </c>
      <c r="AS24">
        <v>0</v>
      </c>
      <c r="AT24">
        <v>65</v>
      </c>
      <c r="AU24">
        <v>0</v>
      </c>
      <c r="AV24">
        <v>65</v>
      </c>
      <c r="AW24">
        <v>0</v>
      </c>
      <c r="AX24">
        <v>2.75</v>
      </c>
      <c r="AY24">
        <v>0</v>
      </c>
      <c r="AZ24">
        <v>2.75</v>
      </c>
      <c r="BA24">
        <v>0</v>
      </c>
      <c r="BB24">
        <v>0</v>
      </c>
      <c r="BC24">
        <v>0</v>
      </c>
      <c r="BD24">
        <v>0</v>
      </c>
      <c r="BE24">
        <v>0</v>
      </c>
      <c r="BF24">
        <v>30</v>
      </c>
    </row>
    <row r="25" spans="1:58">
      <c r="A25" t="s">
        <v>16886</v>
      </c>
      <c r="B25" t="s">
        <v>18787</v>
      </c>
      <c r="C25">
        <v>17</v>
      </c>
      <c r="D25">
        <v>17</v>
      </c>
      <c r="E25">
        <v>17</v>
      </c>
      <c r="F25">
        <v>17</v>
      </c>
      <c r="G25">
        <v>2</v>
      </c>
      <c r="H25">
        <v>4</v>
      </c>
      <c r="I25">
        <v>0</v>
      </c>
      <c r="J25">
        <v>16</v>
      </c>
      <c r="K25">
        <v>268</v>
      </c>
      <c r="L25">
        <v>9</v>
      </c>
      <c r="M25">
        <v>1</v>
      </c>
      <c r="N25">
        <v>0</v>
      </c>
      <c r="O25">
        <v>2</v>
      </c>
      <c r="P25">
        <v>2</v>
      </c>
      <c r="Q25">
        <v>2</v>
      </c>
      <c r="R25">
        <v>0</v>
      </c>
      <c r="S25">
        <v>0.5</v>
      </c>
      <c r="T25">
        <v>1</v>
      </c>
      <c r="U25">
        <v>0</v>
      </c>
      <c r="V25">
        <v>1.5</v>
      </c>
      <c r="W25">
        <v>2.5</v>
      </c>
      <c r="X25">
        <v>0</v>
      </c>
      <c r="Y25">
        <v>0</v>
      </c>
      <c r="Z25">
        <v>0</v>
      </c>
      <c r="AA25">
        <v>-25</v>
      </c>
      <c r="AB25">
        <v>0</v>
      </c>
      <c r="AC25">
        <v>99.25</v>
      </c>
      <c r="AD25">
        <v>99.25</v>
      </c>
      <c r="AE25">
        <v>99.25</v>
      </c>
      <c r="AF25">
        <v>0</v>
      </c>
      <c r="AG25">
        <v>101.75</v>
      </c>
      <c r="AH25">
        <v>2.5</v>
      </c>
      <c r="AI25">
        <v>0</v>
      </c>
      <c r="AJ25">
        <v>0</v>
      </c>
      <c r="AK25">
        <v>0</v>
      </c>
      <c r="AL25">
        <v>0</v>
      </c>
      <c r="AM25">
        <v>0</v>
      </c>
      <c r="AN25">
        <v>0</v>
      </c>
      <c r="AO25">
        <v>1</v>
      </c>
      <c r="AP25">
        <v>0</v>
      </c>
      <c r="AQ25">
        <v>0</v>
      </c>
      <c r="AR25">
        <v>0</v>
      </c>
      <c r="AS25">
        <v>0</v>
      </c>
      <c r="AT25">
        <v>268</v>
      </c>
      <c r="AU25">
        <v>45</v>
      </c>
      <c r="AV25">
        <v>0</v>
      </c>
      <c r="AW25">
        <v>268</v>
      </c>
      <c r="AX25">
        <v>0.5</v>
      </c>
      <c r="AY25">
        <v>0</v>
      </c>
      <c r="AZ25">
        <v>0</v>
      </c>
      <c r="BA25">
        <v>0.5</v>
      </c>
      <c r="BB25">
        <v>1</v>
      </c>
      <c r="BC25">
        <v>0</v>
      </c>
      <c r="BD25">
        <v>0</v>
      </c>
      <c r="BE25">
        <v>1</v>
      </c>
      <c r="BF25">
        <v>10</v>
      </c>
    </row>
    <row r="26" spans="1:58">
      <c r="A26" t="s">
        <v>16887</v>
      </c>
      <c r="B26" t="s">
        <v>17354</v>
      </c>
      <c r="C26">
        <v>2</v>
      </c>
      <c r="D26">
        <v>2</v>
      </c>
      <c r="E26">
        <v>2</v>
      </c>
      <c r="F26">
        <v>2</v>
      </c>
      <c r="G26">
        <v>0</v>
      </c>
      <c r="H26">
        <v>0</v>
      </c>
      <c r="I26">
        <v>0</v>
      </c>
      <c r="J26">
        <v>2</v>
      </c>
      <c r="K26">
        <v>9</v>
      </c>
      <c r="L26">
        <v>0</v>
      </c>
      <c r="M26">
        <v>0</v>
      </c>
      <c r="N26">
        <v>0</v>
      </c>
      <c r="O26">
        <v>0</v>
      </c>
      <c r="P26">
        <v>1</v>
      </c>
      <c r="Q26">
        <v>1</v>
      </c>
      <c r="R26">
        <v>0</v>
      </c>
      <c r="S26">
        <v>0.15</v>
      </c>
      <c r="T26">
        <v>0.15</v>
      </c>
      <c r="U26">
        <v>0</v>
      </c>
      <c r="V26">
        <v>0.3</v>
      </c>
      <c r="W26">
        <v>0</v>
      </c>
      <c r="X26">
        <v>0</v>
      </c>
      <c r="Y26">
        <v>0</v>
      </c>
      <c r="Z26">
        <v>0</v>
      </c>
      <c r="AA26">
        <v>-4.5</v>
      </c>
      <c r="AB26">
        <v>0</v>
      </c>
      <c r="AC26">
        <v>0.75</v>
      </c>
      <c r="AD26">
        <v>0</v>
      </c>
      <c r="AE26">
        <v>0</v>
      </c>
      <c r="AF26">
        <v>0</v>
      </c>
      <c r="AG26">
        <v>0.75</v>
      </c>
      <c r="AH26">
        <v>0.75</v>
      </c>
      <c r="AI26">
        <v>0</v>
      </c>
      <c r="AJ26">
        <v>0</v>
      </c>
      <c r="AK26">
        <v>0</v>
      </c>
      <c r="AL26">
        <v>0</v>
      </c>
      <c r="AM26">
        <v>0</v>
      </c>
      <c r="AN26">
        <v>0</v>
      </c>
      <c r="AO26">
        <v>0</v>
      </c>
      <c r="AP26">
        <v>0</v>
      </c>
      <c r="AQ26">
        <v>0</v>
      </c>
      <c r="AR26">
        <v>0</v>
      </c>
      <c r="AS26">
        <v>0</v>
      </c>
      <c r="AT26">
        <v>9</v>
      </c>
      <c r="AU26">
        <v>0</v>
      </c>
      <c r="AV26">
        <v>0</v>
      </c>
      <c r="AW26">
        <v>9</v>
      </c>
      <c r="AX26">
        <v>0.15</v>
      </c>
      <c r="AY26">
        <v>0</v>
      </c>
      <c r="AZ26">
        <v>0</v>
      </c>
      <c r="BA26">
        <v>0.15</v>
      </c>
      <c r="BB26">
        <v>0.15</v>
      </c>
      <c r="BC26">
        <v>0</v>
      </c>
      <c r="BD26">
        <v>0</v>
      </c>
      <c r="BE26">
        <v>0.15</v>
      </c>
    </row>
    <row r="27" spans="1:58">
      <c r="A27" t="s">
        <v>16887</v>
      </c>
      <c r="B27" t="s">
        <v>17354</v>
      </c>
      <c r="C27">
        <v>0</v>
      </c>
      <c r="D27">
        <v>1</v>
      </c>
      <c r="E27">
        <v>0</v>
      </c>
      <c r="F27">
        <v>0</v>
      </c>
      <c r="G27">
        <v>0</v>
      </c>
      <c r="H27">
        <v>0</v>
      </c>
      <c r="I27">
        <v>0</v>
      </c>
      <c r="J27">
        <v>1</v>
      </c>
      <c r="K27">
        <v>36</v>
      </c>
      <c r="L27">
        <v>1</v>
      </c>
      <c r="M27">
        <v>0</v>
      </c>
      <c r="N27">
        <v>0</v>
      </c>
      <c r="O27">
        <v>0</v>
      </c>
      <c r="P27">
        <v>0</v>
      </c>
      <c r="Q27">
        <v>0</v>
      </c>
      <c r="R27">
        <v>0</v>
      </c>
      <c r="S27">
        <v>0.5</v>
      </c>
      <c r="T27">
        <v>0</v>
      </c>
      <c r="U27">
        <v>0</v>
      </c>
      <c r="V27">
        <v>0.5</v>
      </c>
      <c r="W27">
        <v>5</v>
      </c>
      <c r="X27">
        <v>0</v>
      </c>
      <c r="Y27">
        <v>1</v>
      </c>
      <c r="Z27">
        <v>0</v>
      </c>
      <c r="AA27">
        <v>0</v>
      </c>
      <c r="AB27">
        <v>0</v>
      </c>
      <c r="AC27">
        <v>5</v>
      </c>
      <c r="AD27">
        <v>5</v>
      </c>
      <c r="AE27">
        <v>5</v>
      </c>
      <c r="AF27">
        <v>5</v>
      </c>
      <c r="AG27">
        <v>10</v>
      </c>
      <c r="AH27">
        <v>5</v>
      </c>
      <c r="AI27">
        <v>0</v>
      </c>
      <c r="AJ27">
        <v>0</v>
      </c>
      <c r="AK27">
        <v>0</v>
      </c>
      <c r="AL27">
        <v>0</v>
      </c>
      <c r="AM27">
        <v>0</v>
      </c>
      <c r="AN27">
        <v>1</v>
      </c>
      <c r="AO27">
        <v>0</v>
      </c>
      <c r="AP27">
        <v>0</v>
      </c>
      <c r="AQ27">
        <v>0</v>
      </c>
      <c r="AR27">
        <v>0</v>
      </c>
      <c r="AS27">
        <v>0</v>
      </c>
      <c r="AT27">
        <v>36</v>
      </c>
      <c r="AU27">
        <v>0</v>
      </c>
      <c r="AV27">
        <v>36</v>
      </c>
      <c r="AW27">
        <v>0</v>
      </c>
      <c r="AX27">
        <v>0.5</v>
      </c>
      <c r="AY27">
        <v>0</v>
      </c>
      <c r="AZ27">
        <v>0.5</v>
      </c>
      <c r="BA27">
        <v>0</v>
      </c>
      <c r="BB27">
        <v>0</v>
      </c>
      <c r="BC27">
        <v>0</v>
      </c>
      <c r="BD27">
        <v>0</v>
      </c>
      <c r="BE27">
        <v>0</v>
      </c>
      <c r="BF27">
        <v>2</v>
      </c>
    </row>
    <row r="28" spans="1:58">
      <c r="A28" t="s">
        <v>17207</v>
      </c>
      <c r="B28" t="s">
        <v>17208</v>
      </c>
      <c r="C28">
        <v>78</v>
      </c>
      <c r="D28">
        <v>755</v>
      </c>
      <c r="E28">
        <v>754</v>
      </c>
      <c r="F28">
        <v>755</v>
      </c>
      <c r="G28">
        <v>34</v>
      </c>
      <c r="H28">
        <v>295</v>
      </c>
      <c r="I28">
        <v>134</v>
      </c>
      <c r="J28">
        <v>719</v>
      </c>
      <c r="K28" s="21">
        <v>8428</v>
      </c>
      <c r="L28">
        <v>674</v>
      </c>
      <c r="M28">
        <v>0</v>
      </c>
      <c r="N28">
        <v>0</v>
      </c>
      <c r="O28">
        <v>40</v>
      </c>
      <c r="P28">
        <v>3</v>
      </c>
      <c r="Q28">
        <v>1</v>
      </c>
      <c r="R28">
        <v>0</v>
      </c>
      <c r="S28">
        <v>181.5</v>
      </c>
      <c r="T28">
        <v>181.56</v>
      </c>
      <c r="U28">
        <v>0</v>
      </c>
      <c r="V28">
        <v>363.06</v>
      </c>
      <c r="W28" s="20">
        <v>4868.38</v>
      </c>
      <c r="X28">
        <v>0</v>
      </c>
      <c r="Y28">
        <v>301</v>
      </c>
      <c r="Z28">
        <v>341</v>
      </c>
      <c r="AA28">
        <v>-577.74</v>
      </c>
      <c r="AB28">
        <v>0</v>
      </c>
      <c r="AC28" s="20">
        <v>1669.63</v>
      </c>
      <c r="AD28" s="20">
        <v>1669.63</v>
      </c>
      <c r="AE28">
        <v>458.25</v>
      </c>
      <c r="AF28" s="20">
        <v>1669.63</v>
      </c>
      <c r="AG28" s="20">
        <v>6538.01</v>
      </c>
      <c r="AH28" s="20">
        <v>6079.76</v>
      </c>
      <c r="AI28">
        <v>259.25</v>
      </c>
      <c r="AJ28">
        <v>504.63</v>
      </c>
      <c r="AK28" s="20">
        <v>2642.45</v>
      </c>
      <c r="AL28" s="20">
        <v>2383.1999999999998</v>
      </c>
      <c r="AM28">
        <v>15</v>
      </c>
      <c r="AN28">
        <v>61</v>
      </c>
      <c r="AO28">
        <v>0</v>
      </c>
      <c r="AP28">
        <v>0</v>
      </c>
      <c r="AQ28">
        <v>0</v>
      </c>
      <c r="AR28">
        <v>0</v>
      </c>
      <c r="AS28">
        <v>0</v>
      </c>
      <c r="AT28" s="21">
        <v>8428</v>
      </c>
      <c r="AU28" s="21">
        <v>2772</v>
      </c>
      <c r="AV28" s="21">
        <v>4632</v>
      </c>
      <c r="AW28" s="21">
        <v>1053</v>
      </c>
      <c r="AX28">
        <v>181.5</v>
      </c>
      <c r="AY28">
        <v>72.25</v>
      </c>
      <c r="AZ28">
        <v>91</v>
      </c>
      <c r="BA28">
        <v>19.25</v>
      </c>
      <c r="BB28">
        <v>181.56</v>
      </c>
      <c r="BC28">
        <v>72.27</v>
      </c>
      <c r="BD28">
        <v>91.03</v>
      </c>
      <c r="BE28">
        <v>19.260000000000002</v>
      </c>
      <c r="BF28">
        <v>390</v>
      </c>
    </row>
    <row r="29" spans="1:58">
      <c r="A29" t="s">
        <v>17219</v>
      </c>
      <c r="B29" t="s">
        <v>17220</v>
      </c>
      <c r="C29">
        <v>0</v>
      </c>
      <c r="D29">
        <v>132</v>
      </c>
      <c r="E29">
        <v>127</v>
      </c>
      <c r="F29">
        <v>124</v>
      </c>
      <c r="G29">
        <v>8</v>
      </c>
      <c r="H29">
        <v>12</v>
      </c>
      <c r="I29">
        <v>10</v>
      </c>
      <c r="J29">
        <v>118</v>
      </c>
      <c r="K29" s="21">
        <v>1099</v>
      </c>
      <c r="L29">
        <v>53</v>
      </c>
      <c r="M29">
        <v>9</v>
      </c>
      <c r="N29">
        <v>34</v>
      </c>
      <c r="O29">
        <v>16</v>
      </c>
      <c r="P29">
        <v>8</v>
      </c>
      <c r="Q29">
        <v>14</v>
      </c>
      <c r="R29">
        <v>0</v>
      </c>
      <c r="S29">
        <v>246.2</v>
      </c>
      <c r="T29">
        <v>493</v>
      </c>
      <c r="U29">
        <v>90.25</v>
      </c>
      <c r="V29">
        <v>829.45</v>
      </c>
      <c r="W29" s="21">
        <v>12322</v>
      </c>
      <c r="X29">
        <v>0</v>
      </c>
      <c r="Y29">
        <v>85</v>
      </c>
      <c r="Z29">
        <v>10</v>
      </c>
      <c r="AA29">
        <v>0</v>
      </c>
      <c r="AB29" s="20">
        <v>11007.5</v>
      </c>
      <c r="AC29" s="20">
        <v>1761.62</v>
      </c>
      <c r="AD29" s="20">
        <v>1761.62</v>
      </c>
      <c r="AE29">
        <v>683.47</v>
      </c>
      <c r="AF29" s="20">
        <v>12769.12</v>
      </c>
      <c r="AG29" s="20">
        <v>15843.37</v>
      </c>
      <c r="AH29" s="20">
        <v>15205.15</v>
      </c>
      <c r="AI29">
        <v>59</v>
      </c>
      <c r="AJ29">
        <v>59</v>
      </c>
      <c r="AK29">
        <v>13.75</v>
      </c>
      <c r="AL29">
        <v>0</v>
      </c>
      <c r="AM29">
        <v>21</v>
      </c>
      <c r="AN29">
        <v>13</v>
      </c>
      <c r="AO29">
        <v>4</v>
      </c>
      <c r="AP29">
        <v>1</v>
      </c>
      <c r="AQ29">
        <v>0</v>
      </c>
      <c r="AR29">
        <v>0</v>
      </c>
      <c r="AS29">
        <v>0</v>
      </c>
      <c r="AT29" s="21">
        <v>1099</v>
      </c>
      <c r="AU29">
        <v>170</v>
      </c>
      <c r="AV29">
        <v>929</v>
      </c>
      <c r="AW29">
        <v>0</v>
      </c>
      <c r="AX29">
        <v>246.2</v>
      </c>
      <c r="AY29">
        <v>0</v>
      </c>
      <c r="AZ29">
        <v>246.2</v>
      </c>
      <c r="BA29">
        <v>0</v>
      </c>
      <c r="BB29">
        <v>493</v>
      </c>
      <c r="BC29">
        <v>0</v>
      </c>
      <c r="BD29">
        <v>493</v>
      </c>
      <c r="BE29">
        <v>0</v>
      </c>
      <c r="BF29" s="21">
        <v>59105</v>
      </c>
    </row>
    <row r="30" spans="1:58">
      <c r="A30" t="s">
        <v>17209</v>
      </c>
      <c r="B30" t="s">
        <v>18789</v>
      </c>
      <c r="C30">
        <v>0</v>
      </c>
      <c r="D30">
        <v>7</v>
      </c>
      <c r="E30">
        <v>7</v>
      </c>
      <c r="F30">
        <v>7</v>
      </c>
      <c r="G30">
        <v>4</v>
      </c>
      <c r="H30">
        <v>0</v>
      </c>
      <c r="I30">
        <v>0</v>
      </c>
      <c r="J30">
        <v>7</v>
      </c>
      <c r="K30">
        <v>65</v>
      </c>
      <c r="L30">
        <v>3</v>
      </c>
      <c r="M30">
        <v>0</v>
      </c>
      <c r="N30">
        <v>0</v>
      </c>
      <c r="O30">
        <v>1</v>
      </c>
      <c r="P30">
        <v>1</v>
      </c>
      <c r="Q30">
        <v>2</v>
      </c>
      <c r="R30">
        <v>0</v>
      </c>
      <c r="S30">
        <v>15.5</v>
      </c>
      <c r="T30">
        <v>8</v>
      </c>
      <c r="U30">
        <v>0</v>
      </c>
      <c r="V30">
        <v>7.25</v>
      </c>
      <c r="W30">
        <v>97.5</v>
      </c>
      <c r="X30">
        <v>0</v>
      </c>
      <c r="Y30">
        <v>1</v>
      </c>
      <c r="Z30">
        <v>2</v>
      </c>
      <c r="AA30">
        <v>0</v>
      </c>
      <c r="AB30">
        <v>60</v>
      </c>
      <c r="AC30">
        <v>17.25</v>
      </c>
      <c r="AD30">
        <v>5.25</v>
      </c>
      <c r="AE30">
        <v>12.25</v>
      </c>
      <c r="AF30">
        <v>65.25</v>
      </c>
      <c r="AG30">
        <v>114.75</v>
      </c>
      <c r="AH30">
        <v>102.5</v>
      </c>
      <c r="AI30">
        <v>0</v>
      </c>
      <c r="AJ30">
        <v>0</v>
      </c>
      <c r="AK30">
        <v>0</v>
      </c>
      <c r="AL30">
        <v>0</v>
      </c>
      <c r="AM30">
        <v>1</v>
      </c>
      <c r="AN30">
        <v>1</v>
      </c>
      <c r="AO30">
        <v>0</v>
      </c>
      <c r="AP30">
        <v>0</v>
      </c>
      <c r="AQ30">
        <v>0</v>
      </c>
      <c r="AR30">
        <v>0</v>
      </c>
      <c r="AS30">
        <v>0</v>
      </c>
      <c r="AT30">
        <v>65</v>
      </c>
      <c r="AU30">
        <v>0</v>
      </c>
      <c r="AV30">
        <v>65</v>
      </c>
      <c r="AW30">
        <v>0</v>
      </c>
      <c r="AX30">
        <v>15.5</v>
      </c>
      <c r="AY30">
        <v>0</v>
      </c>
      <c r="AZ30">
        <v>15.5</v>
      </c>
      <c r="BA30">
        <v>0</v>
      </c>
      <c r="BB30">
        <v>8</v>
      </c>
      <c r="BC30">
        <v>0</v>
      </c>
      <c r="BD30">
        <v>8</v>
      </c>
      <c r="BE30">
        <v>0</v>
      </c>
      <c r="BF30">
        <v>2</v>
      </c>
    </row>
    <row r="31" spans="1:58">
      <c r="A31" t="s">
        <v>16888</v>
      </c>
      <c r="B31" t="s">
        <v>17350</v>
      </c>
      <c r="C31">
        <v>0</v>
      </c>
      <c r="D31">
        <v>4</v>
      </c>
      <c r="E31">
        <v>4</v>
      </c>
      <c r="F31">
        <v>4</v>
      </c>
      <c r="G31">
        <v>0</v>
      </c>
      <c r="H31">
        <v>0</v>
      </c>
      <c r="I31">
        <v>0</v>
      </c>
      <c r="J31">
        <v>4</v>
      </c>
      <c r="K31">
        <v>18</v>
      </c>
      <c r="L31">
        <v>0</v>
      </c>
      <c r="M31">
        <v>4</v>
      </c>
      <c r="N31">
        <v>0</v>
      </c>
      <c r="O31">
        <v>0</v>
      </c>
      <c r="P31">
        <v>0</v>
      </c>
      <c r="Q31">
        <v>0</v>
      </c>
      <c r="R31">
        <v>0</v>
      </c>
      <c r="S31">
        <v>8</v>
      </c>
      <c r="T31">
        <v>12</v>
      </c>
      <c r="U31">
        <v>3</v>
      </c>
      <c r="V31">
        <v>23</v>
      </c>
      <c r="W31">
        <v>320</v>
      </c>
      <c r="X31">
        <v>0</v>
      </c>
      <c r="Y31">
        <v>1</v>
      </c>
      <c r="Z31">
        <v>0</v>
      </c>
      <c r="AA31">
        <v>0</v>
      </c>
      <c r="AB31">
        <v>290</v>
      </c>
      <c r="AC31">
        <v>0</v>
      </c>
      <c r="AD31">
        <v>0</v>
      </c>
      <c r="AE31">
        <v>0</v>
      </c>
      <c r="AF31">
        <v>290</v>
      </c>
      <c r="AG31">
        <v>380</v>
      </c>
      <c r="AH31">
        <v>380</v>
      </c>
      <c r="AI31">
        <v>0</v>
      </c>
      <c r="AJ31">
        <v>0</v>
      </c>
      <c r="AK31">
        <v>0</v>
      </c>
      <c r="AL31">
        <v>0</v>
      </c>
      <c r="AM31">
        <v>0</v>
      </c>
      <c r="AN31">
        <v>0</v>
      </c>
      <c r="AO31">
        <v>0</v>
      </c>
      <c r="AP31">
        <v>0</v>
      </c>
      <c r="AQ31">
        <v>0</v>
      </c>
      <c r="AR31">
        <v>0</v>
      </c>
      <c r="AS31">
        <v>0</v>
      </c>
      <c r="AT31">
        <v>18</v>
      </c>
      <c r="AU31">
        <v>0</v>
      </c>
      <c r="AV31">
        <v>18</v>
      </c>
      <c r="AW31">
        <v>0</v>
      </c>
      <c r="AX31">
        <v>8</v>
      </c>
      <c r="AY31">
        <v>0</v>
      </c>
      <c r="AZ31">
        <v>8</v>
      </c>
      <c r="BA31">
        <v>0</v>
      </c>
      <c r="BB31">
        <v>12</v>
      </c>
      <c r="BC31">
        <v>0</v>
      </c>
      <c r="BD31">
        <v>12</v>
      </c>
      <c r="BE31">
        <v>0</v>
      </c>
      <c r="BF31">
        <v>0</v>
      </c>
    </row>
    <row r="32" spans="1:58">
      <c r="A32" t="s">
        <v>19966</v>
      </c>
      <c r="B32" t="s">
        <v>19967</v>
      </c>
      <c r="C32">
        <v>0</v>
      </c>
      <c r="D32">
        <v>1</v>
      </c>
      <c r="E32">
        <v>1</v>
      </c>
      <c r="F32">
        <v>0</v>
      </c>
      <c r="G32">
        <v>1</v>
      </c>
      <c r="H32">
        <v>0</v>
      </c>
      <c r="I32">
        <v>0</v>
      </c>
      <c r="J32">
        <v>1</v>
      </c>
      <c r="K32">
        <v>15</v>
      </c>
      <c r="L32">
        <v>0</v>
      </c>
      <c r="M32">
        <v>1</v>
      </c>
      <c r="N32">
        <v>0</v>
      </c>
      <c r="O32">
        <v>0</v>
      </c>
      <c r="P32">
        <v>0</v>
      </c>
      <c r="Q32">
        <v>0</v>
      </c>
      <c r="R32">
        <v>0</v>
      </c>
      <c r="S32">
        <v>1</v>
      </c>
      <c r="T32">
        <v>0</v>
      </c>
      <c r="U32">
        <v>1</v>
      </c>
      <c r="V32">
        <v>2</v>
      </c>
      <c r="W32">
        <v>10</v>
      </c>
      <c r="X32">
        <v>0</v>
      </c>
      <c r="Y32">
        <v>1</v>
      </c>
      <c r="Z32">
        <v>0</v>
      </c>
      <c r="AA32">
        <v>0</v>
      </c>
      <c r="AB32">
        <v>0</v>
      </c>
      <c r="AC32">
        <v>0</v>
      </c>
      <c r="AD32">
        <v>0</v>
      </c>
      <c r="AE32">
        <v>0</v>
      </c>
      <c r="AF32">
        <v>0</v>
      </c>
      <c r="AG32">
        <v>30</v>
      </c>
      <c r="AH32">
        <v>30</v>
      </c>
      <c r="AI32">
        <v>0</v>
      </c>
      <c r="AJ32">
        <v>0</v>
      </c>
      <c r="AK32">
        <v>0</v>
      </c>
      <c r="AL32">
        <v>0</v>
      </c>
      <c r="AM32">
        <v>0</v>
      </c>
      <c r="AN32">
        <v>0</v>
      </c>
      <c r="AO32">
        <v>0</v>
      </c>
      <c r="AP32">
        <v>0</v>
      </c>
      <c r="AQ32">
        <v>0</v>
      </c>
      <c r="AR32">
        <v>0</v>
      </c>
      <c r="AS32">
        <v>0</v>
      </c>
      <c r="AT32">
        <v>15</v>
      </c>
      <c r="AU32">
        <v>0</v>
      </c>
      <c r="AV32">
        <v>15</v>
      </c>
      <c r="AW32">
        <v>0</v>
      </c>
      <c r="AX32">
        <v>1</v>
      </c>
      <c r="AY32">
        <v>0</v>
      </c>
      <c r="AZ32">
        <v>1</v>
      </c>
      <c r="BA32">
        <v>0</v>
      </c>
      <c r="BB32">
        <v>0</v>
      </c>
      <c r="BC32">
        <v>0</v>
      </c>
      <c r="BD32">
        <v>0</v>
      </c>
      <c r="BE32">
        <v>0</v>
      </c>
    </row>
    <row r="33" spans="1:58">
      <c r="A33" t="s">
        <v>19966</v>
      </c>
      <c r="B33" t="s">
        <v>19967</v>
      </c>
      <c r="C33">
        <v>0</v>
      </c>
      <c r="D33">
        <v>2</v>
      </c>
      <c r="E33">
        <v>2</v>
      </c>
      <c r="F33">
        <v>2</v>
      </c>
      <c r="G33">
        <v>0</v>
      </c>
      <c r="H33">
        <v>0</v>
      </c>
      <c r="I33">
        <v>0</v>
      </c>
      <c r="J33">
        <v>2</v>
      </c>
      <c r="K33">
        <v>5</v>
      </c>
      <c r="L33">
        <v>2</v>
      </c>
      <c r="M33">
        <v>0</v>
      </c>
      <c r="N33">
        <v>0</v>
      </c>
      <c r="O33">
        <v>0</v>
      </c>
      <c r="P33">
        <v>0</v>
      </c>
      <c r="Q33">
        <v>0</v>
      </c>
      <c r="R33">
        <v>0</v>
      </c>
      <c r="S33">
        <v>0.75</v>
      </c>
      <c r="T33">
        <v>0</v>
      </c>
      <c r="U33">
        <v>0</v>
      </c>
      <c r="V33">
        <v>0.75</v>
      </c>
      <c r="W33">
        <v>7.5</v>
      </c>
      <c r="X33">
        <v>0</v>
      </c>
      <c r="Y33">
        <v>2</v>
      </c>
      <c r="Z33">
        <v>0</v>
      </c>
      <c r="AA33">
        <v>0</v>
      </c>
      <c r="AB33">
        <v>0</v>
      </c>
      <c r="AC33">
        <v>0</v>
      </c>
      <c r="AD33">
        <v>0</v>
      </c>
      <c r="AE33">
        <v>0</v>
      </c>
      <c r="AF33">
        <v>0</v>
      </c>
      <c r="AG33">
        <v>7.5</v>
      </c>
      <c r="AH33">
        <v>7.5</v>
      </c>
      <c r="AI33">
        <v>0</v>
      </c>
      <c r="AJ33">
        <v>0</v>
      </c>
      <c r="AK33">
        <v>0</v>
      </c>
      <c r="AL33">
        <v>0</v>
      </c>
      <c r="AM33">
        <v>0</v>
      </c>
      <c r="AN33">
        <v>0</v>
      </c>
      <c r="AO33">
        <v>0</v>
      </c>
      <c r="AP33">
        <v>0</v>
      </c>
      <c r="AQ33">
        <v>0</v>
      </c>
      <c r="AR33">
        <v>0</v>
      </c>
      <c r="AS33">
        <v>0</v>
      </c>
      <c r="AT33">
        <v>5</v>
      </c>
      <c r="AU33">
        <v>0</v>
      </c>
      <c r="AV33">
        <v>5</v>
      </c>
      <c r="AW33">
        <v>0</v>
      </c>
      <c r="AX33">
        <v>0.75</v>
      </c>
      <c r="AY33">
        <v>0</v>
      </c>
      <c r="AZ33">
        <v>0.75</v>
      </c>
      <c r="BA33">
        <v>0</v>
      </c>
      <c r="BB33">
        <v>0</v>
      </c>
      <c r="BC33">
        <v>0</v>
      </c>
      <c r="BD33">
        <v>0</v>
      </c>
      <c r="BE33">
        <v>0</v>
      </c>
      <c r="BF33">
        <v>0</v>
      </c>
    </row>
    <row r="34" spans="1:58">
      <c r="A34" t="s">
        <v>17355</v>
      </c>
      <c r="B34" t="s">
        <v>19968</v>
      </c>
      <c r="C34">
        <v>0</v>
      </c>
      <c r="D34">
        <v>12</v>
      </c>
      <c r="E34">
        <v>12</v>
      </c>
      <c r="F34">
        <v>12</v>
      </c>
      <c r="G34">
        <v>3</v>
      </c>
      <c r="H34">
        <v>0</v>
      </c>
      <c r="I34">
        <v>0</v>
      </c>
      <c r="J34">
        <v>12</v>
      </c>
      <c r="K34">
        <v>54</v>
      </c>
      <c r="L34">
        <v>1</v>
      </c>
      <c r="M34">
        <v>0</v>
      </c>
      <c r="N34">
        <v>4</v>
      </c>
      <c r="O34">
        <v>6</v>
      </c>
      <c r="P34">
        <v>0</v>
      </c>
      <c r="Q34">
        <v>1</v>
      </c>
      <c r="R34">
        <v>0</v>
      </c>
      <c r="S34">
        <v>5</v>
      </c>
      <c r="T34">
        <v>4.5</v>
      </c>
      <c r="U34">
        <v>0</v>
      </c>
      <c r="V34">
        <v>0</v>
      </c>
      <c r="W34">
        <v>0</v>
      </c>
      <c r="X34">
        <v>0</v>
      </c>
      <c r="Y34">
        <v>0</v>
      </c>
      <c r="Z34">
        <v>12</v>
      </c>
      <c r="AA34">
        <v>0</v>
      </c>
      <c r="AB34">
        <v>0</v>
      </c>
      <c r="AC34">
        <v>8</v>
      </c>
      <c r="AD34">
        <v>8</v>
      </c>
      <c r="AE34">
        <v>4.25</v>
      </c>
      <c r="AF34">
        <v>8</v>
      </c>
      <c r="AG34">
        <v>8</v>
      </c>
      <c r="AH34">
        <v>3.75</v>
      </c>
      <c r="AI34">
        <v>0</v>
      </c>
      <c r="AJ34">
        <v>0</v>
      </c>
      <c r="AK34">
        <v>0</v>
      </c>
      <c r="AL34">
        <v>0</v>
      </c>
      <c r="AM34">
        <v>4</v>
      </c>
      <c r="AN34">
        <v>0</v>
      </c>
      <c r="AO34">
        <v>0</v>
      </c>
      <c r="AP34">
        <v>0</v>
      </c>
      <c r="AQ34">
        <v>0</v>
      </c>
      <c r="AR34">
        <v>0</v>
      </c>
      <c r="AS34">
        <v>0</v>
      </c>
      <c r="AT34">
        <v>54</v>
      </c>
      <c r="AU34">
        <v>0</v>
      </c>
      <c r="AV34">
        <v>54</v>
      </c>
      <c r="AW34">
        <v>0</v>
      </c>
      <c r="AX34">
        <v>5</v>
      </c>
      <c r="AY34">
        <v>0</v>
      </c>
      <c r="AZ34">
        <v>5</v>
      </c>
      <c r="BA34">
        <v>0</v>
      </c>
      <c r="BB34">
        <v>4.5</v>
      </c>
      <c r="BC34">
        <v>0</v>
      </c>
      <c r="BD34">
        <v>4.5</v>
      </c>
      <c r="BE34">
        <v>0</v>
      </c>
      <c r="BF34">
        <v>0</v>
      </c>
    </row>
    <row r="35" spans="1:58">
      <c r="A35" t="s">
        <v>17228</v>
      </c>
      <c r="B35" t="s">
        <v>17229</v>
      </c>
      <c r="C35">
        <v>0</v>
      </c>
      <c r="D35">
        <v>43</v>
      </c>
      <c r="E35">
        <v>0</v>
      </c>
      <c r="F35">
        <v>43</v>
      </c>
      <c r="G35">
        <v>0</v>
      </c>
      <c r="H35">
        <v>0</v>
      </c>
      <c r="I35">
        <v>0</v>
      </c>
      <c r="J35">
        <v>22</v>
      </c>
      <c r="K35">
        <v>821</v>
      </c>
      <c r="L35">
        <v>22</v>
      </c>
      <c r="M35">
        <v>0</v>
      </c>
      <c r="N35">
        <v>0</v>
      </c>
      <c r="O35">
        <v>0</v>
      </c>
      <c r="P35">
        <v>0</v>
      </c>
      <c r="Q35">
        <v>0</v>
      </c>
      <c r="R35">
        <v>0</v>
      </c>
      <c r="S35">
        <v>10.75</v>
      </c>
      <c r="T35">
        <v>0</v>
      </c>
      <c r="U35">
        <v>0</v>
      </c>
      <c r="V35">
        <v>10.75</v>
      </c>
      <c r="W35">
        <v>107.5</v>
      </c>
      <c r="X35">
        <v>0</v>
      </c>
      <c r="Y35">
        <v>43</v>
      </c>
      <c r="Z35">
        <v>0</v>
      </c>
      <c r="AA35">
        <v>0</v>
      </c>
      <c r="AB35">
        <v>0</v>
      </c>
      <c r="AC35">
        <v>10.07</v>
      </c>
      <c r="AD35">
        <v>0</v>
      </c>
      <c r="AE35">
        <v>155</v>
      </c>
      <c r="AF35">
        <v>0</v>
      </c>
      <c r="AG35">
        <v>117.57</v>
      </c>
      <c r="AH35">
        <v>47.5</v>
      </c>
      <c r="AI35">
        <v>0</v>
      </c>
      <c r="AJ35">
        <v>0</v>
      </c>
      <c r="AK35">
        <v>0</v>
      </c>
      <c r="AL35">
        <v>0</v>
      </c>
      <c r="AM35">
        <v>0</v>
      </c>
      <c r="AN35">
        <v>25</v>
      </c>
      <c r="AO35">
        <v>0</v>
      </c>
      <c r="AP35">
        <v>0</v>
      </c>
      <c r="AQ35">
        <v>0</v>
      </c>
      <c r="AR35">
        <v>0</v>
      </c>
      <c r="AS35">
        <v>0</v>
      </c>
      <c r="AT35">
        <v>821</v>
      </c>
      <c r="AU35">
        <v>0</v>
      </c>
      <c r="AV35">
        <v>821</v>
      </c>
      <c r="AW35">
        <v>0</v>
      </c>
      <c r="AX35">
        <v>10.75</v>
      </c>
      <c r="AY35">
        <v>0</v>
      </c>
      <c r="AZ35">
        <v>10.75</v>
      </c>
      <c r="BA35">
        <v>0</v>
      </c>
      <c r="BB35">
        <v>0</v>
      </c>
      <c r="BC35">
        <v>0</v>
      </c>
      <c r="BD35">
        <v>0</v>
      </c>
      <c r="BE35">
        <v>0</v>
      </c>
      <c r="BF35">
        <v>762</v>
      </c>
    </row>
    <row r="36" spans="1:58">
      <c r="A36" t="s">
        <v>16889</v>
      </c>
      <c r="B36" t="s">
        <v>17351</v>
      </c>
      <c r="C36">
        <v>0</v>
      </c>
      <c r="D36">
        <v>10</v>
      </c>
      <c r="E36">
        <v>10</v>
      </c>
      <c r="F36">
        <v>10</v>
      </c>
      <c r="G36">
        <v>0</v>
      </c>
      <c r="H36">
        <v>0</v>
      </c>
      <c r="I36">
        <v>0</v>
      </c>
      <c r="J36">
        <v>10</v>
      </c>
      <c r="K36">
        <v>101</v>
      </c>
      <c r="L36">
        <v>2</v>
      </c>
      <c r="M36">
        <v>0</v>
      </c>
      <c r="N36">
        <v>5</v>
      </c>
      <c r="O36">
        <v>3</v>
      </c>
      <c r="P36">
        <v>0</v>
      </c>
      <c r="Q36">
        <v>0</v>
      </c>
      <c r="R36">
        <v>0</v>
      </c>
      <c r="S36">
        <v>8.25</v>
      </c>
      <c r="T36">
        <v>5</v>
      </c>
      <c r="U36">
        <v>0</v>
      </c>
      <c r="V36">
        <v>13.25</v>
      </c>
      <c r="W36">
        <v>182.5</v>
      </c>
      <c r="X36">
        <v>0</v>
      </c>
      <c r="Y36">
        <v>9</v>
      </c>
      <c r="Z36">
        <v>0</v>
      </c>
      <c r="AA36">
        <v>0</v>
      </c>
      <c r="AB36">
        <v>10</v>
      </c>
      <c r="AC36">
        <v>9.25</v>
      </c>
      <c r="AD36">
        <v>9.25</v>
      </c>
      <c r="AE36">
        <v>9.25</v>
      </c>
      <c r="AF36">
        <v>19.25</v>
      </c>
      <c r="AG36">
        <v>191.75</v>
      </c>
      <c r="AH36">
        <v>182.5</v>
      </c>
      <c r="AI36">
        <v>0</v>
      </c>
      <c r="AJ36">
        <v>0</v>
      </c>
      <c r="AK36">
        <v>0</v>
      </c>
      <c r="AL36">
        <v>0</v>
      </c>
      <c r="AM36">
        <v>3</v>
      </c>
      <c r="AN36">
        <v>1</v>
      </c>
      <c r="AO36">
        <v>0</v>
      </c>
      <c r="AP36">
        <v>0</v>
      </c>
      <c r="AQ36">
        <v>0</v>
      </c>
      <c r="AR36">
        <v>0</v>
      </c>
      <c r="AS36">
        <v>0</v>
      </c>
      <c r="AT36">
        <v>101</v>
      </c>
      <c r="AU36">
        <v>0</v>
      </c>
      <c r="AV36">
        <v>101</v>
      </c>
      <c r="AW36">
        <v>0</v>
      </c>
      <c r="AX36">
        <v>8.25</v>
      </c>
      <c r="AY36">
        <v>0</v>
      </c>
      <c r="AZ36">
        <v>8.25</v>
      </c>
      <c r="BA36">
        <v>0</v>
      </c>
      <c r="BB36">
        <v>5</v>
      </c>
      <c r="BC36">
        <v>0</v>
      </c>
      <c r="BD36">
        <v>5</v>
      </c>
      <c r="BE36">
        <v>0</v>
      </c>
      <c r="BF36">
        <v>0</v>
      </c>
    </row>
    <row r="37" spans="1:58">
      <c r="A37" t="s">
        <v>16890</v>
      </c>
      <c r="B37" t="s">
        <v>16891</v>
      </c>
      <c r="C37">
        <v>0</v>
      </c>
      <c r="D37">
        <v>22</v>
      </c>
      <c r="E37">
        <v>18</v>
      </c>
      <c r="F37">
        <v>18</v>
      </c>
      <c r="G37">
        <v>1</v>
      </c>
      <c r="H37">
        <v>2</v>
      </c>
      <c r="I37">
        <v>1</v>
      </c>
      <c r="J37">
        <v>17</v>
      </c>
      <c r="K37">
        <v>233</v>
      </c>
      <c r="L37">
        <v>7</v>
      </c>
      <c r="M37">
        <v>0</v>
      </c>
      <c r="N37">
        <v>11</v>
      </c>
      <c r="O37">
        <v>0</v>
      </c>
      <c r="P37">
        <v>3</v>
      </c>
      <c r="Q37">
        <v>1</v>
      </c>
      <c r="R37">
        <v>0</v>
      </c>
      <c r="S37">
        <v>31.5</v>
      </c>
      <c r="T37">
        <v>4.75</v>
      </c>
      <c r="U37">
        <v>0</v>
      </c>
      <c r="V37">
        <v>36.25</v>
      </c>
      <c r="W37">
        <v>410</v>
      </c>
      <c r="X37">
        <v>0</v>
      </c>
      <c r="Y37">
        <v>17</v>
      </c>
      <c r="Z37">
        <v>0</v>
      </c>
      <c r="AA37">
        <v>0</v>
      </c>
      <c r="AB37">
        <v>95</v>
      </c>
      <c r="AC37">
        <v>2080.25</v>
      </c>
      <c r="AD37">
        <v>2080.25</v>
      </c>
      <c r="AE37">
        <v>2080.25</v>
      </c>
      <c r="AF37">
        <v>2175.25</v>
      </c>
      <c r="AG37">
        <v>2490.25</v>
      </c>
      <c r="AH37">
        <v>410</v>
      </c>
      <c r="AI37">
        <v>1186.75</v>
      </c>
      <c r="AJ37">
        <v>1281.75</v>
      </c>
      <c r="AK37">
        <v>1311.75</v>
      </c>
      <c r="AL37">
        <v>125</v>
      </c>
      <c r="AM37">
        <v>0</v>
      </c>
      <c r="AN37">
        <v>7</v>
      </c>
      <c r="AO37">
        <v>4</v>
      </c>
      <c r="AP37">
        <v>3</v>
      </c>
      <c r="AQ37">
        <v>0</v>
      </c>
      <c r="AR37">
        <v>1</v>
      </c>
      <c r="AS37">
        <v>0</v>
      </c>
      <c r="AT37">
        <v>233</v>
      </c>
      <c r="AU37">
        <v>22</v>
      </c>
      <c r="AV37">
        <v>211</v>
      </c>
      <c r="AW37">
        <v>0</v>
      </c>
      <c r="AX37">
        <v>31.5</v>
      </c>
      <c r="AY37">
        <v>12</v>
      </c>
      <c r="AZ37">
        <v>19.5</v>
      </c>
      <c r="BA37">
        <v>0</v>
      </c>
      <c r="BB37">
        <v>4.75</v>
      </c>
      <c r="BC37">
        <v>0.25</v>
      </c>
      <c r="BD37">
        <v>4.5</v>
      </c>
      <c r="BE37">
        <v>0</v>
      </c>
    </row>
    <row r="38" spans="1:58">
      <c r="A38" t="s">
        <v>16890</v>
      </c>
      <c r="B38" t="s">
        <v>16891</v>
      </c>
      <c r="C38">
        <v>0</v>
      </c>
      <c r="D38">
        <v>22</v>
      </c>
      <c r="E38">
        <v>21</v>
      </c>
      <c r="F38">
        <v>19</v>
      </c>
      <c r="G38">
        <v>4</v>
      </c>
      <c r="H38">
        <v>2</v>
      </c>
      <c r="I38">
        <v>1</v>
      </c>
      <c r="J38">
        <v>21</v>
      </c>
      <c r="K38">
        <v>257</v>
      </c>
      <c r="L38">
        <v>11</v>
      </c>
      <c r="M38">
        <v>0</v>
      </c>
      <c r="N38">
        <v>3</v>
      </c>
      <c r="O38">
        <v>4</v>
      </c>
      <c r="P38">
        <v>1</v>
      </c>
      <c r="Q38">
        <v>2</v>
      </c>
      <c r="R38">
        <v>0</v>
      </c>
      <c r="S38">
        <v>37</v>
      </c>
      <c r="T38">
        <v>15.25</v>
      </c>
      <c r="U38">
        <v>0</v>
      </c>
      <c r="V38">
        <v>52.25</v>
      </c>
      <c r="W38">
        <v>675</v>
      </c>
      <c r="X38">
        <v>0</v>
      </c>
      <c r="Y38">
        <v>19</v>
      </c>
      <c r="Z38">
        <v>0</v>
      </c>
      <c r="AA38">
        <v>0</v>
      </c>
      <c r="AB38">
        <v>287.5</v>
      </c>
      <c r="AC38" s="20">
        <v>3284.6</v>
      </c>
      <c r="AD38" s="20">
        <v>3252.85</v>
      </c>
      <c r="AE38" s="21">
        <v>2045</v>
      </c>
      <c r="AF38" s="20">
        <v>3540.35</v>
      </c>
      <c r="AG38" s="20">
        <v>3959.6</v>
      </c>
      <c r="AH38" s="20">
        <v>1914.6</v>
      </c>
      <c r="AI38">
        <v>945</v>
      </c>
      <c r="AJ38">
        <v>945</v>
      </c>
      <c r="AK38">
        <v>996</v>
      </c>
      <c r="AL38">
        <v>51</v>
      </c>
      <c r="AM38">
        <v>0</v>
      </c>
      <c r="AN38">
        <v>4</v>
      </c>
      <c r="AO38">
        <v>0</v>
      </c>
      <c r="AP38">
        <v>4</v>
      </c>
      <c r="AQ38">
        <v>1</v>
      </c>
      <c r="AR38">
        <v>0</v>
      </c>
      <c r="AS38">
        <v>0</v>
      </c>
      <c r="AT38">
        <v>257</v>
      </c>
      <c r="AU38">
        <v>62</v>
      </c>
      <c r="AV38">
        <v>195</v>
      </c>
      <c r="AW38">
        <v>0</v>
      </c>
      <c r="AX38">
        <v>37</v>
      </c>
      <c r="AY38">
        <v>11.75</v>
      </c>
      <c r="AZ38">
        <v>25.25</v>
      </c>
      <c r="BA38">
        <v>0</v>
      </c>
      <c r="BB38">
        <v>15.25</v>
      </c>
      <c r="BC38">
        <v>0.25</v>
      </c>
      <c r="BD38">
        <v>15</v>
      </c>
      <c r="BE38">
        <v>0</v>
      </c>
      <c r="BF38" s="21">
        <v>21627</v>
      </c>
    </row>
    <row r="39" spans="1:58">
      <c r="A39" t="s">
        <v>19969</v>
      </c>
      <c r="B39" t="s">
        <v>19970</v>
      </c>
      <c r="C39">
        <v>0</v>
      </c>
      <c r="D39">
        <v>13</v>
      </c>
      <c r="E39">
        <v>0</v>
      </c>
      <c r="F39">
        <v>13</v>
      </c>
      <c r="G39">
        <v>0</v>
      </c>
      <c r="H39">
        <v>0</v>
      </c>
      <c r="I39">
        <v>0</v>
      </c>
      <c r="J39">
        <v>13</v>
      </c>
      <c r="K39">
        <v>49</v>
      </c>
      <c r="L39">
        <v>12</v>
      </c>
      <c r="M39">
        <v>1</v>
      </c>
      <c r="N39">
        <v>0</v>
      </c>
      <c r="O39">
        <v>0</v>
      </c>
      <c r="P39">
        <v>0</v>
      </c>
      <c r="Q39">
        <v>0</v>
      </c>
      <c r="R39">
        <v>0</v>
      </c>
      <c r="S39">
        <v>3.25</v>
      </c>
      <c r="T39">
        <v>0</v>
      </c>
      <c r="U39">
        <v>0</v>
      </c>
      <c r="V39">
        <v>3.25</v>
      </c>
      <c r="W39">
        <v>32.5</v>
      </c>
      <c r="X39">
        <v>0</v>
      </c>
      <c r="Y39">
        <v>13</v>
      </c>
      <c r="Z39">
        <v>0</v>
      </c>
      <c r="AA39">
        <v>0</v>
      </c>
      <c r="AB39">
        <v>0</v>
      </c>
      <c r="AC39">
        <v>0</v>
      </c>
      <c r="AD39">
        <v>0</v>
      </c>
      <c r="AE39">
        <v>0</v>
      </c>
      <c r="AF39">
        <v>0</v>
      </c>
      <c r="AG39">
        <v>32.5</v>
      </c>
      <c r="AH39">
        <v>32.5</v>
      </c>
      <c r="AI39">
        <v>0</v>
      </c>
      <c r="AJ39">
        <v>0</v>
      </c>
      <c r="AK39">
        <v>0</v>
      </c>
      <c r="AL39">
        <v>0</v>
      </c>
      <c r="AM39">
        <v>0</v>
      </c>
      <c r="AN39">
        <v>0</v>
      </c>
      <c r="AO39">
        <v>0</v>
      </c>
      <c r="AP39">
        <v>0</v>
      </c>
      <c r="AQ39">
        <v>0</v>
      </c>
      <c r="AR39">
        <v>0</v>
      </c>
      <c r="AS39">
        <v>0</v>
      </c>
      <c r="AT39">
        <v>49</v>
      </c>
      <c r="AU39">
        <v>0</v>
      </c>
      <c r="AV39">
        <v>49</v>
      </c>
      <c r="AW39">
        <v>0</v>
      </c>
      <c r="AX39">
        <v>3.25</v>
      </c>
      <c r="AY39">
        <v>0</v>
      </c>
      <c r="AZ39">
        <v>3.25</v>
      </c>
      <c r="BA39">
        <v>0</v>
      </c>
      <c r="BB39">
        <v>0</v>
      </c>
      <c r="BC39">
        <v>0</v>
      </c>
      <c r="BD39">
        <v>0</v>
      </c>
      <c r="BE39">
        <v>0</v>
      </c>
      <c r="BF39">
        <v>13</v>
      </c>
    </row>
    <row r="40" spans="1:58">
      <c r="A40" t="s">
        <v>16892</v>
      </c>
      <c r="B40" t="s">
        <v>16893</v>
      </c>
      <c r="C40">
        <v>0</v>
      </c>
      <c r="D40">
        <v>6</v>
      </c>
      <c r="E40">
        <v>2</v>
      </c>
      <c r="F40">
        <v>6</v>
      </c>
      <c r="G40">
        <v>0</v>
      </c>
      <c r="H40">
        <v>1</v>
      </c>
      <c r="I40">
        <v>0</v>
      </c>
      <c r="J40">
        <v>6</v>
      </c>
      <c r="K40">
        <v>54</v>
      </c>
      <c r="L40">
        <v>5</v>
      </c>
      <c r="M40">
        <v>0</v>
      </c>
      <c r="N40">
        <v>0</v>
      </c>
      <c r="O40">
        <v>0</v>
      </c>
      <c r="P40">
        <v>0</v>
      </c>
      <c r="Q40">
        <v>1</v>
      </c>
      <c r="R40">
        <v>0</v>
      </c>
      <c r="S40">
        <v>4.25</v>
      </c>
      <c r="T40">
        <v>4.75</v>
      </c>
      <c r="U40">
        <v>0</v>
      </c>
      <c r="V40">
        <v>9</v>
      </c>
      <c r="W40">
        <v>137.5</v>
      </c>
      <c r="X40">
        <v>0</v>
      </c>
      <c r="Y40">
        <v>2</v>
      </c>
      <c r="Z40">
        <v>3</v>
      </c>
      <c r="AA40">
        <v>0</v>
      </c>
      <c r="AB40">
        <v>0</v>
      </c>
      <c r="AC40">
        <v>0</v>
      </c>
      <c r="AD40">
        <v>0</v>
      </c>
      <c r="AE40">
        <v>0</v>
      </c>
      <c r="AF40">
        <v>0</v>
      </c>
      <c r="AG40">
        <v>137.5</v>
      </c>
      <c r="AH40">
        <v>137.5</v>
      </c>
      <c r="AI40">
        <v>0</v>
      </c>
      <c r="AJ40">
        <v>0</v>
      </c>
      <c r="AK40">
        <v>15</v>
      </c>
      <c r="AL40">
        <v>15</v>
      </c>
      <c r="AM40">
        <v>0</v>
      </c>
      <c r="AN40">
        <v>0</v>
      </c>
      <c r="AO40">
        <v>0</v>
      </c>
      <c r="AP40">
        <v>0</v>
      </c>
      <c r="AQ40">
        <v>0</v>
      </c>
      <c r="AR40">
        <v>0</v>
      </c>
      <c r="AS40">
        <v>0</v>
      </c>
      <c r="AT40">
        <v>54</v>
      </c>
      <c r="AU40">
        <v>22</v>
      </c>
      <c r="AV40">
        <v>32</v>
      </c>
      <c r="AW40">
        <v>0</v>
      </c>
      <c r="AX40">
        <v>4.25</v>
      </c>
      <c r="AY40">
        <v>1</v>
      </c>
      <c r="AZ40">
        <v>3.25</v>
      </c>
      <c r="BA40">
        <v>0</v>
      </c>
      <c r="BB40">
        <v>4.75</v>
      </c>
      <c r="BC40">
        <v>0.25</v>
      </c>
      <c r="BD40">
        <v>4.5</v>
      </c>
      <c r="BE40">
        <v>0</v>
      </c>
      <c r="BF40">
        <v>0</v>
      </c>
    </row>
    <row r="41" spans="1:58">
      <c r="A41" t="s">
        <v>16894</v>
      </c>
      <c r="B41" t="s">
        <v>16895</v>
      </c>
      <c r="C41">
        <v>2</v>
      </c>
      <c r="D41">
        <v>6</v>
      </c>
      <c r="E41">
        <v>6</v>
      </c>
      <c r="F41">
        <v>4</v>
      </c>
      <c r="G41">
        <v>1</v>
      </c>
      <c r="H41">
        <v>2</v>
      </c>
      <c r="I41">
        <v>1</v>
      </c>
      <c r="J41">
        <v>5</v>
      </c>
      <c r="K41">
        <v>89</v>
      </c>
      <c r="L41">
        <v>3</v>
      </c>
      <c r="M41">
        <v>1</v>
      </c>
      <c r="N41">
        <v>1</v>
      </c>
      <c r="O41">
        <v>0</v>
      </c>
      <c r="P41">
        <v>0</v>
      </c>
      <c r="Q41">
        <v>0</v>
      </c>
      <c r="R41">
        <v>0</v>
      </c>
      <c r="S41">
        <v>1.75</v>
      </c>
      <c r="T41">
        <v>11.5</v>
      </c>
      <c r="U41">
        <v>232</v>
      </c>
      <c r="V41">
        <v>245.25</v>
      </c>
      <c r="W41">
        <v>232.5</v>
      </c>
      <c r="X41">
        <v>0</v>
      </c>
      <c r="Y41">
        <v>2</v>
      </c>
      <c r="Z41">
        <v>0</v>
      </c>
      <c r="AA41">
        <v>-15</v>
      </c>
      <c r="AB41">
        <v>175</v>
      </c>
      <c r="AC41">
        <v>1.5</v>
      </c>
      <c r="AD41">
        <v>1.5</v>
      </c>
      <c r="AE41">
        <v>176.5</v>
      </c>
      <c r="AF41">
        <v>176.5</v>
      </c>
      <c r="AG41" s="21">
        <v>4874</v>
      </c>
      <c r="AH41" s="20">
        <v>4697.5</v>
      </c>
      <c r="AI41">
        <v>0</v>
      </c>
      <c r="AJ41">
        <v>0</v>
      </c>
      <c r="AK41" s="21">
        <v>4640</v>
      </c>
      <c r="AL41" s="21">
        <v>4640</v>
      </c>
      <c r="AM41">
        <v>0</v>
      </c>
      <c r="AN41">
        <v>0</v>
      </c>
      <c r="AO41">
        <v>0</v>
      </c>
      <c r="AP41">
        <v>1</v>
      </c>
      <c r="AQ41">
        <v>0</v>
      </c>
      <c r="AR41">
        <v>0</v>
      </c>
      <c r="AS41">
        <v>0</v>
      </c>
      <c r="AT41">
        <v>89</v>
      </c>
      <c r="AU41">
        <v>38</v>
      </c>
      <c r="AV41">
        <v>46</v>
      </c>
      <c r="AW41">
        <v>43</v>
      </c>
      <c r="AX41">
        <v>1.75</v>
      </c>
      <c r="AY41">
        <v>0.25</v>
      </c>
      <c r="AZ41">
        <v>1.25</v>
      </c>
      <c r="BA41">
        <v>0.5</v>
      </c>
      <c r="BB41">
        <v>11.5</v>
      </c>
      <c r="BC41">
        <v>0.25</v>
      </c>
      <c r="BD41">
        <v>11</v>
      </c>
      <c r="BE41">
        <v>0.5</v>
      </c>
      <c r="BF41">
        <v>0</v>
      </c>
    </row>
    <row r="42" spans="1:58">
      <c r="A42" t="s">
        <v>16902</v>
      </c>
      <c r="B42" t="s">
        <v>16903</v>
      </c>
      <c r="C42">
        <v>0</v>
      </c>
      <c r="D42">
        <v>5</v>
      </c>
      <c r="E42">
        <v>5</v>
      </c>
      <c r="F42">
        <v>5</v>
      </c>
      <c r="G42">
        <v>0</v>
      </c>
      <c r="H42">
        <v>0</v>
      </c>
      <c r="I42">
        <v>0</v>
      </c>
      <c r="J42">
        <v>5</v>
      </c>
      <c r="K42">
        <v>15</v>
      </c>
      <c r="L42">
        <v>4</v>
      </c>
      <c r="M42">
        <v>0</v>
      </c>
      <c r="N42">
        <v>0</v>
      </c>
      <c r="O42">
        <v>1</v>
      </c>
      <c r="P42">
        <v>0</v>
      </c>
      <c r="Q42">
        <v>0</v>
      </c>
      <c r="R42">
        <v>0</v>
      </c>
      <c r="S42">
        <v>0.75</v>
      </c>
      <c r="T42">
        <v>0</v>
      </c>
      <c r="U42">
        <v>0.5</v>
      </c>
      <c r="V42">
        <v>1.25</v>
      </c>
      <c r="W42">
        <v>7.5</v>
      </c>
      <c r="X42">
        <v>0</v>
      </c>
      <c r="Y42">
        <v>3</v>
      </c>
      <c r="Z42">
        <v>0</v>
      </c>
      <c r="AA42">
        <v>0</v>
      </c>
      <c r="AB42">
        <v>0</v>
      </c>
      <c r="AC42">
        <v>0</v>
      </c>
      <c r="AD42">
        <v>0</v>
      </c>
      <c r="AE42">
        <v>0</v>
      </c>
      <c r="AF42">
        <v>0</v>
      </c>
      <c r="AG42">
        <v>17.5</v>
      </c>
      <c r="AH42">
        <v>17.5</v>
      </c>
      <c r="AI42">
        <v>0</v>
      </c>
      <c r="AJ42">
        <v>0</v>
      </c>
      <c r="AK42">
        <v>0</v>
      </c>
      <c r="AL42">
        <v>0</v>
      </c>
      <c r="AM42">
        <v>0</v>
      </c>
      <c r="AN42">
        <v>0</v>
      </c>
      <c r="AO42">
        <v>0</v>
      </c>
      <c r="AP42">
        <v>0</v>
      </c>
      <c r="AQ42">
        <v>0</v>
      </c>
      <c r="AR42">
        <v>0</v>
      </c>
      <c r="AS42">
        <v>0</v>
      </c>
      <c r="AT42">
        <v>15</v>
      </c>
      <c r="AU42">
        <v>0</v>
      </c>
      <c r="AV42">
        <v>15</v>
      </c>
      <c r="AW42">
        <v>0</v>
      </c>
      <c r="AX42">
        <v>0.75</v>
      </c>
      <c r="AY42">
        <v>0</v>
      </c>
      <c r="AZ42">
        <v>0.75</v>
      </c>
      <c r="BA42">
        <v>0</v>
      </c>
      <c r="BB42">
        <v>0</v>
      </c>
      <c r="BC42">
        <v>0</v>
      </c>
      <c r="BD42">
        <v>0</v>
      </c>
      <c r="BE42">
        <v>0</v>
      </c>
      <c r="BF42">
        <v>0</v>
      </c>
    </row>
    <row r="43" spans="1:58">
      <c r="A43" t="s">
        <v>16904</v>
      </c>
      <c r="B43" t="s">
        <v>16905</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55</v>
      </c>
    </row>
    <row r="44" spans="1:58">
      <c r="A44" t="s">
        <v>16908</v>
      </c>
      <c r="B44" t="s">
        <v>16909</v>
      </c>
      <c r="C44">
        <v>0</v>
      </c>
      <c r="D44">
        <v>26</v>
      </c>
      <c r="E44">
        <v>18</v>
      </c>
      <c r="F44">
        <v>25</v>
      </c>
      <c r="G44">
        <v>0</v>
      </c>
      <c r="H44">
        <v>0</v>
      </c>
      <c r="I44">
        <v>3</v>
      </c>
      <c r="J44">
        <v>22</v>
      </c>
      <c r="K44">
        <v>122</v>
      </c>
      <c r="L44">
        <v>11</v>
      </c>
      <c r="M44">
        <v>0</v>
      </c>
      <c r="N44">
        <v>0</v>
      </c>
      <c r="O44">
        <v>7</v>
      </c>
      <c r="P44">
        <v>0</v>
      </c>
      <c r="Q44">
        <v>0</v>
      </c>
      <c r="R44">
        <v>1</v>
      </c>
      <c r="S44">
        <v>0</v>
      </c>
      <c r="T44">
        <v>0</v>
      </c>
      <c r="U44">
        <v>0</v>
      </c>
      <c r="V44">
        <v>0</v>
      </c>
      <c r="W44">
        <v>0</v>
      </c>
      <c r="X44">
        <v>0</v>
      </c>
      <c r="Y44">
        <v>0</v>
      </c>
      <c r="Z44">
        <v>0</v>
      </c>
      <c r="AA44">
        <v>0</v>
      </c>
      <c r="AB44">
        <v>0</v>
      </c>
      <c r="AC44">
        <v>26.1</v>
      </c>
      <c r="AD44">
        <v>26.1</v>
      </c>
      <c r="AE44">
        <v>0</v>
      </c>
      <c r="AF44">
        <v>26.1</v>
      </c>
      <c r="AG44">
        <v>26.1</v>
      </c>
      <c r="AH44">
        <v>26.1</v>
      </c>
      <c r="AI44">
        <v>0</v>
      </c>
      <c r="AJ44">
        <v>0</v>
      </c>
      <c r="AK44">
        <v>0</v>
      </c>
      <c r="AL44">
        <v>0</v>
      </c>
      <c r="AM44">
        <v>0</v>
      </c>
      <c r="AN44">
        <v>0</v>
      </c>
      <c r="AO44">
        <v>0</v>
      </c>
      <c r="AP44">
        <v>0</v>
      </c>
      <c r="AQ44">
        <v>0</v>
      </c>
      <c r="AR44">
        <v>0</v>
      </c>
      <c r="AS44">
        <v>0</v>
      </c>
      <c r="AT44">
        <v>122</v>
      </c>
      <c r="AU44">
        <v>0</v>
      </c>
      <c r="AV44">
        <v>121</v>
      </c>
      <c r="AW44">
        <v>0</v>
      </c>
      <c r="AX44">
        <v>0</v>
      </c>
      <c r="AY44">
        <v>0</v>
      </c>
      <c r="AZ44">
        <v>0</v>
      </c>
      <c r="BA44">
        <v>0</v>
      </c>
      <c r="BB44">
        <v>0</v>
      </c>
      <c r="BC44">
        <v>0</v>
      </c>
      <c r="BD44">
        <v>0</v>
      </c>
      <c r="BE44">
        <v>0</v>
      </c>
      <c r="BF44">
        <v>9</v>
      </c>
    </row>
    <row r="45" spans="1:58">
      <c r="A45" t="s">
        <v>17221</v>
      </c>
      <c r="B45" t="s">
        <v>17405</v>
      </c>
      <c r="C45">
        <v>1</v>
      </c>
      <c r="D45">
        <v>79</v>
      </c>
      <c r="E45">
        <v>62</v>
      </c>
      <c r="F45">
        <v>65</v>
      </c>
      <c r="G45">
        <v>3</v>
      </c>
      <c r="H45">
        <v>2</v>
      </c>
      <c r="I45">
        <v>0</v>
      </c>
      <c r="J45">
        <v>79</v>
      </c>
      <c r="K45">
        <v>565</v>
      </c>
      <c r="L45">
        <v>56</v>
      </c>
      <c r="M45">
        <v>0</v>
      </c>
      <c r="N45">
        <v>2</v>
      </c>
      <c r="O45">
        <v>6</v>
      </c>
      <c r="P45">
        <v>1</v>
      </c>
      <c r="Q45">
        <v>13</v>
      </c>
      <c r="R45">
        <v>0</v>
      </c>
      <c r="S45">
        <v>99.25</v>
      </c>
      <c r="T45">
        <v>0</v>
      </c>
      <c r="U45">
        <v>0</v>
      </c>
      <c r="V45">
        <v>99.25</v>
      </c>
      <c r="W45">
        <v>872.5</v>
      </c>
      <c r="X45">
        <v>0</v>
      </c>
      <c r="Y45">
        <v>35</v>
      </c>
      <c r="Z45">
        <v>0</v>
      </c>
      <c r="AA45">
        <v>-120</v>
      </c>
      <c r="AB45">
        <v>285</v>
      </c>
      <c r="AC45">
        <v>9.5399999999999991</v>
      </c>
      <c r="AD45">
        <v>9.5399999999999991</v>
      </c>
      <c r="AE45">
        <v>8.4</v>
      </c>
      <c r="AF45">
        <v>294.54000000000002</v>
      </c>
      <c r="AG45">
        <v>882.04</v>
      </c>
      <c r="AH45">
        <v>873.64</v>
      </c>
      <c r="AI45">
        <v>0</v>
      </c>
      <c r="AJ45">
        <v>1.1399999999999999</v>
      </c>
      <c r="AK45">
        <v>1.1399999999999999</v>
      </c>
      <c r="AL45">
        <v>1.1399999999999999</v>
      </c>
      <c r="AM45">
        <v>0</v>
      </c>
      <c r="AN45">
        <v>1</v>
      </c>
      <c r="AO45">
        <v>0</v>
      </c>
      <c r="AP45">
        <v>0</v>
      </c>
      <c r="AQ45">
        <v>0</v>
      </c>
      <c r="AR45">
        <v>0</v>
      </c>
      <c r="AS45">
        <v>0</v>
      </c>
      <c r="AT45">
        <v>565</v>
      </c>
      <c r="AU45">
        <v>52</v>
      </c>
      <c r="AV45">
        <v>513</v>
      </c>
      <c r="AW45">
        <v>17</v>
      </c>
      <c r="AX45">
        <v>99.25</v>
      </c>
      <c r="AY45">
        <v>12</v>
      </c>
      <c r="AZ45">
        <v>87.25</v>
      </c>
      <c r="BA45">
        <v>12</v>
      </c>
      <c r="BB45">
        <v>0</v>
      </c>
      <c r="BC45">
        <v>0</v>
      </c>
      <c r="BD45">
        <v>0</v>
      </c>
      <c r="BE45">
        <v>0</v>
      </c>
      <c r="BF45" s="21">
        <v>213361</v>
      </c>
    </row>
    <row r="46" spans="1:58">
      <c r="A46" t="s">
        <v>16910</v>
      </c>
      <c r="B46" t="s">
        <v>16911</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240</v>
      </c>
    </row>
    <row r="47" spans="1:58">
      <c r="A47" t="s">
        <v>16912</v>
      </c>
      <c r="B47" t="s">
        <v>16913</v>
      </c>
      <c r="C47">
        <v>0</v>
      </c>
      <c r="D47">
        <v>2</v>
      </c>
      <c r="E47">
        <v>0</v>
      </c>
      <c r="F47">
        <v>2</v>
      </c>
      <c r="G47">
        <v>0</v>
      </c>
      <c r="H47">
        <v>2</v>
      </c>
      <c r="I47">
        <v>1</v>
      </c>
      <c r="J47">
        <v>2</v>
      </c>
      <c r="K47">
        <v>38</v>
      </c>
      <c r="L47">
        <v>1</v>
      </c>
      <c r="M47">
        <v>0</v>
      </c>
      <c r="N47">
        <v>1</v>
      </c>
      <c r="O47">
        <v>0</v>
      </c>
      <c r="P47">
        <v>0</v>
      </c>
      <c r="Q47">
        <v>0</v>
      </c>
      <c r="R47">
        <v>0</v>
      </c>
      <c r="S47">
        <v>7</v>
      </c>
      <c r="T47">
        <v>17</v>
      </c>
      <c r="U47">
        <v>0</v>
      </c>
      <c r="V47">
        <v>24</v>
      </c>
      <c r="W47">
        <v>410</v>
      </c>
      <c r="X47">
        <v>0</v>
      </c>
      <c r="Y47">
        <v>2</v>
      </c>
      <c r="Z47">
        <v>0</v>
      </c>
      <c r="AA47">
        <v>0</v>
      </c>
      <c r="AB47">
        <v>350</v>
      </c>
      <c r="AC47">
        <v>56.05</v>
      </c>
      <c r="AD47">
        <v>56.05</v>
      </c>
      <c r="AE47">
        <v>346.05</v>
      </c>
      <c r="AF47">
        <v>406.05</v>
      </c>
      <c r="AG47">
        <v>466.05</v>
      </c>
      <c r="AH47">
        <v>120</v>
      </c>
      <c r="AI47">
        <v>346.05</v>
      </c>
      <c r="AJ47">
        <v>406.05</v>
      </c>
      <c r="AK47">
        <v>466.05</v>
      </c>
      <c r="AL47">
        <v>120</v>
      </c>
      <c r="AM47">
        <v>0</v>
      </c>
      <c r="AN47">
        <v>0</v>
      </c>
      <c r="AO47">
        <v>0</v>
      </c>
      <c r="AP47">
        <v>1</v>
      </c>
      <c r="AQ47">
        <v>0</v>
      </c>
      <c r="AR47">
        <v>0</v>
      </c>
      <c r="AS47">
        <v>0</v>
      </c>
      <c r="AT47">
        <v>38</v>
      </c>
      <c r="AU47">
        <v>38</v>
      </c>
      <c r="AV47">
        <v>0</v>
      </c>
      <c r="AW47">
        <v>0</v>
      </c>
      <c r="AX47">
        <v>7</v>
      </c>
      <c r="AY47">
        <v>7</v>
      </c>
      <c r="AZ47">
        <v>0</v>
      </c>
      <c r="BA47">
        <v>0</v>
      </c>
      <c r="BB47">
        <v>17</v>
      </c>
      <c r="BC47">
        <v>17</v>
      </c>
      <c r="BD47">
        <v>0</v>
      </c>
      <c r="BE47">
        <v>0</v>
      </c>
      <c r="BF47">
        <v>500</v>
      </c>
    </row>
    <row r="48" spans="1:58">
      <c r="A48" t="s">
        <v>16914</v>
      </c>
      <c r="B48" t="s">
        <v>16915</v>
      </c>
      <c r="C48">
        <v>0</v>
      </c>
      <c r="D48">
        <v>6</v>
      </c>
      <c r="E48">
        <v>6</v>
      </c>
      <c r="F48">
        <v>5</v>
      </c>
      <c r="G48">
        <v>0</v>
      </c>
      <c r="H48">
        <v>0</v>
      </c>
      <c r="I48">
        <v>1</v>
      </c>
      <c r="J48">
        <v>6</v>
      </c>
      <c r="K48">
        <v>115</v>
      </c>
      <c r="L48">
        <v>6</v>
      </c>
      <c r="M48">
        <v>0</v>
      </c>
      <c r="N48">
        <v>0</v>
      </c>
      <c r="O48">
        <v>0</v>
      </c>
      <c r="P48">
        <v>0</v>
      </c>
      <c r="Q48">
        <v>0</v>
      </c>
      <c r="R48">
        <v>0</v>
      </c>
      <c r="S48">
        <v>0.5</v>
      </c>
      <c r="T48">
        <v>2.25</v>
      </c>
      <c r="U48">
        <v>0</v>
      </c>
      <c r="V48">
        <v>2.75</v>
      </c>
      <c r="W48">
        <v>50</v>
      </c>
      <c r="X48">
        <v>0</v>
      </c>
      <c r="Y48">
        <v>1</v>
      </c>
      <c r="Z48">
        <v>0</v>
      </c>
      <c r="AA48">
        <v>0</v>
      </c>
      <c r="AB48">
        <v>20</v>
      </c>
      <c r="AC48">
        <v>40.799999999999997</v>
      </c>
      <c r="AD48">
        <v>40.799999999999997</v>
      </c>
      <c r="AE48">
        <v>60.8</v>
      </c>
      <c r="AF48">
        <v>60.8</v>
      </c>
      <c r="AG48">
        <v>90.8</v>
      </c>
      <c r="AH48">
        <v>30</v>
      </c>
      <c r="AI48">
        <v>0</v>
      </c>
      <c r="AJ48">
        <v>0</v>
      </c>
      <c r="AK48">
        <v>0</v>
      </c>
      <c r="AL48">
        <v>0</v>
      </c>
      <c r="AM48">
        <v>0</v>
      </c>
      <c r="AN48">
        <v>0</v>
      </c>
      <c r="AO48">
        <v>1</v>
      </c>
      <c r="AP48">
        <v>0</v>
      </c>
      <c r="AQ48">
        <v>0</v>
      </c>
      <c r="AR48">
        <v>0</v>
      </c>
      <c r="AS48">
        <v>0</v>
      </c>
      <c r="AT48">
        <v>115</v>
      </c>
      <c r="AU48">
        <v>0</v>
      </c>
      <c r="AV48">
        <v>115</v>
      </c>
      <c r="AW48">
        <v>0</v>
      </c>
      <c r="AX48">
        <v>0.5</v>
      </c>
      <c r="AY48">
        <v>0</v>
      </c>
      <c r="AZ48">
        <v>0.5</v>
      </c>
      <c r="BA48">
        <v>0</v>
      </c>
      <c r="BB48">
        <v>2.25</v>
      </c>
      <c r="BC48">
        <v>0</v>
      </c>
      <c r="BD48">
        <v>2.25</v>
      </c>
      <c r="BE48">
        <v>0</v>
      </c>
    </row>
    <row r="49" spans="1:58">
      <c r="A49" t="s">
        <v>16916</v>
      </c>
      <c r="B49" t="s">
        <v>16917</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row>
    <row r="50" spans="1:58">
      <c r="A50" t="s">
        <v>16941</v>
      </c>
      <c r="B50" t="s">
        <v>16942</v>
      </c>
      <c r="C50">
        <v>0</v>
      </c>
      <c r="D50">
        <v>4</v>
      </c>
      <c r="E50">
        <v>4</v>
      </c>
      <c r="F50">
        <v>4</v>
      </c>
      <c r="G50">
        <v>0</v>
      </c>
      <c r="H50">
        <v>0</v>
      </c>
      <c r="I50">
        <v>0</v>
      </c>
      <c r="J50">
        <v>4</v>
      </c>
      <c r="K50">
        <v>12</v>
      </c>
      <c r="L50">
        <v>4</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12</v>
      </c>
      <c r="AU50">
        <v>0</v>
      </c>
      <c r="AV50">
        <v>12</v>
      </c>
      <c r="AW50">
        <v>0</v>
      </c>
      <c r="AX50">
        <v>0</v>
      </c>
      <c r="AY50">
        <v>0</v>
      </c>
      <c r="AZ50">
        <v>0</v>
      </c>
      <c r="BA50">
        <v>0</v>
      </c>
      <c r="BB50">
        <v>0</v>
      </c>
      <c r="BC50">
        <v>0</v>
      </c>
      <c r="BD50">
        <v>0</v>
      </c>
      <c r="BE50">
        <v>0</v>
      </c>
      <c r="BF50">
        <v>11</v>
      </c>
    </row>
    <row r="51" spans="1:58">
      <c r="A51" t="s">
        <v>16920</v>
      </c>
      <c r="B51" t="s">
        <v>16921</v>
      </c>
      <c r="C51">
        <v>0</v>
      </c>
      <c r="D51">
        <v>2</v>
      </c>
      <c r="E51">
        <v>0</v>
      </c>
      <c r="F51">
        <v>1</v>
      </c>
      <c r="G51">
        <v>0</v>
      </c>
      <c r="H51">
        <v>0</v>
      </c>
      <c r="I51">
        <v>0</v>
      </c>
      <c r="J51">
        <v>2</v>
      </c>
      <c r="K51">
        <v>32</v>
      </c>
      <c r="L51">
        <v>1</v>
      </c>
      <c r="M51">
        <v>0</v>
      </c>
      <c r="N51">
        <v>0</v>
      </c>
      <c r="O51">
        <v>0</v>
      </c>
      <c r="P51">
        <v>1</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32</v>
      </c>
      <c r="AU51">
        <v>0</v>
      </c>
      <c r="AV51">
        <v>32</v>
      </c>
      <c r="AW51">
        <v>0</v>
      </c>
      <c r="AX51">
        <v>0</v>
      </c>
      <c r="AY51">
        <v>0</v>
      </c>
      <c r="AZ51">
        <v>0</v>
      </c>
      <c r="BA51">
        <v>0</v>
      </c>
      <c r="BB51">
        <v>0</v>
      </c>
      <c r="BC51">
        <v>0</v>
      </c>
      <c r="BD51">
        <v>0</v>
      </c>
      <c r="BE51">
        <v>0</v>
      </c>
      <c r="BF51">
        <v>0</v>
      </c>
    </row>
    <row r="52" spans="1:58">
      <c r="A52" t="s">
        <v>16922</v>
      </c>
      <c r="B52" t="s">
        <v>16923</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10</v>
      </c>
    </row>
    <row r="53" spans="1:58">
      <c r="A53" t="s">
        <v>19971</v>
      </c>
      <c r="B53" t="s">
        <v>19972</v>
      </c>
      <c r="C53">
        <v>1</v>
      </c>
      <c r="D53">
        <v>1</v>
      </c>
      <c r="E53">
        <v>0</v>
      </c>
      <c r="F53">
        <v>1</v>
      </c>
      <c r="G53">
        <v>0</v>
      </c>
      <c r="H53">
        <v>0</v>
      </c>
      <c r="I53">
        <v>0</v>
      </c>
      <c r="J53">
        <v>1</v>
      </c>
      <c r="K53">
        <v>1</v>
      </c>
      <c r="L53">
        <v>1</v>
      </c>
      <c r="M53">
        <v>0</v>
      </c>
      <c r="N53">
        <v>0</v>
      </c>
      <c r="O53">
        <v>0</v>
      </c>
      <c r="P53">
        <v>0</v>
      </c>
      <c r="Q53">
        <v>0</v>
      </c>
      <c r="R53">
        <v>0</v>
      </c>
      <c r="S53">
        <v>0.25</v>
      </c>
      <c r="T53">
        <v>0</v>
      </c>
      <c r="U53">
        <v>0</v>
      </c>
      <c r="V53">
        <v>0.25</v>
      </c>
      <c r="W53">
        <v>0</v>
      </c>
      <c r="X53">
        <v>0</v>
      </c>
      <c r="Y53">
        <v>0</v>
      </c>
      <c r="Z53">
        <v>0</v>
      </c>
      <c r="AA53">
        <v>-2.5</v>
      </c>
      <c r="AB53">
        <v>0</v>
      </c>
      <c r="AC53">
        <v>0</v>
      </c>
      <c r="AD53">
        <v>0</v>
      </c>
      <c r="AE53">
        <v>0</v>
      </c>
      <c r="AF53">
        <v>0</v>
      </c>
      <c r="AG53">
        <v>0</v>
      </c>
      <c r="AH53">
        <v>0</v>
      </c>
      <c r="AI53">
        <v>0</v>
      </c>
      <c r="AJ53">
        <v>0</v>
      </c>
      <c r="AK53">
        <v>0</v>
      </c>
      <c r="AL53">
        <v>0</v>
      </c>
      <c r="AM53">
        <v>0</v>
      </c>
      <c r="AN53">
        <v>0</v>
      </c>
      <c r="AO53">
        <v>0</v>
      </c>
      <c r="AP53">
        <v>0</v>
      </c>
      <c r="AQ53">
        <v>0</v>
      </c>
      <c r="AR53">
        <v>0</v>
      </c>
      <c r="AS53">
        <v>0</v>
      </c>
      <c r="AT53">
        <v>1</v>
      </c>
      <c r="AU53">
        <v>0</v>
      </c>
      <c r="AV53">
        <v>0</v>
      </c>
      <c r="AW53">
        <v>1</v>
      </c>
      <c r="AX53">
        <v>0.25</v>
      </c>
      <c r="AY53">
        <v>0</v>
      </c>
      <c r="AZ53">
        <v>0</v>
      </c>
      <c r="BA53">
        <v>0.25</v>
      </c>
      <c r="BB53">
        <v>0</v>
      </c>
      <c r="BC53">
        <v>0</v>
      </c>
      <c r="BD53">
        <v>0</v>
      </c>
      <c r="BE53">
        <v>0</v>
      </c>
      <c r="BF53">
        <v>1</v>
      </c>
    </row>
    <row r="54" spans="1:58">
      <c r="A54" t="s">
        <v>16924</v>
      </c>
      <c r="B54" t="s">
        <v>16925</v>
      </c>
      <c r="C54">
        <v>0</v>
      </c>
      <c r="D54">
        <v>5</v>
      </c>
      <c r="E54">
        <v>5</v>
      </c>
      <c r="F54">
        <v>4</v>
      </c>
      <c r="G54">
        <v>1</v>
      </c>
      <c r="H54">
        <v>0</v>
      </c>
      <c r="I54">
        <v>0</v>
      </c>
      <c r="J54">
        <v>5</v>
      </c>
      <c r="K54">
        <v>51</v>
      </c>
      <c r="L54">
        <v>3</v>
      </c>
      <c r="M54">
        <v>1</v>
      </c>
      <c r="N54">
        <v>0</v>
      </c>
      <c r="O54">
        <v>1</v>
      </c>
      <c r="P54">
        <v>0</v>
      </c>
      <c r="Q54">
        <v>0</v>
      </c>
      <c r="R54">
        <v>0</v>
      </c>
      <c r="S54">
        <v>0.75</v>
      </c>
      <c r="T54">
        <v>4</v>
      </c>
      <c r="U54">
        <v>1</v>
      </c>
      <c r="V54">
        <v>5.75</v>
      </c>
      <c r="W54">
        <v>87.5</v>
      </c>
      <c r="X54">
        <v>0</v>
      </c>
      <c r="Y54">
        <v>0</v>
      </c>
      <c r="Z54">
        <v>1</v>
      </c>
      <c r="AA54">
        <v>0</v>
      </c>
      <c r="AB54">
        <v>27.5</v>
      </c>
      <c r="AC54">
        <v>14</v>
      </c>
      <c r="AD54">
        <v>14</v>
      </c>
      <c r="AE54">
        <v>0</v>
      </c>
      <c r="AF54">
        <v>41.5</v>
      </c>
      <c r="AG54">
        <v>121.5</v>
      </c>
      <c r="AH54">
        <v>121.5</v>
      </c>
      <c r="AI54">
        <v>0</v>
      </c>
      <c r="AJ54">
        <v>0</v>
      </c>
      <c r="AK54">
        <v>0</v>
      </c>
      <c r="AL54">
        <v>0</v>
      </c>
      <c r="AM54">
        <v>0</v>
      </c>
      <c r="AN54">
        <v>0</v>
      </c>
      <c r="AO54">
        <v>0</v>
      </c>
      <c r="AP54">
        <v>0</v>
      </c>
      <c r="AQ54">
        <v>0</v>
      </c>
      <c r="AR54">
        <v>0</v>
      </c>
      <c r="AS54">
        <v>0</v>
      </c>
      <c r="AT54">
        <v>51</v>
      </c>
      <c r="AU54">
        <v>0</v>
      </c>
      <c r="AV54">
        <v>51</v>
      </c>
      <c r="AW54">
        <v>0</v>
      </c>
      <c r="AX54">
        <v>0.75</v>
      </c>
      <c r="AY54">
        <v>0</v>
      </c>
      <c r="AZ54">
        <v>0.75</v>
      </c>
      <c r="BA54">
        <v>0</v>
      </c>
      <c r="BB54">
        <v>4</v>
      </c>
      <c r="BC54">
        <v>0</v>
      </c>
      <c r="BD54">
        <v>4</v>
      </c>
      <c r="BE54">
        <v>0</v>
      </c>
      <c r="BF54">
        <v>0</v>
      </c>
    </row>
    <row r="55" spans="1:58">
      <c r="A55" t="s">
        <v>16926</v>
      </c>
      <c r="B55" t="s">
        <v>16927</v>
      </c>
      <c r="C55">
        <v>3</v>
      </c>
      <c r="D55">
        <v>8</v>
      </c>
      <c r="E55">
        <v>1</v>
      </c>
      <c r="F55">
        <v>8</v>
      </c>
      <c r="G55">
        <v>1</v>
      </c>
      <c r="H55">
        <v>0</v>
      </c>
      <c r="I55">
        <v>0</v>
      </c>
      <c r="J55">
        <v>8</v>
      </c>
      <c r="K55">
        <v>51</v>
      </c>
      <c r="L55">
        <v>5</v>
      </c>
      <c r="M55">
        <v>0</v>
      </c>
      <c r="N55">
        <v>0</v>
      </c>
      <c r="O55">
        <v>3</v>
      </c>
      <c r="P55">
        <v>0</v>
      </c>
      <c r="Q55">
        <v>0</v>
      </c>
      <c r="R55">
        <v>0</v>
      </c>
      <c r="S55">
        <v>12</v>
      </c>
      <c r="T55">
        <v>2</v>
      </c>
      <c r="U55">
        <v>0</v>
      </c>
      <c r="V55">
        <v>14</v>
      </c>
      <c r="W55">
        <v>140</v>
      </c>
      <c r="X55">
        <v>0</v>
      </c>
      <c r="Y55">
        <v>4</v>
      </c>
      <c r="Z55">
        <v>0</v>
      </c>
      <c r="AA55">
        <v>-20</v>
      </c>
      <c r="AB55">
        <v>90</v>
      </c>
      <c r="AC55">
        <v>67.3</v>
      </c>
      <c r="AD55">
        <v>67.3</v>
      </c>
      <c r="AE55">
        <v>157.30000000000001</v>
      </c>
      <c r="AF55">
        <v>157.30000000000001</v>
      </c>
      <c r="AG55">
        <v>207.3</v>
      </c>
      <c r="AH55">
        <v>50</v>
      </c>
      <c r="AI55">
        <v>0</v>
      </c>
      <c r="AJ55">
        <v>0</v>
      </c>
      <c r="AK55">
        <v>0</v>
      </c>
      <c r="AL55">
        <v>0</v>
      </c>
      <c r="AM55">
        <v>0</v>
      </c>
      <c r="AN55">
        <v>0</v>
      </c>
      <c r="AO55">
        <v>0</v>
      </c>
      <c r="AP55">
        <v>1</v>
      </c>
      <c r="AQ55">
        <v>0</v>
      </c>
      <c r="AR55">
        <v>0</v>
      </c>
      <c r="AS55">
        <v>0</v>
      </c>
      <c r="AT55">
        <v>51</v>
      </c>
      <c r="AU55">
        <v>0</v>
      </c>
      <c r="AV55">
        <v>37</v>
      </c>
      <c r="AW55">
        <v>14</v>
      </c>
      <c r="AX55">
        <v>12</v>
      </c>
      <c r="AY55">
        <v>0</v>
      </c>
      <c r="AZ55">
        <v>10</v>
      </c>
      <c r="BA55">
        <v>2</v>
      </c>
      <c r="BB55">
        <v>2</v>
      </c>
      <c r="BC55">
        <v>0</v>
      </c>
      <c r="BD55">
        <v>2</v>
      </c>
      <c r="BE55">
        <v>0</v>
      </c>
      <c r="BF55" s="21">
        <v>16800</v>
      </c>
    </row>
    <row r="56" spans="1:58">
      <c r="A56" t="s">
        <v>16930</v>
      </c>
      <c r="B56" t="s">
        <v>16931</v>
      </c>
      <c r="C56">
        <v>0</v>
      </c>
      <c r="D56">
        <v>1</v>
      </c>
      <c r="E56">
        <v>1</v>
      </c>
      <c r="F56">
        <v>1</v>
      </c>
      <c r="G56">
        <v>0</v>
      </c>
      <c r="H56">
        <v>0</v>
      </c>
      <c r="I56">
        <v>0</v>
      </c>
      <c r="J56">
        <v>1</v>
      </c>
      <c r="K56">
        <v>6</v>
      </c>
      <c r="L56">
        <v>1</v>
      </c>
      <c r="M56">
        <v>0</v>
      </c>
      <c r="N56">
        <v>0</v>
      </c>
      <c r="O56">
        <v>0</v>
      </c>
      <c r="P56">
        <v>0</v>
      </c>
      <c r="Q56">
        <v>0</v>
      </c>
      <c r="R56">
        <v>0</v>
      </c>
      <c r="S56">
        <v>0.25</v>
      </c>
      <c r="T56">
        <v>0.25</v>
      </c>
      <c r="U56">
        <v>0.25</v>
      </c>
      <c r="V56">
        <v>0.75</v>
      </c>
      <c r="W56">
        <v>7.5</v>
      </c>
      <c r="X56">
        <v>0</v>
      </c>
      <c r="Y56">
        <v>0</v>
      </c>
      <c r="Z56">
        <v>1</v>
      </c>
      <c r="AA56">
        <v>0</v>
      </c>
      <c r="AB56">
        <v>0</v>
      </c>
      <c r="AC56">
        <v>0</v>
      </c>
      <c r="AD56">
        <v>0</v>
      </c>
      <c r="AE56">
        <v>0</v>
      </c>
      <c r="AF56">
        <v>0</v>
      </c>
      <c r="AG56">
        <v>12.5</v>
      </c>
      <c r="AH56">
        <v>12.5</v>
      </c>
      <c r="AI56">
        <v>0</v>
      </c>
      <c r="AJ56">
        <v>0</v>
      </c>
      <c r="AK56">
        <v>0</v>
      </c>
      <c r="AL56">
        <v>0</v>
      </c>
      <c r="AM56">
        <v>0</v>
      </c>
      <c r="AN56">
        <v>0</v>
      </c>
      <c r="AO56">
        <v>0</v>
      </c>
      <c r="AP56">
        <v>0</v>
      </c>
      <c r="AQ56">
        <v>0</v>
      </c>
      <c r="AR56">
        <v>0</v>
      </c>
      <c r="AS56">
        <v>0</v>
      </c>
      <c r="AT56">
        <v>6</v>
      </c>
      <c r="AU56">
        <v>0</v>
      </c>
      <c r="AV56">
        <v>6</v>
      </c>
      <c r="AW56">
        <v>0</v>
      </c>
      <c r="AX56">
        <v>0.25</v>
      </c>
      <c r="AY56">
        <v>0</v>
      </c>
      <c r="AZ56">
        <v>0.25</v>
      </c>
      <c r="BA56">
        <v>0</v>
      </c>
      <c r="BB56">
        <v>0.25</v>
      </c>
      <c r="BC56">
        <v>0</v>
      </c>
      <c r="BD56">
        <v>0.25</v>
      </c>
      <c r="BE56">
        <v>0</v>
      </c>
      <c r="BF56">
        <v>1</v>
      </c>
    </row>
    <row r="57" spans="1:58">
      <c r="A57" t="s">
        <v>17222</v>
      </c>
      <c r="B57" t="s">
        <v>17223</v>
      </c>
      <c r="C57">
        <v>0</v>
      </c>
      <c r="D57">
        <v>62</v>
      </c>
      <c r="E57">
        <v>47</v>
      </c>
      <c r="F57">
        <v>44</v>
      </c>
      <c r="G57">
        <v>0</v>
      </c>
      <c r="H57">
        <v>2</v>
      </c>
      <c r="I57">
        <v>0</v>
      </c>
      <c r="J57">
        <v>56</v>
      </c>
      <c r="K57">
        <v>528</v>
      </c>
      <c r="L57">
        <v>35</v>
      </c>
      <c r="M57">
        <v>2</v>
      </c>
      <c r="N57">
        <v>13</v>
      </c>
      <c r="O57">
        <v>4</v>
      </c>
      <c r="P57">
        <v>2</v>
      </c>
      <c r="Q57">
        <v>0</v>
      </c>
      <c r="R57">
        <v>0</v>
      </c>
      <c r="S57">
        <v>29.25</v>
      </c>
      <c r="T57">
        <v>19.25</v>
      </c>
      <c r="U57">
        <v>0</v>
      </c>
      <c r="V57">
        <v>47.75</v>
      </c>
      <c r="W57">
        <v>677.5</v>
      </c>
      <c r="X57">
        <v>0</v>
      </c>
      <c r="Y57">
        <v>50</v>
      </c>
      <c r="Z57">
        <v>0</v>
      </c>
      <c r="AA57">
        <v>0</v>
      </c>
      <c r="AB57">
        <v>20</v>
      </c>
      <c r="AC57">
        <v>161.69999999999999</v>
      </c>
      <c r="AD57">
        <v>158.69999999999999</v>
      </c>
      <c r="AE57">
        <v>521.70000000000005</v>
      </c>
      <c r="AF57">
        <v>178.7</v>
      </c>
      <c r="AG57">
        <v>839.2</v>
      </c>
      <c r="AH57">
        <v>667.5</v>
      </c>
      <c r="AI57">
        <v>0</v>
      </c>
      <c r="AJ57">
        <v>0</v>
      </c>
      <c r="AK57">
        <v>7.5</v>
      </c>
      <c r="AL57">
        <v>7.5</v>
      </c>
      <c r="AM57">
        <v>7</v>
      </c>
      <c r="AN57">
        <v>1</v>
      </c>
      <c r="AO57">
        <v>4</v>
      </c>
      <c r="AP57">
        <v>0</v>
      </c>
      <c r="AQ57">
        <v>5</v>
      </c>
      <c r="AR57">
        <v>0</v>
      </c>
      <c r="AS57">
        <v>4</v>
      </c>
      <c r="AT57">
        <v>528</v>
      </c>
      <c r="AU57">
        <v>16</v>
      </c>
      <c r="AV57">
        <v>515</v>
      </c>
      <c r="AW57">
        <v>3</v>
      </c>
      <c r="AX57">
        <v>26.75</v>
      </c>
      <c r="AY57">
        <v>0.25</v>
      </c>
      <c r="AZ57">
        <v>26.5</v>
      </c>
      <c r="BA57">
        <v>0</v>
      </c>
      <c r="BB57">
        <v>16.25</v>
      </c>
      <c r="BC57">
        <v>0.25</v>
      </c>
      <c r="BD57">
        <v>16</v>
      </c>
      <c r="BE57">
        <v>0</v>
      </c>
      <c r="BF57">
        <v>63</v>
      </c>
    </row>
    <row r="58" spans="1:58">
      <c r="A58" t="s">
        <v>16943</v>
      </c>
      <c r="B58" t="s">
        <v>16944</v>
      </c>
      <c r="C58">
        <v>0</v>
      </c>
      <c r="D58">
        <v>1</v>
      </c>
      <c r="E58">
        <v>1</v>
      </c>
      <c r="F58">
        <v>1</v>
      </c>
      <c r="G58">
        <v>0</v>
      </c>
      <c r="H58">
        <v>0</v>
      </c>
      <c r="I58">
        <v>0</v>
      </c>
      <c r="J58">
        <v>1</v>
      </c>
      <c r="K58">
        <v>3</v>
      </c>
      <c r="L58">
        <v>1</v>
      </c>
      <c r="M58">
        <v>0</v>
      </c>
      <c r="N58">
        <v>0</v>
      </c>
      <c r="O58">
        <v>0</v>
      </c>
      <c r="P58">
        <v>0</v>
      </c>
      <c r="Q58">
        <v>0</v>
      </c>
      <c r="R58">
        <v>0</v>
      </c>
      <c r="S58">
        <v>0.5</v>
      </c>
      <c r="T58">
        <v>0.5</v>
      </c>
      <c r="U58">
        <v>0</v>
      </c>
      <c r="V58">
        <v>1</v>
      </c>
      <c r="W58">
        <v>15</v>
      </c>
      <c r="X58">
        <v>0</v>
      </c>
      <c r="Y58">
        <v>1</v>
      </c>
      <c r="Z58">
        <v>0</v>
      </c>
      <c r="AA58">
        <v>0</v>
      </c>
      <c r="AB58">
        <v>0</v>
      </c>
      <c r="AC58">
        <v>1</v>
      </c>
      <c r="AD58">
        <v>1</v>
      </c>
      <c r="AE58">
        <v>0</v>
      </c>
      <c r="AF58">
        <v>1</v>
      </c>
      <c r="AG58">
        <v>16</v>
      </c>
      <c r="AH58">
        <v>16</v>
      </c>
      <c r="AI58">
        <v>0</v>
      </c>
      <c r="AJ58">
        <v>0</v>
      </c>
      <c r="AK58">
        <v>0</v>
      </c>
      <c r="AL58">
        <v>0</v>
      </c>
      <c r="AM58">
        <v>0</v>
      </c>
      <c r="AN58">
        <v>0</v>
      </c>
      <c r="AO58">
        <v>0</v>
      </c>
      <c r="AP58">
        <v>0</v>
      </c>
      <c r="AQ58">
        <v>0</v>
      </c>
      <c r="AR58">
        <v>0</v>
      </c>
      <c r="AS58">
        <v>0</v>
      </c>
      <c r="AT58">
        <v>3</v>
      </c>
      <c r="AU58">
        <v>0</v>
      </c>
      <c r="AV58">
        <v>3</v>
      </c>
      <c r="AW58">
        <v>0</v>
      </c>
      <c r="AX58">
        <v>0.5</v>
      </c>
      <c r="AY58">
        <v>0</v>
      </c>
      <c r="AZ58">
        <v>0.5</v>
      </c>
      <c r="BA58">
        <v>0</v>
      </c>
      <c r="BB58">
        <v>0.5</v>
      </c>
      <c r="BC58">
        <v>0</v>
      </c>
      <c r="BD58">
        <v>0.5</v>
      </c>
      <c r="BE58">
        <v>0</v>
      </c>
      <c r="BF58">
        <v>1</v>
      </c>
    </row>
    <row r="59" spans="1:58">
      <c r="A59" t="s">
        <v>17224</v>
      </c>
      <c r="B59" t="s">
        <v>17225</v>
      </c>
      <c r="C59">
        <v>0</v>
      </c>
      <c r="D59">
        <v>2</v>
      </c>
      <c r="E59">
        <v>0</v>
      </c>
      <c r="F59">
        <v>0</v>
      </c>
      <c r="G59">
        <v>0</v>
      </c>
      <c r="H59">
        <v>0</v>
      </c>
      <c r="I59">
        <v>0</v>
      </c>
      <c r="J59">
        <v>2</v>
      </c>
      <c r="K59">
        <v>15</v>
      </c>
      <c r="L59">
        <v>1</v>
      </c>
      <c r="M59">
        <v>0</v>
      </c>
      <c r="N59">
        <v>1</v>
      </c>
      <c r="O59">
        <v>0</v>
      </c>
      <c r="P59">
        <v>0</v>
      </c>
      <c r="Q59">
        <v>0</v>
      </c>
      <c r="R59">
        <v>0</v>
      </c>
      <c r="S59">
        <v>37.25</v>
      </c>
      <c r="T59">
        <v>0</v>
      </c>
      <c r="U59">
        <v>1.75</v>
      </c>
      <c r="V59">
        <v>39</v>
      </c>
      <c r="W59">
        <v>372.5</v>
      </c>
      <c r="X59">
        <v>0</v>
      </c>
      <c r="Y59">
        <v>2</v>
      </c>
      <c r="Z59">
        <v>0</v>
      </c>
      <c r="AA59">
        <v>0</v>
      </c>
      <c r="AB59">
        <v>340</v>
      </c>
      <c r="AC59">
        <v>0</v>
      </c>
      <c r="AD59">
        <v>0</v>
      </c>
      <c r="AE59">
        <v>0</v>
      </c>
      <c r="AF59">
        <v>340</v>
      </c>
      <c r="AG59">
        <v>407.5</v>
      </c>
      <c r="AH59">
        <v>407.5</v>
      </c>
      <c r="AI59">
        <v>0</v>
      </c>
      <c r="AJ59">
        <v>0</v>
      </c>
      <c r="AK59">
        <v>0</v>
      </c>
      <c r="AL59">
        <v>0</v>
      </c>
      <c r="AM59">
        <v>0</v>
      </c>
      <c r="AN59">
        <v>0</v>
      </c>
      <c r="AO59">
        <v>0</v>
      </c>
      <c r="AP59">
        <v>0</v>
      </c>
      <c r="AQ59">
        <v>0</v>
      </c>
      <c r="AR59">
        <v>0</v>
      </c>
      <c r="AS59">
        <v>0</v>
      </c>
      <c r="AT59">
        <v>15</v>
      </c>
      <c r="AU59">
        <v>0</v>
      </c>
      <c r="AV59">
        <v>15</v>
      </c>
      <c r="AW59">
        <v>0</v>
      </c>
      <c r="AX59">
        <v>37.25</v>
      </c>
      <c r="AY59">
        <v>0</v>
      </c>
      <c r="AZ59">
        <v>37.25</v>
      </c>
      <c r="BA59">
        <v>0</v>
      </c>
      <c r="BB59">
        <v>0</v>
      </c>
      <c r="BC59">
        <v>0</v>
      </c>
      <c r="BD59">
        <v>0</v>
      </c>
      <c r="BE59">
        <v>0</v>
      </c>
      <c r="BF59">
        <v>150</v>
      </c>
    </row>
    <row r="60" spans="1:58">
      <c r="A60" t="s">
        <v>16951</v>
      </c>
      <c r="B60" t="s">
        <v>17398</v>
      </c>
      <c r="C60">
        <v>0</v>
      </c>
      <c r="D60">
        <v>1</v>
      </c>
      <c r="E60">
        <v>1</v>
      </c>
      <c r="F60">
        <v>1</v>
      </c>
      <c r="G60">
        <v>0</v>
      </c>
      <c r="H60">
        <v>0</v>
      </c>
      <c r="I60">
        <v>0</v>
      </c>
      <c r="J60">
        <v>1</v>
      </c>
      <c r="K60">
        <v>7</v>
      </c>
      <c r="L60">
        <v>1</v>
      </c>
      <c r="M60">
        <v>0</v>
      </c>
      <c r="N60">
        <v>0</v>
      </c>
      <c r="O60">
        <v>0</v>
      </c>
      <c r="P60">
        <v>0</v>
      </c>
      <c r="Q60">
        <v>0</v>
      </c>
      <c r="R60">
        <v>0</v>
      </c>
      <c r="S60">
        <v>0.25</v>
      </c>
      <c r="T60">
        <v>0.25</v>
      </c>
      <c r="U60">
        <v>0</v>
      </c>
      <c r="V60">
        <v>0.5</v>
      </c>
      <c r="W60">
        <v>7.5</v>
      </c>
      <c r="X60">
        <v>0</v>
      </c>
      <c r="Y60">
        <v>1</v>
      </c>
      <c r="Z60">
        <v>0</v>
      </c>
      <c r="AA60">
        <v>0</v>
      </c>
      <c r="AB60">
        <v>0</v>
      </c>
      <c r="AC60">
        <v>0</v>
      </c>
      <c r="AD60">
        <v>0</v>
      </c>
      <c r="AE60">
        <v>0</v>
      </c>
      <c r="AF60">
        <v>0</v>
      </c>
      <c r="AG60">
        <v>7.5</v>
      </c>
      <c r="AH60">
        <v>7.5</v>
      </c>
      <c r="AI60">
        <v>0</v>
      </c>
      <c r="AJ60">
        <v>0</v>
      </c>
      <c r="AK60">
        <v>0</v>
      </c>
      <c r="AL60">
        <v>0</v>
      </c>
      <c r="AM60">
        <v>0</v>
      </c>
      <c r="AN60">
        <v>0</v>
      </c>
      <c r="AO60">
        <v>0</v>
      </c>
      <c r="AP60">
        <v>0</v>
      </c>
      <c r="AQ60">
        <v>0</v>
      </c>
      <c r="AR60">
        <v>0</v>
      </c>
      <c r="AS60">
        <v>0</v>
      </c>
      <c r="AT60">
        <v>7</v>
      </c>
      <c r="AU60">
        <v>0</v>
      </c>
      <c r="AV60">
        <v>7</v>
      </c>
      <c r="AW60">
        <v>0</v>
      </c>
      <c r="AX60">
        <v>0.25</v>
      </c>
      <c r="AY60">
        <v>0</v>
      </c>
      <c r="AZ60">
        <v>0.25</v>
      </c>
      <c r="BA60">
        <v>0</v>
      </c>
      <c r="BB60">
        <v>0.25</v>
      </c>
      <c r="BC60">
        <v>0</v>
      </c>
      <c r="BD60">
        <v>0.25</v>
      </c>
      <c r="BE60">
        <v>0</v>
      </c>
    </row>
    <row r="61" spans="1:58">
      <c r="A61" t="s">
        <v>16954</v>
      </c>
      <c r="B61" t="s">
        <v>16955</v>
      </c>
      <c r="C61">
        <v>0</v>
      </c>
      <c r="D61">
        <v>10</v>
      </c>
      <c r="E61">
        <v>10</v>
      </c>
      <c r="F61">
        <v>10</v>
      </c>
      <c r="G61">
        <v>0</v>
      </c>
      <c r="H61">
        <v>0</v>
      </c>
      <c r="I61">
        <v>0</v>
      </c>
      <c r="J61">
        <v>10</v>
      </c>
      <c r="K61">
        <v>17</v>
      </c>
      <c r="L61">
        <v>7</v>
      </c>
      <c r="M61">
        <v>0</v>
      </c>
      <c r="N61">
        <v>1</v>
      </c>
      <c r="O61">
        <v>3</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17</v>
      </c>
      <c r="AU61">
        <v>0</v>
      </c>
      <c r="AV61">
        <v>17</v>
      </c>
      <c r="AW61">
        <v>0</v>
      </c>
      <c r="AX61">
        <v>0</v>
      </c>
      <c r="AY61">
        <v>0</v>
      </c>
      <c r="AZ61">
        <v>0</v>
      </c>
      <c r="BA61">
        <v>0</v>
      </c>
      <c r="BB61">
        <v>0</v>
      </c>
      <c r="BC61">
        <v>0</v>
      </c>
      <c r="BD61">
        <v>0</v>
      </c>
      <c r="BE61">
        <v>0</v>
      </c>
    </row>
    <row r="62" spans="1:58">
      <c r="A62" t="s">
        <v>16960</v>
      </c>
      <c r="B62" t="s">
        <v>18795</v>
      </c>
      <c r="C62">
        <v>41</v>
      </c>
      <c r="D62">
        <v>42</v>
      </c>
      <c r="E62">
        <v>0</v>
      </c>
      <c r="F62">
        <v>36</v>
      </c>
      <c r="G62">
        <v>4</v>
      </c>
      <c r="H62">
        <v>5</v>
      </c>
      <c r="I62">
        <v>0</v>
      </c>
      <c r="J62">
        <v>42</v>
      </c>
      <c r="K62">
        <v>328</v>
      </c>
      <c r="L62">
        <v>41</v>
      </c>
      <c r="M62">
        <v>0</v>
      </c>
      <c r="N62">
        <v>0</v>
      </c>
      <c r="O62">
        <v>0</v>
      </c>
      <c r="P62">
        <v>0</v>
      </c>
      <c r="Q62">
        <v>0</v>
      </c>
      <c r="R62">
        <v>0</v>
      </c>
      <c r="S62">
        <v>13.05</v>
      </c>
      <c r="T62">
        <v>2.5</v>
      </c>
      <c r="U62">
        <v>0</v>
      </c>
      <c r="V62">
        <v>15.55</v>
      </c>
      <c r="W62">
        <v>2.5</v>
      </c>
      <c r="X62">
        <v>0</v>
      </c>
      <c r="Y62">
        <v>1</v>
      </c>
      <c r="Z62">
        <v>0</v>
      </c>
      <c r="AA62">
        <v>-178</v>
      </c>
      <c r="AB62">
        <v>0</v>
      </c>
      <c r="AC62">
        <v>0</v>
      </c>
      <c r="AD62">
        <v>244.25</v>
      </c>
      <c r="AE62">
        <v>112.75</v>
      </c>
      <c r="AF62">
        <v>244.25</v>
      </c>
      <c r="AG62">
        <v>2.5</v>
      </c>
      <c r="AH62">
        <v>0</v>
      </c>
      <c r="AI62">
        <v>21</v>
      </c>
      <c r="AJ62">
        <v>46</v>
      </c>
      <c r="AK62">
        <v>0</v>
      </c>
      <c r="AL62">
        <v>0</v>
      </c>
      <c r="AM62">
        <v>4</v>
      </c>
      <c r="AN62">
        <v>11</v>
      </c>
      <c r="AO62">
        <v>0</v>
      </c>
      <c r="AP62">
        <v>0</v>
      </c>
      <c r="AQ62">
        <v>0</v>
      </c>
      <c r="AR62">
        <v>0</v>
      </c>
      <c r="AS62">
        <v>0</v>
      </c>
      <c r="AT62">
        <v>328</v>
      </c>
      <c r="AU62">
        <v>43</v>
      </c>
      <c r="AV62">
        <v>6</v>
      </c>
      <c r="AW62">
        <v>322</v>
      </c>
      <c r="AX62">
        <v>13.05</v>
      </c>
      <c r="AY62">
        <v>0.8</v>
      </c>
      <c r="AZ62">
        <v>0.25</v>
      </c>
      <c r="BA62">
        <v>12.8</v>
      </c>
      <c r="BB62">
        <v>2.25</v>
      </c>
      <c r="BC62">
        <v>0</v>
      </c>
      <c r="BD62">
        <v>0</v>
      </c>
      <c r="BE62">
        <v>2.25</v>
      </c>
    </row>
    <row r="63" spans="1:58">
      <c r="A63" t="s">
        <v>16963</v>
      </c>
      <c r="B63" t="s">
        <v>16964</v>
      </c>
      <c r="C63">
        <v>0</v>
      </c>
      <c r="D63">
        <v>5</v>
      </c>
      <c r="E63">
        <v>5</v>
      </c>
      <c r="F63">
        <v>5</v>
      </c>
      <c r="G63">
        <v>0</v>
      </c>
      <c r="H63">
        <v>0</v>
      </c>
      <c r="I63">
        <v>0</v>
      </c>
      <c r="J63">
        <v>5</v>
      </c>
      <c r="K63">
        <v>27</v>
      </c>
      <c r="L63">
        <v>5</v>
      </c>
      <c r="M63">
        <v>0</v>
      </c>
      <c r="N63">
        <v>0</v>
      </c>
      <c r="O63">
        <v>0</v>
      </c>
      <c r="P63">
        <v>0</v>
      </c>
      <c r="Q63">
        <v>0</v>
      </c>
      <c r="R63">
        <v>0</v>
      </c>
      <c r="S63">
        <v>1.25</v>
      </c>
      <c r="T63">
        <v>2.5</v>
      </c>
      <c r="U63">
        <v>0</v>
      </c>
      <c r="V63">
        <v>3.75</v>
      </c>
      <c r="W63">
        <v>62.5</v>
      </c>
      <c r="X63">
        <v>0</v>
      </c>
      <c r="Y63">
        <v>4</v>
      </c>
      <c r="Z63">
        <v>1</v>
      </c>
      <c r="AA63">
        <v>0</v>
      </c>
      <c r="AB63">
        <v>12.5</v>
      </c>
      <c r="AC63">
        <v>0</v>
      </c>
      <c r="AD63">
        <v>0</v>
      </c>
      <c r="AE63">
        <v>12.5</v>
      </c>
      <c r="AF63">
        <v>12.5</v>
      </c>
      <c r="AG63">
        <v>62.5</v>
      </c>
      <c r="AH63">
        <v>50</v>
      </c>
      <c r="AI63">
        <v>0</v>
      </c>
      <c r="AJ63">
        <v>0</v>
      </c>
      <c r="AK63">
        <v>0</v>
      </c>
      <c r="AL63">
        <v>0</v>
      </c>
      <c r="AM63">
        <v>0</v>
      </c>
      <c r="AN63">
        <v>1</v>
      </c>
      <c r="AO63">
        <v>0</v>
      </c>
      <c r="AP63">
        <v>0</v>
      </c>
      <c r="AQ63">
        <v>0</v>
      </c>
      <c r="AR63">
        <v>0</v>
      </c>
      <c r="AS63">
        <v>0</v>
      </c>
      <c r="AT63">
        <v>27</v>
      </c>
      <c r="AU63">
        <v>0</v>
      </c>
      <c r="AV63">
        <v>27</v>
      </c>
      <c r="AW63">
        <v>0</v>
      </c>
      <c r="AX63">
        <v>1.25</v>
      </c>
      <c r="AY63">
        <v>0</v>
      </c>
      <c r="AZ63">
        <v>1.25</v>
      </c>
      <c r="BA63">
        <v>0</v>
      </c>
      <c r="BB63">
        <v>3.25</v>
      </c>
      <c r="BC63">
        <v>0</v>
      </c>
      <c r="BD63">
        <v>3.25</v>
      </c>
      <c r="BE63">
        <v>0</v>
      </c>
    </row>
    <row r="64" spans="1:58">
      <c r="A64" t="s">
        <v>17226</v>
      </c>
      <c r="B64" t="s">
        <v>17227</v>
      </c>
      <c r="C64">
        <v>2</v>
      </c>
      <c r="D64">
        <v>2</v>
      </c>
      <c r="E64">
        <v>0</v>
      </c>
      <c r="F64">
        <v>2</v>
      </c>
      <c r="G64">
        <v>0</v>
      </c>
      <c r="H64">
        <v>0</v>
      </c>
      <c r="I64">
        <v>0</v>
      </c>
      <c r="J64">
        <v>2</v>
      </c>
      <c r="K64">
        <v>3</v>
      </c>
      <c r="L64">
        <v>2</v>
      </c>
      <c r="M64">
        <v>0</v>
      </c>
      <c r="N64">
        <v>0</v>
      </c>
      <c r="O64">
        <v>0</v>
      </c>
      <c r="P64">
        <v>0</v>
      </c>
      <c r="Q64">
        <v>0</v>
      </c>
      <c r="R64">
        <v>0</v>
      </c>
      <c r="S64">
        <v>4.1500000000000004</v>
      </c>
      <c r="T64">
        <v>0</v>
      </c>
      <c r="U64">
        <v>0</v>
      </c>
      <c r="V64">
        <v>4.1500000000000004</v>
      </c>
      <c r="W64">
        <v>0</v>
      </c>
      <c r="X64">
        <v>0</v>
      </c>
      <c r="Y64">
        <v>0</v>
      </c>
      <c r="Z64">
        <v>0</v>
      </c>
      <c r="AA64">
        <v>-41.5</v>
      </c>
      <c r="AB64">
        <v>0</v>
      </c>
      <c r="AC64">
        <v>0</v>
      </c>
      <c r="AD64">
        <v>0</v>
      </c>
      <c r="AE64">
        <v>0</v>
      </c>
      <c r="AF64">
        <v>0</v>
      </c>
      <c r="AG64">
        <v>0</v>
      </c>
      <c r="AH64">
        <v>0</v>
      </c>
      <c r="AI64">
        <v>0</v>
      </c>
      <c r="AJ64">
        <v>0</v>
      </c>
      <c r="AK64">
        <v>0</v>
      </c>
      <c r="AL64">
        <v>0</v>
      </c>
      <c r="AM64">
        <v>0</v>
      </c>
      <c r="AN64">
        <v>0</v>
      </c>
      <c r="AO64">
        <v>0</v>
      </c>
      <c r="AP64">
        <v>0</v>
      </c>
      <c r="AQ64">
        <v>0</v>
      </c>
      <c r="AR64">
        <v>0</v>
      </c>
      <c r="AS64">
        <v>0</v>
      </c>
      <c r="AT64">
        <v>3</v>
      </c>
      <c r="AU64">
        <v>0</v>
      </c>
      <c r="AV64">
        <v>0</v>
      </c>
      <c r="AW64">
        <v>3</v>
      </c>
      <c r="AX64">
        <v>4.1500000000000004</v>
      </c>
      <c r="AY64">
        <v>0</v>
      </c>
      <c r="AZ64">
        <v>0</v>
      </c>
      <c r="BA64">
        <v>4.1500000000000004</v>
      </c>
      <c r="BB64">
        <v>0</v>
      </c>
      <c r="BC64">
        <v>0</v>
      </c>
      <c r="BD64">
        <v>0</v>
      </c>
      <c r="BE64">
        <v>0</v>
      </c>
    </row>
    <row r="65" spans="1:58">
      <c r="A65" t="s">
        <v>17373</v>
      </c>
      <c r="B65" t="s">
        <v>17374</v>
      </c>
      <c r="C65">
        <v>4</v>
      </c>
      <c r="D65">
        <v>24</v>
      </c>
      <c r="E65">
        <v>23</v>
      </c>
      <c r="F65">
        <v>20</v>
      </c>
      <c r="G65">
        <v>1</v>
      </c>
      <c r="H65">
        <v>0</v>
      </c>
      <c r="I65">
        <v>0</v>
      </c>
      <c r="J65">
        <v>23</v>
      </c>
      <c r="K65">
        <v>130</v>
      </c>
      <c r="L65">
        <v>21</v>
      </c>
      <c r="M65">
        <v>0</v>
      </c>
      <c r="N65">
        <v>0</v>
      </c>
      <c r="O65">
        <v>1</v>
      </c>
      <c r="P65">
        <v>1</v>
      </c>
      <c r="Q65">
        <v>0</v>
      </c>
      <c r="R65">
        <v>1</v>
      </c>
      <c r="S65">
        <v>12</v>
      </c>
      <c r="T65">
        <v>14.5</v>
      </c>
      <c r="U65">
        <v>0</v>
      </c>
      <c r="V65">
        <v>26.5</v>
      </c>
      <c r="W65" s="4">
        <v>410</v>
      </c>
      <c r="X65" s="4">
        <v>0</v>
      </c>
      <c r="Y65">
        <v>17</v>
      </c>
      <c r="Z65">
        <v>0</v>
      </c>
      <c r="AA65" s="4">
        <v>0</v>
      </c>
      <c r="AB65" s="4">
        <v>80</v>
      </c>
      <c r="AC65" s="4">
        <v>898.5</v>
      </c>
      <c r="AD65" s="4">
        <v>898.5</v>
      </c>
      <c r="AE65" s="4">
        <v>978.5</v>
      </c>
      <c r="AF65" s="4">
        <v>978.5</v>
      </c>
      <c r="AG65" s="4">
        <v>1308.5</v>
      </c>
      <c r="AH65" s="4">
        <v>330</v>
      </c>
      <c r="AI65" s="4">
        <v>0</v>
      </c>
      <c r="AJ65" s="4">
        <v>0</v>
      </c>
      <c r="AK65" s="4">
        <v>0</v>
      </c>
      <c r="AL65" s="4">
        <v>0</v>
      </c>
      <c r="AM65">
        <v>0</v>
      </c>
      <c r="AN65">
        <v>12</v>
      </c>
      <c r="AO65">
        <v>5</v>
      </c>
      <c r="AP65">
        <v>2</v>
      </c>
      <c r="AQ65">
        <v>0</v>
      </c>
      <c r="AR65">
        <v>0</v>
      </c>
      <c r="AS65">
        <v>0</v>
      </c>
      <c r="AT65">
        <v>130</v>
      </c>
      <c r="AU65">
        <v>0</v>
      </c>
      <c r="AV65">
        <v>100</v>
      </c>
      <c r="AW65">
        <v>30</v>
      </c>
      <c r="AX65">
        <v>12</v>
      </c>
      <c r="AY65">
        <v>0</v>
      </c>
      <c r="AZ65">
        <v>12</v>
      </c>
      <c r="BA65">
        <v>0</v>
      </c>
      <c r="BB65">
        <v>14.5</v>
      </c>
      <c r="BC65">
        <v>0</v>
      </c>
      <c r="BD65">
        <v>14.5</v>
      </c>
      <c r="BE65">
        <v>0</v>
      </c>
    </row>
    <row r="66" spans="1:58">
      <c r="A66" t="s">
        <v>17376</v>
      </c>
      <c r="B66" t="s">
        <v>17377</v>
      </c>
      <c r="C66">
        <v>6</v>
      </c>
      <c r="D66">
        <v>41</v>
      </c>
      <c r="E66">
        <v>41</v>
      </c>
      <c r="F66">
        <v>37</v>
      </c>
      <c r="G66">
        <v>0</v>
      </c>
      <c r="H66">
        <v>0</v>
      </c>
      <c r="I66">
        <v>0</v>
      </c>
      <c r="J66">
        <v>41</v>
      </c>
      <c r="K66">
        <v>202</v>
      </c>
      <c r="L66">
        <v>1</v>
      </c>
      <c r="M66">
        <v>35</v>
      </c>
      <c r="N66">
        <v>3</v>
      </c>
      <c r="O66">
        <v>1</v>
      </c>
      <c r="P66">
        <v>0</v>
      </c>
      <c r="Q66">
        <v>1</v>
      </c>
      <c r="R66">
        <v>0</v>
      </c>
      <c r="S66">
        <v>10.25</v>
      </c>
      <c r="T66">
        <v>0.25</v>
      </c>
      <c r="U66">
        <v>0</v>
      </c>
      <c r="V66">
        <v>10.5</v>
      </c>
      <c r="W66" s="4">
        <v>92.5</v>
      </c>
      <c r="X66" s="4">
        <v>0</v>
      </c>
      <c r="Y66">
        <v>35</v>
      </c>
      <c r="Z66">
        <v>0</v>
      </c>
      <c r="AA66" s="4">
        <v>-15</v>
      </c>
      <c r="AB66" s="4">
        <v>0</v>
      </c>
      <c r="AC66" s="4">
        <v>0</v>
      </c>
      <c r="AD66" s="4">
        <v>0</v>
      </c>
      <c r="AE66" s="4">
        <v>0</v>
      </c>
      <c r="AF66" s="4">
        <v>0</v>
      </c>
      <c r="AG66" s="4">
        <v>92.5</v>
      </c>
      <c r="AH66" s="4">
        <v>92.5</v>
      </c>
      <c r="AI66" s="4">
        <v>0</v>
      </c>
      <c r="AJ66" s="4">
        <v>0</v>
      </c>
      <c r="AK66" s="4">
        <v>0</v>
      </c>
      <c r="AL66" s="4">
        <v>0</v>
      </c>
      <c r="AM66">
        <v>0</v>
      </c>
      <c r="AN66">
        <v>0</v>
      </c>
      <c r="AO66">
        <v>0</v>
      </c>
      <c r="AP66">
        <v>0</v>
      </c>
      <c r="AQ66">
        <v>0</v>
      </c>
      <c r="AR66">
        <v>0</v>
      </c>
      <c r="AS66">
        <v>0</v>
      </c>
      <c r="AT66">
        <v>202</v>
      </c>
      <c r="AU66">
        <v>0</v>
      </c>
      <c r="AV66">
        <v>183</v>
      </c>
      <c r="AW66">
        <v>19</v>
      </c>
      <c r="AX66">
        <v>10.25</v>
      </c>
      <c r="AY66">
        <v>0</v>
      </c>
      <c r="AZ66">
        <v>8.75</v>
      </c>
      <c r="BA66">
        <v>1.5</v>
      </c>
      <c r="BB66">
        <v>0.25</v>
      </c>
      <c r="BC66">
        <v>0</v>
      </c>
      <c r="BD66">
        <v>0.25</v>
      </c>
      <c r="BE66">
        <v>0</v>
      </c>
    </row>
    <row r="67" spans="1:58">
      <c r="A67" t="s">
        <v>16971</v>
      </c>
      <c r="B67" t="s">
        <v>17397</v>
      </c>
      <c r="C67">
        <v>18</v>
      </c>
      <c r="D67">
        <v>23</v>
      </c>
      <c r="E67">
        <v>5</v>
      </c>
      <c r="F67">
        <v>15</v>
      </c>
      <c r="G67">
        <v>0</v>
      </c>
      <c r="H67">
        <v>1</v>
      </c>
      <c r="I67">
        <v>0</v>
      </c>
      <c r="J67">
        <v>23</v>
      </c>
      <c r="K67">
        <v>289</v>
      </c>
      <c r="L67">
        <v>21</v>
      </c>
      <c r="M67">
        <v>0</v>
      </c>
      <c r="N67">
        <v>0</v>
      </c>
      <c r="O67">
        <v>0</v>
      </c>
      <c r="P67">
        <v>0</v>
      </c>
      <c r="Q67">
        <v>0</v>
      </c>
      <c r="R67">
        <v>0</v>
      </c>
      <c r="S67">
        <v>26</v>
      </c>
      <c r="T67">
        <v>2.5</v>
      </c>
      <c r="U67">
        <v>0</v>
      </c>
      <c r="V67">
        <v>28.5</v>
      </c>
      <c r="W67" s="4">
        <v>52.5</v>
      </c>
      <c r="X67" s="4">
        <v>0</v>
      </c>
      <c r="Y67">
        <v>5</v>
      </c>
      <c r="Z67">
        <v>0</v>
      </c>
      <c r="AA67" s="4">
        <v>-257.5</v>
      </c>
      <c r="AB67" s="4">
        <v>0</v>
      </c>
      <c r="AC67" s="4">
        <v>390</v>
      </c>
      <c r="AD67" s="4">
        <v>0</v>
      </c>
      <c r="AE67" s="4">
        <v>0</v>
      </c>
      <c r="AF67" s="4">
        <v>0</v>
      </c>
      <c r="AG67" s="4">
        <v>442.5</v>
      </c>
      <c r="AH67" s="4">
        <v>442.5</v>
      </c>
      <c r="AI67" s="4">
        <v>0</v>
      </c>
      <c r="AJ67" s="4">
        <v>0</v>
      </c>
      <c r="AK67" s="4">
        <v>10</v>
      </c>
      <c r="AL67" s="4">
        <v>10</v>
      </c>
      <c r="AM67">
        <v>0</v>
      </c>
      <c r="AN67">
        <v>0</v>
      </c>
      <c r="AO67">
        <v>0</v>
      </c>
      <c r="AP67">
        <v>0</v>
      </c>
      <c r="AQ67">
        <v>0</v>
      </c>
      <c r="AR67">
        <v>0</v>
      </c>
      <c r="AS67">
        <v>0</v>
      </c>
      <c r="AT67">
        <v>289</v>
      </c>
      <c r="AU67">
        <v>16</v>
      </c>
      <c r="AV67">
        <v>22</v>
      </c>
      <c r="AW67">
        <v>251</v>
      </c>
      <c r="AX67">
        <v>26</v>
      </c>
      <c r="AY67">
        <v>0</v>
      </c>
      <c r="AZ67">
        <v>0.25</v>
      </c>
      <c r="BA67">
        <v>25.75</v>
      </c>
      <c r="BB67">
        <v>2.5</v>
      </c>
      <c r="BC67">
        <v>0.5</v>
      </c>
      <c r="BD67">
        <v>2</v>
      </c>
      <c r="BE67">
        <v>0</v>
      </c>
    </row>
    <row r="68" spans="1:58">
      <c r="A68" t="s">
        <v>16976</v>
      </c>
      <c r="B68" t="s">
        <v>19335</v>
      </c>
      <c r="C68">
        <v>0</v>
      </c>
      <c r="D68">
        <v>76</v>
      </c>
      <c r="E68">
        <v>76</v>
      </c>
      <c r="F68">
        <v>74</v>
      </c>
      <c r="G68">
        <v>6</v>
      </c>
      <c r="H68">
        <v>1</v>
      </c>
      <c r="I68">
        <v>0</v>
      </c>
      <c r="J68">
        <v>74</v>
      </c>
      <c r="K68">
        <v>320</v>
      </c>
      <c r="L68">
        <v>71</v>
      </c>
      <c r="M68">
        <v>0</v>
      </c>
      <c r="N68">
        <v>2</v>
      </c>
      <c r="O68">
        <v>3</v>
      </c>
      <c r="P68">
        <v>2</v>
      </c>
      <c r="Q68">
        <v>0</v>
      </c>
      <c r="R68">
        <v>0</v>
      </c>
      <c r="S68">
        <v>24.5</v>
      </c>
      <c r="T68">
        <v>1</v>
      </c>
      <c r="U68">
        <v>0</v>
      </c>
      <c r="V68">
        <v>19</v>
      </c>
      <c r="W68" s="4">
        <v>200</v>
      </c>
      <c r="X68" s="4">
        <v>0</v>
      </c>
      <c r="Y68">
        <v>50</v>
      </c>
      <c r="Z68">
        <v>0</v>
      </c>
      <c r="AA68" s="4">
        <v>0</v>
      </c>
      <c r="AB68" s="4">
        <v>15</v>
      </c>
      <c r="AC68" s="4">
        <v>0</v>
      </c>
      <c r="AD68" s="4">
        <v>0</v>
      </c>
      <c r="AE68" s="4">
        <v>0</v>
      </c>
      <c r="AF68" s="4">
        <v>15</v>
      </c>
      <c r="AG68" s="4">
        <v>200</v>
      </c>
      <c r="AH68" s="4">
        <v>200</v>
      </c>
      <c r="AI68" s="4">
        <v>0</v>
      </c>
      <c r="AJ68" s="4">
        <v>0</v>
      </c>
      <c r="AK68" s="4">
        <v>10</v>
      </c>
      <c r="AL68" s="4">
        <v>10</v>
      </c>
      <c r="AM68">
        <v>0</v>
      </c>
      <c r="AN68">
        <v>0</v>
      </c>
      <c r="AO68">
        <v>0</v>
      </c>
      <c r="AP68">
        <v>0</v>
      </c>
      <c r="AQ68">
        <v>0</v>
      </c>
      <c r="AR68">
        <v>0</v>
      </c>
      <c r="AS68">
        <v>0</v>
      </c>
      <c r="AT68">
        <v>320</v>
      </c>
      <c r="AU68">
        <v>104</v>
      </c>
      <c r="AV68">
        <v>216</v>
      </c>
      <c r="AW68">
        <v>0</v>
      </c>
      <c r="AX68">
        <v>18</v>
      </c>
      <c r="AY68">
        <v>1</v>
      </c>
      <c r="AZ68">
        <v>17</v>
      </c>
      <c r="BA68">
        <v>0</v>
      </c>
      <c r="BB68">
        <v>1</v>
      </c>
      <c r="BC68">
        <v>0</v>
      </c>
      <c r="BD68">
        <v>1</v>
      </c>
      <c r="BE68">
        <v>0</v>
      </c>
    </row>
    <row r="69" spans="1:58">
      <c r="A69" t="s">
        <v>18802</v>
      </c>
      <c r="B69" t="s">
        <v>19973</v>
      </c>
      <c r="C69">
        <v>0</v>
      </c>
      <c r="D69">
        <v>1</v>
      </c>
      <c r="E69">
        <v>0</v>
      </c>
      <c r="F69">
        <v>1</v>
      </c>
      <c r="G69">
        <v>0</v>
      </c>
      <c r="H69">
        <v>0</v>
      </c>
      <c r="I69">
        <v>0</v>
      </c>
      <c r="J69">
        <v>1</v>
      </c>
      <c r="K69">
        <v>7</v>
      </c>
      <c r="L69">
        <v>0</v>
      </c>
      <c r="M69">
        <v>1</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7</v>
      </c>
      <c r="AU69">
        <v>0</v>
      </c>
      <c r="AV69">
        <v>7</v>
      </c>
      <c r="AW69">
        <v>0</v>
      </c>
      <c r="AX69">
        <v>0</v>
      </c>
      <c r="AY69">
        <v>0</v>
      </c>
      <c r="AZ69">
        <v>0</v>
      </c>
      <c r="BA69">
        <v>0</v>
      </c>
      <c r="BB69">
        <v>0</v>
      </c>
      <c r="BC69">
        <v>0</v>
      </c>
      <c r="BD69">
        <v>0</v>
      </c>
      <c r="BE69">
        <v>0</v>
      </c>
      <c r="BF69">
        <v>5</v>
      </c>
    </row>
    <row r="70" spans="1:58">
      <c r="A70" t="s">
        <v>16935</v>
      </c>
      <c r="B70" t="s">
        <v>17389</v>
      </c>
      <c r="C70">
        <v>0</v>
      </c>
      <c r="D70">
        <v>4</v>
      </c>
      <c r="E70">
        <v>4</v>
      </c>
      <c r="F70">
        <v>3</v>
      </c>
      <c r="G70">
        <v>2</v>
      </c>
      <c r="H70">
        <v>0</v>
      </c>
      <c r="I70">
        <v>0</v>
      </c>
      <c r="J70">
        <v>4</v>
      </c>
      <c r="K70">
        <v>16</v>
      </c>
      <c r="L70">
        <v>0</v>
      </c>
      <c r="M70">
        <v>0</v>
      </c>
      <c r="N70">
        <v>0</v>
      </c>
      <c r="O70">
        <v>1</v>
      </c>
      <c r="P70">
        <v>0</v>
      </c>
      <c r="Q70">
        <v>2</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16</v>
      </c>
      <c r="AU70">
        <v>0</v>
      </c>
      <c r="AV70">
        <v>16</v>
      </c>
      <c r="AW70">
        <v>0</v>
      </c>
      <c r="AX70">
        <v>0</v>
      </c>
      <c r="AY70">
        <v>0</v>
      </c>
      <c r="AZ70">
        <v>0</v>
      </c>
      <c r="BA70">
        <v>0</v>
      </c>
      <c r="BB70">
        <v>0</v>
      </c>
      <c r="BC70">
        <v>0</v>
      </c>
      <c r="BD70">
        <v>0</v>
      </c>
      <c r="BE70">
        <v>0</v>
      </c>
      <c r="BF70">
        <v>0</v>
      </c>
    </row>
    <row r="71" spans="1:58">
      <c r="A71" t="s">
        <v>17390</v>
      </c>
      <c r="B71" t="s">
        <v>17391</v>
      </c>
      <c r="C71">
        <v>0</v>
      </c>
      <c r="D71">
        <v>16</v>
      </c>
      <c r="E71">
        <v>1</v>
      </c>
      <c r="F71">
        <v>16</v>
      </c>
      <c r="G71">
        <v>0</v>
      </c>
      <c r="H71">
        <v>2</v>
      </c>
      <c r="I71">
        <v>0</v>
      </c>
      <c r="J71">
        <v>16</v>
      </c>
      <c r="K71">
        <v>168</v>
      </c>
      <c r="L71">
        <v>12</v>
      </c>
      <c r="M71">
        <v>0</v>
      </c>
      <c r="N71">
        <v>1</v>
      </c>
      <c r="O71">
        <v>2</v>
      </c>
      <c r="P71">
        <v>0</v>
      </c>
      <c r="Q71">
        <v>1</v>
      </c>
      <c r="R71">
        <v>0</v>
      </c>
      <c r="S71">
        <v>22</v>
      </c>
      <c r="T71">
        <v>2</v>
      </c>
      <c r="U71">
        <v>3</v>
      </c>
      <c r="V71">
        <v>27</v>
      </c>
      <c r="W71">
        <v>260</v>
      </c>
      <c r="X71">
        <v>0</v>
      </c>
      <c r="Y71">
        <v>13</v>
      </c>
      <c r="Z71">
        <v>0</v>
      </c>
      <c r="AA71">
        <v>0</v>
      </c>
      <c r="AB71">
        <v>110</v>
      </c>
      <c r="AC71">
        <v>1103.5</v>
      </c>
      <c r="AD71">
        <v>1103.5</v>
      </c>
      <c r="AE71">
        <v>1146.8499999999999</v>
      </c>
      <c r="AF71">
        <v>1213.5</v>
      </c>
      <c r="AG71">
        <v>1423.5</v>
      </c>
      <c r="AH71">
        <v>276.64999999999998</v>
      </c>
      <c r="AI71">
        <v>0</v>
      </c>
      <c r="AJ71">
        <v>113.5</v>
      </c>
      <c r="AK71">
        <v>203.5</v>
      </c>
      <c r="AL71">
        <v>203.5</v>
      </c>
      <c r="AM71">
        <v>0</v>
      </c>
      <c r="AN71">
        <v>0</v>
      </c>
      <c r="AO71">
        <v>0</v>
      </c>
      <c r="AP71">
        <v>11</v>
      </c>
      <c r="AQ71">
        <v>0</v>
      </c>
      <c r="AR71">
        <v>0</v>
      </c>
      <c r="AS71">
        <v>0</v>
      </c>
      <c r="AT71">
        <v>168</v>
      </c>
      <c r="AU71">
        <v>42</v>
      </c>
      <c r="AV71">
        <v>126</v>
      </c>
      <c r="AW71">
        <v>0</v>
      </c>
      <c r="AX71">
        <v>22</v>
      </c>
      <c r="AY71">
        <v>10</v>
      </c>
      <c r="AZ71">
        <v>12</v>
      </c>
      <c r="BA71">
        <v>0</v>
      </c>
      <c r="BB71">
        <v>2</v>
      </c>
      <c r="BC71">
        <v>2</v>
      </c>
      <c r="BD71">
        <v>0</v>
      </c>
      <c r="BE71">
        <v>0</v>
      </c>
    </row>
    <row r="72" spans="1:58">
      <c r="A72" t="s">
        <v>16936</v>
      </c>
      <c r="B72" t="s">
        <v>16937</v>
      </c>
      <c r="C72">
        <v>0</v>
      </c>
      <c r="D72">
        <v>15</v>
      </c>
      <c r="E72">
        <v>3</v>
      </c>
      <c r="F72">
        <v>15</v>
      </c>
      <c r="G72">
        <v>0</v>
      </c>
      <c r="H72">
        <v>0</v>
      </c>
      <c r="I72">
        <v>0</v>
      </c>
      <c r="J72">
        <v>15</v>
      </c>
      <c r="K72">
        <v>122</v>
      </c>
      <c r="L72">
        <v>12</v>
      </c>
      <c r="M72">
        <v>2</v>
      </c>
      <c r="N72">
        <v>1</v>
      </c>
      <c r="O72">
        <v>0</v>
      </c>
      <c r="P72">
        <v>0</v>
      </c>
      <c r="Q72">
        <v>0</v>
      </c>
      <c r="R72">
        <v>0</v>
      </c>
      <c r="S72">
        <v>19.5</v>
      </c>
      <c r="T72">
        <v>0</v>
      </c>
      <c r="U72">
        <v>0</v>
      </c>
      <c r="V72">
        <v>19.5</v>
      </c>
      <c r="W72">
        <v>195</v>
      </c>
      <c r="X72">
        <v>0</v>
      </c>
      <c r="Y72">
        <v>14</v>
      </c>
      <c r="Z72">
        <v>0</v>
      </c>
      <c r="AA72">
        <v>0</v>
      </c>
      <c r="AB72">
        <v>0</v>
      </c>
      <c r="AC72">
        <v>0</v>
      </c>
      <c r="AD72">
        <v>0</v>
      </c>
      <c r="AE72">
        <v>0</v>
      </c>
      <c r="AF72">
        <v>0</v>
      </c>
      <c r="AG72">
        <v>195</v>
      </c>
      <c r="AH72">
        <v>195</v>
      </c>
      <c r="AI72">
        <v>0</v>
      </c>
      <c r="AJ72">
        <v>0</v>
      </c>
      <c r="AK72">
        <v>0</v>
      </c>
      <c r="AL72">
        <v>0</v>
      </c>
      <c r="AM72">
        <v>0</v>
      </c>
      <c r="AN72">
        <v>0</v>
      </c>
      <c r="AO72">
        <v>0</v>
      </c>
      <c r="AP72">
        <v>0</v>
      </c>
      <c r="AQ72">
        <v>0</v>
      </c>
      <c r="AR72">
        <v>0</v>
      </c>
      <c r="AS72">
        <v>0</v>
      </c>
      <c r="AT72">
        <v>122</v>
      </c>
      <c r="AU72">
        <v>0</v>
      </c>
      <c r="AV72">
        <v>122</v>
      </c>
      <c r="AW72">
        <v>0</v>
      </c>
      <c r="AX72">
        <v>19.5</v>
      </c>
      <c r="AY72">
        <v>0</v>
      </c>
      <c r="AZ72">
        <v>19.5</v>
      </c>
      <c r="BA72">
        <v>0</v>
      </c>
      <c r="BB72">
        <v>0</v>
      </c>
      <c r="BC72">
        <v>0</v>
      </c>
      <c r="BD72">
        <v>0</v>
      </c>
      <c r="BE72">
        <v>0</v>
      </c>
      <c r="BF72">
        <v>500</v>
      </c>
    </row>
    <row r="73" spans="1:58">
      <c r="A73" t="s">
        <v>16977</v>
      </c>
      <c r="B73" t="s">
        <v>17380</v>
      </c>
      <c r="C73">
        <v>0</v>
      </c>
      <c r="D73">
        <v>6</v>
      </c>
      <c r="E73">
        <v>6</v>
      </c>
      <c r="F73">
        <v>0</v>
      </c>
      <c r="G73">
        <v>0</v>
      </c>
      <c r="H73">
        <v>0</v>
      </c>
      <c r="I73">
        <v>0</v>
      </c>
      <c r="J73">
        <v>6</v>
      </c>
      <c r="K73">
        <v>69</v>
      </c>
      <c r="L73">
        <v>4</v>
      </c>
      <c r="M73">
        <v>1</v>
      </c>
      <c r="N73">
        <v>0</v>
      </c>
      <c r="O73">
        <v>1</v>
      </c>
      <c r="P73">
        <v>0</v>
      </c>
      <c r="Q73">
        <v>0</v>
      </c>
      <c r="R73">
        <v>0</v>
      </c>
      <c r="S73">
        <v>1.5</v>
      </c>
      <c r="T73">
        <v>0.75</v>
      </c>
      <c r="U73">
        <v>0.25</v>
      </c>
      <c r="V73">
        <v>2.5</v>
      </c>
      <c r="W73">
        <v>30</v>
      </c>
      <c r="X73">
        <v>0</v>
      </c>
      <c r="Y73">
        <v>1</v>
      </c>
      <c r="Z73">
        <v>0</v>
      </c>
      <c r="AA73">
        <v>0</v>
      </c>
      <c r="AB73">
        <v>0</v>
      </c>
      <c r="AC73">
        <v>16.25</v>
      </c>
      <c r="AD73">
        <v>0</v>
      </c>
      <c r="AE73">
        <v>16.25</v>
      </c>
      <c r="AF73">
        <v>0</v>
      </c>
      <c r="AG73">
        <v>51.25</v>
      </c>
      <c r="AH73">
        <v>35</v>
      </c>
      <c r="AI73">
        <v>0</v>
      </c>
      <c r="AJ73">
        <v>0</v>
      </c>
      <c r="AK73">
        <v>0</v>
      </c>
      <c r="AL73">
        <v>0</v>
      </c>
      <c r="AM73">
        <v>0</v>
      </c>
      <c r="AN73">
        <v>1</v>
      </c>
      <c r="AO73">
        <v>0</v>
      </c>
      <c r="AP73">
        <v>0</v>
      </c>
      <c r="AQ73">
        <v>0</v>
      </c>
      <c r="AR73">
        <v>0</v>
      </c>
      <c r="AS73">
        <v>0</v>
      </c>
      <c r="AT73">
        <v>69</v>
      </c>
      <c r="AU73">
        <v>0</v>
      </c>
      <c r="AV73">
        <v>69</v>
      </c>
      <c r="AW73">
        <v>0</v>
      </c>
      <c r="AX73">
        <v>1.5</v>
      </c>
      <c r="AY73">
        <v>0</v>
      </c>
      <c r="AZ73">
        <v>1.5</v>
      </c>
      <c r="BA73">
        <v>0</v>
      </c>
      <c r="BB73">
        <v>0.75</v>
      </c>
      <c r="BC73">
        <v>0</v>
      </c>
      <c r="BD73">
        <v>0.75</v>
      </c>
      <c r="BE73">
        <v>0</v>
      </c>
    </row>
    <row r="74" spans="1:58">
      <c r="A74" t="s">
        <v>16977</v>
      </c>
      <c r="B74" t="s">
        <v>17380</v>
      </c>
      <c r="C74">
        <v>0</v>
      </c>
      <c r="D74">
        <v>10</v>
      </c>
      <c r="E74">
        <v>10</v>
      </c>
      <c r="F74">
        <v>0</v>
      </c>
      <c r="G74">
        <v>0</v>
      </c>
      <c r="H74">
        <v>3</v>
      </c>
      <c r="I74">
        <v>0</v>
      </c>
      <c r="J74">
        <v>10</v>
      </c>
      <c r="K74">
        <v>74</v>
      </c>
      <c r="L74">
        <v>7</v>
      </c>
      <c r="M74">
        <v>0</v>
      </c>
      <c r="N74">
        <v>2</v>
      </c>
      <c r="O74">
        <v>1</v>
      </c>
      <c r="P74">
        <v>0</v>
      </c>
      <c r="Q74">
        <v>0</v>
      </c>
      <c r="R74">
        <v>0</v>
      </c>
      <c r="S74">
        <v>28.5</v>
      </c>
      <c r="T74">
        <v>8.25</v>
      </c>
      <c r="U74">
        <v>0</v>
      </c>
      <c r="V74">
        <v>36.75</v>
      </c>
      <c r="W74">
        <v>450</v>
      </c>
      <c r="X74">
        <v>0</v>
      </c>
      <c r="Y74">
        <v>2</v>
      </c>
      <c r="Z74">
        <v>0</v>
      </c>
      <c r="AA74">
        <v>0</v>
      </c>
      <c r="AB74">
        <v>390</v>
      </c>
      <c r="AC74">
        <v>27.5</v>
      </c>
      <c r="AD74">
        <v>0</v>
      </c>
      <c r="AE74">
        <v>417.5</v>
      </c>
      <c r="AF74">
        <v>390</v>
      </c>
      <c r="AG74">
        <v>477.5</v>
      </c>
      <c r="AH74">
        <v>60</v>
      </c>
      <c r="AI74">
        <v>400</v>
      </c>
      <c r="AJ74">
        <v>390</v>
      </c>
      <c r="AK74">
        <v>430</v>
      </c>
      <c r="AL74">
        <v>30</v>
      </c>
      <c r="AM74">
        <v>0</v>
      </c>
      <c r="AN74">
        <v>1</v>
      </c>
      <c r="AO74">
        <v>0</v>
      </c>
      <c r="AP74">
        <v>1</v>
      </c>
      <c r="AQ74">
        <v>0</v>
      </c>
      <c r="AR74">
        <v>0</v>
      </c>
      <c r="AS74">
        <v>0</v>
      </c>
      <c r="AT74">
        <v>74</v>
      </c>
      <c r="AU74">
        <v>51</v>
      </c>
      <c r="AV74">
        <v>23</v>
      </c>
      <c r="AW74">
        <v>0</v>
      </c>
      <c r="AX74">
        <v>28.5</v>
      </c>
      <c r="AY74">
        <v>28</v>
      </c>
      <c r="AZ74">
        <v>0.5</v>
      </c>
      <c r="BA74">
        <v>0</v>
      </c>
      <c r="BB74">
        <v>8.25</v>
      </c>
      <c r="BC74">
        <v>7</v>
      </c>
      <c r="BD74">
        <v>1.25</v>
      </c>
      <c r="BE74">
        <v>0</v>
      </c>
    </row>
    <row r="75" spans="1:58">
      <c r="A75" t="s">
        <v>16980</v>
      </c>
      <c r="B75" t="s">
        <v>16981</v>
      </c>
      <c r="C75">
        <v>29</v>
      </c>
      <c r="D75">
        <v>160</v>
      </c>
      <c r="E75">
        <v>161</v>
      </c>
      <c r="F75">
        <v>133</v>
      </c>
      <c r="G75">
        <v>6</v>
      </c>
      <c r="H75">
        <v>0</v>
      </c>
      <c r="I75">
        <v>0</v>
      </c>
      <c r="J75">
        <v>158</v>
      </c>
      <c r="K75" s="21">
        <v>1119</v>
      </c>
      <c r="L75">
        <v>152</v>
      </c>
      <c r="M75">
        <v>0</v>
      </c>
      <c r="N75">
        <v>0</v>
      </c>
      <c r="O75">
        <v>4</v>
      </c>
      <c r="P75">
        <v>0</v>
      </c>
      <c r="Q75">
        <v>2</v>
      </c>
      <c r="R75">
        <v>0</v>
      </c>
      <c r="S75">
        <v>34</v>
      </c>
      <c r="T75">
        <v>0</v>
      </c>
      <c r="U75">
        <v>0</v>
      </c>
      <c r="V75">
        <v>34</v>
      </c>
      <c r="W75">
        <v>265</v>
      </c>
      <c r="X75">
        <v>0</v>
      </c>
      <c r="Y75">
        <v>76</v>
      </c>
      <c r="Z75">
        <v>0</v>
      </c>
      <c r="AA75">
        <v>-75</v>
      </c>
      <c r="AB75">
        <v>0</v>
      </c>
      <c r="AC75">
        <v>0</v>
      </c>
      <c r="AD75">
        <v>0</v>
      </c>
      <c r="AE75">
        <v>0</v>
      </c>
      <c r="AF75">
        <v>0</v>
      </c>
      <c r="AG75">
        <v>265</v>
      </c>
      <c r="AH75">
        <v>265</v>
      </c>
      <c r="AI75">
        <v>0</v>
      </c>
      <c r="AJ75">
        <v>0</v>
      </c>
      <c r="AK75">
        <v>0</v>
      </c>
      <c r="AL75">
        <v>0</v>
      </c>
      <c r="AM75">
        <v>0</v>
      </c>
      <c r="AN75">
        <v>0</v>
      </c>
      <c r="AO75">
        <v>0</v>
      </c>
      <c r="AP75">
        <v>0</v>
      </c>
      <c r="AQ75">
        <v>0</v>
      </c>
      <c r="AR75">
        <v>0</v>
      </c>
      <c r="AS75">
        <v>0</v>
      </c>
      <c r="AT75" s="21">
        <v>1119</v>
      </c>
      <c r="AU75">
        <v>0</v>
      </c>
      <c r="AV75">
        <v>773</v>
      </c>
      <c r="AW75">
        <v>346</v>
      </c>
      <c r="AX75">
        <v>34</v>
      </c>
      <c r="AY75">
        <v>0</v>
      </c>
      <c r="AZ75">
        <v>26.5</v>
      </c>
      <c r="BA75">
        <v>7.5</v>
      </c>
      <c r="BB75">
        <v>0</v>
      </c>
      <c r="BC75">
        <v>0</v>
      </c>
      <c r="BD75">
        <v>0</v>
      </c>
      <c r="BE75">
        <v>0</v>
      </c>
      <c r="BF75">
        <v>161</v>
      </c>
    </row>
    <row r="76" spans="1:58">
      <c r="A76" t="s">
        <v>16982</v>
      </c>
      <c r="B76" t="s">
        <v>17343</v>
      </c>
      <c r="C76">
        <v>0</v>
      </c>
      <c r="D76">
        <v>6</v>
      </c>
      <c r="E76">
        <v>6</v>
      </c>
      <c r="F76">
        <v>6</v>
      </c>
      <c r="G76">
        <v>0</v>
      </c>
      <c r="H76">
        <v>0</v>
      </c>
      <c r="I76">
        <v>0</v>
      </c>
      <c r="J76">
        <v>6</v>
      </c>
      <c r="K76">
        <v>22</v>
      </c>
      <c r="L76">
        <v>5</v>
      </c>
      <c r="M76">
        <v>0</v>
      </c>
      <c r="N76">
        <v>0</v>
      </c>
      <c r="O76">
        <v>1</v>
      </c>
      <c r="P76">
        <v>0</v>
      </c>
      <c r="Q76">
        <v>0</v>
      </c>
      <c r="R76">
        <v>0</v>
      </c>
      <c r="S76">
        <v>3.25</v>
      </c>
      <c r="T76">
        <v>1.75</v>
      </c>
      <c r="U76">
        <v>0</v>
      </c>
      <c r="V76">
        <v>5</v>
      </c>
      <c r="W76">
        <v>67.5</v>
      </c>
      <c r="X76">
        <v>0</v>
      </c>
      <c r="Y76">
        <v>4</v>
      </c>
      <c r="Z76">
        <v>1</v>
      </c>
      <c r="AA76">
        <v>0</v>
      </c>
      <c r="AB76">
        <v>15</v>
      </c>
      <c r="AC76">
        <v>0</v>
      </c>
      <c r="AD76">
        <v>0</v>
      </c>
      <c r="AE76">
        <v>0</v>
      </c>
      <c r="AF76">
        <v>15</v>
      </c>
      <c r="AG76">
        <v>67.5</v>
      </c>
      <c r="AH76">
        <v>67.5</v>
      </c>
      <c r="AI76">
        <v>0</v>
      </c>
      <c r="AJ76">
        <v>0</v>
      </c>
      <c r="AK76">
        <v>0</v>
      </c>
      <c r="AL76">
        <v>0</v>
      </c>
      <c r="AM76">
        <v>0</v>
      </c>
      <c r="AN76">
        <v>0</v>
      </c>
      <c r="AO76">
        <v>0</v>
      </c>
      <c r="AP76">
        <v>0</v>
      </c>
      <c r="AQ76">
        <v>0</v>
      </c>
      <c r="AR76">
        <v>0</v>
      </c>
      <c r="AS76">
        <v>0</v>
      </c>
      <c r="AT76">
        <v>22</v>
      </c>
      <c r="AU76">
        <v>0</v>
      </c>
      <c r="AV76">
        <v>22</v>
      </c>
      <c r="AW76">
        <v>0</v>
      </c>
      <c r="AX76">
        <v>3.25</v>
      </c>
      <c r="AY76">
        <v>0</v>
      </c>
      <c r="AZ76">
        <v>3.25</v>
      </c>
      <c r="BA76">
        <v>0</v>
      </c>
      <c r="BB76">
        <v>1.75</v>
      </c>
      <c r="BC76">
        <v>0</v>
      </c>
      <c r="BD76">
        <v>1.75</v>
      </c>
      <c r="BE76">
        <v>0</v>
      </c>
      <c r="BF76">
        <v>51</v>
      </c>
    </row>
    <row r="77" spans="1:58">
      <c r="A77" t="s">
        <v>16983</v>
      </c>
      <c r="B77" t="s">
        <v>16984</v>
      </c>
      <c r="C77">
        <v>0</v>
      </c>
      <c r="D77">
        <v>19</v>
      </c>
      <c r="E77">
        <v>19</v>
      </c>
      <c r="F77">
        <v>19</v>
      </c>
      <c r="G77">
        <v>0</v>
      </c>
      <c r="H77">
        <v>0</v>
      </c>
      <c r="I77">
        <v>0</v>
      </c>
      <c r="J77">
        <v>19</v>
      </c>
      <c r="K77">
        <v>119</v>
      </c>
      <c r="L77">
        <v>19</v>
      </c>
      <c r="M77">
        <v>0</v>
      </c>
      <c r="N77">
        <v>0</v>
      </c>
      <c r="O77">
        <v>0</v>
      </c>
      <c r="P77">
        <v>0</v>
      </c>
      <c r="Q77">
        <v>0</v>
      </c>
      <c r="R77">
        <v>0</v>
      </c>
      <c r="S77">
        <v>5</v>
      </c>
      <c r="T77">
        <v>4.25</v>
      </c>
      <c r="U77">
        <v>0</v>
      </c>
      <c r="V77">
        <v>9.25</v>
      </c>
      <c r="W77">
        <v>135</v>
      </c>
      <c r="X77">
        <v>0</v>
      </c>
      <c r="Y77">
        <v>19</v>
      </c>
      <c r="Z77">
        <v>0</v>
      </c>
      <c r="AA77">
        <v>0</v>
      </c>
      <c r="AB77">
        <v>0</v>
      </c>
      <c r="AC77">
        <v>17.600000000000001</v>
      </c>
      <c r="AD77">
        <v>17.600000000000001</v>
      </c>
      <c r="AE77">
        <v>17.600000000000001</v>
      </c>
      <c r="AF77">
        <v>17.600000000000001</v>
      </c>
      <c r="AG77">
        <v>0</v>
      </c>
      <c r="AH77">
        <v>0</v>
      </c>
      <c r="AI77">
        <v>0</v>
      </c>
      <c r="AJ77">
        <v>0</v>
      </c>
      <c r="AK77">
        <v>0</v>
      </c>
      <c r="AL77">
        <v>0</v>
      </c>
      <c r="AM77">
        <v>16</v>
      </c>
      <c r="AN77">
        <v>1</v>
      </c>
      <c r="AO77">
        <v>0</v>
      </c>
      <c r="AP77">
        <v>0</v>
      </c>
      <c r="AQ77">
        <v>0</v>
      </c>
      <c r="AR77">
        <v>0</v>
      </c>
      <c r="AS77">
        <v>0</v>
      </c>
      <c r="AT77">
        <v>119</v>
      </c>
      <c r="AU77">
        <v>0</v>
      </c>
      <c r="AV77">
        <v>119</v>
      </c>
      <c r="AW77">
        <v>0</v>
      </c>
      <c r="AX77">
        <v>5</v>
      </c>
      <c r="AY77">
        <v>0</v>
      </c>
      <c r="AZ77">
        <v>5</v>
      </c>
      <c r="BA77">
        <v>0</v>
      </c>
      <c r="BB77">
        <v>4.25</v>
      </c>
      <c r="BC77">
        <v>0</v>
      </c>
      <c r="BD77">
        <v>4.25</v>
      </c>
      <c r="BE77">
        <v>0</v>
      </c>
      <c r="BF77">
        <v>25</v>
      </c>
    </row>
    <row r="78" spans="1:58">
      <c r="A78" t="s">
        <v>16987</v>
      </c>
      <c r="B78" t="s">
        <v>17382</v>
      </c>
      <c r="C78">
        <v>0</v>
      </c>
      <c r="D78">
        <v>1</v>
      </c>
      <c r="E78">
        <v>0</v>
      </c>
      <c r="F78">
        <v>1</v>
      </c>
      <c r="G78">
        <v>0</v>
      </c>
      <c r="H78">
        <v>0</v>
      </c>
      <c r="I78">
        <v>0</v>
      </c>
      <c r="J78">
        <v>1</v>
      </c>
      <c r="K78">
        <v>1</v>
      </c>
      <c r="L78">
        <v>1</v>
      </c>
      <c r="M78">
        <v>0</v>
      </c>
      <c r="N78">
        <v>0</v>
      </c>
      <c r="O78">
        <v>0</v>
      </c>
      <c r="P78">
        <v>0</v>
      </c>
      <c r="Q78">
        <v>0</v>
      </c>
      <c r="R78">
        <v>0</v>
      </c>
      <c r="S78">
        <v>2</v>
      </c>
      <c r="T78">
        <v>0</v>
      </c>
      <c r="U78">
        <v>0</v>
      </c>
      <c r="V78">
        <v>2</v>
      </c>
      <c r="W78">
        <v>20</v>
      </c>
      <c r="X78">
        <v>0</v>
      </c>
      <c r="Y78">
        <v>1</v>
      </c>
      <c r="Z78">
        <v>0</v>
      </c>
      <c r="AA78">
        <v>0</v>
      </c>
      <c r="AB78">
        <v>0</v>
      </c>
      <c r="AC78">
        <v>0</v>
      </c>
      <c r="AD78">
        <v>0</v>
      </c>
      <c r="AE78">
        <v>0</v>
      </c>
      <c r="AF78">
        <v>0</v>
      </c>
      <c r="AG78">
        <v>20</v>
      </c>
      <c r="AH78">
        <v>20</v>
      </c>
      <c r="AI78">
        <v>0</v>
      </c>
      <c r="AJ78">
        <v>0</v>
      </c>
      <c r="AK78">
        <v>0</v>
      </c>
      <c r="AL78">
        <v>0</v>
      </c>
      <c r="AM78">
        <v>0</v>
      </c>
      <c r="AN78">
        <v>0</v>
      </c>
      <c r="AO78">
        <v>0</v>
      </c>
      <c r="AP78">
        <v>0</v>
      </c>
      <c r="AQ78">
        <v>0</v>
      </c>
      <c r="AR78">
        <v>0</v>
      </c>
      <c r="AS78">
        <v>0</v>
      </c>
      <c r="AT78">
        <v>1</v>
      </c>
      <c r="AU78">
        <v>0</v>
      </c>
      <c r="AV78">
        <v>1</v>
      </c>
      <c r="AW78">
        <v>0</v>
      </c>
      <c r="AX78">
        <v>2</v>
      </c>
      <c r="AY78">
        <v>0</v>
      </c>
      <c r="AZ78">
        <v>2</v>
      </c>
      <c r="BA78">
        <v>0</v>
      </c>
      <c r="BB78">
        <v>0</v>
      </c>
      <c r="BC78">
        <v>0</v>
      </c>
      <c r="BD78">
        <v>0</v>
      </c>
      <c r="BE78">
        <v>0</v>
      </c>
      <c r="BF78">
        <v>5</v>
      </c>
    </row>
    <row r="79" spans="1:58">
      <c r="A79" t="s">
        <v>16988</v>
      </c>
      <c r="B79" t="s">
        <v>16989</v>
      </c>
      <c r="C79">
        <v>0</v>
      </c>
      <c r="D79">
        <v>2</v>
      </c>
      <c r="E79">
        <v>0</v>
      </c>
      <c r="F79">
        <v>2</v>
      </c>
      <c r="G79">
        <v>0</v>
      </c>
      <c r="H79">
        <v>0</v>
      </c>
      <c r="I79">
        <v>0</v>
      </c>
      <c r="J79">
        <v>0</v>
      </c>
      <c r="K79">
        <v>2</v>
      </c>
      <c r="L79">
        <v>1</v>
      </c>
      <c r="M79">
        <v>0</v>
      </c>
      <c r="N79">
        <v>0</v>
      </c>
      <c r="O79">
        <v>0</v>
      </c>
      <c r="P79">
        <v>0</v>
      </c>
      <c r="Q79">
        <v>0</v>
      </c>
      <c r="R79">
        <v>0</v>
      </c>
      <c r="S79">
        <v>0.5</v>
      </c>
      <c r="T79">
        <v>0</v>
      </c>
      <c r="U79">
        <v>0</v>
      </c>
      <c r="V79">
        <v>0.5</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2</v>
      </c>
      <c r="AU79">
        <v>0</v>
      </c>
      <c r="AV79">
        <v>2</v>
      </c>
      <c r="AW79">
        <v>0</v>
      </c>
      <c r="AX79">
        <v>0.5</v>
      </c>
      <c r="AY79">
        <v>0</v>
      </c>
      <c r="AZ79">
        <v>0.5</v>
      </c>
      <c r="BA79">
        <v>0</v>
      </c>
      <c r="BB79">
        <v>0</v>
      </c>
      <c r="BC79">
        <v>0</v>
      </c>
      <c r="BD79">
        <v>0</v>
      </c>
      <c r="BE79">
        <v>0</v>
      </c>
      <c r="BF79">
        <v>40</v>
      </c>
    </row>
    <row r="80" spans="1:58">
      <c r="A80" t="s">
        <v>17344</v>
      </c>
      <c r="B80" t="s">
        <v>17345</v>
      </c>
      <c r="C80">
        <v>25</v>
      </c>
      <c r="D80">
        <v>35</v>
      </c>
      <c r="E80">
        <v>35</v>
      </c>
      <c r="F80">
        <v>35</v>
      </c>
      <c r="G80">
        <v>3</v>
      </c>
      <c r="H80">
        <v>3</v>
      </c>
      <c r="I80">
        <v>1</v>
      </c>
      <c r="J80">
        <v>35</v>
      </c>
      <c r="K80">
        <v>43</v>
      </c>
      <c r="L80">
        <v>35</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43</v>
      </c>
      <c r="AU80">
        <v>1</v>
      </c>
      <c r="AV80">
        <v>14</v>
      </c>
      <c r="AW80">
        <v>28</v>
      </c>
      <c r="AX80">
        <v>0</v>
      </c>
      <c r="AY80">
        <v>0</v>
      </c>
      <c r="AZ80">
        <v>0</v>
      </c>
      <c r="BA80">
        <v>0</v>
      </c>
      <c r="BB80">
        <v>0</v>
      </c>
      <c r="BC80">
        <v>0</v>
      </c>
      <c r="BD80">
        <v>0</v>
      </c>
      <c r="BE80">
        <v>0</v>
      </c>
      <c r="BF80" s="21">
        <v>1000</v>
      </c>
    </row>
    <row r="81" spans="1:58">
      <c r="A81" t="s">
        <v>16990</v>
      </c>
      <c r="B81" t="s">
        <v>17359</v>
      </c>
      <c r="C81">
        <v>8</v>
      </c>
      <c r="D81">
        <v>21</v>
      </c>
      <c r="E81">
        <v>21</v>
      </c>
      <c r="F81">
        <v>20</v>
      </c>
      <c r="G81">
        <v>1</v>
      </c>
      <c r="H81">
        <v>3</v>
      </c>
      <c r="I81">
        <v>1</v>
      </c>
      <c r="J81">
        <v>21</v>
      </c>
      <c r="K81">
        <v>153</v>
      </c>
      <c r="L81">
        <v>8</v>
      </c>
      <c r="M81">
        <v>3</v>
      </c>
      <c r="N81">
        <v>5</v>
      </c>
      <c r="O81">
        <v>3</v>
      </c>
      <c r="P81">
        <v>0</v>
      </c>
      <c r="Q81">
        <v>2</v>
      </c>
      <c r="R81">
        <v>0</v>
      </c>
      <c r="S81">
        <v>16.25</v>
      </c>
      <c r="T81">
        <v>32.75</v>
      </c>
      <c r="U81">
        <v>2</v>
      </c>
      <c r="V81">
        <v>51</v>
      </c>
      <c r="W81">
        <v>122.5</v>
      </c>
      <c r="X81">
        <v>0</v>
      </c>
      <c r="Y81">
        <v>7</v>
      </c>
      <c r="Z81">
        <v>4</v>
      </c>
      <c r="AA81">
        <v>-695</v>
      </c>
      <c r="AB81">
        <v>0</v>
      </c>
      <c r="AC81">
        <v>71.45</v>
      </c>
      <c r="AD81">
        <v>151.69999999999999</v>
      </c>
      <c r="AE81">
        <v>81.45</v>
      </c>
      <c r="AF81">
        <v>151.69999999999999</v>
      </c>
      <c r="AG81">
        <v>233.95</v>
      </c>
      <c r="AH81">
        <v>152.5</v>
      </c>
      <c r="AI81">
        <v>43.95</v>
      </c>
      <c r="AJ81">
        <v>124.2</v>
      </c>
      <c r="AK81">
        <v>43.95</v>
      </c>
      <c r="AL81">
        <v>0</v>
      </c>
      <c r="AM81">
        <v>3</v>
      </c>
      <c r="AN81">
        <v>5</v>
      </c>
      <c r="AO81">
        <v>0</v>
      </c>
      <c r="AP81">
        <v>0</v>
      </c>
      <c r="AQ81">
        <v>0</v>
      </c>
      <c r="AR81">
        <v>0</v>
      </c>
      <c r="AS81">
        <v>0</v>
      </c>
      <c r="AT81">
        <v>153</v>
      </c>
      <c r="AU81">
        <v>52</v>
      </c>
      <c r="AV81">
        <v>86</v>
      </c>
      <c r="AW81">
        <v>67</v>
      </c>
      <c r="AX81">
        <v>16.25</v>
      </c>
      <c r="AY81">
        <v>2.75</v>
      </c>
      <c r="AZ81">
        <v>9.75</v>
      </c>
      <c r="BA81">
        <v>6.5</v>
      </c>
      <c r="BB81">
        <v>32.75</v>
      </c>
      <c r="BC81">
        <v>30.25</v>
      </c>
      <c r="BD81">
        <v>1.25</v>
      </c>
      <c r="BE81">
        <v>31.5</v>
      </c>
    </row>
    <row r="82" spans="1:58">
      <c r="A82" t="s">
        <v>16993</v>
      </c>
      <c r="B82" t="s">
        <v>16994</v>
      </c>
      <c r="C82">
        <v>0</v>
      </c>
      <c r="D82">
        <v>1</v>
      </c>
      <c r="E82">
        <v>1</v>
      </c>
      <c r="F82">
        <v>0</v>
      </c>
      <c r="G82">
        <v>0</v>
      </c>
      <c r="H82">
        <v>0</v>
      </c>
      <c r="I82">
        <v>0</v>
      </c>
      <c r="J82">
        <v>1</v>
      </c>
      <c r="K82">
        <v>23</v>
      </c>
      <c r="L82">
        <v>0</v>
      </c>
      <c r="M82">
        <v>0</v>
      </c>
      <c r="N82">
        <v>0</v>
      </c>
      <c r="O82">
        <v>0</v>
      </c>
      <c r="P82">
        <v>0</v>
      </c>
      <c r="Q82">
        <v>0</v>
      </c>
      <c r="R82">
        <v>0</v>
      </c>
      <c r="S82">
        <v>6</v>
      </c>
      <c r="T82">
        <v>0</v>
      </c>
      <c r="U82">
        <v>0</v>
      </c>
      <c r="V82">
        <v>6</v>
      </c>
      <c r="W82">
        <v>60</v>
      </c>
      <c r="X82">
        <v>0</v>
      </c>
      <c r="Y82">
        <v>1</v>
      </c>
      <c r="Z82">
        <v>0</v>
      </c>
      <c r="AA82">
        <v>0</v>
      </c>
      <c r="AB82">
        <v>30</v>
      </c>
      <c r="AC82">
        <v>10</v>
      </c>
      <c r="AD82">
        <v>0</v>
      </c>
      <c r="AE82">
        <v>0</v>
      </c>
      <c r="AF82">
        <v>30</v>
      </c>
      <c r="AG82">
        <v>70</v>
      </c>
      <c r="AH82">
        <v>70</v>
      </c>
      <c r="AI82">
        <v>0</v>
      </c>
      <c r="AJ82">
        <v>0</v>
      </c>
      <c r="AK82">
        <v>0</v>
      </c>
      <c r="AL82">
        <v>0</v>
      </c>
      <c r="AM82">
        <v>0</v>
      </c>
      <c r="AN82">
        <v>0</v>
      </c>
      <c r="AO82">
        <v>0</v>
      </c>
      <c r="AP82">
        <v>0</v>
      </c>
      <c r="AQ82">
        <v>0</v>
      </c>
      <c r="AR82">
        <v>0</v>
      </c>
      <c r="AS82">
        <v>0</v>
      </c>
      <c r="AT82">
        <v>23</v>
      </c>
      <c r="AU82">
        <v>0</v>
      </c>
      <c r="AV82">
        <v>23</v>
      </c>
      <c r="AW82">
        <v>0</v>
      </c>
      <c r="AX82">
        <v>6</v>
      </c>
      <c r="AY82">
        <v>0</v>
      </c>
      <c r="AZ82">
        <v>6</v>
      </c>
      <c r="BA82">
        <v>0</v>
      </c>
      <c r="BB82">
        <v>0</v>
      </c>
      <c r="BC82">
        <v>0</v>
      </c>
      <c r="BD82">
        <v>0</v>
      </c>
      <c r="BE82">
        <v>0</v>
      </c>
    </row>
    <row r="83" spans="1:58">
      <c r="A83" t="s">
        <v>16995</v>
      </c>
      <c r="B83" t="s">
        <v>16996</v>
      </c>
      <c r="C83">
        <v>0</v>
      </c>
      <c r="D83">
        <v>22</v>
      </c>
      <c r="E83">
        <v>10</v>
      </c>
      <c r="F83">
        <v>21</v>
      </c>
      <c r="G83">
        <v>1</v>
      </c>
      <c r="H83">
        <v>2</v>
      </c>
      <c r="I83">
        <v>0</v>
      </c>
      <c r="J83">
        <v>22</v>
      </c>
      <c r="K83">
        <v>205</v>
      </c>
      <c r="L83">
        <v>19</v>
      </c>
      <c r="M83">
        <v>0</v>
      </c>
      <c r="N83">
        <v>2</v>
      </c>
      <c r="O83">
        <v>0</v>
      </c>
      <c r="P83">
        <v>0</v>
      </c>
      <c r="Q83">
        <v>2</v>
      </c>
      <c r="R83">
        <v>0</v>
      </c>
      <c r="S83">
        <v>31.75</v>
      </c>
      <c r="T83">
        <v>26</v>
      </c>
      <c r="U83">
        <v>0</v>
      </c>
      <c r="V83">
        <v>57.75</v>
      </c>
      <c r="W83">
        <v>837.5</v>
      </c>
      <c r="X83">
        <v>0</v>
      </c>
      <c r="Y83">
        <v>19</v>
      </c>
      <c r="Z83">
        <v>0</v>
      </c>
      <c r="AA83">
        <v>0</v>
      </c>
      <c r="AB83">
        <v>585</v>
      </c>
      <c r="AC83">
        <v>343.75</v>
      </c>
      <c r="AD83">
        <v>343.75</v>
      </c>
      <c r="AE83">
        <v>581</v>
      </c>
      <c r="AF83">
        <v>928.75</v>
      </c>
      <c r="AG83" s="20">
        <v>1181.25</v>
      </c>
      <c r="AH83">
        <v>600.25</v>
      </c>
      <c r="AI83">
        <v>487</v>
      </c>
      <c r="AJ83">
        <v>557</v>
      </c>
      <c r="AK83">
        <v>617</v>
      </c>
      <c r="AL83">
        <v>130</v>
      </c>
      <c r="AM83">
        <v>2</v>
      </c>
      <c r="AN83">
        <v>0</v>
      </c>
      <c r="AO83">
        <v>1</v>
      </c>
      <c r="AP83">
        <v>2</v>
      </c>
      <c r="AQ83">
        <v>0</v>
      </c>
      <c r="AR83">
        <v>0</v>
      </c>
      <c r="AS83">
        <v>0</v>
      </c>
      <c r="AT83">
        <v>205</v>
      </c>
      <c r="AU83">
        <v>71</v>
      </c>
      <c r="AV83">
        <v>134</v>
      </c>
      <c r="AW83">
        <v>0</v>
      </c>
      <c r="AX83">
        <v>31.75</v>
      </c>
      <c r="AY83">
        <v>0.5</v>
      </c>
      <c r="AZ83">
        <v>31.25</v>
      </c>
      <c r="BA83">
        <v>0</v>
      </c>
      <c r="BB83">
        <v>26</v>
      </c>
      <c r="BC83">
        <v>18.25</v>
      </c>
      <c r="BD83">
        <v>7.75</v>
      </c>
      <c r="BE83">
        <v>0</v>
      </c>
      <c r="BF83">
        <v>252</v>
      </c>
    </row>
    <row r="84" spans="1:58">
      <c r="A84" t="s">
        <v>16997</v>
      </c>
      <c r="B84" t="s">
        <v>16998</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41</v>
      </c>
    </row>
    <row r="85" spans="1:58">
      <c r="A85" t="s">
        <v>16999</v>
      </c>
      <c r="B85" t="s">
        <v>17000</v>
      </c>
      <c r="C85">
        <v>1</v>
      </c>
      <c r="D85">
        <v>21</v>
      </c>
      <c r="E85">
        <v>3</v>
      </c>
      <c r="F85">
        <v>7</v>
      </c>
      <c r="G85">
        <v>0</v>
      </c>
      <c r="H85">
        <v>3</v>
      </c>
      <c r="I85">
        <v>0</v>
      </c>
      <c r="J85">
        <v>12</v>
      </c>
      <c r="K85">
        <v>317</v>
      </c>
      <c r="L85">
        <v>17</v>
      </c>
      <c r="M85">
        <v>0</v>
      </c>
      <c r="N85">
        <v>1</v>
      </c>
      <c r="O85">
        <v>0</v>
      </c>
      <c r="P85">
        <v>1</v>
      </c>
      <c r="Q85">
        <v>1</v>
      </c>
      <c r="R85">
        <v>0</v>
      </c>
      <c r="S85">
        <v>7.5</v>
      </c>
      <c r="T85">
        <v>30.75</v>
      </c>
      <c r="U85">
        <v>0</v>
      </c>
      <c r="V85">
        <v>38</v>
      </c>
      <c r="W85">
        <v>687.5</v>
      </c>
      <c r="X85">
        <v>0</v>
      </c>
      <c r="Y85">
        <v>11</v>
      </c>
      <c r="Z85">
        <v>2</v>
      </c>
      <c r="AA85">
        <v>0</v>
      </c>
      <c r="AB85">
        <v>552.5</v>
      </c>
      <c r="AC85">
        <v>0</v>
      </c>
      <c r="AD85">
        <v>0</v>
      </c>
      <c r="AE85">
        <v>0</v>
      </c>
      <c r="AF85">
        <v>552.5</v>
      </c>
      <c r="AG85">
        <v>280</v>
      </c>
      <c r="AH85">
        <v>280</v>
      </c>
      <c r="AI85">
        <v>0</v>
      </c>
      <c r="AJ85">
        <v>180</v>
      </c>
      <c r="AK85">
        <v>212.5</v>
      </c>
      <c r="AL85">
        <v>212.5</v>
      </c>
      <c r="AM85">
        <v>0</v>
      </c>
      <c r="AN85">
        <v>0</v>
      </c>
      <c r="AO85">
        <v>0</v>
      </c>
      <c r="AP85">
        <v>0</v>
      </c>
      <c r="AQ85">
        <v>0</v>
      </c>
      <c r="AR85">
        <v>0</v>
      </c>
      <c r="AS85">
        <v>0</v>
      </c>
      <c r="AT85">
        <v>317</v>
      </c>
      <c r="AU85">
        <v>44</v>
      </c>
      <c r="AV85">
        <v>195</v>
      </c>
      <c r="AW85">
        <v>78</v>
      </c>
      <c r="AX85">
        <v>7.5</v>
      </c>
      <c r="AY85">
        <v>1.25</v>
      </c>
      <c r="AZ85">
        <v>6.25</v>
      </c>
      <c r="BA85">
        <v>0</v>
      </c>
      <c r="BB85">
        <v>30.75</v>
      </c>
      <c r="BC85">
        <v>10</v>
      </c>
      <c r="BD85">
        <v>20.75</v>
      </c>
      <c r="BE85">
        <v>0</v>
      </c>
      <c r="BF85">
        <v>0</v>
      </c>
    </row>
    <row r="86" spans="1:58">
      <c r="A86" t="s">
        <v>16969</v>
      </c>
      <c r="B86" t="s">
        <v>18804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695</v>
      </c>
    </row>
    <row r="87" spans="1:58">
      <c r="A87" t="s">
        <v>16969</v>
      </c>
      <c r="B87" t="s">
        <v>17006</v>
      </c>
      <c r="C87">
        <v>3</v>
      </c>
      <c r="D87">
        <v>6</v>
      </c>
      <c r="E87">
        <v>6</v>
      </c>
      <c r="F87">
        <v>6</v>
      </c>
      <c r="G87">
        <v>0</v>
      </c>
      <c r="H87">
        <v>2</v>
      </c>
      <c r="I87">
        <v>2</v>
      </c>
      <c r="J87">
        <v>6</v>
      </c>
      <c r="K87">
        <v>89</v>
      </c>
      <c r="L87">
        <v>1</v>
      </c>
      <c r="M87">
        <v>2</v>
      </c>
      <c r="N87">
        <v>0</v>
      </c>
      <c r="O87">
        <v>3</v>
      </c>
      <c r="P87">
        <v>0</v>
      </c>
      <c r="Q87">
        <v>0</v>
      </c>
      <c r="R87">
        <v>0</v>
      </c>
      <c r="S87">
        <v>8.25</v>
      </c>
      <c r="T87">
        <v>2</v>
      </c>
      <c r="U87">
        <v>1.5</v>
      </c>
      <c r="V87">
        <v>11.75</v>
      </c>
      <c r="W87">
        <v>22.5</v>
      </c>
      <c r="X87">
        <v>0</v>
      </c>
      <c r="Y87">
        <v>3</v>
      </c>
      <c r="Z87">
        <v>0</v>
      </c>
      <c r="AA87">
        <v>-100</v>
      </c>
      <c r="AB87">
        <v>0</v>
      </c>
      <c r="AC87">
        <v>0</v>
      </c>
      <c r="AD87">
        <v>0</v>
      </c>
      <c r="AE87">
        <v>0</v>
      </c>
      <c r="AF87">
        <v>0</v>
      </c>
      <c r="AG87">
        <v>52.5</v>
      </c>
      <c r="AH87">
        <v>52.5</v>
      </c>
      <c r="AI87">
        <v>0</v>
      </c>
      <c r="AJ87">
        <v>0</v>
      </c>
      <c r="AK87">
        <v>30</v>
      </c>
      <c r="AL87">
        <v>30</v>
      </c>
      <c r="AM87">
        <v>0</v>
      </c>
      <c r="AN87">
        <v>0</v>
      </c>
      <c r="AO87">
        <v>0</v>
      </c>
      <c r="AP87">
        <v>0</v>
      </c>
      <c r="AQ87">
        <v>0</v>
      </c>
      <c r="AR87">
        <v>0</v>
      </c>
      <c r="AS87">
        <v>0</v>
      </c>
      <c r="AT87">
        <v>89</v>
      </c>
      <c r="AU87">
        <v>42</v>
      </c>
      <c r="AV87">
        <v>36</v>
      </c>
      <c r="AW87">
        <v>53</v>
      </c>
      <c r="AX87">
        <v>8.25</v>
      </c>
      <c r="AY87">
        <v>5</v>
      </c>
      <c r="AZ87">
        <v>2.25</v>
      </c>
      <c r="BA87">
        <v>6</v>
      </c>
      <c r="BB87">
        <v>2</v>
      </c>
      <c r="BC87">
        <v>2</v>
      </c>
      <c r="BD87">
        <v>0</v>
      </c>
      <c r="BE87">
        <v>2</v>
      </c>
      <c r="BF87">
        <v>0</v>
      </c>
    </row>
    <row r="88" spans="1:58">
      <c r="A88" t="s">
        <v>16969</v>
      </c>
      <c r="B88" t="s">
        <v>19974</v>
      </c>
      <c r="C88">
        <v>0</v>
      </c>
      <c r="D88">
        <v>1</v>
      </c>
      <c r="E88">
        <v>1</v>
      </c>
      <c r="F88">
        <v>1</v>
      </c>
      <c r="G88">
        <v>1</v>
      </c>
      <c r="H88">
        <v>1</v>
      </c>
      <c r="I88">
        <v>1</v>
      </c>
      <c r="J88">
        <v>1</v>
      </c>
      <c r="K88">
        <v>16</v>
      </c>
      <c r="L88">
        <v>1</v>
      </c>
      <c r="M88">
        <v>0</v>
      </c>
      <c r="N88">
        <v>0</v>
      </c>
      <c r="O88">
        <v>0</v>
      </c>
      <c r="P88">
        <v>0</v>
      </c>
      <c r="Q88">
        <v>0</v>
      </c>
      <c r="R88">
        <v>0</v>
      </c>
      <c r="S88">
        <v>6</v>
      </c>
      <c r="T88">
        <v>22.5</v>
      </c>
      <c r="U88">
        <v>0</v>
      </c>
      <c r="V88">
        <v>28.5</v>
      </c>
      <c r="W88">
        <v>510</v>
      </c>
      <c r="X88">
        <v>0</v>
      </c>
      <c r="Y88">
        <v>1</v>
      </c>
      <c r="Z88">
        <v>0</v>
      </c>
      <c r="AA88">
        <v>0</v>
      </c>
      <c r="AB88">
        <v>480</v>
      </c>
      <c r="AC88">
        <v>533.5</v>
      </c>
      <c r="AD88">
        <v>533.5</v>
      </c>
      <c r="AE88" s="20">
        <v>1051.5</v>
      </c>
      <c r="AF88" s="20">
        <v>1013.5</v>
      </c>
      <c r="AG88" s="20">
        <v>1043.5</v>
      </c>
      <c r="AH88">
        <v>0</v>
      </c>
      <c r="AI88" s="20">
        <v>1051.5</v>
      </c>
      <c r="AJ88" s="20">
        <v>1013.5</v>
      </c>
      <c r="AK88" s="20">
        <v>1043.5</v>
      </c>
      <c r="AL88">
        <v>0</v>
      </c>
      <c r="AM88">
        <v>0</v>
      </c>
      <c r="AN88">
        <v>0</v>
      </c>
      <c r="AO88">
        <v>0</v>
      </c>
      <c r="AP88">
        <v>0</v>
      </c>
      <c r="AQ88">
        <v>0</v>
      </c>
      <c r="AR88">
        <v>1</v>
      </c>
      <c r="AS88">
        <v>0</v>
      </c>
      <c r="AT88">
        <v>16</v>
      </c>
      <c r="AU88">
        <v>16</v>
      </c>
      <c r="AV88">
        <v>0</v>
      </c>
      <c r="AW88">
        <v>0</v>
      </c>
      <c r="AX88">
        <v>6</v>
      </c>
      <c r="AY88">
        <v>6</v>
      </c>
      <c r="AZ88">
        <v>0</v>
      </c>
      <c r="BA88">
        <v>0</v>
      </c>
      <c r="BB88">
        <v>22.5</v>
      </c>
      <c r="BC88">
        <v>22.5</v>
      </c>
      <c r="BD88">
        <v>0</v>
      </c>
      <c r="BE88">
        <v>0</v>
      </c>
      <c r="BF88">
        <v>0</v>
      </c>
    </row>
    <row r="89" spans="1:58">
      <c r="A89" t="s">
        <v>16969</v>
      </c>
      <c r="B89" t="s">
        <v>18807</v>
      </c>
      <c r="C89">
        <v>0</v>
      </c>
      <c r="D89">
        <v>1</v>
      </c>
      <c r="E89">
        <v>0</v>
      </c>
      <c r="F89">
        <v>0</v>
      </c>
      <c r="G89">
        <v>0</v>
      </c>
      <c r="H89">
        <v>0</v>
      </c>
      <c r="I89">
        <v>0</v>
      </c>
      <c r="J89">
        <v>1</v>
      </c>
      <c r="K89">
        <v>2</v>
      </c>
      <c r="L89">
        <v>1</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2</v>
      </c>
      <c r="AU89">
        <v>0</v>
      </c>
      <c r="AV89">
        <v>2</v>
      </c>
      <c r="AW89">
        <v>0</v>
      </c>
      <c r="AX89">
        <v>0</v>
      </c>
      <c r="AY89">
        <v>0</v>
      </c>
      <c r="AZ89">
        <v>0</v>
      </c>
      <c r="BA89">
        <v>0</v>
      </c>
      <c r="BB89">
        <v>0</v>
      </c>
      <c r="BC89">
        <v>0</v>
      </c>
      <c r="BD89">
        <v>0</v>
      </c>
      <c r="BE89">
        <v>0</v>
      </c>
      <c r="BF89">
        <v>246</v>
      </c>
    </row>
    <row r="90" spans="1:58">
      <c r="A90" t="s">
        <v>16969</v>
      </c>
      <c r="B90" t="s">
        <v>17021</v>
      </c>
      <c r="C90">
        <v>0</v>
      </c>
      <c r="D90">
        <v>2</v>
      </c>
      <c r="E90">
        <v>2</v>
      </c>
      <c r="F90">
        <v>2</v>
      </c>
      <c r="G90">
        <v>0</v>
      </c>
      <c r="H90">
        <v>0</v>
      </c>
      <c r="I90">
        <v>0</v>
      </c>
      <c r="J90">
        <v>2</v>
      </c>
      <c r="K90">
        <v>8</v>
      </c>
      <c r="L90">
        <v>2</v>
      </c>
      <c r="M90">
        <v>0</v>
      </c>
      <c r="N90">
        <v>0</v>
      </c>
      <c r="O90">
        <v>0</v>
      </c>
      <c r="P90">
        <v>0</v>
      </c>
      <c r="Q90">
        <v>0</v>
      </c>
      <c r="R90">
        <v>0</v>
      </c>
      <c r="S90">
        <v>3</v>
      </c>
      <c r="T90">
        <v>0</v>
      </c>
      <c r="U90">
        <v>0</v>
      </c>
      <c r="V90">
        <v>3</v>
      </c>
      <c r="W90">
        <v>30</v>
      </c>
      <c r="X90">
        <v>0</v>
      </c>
      <c r="Y90">
        <v>2</v>
      </c>
      <c r="Z90">
        <v>0</v>
      </c>
      <c r="AA90">
        <v>0</v>
      </c>
      <c r="AB90">
        <v>0</v>
      </c>
      <c r="AC90">
        <v>0</v>
      </c>
      <c r="AD90">
        <v>0</v>
      </c>
      <c r="AE90">
        <v>0</v>
      </c>
      <c r="AF90">
        <v>0</v>
      </c>
      <c r="AG90">
        <v>30</v>
      </c>
      <c r="AH90">
        <v>30</v>
      </c>
      <c r="AI90">
        <v>0</v>
      </c>
      <c r="AJ90">
        <v>0</v>
      </c>
      <c r="AK90">
        <v>0</v>
      </c>
      <c r="AL90">
        <v>0</v>
      </c>
      <c r="AM90">
        <v>0</v>
      </c>
      <c r="AN90">
        <v>0</v>
      </c>
      <c r="AO90">
        <v>0</v>
      </c>
      <c r="AP90">
        <v>0</v>
      </c>
      <c r="AQ90">
        <v>0</v>
      </c>
      <c r="AR90">
        <v>0</v>
      </c>
      <c r="AS90">
        <v>0</v>
      </c>
      <c r="AT90">
        <v>8</v>
      </c>
      <c r="AU90">
        <v>0</v>
      </c>
      <c r="AV90">
        <v>8</v>
      </c>
      <c r="AW90">
        <v>0</v>
      </c>
      <c r="AX90">
        <v>3</v>
      </c>
      <c r="AY90">
        <v>0</v>
      </c>
      <c r="AZ90">
        <v>3</v>
      </c>
      <c r="BA90">
        <v>0</v>
      </c>
      <c r="BB90">
        <v>0</v>
      </c>
      <c r="BC90">
        <v>0</v>
      </c>
      <c r="BD90">
        <v>0</v>
      </c>
      <c r="BE90">
        <v>0</v>
      </c>
      <c r="BF90">
        <v>0</v>
      </c>
    </row>
    <row r="91" spans="1:58">
      <c r="A91" t="s">
        <v>16969</v>
      </c>
      <c r="B91" t="s">
        <v>18809</v>
      </c>
      <c r="C91">
        <v>1</v>
      </c>
      <c r="D91">
        <v>16</v>
      </c>
      <c r="E91">
        <v>16</v>
      </c>
      <c r="F91">
        <v>16</v>
      </c>
      <c r="G91">
        <v>0</v>
      </c>
      <c r="H91">
        <v>0</v>
      </c>
      <c r="I91">
        <v>0</v>
      </c>
      <c r="J91">
        <v>16</v>
      </c>
      <c r="K91">
        <v>117</v>
      </c>
      <c r="L91">
        <v>9</v>
      </c>
      <c r="M91">
        <v>0</v>
      </c>
      <c r="N91">
        <v>4</v>
      </c>
      <c r="O91">
        <v>3</v>
      </c>
      <c r="P91">
        <v>0</v>
      </c>
      <c r="Q91">
        <v>0</v>
      </c>
      <c r="R91">
        <v>0</v>
      </c>
      <c r="S91">
        <v>2.25</v>
      </c>
      <c r="T91">
        <v>13</v>
      </c>
      <c r="U91">
        <v>0</v>
      </c>
      <c r="V91">
        <v>15.25</v>
      </c>
      <c r="W91">
        <v>282.5</v>
      </c>
      <c r="X91">
        <v>0</v>
      </c>
      <c r="Y91">
        <v>3</v>
      </c>
      <c r="Z91">
        <v>0</v>
      </c>
      <c r="AA91">
        <v>0</v>
      </c>
      <c r="AB91">
        <v>192.5</v>
      </c>
      <c r="AC91">
        <v>4.55</v>
      </c>
      <c r="AD91">
        <v>4.55</v>
      </c>
      <c r="AE91">
        <v>157.65</v>
      </c>
      <c r="AF91">
        <v>197.05</v>
      </c>
      <c r="AG91">
        <v>287.05</v>
      </c>
      <c r="AH91">
        <v>129.4</v>
      </c>
      <c r="AI91">
        <v>0</v>
      </c>
      <c r="AJ91">
        <v>0</v>
      </c>
      <c r="AK91">
        <v>0</v>
      </c>
      <c r="AL91">
        <v>0</v>
      </c>
      <c r="AM91">
        <v>0</v>
      </c>
      <c r="AN91">
        <v>0</v>
      </c>
      <c r="AO91">
        <v>1</v>
      </c>
      <c r="AP91">
        <v>1</v>
      </c>
      <c r="AQ91">
        <v>0</v>
      </c>
      <c r="AR91">
        <v>0</v>
      </c>
      <c r="AS91">
        <v>0</v>
      </c>
      <c r="AT91">
        <v>117</v>
      </c>
      <c r="AU91">
        <v>0</v>
      </c>
      <c r="AV91">
        <v>110</v>
      </c>
      <c r="AW91">
        <v>7</v>
      </c>
      <c r="AX91">
        <v>2.25</v>
      </c>
      <c r="AY91">
        <v>0</v>
      </c>
      <c r="AZ91">
        <v>2.25</v>
      </c>
      <c r="BA91">
        <v>0</v>
      </c>
      <c r="BB91">
        <v>13</v>
      </c>
      <c r="BC91">
        <v>0</v>
      </c>
      <c r="BD91">
        <v>13</v>
      </c>
      <c r="BE91">
        <v>0</v>
      </c>
      <c r="BF91">
        <v>2</v>
      </c>
    </row>
    <row r="92" spans="1:58">
      <c r="A92" t="s">
        <v>16969</v>
      </c>
      <c r="B92" t="s">
        <v>17024</v>
      </c>
      <c r="C92">
        <v>0</v>
      </c>
      <c r="D92">
        <v>9</v>
      </c>
      <c r="E92">
        <v>9</v>
      </c>
      <c r="F92">
        <v>8</v>
      </c>
      <c r="G92">
        <v>1</v>
      </c>
      <c r="H92">
        <v>1</v>
      </c>
      <c r="I92">
        <v>0</v>
      </c>
      <c r="J92">
        <v>9</v>
      </c>
      <c r="K92">
        <v>53</v>
      </c>
      <c r="L92">
        <v>6</v>
      </c>
      <c r="M92">
        <v>1</v>
      </c>
      <c r="N92">
        <v>0</v>
      </c>
      <c r="O92">
        <v>2</v>
      </c>
      <c r="P92">
        <v>0</v>
      </c>
      <c r="Q92">
        <v>0</v>
      </c>
      <c r="R92">
        <v>0</v>
      </c>
      <c r="S92">
        <v>9.25</v>
      </c>
      <c r="T92">
        <v>5</v>
      </c>
      <c r="U92">
        <v>0</v>
      </c>
      <c r="V92">
        <v>14.25</v>
      </c>
      <c r="W92">
        <v>192.5</v>
      </c>
      <c r="X92">
        <v>0</v>
      </c>
      <c r="Y92">
        <v>9</v>
      </c>
      <c r="Z92">
        <v>0</v>
      </c>
      <c r="AA92">
        <v>0</v>
      </c>
      <c r="AB92">
        <v>60</v>
      </c>
      <c r="AC92">
        <v>0</v>
      </c>
      <c r="AD92">
        <v>0</v>
      </c>
      <c r="AE92">
        <v>0</v>
      </c>
      <c r="AF92">
        <v>60</v>
      </c>
      <c r="AG92">
        <v>192.5</v>
      </c>
      <c r="AH92">
        <v>192.5</v>
      </c>
      <c r="AI92">
        <v>0</v>
      </c>
      <c r="AJ92">
        <v>0</v>
      </c>
      <c r="AK92">
        <v>10</v>
      </c>
      <c r="AL92">
        <v>10</v>
      </c>
      <c r="AM92">
        <v>0</v>
      </c>
      <c r="AN92">
        <v>0</v>
      </c>
      <c r="AO92">
        <v>0</v>
      </c>
      <c r="AP92">
        <v>0</v>
      </c>
      <c r="AQ92">
        <v>0</v>
      </c>
      <c r="AR92">
        <v>0</v>
      </c>
      <c r="AS92">
        <v>0</v>
      </c>
      <c r="AT92">
        <v>53</v>
      </c>
      <c r="AU92">
        <v>11</v>
      </c>
      <c r="AV92">
        <v>42</v>
      </c>
      <c r="AW92">
        <v>0</v>
      </c>
      <c r="AX92">
        <v>9.25</v>
      </c>
      <c r="AY92">
        <v>1</v>
      </c>
      <c r="AZ92">
        <v>8.25</v>
      </c>
      <c r="BA92">
        <v>0</v>
      </c>
      <c r="BB92">
        <v>5</v>
      </c>
      <c r="BC92">
        <v>0</v>
      </c>
      <c r="BD92">
        <v>5</v>
      </c>
      <c r="BE92">
        <v>0</v>
      </c>
      <c r="BF92">
        <v>9</v>
      </c>
    </row>
    <row r="93" spans="1:58">
      <c r="A93" t="s">
        <v>16969</v>
      </c>
      <c r="B93" t="s">
        <v>17328</v>
      </c>
      <c r="C93">
        <v>0</v>
      </c>
      <c r="D93">
        <v>16</v>
      </c>
      <c r="E93">
        <v>16</v>
      </c>
      <c r="F93">
        <v>14</v>
      </c>
      <c r="G93">
        <v>2</v>
      </c>
      <c r="H93">
        <v>3</v>
      </c>
      <c r="I93">
        <v>0</v>
      </c>
      <c r="J93">
        <v>15</v>
      </c>
      <c r="K93">
        <v>106</v>
      </c>
      <c r="L93">
        <v>10</v>
      </c>
      <c r="M93">
        <v>1</v>
      </c>
      <c r="N93">
        <v>3</v>
      </c>
      <c r="O93">
        <v>0</v>
      </c>
      <c r="P93">
        <v>1</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106</v>
      </c>
      <c r="AU93">
        <v>44</v>
      </c>
      <c r="AV93">
        <v>62</v>
      </c>
      <c r="AW93">
        <v>0</v>
      </c>
      <c r="AX93">
        <v>0</v>
      </c>
      <c r="AY93">
        <v>0</v>
      </c>
      <c r="AZ93">
        <v>0</v>
      </c>
      <c r="BA93">
        <v>0</v>
      </c>
      <c r="BB93">
        <v>0</v>
      </c>
      <c r="BC93">
        <v>0</v>
      </c>
      <c r="BD93">
        <v>0</v>
      </c>
      <c r="BE93">
        <v>0</v>
      </c>
      <c r="BF93">
        <v>0</v>
      </c>
    </row>
    <row r="94" spans="1:58">
      <c r="A94" t="s">
        <v>16969</v>
      </c>
      <c r="B94" t="s">
        <v>17327</v>
      </c>
      <c r="C94">
        <v>0</v>
      </c>
      <c r="D94">
        <v>2</v>
      </c>
      <c r="E94">
        <v>0</v>
      </c>
      <c r="F94">
        <v>0</v>
      </c>
      <c r="G94">
        <v>0</v>
      </c>
      <c r="H94">
        <v>2</v>
      </c>
      <c r="I94">
        <v>2</v>
      </c>
      <c r="J94">
        <v>2</v>
      </c>
      <c r="K94">
        <v>151</v>
      </c>
      <c r="L94">
        <v>0</v>
      </c>
      <c r="M94">
        <v>0</v>
      </c>
      <c r="N94">
        <v>2</v>
      </c>
      <c r="O94">
        <v>0</v>
      </c>
      <c r="P94">
        <v>0</v>
      </c>
      <c r="Q94">
        <v>0</v>
      </c>
      <c r="R94">
        <v>0</v>
      </c>
      <c r="S94">
        <v>0</v>
      </c>
      <c r="T94">
        <v>0</v>
      </c>
      <c r="U94">
        <v>0</v>
      </c>
      <c r="V94">
        <v>0</v>
      </c>
      <c r="W94">
        <v>0</v>
      </c>
      <c r="X94">
        <v>0</v>
      </c>
      <c r="Y94">
        <v>0</v>
      </c>
      <c r="Z94">
        <v>0</v>
      </c>
      <c r="AA94">
        <v>0</v>
      </c>
      <c r="AB94">
        <v>0</v>
      </c>
      <c r="AC94">
        <v>64.5</v>
      </c>
      <c r="AD94">
        <v>64.5</v>
      </c>
      <c r="AE94">
        <v>64.5</v>
      </c>
      <c r="AF94">
        <v>64.5</v>
      </c>
      <c r="AG94">
        <v>64.5</v>
      </c>
      <c r="AH94">
        <v>0</v>
      </c>
      <c r="AI94">
        <v>64.5</v>
      </c>
      <c r="AJ94">
        <v>64.5</v>
      </c>
      <c r="AK94">
        <v>64.5</v>
      </c>
      <c r="AL94">
        <v>0</v>
      </c>
      <c r="AM94">
        <v>0</v>
      </c>
      <c r="AN94">
        <v>2</v>
      </c>
      <c r="AO94">
        <v>0</v>
      </c>
      <c r="AP94">
        <v>0</v>
      </c>
      <c r="AQ94">
        <v>0</v>
      </c>
      <c r="AR94">
        <v>0</v>
      </c>
      <c r="AS94">
        <v>0</v>
      </c>
      <c r="AT94">
        <v>151</v>
      </c>
      <c r="AU94">
        <v>151</v>
      </c>
      <c r="AV94">
        <v>0</v>
      </c>
      <c r="AW94">
        <v>0</v>
      </c>
      <c r="AX94">
        <v>0</v>
      </c>
      <c r="AY94">
        <v>0</v>
      </c>
      <c r="AZ94">
        <v>0</v>
      </c>
      <c r="BA94">
        <v>0</v>
      </c>
      <c r="BB94">
        <v>0</v>
      </c>
      <c r="BC94">
        <v>0</v>
      </c>
      <c r="BD94">
        <v>0</v>
      </c>
      <c r="BE94">
        <v>0</v>
      </c>
      <c r="BF94">
        <v>2</v>
      </c>
    </row>
    <row r="95" spans="1:58">
      <c r="A95" t="s">
        <v>16969</v>
      </c>
      <c r="B95" t="s">
        <v>18811</v>
      </c>
      <c r="C95">
        <v>0</v>
      </c>
      <c r="D95">
        <v>3</v>
      </c>
      <c r="E95">
        <v>3</v>
      </c>
      <c r="F95">
        <v>3</v>
      </c>
      <c r="G95">
        <v>0</v>
      </c>
      <c r="H95">
        <v>0</v>
      </c>
      <c r="I95">
        <v>0</v>
      </c>
      <c r="J95">
        <v>3</v>
      </c>
      <c r="K95">
        <v>13</v>
      </c>
      <c r="L95">
        <v>2</v>
      </c>
      <c r="M95">
        <v>0</v>
      </c>
      <c r="N95">
        <v>1</v>
      </c>
      <c r="O95">
        <v>0</v>
      </c>
      <c r="P95">
        <v>0</v>
      </c>
      <c r="Q95">
        <v>0</v>
      </c>
      <c r="R95">
        <v>0</v>
      </c>
      <c r="S95">
        <v>1.5</v>
      </c>
      <c r="T95">
        <v>1</v>
      </c>
      <c r="U95">
        <v>0</v>
      </c>
      <c r="V95">
        <v>2.5</v>
      </c>
      <c r="W95">
        <v>35</v>
      </c>
      <c r="X95">
        <v>0</v>
      </c>
      <c r="Y95">
        <v>2</v>
      </c>
      <c r="Z95">
        <v>1</v>
      </c>
      <c r="AA95">
        <v>0</v>
      </c>
      <c r="AB95">
        <v>0</v>
      </c>
      <c r="AC95">
        <v>0</v>
      </c>
      <c r="AD95">
        <v>0</v>
      </c>
      <c r="AE95">
        <v>0</v>
      </c>
      <c r="AF95">
        <v>0</v>
      </c>
      <c r="AG95">
        <v>35</v>
      </c>
      <c r="AH95">
        <v>35</v>
      </c>
      <c r="AI95">
        <v>0</v>
      </c>
      <c r="AJ95">
        <v>0</v>
      </c>
      <c r="AK95">
        <v>0</v>
      </c>
      <c r="AL95">
        <v>0</v>
      </c>
      <c r="AM95">
        <v>0</v>
      </c>
      <c r="AN95">
        <v>0</v>
      </c>
      <c r="AO95">
        <v>0</v>
      </c>
      <c r="AP95">
        <v>0</v>
      </c>
      <c r="AQ95">
        <v>0</v>
      </c>
      <c r="AR95">
        <v>0</v>
      </c>
      <c r="AS95">
        <v>0</v>
      </c>
      <c r="AT95">
        <v>13</v>
      </c>
      <c r="AU95">
        <v>0</v>
      </c>
      <c r="AV95">
        <v>13</v>
      </c>
      <c r="AW95">
        <v>0</v>
      </c>
      <c r="AX95">
        <v>1.5</v>
      </c>
      <c r="AY95">
        <v>0</v>
      </c>
      <c r="AZ95">
        <v>1.5</v>
      </c>
      <c r="BA95">
        <v>0</v>
      </c>
      <c r="BB95">
        <v>1</v>
      </c>
      <c r="BC95">
        <v>0</v>
      </c>
      <c r="BD95">
        <v>1</v>
      </c>
      <c r="BE95">
        <v>0</v>
      </c>
      <c r="BF95">
        <v>0</v>
      </c>
    </row>
    <row r="96" spans="1:58">
      <c r="A96" t="s">
        <v>16969</v>
      </c>
      <c r="B96" t="s">
        <v>17030</v>
      </c>
      <c r="C96">
        <v>0</v>
      </c>
      <c r="D96">
        <v>24</v>
      </c>
      <c r="E96">
        <v>24</v>
      </c>
      <c r="F96">
        <v>21</v>
      </c>
      <c r="G96">
        <v>0</v>
      </c>
      <c r="H96">
        <v>3</v>
      </c>
      <c r="I96">
        <v>1</v>
      </c>
      <c r="J96">
        <v>24</v>
      </c>
      <c r="K96">
        <v>272</v>
      </c>
      <c r="L96">
        <v>12</v>
      </c>
      <c r="M96">
        <v>1</v>
      </c>
      <c r="N96">
        <v>4</v>
      </c>
      <c r="O96">
        <v>7</v>
      </c>
      <c r="P96">
        <v>0</v>
      </c>
      <c r="Q96">
        <v>0</v>
      </c>
      <c r="R96">
        <v>0</v>
      </c>
      <c r="S96">
        <v>0.75</v>
      </c>
      <c r="T96">
        <v>0</v>
      </c>
      <c r="U96">
        <v>0</v>
      </c>
      <c r="V96">
        <v>0.75</v>
      </c>
      <c r="W96">
        <v>7.5</v>
      </c>
      <c r="X96">
        <v>0</v>
      </c>
      <c r="Y96">
        <v>3</v>
      </c>
      <c r="Z96">
        <v>0</v>
      </c>
      <c r="AA96">
        <v>0</v>
      </c>
      <c r="AB96">
        <v>0</v>
      </c>
      <c r="AC96">
        <v>0</v>
      </c>
      <c r="AD96">
        <v>0</v>
      </c>
      <c r="AE96">
        <v>0</v>
      </c>
      <c r="AF96">
        <v>0</v>
      </c>
      <c r="AG96">
        <v>7.5</v>
      </c>
      <c r="AH96">
        <v>7.5</v>
      </c>
      <c r="AI96">
        <v>0</v>
      </c>
      <c r="AJ96">
        <v>0</v>
      </c>
      <c r="AK96">
        <v>0</v>
      </c>
      <c r="AL96">
        <v>0</v>
      </c>
      <c r="AM96">
        <v>0</v>
      </c>
      <c r="AN96">
        <v>0</v>
      </c>
      <c r="AO96">
        <v>0</v>
      </c>
      <c r="AP96">
        <v>0</v>
      </c>
      <c r="AQ96">
        <v>0</v>
      </c>
      <c r="AR96">
        <v>0</v>
      </c>
      <c r="AS96">
        <v>0</v>
      </c>
      <c r="AT96">
        <v>272</v>
      </c>
      <c r="AU96">
        <v>163</v>
      </c>
      <c r="AV96">
        <v>109</v>
      </c>
      <c r="AW96">
        <v>0</v>
      </c>
      <c r="AX96">
        <v>0.75</v>
      </c>
      <c r="AY96">
        <v>0</v>
      </c>
      <c r="AZ96">
        <v>0.75</v>
      </c>
      <c r="BA96">
        <v>0</v>
      </c>
      <c r="BB96">
        <v>0</v>
      </c>
      <c r="BC96">
        <v>0</v>
      </c>
      <c r="BD96">
        <v>0</v>
      </c>
      <c r="BE96">
        <v>0</v>
      </c>
      <c r="BF96">
        <v>23</v>
      </c>
    </row>
    <row r="97" spans="1:58">
      <c r="A97" t="s">
        <v>16969</v>
      </c>
      <c r="B97" t="s">
        <v>19340</v>
      </c>
      <c r="C97">
        <v>0</v>
      </c>
      <c r="D97">
        <v>45</v>
      </c>
      <c r="E97">
        <v>45</v>
      </c>
      <c r="F97">
        <v>43</v>
      </c>
      <c r="G97">
        <v>0</v>
      </c>
      <c r="H97">
        <v>0</v>
      </c>
      <c r="I97">
        <v>0</v>
      </c>
      <c r="J97">
        <v>45</v>
      </c>
      <c r="K97">
        <v>237</v>
      </c>
      <c r="L97">
        <v>43</v>
      </c>
      <c r="M97">
        <v>0</v>
      </c>
      <c r="N97">
        <v>2</v>
      </c>
      <c r="O97">
        <v>0</v>
      </c>
      <c r="P97">
        <v>0</v>
      </c>
      <c r="Q97">
        <v>0</v>
      </c>
      <c r="R97">
        <v>0</v>
      </c>
      <c r="S97">
        <v>26.5</v>
      </c>
      <c r="T97">
        <v>22.5</v>
      </c>
      <c r="U97">
        <v>0</v>
      </c>
      <c r="V97">
        <v>49</v>
      </c>
      <c r="W97">
        <v>715</v>
      </c>
      <c r="X97">
        <v>0</v>
      </c>
      <c r="Y97">
        <v>45</v>
      </c>
      <c r="Z97">
        <v>0</v>
      </c>
      <c r="AA97">
        <v>0</v>
      </c>
      <c r="AB97">
        <v>0</v>
      </c>
      <c r="AC97">
        <v>0</v>
      </c>
      <c r="AD97">
        <v>0</v>
      </c>
      <c r="AE97">
        <v>0</v>
      </c>
      <c r="AF97">
        <v>0</v>
      </c>
      <c r="AG97">
        <v>715</v>
      </c>
      <c r="AH97">
        <v>715</v>
      </c>
      <c r="AI97">
        <v>0</v>
      </c>
      <c r="AJ97">
        <v>0</v>
      </c>
      <c r="AK97">
        <v>0</v>
      </c>
      <c r="AL97">
        <v>0</v>
      </c>
      <c r="AM97">
        <v>0</v>
      </c>
      <c r="AN97">
        <v>0</v>
      </c>
      <c r="AO97">
        <v>0</v>
      </c>
      <c r="AP97">
        <v>0</v>
      </c>
      <c r="AQ97">
        <v>0</v>
      </c>
      <c r="AR97">
        <v>0</v>
      </c>
      <c r="AS97">
        <v>0</v>
      </c>
      <c r="AT97">
        <v>237</v>
      </c>
      <c r="AU97">
        <v>0</v>
      </c>
      <c r="AV97">
        <v>237</v>
      </c>
      <c r="AW97">
        <v>0</v>
      </c>
      <c r="AX97">
        <v>26.5</v>
      </c>
      <c r="AY97">
        <v>0</v>
      </c>
      <c r="AZ97">
        <v>26.5</v>
      </c>
      <c r="BA97">
        <v>0</v>
      </c>
      <c r="BB97">
        <v>22.5</v>
      </c>
      <c r="BC97">
        <v>0</v>
      </c>
      <c r="BD97">
        <v>22.5</v>
      </c>
      <c r="BE97">
        <v>0</v>
      </c>
      <c r="BF97">
        <v>45</v>
      </c>
    </row>
    <row r="98" spans="1:58">
      <c r="A98" t="s">
        <v>16969</v>
      </c>
      <c r="B98" t="s">
        <v>19975</v>
      </c>
      <c r="C98">
        <v>0</v>
      </c>
      <c r="D98">
        <v>4</v>
      </c>
      <c r="E98">
        <v>4</v>
      </c>
      <c r="F98">
        <v>4</v>
      </c>
      <c r="G98">
        <v>2</v>
      </c>
      <c r="H98">
        <v>0</v>
      </c>
      <c r="I98">
        <v>3</v>
      </c>
      <c r="J98">
        <v>4</v>
      </c>
      <c r="K98">
        <v>104</v>
      </c>
      <c r="L98">
        <v>0</v>
      </c>
      <c r="M98">
        <v>0</v>
      </c>
      <c r="N98">
        <v>1</v>
      </c>
      <c r="O98">
        <v>0</v>
      </c>
      <c r="P98">
        <v>0</v>
      </c>
      <c r="Q98">
        <v>3</v>
      </c>
      <c r="R98">
        <v>0</v>
      </c>
      <c r="S98">
        <v>1</v>
      </c>
      <c r="T98">
        <v>3</v>
      </c>
      <c r="U98">
        <v>0</v>
      </c>
      <c r="V98">
        <v>4</v>
      </c>
      <c r="W98">
        <v>70</v>
      </c>
      <c r="X98">
        <v>0</v>
      </c>
      <c r="Y98">
        <v>1</v>
      </c>
      <c r="Z98">
        <v>0</v>
      </c>
      <c r="AA98">
        <v>0</v>
      </c>
      <c r="AB98">
        <v>40</v>
      </c>
      <c r="AC98">
        <v>0</v>
      </c>
      <c r="AD98">
        <v>0</v>
      </c>
      <c r="AE98">
        <v>0</v>
      </c>
      <c r="AF98">
        <v>40</v>
      </c>
      <c r="AG98">
        <v>70</v>
      </c>
      <c r="AH98">
        <v>70</v>
      </c>
      <c r="AI98">
        <v>0</v>
      </c>
      <c r="AJ98">
        <v>0</v>
      </c>
      <c r="AK98">
        <v>0</v>
      </c>
      <c r="AL98">
        <v>0</v>
      </c>
      <c r="AM98">
        <v>0</v>
      </c>
      <c r="AN98">
        <v>0</v>
      </c>
      <c r="AO98">
        <v>0</v>
      </c>
      <c r="AP98">
        <v>0</v>
      </c>
      <c r="AQ98">
        <v>0</v>
      </c>
      <c r="AR98">
        <v>0</v>
      </c>
      <c r="AS98">
        <v>0</v>
      </c>
      <c r="AT98">
        <v>104</v>
      </c>
      <c r="AU98">
        <v>0</v>
      </c>
      <c r="AV98">
        <v>104</v>
      </c>
      <c r="AW98">
        <v>0</v>
      </c>
      <c r="AX98">
        <v>1</v>
      </c>
      <c r="AY98">
        <v>0</v>
      </c>
      <c r="AZ98">
        <v>1</v>
      </c>
      <c r="BA98">
        <v>0</v>
      </c>
      <c r="BB98">
        <v>3</v>
      </c>
      <c r="BC98">
        <v>0</v>
      </c>
      <c r="BD98">
        <v>3</v>
      </c>
      <c r="BE98">
        <v>0</v>
      </c>
      <c r="BF98">
        <v>0</v>
      </c>
    </row>
    <row r="99" spans="1:58">
      <c r="A99" t="s">
        <v>16898</v>
      </c>
      <c r="B99" t="s">
        <v>16899</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250</v>
      </c>
    </row>
    <row r="100" spans="1:58">
      <c r="A100" t="s">
        <v>16898</v>
      </c>
      <c r="B100" t="s">
        <v>17031</v>
      </c>
      <c r="C100">
        <v>0</v>
      </c>
      <c r="D100">
        <v>4</v>
      </c>
      <c r="E100">
        <v>0</v>
      </c>
      <c r="F100">
        <v>4</v>
      </c>
      <c r="G100">
        <v>1</v>
      </c>
      <c r="H100">
        <v>0</v>
      </c>
      <c r="I100">
        <v>0</v>
      </c>
      <c r="J100">
        <v>4</v>
      </c>
      <c r="K100">
        <v>55</v>
      </c>
      <c r="L100">
        <v>4</v>
      </c>
      <c r="M100">
        <v>0</v>
      </c>
      <c r="N100">
        <v>0</v>
      </c>
      <c r="O100">
        <v>0</v>
      </c>
      <c r="P100">
        <v>0</v>
      </c>
      <c r="Q100">
        <v>0</v>
      </c>
      <c r="R100">
        <v>0</v>
      </c>
      <c r="S100">
        <v>5</v>
      </c>
      <c r="T100">
        <v>5.5</v>
      </c>
      <c r="U100">
        <v>0</v>
      </c>
      <c r="V100">
        <v>10.5</v>
      </c>
      <c r="W100">
        <v>160</v>
      </c>
      <c r="X100">
        <v>0</v>
      </c>
      <c r="Y100">
        <v>4</v>
      </c>
      <c r="Z100">
        <v>0</v>
      </c>
      <c r="AA100">
        <v>0</v>
      </c>
      <c r="AB100">
        <v>80</v>
      </c>
      <c r="AC100">
        <v>11.6</v>
      </c>
      <c r="AD100">
        <v>11.6</v>
      </c>
      <c r="AE100">
        <v>91.6</v>
      </c>
      <c r="AF100">
        <v>91.6</v>
      </c>
      <c r="AG100">
        <v>171.6</v>
      </c>
      <c r="AH100">
        <v>80</v>
      </c>
      <c r="AI100">
        <v>0</v>
      </c>
      <c r="AJ100">
        <v>0</v>
      </c>
      <c r="AK100">
        <v>0</v>
      </c>
      <c r="AL100">
        <v>0</v>
      </c>
      <c r="AM100">
        <v>0</v>
      </c>
      <c r="AN100">
        <v>0</v>
      </c>
      <c r="AO100">
        <v>1</v>
      </c>
      <c r="AP100">
        <v>0</v>
      </c>
      <c r="AQ100">
        <v>0</v>
      </c>
      <c r="AR100">
        <v>0</v>
      </c>
      <c r="AS100">
        <v>0</v>
      </c>
      <c r="AT100">
        <v>55</v>
      </c>
      <c r="AU100">
        <v>0</v>
      </c>
      <c r="AV100">
        <v>55</v>
      </c>
      <c r="AW100">
        <v>0</v>
      </c>
      <c r="AX100">
        <v>5</v>
      </c>
      <c r="AY100">
        <v>0</v>
      </c>
      <c r="AZ100">
        <v>5</v>
      </c>
      <c r="BA100">
        <v>0</v>
      </c>
      <c r="BB100">
        <v>5.5</v>
      </c>
      <c r="BC100">
        <v>0</v>
      </c>
      <c r="BD100">
        <v>5.5</v>
      </c>
      <c r="BE100">
        <v>0</v>
      </c>
      <c r="BF100">
        <v>150</v>
      </c>
    </row>
    <row r="101" spans="1:58">
      <c r="A101" t="s">
        <v>16898</v>
      </c>
      <c r="B101" t="s">
        <v>17007</v>
      </c>
      <c r="C101">
        <v>0</v>
      </c>
      <c r="D101">
        <v>4</v>
      </c>
      <c r="E101">
        <v>4</v>
      </c>
      <c r="F101">
        <v>4</v>
      </c>
      <c r="G101">
        <v>0</v>
      </c>
      <c r="H101">
        <v>0</v>
      </c>
      <c r="I101">
        <v>0</v>
      </c>
      <c r="J101">
        <v>4</v>
      </c>
      <c r="K101">
        <v>10</v>
      </c>
      <c r="L101">
        <v>3</v>
      </c>
      <c r="M101">
        <v>0</v>
      </c>
      <c r="N101">
        <v>0</v>
      </c>
      <c r="O101">
        <v>1</v>
      </c>
      <c r="P101">
        <v>0</v>
      </c>
      <c r="Q101">
        <v>0</v>
      </c>
      <c r="R101">
        <v>0</v>
      </c>
      <c r="S101">
        <v>4</v>
      </c>
      <c r="T101">
        <v>4</v>
      </c>
      <c r="U101">
        <v>0</v>
      </c>
      <c r="V101">
        <v>8</v>
      </c>
      <c r="W101">
        <v>120</v>
      </c>
      <c r="X101">
        <v>0</v>
      </c>
      <c r="Y101">
        <v>4</v>
      </c>
      <c r="Z101">
        <v>0</v>
      </c>
      <c r="AA101">
        <v>0</v>
      </c>
      <c r="AB101">
        <v>0</v>
      </c>
      <c r="AC101">
        <v>0</v>
      </c>
      <c r="AD101">
        <v>0</v>
      </c>
      <c r="AE101">
        <v>0</v>
      </c>
      <c r="AF101">
        <v>0</v>
      </c>
      <c r="AG101">
        <v>120</v>
      </c>
      <c r="AH101">
        <v>120</v>
      </c>
      <c r="AI101">
        <v>0</v>
      </c>
      <c r="AJ101">
        <v>0</v>
      </c>
      <c r="AK101">
        <v>0</v>
      </c>
      <c r="AL101">
        <v>0</v>
      </c>
      <c r="AM101">
        <v>0</v>
      </c>
      <c r="AN101">
        <v>0</v>
      </c>
      <c r="AO101">
        <v>0</v>
      </c>
      <c r="AP101">
        <v>0</v>
      </c>
      <c r="AQ101">
        <v>0</v>
      </c>
      <c r="AR101">
        <v>0</v>
      </c>
      <c r="AS101">
        <v>0</v>
      </c>
      <c r="AT101">
        <v>10</v>
      </c>
      <c r="AU101">
        <v>0</v>
      </c>
      <c r="AV101">
        <v>10</v>
      </c>
      <c r="AW101">
        <v>0</v>
      </c>
      <c r="AX101">
        <v>4</v>
      </c>
      <c r="AY101">
        <v>0</v>
      </c>
      <c r="AZ101">
        <v>4</v>
      </c>
      <c r="BA101">
        <v>0</v>
      </c>
      <c r="BB101">
        <v>4</v>
      </c>
      <c r="BC101">
        <v>0</v>
      </c>
      <c r="BD101">
        <v>4</v>
      </c>
      <c r="BE101">
        <v>0</v>
      </c>
      <c r="BF101">
        <v>4</v>
      </c>
    </row>
    <row r="102" spans="1:58">
      <c r="A102" t="s">
        <v>16898</v>
      </c>
      <c r="B102" t="s">
        <v>17032</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s="21">
        <v>9000</v>
      </c>
    </row>
    <row r="103" spans="1:58">
      <c r="A103" t="s">
        <v>16898</v>
      </c>
      <c r="B103" t="s">
        <v>17009</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s="21">
        <v>60500</v>
      </c>
    </row>
    <row r="104" spans="1:58">
      <c r="A104" t="s">
        <v>16898</v>
      </c>
      <c r="B104" t="s">
        <v>17009</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s="21">
        <v>1368</v>
      </c>
    </row>
    <row r="105" spans="1:58">
      <c r="A105" t="s">
        <v>16898</v>
      </c>
      <c r="B105" t="s">
        <v>18812</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18</v>
      </c>
    </row>
    <row r="106" spans="1:58">
      <c r="A106" t="s">
        <v>16898</v>
      </c>
      <c r="B106" t="s">
        <v>18813</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60</v>
      </c>
    </row>
    <row r="107" spans="1:58">
      <c r="A107" t="s">
        <v>16898</v>
      </c>
      <c r="B107" t="s">
        <v>17205</v>
      </c>
      <c r="C107">
        <v>0</v>
      </c>
      <c r="D107">
        <v>25</v>
      </c>
      <c r="E107">
        <v>11</v>
      </c>
      <c r="F107">
        <v>19</v>
      </c>
      <c r="G107">
        <v>1</v>
      </c>
      <c r="H107">
        <v>6</v>
      </c>
      <c r="I107">
        <v>0</v>
      </c>
      <c r="J107">
        <v>25</v>
      </c>
      <c r="K107">
        <v>244</v>
      </c>
      <c r="L107">
        <v>8</v>
      </c>
      <c r="M107">
        <v>1</v>
      </c>
      <c r="N107">
        <v>8</v>
      </c>
      <c r="O107">
        <v>4</v>
      </c>
      <c r="P107">
        <v>3</v>
      </c>
      <c r="Q107">
        <v>0</v>
      </c>
      <c r="R107">
        <v>0</v>
      </c>
      <c r="S107">
        <v>17</v>
      </c>
      <c r="T107">
        <v>16.5</v>
      </c>
      <c r="U107">
        <v>0</v>
      </c>
      <c r="V107">
        <v>32.75</v>
      </c>
      <c r="W107">
        <v>500</v>
      </c>
      <c r="X107">
        <v>0</v>
      </c>
      <c r="Y107">
        <v>11</v>
      </c>
      <c r="Z107">
        <v>0</v>
      </c>
      <c r="AA107">
        <v>0</v>
      </c>
      <c r="AB107">
        <v>252.5</v>
      </c>
      <c r="AC107">
        <v>19.28</v>
      </c>
      <c r="AD107">
        <v>15.13</v>
      </c>
      <c r="AE107">
        <v>11.73</v>
      </c>
      <c r="AF107">
        <v>267.63</v>
      </c>
      <c r="AG107">
        <v>519.28</v>
      </c>
      <c r="AH107">
        <v>507.55</v>
      </c>
      <c r="AI107">
        <v>3.33</v>
      </c>
      <c r="AJ107">
        <v>103.33</v>
      </c>
      <c r="AK107">
        <v>191.78</v>
      </c>
      <c r="AL107">
        <v>188.45</v>
      </c>
      <c r="AM107">
        <v>2</v>
      </c>
      <c r="AN107">
        <v>1</v>
      </c>
      <c r="AO107">
        <v>0</v>
      </c>
      <c r="AP107">
        <v>0</v>
      </c>
      <c r="AQ107">
        <v>0</v>
      </c>
      <c r="AR107">
        <v>0</v>
      </c>
      <c r="AS107">
        <v>0</v>
      </c>
      <c r="AT107">
        <v>244</v>
      </c>
      <c r="AU107">
        <v>89</v>
      </c>
      <c r="AV107">
        <v>155</v>
      </c>
      <c r="AW107">
        <v>0</v>
      </c>
      <c r="AX107">
        <v>17</v>
      </c>
      <c r="AY107">
        <v>7</v>
      </c>
      <c r="AZ107">
        <v>10</v>
      </c>
      <c r="BA107">
        <v>0</v>
      </c>
      <c r="BB107">
        <v>16.5</v>
      </c>
      <c r="BC107">
        <v>5.75</v>
      </c>
      <c r="BD107">
        <v>10.75</v>
      </c>
      <c r="BE107">
        <v>0</v>
      </c>
      <c r="BF107" s="21">
        <v>6000</v>
      </c>
    </row>
    <row r="108" spans="1:58">
      <c r="A108" t="s">
        <v>16898</v>
      </c>
      <c r="B108" t="s">
        <v>19976</v>
      </c>
      <c r="C108">
        <v>0</v>
      </c>
      <c r="D108">
        <v>2</v>
      </c>
      <c r="E108">
        <v>2</v>
      </c>
      <c r="F108">
        <v>1</v>
      </c>
      <c r="G108">
        <v>0</v>
      </c>
      <c r="H108">
        <v>1</v>
      </c>
      <c r="I108">
        <v>0</v>
      </c>
      <c r="J108">
        <v>2</v>
      </c>
      <c r="K108">
        <v>23</v>
      </c>
      <c r="L108">
        <v>2</v>
      </c>
      <c r="M108">
        <v>0</v>
      </c>
      <c r="N108">
        <v>0</v>
      </c>
      <c r="O108">
        <v>0</v>
      </c>
      <c r="P108">
        <v>0</v>
      </c>
      <c r="Q108">
        <v>0</v>
      </c>
      <c r="R108">
        <v>0</v>
      </c>
      <c r="S108">
        <v>2</v>
      </c>
      <c r="T108">
        <v>0.5</v>
      </c>
      <c r="U108">
        <v>0</v>
      </c>
      <c r="V108">
        <v>2.5</v>
      </c>
      <c r="W108">
        <v>30</v>
      </c>
      <c r="X108">
        <v>0</v>
      </c>
      <c r="Y108">
        <v>2</v>
      </c>
      <c r="Z108">
        <v>0</v>
      </c>
      <c r="AA108">
        <v>0</v>
      </c>
      <c r="AB108">
        <v>0</v>
      </c>
      <c r="AC108">
        <v>0</v>
      </c>
      <c r="AD108">
        <v>0</v>
      </c>
      <c r="AE108">
        <v>0</v>
      </c>
      <c r="AF108">
        <v>0</v>
      </c>
      <c r="AG108">
        <v>30</v>
      </c>
      <c r="AH108">
        <v>30</v>
      </c>
      <c r="AI108">
        <v>0</v>
      </c>
      <c r="AJ108">
        <v>0</v>
      </c>
      <c r="AK108">
        <v>22.5</v>
      </c>
      <c r="AL108">
        <v>22.5</v>
      </c>
      <c r="AM108">
        <v>0</v>
      </c>
      <c r="AN108">
        <v>0</v>
      </c>
      <c r="AO108">
        <v>0</v>
      </c>
      <c r="AP108">
        <v>0</v>
      </c>
      <c r="AQ108">
        <v>0</v>
      </c>
      <c r="AR108">
        <v>0</v>
      </c>
      <c r="AS108">
        <v>0</v>
      </c>
      <c r="AT108">
        <v>23</v>
      </c>
      <c r="AU108">
        <v>12</v>
      </c>
      <c r="AV108">
        <v>11</v>
      </c>
      <c r="AW108">
        <v>0</v>
      </c>
      <c r="AX108">
        <v>2</v>
      </c>
      <c r="AY108">
        <v>1.75</v>
      </c>
      <c r="AZ108">
        <v>0.25</v>
      </c>
      <c r="BA108">
        <v>0</v>
      </c>
      <c r="BB108">
        <v>0.5</v>
      </c>
      <c r="BC108">
        <v>0.25</v>
      </c>
      <c r="BD108">
        <v>0.25</v>
      </c>
      <c r="BE108">
        <v>0</v>
      </c>
      <c r="BF108">
        <v>240</v>
      </c>
    </row>
    <row r="109" spans="1:58">
      <c r="A109" t="s">
        <v>16898</v>
      </c>
      <c r="B109" t="s">
        <v>17010</v>
      </c>
      <c r="C109">
        <v>0</v>
      </c>
      <c r="D109">
        <v>30</v>
      </c>
      <c r="E109">
        <v>30</v>
      </c>
      <c r="F109">
        <v>29</v>
      </c>
      <c r="G109">
        <v>1</v>
      </c>
      <c r="H109">
        <v>0</v>
      </c>
      <c r="I109">
        <v>0</v>
      </c>
      <c r="J109">
        <v>29</v>
      </c>
      <c r="K109">
        <v>197</v>
      </c>
      <c r="L109">
        <v>7</v>
      </c>
      <c r="M109">
        <v>3</v>
      </c>
      <c r="N109">
        <v>19</v>
      </c>
      <c r="O109">
        <v>0</v>
      </c>
      <c r="P109">
        <v>0</v>
      </c>
      <c r="Q109">
        <v>2</v>
      </c>
      <c r="R109">
        <v>0</v>
      </c>
      <c r="S109">
        <v>20.5</v>
      </c>
      <c r="T109">
        <v>15.25</v>
      </c>
      <c r="U109">
        <v>0</v>
      </c>
      <c r="V109">
        <v>35.75</v>
      </c>
      <c r="W109">
        <v>510</v>
      </c>
      <c r="X109">
        <v>0</v>
      </c>
      <c r="Y109">
        <v>20</v>
      </c>
      <c r="Z109">
        <v>2</v>
      </c>
      <c r="AA109">
        <v>0</v>
      </c>
      <c r="AB109">
        <v>180</v>
      </c>
      <c r="AC109">
        <v>66.260000000000005</v>
      </c>
      <c r="AD109">
        <v>66.260000000000005</v>
      </c>
      <c r="AE109">
        <v>64.61</v>
      </c>
      <c r="AF109">
        <v>246.26</v>
      </c>
      <c r="AG109">
        <v>576.26</v>
      </c>
      <c r="AH109">
        <v>511.65</v>
      </c>
      <c r="AI109">
        <v>0</v>
      </c>
      <c r="AJ109">
        <v>0</v>
      </c>
      <c r="AK109">
        <v>0</v>
      </c>
      <c r="AL109">
        <v>0</v>
      </c>
      <c r="AM109">
        <v>6</v>
      </c>
      <c r="AN109">
        <v>4</v>
      </c>
      <c r="AO109">
        <v>0</v>
      </c>
      <c r="AP109">
        <v>0</v>
      </c>
      <c r="AQ109">
        <v>0</v>
      </c>
      <c r="AR109">
        <v>0</v>
      </c>
      <c r="AS109">
        <v>0</v>
      </c>
      <c r="AT109">
        <v>197</v>
      </c>
      <c r="AU109">
        <v>0</v>
      </c>
      <c r="AV109">
        <v>197</v>
      </c>
      <c r="AW109">
        <v>0</v>
      </c>
      <c r="AX109">
        <v>20.5</v>
      </c>
      <c r="AY109">
        <v>0</v>
      </c>
      <c r="AZ109">
        <v>20.5</v>
      </c>
      <c r="BA109">
        <v>0</v>
      </c>
      <c r="BB109">
        <v>15.25</v>
      </c>
      <c r="BC109">
        <v>0</v>
      </c>
      <c r="BD109">
        <v>15.25</v>
      </c>
      <c r="BE109">
        <v>0</v>
      </c>
      <c r="BF109">
        <v>0</v>
      </c>
    </row>
    <row r="110" spans="1:58">
      <c r="A110" t="s">
        <v>16898</v>
      </c>
      <c r="B110" t="s">
        <v>19977</v>
      </c>
      <c r="C110">
        <v>0</v>
      </c>
      <c r="D110">
        <v>1</v>
      </c>
      <c r="E110">
        <v>1</v>
      </c>
      <c r="F110">
        <v>0</v>
      </c>
      <c r="G110">
        <v>0</v>
      </c>
      <c r="H110">
        <v>0</v>
      </c>
      <c r="I110">
        <v>0</v>
      </c>
      <c r="J110">
        <v>1</v>
      </c>
      <c r="K110">
        <v>20</v>
      </c>
      <c r="L110">
        <v>0</v>
      </c>
      <c r="M110">
        <v>0</v>
      </c>
      <c r="N110">
        <v>0</v>
      </c>
      <c r="O110">
        <v>1</v>
      </c>
      <c r="P110">
        <v>0</v>
      </c>
      <c r="Q110">
        <v>0</v>
      </c>
      <c r="R110">
        <v>0</v>
      </c>
      <c r="S110">
        <v>1</v>
      </c>
      <c r="T110">
        <v>0</v>
      </c>
      <c r="U110">
        <v>0</v>
      </c>
      <c r="V110">
        <v>1</v>
      </c>
      <c r="W110">
        <v>10</v>
      </c>
      <c r="X110">
        <v>0</v>
      </c>
      <c r="Y110">
        <v>1</v>
      </c>
      <c r="Z110">
        <v>0</v>
      </c>
      <c r="AA110">
        <v>0</v>
      </c>
      <c r="AB110">
        <v>0</v>
      </c>
      <c r="AC110">
        <v>0</v>
      </c>
      <c r="AD110">
        <v>0</v>
      </c>
      <c r="AE110">
        <v>0</v>
      </c>
      <c r="AF110">
        <v>0</v>
      </c>
      <c r="AG110">
        <v>10</v>
      </c>
      <c r="AH110">
        <v>10</v>
      </c>
      <c r="AI110">
        <v>0</v>
      </c>
      <c r="AJ110">
        <v>0</v>
      </c>
      <c r="AK110">
        <v>0</v>
      </c>
      <c r="AL110">
        <v>0</v>
      </c>
      <c r="AM110">
        <v>0</v>
      </c>
      <c r="AN110">
        <v>0</v>
      </c>
      <c r="AO110">
        <v>0</v>
      </c>
      <c r="AP110">
        <v>0</v>
      </c>
      <c r="AQ110">
        <v>0</v>
      </c>
      <c r="AR110">
        <v>0</v>
      </c>
      <c r="AS110">
        <v>0</v>
      </c>
      <c r="AT110">
        <v>20</v>
      </c>
      <c r="AU110">
        <v>0</v>
      </c>
      <c r="AV110">
        <v>20</v>
      </c>
      <c r="AW110">
        <v>0</v>
      </c>
      <c r="AX110">
        <v>1</v>
      </c>
      <c r="AY110">
        <v>0</v>
      </c>
      <c r="AZ110">
        <v>1</v>
      </c>
      <c r="BA110">
        <v>0</v>
      </c>
      <c r="BB110">
        <v>0</v>
      </c>
      <c r="BC110">
        <v>0</v>
      </c>
      <c r="BD110">
        <v>0</v>
      </c>
      <c r="BE110">
        <v>0</v>
      </c>
      <c r="BF110">
        <v>1</v>
      </c>
    </row>
    <row r="111" spans="1:58">
      <c r="A111" t="s">
        <v>16898</v>
      </c>
      <c r="B111" t="s">
        <v>17011</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s="21">
        <v>9720</v>
      </c>
    </row>
    <row r="112" spans="1:58">
      <c r="A112" t="s">
        <v>16898</v>
      </c>
      <c r="B112" t="s">
        <v>17033</v>
      </c>
      <c r="C112">
        <v>0</v>
      </c>
      <c r="D112">
        <v>2</v>
      </c>
      <c r="E112">
        <v>2</v>
      </c>
      <c r="F112">
        <v>1</v>
      </c>
      <c r="G112">
        <v>1</v>
      </c>
      <c r="H112">
        <v>0</v>
      </c>
      <c r="I112">
        <v>0</v>
      </c>
      <c r="J112">
        <v>2</v>
      </c>
      <c r="K112">
        <v>33</v>
      </c>
      <c r="L112">
        <v>2</v>
      </c>
      <c r="M112">
        <v>0</v>
      </c>
      <c r="N112">
        <v>0</v>
      </c>
      <c r="O112">
        <v>0</v>
      </c>
      <c r="P112">
        <v>0</v>
      </c>
      <c r="Q112">
        <v>0</v>
      </c>
      <c r="R112">
        <v>0</v>
      </c>
      <c r="S112">
        <v>2</v>
      </c>
      <c r="T112">
        <v>1.5</v>
      </c>
      <c r="U112">
        <v>2</v>
      </c>
      <c r="V112">
        <v>5.5</v>
      </c>
      <c r="W112">
        <v>50</v>
      </c>
      <c r="X112">
        <v>0</v>
      </c>
      <c r="Y112">
        <v>2</v>
      </c>
      <c r="Z112">
        <v>0</v>
      </c>
      <c r="AA112">
        <v>0</v>
      </c>
      <c r="AB112">
        <v>0</v>
      </c>
      <c r="AC112">
        <v>0</v>
      </c>
      <c r="AD112">
        <v>0</v>
      </c>
      <c r="AE112">
        <v>0</v>
      </c>
      <c r="AF112">
        <v>0</v>
      </c>
      <c r="AG112">
        <v>90</v>
      </c>
      <c r="AH112">
        <v>90</v>
      </c>
      <c r="AI112">
        <v>0</v>
      </c>
      <c r="AJ112">
        <v>0</v>
      </c>
      <c r="AK112">
        <v>0</v>
      </c>
      <c r="AL112">
        <v>0</v>
      </c>
      <c r="AM112">
        <v>0</v>
      </c>
      <c r="AN112">
        <v>0</v>
      </c>
      <c r="AO112">
        <v>0</v>
      </c>
      <c r="AP112">
        <v>0</v>
      </c>
      <c r="AQ112">
        <v>0</v>
      </c>
      <c r="AR112">
        <v>0</v>
      </c>
      <c r="AS112">
        <v>0</v>
      </c>
      <c r="AT112">
        <v>33</v>
      </c>
      <c r="AU112">
        <v>0</v>
      </c>
      <c r="AV112">
        <v>33</v>
      </c>
      <c r="AW112">
        <v>0</v>
      </c>
      <c r="AX112">
        <v>2</v>
      </c>
      <c r="AY112">
        <v>0</v>
      </c>
      <c r="AZ112">
        <v>2</v>
      </c>
      <c r="BA112">
        <v>0</v>
      </c>
      <c r="BB112">
        <v>1.5</v>
      </c>
      <c r="BC112">
        <v>0</v>
      </c>
      <c r="BD112">
        <v>1.5</v>
      </c>
      <c r="BE112">
        <v>0</v>
      </c>
      <c r="BF112" s="21">
        <v>18205</v>
      </c>
    </row>
    <row r="113" spans="1:58">
      <c r="A113" t="s">
        <v>16898</v>
      </c>
      <c r="B113" t="s">
        <v>17034</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row>
    <row r="114" spans="1:58">
      <c r="A114" t="s">
        <v>17035</v>
      </c>
      <c r="B114" t="s">
        <v>17507</v>
      </c>
      <c r="C114">
        <v>0</v>
      </c>
      <c r="D114">
        <v>14</v>
      </c>
      <c r="E114">
        <v>0</v>
      </c>
      <c r="F114">
        <v>0</v>
      </c>
      <c r="G114">
        <v>0</v>
      </c>
      <c r="H114">
        <v>0</v>
      </c>
      <c r="I114">
        <v>0</v>
      </c>
      <c r="J114">
        <v>1</v>
      </c>
      <c r="K114">
        <v>9</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9</v>
      </c>
      <c r="AU114">
        <v>0</v>
      </c>
      <c r="AV114">
        <v>9</v>
      </c>
      <c r="AW114">
        <v>0</v>
      </c>
      <c r="AX114">
        <v>0</v>
      </c>
      <c r="AY114">
        <v>0</v>
      </c>
      <c r="AZ114">
        <v>0</v>
      </c>
      <c r="BA114">
        <v>0</v>
      </c>
      <c r="BB114">
        <v>0</v>
      </c>
      <c r="BC114">
        <v>0</v>
      </c>
      <c r="BD114">
        <v>0</v>
      </c>
      <c r="BE114">
        <v>0</v>
      </c>
    </row>
    <row r="115" spans="1:58">
      <c r="A115" t="s">
        <v>17035</v>
      </c>
      <c r="B115" t="s">
        <v>17507</v>
      </c>
      <c r="C115">
        <v>0</v>
      </c>
      <c r="D115">
        <v>29</v>
      </c>
      <c r="E115">
        <v>26</v>
      </c>
      <c r="F115">
        <v>20</v>
      </c>
      <c r="G115">
        <v>4</v>
      </c>
      <c r="H115">
        <v>0</v>
      </c>
      <c r="I115">
        <v>0</v>
      </c>
      <c r="J115">
        <v>28</v>
      </c>
      <c r="K115">
        <v>375</v>
      </c>
      <c r="L115">
        <v>3</v>
      </c>
      <c r="M115">
        <v>4</v>
      </c>
      <c r="N115">
        <v>5</v>
      </c>
      <c r="O115">
        <v>13</v>
      </c>
      <c r="P115">
        <v>2</v>
      </c>
      <c r="Q115">
        <v>2</v>
      </c>
      <c r="R115">
        <v>0</v>
      </c>
      <c r="S115">
        <v>39.75</v>
      </c>
      <c r="T115">
        <v>36.75</v>
      </c>
      <c r="U115">
        <v>0</v>
      </c>
      <c r="V115">
        <v>76.5</v>
      </c>
      <c r="W115">
        <v>1132.5</v>
      </c>
      <c r="X115">
        <v>0</v>
      </c>
      <c r="Y115">
        <v>4</v>
      </c>
      <c r="Z115">
        <v>3</v>
      </c>
      <c r="AA115">
        <v>0</v>
      </c>
      <c r="AB115">
        <v>962.5</v>
      </c>
      <c r="AC115">
        <v>127.7</v>
      </c>
      <c r="AD115">
        <v>127.7</v>
      </c>
      <c r="AE115">
        <v>127.7</v>
      </c>
      <c r="AF115">
        <v>1090.2</v>
      </c>
      <c r="AG115">
        <v>1260.2</v>
      </c>
      <c r="AH115">
        <v>1132.5</v>
      </c>
      <c r="AI115">
        <v>0</v>
      </c>
      <c r="AJ115">
        <v>0</v>
      </c>
      <c r="AK115">
        <v>0</v>
      </c>
      <c r="AL115">
        <v>0</v>
      </c>
      <c r="AM115">
        <v>2</v>
      </c>
      <c r="AN115">
        <v>2</v>
      </c>
      <c r="AO115">
        <v>1</v>
      </c>
      <c r="AP115">
        <v>0</v>
      </c>
      <c r="AQ115">
        <v>0</v>
      </c>
      <c r="AR115">
        <v>0</v>
      </c>
      <c r="AS115">
        <v>0</v>
      </c>
      <c r="AT115">
        <v>375</v>
      </c>
      <c r="AU115">
        <v>0</v>
      </c>
      <c r="AV115">
        <v>375</v>
      </c>
      <c r="AW115">
        <v>0</v>
      </c>
      <c r="AX115">
        <v>39.75</v>
      </c>
      <c r="AY115">
        <v>0</v>
      </c>
      <c r="AZ115">
        <v>39.75</v>
      </c>
      <c r="BA115">
        <v>0</v>
      </c>
      <c r="BB115">
        <v>36.75</v>
      </c>
      <c r="BC115">
        <v>0</v>
      </c>
      <c r="BD115">
        <v>36.75</v>
      </c>
      <c r="BE115">
        <v>0</v>
      </c>
    </row>
    <row r="116" spans="1:58">
      <c r="A116" t="s">
        <v>17035</v>
      </c>
      <c r="B116" t="s">
        <v>19978</v>
      </c>
      <c r="C116">
        <v>0</v>
      </c>
      <c r="D116">
        <v>3</v>
      </c>
      <c r="E116">
        <v>3</v>
      </c>
      <c r="F116">
        <v>3</v>
      </c>
      <c r="G116">
        <v>0</v>
      </c>
      <c r="H116">
        <v>0</v>
      </c>
      <c r="I116">
        <v>0</v>
      </c>
      <c r="J116">
        <v>3</v>
      </c>
      <c r="K116">
        <v>20</v>
      </c>
      <c r="L116">
        <v>1</v>
      </c>
      <c r="M116">
        <v>0</v>
      </c>
      <c r="N116">
        <v>2</v>
      </c>
      <c r="O116">
        <v>0</v>
      </c>
      <c r="P116">
        <v>0</v>
      </c>
      <c r="Q116">
        <v>0</v>
      </c>
      <c r="R116">
        <v>0</v>
      </c>
      <c r="S116">
        <v>1.75</v>
      </c>
      <c r="T116">
        <v>3.5</v>
      </c>
      <c r="U116">
        <v>0.25</v>
      </c>
      <c r="V116">
        <v>5.5</v>
      </c>
      <c r="W116">
        <v>87.5</v>
      </c>
      <c r="X116">
        <v>0</v>
      </c>
      <c r="Y116">
        <v>3</v>
      </c>
      <c r="Z116">
        <v>0</v>
      </c>
      <c r="AA116">
        <v>0</v>
      </c>
      <c r="AB116">
        <v>40</v>
      </c>
      <c r="AC116">
        <v>6.45</v>
      </c>
      <c r="AD116">
        <v>6.45</v>
      </c>
      <c r="AE116">
        <v>44.1</v>
      </c>
      <c r="AF116">
        <v>46.45</v>
      </c>
      <c r="AG116">
        <v>98.95</v>
      </c>
      <c r="AH116">
        <v>54.85</v>
      </c>
      <c r="AI116">
        <v>0</v>
      </c>
      <c r="AJ116">
        <v>0</v>
      </c>
      <c r="AK116">
        <v>0</v>
      </c>
      <c r="AL116">
        <v>0</v>
      </c>
      <c r="AM116">
        <v>0</v>
      </c>
      <c r="AN116">
        <v>1</v>
      </c>
      <c r="AO116">
        <v>0</v>
      </c>
      <c r="AP116">
        <v>0</v>
      </c>
      <c r="AQ116">
        <v>0</v>
      </c>
      <c r="AR116">
        <v>0</v>
      </c>
      <c r="AS116">
        <v>0</v>
      </c>
      <c r="AT116">
        <v>20</v>
      </c>
      <c r="AU116">
        <v>0</v>
      </c>
      <c r="AV116">
        <v>20</v>
      </c>
      <c r="AW116">
        <v>0</v>
      </c>
      <c r="AX116">
        <v>1.75</v>
      </c>
      <c r="AY116">
        <v>0</v>
      </c>
      <c r="AZ116">
        <v>1.75</v>
      </c>
      <c r="BA116">
        <v>0</v>
      </c>
      <c r="BB116">
        <v>3.5</v>
      </c>
      <c r="BC116">
        <v>0</v>
      </c>
      <c r="BD116">
        <v>3.5</v>
      </c>
      <c r="BE116">
        <v>0</v>
      </c>
      <c r="BF116" s="21">
        <v>66632</v>
      </c>
    </row>
    <row r="117" spans="1:58">
      <c r="A117" t="s">
        <v>16932</v>
      </c>
      <c r="B117" t="s">
        <v>17371</v>
      </c>
      <c r="C117">
        <v>1</v>
      </c>
      <c r="D117">
        <v>1</v>
      </c>
      <c r="E117">
        <v>0</v>
      </c>
      <c r="F117">
        <v>1</v>
      </c>
      <c r="G117">
        <v>0</v>
      </c>
      <c r="H117">
        <v>0</v>
      </c>
      <c r="I117">
        <v>0</v>
      </c>
      <c r="J117">
        <v>1</v>
      </c>
      <c r="K117">
        <v>7</v>
      </c>
      <c r="L117">
        <v>1</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7</v>
      </c>
      <c r="AU117">
        <v>0</v>
      </c>
      <c r="AV117">
        <v>0</v>
      </c>
      <c r="AW117">
        <v>7</v>
      </c>
      <c r="AX117">
        <v>0</v>
      </c>
      <c r="AY117">
        <v>0</v>
      </c>
      <c r="AZ117">
        <v>0</v>
      </c>
      <c r="BA117">
        <v>0</v>
      </c>
      <c r="BB117">
        <v>0</v>
      </c>
      <c r="BC117">
        <v>0</v>
      </c>
      <c r="BD117">
        <v>0</v>
      </c>
      <c r="BE117">
        <v>0</v>
      </c>
      <c r="BF117">
        <v>0</v>
      </c>
    </row>
    <row r="118" spans="1:58">
      <c r="A118" t="s">
        <v>16932</v>
      </c>
      <c r="B118" t="s">
        <v>17361</v>
      </c>
      <c r="C118">
        <v>0</v>
      </c>
      <c r="D118">
        <v>12</v>
      </c>
      <c r="E118">
        <v>12</v>
      </c>
      <c r="F118">
        <v>7</v>
      </c>
      <c r="G118">
        <v>0</v>
      </c>
      <c r="H118">
        <v>0</v>
      </c>
      <c r="I118">
        <v>0</v>
      </c>
      <c r="J118">
        <v>12</v>
      </c>
      <c r="K118">
        <v>157</v>
      </c>
      <c r="L118">
        <v>10</v>
      </c>
      <c r="M118">
        <v>0</v>
      </c>
      <c r="N118">
        <v>0</v>
      </c>
      <c r="O118">
        <v>2</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157</v>
      </c>
      <c r="AU118">
        <v>0</v>
      </c>
      <c r="AV118">
        <v>157</v>
      </c>
      <c r="AW118">
        <v>0</v>
      </c>
      <c r="AX118">
        <v>0</v>
      </c>
      <c r="AY118">
        <v>0</v>
      </c>
      <c r="AZ118">
        <v>0</v>
      </c>
      <c r="BA118">
        <v>0</v>
      </c>
      <c r="BB118">
        <v>0</v>
      </c>
      <c r="BC118">
        <v>0</v>
      </c>
      <c r="BD118">
        <v>0</v>
      </c>
      <c r="BE118">
        <v>0</v>
      </c>
      <c r="BF118">
        <v>0</v>
      </c>
    </row>
    <row r="119" spans="1:58">
      <c r="A119" t="s">
        <v>16932</v>
      </c>
      <c r="B119" t="s">
        <v>17036</v>
      </c>
      <c r="C119">
        <v>0</v>
      </c>
      <c r="D119">
        <v>48</v>
      </c>
      <c r="E119">
        <v>48</v>
      </c>
      <c r="F119">
        <v>48</v>
      </c>
      <c r="G119">
        <v>3</v>
      </c>
      <c r="H119">
        <v>16</v>
      </c>
      <c r="I119">
        <v>2</v>
      </c>
      <c r="J119">
        <v>47</v>
      </c>
      <c r="K119">
        <v>459</v>
      </c>
      <c r="L119">
        <v>37</v>
      </c>
      <c r="M119">
        <v>5</v>
      </c>
      <c r="N119">
        <v>0</v>
      </c>
      <c r="O119">
        <v>2</v>
      </c>
      <c r="P119">
        <v>0</v>
      </c>
      <c r="Q119">
        <v>3</v>
      </c>
      <c r="R119">
        <v>1</v>
      </c>
      <c r="S119">
        <v>39.75</v>
      </c>
      <c r="T119">
        <v>51.5</v>
      </c>
      <c r="U119">
        <v>5</v>
      </c>
      <c r="V119">
        <v>98.25</v>
      </c>
      <c r="W119">
        <v>672.5</v>
      </c>
      <c r="X119">
        <v>0</v>
      </c>
      <c r="Y119">
        <v>34</v>
      </c>
      <c r="Z119">
        <v>0</v>
      </c>
      <c r="AA119">
        <v>0</v>
      </c>
      <c r="AB119">
        <v>920</v>
      </c>
      <c r="AC119">
        <v>255.4</v>
      </c>
      <c r="AD119">
        <v>246.3</v>
      </c>
      <c r="AE119">
        <v>408.45</v>
      </c>
      <c r="AF119" s="20">
        <v>1166.3</v>
      </c>
      <c r="AG119" s="20">
        <v>1782.9</v>
      </c>
      <c r="AH119" s="20">
        <v>1374.45</v>
      </c>
      <c r="AI119">
        <v>324.3</v>
      </c>
      <c r="AJ119" s="21">
        <v>1056</v>
      </c>
      <c r="AK119" s="20">
        <v>1430.1</v>
      </c>
      <c r="AL119" s="20">
        <v>1105.8</v>
      </c>
      <c r="AM119">
        <v>13</v>
      </c>
      <c r="AN119">
        <v>11</v>
      </c>
      <c r="AO119">
        <v>0</v>
      </c>
      <c r="AP119">
        <v>2</v>
      </c>
      <c r="AQ119">
        <v>0</v>
      </c>
      <c r="AR119">
        <v>0</v>
      </c>
      <c r="AS119">
        <v>0</v>
      </c>
      <c r="AT119">
        <v>413</v>
      </c>
      <c r="AU119">
        <v>186</v>
      </c>
      <c r="AV119">
        <v>227</v>
      </c>
      <c r="AW119">
        <v>0</v>
      </c>
      <c r="AX119">
        <v>39.75</v>
      </c>
      <c r="AY119">
        <v>32.5</v>
      </c>
      <c r="AZ119">
        <v>7.25</v>
      </c>
      <c r="BA119">
        <v>0</v>
      </c>
      <c r="BB119">
        <v>51.5</v>
      </c>
      <c r="BC119">
        <v>43.5</v>
      </c>
      <c r="BD119">
        <v>8</v>
      </c>
      <c r="BE119">
        <v>0</v>
      </c>
      <c r="BF119" s="21">
        <v>52858</v>
      </c>
    </row>
    <row r="120" spans="1:58">
      <c r="A120" t="s">
        <v>16932</v>
      </c>
      <c r="B120" t="s">
        <v>18815</v>
      </c>
      <c r="C120">
        <v>1</v>
      </c>
      <c r="D120">
        <v>1</v>
      </c>
      <c r="E120">
        <v>0</v>
      </c>
      <c r="F120">
        <v>1</v>
      </c>
      <c r="G120">
        <v>0</v>
      </c>
      <c r="H120">
        <v>0</v>
      </c>
      <c r="I120">
        <v>0</v>
      </c>
      <c r="J120">
        <v>1</v>
      </c>
      <c r="K120">
        <v>2</v>
      </c>
      <c r="L120">
        <v>0</v>
      </c>
      <c r="M120">
        <v>0</v>
      </c>
      <c r="N120">
        <v>0</v>
      </c>
      <c r="O120">
        <v>0</v>
      </c>
      <c r="P120">
        <v>1</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1</v>
      </c>
      <c r="AN120">
        <v>1</v>
      </c>
      <c r="AO120">
        <v>1</v>
      </c>
      <c r="AP120">
        <v>1</v>
      </c>
      <c r="AQ120">
        <v>1</v>
      </c>
      <c r="AR120">
        <v>1</v>
      </c>
      <c r="AS120">
        <v>1</v>
      </c>
      <c r="AT120">
        <v>2</v>
      </c>
      <c r="AU120">
        <v>0</v>
      </c>
      <c r="AV120">
        <v>0</v>
      </c>
      <c r="AW120">
        <v>0</v>
      </c>
      <c r="AX120">
        <v>0</v>
      </c>
      <c r="AY120">
        <v>0</v>
      </c>
      <c r="AZ120">
        <v>0</v>
      </c>
      <c r="BA120">
        <v>0</v>
      </c>
      <c r="BB120">
        <v>0</v>
      </c>
      <c r="BC120">
        <v>0</v>
      </c>
      <c r="BD120">
        <v>0</v>
      </c>
      <c r="BE120">
        <v>0</v>
      </c>
      <c r="BF120">
        <v>1</v>
      </c>
    </row>
    <row r="121" spans="1:58">
      <c r="A121" t="s">
        <v>16932</v>
      </c>
      <c r="B121" t="s">
        <v>17360</v>
      </c>
      <c r="C121">
        <v>0</v>
      </c>
      <c r="D121">
        <v>8</v>
      </c>
      <c r="E121">
        <v>6</v>
      </c>
      <c r="F121">
        <v>5</v>
      </c>
      <c r="G121">
        <v>1</v>
      </c>
      <c r="H121">
        <v>1</v>
      </c>
      <c r="I121">
        <v>0</v>
      </c>
      <c r="J121">
        <v>8</v>
      </c>
      <c r="K121">
        <v>138</v>
      </c>
      <c r="L121">
        <v>7</v>
      </c>
      <c r="M121">
        <v>0</v>
      </c>
      <c r="N121">
        <v>0</v>
      </c>
      <c r="O121">
        <v>0</v>
      </c>
      <c r="P121">
        <v>1</v>
      </c>
      <c r="Q121">
        <v>0</v>
      </c>
      <c r="R121">
        <v>0</v>
      </c>
      <c r="S121">
        <v>4.5</v>
      </c>
      <c r="T121">
        <v>3.5</v>
      </c>
      <c r="U121">
        <v>0</v>
      </c>
      <c r="V121">
        <v>8</v>
      </c>
      <c r="W121">
        <v>115</v>
      </c>
      <c r="X121">
        <v>0</v>
      </c>
      <c r="Y121">
        <v>7</v>
      </c>
      <c r="Z121">
        <v>0</v>
      </c>
      <c r="AA121">
        <v>0</v>
      </c>
      <c r="AB121">
        <v>10</v>
      </c>
      <c r="AC121">
        <v>181.75</v>
      </c>
      <c r="AD121">
        <v>181.75</v>
      </c>
      <c r="AE121">
        <v>181.75</v>
      </c>
      <c r="AF121">
        <v>191.75</v>
      </c>
      <c r="AG121">
        <v>296.75</v>
      </c>
      <c r="AH121">
        <v>115</v>
      </c>
      <c r="AI121">
        <v>0</v>
      </c>
      <c r="AJ121">
        <v>0</v>
      </c>
      <c r="AK121">
        <v>0</v>
      </c>
      <c r="AL121">
        <v>0</v>
      </c>
      <c r="AM121">
        <v>0</v>
      </c>
      <c r="AN121">
        <v>0</v>
      </c>
      <c r="AO121">
        <v>0</v>
      </c>
      <c r="AP121">
        <v>1</v>
      </c>
      <c r="AQ121">
        <v>0</v>
      </c>
      <c r="AR121">
        <v>0</v>
      </c>
      <c r="AS121">
        <v>0</v>
      </c>
      <c r="AT121">
        <v>138</v>
      </c>
      <c r="AU121">
        <v>24</v>
      </c>
      <c r="AV121">
        <v>114</v>
      </c>
      <c r="AW121">
        <v>0</v>
      </c>
      <c r="AX121">
        <v>4</v>
      </c>
      <c r="AY121">
        <v>0</v>
      </c>
      <c r="AZ121">
        <v>4</v>
      </c>
      <c r="BA121">
        <v>0</v>
      </c>
      <c r="BB121">
        <v>3</v>
      </c>
      <c r="BC121">
        <v>0</v>
      </c>
      <c r="BD121">
        <v>3</v>
      </c>
      <c r="BE121">
        <v>0</v>
      </c>
      <c r="BF121">
        <v>3</v>
      </c>
    </row>
    <row r="122" spans="1:58">
      <c r="A122" t="s">
        <v>16932</v>
      </c>
      <c r="B122" t="s">
        <v>18816</v>
      </c>
      <c r="C122">
        <v>0</v>
      </c>
      <c r="D122">
        <v>1</v>
      </c>
      <c r="E122">
        <v>1</v>
      </c>
      <c r="F122">
        <v>1</v>
      </c>
      <c r="G122">
        <v>0</v>
      </c>
      <c r="H122">
        <v>0</v>
      </c>
      <c r="I122">
        <v>0</v>
      </c>
      <c r="J122">
        <v>1</v>
      </c>
      <c r="K122">
        <v>1</v>
      </c>
      <c r="L122">
        <v>0</v>
      </c>
      <c r="M122">
        <v>1</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1</v>
      </c>
      <c r="AU122">
        <v>0</v>
      </c>
      <c r="AV122">
        <v>1</v>
      </c>
      <c r="AW122">
        <v>0</v>
      </c>
      <c r="AX122">
        <v>0</v>
      </c>
      <c r="AY122">
        <v>0</v>
      </c>
      <c r="AZ122">
        <v>0</v>
      </c>
      <c r="BA122">
        <v>0</v>
      </c>
      <c r="BB122">
        <v>0</v>
      </c>
      <c r="BC122">
        <v>0</v>
      </c>
      <c r="BD122">
        <v>0</v>
      </c>
      <c r="BE122">
        <v>0</v>
      </c>
      <c r="BF122">
        <v>1</v>
      </c>
    </row>
    <row r="123" spans="1:58">
      <c r="A123" t="s">
        <v>16932</v>
      </c>
      <c r="B123" t="s">
        <v>18817</v>
      </c>
      <c r="C123">
        <v>2</v>
      </c>
      <c r="D123">
        <v>2</v>
      </c>
      <c r="E123">
        <v>2</v>
      </c>
      <c r="F123">
        <v>0</v>
      </c>
      <c r="G123">
        <v>0</v>
      </c>
      <c r="H123">
        <v>2</v>
      </c>
      <c r="I123">
        <v>2</v>
      </c>
      <c r="J123">
        <v>2</v>
      </c>
      <c r="K123">
        <v>34</v>
      </c>
      <c r="L123">
        <v>2</v>
      </c>
      <c r="M123">
        <v>0</v>
      </c>
      <c r="N123">
        <v>2</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34</v>
      </c>
      <c r="AU123">
        <v>34</v>
      </c>
      <c r="AV123">
        <v>0</v>
      </c>
      <c r="AW123">
        <v>34</v>
      </c>
      <c r="AX123">
        <v>0</v>
      </c>
      <c r="AY123">
        <v>0</v>
      </c>
      <c r="AZ123">
        <v>0</v>
      </c>
      <c r="BA123">
        <v>0</v>
      </c>
      <c r="BB123">
        <v>0</v>
      </c>
      <c r="BC123">
        <v>0</v>
      </c>
      <c r="BD123">
        <v>0</v>
      </c>
      <c r="BE123">
        <v>0</v>
      </c>
      <c r="BF123">
        <v>0</v>
      </c>
    </row>
    <row r="124" spans="1:58">
      <c r="A124" t="s">
        <v>16932</v>
      </c>
      <c r="B124" t="s">
        <v>17370</v>
      </c>
      <c r="C124">
        <v>0</v>
      </c>
      <c r="D124">
        <v>13</v>
      </c>
      <c r="E124">
        <v>1</v>
      </c>
      <c r="F124">
        <v>13</v>
      </c>
      <c r="G124">
        <v>0</v>
      </c>
      <c r="H124">
        <v>0</v>
      </c>
      <c r="I124">
        <v>0</v>
      </c>
      <c r="J124">
        <v>13</v>
      </c>
      <c r="K124">
        <v>70</v>
      </c>
      <c r="L124">
        <v>2</v>
      </c>
      <c r="M124">
        <v>8</v>
      </c>
      <c r="N124">
        <v>2</v>
      </c>
      <c r="O124">
        <v>0</v>
      </c>
      <c r="P124">
        <v>0</v>
      </c>
      <c r="Q124">
        <v>1</v>
      </c>
      <c r="R124">
        <v>0</v>
      </c>
      <c r="S124">
        <v>1.5</v>
      </c>
      <c r="T124">
        <v>4</v>
      </c>
      <c r="U124">
        <v>0.5</v>
      </c>
      <c r="V124">
        <v>2.5</v>
      </c>
      <c r="W124">
        <v>95</v>
      </c>
      <c r="X124">
        <v>0</v>
      </c>
      <c r="Y124">
        <v>3</v>
      </c>
      <c r="Z124">
        <v>0</v>
      </c>
      <c r="AA124">
        <v>0</v>
      </c>
      <c r="AB124">
        <v>0</v>
      </c>
      <c r="AC124">
        <v>30.77</v>
      </c>
      <c r="AD124">
        <v>30.77</v>
      </c>
      <c r="AE124">
        <v>0</v>
      </c>
      <c r="AF124">
        <v>28.85</v>
      </c>
      <c r="AG124">
        <v>135.77000000000001</v>
      </c>
      <c r="AH124">
        <v>135.77000000000001</v>
      </c>
      <c r="AI124">
        <v>0</v>
      </c>
      <c r="AJ124">
        <v>0</v>
      </c>
      <c r="AK124">
        <v>0</v>
      </c>
      <c r="AL124">
        <v>0</v>
      </c>
      <c r="AM124">
        <v>0</v>
      </c>
      <c r="AN124">
        <v>0</v>
      </c>
      <c r="AO124">
        <v>0</v>
      </c>
      <c r="AP124">
        <v>0</v>
      </c>
      <c r="AQ124">
        <v>0</v>
      </c>
      <c r="AR124">
        <v>0</v>
      </c>
      <c r="AS124">
        <v>0</v>
      </c>
      <c r="AT124">
        <v>70</v>
      </c>
      <c r="AU124">
        <v>0</v>
      </c>
      <c r="AV124">
        <v>70</v>
      </c>
      <c r="AW124">
        <v>0</v>
      </c>
      <c r="AX124">
        <v>1.5</v>
      </c>
      <c r="AY124">
        <v>0</v>
      </c>
      <c r="AZ124">
        <v>1.5</v>
      </c>
      <c r="BA124">
        <v>0</v>
      </c>
      <c r="BB124">
        <v>4</v>
      </c>
      <c r="BC124">
        <v>0</v>
      </c>
      <c r="BD124">
        <v>4</v>
      </c>
      <c r="BE124">
        <v>0</v>
      </c>
      <c r="BF124">
        <v>35</v>
      </c>
    </row>
    <row r="125" spans="1:58">
      <c r="A125" t="s">
        <v>17041</v>
      </c>
      <c r="B125" t="s">
        <v>17325</v>
      </c>
      <c r="C125">
        <v>0</v>
      </c>
      <c r="D125">
        <v>3</v>
      </c>
      <c r="E125">
        <v>3</v>
      </c>
      <c r="F125">
        <v>3</v>
      </c>
      <c r="G125">
        <v>1</v>
      </c>
      <c r="H125">
        <v>0</v>
      </c>
      <c r="I125">
        <v>0</v>
      </c>
      <c r="J125">
        <v>3</v>
      </c>
      <c r="K125">
        <v>21</v>
      </c>
      <c r="L125">
        <v>1</v>
      </c>
      <c r="M125">
        <v>0</v>
      </c>
      <c r="N125">
        <v>2</v>
      </c>
      <c r="O125">
        <v>0</v>
      </c>
      <c r="P125">
        <v>0</v>
      </c>
      <c r="Q125">
        <v>0</v>
      </c>
      <c r="R125">
        <v>0</v>
      </c>
      <c r="S125">
        <v>2.75</v>
      </c>
      <c r="T125">
        <v>6.5</v>
      </c>
      <c r="U125">
        <v>1.25</v>
      </c>
      <c r="V125">
        <v>10.5</v>
      </c>
      <c r="W125">
        <v>157.5</v>
      </c>
      <c r="X125">
        <v>205</v>
      </c>
      <c r="Y125">
        <v>2</v>
      </c>
      <c r="Z125">
        <v>1</v>
      </c>
      <c r="AA125">
        <v>0</v>
      </c>
      <c r="AB125">
        <v>90</v>
      </c>
      <c r="AC125">
        <v>0</v>
      </c>
      <c r="AD125">
        <v>0</v>
      </c>
      <c r="AE125">
        <v>0</v>
      </c>
      <c r="AF125">
        <v>90</v>
      </c>
      <c r="AG125">
        <v>387.5</v>
      </c>
      <c r="AH125">
        <v>387.5</v>
      </c>
      <c r="AI125">
        <v>0</v>
      </c>
      <c r="AJ125">
        <v>0</v>
      </c>
      <c r="AK125">
        <v>0</v>
      </c>
      <c r="AL125">
        <v>0</v>
      </c>
      <c r="AM125">
        <v>0</v>
      </c>
      <c r="AN125">
        <v>0</v>
      </c>
      <c r="AO125">
        <v>0</v>
      </c>
      <c r="AP125">
        <v>0</v>
      </c>
      <c r="AQ125">
        <v>0</v>
      </c>
      <c r="AR125">
        <v>0</v>
      </c>
      <c r="AS125">
        <v>0</v>
      </c>
      <c r="AT125">
        <v>21</v>
      </c>
      <c r="AU125">
        <v>0</v>
      </c>
      <c r="AV125">
        <v>21</v>
      </c>
      <c r="AW125">
        <v>0</v>
      </c>
      <c r="AX125">
        <v>2.75</v>
      </c>
      <c r="AY125">
        <v>0</v>
      </c>
      <c r="AZ125">
        <v>2.75</v>
      </c>
      <c r="BA125">
        <v>0</v>
      </c>
      <c r="BB125">
        <v>6.5</v>
      </c>
      <c r="BC125">
        <v>0</v>
      </c>
      <c r="BD125">
        <v>6.5</v>
      </c>
      <c r="BE125">
        <v>0</v>
      </c>
      <c r="BF125">
        <v>155</v>
      </c>
    </row>
    <row r="126" spans="1:58">
      <c r="A126" t="s">
        <v>17041</v>
      </c>
      <c r="B126" t="s">
        <v>17042</v>
      </c>
      <c r="C126">
        <v>0</v>
      </c>
      <c r="D126">
        <v>7</v>
      </c>
      <c r="E126">
        <v>7</v>
      </c>
      <c r="F126">
        <v>0</v>
      </c>
      <c r="G126">
        <v>0</v>
      </c>
      <c r="H126">
        <v>0</v>
      </c>
      <c r="I126">
        <v>0</v>
      </c>
      <c r="J126">
        <v>7</v>
      </c>
      <c r="K126">
        <v>37</v>
      </c>
      <c r="L126">
        <v>5</v>
      </c>
      <c r="M126">
        <v>0</v>
      </c>
      <c r="N126">
        <v>0</v>
      </c>
      <c r="O126">
        <v>2</v>
      </c>
      <c r="P126">
        <v>0</v>
      </c>
      <c r="Q126">
        <v>0</v>
      </c>
      <c r="R126">
        <v>0</v>
      </c>
      <c r="S126">
        <v>1.75</v>
      </c>
      <c r="T126">
        <v>0</v>
      </c>
      <c r="U126">
        <v>0</v>
      </c>
      <c r="V126">
        <v>1.75</v>
      </c>
      <c r="W126">
        <v>17.5</v>
      </c>
      <c r="X126">
        <v>0</v>
      </c>
      <c r="Y126">
        <v>7</v>
      </c>
      <c r="Z126">
        <v>0</v>
      </c>
      <c r="AA126">
        <v>0</v>
      </c>
      <c r="AB126">
        <v>0</v>
      </c>
      <c r="AC126">
        <v>0</v>
      </c>
      <c r="AD126">
        <v>0</v>
      </c>
      <c r="AE126">
        <v>0</v>
      </c>
      <c r="AF126">
        <v>0</v>
      </c>
      <c r="AG126">
        <v>17.5</v>
      </c>
      <c r="AH126">
        <v>17.5</v>
      </c>
      <c r="AI126">
        <v>0</v>
      </c>
      <c r="AJ126">
        <v>0</v>
      </c>
      <c r="AK126">
        <v>0</v>
      </c>
      <c r="AL126">
        <v>0</v>
      </c>
      <c r="AM126">
        <v>0</v>
      </c>
      <c r="AN126">
        <v>0</v>
      </c>
      <c r="AO126">
        <v>0</v>
      </c>
      <c r="AP126">
        <v>0</v>
      </c>
      <c r="AQ126">
        <v>0</v>
      </c>
      <c r="AR126">
        <v>0</v>
      </c>
      <c r="AS126">
        <v>0</v>
      </c>
      <c r="AT126">
        <v>37</v>
      </c>
      <c r="AU126">
        <v>0</v>
      </c>
      <c r="AV126">
        <v>37</v>
      </c>
      <c r="AW126">
        <v>0</v>
      </c>
      <c r="AX126">
        <v>1.75</v>
      </c>
      <c r="AY126">
        <v>0</v>
      </c>
      <c r="AZ126">
        <v>1.75</v>
      </c>
      <c r="BA126">
        <v>0</v>
      </c>
      <c r="BB126">
        <v>0</v>
      </c>
      <c r="BC126">
        <v>0</v>
      </c>
      <c r="BD126">
        <v>0</v>
      </c>
      <c r="BE126">
        <v>0</v>
      </c>
    </row>
    <row r="127" spans="1:58">
      <c r="A127" t="s">
        <v>17041</v>
      </c>
      <c r="B127" t="s">
        <v>17042</v>
      </c>
      <c r="C127">
        <v>0</v>
      </c>
      <c r="D127">
        <v>11</v>
      </c>
      <c r="E127">
        <v>11</v>
      </c>
      <c r="F127">
        <v>0</v>
      </c>
      <c r="G127">
        <v>0</v>
      </c>
      <c r="H127">
        <v>0</v>
      </c>
      <c r="I127">
        <v>0</v>
      </c>
      <c r="J127">
        <v>9</v>
      </c>
      <c r="K127">
        <v>24</v>
      </c>
      <c r="L127">
        <v>9</v>
      </c>
      <c r="M127">
        <v>0</v>
      </c>
      <c r="N127">
        <v>0</v>
      </c>
      <c r="O127">
        <v>2</v>
      </c>
      <c r="P127">
        <v>0</v>
      </c>
      <c r="Q127">
        <v>0</v>
      </c>
      <c r="R127">
        <v>0</v>
      </c>
      <c r="S127">
        <v>2.25</v>
      </c>
      <c r="T127">
        <v>0</v>
      </c>
      <c r="U127">
        <v>0</v>
      </c>
      <c r="V127">
        <v>2.25</v>
      </c>
      <c r="W127">
        <v>22.5</v>
      </c>
      <c r="X127">
        <v>0</v>
      </c>
      <c r="Y127">
        <v>9</v>
      </c>
      <c r="Z127">
        <v>0</v>
      </c>
      <c r="AA127">
        <v>0</v>
      </c>
      <c r="AB127">
        <v>0</v>
      </c>
      <c r="AC127">
        <v>0</v>
      </c>
      <c r="AD127">
        <v>0</v>
      </c>
      <c r="AE127">
        <v>0</v>
      </c>
      <c r="AF127">
        <v>0</v>
      </c>
      <c r="AG127">
        <v>22.5</v>
      </c>
      <c r="AH127">
        <v>22.5</v>
      </c>
      <c r="AI127">
        <v>0</v>
      </c>
      <c r="AJ127">
        <v>0</v>
      </c>
      <c r="AK127">
        <v>0</v>
      </c>
      <c r="AL127">
        <v>0</v>
      </c>
      <c r="AM127">
        <v>0</v>
      </c>
      <c r="AN127">
        <v>0</v>
      </c>
      <c r="AO127">
        <v>0</v>
      </c>
      <c r="AP127">
        <v>0</v>
      </c>
      <c r="AQ127">
        <v>0</v>
      </c>
      <c r="AR127">
        <v>0</v>
      </c>
      <c r="AS127">
        <v>0</v>
      </c>
      <c r="AT127">
        <v>24</v>
      </c>
      <c r="AU127">
        <v>0</v>
      </c>
      <c r="AV127">
        <v>24</v>
      </c>
      <c r="AW127">
        <v>0</v>
      </c>
      <c r="AX127">
        <v>2.25</v>
      </c>
      <c r="AY127">
        <v>0</v>
      </c>
      <c r="AZ127">
        <v>2.25</v>
      </c>
      <c r="BA127">
        <v>0</v>
      </c>
      <c r="BB127">
        <v>0</v>
      </c>
      <c r="BC127">
        <v>0</v>
      </c>
      <c r="BD127">
        <v>0</v>
      </c>
      <c r="BE127">
        <v>0</v>
      </c>
      <c r="BF127">
        <v>0</v>
      </c>
    </row>
    <row r="128" spans="1:58">
      <c r="A128" t="s">
        <v>17041</v>
      </c>
      <c r="B128" t="s">
        <v>17043</v>
      </c>
      <c r="C128">
        <v>1</v>
      </c>
      <c r="D128">
        <v>1</v>
      </c>
      <c r="E128">
        <v>1</v>
      </c>
      <c r="F128">
        <v>1</v>
      </c>
      <c r="G128">
        <v>0</v>
      </c>
      <c r="H128">
        <v>0</v>
      </c>
      <c r="I128">
        <v>0</v>
      </c>
      <c r="J128">
        <v>1</v>
      </c>
      <c r="K128">
        <v>10</v>
      </c>
      <c r="L128">
        <v>0</v>
      </c>
      <c r="M128">
        <v>1</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10</v>
      </c>
      <c r="AU128">
        <v>0</v>
      </c>
      <c r="AV128">
        <v>0</v>
      </c>
      <c r="AW128">
        <v>10</v>
      </c>
      <c r="AX128">
        <v>0</v>
      </c>
      <c r="AY128">
        <v>0</v>
      </c>
      <c r="AZ128">
        <v>0</v>
      </c>
      <c r="BA128">
        <v>0</v>
      </c>
      <c r="BB128">
        <v>0</v>
      </c>
      <c r="BC128">
        <v>0</v>
      </c>
      <c r="BD128">
        <v>0</v>
      </c>
      <c r="BE128">
        <v>0</v>
      </c>
    </row>
    <row r="129" spans="1:58">
      <c r="A129" t="s">
        <v>17041</v>
      </c>
      <c r="B129" t="s">
        <v>19341</v>
      </c>
      <c r="C129">
        <v>0</v>
      </c>
      <c r="D129">
        <v>27</v>
      </c>
      <c r="E129">
        <v>0</v>
      </c>
      <c r="F129">
        <v>27</v>
      </c>
      <c r="G129">
        <v>2</v>
      </c>
      <c r="H129">
        <v>2</v>
      </c>
      <c r="I129">
        <v>0</v>
      </c>
      <c r="J129">
        <v>27</v>
      </c>
      <c r="K129">
        <v>95</v>
      </c>
      <c r="L129">
        <v>24</v>
      </c>
      <c r="M129">
        <v>0</v>
      </c>
      <c r="N129">
        <v>0</v>
      </c>
      <c r="O129">
        <v>2</v>
      </c>
      <c r="P129">
        <v>1</v>
      </c>
      <c r="Q129">
        <v>0</v>
      </c>
      <c r="R129">
        <v>0</v>
      </c>
      <c r="S129">
        <v>14.25</v>
      </c>
      <c r="T129">
        <v>12.75</v>
      </c>
      <c r="U129">
        <v>0</v>
      </c>
      <c r="V129">
        <v>27</v>
      </c>
      <c r="W129">
        <v>397.5</v>
      </c>
      <c r="X129">
        <v>0</v>
      </c>
      <c r="Y129">
        <v>25</v>
      </c>
      <c r="Z129">
        <v>2</v>
      </c>
      <c r="AA129">
        <v>0</v>
      </c>
      <c r="AB129">
        <v>0</v>
      </c>
      <c r="AC129">
        <v>0</v>
      </c>
      <c r="AD129">
        <v>0</v>
      </c>
      <c r="AE129">
        <v>0</v>
      </c>
      <c r="AF129">
        <v>0</v>
      </c>
      <c r="AG129">
        <v>397.5</v>
      </c>
      <c r="AH129">
        <v>397.5</v>
      </c>
      <c r="AI129">
        <v>0</v>
      </c>
      <c r="AJ129">
        <v>0</v>
      </c>
      <c r="AK129">
        <v>120</v>
      </c>
      <c r="AL129">
        <v>120</v>
      </c>
      <c r="AM129">
        <v>0</v>
      </c>
      <c r="AN129">
        <v>0</v>
      </c>
      <c r="AO129">
        <v>0</v>
      </c>
      <c r="AP129">
        <v>0</v>
      </c>
      <c r="AQ129">
        <v>0</v>
      </c>
      <c r="AR129">
        <v>0</v>
      </c>
      <c r="AS129">
        <v>0</v>
      </c>
      <c r="AT129">
        <v>95</v>
      </c>
      <c r="AU129">
        <v>11</v>
      </c>
      <c r="AV129">
        <v>84</v>
      </c>
      <c r="AW129">
        <v>0</v>
      </c>
      <c r="AX129">
        <v>14.25</v>
      </c>
      <c r="AY129">
        <v>4</v>
      </c>
      <c r="AZ129">
        <v>10.25</v>
      </c>
      <c r="BA129">
        <v>0</v>
      </c>
      <c r="BB129">
        <v>12.75</v>
      </c>
      <c r="BC129">
        <v>4</v>
      </c>
      <c r="BD129">
        <v>8.75</v>
      </c>
      <c r="BE129">
        <v>0</v>
      </c>
      <c r="BF129">
        <v>0</v>
      </c>
    </row>
    <row r="130" spans="1:58">
      <c r="A130" t="s">
        <v>17041</v>
      </c>
      <c r="B130" t="s">
        <v>19979</v>
      </c>
      <c r="C130">
        <v>4</v>
      </c>
      <c r="D130">
        <v>6</v>
      </c>
      <c r="E130">
        <v>6</v>
      </c>
      <c r="F130">
        <v>6</v>
      </c>
      <c r="G130">
        <v>3</v>
      </c>
      <c r="H130">
        <v>0</v>
      </c>
      <c r="I130">
        <v>1</v>
      </c>
      <c r="J130">
        <v>6</v>
      </c>
      <c r="K130">
        <v>10</v>
      </c>
      <c r="L130">
        <v>6</v>
      </c>
      <c r="M130">
        <v>0</v>
      </c>
      <c r="N130">
        <v>0</v>
      </c>
      <c r="O130">
        <v>0</v>
      </c>
      <c r="P130">
        <v>0</v>
      </c>
      <c r="Q130">
        <v>0</v>
      </c>
      <c r="R130">
        <v>0</v>
      </c>
      <c r="S130">
        <v>2.5</v>
      </c>
      <c r="T130">
        <v>0</v>
      </c>
      <c r="U130">
        <v>0</v>
      </c>
      <c r="V130">
        <v>2.5</v>
      </c>
      <c r="W130">
        <v>5</v>
      </c>
      <c r="X130">
        <v>0</v>
      </c>
      <c r="Y130">
        <v>2</v>
      </c>
      <c r="Z130">
        <v>0</v>
      </c>
      <c r="AA130">
        <v>-20</v>
      </c>
      <c r="AB130">
        <v>0</v>
      </c>
      <c r="AC130">
        <v>0</v>
      </c>
      <c r="AD130">
        <v>0</v>
      </c>
      <c r="AE130">
        <v>0</v>
      </c>
      <c r="AF130">
        <v>0</v>
      </c>
      <c r="AG130">
        <v>5</v>
      </c>
      <c r="AH130">
        <v>5</v>
      </c>
      <c r="AI130">
        <v>0</v>
      </c>
      <c r="AJ130">
        <v>0</v>
      </c>
      <c r="AK130">
        <v>0</v>
      </c>
      <c r="AL130">
        <v>0</v>
      </c>
      <c r="AM130">
        <v>0</v>
      </c>
      <c r="AN130">
        <v>0</v>
      </c>
      <c r="AO130">
        <v>0</v>
      </c>
      <c r="AP130">
        <v>0</v>
      </c>
      <c r="AQ130">
        <v>0</v>
      </c>
      <c r="AR130">
        <v>0</v>
      </c>
      <c r="AS130">
        <v>0</v>
      </c>
      <c r="AT130">
        <v>10</v>
      </c>
      <c r="AU130">
        <v>0</v>
      </c>
      <c r="AV130">
        <v>2</v>
      </c>
      <c r="AW130">
        <v>8</v>
      </c>
      <c r="AX130">
        <v>2.5</v>
      </c>
      <c r="AY130">
        <v>0</v>
      </c>
      <c r="AZ130">
        <v>0.5</v>
      </c>
      <c r="BA130">
        <v>2</v>
      </c>
      <c r="BB130">
        <v>0</v>
      </c>
      <c r="BC130">
        <v>0</v>
      </c>
      <c r="BD130">
        <v>0</v>
      </c>
      <c r="BE130">
        <v>0</v>
      </c>
      <c r="BF130">
        <v>6</v>
      </c>
    </row>
    <row r="131" spans="1:58">
      <c r="A131" t="s">
        <v>17041</v>
      </c>
      <c r="B131" t="s">
        <v>17303</v>
      </c>
      <c r="C131">
        <v>0</v>
      </c>
      <c r="D131">
        <v>4</v>
      </c>
      <c r="E131">
        <v>0</v>
      </c>
      <c r="F131">
        <v>4</v>
      </c>
      <c r="G131">
        <v>0</v>
      </c>
      <c r="H131">
        <v>0</v>
      </c>
      <c r="I131">
        <v>0</v>
      </c>
      <c r="J131">
        <v>4</v>
      </c>
      <c r="K131">
        <v>41</v>
      </c>
      <c r="L131">
        <v>4</v>
      </c>
      <c r="M131">
        <v>0</v>
      </c>
      <c r="N131">
        <v>0</v>
      </c>
      <c r="O131">
        <v>0</v>
      </c>
      <c r="P131">
        <v>0</v>
      </c>
      <c r="Q131">
        <v>0</v>
      </c>
      <c r="R131">
        <v>0</v>
      </c>
      <c r="S131">
        <v>1.2</v>
      </c>
      <c r="T131">
        <v>0</v>
      </c>
      <c r="U131">
        <v>0</v>
      </c>
      <c r="V131">
        <v>1.2</v>
      </c>
      <c r="W131">
        <v>12</v>
      </c>
      <c r="X131">
        <v>0</v>
      </c>
      <c r="Y131">
        <v>4</v>
      </c>
      <c r="Z131">
        <v>0</v>
      </c>
      <c r="AA131">
        <v>0</v>
      </c>
      <c r="AB131">
        <v>0</v>
      </c>
      <c r="AC131">
        <v>0</v>
      </c>
      <c r="AD131">
        <v>0</v>
      </c>
      <c r="AE131">
        <v>0</v>
      </c>
      <c r="AF131">
        <v>0</v>
      </c>
      <c r="AG131">
        <v>12</v>
      </c>
      <c r="AH131">
        <v>12</v>
      </c>
      <c r="AI131">
        <v>0</v>
      </c>
      <c r="AJ131">
        <v>0</v>
      </c>
      <c r="AK131">
        <v>0</v>
      </c>
      <c r="AL131">
        <v>0</v>
      </c>
      <c r="AM131">
        <v>0</v>
      </c>
      <c r="AN131">
        <v>0</v>
      </c>
      <c r="AO131">
        <v>0</v>
      </c>
      <c r="AP131">
        <v>0</v>
      </c>
      <c r="AQ131">
        <v>0</v>
      </c>
      <c r="AR131">
        <v>0</v>
      </c>
      <c r="AS131">
        <v>0</v>
      </c>
      <c r="AT131">
        <v>41</v>
      </c>
      <c r="AU131">
        <v>0</v>
      </c>
      <c r="AV131">
        <v>41</v>
      </c>
      <c r="AW131">
        <v>0</v>
      </c>
      <c r="AX131">
        <v>1.2</v>
      </c>
      <c r="AY131">
        <v>0</v>
      </c>
      <c r="AZ131">
        <v>1.2</v>
      </c>
      <c r="BA131">
        <v>0</v>
      </c>
      <c r="BB131">
        <v>0</v>
      </c>
      <c r="BC131">
        <v>0</v>
      </c>
      <c r="BD131">
        <v>0</v>
      </c>
      <c r="BE131">
        <v>0</v>
      </c>
    </row>
    <row r="132" spans="1:58">
      <c r="A132" t="s">
        <v>17041</v>
      </c>
      <c r="B132" t="s">
        <v>17303</v>
      </c>
      <c r="C132">
        <v>0</v>
      </c>
      <c r="D132">
        <v>2</v>
      </c>
      <c r="E132">
        <v>1</v>
      </c>
      <c r="F132">
        <v>2</v>
      </c>
      <c r="G132">
        <v>0</v>
      </c>
      <c r="H132">
        <v>1</v>
      </c>
      <c r="I132">
        <v>0</v>
      </c>
      <c r="J132">
        <v>1</v>
      </c>
      <c r="K132">
        <v>1</v>
      </c>
      <c r="L132">
        <v>1</v>
      </c>
      <c r="M132">
        <v>0</v>
      </c>
      <c r="N132">
        <v>0</v>
      </c>
      <c r="O132">
        <v>0</v>
      </c>
      <c r="P132">
        <v>0</v>
      </c>
      <c r="Q132">
        <v>0</v>
      </c>
      <c r="R132">
        <v>0</v>
      </c>
      <c r="S132">
        <v>0.25</v>
      </c>
      <c r="T132">
        <v>0</v>
      </c>
      <c r="U132">
        <v>0</v>
      </c>
      <c r="V132">
        <v>0.25</v>
      </c>
      <c r="W132">
        <v>2.5</v>
      </c>
      <c r="X132">
        <v>0</v>
      </c>
      <c r="Y132">
        <v>1</v>
      </c>
      <c r="Z132">
        <v>0</v>
      </c>
      <c r="AA132">
        <v>0</v>
      </c>
      <c r="AB132">
        <v>0</v>
      </c>
      <c r="AC132">
        <v>0</v>
      </c>
      <c r="AD132">
        <v>0</v>
      </c>
      <c r="AE132">
        <v>0</v>
      </c>
      <c r="AF132">
        <v>0</v>
      </c>
      <c r="AG132">
        <v>2.5</v>
      </c>
      <c r="AH132">
        <v>2.5</v>
      </c>
      <c r="AI132">
        <v>0</v>
      </c>
      <c r="AJ132">
        <v>0</v>
      </c>
      <c r="AK132">
        <v>0</v>
      </c>
      <c r="AL132">
        <v>0</v>
      </c>
      <c r="AM132">
        <v>0</v>
      </c>
      <c r="AN132">
        <v>0</v>
      </c>
      <c r="AO132">
        <v>0</v>
      </c>
      <c r="AP132">
        <v>0</v>
      </c>
      <c r="AQ132">
        <v>0</v>
      </c>
      <c r="AR132">
        <v>0</v>
      </c>
      <c r="AS132">
        <v>0</v>
      </c>
      <c r="AT132">
        <v>1</v>
      </c>
      <c r="AU132">
        <v>0</v>
      </c>
      <c r="AV132">
        <v>1</v>
      </c>
      <c r="AW132">
        <v>0</v>
      </c>
      <c r="AX132">
        <v>0.25</v>
      </c>
      <c r="AY132">
        <v>0</v>
      </c>
      <c r="AZ132">
        <v>0.25</v>
      </c>
      <c r="BA132">
        <v>0</v>
      </c>
      <c r="BB132">
        <v>0</v>
      </c>
      <c r="BC132">
        <v>0</v>
      </c>
      <c r="BD132">
        <v>0</v>
      </c>
      <c r="BE132">
        <v>0</v>
      </c>
      <c r="BF132">
        <v>125</v>
      </c>
    </row>
    <row r="133" spans="1:58">
      <c r="A133" t="s">
        <v>17044</v>
      </c>
      <c r="B133" t="s">
        <v>17046</v>
      </c>
      <c r="C133">
        <v>1</v>
      </c>
      <c r="D133">
        <v>10</v>
      </c>
      <c r="E133">
        <v>10</v>
      </c>
      <c r="F133">
        <v>10</v>
      </c>
      <c r="G133">
        <v>1</v>
      </c>
      <c r="H133">
        <v>1</v>
      </c>
      <c r="I133">
        <v>1</v>
      </c>
      <c r="J133">
        <v>10</v>
      </c>
      <c r="K133">
        <v>132</v>
      </c>
      <c r="L133">
        <v>1</v>
      </c>
      <c r="M133">
        <v>3</v>
      </c>
      <c r="N133">
        <v>2</v>
      </c>
      <c r="O133">
        <v>4</v>
      </c>
      <c r="P133">
        <v>0</v>
      </c>
      <c r="Q133">
        <v>0</v>
      </c>
      <c r="R133">
        <v>0</v>
      </c>
      <c r="S133">
        <v>24</v>
      </c>
      <c r="T133">
        <v>72</v>
      </c>
      <c r="U133">
        <v>26</v>
      </c>
      <c r="V133">
        <v>122</v>
      </c>
      <c r="W133">
        <v>0</v>
      </c>
      <c r="X133">
        <v>0</v>
      </c>
      <c r="Y133">
        <v>0</v>
      </c>
      <c r="Z133">
        <v>0</v>
      </c>
      <c r="AA133" s="21">
        <v>-1680</v>
      </c>
      <c r="AB133">
        <v>0</v>
      </c>
      <c r="AC133">
        <v>0</v>
      </c>
      <c r="AD133">
        <v>0</v>
      </c>
      <c r="AE133">
        <v>304</v>
      </c>
      <c r="AF133">
        <v>0</v>
      </c>
      <c r="AG133">
        <v>520</v>
      </c>
      <c r="AH133">
        <v>216</v>
      </c>
      <c r="AI133">
        <v>304</v>
      </c>
      <c r="AJ133">
        <v>0</v>
      </c>
      <c r="AK133">
        <v>520</v>
      </c>
      <c r="AL133">
        <v>216</v>
      </c>
      <c r="AM133">
        <v>0</v>
      </c>
      <c r="AN133">
        <v>0</v>
      </c>
      <c r="AO133">
        <v>0</v>
      </c>
      <c r="AP133">
        <v>1</v>
      </c>
      <c r="AQ133">
        <v>0</v>
      </c>
      <c r="AR133">
        <v>0</v>
      </c>
      <c r="AS133">
        <v>0</v>
      </c>
      <c r="AT133">
        <v>132</v>
      </c>
      <c r="AU133">
        <v>79</v>
      </c>
      <c r="AV133">
        <v>53</v>
      </c>
      <c r="AW133">
        <v>79</v>
      </c>
      <c r="AX133">
        <v>24</v>
      </c>
      <c r="AY133">
        <v>24</v>
      </c>
      <c r="AZ133">
        <v>0</v>
      </c>
      <c r="BA133">
        <v>24</v>
      </c>
      <c r="BB133">
        <v>72</v>
      </c>
      <c r="BC133">
        <v>72</v>
      </c>
      <c r="BD133">
        <v>0</v>
      </c>
      <c r="BE133">
        <v>72</v>
      </c>
      <c r="BF133">
        <v>0</v>
      </c>
    </row>
    <row r="134" spans="1:58">
      <c r="A134" t="s">
        <v>17044</v>
      </c>
      <c r="B134" t="s">
        <v>17047</v>
      </c>
      <c r="C134">
        <v>0</v>
      </c>
      <c r="D134">
        <v>4</v>
      </c>
      <c r="E134">
        <v>4</v>
      </c>
      <c r="F134">
        <v>4</v>
      </c>
      <c r="G134">
        <v>3</v>
      </c>
      <c r="H134">
        <v>3</v>
      </c>
      <c r="I134">
        <v>2</v>
      </c>
      <c r="J134">
        <v>4</v>
      </c>
      <c r="K134">
        <v>110</v>
      </c>
      <c r="L134">
        <v>0</v>
      </c>
      <c r="M134">
        <v>0</v>
      </c>
      <c r="N134">
        <v>1</v>
      </c>
      <c r="O134">
        <v>1</v>
      </c>
      <c r="P134">
        <v>0</v>
      </c>
      <c r="Q134">
        <v>2</v>
      </c>
      <c r="R134">
        <v>0</v>
      </c>
      <c r="S134">
        <v>2</v>
      </c>
      <c r="T134">
        <v>21</v>
      </c>
      <c r="U134">
        <v>0</v>
      </c>
      <c r="V134">
        <v>23</v>
      </c>
      <c r="W134">
        <v>440</v>
      </c>
      <c r="X134">
        <v>0</v>
      </c>
      <c r="Y134">
        <v>2</v>
      </c>
      <c r="Z134">
        <v>0</v>
      </c>
      <c r="AA134">
        <v>0</v>
      </c>
      <c r="AB134">
        <v>380</v>
      </c>
      <c r="AC134">
        <v>37.5</v>
      </c>
      <c r="AD134">
        <v>37.5</v>
      </c>
      <c r="AE134">
        <v>0</v>
      </c>
      <c r="AF134">
        <v>417.5</v>
      </c>
      <c r="AG134">
        <v>477.5</v>
      </c>
      <c r="AH134">
        <v>477.5</v>
      </c>
      <c r="AI134">
        <v>0</v>
      </c>
      <c r="AJ134">
        <v>417.5</v>
      </c>
      <c r="AK134">
        <v>477.5</v>
      </c>
      <c r="AL134">
        <v>477.5</v>
      </c>
      <c r="AM134">
        <v>0</v>
      </c>
      <c r="AN134">
        <v>0</v>
      </c>
      <c r="AO134">
        <v>0</v>
      </c>
      <c r="AP134">
        <v>0</v>
      </c>
      <c r="AQ134">
        <v>0</v>
      </c>
      <c r="AR134">
        <v>0</v>
      </c>
      <c r="AS134">
        <v>0</v>
      </c>
      <c r="AT134">
        <v>110</v>
      </c>
      <c r="AU134">
        <v>101</v>
      </c>
      <c r="AV134">
        <v>9</v>
      </c>
      <c r="AW134">
        <v>0</v>
      </c>
      <c r="AX134">
        <v>2</v>
      </c>
      <c r="AY134">
        <v>2</v>
      </c>
      <c r="AZ134">
        <v>0</v>
      </c>
      <c r="BA134">
        <v>0</v>
      </c>
      <c r="BB134">
        <v>21</v>
      </c>
      <c r="BC134">
        <v>21</v>
      </c>
      <c r="BD134">
        <v>0</v>
      </c>
      <c r="BE134">
        <v>0</v>
      </c>
      <c r="BF134">
        <v>0</v>
      </c>
    </row>
    <row r="135" spans="1:58">
      <c r="A135" t="s">
        <v>17044</v>
      </c>
      <c r="B135" t="s">
        <v>17049</v>
      </c>
      <c r="C135">
        <v>0</v>
      </c>
      <c r="D135">
        <v>12</v>
      </c>
      <c r="E135">
        <v>12</v>
      </c>
      <c r="F135">
        <v>10</v>
      </c>
      <c r="G135">
        <v>1</v>
      </c>
      <c r="H135">
        <v>0</v>
      </c>
      <c r="I135">
        <v>0</v>
      </c>
      <c r="J135">
        <v>12</v>
      </c>
      <c r="K135">
        <v>261</v>
      </c>
      <c r="L135">
        <v>5</v>
      </c>
      <c r="M135">
        <v>0</v>
      </c>
      <c r="N135">
        <v>1</v>
      </c>
      <c r="O135">
        <v>2</v>
      </c>
      <c r="P135">
        <v>0</v>
      </c>
      <c r="Q135">
        <v>4</v>
      </c>
      <c r="R135">
        <v>0</v>
      </c>
      <c r="S135">
        <v>1.83</v>
      </c>
      <c r="T135">
        <v>1.83</v>
      </c>
      <c r="U135">
        <v>0</v>
      </c>
      <c r="V135">
        <v>3.66</v>
      </c>
      <c r="W135">
        <v>54.9</v>
      </c>
      <c r="X135">
        <v>0</v>
      </c>
      <c r="Y135">
        <v>8</v>
      </c>
      <c r="Z135">
        <v>0</v>
      </c>
      <c r="AA135">
        <v>0</v>
      </c>
      <c r="AB135">
        <v>0</v>
      </c>
      <c r="AC135">
        <v>0</v>
      </c>
      <c r="AD135">
        <v>183.25</v>
      </c>
      <c r="AE135">
        <v>123.75</v>
      </c>
      <c r="AF135">
        <v>183.25</v>
      </c>
      <c r="AG135">
        <v>54.9</v>
      </c>
      <c r="AH135">
        <v>22.5</v>
      </c>
      <c r="AI135">
        <v>0</v>
      </c>
      <c r="AJ135">
        <v>0</v>
      </c>
      <c r="AK135">
        <v>0</v>
      </c>
      <c r="AL135">
        <v>0</v>
      </c>
      <c r="AM135">
        <v>1</v>
      </c>
      <c r="AN135">
        <v>4</v>
      </c>
      <c r="AO135">
        <v>0</v>
      </c>
      <c r="AP135">
        <v>0</v>
      </c>
      <c r="AQ135">
        <v>0</v>
      </c>
      <c r="AR135">
        <v>0</v>
      </c>
      <c r="AS135">
        <v>0</v>
      </c>
      <c r="AT135">
        <v>261</v>
      </c>
      <c r="AU135">
        <v>0</v>
      </c>
      <c r="AV135">
        <v>261</v>
      </c>
      <c r="AW135">
        <v>0</v>
      </c>
      <c r="AX135">
        <v>1.83</v>
      </c>
      <c r="AY135">
        <v>0</v>
      </c>
      <c r="AZ135">
        <v>1.91</v>
      </c>
      <c r="BA135">
        <v>0</v>
      </c>
      <c r="BB135">
        <v>1.91</v>
      </c>
      <c r="BC135">
        <v>0</v>
      </c>
      <c r="BD135">
        <v>1.91</v>
      </c>
      <c r="BE135">
        <v>0</v>
      </c>
      <c r="BF135">
        <v>0</v>
      </c>
    </row>
    <row r="136" spans="1:58">
      <c r="A136" t="s">
        <v>17044</v>
      </c>
      <c r="B136" t="s">
        <v>18821</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row>
    <row r="137" spans="1:58">
      <c r="A137" t="s">
        <v>17044</v>
      </c>
      <c r="B137" t="s">
        <v>17050</v>
      </c>
      <c r="C137">
        <v>0</v>
      </c>
      <c r="D137">
        <v>21</v>
      </c>
      <c r="E137">
        <v>17</v>
      </c>
      <c r="F137">
        <v>12</v>
      </c>
      <c r="G137">
        <v>1</v>
      </c>
      <c r="H137">
        <v>0</v>
      </c>
      <c r="I137">
        <v>0</v>
      </c>
      <c r="J137">
        <v>18</v>
      </c>
      <c r="K137">
        <v>137</v>
      </c>
      <c r="L137">
        <v>5</v>
      </c>
      <c r="M137">
        <v>1</v>
      </c>
      <c r="N137">
        <v>4</v>
      </c>
      <c r="O137">
        <v>5</v>
      </c>
      <c r="P137">
        <v>1</v>
      </c>
      <c r="Q137">
        <v>1</v>
      </c>
      <c r="R137">
        <v>0</v>
      </c>
      <c r="S137">
        <v>35.5</v>
      </c>
      <c r="T137">
        <v>7.5</v>
      </c>
      <c r="U137">
        <v>0</v>
      </c>
      <c r="V137">
        <v>43</v>
      </c>
      <c r="W137">
        <v>505</v>
      </c>
      <c r="X137">
        <v>0</v>
      </c>
      <c r="Y137">
        <v>13</v>
      </c>
      <c r="Z137">
        <v>0</v>
      </c>
      <c r="AA137">
        <v>0</v>
      </c>
      <c r="AB137">
        <v>252.5</v>
      </c>
      <c r="AC137">
        <v>130.02000000000001</v>
      </c>
      <c r="AD137">
        <v>130.02000000000001</v>
      </c>
      <c r="AE137">
        <v>152.5</v>
      </c>
      <c r="AF137">
        <v>382.52</v>
      </c>
      <c r="AG137">
        <v>635.02</v>
      </c>
      <c r="AH137">
        <v>482.52</v>
      </c>
      <c r="AI137">
        <v>0</v>
      </c>
      <c r="AJ137">
        <v>0</v>
      </c>
      <c r="AK137">
        <v>0</v>
      </c>
      <c r="AL137">
        <v>0</v>
      </c>
      <c r="AM137">
        <v>0</v>
      </c>
      <c r="AN137">
        <v>0</v>
      </c>
      <c r="AO137">
        <v>0</v>
      </c>
      <c r="AP137">
        <v>1</v>
      </c>
      <c r="AQ137">
        <v>0</v>
      </c>
      <c r="AR137">
        <v>0</v>
      </c>
      <c r="AS137">
        <v>0</v>
      </c>
      <c r="AT137">
        <v>137</v>
      </c>
      <c r="AU137">
        <v>0</v>
      </c>
      <c r="AV137">
        <v>137</v>
      </c>
      <c r="AW137">
        <v>0</v>
      </c>
      <c r="AX137">
        <v>35.5</v>
      </c>
      <c r="AY137">
        <v>0</v>
      </c>
      <c r="AZ137">
        <v>35.5</v>
      </c>
      <c r="BA137">
        <v>0</v>
      </c>
      <c r="BB137">
        <v>7.5</v>
      </c>
      <c r="BC137">
        <v>0</v>
      </c>
      <c r="BD137">
        <v>7.5</v>
      </c>
      <c r="BE137">
        <v>0</v>
      </c>
      <c r="BF137">
        <v>0</v>
      </c>
    </row>
    <row r="138" spans="1:58">
      <c r="A138" t="s">
        <v>17044</v>
      </c>
      <c r="B138" t="s">
        <v>17341</v>
      </c>
      <c r="C138">
        <v>0</v>
      </c>
      <c r="D138">
        <v>1</v>
      </c>
      <c r="E138">
        <v>0</v>
      </c>
      <c r="F138">
        <v>1</v>
      </c>
      <c r="G138">
        <v>0</v>
      </c>
      <c r="H138">
        <v>0</v>
      </c>
      <c r="I138">
        <v>0</v>
      </c>
      <c r="J138">
        <v>1</v>
      </c>
      <c r="K138">
        <v>8</v>
      </c>
      <c r="L138">
        <v>1</v>
      </c>
      <c r="M138">
        <v>0</v>
      </c>
      <c r="N138">
        <v>0</v>
      </c>
      <c r="O138">
        <v>0</v>
      </c>
      <c r="P138">
        <v>0</v>
      </c>
      <c r="Q138">
        <v>0</v>
      </c>
      <c r="R138">
        <v>0</v>
      </c>
      <c r="S138">
        <v>1</v>
      </c>
      <c r="T138">
        <v>0</v>
      </c>
      <c r="U138">
        <v>0</v>
      </c>
      <c r="V138">
        <v>1</v>
      </c>
      <c r="W138">
        <v>10</v>
      </c>
      <c r="X138">
        <v>0</v>
      </c>
      <c r="Y138">
        <v>1</v>
      </c>
      <c r="Z138">
        <v>0</v>
      </c>
      <c r="AA138">
        <v>0</v>
      </c>
      <c r="AB138">
        <v>0</v>
      </c>
      <c r="AC138">
        <v>0</v>
      </c>
      <c r="AD138">
        <v>0</v>
      </c>
      <c r="AE138">
        <v>0</v>
      </c>
      <c r="AF138">
        <v>0</v>
      </c>
      <c r="AG138">
        <v>10</v>
      </c>
      <c r="AH138">
        <v>10</v>
      </c>
      <c r="AI138">
        <v>0</v>
      </c>
      <c r="AJ138">
        <v>0</v>
      </c>
      <c r="AK138">
        <v>0</v>
      </c>
      <c r="AL138">
        <v>0</v>
      </c>
      <c r="AM138">
        <v>0</v>
      </c>
      <c r="AN138">
        <v>0</v>
      </c>
      <c r="AO138">
        <v>0</v>
      </c>
      <c r="AP138">
        <v>0</v>
      </c>
      <c r="AQ138">
        <v>0</v>
      </c>
      <c r="AR138">
        <v>0</v>
      </c>
      <c r="AS138">
        <v>0</v>
      </c>
      <c r="AT138">
        <v>8</v>
      </c>
      <c r="AU138">
        <v>0</v>
      </c>
      <c r="AV138">
        <v>8</v>
      </c>
      <c r="AW138">
        <v>0</v>
      </c>
      <c r="AX138">
        <v>1</v>
      </c>
      <c r="AY138">
        <v>0</v>
      </c>
      <c r="AZ138">
        <v>1</v>
      </c>
      <c r="BA138">
        <v>0</v>
      </c>
      <c r="BB138">
        <v>0</v>
      </c>
      <c r="BC138">
        <v>0</v>
      </c>
      <c r="BD138">
        <v>0</v>
      </c>
      <c r="BE138">
        <v>0</v>
      </c>
      <c r="BF138">
        <v>0</v>
      </c>
    </row>
    <row r="139" spans="1:58">
      <c r="A139" t="s">
        <v>17044</v>
      </c>
      <c r="B139" t="s">
        <v>17342</v>
      </c>
      <c r="C139">
        <v>0</v>
      </c>
      <c r="D139">
        <v>5</v>
      </c>
      <c r="E139">
        <v>5</v>
      </c>
      <c r="F139">
        <v>5</v>
      </c>
      <c r="G139">
        <v>2</v>
      </c>
      <c r="H139">
        <v>3</v>
      </c>
      <c r="I139">
        <v>0</v>
      </c>
      <c r="J139">
        <v>5</v>
      </c>
      <c r="K139">
        <v>87</v>
      </c>
      <c r="L139">
        <v>0</v>
      </c>
      <c r="M139">
        <v>1</v>
      </c>
      <c r="N139">
        <v>3</v>
      </c>
      <c r="O139">
        <v>0</v>
      </c>
      <c r="P139">
        <v>0</v>
      </c>
      <c r="Q139">
        <v>0</v>
      </c>
      <c r="R139">
        <v>0</v>
      </c>
      <c r="S139">
        <v>4.5</v>
      </c>
      <c r="T139">
        <v>12</v>
      </c>
      <c r="U139">
        <v>0</v>
      </c>
      <c r="V139">
        <v>16.5</v>
      </c>
      <c r="W139">
        <v>285</v>
      </c>
      <c r="X139">
        <v>0</v>
      </c>
      <c r="Y139">
        <v>4</v>
      </c>
      <c r="Z139">
        <v>0</v>
      </c>
      <c r="AA139">
        <v>0</v>
      </c>
      <c r="AB139">
        <v>185</v>
      </c>
      <c r="AC139">
        <v>0</v>
      </c>
      <c r="AD139">
        <v>0</v>
      </c>
      <c r="AE139">
        <v>185</v>
      </c>
      <c r="AF139">
        <v>185</v>
      </c>
      <c r="AG139">
        <v>285</v>
      </c>
      <c r="AH139">
        <v>100</v>
      </c>
      <c r="AI139">
        <v>185</v>
      </c>
      <c r="AJ139">
        <v>185</v>
      </c>
      <c r="AK139">
        <v>270</v>
      </c>
      <c r="AL139">
        <v>85</v>
      </c>
      <c r="AM139">
        <v>0</v>
      </c>
      <c r="AN139">
        <v>1</v>
      </c>
      <c r="AO139">
        <v>0</v>
      </c>
      <c r="AP139">
        <v>1</v>
      </c>
      <c r="AQ139">
        <v>0</v>
      </c>
      <c r="AR139">
        <v>0</v>
      </c>
      <c r="AS139">
        <v>0</v>
      </c>
      <c r="AT139">
        <v>87</v>
      </c>
      <c r="AU139">
        <v>72</v>
      </c>
      <c r="AV139">
        <v>15</v>
      </c>
      <c r="AW139">
        <v>0</v>
      </c>
      <c r="AX139">
        <v>4.5</v>
      </c>
      <c r="AY139">
        <v>4</v>
      </c>
      <c r="AZ139">
        <v>0.5</v>
      </c>
      <c r="BA139">
        <v>0</v>
      </c>
      <c r="BB139">
        <v>12</v>
      </c>
      <c r="BC139">
        <v>11.5</v>
      </c>
      <c r="BD139">
        <v>0.5</v>
      </c>
      <c r="BE139">
        <v>0</v>
      </c>
      <c r="BF139">
        <v>0</v>
      </c>
    </row>
    <row r="140" spans="1:58">
      <c r="A140" t="s">
        <v>17044</v>
      </c>
      <c r="B140" t="s">
        <v>17057</v>
      </c>
      <c r="C140">
        <v>81</v>
      </c>
      <c r="D140">
        <v>116</v>
      </c>
      <c r="E140">
        <v>116</v>
      </c>
      <c r="F140">
        <v>101</v>
      </c>
      <c r="G140">
        <v>16</v>
      </c>
      <c r="H140">
        <v>7</v>
      </c>
      <c r="I140">
        <v>1</v>
      </c>
      <c r="J140">
        <v>115</v>
      </c>
      <c r="K140" s="21">
        <v>1272</v>
      </c>
      <c r="L140">
        <v>56</v>
      </c>
      <c r="M140">
        <v>3</v>
      </c>
      <c r="N140">
        <v>46</v>
      </c>
      <c r="O140">
        <v>4</v>
      </c>
      <c r="P140">
        <v>1</v>
      </c>
      <c r="Q140">
        <v>6</v>
      </c>
      <c r="R140">
        <v>0</v>
      </c>
      <c r="S140">
        <v>38</v>
      </c>
      <c r="T140">
        <v>28.5</v>
      </c>
      <c r="U140">
        <v>2.25</v>
      </c>
      <c r="V140">
        <v>68.25</v>
      </c>
      <c r="W140">
        <v>465</v>
      </c>
      <c r="X140">
        <v>0</v>
      </c>
      <c r="Y140">
        <v>29</v>
      </c>
      <c r="Z140">
        <v>0</v>
      </c>
      <c r="AA140">
        <v>-477.5</v>
      </c>
      <c r="AB140">
        <v>25</v>
      </c>
      <c r="AC140" s="20">
        <v>1156.29</v>
      </c>
      <c r="AD140" s="20">
        <v>1067.29</v>
      </c>
      <c r="AE140" s="20">
        <v>1053.94</v>
      </c>
      <c r="AF140" s="20">
        <v>1082.04</v>
      </c>
      <c r="AG140" s="20">
        <v>1661.04</v>
      </c>
      <c r="AH140">
        <v>607.35</v>
      </c>
      <c r="AI140">
        <v>51.75</v>
      </c>
      <c r="AJ140">
        <v>53.75</v>
      </c>
      <c r="AK140">
        <v>176.25</v>
      </c>
      <c r="AL140">
        <v>124.5</v>
      </c>
      <c r="AM140">
        <v>48</v>
      </c>
      <c r="AN140">
        <v>32</v>
      </c>
      <c r="AO140">
        <v>3</v>
      </c>
      <c r="AP140">
        <v>1</v>
      </c>
      <c r="AQ140">
        <v>0</v>
      </c>
      <c r="AR140">
        <v>0</v>
      </c>
      <c r="AS140">
        <v>0</v>
      </c>
      <c r="AT140" s="21">
        <v>1272</v>
      </c>
      <c r="AU140">
        <v>88</v>
      </c>
      <c r="AV140">
        <v>284</v>
      </c>
      <c r="AW140">
        <v>901</v>
      </c>
      <c r="AX140">
        <v>38</v>
      </c>
      <c r="AY140">
        <v>5.5</v>
      </c>
      <c r="AZ140">
        <v>11.5</v>
      </c>
      <c r="BA140">
        <v>21.25</v>
      </c>
      <c r="BB140">
        <v>28.5</v>
      </c>
      <c r="BC140">
        <v>2.5</v>
      </c>
      <c r="BD140">
        <v>12.75</v>
      </c>
      <c r="BE140">
        <v>13.25</v>
      </c>
      <c r="BF140">
        <v>0</v>
      </c>
    </row>
    <row r="141" spans="1:58">
      <c r="A141" t="s">
        <v>17044</v>
      </c>
      <c r="B141" t="s">
        <v>17340</v>
      </c>
      <c r="C141">
        <v>0</v>
      </c>
      <c r="D141">
        <v>5</v>
      </c>
      <c r="E141">
        <v>5</v>
      </c>
      <c r="F141">
        <v>5</v>
      </c>
      <c r="G141">
        <v>1</v>
      </c>
      <c r="H141">
        <v>2</v>
      </c>
      <c r="I141">
        <v>0</v>
      </c>
      <c r="J141">
        <v>5</v>
      </c>
      <c r="K141">
        <v>132</v>
      </c>
      <c r="L141">
        <v>2</v>
      </c>
      <c r="M141">
        <v>0</v>
      </c>
      <c r="N141">
        <v>2</v>
      </c>
      <c r="O141">
        <v>1</v>
      </c>
      <c r="P141">
        <v>0</v>
      </c>
      <c r="Q141">
        <v>0</v>
      </c>
      <c r="R141">
        <v>0</v>
      </c>
      <c r="S141">
        <v>13</v>
      </c>
      <c r="T141">
        <v>14</v>
      </c>
      <c r="U141">
        <v>0</v>
      </c>
      <c r="V141">
        <v>27</v>
      </c>
      <c r="W141">
        <v>410</v>
      </c>
      <c r="X141">
        <v>0</v>
      </c>
      <c r="Y141">
        <v>5</v>
      </c>
      <c r="Z141">
        <v>0</v>
      </c>
      <c r="AA141">
        <v>0</v>
      </c>
      <c r="AB141">
        <v>260</v>
      </c>
      <c r="AC141">
        <v>64</v>
      </c>
      <c r="AD141">
        <v>34.5</v>
      </c>
      <c r="AE141">
        <v>294.5</v>
      </c>
      <c r="AF141">
        <v>294.5</v>
      </c>
      <c r="AG141">
        <v>474</v>
      </c>
      <c r="AH141">
        <v>179.5</v>
      </c>
      <c r="AI141">
        <v>260</v>
      </c>
      <c r="AJ141">
        <v>260</v>
      </c>
      <c r="AK141">
        <v>320</v>
      </c>
      <c r="AL141">
        <v>60</v>
      </c>
      <c r="AM141">
        <v>0</v>
      </c>
      <c r="AN141">
        <v>1</v>
      </c>
      <c r="AO141">
        <v>0</v>
      </c>
      <c r="AP141">
        <v>1</v>
      </c>
      <c r="AQ141">
        <v>0</v>
      </c>
      <c r="AR141">
        <v>0</v>
      </c>
      <c r="AS141">
        <v>0</v>
      </c>
      <c r="AT141">
        <v>132</v>
      </c>
      <c r="AU141">
        <v>75</v>
      </c>
      <c r="AV141">
        <v>57</v>
      </c>
      <c r="AW141">
        <v>0</v>
      </c>
      <c r="AX141">
        <v>13</v>
      </c>
      <c r="AY141">
        <v>10</v>
      </c>
      <c r="AZ141">
        <v>3</v>
      </c>
      <c r="BA141">
        <v>0</v>
      </c>
      <c r="BB141">
        <v>14</v>
      </c>
      <c r="BC141">
        <v>11</v>
      </c>
      <c r="BD141">
        <v>3</v>
      </c>
      <c r="BE141">
        <v>0</v>
      </c>
      <c r="BF141">
        <v>26</v>
      </c>
    </row>
    <row r="142" spans="1:58">
      <c r="A142" t="s">
        <v>17044</v>
      </c>
      <c r="B142" t="s">
        <v>17058</v>
      </c>
      <c r="C142">
        <v>43</v>
      </c>
      <c r="D142">
        <v>87</v>
      </c>
      <c r="E142">
        <v>84</v>
      </c>
      <c r="F142">
        <v>83</v>
      </c>
      <c r="G142">
        <v>7</v>
      </c>
      <c r="H142">
        <v>0</v>
      </c>
      <c r="I142">
        <v>0</v>
      </c>
      <c r="J142">
        <v>86</v>
      </c>
      <c r="K142">
        <v>466</v>
      </c>
      <c r="L142">
        <v>31</v>
      </c>
      <c r="M142">
        <v>21</v>
      </c>
      <c r="N142">
        <v>24</v>
      </c>
      <c r="O142">
        <v>6</v>
      </c>
      <c r="P142">
        <v>4</v>
      </c>
      <c r="Q142">
        <v>0</v>
      </c>
      <c r="R142">
        <v>0</v>
      </c>
      <c r="S142">
        <v>40.5</v>
      </c>
      <c r="T142">
        <v>7</v>
      </c>
      <c r="U142">
        <v>12.4</v>
      </c>
      <c r="V142">
        <v>59.9</v>
      </c>
      <c r="W142">
        <v>415</v>
      </c>
      <c r="X142">
        <v>0</v>
      </c>
      <c r="Y142">
        <v>35</v>
      </c>
      <c r="Z142">
        <v>0</v>
      </c>
      <c r="AA142">
        <v>-130</v>
      </c>
      <c r="AB142">
        <v>150</v>
      </c>
      <c r="AC142" s="20">
        <v>2421.75</v>
      </c>
      <c r="AD142">
        <v>533</v>
      </c>
      <c r="AE142">
        <v>313.75</v>
      </c>
      <c r="AF142">
        <v>681</v>
      </c>
      <c r="AG142" s="20">
        <v>3084.75</v>
      </c>
      <c r="AH142" s="21">
        <v>2771</v>
      </c>
      <c r="AI142">
        <v>0</v>
      </c>
      <c r="AJ142">
        <v>0</v>
      </c>
      <c r="AK142">
        <v>0</v>
      </c>
      <c r="AL142">
        <v>0</v>
      </c>
      <c r="AM142">
        <v>14</v>
      </c>
      <c r="AN142">
        <v>11</v>
      </c>
      <c r="AO142">
        <v>0</v>
      </c>
      <c r="AP142">
        <v>0</v>
      </c>
      <c r="AQ142">
        <v>0</v>
      </c>
      <c r="AR142">
        <v>0</v>
      </c>
      <c r="AS142">
        <v>0</v>
      </c>
      <c r="AT142">
        <v>466</v>
      </c>
      <c r="AU142">
        <v>0</v>
      </c>
      <c r="AV142">
        <v>250</v>
      </c>
      <c r="AW142">
        <v>216</v>
      </c>
      <c r="AX142">
        <v>40.5</v>
      </c>
      <c r="AY142">
        <v>0</v>
      </c>
      <c r="AZ142">
        <v>29.5</v>
      </c>
      <c r="BA142">
        <v>11</v>
      </c>
      <c r="BB142">
        <v>7</v>
      </c>
      <c r="BC142">
        <v>0</v>
      </c>
      <c r="BD142">
        <v>6</v>
      </c>
      <c r="BE142">
        <v>1</v>
      </c>
      <c r="BF142">
        <v>0</v>
      </c>
    </row>
    <row r="143" spans="1:58">
      <c r="A143" t="s">
        <v>17059</v>
      </c>
      <c r="B143" t="s">
        <v>19345</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row>
    <row r="144" spans="1:58">
      <c r="A144" t="s">
        <v>16978</v>
      </c>
      <c r="B144" t="s">
        <v>17086</v>
      </c>
      <c r="C144">
        <v>0</v>
      </c>
      <c r="D144">
        <v>6</v>
      </c>
      <c r="E144">
        <v>6</v>
      </c>
      <c r="F144">
        <v>5</v>
      </c>
      <c r="G144">
        <v>0</v>
      </c>
      <c r="H144">
        <v>0</v>
      </c>
      <c r="I144">
        <v>0</v>
      </c>
      <c r="J144">
        <v>6</v>
      </c>
      <c r="K144">
        <v>32</v>
      </c>
      <c r="L144">
        <v>0</v>
      </c>
      <c r="M144">
        <v>2</v>
      </c>
      <c r="N144">
        <v>4</v>
      </c>
      <c r="O144">
        <v>0</v>
      </c>
      <c r="P144">
        <v>0</v>
      </c>
      <c r="Q144">
        <v>0</v>
      </c>
      <c r="R144">
        <v>0</v>
      </c>
      <c r="S144">
        <v>9.5</v>
      </c>
      <c r="T144">
        <v>0</v>
      </c>
      <c r="U144">
        <v>0</v>
      </c>
      <c r="V144">
        <v>9.5</v>
      </c>
      <c r="W144">
        <v>95</v>
      </c>
      <c r="X144">
        <v>0</v>
      </c>
      <c r="Y144">
        <v>4</v>
      </c>
      <c r="Z144">
        <v>0</v>
      </c>
      <c r="AA144">
        <v>0</v>
      </c>
      <c r="AB144">
        <v>20</v>
      </c>
      <c r="AC144">
        <v>0</v>
      </c>
      <c r="AD144">
        <v>0</v>
      </c>
      <c r="AE144">
        <v>0</v>
      </c>
      <c r="AF144">
        <v>20</v>
      </c>
      <c r="AG144">
        <v>95</v>
      </c>
      <c r="AH144">
        <v>95</v>
      </c>
      <c r="AI144">
        <v>0</v>
      </c>
      <c r="AJ144">
        <v>0</v>
      </c>
      <c r="AK144">
        <v>0</v>
      </c>
      <c r="AL144">
        <v>0</v>
      </c>
      <c r="AM144">
        <v>0</v>
      </c>
      <c r="AN144">
        <v>0</v>
      </c>
      <c r="AO144">
        <v>0</v>
      </c>
      <c r="AP144">
        <v>0</v>
      </c>
      <c r="AQ144">
        <v>0</v>
      </c>
      <c r="AR144">
        <v>0</v>
      </c>
      <c r="AS144">
        <v>0</v>
      </c>
      <c r="AT144">
        <v>32</v>
      </c>
      <c r="AU144">
        <v>0</v>
      </c>
      <c r="AV144">
        <v>32</v>
      </c>
      <c r="AW144">
        <v>0</v>
      </c>
      <c r="AX144">
        <v>9.5</v>
      </c>
      <c r="AY144">
        <v>0</v>
      </c>
      <c r="AZ144">
        <v>9.5</v>
      </c>
      <c r="BA144">
        <v>0</v>
      </c>
      <c r="BB144">
        <v>0</v>
      </c>
      <c r="BC144">
        <v>0</v>
      </c>
      <c r="BD144">
        <v>0</v>
      </c>
      <c r="BE144">
        <v>0</v>
      </c>
    </row>
    <row r="145" spans="1:58">
      <c r="A145" t="s">
        <v>16978</v>
      </c>
      <c r="B145" t="s">
        <v>17065</v>
      </c>
      <c r="C145">
        <v>0</v>
      </c>
      <c r="D145">
        <v>2</v>
      </c>
      <c r="E145">
        <v>0</v>
      </c>
      <c r="F145">
        <v>0</v>
      </c>
      <c r="G145">
        <v>0</v>
      </c>
      <c r="H145">
        <v>0</v>
      </c>
      <c r="I145">
        <v>0</v>
      </c>
      <c r="J145">
        <v>0</v>
      </c>
      <c r="K145">
        <v>2</v>
      </c>
      <c r="L145">
        <v>0</v>
      </c>
      <c r="M145">
        <v>0</v>
      </c>
      <c r="N145">
        <v>0</v>
      </c>
      <c r="O145">
        <v>0</v>
      </c>
      <c r="P145">
        <v>0</v>
      </c>
      <c r="Q145">
        <v>2</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2</v>
      </c>
      <c r="AU145">
        <v>0</v>
      </c>
      <c r="AV145">
        <v>2</v>
      </c>
      <c r="AW145">
        <v>0</v>
      </c>
      <c r="AX145">
        <v>0</v>
      </c>
      <c r="AY145">
        <v>0</v>
      </c>
      <c r="AZ145">
        <v>0</v>
      </c>
      <c r="BA145">
        <v>0</v>
      </c>
      <c r="BB145">
        <v>0</v>
      </c>
      <c r="BC145">
        <v>0</v>
      </c>
      <c r="BD145">
        <v>0</v>
      </c>
      <c r="BE145">
        <v>0</v>
      </c>
    </row>
    <row r="146" spans="1:58">
      <c r="A146" t="s">
        <v>16978</v>
      </c>
      <c r="B146" t="s">
        <v>18823</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115</v>
      </c>
    </row>
    <row r="147" spans="1:58">
      <c r="A147" t="s">
        <v>16978</v>
      </c>
      <c r="B147" t="s">
        <v>17330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30</v>
      </c>
    </row>
    <row r="148" spans="1:58">
      <c r="A148" t="s">
        <v>16978</v>
      </c>
      <c r="B148" t="s">
        <v>18824</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row>
    <row r="149" spans="1:58">
      <c r="A149" t="s">
        <v>16978</v>
      </c>
      <c r="B149" t="s">
        <v>17064</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row>
    <row r="150" spans="1:58">
      <c r="A150" t="s">
        <v>16978</v>
      </c>
      <c r="B150" t="s">
        <v>17066</v>
      </c>
      <c r="C150">
        <v>0</v>
      </c>
      <c r="D150">
        <v>2</v>
      </c>
      <c r="E150">
        <v>0</v>
      </c>
      <c r="F150">
        <v>2</v>
      </c>
      <c r="G150">
        <v>1</v>
      </c>
      <c r="H150">
        <v>1</v>
      </c>
      <c r="I150">
        <v>0</v>
      </c>
      <c r="J150">
        <v>1</v>
      </c>
      <c r="K150">
        <v>11</v>
      </c>
      <c r="L150">
        <v>1</v>
      </c>
      <c r="M150">
        <v>0</v>
      </c>
      <c r="N150">
        <v>0</v>
      </c>
      <c r="O150">
        <v>0</v>
      </c>
      <c r="P150">
        <v>0</v>
      </c>
      <c r="Q150">
        <v>0</v>
      </c>
      <c r="R150">
        <v>0</v>
      </c>
      <c r="S150">
        <v>0.5</v>
      </c>
      <c r="T150">
        <v>0</v>
      </c>
      <c r="U150">
        <v>0</v>
      </c>
      <c r="V150">
        <v>0.5</v>
      </c>
      <c r="W150">
        <v>5</v>
      </c>
      <c r="X150">
        <v>0</v>
      </c>
      <c r="Y150">
        <v>1</v>
      </c>
      <c r="Z150">
        <v>0</v>
      </c>
      <c r="AA150">
        <v>0</v>
      </c>
      <c r="AB150">
        <v>0</v>
      </c>
      <c r="AC150">
        <v>0</v>
      </c>
      <c r="AD150">
        <v>0</v>
      </c>
      <c r="AE150">
        <v>0</v>
      </c>
      <c r="AF150">
        <v>0</v>
      </c>
      <c r="AG150">
        <v>5</v>
      </c>
      <c r="AH150">
        <v>5</v>
      </c>
      <c r="AI150">
        <v>0</v>
      </c>
      <c r="AJ150">
        <v>0</v>
      </c>
      <c r="AK150">
        <v>0</v>
      </c>
      <c r="AL150">
        <v>0</v>
      </c>
      <c r="AM150">
        <v>0</v>
      </c>
      <c r="AN150">
        <v>0</v>
      </c>
      <c r="AO150">
        <v>0</v>
      </c>
      <c r="AP150">
        <v>0</v>
      </c>
      <c r="AQ150">
        <v>0</v>
      </c>
      <c r="AR150">
        <v>0</v>
      </c>
      <c r="AS150">
        <v>0</v>
      </c>
      <c r="AT150">
        <v>11</v>
      </c>
      <c r="AU150">
        <v>0</v>
      </c>
      <c r="AV150">
        <v>11</v>
      </c>
      <c r="AW150">
        <v>0</v>
      </c>
      <c r="AX150">
        <v>0.5</v>
      </c>
      <c r="AY150">
        <v>0</v>
      </c>
      <c r="AZ150">
        <v>0.5</v>
      </c>
      <c r="BA150">
        <v>0</v>
      </c>
      <c r="BB150">
        <v>0</v>
      </c>
      <c r="BC150">
        <v>0</v>
      </c>
      <c r="BD150">
        <v>0</v>
      </c>
      <c r="BE150">
        <v>0</v>
      </c>
    </row>
    <row r="151" spans="1:58">
      <c r="A151" t="s">
        <v>16978</v>
      </c>
      <c r="B151" t="s">
        <v>17066</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row>
    <row r="152" spans="1:58">
      <c r="A152" t="s">
        <v>16978</v>
      </c>
      <c r="B152" t="s">
        <v>19980</v>
      </c>
      <c r="C152">
        <v>0</v>
      </c>
      <c r="D152">
        <v>1</v>
      </c>
      <c r="E152">
        <v>0</v>
      </c>
      <c r="F152">
        <v>0</v>
      </c>
      <c r="G152">
        <v>0</v>
      </c>
      <c r="H152">
        <v>0</v>
      </c>
      <c r="I152">
        <v>0</v>
      </c>
      <c r="J152">
        <v>1</v>
      </c>
      <c r="K152">
        <v>28</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28</v>
      </c>
      <c r="AU152">
        <v>0</v>
      </c>
      <c r="AV152">
        <v>28</v>
      </c>
      <c r="AW152">
        <v>0</v>
      </c>
      <c r="AX152">
        <v>0</v>
      </c>
      <c r="AY152">
        <v>0</v>
      </c>
      <c r="AZ152">
        <v>0</v>
      </c>
      <c r="BA152">
        <v>0</v>
      </c>
      <c r="BB152">
        <v>0</v>
      </c>
      <c r="BC152">
        <v>0</v>
      </c>
      <c r="BD152">
        <v>0</v>
      </c>
      <c r="BE152">
        <v>0</v>
      </c>
      <c r="BF152">
        <v>1</v>
      </c>
    </row>
    <row r="153" spans="1:58">
      <c r="A153" t="s">
        <v>16978</v>
      </c>
      <c r="B153" t="s">
        <v>17331</v>
      </c>
      <c r="C153">
        <v>5</v>
      </c>
      <c r="D153">
        <v>5</v>
      </c>
      <c r="E153">
        <v>0</v>
      </c>
      <c r="F153">
        <v>5</v>
      </c>
      <c r="G153">
        <v>0</v>
      </c>
      <c r="H153">
        <v>0</v>
      </c>
      <c r="I153">
        <v>0</v>
      </c>
      <c r="J153">
        <v>5</v>
      </c>
      <c r="K153">
        <v>7</v>
      </c>
      <c r="L153">
        <v>5</v>
      </c>
      <c r="M153">
        <v>0</v>
      </c>
      <c r="N153">
        <v>0</v>
      </c>
      <c r="O153">
        <v>0</v>
      </c>
      <c r="P153">
        <v>0</v>
      </c>
      <c r="Q153">
        <v>0</v>
      </c>
      <c r="R153">
        <v>0</v>
      </c>
      <c r="S153">
        <v>4.25</v>
      </c>
      <c r="T153">
        <v>0</v>
      </c>
      <c r="U153">
        <v>0</v>
      </c>
      <c r="V153">
        <v>4.25</v>
      </c>
      <c r="W153">
        <v>0</v>
      </c>
      <c r="X153">
        <v>0</v>
      </c>
      <c r="Y153">
        <v>0</v>
      </c>
      <c r="Z153">
        <v>0</v>
      </c>
      <c r="AA153">
        <v>-42.5</v>
      </c>
      <c r="AB153">
        <v>0</v>
      </c>
      <c r="AC153">
        <v>10</v>
      </c>
      <c r="AD153">
        <v>10</v>
      </c>
      <c r="AE153">
        <v>0</v>
      </c>
      <c r="AF153">
        <v>10</v>
      </c>
      <c r="AG153">
        <v>10</v>
      </c>
      <c r="AH153">
        <v>10</v>
      </c>
      <c r="AI153">
        <v>0</v>
      </c>
      <c r="AJ153">
        <v>0</v>
      </c>
      <c r="AK153">
        <v>0</v>
      </c>
      <c r="AL153">
        <v>0</v>
      </c>
      <c r="AM153">
        <v>0</v>
      </c>
      <c r="AN153">
        <v>0</v>
      </c>
      <c r="AO153">
        <v>0</v>
      </c>
      <c r="AP153">
        <v>0</v>
      </c>
      <c r="AQ153">
        <v>0</v>
      </c>
      <c r="AR153">
        <v>0</v>
      </c>
      <c r="AS153">
        <v>0</v>
      </c>
      <c r="AT153">
        <v>7</v>
      </c>
      <c r="AU153">
        <v>0</v>
      </c>
      <c r="AV153">
        <v>0</v>
      </c>
      <c r="AW153">
        <v>7</v>
      </c>
      <c r="AX153">
        <v>4.25</v>
      </c>
      <c r="AY153">
        <v>0</v>
      </c>
      <c r="AZ153">
        <v>0</v>
      </c>
      <c r="BA153">
        <v>4.25</v>
      </c>
      <c r="BB153">
        <v>0</v>
      </c>
      <c r="BC153">
        <v>0</v>
      </c>
      <c r="BD153">
        <v>0</v>
      </c>
      <c r="BE153">
        <v>0</v>
      </c>
      <c r="BF153">
        <v>3</v>
      </c>
    </row>
    <row r="154" spans="1:58">
      <c r="A154" t="s">
        <v>16978</v>
      </c>
      <c r="B154" t="s">
        <v>17332</v>
      </c>
      <c r="C154">
        <v>12</v>
      </c>
      <c r="D154">
        <v>12</v>
      </c>
      <c r="E154">
        <v>0</v>
      </c>
      <c r="F154">
        <v>12</v>
      </c>
      <c r="G154">
        <v>0</v>
      </c>
      <c r="H154">
        <v>0</v>
      </c>
      <c r="I154">
        <v>0</v>
      </c>
      <c r="J154">
        <v>12</v>
      </c>
      <c r="K154">
        <v>52</v>
      </c>
      <c r="L154">
        <v>12</v>
      </c>
      <c r="M154">
        <v>0</v>
      </c>
      <c r="N154">
        <v>0</v>
      </c>
      <c r="O154">
        <v>0</v>
      </c>
      <c r="P154">
        <v>0</v>
      </c>
      <c r="Q154">
        <v>0</v>
      </c>
      <c r="R154">
        <v>0</v>
      </c>
      <c r="S154">
        <v>8</v>
      </c>
      <c r="T154">
        <v>0</v>
      </c>
      <c r="U154">
        <v>0</v>
      </c>
      <c r="V154">
        <v>8</v>
      </c>
      <c r="W154">
        <v>0</v>
      </c>
      <c r="X154">
        <v>0</v>
      </c>
      <c r="Y154">
        <v>0</v>
      </c>
      <c r="Z154">
        <v>0</v>
      </c>
      <c r="AA154">
        <v>-80</v>
      </c>
      <c r="AB154">
        <v>0</v>
      </c>
      <c r="AC154">
        <v>60</v>
      </c>
      <c r="AD154">
        <v>60</v>
      </c>
      <c r="AE154">
        <v>60</v>
      </c>
      <c r="AF154">
        <v>60</v>
      </c>
      <c r="AG154">
        <v>60</v>
      </c>
      <c r="AH154">
        <v>0</v>
      </c>
      <c r="AI154">
        <v>0</v>
      </c>
      <c r="AJ154">
        <v>0</v>
      </c>
      <c r="AK154">
        <v>0</v>
      </c>
      <c r="AL154">
        <v>0</v>
      </c>
      <c r="AM154">
        <v>0</v>
      </c>
      <c r="AN154">
        <v>12</v>
      </c>
      <c r="AO154">
        <v>0</v>
      </c>
      <c r="AP154">
        <v>0</v>
      </c>
      <c r="AQ154">
        <v>0</v>
      </c>
      <c r="AR154">
        <v>0</v>
      </c>
      <c r="AS154">
        <v>0</v>
      </c>
      <c r="AT154">
        <v>52</v>
      </c>
      <c r="AU154">
        <v>0</v>
      </c>
      <c r="AV154">
        <v>0</v>
      </c>
      <c r="AW154">
        <v>52</v>
      </c>
      <c r="AX154">
        <v>8</v>
      </c>
      <c r="AY154">
        <v>0</v>
      </c>
      <c r="AZ154">
        <v>0</v>
      </c>
      <c r="BA154">
        <v>8</v>
      </c>
      <c r="BB154">
        <v>0</v>
      </c>
      <c r="BC154">
        <v>0</v>
      </c>
      <c r="BD154">
        <v>0</v>
      </c>
      <c r="BE154">
        <v>0</v>
      </c>
      <c r="BF154">
        <v>12</v>
      </c>
    </row>
    <row r="155" spans="1:58">
      <c r="A155" t="s">
        <v>16978</v>
      </c>
      <c r="B155" t="s">
        <v>19981</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row>
    <row r="156" spans="1:58">
      <c r="A156" t="s">
        <v>16978</v>
      </c>
      <c r="B156" t="s">
        <v>17068</v>
      </c>
      <c r="C156">
        <v>0</v>
      </c>
      <c r="D156">
        <v>1</v>
      </c>
      <c r="E156">
        <v>0</v>
      </c>
      <c r="F156">
        <v>0</v>
      </c>
      <c r="G156">
        <v>0</v>
      </c>
      <c r="H156">
        <v>1</v>
      </c>
      <c r="I156">
        <v>0</v>
      </c>
      <c r="J156">
        <v>1</v>
      </c>
      <c r="K156">
        <v>12</v>
      </c>
      <c r="L156">
        <v>1</v>
      </c>
      <c r="M156">
        <v>0</v>
      </c>
      <c r="N156">
        <v>0</v>
      </c>
      <c r="O156">
        <v>0</v>
      </c>
      <c r="P156">
        <v>0</v>
      </c>
      <c r="Q156">
        <v>0</v>
      </c>
      <c r="R156">
        <v>0</v>
      </c>
      <c r="S156">
        <v>2</v>
      </c>
      <c r="T156">
        <v>0.25</v>
      </c>
      <c r="U156">
        <v>0</v>
      </c>
      <c r="V156">
        <v>2.25</v>
      </c>
      <c r="W156">
        <v>25</v>
      </c>
      <c r="X156">
        <v>0</v>
      </c>
      <c r="Y156">
        <v>1</v>
      </c>
      <c r="Z156">
        <v>0</v>
      </c>
      <c r="AA156">
        <v>0</v>
      </c>
      <c r="AB156">
        <v>0</v>
      </c>
      <c r="AC156">
        <v>0</v>
      </c>
      <c r="AD156">
        <v>0</v>
      </c>
      <c r="AE156">
        <v>0</v>
      </c>
      <c r="AF156">
        <v>0</v>
      </c>
      <c r="AG156">
        <v>25</v>
      </c>
      <c r="AH156">
        <v>25</v>
      </c>
      <c r="AI156">
        <v>0</v>
      </c>
      <c r="AJ156">
        <v>0</v>
      </c>
      <c r="AK156">
        <v>25</v>
      </c>
      <c r="AL156">
        <v>25</v>
      </c>
      <c r="AM156">
        <v>0</v>
      </c>
      <c r="AN156">
        <v>0</v>
      </c>
      <c r="AO156">
        <v>0</v>
      </c>
      <c r="AP156">
        <v>0</v>
      </c>
      <c r="AQ156">
        <v>0</v>
      </c>
      <c r="AR156">
        <v>0</v>
      </c>
      <c r="AS156">
        <v>0</v>
      </c>
      <c r="AT156">
        <v>12</v>
      </c>
      <c r="AU156">
        <v>12</v>
      </c>
      <c r="AV156">
        <v>0</v>
      </c>
      <c r="AW156">
        <v>0</v>
      </c>
      <c r="AX156">
        <v>2</v>
      </c>
      <c r="AY156">
        <v>2</v>
      </c>
      <c r="AZ156">
        <v>0</v>
      </c>
      <c r="BA156">
        <v>0</v>
      </c>
      <c r="BB156">
        <v>0.25</v>
      </c>
      <c r="BC156">
        <v>0.25</v>
      </c>
      <c r="BD156">
        <v>0</v>
      </c>
      <c r="BE156">
        <v>0</v>
      </c>
    </row>
    <row r="157" spans="1:58">
      <c r="A157" t="s">
        <v>16978</v>
      </c>
      <c r="B157" t="s">
        <v>17068</v>
      </c>
      <c r="C157">
        <v>0</v>
      </c>
      <c r="D157">
        <v>1</v>
      </c>
      <c r="E157">
        <v>0</v>
      </c>
      <c r="F157">
        <v>0</v>
      </c>
      <c r="G157">
        <v>0</v>
      </c>
      <c r="H157">
        <v>0</v>
      </c>
      <c r="I157">
        <v>0</v>
      </c>
      <c r="J157">
        <v>1</v>
      </c>
      <c r="K157">
        <v>11</v>
      </c>
      <c r="L157">
        <v>1</v>
      </c>
      <c r="M157">
        <v>0</v>
      </c>
      <c r="N157">
        <v>0</v>
      </c>
      <c r="O157">
        <v>0</v>
      </c>
      <c r="P157">
        <v>0</v>
      </c>
      <c r="Q157">
        <v>0</v>
      </c>
      <c r="R157">
        <v>0</v>
      </c>
      <c r="S157">
        <v>1</v>
      </c>
      <c r="T157">
        <v>1.5</v>
      </c>
      <c r="U157">
        <v>0</v>
      </c>
      <c r="V157">
        <v>2.5</v>
      </c>
      <c r="W157">
        <v>40</v>
      </c>
      <c r="X157">
        <v>0</v>
      </c>
      <c r="Y157">
        <v>1</v>
      </c>
      <c r="Z157">
        <v>0</v>
      </c>
      <c r="AA157">
        <v>0</v>
      </c>
      <c r="AB157">
        <v>10</v>
      </c>
      <c r="AC157">
        <v>0</v>
      </c>
      <c r="AD157">
        <v>0</v>
      </c>
      <c r="AE157">
        <v>0</v>
      </c>
      <c r="AF157">
        <v>10</v>
      </c>
      <c r="AG157">
        <v>40</v>
      </c>
      <c r="AH157">
        <v>40</v>
      </c>
      <c r="AI157">
        <v>0</v>
      </c>
      <c r="AJ157">
        <v>0</v>
      </c>
      <c r="AK157">
        <v>0</v>
      </c>
      <c r="AL157">
        <v>0</v>
      </c>
      <c r="AM157">
        <v>0</v>
      </c>
      <c r="AN157">
        <v>0</v>
      </c>
      <c r="AO157">
        <v>0</v>
      </c>
      <c r="AP157">
        <v>0</v>
      </c>
      <c r="AQ157">
        <v>0</v>
      </c>
      <c r="AR157">
        <v>0</v>
      </c>
      <c r="AS157">
        <v>0</v>
      </c>
      <c r="AT157">
        <v>11</v>
      </c>
      <c r="AU157">
        <v>0</v>
      </c>
      <c r="AV157">
        <v>11</v>
      </c>
      <c r="AW157">
        <v>0</v>
      </c>
      <c r="AX157">
        <v>1</v>
      </c>
      <c r="AY157">
        <v>0</v>
      </c>
      <c r="AZ157">
        <v>1</v>
      </c>
      <c r="BA157">
        <v>0</v>
      </c>
      <c r="BB157">
        <v>1.5</v>
      </c>
      <c r="BC157">
        <v>0</v>
      </c>
      <c r="BD157">
        <v>1.5</v>
      </c>
      <c r="BE157">
        <v>0</v>
      </c>
      <c r="BF157">
        <v>0</v>
      </c>
    </row>
    <row r="158" spans="1:58">
      <c r="A158" t="s">
        <v>16978</v>
      </c>
      <c r="B158" t="s">
        <v>19982</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55</v>
      </c>
    </row>
    <row r="159" spans="1:58">
      <c r="A159" t="s">
        <v>16978</v>
      </c>
      <c r="B159" t="s">
        <v>17363</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row>
    <row r="160" spans="1:58">
      <c r="A160" t="s">
        <v>16978</v>
      </c>
      <c r="B160" t="s">
        <v>17069</v>
      </c>
      <c r="C160">
        <v>1</v>
      </c>
      <c r="D160">
        <v>1</v>
      </c>
      <c r="E160">
        <v>1</v>
      </c>
      <c r="F160">
        <v>1</v>
      </c>
      <c r="G160">
        <v>0</v>
      </c>
      <c r="H160">
        <v>1</v>
      </c>
      <c r="I160">
        <v>0</v>
      </c>
      <c r="J160">
        <v>1</v>
      </c>
      <c r="K160">
        <v>10</v>
      </c>
      <c r="L160">
        <v>0</v>
      </c>
      <c r="M160">
        <v>0</v>
      </c>
      <c r="N160">
        <v>0</v>
      </c>
      <c r="O160">
        <v>0</v>
      </c>
      <c r="P160">
        <v>0</v>
      </c>
      <c r="Q160">
        <v>0</v>
      </c>
      <c r="R160">
        <v>0</v>
      </c>
      <c r="S160">
        <v>4</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10</v>
      </c>
      <c r="AU160">
        <v>10</v>
      </c>
      <c r="AV160">
        <v>0</v>
      </c>
      <c r="AW160">
        <v>10</v>
      </c>
      <c r="AX160">
        <v>4</v>
      </c>
      <c r="AY160">
        <v>4</v>
      </c>
      <c r="AZ160">
        <v>0</v>
      </c>
      <c r="BA160">
        <v>4</v>
      </c>
      <c r="BB160">
        <v>0</v>
      </c>
      <c r="BC160">
        <v>0</v>
      </c>
      <c r="BD160">
        <v>0</v>
      </c>
      <c r="BE160">
        <v>0</v>
      </c>
      <c r="BF160">
        <v>75</v>
      </c>
    </row>
    <row r="161" spans="1:58">
      <c r="A161" t="s">
        <v>16978</v>
      </c>
      <c r="B161" t="s">
        <v>19346</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10</v>
      </c>
    </row>
    <row r="162" spans="1:58">
      <c r="A162" t="s">
        <v>16978</v>
      </c>
      <c r="B162" t="s">
        <v>17073</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23</v>
      </c>
    </row>
    <row r="163" spans="1:58">
      <c r="A163" t="s">
        <v>16978</v>
      </c>
      <c r="B163" t="s">
        <v>17365</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row>
    <row r="164" spans="1:58">
      <c r="A164" t="s">
        <v>16978</v>
      </c>
      <c r="B164" t="s">
        <v>17366</v>
      </c>
      <c r="C164">
        <v>0</v>
      </c>
      <c r="D164">
        <v>4</v>
      </c>
      <c r="E164">
        <v>4</v>
      </c>
      <c r="F164">
        <v>1</v>
      </c>
      <c r="G164">
        <v>0</v>
      </c>
      <c r="H164">
        <v>4</v>
      </c>
      <c r="I164">
        <v>3</v>
      </c>
      <c r="J164">
        <v>3</v>
      </c>
      <c r="K164">
        <v>58</v>
      </c>
      <c r="L164">
        <v>0</v>
      </c>
      <c r="M164">
        <v>0</v>
      </c>
      <c r="N164">
        <v>2</v>
      </c>
      <c r="O164">
        <v>1</v>
      </c>
      <c r="P164">
        <v>0</v>
      </c>
      <c r="Q164">
        <v>0</v>
      </c>
      <c r="R164">
        <v>0</v>
      </c>
      <c r="S164">
        <v>12</v>
      </c>
      <c r="T164">
        <v>88</v>
      </c>
      <c r="U164">
        <v>0</v>
      </c>
      <c r="V164">
        <v>100</v>
      </c>
      <c r="W164" s="21">
        <v>1880</v>
      </c>
      <c r="X164">
        <v>0</v>
      </c>
      <c r="Y164">
        <v>3</v>
      </c>
      <c r="Z164">
        <v>0</v>
      </c>
      <c r="AA164">
        <v>0</v>
      </c>
      <c r="AB164" s="21">
        <v>1790</v>
      </c>
      <c r="AC164">
        <v>0</v>
      </c>
      <c r="AD164">
        <v>0</v>
      </c>
      <c r="AE164">
        <v>0</v>
      </c>
      <c r="AF164" s="21">
        <v>1790</v>
      </c>
      <c r="AG164" s="21">
        <v>1880</v>
      </c>
      <c r="AH164" s="21">
        <v>1880</v>
      </c>
      <c r="AI164">
        <v>0</v>
      </c>
      <c r="AJ164" s="21">
        <v>1790</v>
      </c>
      <c r="AK164" s="21">
        <v>1880</v>
      </c>
      <c r="AL164" s="21">
        <v>1880</v>
      </c>
      <c r="AM164">
        <v>0</v>
      </c>
      <c r="AN164">
        <v>0</v>
      </c>
      <c r="AO164">
        <v>0</v>
      </c>
      <c r="AP164">
        <v>0</v>
      </c>
      <c r="AQ164">
        <v>0</v>
      </c>
      <c r="AR164">
        <v>0</v>
      </c>
      <c r="AS164">
        <v>0</v>
      </c>
      <c r="AT164">
        <v>58</v>
      </c>
      <c r="AU164">
        <v>58</v>
      </c>
      <c r="AV164">
        <v>0</v>
      </c>
      <c r="AW164">
        <v>0</v>
      </c>
      <c r="AX164">
        <v>12</v>
      </c>
      <c r="AY164">
        <v>12</v>
      </c>
      <c r="AZ164">
        <v>0</v>
      </c>
      <c r="BA164">
        <v>0</v>
      </c>
      <c r="BB164">
        <v>88</v>
      </c>
      <c r="BC164">
        <v>88</v>
      </c>
      <c r="BD164">
        <v>0</v>
      </c>
      <c r="BE164">
        <v>0</v>
      </c>
      <c r="BF164">
        <v>45</v>
      </c>
    </row>
    <row r="165" spans="1:58">
      <c r="A165" t="s">
        <v>16978</v>
      </c>
      <c r="B165" t="s">
        <v>18827</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row>
    <row r="166" spans="1:58">
      <c r="A166" t="s">
        <v>16978</v>
      </c>
      <c r="B166" t="s">
        <v>17075</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row>
    <row r="167" spans="1:58">
      <c r="A167" t="s">
        <v>16978</v>
      </c>
      <c r="B167" t="s">
        <v>17078</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480</v>
      </c>
    </row>
    <row r="168" spans="1:58">
      <c r="A168" t="s">
        <v>16978</v>
      </c>
      <c r="B168" t="s">
        <v>17079</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400</v>
      </c>
    </row>
    <row r="169" spans="1:58">
      <c r="A169" t="s">
        <v>16978</v>
      </c>
      <c r="B169" t="s">
        <v>18828</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1</v>
      </c>
      <c r="AN169">
        <v>1</v>
      </c>
      <c r="AO169">
        <v>1</v>
      </c>
      <c r="AP169">
        <v>1</v>
      </c>
      <c r="AQ169">
        <v>1</v>
      </c>
      <c r="AR169">
        <v>1</v>
      </c>
      <c r="AS169">
        <v>1</v>
      </c>
      <c r="AT169">
        <v>0</v>
      </c>
      <c r="AU169">
        <v>0</v>
      </c>
      <c r="AV169">
        <v>0</v>
      </c>
      <c r="AW169">
        <v>0</v>
      </c>
      <c r="AX169">
        <v>0</v>
      </c>
      <c r="AY169">
        <v>0</v>
      </c>
      <c r="AZ169">
        <v>0</v>
      </c>
      <c r="BA169">
        <v>0</v>
      </c>
      <c r="BB169">
        <v>0</v>
      </c>
      <c r="BC169">
        <v>0</v>
      </c>
      <c r="BD169">
        <v>0</v>
      </c>
      <c r="BE169">
        <v>0</v>
      </c>
      <c r="BF169">
        <v>0</v>
      </c>
    </row>
    <row r="170" spans="1:58">
      <c r="A170" t="s">
        <v>16978</v>
      </c>
      <c r="B170" t="s">
        <v>19983</v>
      </c>
      <c r="C170">
        <v>0</v>
      </c>
      <c r="D170">
        <v>2</v>
      </c>
      <c r="E170">
        <v>2</v>
      </c>
      <c r="F170">
        <v>2</v>
      </c>
      <c r="G170">
        <v>0</v>
      </c>
      <c r="H170">
        <v>0</v>
      </c>
      <c r="I170">
        <v>0</v>
      </c>
      <c r="J170">
        <v>2</v>
      </c>
      <c r="K170">
        <v>1</v>
      </c>
      <c r="L170">
        <v>2</v>
      </c>
      <c r="M170">
        <v>0</v>
      </c>
      <c r="N170">
        <v>0</v>
      </c>
      <c r="O170">
        <v>0</v>
      </c>
      <c r="P170">
        <v>0</v>
      </c>
      <c r="Q170">
        <v>0</v>
      </c>
      <c r="R170">
        <v>0</v>
      </c>
      <c r="S170">
        <v>33</v>
      </c>
      <c r="T170">
        <v>0</v>
      </c>
      <c r="U170">
        <v>0</v>
      </c>
      <c r="V170">
        <v>33</v>
      </c>
      <c r="W170">
        <v>330</v>
      </c>
      <c r="X170">
        <v>0</v>
      </c>
      <c r="Y170">
        <v>2</v>
      </c>
      <c r="Z170">
        <v>0</v>
      </c>
      <c r="AA170">
        <v>0</v>
      </c>
      <c r="AB170">
        <v>270</v>
      </c>
      <c r="AC170">
        <v>0</v>
      </c>
      <c r="AD170">
        <v>0</v>
      </c>
      <c r="AE170">
        <v>0</v>
      </c>
      <c r="AF170">
        <v>270</v>
      </c>
      <c r="AG170">
        <v>330</v>
      </c>
      <c r="AH170">
        <v>330</v>
      </c>
      <c r="AI170">
        <v>0</v>
      </c>
      <c r="AJ170">
        <v>0</v>
      </c>
      <c r="AK170">
        <v>0</v>
      </c>
      <c r="AL170">
        <v>0</v>
      </c>
      <c r="AM170">
        <v>1</v>
      </c>
      <c r="AN170">
        <v>1</v>
      </c>
      <c r="AO170">
        <v>1</v>
      </c>
      <c r="AP170">
        <v>1</v>
      </c>
      <c r="AQ170">
        <v>1</v>
      </c>
      <c r="AR170">
        <v>1</v>
      </c>
      <c r="AS170">
        <v>1</v>
      </c>
      <c r="AT170">
        <v>1</v>
      </c>
      <c r="AU170">
        <v>0</v>
      </c>
      <c r="AV170">
        <v>2</v>
      </c>
      <c r="AW170">
        <v>0</v>
      </c>
      <c r="AX170">
        <v>33</v>
      </c>
      <c r="AY170">
        <v>0</v>
      </c>
      <c r="AZ170">
        <v>33</v>
      </c>
      <c r="BA170">
        <v>0</v>
      </c>
      <c r="BB170">
        <v>0</v>
      </c>
      <c r="BC170">
        <v>0</v>
      </c>
      <c r="BD170">
        <v>30</v>
      </c>
      <c r="BE170">
        <v>0</v>
      </c>
      <c r="BF170">
        <v>100</v>
      </c>
    </row>
    <row r="171" spans="1:58">
      <c r="A171" t="s">
        <v>16978</v>
      </c>
      <c r="B171" t="s">
        <v>17054</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row>
    <row r="172" spans="1:58">
      <c r="A172" t="s">
        <v>16978</v>
      </c>
      <c r="B172" t="s">
        <v>17080</v>
      </c>
      <c r="C172">
        <v>0</v>
      </c>
      <c r="D172">
        <v>42</v>
      </c>
      <c r="E172">
        <v>42</v>
      </c>
      <c r="F172">
        <v>42</v>
      </c>
      <c r="G172">
        <v>1</v>
      </c>
      <c r="H172">
        <v>0</v>
      </c>
      <c r="I172">
        <v>0</v>
      </c>
      <c r="J172">
        <v>42</v>
      </c>
      <c r="K172">
        <v>42</v>
      </c>
      <c r="L172">
        <v>42</v>
      </c>
      <c r="M172">
        <v>0</v>
      </c>
      <c r="N172">
        <v>0</v>
      </c>
      <c r="O172">
        <v>0</v>
      </c>
      <c r="P172">
        <v>0</v>
      </c>
      <c r="Q172">
        <v>0</v>
      </c>
      <c r="R172">
        <v>0</v>
      </c>
      <c r="S172">
        <v>16.75</v>
      </c>
      <c r="T172">
        <v>0</v>
      </c>
      <c r="U172">
        <v>0</v>
      </c>
      <c r="V172">
        <v>16.75</v>
      </c>
      <c r="W172">
        <v>167.5</v>
      </c>
      <c r="X172">
        <v>0</v>
      </c>
      <c r="Y172">
        <v>42</v>
      </c>
      <c r="Z172">
        <v>0</v>
      </c>
      <c r="AA172">
        <v>0</v>
      </c>
      <c r="AB172">
        <v>0</v>
      </c>
      <c r="AC172">
        <v>0</v>
      </c>
      <c r="AD172">
        <v>0</v>
      </c>
      <c r="AE172">
        <v>0</v>
      </c>
      <c r="AF172">
        <v>0</v>
      </c>
      <c r="AG172">
        <v>167.5</v>
      </c>
      <c r="AH172">
        <v>167.5</v>
      </c>
      <c r="AI172">
        <v>0</v>
      </c>
      <c r="AJ172">
        <v>0</v>
      </c>
      <c r="AK172">
        <v>0</v>
      </c>
      <c r="AL172">
        <v>0</v>
      </c>
      <c r="AM172">
        <v>0</v>
      </c>
      <c r="AN172">
        <v>0</v>
      </c>
      <c r="AO172">
        <v>0</v>
      </c>
      <c r="AP172">
        <v>0</v>
      </c>
      <c r="AQ172">
        <v>0</v>
      </c>
      <c r="AR172">
        <v>0</v>
      </c>
      <c r="AS172">
        <v>0</v>
      </c>
      <c r="AT172">
        <v>42</v>
      </c>
      <c r="AU172">
        <v>0</v>
      </c>
      <c r="AV172">
        <v>42</v>
      </c>
      <c r="AW172">
        <v>0</v>
      </c>
      <c r="AX172">
        <v>16.75</v>
      </c>
      <c r="AY172">
        <v>0</v>
      </c>
      <c r="AZ172">
        <v>16.75</v>
      </c>
      <c r="BA172">
        <v>0</v>
      </c>
      <c r="BB172">
        <v>0</v>
      </c>
      <c r="BC172">
        <v>0</v>
      </c>
      <c r="BD172">
        <v>0</v>
      </c>
      <c r="BE172">
        <v>0</v>
      </c>
      <c r="BF172">
        <v>237</v>
      </c>
    </row>
    <row r="173" spans="1:58">
      <c r="A173" t="s">
        <v>16978</v>
      </c>
      <c r="B173" t="s">
        <v>17369</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row>
    <row r="174" spans="1:58">
      <c r="A174" t="s">
        <v>16978</v>
      </c>
      <c r="B174" t="s">
        <v>19348</v>
      </c>
      <c r="C174">
        <v>9</v>
      </c>
      <c r="D174">
        <v>96</v>
      </c>
      <c r="E174">
        <v>96</v>
      </c>
      <c r="F174">
        <v>96</v>
      </c>
      <c r="G174">
        <v>4</v>
      </c>
      <c r="H174">
        <v>1</v>
      </c>
      <c r="I174">
        <v>8</v>
      </c>
      <c r="J174">
        <v>95</v>
      </c>
      <c r="K174" s="21">
        <v>1248</v>
      </c>
      <c r="L174">
        <v>27</v>
      </c>
      <c r="M174">
        <v>0</v>
      </c>
      <c r="N174">
        <v>53</v>
      </c>
      <c r="O174">
        <v>13</v>
      </c>
      <c r="P174">
        <v>1</v>
      </c>
      <c r="Q174">
        <v>2</v>
      </c>
      <c r="R174">
        <v>2</v>
      </c>
      <c r="S174">
        <v>108.75</v>
      </c>
      <c r="T174">
        <v>69</v>
      </c>
      <c r="U174">
        <v>0</v>
      </c>
      <c r="V174">
        <v>177.75</v>
      </c>
      <c r="W174" s="21">
        <v>2195</v>
      </c>
      <c r="X174">
        <v>0</v>
      </c>
      <c r="Y174">
        <v>63</v>
      </c>
      <c r="Z174">
        <v>23</v>
      </c>
      <c r="AA174">
        <v>-272.5</v>
      </c>
      <c r="AB174">
        <v>812.5</v>
      </c>
      <c r="AC174">
        <v>16.850000000000001</v>
      </c>
      <c r="AD174">
        <v>16.850000000000001</v>
      </c>
      <c r="AE174">
        <v>279.35000000000002</v>
      </c>
      <c r="AF174">
        <v>829.35</v>
      </c>
      <c r="AG174" s="20">
        <v>2211.85</v>
      </c>
      <c r="AH174" s="20">
        <v>1932.5</v>
      </c>
      <c r="AI174">
        <v>0</v>
      </c>
      <c r="AJ174">
        <v>0</v>
      </c>
      <c r="AK174">
        <v>60</v>
      </c>
      <c r="AL174">
        <v>60</v>
      </c>
      <c r="AM174">
        <v>0</v>
      </c>
      <c r="AN174">
        <v>2</v>
      </c>
      <c r="AO174">
        <v>4</v>
      </c>
      <c r="AP174">
        <v>0</v>
      </c>
      <c r="AQ174">
        <v>0</v>
      </c>
      <c r="AR174">
        <v>0</v>
      </c>
      <c r="AS174">
        <v>0</v>
      </c>
      <c r="AT174" s="21">
        <v>1248</v>
      </c>
      <c r="AU174">
        <v>100</v>
      </c>
      <c r="AV174" s="21">
        <v>1065</v>
      </c>
      <c r="AW174">
        <v>83</v>
      </c>
      <c r="AX174">
        <v>108.75</v>
      </c>
      <c r="AY174">
        <v>1</v>
      </c>
      <c r="AZ174">
        <v>103.5</v>
      </c>
      <c r="BA174">
        <v>4.25</v>
      </c>
      <c r="BB174">
        <v>69</v>
      </c>
      <c r="BC174">
        <v>2.5</v>
      </c>
      <c r="BD174">
        <v>55</v>
      </c>
      <c r="BE174">
        <v>11.5</v>
      </c>
      <c r="BF174">
        <v>20</v>
      </c>
    </row>
    <row r="175" spans="1:58">
      <c r="A175" t="s">
        <v>16978</v>
      </c>
      <c r="B175" t="s">
        <v>17087</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row>
    <row r="176" spans="1:58">
      <c r="A176" t="s">
        <v>16978</v>
      </c>
      <c r="B176" t="s">
        <v>17088</v>
      </c>
      <c r="C176">
        <v>0</v>
      </c>
      <c r="D176">
        <v>1</v>
      </c>
      <c r="E176">
        <v>1</v>
      </c>
      <c r="F176">
        <v>1</v>
      </c>
      <c r="G176">
        <v>0</v>
      </c>
      <c r="H176">
        <v>0</v>
      </c>
      <c r="I176">
        <v>0</v>
      </c>
      <c r="J176">
        <v>1</v>
      </c>
      <c r="K176">
        <v>2</v>
      </c>
      <c r="L176">
        <v>1</v>
      </c>
      <c r="M176">
        <v>0</v>
      </c>
      <c r="N176">
        <v>0</v>
      </c>
      <c r="O176">
        <v>0</v>
      </c>
      <c r="P176">
        <v>0</v>
      </c>
      <c r="Q176">
        <v>0</v>
      </c>
      <c r="R176">
        <v>0</v>
      </c>
      <c r="S176">
        <v>0.25</v>
      </c>
      <c r="T176">
        <v>0</v>
      </c>
      <c r="U176">
        <v>0</v>
      </c>
      <c r="V176">
        <v>0.25</v>
      </c>
      <c r="W176">
        <v>2.5</v>
      </c>
      <c r="X176">
        <v>0</v>
      </c>
      <c r="Y176">
        <v>1</v>
      </c>
      <c r="Z176">
        <v>0</v>
      </c>
      <c r="AA176">
        <v>0</v>
      </c>
      <c r="AB176">
        <v>0</v>
      </c>
      <c r="AC176">
        <v>0</v>
      </c>
      <c r="AD176">
        <v>0</v>
      </c>
      <c r="AE176">
        <v>0</v>
      </c>
      <c r="AF176">
        <v>0</v>
      </c>
      <c r="AG176">
        <v>2.5</v>
      </c>
      <c r="AH176">
        <v>2.5</v>
      </c>
      <c r="AI176">
        <v>0</v>
      </c>
      <c r="AJ176">
        <v>0</v>
      </c>
      <c r="AK176">
        <v>0</v>
      </c>
      <c r="AL176">
        <v>0</v>
      </c>
      <c r="AM176">
        <v>0</v>
      </c>
      <c r="AN176">
        <v>0</v>
      </c>
      <c r="AO176">
        <v>0</v>
      </c>
      <c r="AP176">
        <v>0</v>
      </c>
      <c r="AQ176">
        <v>0</v>
      </c>
      <c r="AR176">
        <v>0</v>
      </c>
      <c r="AS176">
        <v>0</v>
      </c>
      <c r="AT176">
        <v>2</v>
      </c>
      <c r="AU176">
        <v>0</v>
      </c>
      <c r="AV176">
        <v>2</v>
      </c>
      <c r="AW176">
        <v>0</v>
      </c>
      <c r="AX176">
        <v>0.25</v>
      </c>
      <c r="AY176">
        <v>0</v>
      </c>
      <c r="AZ176">
        <v>0.25</v>
      </c>
      <c r="BA176">
        <v>0</v>
      </c>
      <c r="BB176">
        <v>0</v>
      </c>
      <c r="BC176">
        <v>0</v>
      </c>
      <c r="BD176">
        <v>0</v>
      </c>
      <c r="BE176">
        <v>0</v>
      </c>
      <c r="BF176">
        <v>195</v>
      </c>
    </row>
    <row r="177" spans="1:58">
      <c r="A177" t="s">
        <v>16978</v>
      </c>
      <c r="B177" t="s">
        <v>17089</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row>
    <row r="178" spans="1:58">
      <c r="A178" t="s">
        <v>16978</v>
      </c>
      <c r="B178" t="s">
        <v>19984</v>
      </c>
      <c r="C178">
        <v>0</v>
      </c>
      <c r="D178">
        <v>1</v>
      </c>
      <c r="E178">
        <v>0</v>
      </c>
      <c r="F178">
        <v>1</v>
      </c>
      <c r="G178">
        <v>0</v>
      </c>
      <c r="H178">
        <v>0</v>
      </c>
      <c r="I178">
        <v>0</v>
      </c>
      <c r="J178">
        <v>1</v>
      </c>
      <c r="K178">
        <v>8</v>
      </c>
      <c r="L178">
        <v>1</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8</v>
      </c>
      <c r="AU178">
        <v>0</v>
      </c>
      <c r="AV178">
        <v>8</v>
      </c>
      <c r="AW178">
        <v>0</v>
      </c>
      <c r="AX178">
        <v>0</v>
      </c>
      <c r="AY178">
        <v>0</v>
      </c>
      <c r="AZ178">
        <v>0</v>
      </c>
      <c r="BA178">
        <v>0</v>
      </c>
      <c r="BB178">
        <v>0</v>
      </c>
      <c r="BC178">
        <v>0</v>
      </c>
      <c r="BD178">
        <v>0</v>
      </c>
      <c r="BE178">
        <v>0</v>
      </c>
      <c r="BF178">
        <v>26</v>
      </c>
    </row>
    <row r="179" spans="1:58">
      <c r="A179" t="s">
        <v>16978</v>
      </c>
      <c r="B179" t="s">
        <v>17091</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row>
    <row r="180" spans="1:58">
      <c r="A180" t="s">
        <v>16978</v>
      </c>
      <c r="B180" t="s">
        <v>17092</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row>
    <row r="181" spans="1:58">
      <c r="A181" t="s">
        <v>17097</v>
      </c>
      <c r="B181" t="s">
        <v>17098</v>
      </c>
      <c r="C181">
        <v>3</v>
      </c>
      <c r="D181">
        <v>22</v>
      </c>
      <c r="E181">
        <v>22</v>
      </c>
      <c r="F181">
        <v>14</v>
      </c>
      <c r="G181">
        <v>1</v>
      </c>
      <c r="H181">
        <v>3</v>
      </c>
      <c r="I181">
        <v>0</v>
      </c>
      <c r="J181">
        <v>22</v>
      </c>
      <c r="K181">
        <v>375</v>
      </c>
      <c r="L181">
        <v>3</v>
      </c>
      <c r="M181">
        <v>0</v>
      </c>
      <c r="N181">
        <v>4</v>
      </c>
      <c r="O181">
        <v>13</v>
      </c>
      <c r="P181">
        <v>0</v>
      </c>
      <c r="Q181">
        <v>2</v>
      </c>
      <c r="R181">
        <v>0</v>
      </c>
      <c r="S181">
        <v>2</v>
      </c>
      <c r="T181">
        <v>4</v>
      </c>
      <c r="U181">
        <v>0</v>
      </c>
      <c r="V181">
        <v>6</v>
      </c>
      <c r="W181">
        <v>100</v>
      </c>
      <c r="X181">
        <v>0</v>
      </c>
      <c r="Y181">
        <v>3</v>
      </c>
      <c r="Z181">
        <v>0</v>
      </c>
      <c r="AA181">
        <v>0</v>
      </c>
      <c r="AB181">
        <v>0</v>
      </c>
      <c r="AC181">
        <v>7.15</v>
      </c>
      <c r="AD181">
        <v>0</v>
      </c>
      <c r="AE181">
        <v>0</v>
      </c>
      <c r="AF181">
        <v>0</v>
      </c>
      <c r="AG181">
        <v>107.15</v>
      </c>
      <c r="AH181">
        <v>107.15</v>
      </c>
      <c r="AI181">
        <v>0</v>
      </c>
      <c r="AJ181">
        <v>0</v>
      </c>
      <c r="AK181">
        <v>29</v>
      </c>
      <c r="AL181">
        <v>29</v>
      </c>
      <c r="AM181">
        <v>0</v>
      </c>
      <c r="AN181">
        <v>0</v>
      </c>
      <c r="AO181">
        <v>0</v>
      </c>
      <c r="AP181">
        <v>0</v>
      </c>
      <c r="AQ181">
        <v>0</v>
      </c>
      <c r="AR181">
        <v>0</v>
      </c>
      <c r="AS181">
        <v>0</v>
      </c>
      <c r="AT181">
        <v>375</v>
      </c>
      <c r="AU181">
        <v>89</v>
      </c>
      <c r="AV181">
        <v>195</v>
      </c>
      <c r="AW181">
        <v>91</v>
      </c>
      <c r="AX181">
        <v>2</v>
      </c>
      <c r="AY181">
        <v>0.5</v>
      </c>
      <c r="AZ181">
        <v>1.5</v>
      </c>
      <c r="BA181">
        <v>0</v>
      </c>
      <c r="BB181">
        <v>4</v>
      </c>
      <c r="BC181">
        <v>1</v>
      </c>
      <c r="BD181">
        <v>3</v>
      </c>
      <c r="BE181">
        <v>0</v>
      </c>
      <c r="BF181" s="21">
        <v>1500</v>
      </c>
    </row>
    <row r="182" spans="1:58">
      <c r="A182" t="s">
        <v>18833</v>
      </c>
      <c r="B182" t="s">
        <v>18834</v>
      </c>
      <c r="C182">
        <v>1</v>
      </c>
      <c r="D182">
        <v>7</v>
      </c>
      <c r="E182">
        <v>0</v>
      </c>
      <c r="F182">
        <v>7</v>
      </c>
      <c r="G182">
        <v>1</v>
      </c>
      <c r="H182">
        <v>0</v>
      </c>
      <c r="I182">
        <v>0</v>
      </c>
      <c r="J182">
        <v>7</v>
      </c>
      <c r="K182">
        <v>24</v>
      </c>
      <c r="L182">
        <v>3</v>
      </c>
      <c r="M182">
        <v>1</v>
      </c>
      <c r="N182">
        <v>0</v>
      </c>
      <c r="O182">
        <v>1</v>
      </c>
      <c r="P182">
        <v>2</v>
      </c>
      <c r="Q182">
        <v>0</v>
      </c>
      <c r="R182">
        <v>0</v>
      </c>
      <c r="S182">
        <v>2.25</v>
      </c>
      <c r="T182">
        <v>2</v>
      </c>
      <c r="U182">
        <v>0</v>
      </c>
      <c r="V182">
        <v>4.25</v>
      </c>
      <c r="W182">
        <v>47.5</v>
      </c>
      <c r="X182">
        <v>0</v>
      </c>
      <c r="Y182">
        <v>6</v>
      </c>
      <c r="Z182">
        <v>0</v>
      </c>
      <c r="AA182">
        <v>-15</v>
      </c>
      <c r="AB182">
        <v>0</v>
      </c>
      <c r="AC182">
        <v>0</v>
      </c>
      <c r="AD182">
        <v>0</v>
      </c>
      <c r="AE182">
        <v>0</v>
      </c>
      <c r="AF182">
        <v>0</v>
      </c>
      <c r="AG182">
        <v>47.5</v>
      </c>
      <c r="AH182">
        <v>47.5</v>
      </c>
      <c r="AI182">
        <v>0</v>
      </c>
      <c r="AJ182">
        <v>0</v>
      </c>
      <c r="AK182">
        <v>0</v>
      </c>
      <c r="AL182">
        <v>0</v>
      </c>
      <c r="AM182">
        <v>0</v>
      </c>
      <c r="AN182">
        <v>0</v>
      </c>
      <c r="AO182">
        <v>0</v>
      </c>
      <c r="AP182">
        <v>0</v>
      </c>
      <c r="AQ182">
        <v>0</v>
      </c>
      <c r="AR182">
        <v>0</v>
      </c>
      <c r="AS182">
        <v>0</v>
      </c>
      <c r="AT182">
        <v>24</v>
      </c>
      <c r="AU182">
        <v>0</v>
      </c>
      <c r="AV182">
        <v>16</v>
      </c>
      <c r="AW182">
        <v>8</v>
      </c>
      <c r="AX182">
        <v>2.25</v>
      </c>
      <c r="AY182">
        <v>0</v>
      </c>
      <c r="AZ182">
        <v>1.75</v>
      </c>
      <c r="BA182">
        <v>0.5</v>
      </c>
      <c r="BB182">
        <v>2</v>
      </c>
      <c r="BC182">
        <v>0</v>
      </c>
      <c r="BD182">
        <v>1.5</v>
      </c>
      <c r="BE182">
        <v>0.5</v>
      </c>
      <c r="BF182" s="21">
        <v>25000</v>
      </c>
    </row>
    <row r="183" spans="1:58">
      <c r="A183" t="s">
        <v>17099</v>
      </c>
      <c r="B183" t="s">
        <v>18832</v>
      </c>
      <c r="C183">
        <v>5</v>
      </c>
      <c r="D183">
        <v>11</v>
      </c>
      <c r="E183">
        <v>8</v>
      </c>
      <c r="F183">
        <v>7</v>
      </c>
      <c r="G183">
        <v>0</v>
      </c>
      <c r="H183">
        <v>0</v>
      </c>
      <c r="I183">
        <v>0</v>
      </c>
      <c r="J183">
        <v>4</v>
      </c>
      <c r="K183">
        <v>27</v>
      </c>
      <c r="L183">
        <v>0</v>
      </c>
      <c r="M183">
        <v>1</v>
      </c>
      <c r="N183">
        <v>0</v>
      </c>
      <c r="O183">
        <v>1</v>
      </c>
      <c r="P183">
        <v>0</v>
      </c>
      <c r="Q183">
        <v>0</v>
      </c>
      <c r="R183">
        <v>0</v>
      </c>
      <c r="S183">
        <v>5</v>
      </c>
      <c r="T183">
        <v>0</v>
      </c>
      <c r="U183">
        <v>0</v>
      </c>
      <c r="V183">
        <v>5</v>
      </c>
      <c r="W183">
        <v>0</v>
      </c>
      <c r="X183">
        <v>0</v>
      </c>
      <c r="Y183">
        <v>0</v>
      </c>
      <c r="Z183">
        <v>0</v>
      </c>
      <c r="AA183">
        <v>-50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27</v>
      </c>
      <c r="AU183">
        <v>0</v>
      </c>
      <c r="AV183">
        <v>0</v>
      </c>
      <c r="AW183">
        <v>27</v>
      </c>
      <c r="AX183">
        <v>5</v>
      </c>
      <c r="AY183">
        <v>0</v>
      </c>
      <c r="AZ183">
        <v>0</v>
      </c>
      <c r="BA183">
        <v>5</v>
      </c>
      <c r="BB183">
        <v>0</v>
      </c>
      <c r="BC183">
        <v>0</v>
      </c>
      <c r="BD183">
        <v>0</v>
      </c>
      <c r="BE183">
        <v>0</v>
      </c>
      <c r="BF183">
        <v>0</v>
      </c>
    </row>
    <row r="184" spans="1:58">
      <c r="A184" t="s">
        <v>16974</v>
      </c>
      <c r="B184" t="s">
        <v>17055</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row>
    <row r="185" spans="1:58">
      <c r="A185" t="s">
        <v>16974</v>
      </c>
      <c r="B185" t="s">
        <v>17102</v>
      </c>
      <c r="C185">
        <v>0</v>
      </c>
      <c r="D185">
        <v>1</v>
      </c>
      <c r="E185">
        <v>1</v>
      </c>
      <c r="F185">
        <v>1</v>
      </c>
      <c r="G185">
        <v>0</v>
      </c>
      <c r="H185">
        <v>0</v>
      </c>
      <c r="I185">
        <v>0</v>
      </c>
      <c r="J185">
        <v>1</v>
      </c>
      <c r="K185">
        <v>9</v>
      </c>
      <c r="L185">
        <v>1</v>
      </c>
      <c r="M185">
        <v>0</v>
      </c>
      <c r="N185">
        <v>0</v>
      </c>
      <c r="O185">
        <v>0</v>
      </c>
      <c r="P185">
        <v>0</v>
      </c>
      <c r="Q185">
        <v>0</v>
      </c>
      <c r="R185">
        <v>0</v>
      </c>
      <c r="S185">
        <v>0.25</v>
      </c>
      <c r="T185">
        <v>0</v>
      </c>
      <c r="U185">
        <v>0</v>
      </c>
      <c r="V185">
        <v>0.25</v>
      </c>
      <c r="W185">
        <v>2.5</v>
      </c>
      <c r="X185">
        <v>0</v>
      </c>
      <c r="Y185">
        <v>1</v>
      </c>
      <c r="Z185">
        <v>0</v>
      </c>
      <c r="AA185">
        <v>0</v>
      </c>
      <c r="AB185">
        <v>0</v>
      </c>
      <c r="AC185">
        <v>0</v>
      </c>
      <c r="AD185">
        <v>0</v>
      </c>
      <c r="AE185">
        <v>0</v>
      </c>
      <c r="AF185">
        <v>0</v>
      </c>
      <c r="AG185">
        <v>2.5</v>
      </c>
      <c r="AH185">
        <v>2.5</v>
      </c>
      <c r="AI185">
        <v>0</v>
      </c>
      <c r="AJ185">
        <v>0</v>
      </c>
      <c r="AK185">
        <v>0</v>
      </c>
      <c r="AL185">
        <v>0</v>
      </c>
      <c r="AM185">
        <v>0</v>
      </c>
      <c r="AN185">
        <v>0</v>
      </c>
      <c r="AO185">
        <v>0</v>
      </c>
      <c r="AP185">
        <v>0</v>
      </c>
      <c r="AQ185">
        <v>0</v>
      </c>
      <c r="AR185">
        <v>0</v>
      </c>
      <c r="AS185">
        <v>0</v>
      </c>
      <c r="AT185">
        <v>9</v>
      </c>
      <c r="AU185">
        <v>0</v>
      </c>
      <c r="AV185">
        <v>9</v>
      </c>
      <c r="AW185">
        <v>0</v>
      </c>
      <c r="AX185">
        <v>0.25</v>
      </c>
      <c r="AY185">
        <v>0</v>
      </c>
      <c r="AZ185">
        <v>0.25</v>
      </c>
      <c r="BA185">
        <v>0</v>
      </c>
      <c r="BB185">
        <v>0</v>
      </c>
      <c r="BC185">
        <v>0</v>
      </c>
      <c r="BD185">
        <v>0</v>
      </c>
      <c r="BE185">
        <v>0</v>
      </c>
    </row>
    <row r="186" spans="1:58">
      <c r="A186" t="s">
        <v>16974</v>
      </c>
      <c r="B186" t="s">
        <v>17102</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row>
    <row r="187" spans="1:58">
      <c r="A187" t="s">
        <v>16974</v>
      </c>
      <c r="B187" t="s">
        <v>17103</v>
      </c>
      <c r="C187">
        <v>0</v>
      </c>
      <c r="D187">
        <v>2</v>
      </c>
      <c r="E187">
        <v>2</v>
      </c>
      <c r="F187">
        <v>1</v>
      </c>
      <c r="G187">
        <v>1</v>
      </c>
      <c r="H187">
        <v>1</v>
      </c>
      <c r="I187">
        <v>1</v>
      </c>
      <c r="J187">
        <v>2</v>
      </c>
      <c r="K187">
        <v>46</v>
      </c>
      <c r="L187">
        <v>2</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46</v>
      </c>
      <c r="AU187">
        <v>40</v>
      </c>
      <c r="AV187">
        <v>6</v>
      </c>
      <c r="AW187">
        <v>0</v>
      </c>
      <c r="AX187">
        <v>0</v>
      </c>
      <c r="AY187">
        <v>0</v>
      </c>
      <c r="AZ187">
        <v>0</v>
      </c>
      <c r="BA187">
        <v>0</v>
      </c>
      <c r="BB187">
        <v>0</v>
      </c>
      <c r="BC187">
        <v>0</v>
      </c>
      <c r="BD187">
        <v>0</v>
      </c>
      <c r="BE187">
        <v>0</v>
      </c>
      <c r="BF187">
        <v>526</v>
      </c>
    </row>
    <row r="188" spans="1:58">
      <c r="A188" t="s">
        <v>16974</v>
      </c>
      <c r="B188" t="s">
        <v>18835</v>
      </c>
      <c r="C188">
        <v>0</v>
      </c>
      <c r="D188">
        <v>19</v>
      </c>
      <c r="E188">
        <v>11</v>
      </c>
      <c r="F188">
        <v>12</v>
      </c>
      <c r="G188">
        <v>7</v>
      </c>
      <c r="H188">
        <v>4</v>
      </c>
      <c r="I188">
        <v>6</v>
      </c>
      <c r="J188">
        <v>19</v>
      </c>
      <c r="K188">
        <v>166</v>
      </c>
      <c r="L188">
        <v>12</v>
      </c>
      <c r="M188">
        <v>3</v>
      </c>
      <c r="N188">
        <v>0</v>
      </c>
      <c r="O188">
        <v>2</v>
      </c>
      <c r="P188">
        <v>0</v>
      </c>
      <c r="Q188">
        <v>2</v>
      </c>
      <c r="R188">
        <v>0</v>
      </c>
      <c r="S188">
        <v>142.5</v>
      </c>
      <c r="T188">
        <v>34</v>
      </c>
      <c r="U188">
        <v>0</v>
      </c>
      <c r="V188">
        <v>176.5</v>
      </c>
      <c r="W188" s="21">
        <v>2105</v>
      </c>
      <c r="X188">
        <v>0</v>
      </c>
      <c r="Y188">
        <v>18</v>
      </c>
      <c r="Z188">
        <v>1</v>
      </c>
      <c r="AA188">
        <v>0</v>
      </c>
      <c r="AB188" s="20">
        <v>1647.5</v>
      </c>
      <c r="AC188">
        <v>0</v>
      </c>
      <c r="AD188">
        <v>0</v>
      </c>
      <c r="AE188">
        <v>0</v>
      </c>
      <c r="AF188" s="20">
        <v>1647.5</v>
      </c>
      <c r="AG188" s="21">
        <v>2105</v>
      </c>
      <c r="AH188" s="21">
        <v>2105</v>
      </c>
      <c r="AI188">
        <v>0</v>
      </c>
      <c r="AJ188" s="20">
        <v>1302.5</v>
      </c>
      <c r="AK188" s="20">
        <v>1452.5</v>
      </c>
      <c r="AL188" s="20">
        <v>1452.5</v>
      </c>
      <c r="AM188">
        <v>0</v>
      </c>
      <c r="AN188">
        <v>0</v>
      </c>
      <c r="AO188">
        <v>0</v>
      </c>
      <c r="AP188">
        <v>0</v>
      </c>
      <c r="AQ188">
        <v>0</v>
      </c>
      <c r="AR188">
        <v>0</v>
      </c>
      <c r="AS188">
        <v>0</v>
      </c>
      <c r="AT188">
        <v>166</v>
      </c>
      <c r="AU188">
        <v>39</v>
      </c>
      <c r="AV188">
        <v>127</v>
      </c>
      <c r="AW188">
        <v>0</v>
      </c>
      <c r="AX188">
        <v>142.5</v>
      </c>
      <c r="AY188">
        <v>125.25</v>
      </c>
      <c r="AZ188">
        <v>17.25</v>
      </c>
      <c r="BA188">
        <v>0</v>
      </c>
      <c r="BB188">
        <v>34</v>
      </c>
      <c r="BC188">
        <v>10</v>
      </c>
      <c r="BD188">
        <v>24</v>
      </c>
      <c r="BE188">
        <v>0</v>
      </c>
      <c r="BF188">
        <v>10</v>
      </c>
    </row>
    <row r="189" spans="1:58">
      <c r="A189" t="s">
        <v>16974</v>
      </c>
      <c r="B189" t="s">
        <v>17313</v>
      </c>
      <c r="C189">
        <v>0</v>
      </c>
      <c r="D189">
        <v>1</v>
      </c>
      <c r="E189">
        <v>1</v>
      </c>
      <c r="F189">
        <v>1</v>
      </c>
      <c r="G189">
        <v>0</v>
      </c>
      <c r="H189">
        <v>0</v>
      </c>
      <c r="I189">
        <v>0</v>
      </c>
      <c r="J189">
        <v>1</v>
      </c>
      <c r="K189">
        <v>1</v>
      </c>
      <c r="L189">
        <v>1</v>
      </c>
      <c r="M189">
        <v>0</v>
      </c>
      <c r="N189">
        <v>0</v>
      </c>
      <c r="O189">
        <v>0</v>
      </c>
      <c r="P189">
        <v>0</v>
      </c>
      <c r="Q189">
        <v>0</v>
      </c>
      <c r="R189">
        <v>0</v>
      </c>
      <c r="S189">
        <v>0.25</v>
      </c>
      <c r="T189">
        <v>0</v>
      </c>
      <c r="U189">
        <v>0</v>
      </c>
      <c r="V189">
        <v>0.25</v>
      </c>
      <c r="W189">
        <v>2.5</v>
      </c>
      <c r="X189">
        <v>0</v>
      </c>
      <c r="Y189">
        <v>1</v>
      </c>
      <c r="Z189">
        <v>0</v>
      </c>
      <c r="AA189">
        <v>0</v>
      </c>
      <c r="AB189">
        <v>0</v>
      </c>
      <c r="AC189">
        <v>0</v>
      </c>
      <c r="AD189">
        <v>0</v>
      </c>
      <c r="AE189">
        <v>0</v>
      </c>
      <c r="AF189">
        <v>0</v>
      </c>
      <c r="AG189">
        <v>2.5</v>
      </c>
      <c r="AH189">
        <v>2.5</v>
      </c>
      <c r="AI189">
        <v>0</v>
      </c>
      <c r="AJ189">
        <v>0</v>
      </c>
      <c r="AK189">
        <v>0</v>
      </c>
      <c r="AL189">
        <v>0</v>
      </c>
      <c r="AM189">
        <v>0</v>
      </c>
      <c r="AN189">
        <v>0</v>
      </c>
      <c r="AO189">
        <v>0</v>
      </c>
      <c r="AP189">
        <v>0</v>
      </c>
      <c r="AQ189">
        <v>0</v>
      </c>
      <c r="AR189">
        <v>0</v>
      </c>
      <c r="AS189">
        <v>0</v>
      </c>
      <c r="AT189">
        <v>1</v>
      </c>
      <c r="AU189">
        <v>0</v>
      </c>
      <c r="AV189">
        <v>1</v>
      </c>
      <c r="AW189">
        <v>0</v>
      </c>
      <c r="AX189">
        <v>0.25</v>
      </c>
      <c r="AY189">
        <v>0</v>
      </c>
      <c r="AZ189">
        <v>0.25</v>
      </c>
      <c r="BA189">
        <v>0</v>
      </c>
      <c r="BB189">
        <v>0</v>
      </c>
      <c r="BC189">
        <v>0</v>
      </c>
      <c r="BD189">
        <v>0</v>
      </c>
      <c r="BE189">
        <v>0</v>
      </c>
      <c r="BF189">
        <v>3</v>
      </c>
    </row>
    <row r="190" spans="1:58">
      <c r="A190" t="s">
        <v>16974</v>
      </c>
      <c r="B190" t="s">
        <v>17108</v>
      </c>
      <c r="C190">
        <v>1</v>
      </c>
      <c r="D190">
        <v>4</v>
      </c>
      <c r="E190">
        <v>4</v>
      </c>
      <c r="F190">
        <v>4</v>
      </c>
      <c r="G190">
        <v>0</v>
      </c>
      <c r="H190">
        <v>0</v>
      </c>
      <c r="I190">
        <v>0</v>
      </c>
      <c r="J190">
        <v>4</v>
      </c>
      <c r="K190">
        <v>9</v>
      </c>
      <c r="L190">
        <v>0</v>
      </c>
      <c r="M190">
        <v>0</v>
      </c>
      <c r="N190">
        <v>0</v>
      </c>
      <c r="O190">
        <v>0</v>
      </c>
      <c r="P190">
        <v>0</v>
      </c>
      <c r="Q190">
        <v>0</v>
      </c>
      <c r="R190">
        <v>0</v>
      </c>
      <c r="S190">
        <v>2</v>
      </c>
      <c r="T190">
        <v>0</v>
      </c>
      <c r="U190">
        <v>0</v>
      </c>
      <c r="V190">
        <v>2</v>
      </c>
      <c r="W190">
        <v>10</v>
      </c>
      <c r="X190">
        <v>0</v>
      </c>
      <c r="Y190">
        <v>3</v>
      </c>
      <c r="Z190">
        <v>0</v>
      </c>
      <c r="AA190">
        <v>-10</v>
      </c>
      <c r="AB190">
        <v>0</v>
      </c>
      <c r="AC190">
        <v>0</v>
      </c>
      <c r="AD190">
        <v>0</v>
      </c>
      <c r="AE190">
        <v>0</v>
      </c>
      <c r="AF190">
        <v>0</v>
      </c>
      <c r="AG190">
        <v>10</v>
      </c>
      <c r="AH190">
        <v>10</v>
      </c>
      <c r="AI190">
        <v>0</v>
      </c>
      <c r="AJ190">
        <v>0</v>
      </c>
      <c r="AK190">
        <v>0</v>
      </c>
      <c r="AL190">
        <v>0</v>
      </c>
      <c r="AM190">
        <v>0</v>
      </c>
      <c r="AN190">
        <v>0</v>
      </c>
      <c r="AO190">
        <v>0</v>
      </c>
      <c r="AP190">
        <v>0</v>
      </c>
      <c r="AQ190">
        <v>0</v>
      </c>
      <c r="AR190">
        <v>0</v>
      </c>
      <c r="AS190">
        <v>0</v>
      </c>
      <c r="AT190">
        <v>9</v>
      </c>
      <c r="AU190">
        <v>0</v>
      </c>
      <c r="AV190">
        <v>8</v>
      </c>
      <c r="AW190">
        <v>1</v>
      </c>
      <c r="AX190">
        <v>2</v>
      </c>
      <c r="AY190">
        <v>0</v>
      </c>
      <c r="AZ190">
        <v>1</v>
      </c>
      <c r="BA190">
        <v>1</v>
      </c>
      <c r="BB190">
        <v>0</v>
      </c>
      <c r="BC190">
        <v>0</v>
      </c>
      <c r="BD190">
        <v>0</v>
      </c>
      <c r="BE190">
        <v>0</v>
      </c>
    </row>
    <row r="191" spans="1:58">
      <c r="A191" t="s">
        <v>16974</v>
      </c>
      <c r="B191" t="s">
        <v>17108</v>
      </c>
      <c r="C191">
        <v>3</v>
      </c>
      <c r="D191">
        <v>4</v>
      </c>
      <c r="E191">
        <v>0</v>
      </c>
      <c r="F191">
        <v>4</v>
      </c>
      <c r="G191">
        <v>0</v>
      </c>
      <c r="H191">
        <v>0</v>
      </c>
      <c r="I191">
        <v>0</v>
      </c>
      <c r="J191">
        <v>4</v>
      </c>
      <c r="K191">
        <v>11</v>
      </c>
      <c r="L191">
        <v>4</v>
      </c>
      <c r="M191">
        <v>0</v>
      </c>
      <c r="N191">
        <v>0</v>
      </c>
      <c r="O191">
        <v>0</v>
      </c>
      <c r="P191">
        <v>0</v>
      </c>
      <c r="Q191">
        <v>0</v>
      </c>
      <c r="R191">
        <v>0</v>
      </c>
      <c r="S191">
        <v>1.5</v>
      </c>
      <c r="T191">
        <v>0</v>
      </c>
      <c r="U191">
        <v>0</v>
      </c>
      <c r="V191">
        <v>1.5</v>
      </c>
      <c r="W191">
        <v>5</v>
      </c>
      <c r="X191">
        <v>0</v>
      </c>
      <c r="Y191">
        <v>1</v>
      </c>
      <c r="Z191">
        <v>0</v>
      </c>
      <c r="AA191">
        <v>-10</v>
      </c>
      <c r="AB191">
        <v>0</v>
      </c>
      <c r="AC191">
        <v>0</v>
      </c>
      <c r="AD191">
        <v>0</v>
      </c>
      <c r="AE191">
        <v>0</v>
      </c>
      <c r="AF191">
        <v>0</v>
      </c>
      <c r="AG191">
        <v>5</v>
      </c>
      <c r="AH191">
        <v>5</v>
      </c>
      <c r="AI191">
        <v>0</v>
      </c>
      <c r="AJ191">
        <v>0</v>
      </c>
      <c r="AK191">
        <v>0</v>
      </c>
      <c r="AL191">
        <v>0</v>
      </c>
      <c r="AM191">
        <v>0</v>
      </c>
      <c r="AN191">
        <v>0</v>
      </c>
      <c r="AO191">
        <v>0</v>
      </c>
      <c r="AP191">
        <v>0</v>
      </c>
      <c r="AQ191">
        <v>0</v>
      </c>
      <c r="AR191">
        <v>0</v>
      </c>
      <c r="AS191">
        <v>0</v>
      </c>
      <c r="AT191">
        <v>11</v>
      </c>
      <c r="AU191">
        <v>0</v>
      </c>
      <c r="AV191">
        <v>1</v>
      </c>
      <c r="AW191">
        <v>10</v>
      </c>
      <c r="AX191">
        <v>1.5</v>
      </c>
      <c r="AY191">
        <v>0</v>
      </c>
      <c r="AZ191">
        <v>0.5</v>
      </c>
      <c r="BA191">
        <v>1</v>
      </c>
      <c r="BB191">
        <v>0</v>
      </c>
      <c r="BC191">
        <v>0</v>
      </c>
      <c r="BD191">
        <v>0</v>
      </c>
      <c r="BE191">
        <v>0</v>
      </c>
      <c r="BF191">
        <v>0</v>
      </c>
    </row>
    <row r="192" spans="1:58">
      <c r="A192" t="s">
        <v>16974</v>
      </c>
      <c r="B192" t="s">
        <v>17109</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row>
    <row r="193" spans="1:58">
      <c r="A193" t="s">
        <v>16974</v>
      </c>
      <c r="B193" t="s">
        <v>17312</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row>
    <row r="194" spans="1:58">
      <c r="A194" t="s">
        <v>16974</v>
      </c>
      <c r="B194" t="s">
        <v>17110</v>
      </c>
      <c r="C194">
        <v>0</v>
      </c>
      <c r="D194">
        <v>5</v>
      </c>
      <c r="E194">
        <v>0</v>
      </c>
      <c r="F194">
        <v>0</v>
      </c>
      <c r="G194">
        <v>0</v>
      </c>
      <c r="H194">
        <v>0</v>
      </c>
      <c r="I194">
        <v>0</v>
      </c>
      <c r="J194">
        <v>5</v>
      </c>
      <c r="K194">
        <v>10</v>
      </c>
      <c r="L194">
        <v>5</v>
      </c>
      <c r="M194">
        <v>0</v>
      </c>
      <c r="N194">
        <v>0</v>
      </c>
      <c r="O194">
        <v>0</v>
      </c>
      <c r="P194">
        <v>0</v>
      </c>
      <c r="Q194">
        <v>0</v>
      </c>
      <c r="R194">
        <v>0</v>
      </c>
      <c r="S194">
        <v>1.1499999999999999</v>
      </c>
      <c r="T194">
        <v>0.65</v>
      </c>
      <c r="U194">
        <v>0</v>
      </c>
      <c r="V194">
        <v>1.8</v>
      </c>
      <c r="W194">
        <v>24.5</v>
      </c>
      <c r="X194">
        <v>0</v>
      </c>
      <c r="Y194">
        <v>4</v>
      </c>
      <c r="Z194">
        <v>0</v>
      </c>
      <c r="AA194">
        <v>0</v>
      </c>
      <c r="AB194">
        <v>0</v>
      </c>
      <c r="AC194">
        <v>0</v>
      </c>
      <c r="AD194">
        <v>0</v>
      </c>
      <c r="AE194">
        <v>0</v>
      </c>
      <c r="AF194">
        <v>0</v>
      </c>
      <c r="AG194">
        <v>24.5</v>
      </c>
      <c r="AH194">
        <v>24.5</v>
      </c>
      <c r="AI194">
        <v>0</v>
      </c>
      <c r="AJ194">
        <v>0</v>
      </c>
      <c r="AK194">
        <v>0</v>
      </c>
      <c r="AL194">
        <v>0</v>
      </c>
      <c r="AM194">
        <v>0</v>
      </c>
      <c r="AN194">
        <v>0</v>
      </c>
      <c r="AO194">
        <v>0</v>
      </c>
      <c r="AP194">
        <v>0</v>
      </c>
      <c r="AQ194">
        <v>0</v>
      </c>
      <c r="AR194">
        <v>0</v>
      </c>
      <c r="AS194">
        <v>0</v>
      </c>
      <c r="AT194">
        <v>10</v>
      </c>
      <c r="AU194">
        <v>0</v>
      </c>
      <c r="AV194">
        <v>10</v>
      </c>
      <c r="AW194">
        <v>0</v>
      </c>
      <c r="AX194">
        <v>1.1499999999999999</v>
      </c>
      <c r="AY194">
        <v>0</v>
      </c>
      <c r="AZ194">
        <v>1.1499999999999999</v>
      </c>
      <c r="BA194">
        <v>0</v>
      </c>
      <c r="BB194">
        <v>0.65</v>
      </c>
      <c r="BC194">
        <v>0</v>
      </c>
      <c r="BD194">
        <v>0.65</v>
      </c>
      <c r="BE194">
        <v>0</v>
      </c>
      <c r="BF194">
        <v>3</v>
      </c>
    </row>
    <row r="195" spans="1:58">
      <c r="A195" t="s">
        <v>16974</v>
      </c>
      <c r="B195" t="s">
        <v>17111</v>
      </c>
      <c r="C195">
        <v>0</v>
      </c>
      <c r="D195">
        <v>11</v>
      </c>
      <c r="E195">
        <v>0</v>
      </c>
      <c r="F195">
        <v>11</v>
      </c>
      <c r="G195">
        <v>0</v>
      </c>
      <c r="H195">
        <v>0</v>
      </c>
      <c r="I195">
        <v>0</v>
      </c>
      <c r="J195">
        <v>10</v>
      </c>
      <c r="K195">
        <v>51</v>
      </c>
      <c r="L195">
        <v>7</v>
      </c>
      <c r="M195">
        <v>0</v>
      </c>
      <c r="N195">
        <v>2</v>
      </c>
      <c r="O195">
        <v>1</v>
      </c>
      <c r="P195">
        <v>1</v>
      </c>
      <c r="Q195">
        <v>0</v>
      </c>
      <c r="R195">
        <v>0</v>
      </c>
      <c r="S195">
        <v>3.75</v>
      </c>
      <c r="T195">
        <v>0</v>
      </c>
      <c r="U195">
        <v>0</v>
      </c>
      <c r="V195">
        <v>3.75</v>
      </c>
      <c r="W195">
        <v>37.5</v>
      </c>
      <c r="X195">
        <v>0</v>
      </c>
      <c r="Y195">
        <v>11</v>
      </c>
      <c r="Z195">
        <v>0</v>
      </c>
      <c r="AA195">
        <v>0</v>
      </c>
      <c r="AB195">
        <v>0</v>
      </c>
      <c r="AC195">
        <v>12</v>
      </c>
      <c r="AD195">
        <v>12</v>
      </c>
      <c r="AE195">
        <v>0</v>
      </c>
      <c r="AF195">
        <v>0.5</v>
      </c>
      <c r="AG195">
        <v>49.5</v>
      </c>
      <c r="AH195">
        <v>49</v>
      </c>
      <c r="AI195">
        <v>0</v>
      </c>
      <c r="AJ195">
        <v>0</v>
      </c>
      <c r="AK195">
        <v>0</v>
      </c>
      <c r="AL195">
        <v>0</v>
      </c>
      <c r="AM195">
        <v>1</v>
      </c>
      <c r="AN195">
        <v>0</v>
      </c>
      <c r="AO195">
        <v>0</v>
      </c>
      <c r="AP195">
        <v>0</v>
      </c>
      <c r="AQ195">
        <v>0</v>
      </c>
      <c r="AR195">
        <v>0</v>
      </c>
      <c r="AS195">
        <v>0</v>
      </c>
      <c r="AT195">
        <v>51</v>
      </c>
      <c r="AU195">
        <v>0</v>
      </c>
      <c r="AV195">
        <v>51</v>
      </c>
      <c r="AW195">
        <v>0</v>
      </c>
      <c r="AX195">
        <v>3.75</v>
      </c>
      <c r="AY195">
        <v>0</v>
      </c>
      <c r="AZ195">
        <v>3.75</v>
      </c>
      <c r="BA195">
        <v>0</v>
      </c>
      <c r="BB195">
        <v>0</v>
      </c>
      <c r="BC195">
        <v>0</v>
      </c>
      <c r="BD195">
        <v>0</v>
      </c>
      <c r="BE195">
        <v>0</v>
      </c>
      <c r="BF195">
        <v>1</v>
      </c>
    </row>
    <row r="196" spans="1:58">
      <c r="A196" t="s">
        <v>16974</v>
      </c>
      <c r="B196" t="s">
        <v>17386</v>
      </c>
      <c r="C196">
        <v>0</v>
      </c>
      <c r="D196">
        <v>4</v>
      </c>
      <c r="E196">
        <v>4</v>
      </c>
      <c r="F196">
        <v>4</v>
      </c>
      <c r="G196">
        <v>1</v>
      </c>
      <c r="H196">
        <v>0</v>
      </c>
      <c r="I196">
        <v>0</v>
      </c>
      <c r="J196">
        <v>4</v>
      </c>
      <c r="K196">
        <v>44</v>
      </c>
      <c r="L196">
        <v>0</v>
      </c>
      <c r="M196">
        <v>2</v>
      </c>
      <c r="N196">
        <v>0</v>
      </c>
      <c r="O196">
        <v>1</v>
      </c>
      <c r="P196">
        <v>1</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44</v>
      </c>
      <c r="AU196">
        <v>0</v>
      </c>
      <c r="AV196">
        <v>44</v>
      </c>
      <c r="AW196">
        <v>0</v>
      </c>
      <c r="AX196">
        <v>0</v>
      </c>
      <c r="AY196">
        <v>0</v>
      </c>
      <c r="AZ196">
        <v>0</v>
      </c>
      <c r="BA196">
        <v>0</v>
      </c>
      <c r="BB196">
        <v>0</v>
      </c>
      <c r="BC196">
        <v>0</v>
      </c>
      <c r="BD196">
        <v>0</v>
      </c>
      <c r="BE196">
        <v>0</v>
      </c>
      <c r="BF196" s="21">
        <v>111989</v>
      </c>
    </row>
    <row r="197" spans="1:58">
      <c r="A197" t="s">
        <v>16974</v>
      </c>
      <c r="B197" t="s">
        <v>17309</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row>
    <row r="198" spans="1:58">
      <c r="A198" t="s">
        <v>16974</v>
      </c>
      <c r="B198" t="s">
        <v>17115</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row>
    <row r="199" spans="1:58">
      <c r="A199" t="s">
        <v>16974</v>
      </c>
      <c r="B199" t="s">
        <v>17117</v>
      </c>
      <c r="C199">
        <v>0</v>
      </c>
      <c r="D199">
        <v>1</v>
      </c>
      <c r="E199">
        <v>1</v>
      </c>
      <c r="F199">
        <v>1</v>
      </c>
      <c r="G199">
        <v>0</v>
      </c>
      <c r="H199">
        <v>0</v>
      </c>
      <c r="I199">
        <v>0</v>
      </c>
      <c r="J199">
        <v>1</v>
      </c>
      <c r="K199">
        <v>6</v>
      </c>
      <c r="L199">
        <v>0</v>
      </c>
      <c r="M199">
        <v>0</v>
      </c>
      <c r="N199">
        <v>0</v>
      </c>
      <c r="O199">
        <v>1</v>
      </c>
      <c r="P199">
        <v>0</v>
      </c>
      <c r="Q199">
        <v>0</v>
      </c>
      <c r="R199">
        <v>0</v>
      </c>
      <c r="S199">
        <v>0.25</v>
      </c>
      <c r="T199">
        <v>0</v>
      </c>
      <c r="U199">
        <v>0</v>
      </c>
      <c r="V199">
        <v>0.25</v>
      </c>
      <c r="W199">
        <v>2.5</v>
      </c>
      <c r="X199">
        <v>0</v>
      </c>
      <c r="Y199">
        <v>1</v>
      </c>
      <c r="Z199">
        <v>0</v>
      </c>
      <c r="AA199">
        <v>0</v>
      </c>
      <c r="AB199">
        <v>0</v>
      </c>
      <c r="AC199">
        <v>0</v>
      </c>
      <c r="AD199">
        <v>0</v>
      </c>
      <c r="AE199">
        <v>0</v>
      </c>
      <c r="AF199">
        <v>0</v>
      </c>
      <c r="AG199">
        <v>2.5</v>
      </c>
      <c r="AH199">
        <v>2.5</v>
      </c>
      <c r="AI199">
        <v>0</v>
      </c>
      <c r="AJ199">
        <v>0</v>
      </c>
      <c r="AK199">
        <v>0</v>
      </c>
      <c r="AL199">
        <v>0</v>
      </c>
      <c r="AM199">
        <v>0</v>
      </c>
      <c r="AN199">
        <v>0</v>
      </c>
      <c r="AO199">
        <v>0</v>
      </c>
      <c r="AP199">
        <v>0</v>
      </c>
      <c r="AQ199">
        <v>0</v>
      </c>
      <c r="AR199">
        <v>0</v>
      </c>
      <c r="AS199">
        <v>0</v>
      </c>
      <c r="AT199">
        <v>6</v>
      </c>
      <c r="AU199">
        <v>0</v>
      </c>
      <c r="AV199">
        <v>6</v>
      </c>
      <c r="AW199">
        <v>0</v>
      </c>
      <c r="AX199">
        <v>0.25</v>
      </c>
      <c r="AY199">
        <v>0</v>
      </c>
      <c r="AZ199">
        <v>0.25</v>
      </c>
      <c r="BA199">
        <v>0</v>
      </c>
      <c r="BB199">
        <v>0</v>
      </c>
      <c r="BC199">
        <v>0</v>
      </c>
      <c r="BD199">
        <v>0</v>
      </c>
      <c r="BE199">
        <v>0</v>
      </c>
      <c r="BF199">
        <v>1</v>
      </c>
    </row>
    <row r="200" spans="1:58">
      <c r="A200" t="s">
        <v>16974</v>
      </c>
      <c r="B200" t="s">
        <v>17118</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row>
    <row r="201" spans="1:58">
      <c r="A201" t="s">
        <v>16974</v>
      </c>
      <c r="B201" t="s">
        <v>17119</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row>
    <row r="202" spans="1:58">
      <c r="A202" t="s">
        <v>16974</v>
      </c>
      <c r="B202" t="s">
        <v>17096</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row>
    <row r="203" spans="1:58">
      <c r="A203" t="s">
        <v>16974</v>
      </c>
      <c r="B203" t="s">
        <v>17120</v>
      </c>
      <c r="C203">
        <v>0</v>
      </c>
      <c r="D203">
        <v>5</v>
      </c>
      <c r="E203">
        <v>5</v>
      </c>
      <c r="F203">
        <v>5</v>
      </c>
      <c r="G203">
        <v>0</v>
      </c>
      <c r="H203">
        <v>0</v>
      </c>
      <c r="I203">
        <v>0</v>
      </c>
      <c r="J203">
        <v>5</v>
      </c>
      <c r="K203">
        <v>28</v>
      </c>
      <c r="L203">
        <v>3</v>
      </c>
      <c r="M203">
        <v>0</v>
      </c>
      <c r="N203">
        <v>0</v>
      </c>
      <c r="O203">
        <v>2</v>
      </c>
      <c r="P203">
        <v>0</v>
      </c>
      <c r="Q203">
        <v>0</v>
      </c>
      <c r="R203">
        <v>0</v>
      </c>
      <c r="S203">
        <v>12</v>
      </c>
      <c r="T203">
        <v>0</v>
      </c>
      <c r="U203">
        <v>0</v>
      </c>
      <c r="V203">
        <v>12</v>
      </c>
      <c r="W203">
        <v>120</v>
      </c>
      <c r="X203">
        <v>0</v>
      </c>
      <c r="Y203">
        <v>5</v>
      </c>
      <c r="Z203">
        <v>0</v>
      </c>
      <c r="AA203">
        <v>0</v>
      </c>
      <c r="AB203">
        <v>0</v>
      </c>
      <c r="AC203">
        <v>0</v>
      </c>
      <c r="AD203">
        <v>0</v>
      </c>
      <c r="AE203">
        <v>0</v>
      </c>
      <c r="AF203">
        <v>0</v>
      </c>
      <c r="AG203">
        <v>120</v>
      </c>
      <c r="AH203">
        <v>120</v>
      </c>
      <c r="AI203">
        <v>0</v>
      </c>
      <c r="AJ203">
        <v>0</v>
      </c>
      <c r="AK203">
        <v>0</v>
      </c>
      <c r="AL203">
        <v>0</v>
      </c>
      <c r="AM203">
        <v>0</v>
      </c>
      <c r="AN203">
        <v>0</v>
      </c>
      <c r="AO203">
        <v>0</v>
      </c>
      <c r="AP203">
        <v>0</v>
      </c>
      <c r="AQ203">
        <v>0</v>
      </c>
      <c r="AR203">
        <v>0</v>
      </c>
      <c r="AS203">
        <v>0</v>
      </c>
      <c r="AT203">
        <v>28</v>
      </c>
      <c r="AU203">
        <v>0</v>
      </c>
      <c r="AV203">
        <v>28</v>
      </c>
      <c r="AW203">
        <v>0</v>
      </c>
      <c r="AX203">
        <v>12</v>
      </c>
      <c r="AY203">
        <v>0</v>
      </c>
      <c r="AZ203">
        <v>12</v>
      </c>
      <c r="BA203">
        <v>0</v>
      </c>
      <c r="BB203">
        <v>0</v>
      </c>
      <c r="BC203">
        <v>0</v>
      </c>
      <c r="BD203">
        <v>0</v>
      </c>
      <c r="BE203">
        <v>0</v>
      </c>
      <c r="BF203">
        <v>240</v>
      </c>
    </row>
    <row r="204" spans="1:58">
      <c r="A204" t="s">
        <v>16974</v>
      </c>
      <c r="B204" t="s">
        <v>17336</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row>
    <row r="205" spans="1:58">
      <c r="A205" t="s">
        <v>16974</v>
      </c>
      <c r="B205" t="s">
        <v>19985</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row>
    <row r="206" spans="1:58">
      <c r="A206" t="s">
        <v>16974</v>
      </c>
      <c r="B206" t="s">
        <v>17308</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row>
    <row r="207" spans="1:58">
      <c r="A207" t="s">
        <v>16974</v>
      </c>
      <c r="B207" t="s">
        <v>17121</v>
      </c>
      <c r="C207">
        <v>0</v>
      </c>
      <c r="D207">
        <v>1</v>
      </c>
      <c r="E207">
        <v>1</v>
      </c>
      <c r="F207">
        <v>0</v>
      </c>
      <c r="G207">
        <v>0</v>
      </c>
      <c r="H207">
        <v>0</v>
      </c>
      <c r="I207">
        <v>0</v>
      </c>
      <c r="J207">
        <v>1</v>
      </c>
      <c r="K207">
        <v>2</v>
      </c>
      <c r="L207">
        <v>1</v>
      </c>
      <c r="M207">
        <v>0</v>
      </c>
      <c r="N207">
        <v>0</v>
      </c>
      <c r="O207">
        <v>0</v>
      </c>
      <c r="P207">
        <v>0</v>
      </c>
      <c r="Q207">
        <v>0</v>
      </c>
      <c r="R207">
        <v>0</v>
      </c>
      <c r="S207">
        <v>0</v>
      </c>
      <c r="T207">
        <v>0</v>
      </c>
      <c r="U207">
        <v>0</v>
      </c>
      <c r="V207">
        <v>0</v>
      </c>
      <c r="W207">
        <v>0</v>
      </c>
      <c r="X207">
        <v>0</v>
      </c>
      <c r="Y207">
        <v>0</v>
      </c>
      <c r="Z207">
        <v>0</v>
      </c>
      <c r="AA207">
        <v>0</v>
      </c>
      <c r="AB207">
        <v>0</v>
      </c>
      <c r="AC207">
        <v>40</v>
      </c>
      <c r="AD207">
        <v>40</v>
      </c>
      <c r="AE207">
        <v>40</v>
      </c>
      <c r="AF207">
        <v>40</v>
      </c>
      <c r="AG207">
        <v>40</v>
      </c>
      <c r="AH207">
        <v>0</v>
      </c>
      <c r="AI207">
        <v>0</v>
      </c>
      <c r="AJ207">
        <v>0</v>
      </c>
      <c r="AK207">
        <v>0</v>
      </c>
      <c r="AL207">
        <v>0</v>
      </c>
      <c r="AM207">
        <v>0</v>
      </c>
      <c r="AN207">
        <v>1</v>
      </c>
      <c r="AO207">
        <v>0</v>
      </c>
      <c r="AP207">
        <v>0</v>
      </c>
      <c r="AQ207">
        <v>0</v>
      </c>
      <c r="AR207">
        <v>0</v>
      </c>
      <c r="AS207">
        <v>0</v>
      </c>
      <c r="AT207">
        <v>2</v>
      </c>
      <c r="AU207">
        <v>0</v>
      </c>
      <c r="AV207">
        <v>2</v>
      </c>
      <c r="AW207">
        <v>0</v>
      </c>
      <c r="AX207">
        <v>0</v>
      </c>
      <c r="AY207">
        <v>0</v>
      </c>
      <c r="AZ207">
        <v>0</v>
      </c>
      <c r="BA207">
        <v>0</v>
      </c>
      <c r="BB207">
        <v>0</v>
      </c>
      <c r="BC207">
        <v>0</v>
      </c>
      <c r="BD207">
        <v>0</v>
      </c>
      <c r="BE207">
        <v>0</v>
      </c>
      <c r="BF207">
        <v>50</v>
      </c>
    </row>
    <row r="208" spans="1:58">
      <c r="A208" t="s">
        <v>16974</v>
      </c>
      <c r="B208" t="s">
        <v>17122</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row>
    <row r="209" spans="1:58">
      <c r="A209" t="s">
        <v>16974</v>
      </c>
      <c r="B209" t="s">
        <v>19986</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row>
    <row r="210" spans="1:58">
      <c r="A210" t="s">
        <v>16974</v>
      </c>
      <c r="B210" t="s">
        <v>17125</v>
      </c>
      <c r="C210">
        <v>0</v>
      </c>
      <c r="D210">
        <v>24</v>
      </c>
      <c r="E210">
        <v>0</v>
      </c>
      <c r="F210">
        <v>21</v>
      </c>
      <c r="G210">
        <v>0</v>
      </c>
      <c r="H210">
        <v>0</v>
      </c>
      <c r="I210">
        <v>0</v>
      </c>
      <c r="J210">
        <v>24</v>
      </c>
      <c r="K210">
        <v>288</v>
      </c>
      <c r="L210">
        <v>24</v>
      </c>
      <c r="M210">
        <v>0</v>
      </c>
      <c r="N210">
        <v>0</v>
      </c>
      <c r="O210">
        <v>0</v>
      </c>
      <c r="P210">
        <v>0</v>
      </c>
      <c r="Q210">
        <v>0</v>
      </c>
      <c r="R210">
        <v>0</v>
      </c>
      <c r="S210">
        <v>67</v>
      </c>
      <c r="T210">
        <v>0</v>
      </c>
      <c r="U210">
        <v>0</v>
      </c>
      <c r="V210">
        <v>67</v>
      </c>
      <c r="W210">
        <v>670</v>
      </c>
      <c r="X210">
        <v>0</v>
      </c>
      <c r="Y210">
        <v>24</v>
      </c>
      <c r="Z210">
        <v>0</v>
      </c>
      <c r="AA210">
        <v>0</v>
      </c>
      <c r="AB210">
        <v>150</v>
      </c>
      <c r="AC210">
        <v>0</v>
      </c>
      <c r="AD210">
        <v>0</v>
      </c>
      <c r="AE210">
        <v>0</v>
      </c>
      <c r="AF210">
        <v>150</v>
      </c>
      <c r="AG210">
        <v>670</v>
      </c>
      <c r="AH210">
        <v>670</v>
      </c>
      <c r="AI210">
        <v>0</v>
      </c>
      <c r="AJ210">
        <v>0</v>
      </c>
      <c r="AK210">
        <v>0</v>
      </c>
      <c r="AL210">
        <v>0</v>
      </c>
      <c r="AM210">
        <v>0</v>
      </c>
      <c r="AN210">
        <v>0</v>
      </c>
      <c r="AO210">
        <v>0</v>
      </c>
      <c r="AP210">
        <v>0</v>
      </c>
      <c r="AQ210">
        <v>0</v>
      </c>
      <c r="AR210">
        <v>0</v>
      </c>
      <c r="AS210">
        <v>0</v>
      </c>
      <c r="AT210">
        <v>288</v>
      </c>
      <c r="AU210">
        <v>0</v>
      </c>
      <c r="AV210">
        <v>288</v>
      </c>
      <c r="AW210">
        <v>0</v>
      </c>
      <c r="AX210">
        <v>67</v>
      </c>
      <c r="AY210">
        <v>0</v>
      </c>
      <c r="AZ210">
        <v>67</v>
      </c>
      <c r="BA210">
        <v>0</v>
      </c>
      <c r="BB210">
        <v>0</v>
      </c>
      <c r="BC210">
        <v>0</v>
      </c>
      <c r="BD210">
        <v>0</v>
      </c>
      <c r="BE210">
        <v>0</v>
      </c>
    </row>
    <row r="211" spans="1:58">
      <c r="A211" t="s">
        <v>16974</v>
      </c>
      <c r="B211" t="s">
        <v>17125</v>
      </c>
      <c r="C211">
        <v>0</v>
      </c>
      <c r="D211">
        <v>18</v>
      </c>
      <c r="E211">
        <v>0</v>
      </c>
      <c r="F211">
        <v>12</v>
      </c>
      <c r="G211">
        <v>0</v>
      </c>
      <c r="H211">
        <v>0</v>
      </c>
      <c r="I211">
        <v>0</v>
      </c>
      <c r="J211">
        <v>18</v>
      </c>
      <c r="K211">
        <v>164</v>
      </c>
      <c r="L211">
        <v>18</v>
      </c>
      <c r="M211">
        <v>0</v>
      </c>
      <c r="N211">
        <v>0</v>
      </c>
      <c r="O211">
        <v>0</v>
      </c>
      <c r="P211">
        <v>0</v>
      </c>
      <c r="Q211">
        <v>0</v>
      </c>
      <c r="R211">
        <v>0</v>
      </c>
      <c r="S211">
        <v>0.75</v>
      </c>
      <c r="T211">
        <v>0</v>
      </c>
      <c r="U211">
        <v>0</v>
      </c>
      <c r="V211">
        <v>0.75</v>
      </c>
      <c r="W211">
        <v>7.5</v>
      </c>
      <c r="X211">
        <v>0</v>
      </c>
      <c r="Y211">
        <v>1</v>
      </c>
      <c r="Z211">
        <v>0</v>
      </c>
      <c r="AA211">
        <v>0</v>
      </c>
      <c r="AB211">
        <v>0</v>
      </c>
      <c r="AC211">
        <v>0</v>
      </c>
      <c r="AD211">
        <v>0</v>
      </c>
      <c r="AE211">
        <v>0</v>
      </c>
      <c r="AF211">
        <v>0</v>
      </c>
      <c r="AG211">
        <v>7.5</v>
      </c>
      <c r="AH211">
        <v>7.5</v>
      </c>
      <c r="AI211">
        <v>0</v>
      </c>
      <c r="AJ211">
        <v>0</v>
      </c>
      <c r="AK211">
        <v>0</v>
      </c>
      <c r="AL211">
        <v>0</v>
      </c>
      <c r="AM211">
        <v>0</v>
      </c>
      <c r="AN211">
        <v>0</v>
      </c>
      <c r="AO211">
        <v>0</v>
      </c>
      <c r="AP211">
        <v>0</v>
      </c>
      <c r="AQ211">
        <v>0</v>
      </c>
      <c r="AR211">
        <v>0</v>
      </c>
      <c r="AS211">
        <v>0</v>
      </c>
      <c r="AT211">
        <v>164</v>
      </c>
      <c r="AU211">
        <v>0</v>
      </c>
      <c r="AV211">
        <v>164</v>
      </c>
      <c r="AW211">
        <v>0</v>
      </c>
      <c r="AX211">
        <v>0.75</v>
      </c>
      <c r="AY211">
        <v>0</v>
      </c>
      <c r="AZ211">
        <v>0.75</v>
      </c>
      <c r="BA211">
        <v>0</v>
      </c>
      <c r="BB211">
        <v>0</v>
      </c>
      <c r="BC211">
        <v>0</v>
      </c>
      <c r="BD211">
        <v>0</v>
      </c>
      <c r="BE211">
        <v>0</v>
      </c>
      <c r="BF211">
        <v>42</v>
      </c>
    </row>
    <row r="212" spans="1:58">
      <c r="A212" t="s">
        <v>16974</v>
      </c>
      <c r="B212" t="s">
        <v>17126</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row>
    <row r="213" spans="1:58">
      <c r="A213" t="s">
        <v>16974</v>
      </c>
      <c r="B213" t="s">
        <v>18837</v>
      </c>
      <c r="C213">
        <v>0</v>
      </c>
      <c r="D213">
        <v>2</v>
      </c>
      <c r="E213">
        <v>0</v>
      </c>
      <c r="F213">
        <v>1</v>
      </c>
      <c r="G213">
        <v>0</v>
      </c>
      <c r="H213">
        <v>0</v>
      </c>
      <c r="I213">
        <v>0</v>
      </c>
      <c r="J213">
        <v>2</v>
      </c>
      <c r="K213">
        <v>36</v>
      </c>
      <c r="L213">
        <v>2</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36</v>
      </c>
      <c r="AU213">
        <v>0</v>
      </c>
      <c r="AV213">
        <v>36</v>
      </c>
      <c r="AW213">
        <v>0</v>
      </c>
      <c r="AX213">
        <v>0</v>
      </c>
      <c r="AY213">
        <v>0</v>
      </c>
      <c r="AZ213">
        <v>0</v>
      </c>
      <c r="BA213">
        <v>0</v>
      </c>
      <c r="BB213">
        <v>0</v>
      </c>
      <c r="BC213">
        <v>0</v>
      </c>
      <c r="BD213">
        <v>0</v>
      </c>
      <c r="BE213">
        <v>0</v>
      </c>
      <c r="BF213">
        <v>2</v>
      </c>
    </row>
    <row r="214" spans="1:58">
      <c r="A214" t="s">
        <v>16974</v>
      </c>
      <c r="B214" t="s">
        <v>17127</v>
      </c>
      <c r="C214">
        <v>0</v>
      </c>
      <c r="D214">
        <v>70</v>
      </c>
      <c r="E214">
        <v>0</v>
      </c>
      <c r="F214">
        <v>54</v>
      </c>
      <c r="G214">
        <v>0</v>
      </c>
      <c r="H214">
        <v>0</v>
      </c>
      <c r="I214">
        <v>0</v>
      </c>
      <c r="J214">
        <v>70</v>
      </c>
      <c r="K214">
        <v>549</v>
      </c>
      <c r="L214">
        <v>70</v>
      </c>
      <c r="M214">
        <v>0</v>
      </c>
      <c r="N214">
        <v>0</v>
      </c>
      <c r="O214">
        <v>0</v>
      </c>
      <c r="P214">
        <v>0</v>
      </c>
      <c r="Q214">
        <v>0</v>
      </c>
      <c r="R214">
        <v>0</v>
      </c>
      <c r="S214">
        <v>51</v>
      </c>
      <c r="T214">
        <v>28</v>
      </c>
      <c r="U214">
        <v>0</v>
      </c>
      <c r="V214">
        <v>79</v>
      </c>
      <c r="W214" s="21">
        <v>1070</v>
      </c>
      <c r="X214">
        <v>0</v>
      </c>
      <c r="Y214">
        <v>36</v>
      </c>
      <c r="Z214">
        <v>0</v>
      </c>
      <c r="AA214">
        <v>0</v>
      </c>
      <c r="AB214">
        <v>555</v>
      </c>
      <c r="AC214">
        <v>152.75</v>
      </c>
      <c r="AD214">
        <v>92.75</v>
      </c>
      <c r="AE214">
        <v>667.75</v>
      </c>
      <c r="AF214">
        <v>647.75</v>
      </c>
      <c r="AG214" s="20">
        <v>1078.1500000000001</v>
      </c>
      <c r="AH214">
        <v>545</v>
      </c>
      <c r="AI214">
        <v>0</v>
      </c>
      <c r="AJ214">
        <v>0</v>
      </c>
      <c r="AK214">
        <v>0</v>
      </c>
      <c r="AL214">
        <v>0</v>
      </c>
      <c r="AM214">
        <v>3</v>
      </c>
      <c r="AN214">
        <v>4</v>
      </c>
      <c r="AO214">
        <v>1</v>
      </c>
      <c r="AP214">
        <v>4</v>
      </c>
      <c r="AQ214">
        <v>0</v>
      </c>
      <c r="AR214">
        <v>0</v>
      </c>
      <c r="AS214">
        <v>0</v>
      </c>
      <c r="AT214">
        <v>549</v>
      </c>
      <c r="AU214">
        <v>0</v>
      </c>
      <c r="AV214">
        <v>548</v>
      </c>
      <c r="AW214">
        <v>0</v>
      </c>
      <c r="AX214">
        <v>51</v>
      </c>
      <c r="AY214">
        <v>0</v>
      </c>
      <c r="AZ214">
        <v>51</v>
      </c>
      <c r="BA214">
        <v>0</v>
      </c>
      <c r="BB214">
        <v>28</v>
      </c>
      <c r="BC214">
        <v>0</v>
      </c>
      <c r="BD214">
        <v>28</v>
      </c>
      <c r="BE214">
        <v>0</v>
      </c>
      <c r="BF214">
        <v>100</v>
      </c>
    </row>
    <row r="215" spans="1:58">
      <c r="A215" t="s">
        <v>16974</v>
      </c>
      <c r="B215" t="s">
        <v>17128</v>
      </c>
      <c r="C215">
        <v>0</v>
      </c>
      <c r="D215">
        <v>69</v>
      </c>
      <c r="E215">
        <v>68</v>
      </c>
      <c r="F215">
        <v>66</v>
      </c>
      <c r="G215">
        <v>0</v>
      </c>
      <c r="H215">
        <v>0</v>
      </c>
      <c r="I215">
        <v>0</v>
      </c>
      <c r="J215">
        <v>69</v>
      </c>
      <c r="K215">
        <v>396</v>
      </c>
      <c r="L215">
        <v>69</v>
      </c>
      <c r="M215">
        <v>0</v>
      </c>
      <c r="N215">
        <v>0</v>
      </c>
      <c r="O215">
        <v>0</v>
      </c>
      <c r="P215">
        <v>0</v>
      </c>
      <c r="Q215">
        <v>0</v>
      </c>
      <c r="R215">
        <v>0</v>
      </c>
      <c r="S215">
        <v>18.850000000000001</v>
      </c>
      <c r="T215">
        <v>1</v>
      </c>
      <c r="U215">
        <v>0</v>
      </c>
      <c r="V215">
        <v>19.850000000000001</v>
      </c>
      <c r="W215">
        <v>208.5</v>
      </c>
      <c r="X215">
        <v>0</v>
      </c>
      <c r="Y215">
        <v>69</v>
      </c>
      <c r="Z215">
        <v>0</v>
      </c>
      <c r="AA215">
        <v>0</v>
      </c>
      <c r="AB215">
        <v>0</v>
      </c>
      <c r="AC215">
        <v>0</v>
      </c>
      <c r="AD215">
        <v>0</v>
      </c>
      <c r="AE215">
        <v>0</v>
      </c>
      <c r="AF215">
        <v>0</v>
      </c>
      <c r="AG215">
        <v>208.5</v>
      </c>
      <c r="AH215">
        <v>208.5</v>
      </c>
      <c r="AI215">
        <v>0</v>
      </c>
      <c r="AJ215">
        <v>0</v>
      </c>
      <c r="AK215">
        <v>0</v>
      </c>
      <c r="AL215">
        <v>0</v>
      </c>
      <c r="AM215">
        <v>0</v>
      </c>
      <c r="AN215">
        <v>0</v>
      </c>
      <c r="AO215">
        <v>0</v>
      </c>
      <c r="AP215">
        <v>0</v>
      </c>
      <c r="AQ215">
        <v>0</v>
      </c>
      <c r="AR215">
        <v>0</v>
      </c>
      <c r="AS215">
        <v>0</v>
      </c>
      <c r="AT215">
        <v>396</v>
      </c>
      <c r="AU215">
        <v>0</v>
      </c>
      <c r="AV215">
        <v>396</v>
      </c>
      <c r="AW215">
        <v>0</v>
      </c>
      <c r="AX215">
        <v>18.850000000000001</v>
      </c>
      <c r="AY215">
        <v>0</v>
      </c>
      <c r="AZ215">
        <v>18.850000000000001</v>
      </c>
      <c r="BA215">
        <v>0</v>
      </c>
      <c r="BB215">
        <v>1</v>
      </c>
      <c r="BC215">
        <v>0</v>
      </c>
      <c r="BD215">
        <v>1</v>
      </c>
      <c r="BE215">
        <v>0</v>
      </c>
      <c r="BF215">
        <v>69</v>
      </c>
    </row>
    <row r="216" spans="1:58">
      <c r="A216" t="s">
        <v>16974</v>
      </c>
      <c r="B216" t="s">
        <v>17201</v>
      </c>
      <c r="C216">
        <v>0</v>
      </c>
      <c r="D216" s="21">
        <v>5306</v>
      </c>
      <c r="E216" s="21">
        <v>5034</v>
      </c>
      <c r="F216" s="21">
        <v>2832</v>
      </c>
      <c r="G216">
        <v>2</v>
      </c>
      <c r="H216">
        <v>742</v>
      </c>
      <c r="I216">
        <v>1</v>
      </c>
      <c r="J216" s="21">
        <v>5305</v>
      </c>
      <c r="K216" s="21">
        <v>67599</v>
      </c>
      <c r="L216" s="21">
        <v>1204</v>
      </c>
      <c r="M216">
        <v>0</v>
      </c>
      <c r="N216">
        <v>41</v>
      </c>
      <c r="O216" s="21">
        <v>4027</v>
      </c>
      <c r="P216">
        <v>14</v>
      </c>
      <c r="Q216">
        <v>24</v>
      </c>
      <c r="R216">
        <v>0</v>
      </c>
      <c r="S216" s="20">
        <v>1371.02</v>
      </c>
      <c r="T216">
        <v>354.26</v>
      </c>
      <c r="U216">
        <v>0</v>
      </c>
      <c r="V216" s="20">
        <v>1725.28</v>
      </c>
      <c r="W216" s="20">
        <v>20795.310000000001</v>
      </c>
      <c r="X216">
        <v>0</v>
      </c>
      <c r="Y216" s="21">
        <v>5297</v>
      </c>
      <c r="Z216">
        <v>0</v>
      </c>
      <c r="AA216">
        <v>0</v>
      </c>
      <c r="AB216">
        <v>195</v>
      </c>
      <c r="AC216">
        <v>387.05</v>
      </c>
      <c r="AD216">
        <v>224.85</v>
      </c>
      <c r="AE216">
        <v>302.85000000000002</v>
      </c>
      <c r="AF216">
        <v>419.85</v>
      </c>
      <c r="AG216" s="20">
        <v>21182.36</v>
      </c>
      <c r="AH216" s="20">
        <v>20879.509999999998</v>
      </c>
      <c r="AI216">
        <v>47</v>
      </c>
      <c r="AJ216">
        <v>57</v>
      </c>
      <c r="AK216" s="20">
        <v>3240.56</v>
      </c>
      <c r="AL216" s="20">
        <v>3193.56</v>
      </c>
      <c r="AM216">
        <v>36</v>
      </c>
      <c r="AN216">
        <v>16</v>
      </c>
      <c r="AO216">
        <v>1</v>
      </c>
      <c r="AP216">
        <v>0</v>
      </c>
      <c r="AQ216">
        <v>0</v>
      </c>
      <c r="AR216">
        <v>0</v>
      </c>
      <c r="AS216">
        <v>0</v>
      </c>
      <c r="AT216" s="21">
        <v>67599</v>
      </c>
      <c r="AU216" s="21">
        <v>15273</v>
      </c>
      <c r="AV216" s="21">
        <v>52326</v>
      </c>
      <c r="AW216">
        <v>0</v>
      </c>
      <c r="AX216" s="20">
        <v>1371.02</v>
      </c>
      <c r="AY216">
        <v>197.26</v>
      </c>
      <c r="AZ216" s="20">
        <v>1173.77</v>
      </c>
      <c r="BA216">
        <v>0</v>
      </c>
      <c r="BB216">
        <v>354.26</v>
      </c>
      <c r="BC216">
        <v>61.25</v>
      </c>
      <c r="BD216">
        <v>293.01</v>
      </c>
      <c r="BE216">
        <v>0</v>
      </c>
      <c r="BF216">
        <v>0</v>
      </c>
    </row>
    <row r="217" spans="1:58">
      <c r="A217" t="s">
        <v>16974</v>
      </c>
      <c r="B217" t="s">
        <v>17130</v>
      </c>
      <c r="C217">
        <v>0</v>
      </c>
      <c r="D217">
        <v>5</v>
      </c>
      <c r="E217">
        <v>5</v>
      </c>
      <c r="F217">
        <v>5</v>
      </c>
      <c r="G217">
        <v>0</v>
      </c>
      <c r="H217">
        <v>0</v>
      </c>
      <c r="I217">
        <v>0</v>
      </c>
      <c r="J217">
        <v>5</v>
      </c>
      <c r="K217">
        <v>18</v>
      </c>
      <c r="L217">
        <v>5</v>
      </c>
      <c r="M217">
        <v>0</v>
      </c>
      <c r="N217">
        <v>0</v>
      </c>
      <c r="O217">
        <v>0</v>
      </c>
      <c r="P217">
        <v>0</v>
      </c>
      <c r="Q217">
        <v>0</v>
      </c>
      <c r="R217">
        <v>0</v>
      </c>
      <c r="S217">
        <v>1.5</v>
      </c>
      <c r="T217">
        <v>1.5</v>
      </c>
      <c r="U217">
        <v>0</v>
      </c>
      <c r="V217">
        <v>3</v>
      </c>
      <c r="W217">
        <v>45</v>
      </c>
      <c r="X217">
        <v>0</v>
      </c>
      <c r="Y217">
        <v>5</v>
      </c>
      <c r="Z217">
        <v>0</v>
      </c>
      <c r="AA217">
        <v>0</v>
      </c>
      <c r="AB217">
        <v>0</v>
      </c>
      <c r="AC217">
        <v>0</v>
      </c>
      <c r="AD217">
        <v>0</v>
      </c>
      <c r="AE217">
        <v>0</v>
      </c>
      <c r="AF217">
        <v>0</v>
      </c>
      <c r="AG217">
        <v>45</v>
      </c>
      <c r="AH217">
        <v>45</v>
      </c>
      <c r="AI217">
        <v>0</v>
      </c>
      <c r="AJ217">
        <v>0</v>
      </c>
      <c r="AK217">
        <v>0</v>
      </c>
      <c r="AL217">
        <v>0</v>
      </c>
      <c r="AM217">
        <v>0</v>
      </c>
      <c r="AN217">
        <v>0</v>
      </c>
      <c r="AO217">
        <v>0</v>
      </c>
      <c r="AP217">
        <v>0</v>
      </c>
      <c r="AQ217">
        <v>0</v>
      </c>
      <c r="AR217">
        <v>0</v>
      </c>
      <c r="AS217">
        <v>0</v>
      </c>
      <c r="AT217">
        <v>18</v>
      </c>
      <c r="AU217">
        <v>0</v>
      </c>
      <c r="AV217">
        <v>18</v>
      </c>
      <c r="AW217">
        <v>0</v>
      </c>
      <c r="AX217">
        <v>1.5</v>
      </c>
      <c r="AY217">
        <v>0</v>
      </c>
      <c r="AZ217">
        <v>1.5</v>
      </c>
      <c r="BA217">
        <v>0</v>
      </c>
      <c r="BB217">
        <v>1.5</v>
      </c>
      <c r="BC217">
        <v>0</v>
      </c>
      <c r="BD217">
        <v>1.5</v>
      </c>
      <c r="BE217">
        <v>0</v>
      </c>
      <c r="BF217" s="21">
        <v>1519</v>
      </c>
    </row>
    <row r="218" spans="1:58">
      <c r="A218" t="s">
        <v>16974</v>
      </c>
      <c r="B218" t="s">
        <v>17131</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row>
    <row r="219" spans="1:58">
      <c r="A219" t="s">
        <v>16974</v>
      </c>
      <c r="B219" t="s">
        <v>17040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row>
    <row r="220" spans="1:58">
      <c r="A220" t="s">
        <v>16974</v>
      </c>
      <c r="B220" t="s">
        <v>17085</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row>
    <row r="221" spans="1:58">
      <c r="A221" t="s">
        <v>16974</v>
      </c>
      <c r="B221" t="s">
        <v>17132</v>
      </c>
      <c r="C221">
        <v>0</v>
      </c>
      <c r="D221">
        <v>480</v>
      </c>
      <c r="E221">
        <v>480</v>
      </c>
      <c r="F221">
        <v>424</v>
      </c>
      <c r="G221">
        <v>40</v>
      </c>
      <c r="H221">
        <v>19</v>
      </c>
      <c r="I221">
        <v>30</v>
      </c>
      <c r="J221">
        <v>480</v>
      </c>
      <c r="K221" s="21">
        <v>2917</v>
      </c>
      <c r="L221">
        <v>386</v>
      </c>
      <c r="M221">
        <v>68</v>
      </c>
      <c r="N221">
        <v>25</v>
      </c>
      <c r="O221">
        <v>0</v>
      </c>
      <c r="P221">
        <v>0</v>
      </c>
      <c r="Q221">
        <v>0</v>
      </c>
      <c r="R221">
        <v>0</v>
      </c>
      <c r="S221">
        <v>308.35000000000002</v>
      </c>
      <c r="T221">
        <v>0</v>
      </c>
      <c r="U221">
        <v>0</v>
      </c>
      <c r="V221">
        <v>308.35000000000002</v>
      </c>
      <c r="W221" s="20">
        <v>3083.5</v>
      </c>
      <c r="X221">
        <v>0</v>
      </c>
      <c r="Y221">
        <v>480</v>
      </c>
      <c r="Z221">
        <v>0</v>
      </c>
      <c r="AA221">
        <v>0</v>
      </c>
      <c r="AB221">
        <v>0</v>
      </c>
      <c r="AC221">
        <v>0</v>
      </c>
      <c r="AD221">
        <v>0</v>
      </c>
      <c r="AE221">
        <v>0</v>
      </c>
      <c r="AF221">
        <v>0</v>
      </c>
      <c r="AG221" s="20">
        <v>3083.5</v>
      </c>
      <c r="AH221" s="20">
        <v>3083.5</v>
      </c>
      <c r="AI221">
        <v>0</v>
      </c>
      <c r="AJ221">
        <v>0</v>
      </c>
      <c r="AK221">
        <v>287.5</v>
      </c>
      <c r="AL221">
        <v>287.5</v>
      </c>
      <c r="AM221">
        <v>0</v>
      </c>
      <c r="AN221">
        <v>0</v>
      </c>
      <c r="AO221">
        <v>0</v>
      </c>
      <c r="AP221">
        <v>0</v>
      </c>
      <c r="AQ221">
        <v>0</v>
      </c>
      <c r="AR221">
        <v>0</v>
      </c>
      <c r="AS221">
        <v>0</v>
      </c>
      <c r="AT221" s="21">
        <v>2917</v>
      </c>
      <c r="AU221">
        <v>242</v>
      </c>
      <c r="AV221" s="21">
        <v>2675</v>
      </c>
      <c r="AW221">
        <v>0</v>
      </c>
      <c r="AX221">
        <v>308.35000000000002</v>
      </c>
      <c r="AY221">
        <v>28.75</v>
      </c>
      <c r="AZ221">
        <v>279.60000000000002</v>
      </c>
      <c r="BA221">
        <v>0</v>
      </c>
      <c r="BB221">
        <v>0</v>
      </c>
      <c r="BC221">
        <v>0</v>
      </c>
      <c r="BD221">
        <v>0</v>
      </c>
      <c r="BE221">
        <v>0</v>
      </c>
      <c r="BF221">
        <v>230</v>
      </c>
    </row>
    <row r="222" spans="1:58">
      <c r="A222" t="s">
        <v>16974</v>
      </c>
      <c r="B222" t="s">
        <v>17134</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21</v>
      </c>
    </row>
    <row r="223" spans="1:58">
      <c r="A223" t="s">
        <v>16974</v>
      </c>
      <c r="B223" t="s">
        <v>17135</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row>
    <row r="224" spans="1:58">
      <c r="A224" t="s">
        <v>16974</v>
      </c>
      <c r="B224" t="s">
        <v>17136</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row>
    <row r="225" spans="1:58">
      <c r="A225" t="s">
        <v>16974</v>
      </c>
      <c r="B225" t="s">
        <v>17138</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row>
    <row r="226" spans="1:58">
      <c r="A226" t="s">
        <v>16974</v>
      </c>
      <c r="B226" t="s">
        <v>17314</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row>
    <row r="227" spans="1:58">
      <c r="A227" t="s">
        <v>16974</v>
      </c>
      <c r="B227" t="s">
        <v>17139</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row>
    <row r="228" spans="1:58">
      <c r="A228" t="s">
        <v>16974</v>
      </c>
      <c r="B228" t="s">
        <v>19349</v>
      </c>
      <c r="C228">
        <v>0</v>
      </c>
      <c r="D228">
        <v>1</v>
      </c>
      <c r="E228">
        <v>1</v>
      </c>
      <c r="F228">
        <v>1</v>
      </c>
      <c r="G228">
        <v>1</v>
      </c>
      <c r="H228">
        <v>0</v>
      </c>
      <c r="I228">
        <v>0</v>
      </c>
      <c r="J228">
        <v>1</v>
      </c>
      <c r="K228">
        <v>7</v>
      </c>
      <c r="L228">
        <v>0</v>
      </c>
      <c r="M228">
        <v>0</v>
      </c>
      <c r="N228">
        <v>0</v>
      </c>
      <c r="O228">
        <v>1</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7</v>
      </c>
      <c r="AU228">
        <v>0</v>
      </c>
      <c r="AV228">
        <v>7</v>
      </c>
      <c r="AW228">
        <v>0</v>
      </c>
      <c r="AX228">
        <v>0</v>
      </c>
      <c r="AY228">
        <v>0</v>
      </c>
      <c r="AZ228">
        <v>0</v>
      </c>
      <c r="BA228">
        <v>0</v>
      </c>
      <c r="BB228">
        <v>0</v>
      </c>
      <c r="BC228">
        <v>0</v>
      </c>
      <c r="BD228">
        <v>0</v>
      </c>
      <c r="BE228">
        <v>0</v>
      </c>
      <c r="BF228">
        <v>54</v>
      </c>
    </row>
    <row r="229" spans="1:58">
      <c r="A229" t="s">
        <v>16974</v>
      </c>
      <c r="B229" t="s">
        <v>17142</v>
      </c>
      <c r="C229">
        <v>0</v>
      </c>
      <c r="D229">
        <v>9</v>
      </c>
      <c r="E229">
        <v>9</v>
      </c>
      <c r="F229">
        <v>9</v>
      </c>
      <c r="G229">
        <v>0</v>
      </c>
      <c r="H229">
        <v>9</v>
      </c>
      <c r="I229">
        <v>0</v>
      </c>
      <c r="J229">
        <v>9</v>
      </c>
      <c r="K229">
        <v>297</v>
      </c>
      <c r="L229">
        <v>9</v>
      </c>
      <c r="M229">
        <v>0</v>
      </c>
      <c r="N229">
        <v>0</v>
      </c>
      <c r="O229">
        <v>0</v>
      </c>
      <c r="P229">
        <v>0</v>
      </c>
      <c r="Q229">
        <v>0</v>
      </c>
      <c r="R229">
        <v>0</v>
      </c>
      <c r="S229">
        <v>6.75</v>
      </c>
      <c r="T229">
        <v>3.5</v>
      </c>
      <c r="U229">
        <v>0</v>
      </c>
      <c r="V229">
        <v>10.25</v>
      </c>
      <c r="W229">
        <v>137.5</v>
      </c>
      <c r="X229">
        <v>0</v>
      </c>
      <c r="Y229">
        <v>8</v>
      </c>
      <c r="Z229">
        <v>0</v>
      </c>
      <c r="AA229">
        <v>0</v>
      </c>
      <c r="AB229">
        <v>0</v>
      </c>
      <c r="AC229">
        <v>0</v>
      </c>
      <c r="AD229">
        <v>0</v>
      </c>
      <c r="AE229">
        <v>0</v>
      </c>
      <c r="AF229">
        <v>0</v>
      </c>
      <c r="AG229">
        <v>137.5</v>
      </c>
      <c r="AH229">
        <v>137.5</v>
      </c>
      <c r="AI229">
        <v>0</v>
      </c>
      <c r="AJ229">
        <v>0</v>
      </c>
      <c r="AK229">
        <v>137.5</v>
      </c>
      <c r="AL229">
        <v>137.5</v>
      </c>
      <c r="AM229">
        <v>0</v>
      </c>
      <c r="AN229">
        <v>0</v>
      </c>
      <c r="AO229">
        <v>0</v>
      </c>
      <c r="AP229">
        <v>0</v>
      </c>
      <c r="AQ229">
        <v>0</v>
      </c>
      <c r="AR229">
        <v>0</v>
      </c>
      <c r="AS229">
        <v>0</v>
      </c>
      <c r="AT229">
        <v>297</v>
      </c>
      <c r="AU229">
        <v>297</v>
      </c>
      <c r="AV229">
        <v>0</v>
      </c>
      <c r="AW229">
        <v>0</v>
      </c>
      <c r="AX229">
        <v>6.75</v>
      </c>
      <c r="AY229">
        <v>6.75</v>
      </c>
      <c r="AZ229">
        <v>0</v>
      </c>
      <c r="BA229">
        <v>0</v>
      </c>
      <c r="BB229">
        <v>3.5</v>
      </c>
      <c r="BC229">
        <v>3.5</v>
      </c>
      <c r="BD229">
        <v>0</v>
      </c>
      <c r="BE229">
        <v>0</v>
      </c>
    </row>
    <row r="230" spans="1:58">
      <c r="A230" t="s">
        <v>16974</v>
      </c>
      <c r="B230" t="s">
        <v>17142</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row>
    <row r="231" spans="1:58">
      <c r="A231" t="s">
        <v>16974</v>
      </c>
      <c r="B231" t="s">
        <v>17143</v>
      </c>
      <c r="C231">
        <v>1</v>
      </c>
      <c r="D231">
        <v>3</v>
      </c>
      <c r="E231">
        <v>3</v>
      </c>
      <c r="F231">
        <v>3</v>
      </c>
      <c r="G231">
        <v>0</v>
      </c>
      <c r="H231">
        <v>0</v>
      </c>
      <c r="I231">
        <v>0</v>
      </c>
      <c r="J231">
        <v>3</v>
      </c>
      <c r="K231">
        <v>54</v>
      </c>
      <c r="L231">
        <v>1</v>
      </c>
      <c r="M231">
        <v>0</v>
      </c>
      <c r="N231">
        <v>1</v>
      </c>
      <c r="O231">
        <v>0</v>
      </c>
      <c r="P231">
        <v>1</v>
      </c>
      <c r="Q231">
        <v>0</v>
      </c>
      <c r="R231">
        <v>0</v>
      </c>
      <c r="S231">
        <v>1</v>
      </c>
      <c r="T231">
        <v>1</v>
      </c>
      <c r="U231">
        <v>0</v>
      </c>
      <c r="V231">
        <v>2</v>
      </c>
      <c r="W231">
        <v>15</v>
      </c>
      <c r="X231">
        <v>0</v>
      </c>
      <c r="Y231">
        <v>2</v>
      </c>
      <c r="Z231">
        <v>0</v>
      </c>
      <c r="AA231">
        <v>-15</v>
      </c>
      <c r="AB231">
        <v>0</v>
      </c>
      <c r="AC231">
        <v>0</v>
      </c>
      <c r="AD231">
        <v>0</v>
      </c>
      <c r="AE231">
        <v>0</v>
      </c>
      <c r="AF231">
        <v>0</v>
      </c>
      <c r="AG231">
        <v>15</v>
      </c>
      <c r="AH231">
        <v>15</v>
      </c>
      <c r="AI231">
        <v>0</v>
      </c>
      <c r="AJ231">
        <v>0</v>
      </c>
      <c r="AK231">
        <v>0</v>
      </c>
      <c r="AL231">
        <v>0</v>
      </c>
      <c r="AM231">
        <v>0</v>
      </c>
      <c r="AN231">
        <v>0</v>
      </c>
      <c r="AO231">
        <v>0</v>
      </c>
      <c r="AP231">
        <v>0</v>
      </c>
      <c r="AQ231">
        <v>0</v>
      </c>
      <c r="AR231">
        <v>0</v>
      </c>
      <c r="AS231">
        <v>0</v>
      </c>
      <c r="AT231">
        <v>54</v>
      </c>
      <c r="AU231">
        <v>0</v>
      </c>
      <c r="AV231">
        <v>27</v>
      </c>
      <c r="AW231">
        <v>27</v>
      </c>
      <c r="AX231">
        <v>1</v>
      </c>
      <c r="AY231">
        <v>0</v>
      </c>
      <c r="AZ231">
        <v>0.5</v>
      </c>
      <c r="BA231">
        <v>0.5</v>
      </c>
      <c r="BB231">
        <v>1</v>
      </c>
      <c r="BC231">
        <v>0</v>
      </c>
      <c r="BD231">
        <v>0.5</v>
      </c>
      <c r="BE231">
        <v>0.5</v>
      </c>
      <c r="BF231">
        <v>3</v>
      </c>
    </row>
    <row r="232" spans="1:58">
      <c r="A232" t="s">
        <v>16974</v>
      </c>
      <c r="B232" t="s">
        <v>19351</v>
      </c>
      <c r="C232">
        <v>0</v>
      </c>
      <c r="D232">
        <v>13</v>
      </c>
      <c r="E232">
        <v>13</v>
      </c>
      <c r="F232">
        <v>9</v>
      </c>
      <c r="G232">
        <v>0</v>
      </c>
      <c r="H232">
        <v>13</v>
      </c>
      <c r="I232">
        <v>0</v>
      </c>
      <c r="J232">
        <v>13</v>
      </c>
      <c r="K232">
        <v>466</v>
      </c>
      <c r="L232">
        <v>12</v>
      </c>
      <c r="M232">
        <v>0</v>
      </c>
      <c r="N232">
        <v>1</v>
      </c>
      <c r="O232">
        <v>0</v>
      </c>
      <c r="P232">
        <v>0</v>
      </c>
      <c r="Q232">
        <v>0</v>
      </c>
      <c r="R232">
        <v>0</v>
      </c>
      <c r="S232">
        <v>36.75</v>
      </c>
      <c r="T232">
        <v>3.5</v>
      </c>
      <c r="U232">
        <v>0</v>
      </c>
      <c r="V232">
        <v>40.25</v>
      </c>
      <c r="W232">
        <v>437.5</v>
      </c>
      <c r="X232">
        <v>0</v>
      </c>
      <c r="Y232">
        <v>8</v>
      </c>
      <c r="Z232">
        <v>5</v>
      </c>
      <c r="AA232">
        <v>0</v>
      </c>
      <c r="AB232">
        <v>0</v>
      </c>
      <c r="AC232">
        <v>0</v>
      </c>
      <c r="AD232">
        <v>0</v>
      </c>
      <c r="AE232">
        <v>102.5</v>
      </c>
      <c r="AF232">
        <v>0</v>
      </c>
      <c r="AG232">
        <v>437.5</v>
      </c>
      <c r="AH232">
        <v>345</v>
      </c>
      <c r="AI232">
        <v>102.5</v>
      </c>
      <c r="AJ232">
        <v>0</v>
      </c>
      <c r="AK232">
        <v>437.5</v>
      </c>
      <c r="AL232">
        <v>345</v>
      </c>
      <c r="AM232">
        <v>0</v>
      </c>
      <c r="AN232">
        <v>8</v>
      </c>
      <c r="AO232">
        <v>0</v>
      </c>
      <c r="AP232">
        <v>0</v>
      </c>
      <c r="AQ232">
        <v>0</v>
      </c>
      <c r="AR232">
        <v>0</v>
      </c>
      <c r="AS232">
        <v>0</v>
      </c>
      <c r="AT232">
        <v>466</v>
      </c>
      <c r="AU232">
        <v>466</v>
      </c>
      <c r="AV232">
        <v>0</v>
      </c>
      <c r="AW232">
        <v>0</v>
      </c>
      <c r="AX232">
        <v>36.75</v>
      </c>
      <c r="AY232">
        <v>36.75</v>
      </c>
      <c r="AZ232">
        <v>0</v>
      </c>
      <c r="BA232">
        <v>0</v>
      </c>
      <c r="BB232">
        <v>3.5</v>
      </c>
      <c r="BC232">
        <v>3.5</v>
      </c>
      <c r="BD232">
        <v>0</v>
      </c>
      <c r="BE232">
        <v>0</v>
      </c>
      <c r="BF232">
        <v>159</v>
      </c>
    </row>
    <row r="233" spans="1:58">
      <c r="A233" t="s">
        <v>16974</v>
      </c>
      <c r="B233" t="s">
        <v>17144</v>
      </c>
      <c r="C233">
        <v>0</v>
      </c>
      <c r="D233">
        <v>4</v>
      </c>
      <c r="E233">
        <v>4</v>
      </c>
      <c r="F233">
        <v>4</v>
      </c>
      <c r="G233">
        <v>0</v>
      </c>
      <c r="H233">
        <v>0</v>
      </c>
      <c r="I233">
        <v>0</v>
      </c>
      <c r="J233">
        <v>4</v>
      </c>
      <c r="K233">
        <v>23</v>
      </c>
      <c r="L233">
        <v>2</v>
      </c>
      <c r="M233">
        <v>0</v>
      </c>
      <c r="N233">
        <v>0</v>
      </c>
      <c r="O233">
        <v>2</v>
      </c>
      <c r="P233">
        <v>0</v>
      </c>
      <c r="Q233">
        <v>0</v>
      </c>
      <c r="R233">
        <v>0</v>
      </c>
      <c r="S233">
        <v>1</v>
      </c>
      <c r="T233">
        <v>0</v>
      </c>
      <c r="U233">
        <v>1</v>
      </c>
      <c r="V233">
        <v>2</v>
      </c>
      <c r="W233">
        <v>10</v>
      </c>
      <c r="X233">
        <v>0</v>
      </c>
      <c r="Y233">
        <v>2</v>
      </c>
      <c r="Z233">
        <v>0</v>
      </c>
      <c r="AA233">
        <v>0</v>
      </c>
      <c r="AB233">
        <v>0</v>
      </c>
      <c r="AC233">
        <v>0</v>
      </c>
      <c r="AD233">
        <v>0</v>
      </c>
      <c r="AE233">
        <v>0</v>
      </c>
      <c r="AF233">
        <v>0</v>
      </c>
      <c r="AG233">
        <v>30</v>
      </c>
      <c r="AH233">
        <v>30</v>
      </c>
      <c r="AI233">
        <v>0</v>
      </c>
      <c r="AJ233">
        <v>0</v>
      </c>
      <c r="AK233">
        <v>0</v>
      </c>
      <c r="AL233">
        <v>0</v>
      </c>
      <c r="AM233">
        <v>0</v>
      </c>
      <c r="AN233">
        <v>0</v>
      </c>
      <c r="AO233">
        <v>0</v>
      </c>
      <c r="AP233">
        <v>0</v>
      </c>
      <c r="AQ233">
        <v>0</v>
      </c>
      <c r="AR233">
        <v>0</v>
      </c>
      <c r="AS233">
        <v>0</v>
      </c>
      <c r="AT233">
        <v>23</v>
      </c>
      <c r="AU233">
        <v>0</v>
      </c>
      <c r="AV233">
        <v>23</v>
      </c>
      <c r="AW233">
        <v>0</v>
      </c>
      <c r="AX233">
        <v>1</v>
      </c>
      <c r="AY233">
        <v>0</v>
      </c>
      <c r="AZ233">
        <v>1</v>
      </c>
      <c r="BA233">
        <v>0</v>
      </c>
      <c r="BB233">
        <v>0</v>
      </c>
      <c r="BC233">
        <v>0</v>
      </c>
      <c r="BD233">
        <v>0</v>
      </c>
      <c r="BE233">
        <v>0</v>
      </c>
      <c r="BF233" s="21">
        <v>1287</v>
      </c>
    </row>
    <row r="234" spans="1:58">
      <c r="A234" t="s">
        <v>16974</v>
      </c>
      <c r="B234" t="s">
        <v>17145</v>
      </c>
      <c r="C234">
        <v>0</v>
      </c>
      <c r="D234">
        <v>1</v>
      </c>
      <c r="E234">
        <v>0</v>
      </c>
      <c r="F234">
        <v>1</v>
      </c>
      <c r="G234">
        <v>0</v>
      </c>
      <c r="H234">
        <v>0</v>
      </c>
      <c r="I234">
        <v>0</v>
      </c>
      <c r="J234">
        <v>1</v>
      </c>
      <c r="K234">
        <v>5</v>
      </c>
      <c r="L234">
        <v>1</v>
      </c>
      <c r="M234">
        <v>0</v>
      </c>
      <c r="N234">
        <v>0</v>
      </c>
      <c r="O234">
        <v>0</v>
      </c>
      <c r="P234">
        <v>0</v>
      </c>
      <c r="Q234">
        <v>0</v>
      </c>
      <c r="R234">
        <v>0</v>
      </c>
      <c r="S234">
        <v>0.5</v>
      </c>
      <c r="T234">
        <v>0</v>
      </c>
      <c r="U234">
        <v>0</v>
      </c>
      <c r="V234">
        <v>0.5</v>
      </c>
      <c r="W234">
        <v>5</v>
      </c>
      <c r="X234">
        <v>0</v>
      </c>
      <c r="Y234">
        <v>0</v>
      </c>
      <c r="Z234">
        <v>1</v>
      </c>
      <c r="AA234">
        <v>0</v>
      </c>
      <c r="AB234">
        <v>0</v>
      </c>
      <c r="AC234">
        <v>0</v>
      </c>
      <c r="AD234">
        <v>0</v>
      </c>
      <c r="AE234">
        <v>0</v>
      </c>
      <c r="AF234">
        <v>0</v>
      </c>
      <c r="AG234">
        <v>5</v>
      </c>
      <c r="AH234">
        <v>5</v>
      </c>
      <c r="AI234">
        <v>0</v>
      </c>
      <c r="AJ234">
        <v>0</v>
      </c>
      <c r="AK234">
        <v>0</v>
      </c>
      <c r="AL234">
        <v>0</v>
      </c>
      <c r="AM234">
        <v>0</v>
      </c>
      <c r="AN234">
        <v>0</v>
      </c>
      <c r="AO234">
        <v>0</v>
      </c>
      <c r="AP234">
        <v>0</v>
      </c>
      <c r="AQ234">
        <v>0</v>
      </c>
      <c r="AR234">
        <v>0</v>
      </c>
      <c r="AS234">
        <v>0</v>
      </c>
      <c r="AT234">
        <v>5</v>
      </c>
      <c r="AU234">
        <v>0</v>
      </c>
      <c r="AV234">
        <v>5</v>
      </c>
      <c r="AW234">
        <v>0</v>
      </c>
      <c r="AX234">
        <v>0.5</v>
      </c>
      <c r="AY234">
        <v>0</v>
      </c>
      <c r="AZ234">
        <v>0.5</v>
      </c>
      <c r="BA234">
        <v>0</v>
      </c>
      <c r="BB234">
        <v>0</v>
      </c>
      <c r="BC234">
        <v>0</v>
      </c>
      <c r="BD234">
        <v>0</v>
      </c>
      <c r="BE234">
        <v>0</v>
      </c>
    </row>
    <row r="235" spans="1:58">
      <c r="A235" t="s">
        <v>16974</v>
      </c>
      <c r="B235" t="s">
        <v>17145</v>
      </c>
      <c r="C235">
        <v>0</v>
      </c>
      <c r="D235">
        <v>2</v>
      </c>
      <c r="E235">
        <v>0</v>
      </c>
      <c r="F235">
        <v>2</v>
      </c>
      <c r="G235">
        <v>0</v>
      </c>
      <c r="H235">
        <v>0</v>
      </c>
      <c r="I235">
        <v>0</v>
      </c>
      <c r="J235">
        <v>2</v>
      </c>
      <c r="K235">
        <v>16</v>
      </c>
      <c r="L235">
        <v>0</v>
      </c>
      <c r="M235">
        <v>1</v>
      </c>
      <c r="N235">
        <v>0</v>
      </c>
      <c r="O235">
        <v>1</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16</v>
      </c>
      <c r="AU235">
        <v>0</v>
      </c>
      <c r="AV235">
        <v>16</v>
      </c>
      <c r="AW235">
        <v>0</v>
      </c>
      <c r="AX235">
        <v>0</v>
      </c>
      <c r="AY235">
        <v>0</v>
      </c>
      <c r="AZ235">
        <v>0</v>
      </c>
      <c r="BA235">
        <v>0</v>
      </c>
      <c r="BB235">
        <v>0</v>
      </c>
      <c r="BC235">
        <v>0</v>
      </c>
      <c r="BD235">
        <v>0</v>
      </c>
      <c r="BE235">
        <v>0</v>
      </c>
      <c r="BF235">
        <v>0</v>
      </c>
    </row>
    <row r="236" spans="1:58">
      <c r="A236" t="s">
        <v>16974</v>
      </c>
      <c r="B236" t="s">
        <v>17324</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row>
    <row r="237" spans="1:58">
      <c r="A237" t="s">
        <v>16974</v>
      </c>
      <c r="B237" t="s">
        <v>17322</v>
      </c>
      <c r="C237">
        <v>0</v>
      </c>
      <c r="D237">
        <v>1</v>
      </c>
      <c r="E237">
        <v>1</v>
      </c>
      <c r="F237">
        <v>1</v>
      </c>
      <c r="G237">
        <v>0</v>
      </c>
      <c r="H237">
        <v>0</v>
      </c>
      <c r="I237">
        <v>0</v>
      </c>
      <c r="J237">
        <v>1</v>
      </c>
      <c r="K237">
        <v>0</v>
      </c>
      <c r="L237">
        <v>0</v>
      </c>
      <c r="M237">
        <v>0</v>
      </c>
      <c r="N237">
        <v>0</v>
      </c>
      <c r="O237">
        <v>0</v>
      </c>
      <c r="P237">
        <v>0</v>
      </c>
      <c r="Q237">
        <v>0</v>
      </c>
      <c r="R237">
        <v>0</v>
      </c>
      <c r="S237">
        <v>2</v>
      </c>
      <c r="T237">
        <v>0</v>
      </c>
      <c r="U237">
        <v>0</v>
      </c>
      <c r="V237">
        <v>2</v>
      </c>
      <c r="W237">
        <v>20</v>
      </c>
      <c r="X237">
        <v>0</v>
      </c>
      <c r="Y237">
        <v>0</v>
      </c>
      <c r="Z237">
        <v>1</v>
      </c>
      <c r="AA237">
        <v>0</v>
      </c>
      <c r="AB237">
        <v>0</v>
      </c>
      <c r="AC237">
        <v>0</v>
      </c>
      <c r="AD237">
        <v>0</v>
      </c>
      <c r="AE237">
        <v>0</v>
      </c>
      <c r="AF237">
        <v>0</v>
      </c>
      <c r="AG237">
        <v>20</v>
      </c>
      <c r="AH237">
        <v>20</v>
      </c>
      <c r="AI237">
        <v>0</v>
      </c>
      <c r="AJ237">
        <v>0</v>
      </c>
      <c r="AK237">
        <v>0</v>
      </c>
      <c r="AL237">
        <v>0</v>
      </c>
      <c r="AM237">
        <v>0</v>
      </c>
      <c r="AN237">
        <v>0</v>
      </c>
      <c r="AO237">
        <v>0</v>
      </c>
      <c r="AP237">
        <v>0</v>
      </c>
      <c r="AQ237">
        <v>0</v>
      </c>
      <c r="AR237">
        <v>0</v>
      </c>
      <c r="AS237">
        <v>0</v>
      </c>
      <c r="AT237">
        <v>0</v>
      </c>
      <c r="AU237">
        <v>0</v>
      </c>
      <c r="AV237">
        <v>0</v>
      </c>
      <c r="AW237">
        <v>0</v>
      </c>
      <c r="AX237">
        <v>2</v>
      </c>
      <c r="AY237">
        <v>0</v>
      </c>
      <c r="AZ237">
        <v>2</v>
      </c>
      <c r="BA237">
        <v>0</v>
      </c>
      <c r="BB237">
        <v>0</v>
      </c>
      <c r="BC237">
        <v>0</v>
      </c>
      <c r="BD237">
        <v>0</v>
      </c>
      <c r="BE237">
        <v>0</v>
      </c>
    </row>
    <row r="238" spans="1:58">
      <c r="A238" t="s">
        <v>16974</v>
      </c>
      <c r="B238" t="s">
        <v>17322</v>
      </c>
      <c r="C238">
        <v>0</v>
      </c>
      <c r="D238">
        <v>2</v>
      </c>
      <c r="E238">
        <v>2</v>
      </c>
      <c r="F238">
        <v>2</v>
      </c>
      <c r="G238">
        <v>2</v>
      </c>
      <c r="H238">
        <v>0</v>
      </c>
      <c r="I238">
        <v>0</v>
      </c>
      <c r="J238">
        <v>2</v>
      </c>
      <c r="K238">
        <v>14</v>
      </c>
      <c r="L238">
        <v>2</v>
      </c>
      <c r="M238">
        <v>0</v>
      </c>
      <c r="N238">
        <v>0</v>
      </c>
      <c r="O238">
        <v>0</v>
      </c>
      <c r="P238">
        <v>0</v>
      </c>
      <c r="Q238">
        <v>0</v>
      </c>
      <c r="R238">
        <v>0</v>
      </c>
      <c r="S238">
        <v>0.5</v>
      </c>
      <c r="T238">
        <v>0</v>
      </c>
      <c r="U238">
        <v>0</v>
      </c>
      <c r="V238">
        <v>0.5</v>
      </c>
      <c r="W238">
        <v>5</v>
      </c>
      <c r="X238">
        <v>0</v>
      </c>
      <c r="Y238">
        <v>0</v>
      </c>
      <c r="Z238">
        <v>2</v>
      </c>
      <c r="AA238">
        <v>0</v>
      </c>
      <c r="AB238">
        <v>0</v>
      </c>
      <c r="AC238">
        <v>0</v>
      </c>
      <c r="AD238">
        <v>0</v>
      </c>
      <c r="AE238">
        <v>0</v>
      </c>
      <c r="AF238">
        <v>0</v>
      </c>
      <c r="AG238">
        <v>5</v>
      </c>
      <c r="AH238">
        <v>5</v>
      </c>
      <c r="AI238">
        <v>0</v>
      </c>
      <c r="AJ238">
        <v>0</v>
      </c>
      <c r="AK238">
        <v>0</v>
      </c>
      <c r="AL238">
        <v>0</v>
      </c>
      <c r="AM238">
        <v>2</v>
      </c>
      <c r="AN238">
        <v>2</v>
      </c>
      <c r="AO238">
        <v>2</v>
      </c>
      <c r="AP238">
        <v>2</v>
      </c>
      <c r="AQ238">
        <v>2</v>
      </c>
      <c r="AR238">
        <v>0</v>
      </c>
      <c r="AS238">
        <v>0</v>
      </c>
      <c r="AT238">
        <v>14</v>
      </c>
      <c r="AU238">
        <v>0</v>
      </c>
      <c r="AV238">
        <v>14</v>
      </c>
      <c r="AW238">
        <v>0</v>
      </c>
      <c r="AX238">
        <v>0.5</v>
      </c>
      <c r="AY238">
        <v>0</v>
      </c>
      <c r="AZ238">
        <v>0.5</v>
      </c>
      <c r="BA238">
        <v>0</v>
      </c>
      <c r="BB238">
        <v>0</v>
      </c>
      <c r="BC238">
        <v>0</v>
      </c>
      <c r="BD238">
        <v>0</v>
      </c>
      <c r="BE238">
        <v>0</v>
      </c>
      <c r="BF238">
        <v>0</v>
      </c>
    </row>
    <row r="239" spans="1:58">
      <c r="A239" t="s">
        <v>16974</v>
      </c>
      <c r="B239" t="s">
        <v>17323</v>
      </c>
      <c r="C239">
        <v>0</v>
      </c>
      <c r="D239">
        <v>1</v>
      </c>
      <c r="E239">
        <v>1</v>
      </c>
      <c r="F239">
        <v>1</v>
      </c>
      <c r="G239">
        <v>0</v>
      </c>
      <c r="H239">
        <v>0</v>
      </c>
      <c r="I239">
        <v>0</v>
      </c>
      <c r="J239">
        <v>1</v>
      </c>
      <c r="K239">
        <v>1</v>
      </c>
      <c r="L239">
        <v>1</v>
      </c>
      <c r="M239">
        <v>0</v>
      </c>
      <c r="N239">
        <v>0</v>
      </c>
      <c r="O239">
        <v>0</v>
      </c>
      <c r="P239">
        <v>0</v>
      </c>
      <c r="Q239">
        <v>0</v>
      </c>
      <c r="R239">
        <v>0</v>
      </c>
      <c r="S239">
        <v>0.25</v>
      </c>
      <c r="T239">
        <v>0</v>
      </c>
      <c r="U239">
        <v>0</v>
      </c>
      <c r="V239">
        <v>0.25</v>
      </c>
      <c r="W239">
        <v>2.5</v>
      </c>
      <c r="X239">
        <v>0</v>
      </c>
      <c r="Y239">
        <v>1</v>
      </c>
      <c r="Z239">
        <v>0</v>
      </c>
      <c r="AA239">
        <v>0</v>
      </c>
      <c r="AB239">
        <v>0</v>
      </c>
      <c r="AC239">
        <v>0</v>
      </c>
      <c r="AD239">
        <v>0</v>
      </c>
      <c r="AE239">
        <v>0</v>
      </c>
      <c r="AF239">
        <v>0</v>
      </c>
      <c r="AG239">
        <v>2.5</v>
      </c>
      <c r="AH239">
        <v>2.5</v>
      </c>
      <c r="AI239">
        <v>0</v>
      </c>
      <c r="AJ239">
        <v>0</v>
      </c>
      <c r="AK239">
        <v>0</v>
      </c>
      <c r="AL239">
        <v>0</v>
      </c>
      <c r="AM239">
        <v>0</v>
      </c>
      <c r="AN239">
        <v>0</v>
      </c>
      <c r="AO239">
        <v>0</v>
      </c>
      <c r="AP239">
        <v>0</v>
      </c>
      <c r="AQ239">
        <v>0</v>
      </c>
      <c r="AR239">
        <v>0</v>
      </c>
      <c r="AS239">
        <v>0</v>
      </c>
      <c r="AT239">
        <v>1</v>
      </c>
      <c r="AU239">
        <v>0</v>
      </c>
      <c r="AV239">
        <v>1</v>
      </c>
      <c r="AW239">
        <v>0</v>
      </c>
      <c r="AX239">
        <v>0.25</v>
      </c>
      <c r="AY239">
        <v>0</v>
      </c>
      <c r="AZ239">
        <v>0.25</v>
      </c>
      <c r="BA239">
        <v>0</v>
      </c>
      <c r="BB239">
        <v>0</v>
      </c>
      <c r="BC239">
        <v>0</v>
      </c>
      <c r="BD239">
        <v>0</v>
      </c>
      <c r="BE239">
        <v>0</v>
      </c>
    </row>
    <row r="240" spans="1:58">
      <c r="A240" t="s">
        <v>16974</v>
      </c>
      <c r="B240" t="s">
        <v>17323</v>
      </c>
      <c r="C240">
        <v>1</v>
      </c>
      <c r="D240">
        <v>3</v>
      </c>
      <c r="E240">
        <v>0</v>
      </c>
      <c r="F240">
        <v>1</v>
      </c>
      <c r="G240">
        <v>0</v>
      </c>
      <c r="H240">
        <v>0</v>
      </c>
      <c r="I240">
        <v>3</v>
      </c>
      <c r="J240">
        <v>2</v>
      </c>
      <c r="K240">
        <v>119</v>
      </c>
      <c r="L240">
        <v>1</v>
      </c>
      <c r="M240">
        <v>0</v>
      </c>
      <c r="N240">
        <v>0</v>
      </c>
      <c r="O240">
        <v>2</v>
      </c>
      <c r="P240">
        <v>0</v>
      </c>
      <c r="Q240">
        <v>0</v>
      </c>
      <c r="R240">
        <v>0</v>
      </c>
      <c r="S240">
        <v>0.55000000000000004</v>
      </c>
      <c r="T240">
        <v>0</v>
      </c>
      <c r="U240">
        <v>0</v>
      </c>
      <c r="V240">
        <v>0.55000000000000004</v>
      </c>
      <c r="W240">
        <v>3</v>
      </c>
      <c r="X240">
        <v>0</v>
      </c>
      <c r="Y240">
        <v>1</v>
      </c>
      <c r="Z240">
        <v>0</v>
      </c>
      <c r="AA240">
        <v>-2.5</v>
      </c>
      <c r="AB240">
        <v>0</v>
      </c>
      <c r="AC240">
        <v>0</v>
      </c>
      <c r="AD240">
        <v>0</v>
      </c>
      <c r="AE240">
        <v>0</v>
      </c>
      <c r="AF240">
        <v>0</v>
      </c>
      <c r="AG240">
        <v>3</v>
      </c>
      <c r="AH240">
        <v>3</v>
      </c>
      <c r="AI240">
        <v>0</v>
      </c>
      <c r="AJ240">
        <v>0</v>
      </c>
      <c r="AK240">
        <v>0</v>
      </c>
      <c r="AL240">
        <v>0</v>
      </c>
      <c r="AM240">
        <v>0</v>
      </c>
      <c r="AN240">
        <v>0</v>
      </c>
      <c r="AO240">
        <v>0</v>
      </c>
      <c r="AP240">
        <v>0</v>
      </c>
      <c r="AQ240">
        <v>0</v>
      </c>
      <c r="AR240">
        <v>0</v>
      </c>
      <c r="AS240">
        <v>0</v>
      </c>
      <c r="AT240">
        <v>119</v>
      </c>
      <c r="AU240">
        <v>0</v>
      </c>
      <c r="AV240">
        <v>116</v>
      </c>
      <c r="AW240">
        <v>3</v>
      </c>
      <c r="AX240">
        <v>0.55000000000000004</v>
      </c>
      <c r="AY240">
        <v>0</v>
      </c>
      <c r="AZ240">
        <v>0.3</v>
      </c>
      <c r="BA240">
        <v>0.25</v>
      </c>
      <c r="BB240">
        <v>0</v>
      </c>
      <c r="BC240">
        <v>0</v>
      </c>
      <c r="BD240">
        <v>0</v>
      </c>
      <c r="BE240">
        <v>0</v>
      </c>
      <c r="BF240">
        <v>0</v>
      </c>
    </row>
    <row r="241" spans="1:58">
      <c r="A241" t="s">
        <v>16974</v>
      </c>
      <c r="B241" t="s">
        <v>19352</v>
      </c>
      <c r="C241">
        <v>201</v>
      </c>
      <c r="D241">
        <v>201</v>
      </c>
      <c r="E241">
        <v>0</v>
      </c>
      <c r="F241">
        <v>201</v>
      </c>
      <c r="G241">
        <v>0</v>
      </c>
      <c r="H241">
        <v>0</v>
      </c>
      <c r="I241">
        <v>0</v>
      </c>
      <c r="J241">
        <v>201</v>
      </c>
      <c r="K241">
        <v>306</v>
      </c>
      <c r="L241">
        <v>201</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306</v>
      </c>
      <c r="AU241">
        <v>0</v>
      </c>
      <c r="AV241">
        <v>0</v>
      </c>
      <c r="AW241">
        <v>306</v>
      </c>
      <c r="AX241">
        <v>0</v>
      </c>
      <c r="AY241">
        <v>0</v>
      </c>
      <c r="AZ241">
        <v>0</v>
      </c>
      <c r="BA241">
        <v>0</v>
      </c>
      <c r="BB241">
        <v>0</v>
      </c>
      <c r="BC241">
        <v>0</v>
      </c>
      <c r="BD241">
        <v>0</v>
      </c>
      <c r="BE241">
        <v>0</v>
      </c>
      <c r="BF241">
        <v>100</v>
      </c>
    </row>
    <row r="242" spans="1:58">
      <c r="A242" t="s">
        <v>17148</v>
      </c>
      <c r="B242" t="s">
        <v>17304</v>
      </c>
      <c r="C242">
        <v>0</v>
      </c>
      <c r="D242">
        <v>6</v>
      </c>
      <c r="E242">
        <v>0</v>
      </c>
      <c r="F242">
        <v>0</v>
      </c>
      <c r="G242">
        <v>0</v>
      </c>
      <c r="H242">
        <v>0</v>
      </c>
      <c r="I242">
        <v>0</v>
      </c>
      <c r="J242">
        <v>6</v>
      </c>
      <c r="K242">
        <v>40</v>
      </c>
      <c r="L242">
        <v>5</v>
      </c>
      <c r="M242">
        <v>0</v>
      </c>
      <c r="N242">
        <v>0</v>
      </c>
      <c r="O242">
        <v>1</v>
      </c>
      <c r="P242">
        <v>0</v>
      </c>
      <c r="Q242">
        <v>0</v>
      </c>
      <c r="R242">
        <v>0</v>
      </c>
      <c r="S242">
        <v>3.75</v>
      </c>
      <c r="T242">
        <v>0</v>
      </c>
      <c r="U242">
        <v>0</v>
      </c>
      <c r="V242">
        <v>3.75</v>
      </c>
      <c r="W242">
        <v>37.5</v>
      </c>
      <c r="X242">
        <v>0</v>
      </c>
      <c r="Y242">
        <v>6</v>
      </c>
      <c r="Z242">
        <v>0</v>
      </c>
      <c r="AA242">
        <v>0</v>
      </c>
      <c r="AB242">
        <v>0</v>
      </c>
      <c r="AC242">
        <v>0</v>
      </c>
      <c r="AD242">
        <v>0</v>
      </c>
      <c r="AE242">
        <v>0</v>
      </c>
      <c r="AF242">
        <v>0</v>
      </c>
      <c r="AG242">
        <v>37.5</v>
      </c>
      <c r="AH242">
        <v>37.5</v>
      </c>
      <c r="AI242">
        <v>0</v>
      </c>
      <c r="AJ242">
        <v>0</v>
      </c>
      <c r="AK242">
        <v>0</v>
      </c>
      <c r="AL242">
        <v>0</v>
      </c>
      <c r="AM242">
        <v>0</v>
      </c>
      <c r="AN242">
        <v>0</v>
      </c>
      <c r="AO242">
        <v>0</v>
      </c>
      <c r="AP242">
        <v>0</v>
      </c>
      <c r="AQ242">
        <v>0</v>
      </c>
      <c r="AR242">
        <v>0</v>
      </c>
      <c r="AS242">
        <v>0</v>
      </c>
      <c r="AT242">
        <v>40</v>
      </c>
      <c r="AU242">
        <v>0</v>
      </c>
      <c r="AV242">
        <v>40</v>
      </c>
      <c r="AW242">
        <v>0</v>
      </c>
      <c r="AX242">
        <v>3.75</v>
      </c>
      <c r="AY242">
        <v>0</v>
      </c>
      <c r="AZ242">
        <v>3.75</v>
      </c>
      <c r="BA242">
        <v>0</v>
      </c>
      <c r="BB242">
        <v>0</v>
      </c>
      <c r="BC242">
        <v>0</v>
      </c>
      <c r="BD242">
        <v>0</v>
      </c>
      <c r="BE242">
        <v>0</v>
      </c>
      <c r="BF242">
        <v>0</v>
      </c>
    </row>
    <row r="243" spans="1:58">
      <c r="A243" t="s">
        <v>17150</v>
      </c>
      <c r="B243" t="s">
        <v>18838</v>
      </c>
      <c r="C243">
        <v>0</v>
      </c>
      <c r="D243">
        <v>13</v>
      </c>
      <c r="E243">
        <v>8</v>
      </c>
      <c r="F243">
        <v>7</v>
      </c>
      <c r="G243">
        <v>0</v>
      </c>
      <c r="H243">
        <v>0</v>
      </c>
      <c r="I243">
        <v>0</v>
      </c>
      <c r="J243">
        <v>13</v>
      </c>
      <c r="K243">
        <v>264</v>
      </c>
      <c r="L243">
        <v>2</v>
      </c>
      <c r="M243">
        <v>0</v>
      </c>
      <c r="N243">
        <v>8</v>
      </c>
      <c r="O243">
        <v>3</v>
      </c>
      <c r="P243">
        <v>0</v>
      </c>
      <c r="Q243">
        <v>0</v>
      </c>
      <c r="R243">
        <v>0</v>
      </c>
      <c r="S243">
        <v>13</v>
      </c>
      <c r="T243">
        <v>13</v>
      </c>
      <c r="U243">
        <v>0</v>
      </c>
      <c r="V243">
        <v>26</v>
      </c>
      <c r="W243">
        <v>390</v>
      </c>
      <c r="X243">
        <v>0</v>
      </c>
      <c r="Y243">
        <v>13</v>
      </c>
      <c r="Z243">
        <v>0</v>
      </c>
      <c r="AA243">
        <v>0</v>
      </c>
      <c r="AB243">
        <v>0</v>
      </c>
      <c r="AC243">
        <v>0</v>
      </c>
      <c r="AD243">
        <v>0</v>
      </c>
      <c r="AE243">
        <v>0</v>
      </c>
      <c r="AF243">
        <v>0</v>
      </c>
      <c r="AG243">
        <v>390</v>
      </c>
      <c r="AH243">
        <v>390</v>
      </c>
      <c r="AI243">
        <v>0</v>
      </c>
      <c r="AJ243">
        <v>0</v>
      </c>
      <c r="AK243">
        <v>0</v>
      </c>
      <c r="AL243">
        <v>0</v>
      </c>
      <c r="AM243">
        <v>0</v>
      </c>
      <c r="AN243">
        <v>0</v>
      </c>
      <c r="AO243">
        <v>0</v>
      </c>
      <c r="AP243">
        <v>0</v>
      </c>
      <c r="AQ243">
        <v>0</v>
      </c>
      <c r="AR243">
        <v>0</v>
      </c>
      <c r="AS243">
        <v>0</v>
      </c>
      <c r="AT243">
        <v>264</v>
      </c>
      <c r="AU243">
        <v>0</v>
      </c>
      <c r="AV243">
        <v>264</v>
      </c>
      <c r="AW243">
        <v>0</v>
      </c>
      <c r="AX243">
        <v>13</v>
      </c>
      <c r="AY243">
        <v>0</v>
      </c>
      <c r="AZ243">
        <v>13</v>
      </c>
      <c r="BA243">
        <v>0</v>
      </c>
      <c r="BB243">
        <v>13</v>
      </c>
      <c r="BC243">
        <v>0</v>
      </c>
      <c r="BD243">
        <v>13</v>
      </c>
      <c r="BE243">
        <v>0</v>
      </c>
    </row>
    <row r="244" spans="1:58">
      <c r="A244" t="s">
        <v>17150</v>
      </c>
      <c r="B244" t="s">
        <v>17152</v>
      </c>
      <c r="C244">
        <v>2</v>
      </c>
      <c r="D244">
        <v>18</v>
      </c>
      <c r="E244">
        <v>18</v>
      </c>
      <c r="F244">
        <v>15</v>
      </c>
      <c r="G244">
        <v>5</v>
      </c>
      <c r="H244">
        <v>8</v>
      </c>
      <c r="I244">
        <v>0</v>
      </c>
      <c r="J244">
        <v>18</v>
      </c>
      <c r="K244">
        <v>212</v>
      </c>
      <c r="L244">
        <v>10</v>
      </c>
      <c r="M244">
        <v>1</v>
      </c>
      <c r="N244">
        <v>6</v>
      </c>
      <c r="O244">
        <v>1</v>
      </c>
      <c r="P244">
        <v>0</v>
      </c>
      <c r="Q244">
        <v>0</v>
      </c>
      <c r="R244">
        <v>0</v>
      </c>
      <c r="S244">
        <v>8.65</v>
      </c>
      <c r="T244">
        <v>12.15</v>
      </c>
      <c r="U244">
        <v>0</v>
      </c>
      <c r="V244">
        <v>20.8</v>
      </c>
      <c r="W244">
        <v>329.5</v>
      </c>
      <c r="X244">
        <v>100</v>
      </c>
      <c r="Y244">
        <v>10</v>
      </c>
      <c r="Z244">
        <v>0</v>
      </c>
      <c r="AA244">
        <v>0</v>
      </c>
      <c r="AB244">
        <v>165</v>
      </c>
      <c r="AC244">
        <v>331.6</v>
      </c>
      <c r="AD244">
        <v>276.7</v>
      </c>
      <c r="AE244">
        <v>32</v>
      </c>
      <c r="AF244">
        <v>441.7</v>
      </c>
      <c r="AG244">
        <v>517.5</v>
      </c>
      <c r="AH244">
        <v>485.5</v>
      </c>
      <c r="AI244">
        <v>0</v>
      </c>
      <c r="AJ244">
        <v>408.6</v>
      </c>
      <c r="AK244">
        <v>338.5</v>
      </c>
      <c r="AL244">
        <v>338.5</v>
      </c>
      <c r="AM244">
        <v>0</v>
      </c>
      <c r="AN244">
        <v>1</v>
      </c>
      <c r="AO244">
        <v>0</v>
      </c>
      <c r="AP244">
        <v>0</v>
      </c>
      <c r="AQ244">
        <v>0</v>
      </c>
      <c r="AR244">
        <v>0</v>
      </c>
      <c r="AS244">
        <v>0</v>
      </c>
      <c r="AT244">
        <v>212</v>
      </c>
      <c r="AU244">
        <v>152</v>
      </c>
      <c r="AV244">
        <v>57</v>
      </c>
      <c r="AW244">
        <v>31</v>
      </c>
      <c r="AX244">
        <v>8.65</v>
      </c>
      <c r="AY244">
        <v>7</v>
      </c>
      <c r="AZ244">
        <v>1.65</v>
      </c>
      <c r="BA244">
        <v>0</v>
      </c>
      <c r="BB244">
        <v>12.15</v>
      </c>
      <c r="BC244">
        <v>10.75</v>
      </c>
      <c r="BD244">
        <v>1.4</v>
      </c>
      <c r="BE244">
        <v>0</v>
      </c>
      <c r="BF244">
        <v>20</v>
      </c>
    </row>
    <row r="245" spans="1:58">
      <c r="A245" t="s">
        <v>17202</v>
      </c>
      <c r="B245" t="s">
        <v>19987</v>
      </c>
      <c r="C245">
        <v>0</v>
      </c>
      <c r="D245">
        <v>1</v>
      </c>
      <c r="E245">
        <v>1</v>
      </c>
      <c r="F245">
        <v>1</v>
      </c>
      <c r="G245">
        <v>0</v>
      </c>
      <c r="H245">
        <v>0</v>
      </c>
      <c r="I245">
        <v>0</v>
      </c>
      <c r="J245">
        <v>1</v>
      </c>
      <c r="K245">
        <v>46</v>
      </c>
      <c r="L245">
        <v>0</v>
      </c>
      <c r="M245">
        <v>0</v>
      </c>
      <c r="N245">
        <v>1</v>
      </c>
      <c r="O245">
        <v>0</v>
      </c>
      <c r="P245">
        <v>0</v>
      </c>
      <c r="Q245">
        <v>0</v>
      </c>
      <c r="R245">
        <v>0</v>
      </c>
      <c r="S245">
        <v>3.25</v>
      </c>
      <c r="T245">
        <v>0.25</v>
      </c>
      <c r="U245">
        <v>1</v>
      </c>
      <c r="V245">
        <v>4.5</v>
      </c>
      <c r="W245">
        <v>37.5</v>
      </c>
      <c r="X245">
        <v>0</v>
      </c>
      <c r="Y245">
        <v>0</v>
      </c>
      <c r="Z245">
        <v>1</v>
      </c>
      <c r="AA245">
        <v>0</v>
      </c>
      <c r="AB245">
        <v>0</v>
      </c>
      <c r="AC245">
        <v>0.15</v>
      </c>
      <c r="AD245">
        <v>0.15</v>
      </c>
      <c r="AE245">
        <v>0</v>
      </c>
      <c r="AF245">
        <v>0.15</v>
      </c>
      <c r="AG245">
        <v>57.65</v>
      </c>
      <c r="AH245">
        <v>57.65</v>
      </c>
      <c r="AI245">
        <v>0</v>
      </c>
      <c r="AJ245">
        <v>0</v>
      </c>
      <c r="AK245">
        <v>0</v>
      </c>
      <c r="AL245">
        <v>0</v>
      </c>
      <c r="AM245">
        <v>0</v>
      </c>
      <c r="AN245">
        <v>0</v>
      </c>
      <c r="AO245">
        <v>0</v>
      </c>
      <c r="AP245">
        <v>0</v>
      </c>
      <c r="AQ245">
        <v>0</v>
      </c>
      <c r="AR245">
        <v>0</v>
      </c>
      <c r="AS245">
        <v>0</v>
      </c>
      <c r="AT245">
        <v>46</v>
      </c>
      <c r="AU245">
        <v>0</v>
      </c>
      <c r="AV245">
        <v>46</v>
      </c>
      <c r="AW245">
        <v>0</v>
      </c>
      <c r="AX245">
        <v>3.25</v>
      </c>
      <c r="AY245">
        <v>0</v>
      </c>
      <c r="AZ245">
        <v>3.25</v>
      </c>
      <c r="BA245">
        <v>0</v>
      </c>
      <c r="BB245">
        <v>0.25</v>
      </c>
      <c r="BC245">
        <v>0</v>
      </c>
      <c r="BD245">
        <v>0.25</v>
      </c>
      <c r="BE245">
        <v>0</v>
      </c>
      <c r="BF245" s="21">
        <v>281851</v>
      </c>
    </row>
    <row r="246" spans="1:58">
      <c r="A246" t="s">
        <v>17202</v>
      </c>
      <c r="B246" t="s">
        <v>18840</v>
      </c>
      <c r="C246">
        <v>0</v>
      </c>
      <c r="D246">
        <v>2</v>
      </c>
      <c r="E246">
        <v>0</v>
      </c>
      <c r="F246">
        <v>2</v>
      </c>
      <c r="G246">
        <v>0</v>
      </c>
      <c r="H246">
        <v>0</v>
      </c>
      <c r="I246">
        <v>0</v>
      </c>
      <c r="J246">
        <v>2</v>
      </c>
      <c r="K246">
        <v>2</v>
      </c>
      <c r="L246">
        <v>2</v>
      </c>
      <c r="M246">
        <v>0</v>
      </c>
      <c r="N246">
        <v>0</v>
      </c>
      <c r="O246">
        <v>0</v>
      </c>
      <c r="P246">
        <v>0</v>
      </c>
      <c r="Q246">
        <v>0</v>
      </c>
      <c r="R246">
        <v>0</v>
      </c>
      <c r="S246">
        <v>1</v>
      </c>
      <c r="T246">
        <v>0.5</v>
      </c>
      <c r="U246">
        <v>0</v>
      </c>
      <c r="V246">
        <v>1.5</v>
      </c>
      <c r="W246">
        <v>20</v>
      </c>
      <c r="X246">
        <v>0</v>
      </c>
      <c r="Y246">
        <v>2</v>
      </c>
      <c r="Z246">
        <v>0</v>
      </c>
      <c r="AA246">
        <v>0</v>
      </c>
      <c r="AB246">
        <v>0</v>
      </c>
      <c r="AC246">
        <v>0</v>
      </c>
      <c r="AD246">
        <v>0</v>
      </c>
      <c r="AE246">
        <v>0</v>
      </c>
      <c r="AF246">
        <v>0</v>
      </c>
      <c r="AG246">
        <v>20</v>
      </c>
      <c r="AH246">
        <v>20</v>
      </c>
      <c r="AI246">
        <v>0</v>
      </c>
      <c r="AJ246">
        <v>0</v>
      </c>
      <c r="AK246">
        <v>0</v>
      </c>
      <c r="AL246">
        <v>0</v>
      </c>
      <c r="AM246">
        <v>0</v>
      </c>
      <c r="AN246">
        <v>0</v>
      </c>
      <c r="AO246">
        <v>0</v>
      </c>
      <c r="AP246">
        <v>0</v>
      </c>
      <c r="AQ246">
        <v>0</v>
      </c>
      <c r="AR246">
        <v>0</v>
      </c>
      <c r="AS246">
        <v>0</v>
      </c>
      <c r="AT246">
        <v>2</v>
      </c>
      <c r="AU246">
        <v>0</v>
      </c>
      <c r="AV246">
        <v>2</v>
      </c>
      <c r="AW246">
        <v>0</v>
      </c>
      <c r="AX246">
        <v>1</v>
      </c>
      <c r="AY246">
        <v>0</v>
      </c>
      <c r="AZ246">
        <v>1</v>
      </c>
      <c r="BA246">
        <v>0</v>
      </c>
      <c r="BB246">
        <v>0.5</v>
      </c>
      <c r="BC246">
        <v>0</v>
      </c>
      <c r="BD246">
        <v>0.5</v>
      </c>
      <c r="BE246">
        <v>0</v>
      </c>
      <c r="BF246">
        <v>0</v>
      </c>
    </row>
    <row r="247" spans="1:58">
      <c r="A247" t="s">
        <v>17202</v>
      </c>
      <c r="B247" t="s">
        <v>19988</v>
      </c>
      <c r="C247">
        <v>0</v>
      </c>
      <c r="D247">
        <v>1</v>
      </c>
      <c r="E247">
        <v>1</v>
      </c>
      <c r="F247">
        <v>0</v>
      </c>
      <c r="G247">
        <v>1</v>
      </c>
      <c r="H247">
        <v>0</v>
      </c>
      <c r="I247">
        <v>0</v>
      </c>
      <c r="J247">
        <v>1</v>
      </c>
      <c r="K247">
        <v>13</v>
      </c>
      <c r="L247">
        <v>0</v>
      </c>
      <c r="M247">
        <v>1</v>
      </c>
      <c r="N247">
        <v>0</v>
      </c>
      <c r="O247">
        <v>0</v>
      </c>
      <c r="P247">
        <v>0</v>
      </c>
      <c r="Q247">
        <v>0</v>
      </c>
      <c r="R247">
        <v>0</v>
      </c>
      <c r="S247">
        <v>0</v>
      </c>
      <c r="T247">
        <v>0</v>
      </c>
      <c r="U247">
        <v>1</v>
      </c>
      <c r="V247">
        <v>1</v>
      </c>
      <c r="W247">
        <v>0</v>
      </c>
      <c r="X247">
        <v>0</v>
      </c>
      <c r="Y247">
        <v>0</v>
      </c>
      <c r="Z247">
        <v>0</v>
      </c>
      <c r="AA247">
        <v>0</v>
      </c>
      <c r="AB247">
        <v>0</v>
      </c>
      <c r="AC247">
        <v>0</v>
      </c>
      <c r="AD247">
        <v>0</v>
      </c>
      <c r="AE247">
        <v>0</v>
      </c>
      <c r="AF247">
        <v>0</v>
      </c>
      <c r="AG247">
        <v>20</v>
      </c>
      <c r="AH247">
        <v>20</v>
      </c>
      <c r="AI247">
        <v>0</v>
      </c>
      <c r="AJ247">
        <v>0</v>
      </c>
      <c r="AK247">
        <v>0</v>
      </c>
      <c r="AL247">
        <v>0</v>
      </c>
      <c r="AM247">
        <v>0</v>
      </c>
      <c r="AN247">
        <v>0</v>
      </c>
      <c r="AO247">
        <v>0</v>
      </c>
      <c r="AP247">
        <v>0</v>
      </c>
      <c r="AQ247">
        <v>0</v>
      </c>
      <c r="AR247">
        <v>0</v>
      </c>
      <c r="AS247">
        <v>0</v>
      </c>
      <c r="AT247">
        <v>13</v>
      </c>
      <c r="AU247">
        <v>0</v>
      </c>
      <c r="AV247">
        <v>13</v>
      </c>
      <c r="AW247">
        <v>0</v>
      </c>
      <c r="AX247">
        <v>0</v>
      </c>
      <c r="AY247">
        <v>0</v>
      </c>
      <c r="AZ247">
        <v>0</v>
      </c>
      <c r="BA247">
        <v>0</v>
      </c>
      <c r="BB247">
        <v>0</v>
      </c>
      <c r="BC247">
        <v>0</v>
      </c>
      <c r="BD247">
        <v>0</v>
      </c>
      <c r="BE247">
        <v>0</v>
      </c>
      <c r="BF247">
        <v>0</v>
      </c>
    </row>
    <row r="248" spans="1:58">
      <c r="A248" t="s">
        <v>17202</v>
      </c>
      <c r="B248" t="s">
        <v>18843</v>
      </c>
      <c r="C248">
        <v>0</v>
      </c>
      <c r="D248">
        <v>1</v>
      </c>
      <c r="E248">
        <v>1</v>
      </c>
      <c r="F248">
        <v>1</v>
      </c>
      <c r="G248">
        <v>1</v>
      </c>
      <c r="H248">
        <v>0</v>
      </c>
      <c r="I248">
        <v>0</v>
      </c>
      <c r="J248">
        <v>1</v>
      </c>
      <c r="K248">
        <v>6</v>
      </c>
      <c r="L248">
        <v>1</v>
      </c>
      <c r="M248">
        <v>0</v>
      </c>
      <c r="N248">
        <v>0</v>
      </c>
      <c r="O248">
        <v>0</v>
      </c>
      <c r="P248">
        <v>0</v>
      </c>
      <c r="Q248">
        <v>0</v>
      </c>
      <c r="R248">
        <v>0</v>
      </c>
      <c r="S248">
        <v>1</v>
      </c>
      <c r="T248">
        <v>1</v>
      </c>
      <c r="U248">
        <v>1</v>
      </c>
      <c r="V248">
        <v>3</v>
      </c>
      <c r="W248">
        <v>30</v>
      </c>
      <c r="X248">
        <v>0</v>
      </c>
      <c r="Y248">
        <v>0</v>
      </c>
      <c r="Z248">
        <v>1</v>
      </c>
      <c r="AA248">
        <v>0</v>
      </c>
      <c r="AB248">
        <v>0</v>
      </c>
      <c r="AC248">
        <v>0</v>
      </c>
      <c r="AD248">
        <v>0</v>
      </c>
      <c r="AE248">
        <v>0</v>
      </c>
      <c r="AF248">
        <v>0</v>
      </c>
      <c r="AG248">
        <v>50</v>
      </c>
      <c r="AH248">
        <v>50</v>
      </c>
      <c r="AI248">
        <v>0</v>
      </c>
      <c r="AJ248">
        <v>0</v>
      </c>
      <c r="AK248">
        <v>0</v>
      </c>
      <c r="AL248">
        <v>0</v>
      </c>
      <c r="AM248">
        <v>0</v>
      </c>
      <c r="AN248">
        <v>0</v>
      </c>
      <c r="AO248">
        <v>0</v>
      </c>
      <c r="AP248">
        <v>0</v>
      </c>
      <c r="AQ248">
        <v>0</v>
      </c>
      <c r="AR248">
        <v>0</v>
      </c>
      <c r="AS248">
        <v>0</v>
      </c>
      <c r="AT248">
        <v>6</v>
      </c>
      <c r="AU248">
        <v>0</v>
      </c>
      <c r="AV248">
        <v>6</v>
      </c>
      <c r="AW248">
        <v>0</v>
      </c>
      <c r="AX248">
        <v>1</v>
      </c>
      <c r="AY248">
        <v>0</v>
      </c>
      <c r="AZ248">
        <v>1</v>
      </c>
      <c r="BA248">
        <v>0</v>
      </c>
      <c r="BB248">
        <v>1</v>
      </c>
      <c r="BC248">
        <v>0</v>
      </c>
      <c r="BD248">
        <v>1</v>
      </c>
      <c r="BE248">
        <v>0</v>
      </c>
      <c r="BF248">
        <v>0</v>
      </c>
    </row>
    <row r="249" spans="1:58">
      <c r="A249" t="s">
        <v>17140</v>
      </c>
      <c r="B249" t="s">
        <v>17155</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row>
    <row r="250" spans="1:58">
      <c r="A250" t="s">
        <v>17140</v>
      </c>
      <c r="B250" t="s">
        <v>17156</v>
      </c>
      <c r="C250">
        <v>0</v>
      </c>
      <c r="D250">
        <v>3</v>
      </c>
      <c r="E250">
        <v>3</v>
      </c>
      <c r="F250">
        <v>3</v>
      </c>
      <c r="G250">
        <v>0</v>
      </c>
      <c r="H250">
        <v>0</v>
      </c>
      <c r="I250">
        <v>0</v>
      </c>
      <c r="J250">
        <v>3</v>
      </c>
      <c r="K250">
        <v>18</v>
      </c>
      <c r="L250">
        <v>2</v>
      </c>
      <c r="M250">
        <v>0</v>
      </c>
      <c r="N250">
        <v>1</v>
      </c>
      <c r="O250">
        <v>0</v>
      </c>
      <c r="P250">
        <v>0</v>
      </c>
      <c r="Q250">
        <v>0</v>
      </c>
      <c r="R250">
        <v>0</v>
      </c>
      <c r="S250">
        <v>3</v>
      </c>
      <c r="T250">
        <v>0</v>
      </c>
      <c r="U250">
        <v>26</v>
      </c>
      <c r="V250">
        <v>29</v>
      </c>
      <c r="W250">
        <v>30</v>
      </c>
      <c r="X250">
        <v>0</v>
      </c>
      <c r="Y250">
        <v>3</v>
      </c>
      <c r="Z250">
        <v>0</v>
      </c>
      <c r="AA250">
        <v>0</v>
      </c>
      <c r="AB250">
        <v>0</v>
      </c>
      <c r="AC250">
        <v>0</v>
      </c>
      <c r="AD250">
        <v>0</v>
      </c>
      <c r="AE250">
        <v>0</v>
      </c>
      <c r="AF250">
        <v>0</v>
      </c>
      <c r="AG250">
        <v>550</v>
      </c>
      <c r="AH250">
        <v>550</v>
      </c>
      <c r="AI250">
        <v>0</v>
      </c>
      <c r="AJ250">
        <v>0</v>
      </c>
      <c r="AK250">
        <v>0</v>
      </c>
      <c r="AL250">
        <v>0</v>
      </c>
      <c r="AM250">
        <v>0</v>
      </c>
      <c r="AN250">
        <v>0</v>
      </c>
      <c r="AO250">
        <v>0</v>
      </c>
      <c r="AP250">
        <v>0</v>
      </c>
      <c r="AQ250">
        <v>0</v>
      </c>
      <c r="AR250">
        <v>0</v>
      </c>
      <c r="AS250">
        <v>0</v>
      </c>
      <c r="AT250">
        <v>18</v>
      </c>
      <c r="AU250">
        <v>0</v>
      </c>
      <c r="AV250">
        <v>18</v>
      </c>
      <c r="AW250">
        <v>0</v>
      </c>
      <c r="AX250">
        <v>3</v>
      </c>
      <c r="AY250">
        <v>0</v>
      </c>
      <c r="AZ250">
        <v>3</v>
      </c>
      <c r="BA250">
        <v>0</v>
      </c>
      <c r="BB250">
        <v>0</v>
      </c>
      <c r="BC250">
        <v>0</v>
      </c>
      <c r="BD250">
        <v>0</v>
      </c>
      <c r="BE250">
        <v>0</v>
      </c>
      <c r="BF250">
        <v>3</v>
      </c>
    </row>
    <row r="251" spans="1:58">
      <c r="A251" t="s">
        <v>17140</v>
      </c>
      <c r="B251" t="s">
        <v>17157</v>
      </c>
      <c r="C251">
        <v>0</v>
      </c>
      <c r="D251">
        <v>9</v>
      </c>
      <c r="E251">
        <v>9</v>
      </c>
      <c r="F251">
        <v>8</v>
      </c>
      <c r="G251">
        <v>0</v>
      </c>
      <c r="H251">
        <v>1</v>
      </c>
      <c r="I251">
        <v>0</v>
      </c>
      <c r="J251">
        <v>9</v>
      </c>
      <c r="K251">
        <v>49</v>
      </c>
      <c r="L251">
        <v>7</v>
      </c>
      <c r="M251">
        <v>1</v>
      </c>
      <c r="N251">
        <v>0</v>
      </c>
      <c r="O251">
        <v>0</v>
      </c>
      <c r="P251">
        <v>1</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49</v>
      </c>
      <c r="AU251">
        <v>20</v>
      </c>
      <c r="AV251">
        <v>29</v>
      </c>
      <c r="AW251">
        <v>0</v>
      </c>
      <c r="AX251">
        <v>0</v>
      </c>
      <c r="AY251">
        <v>0</v>
      </c>
      <c r="AZ251">
        <v>0</v>
      </c>
      <c r="BA251">
        <v>0</v>
      </c>
      <c r="BB251">
        <v>0</v>
      </c>
      <c r="BC251">
        <v>0</v>
      </c>
      <c r="BD251">
        <v>0</v>
      </c>
      <c r="BE251">
        <v>0</v>
      </c>
      <c r="BF251">
        <v>400</v>
      </c>
    </row>
    <row r="252" spans="1:58">
      <c r="A252" t="s">
        <v>17140</v>
      </c>
      <c r="B252" t="s">
        <v>17158</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row>
    <row r="253" spans="1:58">
      <c r="A253" t="s">
        <v>17140</v>
      </c>
      <c r="B253" t="s">
        <v>17158</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262</v>
      </c>
    </row>
    <row r="254" spans="1:58">
      <c r="A254" t="s">
        <v>17140</v>
      </c>
      <c r="B254" t="s">
        <v>17159</v>
      </c>
      <c r="C254">
        <v>0</v>
      </c>
      <c r="D254">
        <v>7</v>
      </c>
      <c r="E254">
        <v>7</v>
      </c>
      <c r="F254">
        <v>7</v>
      </c>
      <c r="G254">
        <v>0</v>
      </c>
      <c r="H254">
        <v>0</v>
      </c>
      <c r="I254">
        <v>0</v>
      </c>
      <c r="J254">
        <v>7</v>
      </c>
      <c r="K254">
        <v>7</v>
      </c>
      <c r="L254">
        <v>7</v>
      </c>
      <c r="M254">
        <v>0</v>
      </c>
      <c r="N254">
        <v>0</v>
      </c>
      <c r="O254">
        <v>0</v>
      </c>
      <c r="P254">
        <v>0</v>
      </c>
      <c r="Q254">
        <v>0</v>
      </c>
      <c r="R254">
        <v>0</v>
      </c>
      <c r="S254">
        <v>2.5</v>
      </c>
      <c r="T254">
        <v>0</v>
      </c>
      <c r="U254">
        <v>0</v>
      </c>
      <c r="V254">
        <v>2.5</v>
      </c>
      <c r="W254">
        <v>25</v>
      </c>
      <c r="X254">
        <v>0</v>
      </c>
      <c r="Y254">
        <v>7</v>
      </c>
      <c r="Z254">
        <v>0</v>
      </c>
      <c r="AA254">
        <v>0</v>
      </c>
      <c r="AB254">
        <v>0</v>
      </c>
      <c r="AC254">
        <v>0</v>
      </c>
      <c r="AD254">
        <v>0</v>
      </c>
      <c r="AE254">
        <v>0</v>
      </c>
      <c r="AF254">
        <v>0</v>
      </c>
      <c r="AG254">
        <v>25</v>
      </c>
      <c r="AH254">
        <v>25</v>
      </c>
      <c r="AI254">
        <v>0</v>
      </c>
      <c r="AJ254">
        <v>0</v>
      </c>
      <c r="AK254">
        <v>0</v>
      </c>
      <c r="AL254">
        <v>0</v>
      </c>
      <c r="AM254">
        <v>0</v>
      </c>
      <c r="AN254">
        <v>0</v>
      </c>
      <c r="AO254">
        <v>0</v>
      </c>
      <c r="AP254">
        <v>0</v>
      </c>
      <c r="AQ254">
        <v>0</v>
      </c>
      <c r="AR254">
        <v>0</v>
      </c>
      <c r="AS254">
        <v>0</v>
      </c>
      <c r="AT254">
        <v>7</v>
      </c>
      <c r="AU254">
        <v>0</v>
      </c>
      <c r="AV254">
        <v>7</v>
      </c>
      <c r="AW254">
        <v>0</v>
      </c>
      <c r="AX254">
        <v>1.75</v>
      </c>
      <c r="AY254">
        <v>0</v>
      </c>
      <c r="AZ254">
        <v>1.75</v>
      </c>
      <c r="BA254">
        <v>0</v>
      </c>
      <c r="BB254">
        <v>0</v>
      </c>
      <c r="BC254">
        <v>0</v>
      </c>
      <c r="BD254">
        <v>0</v>
      </c>
      <c r="BE254">
        <v>0</v>
      </c>
      <c r="BF254">
        <v>7</v>
      </c>
    </row>
    <row r="255" spans="1:58">
      <c r="A255" t="s">
        <v>17140</v>
      </c>
      <c r="B255" t="s">
        <v>17160</v>
      </c>
      <c r="C255">
        <v>1</v>
      </c>
      <c r="D255">
        <v>1</v>
      </c>
      <c r="E255">
        <v>0</v>
      </c>
      <c r="F255">
        <v>1</v>
      </c>
      <c r="G255">
        <v>0</v>
      </c>
      <c r="H255">
        <v>0</v>
      </c>
      <c r="I255">
        <v>0</v>
      </c>
      <c r="J255">
        <v>1</v>
      </c>
      <c r="K255">
        <v>1</v>
      </c>
      <c r="L255">
        <v>1</v>
      </c>
      <c r="M255">
        <v>0</v>
      </c>
      <c r="N255">
        <v>0</v>
      </c>
      <c r="O255">
        <v>0</v>
      </c>
      <c r="P255">
        <v>0</v>
      </c>
      <c r="Q255">
        <v>0</v>
      </c>
      <c r="R255">
        <v>0</v>
      </c>
      <c r="S255">
        <v>0</v>
      </c>
      <c r="T255">
        <v>0</v>
      </c>
      <c r="U255">
        <v>0</v>
      </c>
      <c r="V255">
        <v>0</v>
      </c>
      <c r="W255">
        <v>0</v>
      </c>
      <c r="X255">
        <v>0</v>
      </c>
      <c r="Y255">
        <v>0</v>
      </c>
      <c r="Z255">
        <v>0</v>
      </c>
      <c r="AA255">
        <v>0</v>
      </c>
      <c r="AB255">
        <v>0</v>
      </c>
      <c r="AC255">
        <v>18.649999999999999</v>
      </c>
      <c r="AD255">
        <v>18.649999999999999</v>
      </c>
      <c r="AE255">
        <v>18.649999999999999</v>
      </c>
      <c r="AF255">
        <v>18.649999999999999</v>
      </c>
      <c r="AG255">
        <v>18.649999999999999</v>
      </c>
      <c r="AH255">
        <v>0</v>
      </c>
      <c r="AI255">
        <v>0</v>
      </c>
      <c r="AJ255">
        <v>0</v>
      </c>
      <c r="AK255">
        <v>0</v>
      </c>
      <c r="AL255">
        <v>0</v>
      </c>
      <c r="AM255">
        <v>0</v>
      </c>
      <c r="AN255">
        <v>1</v>
      </c>
      <c r="AO255">
        <v>0</v>
      </c>
      <c r="AP255">
        <v>0</v>
      </c>
      <c r="AQ255">
        <v>0</v>
      </c>
      <c r="AR255">
        <v>0</v>
      </c>
      <c r="AS255">
        <v>0</v>
      </c>
      <c r="AT255">
        <v>1</v>
      </c>
      <c r="AU255">
        <v>0</v>
      </c>
      <c r="AV255">
        <v>0</v>
      </c>
      <c r="AW255">
        <v>1</v>
      </c>
      <c r="AX255">
        <v>0</v>
      </c>
      <c r="AY255">
        <v>0</v>
      </c>
      <c r="AZ255">
        <v>0</v>
      </c>
      <c r="BA255">
        <v>0</v>
      </c>
      <c r="BB255">
        <v>0</v>
      </c>
      <c r="BC255">
        <v>0</v>
      </c>
      <c r="BD255">
        <v>0</v>
      </c>
      <c r="BE255">
        <v>0</v>
      </c>
      <c r="BF255">
        <v>78</v>
      </c>
    </row>
    <row r="256" spans="1:58">
      <c r="A256" t="s">
        <v>17140</v>
      </c>
      <c r="B256" t="s">
        <v>17161</v>
      </c>
      <c r="C256">
        <v>3</v>
      </c>
      <c r="D256">
        <v>15</v>
      </c>
      <c r="E256">
        <v>15</v>
      </c>
      <c r="F256">
        <v>15</v>
      </c>
      <c r="G256">
        <v>0</v>
      </c>
      <c r="H256">
        <v>0</v>
      </c>
      <c r="I256">
        <v>0</v>
      </c>
      <c r="J256">
        <v>15</v>
      </c>
      <c r="K256">
        <v>39</v>
      </c>
      <c r="L256">
        <v>8</v>
      </c>
      <c r="M256">
        <v>2</v>
      </c>
      <c r="N256">
        <v>2</v>
      </c>
      <c r="O256">
        <v>0</v>
      </c>
      <c r="P256">
        <v>1</v>
      </c>
      <c r="Q256">
        <v>2</v>
      </c>
      <c r="R256">
        <v>0</v>
      </c>
      <c r="S256">
        <v>3.75</v>
      </c>
      <c r="T256">
        <v>3.75</v>
      </c>
      <c r="U256">
        <v>0</v>
      </c>
      <c r="V256">
        <v>7.5</v>
      </c>
      <c r="W256">
        <v>90</v>
      </c>
      <c r="X256">
        <v>0</v>
      </c>
      <c r="Y256">
        <v>11</v>
      </c>
      <c r="Z256">
        <v>1</v>
      </c>
      <c r="AA256">
        <v>-22.5</v>
      </c>
      <c r="AB256">
        <v>0</v>
      </c>
      <c r="AC256">
        <v>62.4</v>
      </c>
      <c r="AD256">
        <v>62.4</v>
      </c>
      <c r="AE256">
        <v>42.55</v>
      </c>
      <c r="AF256">
        <v>62.4</v>
      </c>
      <c r="AG256">
        <v>152.4</v>
      </c>
      <c r="AH256">
        <v>109.85</v>
      </c>
      <c r="AI256">
        <v>0</v>
      </c>
      <c r="AJ256">
        <v>0</v>
      </c>
      <c r="AK256">
        <v>0</v>
      </c>
      <c r="AL256">
        <v>0</v>
      </c>
      <c r="AM256">
        <v>1</v>
      </c>
      <c r="AN256">
        <v>2</v>
      </c>
      <c r="AO256">
        <v>0</v>
      </c>
      <c r="AP256">
        <v>0</v>
      </c>
      <c r="AQ256">
        <v>0</v>
      </c>
      <c r="AR256">
        <v>0</v>
      </c>
      <c r="AS256">
        <v>0</v>
      </c>
      <c r="AT256">
        <v>39</v>
      </c>
      <c r="AU256">
        <v>0</v>
      </c>
      <c r="AV256">
        <v>33</v>
      </c>
      <c r="AW256">
        <v>6</v>
      </c>
      <c r="AX256">
        <v>3.75</v>
      </c>
      <c r="AY256">
        <v>0</v>
      </c>
      <c r="AZ256">
        <v>3</v>
      </c>
      <c r="BA256">
        <v>0.75</v>
      </c>
      <c r="BB256">
        <v>3.75</v>
      </c>
      <c r="BC256">
        <v>0</v>
      </c>
      <c r="BD256">
        <v>3</v>
      </c>
      <c r="BE256">
        <v>0.75</v>
      </c>
      <c r="BF256">
        <v>0</v>
      </c>
    </row>
    <row r="257" spans="1:58">
      <c r="A257" t="s">
        <v>17140</v>
      </c>
      <c r="B257" t="s">
        <v>17141</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row>
    <row r="258" spans="1:58">
      <c r="A258" t="s">
        <v>17140</v>
      </c>
      <c r="B258" t="s">
        <v>17162</v>
      </c>
      <c r="C258">
        <v>0</v>
      </c>
      <c r="D258">
        <v>2</v>
      </c>
      <c r="E258">
        <v>2</v>
      </c>
      <c r="F258">
        <v>2</v>
      </c>
      <c r="G258">
        <v>1</v>
      </c>
      <c r="H258">
        <v>1</v>
      </c>
      <c r="I258">
        <v>0</v>
      </c>
      <c r="J258">
        <v>2</v>
      </c>
      <c r="K258">
        <v>23</v>
      </c>
      <c r="L258">
        <v>0</v>
      </c>
      <c r="M258">
        <v>0</v>
      </c>
      <c r="N258">
        <v>0</v>
      </c>
      <c r="O258">
        <v>1</v>
      </c>
      <c r="P258">
        <v>0</v>
      </c>
      <c r="Q258">
        <v>1</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23</v>
      </c>
      <c r="AU258">
        <v>22</v>
      </c>
      <c r="AV258">
        <v>1</v>
      </c>
      <c r="AW258">
        <v>0</v>
      </c>
      <c r="AX258">
        <v>0</v>
      </c>
      <c r="AY258">
        <v>0</v>
      </c>
      <c r="AZ258">
        <v>0</v>
      </c>
      <c r="BA258">
        <v>0</v>
      </c>
      <c r="BB258">
        <v>0</v>
      </c>
      <c r="BC258">
        <v>0</v>
      </c>
      <c r="BD258">
        <v>0</v>
      </c>
      <c r="BE258">
        <v>0</v>
      </c>
      <c r="BF258">
        <v>0</v>
      </c>
    </row>
    <row r="259" spans="1:58">
      <c r="A259" t="s">
        <v>17140</v>
      </c>
      <c r="B259" t="s">
        <v>17164</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row>
    <row r="260" spans="1:58">
      <c r="A260" t="s">
        <v>17140</v>
      </c>
      <c r="B260" t="s">
        <v>19989</v>
      </c>
      <c r="C260">
        <v>0</v>
      </c>
      <c r="D260">
        <v>8</v>
      </c>
      <c r="E260">
        <v>0</v>
      </c>
      <c r="F260">
        <v>8</v>
      </c>
      <c r="G260">
        <v>0</v>
      </c>
      <c r="H260">
        <v>0</v>
      </c>
      <c r="I260">
        <v>0</v>
      </c>
      <c r="J260">
        <v>8</v>
      </c>
      <c r="K260">
        <v>8</v>
      </c>
      <c r="L260">
        <v>8</v>
      </c>
      <c r="M260">
        <v>0</v>
      </c>
      <c r="N260">
        <v>0</v>
      </c>
      <c r="O260">
        <v>0</v>
      </c>
      <c r="P260">
        <v>0</v>
      </c>
      <c r="Q260">
        <v>0</v>
      </c>
      <c r="R260">
        <v>0</v>
      </c>
      <c r="S260">
        <v>0</v>
      </c>
      <c r="T260">
        <v>0</v>
      </c>
      <c r="U260">
        <v>0.8</v>
      </c>
      <c r="V260">
        <v>0.8</v>
      </c>
      <c r="W260">
        <v>0</v>
      </c>
      <c r="X260">
        <v>0</v>
      </c>
      <c r="Y260">
        <v>0</v>
      </c>
      <c r="Z260">
        <v>0</v>
      </c>
      <c r="AA260">
        <v>0</v>
      </c>
      <c r="AB260">
        <v>0</v>
      </c>
      <c r="AC260">
        <v>0</v>
      </c>
      <c r="AD260">
        <v>0</v>
      </c>
      <c r="AE260">
        <v>0</v>
      </c>
      <c r="AF260">
        <v>0</v>
      </c>
      <c r="AG260">
        <v>16</v>
      </c>
      <c r="AH260">
        <v>16</v>
      </c>
      <c r="AI260">
        <v>0</v>
      </c>
      <c r="AJ260">
        <v>0</v>
      </c>
      <c r="AK260">
        <v>0</v>
      </c>
      <c r="AL260">
        <v>0</v>
      </c>
      <c r="AM260">
        <v>8</v>
      </c>
      <c r="AN260">
        <v>0</v>
      </c>
      <c r="AO260">
        <v>0</v>
      </c>
      <c r="AP260">
        <v>0</v>
      </c>
      <c r="AQ260">
        <v>0</v>
      </c>
      <c r="AR260">
        <v>0</v>
      </c>
      <c r="AS260">
        <v>0</v>
      </c>
      <c r="AT260">
        <v>8</v>
      </c>
      <c r="AU260">
        <v>0</v>
      </c>
      <c r="AV260">
        <v>0</v>
      </c>
      <c r="AW260">
        <v>0</v>
      </c>
      <c r="AX260">
        <v>0</v>
      </c>
      <c r="AY260">
        <v>0</v>
      </c>
      <c r="AZ260">
        <v>0</v>
      </c>
      <c r="BA260">
        <v>0</v>
      </c>
      <c r="BB260">
        <v>0</v>
      </c>
      <c r="BC260">
        <v>0</v>
      </c>
      <c r="BD260">
        <v>0</v>
      </c>
      <c r="BE260">
        <v>0</v>
      </c>
      <c r="BF260">
        <v>4</v>
      </c>
    </row>
    <row r="261" spans="1:58">
      <c r="A261" t="s">
        <v>17140</v>
      </c>
      <c r="B261" t="s">
        <v>17166</v>
      </c>
      <c r="C261">
        <v>0</v>
      </c>
      <c r="D261">
        <v>23</v>
      </c>
      <c r="E261">
        <v>22</v>
      </c>
      <c r="F261">
        <v>23</v>
      </c>
      <c r="G261">
        <v>2</v>
      </c>
      <c r="H261">
        <v>2</v>
      </c>
      <c r="I261">
        <v>0</v>
      </c>
      <c r="J261">
        <v>23</v>
      </c>
      <c r="K261">
        <v>89</v>
      </c>
      <c r="L261">
        <v>16</v>
      </c>
      <c r="M261">
        <v>0</v>
      </c>
      <c r="N261">
        <v>4</v>
      </c>
      <c r="O261">
        <v>0</v>
      </c>
      <c r="P261">
        <v>2</v>
      </c>
      <c r="Q261">
        <v>1</v>
      </c>
      <c r="R261">
        <v>0</v>
      </c>
      <c r="S261">
        <v>6.25</v>
      </c>
      <c r="T261">
        <v>133.32</v>
      </c>
      <c r="U261">
        <v>0</v>
      </c>
      <c r="V261">
        <v>139.57</v>
      </c>
      <c r="W261" s="20">
        <v>2728.9</v>
      </c>
      <c r="X261">
        <v>0</v>
      </c>
      <c r="Y261">
        <v>21</v>
      </c>
      <c r="Z261">
        <v>0</v>
      </c>
      <c r="AA261">
        <v>0</v>
      </c>
      <c r="AB261" s="20">
        <v>2461.4</v>
      </c>
      <c r="AC261">
        <v>104.05</v>
      </c>
      <c r="AD261">
        <v>23.05</v>
      </c>
      <c r="AE261">
        <v>63.05</v>
      </c>
      <c r="AF261" s="20">
        <v>2484.4499999999998</v>
      </c>
      <c r="AG261" s="20">
        <v>2832.95</v>
      </c>
      <c r="AH261" s="20">
        <v>2769.9</v>
      </c>
      <c r="AI261">
        <v>0</v>
      </c>
      <c r="AJ261" s="20">
        <v>2421.4</v>
      </c>
      <c r="AK261" s="20">
        <v>2531.4</v>
      </c>
      <c r="AL261" s="20">
        <v>2531.4</v>
      </c>
      <c r="AM261">
        <v>2</v>
      </c>
      <c r="AN261">
        <v>3</v>
      </c>
      <c r="AO261">
        <v>0</v>
      </c>
      <c r="AP261">
        <v>0</v>
      </c>
      <c r="AQ261">
        <v>0</v>
      </c>
      <c r="AR261">
        <v>0</v>
      </c>
      <c r="AS261">
        <v>0</v>
      </c>
      <c r="AT261">
        <v>89</v>
      </c>
      <c r="AU261">
        <v>27</v>
      </c>
      <c r="AV261">
        <v>62</v>
      </c>
      <c r="AW261">
        <v>0</v>
      </c>
      <c r="AX261">
        <v>6.25</v>
      </c>
      <c r="AY261">
        <v>0</v>
      </c>
      <c r="AZ261">
        <v>6.25</v>
      </c>
      <c r="BA261">
        <v>0</v>
      </c>
      <c r="BB261">
        <v>133.32</v>
      </c>
      <c r="BC261">
        <v>122.57</v>
      </c>
      <c r="BD261">
        <v>10.75</v>
      </c>
      <c r="BE261">
        <v>0</v>
      </c>
      <c r="BF261">
        <v>0</v>
      </c>
    </row>
    <row r="262" spans="1:58">
      <c r="A262" t="s">
        <v>17140</v>
      </c>
      <c r="B262" t="s">
        <v>17167</v>
      </c>
      <c r="C262">
        <v>0</v>
      </c>
      <c r="D262">
        <v>2</v>
      </c>
      <c r="E262">
        <v>2</v>
      </c>
      <c r="F262">
        <v>2</v>
      </c>
      <c r="G262">
        <v>0</v>
      </c>
      <c r="H262">
        <v>0</v>
      </c>
      <c r="I262">
        <v>0</v>
      </c>
      <c r="J262">
        <v>2</v>
      </c>
      <c r="K262">
        <v>4</v>
      </c>
      <c r="L262">
        <v>2</v>
      </c>
      <c r="M262">
        <v>0</v>
      </c>
      <c r="N262">
        <v>0</v>
      </c>
      <c r="O262">
        <v>0</v>
      </c>
      <c r="P262">
        <v>0</v>
      </c>
      <c r="Q262">
        <v>0</v>
      </c>
      <c r="R262">
        <v>0</v>
      </c>
      <c r="S262">
        <v>0.75</v>
      </c>
      <c r="T262">
        <v>0</v>
      </c>
      <c r="U262">
        <v>0</v>
      </c>
      <c r="V262">
        <v>0.75</v>
      </c>
      <c r="W262">
        <v>7.5</v>
      </c>
      <c r="X262">
        <v>0</v>
      </c>
      <c r="Y262">
        <v>2</v>
      </c>
      <c r="Z262">
        <v>0</v>
      </c>
      <c r="AA262">
        <v>0</v>
      </c>
      <c r="AB262">
        <v>0</v>
      </c>
      <c r="AC262">
        <v>0</v>
      </c>
      <c r="AD262">
        <v>0</v>
      </c>
      <c r="AE262">
        <v>0</v>
      </c>
      <c r="AF262">
        <v>0</v>
      </c>
      <c r="AG262">
        <v>7.5</v>
      </c>
      <c r="AH262">
        <v>7.5</v>
      </c>
      <c r="AI262">
        <v>0</v>
      </c>
      <c r="AJ262">
        <v>0</v>
      </c>
      <c r="AK262">
        <v>0</v>
      </c>
      <c r="AL262">
        <v>0</v>
      </c>
      <c r="AM262">
        <v>0</v>
      </c>
      <c r="AN262">
        <v>0</v>
      </c>
      <c r="AO262">
        <v>0</v>
      </c>
      <c r="AP262">
        <v>0</v>
      </c>
      <c r="AQ262">
        <v>0</v>
      </c>
      <c r="AR262">
        <v>0</v>
      </c>
      <c r="AS262">
        <v>0</v>
      </c>
      <c r="AT262">
        <v>4</v>
      </c>
      <c r="AU262">
        <v>0</v>
      </c>
      <c r="AV262">
        <v>4</v>
      </c>
      <c r="AW262">
        <v>0</v>
      </c>
      <c r="AX262">
        <v>0.75</v>
      </c>
      <c r="AY262">
        <v>0</v>
      </c>
      <c r="AZ262">
        <v>0.75</v>
      </c>
      <c r="BA262">
        <v>0</v>
      </c>
      <c r="BB262">
        <v>0</v>
      </c>
      <c r="BC262">
        <v>0</v>
      </c>
      <c r="BD262">
        <v>0</v>
      </c>
      <c r="BE262">
        <v>0</v>
      </c>
      <c r="BF262">
        <v>0</v>
      </c>
    </row>
    <row r="263" spans="1:58">
      <c r="A263" t="s">
        <v>17169</v>
      </c>
      <c r="B263" t="s">
        <v>17170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row>
    <row r="264" spans="1:58">
      <c r="A264" t="s">
        <v>17169</v>
      </c>
      <c r="B264" t="s">
        <v>17319</v>
      </c>
      <c r="C264">
        <v>0</v>
      </c>
      <c r="D264">
        <v>22</v>
      </c>
      <c r="E264">
        <v>22</v>
      </c>
      <c r="F264">
        <v>21</v>
      </c>
      <c r="G264">
        <v>0</v>
      </c>
      <c r="H264">
        <v>4</v>
      </c>
      <c r="I264">
        <v>0</v>
      </c>
      <c r="J264">
        <v>22</v>
      </c>
      <c r="K264">
        <v>275</v>
      </c>
      <c r="L264">
        <v>21</v>
      </c>
      <c r="M264">
        <v>1</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275</v>
      </c>
      <c r="AU264">
        <v>199</v>
      </c>
      <c r="AV264">
        <v>76</v>
      </c>
      <c r="AW264">
        <v>0</v>
      </c>
      <c r="AX264">
        <v>0</v>
      </c>
      <c r="AY264">
        <v>0</v>
      </c>
      <c r="AZ264">
        <v>0</v>
      </c>
      <c r="BA264">
        <v>0</v>
      </c>
      <c r="BB264">
        <v>0</v>
      </c>
      <c r="BC264">
        <v>0</v>
      </c>
      <c r="BD264">
        <v>0</v>
      </c>
      <c r="BE264">
        <v>0</v>
      </c>
      <c r="BF264">
        <v>30</v>
      </c>
    </row>
    <row r="265" spans="1:58">
      <c r="A265" t="s">
        <v>17169</v>
      </c>
      <c r="B265" t="s">
        <v>17172</v>
      </c>
      <c r="C265">
        <v>0</v>
      </c>
      <c r="D265">
        <v>12</v>
      </c>
      <c r="E265">
        <v>11</v>
      </c>
      <c r="F265">
        <v>9</v>
      </c>
      <c r="G265">
        <v>1</v>
      </c>
      <c r="H265">
        <v>2</v>
      </c>
      <c r="I265">
        <v>1</v>
      </c>
      <c r="J265">
        <v>12</v>
      </c>
      <c r="K265">
        <v>0</v>
      </c>
      <c r="L265">
        <v>5</v>
      </c>
      <c r="M265">
        <v>2</v>
      </c>
      <c r="N265">
        <v>3</v>
      </c>
      <c r="O265">
        <v>0</v>
      </c>
      <c r="P265">
        <v>0</v>
      </c>
      <c r="Q265">
        <v>2</v>
      </c>
      <c r="R265">
        <v>0</v>
      </c>
      <c r="S265">
        <v>17</v>
      </c>
      <c r="T265">
        <v>5.5</v>
      </c>
      <c r="U265">
        <v>0</v>
      </c>
      <c r="V265">
        <v>22.5</v>
      </c>
      <c r="W265">
        <v>280</v>
      </c>
      <c r="X265">
        <v>0</v>
      </c>
      <c r="Y265">
        <v>8</v>
      </c>
      <c r="Z265">
        <v>0</v>
      </c>
      <c r="AA265">
        <v>0</v>
      </c>
      <c r="AB265">
        <v>140</v>
      </c>
      <c r="AC265">
        <v>337.5</v>
      </c>
      <c r="AD265">
        <v>298</v>
      </c>
      <c r="AE265">
        <v>505.5</v>
      </c>
      <c r="AF265">
        <v>438</v>
      </c>
      <c r="AG265">
        <v>617.5</v>
      </c>
      <c r="AH265">
        <v>234</v>
      </c>
      <c r="AI265">
        <v>0</v>
      </c>
      <c r="AJ265">
        <v>90</v>
      </c>
      <c r="AK265">
        <v>145</v>
      </c>
      <c r="AL265">
        <v>145</v>
      </c>
      <c r="AM265">
        <v>11</v>
      </c>
      <c r="AN265">
        <v>2</v>
      </c>
      <c r="AO265">
        <v>9</v>
      </c>
      <c r="AP265">
        <v>0</v>
      </c>
      <c r="AQ265">
        <v>8</v>
      </c>
      <c r="AR265">
        <v>1</v>
      </c>
      <c r="AS265">
        <v>7</v>
      </c>
      <c r="AT265">
        <v>0</v>
      </c>
      <c r="AU265">
        <v>6</v>
      </c>
      <c r="AV265">
        <v>2</v>
      </c>
      <c r="AW265">
        <v>4</v>
      </c>
      <c r="AX265">
        <v>0</v>
      </c>
      <c r="AY265">
        <v>0</v>
      </c>
      <c r="AZ265">
        <v>0</v>
      </c>
      <c r="BA265">
        <v>0</v>
      </c>
      <c r="BB265">
        <v>5.5</v>
      </c>
      <c r="BC265">
        <v>2</v>
      </c>
      <c r="BD265">
        <v>3.5</v>
      </c>
      <c r="BE265">
        <v>0</v>
      </c>
      <c r="BF265">
        <v>62</v>
      </c>
    </row>
    <row r="266" spans="1:58">
      <c r="A266" t="s">
        <v>17169</v>
      </c>
      <c r="B266" t="s">
        <v>17173</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s="21">
        <v>9000</v>
      </c>
    </row>
    <row r="267" spans="1:58">
      <c r="A267" t="s">
        <v>17169</v>
      </c>
      <c r="B267" t="s">
        <v>17177</v>
      </c>
      <c r="C267">
        <v>0</v>
      </c>
      <c r="D267">
        <v>9</v>
      </c>
      <c r="E267">
        <v>8</v>
      </c>
      <c r="F267">
        <v>5</v>
      </c>
      <c r="G267">
        <v>2</v>
      </c>
      <c r="H267">
        <v>0</v>
      </c>
      <c r="I267">
        <v>0</v>
      </c>
      <c r="J267">
        <v>9</v>
      </c>
      <c r="K267">
        <v>133</v>
      </c>
      <c r="L267">
        <v>6</v>
      </c>
      <c r="M267">
        <v>0</v>
      </c>
      <c r="N267">
        <v>0</v>
      </c>
      <c r="O267">
        <v>0</v>
      </c>
      <c r="P267">
        <v>0</v>
      </c>
      <c r="Q267">
        <v>1</v>
      </c>
      <c r="R267">
        <v>0</v>
      </c>
      <c r="S267">
        <v>6.75</v>
      </c>
      <c r="T267">
        <v>2</v>
      </c>
      <c r="U267">
        <v>0</v>
      </c>
      <c r="V267">
        <v>9</v>
      </c>
      <c r="W267">
        <v>107.5</v>
      </c>
      <c r="X267">
        <v>0</v>
      </c>
      <c r="Y267">
        <v>7</v>
      </c>
      <c r="Z267">
        <v>0</v>
      </c>
      <c r="AA267">
        <v>0</v>
      </c>
      <c r="AB267">
        <v>0</v>
      </c>
      <c r="AC267">
        <v>60.5</v>
      </c>
      <c r="AD267">
        <v>60.5</v>
      </c>
      <c r="AE267">
        <v>60.5</v>
      </c>
      <c r="AF267">
        <v>60.5</v>
      </c>
      <c r="AG267">
        <v>168</v>
      </c>
      <c r="AH267">
        <v>107.5</v>
      </c>
      <c r="AI267">
        <v>0</v>
      </c>
      <c r="AJ267">
        <v>0</v>
      </c>
      <c r="AK267">
        <v>0</v>
      </c>
      <c r="AL267">
        <v>0</v>
      </c>
      <c r="AM267">
        <v>0</v>
      </c>
      <c r="AN267">
        <v>1</v>
      </c>
      <c r="AO267">
        <v>1</v>
      </c>
      <c r="AP267">
        <v>0</v>
      </c>
      <c r="AQ267">
        <v>0</v>
      </c>
      <c r="AR267">
        <v>0</v>
      </c>
      <c r="AS267">
        <v>0</v>
      </c>
      <c r="AT267">
        <v>133</v>
      </c>
      <c r="AU267">
        <v>0</v>
      </c>
      <c r="AV267">
        <v>133</v>
      </c>
      <c r="AW267">
        <v>0</v>
      </c>
      <c r="AX267">
        <v>6.75</v>
      </c>
      <c r="AY267">
        <v>0</v>
      </c>
      <c r="AZ267">
        <v>6.75</v>
      </c>
      <c r="BA267">
        <v>0</v>
      </c>
      <c r="BB267">
        <v>2</v>
      </c>
      <c r="BC267">
        <v>0</v>
      </c>
      <c r="BD267">
        <v>2</v>
      </c>
      <c r="BE267">
        <v>0</v>
      </c>
      <c r="BF267" s="21">
        <v>1000</v>
      </c>
    </row>
    <row r="268" spans="1:58">
      <c r="A268" t="s">
        <v>17169</v>
      </c>
      <c r="B268" t="s">
        <v>17307</v>
      </c>
      <c r="C268">
        <v>0</v>
      </c>
      <c r="D268">
        <v>6</v>
      </c>
      <c r="E268">
        <v>4</v>
      </c>
      <c r="F268">
        <v>4</v>
      </c>
      <c r="G268">
        <v>0</v>
      </c>
      <c r="H268">
        <v>2</v>
      </c>
      <c r="I268">
        <v>0</v>
      </c>
      <c r="J268">
        <v>5</v>
      </c>
      <c r="K268">
        <v>69</v>
      </c>
      <c r="L268">
        <v>4</v>
      </c>
      <c r="M268">
        <v>0</v>
      </c>
      <c r="N268">
        <v>0</v>
      </c>
      <c r="O268">
        <v>2</v>
      </c>
      <c r="P268">
        <v>0</v>
      </c>
      <c r="Q268">
        <v>0</v>
      </c>
      <c r="R268">
        <v>0</v>
      </c>
      <c r="S268">
        <v>1.5</v>
      </c>
      <c r="T268">
        <v>0.5</v>
      </c>
      <c r="U268">
        <v>0</v>
      </c>
      <c r="V268">
        <v>2</v>
      </c>
      <c r="W268">
        <v>25</v>
      </c>
      <c r="X268">
        <v>0</v>
      </c>
      <c r="Y268">
        <v>4</v>
      </c>
      <c r="Z268">
        <v>0</v>
      </c>
      <c r="AA268">
        <v>0</v>
      </c>
      <c r="AB268">
        <v>0</v>
      </c>
      <c r="AC268">
        <v>34</v>
      </c>
      <c r="AD268">
        <v>0</v>
      </c>
      <c r="AE268">
        <v>0</v>
      </c>
      <c r="AF268">
        <v>0</v>
      </c>
      <c r="AG268">
        <v>59</v>
      </c>
      <c r="AH268">
        <v>59</v>
      </c>
      <c r="AI268">
        <v>0</v>
      </c>
      <c r="AJ268">
        <v>0</v>
      </c>
      <c r="AK268">
        <v>0</v>
      </c>
      <c r="AL268">
        <v>0</v>
      </c>
      <c r="AM268">
        <v>0</v>
      </c>
      <c r="AN268">
        <v>0</v>
      </c>
      <c r="AO268">
        <v>0</v>
      </c>
      <c r="AP268">
        <v>0</v>
      </c>
      <c r="AQ268">
        <v>0</v>
      </c>
      <c r="AR268">
        <v>0</v>
      </c>
      <c r="AS268">
        <v>0</v>
      </c>
      <c r="AT268">
        <v>69</v>
      </c>
      <c r="AU268">
        <v>56</v>
      </c>
      <c r="AV268">
        <v>13</v>
      </c>
      <c r="AW268">
        <v>0</v>
      </c>
      <c r="AX268">
        <v>1.5</v>
      </c>
      <c r="AY268">
        <v>0</v>
      </c>
      <c r="AZ268">
        <v>1.5</v>
      </c>
      <c r="BA268">
        <v>0</v>
      </c>
      <c r="BB268">
        <v>0.5</v>
      </c>
      <c r="BC268">
        <v>0</v>
      </c>
      <c r="BD268">
        <v>0.5</v>
      </c>
      <c r="BE268">
        <v>0</v>
      </c>
      <c r="BF268" s="21">
        <v>2560</v>
      </c>
    </row>
    <row r="269" spans="1:58">
      <c r="A269" t="s">
        <v>17169</v>
      </c>
      <c r="B269" t="s">
        <v>18850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row>
    <row r="270" spans="1:58">
      <c r="A270" t="s">
        <v>17169</v>
      </c>
      <c r="B270" t="s">
        <v>17181</v>
      </c>
      <c r="C270">
        <v>0</v>
      </c>
      <c r="D270">
        <v>72</v>
      </c>
      <c r="E270">
        <v>69</v>
      </c>
      <c r="F270">
        <v>45</v>
      </c>
      <c r="G270">
        <v>21</v>
      </c>
      <c r="H270">
        <v>14</v>
      </c>
      <c r="I270">
        <v>14</v>
      </c>
      <c r="J270">
        <v>59</v>
      </c>
      <c r="K270">
        <v>1183</v>
      </c>
      <c r="L270">
        <v>38</v>
      </c>
      <c r="M270">
        <v>10</v>
      </c>
      <c r="N270">
        <v>0</v>
      </c>
      <c r="O270">
        <v>1</v>
      </c>
      <c r="P270">
        <v>0</v>
      </c>
      <c r="Q270">
        <v>12</v>
      </c>
      <c r="R270">
        <v>0</v>
      </c>
      <c r="S270">
        <v>39</v>
      </c>
      <c r="T270">
        <v>1</v>
      </c>
      <c r="U270">
        <v>0</v>
      </c>
      <c r="V270">
        <v>40</v>
      </c>
      <c r="W270">
        <v>410</v>
      </c>
      <c r="X270">
        <v>0</v>
      </c>
      <c r="Y270">
        <v>28</v>
      </c>
      <c r="Z270">
        <v>0</v>
      </c>
      <c r="AA270">
        <v>0</v>
      </c>
      <c r="AB270">
        <v>0</v>
      </c>
      <c r="AC270">
        <v>0</v>
      </c>
      <c r="AD270">
        <v>0</v>
      </c>
      <c r="AE270">
        <v>0</v>
      </c>
      <c r="AF270">
        <v>0</v>
      </c>
      <c r="AG270">
        <v>410</v>
      </c>
      <c r="AH270">
        <v>410</v>
      </c>
      <c r="AI270">
        <v>0</v>
      </c>
      <c r="AJ270">
        <v>0</v>
      </c>
      <c r="AK270">
        <v>80</v>
      </c>
      <c r="AL270">
        <v>80</v>
      </c>
      <c r="AM270">
        <v>0</v>
      </c>
      <c r="AN270">
        <v>0</v>
      </c>
      <c r="AO270">
        <v>0</v>
      </c>
      <c r="AP270">
        <v>0</v>
      </c>
      <c r="AQ270">
        <v>0</v>
      </c>
      <c r="AR270">
        <v>0</v>
      </c>
      <c r="AS270">
        <v>0</v>
      </c>
      <c r="AT270">
        <v>1183</v>
      </c>
      <c r="AU270">
        <v>289</v>
      </c>
      <c r="AV270">
        <v>894</v>
      </c>
      <c r="AW270">
        <v>0</v>
      </c>
      <c r="AX270">
        <v>39</v>
      </c>
      <c r="AY270">
        <v>6</v>
      </c>
      <c r="AZ270">
        <v>33</v>
      </c>
      <c r="BA270">
        <v>0</v>
      </c>
      <c r="BB270">
        <v>1</v>
      </c>
      <c r="BC270">
        <v>1</v>
      </c>
      <c r="BD270">
        <v>0</v>
      </c>
      <c r="BE270">
        <v>0</v>
      </c>
      <c r="BF270">
        <v>300</v>
      </c>
    </row>
    <row r="271" spans="1:58">
      <c r="A271" t="s">
        <v>17169</v>
      </c>
      <c r="B271" t="s">
        <v>17183</v>
      </c>
      <c r="C271">
        <v>0</v>
      </c>
      <c r="D271">
        <v>77</v>
      </c>
      <c r="E271">
        <v>77</v>
      </c>
      <c r="F271">
        <v>65</v>
      </c>
      <c r="G271">
        <v>5</v>
      </c>
      <c r="H271">
        <v>4</v>
      </c>
      <c r="I271">
        <v>5</v>
      </c>
      <c r="J271">
        <v>76</v>
      </c>
      <c r="K271">
        <v>798</v>
      </c>
      <c r="L271">
        <v>52</v>
      </c>
      <c r="M271">
        <v>7</v>
      </c>
      <c r="N271">
        <v>5</v>
      </c>
      <c r="O271">
        <v>11</v>
      </c>
      <c r="P271">
        <v>0</v>
      </c>
      <c r="Q271">
        <v>2</v>
      </c>
      <c r="R271">
        <v>0</v>
      </c>
      <c r="S271">
        <v>14</v>
      </c>
      <c r="T271">
        <v>0</v>
      </c>
      <c r="U271">
        <v>0</v>
      </c>
      <c r="V271">
        <v>14</v>
      </c>
      <c r="W271">
        <v>520</v>
      </c>
      <c r="X271">
        <v>0</v>
      </c>
      <c r="Y271">
        <v>0</v>
      </c>
      <c r="Z271">
        <v>2</v>
      </c>
      <c r="AA271">
        <v>0</v>
      </c>
      <c r="AB271">
        <v>400</v>
      </c>
      <c r="AC271">
        <v>80</v>
      </c>
      <c r="AD271">
        <v>80</v>
      </c>
      <c r="AE271">
        <v>160</v>
      </c>
      <c r="AF271">
        <v>400</v>
      </c>
      <c r="AG271">
        <v>460</v>
      </c>
      <c r="AH271">
        <v>380</v>
      </c>
      <c r="AI271">
        <v>0</v>
      </c>
      <c r="AJ271">
        <v>0</v>
      </c>
      <c r="AK271">
        <v>0</v>
      </c>
      <c r="AL271">
        <v>0</v>
      </c>
      <c r="AM271">
        <v>0</v>
      </c>
      <c r="AN271">
        <v>0</v>
      </c>
      <c r="AO271">
        <v>2</v>
      </c>
      <c r="AP271">
        <v>0</v>
      </c>
      <c r="AQ271">
        <v>0</v>
      </c>
      <c r="AR271">
        <v>0</v>
      </c>
      <c r="AS271">
        <v>0</v>
      </c>
      <c r="AT271">
        <v>798</v>
      </c>
      <c r="AU271">
        <v>98</v>
      </c>
      <c r="AV271">
        <v>663</v>
      </c>
      <c r="AW271">
        <v>0</v>
      </c>
      <c r="AX271">
        <v>14</v>
      </c>
      <c r="AY271">
        <v>0</v>
      </c>
      <c r="AZ271">
        <v>14</v>
      </c>
      <c r="BA271">
        <v>0</v>
      </c>
      <c r="BB271">
        <v>0</v>
      </c>
      <c r="BC271">
        <v>0</v>
      </c>
      <c r="BD271">
        <v>0</v>
      </c>
      <c r="BE271">
        <v>0</v>
      </c>
      <c r="BF271">
        <v>30</v>
      </c>
    </row>
    <row r="272" spans="1:58">
      <c r="A272" t="s">
        <v>17169</v>
      </c>
      <c r="B272" t="s">
        <v>17184</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row>
    <row r="273" spans="1:58">
      <c r="A273" t="s">
        <v>17169</v>
      </c>
      <c r="B273" t="s">
        <v>19990</v>
      </c>
      <c r="C273">
        <v>0</v>
      </c>
      <c r="D273">
        <v>22</v>
      </c>
      <c r="E273">
        <v>6</v>
      </c>
      <c r="F273">
        <v>0</v>
      </c>
      <c r="G273">
        <v>0</v>
      </c>
      <c r="H273">
        <v>22</v>
      </c>
      <c r="I273">
        <v>0</v>
      </c>
      <c r="J273">
        <v>22</v>
      </c>
      <c r="K273">
        <v>573</v>
      </c>
      <c r="L273">
        <v>21</v>
      </c>
      <c r="M273">
        <v>0</v>
      </c>
      <c r="N273">
        <v>0</v>
      </c>
      <c r="O273">
        <v>0</v>
      </c>
      <c r="P273">
        <v>1</v>
      </c>
      <c r="Q273">
        <v>0</v>
      </c>
      <c r="R273">
        <v>2</v>
      </c>
      <c r="S273">
        <v>342</v>
      </c>
      <c r="T273">
        <v>46</v>
      </c>
      <c r="U273">
        <v>0</v>
      </c>
      <c r="V273">
        <v>388</v>
      </c>
      <c r="W273" s="21">
        <v>4340</v>
      </c>
      <c r="X273">
        <v>0</v>
      </c>
      <c r="Y273">
        <v>21</v>
      </c>
      <c r="Z273">
        <v>1</v>
      </c>
      <c r="AA273">
        <v>0</v>
      </c>
      <c r="AB273" s="21">
        <v>3660</v>
      </c>
      <c r="AC273">
        <v>0</v>
      </c>
      <c r="AD273">
        <v>213</v>
      </c>
      <c r="AE273">
        <v>0</v>
      </c>
      <c r="AF273" s="21">
        <v>3873</v>
      </c>
      <c r="AG273" s="21">
        <v>4340</v>
      </c>
      <c r="AH273" s="21">
        <v>4340</v>
      </c>
      <c r="AI273">
        <v>0</v>
      </c>
      <c r="AJ273" s="21">
        <v>3873</v>
      </c>
      <c r="AK273" s="21">
        <v>4340</v>
      </c>
      <c r="AL273" s="21">
        <v>4340</v>
      </c>
      <c r="AM273">
        <v>0</v>
      </c>
      <c r="AN273">
        <v>0</v>
      </c>
      <c r="AO273">
        <v>0</v>
      </c>
      <c r="AP273">
        <v>0</v>
      </c>
      <c r="AQ273">
        <v>0</v>
      </c>
      <c r="AR273">
        <v>0</v>
      </c>
      <c r="AS273">
        <v>0</v>
      </c>
      <c r="AT273">
        <v>573</v>
      </c>
      <c r="AU273">
        <v>573</v>
      </c>
      <c r="AV273">
        <v>0</v>
      </c>
      <c r="AW273">
        <v>0</v>
      </c>
      <c r="AX273">
        <v>342</v>
      </c>
      <c r="AY273">
        <v>342</v>
      </c>
      <c r="AZ273">
        <v>0</v>
      </c>
      <c r="BA273">
        <v>0</v>
      </c>
      <c r="BB273">
        <v>46</v>
      </c>
      <c r="BC273">
        <v>46</v>
      </c>
      <c r="BD273">
        <v>0</v>
      </c>
      <c r="BE273">
        <v>0</v>
      </c>
      <c r="BF273">
        <v>65</v>
      </c>
    </row>
    <row r="274" spans="1:58">
      <c r="A274" t="s">
        <v>17300</v>
      </c>
      <c r="B274" t="s">
        <v>17301</v>
      </c>
      <c r="C274">
        <v>1</v>
      </c>
      <c r="D274">
        <v>7</v>
      </c>
      <c r="E274">
        <v>7</v>
      </c>
      <c r="F274">
        <v>7</v>
      </c>
      <c r="G274">
        <v>1</v>
      </c>
      <c r="H274">
        <v>2</v>
      </c>
      <c r="I274">
        <v>3</v>
      </c>
      <c r="J274">
        <v>7</v>
      </c>
      <c r="K274">
        <v>56</v>
      </c>
      <c r="L274">
        <v>3</v>
      </c>
      <c r="M274">
        <v>0</v>
      </c>
      <c r="N274">
        <v>2</v>
      </c>
      <c r="O274">
        <v>0</v>
      </c>
      <c r="P274">
        <v>0</v>
      </c>
      <c r="Q274">
        <v>2</v>
      </c>
      <c r="R274">
        <v>0</v>
      </c>
      <c r="S274">
        <v>18</v>
      </c>
      <c r="T274">
        <v>41</v>
      </c>
      <c r="U274">
        <v>81.75</v>
      </c>
      <c r="V274">
        <v>140.75</v>
      </c>
      <c r="W274">
        <v>992.5</v>
      </c>
      <c r="X274">
        <v>0</v>
      </c>
      <c r="Y274">
        <v>6</v>
      </c>
      <c r="Z274">
        <v>0</v>
      </c>
      <c r="AA274">
        <v>-7.5</v>
      </c>
      <c r="AB274">
        <v>900</v>
      </c>
      <c r="AC274">
        <v>0</v>
      </c>
      <c r="AD274">
        <v>0</v>
      </c>
      <c r="AE274">
        <v>0</v>
      </c>
      <c r="AF274">
        <v>900</v>
      </c>
      <c r="AG274" s="20">
        <v>2627.5</v>
      </c>
      <c r="AH274" s="20">
        <v>2627.5</v>
      </c>
      <c r="AI274">
        <v>0</v>
      </c>
      <c r="AJ274">
        <v>900</v>
      </c>
      <c r="AK274" s="21">
        <v>2560</v>
      </c>
      <c r="AL274" s="21">
        <v>2560</v>
      </c>
      <c r="AM274">
        <v>0</v>
      </c>
      <c r="AN274">
        <v>0</v>
      </c>
      <c r="AO274">
        <v>0</v>
      </c>
      <c r="AP274">
        <v>0</v>
      </c>
      <c r="AQ274">
        <v>0</v>
      </c>
      <c r="AR274">
        <v>0</v>
      </c>
      <c r="AS274">
        <v>0</v>
      </c>
      <c r="AT274">
        <v>56</v>
      </c>
      <c r="AU274">
        <v>19</v>
      </c>
      <c r="AV274">
        <v>15</v>
      </c>
      <c r="AW274">
        <v>1</v>
      </c>
      <c r="AX274">
        <v>16</v>
      </c>
      <c r="AY274">
        <v>14</v>
      </c>
      <c r="AZ274">
        <v>1.25</v>
      </c>
      <c r="BA274">
        <v>0.75</v>
      </c>
      <c r="BB274">
        <v>41</v>
      </c>
      <c r="BC274">
        <v>40</v>
      </c>
      <c r="BD274">
        <v>1</v>
      </c>
      <c r="BE274">
        <v>0</v>
      </c>
      <c r="BF274">
        <v>17</v>
      </c>
    </row>
    <row r="275" spans="1:58">
      <c r="A275" t="s">
        <v>17300</v>
      </c>
      <c r="B275" t="s">
        <v>17378</v>
      </c>
      <c r="C275">
        <v>0</v>
      </c>
      <c r="D275">
        <v>7</v>
      </c>
      <c r="E275">
        <v>7</v>
      </c>
      <c r="F275">
        <v>7</v>
      </c>
      <c r="G275">
        <v>0</v>
      </c>
      <c r="H275">
        <v>0</v>
      </c>
      <c r="I275">
        <v>0</v>
      </c>
      <c r="J275">
        <v>7</v>
      </c>
      <c r="K275">
        <v>49</v>
      </c>
      <c r="L275">
        <v>6</v>
      </c>
      <c r="M275">
        <v>1</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49</v>
      </c>
      <c r="AU275">
        <v>0</v>
      </c>
      <c r="AV275">
        <v>49</v>
      </c>
      <c r="AW275">
        <v>0</v>
      </c>
      <c r="AX275">
        <v>0</v>
      </c>
      <c r="AY275">
        <v>0</v>
      </c>
      <c r="AZ275">
        <v>0</v>
      </c>
      <c r="BA275">
        <v>0</v>
      </c>
      <c r="BB275">
        <v>0</v>
      </c>
      <c r="BC275">
        <v>0</v>
      </c>
      <c r="BD275">
        <v>0</v>
      </c>
      <c r="BE275">
        <v>0</v>
      </c>
      <c r="BF275">
        <v>20</v>
      </c>
    </row>
    <row r="276" spans="1:58">
      <c r="A276" t="s">
        <v>17300</v>
      </c>
      <c r="B276" t="s">
        <v>17329</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s="21">
        <v>6573</v>
      </c>
    </row>
    <row r="277" spans="1:58">
      <c r="A277" t="s">
        <v>17300</v>
      </c>
      <c r="B277" t="s">
        <v>17316</v>
      </c>
      <c r="C277">
        <v>7</v>
      </c>
      <c r="D277">
        <v>18</v>
      </c>
      <c r="E277">
        <v>18</v>
      </c>
      <c r="F277">
        <v>18</v>
      </c>
      <c r="G277">
        <v>0</v>
      </c>
      <c r="H277">
        <v>0</v>
      </c>
      <c r="I277">
        <v>0</v>
      </c>
      <c r="J277">
        <v>18</v>
      </c>
      <c r="K277">
        <v>64</v>
      </c>
      <c r="L277">
        <v>5</v>
      </c>
      <c r="M277">
        <v>10</v>
      </c>
      <c r="N277">
        <v>2</v>
      </c>
      <c r="O277">
        <v>0</v>
      </c>
      <c r="P277">
        <v>1</v>
      </c>
      <c r="Q277">
        <v>0</v>
      </c>
      <c r="R277">
        <v>0</v>
      </c>
      <c r="S277">
        <v>1.5</v>
      </c>
      <c r="T277">
        <v>1.5</v>
      </c>
      <c r="U277">
        <v>1.5</v>
      </c>
      <c r="V277">
        <v>4.5</v>
      </c>
      <c r="W277">
        <v>45</v>
      </c>
      <c r="X277">
        <v>0</v>
      </c>
      <c r="Y277">
        <v>6</v>
      </c>
      <c r="Z277">
        <v>0</v>
      </c>
      <c r="AA277">
        <v>0</v>
      </c>
      <c r="AB277">
        <v>0</v>
      </c>
      <c r="AC277">
        <v>0</v>
      </c>
      <c r="AD277">
        <v>0</v>
      </c>
      <c r="AE277">
        <v>0</v>
      </c>
      <c r="AF277">
        <v>0</v>
      </c>
      <c r="AG277">
        <v>75</v>
      </c>
      <c r="AH277">
        <v>75</v>
      </c>
      <c r="AI277">
        <v>0</v>
      </c>
      <c r="AJ277">
        <v>0</v>
      </c>
      <c r="AK277">
        <v>0</v>
      </c>
      <c r="AL277">
        <v>0</v>
      </c>
      <c r="AM277">
        <v>0</v>
      </c>
      <c r="AN277">
        <v>0</v>
      </c>
      <c r="AO277">
        <v>0</v>
      </c>
      <c r="AP277">
        <v>0</v>
      </c>
      <c r="AQ277">
        <v>0</v>
      </c>
      <c r="AR277">
        <v>0</v>
      </c>
      <c r="AS277">
        <v>0</v>
      </c>
      <c r="AT277">
        <v>64</v>
      </c>
      <c r="AU277">
        <v>0</v>
      </c>
      <c r="AV277">
        <v>32</v>
      </c>
      <c r="AW277">
        <v>32</v>
      </c>
      <c r="AX277">
        <v>1.5</v>
      </c>
      <c r="AY277">
        <v>0</v>
      </c>
      <c r="AZ277">
        <v>1.5</v>
      </c>
      <c r="BA277">
        <v>0</v>
      </c>
      <c r="BB277">
        <v>1.5</v>
      </c>
      <c r="BC277">
        <v>0</v>
      </c>
      <c r="BD277">
        <v>1.5</v>
      </c>
      <c r="BE277">
        <v>0</v>
      </c>
      <c r="BF277">
        <v>3</v>
      </c>
    </row>
    <row r="278" spans="1:58">
      <c r="A278" t="s">
        <v>17300</v>
      </c>
      <c r="B278" t="s">
        <v>17381</v>
      </c>
      <c r="C278">
        <v>1</v>
      </c>
      <c r="D278">
        <v>2</v>
      </c>
      <c r="E278">
        <v>0</v>
      </c>
      <c r="F278">
        <v>1</v>
      </c>
      <c r="G278">
        <v>0</v>
      </c>
      <c r="H278">
        <v>0</v>
      </c>
      <c r="I278">
        <v>0</v>
      </c>
      <c r="J278">
        <v>2</v>
      </c>
      <c r="K278">
        <v>19</v>
      </c>
      <c r="L278">
        <v>1</v>
      </c>
      <c r="M278">
        <v>0</v>
      </c>
      <c r="N278">
        <v>1</v>
      </c>
      <c r="O278">
        <v>0</v>
      </c>
      <c r="P278">
        <v>0</v>
      </c>
      <c r="Q278">
        <v>0</v>
      </c>
      <c r="R278">
        <v>0</v>
      </c>
      <c r="S278">
        <v>4.25</v>
      </c>
      <c r="T278">
        <v>2.25</v>
      </c>
      <c r="U278">
        <v>0</v>
      </c>
      <c r="V278">
        <v>6.5</v>
      </c>
      <c r="W278" s="4">
        <v>80</v>
      </c>
      <c r="X278" s="4">
        <v>0</v>
      </c>
      <c r="Y278">
        <v>0</v>
      </c>
      <c r="Z278">
        <v>1</v>
      </c>
      <c r="AA278" s="4">
        <v>-7.5</v>
      </c>
      <c r="AB278" s="4">
        <v>20</v>
      </c>
      <c r="AC278" s="4">
        <v>0</v>
      </c>
      <c r="AD278" s="4">
        <v>0</v>
      </c>
      <c r="AE278" s="4">
        <v>0</v>
      </c>
      <c r="AF278" s="4">
        <v>20</v>
      </c>
      <c r="AG278" s="4">
        <v>80</v>
      </c>
      <c r="AH278" s="4">
        <v>80</v>
      </c>
      <c r="AI278" s="4">
        <v>0</v>
      </c>
      <c r="AJ278" s="4">
        <v>0</v>
      </c>
      <c r="AK278" s="4">
        <v>0</v>
      </c>
      <c r="AL278" s="4">
        <v>0</v>
      </c>
      <c r="AM278">
        <v>0</v>
      </c>
      <c r="AN278">
        <v>0</v>
      </c>
      <c r="AO278">
        <v>0</v>
      </c>
      <c r="AP278">
        <v>0</v>
      </c>
      <c r="AQ278">
        <v>0</v>
      </c>
      <c r="AR278">
        <v>0</v>
      </c>
      <c r="AS278">
        <v>0</v>
      </c>
      <c r="AT278">
        <v>19</v>
      </c>
      <c r="AU278">
        <v>0</v>
      </c>
      <c r="AV278">
        <v>11</v>
      </c>
      <c r="AW278">
        <v>8</v>
      </c>
      <c r="AX278">
        <v>4.25</v>
      </c>
      <c r="AY278">
        <v>0</v>
      </c>
      <c r="AZ278">
        <v>4</v>
      </c>
      <c r="BA278">
        <v>0.25</v>
      </c>
      <c r="BB278">
        <v>2.25</v>
      </c>
      <c r="BC278">
        <v>0</v>
      </c>
      <c r="BD278">
        <v>2</v>
      </c>
      <c r="BE278">
        <v>0.25</v>
      </c>
    </row>
    <row r="279" spans="1:58">
      <c r="A279" t="s">
        <v>17300</v>
      </c>
      <c r="B279" t="s">
        <v>17339</v>
      </c>
      <c r="C279">
        <v>4</v>
      </c>
      <c r="D279">
        <v>10</v>
      </c>
      <c r="E279">
        <v>4</v>
      </c>
      <c r="F279">
        <v>10</v>
      </c>
      <c r="G279">
        <v>1</v>
      </c>
      <c r="H279">
        <v>0</v>
      </c>
      <c r="I279">
        <v>0</v>
      </c>
      <c r="J279">
        <v>10</v>
      </c>
      <c r="K279">
        <v>43</v>
      </c>
      <c r="L279">
        <v>7</v>
      </c>
      <c r="M279">
        <v>1</v>
      </c>
      <c r="N279">
        <v>1</v>
      </c>
      <c r="O279">
        <v>0</v>
      </c>
      <c r="P279">
        <v>1</v>
      </c>
      <c r="Q279">
        <v>0</v>
      </c>
      <c r="R279">
        <v>0</v>
      </c>
      <c r="S279">
        <v>6.8</v>
      </c>
      <c r="T279">
        <v>1.5</v>
      </c>
      <c r="U279">
        <v>0</v>
      </c>
      <c r="V279">
        <v>8.3000000000000007</v>
      </c>
      <c r="W279">
        <v>60</v>
      </c>
      <c r="X279">
        <v>0</v>
      </c>
      <c r="Y279">
        <v>5</v>
      </c>
      <c r="Z279">
        <v>0</v>
      </c>
      <c r="AA279">
        <v>-38</v>
      </c>
      <c r="AB279">
        <v>0</v>
      </c>
      <c r="AC279">
        <v>0</v>
      </c>
      <c r="AD279">
        <v>0</v>
      </c>
      <c r="AE279">
        <v>0</v>
      </c>
      <c r="AF279">
        <v>0</v>
      </c>
      <c r="AG279">
        <v>60</v>
      </c>
      <c r="AH279">
        <v>60</v>
      </c>
      <c r="AI279">
        <v>0</v>
      </c>
      <c r="AJ279">
        <v>0</v>
      </c>
      <c r="AK279">
        <v>0</v>
      </c>
      <c r="AL279">
        <v>0</v>
      </c>
      <c r="AM279">
        <v>0</v>
      </c>
      <c r="AN279">
        <v>0</v>
      </c>
      <c r="AO279">
        <v>0</v>
      </c>
      <c r="AP279">
        <v>0</v>
      </c>
      <c r="AQ279">
        <v>0</v>
      </c>
      <c r="AR279">
        <v>0</v>
      </c>
      <c r="AS279">
        <v>0</v>
      </c>
      <c r="AT279">
        <v>43</v>
      </c>
      <c r="AU279">
        <v>0</v>
      </c>
      <c r="AV279">
        <v>33</v>
      </c>
      <c r="AW279">
        <v>10</v>
      </c>
      <c r="AX279">
        <v>6.8</v>
      </c>
      <c r="AY279">
        <v>0</v>
      </c>
      <c r="AZ279">
        <v>5.5</v>
      </c>
      <c r="BA279">
        <v>1.3</v>
      </c>
      <c r="BB279">
        <v>1.5</v>
      </c>
      <c r="BC279">
        <v>0</v>
      </c>
      <c r="BD279">
        <v>0.25</v>
      </c>
      <c r="BE279">
        <v>1.25</v>
      </c>
      <c r="BF279">
        <v>2</v>
      </c>
    </row>
    <row r="280" spans="1:58">
      <c r="A280" t="s">
        <v>17185</v>
      </c>
      <c r="B280" t="s">
        <v>17187</v>
      </c>
      <c r="C280">
        <v>0</v>
      </c>
      <c r="D280">
        <v>2</v>
      </c>
      <c r="E280">
        <v>2</v>
      </c>
      <c r="F280">
        <v>2</v>
      </c>
      <c r="G280">
        <v>0</v>
      </c>
      <c r="H280">
        <v>0</v>
      </c>
      <c r="I280">
        <v>0</v>
      </c>
      <c r="J280">
        <v>2</v>
      </c>
      <c r="K280">
        <v>9</v>
      </c>
      <c r="L280">
        <v>2</v>
      </c>
      <c r="M280">
        <v>0</v>
      </c>
      <c r="N280">
        <v>0</v>
      </c>
      <c r="O280">
        <v>0</v>
      </c>
      <c r="P280">
        <v>0</v>
      </c>
      <c r="Q280">
        <v>0</v>
      </c>
      <c r="R280">
        <v>0</v>
      </c>
      <c r="S280">
        <v>2.75</v>
      </c>
      <c r="T280">
        <v>0.25</v>
      </c>
      <c r="U280">
        <v>0.25</v>
      </c>
      <c r="V280">
        <v>3.25</v>
      </c>
      <c r="W280">
        <v>32.5</v>
      </c>
      <c r="X280">
        <v>0</v>
      </c>
      <c r="Y280">
        <v>2</v>
      </c>
      <c r="Z280">
        <v>0</v>
      </c>
      <c r="AA280">
        <v>0</v>
      </c>
      <c r="AB280">
        <v>0</v>
      </c>
      <c r="AC280">
        <v>0</v>
      </c>
      <c r="AD280">
        <v>0</v>
      </c>
      <c r="AE280">
        <v>0</v>
      </c>
      <c r="AF280">
        <v>0</v>
      </c>
      <c r="AG280">
        <v>32.5</v>
      </c>
      <c r="AH280">
        <v>32.5</v>
      </c>
      <c r="AI280">
        <v>0</v>
      </c>
      <c r="AJ280">
        <v>0</v>
      </c>
      <c r="AK280">
        <v>0</v>
      </c>
      <c r="AL280">
        <v>0</v>
      </c>
      <c r="AM280">
        <v>0</v>
      </c>
      <c r="AN280">
        <v>0</v>
      </c>
      <c r="AO280">
        <v>0</v>
      </c>
      <c r="AP280">
        <v>0</v>
      </c>
      <c r="AQ280">
        <v>0</v>
      </c>
      <c r="AR280">
        <v>0</v>
      </c>
      <c r="AS280">
        <v>0</v>
      </c>
      <c r="AT280">
        <v>9</v>
      </c>
      <c r="AU280">
        <v>0</v>
      </c>
      <c r="AV280">
        <v>9</v>
      </c>
      <c r="AW280">
        <v>0</v>
      </c>
      <c r="AX280">
        <v>2.75</v>
      </c>
      <c r="AY280">
        <v>0</v>
      </c>
      <c r="AZ280">
        <v>2.75</v>
      </c>
      <c r="BA280">
        <v>0</v>
      </c>
      <c r="BB280">
        <v>0.25</v>
      </c>
      <c r="BC280">
        <v>0</v>
      </c>
      <c r="BD280">
        <v>0.25</v>
      </c>
      <c r="BE280">
        <v>0</v>
      </c>
      <c r="BF280">
        <v>0</v>
      </c>
    </row>
    <row r="281" spans="1:58">
      <c r="A281" t="s">
        <v>17188</v>
      </c>
      <c r="B281" t="s">
        <v>17189</v>
      </c>
      <c r="C281">
        <v>3</v>
      </c>
      <c r="D281">
        <v>42</v>
      </c>
      <c r="E281">
        <v>0</v>
      </c>
      <c r="F281">
        <v>0</v>
      </c>
      <c r="G281">
        <v>0</v>
      </c>
      <c r="H281">
        <v>0</v>
      </c>
      <c r="I281">
        <v>0</v>
      </c>
      <c r="J281">
        <v>36</v>
      </c>
      <c r="K281">
        <v>281</v>
      </c>
      <c r="L281">
        <v>19</v>
      </c>
      <c r="M281">
        <v>5</v>
      </c>
      <c r="N281">
        <v>1</v>
      </c>
      <c r="O281">
        <v>4</v>
      </c>
      <c r="P281">
        <v>0</v>
      </c>
      <c r="Q281">
        <v>0</v>
      </c>
      <c r="R281">
        <v>0</v>
      </c>
      <c r="S281">
        <v>399</v>
      </c>
      <c r="T281">
        <v>564</v>
      </c>
      <c r="U281">
        <v>0</v>
      </c>
      <c r="V281">
        <v>963</v>
      </c>
      <c r="W281" s="21">
        <v>15270</v>
      </c>
      <c r="X281">
        <v>0</v>
      </c>
      <c r="Y281">
        <v>5</v>
      </c>
      <c r="Z281">
        <v>2</v>
      </c>
      <c r="AA281">
        <v>0</v>
      </c>
      <c r="AB281" s="21">
        <v>14900</v>
      </c>
      <c r="AC281" s="21">
        <v>1185</v>
      </c>
      <c r="AD281" s="21">
        <v>1035</v>
      </c>
      <c r="AE281">
        <v>0</v>
      </c>
      <c r="AF281" s="21">
        <v>15935</v>
      </c>
      <c r="AG281" s="21">
        <v>16455</v>
      </c>
      <c r="AH281" s="21">
        <v>16455</v>
      </c>
      <c r="AI281">
        <v>0</v>
      </c>
      <c r="AJ281">
        <v>0</v>
      </c>
      <c r="AK281">
        <v>0</v>
      </c>
      <c r="AL281">
        <v>0</v>
      </c>
      <c r="AM281">
        <v>0</v>
      </c>
      <c r="AN281">
        <v>0</v>
      </c>
      <c r="AO281">
        <v>0</v>
      </c>
      <c r="AP281">
        <v>0</v>
      </c>
      <c r="AQ281">
        <v>0</v>
      </c>
      <c r="AR281">
        <v>0</v>
      </c>
      <c r="AS281">
        <v>0</v>
      </c>
      <c r="AT281">
        <v>281</v>
      </c>
      <c r="AU281">
        <v>0</v>
      </c>
      <c r="AV281">
        <v>264</v>
      </c>
      <c r="AW281">
        <v>17</v>
      </c>
      <c r="AX281">
        <v>399</v>
      </c>
      <c r="AY281">
        <v>0</v>
      </c>
      <c r="AZ281">
        <v>399</v>
      </c>
      <c r="BA281">
        <v>0</v>
      </c>
      <c r="BB281">
        <v>564</v>
      </c>
      <c r="BC281">
        <v>0</v>
      </c>
      <c r="BD281">
        <v>564</v>
      </c>
      <c r="BE281">
        <v>0</v>
      </c>
      <c r="BF281">
        <v>200</v>
      </c>
    </row>
    <row r="282" spans="1:58">
      <c r="A282" t="s">
        <v>17191</v>
      </c>
      <c r="B282" t="s">
        <v>17192</v>
      </c>
      <c r="C282">
        <v>0</v>
      </c>
      <c r="D282">
        <v>21</v>
      </c>
      <c r="E282">
        <v>20</v>
      </c>
      <c r="F282">
        <v>19</v>
      </c>
      <c r="G282">
        <v>1</v>
      </c>
      <c r="H282">
        <v>5</v>
      </c>
      <c r="I282">
        <v>0</v>
      </c>
      <c r="J282">
        <v>20</v>
      </c>
      <c r="K282">
        <v>393</v>
      </c>
      <c r="L282">
        <v>7</v>
      </c>
      <c r="M282">
        <v>6</v>
      </c>
      <c r="N282">
        <v>3</v>
      </c>
      <c r="O282">
        <v>5</v>
      </c>
      <c r="P282">
        <v>0</v>
      </c>
      <c r="Q282">
        <v>0</v>
      </c>
      <c r="R282">
        <v>1</v>
      </c>
      <c r="S282">
        <v>145.75</v>
      </c>
      <c r="T282">
        <v>17.25</v>
      </c>
      <c r="U282">
        <v>9</v>
      </c>
      <c r="V282">
        <v>172</v>
      </c>
      <c r="W282" s="20">
        <v>1802.5</v>
      </c>
      <c r="X282">
        <v>0</v>
      </c>
      <c r="Y282">
        <v>10</v>
      </c>
      <c r="Z282">
        <v>0</v>
      </c>
      <c r="AA282">
        <v>0</v>
      </c>
      <c r="AB282" s="21">
        <v>1575</v>
      </c>
      <c r="AC282">
        <v>0</v>
      </c>
      <c r="AD282">
        <v>0</v>
      </c>
      <c r="AE282">
        <v>0</v>
      </c>
      <c r="AF282" s="21">
        <v>1575</v>
      </c>
      <c r="AG282" s="20">
        <v>1982.5</v>
      </c>
      <c r="AH282" s="20">
        <v>1982.5</v>
      </c>
      <c r="AI282">
        <v>0</v>
      </c>
      <c r="AJ282" s="21">
        <v>1540</v>
      </c>
      <c r="AK282" s="21">
        <v>1780</v>
      </c>
      <c r="AL282" s="21">
        <v>1780</v>
      </c>
      <c r="AM282">
        <v>0</v>
      </c>
      <c r="AN282">
        <v>0</v>
      </c>
      <c r="AO282">
        <v>0</v>
      </c>
      <c r="AP282">
        <v>0</v>
      </c>
      <c r="AQ282">
        <v>0</v>
      </c>
      <c r="AR282">
        <v>0</v>
      </c>
      <c r="AS282">
        <v>0</v>
      </c>
      <c r="AT282">
        <v>189</v>
      </c>
      <c r="AU282">
        <v>77</v>
      </c>
      <c r="AV282">
        <v>112</v>
      </c>
      <c r="AW282">
        <v>0</v>
      </c>
      <c r="AX282">
        <v>145.75</v>
      </c>
      <c r="AY282">
        <v>142</v>
      </c>
      <c r="AZ282">
        <v>3.75</v>
      </c>
      <c r="BA282">
        <v>0</v>
      </c>
      <c r="BB282">
        <v>17.25</v>
      </c>
      <c r="BC282">
        <v>12</v>
      </c>
      <c r="BD282">
        <v>5.25</v>
      </c>
      <c r="BE282">
        <v>0</v>
      </c>
      <c r="BF282">
        <v>18</v>
      </c>
    </row>
    <row r="283" spans="1:58">
      <c r="A283" t="s">
        <v>17193</v>
      </c>
      <c r="B283" t="s">
        <v>17194</v>
      </c>
      <c r="C283">
        <v>0</v>
      </c>
      <c r="D283">
        <v>10</v>
      </c>
      <c r="E283">
        <v>7</v>
      </c>
      <c r="F283">
        <v>7</v>
      </c>
      <c r="G283">
        <v>0</v>
      </c>
      <c r="H283">
        <v>0</v>
      </c>
      <c r="I283">
        <v>0</v>
      </c>
      <c r="J283">
        <v>10</v>
      </c>
      <c r="K283">
        <v>57</v>
      </c>
      <c r="L283">
        <v>9</v>
      </c>
      <c r="M283">
        <v>1</v>
      </c>
      <c r="N283">
        <v>0</v>
      </c>
      <c r="O283">
        <v>0</v>
      </c>
      <c r="P283">
        <v>0</v>
      </c>
      <c r="Q283">
        <v>0</v>
      </c>
      <c r="R283">
        <v>0</v>
      </c>
      <c r="S283">
        <v>2.5</v>
      </c>
      <c r="T283">
        <v>2</v>
      </c>
      <c r="U283">
        <v>0</v>
      </c>
      <c r="V283">
        <v>4.5</v>
      </c>
      <c r="W283">
        <v>65</v>
      </c>
      <c r="X283">
        <v>0</v>
      </c>
      <c r="Y283">
        <v>9</v>
      </c>
      <c r="Z283">
        <v>1</v>
      </c>
      <c r="AA283">
        <v>0</v>
      </c>
      <c r="AB283">
        <v>0</v>
      </c>
      <c r="AC283">
        <v>0</v>
      </c>
      <c r="AD283">
        <v>0</v>
      </c>
      <c r="AE283">
        <v>0</v>
      </c>
      <c r="AF283">
        <v>0</v>
      </c>
      <c r="AG283">
        <v>65</v>
      </c>
      <c r="AH283">
        <v>65</v>
      </c>
      <c r="AI283">
        <v>0</v>
      </c>
      <c r="AJ283">
        <v>0</v>
      </c>
      <c r="AK283">
        <v>0</v>
      </c>
      <c r="AL283">
        <v>0</v>
      </c>
      <c r="AM283">
        <v>0</v>
      </c>
      <c r="AN283">
        <v>0</v>
      </c>
      <c r="AO283">
        <v>0</v>
      </c>
      <c r="AP283">
        <v>0</v>
      </c>
      <c r="AQ283">
        <v>0</v>
      </c>
      <c r="AR283">
        <v>0</v>
      </c>
      <c r="AS283">
        <v>0</v>
      </c>
      <c r="AT283">
        <v>57</v>
      </c>
      <c r="AU283">
        <v>0</v>
      </c>
      <c r="AV283">
        <v>57</v>
      </c>
      <c r="AW283">
        <v>0</v>
      </c>
      <c r="AX283">
        <v>2.5</v>
      </c>
      <c r="AY283">
        <v>0</v>
      </c>
      <c r="AZ283">
        <v>2.5</v>
      </c>
      <c r="BA283">
        <v>0</v>
      </c>
      <c r="BB283">
        <v>2</v>
      </c>
      <c r="BC283">
        <v>0</v>
      </c>
      <c r="BD283">
        <v>2</v>
      </c>
      <c r="BE283">
        <v>0</v>
      </c>
      <c r="BF283">
        <v>0</v>
      </c>
    </row>
    <row r="284" spans="1:58">
      <c r="A284" t="s">
        <v>17193</v>
      </c>
      <c r="B284" t="s">
        <v>17195</v>
      </c>
      <c r="C284">
        <v>11</v>
      </c>
      <c r="D284">
        <v>42</v>
      </c>
      <c r="E284">
        <v>37</v>
      </c>
      <c r="F284">
        <v>27</v>
      </c>
      <c r="G284">
        <v>3</v>
      </c>
      <c r="H284">
        <v>1</v>
      </c>
      <c r="I284">
        <v>0</v>
      </c>
      <c r="J284">
        <v>42</v>
      </c>
      <c r="K284">
        <v>583</v>
      </c>
      <c r="L284">
        <v>26</v>
      </c>
      <c r="M284">
        <v>4</v>
      </c>
      <c r="N284">
        <v>12</v>
      </c>
      <c r="O284">
        <v>0</v>
      </c>
      <c r="P284">
        <v>0</v>
      </c>
      <c r="Q284">
        <v>0</v>
      </c>
      <c r="R284">
        <v>0</v>
      </c>
      <c r="S284">
        <v>23</v>
      </c>
      <c r="T284">
        <v>0.75</v>
      </c>
      <c r="U284">
        <v>0</v>
      </c>
      <c r="V284">
        <v>23.75</v>
      </c>
      <c r="W284">
        <v>187.5</v>
      </c>
      <c r="X284">
        <v>0</v>
      </c>
      <c r="Y284">
        <v>31</v>
      </c>
      <c r="Z284">
        <v>0</v>
      </c>
      <c r="AA284">
        <v>-57.5</v>
      </c>
      <c r="AB284">
        <v>0</v>
      </c>
      <c r="AC284">
        <v>305.5</v>
      </c>
      <c r="AD284">
        <v>305.5</v>
      </c>
      <c r="AE284">
        <v>305.5</v>
      </c>
      <c r="AF284">
        <v>305.5</v>
      </c>
      <c r="AG284">
        <v>493</v>
      </c>
      <c r="AH284">
        <v>187.5</v>
      </c>
      <c r="AI284">
        <v>0</v>
      </c>
      <c r="AJ284">
        <v>0</v>
      </c>
      <c r="AK284">
        <v>30</v>
      </c>
      <c r="AL284">
        <v>30</v>
      </c>
      <c r="AM284">
        <v>0</v>
      </c>
      <c r="AN284">
        <v>7</v>
      </c>
      <c r="AO284">
        <v>2</v>
      </c>
      <c r="AP284">
        <v>0</v>
      </c>
      <c r="AQ284">
        <v>0</v>
      </c>
      <c r="AR284">
        <v>0</v>
      </c>
      <c r="AS284">
        <v>0</v>
      </c>
      <c r="AT284">
        <v>583</v>
      </c>
      <c r="AU284">
        <v>19</v>
      </c>
      <c r="AV284">
        <v>399</v>
      </c>
      <c r="AW284">
        <v>165</v>
      </c>
      <c r="AX284">
        <v>23</v>
      </c>
      <c r="AY284">
        <v>3</v>
      </c>
      <c r="AZ284">
        <v>15.75</v>
      </c>
      <c r="BA284">
        <v>4.25</v>
      </c>
      <c r="BB284">
        <v>0.75</v>
      </c>
      <c r="BC284">
        <v>0</v>
      </c>
      <c r="BD284">
        <v>0</v>
      </c>
      <c r="BE284">
        <v>0.75</v>
      </c>
      <c r="BF284">
        <v>20</v>
      </c>
    </row>
    <row r="285" spans="1:58">
      <c r="A285" t="s">
        <v>17193</v>
      </c>
      <c r="B285" t="s">
        <v>17196</v>
      </c>
      <c r="C285">
        <v>3</v>
      </c>
      <c r="D285">
        <v>17</v>
      </c>
      <c r="E285">
        <v>16</v>
      </c>
      <c r="F285">
        <v>14</v>
      </c>
      <c r="G285">
        <v>1</v>
      </c>
      <c r="H285">
        <v>1</v>
      </c>
      <c r="I285">
        <v>2</v>
      </c>
      <c r="J285">
        <v>15</v>
      </c>
      <c r="K285">
        <v>153</v>
      </c>
      <c r="L285">
        <v>10</v>
      </c>
      <c r="M285">
        <v>1</v>
      </c>
      <c r="N285">
        <v>0</v>
      </c>
      <c r="O285">
        <v>3</v>
      </c>
      <c r="P285">
        <v>0</v>
      </c>
      <c r="Q285">
        <v>1</v>
      </c>
      <c r="R285">
        <v>0</v>
      </c>
      <c r="S285">
        <v>14.75</v>
      </c>
      <c r="T285">
        <v>5.5</v>
      </c>
      <c r="U285">
        <v>0</v>
      </c>
      <c r="V285">
        <v>20.25</v>
      </c>
      <c r="W285">
        <v>190.01</v>
      </c>
      <c r="X285">
        <v>0</v>
      </c>
      <c r="Y285">
        <v>13</v>
      </c>
      <c r="Z285">
        <v>0</v>
      </c>
      <c r="AA285">
        <v>-67.5</v>
      </c>
      <c r="AB285">
        <v>50</v>
      </c>
      <c r="AC285">
        <v>109.5</v>
      </c>
      <c r="AD285">
        <v>109.5</v>
      </c>
      <c r="AE285">
        <v>111</v>
      </c>
      <c r="AF285">
        <v>159.5</v>
      </c>
      <c r="AG285">
        <v>299.51</v>
      </c>
      <c r="AH285">
        <v>188.51</v>
      </c>
      <c r="AI285">
        <v>0</v>
      </c>
      <c r="AJ285">
        <v>0</v>
      </c>
      <c r="AK285">
        <v>0</v>
      </c>
      <c r="AL285">
        <v>0</v>
      </c>
      <c r="AM285">
        <v>0</v>
      </c>
      <c r="AN285">
        <v>2</v>
      </c>
      <c r="AO285">
        <v>1</v>
      </c>
      <c r="AP285">
        <v>0</v>
      </c>
      <c r="AQ285">
        <v>0</v>
      </c>
      <c r="AR285">
        <v>0</v>
      </c>
      <c r="AS285">
        <v>0</v>
      </c>
      <c r="AT285">
        <v>153</v>
      </c>
      <c r="AU285">
        <v>0</v>
      </c>
      <c r="AV285">
        <v>128</v>
      </c>
      <c r="AW285">
        <v>25</v>
      </c>
      <c r="AX285">
        <v>14.75</v>
      </c>
      <c r="AY285">
        <v>0</v>
      </c>
      <c r="AZ285">
        <v>9</v>
      </c>
      <c r="BA285">
        <v>5.75</v>
      </c>
      <c r="BB285">
        <v>5.5</v>
      </c>
      <c r="BC285">
        <v>0</v>
      </c>
      <c r="BD285">
        <v>5</v>
      </c>
      <c r="BE285">
        <v>0.5</v>
      </c>
      <c r="BF285">
        <v>0</v>
      </c>
    </row>
    <row r="286" spans="1:58">
      <c r="A286" t="s">
        <v>17193</v>
      </c>
      <c r="B286" t="s">
        <v>17206</v>
      </c>
      <c r="C286">
        <v>7</v>
      </c>
      <c r="D286">
        <v>28</v>
      </c>
      <c r="E286">
        <v>28</v>
      </c>
      <c r="F286">
        <v>21</v>
      </c>
      <c r="G286">
        <v>0</v>
      </c>
      <c r="H286">
        <v>0</v>
      </c>
      <c r="I286">
        <v>0</v>
      </c>
      <c r="J286">
        <v>28</v>
      </c>
      <c r="K286">
        <v>492</v>
      </c>
      <c r="L286">
        <v>26</v>
      </c>
      <c r="M286">
        <v>1</v>
      </c>
      <c r="N286">
        <v>0</v>
      </c>
      <c r="O286">
        <v>0</v>
      </c>
      <c r="P286">
        <v>0</v>
      </c>
      <c r="Q286">
        <v>0</v>
      </c>
      <c r="R286">
        <v>0</v>
      </c>
      <c r="S286">
        <v>18.5</v>
      </c>
      <c r="T286">
        <v>10</v>
      </c>
      <c r="U286">
        <v>4</v>
      </c>
      <c r="V286">
        <v>32.5</v>
      </c>
      <c r="W286">
        <v>250</v>
      </c>
      <c r="X286">
        <v>0</v>
      </c>
      <c r="Y286">
        <v>0</v>
      </c>
      <c r="Z286">
        <v>0</v>
      </c>
      <c r="AA286">
        <v>-30</v>
      </c>
      <c r="AB286">
        <v>250</v>
      </c>
      <c r="AC286" s="20">
        <v>15158.12</v>
      </c>
      <c r="AD286" s="20">
        <v>15158.12</v>
      </c>
      <c r="AE286" s="20">
        <v>15158.12</v>
      </c>
      <c r="AF286" s="20">
        <v>15483.12</v>
      </c>
      <c r="AG286" s="20">
        <v>15488.12</v>
      </c>
      <c r="AH286">
        <v>330</v>
      </c>
      <c r="AI286">
        <v>0</v>
      </c>
      <c r="AJ286">
        <v>0</v>
      </c>
      <c r="AK286">
        <v>0</v>
      </c>
      <c r="AL286">
        <v>0</v>
      </c>
      <c r="AM286">
        <v>0</v>
      </c>
      <c r="AN286">
        <v>0</v>
      </c>
      <c r="AO286">
        <v>0</v>
      </c>
      <c r="AP286">
        <v>0</v>
      </c>
      <c r="AQ286">
        <v>0</v>
      </c>
      <c r="AR286">
        <v>2</v>
      </c>
      <c r="AS286">
        <v>0</v>
      </c>
      <c r="AT286">
        <v>492</v>
      </c>
      <c r="AU286">
        <v>0</v>
      </c>
      <c r="AV286">
        <v>162</v>
      </c>
      <c r="AW286">
        <v>330</v>
      </c>
      <c r="AX286">
        <v>18.5</v>
      </c>
      <c r="AY286">
        <v>0</v>
      </c>
      <c r="AZ286">
        <v>15</v>
      </c>
      <c r="BA286">
        <v>3.5</v>
      </c>
      <c r="BB286">
        <v>10</v>
      </c>
      <c r="BC286">
        <v>0</v>
      </c>
      <c r="BD286">
        <v>5</v>
      </c>
      <c r="BE286">
        <v>5</v>
      </c>
      <c r="BF286" s="21">
        <v>2876</v>
      </c>
    </row>
    <row r="287" spans="1:58">
      <c r="A287" t="s">
        <v>17197</v>
      </c>
      <c r="B287" t="s">
        <v>19991</v>
      </c>
      <c r="C287">
        <v>8</v>
      </c>
      <c r="D287">
        <v>15</v>
      </c>
      <c r="E287">
        <v>0</v>
      </c>
      <c r="F287">
        <v>10</v>
      </c>
      <c r="G287">
        <v>0</v>
      </c>
      <c r="H287">
        <v>7</v>
      </c>
      <c r="I287">
        <v>0</v>
      </c>
      <c r="J287">
        <v>15</v>
      </c>
      <c r="K287">
        <v>255</v>
      </c>
      <c r="L287">
        <v>6</v>
      </c>
      <c r="M287">
        <v>6</v>
      </c>
      <c r="N287">
        <v>2</v>
      </c>
      <c r="O287">
        <v>1</v>
      </c>
      <c r="P287">
        <v>0</v>
      </c>
      <c r="Q287">
        <v>0</v>
      </c>
      <c r="R287">
        <v>0</v>
      </c>
      <c r="S287">
        <v>5.05</v>
      </c>
      <c r="T287">
        <v>100.25</v>
      </c>
      <c r="U287">
        <v>0</v>
      </c>
      <c r="V287">
        <v>105.3</v>
      </c>
      <c r="W287">
        <v>175.5</v>
      </c>
      <c r="X287">
        <v>0</v>
      </c>
      <c r="Y287">
        <v>2</v>
      </c>
      <c r="Z287">
        <v>0</v>
      </c>
      <c r="AA287">
        <v>-1880</v>
      </c>
      <c r="AB287">
        <v>140</v>
      </c>
      <c r="AC287">
        <v>0</v>
      </c>
      <c r="AD287">
        <v>0</v>
      </c>
      <c r="AE287">
        <v>0</v>
      </c>
      <c r="AF287">
        <v>140</v>
      </c>
      <c r="AG287">
        <v>175.5</v>
      </c>
      <c r="AH287">
        <v>175.5</v>
      </c>
      <c r="AI287">
        <v>0</v>
      </c>
      <c r="AJ287">
        <v>140</v>
      </c>
      <c r="AK287">
        <v>170</v>
      </c>
      <c r="AL287">
        <v>170</v>
      </c>
      <c r="AM287">
        <v>0</v>
      </c>
      <c r="AN287">
        <v>0</v>
      </c>
      <c r="AO287">
        <v>0</v>
      </c>
      <c r="AP287">
        <v>0</v>
      </c>
      <c r="AQ287">
        <v>0</v>
      </c>
      <c r="AR287">
        <v>0</v>
      </c>
      <c r="AS287">
        <v>0</v>
      </c>
      <c r="AT287">
        <v>255</v>
      </c>
      <c r="AU287">
        <v>114</v>
      </c>
      <c r="AV287">
        <v>122</v>
      </c>
      <c r="AW287">
        <v>122</v>
      </c>
      <c r="AX287">
        <v>5.05</v>
      </c>
      <c r="AY287">
        <v>5</v>
      </c>
      <c r="AZ287">
        <v>0.05</v>
      </c>
      <c r="BA287">
        <v>4</v>
      </c>
      <c r="BB287">
        <v>100.25</v>
      </c>
      <c r="BC287">
        <v>100</v>
      </c>
      <c r="BD287">
        <v>0.25</v>
      </c>
      <c r="BE287">
        <v>92</v>
      </c>
    </row>
    <row r="288" spans="1:58">
      <c r="A288" t="s">
        <v>17197</v>
      </c>
      <c r="B288" t="s">
        <v>19992</v>
      </c>
      <c r="C288">
        <v>0</v>
      </c>
      <c r="D288">
        <v>16</v>
      </c>
      <c r="E288">
        <v>0</v>
      </c>
      <c r="F288">
        <v>7</v>
      </c>
      <c r="G288">
        <v>0</v>
      </c>
      <c r="H288">
        <v>0</v>
      </c>
      <c r="I288">
        <v>0</v>
      </c>
      <c r="J288">
        <v>16</v>
      </c>
      <c r="K288">
        <v>311</v>
      </c>
      <c r="L288">
        <v>6</v>
      </c>
      <c r="M288">
        <v>2</v>
      </c>
      <c r="N288">
        <v>3</v>
      </c>
      <c r="O288">
        <v>4</v>
      </c>
      <c r="P288">
        <v>0</v>
      </c>
      <c r="Q288">
        <v>1</v>
      </c>
      <c r="R288">
        <v>0</v>
      </c>
      <c r="S288">
        <v>4.5</v>
      </c>
      <c r="T288">
        <v>5.25</v>
      </c>
      <c r="U288">
        <v>0</v>
      </c>
      <c r="V288">
        <v>9.75</v>
      </c>
      <c r="W288">
        <v>150</v>
      </c>
      <c r="X288">
        <v>0</v>
      </c>
      <c r="Y288">
        <v>1</v>
      </c>
      <c r="Z288">
        <v>6</v>
      </c>
      <c r="AA288">
        <v>0</v>
      </c>
      <c r="AB288">
        <v>0</v>
      </c>
      <c r="AC288">
        <v>21</v>
      </c>
      <c r="AD288">
        <v>21</v>
      </c>
      <c r="AE288">
        <v>0</v>
      </c>
      <c r="AF288">
        <v>21</v>
      </c>
      <c r="AG288">
        <v>171</v>
      </c>
      <c r="AH288">
        <v>171</v>
      </c>
      <c r="AI288">
        <v>0</v>
      </c>
      <c r="AJ288">
        <v>0</v>
      </c>
      <c r="AK288">
        <v>0</v>
      </c>
      <c r="AL288">
        <v>0</v>
      </c>
      <c r="AM288">
        <v>0</v>
      </c>
      <c r="AN288">
        <v>0</v>
      </c>
      <c r="AO288">
        <v>0</v>
      </c>
      <c r="AP288">
        <v>0</v>
      </c>
      <c r="AQ288">
        <v>0</v>
      </c>
      <c r="AR288">
        <v>0</v>
      </c>
      <c r="AS288">
        <v>0</v>
      </c>
      <c r="AT288">
        <v>311</v>
      </c>
      <c r="AU288">
        <v>0</v>
      </c>
      <c r="AV288">
        <v>311</v>
      </c>
      <c r="AW288">
        <v>0</v>
      </c>
      <c r="AX288">
        <v>4.5</v>
      </c>
      <c r="AY288">
        <v>0</v>
      </c>
      <c r="AZ288">
        <v>4.5</v>
      </c>
      <c r="BA288">
        <v>0</v>
      </c>
      <c r="BB288">
        <v>5.25</v>
      </c>
      <c r="BC288">
        <v>0</v>
      </c>
      <c r="BD288">
        <v>5.25</v>
      </c>
      <c r="BE288">
        <v>0</v>
      </c>
    </row>
  </sheetData>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6A308-8785-4E4A-A300-5AC24FAE8BF3}">
  <dimension ref="A1:BF308"/>
  <sheetViews>
    <sheetView workbookViewId="0"/>
  </sheetViews>
  <sheetFormatPr baseColWidth="10" defaultRowHeight="15"/>
  <cols>
    <col min="1" max="1" width="20.6640625" bestFit="1" customWidth="1"/>
    <col min="2" max="2" width="44.33203125" bestFit="1" customWidth="1"/>
  </cols>
  <sheetData>
    <row r="1" spans="1:58" ht="17" customHeight="1">
      <c r="A1" t="s">
        <v>17292</v>
      </c>
      <c r="B1" t="s">
        <v>16796</v>
      </c>
      <c r="C1" t="s">
        <v>19940</v>
      </c>
      <c r="D1" t="s">
        <v>16821</v>
      </c>
      <c r="E1" t="s">
        <v>16822</v>
      </c>
      <c r="F1" t="s">
        <v>16823</v>
      </c>
      <c r="G1" s="1" t="s">
        <v>19941</v>
      </c>
      <c r="H1" t="s">
        <v>16825</v>
      </c>
      <c r="I1" s="1" t="s">
        <v>19942</v>
      </c>
      <c r="J1" s="1" t="s">
        <v>19943</v>
      </c>
      <c r="K1" t="s">
        <v>16828</v>
      </c>
      <c r="L1" t="s">
        <v>16829</v>
      </c>
      <c r="M1" t="s">
        <v>16830</v>
      </c>
      <c r="N1" s="1" t="s">
        <v>19944</v>
      </c>
      <c r="O1" t="s">
        <v>16832</v>
      </c>
      <c r="P1" t="s">
        <v>16833</v>
      </c>
      <c r="Q1" s="1" t="s">
        <v>19945</v>
      </c>
      <c r="R1" s="1" t="s">
        <v>19946</v>
      </c>
      <c r="S1" s="1" t="s">
        <v>19947</v>
      </c>
      <c r="T1" t="s">
        <v>19948</v>
      </c>
      <c r="U1" s="1" t="s">
        <v>19949</v>
      </c>
      <c r="V1" s="1" t="s">
        <v>19950</v>
      </c>
      <c r="W1" s="1" t="s">
        <v>19951</v>
      </c>
      <c r="X1" t="s">
        <v>16841</v>
      </c>
      <c r="Y1" s="1" t="s">
        <v>19952</v>
      </c>
      <c r="Z1" s="1" t="s">
        <v>19953</v>
      </c>
      <c r="AA1" t="s">
        <v>16844</v>
      </c>
      <c r="AB1" s="1" t="s">
        <v>19954</v>
      </c>
      <c r="AC1" s="1" t="s">
        <v>19955</v>
      </c>
      <c r="AD1" s="1" t="s">
        <v>19956</v>
      </c>
      <c r="AE1" t="s">
        <v>16848</v>
      </c>
      <c r="AF1" s="1" t="s">
        <v>19957</v>
      </c>
      <c r="AG1" s="1" t="s">
        <v>19958</v>
      </c>
      <c r="AH1" s="1" t="s">
        <v>19959</v>
      </c>
      <c r="AI1" t="s">
        <v>16852</v>
      </c>
      <c r="AJ1" t="s">
        <v>16853</v>
      </c>
      <c r="AK1" t="s">
        <v>16854</v>
      </c>
      <c r="AL1" t="s">
        <v>16855</v>
      </c>
      <c r="AM1" t="s">
        <v>18775</v>
      </c>
      <c r="AN1" t="s">
        <v>19324</v>
      </c>
      <c r="AO1" t="s">
        <v>18777</v>
      </c>
      <c r="AP1" t="s">
        <v>18778</v>
      </c>
      <c r="AQ1" t="s">
        <v>18779</v>
      </c>
      <c r="AR1" t="s">
        <v>18780</v>
      </c>
      <c r="AS1" t="s">
        <v>18781</v>
      </c>
      <c r="AT1" t="s">
        <v>16856</v>
      </c>
      <c r="AU1" t="s">
        <v>16857</v>
      </c>
      <c r="AV1" t="s">
        <v>16858</v>
      </c>
      <c r="AW1" t="s">
        <v>19960</v>
      </c>
      <c r="AX1" t="s">
        <v>16860</v>
      </c>
      <c r="AY1" t="s">
        <v>16861</v>
      </c>
      <c r="AZ1" t="s">
        <v>16862</v>
      </c>
      <c r="BA1" t="s">
        <v>16863</v>
      </c>
      <c r="BB1" t="s">
        <v>16864</v>
      </c>
      <c r="BC1" t="s">
        <v>16865</v>
      </c>
      <c r="BD1" t="s">
        <v>16866</v>
      </c>
      <c r="BE1" t="s">
        <v>16867</v>
      </c>
      <c r="BF1" t="s">
        <v>18782</v>
      </c>
    </row>
    <row r="2" spans="1:58">
      <c r="A2" t="s">
        <v>16869</v>
      </c>
      <c r="B2" t="s">
        <v>17346</v>
      </c>
      <c r="C2">
        <v>0</v>
      </c>
      <c r="D2">
        <v>6</v>
      </c>
      <c r="E2">
        <v>6</v>
      </c>
      <c r="F2">
        <v>6</v>
      </c>
      <c r="G2">
        <v>0</v>
      </c>
      <c r="H2">
        <v>0</v>
      </c>
      <c r="I2">
        <v>0</v>
      </c>
      <c r="J2">
        <v>5</v>
      </c>
      <c r="K2">
        <v>51</v>
      </c>
      <c r="L2">
        <v>4</v>
      </c>
      <c r="M2">
        <v>0</v>
      </c>
      <c r="N2">
        <v>1</v>
      </c>
      <c r="O2">
        <v>0</v>
      </c>
      <c r="P2">
        <v>0</v>
      </c>
      <c r="Q2">
        <v>1</v>
      </c>
      <c r="R2">
        <v>0</v>
      </c>
      <c r="S2">
        <v>10</v>
      </c>
      <c r="T2">
        <v>10</v>
      </c>
      <c r="U2">
        <v>0</v>
      </c>
      <c r="V2">
        <v>20</v>
      </c>
      <c r="W2">
        <v>300</v>
      </c>
      <c r="X2">
        <v>0</v>
      </c>
      <c r="Y2">
        <v>2</v>
      </c>
      <c r="Z2">
        <v>3</v>
      </c>
      <c r="AA2">
        <v>0</v>
      </c>
      <c r="AB2">
        <v>60</v>
      </c>
      <c r="AC2">
        <v>0</v>
      </c>
      <c r="AD2">
        <v>0</v>
      </c>
      <c r="AE2">
        <v>45</v>
      </c>
      <c r="AF2">
        <v>60</v>
      </c>
      <c r="AG2">
        <v>300</v>
      </c>
      <c r="AH2">
        <v>255</v>
      </c>
      <c r="AI2">
        <v>0</v>
      </c>
      <c r="AJ2">
        <v>0</v>
      </c>
      <c r="AK2">
        <v>0</v>
      </c>
      <c r="AL2">
        <v>0</v>
      </c>
      <c r="AM2">
        <v>0</v>
      </c>
      <c r="AN2">
        <v>3</v>
      </c>
      <c r="AO2">
        <v>0</v>
      </c>
      <c r="AP2">
        <v>0</v>
      </c>
      <c r="AQ2">
        <v>0</v>
      </c>
      <c r="AR2">
        <v>0</v>
      </c>
      <c r="AS2">
        <v>0</v>
      </c>
      <c r="AT2">
        <v>51</v>
      </c>
      <c r="AU2">
        <v>0</v>
      </c>
      <c r="AV2">
        <v>51</v>
      </c>
      <c r="AW2">
        <v>0</v>
      </c>
      <c r="AX2">
        <v>10</v>
      </c>
      <c r="AY2">
        <v>0</v>
      </c>
      <c r="AZ2">
        <v>10</v>
      </c>
      <c r="BA2">
        <v>0</v>
      </c>
      <c r="BB2">
        <v>10</v>
      </c>
      <c r="BC2">
        <v>0</v>
      </c>
      <c r="BD2">
        <v>10</v>
      </c>
      <c r="BE2">
        <v>0</v>
      </c>
    </row>
    <row r="3" spans="1:58">
      <c r="A3" t="s">
        <v>16869</v>
      </c>
      <c r="B3" t="s">
        <v>16871</v>
      </c>
      <c r="C3">
        <v>5</v>
      </c>
      <c r="D3">
        <v>19</v>
      </c>
      <c r="E3">
        <v>8</v>
      </c>
      <c r="F3">
        <v>12</v>
      </c>
      <c r="G3">
        <v>4</v>
      </c>
      <c r="H3">
        <v>1</v>
      </c>
      <c r="I3">
        <v>1</v>
      </c>
      <c r="J3">
        <v>15</v>
      </c>
      <c r="K3">
        <v>130</v>
      </c>
      <c r="L3">
        <v>11</v>
      </c>
      <c r="M3">
        <v>3</v>
      </c>
      <c r="N3">
        <v>1</v>
      </c>
      <c r="O3">
        <v>1</v>
      </c>
      <c r="P3">
        <v>0</v>
      </c>
      <c r="Q3">
        <v>0</v>
      </c>
      <c r="R3">
        <v>0</v>
      </c>
      <c r="S3">
        <v>52</v>
      </c>
      <c r="T3">
        <v>53.5</v>
      </c>
      <c r="U3">
        <v>0</v>
      </c>
      <c r="V3">
        <v>105.5</v>
      </c>
      <c r="W3">
        <v>990</v>
      </c>
      <c r="X3">
        <v>0</v>
      </c>
      <c r="Y3">
        <v>2</v>
      </c>
      <c r="Z3">
        <v>6</v>
      </c>
      <c r="AA3">
        <v>-600</v>
      </c>
      <c r="AB3">
        <v>655</v>
      </c>
      <c r="AC3">
        <v>0</v>
      </c>
      <c r="AD3">
        <v>0</v>
      </c>
      <c r="AE3">
        <v>0</v>
      </c>
      <c r="AF3">
        <v>655</v>
      </c>
      <c r="AG3">
        <v>990</v>
      </c>
      <c r="AH3">
        <v>990</v>
      </c>
      <c r="AI3">
        <v>0</v>
      </c>
      <c r="AJ3">
        <v>610</v>
      </c>
      <c r="AK3">
        <v>670</v>
      </c>
      <c r="AL3">
        <v>670</v>
      </c>
      <c r="AM3">
        <v>0</v>
      </c>
      <c r="AN3">
        <v>0</v>
      </c>
      <c r="AO3">
        <v>0</v>
      </c>
      <c r="AP3">
        <v>0</v>
      </c>
      <c r="AQ3">
        <v>0</v>
      </c>
      <c r="AR3">
        <v>0</v>
      </c>
      <c r="AS3">
        <v>0</v>
      </c>
      <c r="AT3">
        <v>130</v>
      </c>
      <c r="AU3">
        <v>0</v>
      </c>
      <c r="AV3">
        <v>88</v>
      </c>
      <c r="AW3">
        <v>42</v>
      </c>
      <c r="AX3">
        <v>52</v>
      </c>
      <c r="AY3">
        <v>7</v>
      </c>
      <c r="AZ3">
        <v>15</v>
      </c>
      <c r="BA3">
        <v>30</v>
      </c>
      <c r="BB3">
        <v>53.5</v>
      </c>
      <c r="BC3">
        <v>30</v>
      </c>
      <c r="BD3">
        <v>8.5</v>
      </c>
      <c r="BE3">
        <v>15</v>
      </c>
    </row>
    <row r="4" spans="1:58">
      <c r="A4" t="s">
        <v>16869</v>
      </c>
      <c r="B4" t="s">
        <v>20679</v>
      </c>
      <c r="C4">
        <v>0</v>
      </c>
      <c r="D4">
        <v>1</v>
      </c>
      <c r="E4">
        <v>1</v>
      </c>
      <c r="F4">
        <v>1</v>
      </c>
      <c r="G4">
        <v>0</v>
      </c>
      <c r="H4">
        <v>0</v>
      </c>
      <c r="I4">
        <v>0</v>
      </c>
      <c r="J4">
        <v>1</v>
      </c>
      <c r="K4">
        <v>10</v>
      </c>
      <c r="L4">
        <v>1</v>
      </c>
      <c r="M4">
        <v>0</v>
      </c>
      <c r="N4">
        <v>0</v>
      </c>
      <c r="O4">
        <v>0</v>
      </c>
      <c r="P4">
        <v>0</v>
      </c>
      <c r="Q4">
        <v>0</v>
      </c>
      <c r="R4">
        <v>0</v>
      </c>
      <c r="S4">
        <v>6</v>
      </c>
      <c r="T4">
        <v>0</v>
      </c>
      <c r="U4">
        <v>0</v>
      </c>
      <c r="V4">
        <v>6</v>
      </c>
      <c r="W4">
        <v>60</v>
      </c>
      <c r="X4">
        <v>0</v>
      </c>
      <c r="Y4">
        <v>0</v>
      </c>
      <c r="Z4">
        <v>1</v>
      </c>
      <c r="AA4">
        <v>0</v>
      </c>
      <c r="AB4">
        <v>0</v>
      </c>
      <c r="AC4">
        <v>0</v>
      </c>
      <c r="AD4">
        <v>0</v>
      </c>
      <c r="AE4">
        <v>0</v>
      </c>
      <c r="AF4">
        <v>0</v>
      </c>
      <c r="AG4">
        <v>60</v>
      </c>
      <c r="AH4">
        <v>60</v>
      </c>
      <c r="AI4">
        <v>0</v>
      </c>
      <c r="AJ4">
        <v>0</v>
      </c>
      <c r="AK4">
        <v>0</v>
      </c>
      <c r="AL4">
        <v>0</v>
      </c>
      <c r="AM4">
        <v>0</v>
      </c>
      <c r="AN4">
        <v>0</v>
      </c>
      <c r="AO4">
        <v>0</v>
      </c>
      <c r="AP4">
        <v>0</v>
      </c>
      <c r="AQ4">
        <v>0</v>
      </c>
      <c r="AR4">
        <v>0</v>
      </c>
      <c r="AS4">
        <v>0</v>
      </c>
      <c r="AT4">
        <v>10</v>
      </c>
      <c r="AU4">
        <v>0</v>
      </c>
      <c r="AV4">
        <v>10</v>
      </c>
      <c r="AW4">
        <v>0</v>
      </c>
      <c r="AX4">
        <v>6</v>
      </c>
      <c r="AY4">
        <v>0</v>
      </c>
      <c r="AZ4">
        <v>6</v>
      </c>
      <c r="BA4">
        <v>0</v>
      </c>
      <c r="BB4">
        <v>0</v>
      </c>
      <c r="BC4">
        <v>0</v>
      </c>
      <c r="BD4">
        <v>0</v>
      </c>
      <c r="BE4">
        <v>0</v>
      </c>
    </row>
    <row r="5" spans="1:58">
      <c r="A5" t="s">
        <v>16869</v>
      </c>
      <c r="B5" t="s">
        <v>17498</v>
      </c>
      <c r="C5">
        <v>0</v>
      </c>
      <c r="D5">
        <v>1</v>
      </c>
      <c r="E5">
        <v>1</v>
      </c>
      <c r="F5">
        <v>1</v>
      </c>
      <c r="G5">
        <v>0</v>
      </c>
      <c r="H5">
        <v>0</v>
      </c>
      <c r="I5">
        <v>0</v>
      </c>
      <c r="J5">
        <v>1</v>
      </c>
      <c r="K5">
        <v>3</v>
      </c>
      <c r="L5">
        <v>1</v>
      </c>
      <c r="M5">
        <v>0</v>
      </c>
      <c r="N5">
        <v>0</v>
      </c>
      <c r="O5">
        <v>0</v>
      </c>
      <c r="P5">
        <v>0</v>
      </c>
      <c r="Q5">
        <v>0</v>
      </c>
      <c r="R5">
        <v>0</v>
      </c>
      <c r="S5">
        <v>0.25</v>
      </c>
      <c r="T5">
        <v>0</v>
      </c>
      <c r="U5">
        <v>0</v>
      </c>
      <c r="V5">
        <v>0.25</v>
      </c>
      <c r="W5">
        <v>2.5</v>
      </c>
      <c r="X5">
        <v>0</v>
      </c>
      <c r="Y5">
        <v>1</v>
      </c>
      <c r="Z5">
        <v>0</v>
      </c>
      <c r="AA5">
        <v>0</v>
      </c>
      <c r="AB5">
        <v>0</v>
      </c>
      <c r="AC5">
        <v>0</v>
      </c>
      <c r="AD5">
        <v>0</v>
      </c>
      <c r="AE5">
        <v>0</v>
      </c>
      <c r="AF5">
        <v>0</v>
      </c>
      <c r="AG5">
        <v>2.5</v>
      </c>
      <c r="AH5">
        <v>2.5</v>
      </c>
      <c r="AI5">
        <v>0</v>
      </c>
      <c r="AJ5">
        <v>0</v>
      </c>
      <c r="AK5">
        <v>0</v>
      </c>
      <c r="AL5">
        <v>0</v>
      </c>
      <c r="AM5">
        <v>0</v>
      </c>
      <c r="AN5">
        <v>0</v>
      </c>
      <c r="AO5">
        <v>0</v>
      </c>
      <c r="AP5">
        <v>0</v>
      </c>
      <c r="AQ5">
        <v>0</v>
      </c>
      <c r="AR5">
        <v>0</v>
      </c>
      <c r="AS5">
        <v>0</v>
      </c>
      <c r="AT5">
        <v>3</v>
      </c>
      <c r="AU5">
        <v>0</v>
      </c>
      <c r="AV5">
        <v>3</v>
      </c>
      <c r="AW5">
        <v>0</v>
      </c>
      <c r="AX5">
        <v>0.25</v>
      </c>
      <c r="AY5">
        <v>0</v>
      </c>
      <c r="AZ5">
        <v>0.25</v>
      </c>
      <c r="BA5">
        <v>0</v>
      </c>
      <c r="BB5">
        <v>0</v>
      </c>
      <c r="BC5">
        <v>0</v>
      </c>
      <c r="BD5">
        <v>0</v>
      </c>
      <c r="BE5">
        <v>0</v>
      </c>
    </row>
    <row r="6" spans="1:58">
      <c r="A6" t="s">
        <v>16869</v>
      </c>
      <c r="B6" t="s">
        <v>18784</v>
      </c>
      <c r="C6">
        <v>0</v>
      </c>
      <c r="D6">
        <v>1</v>
      </c>
      <c r="E6">
        <v>1</v>
      </c>
      <c r="F6">
        <v>0</v>
      </c>
      <c r="G6">
        <v>0</v>
      </c>
      <c r="H6">
        <v>1</v>
      </c>
      <c r="I6">
        <v>0</v>
      </c>
      <c r="J6">
        <v>1</v>
      </c>
      <c r="K6">
        <v>19</v>
      </c>
      <c r="L6">
        <v>0</v>
      </c>
      <c r="M6">
        <v>0</v>
      </c>
      <c r="N6">
        <v>1</v>
      </c>
      <c r="O6">
        <v>0</v>
      </c>
      <c r="P6">
        <v>0</v>
      </c>
      <c r="Q6">
        <v>0</v>
      </c>
      <c r="R6">
        <v>0</v>
      </c>
      <c r="S6">
        <v>8.5</v>
      </c>
      <c r="T6">
        <v>6</v>
      </c>
      <c r="U6">
        <v>2</v>
      </c>
      <c r="V6">
        <v>16.5</v>
      </c>
      <c r="W6">
        <v>205</v>
      </c>
      <c r="X6">
        <v>0</v>
      </c>
      <c r="Y6">
        <v>0</v>
      </c>
      <c r="Z6">
        <v>1</v>
      </c>
      <c r="AA6">
        <v>0</v>
      </c>
      <c r="AB6">
        <v>145</v>
      </c>
      <c r="AC6">
        <v>10</v>
      </c>
      <c r="AD6">
        <v>4</v>
      </c>
      <c r="AE6">
        <v>149</v>
      </c>
      <c r="AF6">
        <v>149</v>
      </c>
      <c r="AG6">
        <v>255</v>
      </c>
      <c r="AH6">
        <v>106</v>
      </c>
      <c r="AI6">
        <v>149</v>
      </c>
      <c r="AJ6">
        <v>149</v>
      </c>
      <c r="AK6">
        <v>255</v>
      </c>
      <c r="AL6">
        <v>106</v>
      </c>
      <c r="AM6">
        <v>0</v>
      </c>
      <c r="AN6">
        <v>0</v>
      </c>
      <c r="AO6">
        <v>0</v>
      </c>
      <c r="AP6">
        <v>1</v>
      </c>
      <c r="AQ6">
        <v>0</v>
      </c>
      <c r="AR6">
        <v>0</v>
      </c>
      <c r="AS6">
        <v>0</v>
      </c>
      <c r="AT6">
        <v>19</v>
      </c>
      <c r="AU6">
        <v>19</v>
      </c>
      <c r="AV6">
        <v>0</v>
      </c>
      <c r="AW6">
        <v>0</v>
      </c>
      <c r="AX6">
        <v>8.5</v>
      </c>
      <c r="AY6">
        <v>8.5</v>
      </c>
      <c r="AZ6">
        <v>0</v>
      </c>
      <c r="BA6">
        <v>0</v>
      </c>
      <c r="BB6">
        <v>6</v>
      </c>
      <c r="BC6">
        <v>6</v>
      </c>
      <c r="BD6">
        <v>0</v>
      </c>
      <c r="BE6">
        <v>0</v>
      </c>
    </row>
    <row r="7" spans="1:58">
      <c r="A7" t="s">
        <v>16869</v>
      </c>
      <c r="B7" t="s">
        <v>17200</v>
      </c>
      <c r="C7">
        <v>10</v>
      </c>
      <c r="D7">
        <v>164</v>
      </c>
      <c r="E7">
        <v>165</v>
      </c>
      <c r="F7">
        <v>235</v>
      </c>
      <c r="G7">
        <v>15</v>
      </c>
      <c r="H7">
        <v>11</v>
      </c>
      <c r="I7">
        <v>6</v>
      </c>
      <c r="J7">
        <v>271</v>
      </c>
      <c r="K7">
        <v>1433</v>
      </c>
      <c r="L7">
        <v>254</v>
      </c>
      <c r="M7">
        <v>1</v>
      </c>
      <c r="N7">
        <v>2</v>
      </c>
      <c r="O7">
        <v>4</v>
      </c>
      <c r="P7">
        <v>1</v>
      </c>
      <c r="Q7">
        <v>6</v>
      </c>
      <c r="R7">
        <v>0</v>
      </c>
      <c r="S7">
        <v>12.25</v>
      </c>
      <c r="T7">
        <v>22.5</v>
      </c>
      <c r="U7">
        <v>0</v>
      </c>
      <c r="V7">
        <v>34.75</v>
      </c>
      <c r="W7">
        <v>572.5</v>
      </c>
      <c r="X7">
        <v>0</v>
      </c>
      <c r="Y7">
        <v>32</v>
      </c>
      <c r="Z7">
        <v>4</v>
      </c>
      <c r="AA7">
        <v>0</v>
      </c>
      <c r="AB7">
        <v>122.5</v>
      </c>
      <c r="AC7">
        <v>834.6</v>
      </c>
      <c r="AD7">
        <v>854.35</v>
      </c>
      <c r="AE7">
        <v>857.85</v>
      </c>
      <c r="AF7">
        <v>976.85000000000025</v>
      </c>
      <c r="AG7">
        <v>1397.1000000000001</v>
      </c>
      <c r="AH7">
        <v>539.25</v>
      </c>
      <c r="AI7">
        <v>263.14</v>
      </c>
      <c r="AJ7">
        <v>380.64</v>
      </c>
      <c r="AK7">
        <v>571.14</v>
      </c>
      <c r="AL7">
        <v>308</v>
      </c>
      <c r="AM7">
        <v>112</v>
      </c>
      <c r="AN7">
        <v>38</v>
      </c>
      <c r="AO7">
        <v>2</v>
      </c>
      <c r="AP7">
        <v>1</v>
      </c>
      <c r="AQ7">
        <v>0</v>
      </c>
      <c r="AR7">
        <v>0</v>
      </c>
      <c r="AS7">
        <v>0</v>
      </c>
      <c r="AT7">
        <v>1433</v>
      </c>
      <c r="AU7">
        <v>190</v>
      </c>
      <c r="AV7">
        <v>1228</v>
      </c>
      <c r="AW7">
        <v>15</v>
      </c>
      <c r="AX7">
        <v>12.25</v>
      </c>
      <c r="AY7">
        <v>4.25</v>
      </c>
      <c r="AZ7">
        <v>8</v>
      </c>
      <c r="BA7">
        <v>0</v>
      </c>
      <c r="BB7">
        <v>22.5</v>
      </c>
      <c r="BC7">
        <v>14.75</v>
      </c>
      <c r="BD7">
        <v>7.75</v>
      </c>
      <c r="BE7">
        <v>0</v>
      </c>
    </row>
    <row r="8" spans="1:58">
      <c r="A8" t="s">
        <v>16869</v>
      </c>
      <c r="B8" t="s">
        <v>16872</v>
      </c>
      <c r="C8">
        <v>110</v>
      </c>
      <c r="D8">
        <v>112</v>
      </c>
      <c r="E8">
        <v>112</v>
      </c>
      <c r="F8">
        <v>108</v>
      </c>
      <c r="G8">
        <v>0</v>
      </c>
      <c r="H8">
        <v>0</v>
      </c>
      <c r="I8">
        <v>0</v>
      </c>
      <c r="J8">
        <v>81</v>
      </c>
      <c r="K8">
        <v>1979</v>
      </c>
      <c r="L8">
        <v>22</v>
      </c>
      <c r="M8">
        <v>3</v>
      </c>
      <c r="N8">
        <v>17</v>
      </c>
      <c r="O8">
        <v>7</v>
      </c>
      <c r="P8">
        <v>3</v>
      </c>
      <c r="Q8">
        <v>7</v>
      </c>
      <c r="R8">
        <v>0</v>
      </c>
      <c r="S8">
        <v>63.25</v>
      </c>
      <c r="T8">
        <v>73.5</v>
      </c>
      <c r="U8">
        <v>0</v>
      </c>
      <c r="V8">
        <v>136.75</v>
      </c>
      <c r="W8">
        <v>50</v>
      </c>
      <c r="X8">
        <v>0</v>
      </c>
      <c r="Y8">
        <v>0</v>
      </c>
      <c r="Z8">
        <v>0</v>
      </c>
      <c r="AA8">
        <v>-1967.5</v>
      </c>
      <c r="AB8">
        <v>0</v>
      </c>
      <c r="AC8">
        <v>2243.75</v>
      </c>
      <c r="AD8">
        <v>2243.75</v>
      </c>
      <c r="AE8">
        <v>1963.25</v>
      </c>
      <c r="AF8">
        <v>2243.75</v>
      </c>
      <c r="AG8">
        <v>2293.75</v>
      </c>
      <c r="AH8">
        <v>356.75</v>
      </c>
      <c r="AI8">
        <v>0</v>
      </c>
      <c r="AJ8">
        <v>0</v>
      </c>
      <c r="AK8">
        <v>0</v>
      </c>
      <c r="AL8">
        <v>0</v>
      </c>
      <c r="AM8">
        <v>3</v>
      </c>
      <c r="AN8">
        <v>4</v>
      </c>
      <c r="AO8">
        <v>0</v>
      </c>
      <c r="AP8">
        <v>8</v>
      </c>
      <c r="AQ8">
        <v>0</v>
      </c>
      <c r="AR8">
        <v>0</v>
      </c>
      <c r="AS8">
        <v>0</v>
      </c>
      <c r="AT8">
        <v>1979</v>
      </c>
      <c r="AU8">
        <v>0</v>
      </c>
      <c r="AV8">
        <v>3</v>
      </c>
      <c r="AW8">
        <v>1976</v>
      </c>
      <c r="AX8">
        <v>63.25</v>
      </c>
      <c r="AY8">
        <v>0</v>
      </c>
      <c r="AZ8">
        <v>5</v>
      </c>
      <c r="BA8">
        <v>58.25</v>
      </c>
      <c r="BB8">
        <v>73.5</v>
      </c>
      <c r="BC8">
        <v>0</v>
      </c>
      <c r="BD8">
        <v>0</v>
      </c>
      <c r="BE8">
        <v>73.5</v>
      </c>
    </row>
    <row r="9" spans="1:58">
      <c r="A9" t="s">
        <v>16869</v>
      </c>
      <c r="B9" t="s">
        <v>16873</v>
      </c>
      <c r="C9">
        <v>0</v>
      </c>
      <c r="D9">
        <v>16</v>
      </c>
      <c r="E9">
        <v>16</v>
      </c>
      <c r="F9">
        <v>16</v>
      </c>
      <c r="G9">
        <v>2</v>
      </c>
      <c r="H9">
        <v>0</v>
      </c>
      <c r="I9">
        <v>0</v>
      </c>
      <c r="J9">
        <v>16</v>
      </c>
      <c r="K9">
        <v>185</v>
      </c>
      <c r="L9">
        <v>8</v>
      </c>
      <c r="M9">
        <v>2</v>
      </c>
      <c r="N9">
        <v>3</v>
      </c>
      <c r="O9">
        <v>8</v>
      </c>
      <c r="P9">
        <v>1</v>
      </c>
      <c r="Q9">
        <v>1</v>
      </c>
      <c r="R9">
        <v>0</v>
      </c>
      <c r="S9">
        <v>15.75</v>
      </c>
      <c r="T9">
        <v>9</v>
      </c>
      <c r="U9">
        <v>0</v>
      </c>
      <c r="V9">
        <v>24.75</v>
      </c>
      <c r="W9">
        <v>337.5</v>
      </c>
      <c r="X9">
        <v>0</v>
      </c>
      <c r="Y9">
        <v>8</v>
      </c>
      <c r="Z9">
        <v>2</v>
      </c>
      <c r="AA9">
        <v>0</v>
      </c>
      <c r="AB9">
        <v>92.5</v>
      </c>
      <c r="AC9">
        <v>36.25</v>
      </c>
      <c r="AD9">
        <v>0</v>
      </c>
      <c r="AE9">
        <v>0</v>
      </c>
      <c r="AF9">
        <v>92.5</v>
      </c>
      <c r="AG9">
        <v>373.75</v>
      </c>
      <c r="AH9">
        <v>373.75</v>
      </c>
      <c r="AI9">
        <v>0</v>
      </c>
      <c r="AJ9">
        <v>0</v>
      </c>
      <c r="AK9">
        <v>0</v>
      </c>
      <c r="AL9">
        <v>0</v>
      </c>
      <c r="AM9">
        <v>0</v>
      </c>
      <c r="AN9">
        <v>0</v>
      </c>
      <c r="AO9">
        <v>0</v>
      </c>
      <c r="AP9">
        <v>0</v>
      </c>
      <c r="AQ9">
        <v>0</v>
      </c>
      <c r="AR9">
        <v>0</v>
      </c>
      <c r="AS9">
        <v>0</v>
      </c>
      <c r="AT9">
        <v>185</v>
      </c>
      <c r="AU9">
        <v>0</v>
      </c>
      <c r="AV9">
        <v>185</v>
      </c>
      <c r="AW9">
        <v>0</v>
      </c>
      <c r="AX9">
        <v>15.75</v>
      </c>
      <c r="AY9">
        <v>0</v>
      </c>
      <c r="AZ9">
        <v>15.75</v>
      </c>
      <c r="BA9">
        <v>0</v>
      </c>
      <c r="BB9">
        <v>9</v>
      </c>
      <c r="BC9">
        <v>0</v>
      </c>
      <c r="BD9">
        <v>9</v>
      </c>
      <c r="BE9">
        <v>0</v>
      </c>
    </row>
    <row r="10" spans="1:58">
      <c r="A10" t="s">
        <v>16869</v>
      </c>
      <c r="B10" t="s">
        <v>18785</v>
      </c>
      <c r="C10">
        <v>0</v>
      </c>
      <c r="D10">
        <v>55</v>
      </c>
      <c r="E10">
        <v>55</v>
      </c>
      <c r="F10">
        <v>49</v>
      </c>
      <c r="G10">
        <v>0</v>
      </c>
      <c r="H10">
        <v>5</v>
      </c>
      <c r="I10">
        <v>1</v>
      </c>
      <c r="J10">
        <v>55</v>
      </c>
      <c r="K10">
        <v>567</v>
      </c>
      <c r="L10">
        <v>51</v>
      </c>
      <c r="M10">
        <v>0</v>
      </c>
      <c r="N10">
        <v>2</v>
      </c>
      <c r="O10">
        <v>0</v>
      </c>
      <c r="P10">
        <v>1</v>
      </c>
      <c r="Q10">
        <v>1</v>
      </c>
      <c r="R10">
        <v>0</v>
      </c>
      <c r="S10">
        <v>56.5</v>
      </c>
      <c r="T10">
        <v>191.25</v>
      </c>
      <c r="U10">
        <v>7</v>
      </c>
      <c r="V10">
        <v>254.75</v>
      </c>
      <c r="W10">
        <v>4390</v>
      </c>
      <c r="X10">
        <v>0</v>
      </c>
      <c r="Y10">
        <v>51</v>
      </c>
      <c r="Z10">
        <v>1</v>
      </c>
      <c r="AA10">
        <v>0</v>
      </c>
      <c r="AB10">
        <v>3017.5</v>
      </c>
      <c r="AC10">
        <v>5896</v>
      </c>
      <c r="AD10">
        <v>4907.25</v>
      </c>
      <c r="AE10">
        <v>875.24</v>
      </c>
      <c r="AF10">
        <v>7722</v>
      </c>
      <c r="AG10">
        <v>10163.25</v>
      </c>
      <c r="AH10">
        <v>9288.01</v>
      </c>
      <c r="AI10">
        <v>0</v>
      </c>
      <c r="AJ10">
        <v>2606</v>
      </c>
      <c r="AK10">
        <v>2855.5</v>
      </c>
      <c r="AL10">
        <v>2855.5</v>
      </c>
      <c r="AM10">
        <v>8</v>
      </c>
      <c r="AN10">
        <v>0</v>
      </c>
      <c r="AO10">
        <v>1</v>
      </c>
      <c r="AP10">
        <v>5</v>
      </c>
      <c r="AQ10">
        <v>0</v>
      </c>
      <c r="AR10">
        <v>0</v>
      </c>
      <c r="AS10">
        <v>0</v>
      </c>
      <c r="AT10">
        <v>567</v>
      </c>
      <c r="AU10">
        <v>86</v>
      </c>
      <c r="AV10">
        <v>481</v>
      </c>
      <c r="AW10">
        <v>0</v>
      </c>
      <c r="AX10">
        <v>55.5</v>
      </c>
      <c r="AY10">
        <v>25</v>
      </c>
      <c r="AZ10">
        <v>30.5</v>
      </c>
      <c r="BA10">
        <v>0</v>
      </c>
      <c r="BB10">
        <v>191.25</v>
      </c>
      <c r="BC10">
        <v>100</v>
      </c>
      <c r="BD10">
        <v>91.25</v>
      </c>
      <c r="BE10">
        <v>0</v>
      </c>
    </row>
    <row r="11" spans="1:58">
      <c r="A11" t="s">
        <v>16874</v>
      </c>
      <c r="B11" t="s">
        <v>16875</v>
      </c>
      <c r="C11">
        <v>0</v>
      </c>
      <c r="D11">
        <v>7</v>
      </c>
      <c r="E11">
        <v>7</v>
      </c>
      <c r="F11">
        <v>7</v>
      </c>
      <c r="G11">
        <v>0</v>
      </c>
      <c r="H11">
        <v>0</v>
      </c>
      <c r="I11">
        <v>0</v>
      </c>
      <c r="J11">
        <v>7</v>
      </c>
      <c r="K11">
        <v>29</v>
      </c>
      <c r="L11">
        <v>3</v>
      </c>
      <c r="M11">
        <v>0</v>
      </c>
      <c r="N11">
        <v>0</v>
      </c>
      <c r="O11">
        <v>4</v>
      </c>
      <c r="P11">
        <v>0</v>
      </c>
      <c r="Q11">
        <v>0</v>
      </c>
      <c r="R11">
        <v>0</v>
      </c>
      <c r="S11">
        <v>1.7542499999999999</v>
      </c>
      <c r="T11">
        <v>0.75</v>
      </c>
      <c r="U11">
        <v>0</v>
      </c>
      <c r="V11">
        <v>2.5042499999999999</v>
      </c>
      <c r="W11">
        <v>32.542499999999997</v>
      </c>
      <c r="X11">
        <v>0</v>
      </c>
      <c r="Y11">
        <v>0</v>
      </c>
      <c r="Z11">
        <v>7</v>
      </c>
      <c r="AA11">
        <v>0</v>
      </c>
      <c r="AB11">
        <v>0</v>
      </c>
      <c r="AC11">
        <v>0</v>
      </c>
      <c r="AD11">
        <v>0</v>
      </c>
      <c r="AE11">
        <v>0</v>
      </c>
      <c r="AF11">
        <v>0</v>
      </c>
      <c r="AG11">
        <v>32.542499999999997</v>
      </c>
      <c r="AH11">
        <v>32.542499999999997</v>
      </c>
      <c r="AI11">
        <v>0</v>
      </c>
      <c r="AJ11">
        <v>0</v>
      </c>
      <c r="AK11">
        <v>0</v>
      </c>
      <c r="AL11">
        <v>0</v>
      </c>
      <c r="AM11">
        <v>0</v>
      </c>
      <c r="AN11">
        <v>0</v>
      </c>
      <c r="AO11">
        <v>0</v>
      </c>
      <c r="AP11">
        <v>0</v>
      </c>
      <c r="AQ11">
        <v>0</v>
      </c>
      <c r="AR11">
        <v>0</v>
      </c>
      <c r="AS11">
        <v>0</v>
      </c>
      <c r="AT11">
        <v>29</v>
      </c>
      <c r="AU11">
        <v>0</v>
      </c>
      <c r="AV11">
        <v>29</v>
      </c>
      <c r="AW11">
        <v>0</v>
      </c>
      <c r="AX11">
        <v>1.7542499999999999</v>
      </c>
      <c r="AY11">
        <v>0</v>
      </c>
      <c r="AZ11">
        <v>1.7542499999999999</v>
      </c>
      <c r="BA11">
        <v>0</v>
      </c>
      <c r="BB11">
        <v>0.75</v>
      </c>
      <c r="BC11">
        <v>0</v>
      </c>
      <c r="BD11">
        <v>0.75</v>
      </c>
      <c r="BE11">
        <v>0</v>
      </c>
    </row>
    <row r="12" spans="1:58">
      <c r="A12" t="s">
        <v>16876</v>
      </c>
      <c r="B12" t="s">
        <v>16877</v>
      </c>
      <c r="C12">
        <v>0</v>
      </c>
      <c r="D12">
        <v>13</v>
      </c>
      <c r="E12">
        <v>13</v>
      </c>
      <c r="F12">
        <v>13</v>
      </c>
      <c r="G12">
        <v>0</v>
      </c>
      <c r="H12">
        <v>0</v>
      </c>
      <c r="I12">
        <v>0</v>
      </c>
      <c r="J12">
        <v>13</v>
      </c>
      <c r="K12">
        <v>45</v>
      </c>
      <c r="L12">
        <v>6</v>
      </c>
      <c r="M12">
        <v>7</v>
      </c>
      <c r="N12">
        <v>0</v>
      </c>
      <c r="O12">
        <v>0</v>
      </c>
      <c r="P12">
        <v>0</v>
      </c>
      <c r="Q12">
        <v>0</v>
      </c>
      <c r="R12">
        <v>0</v>
      </c>
      <c r="S12">
        <v>1.75</v>
      </c>
      <c r="T12">
        <v>0</v>
      </c>
      <c r="U12">
        <v>0</v>
      </c>
      <c r="V12">
        <v>1.75</v>
      </c>
      <c r="W12">
        <v>17.5</v>
      </c>
      <c r="X12">
        <v>0</v>
      </c>
      <c r="Y12">
        <v>6</v>
      </c>
      <c r="Z12">
        <v>0</v>
      </c>
      <c r="AA12">
        <v>0</v>
      </c>
      <c r="AB12">
        <v>0</v>
      </c>
      <c r="AC12">
        <v>3</v>
      </c>
      <c r="AD12">
        <v>3</v>
      </c>
      <c r="AE12">
        <v>3</v>
      </c>
      <c r="AF12">
        <v>3</v>
      </c>
      <c r="AG12">
        <v>20.5</v>
      </c>
      <c r="AH12">
        <v>17.5</v>
      </c>
      <c r="AI12">
        <v>0</v>
      </c>
      <c r="AJ12">
        <v>0</v>
      </c>
      <c r="AK12">
        <v>0</v>
      </c>
      <c r="AL12">
        <v>0</v>
      </c>
      <c r="AM12">
        <v>1</v>
      </c>
      <c r="AN12">
        <v>0</v>
      </c>
      <c r="AO12">
        <v>0</v>
      </c>
      <c r="AP12">
        <v>0</v>
      </c>
      <c r="AQ12">
        <v>0</v>
      </c>
      <c r="AR12">
        <v>0</v>
      </c>
      <c r="AS12">
        <v>0</v>
      </c>
      <c r="AT12">
        <v>45</v>
      </c>
      <c r="AU12">
        <v>0</v>
      </c>
      <c r="AV12">
        <v>45</v>
      </c>
      <c r="AW12">
        <v>0</v>
      </c>
      <c r="AX12">
        <v>1.75</v>
      </c>
      <c r="AY12">
        <v>0</v>
      </c>
      <c r="AZ12">
        <v>1.75</v>
      </c>
      <c r="BA12">
        <v>0</v>
      </c>
      <c r="BB12">
        <v>0</v>
      </c>
      <c r="BC12">
        <v>0</v>
      </c>
      <c r="BD12">
        <v>0</v>
      </c>
      <c r="BE12">
        <v>0</v>
      </c>
    </row>
    <row r="13" spans="1:58">
      <c r="A13" t="s">
        <v>17496</v>
      </c>
      <c r="B13" t="s">
        <v>17497</v>
      </c>
      <c r="C13">
        <v>0</v>
      </c>
      <c r="D13">
        <v>1</v>
      </c>
      <c r="E13">
        <v>1</v>
      </c>
      <c r="F13">
        <v>1</v>
      </c>
      <c r="G13">
        <v>0</v>
      </c>
      <c r="H13">
        <v>0</v>
      </c>
      <c r="I13">
        <v>0</v>
      </c>
      <c r="J13">
        <v>1</v>
      </c>
      <c r="K13">
        <v>4</v>
      </c>
      <c r="L13">
        <v>1</v>
      </c>
      <c r="M13">
        <v>0</v>
      </c>
      <c r="N13">
        <v>0</v>
      </c>
      <c r="O13">
        <v>0</v>
      </c>
      <c r="P13">
        <v>0</v>
      </c>
      <c r="Q13">
        <v>0</v>
      </c>
      <c r="R13">
        <v>0</v>
      </c>
      <c r="S13">
        <v>0.25</v>
      </c>
      <c r="T13">
        <v>1.25</v>
      </c>
      <c r="U13">
        <v>0</v>
      </c>
      <c r="V13">
        <v>1.5</v>
      </c>
      <c r="W13">
        <v>27.5</v>
      </c>
      <c r="X13">
        <v>0</v>
      </c>
      <c r="Y13">
        <v>1</v>
      </c>
      <c r="Z13">
        <v>0</v>
      </c>
      <c r="AA13">
        <v>0</v>
      </c>
      <c r="AB13">
        <v>0</v>
      </c>
      <c r="AC13">
        <v>0</v>
      </c>
      <c r="AD13">
        <v>0</v>
      </c>
      <c r="AE13">
        <v>0</v>
      </c>
      <c r="AF13">
        <v>0</v>
      </c>
      <c r="AG13">
        <v>27.5</v>
      </c>
      <c r="AH13">
        <v>27.5</v>
      </c>
      <c r="AI13">
        <v>0</v>
      </c>
      <c r="AJ13">
        <v>0</v>
      </c>
      <c r="AK13">
        <v>0</v>
      </c>
      <c r="AL13">
        <v>0</v>
      </c>
      <c r="AM13">
        <v>0</v>
      </c>
      <c r="AN13">
        <v>0</v>
      </c>
      <c r="AO13">
        <v>0</v>
      </c>
      <c r="AP13">
        <v>0</v>
      </c>
      <c r="AQ13">
        <v>0</v>
      </c>
      <c r="AR13">
        <v>0</v>
      </c>
      <c r="AS13">
        <v>0</v>
      </c>
      <c r="AT13">
        <v>4</v>
      </c>
      <c r="AU13">
        <v>0</v>
      </c>
      <c r="AV13">
        <v>4</v>
      </c>
      <c r="AW13">
        <v>0</v>
      </c>
      <c r="AX13">
        <v>0.25</v>
      </c>
      <c r="AY13">
        <v>0</v>
      </c>
      <c r="AZ13">
        <v>0.25</v>
      </c>
      <c r="BA13">
        <v>0</v>
      </c>
      <c r="BB13">
        <v>1.25</v>
      </c>
      <c r="BC13">
        <v>0</v>
      </c>
      <c r="BD13">
        <v>1.25</v>
      </c>
      <c r="BE13">
        <v>0</v>
      </c>
    </row>
    <row r="14" spans="1:58">
      <c r="A14" t="s">
        <v>17496</v>
      </c>
      <c r="B14" t="s">
        <v>17497</v>
      </c>
      <c r="C14">
        <v>0</v>
      </c>
      <c r="D14">
        <v>2</v>
      </c>
      <c r="E14">
        <v>2</v>
      </c>
      <c r="F14">
        <v>2</v>
      </c>
      <c r="G14">
        <v>0</v>
      </c>
      <c r="H14">
        <v>0</v>
      </c>
      <c r="I14">
        <v>0</v>
      </c>
      <c r="J14">
        <v>2</v>
      </c>
      <c r="K14">
        <v>7</v>
      </c>
      <c r="L14">
        <v>2</v>
      </c>
      <c r="M14">
        <v>0</v>
      </c>
      <c r="N14">
        <v>0</v>
      </c>
      <c r="O14">
        <v>0</v>
      </c>
      <c r="P14">
        <v>0</v>
      </c>
      <c r="Q14">
        <v>0</v>
      </c>
      <c r="R14">
        <v>0</v>
      </c>
      <c r="S14">
        <v>0.5</v>
      </c>
      <c r="T14">
        <v>2.5</v>
      </c>
      <c r="U14">
        <v>0</v>
      </c>
      <c r="V14">
        <v>3</v>
      </c>
      <c r="W14">
        <v>55</v>
      </c>
      <c r="X14">
        <v>0</v>
      </c>
      <c r="Y14">
        <v>2</v>
      </c>
      <c r="Z14">
        <v>0</v>
      </c>
      <c r="AA14">
        <v>0</v>
      </c>
      <c r="AB14">
        <v>0</v>
      </c>
      <c r="AC14">
        <v>0</v>
      </c>
      <c r="AD14">
        <v>0</v>
      </c>
      <c r="AE14">
        <v>0</v>
      </c>
      <c r="AF14">
        <v>0</v>
      </c>
      <c r="AG14">
        <v>55</v>
      </c>
      <c r="AH14">
        <v>55</v>
      </c>
      <c r="AI14">
        <v>0</v>
      </c>
      <c r="AJ14">
        <v>0</v>
      </c>
      <c r="AK14">
        <v>0</v>
      </c>
      <c r="AL14">
        <v>0</v>
      </c>
      <c r="AM14">
        <v>0</v>
      </c>
      <c r="AN14">
        <v>0</v>
      </c>
      <c r="AO14">
        <v>0</v>
      </c>
      <c r="AP14">
        <v>0</v>
      </c>
      <c r="AQ14">
        <v>0</v>
      </c>
      <c r="AR14">
        <v>0</v>
      </c>
      <c r="AS14">
        <v>0</v>
      </c>
      <c r="AT14">
        <v>7</v>
      </c>
      <c r="AU14">
        <v>0</v>
      </c>
      <c r="AV14">
        <v>7</v>
      </c>
      <c r="AW14">
        <v>0</v>
      </c>
      <c r="AX14">
        <v>0.5</v>
      </c>
      <c r="AY14">
        <v>0</v>
      </c>
      <c r="AZ14">
        <v>0.5</v>
      </c>
      <c r="BA14">
        <v>0</v>
      </c>
      <c r="BB14">
        <v>2.5</v>
      </c>
      <c r="BC14">
        <v>0</v>
      </c>
      <c r="BD14">
        <v>2.5</v>
      </c>
      <c r="BE14">
        <v>0</v>
      </c>
    </row>
    <row r="15" spans="1:58">
      <c r="A15" t="s">
        <v>16878</v>
      </c>
      <c r="B15" t="s">
        <v>17347</v>
      </c>
      <c r="C15">
        <v>0</v>
      </c>
      <c r="D15">
        <v>1</v>
      </c>
      <c r="E15">
        <v>1</v>
      </c>
      <c r="F15">
        <v>1</v>
      </c>
      <c r="G15">
        <v>1</v>
      </c>
      <c r="H15">
        <v>0</v>
      </c>
      <c r="I15">
        <v>0</v>
      </c>
      <c r="J15">
        <v>1</v>
      </c>
      <c r="K15">
        <v>0</v>
      </c>
      <c r="L15">
        <v>1</v>
      </c>
      <c r="M15">
        <v>0</v>
      </c>
      <c r="N15">
        <v>0</v>
      </c>
      <c r="O15">
        <v>0</v>
      </c>
      <c r="P15">
        <v>0</v>
      </c>
      <c r="Q15">
        <v>0</v>
      </c>
      <c r="R15">
        <v>0</v>
      </c>
      <c r="S15">
        <v>4</v>
      </c>
      <c r="T15">
        <v>3.5</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row>
    <row r="16" spans="1:58">
      <c r="A16" t="s">
        <v>16878</v>
      </c>
      <c r="B16" t="s">
        <v>17347</v>
      </c>
      <c r="C16">
        <v>0</v>
      </c>
      <c r="D16">
        <v>5</v>
      </c>
      <c r="E16">
        <v>2</v>
      </c>
      <c r="F16">
        <v>2</v>
      </c>
      <c r="G16">
        <v>0</v>
      </c>
      <c r="H16">
        <v>0</v>
      </c>
      <c r="I16">
        <v>2</v>
      </c>
      <c r="J16">
        <v>3</v>
      </c>
      <c r="K16">
        <v>0</v>
      </c>
      <c r="L16">
        <v>0</v>
      </c>
      <c r="M16">
        <v>0</v>
      </c>
      <c r="N16">
        <v>0</v>
      </c>
      <c r="O16">
        <v>0</v>
      </c>
      <c r="P16">
        <v>2</v>
      </c>
      <c r="Q16">
        <v>0</v>
      </c>
      <c r="R16">
        <v>0</v>
      </c>
      <c r="S16">
        <v>0</v>
      </c>
      <c r="T16">
        <v>0</v>
      </c>
      <c r="U16">
        <v>0</v>
      </c>
      <c r="V16">
        <v>0</v>
      </c>
      <c r="W16">
        <v>0</v>
      </c>
      <c r="X16">
        <v>0</v>
      </c>
      <c r="Y16">
        <v>0</v>
      </c>
      <c r="Z16">
        <v>0</v>
      </c>
      <c r="AA16">
        <v>0</v>
      </c>
      <c r="AB16">
        <v>0</v>
      </c>
      <c r="AC16">
        <v>49</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row>
    <row r="17" spans="1:57">
      <c r="A17" t="s">
        <v>17210</v>
      </c>
      <c r="B17" t="s">
        <v>17211</v>
      </c>
      <c r="C17">
        <v>0</v>
      </c>
      <c r="D17">
        <v>27</v>
      </c>
      <c r="E17">
        <v>27</v>
      </c>
      <c r="F17">
        <v>24</v>
      </c>
      <c r="G17">
        <v>1</v>
      </c>
      <c r="H17">
        <v>0</v>
      </c>
      <c r="I17">
        <v>0</v>
      </c>
      <c r="J17">
        <v>26</v>
      </c>
      <c r="K17">
        <v>429</v>
      </c>
      <c r="L17">
        <v>6</v>
      </c>
      <c r="M17">
        <v>6</v>
      </c>
      <c r="N17">
        <v>3</v>
      </c>
      <c r="O17">
        <v>11</v>
      </c>
      <c r="P17">
        <v>1</v>
      </c>
      <c r="Q17">
        <v>0</v>
      </c>
      <c r="R17">
        <v>0</v>
      </c>
      <c r="S17">
        <v>5.25</v>
      </c>
      <c r="T17">
        <v>14</v>
      </c>
      <c r="U17">
        <v>0</v>
      </c>
      <c r="V17">
        <v>19.25</v>
      </c>
      <c r="W17">
        <v>332.5</v>
      </c>
      <c r="X17">
        <v>0</v>
      </c>
      <c r="Y17">
        <v>0</v>
      </c>
      <c r="Z17">
        <v>3</v>
      </c>
      <c r="AA17">
        <v>0</v>
      </c>
      <c r="AB17">
        <v>152.5</v>
      </c>
      <c r="AC17">
        <v>13.25</v>
      </c>
      <c r="AD17">
        <v>13.25</v>
      </c>
      <c r="AE17">
        <v>165.75</v>
      </c>
      <c r="AF17">
        <v>165.75</v>
      </c>
      <c r="AG17">
        <v>345.75</v>
      </c>
      <c r="AH17">
        <v>180</v>
      </c>
      <c r="AI17">
        <v>0</v>
      </c>
      <c r="AJ17">
        <v>0</v>
      </c>
      <c r="AK17">
        <v>0</v>
      </c>
      <c r="AL17">
        <v>0</v>
      </c>
      <c r="AM17">
        <v>0</v>
      </c>
      <c r="AN17">
        <v>1</v>
      </c>
      <c r="AO17">
        <v>2</v>
      </c>
      <c r="AP17">
        <v>0</v>
      </c>
      <c r="AQ17">
        <v>0</v>
      </c>
      <c r="AR17">
        <v>0</v>
      </c>
      <c r="AS17">
        <v>0</v>
      </c>
      <c r="AT17">
        <v>429</v>
      </c>
      <c r="AU17">
        <v>0</v>
      </c>
      <c r="AV17">
        <v>429</v>
      </c>
      <c r="AW17">
        <v>0</v>
      </c>
      <c r="AX17">
        <v>5.25</v>
      </c>
      <c r="AY17">
        <v>0</v>
      </c>
      <c r="AZ17">
        <v>5.25</v>
      </c>
      <c r="BA17">
        <v>0</v>
      </c>
      <c r="BB17">
        <v>14</v>
      </c>
      <c r="BC17">
        <v>0</v>
      </c>
      <c r="BD17">
        <v>14</v>
      </c>
      <c r="BE17">
        <v>0</v>
      </c>
    </row>
    <row r="18" spans="1:57">
      <c r="A18" t="s">
        <v>16879</v>
      </c>
      <c r="B18" t="s">
        <v>16880</v>
      </c>
      <c r="C18">
        <v>0</v>
      </c>
      <c r="D18">
        <v>1</v>
      </c>
      <c r="E18">
        <v>1</v>
      </c>
      <c r="F18">
        <v>1</v>
      </c>
      <c r="G18">
        <v>0</v>
      </c>
      <c r="H18">
        <v>0</v>
      </c>
      <c r="I18">
        <v>0</v>
      </c>
      <c r="J18">
        <v>1</v>
      </c>
      <c r="K18">
        <v>5</v>
      </c>
      <c r="L18">
        <v>0</v>
      </c>
      <c r="M18">
        <v>1</v>
      </c>
      <c r="N18">
        <v>0</v>
      </c>
      <c r="O18">
        <v>0</v>
      </c>
      <c r="P18">
        <v>0</v>
      </c>
      <c r="Q18">
        <v>0</v>
      </c>
      <c r="R18">
        <v>0</v>
      </c>
      <c r="S18">
        <v>1</v>
      </c>
      <c r="T18">
        <v>0.5</v>
      </c>
      <c r="U18">
        <v>3</v>
      </c>
      <c r="V18">
        <v>4.5</v>
      </c>
      <c r="W18">
        <v>20</v>
      </c>
      <c r="X18">
        <v>0</v>
      </c>
      <c r="Y18">
        <v>1</v>
      </c>
      <c r="Z18">
        <v>0</v>
      </c>
      <c r="AA18">
        <v>0</v>
      </c>
      <c r="AB18">
        <v>0</v>
      </c>
      <c r="AC18">
        <v>0</v>
      </c>
      <c r="AD18">
        <v>0</v>
      </c>
      <c r="AE18">
        <v>0</v>
      </c>
      <c r="AF18">
        <v>0</v>
      </c>
      <c r="AG18">
        <v>80</v>
      </c>
      <c r="AH18">
        <v>80</v>
      </c>
      <c r="AI18">
        <v>0</v>
      </c>
      <c r="AJ18">
        <v>0</v>
      </c>
      <c r="AK18">
        <v>0</v>
      </c>
      <c r="AL18">
        <v>0</v>
      </c>
      <c r="AM18">
        <v>0</v>
      </c>
      <c r="AN18">
        <v>0</v>
      </c>
      <c r="AO18">
        <v>0</v>
      </c>
      <c r="AP18">
        <v>0</v>
      </c>
      <c r="AQ18">
        <v>0</v>
      </c>
      <c r="AR18">
        <v>0</v>
      </c>
      <c r="AS18">
        <v>0</v>
      </c>
      <c r="AT18">
        <v>5</v>
      </c>
      <c r="AU18">
        <v>0</v>
      </c>
      <c r="AV18">
        <v>5</v>
      </c>
      <c r="AW18">
        <v>0</v>
      </c>
      <c r="AX18">
        <v>1</v>
      </c>
      <c r="AY18">
        <v>0</v>
      </c>
      <c r="AZ18">
        <v>1</v>
      </c>
      <c r="BA18">
        <v>0</v>
      </c>
      <c r="BB18">
        <v>0.5</v>
      </c>
      <c r="BC18">
        <v>0</v>
      </c>
      <c r="BD18">
        <v>0.5</v>
      </c>
      <c r="BE18">
        <v>0</v>
      </c>
    </row>
    <row r="19" spans="1:57">
      <c r="A19" t="s">
        <v>16881</v>
      </c>
      <c r="B19" t="s">
        <v>16882</v>
      </c>
      <c r="C19">
        <v>0</v>
      </c>
      <c r="D19">
        <v>5</v>
      </c>
      <c r="E19">
        <v>5</v>
      </c>
      <c r="F19">
        <v>0</v>
      </c>
      <c r="G19">
        <v>0</v>
      </c>
      <c r="H19">
        <v>0</v>
      </c>
      <c r="I19">
        <v>0</v>
      </c>
      <c r="J19">
        <v>5</v>
      </c>
      <c r="K19">
        <v>27</v>
      </c>
      <c r="L19">
        <v>4</v>
      </c>
      <c r="M19">
        <v>0</v>
      </c>
      <c r="N19">
        <v>0</v>
      </c>
      <c r="O19">
        <v>1</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27</v>
      </c>
      <c r="AU19">
        <v>0</v>
      </c>
      <c r="AV19">
        <v>27</v>
      </c>
      <c r="AW19">
        <v>0</v>
      </c>
      <c r="AX19">
        <v>0</v>
      </c>
      <c r="AY19">
        <v>0</v>
      </c>
      <c r="AZ19">
        <v>0</v>
      </c>
      <c r="BA19">
        <v>0</v>
      </c>
      <c r="BB19">
        <v>0</v>
      </c>
      <c r="BC19">
        <v>0</v>
      </c>
      <c r="BD19">
        <v>0</v>
      </c>
      <c r="BE19">
        <v>0</v>
      </c>
    </row>
    <row r="20" spans="1:57">
      <c r="A20" t="s">
        <v>16881</v>
      </c>
      <c r="B20" t="s">
        <v>16882</v>
      </c>
      <c r="C20">
        <v>0</v>
      </c>
      <c r="D20">
        <v>4</v>
      </c>
      <c r="E20">
        <v>3</v>
      </c>
      <c r="F20">
        <v>0</v>
      </c>
      <c r="G20">
        <v>0</v>
      </c>
      <c r="H20">
        <v>0</v>
      </c>
      <c r="I20">
        <v>0</v>
      </c>
      <c r="J20">
        <v>4</v>
      </c>
      <c r="K20">
        <v>33</v>
      </c>
      <c r="L20">
        <v>3</v>
      </c>
      <c r="M20">
        <v>0</v>
      </c>
      <c r="N20">
        <v>0</v>
      </c>
      <c r="O20">
        <v>0</v>
      </c>
      <c r="P20">
        <v>0</v>
      </c>
      <c r="Q20">
        <v>1</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33</v>
      </c>
      <c r="AU20">
        <v>0</v>
      </c>
      <c r="AV20">
        <v>33</v>
      </c>
      <c r="AW20">
        <v>0</v>
      </c>
      <c r="AX20">
        <v>0</v>
      </c>
      <c r="AY20">
        <v>0</v>
      </c>
      <c r="AZ20">
        <v>0</v>
      </c>
      <c r="BA20">
        <v>0</v>
      </c>
      <c r="BB20">
        <v>0</v>
      </c>
      <c r="BC20">
        <v>0</v>
      </c>
      <c r="BD20">
        <v>0</v>
      </c>
      <c r="BE20">
        <v>0</v>
      </c>
    </row>
    <row r="21" spans="1:57">
      <c r="A21" t="s">
        <v>17212</v>
      </c>
      <c r="B21" t="s">
        <v>17213</v>
      </c>
      <c r="C21">
        <v>0</v>
      </c>
      <c r="D21">
        <v>18</v>
      </c>
      <c r="E21">
        <v>18</v>
      </c>
      <c r="F21">
        <v>17</v>
      </c>
      <c r="G21">
        <v>1</v>
      </c>
      <c r="H21">
        <v>0</v>
      </c>
      <c r="I21">
        <v>0</v>
      </c>
      <c r="J21">
        <v>17</v>
      </c>
      <c r="K21">
        <v>273</v>
      </c>
      <c r="L21">
        <v>12</v>
      </c>
      <c r="M21">
        <v>0</v>
      </c>
      <c r="N21">
        <v>1</v>
      </c>
      <c r="O21">
        <v>5</v>
      </c>
      <c r="P21">
        <v>0</v>
      </c>
      <c r="Q21">
        <v>1</v>
      </c>
      <c r="R21">
        <v>0</v>
      </c>
      <c r="S21">
        <v>19.5</v>
      </c>
      <c r="T21">
        <v>6.5</v>
      </c>
      <c r="U21">
        <v>0</v>
      </c>
      <c r="V21">
        <v>26</v>
      </c>
      <c r="W21">
        <v>325</v>
      </c>
      <c r="X21">
        <v>0</v>
      </c>
      <c r="Y21">
        <v>8</v>
      </c>
      <c r="Z21">
        <v>4</v>
      </c>
      <c r="AA21">
        <v>0</v>
      </c>
      <c r="AB21">
        <v>175</v>
      </c>
      <c r="AC21">
        <v>18.2</v>
      </c>
      <c r="AD21">
        <v>18.2</v>
      </c>
      <c r="AE21">
        <v>188.2</v>
      </c>
      <c r="AF21">
        <v>193.2</v>
      </c>
      <c r="AG21">
        <v>343.2</v>
      </c>
      <c r="AH21">
        <v>155</v>
      </c>
      <c r="AI21">
        <v>0</v>
      </c>
      <c r="AJ21">
        <v>0</v>
      </c>
      <c r="AK21">
        <v>0</v>
      </c>
      <c r="AL21">
        <v>0</v>
      </c>
      <c r="AM21">
        <v>0</v>
      </c>
      <c r="AN21">
        <v>0</v>
      </c>
      <c r="AO21">
        <v>0</v>
      </c>
      <c r="AP21">
        <v>1</v>
      </c>
      <c r="AQ21">
        <v>0</v>
      </c>
      <c r="AR21">
        <v>0</v>
      </c>
      <c r="AS21">
        <v>0</v>
      </c>
      <c r="AT21">
        <v>273</v>
      </c>
      <c r="AU21">
        <v>0</v>
      </c>
      <c r="AV21">
        <v>273</v>
      </c>
      <c r="AW21">
        <v>0</v>
      </c>
      <c r="AX21">
        <v>19.5</v>
      </c>
      <c r="AY21">
        <v>0</v>
      </c>
      <c r="AZ21">
        <v>19.5</v>
      </c>
      <c r="BA21">
        <v>0</v>
      </c>
      <c r="BB21">
        <v>6.5</v>
      </c>
      <c r="BC21">
        <v>0</v>
      </c>
      <c r="BD21">
        <v>6.5</v>
      </c>
      <c r="BE21">
        <v>0</v>
      </c>
    </row>
    <row r="22" spans="1:57">
      <c r="A22" t="s">
        <v>19329</v>
      </c>
      <c r="B22" t="s">
        <v>19330</v>
      </c>
      <c r="C22">
        <v>0</v>
      </c>
      <c r="D22">
        <v>1</v>
      </c>
      <c r="E22">
        <v>1</v>
      </c>
      <c r="F22">
        <v>1</v>
      </c>
      <c r="G22">
        <v>0</v>
      </c>
      <c r="H22">
        <v>0</v>
      </c>
      <c r="I22">
        <v>0</v>
      </c>
      <c r="J22">
        <v>1</v>
      </c>
      <c r="K22">
        <v>2</v>
      </c>
      <c r="L22">
        <v>1</v>
      </c>
      <c r="M22">
        <v>0</v>
      </c>
      <c r="N22">
        <v>0</v>
      </c>
      <c r="O22">
        <v>0</v>
      </c>
      <c r="P22">
        <v>0</v>
      </c>
      <c r="Q22">
        <v>0</v>
      </c>
      <c r="R22">
        <v>0</v>
      </c>
      <c r="S22">
        <v>2</v>
      </c>
      <c r="T22">
        <v>0</v>
      </c>
      <c r="U22">
        <v>0</v>
      </c>
      <c r="V22">
        <v>2</v>
      </c>
      <c r="W22">
        <v>20</v>
      </c>
      <c r="X22">
        <v>0</v>
      </c>
      <c r="Y22">
        <v>1</v>
      </c>
      <c r="Z22">
        <v>0</v>
      </c>
      <c r="AA22">
        <v>0</v>
      </c>
      <c r="AB22">
        <v>0</v>
      </c>
      <c r="AC22">
        <v>0</v>
      </c>
      <c r="AD22">
        <v>0</v>
      </c>
      <c r="AE22">
        <v>0</v>
      </c>
      <c r="AF22">
        <v>0</v>
      </c>
      <c r="AG22">
        <v>20</v>
      </c>
      <c r="AH22">
        <v>20</v>
      </c>
      <c r="AI22">
        <v>0</v>
      </c>
      <c r="AJ22">
        <v>0</v>
      </c>
      <c r="AK22">
        <v>0</v>
      </c>
      <c r="AL22">
        <v>0</v>
      </c>
      <c r="AM22">
        <v>0</v>
      </c>
      <c r="AN22">
        <v>0</v>
      </c>
      <c r="AO22">
        <v>0</v>
      </c>
      <c r="AP22">
        <v>0</v>
      </c>
      <c r="AQ22">
        <v>0</v>
      </c>
      <c r="AR22">
        <v>0</v>
      </c>
      <c r="AS22">
        <v>0</v>
      </c>
      <c r="AT22">
        <v>2</v>
      </c>
      <c r="AU22">
        <v>0</v>
      </c>
      <c r="AV22">
        <v>2</v>
      </c>
      <c r="AW22">
        <v>0</v>
      </c>
      <c r="AX22">
        <v>2</v>
      </c>
      <c r="AY22">
        <v>0</v>
      </c>
      <c r="AZ22">
        <v>2</v>
      </c>
      <c r="BA22">
        <v>0</v>
      </c>
      <c r="BB22">
        <v>0</v>
      </c>
      <c r="BC22">
        <v>0</v>
      </c>
      <c r="BD22">
        <v>0</v>
      </c>
      <c r="BE22">
        <v>0</v>
      </c>
    </row>
    <row r="23" spans="1:57">
      <c r="A23" t="s">
        <v>16883</v>
      </c>
      <c r="B23" t="s">
        <v>17348</v>
      </c>
      <c r="C23">
        <v>0</v>
      </c>
      <c r="D23">
        <v>1</v>
      </c>
      <c r="E23">
        <v>1</v>
      </c>
      <c r="F23">
        <v>1</v>
      </c>
      <c r="G23">
        <v>0</v>
      </c>
      <c r="H23">
        <v>0</v>
      </c>
      <c r="I23">
        <v>0</v>
      </c>
      <c r="J23">
        <v>1</v>
      </c>
      <c r="K23">
        <v>10</v>
      </c>
      <c r="L23">
        <v>0</v>
      </c>
      <c r="M23">
        <v>1</v>
      </c>
      <c r="N23">
        <v>0</v>
      </c>
      <c r="O23">
        <v>0</v>
      </c>
      <c r="P23">
        <v>0</v>
      </c>
      <c r="Q23">
        <v>0</v>
      </c>
      <c r="R23">
        <v>0</v>
      </c>
      <c r="S23">
        <v>0.25</v>
      </c>
      <c r="T23">
        <v>0</v>
      </c>
      <c r="U23">
        <v>0</v>
      </c>
      <c r="V23">
        <v>0.25</v>
      </c>
      <c r="W23">
        <v>2.5</v>
      </c>
      <c r="X23">
        <v>0</v>
      </c>
      <c r="Y23">
        <v>1</v>
      </c>
      <c r="Z23">
        <v>0</v>
      </c>
      <c r="AA23">
        <v>0</v>
      </c>
      <c r="AB23">
        <v>0</v>
      </c>
      <c r="AC23">
        <v>0</v>
      </c>
      <c r="AD23">
        <v>0</v>
      </c>
      <c r="AE23">
        <v>0</v>
      </c>
      <c r="AF23">
        <v>0</v>
      </c>
      <c r="AG23">
        <v>2.5</v>
      </c>
      <c r="AH23">
        <v>2.5</v>
      </c>
      <c r="AI23">
        <v>0</v>
      </c>
      <c r="AJ23">
        <v>0</v>
      </c>
      <c r="AK23">
        <v>0</v>
      </c>
      <c r="AL23">
        <v>0</v>
      </c>
      <c r="AM23">
        <v>0</v>
      </c>
      <c r="AN23">
        <v>0</v>
      </c>
      <c r="AO23">
        <v>0</v>
      </c>
      <c r="AP23">
        <v>0</v>
      </c>
      <c r="AQ23">
        <v>0</v>
      </c>
      <c r="AR23">
        <v>0</v>
      </c>
      <c r="AS23">
        <v>0</v>
      </c>
      <c r="AT23">
        <v>10</v>
      </c>
      <c r="AU23">
        <v>0</v>
      </c>
      <c r="AV23">
        <v>10</v>
      </c>
      <c r="AW23">
        <v>0</v>
      </c>
      <c r="AX23">
        <v>0.25</v>
      </c>
      <c r="AY23">
        <v>0</v>
      </c>
      <c r="AZ23">
        <v>0.25</v>
      </c>
      <c r="BA23">
        <v>0</v>
      </c>
      <c r="BB23">
        <v>0</v>
      </c>
      <c r="BC23">
        <v>0</v>
      </c>
      <c r="BD23">
        <v>0</v>
      </c>
      <c r="BE23">
        <v>0</v>
      </c>
    </row>
    <row r="24" spans="1:57">
      <c r="A24" t="s">
        <v>17214</v>
      </c>
      <c r="B24" t="s">
        <v>17215</v>
      </c>
      <c r="C24">
        <v>0</v>
      </c>
      <c r="D24">
        <v>1</v>
      </c>
      <c r="E24">
        <v>1</v>
      </c>
      <c r="F24">
        <v>1</v>
      </c>
      <c r="G24">
        <v>0</v>
      </c>
      <c r="H24">
        <v>1</v>
      </c>
      <c r="I24">
        <v>0</v>
      </c>
      <c r="J24">
        <v>1</v>
      </c>
      <c r="K24">
        <v>1</v>
      </c>
      <c r="L24">
        <v>1</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1</v>
      </c>
      <c r="AU24">
        <v>1</v>
      </c>
      <c r="AV24">
        <v>0</v>
      </c>
      <c r="AW24">
        <v>0</v>
      </c>
      <c r="AX24">
        <v>0</v>
      </c>
      <c r="AY24">
        <v>0</v>
      </c>
      <c r="AZ24">
        <v>0</v>
      </c>
      <c r="BA24">
        <v>0</v>
      </c>
      <c r="BB24">
        <v>0</v>
      </c>
      <c r="BC24">
        <v>0</v>
      </c>
      <c r="BD24">
        <v>0</v>
      </c>
      <c r="BE24">
        <v>0</v>
      </c>
    </row>
    <row r="25" spans="1:57">
      <c r="A25" t="s">
        <v>16884</v>
      </c>
      <c r="B25" t="s">
        <v>16885</v>
      </c>
      <c r="C25">
        <v>0</v>
      </c>
      <c r="D25">
        <v>7</v>
      </c>
      <c r="E25">
        <v>6</v>
      </c>
      <c r="F25">
        <v>6</v>
      </c>
      <c r="G25">
        <v>1</v>
      </c>
      <c r="H25">
        <v>0</v>
      </c>
      <c r="I25">
        <v>0</v>
      </c>
      <c r="J25">
        <v>6</v>
      </c>
      <c r="K25">
        <v>81</v>
      </c>
      <c r="L25">
        <v>5</v>
      </c>
      <c r="M25">
        <v>0</v>
      </c>
      <c r="N25">
        <v>0</v>
      </c>
      <c r="O25">
        <v>1</v>
      </c>
      <c r="P25">
        <v>0</v>
      </c>
      <c r="Q25">
        <v>1</v>
      </c>
      <c r="R25">
        <v>0</v>
      </c>
      <c r="S25">
        <v>8</v>
      </c>
      <c r="T25">
        <v>3</v>
      </c>
      <c r="U25">
        <v>0</v>
      </c>
      <c r="V25">
        <v>11</v>
      </c>
      <c r="W25">
        <v>140</v>
      </c>
      <c r="X25">
        <v>0</v>
      </c>
      <c r="Y25">
        <v>4</v>
      </c>
      <c r="Z25">
        <v>0</v>
      </c>
      <c r="AA25">
        <v>0</v>
      </c>
      <c r="AB25">
        <v>0</v>
      </c>
      <c r="AC25">
        <v>105.25</v>
      </c>
      <c r="AD25">
        <v>105.25</v>
      </c>
      <c r="AE25">
        <v>135.25</v>
      </c>
      <c r="AF25">
        <v>105.25</v>
      </c>
      <c r="AG25">
        <v>245.25</v>
      </c>
      <c r="AH25">
        <v>110</v>
      </c>
      <c r="AI25">
        <v>0</v>
      </c>
      <c r="AJ25">
        <v>0</v>
      </c>
      <c r="AK25">
        <v>0</v>
      </c>
      <c r="AL25">
        <v>0</v>
      </c>
      <c r="AM25">
        <v>1</v>
      </c>
      <c r="AN25">
        <v>4</v>
      </c>
      <c r="AO25">
        <v>0</v>
      </c>
      <c r="AP25">
        <v>0</v>
      </c>
      <c r="AQ25">
        <v>0</v>
      </c>
      <c r="AR25">
        <v>0</v>
      </c>
      <c r="AS25">
        <v>0</v>
      </c>
      <c r="AT25">
        <v>81</v>
      </c>
      <c r="AU25">
        <v>0</v>
      </c>
      <c r="AV25">
        <v>81</v>
      </c>
      <c r="AW25">
        <v>0</v>
      </c>
      <c r="AX25">
        <v>8</v>
      </c>
      <c r="AY25">
        <v>0</v>
      </c>
      <c r="AZ25">
        <v>8</v>
      </c>
      <c r="BA25">
        <v>0</v>
      </c>
      <c r="BB25">
        <v>3</v>
      </c>
      <c r="BC25">
        <v>0</v>
      </c>
      <c r="BD25">
        <v>3</v>
      </c>
      <c r="BE25">
        <v>0</v>
      </c>
    </row>
    <row r="26" spans="1:57">
      <c r="A26" t="s">
        <v>17352</v>
      </c>
      <c r="B26" t="s">
        <v>17353</v>
      </c>
      <c r="C26">
        <v>1</v>
      </c>
      <c r="D26">
        <v>14</v>
      </c>
      <c r="E26">
        <v>13</v>
      </c>
      <c r="F26">
        <v>9</v>
      </c>
      <c r="G26">
        <v>0</v>
      </c>
      <c r="H26">
        <v>0</v>
      </c>
      <c r="I26">
        <v>2</v>
      </c>
      <c r="J26">
        <v>14</v>
      </c>
      <c r="K26">
        <v>171</v>
      </c>
      <c r="L26">
        <v>5</v>
      </c>
      <c r="M26">
        <v>2</v>
      </c>
      <c r="N26">
        <v>3</v>
      </c>
      <c r="O26">
        <v>0</v>
      </c>
      <c r="P26">
        <v>0</v>
      </c>
      <c r="Q26">
        <v>4</v>
      </c>
      <c r="R26">
        <v>0</v>
      </c>
      <c r="S26">
        <v>4.25</v>
      </c>
      <c r="T26">
        <v>2</v>
      </c>
      <c r="U26">
        <v>0</v>
      </c>
      <c r="V26">
        <v>6.25</v>
      </c>
      <c r="W26">
        <v>32.5</v>
      </c>
      <c r="X26">
        <v>0</v>
      </c>
      <c r="Y26">
        <v>5</v>
      </c>
      <c r="Z26">
        <v>0</v>
      </c>
      <c r="AA26">
        <v>-50</v>
      </c>
      <c r="AB26">
        <v>0</v>
      </c>
      <c r="AC26">
        <v>0</v>
      </c>
      <c r="AD26">
        <v>0</v>
      </c>
      <c r="AE26">
        <v>0</v>
      </c>
      <c r="AF26">
        <v>0</v>
      </c>
      <c r="AG26">
        <v>32.5</v>
      </c>
      <c r="AH26">
        <v>32.5</v>
      </c>
      <c r="AI26">
        <v>0</v>
      </c>
      <c r="AJ26">
        <v>0</v>
      </c>
      <c r="AK26">
        <v>0</v>
      </c>
      <c r="AL26">
        <v>0</v>
      </c>
      <c r="AM26">
        <v>0</v>
      </c>
      <c r="AN26">
        <v>0</v>
      </c>
      <c r="AO26">
        <v>0</v>
      </c>
      <c r="AP26">
        <v>0</v>
      </c>
      <c r="AQ26">
        <v>0</v>
      </c>
      <c r="AR26">
        <v>0</v>
      </c>
      <c r="AS26">
        <v>0</v>
      </c>
      <c r="AT26">
        <v>171</v>
      </c>
      <c r="AU26">
        <v>0</v>
      </c>
      <c r="AV26">
        <v>165</v>
      </c>
      <c r="AW26">
        <v>6</v>
      </c>
      <c r="AX26">
        <v>4.25</v>
      </c>
      <c r="AY26">
        <v>0</v>
      </c>
      <c r="AZ26">
        <v>3.25</v>
      </c>
      <c r="BA26">
        <v>1</v>
      </c>
      <c r="BB26">
        <v>2</v>
      </c>
      <c r="BC26">
        <v>0</v>
      </c>
      <c r="BD26">
        <v>0</v>
      </c>
      <c r="BE26">
        <v>2</v>
      </c>
    </row>
    <row r="27" spans="1:57">
      <c r="A27" t="s">
        <v>17216</v>
      </c>
      <c r="B27" t="s">
        <v>17217</v>
      </c>
      <c r="C27">
        <v>0</v>
      </c>
      <c r="D27">
        <v>11</v>
      </c>
      <c r="E27">
        <v>10</v>
      </c>
      <c r="F27">
        <v>9</v>
      </c>
      <c r="G27">
        <v>4</v>
      </c>
      <c r="H27">
        <v>0</v>
      </c>
      <c r="I27">
        <v>4</v>
      </c>
      <c r="J27">
        <v>11</v>
      </c>
      <c r="K27">
        <v>141</v>
      </c>
      <c r="L27">
        <v>7</v>
      </c>
      <c r="M27">
        <v>1</v>
      </c>
      <c r="N27">
        <v>1</v>
      </c>
      <c r="O27">
        <v>2</v>
      </c>
      <c r="P27">
        <v>0</v>
      </c>
      <c r="Q27">
        <v>0</v>
      </c>
      <c r="R27">
        <v>0</v>
      </c>
      <c r="S27">
        <v>78.5</v>
      </c>
      <c r="T27">
        <v>18</v>
      </c>
      <c r="U27">
        <v>0</v>
      </c>
      <c r="V27">
        <v>96.5</v>
      </c>
      <c r="W27">
        <v>1145</v>
      </c>
      <c r="X27">
        <v>0</v>
      </c>
      <c r="Y27">
        <v>4</v>
      </c>
      <c r="Z27">
        <v>4</v>
      </c>
      <c r="AA27">
        <v>0</v>
      </c>
      <c r="AB27">
        <v>860</v>
      </c>
      <c r="AC27">
        <v>144.5</v>
      </c>
      <c r="AD27">
        <v>144.5</v>
      </c>
      <c r="AE27">
        <v>996.5</v>
      </c>
      <c r="AF27">
        <v>1004.5</v>
      </c>
      <c r="AG27">
        <v>1289.5</v>
      </c>
      <c r="AH27">
        <v>293</v>
      </c>
      <c r="AI27">
        <v>0</v>
      </c>
      <c r="AJ27">
        <v>0</v>
      </c>
      <c r="AK27">
        <v>0</v>
      </c>
      <c r="AL27">
        <v>0</v>
      </c>
      <c r="AM27">
        <v>1</v>
      </c>
      <c r="AN27">
        <v>3</v>
      </c>
      <c r="AO27">
        <v>1</v>
      </c>
      <c r="AP27">
        <v>2</v>
      </c>
      <c r="AQ27">
        <v>0</v>
      </c>
      <c r="AR27">
        <v>0</v>
      </c>
      <c r="AS27">
        <v>0</v>
      </c>
      <c r="AT27">
        <v>141</v>
      </c>
      <c r="AU27">
        <v>0</v>
      </c>
      <c r="AV27">
        <v>141</v>
      </c>
      <c r="AW27">
        <v>0</v>
      </c>
      <c r="AX27">
        <v>78.5</v>
      </c>
      <c r="AY27">
        <v>0</v>
      </c>
      <c r="AZ27">
        <v>78.5</v>
      </c>
      <c r="BA27">
        <v>0</v>
      </c>
      <c r="BB27">
        <v>18</v>
      </c>
      <c r="BC27">
        <v>0</v>
      </c>
      <c r="BD27">
        <v>18</v>
      </c>
      <c r="BE27">
        <v>0</v>
      </c>
    </row>
    <row r="28" spans="1:57">
      <c r="A28" t="s">
        <v>17218</v>
      </c>
      <c r="B28" t="s">
        <v>18786</v>
      </c>
      <c r="C28">
        <v>0</v>
      </c>
      <c r="D28">
        <v>5</v>
      </c>
      <c r="E28">
        <v>4</v>
      </c>
      <c r="F28">
        <v>2</v>
      </c>
      <c r="G28">
        <v>1</v>
      </c>
      <c r="H28">
        <v>1</v>
      </c>
      <c r="I28">
        <v>1</v>
      </c>
      <c r="J28">
        <v>4</v>
      </c>
      <c r="K28">
        <v>77</v>
      </c>
      <c r="L28">
        <v>2</v>
      </c>
      <c r="M28">
        <v>1</v>
      </c>
      <c r="N28">
        <v>1</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77</v>
      </c>
      <c r="AU28">
        <v>46</v>
      </c>
      <c r="AV28">
        <v>31</v>
      </c>
      <c r="AW28">
        <v>0</v>
      </c>
      <c r="AX28">
        <v>0</v>
      </c>
      <c r="AY28">
        <v>0</v>
      </c>
      <c r="AZ28">
        <v>0</v>
      </c>
      <c r="BA28">
        <v>0</v>
      </c>
      <c r="BB28">
        <v>0</v>
      </c>
      <c r="BC28">
        <v>0</v>
      </c>
      <c r="BD28">
        <v>0</v>
      </c>
      <c r="BE28">
        <v>0</v>
      </c>
    </row>
    <row r="29" spans="1:57">
      <c r="A29" t="s">
        <v>17218</v>
      </c>
      <c r="B29" t="s">
        <v>18786</v>
      </c>
      <c r="C29">
        <v>0</v>
      </c>
      <c r="D29">
        <v>14</v>
      </c>
      <c r="E29">
        <v>14</v>
      </c>
      <c r="F29">
        <v>14</v>
      </c>
      <c r="G29">
        <v>1</v>
      </c>
      <c r="H29">
        <v>0</v>
      </c>
      <c r="I29">
        <v>0</v>
      </c>
      <c r="J29">
        <v>14</v>
      </c>
      <c r="K29">
        <v>156</v>
      </c>
      <c r="L29">
        <v>4</v>
      </c>
      <c r="M29">
        <v>1</v>
      </c>
      <c r="N29">
        <v>4</v>
      </c>
      <c r="O29">
        <v>3</v>
      </c>
      <c r="P29">
        <v>0</v>
      </c>
      <c r="Q29">
        <v>2</v>
      </c>
      <c r="R29">
        <v>0</v>
      </c>
      <c r="S29">
        <v>3.25</v>
      </c>
      <c r="T29">
        <v>0.25</v>
      </c>
      <c r="U29">
        <v>0</v>
      </c>
      <c r="V29">
        <v>3.5</v>
      </c>
      <c r="W29">
        <v>37.5</v>
      </c>
      <c r="X29">
        <v>0</v>
      </c>
      <c r="Y29">
        <v>12</v>
      </c>
      <c r="Z29">
        <v>0</v>
      </c>
      <c r="AA29">
        <v>0</v>
      </c>
      <c r="AB29">
        <v>0</v>
      </c>
      <c r="AC29">
        <v>0</v>
      </c>
      <c r="AD29">
        <v>0</v>
      </c>
      <c r="AE29">
        <v>0</v>
      </c>
      <c r="AF29">
        <v>0</v>
      </c>
      <c r="AG29">
        <v>37.5</v>
      </c>
      <c r="AH29">
        <v>37.5</v>
      </c>
      <c r="AI29">
        <v>0</v>
      </c>
      <c r="AJ29">
        <v>0</v>
      </c>
      <c r="AK29">
        <v>0</v>
      </c>
      <c r="AL29">
        <v>0</v>
      </c>
      <c r="AM29">
        <v>0</v>
      </c>
      <c r="AN29">
        <v>0</v>
      </c>
      <c r="AO29">
        <v>0</v>
      </c>
      <c r="AP29">
        <v>0</v>
      </c>
      <c r="AQ29">
        <v>0</v>
      </c>
      <c r="AR29">
        <v>0</v>
      </c>
      <c r="AS29">
        <v>0</v>
      </c>
      <c r="AT29">
        <v>156</v>
      </c>
      <c r="AU29">
        <v>0</v>
      </c>
      <c r="AV29">
        <v>156</v>
      </c>
      <c r="AW29">
        <v>0</v>
      </c>
      <c r="AX29">
        <v>3.25</v>
      </c>
      <c r="AY29">
        <v>0</v>
      </c>
      <c r="AZ29">
        <v>3.25</v>
      </c>
      <c r="BA29">
        <v>0</v>
      </c>
      <c r="BB29">
        <v>0.25</v>
      </c>
      <c r="BC29">
        <v>0</v>
      </c>
      <c r="BD29">
        <v>0.25</v>
      </c>
      <c r="BE29">
        <v>0</v>
      </c>
    </row>
    <row r="30" spans="1:57">
      <c r="A30" t="s">
        <v>16886</v>
      </c>
      <c r="B30" t="s">
        <v>18787</v>
      </c>
      <c r="C30">
        <v>42</v>
      </c>
      <c r="D30">
        <v>42</v>
      </c>
      <c r="E30">
        <v>42</v>
      </c>
      <c r="F30">
        <v>42</v>
      </c>
      <c r="G30">
        <v>42</v>
      </c>
      <c r="H30">
        <v>42</v>
      </c>
      <c r="I30">
        <v>42</v>
      </c>
      <c r="J30">
        <v>42</v>
      </c>
      <c r="K30">
        <v>690</v>
      </c>
      <c r="L30">
        <v>33</v>
      </c>
      <c r="M30">
        <v>4</v>
      </c>
      <c r="N30">
        <v>1</v>
      </c>
      <c r="O30">
        <v>7</v>
      </c>
      <c r="P30">
        <v>0</v>
      </c>
      <c r="Q30">
        <v>0</v>
      </c>
      <c r="R30">
        <v>0</v>
      </c>
      <c r="S30">
        <v>19.95</v>
      </c>
      <c r="T30">
        <v>3.5</v>
      </c>
      <c r="U30">
        <v>0</v>
      </c>
      <c r="V30">
        <v>23.45</v>
      </c>
      <c r="W30">
        <v>0</v>
      </c>
      <c r="X30">
        <v>0</v>
      </c>
      <c r="Y30">
        <v>0</v>
      </c>
      <c r="Z30">
        <v>0</v>
      </c>
      <c r="AA30">
        <v>-209.5</v>
      </c>
      <c r="AB30">
        <v>0</v>
      </c>
      <c r="AC30">
        <v>405.5</v>
      </c>
      <c r="AD30">
        <v>393.25</v>
      </c>
      <c r="AE30">
        <v>440.75</v>
      </c>
      <c r="AF30">
        <v>393.25</v>
      </c>
      <c r="AG30">
        <v>405.5</v>
      </c>
      <c r="AH30">
        <v>12.25</v>
      </c>
      <c r="AI30">
        <v>440.75</v>
      </c>
      <c r="AJ30">
        <v>393.25</v>
      </c>
      <c r="AK30">
        <v>405.5</v>
      </c>
      <c r="AL30">
        <v>12.25</v>
      </c>
      <c r="AM30">
        <v>0</v>
      </c>
      <c r="AN30">
        <v>1</v>
      </c>
      <c r="AO30">
        <v>1</v>
      </c>
      <c r="AP30">
        <v>2</v>
      </c>
      <c r="AQ30">
        <v>0</v>
      </c>
      <c r="AR30">
        <v>0</v>
      </c>
      <c r="AS30">
        <v>0</v>
      </c>
      <c r="AT30">
        <v>690</v>
      </c>
      <c r="AU30">
        <v>690</v>
      </c>
      <c r="AV30">
        <v>0</v>
      </c>
      <c r="AW30">
        <v>690</v>
      </c>
      <c r="AX30">
        <v>19.95</v>
      </c>
      <c r="AY30">
        <v>19.95</v>
      </c>
      <c r="AZ30">
        <v>0</v>
      </c>
      <c r="BA30">
        <v>19.95</v>
      </c>
      <c r="BB30">
        <v>3.5</v>
      </c>
      <c r="BC30">
        <v>3.5</v>
      </c>
      <c r="BD30">
        <v>0</v>
      </c>
      <c r="BE30">
        <v>3.5</v>
      </c>
    </row>
    <row r="31" spans="1:57">
      <c r="A31" t="s">
        <v>17207</v>
      </c>
      <c r="B31" t="s">
        <v>17208</v>
      </c>
      <c r="C31">
        <v>98</v>
      </c>
      <c r="D31">
        <v>754</v>
      </c>
      <c r="E31">
        <v>754</v>
      </c>
      <c r="F31">
        <v>752</v>
      </c>
      <c r="G31">
        <v>16</v>
      </c>
      <c r="H31">
        <v>290</v>
      </c>
      <c r="I31">
        <v>66</v>
      </c>
      <c r="J31">
        <v>746</v>
      </c>
      <c r="K31">
        <v>10722</v>
      </c>
      <c r="L31">
        <v>708</v>
      </c>
      <c r="M31">
        <v>0</v>
      </c>
      <c r="N31">
        <v>0</v>
      </c>
      <c r="O31">
        <v>34</v>
      </c>
      <c r="P31">
        <v>2</v>
      </c>
      <c r="Q31">
        <v>0</v>
      </c>
      <c r="R31">
        <v>0</v>
      </c>
      <c r="S31">
        <v>186.5</v>
      </c>
      <c r="T31">
        <v>186.524</v>
      </c>
      <c r="U31">
        <v>0</v>
      </c>
      <c r="V31">
        <v>373.024</v>
      </c>
      <c r="W31">
        <v>4860.32</v>
      </c>
      <c r="X31">
        <v>0</v>
      </c>
      <c r="Y31">
        <v>640</v>
      </c>
      <c r="Z31">
        <v>8</v>
      </c>
      <c r="AA31">
        <v>-735.16</v>
      </c>
      <c r="AB31">
        <v>0</v>
      </c>
      <c r="AC31">
        <v>1366.5</v>
      </c>
      <c r="AD31">
        <v>1366.5</v>
      </c>
      <c r="AE31">
        <v>180.5</v>
      </c>
      <c r="AF31">
        <v>1366.5</v>
      </c>
      <c r="AG31">
        <v>6226.82</v>
      </c>
      <c r="AH31">
        <v>6046.32</v>
      </c>
      <c r="AI31">
        <v>100</v>
      </c>
      <c r="AJ31">
        <v>216</v>
      </c>
      <c r="AK31">
        <v>2376.16</v>
      </c>
      <c r="AL31">
        <v>2276.16</v>
      </c>
      <c r="AM31">
        <v>4</v>
      </c>
      <c r="AN31">
        <v>26</v>
      </c>
      <c r="AO31">
        <v>0</v>
      </c>
      <c r="AP31">
        <v>0</v>
      </c>
      <c r="AQ31">
        <v>0</v>
      </c>
      <c r="AR31">
        <v>0</v>
      </c>
      <c r="AS31">
        <v>0</v>
      </c>
      <c r="AT31">
        <v>10722</v>
      </c>
      <c r="AU31">
        <v>5592</v>
      </c>
      <c r="AV31">
        <v>3604</v>
      </c>
      <c r="AW31">
        <v>1528</v>
      </c>
      <c r="AX31">
        <v>186.5</v>
      </c>
      <c r="AY31">
        <v>72.5</v>
      </c>
      <c r="AZ31">
        <v>90</v>
      </c>
      <c r="BA31">
        <v>24.5</v>
      </c>
      <c r="BB31">
        <v>186.524</v>
      </c>
      <c r="BC31">
        <v>72.50800000000001</v>
      </c>
      <c r="BD31">
        <v>90.007999999999996</v>
      </c>
      <c r="BE31">
        <v>24.507999999999999</v>
      </c>
    </row>
    <row r="32" spans="1:57">
      <c r="A32" t="s">
        <v>17219</v>
      </c>
      <c r="B32" t="s">
        <v>17220</v>
      </c>
      <c r="C32">
        <v>0</v>
      </c>
      <c r="D32">
        <v>220</v>
      </c>
      <c r="E32">
        <v>214</v>
      </c>
      <c r="F32">
        <v>191</v>
      </c>
      <c r="G32">
        <v>31</v>
      </c>
      <c r="H32">
        <v>19</v>
      </c>
      <c r="I32">
        <v>5</v>
      </c>
      <c r="J32">
        <v>191</v>
      </c>
      <c r="K32">
        <v>2984</v>
      </c>
      <c r="L32">
        <v>57</v>
      </c>
      <c r="M32">
        <v>17</v>
      </c>
      <c r="N32">
        <v>97</v>
      </c>
      <c r="O32">
        <v>20</v>
      </c>
      <c r="P32">
        <v>8</v>
      </c>
      <c r="Q32">
        <v>34</v>
      </c>
      <c r="R32">
        <v>0</v>
      </c>
      <c r="S32">
        <v>82.75</v>
      </c>
      <c r="T32">
        <v>252.5</v>
      </c>
      <c r="U32">
        <v>182.5</v>
      </c>
      <c r="V32">
        <v>517.75</v>
      </c>
      <c r="W32">
        <v>5877.5</v>
      </c>
      <c r="X32">
        <v>0</v>
      </c>
      <c r="Y32">
        <v>128</v>
      </c>
      <c r="Z32">
        <v>0</v>
      </c>
      <c r="AA32">
        <v>0</v>
      </c>
      <c r="AB32">
        <v>4085</v>
      </c>
      <c r="AC32">
        <v>275.44499999999999</v>
      </c>
      <c r="AD32">
        <v>301.95</v>
      </c>
      <c r="AE32">
        <v>4180.0499999999993</v>
      </c>
      <c r="AF32">
        <v>881.85000000000014</v>
      </c>
      <c r="AG32">
        <v>3327.8449999999998</v>
      </c>
      <c r="AH32">
        <v>2842.4949999999999</v>
      </c>
      <c r="AI32">
        <v>432.50000000000006</v>
      </c>
      <c r="AJ32">
        <v>323.75</v>
      </c>
      <c r="AK32">
        <v>729.75</v>
      </c>
      <c r="AL32">
        <v>683.75</v>
      </c>
      <c r="AM32">
        <v>14</v>
      </c>
      <c r="AN32">
        <v>11</v>
      </c>
      <c r="AO32">
        <v>3</v>
      </c>
      <c r="AP32">
        <v>2</v>
      </c>
      <c r="AQ32">
        <v>0</v>
      </c>
      <c r="AR32">
        <v>0</v>
      </c>
      <c r="AS32">
        <v>0</v>
      </c>
      <c r="AT32">
        <v>1308</v>
      </c>
      <c r="AU32">
        <v>325</v>
      </c>
      <c r="AV32">
        <v>983</v>
      </c>
      <c r="AW32">
        <v>0</v>
      </c>
      <c r="AX32">
        <v>34</v>
      </c>
      <c r="AY32">
        <v>9.75</v>
      </c>
      <c r="AZ32">
        <v>24.25</v>
      </c>
      <c r="BA32">
        <v>0</v>
      </c>
      <c r="BB32">
        <v>62</v>
      </c>
      <c r="BC32">
        <v>15.75</v>
      </c>
      <c r="BD32">
        <v>46.25</v>
      </c>
      <c r="BE32">
        <v>0</v>
      </c>
    </row>
    <row r="33" spans="1:57">
      <c r="A33" t="s">
        <v>17209</v>
      </c>
      <c r="B33" t="s">
        <v>18789</v>
      </c>
      <c r="C33">
        <v>0</v>
      </c>
      <c r="D33">
        <v>5</v>
      </c>
      <c r="E33">
        <v>5</v>
      </c>
      <c r="F33">
        <v>5</v>
      </c>
      <c r="G33">
        <v>1</v>
      </c>
      <c r="H33">
        <v>1</v>
      </c>
      <c r="I33">
        <v>0</v>
      </c>
      <c r="J33">
        <v>5</v>
      </c>
      <c r="K33">
        <v>115</v>
      </c>
      <c r="L33">
        <v>1</v>
      </c>
      <c r="M33">
        <v>1</v>
      </c>
      <c r="N33">
        <v>1</v>
      </c>
      <c r="O33">
        <v>1</v>
      </c>
      <c r="P33">
        <v>0</v>
      </c>
      <c r="Q33">
        <v>1</v>
      </c>
      <c r="R33">
        <v>0</v>
      </c>
      <c r="S33">
        <v>8.5</v>
      </c>
      <c r="T33">
        <v>13</v>
      </c>
      <c r="U33">
        <v>0.25</v>
      </c>
      <c r="V33">
        <v>21.75</v>
      </c>
      <c r="W33">
        <v>345</v>
      </c>
      <c r="X33">
        <v>0</v>
      </c>
      <c r="Y33">
        <v>0</v>
      </c>
      <c r="Z33">
        <v>4</v>
      </c>
      <c r="AA33">
        <v>0</v>
      </c>
      <c r="AB33">
        <v>220</v>
      </c>
      <c r="AC33">
        <v>192.25</v>
      </c>
      <c r="AD33">
        <v>71</v>
      </c>
      <c r="AE33">
        <v>111</v>
      </c>
      <c r="AF33">
        <v>291</v>
      </c>
      <c r="AG33">
        <v>542.25</v>
      </c>
      <c r="AH33">
        <v>431.25</v>
      </c>
      <c r="AI33">
        <v>111</v>
      </c>
      <c r="AJ33">
        <v>151</v>
      </c>
      <c r="AK33">
        <v>282</v>
      </c>
      <c r="AL33">
        <v>171</v>
      </c>
      <c r="AM33">
        <v>0</v>
      </c>
      <c r="AN33">
        <v>0</v>
      </c>
      <c r="AO33">
        <v>0</v>
      </c>
      <c r="AP33">
        <v>1</v>
      </c>
      <c r="AQ33">
        <v>0</v>
      </c>
      <c r="AR33">
        <v>0</v>
      </c>
      <c r="AS33">
        <v>0</v>
      </c>
      <c r="AT33">
        <v>115</v>
      </c>
      <c r="AU33">
        <v>60</v>
      </c>
      <c r="AV33">
        <v>55</v>
      </c>
      <c r="AW33">
        <v>0</v>
      </c>
      <c r="AX33">
        <v>8.5</v>
      </c>
      <c r="AY33">
        <v>4</v>
      </c>
      <c r="AZ33">
        <v>4.5</v>
      </c>
      <c r="BA33">
        <v>0</v>
      </c>
      <c r="BB33">
        <v>13</v>
      </c>
      <c r="BC33">
        <v>5</v>
      </c>
      <c r="BD33">
        <v>8</v>
      </c>
      <c r="BE33">
        <v>0</v>
      </c>
    </row>
    <row r="34" spans="1:57">
      <c r="A34" t="s">
        <v>17209</v>
      </c>
      <c r="B34" t="s">
        <v>17349</v>
      </c>
      <c r="C34">
        <v>1</v>
      </c>
      <c r="D34">
        <v>4</v>
      </c>
      <c r="E34">
        <v>2</v>
      </c>
      <c r="F34">
        <v>0</v>
      </c>
      <c r="G34">
        <v>0</v>
      </c>
      <c r="H34">
        <v>1</v>
      </c>
      <c r="I34">
        <v>0</v>
      </c>
      <c r="J34">
        <v>2</v>
      </c>
      <c r="K34">
        <v>13</v>
      </c>
      <c r="L34">
        <v>1</v>
      </c>
      <c r="M34">
        <v>1</v>
      </c>
      <c r="N34">
        <v>0</v>
      </c>
      <c r="O34">
        <v>1</v>
      </c>
      <c r="P34">
        <v>0</v>
      </c>
      <c r="Q34">
        <v>0</v>
      </c>
      <c r="R34">
        <v>0</v>
      </c>
      <c r="S34">
        <v>9.75</v>
      </c>
      <c r="T34">
        <v>9</v>
      </c>
      <c r="U34">
        <v>1.75</v>
      </c>
      <c r="V34">
        <v>20.5</v>
      </c>
      <c r="W34">
        <v>250</v>
      </c>
      <c r="X34">
        <v>0</v>
      </c>
      <c r="Y34">
        <v>2</v>
      </c>
      <c r="Z34">
        <v>0</v>
      </c>
      <c r="AA34">
        <v>-27.5</v>
      </c>
      <c r="AB34">
        <v>210</v>
      </c>
      <c r="AC34">
        <v>8.25</v>
      </c>
      <c r="AD34">
        <v>8.25</v>
      </c>
      <c r="AE34">
        <v>8.25</v>
      </c>
      <c r="AF34">
        <v>218.25</v>
      </c>
      <c r="AG34">
        <v>293.25</v>
      </c>
      <c r="AH34">
        <v>285</v>
      </c>
      <c r="AI34">
        <v>0</v>
      </c>
      <c r="AJ34">
        <v>210</v>
      </c>
      <c r="AK34">
        <v>240</v>
      </c>
      <c r="AL34">
        <v>240</v>
      </c>
      <c r="AM34">
        <v>0</v>
      </c>
      <c r="AN34">
        <v>1</v>
      </c>
      <c r="AO34">
        <v>0</v>
      </c>
      <c r="AP34">
        <v>0</v>
      </c>
      <c r="AQ34">
        <v>0</v>
      </c>
      <c r="AR34">
        <v>0</v>
      </c>
      <c r="AS34">
        <v>0</v>
      </c>
      <c r="AT34">
        <v>13</v>
      </c>
      <c r="AU34">
        <v>0</v>
      </c>
      <c r="AV34">
        <v>12</v>
      </c>
      <c r="AW34">
        <v>1</v>
      </c>
      <c r="AX34">
        <v>9.75</v>
      </c>
      <c r="AY34">
        <v>8</v>
      </c>
      <c r="AZ34">
        <v>1</v>
      </c>
      <c r="BA34">
        <v>0.75</v>
      </c>
      <c r="BB34">
        <v>9</v>
      </c>
      <c r="BC34">
        <v>8</v>
      </c>
      <c r="BD34">
        <v>0</v>
      </c>
      <c r="BE34">
        <v>1</v>
      </c>
    </row>
    <row r="35" spans="1:57">
      <c r="A35" t="s">
        <v>16888</v>
      </c>
      <c r="B35" t="s">
        <v>17350</v>
      </c>
      <c r="C35">
        <v>0</v>
      </c>
      <c r="D35">
        <v>7</v>
      </c>
      <c r="E35">
        <v>7</v>
      </c>
      <c r="F35">
        <v>7</v>
      </c>
      <c r="G35">
        <v>0</v>
      </c>
      <c r="H35">
        <v>0</v>
      </c>
      <c r="I35">
        <v>0</v>
      </c>
      <c r="J35">
        <v>7</v>
      </c>
      <c r="K35">
        <v>14</v>
      </c>
      <c r="L35">
        <v>0</v>
      </c>
      <c r="M35">
        <v>0</v>
      </c>
      <c r="N35">
        <v>0</v>
      </c>
      <c r="O35">
        <v>5</v>
      </c>
      <c r="P35">
        <v>0</v>
      </c>
      <c r="Q35">
        <v>2</v>
      </c>
      <c r="R35">
        <v>0</v>
      </c>
      <c r="S35">
        <v>6</v>
      </c>
      <c r="T35">
        <v>1.5</v>
      </c>
      <c r="U35">
        <v>0</v>
      </c>
      <c r="V35">
        <v>6</v>
      </c>
      <c r="W35">
        <v>90</v>
      </c>
      <c r="X35">
        <v>0</v>
      </c>
      <c r="Y35">
        <v>1</v>
      </c>
      <c r="Z35">
        <v>1</v>
      </c>
      <c r="AA35">
        <v>0</v>
      </c>
      <c r="AB35">
        <v>10</v>
      </c>
      <c r="AC35">
        <v>0</v>
      </c>
      <c r="AD35">
        <v>0</v>
      </c>
      <c r="AE35">
        <v>0</v>
      </c>
      <c r="AF35">
        <v>10</v>
      </c>
      <c r="AG35">
        <v>90</v>
      </c>
      <c r="AH35">
        <v>90</v>
      </c>
      <c r="AI35">
        <v>0</v>
      </c>
      <c r="AJ35">
        <v>0</v>
      </c>
      <c r="AK35">
        <v>0</v>
      </c>
      <c r="AL35">
        <v>0</v>
      </c>
      <c r="AM35">
        <v>0</v>
      </c>
      <c r="AN35">
        <v>0</v>
      </c>
      <c r="AO35">
        <v>0</v>
      </c>
      <c r="AP35">
        <v>0</v>
      </c>
      <c r="AQ35">
        <v>0</v>
      </c>
      <c r="AR35">
        <v>0</v>
      </c>
      <c r="AS35">
        <v>0</v>
      </c>
      <c r="AT35">
        <v>14</v>
      </c>
      <c r="AU35">
        <v>0</v>
      </c>
      <c r="AV35">
        <v>14</v>
      </c>
      <c r="AW35">
        <v>0</v>
      </c>
      <c r="AX35">
        <v>6</v>
      </c>
      <c r="AY35">
        <v>0</v>
      </c>
      <c r="AZ35">
        <v>6</v>
      </c>
      <c r="BA35">
        <v>0</v>
      </c>
      <c r="BB35">
        <v>1.5</v>
      </c>
      <c r="BC35">
        <v>0</v>
      </c>
      <c r="BD35">
        <v>1.5</v>
      </c>
      <c r="BE35">
        <v>0</v>
      </c>
    </row>
    <row r="36" spans="1:57">
      <c r="A36" t="s">
        <v>19966</v>
      </c>
      <c r="B36" t="s">
        <v>19967</v>
      </c>
      <c r="C36">
        <v>0</v>
      </c>
      <c r="D36">
        <v>2</v>
      </c>
      <c r="E36">
        <v>2</v>
      </c>
      <c r="F36">
        <v>2</v>
      </c>
      <c r="G36">
        <v>0</v>
      </c>
      <c r="H36">
        <v>0</v>
      </c>
      <c r="I36">
        <v>0</v>
      </c>
      <c r="J36">
        <v>2</v>
      </c>
      <c r="K36">
        <v>9</v>
      </c>
      <c r="L36">
        <v>1</v>
      </c>
      <c r="M36">
        <v>1</v>
      </c>
      <c r="N36">
        <v>0</v>
      </c>
      <c r="O36">
        <v>0</v>
      </c>
      <c r="P36">
        <v>0</v>
      </c>
      <c r="Q36">
        <v>0</v>
      </c>
      <c r="R36">
        <v>0</v>
      </c>
      <c r="S36">
        <v>0.5</v>
      </c>
      <c r="T36">
        <v>0</v>
      </c>
      <c r="U36">
        <v>0</v>
      </c>
      <c r="V36">
        <v>0.5</v>
      </c>
      <c r="W36">
        <v>5</v>
      </c>
      <c r="X36">
        <v>0</v>
      </c>
      <c r="Y36">
        <v>1</v>
      </c>
      <c r="Z36">
        <v>0</v>
      </c>
      <c r="AA36">
        <v>0</v>
      </c>
      <c r="AB36">
        <v>0</v>
      </c>
      <c r="AC36">
        <v>0</v>
      </c>
      <c r="AD36">
        <v>0</v>
      </c>
      <c r="AE36">
        <v>0</v>
      </c>
      <c r="AF36">
        <v>0</v>
      </c>
      <c r="AG36">
        <v>5</v>
      </c>
      <c r="AH36">
        <v>5</v>
      </c>
      <c r="AI36">
        <v>0</v>
      </c>
      <c r="AJ36">
        <v>0</v>
      </c>
      <c r="AK36">
        <v>0</v>
      </c>
      <c r="AL36">
        <v>0</v>
      </c>
      <c r="AM36">
        <v>0</v>
      </c>
      <c r="AN36">
        <v>0</v>
      </c>
      <c r="AO36">
        <v>0</v>
      </c>
      <c r="AP36">
        <v>0</v>
      </c>
      <c r="AQ36">
        <v>0</v>
      </c>
      <c r="AR36">
        <v>0</v>
      </c>
      <c r="AS36">
        <v>0</v>
      </c>
      <c r="AT36">
        <v>9</v>
      </c>
      <c r="AU36">
        <v>0</v>
      </c>
      <c r="AV36">
        <v>9</v>
      </c>
      <c r="AW36">
        <v>0</v>
      </c>
      <c r="AX36">
        <v>0.5</v>
      </c>
      <c r="AY36">
        <v>0</v>
      </c>
      <c r="AZ36">
        <v>0.5</v>
      </c>
      <c r="BA36">
        <v>0</v>
      </c>
      <c r="BB36">
        <v>0</v>
      </c>
      <c r="BC36">
        <v>0</v>
      </c>
      <c r="BD36">
        <v>0</v>
      </c>
      <c r="BE36">
        <v>0</v>
      </c>
    </row>
    <row r="37" spans="1:57">
      <c r="A37" t="s">
        <v>19966</v>
      </c>
      <c r="B37" t="s">
        <v>19967</v>
      </c>
      <c r="C37">
        <v>0</v>
      </c>
      <c r="D37">
        <v>3</v>
      </c>
      <c r="E37">
        <v>3</v>
      </c>
      <c r="F37">
        <v>3</v>
      </c>
      <c r="G37">
        <v>0</v>
      </c>
      <c r="H37">
        <v>1</v>
      </c>
      <c r="I37">
        <v>0</v>
      </c>
      <c r="J37">
        <v>3</v>
      </c>
      <c r="K37">
        <v>22</v>
      </c>
      <c r="L37">
        <v>2</v>
      </c>
      <c r="M37">
        <v>0</v>
      </c>
      <c r="N37">
        <v>0</v>
      </c>
      <c r="O37">
        <v>1</v>
      </c>
      <c r="P37">
        <v>0</v>
      </c>
      <c r="Q37">
        <v>0</v>
      </c>
      <c r="R37">
        <v>0</v>
      </c>
      <c r="S37">
        <v>1</v>
      </c>
      <c r="T37">
        <v>0</v>
      </c>
      <c r="U37">
        <v>0</v>
      </c>
      <c r="V37">
        <v>1</v>
      </c>
      <c r="W37">
        <v>10</v>
      </c>
      <c r="X37">
        <v>0</v>
      </c>
      <c r="Y37">
        <v>3</v>
      </c>
      <c r="Z37">
        <v>0</v>
      </c>
      <c r="AA37">
        <v>0</v>
      </c>
      <c r="AB37">
        <v>0</v>
      </c>
      <c r="AC37">
        <v>0</v>
      </c>
      <c r="AD37">
        <v>0</v>
      </c>
      <c r="AE37">
        <v>0</v>
      </c>
      <c r="AF37">
        <v>0</v>
      </c>
      <c r="AG37">
        <v>10</v>
      </c>
      <c r="AH37">
        <v>10</v>
      </c>
      <c r="AI37">
        <v>0</v>
      </c>
      <c r="AJ37">
        <v>0</v>
      </c>
      <c r="AK37">
        <v>5</v>
      </c>
      <c r="AL37">
        <v>5</v>
      </c>
      <c r="AM37">
        <v>0</v>
      </c>
      <c r="AN37">
        <v>0</v>
      </c>
      <c r="AO37">
        <v>0</v>
      </c>
      <c r="AP37">
        <v>0</v>
      </c>
      <c r="AQ37">
        <v>0</v>
      </c>
      <c r="AR37">
        <v>0</v>
      </c>
      <c r="AS37">
        <v>0</v>
      </c>
      <c r="AT37">
        <v>22</v>
      </c>
      <c r="AU37">
        <v>8</v>
      </c>
      <c r="AV37">
        <v>14</v>
      </c>
      <c r="AW37">
        <v>0</v>
      </c>
      <c r="AX37">
        <v>1</v>
      </c>
      <c r="AY37">
        <v>0.5</v>
      </c>
      <c r="AZ37">
        <v>0.5</v>
      </c>
      <c r="BA37">
        <v>0</v>
      </c>
      <c r="BB37">
        <v>0</v>
      </c>
      <c r="BC37">
        <v>0</v>
      </c>
      <c r="BD37">
        <v>0</v>
      </c>
      <c r="BE37">
        <v>0</v>
      </c>
    </row>
    <row r="38" spans="1:57">
      <c r="A38" t="s">
        <v>18790</v>
      </c>
      <c r="B38" t="s">
        <v>17356</v>
      </c>
      <c r="C38">
        <v>0</v>
      </c>
      <c r="D38">
        <v>8</v>
      </c>
      <c r="E38">
        <v>8</v>
      </c>
      <c r="F38">
        <v>8</v>
      </c>
      <c r="G38">
        <v>0</v>
      </c>
      <c r="H38">
        <v>4</v>
      </c>
      <c r="I38">
        <v>3</v>
      </c>
      <c r="J38">
        <v>5</v>
      </c>
      <c r="K38">
        <v>73</v>
      </c>
      <c r="L38">
        <v>3</v>
      </c>
      <c r="M38">
        <v>1</v>
      </c>
      <c r="N38">
        <v>2</v>
      </c>
      <c r="O38">
        <v>0</v>
      </c>
      <c r="P38">
        <v>0</v>
      </c>
      <c r="Q38">
        <v>0</v>
      </c>
      <c r="R38">
        <v>0</v>
      </c>
      <c r="S38">
        <v>9</v>
      </c>
      <c r="T38">
        <v>18.75</v>
      </c>
      <c r="U38">
        <v>1</v>
      </c>
      <c r="V38">
        <v>28.75</v>
      </c>
      <c r="W38">
        <v>465</v>
      </c>
      <c r="X38">
        <v>0</v>
      </c>
      <c r="Y38">
        <v>2</v>
      </c>
      <c r="Z38">
        <v>4</v>
      </c>
      <c r="AA38">
        <v>0</v>
      </c>
      <c r="AB38">
        <v>280</v>
      </c>
      <c r="AC38">
        <v>1250.5</v>
      </c>
      <c r="AD38">
        <v>0</v>
      </c>
      <c r="AE38">
        <v>1556</v>
      </c>
      <c r="AF38">
        <v>280</v>
      </c>
      <c r="AG38">
        <v>1735.5</v>
      </c>
      <c r="AH38">
        <v>214.5</v>
      </c>
      <c r="AI38">
        <v>1556</v>
      </c>
      <c r="AJ38">
        <v>280</v>
      </c>
      <c r="AK38">
        <v>1618</v>
      </c>
      <c r="AL38">
        <v>97</v>
      </c>
      <c r="AM38">
        <v>0</v>
      </c>
      <c r="AN38">
        <v>0</v>
      </c>
      <c r="AO38">
        <v>0</v>
      </c>
      <c r="AP38">
        <v>0</v>
      </c>
      <c r="AQ38">
        <v>2</v>
      </c>
      <c r="AR38">
        <v>0</v>
      </c>
      <c r="AS38">
        <v>0</v>
      </c>
      <c r="AT38">
        <v>73</v>
      </c>
      <c r="AU38">
        <v>49</v>
      </c>
      <c r="AV38">
        <v>24</v>
      </c>
      <c r="AW38">
        <v>0</v>
      </c>
      <c r="AX38">
        <v>9</v>
      </c>
      <c r="AY38">
        <v>8.25</v>
      </c>
      <c r="AZ38">
        <v>0.75</v>
      </c>
      <c r="BA38">
        <v>0</v>
      </c>
      <c r="BB38">
        <v>18.75</v>
      </c>
      <c r="BC38">
        <v>13.25</v>
      </c>
      <c r="BD38">
        <v>5.5</v>
      </c>
      <c r="BE38">
        <v>0</v>
      </c>
    </row>
    <row r="39" spans="1:57">
      <c r="A39" t="s">
        <v>17228</v>
      </c>
      <c r="B39" t="s">
        <v>17229</v>
      </c>
      <c r="C39">
        <v>0</v>
      </c>
      <c r="D39">
        <v>916</v>
      </c>
      <c r="E39">
        <v>0</v>
      </c>
      <c r="F39">
        <v>916</v>
      </c>
      <c r="G39">
        <v>0</v>
      </c>
      <c r="H39">
        <v>0</v>
      </c>
      <c r="I39">
        <v>0</v>
      </c>
      <c r="J39">
        <v>739</v>
      </c>
      <c r="K39">
        <v>28574</v>
      </c>
      <c r="L39">
        <v>738</v>
      </c>
      <c r="M39">
        <v>1</v>
      </c>
      <c r="N39">
        <v>2</v>
      </c>
      <c r="O39">
        <v>0</v>
      </c>
      <c r="P39">
        <v>0</v>
      </c>
      <c r="Q39">
        <v>0</v>
      </c>
      <c r="R39">
        <v>0</v>
      </c>
      <c r="S39">
        <v>229.75200000000001</v>
      </c>
      <c r="T39">
        <v>0</v>
      </c>
      <c r="U39">
        <v>0</v>
      </c>
      <c r="V39">
        <v>229.75200000000001</v>
      </c>
      <c r="W39">
        <v>2297.52</v>
      </c>
      <c r="X39">
        <v>0</v>
      </c>
      <c r="Y39">
        <v>916</v>
      </c>
      <c r="Z39">
        <v>0</v>
      </c>
      <c r="AA39">
        <v>0</v>
      </c>
      <c r="AB39">
        <v>0</v>
      </c>
      <c r="AC39">
        <v>155.05000000000044</v>
      </c>
      <c r="AD39">
        <v>0</v>
      </c>
      <c r="AE39">
        <v>2055</v>
      </c>
      <c r="AF39">
        <v>0</v>
      </c>
      <c r="AG39">
        <v>2452.570000000007</v>
      </c>
      <c r="AH39">
        <v>1349.4699999999998</v>
      </c>
      <c r="AI39">
        <v>0</v>
      </c>
      <c r="AJ39">
        <v>0</v>
      </c>
      <c r="AK39">
        <v>0</v>
      </c>
      <c r="AL39">
        <v>0</v>
      </c>
      <c r="AM39">
        <v>0</v>
      </c>
      <c r="AN39">
        <v>384</v>
      </c>
      <c r="AO39">
        <v>0</v>
      </c>
      <c r="AP39">
        <v>0</v>
      </c>
      <c r="AQ39">
        <v>0</v>
      </c>
      <c r="AR39">
        <v>0</v>
      </c>
      <c r="AS39">
        <v>0</v>
      </c>
      <c r="AT39">
        <v>28574</v>
      </c>
      <c r="AU39">
        <v>0</v>
      </c>
      <c r="AV39">
        <v>28574</v>
      </c>
      <c r="AW39">
        <v>0</v>
      </c>
      <c r="AX39">
        <v>229.75200000000001</v>
      </c>
      <c r="AY39">
        <v>0</v>
      </c>
      <c r="AZ39">
        <v>229.75200000000001</v>
      </c>
      <c r="BA39">
        <v>0</v>
      </c>
      <c r="BB39">
        <v>0</v>
      </c>
      <c r="BC39">
        <v>0</v>
      </c>
      <c r="BD39">
        <v>0</v>
      </c>
      <c r="BE39">
        <v>0</v>
      </c>
    </row>
    <row r="40" spans="1:57">
      <c r="A40" t="s">
        <v>16889</v>
      </c>
      <c r="B40" t="s">
        <v>17351</v>
      </c>
      <c r="C40">
        <v>0</v>
      </c>
      <c r="D40">
        <v>18</v>
      </c>
      <c r="E40">
        <v>17</v>
      </c>
      <c r="F40">
        <v>17</v>
      </c>
      <c r="G40">
        <v>1</v>
      </c>
      <c r="H40">
        <v>2</v>
      </c>
      <c r="I40">
        <v>0</v>
      </c>
      <c r="J40">
        <v>18</v>
      </c>
      <c r="K40">
        <v>222</v>
      </c>
      <c r="L40">
        <v>5</v>
      </c>
      <c r="M40">
        <v>0</v>
      </c>
      <c r="N40">
        <v>5</v>
      </c>
      <c r="O40">
        <v>6</v>
      </c>
      <c r="P40">
        <v>1</v>
      </c>
      <c r="Q40">
        <v>1</v>
      </c>
      <c r="R40">
        <v>0</v>
      </c>
      <c r="S40">
        <v>18.850000000000001</v>
      </c>
      <c r="T40">
        <v>24.35</v>
      </c>
      <c r="U40">
        <v>0</v>
      </c>
      <c r="V40">
        <v>43.2</v>
      </c>
      <c r="W40">
        <v>675.5</v>
      </c>
      <c r="X40">
        <v>0</v>
      </c>
      <c r="Y40">
        <v>15</v>
      </c>
      <c r="Z40">
        <v>1</v>
      </c>
      <c r="AA40">
        <v>0</v>
      </c>
      <c r="AB40">
        <v>447.5</v>
      </c>
      <c r="AC40">
        <v>555.89</v>
      </c>
      <c r="AD40">
        <v>555.89</v>
      </c>
      <c r="AE40">
        <v>555.89</v>
      </c>
      <c r="AF40">
        <v>1003.3899999999999</v>
      </c>
      <c r="AG40">
        <v>1231.3899999999999</v>
      </c>
      <c r="AH40">
        <v>675.5</v>
      </c>
      <c r="AI40">
        <v>482.82</v>
      </c>
      <c r="AJ40">
        <v>930.31999999999994</v>
      </c>
      <c r="AK40">
        <v>1020.3199999999999</v>
      </c>
      <c r="AL40">
        <v>537.5</v>
      </c>
      <c r="AM40">
        <v>2</v>
      </c>
      <c r="AN40">
        <v>0</v>
      </c>
      <c r="AO40">
        <v>1</v>
      </c>
      <c r="AP40">
        <v>2</v>
      </c>
      <c r="AQ40">
        <v>0</v>
      </c>
      <c r="AR40">
        <v>0</v>
      </c>
      <c r="AS40">
        <v>0</v>
      </c>
      <c r="AT40">
        <v>222</v>
      </c>
      <c r="AU40">
        <v>63</v>
      </c>
      <c r="AV40">
        <v>159</v>
      </c>
      <c r="AW40">
        <v>0</v>
      </c>
      <c r="AX40">
        <v>18.850000000000001</v>
      </c>
      <c r="AY40">
        <v>11.75</v>
      </c>
      <c r="AZ40">
        <v>7.1</v>
      </c>
      <c r="BA40">
        <v>0</v>
      </c>
      <c r="BB40">
        <v>24.35</v>
      </c>
      <c r="BC40">
        <v>21</v>
      </c>
      <c r="BD40">
        <v>3.35</v>
      </c>
      <c r="BE40">
        <v>0</v>
      </c>
    </row>
    <row r="41" spans="1:57">
      <c r="A41" t="s">
        <v>16890</v>
      </c>
      <c r="B41" t="s">
        <v>16891</v>
      </c>
      <c r="C41">
        <v>0</v>
      </c>
      <c r="D41">
        <v>34</v>
      </c>
      <c r="E41">
        <v>31</v>
      </c>
      <c r="F41">
        <v>32</v>
      </c>
      <c r="G41">
        <v>8</v>
      </c>
      <c r="H41">
        <v>0</v>
      </c>
      <c r="I41">
        <v>0</v>
      </c>
      <c r="J41">
        <v>34</v>
      </c>
      <c r="K41">
        <v>391</v>
      </c>
      <c r="L41">
        <v>20</v>
      </c>
      <c r="M41">
        <v>0</v>
      </c>
      <c r="N41">
        <v>8</v>
      </c>
      <c r="O41">
        <v>3</v>
      </c>
      <c r="P41">
        <v>3</v>
      </c>
      <c r="Q41">
        <v>0</v>
      </c>
      <c r="R41">
        <v>0</v>
      </c>
      <c r="S41">
        <v>40</v>
      </c>
      <c r="T41">
        <v>7</v>
      </c>
      <c r="U41">
        <v>0</v>
      </c>
      <c r="V41">
        <v>47</v>
      </c>
      <c r="W41">
        <v>540</v>
      </c>
      <c r="X41">
        <v>0</v>
      </c>
      <c r="Y41">
        <v>29</v>
      </c>
      <c r="Z41">
        <v>0</v>
      </c>
      <c r="AA41">
        <v>0</v>
      </c>
      <c r="AB41">
        <v>47.5</v>
      </c>
      <c r="AC41">
        <v>4091.85</v>
      </c>
      <c r="AD41">
        <v>4091.85</v>
      </c>
      <c r="AE41">
        <v>4091.85</v>
      </c>
      <c r="AF41">
        <v>4139.3500000000004</v>
      </c>
      <c r="AG41">
        <v>4631.8500000000004</v>
      </c>
      <c r="AH41">
        <v>540</v>
      </c>
      <c r="AI41">
        <v>0</v>
      </c>
      <c r="AJ41">
        <v>0</v>
      </c>
      <c r="AK41">
        <v>0</v>
      </c>
      <c r="AL41">
        <v>0</v>
      </c>
      <c r="AM41">
        <v>0</v>
      </c>
      <c r="AN41">
        <v>7</v>
      </c>
      <c r="AO41">
        <v>1</v>
      </c>
      <c r="AP41">
        <v>9</v>
      </c>
      <c r="AQ41">
        <v>0</v>
      </c>
      <c r="AR41">
        <v>2</v>
      </c>
      <c r="AS41">
        <v>0</v>
      </c>
      <c r="AT41">
        <v>391</v>
      </c>
      <c r="AU41">
        <v>0</v>
      </c>
      <c r="AV41">
        <v>391</v>
      </c>
      <c r="AW41">
        <v>0</v>
      </c>
      <c r="AX41">
        <v>40</v>
      </c>
      <c r="AY41">
        <v>0</v>
      </c>
      <c r="AZ41">
        <v>40</v>
      </c>
      <c r="BA41">
        <v>0</v>
      </c>
      <c r="BB41">
        <v>7</v>
      </c>
      <c r="BC41">
        <v>0</v>
      </c>
      <c r="BD41">
        <v>7</v>
      </c>
      <c r="BE41">
        <v>0</v>
      </c>
    </row>
    <row r="42" spans="1:57">
      <c r="A42" t="s">
        <v>19969</v>
      </c>
      <c r="B42" t="s">
        <v>19970</v>
      </c>
      <c r="C42">
        <v>2</v>
      </c>
      <c r="D42">
        <v>5</v>
      </c>
      <c r="E42">
        <v>5</v>
      </c>
      <c r="F42">
        <v>5</v>
      </c>
      <c r="G42">
        <v>2</v>
      </c>
      <c r="H42">
        <v>0</v>
      </c>
      <c r="I42">
        <v>0</v>
      </c>
      <c r="J42">
        <v>5</v>
      </c>
      <c r="K42">
        <v>60</v>
      </c>
      <c r="L42">
        <v>5</v>
      </c>
      <c r="M42">
        <v>0</v>
      </c>
      <c r="N42">
        <v>0</v>
      </c>
      <c r="O42">
        <v>0</v>
      </c>
      <c r="P42">
        <v>0</v>
      </c>
      <c r="Q42">
        <v>0</v>
      </c>
      <c r="R42">
        <v>0</v>
      </c>
      <c r="S42">
        <v>0.75</v>
      </c>
      <c r="T42">
        <v>1.5</v>
      </c>
      <c r="U42">
        <v>0</v>
      </c>
      <c r="V42">
        <v>2.25</v>
      </c>
      <c r="W42">
        <v>2.5</v>
      </c>
      <c r="X42">
        <v>0</v>
      </c>
      <c r="Y42">
        <v>1</v>
      </c>
      <c r="Z42">
        <v>0</v>
      </c>
      <c r="AA42">
        <v>-35</v>
      </c>
      <c r="AB42">
        <v>0</v>
      </c>
      <c r="AC42">
        <v>0</v>
      </c>
      <c r="AD42">
        <v>0</v>
      </c>
      <c r="AE42">
        <v>0</v>
      </c>
      <c r="AF42">
        <v>0</v>
      </c>
      <c r="AG42">
        <v>2.5</v>
      </c>
      <c r="AH42">
        <v>2.5</v>
      </c>
      <c r="AI42">
        <v>0</v>
      </c>
      <c r="AJ42">
        <v>0</v>
      </c>
      <c r="AK42">
        <v>0</v>
      </c>
      <c r="AL42">
        <v>0</v>
      </c>
      <c r="AM42">
        <v>0</v>
      </c>
      <c r="AN42">
        <v>0</v>
      </c>
      <c r="AO42">
        <v>0</v>
      </c>
      <c r="AP42">
        <v>0</v>
      </c>
      <c r="AQ42">
        <v>0</v>
      </c>
      <c r="AR42">
        <v>0</v>
      </c>
      <c r="AS42">
        <v>0</v>
      </c>
      <c r="AT42">
        <v>60</v>
      </c>
      <c r="AU42">
        <v>0</v>
      </c>
      <c r="AV42">
        <v>15</v>
      </c>
      <c r="AW42">
        <v>45</v>
      </c>
      <c r="AX42">
        <v>0.75</v>
      </c>
      <c r="AY42">
        <v>0</v>
      </c>
      <c r="AZ42">
        <v>0.25</v>
      </c>
      <c r="BA42">
        <v>0.5</v>
      </c>
      <c r="BB42">
        <v>1.5</v>
      </c>
      <c r="BC42">
        <v>0</v>
      </c>
      <c r="BD42">
        <v>0</v>
      </c>
      <c r="BE42">
        <v>1.5</v>
      </c>
    </row>
    <row r="43" spans="1:57">
      <c r="A43" t="s">
        <v>16892</v>
      </c>
      <c r="B43" t="s">
        <v>16893</v>
      </c>
      <c r="C43">
        <v>0</v>
      </c>
      <c r="D43">
        <v>14</v>
      </c>
      <c r="E43">
        <v>14</v>
      </c>
      <c r="F43">
        <v>14</v>
      </c>
      <c r="G43">
        <v>1</v>
      </c>
      <c r="H43">
        <v>2</v>
      </c>
      <c r="I43">
        <v>0</v>
      </c>
      <c r="J43">
        <v>12</v>
      </c>
      <c r="K43">
        <v>134</v>
      </c>
      <c r="L43">
        <v>11</v>
      </c>
      <c r="M43">
        <v>0</v>
      </c>
      <c r="N43">
        <v>0</v>
      </c>
      <c r="O43">
        <v>1</v>
      </c>
      <c r="P43">
        <v>0</v>
      </c>
      <c r="Q43">
        <v>2</v>
      </c>
      <c r="R43">
        <v>0</v>
      </c>
      <c r="S43">
        <v>25.75</v>
      </c>
      <c r="T43">
        <v>20.75</v>
      </c>
      <c r="U43">
        <v>0</v>
      </c>
      <c r="V43">
        <v>46.5</v>
      </c>
      <c r="W43">
        <v>672.5</v>
      </c>
      <c r="X43">
        <v>0</v>
      </c>
      <c r="Y43">
        <v>3</v>
      </c>
      <c r="Z43">
        <v>8</v>
      </c>
      <c r="AA43">
        <v>0</v>
      </c>
      <c r="AB43">
        <v>305</v>
      </c>
      <c r="AC43">
        <v>0</v>
      </c>
      <c r="AD43">
        <v>0</v>
      </c>
      <c r="AE43">
        <v>167.5</v>
      </c>
      <c r="AF43">
        <v>305</v>
      </c>
      <c r="AG43">
        <v>672.5</v>
      </c>
      <c r="AH43">
        <v>505</v>
      </c>
      <c r="AI43">
        <v>0</v>
      </c>
      <c r="AJ43">
        <v>0</v>
      </c>
      <c r="AK43">
        <v>40</v>
      </c>
      <c r="AL43">
        <v>40</v>
      </c>
      <c r="AM43">
        <v>0</v>
      </c>
      <c r="AN43">
        <v>0</v>
      </c>
      <c r="AO43">
        <v>0</v>
      </c>
      <c r="AP43">
        <v>1</v>
      </c>
      <c r="AQ43">
        <v>0</v>
      </c>
      <c r="AR43">
        <v>0</v>
      </c>
      <c r="AS43">
        <v>0</v>
      </c>
      <c r="AT43">
        <v>134</v>
      </c>
      <c r="AU43">
        <v>14</v>
      </c>
      <c r="AV43">
        <v>120</v>
      </c>
      <c r="AW43">
        <v>0</v>
      </c>
      <c r="AX43">
        <v>25.75</v>
      </c>
      <c r="AY43">
        <v>2</v>
      </c>
      <c r="AZ43">
        <v>23.75</v>
      </c>
      <c r="BA43">
        <v>0</v>
      </c>
      <c r="BB43">
        <v>20.75</v>
      </c>
      <c r="BC43">
        <v>1</v>
      </c>
      <c r="BD43">
        <v>19.75</v>
      </c>
      <c r="BE43">
        <v>0</v>
      </c>
    </row>
    <row r="44" spans="1:57">
      <c r="A44" t="s">
        <v>16894</v>
      </c>
      <c r="B44" t="s">
        <v>16895</v>
      </c>
      <c r="C44">
        <v>0</v>
      </c>
      <c r="D44">
        <v>10</v>
      </c>
      <c r="E44">
        <v>10</v>
      </c>
      <c r="F44">
        <v>9</v>
      </c>
      <c r="G44">
        <v>0</v>
      </c>
      <c r="H44">
        <v>0</v>
      </c>
      <c r="I44">
        <v>0</v>
      </c>
      <c r="J44">
        <v>10</v>
      </c>
      <c r="K44">
        <v>57</v>
      </c>
      <c r="L44">
        <v>8</v>
      </c>
      <c r="M44">
        <v>0</v>
      </c>
      <c r="N44">
        <v>0</v>
      </c>
      <c r="O44">
        <v>2</v>
      </c>
      <c r="P44">
        <v>0</v>
      </c>
      <c r="Q44">
        <v>0</v>
      </c>
      <c r="R44">
        <v>0</v>
      </c>
      <c r="S44">
        <v>18</v>
      </c>
      <c r="T44">
        <v>25</v>
      </c>
      <c r="U44">
        <v>0</v>
      </c>
      <c r="V44">
        <v>43</v>
      </c>
      <c r="W44">
        <v>680</v>
      </c>
      <c r="X44">
        <v>0</v>
      </c>
      <c r="Y44">
        <v>4</v>
      </c>
      <c r="Z44">
        <v>3</v>
      </c>
      <c r="AA44">
        <v>0</v>
      </c>
      <c r="AB44">
        <v>500</v>
      </c>
      <c r="AC44">
        <v>157</v>
      </c>
      <c r="AD44">
        <v>39.75</v>
      </c>
      <c r="AE44">
        <v>39.75</v>
      </c>
      <c r="AF44">
        <v>539.75</v>
      </c>
      <c r="AG44">
        <v>837</v>
      </c>
      <c r="AH44">
        <v>817</v>
      </c>
      <c r="AI44">
        <v>0</v>
      </c>
      <c r="AJ44">
        <v>0</v>
      </c>
      <c r="AK44">
        <v>0</v>
      </c>
      <c r="AL44">
        <v>0</v>
      </c>
      <c r="AM44">
        <v>0</v>
      </c>
      <c r="AN44">
        <v>1</v>
      </c>
      <c r="AO44">
        <v>0</v>
      </c>
      <c r="AP44">
        <v>0</v>
      </c>
      <c r="AQ44">
        <v>0</v>
      </c>
      <c r="AR44">
        <v>0</v>
      </c>
      <c r="AS44">
        <v>0</v>
      </c>
      <c r="AT44">
        <v>57</v>
      </c>
      <c r="AU44">
        <v>0</v>
      </c>
      <c r="AV44">
        <v>57</v>
      </c>
      <c r="AW44">
        <v>0</v>
      </c>
      <c r="AX44">
        <v>18</v>
      </c>
      <c r="AY44">
        <v>0</v>
      </c>
      <c r="AZ44">
        <v>18</v>
      </c>
      <c r="BA44">
        <v>0</v>
      </c>
      <c r="BB44">
        <v>25</v>
      </c>
      <c r="BC44">
        <v>0</v>
      </c>
      <c r="BD44">
        <v>25</v>
      </c>
      <c r="BE44">
        <v>0</v>
      </c>
    </row>
    <row r="45" spans="1:57">
      <c r="A45" t="s">
        <v>16887</v>
      </c>
      <c r="B45" t="s">
        <v>16887</v>
      </c>
      <c r="C45">
        <v>0</v>
      </c>
      <c r="D45">
        <v>16</v>
      </c>
      <c r="E45">
        <v>0</v>
      </c>
      <c r="F45">
        <v>0</v>
      </c>
      <c r="G45">
        <v>0</v>
      </c>
      <c r="H45">
        <v>0</v>
      </c>
      <c r="I45">
        <v>0</v>
      </c>
      <c r="J45">
        <v>16</v>
      </c>
      <c r="K45">
        <v>326</v>
      </c>
      <c r="L45">
        <v>0</v>
      </c>
      <c r="M45">
        <v>0</v>
      </c>
      <c r="N45">
        <v>0</v>
      </c>
      <c r="O45">
        <v>0</v>
      </c>
      <c r="P45">
        <v>0</v>
      </c>
      <c r="Q45">
        <v>0</v>
      </c>
      <c r="R45">
        <v>0</v>
      </c>
      <c r="S45">
        <v>7.5</v>
      </c>
      <c r="T45">
        <v>0</v>
      </c>
      <c r="U45">
        <v>0</v>
      </c>
      <c r="V45">
        <v>7.5</v>
      </c>
      <c r="W45">
        <v>75</v>
      </c>
      <c r="X45">
        <v>0</v>
      </c>
      <c r="Y45">
        <v>15</v>
      </c>
      <c r="Z45">
        <v>0</v>
      </c>
      <c r="AA45">
        <v>0</v>
      </c>
      <c r="AB45">
        <v>0</v>
      </c>
      <c r="AC45">
        <v>75</v>
      </c>
      <c r="AD45">
        <v>0</v>
      </c>
      <c r="AE45">
        <v>75</v>
      </c>
      <c r="AF45">
        <v>0</v>
      </c>
      <c r="AG45">
        <v>150</v>
      </c>
      <c r="AH45">
        <v>75</v>
      </c>
      <c r="AI45">
        <v>0</v>
      </c>
      <c r="AJ45">
        <v>0</v>
      </c>
      <c r="AK45">
        <v>0</v>
      </c>
      <c r="AL45">
        <v>0</v>
      </c>
      <c r="AM45">
        <v>0</v>
      </c>
      <c r="AN45">
        <v>15</v>
      </c>
      <c r="AO45">
        <v>0</v>
      </c>
      <c r="AP45">
        <v>0</v>
      </c>
      <c r="AQ45">
        <v>0</v>
      </c>
      <c r="AR45">
        <v>0</v>
      </c>
      <c r="AS45">
        <v>0</v>
      </c>
      <c r="AT45">
        <v>326</v>
      </c>
      <c r="AU45">
        <v>0</v>
      </c>
      <c r="AV45">
        <v>326</v>
      </c>
      <c r="AW45">
        <v>0</v>
      </c>
      <c r="AX45">
        <v>7.5</v>
      </c>
      <c r="AY45">
        <v>0</v>
      </c>
      <c r="AZ45">
        <v>7.5</v>
      </c>
      <c r="BA45">
        <v>0</v>
      </c>
      <c r="BB45">
        <v>0</v>
      </c>
      <c r="BC45">
        <v>0</v>
      </c>
      <c r="BD45">
        <v>0</v>
      </c>
      <c r="BE45">
        <v>0</v>
      </c>
    </row>
    <row r="46" spans="1:57">
      <c r="A46" t="s">
        <v>16900</v>
      </c>
      <c r="B46" t="s">
        <v>16901</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row>
    <row r="47" spans="1:57">
      <c r="A47" t="s">
        <v>16902</v>
      </c>
      <c r="B47" t="s">
        <v>16903</v>
      </c>
      <c r="C47">
        <v>0</v>
      </c>
      <c r="D47">
        <v>1</v>
      </c>
      <c r="E47">
        <v>1</v>
      </c>
      <c r="F47">
        <v>1</v>
      </c>
      <c r="G47">
        <v>0</v>
      </c>
      <c r="H47">
        <v>0</v>
      </c>
      <c r="I47">
        <v>0</v>
      </c>
      <c r="J47">
        <v>1</v>
      </c>
      <c r="K47">
        <v>9</v>
      </c>
      <c r="L47">
        <v>0</v>
      </c>
      <c r="M47">
        <v>0</v>
      </c>
      <c r="N47">
        <v>0</v>
      </c>
      <c r="O47">
        <v>1</v>
      </c>
      <c r="P47">
        <v>0</v>
      </c>
      <c r="Q47">
        <v>0</v>
      </c>
      <c r="R47">
        <v>0</v>
      </c>
      <c r="S47">
        <v>0.5</v>
      </c>
      <c r="T47">
        <v>0</v>
      </c>
      <c r="U47">
        <v>0.5</v>
      </c>
      <c r="V47">
        <v>1</v>
      </c>
      <c r="W47">
        <v>5</v>
      </c>
      <c r="X47">
        <v>0</v>
      </c>
      <c r="Y47">
        <v>1</v>
      </c>
      <c r="Z47">
        <v>0</v>
      </c>
      <c r="AA47">
        <v>0</v>
      </c>
      <c r="AB47">
        <v>0</v>
      </c>
      <c r="AC47">
        <v>0</v>
      </c>
      <c r="AD47">
        <v>0</v>
      </c>
      <c r="AE47">
        <v>0</v>
      </c>
      <c r="AF47">
        <v>0</v>
      </c>
      <c r="AG47">
        <v>15</v>
      </c>
      <c r="AH47">
        <v>15</v>
      </c>
      <c r="AI47">
        <v>0</v>
      </c>
      <c r="AJ47">
        <v>0</v>
      </c>
      <c r="AK47">
        <v>0</v>
      </c>
      <c r="AL47">
        <v>0</v>
      </c>
      <c r="AM47">
        <v>0</v>
      </c>
      <c r="AN47">
        <v>0</v>
      </c>
      <c r="AO47">
        <v>0</v>
      </c>
      <c r="AP47">
        <v>0</v>
      </c>
      <c r="AQ47">
        <v>0</v>
      </c>
      <c r="AR47">
        <v>0</v>
      </c>
      <c r="AS47">
        <v>0</v>
      </c>
      <c r="AT47">
        <v>9</v>
      </c>
      <c r="AU47">
        <v>0</v>
      </c>
      <c r="AV47">
        <v>9</v>
      </c>
      <c r="AW47">
        <v>0</v>
      </c>
      <c r="AX47">
        <v>0.5</v>
      </c>
      <c r="AY47">
        <v>0</v>
      </c>
      <c r="AZ47">
        <v>0.5</v>
      </c>
      <c r="BA47">
        <v>0</v>
      </c>
      <c r="BB47">
        <v>0</v>
      </c>
      <c r="BC47">
        <v>0</v>
      </c>
      <c r="BD47">
        <v>0</v>
      </c>
      <c r="BE47">
        <v>0</v>
      </c>
    </row>
    <row r="48" spans="1:57">
      <c r="A48" t="s">
        <v>16908</v>
      </c>
      <c r="B48" t="s">
        <v>16909</v>
      </c>
      <c r="C48">
        <v>0</v>
      </c>
      <c r="D48">
        <v>29</v>
      </c>
      <c r="E48">
        <v>29</v>
      </c>
      <c r="F48">
        <v>27</v>
      </c>
      <c r="G48">
        <v>1</v>
      </c>
      <c r="H48">
        <v>1</v>
      </c>
      <c r="I48">
        <v>1</v>
      </c>
      <c r="J48">
        <v>28</v>
      </c>
      <c r="K48">
        <v>261</v>
      </c>
      <c r="L48">
        <v>18</v>
      </c>
      <c r="M48">
        <v>0</v>
      </c>
      <c r="N48">
        <v>3</v>
      </c>
      <c r="O48">
        <v>7</v>
      </c>
      <c r="P48">
        <v>0</v>
      </c>
      <c r="Q48">
        <v>0</v>
      </c>
      <c r="R48">
        <v>0</v>
      </c>
      <c r="S48">
        <v>0</v>
      </c>
      <c r="T48">
        <v>0</v>
      </c>
      <c r="U48">
        <v>1.5</v>
      </c>
      <c r="V48">
        <v>121</v>
      </c>
      <c r="W48">
        <v>0</v>
      </c>
      <c r="X48">
        <v>0</v>
      </c>
      <c r="Y48">
        <v>0</v>
      </c>
      <c r="Z48">
        <v>0</v>
      </c>
      <c r="AA48">
        <v>0</v>
      </c>
      <c r="AB48">
        <v>0</v>
      </c>
      <c r="AC48">
        <v>0</v>
      </c>
      <c r="AD48">
        <v>0</v>
      </c>
      <c r="AE48">
        <v>0</v>
      </c>
      <c r="AF48">
        <v>0</v>
      </c>
      <c r="AG48">
        <v>30</v>
      </c>
      <c r="AH48">
        <v>30</v>
      </c>
      <c r="AI48">
        <v>0</v>
      </c>
      <c r="AJ48">
        <v>0</v>
      </c>
      <c r="AK48">
        <v>10</v>
      </c>
      <c r="AL48">
        <v>10</v>
      </c>
      <c r="AM48">
        <v>0</v>
      </c>
      <c r="AN48">
        <v>0</v>
      </c>
      <c r="AO48">
        <v>0</v>
      </c>
      <c r="AP48">
        <v>0</v>
      </c>
      <c r="AQ48">
        <v>0</v>
      </c>
      <c r="AR48">
        <v>0</v>
      </c>
      <c r="AS48">
        <v>0</v>
      </c>
      <c r="AT48">
        <v>261</v>
      </c>
      <c r="AU48">
        <v>45</v>
      </c>
      <c r="AV48">
        <v>216</v>
      </c>
      <c r="AW48">
        <v>0</v>
      </c>
      <c r="AX48">
        <v>0</v>
      </c>
      <c r="AY48">
        <v>0</v>
      </c>
      <c r="AZ48">
        <v>0</v>
      </c>
      <c r="BA48">
        <v>0</v>
      </c>
      <c r="BB48">
        <v>0</v>
      </c>
      <c r="BC48">
        <v>0</v>
      </c>
      <c r="BD48">
        <v>0</v>
      </c>
      <c r="BE48">
        <v>0</v>
      </c>
    </row>
    <row r="49" spans="1:57">
      <c r="A49" t="s">
        <v>17221</v>
      </c>
      <c r="B49" t="s">
        <v>17405</v>
      </c>
      <c r="C49">
        <v>1</v>
      </c>
      <c r="D49">
        <v>79</v>
      </c>
      <c r="E49">
        <v>70</v>
      </c>
      <c r="F49">
        <v>54</v>
      </c>
      <c r="G49">
        <v>0</v>
      </c>
      <c r="H49">
        <v>2</v>
      </c>
      <c r="I49">
        <v>0</v>
      </c>
      <c r="J49">
        <v>78</v>
      </c>
      <c r="K49">
        <v>1119</v>
      </c>
      <c r="L49">
        <v>72</v>
      </c>
      <c r="M49">
        <v>0</v>
      </c>
      <c r="N49">
        <v>0</v>
      </c>
      <c r="O49">
        <v>5</v>
      </c>
      <c r="P49">
        <v>0</v>
      </c>
      <c r="Q49">
        <v>2</v>
      </c>
      <c r="R49">
        <v>0</v>
      </c>
      <c r="S49">
        <v>181.05</v>
      </c>
      <c r="T49">
        <v>33.85</v>
      </c>
      <c r="U49">
        <v>0</v>
      </c>
      <c r="V49">
        <v>214.9</v>
      </c>
      <c r="W49">
        <v>2287.5</v>
      </c>
      <c r="X49">
        <v>0</v>
      </c>
      <c r="Y49">
        <v>63</v>
      </c>
      <c r="Z49">
        <v>0</v>
      </c>
      <c r="AA49">
        <v>-200</v>
      </c>
      <c r="AB49">
        <v>1120</v>
      </c>
      <c r="AC49">
        <v>0</v>
      </c>
      <c r="AD49">
        <v>0</v>
      </c>
      <c r="AE49">
        <v>0</v>
      </c>
      <c r="AF49">
        <v>1120</v>
      </c>
      <c r="AG49">
        <v>2287.5</v>
      </c>
      <c r="AH49">
        <v>2287.5</v>
      </c>
      <c r="AI49">
        <v>0</v>
      </c>
      <c r="AJ49">
        <v>170</v>
      </c>
      <c r="AK49">
        <v>200</v>
      </c>
      <c r="AL49">
        <v>200</v>
      </c>
      <c r="AM49">
        <v>0</v>
      </c>
      <c r="AN49">
        <v>0</v>
      </c>
      <c r="AO49">
        <v>0</v>
      </c>
      <c r="AP49">
        <v>0</v>
      </c>
      <c r="AQ49">
        <v>0</v>
      </c>
      <c r="AR49">
        <v>0</v>
      </c>
      <c r="AS49">
        <v>0</v>
      </c>
      <c r="AT49">
        <v>1119</v>
      </c>
      <c r="AU49">
        <v>24</v>
      </c>
      <c r="AV49">
        <v>1095</v>
      </c>
      <c r="AW49">
        <v>10</v>
      </c>
      <c r="AX49">
        <v>181.05</v>
      </c>
      <c r="AY49">
        <v>40</v>
      </c>
      <c r="AZ49">
        <v>141.05000000000001</v>
      </c>
      <c r="BA49">
        <v>20</v>
      </c>
      <c r="BB49">
        <v>33.85</v>
      </c>
      <c r="BC49">
        <v>0</v>
      </c>
      <c r="BD49">
        <v>33.85</v>
      </c>
      <c r="BE49">
        <v>0</v>
      </c>
    </row>
    <row r="50" spans="1:57">
      <c r="A50" t="s">
        <v>16912</v>
      </c>
      <c r="B50" t="s">
        <v>16913</v>
      </c>
      <c r="C50">
        <v>0</v>
      </c>
      <c r="D50">
        <v>3</v>
      </c>
      <c r="E50">
        <v>3</v>
      </c>
      <c r="F50">
        <v>2</v>
      </c>
      <c r="G50">
        <v>0</v>
      </c>
      <c r="H50">
        <v>0</v>
      </c>
      <c r="I50">
        <v>0</v>
      </c>
      <c r="J50">
        <v>3</v>
      </c>
      <c r="K50">
        <v>20</v>
      </c>
      <c r="L50">
        <v>2</v>
      </c>
      <c r="M50">
        <v>0</v>
      </c>
      <c r="N50">
        <v>0</v>
      </c>
      <c r="O50">
        <v>0</v>
      </c>
      <c r="P50">
        <v>0</v>
      </c>
      <c r="Q50">
        <v>1</v>
      </c>
      <c r="R50">
        <v>0</v>
      </c>
      <c r="S50">
        <v>3</v>
      </c>
      <c r="T50">
        <v>1</v>
      </c>
      <c r="U50">
        <v>0</v>
      </c>
      <c r="V50">
        <v>4</v>
      </c>
      <c r="W50">
        <v>50</v>
      </c>
      <c r="X50">
        <v>0</v>
      </c>
      <c r="Y50">
        <v>1</v>
      </c>
      <c r="Z50">
        <v>1</v>
      </c>
      <c r="AA50">
        <v>0</v>
      </c>
      <c r="AB50">
        <v>0</v>
      </c>
      <c r="AC50">
        <v>0</v>
      </c>
      <c r="AD50">
        <v>0</v>
      </c>
      <c r="AE50">
        <v>0</v>
      </c>
      <c r="AF50">
        <v>0</v>
      </c>
      <c r="AG50">
        <v>50</v>
      </c>
      <c r="AH50">
        <v>50</v>
      </c>
      <c r="AI50">
        <v>0</v>
      </c>
      <c r="AJ50">
        <v>0</v>
      </c>
      <c r="AK50">
        <v>0</v>
      </c>
      <c r="AL50">
        <v>0</v>
      </c>
      <c r="AM50">
        <v>0</v>
      </c>
      <c r="AN50">
        <v>0</v>
      </c>
      <c r="AO50">
        <v>0</v>
      </c>
      <c r="AP50">
        <v>0</v>
      </c>
      <c r="AQ50">
        <v>0</v>
      </c>
      <c r="AR50">
        <v>0</v>
      </c>
      <c r="AS50">
        <v>0</v>
      </c>
      <c r="AT50">
        <v>20</v>
      </c>
      <c r="AU50">
        <v>0</v>
      </c>
      <c r="AV50">
        <v>20</v>
      </c>
      <c r="AW50">
        <v>0</v>
      </c>
      <c r="AX50">
        <v>3</v>
      </c>
      <c r="AY50">
        <v>0</v>
      </c>
      <c r="AZ50">
        <v>3</v>
      </c>
      <c r="BA50">
        <v>0</v>
      </c>
      <c r="BB50">
        <v>1</v>
      </c>
      <c r="BC50">
        <v>0</v>
      </c>
      <c r="BD50">
        <v>1</v>
      </c>
      <c r="BE50">
        <v>0</v>
      </c>
    </row>
    <row r="51" spans="1:57">
      <c r="A51" t="s">
        <v>16914</v>
      </c>
      <c r="B51" t="s">
        <v>16915</v>
      </c>
      <c r="C51">
        <v>0</v>
      </c>
      <c r="D51">
        <v>9</v>
      </c>
      <c r="E51">
        <v>9</v>
      </c>
      <c r="F51">
        <v>9</v>
      </c>
      <c r="G51">
        <v>0</v>
      </c>
      <c r="H51">
        <v>1</v>
      </c>
      <c r="I51">
        <v>0</v>
      </c>
      <c r="J51">
        <v>8</v>
      </c>
      <c r="K51">
        <v>25</v>
      </c>
      <c r="L51">
        <v>7</v>
      </c>
      <c r="M51">
        <v>0</v>
      </c>
      <c r="N51">
        <v>1</v>
      </c>
      <c r="O51">
        <v>1</v>
      </c>
      <c r="P51">
        <v>0</v>
      </c>
      <c r="Q51">
        <v>0</v>
      </c>
      <c r="R51">
        <v>0</v>
      </c>
      <c r="S51">
        <v>1.5</v>
      </c>
      <c r="T51">
        <v>12</v>
      </c>
      <c r="U51">
        <v>0</v>
      </c>
      <c r="V51">
        <v>13.5</v>
      </c>
      <c r="W51">
        <v>255</v>
      </c>
      <c r="X51">
        <v>0</v>
      </c>
      <c r="Y51">
        <v>3</v>
      </c>
      <c r="Z51">
        <v>0</v>
      </c>
      <c r="AA51">
        <v>0</v>
      </c>
      <c r="AB51">
        <v>192.5</v>
      </c>
      <c r="AC51">
        <v>13.7</v>
      </c>
      <c r="AD51">
        <v>12.2</v>
      </c>
      <c r="AE51">
        <v>152.19999999999999</v>
      </c>
      <c r="AF51">
        <v>204.7</v>
      </c>
      <c r="AG51">
        <v>268.70000000000005</v>
      </c>
      <c r="AH51">
        <v>116.5</v>
      </c>
      <c r="AI51">
        <v>47.5</v>
      </c>
      <c r="AJ51">
        <v>100</v>
      </c>
      <c r="AK51">
        <v>130</v>
      </c>
      <c r="AL51">
        <v>82.5</v>
      </c>
      <c r="AM51">
        <v>1</v>
      </c>
      <c r="AN51">
        <v>2</v>
      </c>
      <c r="AO51">
        <v>1</v>
      </c>
      <c r="AP51">
        <v>0</v>
      </c>
      <c r="AQ51">
        <v>0</v>
      </c>
      <c r="AR51">
        <v>0</v>
      </c>
      <c r="AS51">
        <v>0</v>
      </c>
      <c r="AT51">
        <v>25</v>
      </c>
      <c r="AU51">
        <v>0</v>
      </c>
      <c r="AV51">
        <v>25</v>
      </c>
      <c r="AW51">
        <v>0</v>
      </c>
      <c r="AX51">
        <v>1.5</v>
      </c>
      <c r="AY51">
        <v>1</v>
      </c>
      <c r="AZ51">
        <v>0.5</v>
      </c>
      <c r="BA51">
        <v>0</v>
      </c>
      <c r="BB51">
        <v>12</v>
      </c>
      <c r="BC51">
        <v>6</v>
      </c>
      <c r="BD51">
        <v>6</v>
      </c>
      <c r="BE51">
        <v>0</v>
      </c>
    </row>
    <row r="52" spans="1:57">
      <c r="A52" t="s">
        <v>16916</v>
      </c>
      <c r="B52" t="s">
        <v>16917</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row>
    <row r="53" spans="1:57">
      <c r="A53" t="s">
        <v>16941</v>
      </c>
      <c r="B53" t="s">
        <v>16942</v>
      </c>
      <c r="C53">
        <v>0</v>
      </c>
      <c r="D53">
        <v>10</v>
      </c>
      <c r="E53">
        <v>10</v>
      </c>
      <c r="F53">
        <v>10</v>
      </c>
      <c r="G53">
        <v>0</v>
      </c>
      <c r="H53">
        <v>2</v>
      </c>
      <c r="I53">
        <v>0</v>
      </c>
      <c r="J53">
        <v>8</v>
      </c>
      <c r="K53">
        <v>31</v>
      </c>
      <c r="L53">
        <v>8</v>
      </c>
      <c r="M53">
        <v>0</v>
      </c>
      <c r="N53">
        <v>0</v>
      </c>
      <c r="O53">
        <v>0</v>
      </c>
      <c r="P53">
        <v>0</v>
      </c>
      <c r="Q53">
        <v>0</v>
      </c>
      <c r="R53">
        <v>0</v>
      </c>
      <c r="S53">
        <v>3.75</v>
      </c>
      <c r="T53">
        <v>2.75</v>
      </c>
      <c r="U53">
        <v>0</v>
      </c>
      <c r="V53">
        <v>6.5</v>
      </c>
      <c r="W53">
        <v>92.5</v>
      </c>
      <c r="X53">
        <v>0</v>
      </c>
      <c r="Y53">
        <v>8</v>
      </c>
      <c r="Z53">
        <v>0</v>
      </c>
      <c r="AA53">
        <v>0</v>
      </c>
      <c r="AB53">
        <v>0</v>
      </c>
      <c r="AC53">
        <v>0</v>
      </c>
      <c r="AD53">
        <v>0</v>
      </c>
      <c r="AE53">
        <v>0</v>
      </c>
      <c r="AF53">
        <v>0</v>
      </c>
      <c r="AG53">
        <v>92.5</v>
      </c>
      <c r="AH53">
        <v>92.5</v>
      </c>
      <c r="AI53">
        <v>0</v>
      </c>
      <c r="AJ53">
        <v>0</v>
      </c>
      <c r="AK53">
        <v>35</v>
      </c>
      <c r="AL53">
        <v>35</v>
      </c>
      <c r="AM53">
        <v>0</v>
      </c>
      <c r="AN53">
        <v>0</v>
      </c>
      <c r="AO53">
        <v>0</v>
      </c>
      <c r="AP53">
        <v>0</v>
      </c>
      <c r="AQ53">
        <v>0</v>
      </c>
      <c r="AR53">
        <v>0</v>
      </c>
      <c r="AS53">
        <v>0</v>
      </c>
      <c r="AT53">
        <v>31</v>
      </c>
      <c r="AU53">
        <v>0</v>
      </c>
      <c r="AV53">
        <v>31</v>
      </c>
      <c r="AW53">
        <v>0</v>
      </c>
      <c r="AX53">
        <v>3.75</v>
      </c>
      <c r="AY53">
        <v>1.5</v>
      </c>
      <c r="AZ53">
        <v>2.25</v>
      </c>
      <c r="BA53">
        <v>0</v>
      </c>
      <c r="BB53">
        <v>2.75</v>
      </c>
      <c r="BC53">
        <v>1</v>
      </c>
      <c r="BD53">
        <v>1.75</v>
      </c>
      <c r="BE53">
        <v>0</v>
      </c>
    </row>
    <row r="54" spans="1:57">
      <c r="A54" t="s">
        <v>16920</v>
      </c>
      <c r="B54" t="s">
        <v>16921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row>
    <row r="55" spans="1:57">
      <c r="A55" t="s">
        <v>16922</v>
      </c>
      <c r="B55" t="s">
        <v>16923</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row>
    <row r="56" spans="1:57">
      <c r="A56" t="s">
        <v>19971</v>
      </c>
      <c r="B56" t="s">
        <v>19972</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row>
    <row r="57" spans="1:57">
      <c r="A57" t="s">
        <v>16924</v>
      </c>
      <c r="B57" t="s">
        <v>16925</v>
      </c>
      <c r="C57">
        <v>0</v>
      </c>
      <c r="D57">
        <v>2</v>
      </c>
      <c r="E57">
        <v>2</v>
      </c>
      <c r="F57">
        <v>1</v>
      </c>
      <c r="G57">
        <v>1</v>
      </c>
      <c r="H57">
        <v>2</v>
      </c>
      <c r="I57">
        <v>1</v>
      </c>
      <c r="J57">
        <v>2</v>
      </c>
      <c r="K57">
        <v>113</v>
      </c>
      <c r="L57">
        <v>1</v>
      </c>
      <c r="M57">
        <v>0</v>
      </c>
      <c r="N57">
        <v>0</v>
      </c>
      <c r="O57">
        <v>0</v>
      </c>
      <c r="P57">
        <v>0</v>
      </c>
      <c r="Q57">
        <v>1</v>
      </c>
      <c r="R57">
        <v>0</v>
      </c>
      <c r="S57">
        <v>14.5</v>
      </c>
      <c r="T57">
        <v>0</v>
      </c>
      <c r="U57">
        <v>0</v>
      </c>
      <c r="V57">
        <v>14.5</v>
      </c>
      <c r="W57">
        <v>145</v>
      </c>
      <c r="X57">
        <v>0</v>
      </c>
      <c r="Y57">
        <v>2</v>
      </c>
      <c r="Z57">
        <v>0</v>
      </c>
      <c r="AA57">
        <v>0</v>
      </c>
      <c r="AB57">
        <v>90</v>
      </c>
      <c r="AC57">
        <v>128.15</v>
      </c>
      <c r="AD57">
        <v>128.15</v>
      </c>
      <c r="AE57">
        <v>32.1</v>
      </c>
      <c r="AF57">
        <v>218.15</v>
      </c>
      <c r="AG57">
        <v>273.15000000000003</v>
      </c>
      <c r="AH57">
        <v>241.05</v>
      </c>
      <c r="AI57">
        <v>32.1</v>
      </c>
      <c r="AJ57">
        <v>218.15</v>
      </c>
      <c r="AK57">
        <v>273.15000000000003</v>
      </c>
      <c r="AL57">
        <v>241.05</v>
      </c>
      <c r="AM57">
        <v>0</v>
      </c>
      <c r="AN57">
        <v>1</v>
      </c>
      <c r="AO57">
        <v>0</v>
      </c>
      <c r="AP57">
        <v>0</v>
      </c>
      <c r="AQ57">
        <v>0</v>
      </c>
      <c r="AR57">
        <v>0</v>
      </c>
      <c r="AS57">
        <v>0</v>
      </c>
      <c r="AT57">
        <v>113</v>
      </c>
      <c r="AU57">
        <v>113</v>
      </c>
      <c r="AV57">
        <v>0</v>
      </c>
      <c r="AW57">
        <v>0</v>
      </c>
      <c r="AX57">
        <v>14.5</v>
      </c>
      <c r="AY57">
        <v>14.5</v>
      </c>
      <c r="AZ57">
        <v>0</v>
      </c>
      <c r="BA57">
        <v>0</v>
      </c>
      <c r="BB57">
        <v>0</v>
      </c>
      <c r="BC57">
        <v>0</v>
      </c>
      <c r="BD57">
        <v>0</v>
      </c>
      <c r="BE57">
        <v>0</v>
      </c>
    </row>
    <row r="58" spans="1:57">
      <c r="A58" t="s">
        <v>16928</v>
      </c>
      <c r="B58" t="s">
        <v>16929</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row>
    <row r="59" spans="1:57">
      <c r="A59" t="s">
        <v>16930</v>
      </c>
      <c r="B59" t="s">
        <v>16931</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row>
    <row r="60" spans="1:57">
      <c r="A60" t="s">
        <v>17222</v>
      </c>
      <c r="B60" t="s">
        <v>17223</v>
      </c>
      <c r="C60">
        <v>0</v>
      </c>
      <c r="D60">
        <v>98</v>
      </c>
      <c r="E60">
        <v>75</v>
      </c>
      <c r="F60">
        <v>72</v>
      </c>
      <c r="G60">
        <v>0</v>
      </c>
      <c r="H60">
        <v>0</v>
      </c>
      <c r="I60">
        <v>0</v>
      </c>
      <c r="J60">
        <v>87</v>
      </c>
      <c r="K60">
        <v>943</v>
      </c>
      <c r="L60">
        <v>56</v>
      </c>
      <c r="M60">
        <v>5</v>
      </c>
      <c r="N60">
        <v>13</v>
      </c>
      <c r="O60">
        <v>14</v>
      </c>
      <c r="P60">
        <v>6</v>
      </c>
      <c r="Q60">
        <v>5</v>
      </c>
      <c r="R60">
        <v>0</v>
      </c>
      <c r="S60">
        <v>13.25</v>
      </c>
      <c r="T60">
        <v>9.1000000000000014</v>
      </c>
      <c r="U60">
        <v>0</v>
      </c>
      <c r="V60">
        <v>22.35</v>
      </c>
      <c r="W60">
        <v>314.5</v>
      </c>
      <c r="X60">
        <v>0</v>
      </c>
      <c r="Y60">
        <v>19</v>
      </c>
      <c r="Z60">
        <v>0</v>
      </c>
      <c r="AA60">
        <v>0</v>
      </c>
      <c r="AB60">
        <v>0</v>
      </c>
      <c r="AC60">
        <v>2.6</v>
      </c>
      <c r="AD60">
        <v>1</v>
      </c>
      <c r="AE60">
        <v>1</v>
      </c>
      <c r="AF60">
        <v>1</v>
      </c>
      <c r="AG60">
        <v>317.10000000000002</v>
      </c>
      <c r="AH60">
        <v>317.10000000000002</v>
      </c>
      <c r="AI60">
        <v>1</v>
      </c>
      <c r="AJ60">
        <v>0</v>
      </c>
      <c r="AK60">
        <v>0</v>
      </c>
      <c r="AL60">
        <v>0</v>
      </c>
      <c r="AM60">
        <v>0</v>
      </c>
      <c r="AN60">
        <v>0</v>
      </c>
      <c r="AO60">
        <v>0</v>
      </c>
      <c r="AP60">
        <v>0</v>
      </c>
      <c r="AQ60">
        <v>0</v>
      </c>
      <c r="AR60">
        <v>0</v>
      </c>
      <c r="AS60">
        <v>0</v>
      </c>
      <c r="AT60">
        <v>943</v>
      </c>
      <c r="AU60">
        <v>0</v>
      </c>
      <c r="AV60">
        <v>943</v>
      </c>
      <c r="AW60">
        <v>0</v>
      </c>
      <c r="AX60">
        <v>13.25</v>
      </c>
      <c r="AY60">
        <v>0</v>
      </c>
      <c r="AZ60">
        <v>13.25</v>
      </c>
      <c r="BA60">
        <v>0</v>
      </c>
      <c r="BB60">
        <v>9.1000000000000014</v>
      </c>
      <c r="BC60">
        <v>0</v>
      </c>
      <c r="BD60">
        <v>9.1000000000000014</v>
      </c>
      <c r="BE60">
        <v>0</v>
      </c>
    </row>
    <row r="61" spans="1:57">
      <c r="A61" t="s">
        <v>16943</v>
      </c>
      <c r="B61" t="s">
        <v>16944</v>
      </c>
      <c r="C61">
        <v>0</v>
      </c>
      <c r="D61">
        <v>1</v>
      </c>
      <c r="E61">
        <v>1</v>
      </c>
      <c r="F61">
        <v>1</v>
      </c>
      <c r="G61">
        <v>0</v>
      </c>
      <c r="H61">
        <v>1</v>
      </c>
      <c r="I61">
        <v>1</v>
      </c>
      <c r="J61">
        <v>1</v>
      </c>
      <c r="K61">
        <v>20</v>
      </c>
      <c r="L61">
        <v>0</v>
      </c>
      <c r="M61">
        <v>0</v>
      </c>
      <c r="N61">
        <v>1</v>
      </c>
      <c r="O61">
        <v>0</v>
      </c>
      <c r="P61">
        <v>0</v>
      </c>
      <c r="Q61">
        <v>0</v>
      </c>
      <c r="R61">
        <v>0</v>
      </c>
      <c r="S61">
        <v>2</v>
      </c>
      <c r="T61">
        <v>2</v>
      </c>
      <c r="U61">
        <v>2</v>
      </c>
      <c r="V61">
        <v>6</v>
      </c>
      <c r="W61">
        <v>60</v>
      </c>
      <c r="X61">
        <v>0</v>
      </c>
      <c r="Y61">
        <v>0</v>
      </c>
      <c r="Z61">
        <v>1</v>
      </c>
      <c r="AA61">
        <v>0</v>
      </c>
      <c r="AB61">
        <v>0</v>
      </c>
      <c r="AC61">
        <v>0</v>
      </c>
      <c r="AD61">
        <v>0</v>
      </c>
      <c r="AE61">
        <v>0</v>
      </c>
      <c r="AF61">
        <v>0</v>
      </c>
      <c r="AG61">
        <v>100</v>
      </c>
      <c r="AH61">
        <v>100</v>
      </c>
      <c r="AI61">
        <v>0</v>
      </c>
      <c r="AJ61">
        <v>0</v>
      </c>
      <c r="AK61">
        <v>100</v>
      </c>
      <c r="AL61">
        <v>100</v>
      </c>
      <c r="AM61">
        <v>0</v>
      </c>
      <c r="AN61">
        <v>0</v>
      </c>
      <c r="AO61">
        <v>0</v>
      </c>
      <c r="AP61">
        <v>0</v>
      </c>
      <c r="AQ61">
        <v>0</v>
      </c>
      <c r="AR61">
        <v>0</v>
      </c>
      <c r="AS61">
        <v>0</v>
      </c>
      <c r="AT61">
        <v>20</v>
      </c>
      <c r="AU61">
        <v>20</v>
      </c>
      <c r="AV61">
        <v>0</v>
      </c>
      <c r="AW61">
        <v>0</v>
      </c>
      <c r="AX61">
        <v>2</v>
      </c>
      <c r="AY61">
        <v>2</v>
      </c>
      <c r="AZ61">
        <v>0</v>
      </c>
      <c r="BA61">
        <v>0</v>
      </c>
      <c r="BB61">
        <v>2</v>
      </c>
      <c r="BC61">
        <v>2</v>
      </c>
      <c r="BD61">
        <v>0</v>
      </c>
      <c r="BE61">
        <v>0</v>
      </c>
    </row>
    <row r="62" spans="1:57">
      <c r="A62" t="s">
        <v>17224</v>
      </c>
      <c r="B62" t="s">
        <v>17225</v>
      </c>
      <c r="C62">
        <v>0</v>
      </c>
      <c r="D62">
        <v>7</v>
      </c>
      <c r="E62">
        <v>0</v>
      </c>
      <c r="F62">
        <v>6</v>
      </c>
      <c r="G62">
        <v>1</v>
      </c>
      <c r="H62">
        <v>0</v>
      </c>
      <c r="I62">
        <v>0</v>
      </c>
      <c r="J62">
        <v>7</v>
      </c>
      <c r="K62">
        <v>60</v>
      </c>
      <c r="L62">
        <v>7</v>
      </c>
      <c r="M62">
        <v>0</v>
      </c>
      <c r="N62">
        <v>0</v>
      </c>
      <c r="O62">
        <v>0</v>
      </c>
      <c r="P62">
        <v>0</v>
      </c>
      <c r="Q62">
        <v>0</v>
      </c>
      <c r="R62">
        <v>0</v>
      </c>
      <c r="S62">
        <v>6.25</v>
      </c>
      <c r="T62">
        <v>0</v>
      </c>
      <c r="U62">
        <v>0</v>
      </c>
      <c r="V62">
        <v>3.25</v>
      </c>
      <c r="W62">
        <v>62.5</v>
      </c>
      <c r="X62">
        <v>0</v>
      </c>
      <c r="Y62">
        <v>4</v>
      </c>
      <c r="Z62">
        <v>0</v>
      </c>
      <c r="AA62">
        <v>0</v>
      </c>
      <c r="AB62">
        <v>0</v>
      </c>
      <c r="AC62">
        <v>0</v>
      </c>
      <c r="AD62">
        <v>0</v>
      </c>
      <c r="AE62">
        <v>0</v>
      </c>
      <c r="AF62">
        <v>0</v>
      </c>
      <c r="AG62">
        <v>62.5</v>
      </c>
      <c r="AH62">
        <v>62.5</v>
      </c>
      <c r="AI62">
        <v>0</v>
      </c>
      <c r="AJ62">
        <v>0</v>
      </c>
      <c r="AK62">
        <v>0</v>
      </c>
      <c r="AL62">
        <v>0</v>
      </c>
      <c r="AM62">
        <v>0</v>
      </c>
      <c r="AN62">
        <v>0</v>
      </c>
      <c r="AO62">
        <v>0</v>
      </c>
      <c r="AP62">
        <v>0</v>
      </c>
      <c r="AQ62">
        <v>0</v>
      </c>
      <c r="AR62">
        <v>0</v>
      </c>
      <c r="AS62">
        <v>0</v>
      </c>
      <c r="AT62">
        <v>60</v>
      </c>
      <c r="AU62">
        <v>0</v>
      </c>
      <c r="AV62">
        <v>60</v>
      </c>
      <c r="AW62">
        <v>0</v>
      </c>
      <c r="AX62">
        <v>6.25</v>
      </c>
      <c r="AY62">
        <v>0</v>
      </c>
      <c r="AZ62">
        <v>6.25</v>
      </c>
      <c r="BA62">
        <v>0</v>
      </c>
      <c r="BB62">
        <v>0</v>
      </c>
      <c r="BC62">
        <v>0</v>
      </c>
      <c r="BD62">
        <v>0</v>
      </c>
      <c r="BE62">
        <v>0</v>
      </c>
    </row>
    <row r="63" spans="1:57">
      <c r="A63" t="s">
        <v>16926</v>
      </c>
      <c r="B63" t="s">
        <v>16926</v>
      </c>
      <c r="C63">
        <v>25</v>
      </c>
      <c r="D63">
        <v>25</v>
      </c>
      <c r="E63">
        <v>20</v>
      </c>
      <c r="F63">
        <v>19</v>
      </c>
      <c r="G63">
        <v>1</v>
      </c>
      <c r="H63">
        <v>3</v>
      </c>
      <c r="I63">
        <v>0</v>
      </c>
      <c r="J63">
        <v>17</v>
      </c>
      <c r="K63">
        <v>100</v>
      </c>
      <c r="L63">
        <v>17</v>
      </c>
      <c r="M63">
        <v>0</v>
      </c>
      <c r="N63">
        <v>0</v>
      </c>
      <c r="O63">
        <v>6</v>
      </c>
      <c r="P63">
        <v>1</v>
      </c>
      <c r="Q63">
        <v>0</v>
      </c>
      <c r="R63">
        <v>0</v>
      </c>
      <c r="S63">
        <v>10.75</v>
      </c>
      <c r="T63">
        <v>0</v>
      </c>
      <c r="U63">
        <v>0</v>
      </c>
      <c r="V63">
        <v>10.75</v>
      </c>
      <c r="W63">
        <v>0</v>
      </c>
      <c r="X63">
        <v>0</v>
      </c>
      <c r="Y63">
        <v>0</v>
      </c>
      <c r="Z63">
        <v>0</v>
      </c>
      <c r="AA63">
        <v>-107.5</v>
      </c>
      <c r="AB63">
        <v>0</v>
      </c>
      <c r="AC63">
        <v>0</v>
      </c>
      <c r="AD63">
        <v>0</v>
      </c>
      <c r="AE63">
        <v>4</v>
      </c>
      <c r="AF63">
        <v>0</v>
      </c>
      <c r="AG63">
        <v>0</v>
      </c>
      <c r="AH63">
        <v>0</v>
      </c>
      <c r="AI63">
        <v>0</v>
      </c>
      <c r="AJ63">
        <v>0</v>
      </c>
      <c r="AK63">
        <v>0</v>
      </c>
      <c r="AL63">
        <v>0</v>
      </c>
      <c r="AM63">
        <v>1</v>
      </c>
      <c r="AN63">
        <v>0</v>
      </c>
      <c r="AO63">
        <v>0</v>
      </c>
      <c r="AP63">
        <v>0</v>
      </c>
      <c r="AQ63">
        <v>0</v>
      </c>
      <c r="AR63">
        <v>0</v>
      </c>
      <c r="AS63">
        <v>0</v>
      </c>
      <c r="AT63">
        <v>100</v>
      </c>
      <c r="AU63">
        <v>0</v>
      </c>
      <c r="AV63">
        <v>0</v>
      </c>
      <c r="AW63">
        <v>100</v>
      </c>
      <c r="AX63">
        <v>10.75</v>
      </c>
      <c r="AY63">
        <v>0</v>
      </c>
      <c r="AZ63">
        <v>0</v>
      </c>
      <c r="BA63">
        <v>10.75</v>
      </c>
      <c r="BB63">
        <v>0</v>
      </c>
      <c r="BC63">
        <v>0</v>
      </c>
      <c r="BD63">
        <v>0</v>
      </c>
      <c r="BE63">
        <v>0</v>
      </c>
    </row>
    <row r="64" spans="1:57">
      <c r="A64" t="s">
        <v>16945</v>
      </c>
      <c r="B64" t="s">
        <v>16946</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row>
    <row r="65" spans="1:57">
      <c r="A65" t="s">
        <v>16951</v>
      </c>
      <c r="B65" t="s">
        <v>17398</v>
      </c>
      <c r="C65">
        <v>0</v>
      </c>
      <c r="D65">
        <v>1</v>
      </c>
      <c r="E65">
        <v>0</v>
      </c>
      <c r="F65">
        <v>1</v>
      </c>
      <c r="G65">
        <v>0</v>
      </c>
      <c r="H65">
        <v>0</v>
      </c>
      <c r="I65">
        <v>0</v>
      </c>
      <c r="J65">
        <v>1</v>
      </c>
      <c r="K65">
        <v>6</v>
      </c>
      <c r="L65">
        <v>1</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6</v>
      </c>
      <c r="AU65">
        <v>0</v>
      </c>
      <c r="AV65">
        <v>6</v>
      </c>
      <c r="AW65">
        <v>0</v>
      </c>
      <c r="AX65">
        <v>0</v>
      </c>
      <c r="AY65">
        <v>0</v>
      </c>
      <c r="AZ65">
        <v>0</v>
      </c>
      <c r="BA65">
        <v>0</v>
      </c>
      <c r="BB65">
        <v>0</v>
      </c>
      <c r="BC65">
        <v>0</v>
      </c>
      <c r="BD65">
        <v>0</v>
      </c>
      <c r="BE65">
        <v>0</v>
      </c>
    </row>
    <row r="66" spans="1:57">
      <c r="A66" t="s">
        <v>16954</v>
      </c>
      <c r="B66" t="s">
        <v>16955</v>
      </c>
      <c r="C66">
        <v>0</v>
      </c>
      <c r="D66">
        <v>15</v>
      </c>
      <c r="E66">
        <v>15</v>
      </c>
      <c r="F66">
        <v>15</v>
      </c>
      <c r="G66">
        <v>0</v>
      </c>
      <c r="H66">
        <v>0</v>
      </c>
      <c r="I66">
        <v>0</v>
      </c>
      <c r="J66">
        <v>15</v>
      </c>
      <c r="K66">
        <v>22</v>
      </c>
      <c r="L66">
        <v>12</v>
      </c>
      <c r="M66">
        <v>0</v>
      </c>
      <c r="N66">
        <v>0</v>
      </c>
      <c r="O66">
        <v>3</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22</v>
      </c>
      <c r="AU66">
        <v>0</v>
      </c>
      <c r="AV66">
        <v>22</v>
      </c>
      <c r="AW66">
        <v>0</v>
      </c>
      <c r="AX66">
        <v>0</v>
      </c>
      <c r="AY66">
        <v>0</v>
      </c>
      <c r="AZ66">
        <v>0</v>
      </c>
      <c r="BA66">
        <v>0</v>
      </c>
      <c r="BB66">
        <v>0</v>
      </c>
      <c r="BC66">
        <v>0</v>
      </c>
      <c r="BD66">
        <v>0</v>
      </c>
      <c r="BE66">
        <v>0</v>
      </c>
    </row>
    <row r="67" spans="1:57">
      <c r="A67" t="s">
        <v>16956</v>
      </c>
      <c r="B67" t="s">
        <v>16957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row>
    <row r="68" spans="1:57">
      <c r="A68" t="s">
        <v>16958</v>
      </c>
      <c r="B68" t="s">
        <v>16959</v>
      </c>
      <c r="C68">
        <v>0</v>
      </c>
      <c r="D68">
        <v>6</v>
      </c>
      <c r="E68">
        <v>2</v>
      </c>
      <c r="F68">
        <v>5</v>
      </c>
      <c r="G68">
        <v>1</v>
      </c>
      <c r="H68">
        <v>1</v>
      </c>
      <c r="I68">
        <v>0</v>
      </c>
      <c r="J68">
        <v>6</v>
      </c>
      <c r="K68">
        <v>44</v>
      </c>
      <c r="L68">
        <v>6</v>
      </c>
      <c r="M68">
        <v>0</v>
      </c>
      <c r="N68">
        <v>0</v>
      </c>
      <c r="O68">
        <v>0</v>
      </c>
      <c r="P68">
        <v>0</v>
      </c>
      <c r="Q68">
        <v>0</v>
      </c>
      <c r="R68">
        <v>0</v>
      </c>
      <c r="S68">
        <v>2</v>
      </c>
      <c r="T68">
        <v>2</v>
      </c>
      <c r="U68">
        <v>2</v>
      </c>
      <c r="V68">
        <v>6</v>
      </c>
      <c r="W68">
        <v>0</v>
      </c>
      <c r="X68">
        <v>0</v>
      </c>
      <c r="Y68">
        <v>0</v>
      </c>
      <c r="Z68">
        <v>0</v>
      </c>
      <c r="AA68">
        <v>-60</v>
      </c>
      <c r="AB68">
        <v>0</v>
      </c>
      <c r="AC68">
        <v>0</v>
      </c>
      <c r="AD68">
        <v>0</v>
      </c>
      <c r="AE68">
        <v>0</v>
      </c>
      <c r="AF68">
        <v>0</v>
      </c>
      <c r="AG68">
        <v>40</v>
      </c>
      <c r="AH68">
        <v>40</v>
      </c>
      <c r="AI68">
        <v>0</v>
      </c>
      <c r="AJ68">
        <v>0</v>
      </c>
      <c r="AK68">
        <v>40</v>
      </c>
      <c r="AL68">
        <v>40</v>
      </c>
      <c r="AM68">
        <v>0</v>
      </c>
      <c r="AN68">
        <v>0</v>
      </c>
      <c r="AO68">
        <v>0</v>
      </c>
      <c r="AP68">
        <v>0</v>
      </c>
      <c r="AQ68">
        <v>0</v>
      </c>
      <c r="AR68">
        <v>0</v>
      </c>
      <c r="AS68">
        <v>0</v>
      </c>
      <c r="AT68">
        <v>44</v>
      </c>
      <c r="AU68">
        <v>17</v>
      </c>
      <c r="AV68">
        <v>27</v>
      </c>
      <c r="AW68">
        <v>0</v>
      </c>
      <c r="AX68">
        <v>2</v>
      </c>
      <c r="AY68">
        <v>1</v>
      </c>
      <c r="AZ68">
        <v>1</v>
      </c>
      <c r="BA68">
        <v>0</v>
      </c>
      <c r="BB68">
        <v>2</v>
      </c>
      <c r="BC68">
        <v>2</v>
      </c>
      <c r="BD68">
        <v>0</v>
      </c>
      <c r="BE68">
        <v>0</v>
      </c>
    </row>
    <row r="69" spans="1:57">
      <c r="A69" t="s">
        <v>16960</v>
      </c>
      <c r="B69" t="s">
        <v>18795</v>
      </c>
      <c r="C69">
        <v>20</v>
      </c>
      <c r="D69">
        <v>49</v>
      </c>
      <c r="E69">
        <v>0</v>
      </c>
      <c r="F69">
        <v>41</v>
      </c>
      <c r="G69">
        <v>8</v>
      </c>
      <c r="H69">
        <v>0</v>
      </c>
      <c r="I69">
        <v>0</v>
      </c>
      <c r="J69">
        <v>45</v>
      </c>
      <c r="K69">
        <v>227</v>
      </c>
      <c r="L69">
        <v>38</v>
      </c>
      <c r="M69">
        <v>0</v>
      </c>
      <c r="N69">
        <v>0</v>
      </c>
      <c r="O69">
        <v>9</v>
      </c>
      <c r="P69">
        <v>0</v>
      </c>
      <c r="Q69">
        <v>0</v>
      </c>
      <c r="R69">
        <v>0</v>
      </c>
      <c r="S69">
        <v>12.25</v>
      </c>
      <c r="T69">
        <v>0</v>
      </c>
      <c r="U69">
        <v>0</v>
      </c>
      <c r="V69">
        <v>12.25</v>
      </c>
      <c r="W69">
        <v>54.5</v>
      </c>
      <c r="X69">
        <v>0</v>
      </c>
      <c r="Y69">
        <v>20</v>
      </c>
      <c r="Z69">
        <v>0</v>
      </c>
      <c r="AA69">
        <v>-68</v>
      </c>
      <c r="AB69">
        <v>0</v>
      </c>
      <c r="AC69">
        <v>131.75</v>
      </c>
      <c r="AD69">
        <v>131.75</v>
      </c>
      <c r="AE69">
        <v>65</v>
      </c>
      <c r="AF69">
        <v>131.75</v>
      </c>
      <c r="AG69">
        <v>118.25</v>
      </c>
      <c r="AH69">
        <v>98.25</v>
      </c>
      <c r="AI69">
        <v>0</v>
      </c>
      <c r="AJ69">
        <v>0</v>
      </c>
      <c r="AK69">
        <v>0</v>
      </c>
      <c r="AL69">
        <v>0</v>
      </c>
      <c r="AM69">
        <v>9</v>
      </c>
      <c r="AN69">
        <v>7</v>
      </c>
      <c r="AO69">
        <v>0</v>
      </c>
      <c r="AP69">
        <v>0</v>
      </c>
      <c r="AQ69">
        <v>0</v>
      </c>
      <c r="AR69">
        <v>0</v>
      </c>
      <c r="AS69">
        <v>0</v>
      </c>
      <c r="AT69">
        <v>227</v>
      </c>
      <c r="AU69">
        <v>0</v>
      </c>
      <c r="AV69">
        <v>120</v>
      </c>
      <c r="AW69">
        <v>107</v>
      </c>
      <c r="AX69">
        <v>12.25</v>
      </c>
      <c r="AY69">
        <v>0</v>
      </c>
      <c r="AZ69">
        <v>5.4499999999999993</v>
      </c>
      <c r="BA69">
        <v>6.8000000000000007</v>
      </c>
      <c r="BB69">
        <v>0</v>
      </c>
      <c r="BC69">
        <v>0</v>
      </c>
      <c r="BD69">
        <v>0</v>
      </c>
      <c r="BE69">
        <v>0</v>
      </c>
    </row>
    <row r="70" spans="1:57">
      <c r="A70" t="s">
        <v>16961</v>
      </c>
      <c r="B70" t="s">
        <v>16962</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row>
    <row r="71" spans="1:57">
      <c r="A71" t="s">
        <v>16963</v>
      </c>
      <c r="B71" t="s">
        <v>16964</v>
      </c>
      <c r="C71">
        <v>0</v>
      </c>
      <c r="D71">
        <v>5</v>
      </c>
      <c r="E71">
        <v>5</v>
      </c>
      <c r="F71">
        <v>5</v>
      </c>
      <c r="G71">
        <v>0</v>
      </c>
      <c r="H71">
        <v>0</v>
      </c>
      <c r="I71">
        <v>0</v>
      </c>
      <c r="J71">
        <v>5</v>
      </c>
      <c r="K71">
        <v>27</v>
      </c>
      <c r="L71">
        <v>3</v>
      </c>
      <c r="M71">
        <v>1</v>
      </c>
      <c r="N71">
        <v>0</v>
      </c>
      <c r="O71">
        <v>1</v>
      </c>
      <c r="P71">
        <v>0</v>
      </c>
      <c r="Q71">
        <v>0</v>
      </c>
      <c r="R71">
        <v>0</v>
      </c>
      <c r="S71">
        <v>0.5</v>
      </c>
      <c r="T71">
        <v>0</v>
      </c>
      <c r="U71">
        <v>0.5</v>
      </c>
      <c r="V71">
        <v>1</v>
      </c>
      <c r="W71">
        <v>5</v>
      </c>
      <c r="X71">
        <v>0</v>
      </c>
      <c r="Y71">
        <v>0</v>
      </c>
      <c r="Z71">
        <v>2</v>
      </c>
      <c r="AA71">
        <v>0</v>
      </c>
      <c r="AB71">
        <v>0</v>
      </c>
      <c r="AC71">
        <v>0</v>
      </c>
      <c r="AD71">
        <v>0</v>
      </c>
      <c r="AE71">
        <v>0</v>
      </c>
      <c r="AF71">
        <v>0</v>
      </c>
      <c r="AG71">
        <v>15</v>
      </c>
      <c r="AH71">
        <v>15</v>
      </c>
      <c r="AI71">
        <v>0</v>
      </c>
      <c r="AJ71">
        <v>0</v>
      </c>
      <c r="AK71">
        <v>0</v>
      </c>
      <c r="AL71">
        <v>0</v>
      </c>
      <c r="AM71">
        <v>0</v>
      </c>
      <c r="AN71">
        <v>0</v>
      </c>
      <c r="AO71">
        <v>0</v>
      </c>
      <c r="AP71">
        <v>0</v>
      </c>
      <c r="AQ71">
        <v>0</v>
      </c>
      <c r="AR71">
        <v>0</v>
      </c>
      <c r="AS71">
        <v>0</v>
      </c>
      <c r="AT71">
        <v>27</v>
      </c>
      <c r="AU71">
        <v>0</v>
      </c>
      <c r="AV71">
        <v>27</v>
      </c>
      <c r="AW71">
        <v>0</v>
      </c>
      <c r="AX71">
        <v>0.5</v>
      </c>
      <c r="AY71">
        <v>0</v>
      </c>
      <c r="AZ71">
        <v>0.5</v>
      </c>
      <c r="BA71">
        <v>0</v>
      </c>
      <c r="BB71">
        <v>0</v>
      </c>
      <c r="BC71">
        <v>0</v>
      </c>
      <c r="BD71">
        <v>0</v>
      </c>
      <c r="BE71">
        <v>0</v>
      </c>
    </row>
    <row r="72" spans="1:57">
      <c r="A72" t="s">
        <v>16965</v>
      </c>
      <c r="B72" t="s">
        <v>16966</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row>
    <row r="73" spans="1:57">
      <c r="A73" t="s">
        <v>17226</v>
      </c>
      <c r="B73" t="s">
        <v>17227</v>
      </c>
      <c r="C73">
        <v>0</v>
      </c>
      <c r="D73">
        <v>1</v>
      </c>
      <c r="E73">
        <v>0</v>
      </c>
      <c r="F73">
        <v>0</v>
      </c>
      <c r="G73">
        <v>0</v>
      </c>
      <c r="H73">
        <v>0</v>
      </c>
      <c r="I73">
        <v>0</v>
      </c>
      <c r="J73">
        <v>1</v>
      </c>
      <c r="K73">
        <v>12</v>
      </c>
      <c r="L73">
        <v>1</v>
      </c>
      <c r="M73">
        <v>0</v>
      </c>
      <c r="N73">
        <v>0</v>
      </c>
      <c r="O73">
        <v>0</v>
      </c>
      <c r="P73">
        <v>0</v>
      </c>
      <c r="Q73">
        <v>0</v>
      </c>
      <c r="R73">
        <v>0</v>
      </c>
      <c r="S73">
        <v>8</v>
      </c>
      <c r="T73">
        <v>0</v>
      </c>
      <c r="U73">
        <v>0</v>
      </c>
      <c r="V73">
        <v>8</v>
      </c>
      <c r="W73">
        <v>80</v>
      </c>
      <c r="X73">
        <v>0</v>
      </c>
      <c r="Y73">
        <v>1</v>
      </c>
      <c r="Z73">
        <v>0</v>
      </c>
      <c r="AA73">
        <v>0</v>
      </c>
      <c r="AB73">
        <v>50</v>
      </c>
      <c r="AC73">
        <v>0</v>
      </c>
      <c r="AD73">
        <v>0</v>
      </c>
      <c r="AE73">
        <v>0</v>
      </c>
      <c r="AF73">
        <v>50</v>
      </c>
      <c r="AG73">
        <v>80</v>
      </c>
      <c r="AH73">
        <v>80</v>
      </c>
      <c r="AI73">
        <v>0</v>
      </c>
      <c r="AJ73">
        <v>0</v>
      </c>
      <c r="AK73">
        <v>0</v>
      </c>
      <c r="AL73">
        <v>0</v>
      </c>
      <c r="AM73">
        <v>0</v>
      </c>
      <c r="AN73">
        <v>0</v>
      </c>
      <c r="AO73">
        <v>0</v>
      </c>
      <c r="AP73">
        <v>0</v>
      </c>
      <c r="AQ73">
        <v>0</v>
      </c>
      <c r="AR73">
        <v>0</v>
      </c>
      <c r="AS73">
        <v>0</v>
      </c>
      <c r="AT73">
        <v>12</v>
      </c>
      <c r="AU73">
        <v>0</v>
      </c>
      <c r="AV73">
        <v>12</v>
      </c>
      <c r="AW73">
        <v>0</v>
      </c>
      <c r="AX73">
        <v>8</v>
      </c>
      <c r="AY73">
        <v>0</v>
      </c>
      <c r="AZ73">
        <v>8</v>
      </c>
      <c r="BA73">
        <v>0</v>
      </c>
      <c r="BB73">
        <v>0</v>
      </c>
      <c r="BC73">
        <v>0</v>
      </c>
      <c r="BD73">
        <v>0</v>
      </c>
      <c r="BE73">
        <v>0</v>
      </c>
    </row>
    <row r="74" spans="1:57">
      <c r="A74" t="s">
        <v>17373</v>
      </c>
      <c r="B74" t="s">
        <v>17374</v>
      </c>
      <c r="C74">
        <v>0</v>
      </c>
      <c r="D74">
        <v>17</v>
      </c>
      <c r="E74">
        <v>12</v>
      </c>
      <c r="F74">
        <v>11</v>
      </c>
      <c r="G74">
        <v>5</v>
      </c>
      <c r="H74">
        <v>10</v>
      </c>
      <c r="I74">
        <v>3</v>
      </c>
      <c r="J74">
        <v>15</v>
      </c>
      <c r="K74">
        <v>438</v>
      </c>
      <c r="L74">
        <v>7</v>
      </c>
      <c r="M74">
        <v>0</v>
      </c>
      <c r="N74">
        <v>3</v>
      </c>
      <c r="O74">
        <v>1</v>
      </c>
      <c r="P74">
        <v>5</v>
      </c>
      <c r="Q74">
        <v>0</v>
      </c>
      <c r="R74">
        <v>1</v>
      </c>
      <c r="S74">
        <v>6.75</v>
      </c>
      <c r="T74">
        <v>30.5</v>
      </c>
      <c r="U74">
        <v>3</v>
      </c>
      <c r="V74">
        <v>40.25</v>
      </c>
      <c r="W74">
        <v>677.5</v>
      </c>
      <c r="X74">
        <v>0</v>
      </c>
      <c r="Y74">
        <v>9</v>
      </c>
      <c r="Z74">
        <v>0</v>
      </c>
      <c r="AA74">
        <v>0</v>
      </c>
      <c r="AB74">
        <v>467.5</v>
      </c>
      <c r="AC74">
        <v>502.25</v>
      </c>
      <c r="AD74">
        <v>502.25</v>
      </c>
      <c r="AE74">
        <v>899.75</v>
      </c>
      <c r="AF74">
        <v>969.75</v>
      </c>
      <c r="AG74">
        <v>1239.75</v>
      </c>
      <c r="AH74">
        <v>340</v>
      </c>
      <c r="AI74">
        <v>668.5</v>
      </c>
      <c r="AJ74">
        <v>738.5</v>
      </c>
      <c r="AK74">
        <v>933.5</v>
      </c>
      <c r="AL74">
        <v>265</v>
      </c>
      <c r="AM74">
        <v>0</v>
      </c>
      <c r="AN74">
        <v>3</v>
      </c>
      <c r="AO74">
        <v>1</v>
      </c>
      <c r="AP74">
        <v>4</v>
      </c>
      <c r="AQ74">
        <v>0</v>
      </c>
      <c r="AR74">
        <v>0</v>
      </c>
      <c r="AS74">
        <v>0</v>
      </c>
      <c r="AT74">
        <v>438</v>
      </c>
      <c r="AU74">
        <v>394</v>
      </c>
      <c r="AV74">
        <v>44</v>
      </c>
      <c r="AW74">
        <v>0</v>
      </c>
      <c r="AX74">
        <v>6.75</v>
      </c>
      <c r="AY74">
        <v>5.25</v>
      </c>
      <c r="AZ74">
        <v>1.5</v>
      </c>
      <c r="BA74">
        <v>0</v>
      </c>
      <c r="BB74">
        <v>30.5</v>
      </c>
      <c r="BC74">
        <v>27.5</v>
      </c>
      <c r="BD74">
        <v>3</v>
      </c>
      <c r="BE74">
        <v>0</v>
      </c>
    </row>
    <row r="75" spans="1:57">
      <c r="A75" t="s">
        <v>17376</v>
      </c>
      <c r="B75" t="s">
        <v>17377</v>
      </c>
      <c r="C75">
        <v>0</v>
      </c>
      <c r="D75">
        <v>33</v>
      </c>
      <c r="E75">
        <v>33</v>
      </c>
      <c r="F75">
        <v>33</v>
      </c>
      <c r="G75">
        <v>0</v>
      </c>
      <c r="H75">
        <v>10</v>
      </c>
      <c r="I75">
        <v>0</v>
      </c>
      <c r="J75">
        <v>33</v>
      </c>
      <c r="K75">
        <v>199</v>
      </c>
      <c r="L75">
        <v>1</v>
      </c>
      <c r="M75">
        <v>21</v>
      </c>
      <c r="N75">
        <v>4</v>
      </c>
      <c r="O75">
        <v>0</v>
      </c>
      <c r="P75">
        <v>1</v>
      </c>
      <c r="Q75">
        <v>6</v>
      </c>
      <c r="R75">
        <v>0</v>
      </c>
      <c r="S75">
        <v>546.5</v>
      </c>
      <c r="T75">
        <v>699.5</v>
      </c>
      <c r="U75">
        <v>0</v>
      </c>
      <c r="V75">
        <v>1246</v>
      </c>
      <c r="W75">
        <v>19455</v>
      </c>
      <c r="X75">
        <v>0</v>
      </c>
      <c r="Y75">
        <v>24</v>
      </c>
      <c r="Z75">
        <v>7</v>
      </c>
      <c r="AA75">
        <v>0</v>
      </c>
      <c r="AB75">
        <v>18880</v>
      </c>
      <c r="AC75">
        <v>5141.25</v>
      </c>
      <c r="AD75">
        <v>5141.25</v>
      </c>
      <c r="AE75">
        <v>8</v>
      </c>
      <c r="AF75">
        <v>24021.25</v>
      </c>
      <c r="AG75">
        <v>24596.25</v>
      </c>
      <c r="AH75">
        <v>24588.25</v>
      </c>
      <c r="AI75">
        <v>4</v>
      </c>
      <c r="AJ75">
        <v>21444.25</v>
      </c>
      <c r="AK75">
        <v>21854.25</v>
      </c>
      <c r="AL75">
        <v>21850.25</v>
      </c>
      <c r="AM75">
        <v>2</v>
      </c>
      <c r="AN75">
        <v>0</v>
      </c>
      <c r="AO75">
        <v>0</v>
      </c>
      <c r="AP75">
        <v>0</v>
      </c>
      <c r="AQ75">
        <v>0</v>
      </c>
      <c r="AR75">
        <v>0</v>
      </c>
      <c r="AS75">
        <v>0</v>
      </c>
      <c r="AT75">
        <v>199</v>
      </c>
      <c r="AU75">
        <v>77</v>
      </c>
      <c r="AV75">
        <v>122</v>
      </c>
      <c r="AW75">
        <v>0</v>
      </c>
      <c r="AX75">
        <v>546.5</v>
      </c>
      <c r="AY75">
        <v>541</v>
      </c>
      <c r="AZ75">
        <v>5.5</v>
      </c>
      <c r="BA75">
        <v>0</v>
      </c>
      <c r="BB75">
        <v>699.5</v>
      </c>
      <c r="BC75">
        <v>694</v>
      </c>
      <c r="BD75">
        <v>5.5</v>
      </c>
      <c r="BE75">
        <v>0</v>
      </c>
    </row>
    <row r="76" spans="1:57">
      <c r="A76" t="s">
        <v>16967</v>
      </c>
      <c r="B76" t="s">
        <v>16968</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row>
    <row r="77" spans="1:57">
      <c r="A77" t="s">
        <v>16971</v>
      </c>
      <c r="B77" t="s">
        <v>17397</v>
      </c>
      <c r="C77">
        <v>0</v>
      </c>
      <c r="D77">
        <v>5</v>
      </c>
      <c r="E77">
        <v>5</v>
      </c>
      <c r="F77">
        <v>5</v>
      </c>
      <c r="G77">
        <v>0</v>
      </c>
      <c r="H77">
        <v>0</v>
      </c>
      <c r="I77">
        <v>0</v>
      </c>
      <c r="J77">
        <v>5</v>
      </c>
      <c r="K77">
        <v>18</v>
      </c>
      <c r="L77">
        <v>5</v>
      </c>
      <c r="M77">
        <v>0</v>
      </c>
      <c r="N77">
        <v>0</v>
      </c>
      <c r="O77">
        <v>0</v>
      </c>
      <c r="P77">
        <v>0</v>
      </c>
      <c r="Q77">
        <v>0</v>
      </c>
      <c r="R77">
        <v>0</v>
      </c>
      <c r="S77">
        <v>2.25</v>
      </c>
      <c r="T77">
        <v>0.7</v>
      </c>
      <c r="U77">
        <v>0</v>
      </c>
      <c r="V77">
        <v>2.25</v>
      </c>
      <c r="W77">
        <v>36.5</v>
      </c>
      <c r="X77">
        <v>0</v>
      </c>
      <c r="Y77">
        <v>5</v>
      </c>
      <c r="Z77">
        <v>0</v>
      </c>
      <c r="AA77">
        <v>0</v>
      </c>
      <c r="AB77">
        <v>0</v>
      </c>
      <c r="AC77">
        <v>0</v>
      </c>
      <c r="AD77">
        <v>0</v>
      </c>
      <c r="AE77">
        <v>0</v>
      </c>
      <c r="AF77">
        <v>0</v>
      </c>
      <c r="AG77">
        <v>36.5</v>
      </c>
      <c r="AH77">
        <v>36.5</v>
      </c>
      <c r="AI77">
        <v>0</v>
      </c>
      <c r="AJ77">
        <v>0</v>
      </c>
      <c r="AK77">
        <v>0</v>
      </c>
      <c r="AL77">
        <v>0</v>
      </c>
      <c r="AM77">
        <v>0</v>
      </c>
      <c r="AN77">
        <v>0</v>
      </c>
      <c r="AO77">
        <v>0</v>
      </c>
      <c r="AP77">
        <v>0</v>
      </c>
      <c r="AQ77">
        <v>0</v>
      </c>
      <c r="AR77">
        <v>0</v>
      </c>
      <c r="AS77">
        <v>0</v>
      </c>
      <c r="AT77">
        <v>18</v>
      </c>
      <c r="AU77">
        <v>0</v>
      </c>
      <c r="AV77">
        <v>18</v>
      </c>
      <c r="AW77">
        <v>0</v>
      </c>
      <c r="AX77">
        <v>2.25</v>
      </c>
      <c r="AY77">
        <v>0</v>
      </c>
      <c r="AZ77">
        <v>2.25</v>
      </c>
      <c r="BA77">
        <v>0</v>
      </c>
      <c r="BB77">
        <v>0.7</v>
      </c>
      <c r="BC77">
        <v>0</v>
      </c>
      <c r="BD77">
        <v>0.7</v>
      </c>
      <c r="BE77">
        <v>0</v>
      </c>
    </row>
    <row r="78" spans="1:57">
      <c r="A78" t="s">
        <v>16972</v>
      </c>
      <c r="B78" t="s">
        <v>16973</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row>
    <row r="79" spans="1:57">
      <c r="A79" t="s">
        <v>16976</v>
      </c>
      <c r="B79" t="s">
        <v>19335</v>
      </c>
      <c r="C79">
        <v>0</v>
      </c>
      <c r="D79">
        <v>31</v>
      </c>
      <c r="E79">
        <v>31</v>
      </c>
      <c r="F79">
        <v>29</v>
      </c>
      <c r="G79">
        <v>1</v>
      </c>
      <c r="H79">
        <v>2</v>
      </c>
      <c r="I79">
        <v>0</v>
      </c>
      <c r="J79">
        <v>30</v>
      </c>
      <c r="K79">
        <v>133</v>
      </c>
      <c r="L79">
        <v>29</v>
      </c>
      <c r="M79">
        <v>0</v>
      </c>
      <c r="N79">
        <v>0</v>
      </c>
      <c r="O79">
        <v>1</v>
      </c>
      <c r="P79">
        <v>1</v>
      </c>
      <c r="Q79">
        <v>0</v>
      </c>
      <c r="R79">
        <v>0</v>
      </c>
      <c r="S79">
        <v>10.25</v>
      </c>
      <c r="T79">
        <v>0</v>
      </c>
      <c r="U79">
        <v>0</v>
      </c>
      <c r="V79" t="e">
        <v>#REF!</v>
      </c>
      <c r="W79" t="e">
        <v>#REF!</v>
      </c>
      <c r="X79">
        <v>0</v>
      </c>
      <c r="Y79">
        <v>30</v>
      </c>
      <c r="Z79">
        <v>0</v>
      </c>
      <c r="AA79">
        <v>0</v>
      </c>
      <c r="AB79">
        <v>0</v>
      </c>
      <c r="AC79">
        <v>0</v>
      </c>
      <c r="AD79">
        <v>0</v>
      </c>
      <c r="AE79">
        <v>0</v>
      </c>
      <c r="AF79">
        <v>0</v>
      </c>
      <c r="AG79">
        <v>102.5</v>
      </c>
      <c r="AH79">
        <v>102.5</v>
      </c>
      <c r="AI79">
        <v>0</v>
      </c>
      <c r="AJ79">
        <v>0</v>
      </c>
      <c r="AK79">
        <v>15</v>
      </c>
      <c r="AL79">
        <v>15</v>
      </c>
      <c r="AM79">
        <v>0</v>
      </c>
      <c r="AN79">
        <v>0</v>
      </c>
      <c r="AO79">
        <v>0</v>
      </c>
      <c r="AP79">
        <v>0</v>
      </c>
      <c r="AQ79">
        <v>0</v>
      </c>
      <c r="AR79">
        <v>0</v>
      </c>
      <c r="AS79">
        <v>0</v>
      </c>
      <c r="AT79">
        <v>133</v>
      </c>
      <c r="AU79">
        <v>21</v>
      </c>
      <c r="AV79">
        <v>112</v>
      </c>
      <c r="AW79">
        <v>0</v>
      </c>
      <c r="AX79">
        <v>10.25</v>
      </c>
      <c r="AY79">
        <v>1.5</v>
      </c>
      <c r="AZ79">
        <v>8.75</v>
      </c>
      <c r="BA79">
        <v>0</v>
      </c>
      <c r="BB79">
        <v>0</v>
      </c>
      <c r="BC79">
        <v>0</v>
      </c>
      <c r="BD79">
        <v>0</v>
      </c>
      <c r="BE79">
        <v>0</v>
      </c>
    </row>
    <row r="80" spans="1:57">
      <c r="A80" t="s">
        <v>16935</v>
      </c>
      <c r="B80" t="s">
        <v>17389</v>
      </c>
      <c r="C80">
        <v>0</v>
      </c>
      <c r="D80">
        <v>11</v>
      </c>
      <c r="E80">
        <v>9</v>
      </c>
      <c r="F80">
        <v>10</v>
      </c>
      <c r="G80">
        <v>0</v>
      </c>
      <c r="H80">
        <v>0</v>
      </c>
      <c r="I80">
        <v>0</v>
      </c>
      <c r="J80">
        <v>9</v>
      </c>
      <c r="K80">
        <v>133</v>
      </c>
      <c r="L80">
        <v>3</v>
      </c>
      <c r="M80">
        <v>0</v>
      </c>
      <c r="N80">
        <v>0</v>
      </c>
      <c r="O80">
        <v>4</v>
      </c>
      <c r="P80">
        <v>0</v>
      </c>
      <c r="Q80">
        <v>2</v>
      </c>
      <c r="R80">
        <v>0</v>
      </c>
      <c r="S80">
        <v>2</v>
      </c>
      <c r="T80">
        <v>7.5</v>
      </c>
      <c r="U80">
        <v>0</v>
      </c>
      <c r="V80">
        <v>9.5</v>
      </c>
      <c r="W80">
        <v>170</v>
      </c>
      <c r="X80">
        <v>0</v>
      </c>
      <c r="Y80">
        <v>1</v>
      </c>
      <c r="Z80">
        <v>0</v>
      </c>
      <c r="AA80">
        <v>0</v>
      </c>
      <c r="AB80">
        <v>140</v>
      </c>
      <c r="AC80">
        <v>57.5</v>
      </c>
      <c r="AD80">
        <v>57.5</v>
      </c>
      <c r="AE80">
        <v>0</v>
      </c>
      <c r="AF80">
        <v>0</v>
      </c>
      <c r="AG80">
        <v>227.5</v>
      </c>
      <c r="AH80">
        <v>227.5</v>
      </c>
      <c r="AI80">
        <v>0</v>
      </c>
      <c r="AJ80">
        <v>0</v>
      </c>
      <c r="AK80">
        <v>0</v>
      </c>
      <c r="AL80">
        <v>0</v>
      </c>
      <c r="AM80">
        <v>0</v>
      </c>
      <c r="AN80">
        <v>0</v>
      </c>
      <c r="AO80">
        <v>0</v>
      </c>
      <c r="AP80">
        <v>0</v>
      </c>
      <c r="AQ80">
        <v>0</v>
      </c>
      <c r="AR80">
        <v>0</v>
      </c>
      <c r="AS80">
        <v>0</v>
      </c>
      <c r="AT80">
        <v>133</v>
      </c>
      <c r="AU80">
        <v>0</v>
      </c>
      <c r="AV80">
        <v>133</v>
      </c>
      <c r="AW80">
        <v>0</v>
      </c>
      <c r="AX80">
        <v>2</v>
      </c>
      <c r="AY80">
        <v>0</v>
      </c>
      <c r="AZ80">
        <v>0</v>
      </c>
      <c r="BA80">
        <v>0</v>
      </c>
      <c r="BB80">
        <v>7.5</v>
      </c>
      <c r="BC80">
        <v>0</v>
      </c>
      <c r="BD80">
        <v>7.5</v>
      </c>
      <c r="BE80">
        <v>0</v>
      </c>
    </row>
    <row r="81" spans="1:57">
      <c r="A81" t="s">
        <v>17390</v>
      </c>
      <c r="B81" t="s">
        <v>17391</v>
      </c>
      <c r="C81">
        <v>0</v>
      </c>
      <c r="D81">
        <v>17</v>
      </c>
      <c r="E81">
        <v>17</v>
      </c>
      <c r="F81">
        <v>14</v>
      </c>
      <c r="G81">
        <v>0</v>
      </c>
      <c r="H81">
        <v>0</v>
      </c>
      <c r="I81">
        <v>0</v>
      </c>
      <c r="J81">
        <v>17</v>
      </c>
      <c r="K81">
        <v>149</v>
      </c>
      <c r="L81">
        <v>11</v>
      </c>
      <c r="M81">
        <v>0</v>
      </c>
      <c r="N81">
        <v>0</v>
      </c>
      <c r="O81">
        <v>6</v>
      </c>
      <c r="P81">
        <v>0</v>
      </c>
      <c r="Q81">
        <v>0</v>
      </c>
      <c r="R81">
        <v>0</v>
      </c>
      <c r="S81">
        <v>11</v>
      </c>
      <c r="T81">
        <v>0</v>
      </c>
      <c r="U81">
        <v>0</v>
      </c>
      <c r="V81">
        <v>11</v>
      </c>
      <c r="W81">
        <v>110</v>
      </c>
      <c r="X81">
        <v>0</v>
      </c>
      <c r="Y81">
        <v>11</v>
      </c>
      <c r="Z81">
        <v>0</v>
      </c>
      <c r="AA81">
        <v>0</v>
      </c>
      <c r="AB81">
        <v>0</v>
      </c>
      <c r="AC81">
        <v>900</v>
      </c>
      <c r="AD81">
        <v>900</v>
      </c>
      <c r="AE81">
        <v>929.40000000000009</v>
      </c>
      <c r="AF81">
        <v>900</v>
      </c>
      <c r="AG81">
        <v>1010</v>
      </c>
      <c r="AH81">
        <v>80.600000000000023</v>
      </c>
      <c r="AI81">
        <v>0</v>
      </c>
      <c r="AJ81">
        <v>0</v>
      </c>
      <c r="AK81">
        <v>0</v>
      </c>
      <c r="AL81">
        <v>0</v>
      </c>
      <c r="AM81">
        <v>0</v>
      </c>
      <c r="AN81">
        <v>0</v>
      </c>
      <c r="AO81">
        <v>0</v>
      </c>
      <c r="AP81">
        <v>9</v>
      </c>
      <c r="AQ81">
        <v>0</v>
      </c>
      <c r="AR81">
        <v>0</v>
      </c>
      <c r="AS81">
        <v>0</v>
      </c>
      <c r="AT81">
        <v>149</v>
      </c>
      <c r="AU81">
        <v>0</v>
      </c>
      <c r="AV81">
        <v>149</v>
      </c>
      <c r="AW81">
        <v>0</v>
      </c>
      <c r="AX81">
        <v>11</v>
      </c>
      <c r="AY81">
        <v>0</v>
      </c>
      <c r="AZ81">
        <v>11</v>
      </c>
      <c r="BA81">
        <v>0</v>
      </c>
      <c r="BB81">
        <v>0</v>
      </c>
      <c r="BC81">
        <v>0</v>
      </c>
      <c r="BD81">
        <v>0</v>
      </c>
      <c r="BE81">
        <v>0</v>
      </c>
    </row>
    <row r="82" spans="1:57">
      <c r="A82" t="s">
        <v>16936</v>
      </c>
      <c r="B82" t="s">
        <v>16937</v>
      </c>
      <c r="C82">
        <v>0</v>
      </c>
      <c r="D82">
        <v>8</v>
      </c>
      <c r="E82">
        <v>0</v>
      </c>
      <c r="F82">
        <v>8</v>
      </c>
      <c r="G82">
        <v>0</v>
      </c>
      <c r="H82">
        <v>0</v>
      </c>
      <c r="I82">
        <v>0</v>
      </c>
      <c r="J82">
        <v>8</v>
      </c>
      <c r="K82">
        <v>129</v>
      </c>
      <c r="L82">
        <v>7</v>
      </c>
      <c r="M82">
        <v>1</v>
      </c>
      <c r="N82">
        <v>0</v>
      </c>
      <c r="O82">
        <v>0</v>
      </c>
      <c r="P82">
        <v>0</v>
      </c>
      <c r="Q82">
        <v>0</v>
      </c>
      <c r="R82">
        <v>0</v>
      </c>
      <c r="S82">
        <v>10</v>
      </c>
      <c r="T82">
        <v>0</v>
      </c>
      <c r="U82">
        <v>0</v>
      </c>
      <c r="V82">
        <v>10</v>
      </c>
      <c r="W82">
        <v>100</v>
      </c>
      <c r="X82">
        <v>0</v>
      </c>
      <c r="Y82">
        <v>8</v>
      </c>
      <c r="Z82">
        <v>0</v>
      </c>
      <c r="AA82">
        <v>0</v>
      </c>
      <c r="AB82">
        <v>0</v>
      </c>
      <c r="AC82">
        <v>0</v>
      </c>
      <c r="AD82">
        <v>0</v>
      </c>
      <c r="AE82">
        <v>0</v>
      </c>
      <c r="AF82">
        <v>0</v>
      </c>
      <c r="AG82">
        <v>100</v>
      </c>
      <c r="AH82">
        <v>100</v>
      </c>
      <c r="AI82">
        <v>0</v>
      </c>
      <c r="AJ82">
        <v>0</v>
      </c>
      <c r="AK82">
        <v>0</v>
      </c>
      <c r="AL82">
        <v>0</v>
      </c>
      <c r="AM82">
        <v>0</v>
      </c>
      <c r="AN82">
        <v>0</v>
      </c>
      <c r="AO82">
        <v>0</v>
      </c>
      <c r="AP82">
        <v>0</v>
      </c>
      <c r="AQ82">
        <v>0</v>
      </c>
      <c r="AR82">
        <v>0</v>
      </c>
      <c r="AS82">
        <v>0</v>
      </c>
      <c r="AT82">
        <v>129</v>
      </c>
      <c r="AU82">
        <v>0</v>
      </c>
      <c r="AV82">
        <v>129</v>
      </c>
      <c r="AW82">
        <v>0</v>
      </c>
      <c r="AX82">
        <v>10</v>
      </c>
      <c r="AY82">
        <v>0</v>
      </c>
      <c r="AZ82">
        <v>10</v>
      </c>
      <c r="BA82">
        <v>0</v>
      </c>
      <c r="BB82">
        <v>0</v>
      </c>
      <c r="BC82">
        <v>0</v>
      </c>
      <c r="BD82">
        <v>0</v>
      </c>
      <c r="BE82">
        <v>0</v>
      </c>
    </row>
    <row r="83" spans="1:57">
      <c r="A83" t="s">
        <v>16938</v>
      </c>
      <c r="B83" t="s">
        <v>16939</v>
      </c>
      <c r="C83">
        <v>0</v>
      </c>
      <c r="D83">
        <v>12</v>
      </c>
      <c r="E83">
        <v>9</v>
      </c>
      <c r="F83">
        <v>12</v>
      </c>
      <c r="G83">
        <v>0</v>
      </c>
      <c r="H83">
        <v>0</v>
      </c>
      <c r="I83">
        <v>0</v>
      </c>
      <c r="J83">
        <v>12</v>
      </c>
      <c r="K83">
        <v>58</v>
      </c>
      <c r="L83">
        <v>12</v>
      </c>
      <c r="M83">
        <v>0</v>
      </c>
      <c r="N83">
        <v>0</v>
      </c>
      <c r="O83">
        <v>0</v>
      </c>
      <c r="P83">
        <v>0</v>
      </c>
      <c r="Q83">
        <v>0</v>
      </c>
      <c r="R83">
        <v>0</v>
      </c>
      <c r="S83">
        <v>5.75</v>
      </c>
      <c r="T83">
        <v>4.5</v>
      </c>
      <c r="U83">
        <v>0</v>
      </c>
      <c r="V83">
        <v>10.25</v>
      </c>
      <c r="W83">
        <v>147.5</v>
      </c>
      <c r="X83">
        <v>0</v>
      </c>
      <c r="Y83">
        <v>12</v>
      </c>
      <c r="Z83">
        <v>0</v>
      </c>
      <c r="AA83">
        <v>0</v>
      </c>
      <c r="AB83">
        <v>5</v>
      </c>
      <c r="AC83">
        <v>7.5</v>
      </c>
      <c r="AD83">
        <v>7.5</v>
      </c>
      <c r="AE83">
        <v>7.5</v>
      </c>
      <c r="AF83">
        <v>12.5</v>
      </c>
      <c r="AG83">
        <v>155</v>
      </c>
      <c r="AH83">
        <v>147.5</v>
      </c>
      <c r="AI83">
        <v>0</v>
      </c>
      <c r="AJ83">
        <v>0</v>
      </c>
      <c r="AK83">
        <v>0</v>
      </c>
      <c r="AL83">
        <v>0</v>
      </c>
      <c r="AM83">
        <v>0</v>
      </c>
      <c r="AN83">
        <v>1</v>
      </c>
      <c r="AO83">
        <v>0</v>
      </c>
      <c r="AP83">
        <v>0</v>
      </c>
      <c r="AQ83">
        <v>0</v>
      </c>
      <c r="AR83">
        <v>0</v>
      </c>
      <c r="AS83">
        <v>0</v>
      </c>
      <c r="AT83">
        <v>58</v>
      </c>
      <c r="AU83">
        <v>0</v>
      </c>
      <c r="AV83">
        <v>58</v>
      </c>
      <c r="AW83">
        <v>0</v>
      </c>
      <c r="AX83">
        <v>5.75</v>
      </c>
      <c r="AY83">
        <v>0</v>
      </c>
      <c r="AZ83">
        <v>5.75</v>
      </c>
      <c r="BA83">
        <v>0</v>
      </c>
      <c r="BB83">
        <v>4.5</v>
      </c>
      <c r="BC83">
        <v>0</v>
      </c>
      <c r="BD83">
        <v>4.5</v>
      </c>
      <c r="BE83">
        <v>0</v>
      </c>
    </row>
    <row r="84" spans="1:57">
      <c r="A84" t="s">
        <v>16977</v>
      </c>
      <c r="B84" t="s">
        <v>17380</v>
      </c>
      <c r="C84">
        <v>0</v>
      </c>
      <c r="D84">
        <v>4</v>
      </c>
      <c r="E84">
        <v>4</v>
      </c>
      <c r="F84">
        <v>0</v>
      </c>
      <c r="G84">
        <v>0</v>
      </c>
      <c r="H84">
        <v>0</v>
      </c>
      <c r="I84">
        <v>0</v>
      </c>
      <c r="J84">
        <v>4</v>
      </c>
      <c r="K84">
        <v>62</v>
      </c>
      <c r="L84">
        <v>2</v>
      </c>
      <c r="M84">
        <v>0</v>
      </c>
      <c r="N84">
        <v>1</v>
      </c>
      <c r="O84">
        <v>0</v>
      </c>
      <c r="P84">
        <v>0</v>
      </c>
      <c r="Q84">
        <v>0</v>
      </c>
      <c r="R84">
        <v>0</v>
      </c>
      <c r="S84">
        <v>3.5</v>
      </c>
      <c r="T84">
        <v>1</v>
      </c>
      <c r="U84">
        <v>0</v>
      </c>
      <c r="V84">
        <v>4.5</v>
      </c>
      <c r="W84">
        <v>55</v>
      </c>
      <c r="X84">
        <v>0</v>
      </c>
      <c r="Y84">
        <v>0</v>
      </c>
      <c r="Z84">
        <v>2</v>
      </c>
      <c r="AA84">
        <v>0</v>
      </c>
      <c r="AB84">
        <v>0</v>
      </c>
      <c r="AC84">
        <v>0</v>
      </c>
      <c r="AD84">
        <v>0</v>
      </c>
      <c r="AE84">
        <v>0</v>
      </c>
      <c r="AF84">
        <v>0</v>
      </c>
      <c r="AG84">
        <v>55</v>
      </c>
      <c r="AH84">
        <v>55</v>
      </c>
      <c r="AI84">
        <v>0</v>
      </c>
      <c r="AJ84">
        <v>0</v>
      </c>
      <c r="AK84">
        <v>0</v>
      </c>
      <c r="AL84">
        <v>0</v>
      </c>
      <c r="AM84">
        <v>0</v>
      </c>
      <c r="AN84">
        <v>0</v>
      </c>
      <c r="AO84">
        <v>0</v>
      </c>
      <c r="AP84">
        <v>0</v>
      </c>
      <c r="AQ84">
        <v>0</v>
      </c>
      <c r="AR84">
        <v>0</v>
      </c>
      <c r="AS84">
        <v>0</v>
      </c>
      <c r="AT84">
        <v>62</v>
      </c>
      <c r="AU84">
        <v>0</v>
      </c>
      <c r="AV84">
        <v>62</v>
      </c>
      <c r="AW84">
        <v>0</v>
      </c>
      <c r="AX84">
        <v>3.5</v>
      </c>
      <c r="AY84">
        <v>0</v>
      </c>
      <c r="AZ84">
        <v>3.5</v>
      </c>
      <c r="BA84">
        <v>0</v>
      </c>
      <c r="BB84">
        <v>1</v>
      </c>
      <c r="BC84">
        <v>0</v>
      </c>
      <c r="BD84">
        <v>1</v>
      </c>
      <c r="BE84">
        <v>0</v>
      </c>
    </row>
    <row r="85" spans="1:57">
      <c r="A85" t="s">
        <v>16977</v>
      </c>
      <c r="B85" t="s">
        <v>17380</v>
      </c>
      <c r="C85">
        <v>0</v>
      </c>
      <c r="D85">
        <v>11</v>
      </c>
      <c r="E85">
        <v>1</v>
      </c>
      <c r="F85">
        <v>0</v>
      </c>
      <c r="G85">
        <v>0</v>
      </c>
      <c r="H85">
        <v>0</v>
      </c>
      <c r="I85">
        <v>0</v>
      </c>
      <c r="J85">
        <v>1</v>
      </c>
      <c r="K85">
        <v>6</v>
      </c>
      <c r="L85">
        <v>1</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6</v>
      </c>
      <c r="AU85">
        <v>0</v>
      </c>
      <c r="AV85">
        <v>6</v>
      </c>
      <c r="AW85">
        <v>0</v>
      </c>
      <c r="AX85">
        <v>0</v>
      </c>
      <c r="AY85">
        <v>0</v>
      </c>
      <c r="AZ85">
        <v>0</v>
      </c>
      <c r="BA85">
        <v>0</v>
      </c>
      <c r="BB85">
        <v>0</v>
      </c>
      <c r="BC85">
        <v>0</v>
      </c>
      <c r="BD85">
        <v>0</v>
      </c>
      <c r="BE85">
        <v>0</v>
      </c>
    </row>
    <row r="86" spans="1:57">
      <c r="A86" t="s">
        <v>16980</v>
      </c>
      <c r="B86" t="s">
        <v>16981</v>
      </c>
      <c r="C86">
        <v>12</v>
      </c>
      <c r="D86">
        <v>126</v>
      </c>
      <c r="E86">
        <v>122</v>
      </c>
      <c r="F86">
        <v>114</v>
      </c>
      <c r="G86">
        <v>23</v>
      </c>
      <c r="H86">
        <v>8</v>
      </c>
      <c r="I86">
        <v>3</v>
      </c>
      <c r="J86">
        <v>117</v>
      </c>
      <c r="K86">
        <v>751</v>
      </c>
      <c r="L86">
        <v>115</v>
      </c>
      <c r="M86">
        <v>1</v>
      </c>
      <c r="N86">
        <v>0</v>
      </c>
      <c r="O86">
        <v>4</v>
      </c>
      <c r="P86">
        <v>0</v>
      </c>
      <c r="Q86">
        <v>6</v>
      </c>
      <c r="R86">
        <v>0</v>
      </c>
      <c r="S86">
        <v>12.5</v>
      </c>
      <c r="T86">
        <v>0</v>
      </c>
      <c r="U86">
        <v>0</v>
      </c>
      <c r="V86">
        <v>20.5</v>
      </c>
      <c r="W86">
        <v>90</v>
      </c>
      <c r="X86">
        <v>0</v>
      </c>
      <c r="Y86">
        <v>30</v>
      </c>
      <c r="Z86">
        <v>0</v>
      </c>
      <c r="AA86">
        <v>-35</v>
      </c>
      <c r="AB86">
        <v>0</v>
      </c>
      <c r="AC86">
        <v>0</v>
      </c>
      <c r="AD86">
        <v>0</v>
      </c>
      <c r="AE86">
        <v>0</v>
      </c>
      <c r="AF86">
        <v>0</v>
      </c>
      <c r="AG86">
        <v>90</v>
      </c>
      <c r="AH86">
        <v>90</v>
      </c>
      <c r="AI86">
        <v>0</v>
      </c>
      <c r="AJ86">
        <v>0</v>
      </c>
      <c r="AK86">
        <v>7.5</v>
      </c>
      <c r="AL86">
        <v>7.5</v>
      </c>
      <c r="AM86">
        <v>0</v>
      </c>
      <c r="AN86">
        <v>0</v>
      </c>
      <c r="AO86">
        <v>0</v>
      </c>
      <c r="AP86">
        <v>0</v>
      </c>
      <c r="AQ86">
        <v>0</v>
      </c>
      <c r="AR86">
        <v>0</v>
      </c>
      <c r="AS86">
        <v>0</v>
      </c>
      <c r="AT86">
        <v>751</v>
      </c>
      <c r="AU86">
        <v>118</v>
      </c>
      <c r="AV86">
        <v>555</v>
      </c>
      <c r="AW86">
        <v>103</v>
      </c>
      <c r="AX86">
        <v>12.5</v>
      </c>
      <c r="AY86">
        <v>0.75</v>
      </c>
      <c r="AZ86">
        <v>8.25</v>
      </c>
      <c r="BA86">
        <v>3.5</v>
      </c>
      <c r="BB86">
        <v>0</v>
      </c>
      <c r="BC86">
        <v>0</v>
      </c>
      <c r="BD86">
        <v>0</v>
      </c>
      <c r="BE86">
        <v>0</v>
      </c>
    </row>
    <row r="87" spans="1:57">
      <c r="A87" t="s">
        <v>16982</v>
      </c>
      <c r="B87" t="s">
        <v>17343</v>
      </c>
      <c r="C87">
        <v>0</v>
      </c>
      <c r="D87">
        <v>5</v>
      </c>
      <c r="E87">
        <v>5</v>
      </c>
      <c r="F87">
        <v>5</v>
      </c>
      <c r="G87">
        <v>0</v>
      </c>
      <c r="H87">
        <v>0</v>
      </c>
      <c r="I87">
        <v>0</v>
      </c>
      <c r="J87">
        <v>5</v>
      </c>
      <c r="K87">
        <v>0</v>
      </c>
      <c r="L87">
        <v>4</v>
      </c>
      <c r="M87">
        <v>1</v>
      </c>
      <c r="N87">
        <v>0</v>
      </c>
      <c r="O87">
        <v>0</v>
      </c>
      <c r="P87">
        <v>0</v>
      </c>
      <c r="Q87">
        <v>0</v>
      </c>
      <c r="R87">
        <v>0</v>
      </c>
      <c r="S87">
        <v>1.25</v>
      </c>
      <c r="T87">
        <v>1</v>
      </c>
      <c r="U87">
        <v>0</v>
      </c>
      <c r="V87">
        <v>2.25</v>
      </c>
      <c r="W87">
        <v>32.5</v>
      </c>
      <c r="X87">
        <v>0</v>
      </c>
      <c r="Y87">
        <v>0</v>
      </c>
      <c r="Z87">
        <v>2</v>
      </c>
      <c r="AA87">
        <v>0</v>
      </c>
      <c r="AB87">
        <v>0</v>
      </c>
      <c r="AC87">
        <v>0</v>
      </c>
      <c r="AD87">
        <v>0</v>
      </c>
      <c r="AE87">
        <v>0</v>
      </c>
      <c r="AF87">
        <v>0</v>
      </c>
      <c r="AG87">
        <v>32.5</v>
      </c>
      <c r="AH87">
        <v>32.5</v>
      </c>
      <c r="AI87">
        <v>0</v>
      </c>
      <c r="AJ87">
        <v>0</v>
      </c>
      <c r="AK87">
        <v>0</v>
      </c>
      <c r="AL87">
        <v>0</v>
      </c>
      <c r="AM87">
        <v>0</v>
      </c>
      <c r="AN87">
        <v>0</v>
      </c>
      <c r="AO87">
        <v>0</v>
      </c>
      <c r="AP87">
        <v>0</v>
      </c>
      <c r="AQ87">
        <v>0</v>
      </c>
      <c r="AR87">
        <v>0</v>
      </c>
      <c r="AS87">
        <v>0</v>
      </c>
      <c r="AT87">
        <v>0</v>
      </c>
      <c r="AU87">
        <v>0</v>
      </c>
      <c r="AV87">
        <v>0</v>
      </c>
      <c r="AW87">
        <v>0</v>
      </c>
      <c r="AX87">
        <v>1.25</v>
      </c>
      <c r="AY87">
        <v>0</v>
      </c>
      <c r="AZ87">
        <v>1.25</v>
      </c>
      <c r="BA87">
        <v>0</v>
      </c>
      <c r="BB87">
        <v>1</v>
      </c>
      <c r="BC87">
        <v>0</v>
      </c>
      <c r="BD87">
        <v>1</v>
      </c>
      <c r="BE87">
        <v>0</v>
      </c>
    </row>
    <row r="88" spans="1:57">
      <c r="A88" t="s">
        <v>16983</v>
      </c>
      <c r="B88" t="s">
        <v>16984</v>
      </c>
      <c r="C88">
        <v>0</v>
      </c>
      <c r="D88">
        <v>41</v>
      </c>
      <c r="E88">
        <v>41</v>
      </c>
      <c r="F88">
        <v>41</v>
      </c>
      <c r="G88">
        <v>0</v>
      </c>
      <c r="H88">
        <v>0</v>
      </c>
      <c r="I88">
        <v>0</v>
      </c>
      <c r="J88">
        <v>41</v>
      </c>
      <c r="K88">
        <v>300</v>
      </c>
      <c r="L88">
        <v>40</v>
      </c>
      <c r="M88">
        <v>0</v>
      </c>
      <c r="N88">
        <v>0</v>
      </c>
      <c r="O88">
        <v>0</v>
      </c>
      <c r="P88">
        <v>0</v>
      </c>
      <c r="Q88">
        <v>0</v>
      </c>
      <c r="R88">
        <v>0</v>
      </c>
      <c r="S88">
        <v>17.5</v>
      </c>
      <c r="T88">
        <v>15.25</v>
      </c>
      <c r="U88">
        <v>0</v>
      </c>
      <c r="V88">
        <v>24.5</v>
      </c>
      <c r="W88">
        <v>357.5</v>
      </c>
      <c r="X88">
        <v>0</v>
      </c>
      <c r="Y88">
        <v>28</v>
      </c>
      <c r="Z88">
        <v>0</v>
      </c>
      <c r="AA88">
        <v>0</v>
      </c>
      <c r="AB88">
        <v>50</v>
      </c>
      <c r="AC88">
        <v>134.6</v>
      </c>
      <c r="AD88">
        <v>134.6</v>
      </c>
      <c r="AE88">
        <v>134.6</v>
      </c>
      <c r="AF88">
        <v>184.85</v>
      </c>
      <c r="AG88">
        <v>141.6</v>
      </c>
      <c r="AH88">
        <v>112.5</v>
      </c>
      <c r="AI88">
        <v>0</v>
      </c>
      <c r="AJ88">
        <v>0</v>
      </c>
      <c r="AK88">
        <v>0</v>
      </c>
      <c r="AL88">
        <v>0</v>
      </c>
      <c r="AM88">
        <v>37</v>
      </c>
      <c r="AN88">
        <v>3</v>
      </c>
      <c r="AO88">
        <v>1</v>
      </c>
      <c r="AP88">
        <v>0</v>
      </c>
      <c r="AQ88">
        <v>0</v>
      </c>
      <c r="AR88">
        <v>0</v>
      </c>
      <c r="AS88">
        <v>0</v>
      </c>
      <c r="AT88">
        <v>300</v>
      </c>
      <c r="AU88">
        <v>0</v>
      </c>
      <c r="AV88">
        <v>300</v>
      </c>
      <c r="AW88">
        <v>0</v>
      </c>
      <c r="AX88">
        <v>17.5</v>
      </c>
      <c r="AY88">
        <v>0</v>
      </c>
      <c r="AZ88">
        <v>17.5</v>
      </c>
      <c r="BA88">
        <v>0</v>
      </c>
      <c r="BB88">
        <v>15.25</v>
      </c>
      <c r="BC88">
        <v>0</v>
      </c>
      <c r="BD88">
        <v>15.25</v>
      </c>
      <c r="BE88">
        <v>0</v>
      </c>
    </row>
    <row r="89" spans="1:57">
      <c r="A89" t="s">
        <v>16985</v>
      </c>
      <c r="B89" t="s">
        <v>16986</v>
      </c>
      <c r="C89">
        <v>0</v>
      </c>
      <c r="D89">
        <v>2</v>
      </c>
      <c r="E89">
        <v>0</v>
      </c>
      <c r="F89">
        <v>0</v>
      </c>
      <c r="G89">
        <v>0</v>
      </c>
      <c r="H89">
        <v>0</v>
      </c>
      <c r="I89">
        <v>0</v>
      </c>
      <c r="J89">
        <v>2</v>
      </c>
      <c r="K89">
        <v>29</v>
      </c>
      <c r="L89">
        <v>0</v>
      </c>
      <c r="M89">
        <v>0</v>
      </c>
      <c r="N89">
        <v>0</v>
      </c>
      <c r="O89">
        <v>1</v>
      </c>
      <c r="P89">
        <v>0</v>
      </c>
      <c r="Q89">
        <v>1</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29</v>
      </c>
      <c r="AU89">
        <v>0</v>
      </c>
      <c r="AV89">
        <v>29</v>
      </c>
      <c r="AW89">
        <v>0</v>
      </c>
      <c r="AX89">
        <v>0</v>
      </c>
      <c r="AY89">
        <v>0</v>
      </c>
      <c r="AZ89">
        <v>0</v>
      </c>
      <c r="BA89">
        <v>0</v>
      </c>
      <c r="BB89">
        <v>0</v>
      </c>
      <c r="BC89">
        <v>0</v>
      </c>
      <c r="BD89">
        <v>0</v>
      </c>
      <c r="BE89">
        <v>0</v>
      </c>
    </row>
    <row r="90" spans="1:57">
      <c r="A90" t="s">
        <v>16987</v>
      </c>
      <c r="B90" t="s">
        <v>17382</v>
      </c>
      <c r="C90">
        <v>0</v>
      </c>
      <c r="D90">
        <v>4</v>
      </c>
      <c r="E90">
        <v>0</v>
      </c>
      <c r="F90">
        <v>0</v>
      </c>
      <c r="G90">
        <v>2</v>
      </c>
      <c r="H90">
        <v>0</v>
      </c>
      <c r="I90">
        <v>0</v>
      </c>
      <c r="J90">
        <v>4</v>
      </c>
      <c r="K90">
        <v>27</v>
      </c>
      <c r="L90">
        <v>3</v>
      </c>
      <c r="M90">
        <v>0</v>
      </c>
      <c r="N90">
        <v>1</v>
      </c>
      <c r="O90">
        <v>0</v>
      </c>
      <c r="P90">
        <v>0</v>
      </c>
      <c r="Q90">
        <v>0</v>
      </c>
      <c r="R90">
        <v>0</v>
      </c>
      <c r="S90">
        <v>3.75</v>
      </c>
      <c r="T90">
        <v>0</v>
      </c>
      <c r="U90">
        <v>0</v>
      </c>
      <c r="V90">
        <v>3.75</v>
      </c>
      <c r="W90">
        <v>37.5</v>
      </c>
      <c r="X90">
        <v>0</v>
      </c>
      <c r="Y90">
        <v>4</v>
      </c>
      <c r="Z90">
        <v>0</v>
      </c>
      <c r="AA90">
        <v>0</v>
      </c>
      <c r="AB90">
        <v>0</v>
      </c>
      <c r="AC90">
        <v>0</v>
      </c>
      <c r="AD90">
        <v>0</v>
      </c>
      <c r="AE90">
        <v>0</v>
      </c>
      <c r="AF90">
        <v>0</v>
      </c>
      <c r="AG90">
        <v>37.5</v>
      </c>
      <c r="AH90">
        <v>37.5</v>
      </c>
      <c r="AI90">
        <v>0</v>
      </c>
      <c r="AJ90">
        <v>0</v>
      </c>
      <c r="AK90">
        <v>0</v>
      </c>
      <c r="AL90">
        <v>0</v>
      </c>
      <c r="AM90">
        <v>0</v>
      </c>
      <c r="AN90">
        <v>0</v>
      </c>
      <c r="AO90">
        <v>0</v>
      </c>
      <c r="AP90">
        <v>0</v>
      </c>
      <c r="AQ90">
        <v>0</v>
      </c>
      <c r="AR90">
        <v>0</v>
      </c>
      <c r="AS90">
        <v>0</v>
      </c>
      <c r="AT90">
        <v>27</v>
      </c>
      <c r="AU90">
        <v>0</v>
      </c>
      <c r="AV90">
        <v>27</v>
      </c>
      <c r="AW90">
        <v>0</v>
      </c>
      <c r="AX90">
        <v>3.75</v>
      </c>
      <c r="AY90">
        <v>0</v>
      </c>
      <c r="AZ90">
        <v>3.75</v>
      </c>
      <c r="BA90">
        <v>0</v>
      </c>
      <c r="BB90">
        <v>0</v>
      </c>
      <c r="BC90">
        <v>0</v>
      </c>
      <c r="BD90">
        <v>0</v>
      </c>
      <c r="BE90">
        <v>0</v>
      </c>
    </row>
    <row r="91" spans="1:57">
      <c r="A91" t="s">
        <v>17344</v>
      </c>
      <c r="B91" t="s">
        <v>17345</v>
      </c>
      <c r="C91">
        <v>0</v>
      </c>
      <c r="D91">
        <v>6</v>
      </c>
      <c r="E91">
        <v>6</v>
      </c>
      <c r="F91">
        <v>6</v>
      </c>
      <c r="G91">
        <v>0</v>
      </c>
      <c r="H91">
        <v>0</v>
      </c>
      <c r="I91">
        <v>0</v>
      </c>
      <c r="J91">
        <v>6</v>
      </c>
      <c r="K91">
        <v>12</v>
      </c>
      <c r="L91">
        <v>5</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12</v>
      </c>
      <c r="AU91">
        <v>0</v>
      </c>
      <c r="AV91">
        <v>12</v>
      </c>
      <c r="AW91">
        <v>0</v>
      </c>
      <c r="AX91">
        <v>0</v>
      </c>
      <c r="AY91">
        <v>0</v>
      </c>
      <c r="AZ91">
        <v>0</v>
      </c>
      <c r="BA91">
        <v>0</v>
      </c>
      <c r="BB91">
        <v>0</v>
      </c>
      <c r="BC91">
        <v>0</v>
      </c>
      <c r="BD91">
        <v>0</v>
      </c>
      <c r="BE91">
        <v>0</v>
      </c>
    </row>
    <row r="92" spans="1:57">
      <c r="A92" t="s">
        <v>17344</v>
      </c>
      <c r="B92" t="s">
        <v>17345</v>
      </c>
      <c r="C92">
        <v>2</v>
      </c>
      <c r="D92">
        <v>24</v>
      </c>
      <c r="E92">
        <v>24</v>
      </c>
      <c r="F92">
        <v>21</v>
      </c>
      <c r="G92">
        <v>0</v>
      </c>
      <c r="H92">
        <v>0</v>
      </c>
      <c r="I92">
        <v>0</v>
      </c>
      <c r="J92">
        <v>24</v>
      </c>
      <c r="K92">
        <v>120</v>
      </c>
      <c r="L92">
        <v>23</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120</v>
      </c>
      <c r="AU92">
        <v>0</v>
      </c>
      <c r="AV92">
        <v>112</v>
      </c>
      <c r="AW92">
        <v>8</v>
      </c>
      <c r="AX92">
        <v>0</v>
      </c>
      <c r="AY92">
        <v>0</v>
      </c>
      <c r="AZ92">
        <v>0</v>
      </c>
      <c r="BA92">
        <v>0</v>
      </c>
      <c r="BB92">
        <v>0</v>
      </c>
      <c r="BC92">
        <v>0</v>
      </c>
      <c r="BD92">
        <v>0</v>
      </c>
      <c r="BE92">
        <v>0</v>
      </c>
    </row>
    <row r="93" spans="1:57">
      <c r="A93" t="s">
        <v>16990</v>
      </c>
      <c r="B93" t="s">
        <v>17359</v>
      </c>
      <c r="C93">
        <v>1</v>
      </c>
      <c r="D93">
        <v>10</v>
      </c>
      <c r="E93">
        <v>10</v>
      </c>
      <c r="F93">
        <v>9</v>
      </c>
      <c r="G93">
        <v>2</v>
      </c>
      <c r="H93">
        <v>3</v>
      </c>
      <c r="I93">
        <v>1</v>
      </c>
      <c r="J93">
        <v>9</v>
      </c>
      <c r="K93">
        <v>95</v>
      </c>
      <c r="L93">
        <v>7</v>
      </c>
      <c r="M93">
        <v>1</v>
      </c>
      <c r="N93">
        <v>1</v>
      </c>
      <c r="O93">
        <v>0</v>
      </c>
      <c r="P93">
        <v>0</v>
      </c>
      <c r="Q93">
        <v>1</v>
      </c>
      <c r="R93">
        <v>0</v>
      </c>
      <c r="S93">
        <v>2.5</v>
      </c>
      <c r="T93">
        <v>4</v>
      </c>
      <c r="U93">
        <v>0</v>
      </c>
      <c r="V93">
        <v>6.5</v>
      </c>
      <c r="W93">
        <v>95</v>
      </c>
      <c r="X93">
        <v>0</v>
      </c>
      <c r="Y93" t="e">
        <v>#VALUE!</v>
      </c>
      <c r="Z93" t="e">
        <v>#VALUE!</v>
      </c>
      <c r="AA93">
        <v>-17.5</v>
      </c>
      <c r="AB93" t="e">
        <v>#VALUE!</v>
      </c>
      <c r="AC93">
        <v>9.56</v>
      </c>
      <c r="AD93">
        <v>9.56</v>
      </c>
      <c r="AE93">
        <v>9.56</v>
      </c>
      <c r="AF93">
        <v>9.56</v>
      </c>
      <c r="AG93">
        <v>104.56</v>
      </c>
      <c r="AH93">
        <v>95</v>
      </c>
      <c r="AI93">
        <v>0</v>
      </c>
      <c r="AJ93">
        <v>0</v>
      </c>
      <c r="AK93">
        <v>25</v>
      </c>
      <c r="AL93">
        <v>25</v>
      </c>
      <c r="AM93">
        <v>0</v>
      </c>
      <c r="AN93">
        <v>1</v>
      </c>
      <c r="AO93">
        <v>0</v>
      </c>
      <c r="AP93">
        <v>0</v>
      </c>
      <c r="AQ93">
        <v>0</v>
      </c>
      <c r="AR93">
        <v>0</v>
      </c>
      <c r="AS93">
        <v>0</v>
      </c>
      <c r="AT93">
        <v>95</v>
      </c>
      <c r="AU93">
        <v>70</v>
      </c>
      <c r="AV93">
        <v>19</v>
      </c>
      <c r="AW93">
        <v>6</v>
      </c>
      <c r="AX93">
        <v>2.75</v>
      </c>
      <c r="AY93">
        <v>0.5</v>
      </c>
      <c r="AZ93">
        <v>1.5</v>
      </c>
      <c r="BA93">
        <v>0.75</v>
      </c>
      <c r="BB93">
        <v>4.25</v>
      </c>
      <c r="BC93">
        <v>1</v>
      </c>
      <c r="BD93">
        <v>2.75</v>
      </c>
      <c r="BE93">
        <v>0.5</v>
      </c>
    </row>
    <row r="94" spans="1:57">
      <c r="A94" t="s">
        <v>16990</v>
      </c>
      <c r="B94" t="s">
        <v>17359</v>
      </c>
      <c r="C94">
        <v>3</v>
      </c>
      <c r="D94">
        <v>12</v>
      </c>
      <c r="E94">
        <v>12</v>
      </c>
      <c r="F94">
        <v>12</v>
      </c>
      <c r="G94">
        <v>1</v>
      </c>
      <c r="H94">
        <v>3</v>
      </c>
      <c r="I94">
        <v>0</v>
      </c>
      <c r="J94">
        <v>11</v>
      </c>
      <c r="K94">
        <v>78</v>
      </c>
      <c r="L94">
        <v>9</v>
      </c>
      <c r="M94">
        <v>1</v>
      </c>
      <c r="N94">
        <v>0</v>
      </c>
      <c r="O94">
        <v>1</v>
      </c>
      <c r="P94">
        <v>0</v>
      </c>
      <c r="Q94">
        <v>1</v>
      </c>
      <c r="R94">
        <v>0</v>
      </c>
      <c r="S94">
        <v>2.5</v>
      </c>
      <c r="T94">
        <v>4</v>
      </c>
      <c r="U94">
        <v>0</v>
      </c>
      <c r="V94">
        <v>6.5</v>
      </c>
      <c r="W94">
        <v>70</v>
      </c>
      <c r="X94">
        <v>0</v>
      </c>
      <c r="Y94" t="e">
        <v>#VALUE!</v>
      </c>
      <c r="Z94" t="e">
        <v>#VALUE!</v>
      </c>
      <c r="AA94">
        <v>-35</v>
      </c>
      <c r="AB94" t="e">
        <v>#VALUE!</v>
      </c>
      <c r="AC94">
        <v>9.56</v>
      </c>
      <c r="AD94">
        <v>9.56</v>
      </c>
      <c r="AE94">
        <v>9.56</v>
      </c>
      <c r="AF94">
        <v>9.56</v>
      </c>
      <c r="AG94">
        <v>87.06</v>
      </c>
      <c r="AH94">
        <v>77.5</v>
      </c>
      <c r="AI94">
        <v>0</v>
      </c>
      <c r="AJ94">
        <v>0</v>
      </c>
      <c r="AK94">
        <v>12.5</v>
      </c>
      <c r="AL94">
        <v>12.5</v>
      </c>
      <c r="AM94">
        <v>0</v>
      </c>
      <c r="AN94">
        <v>1</v>
      </c>
      <c r="AO94">
        <v>0</v>
      </c>
      <c r="AP94">
        <v>0</v>
      </c>
      <c r="AQ94">
        <v>0</v>
      </c>
      <c r="AR94">
        <v>0</v>
      </c>
      <c r="AS94">
        <v>0</v>
      </c>
      <c r="AT94">
        <v>78</v>
      </c>
      <c r="AU94">
        <v>28</v>
      </c>
      <c r="AV94">
        <v>48</v>
      </c>
      <c r="AW94">
        <v>20</v>
      </c>
      <c r="AX94">
        <v>2.75</v>
      </c>
      <c r="AY94">
        <v>1</v>
      </c>
      <c r="AZ94">
        <v>1.5</v>
      </c>
      <c r="BA94">
        <v>1</v>
      </c>
      <c r="BB94">
        <v>4.25</v>
      </c>
      <c r="BC94">
        <v>1.25</v>
      </c>
      <c r="BD94">
        <v>2.5</v>
      </c>
      <c r="BE94">
        <v>1.25</v>
      </c>
    </row>
    <row r="95" spans="1:57">
      <c r="A95" t="s">
        <v>16993</v>
      </c>
      <c r="B95" t="s">
        <v>16994</v>
      </c>
      <c r="C95">
        <v>0</v>
      </c>
      <c r="D95">
        <v>3</v>
      </c>
      <c r="E95">
        <v>3</v>
      </c>
      <c r="F95">
        <v>3</v>
      </c>
      <c r="G95">
        <v>0</v>
      </c>
      <c r="H95">
        <v>0</v>
      </c>
      <c r="I95">
        <v>1</v>
      </c>
      <c r="J95">
        <v>2</v>
      </c>
      <c r="K95">
        <v>14</v>
      </c>
      <c r="L95">
        <v>2</v>
      </c>
      <c r="M95">
        <v>0</v>
      </c>
      <c r="N95">
        <v>1</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14</v>
      </c>
      <c r="AU95">
        <v>0</v>
      </c>
      <c r="AV95">
        <v>14</v>
      </c>
      <c r="AW95">
        <v>0</v>
      </c>
      <c r="AX95">
        <v>0</v>
      </c>
      <c r="AY95">
        <v>0</v>
      </c>
      <c r="AZ95">
        <v>0</v>
      </c>
      <c r="BA95">
        <v>0</v>
      </c>
      <c r="BB95">
        <v>0</v>
      </c>
      <c r="BC95">
        <v>0</v>
      </c>
      <c r="BD95">
        <v>0</v>
      </c>
      <c r="BE95">
        <v>0</v>
      </c>
    </row>
    <row r="96" spans="1:57">
      <c r="A96" t="s">
        <v>16995</v>
      </c>
      <c r="B96" t="s">
        <v>16996</v>
      </c>
      <c r="C96">
        <v>0</v>
      </c>
      <c r="D96">
        <v>21</v>
      </c>
      <c r="E96">
        <v>17</v>
      </c>
      <c r="F96">
        <v>17</v>
      </c>
      <c r="G96">
        <v>2</v>
      </c>
      <c r="H96">
        <v>2</v>
      </c>
      <c r="I96">
        <v>0</v>
      </c>
      <c r="J96">
        <v>21</v>
      </c>
      <c r="K96">
        <v>169</v>
      </c>
      <c r="L96">
        <v>18</v>
      </c>
      <c r="M96">
        <v>1</v>
      </c>
      <c r="N96">
        <v>0</v>
      </c>
      <c r="O96">
        <v>2</v>
      </c>
      <c r="P96">
        <v>0</v>
      </c>
      <c r="Q96">
        <v>0</v>
      </c>
      <c r="R96">
        <v>0</v>
      </c>
      <c r="S96">
        <v>30.75</v>
      </c>
      <c r="T96">
        <v>35.25</v>
      </c>
      <c r="U96">
        <v>0</v>
      </c>
      <c r="V96">
        <v>66</v>
      </c>
      <c r="W96">
        <v>1012.5</v>
      </c>
      <c r="X96">
        <v>0</v>
      </c>
      <c r="Y96">
        <v>19</v>
      </c>
      <c r="Z96">
        <v>0</v>
      </c>
      <c r="AA96">
        <v>0</v>
      </c>
      <c r="AB96">
        <v>645</v>
      </c>
      <c r="AC96">
        <v>683.25</v>
      </c>
      <c r="AD96">
        <v>676.5</v>
      </c>
      <c r="AE96">
        <v>1298.25</v>
      </c>
      <c r="AF96">
        <v>1321.8</v>
      </c>
      <c r="AG96">
        <v>1695.75</v>
      </c>
      <c r="AH96">
        <v>397.5</v>
      </c>
      <c r="AI96">
        <v>1047.75</v>
      </c>
      <c r="AJ96">
        <v>1047.75</v>
      </c>
      <c r="AK96">
        <v>1107.75</v>
      </c>
      <c r="AL96">
        <v>60</v>
      </c>
      <c r="AM96">
        <v>0</v>
      </c>
      <c r="AN96">
        <v>1</v>
      </c>
      <c r="AO96">
        <v>1</v>
      </c>
      <c r="AP96">
        <v>1</v>
      </c>
      <c r="AQ96">
        <v>1</v>
      </c>
      <c r="AR96">
        <v>0</v>
      </c>
      <c r="AS96">
        <v>0</v>
      </c>
      <c r="AT96">
        <v>169</v>
      </c>
      <c r="AU96">
        <v>34</v>
      </c>
      <c r="AV96">
        <v>135</v>
      </c>
      <c r="AW96">
        <v>0</v>
      </c>
      <c r="AX96">
        <v>30.75</v>
      </c>
      <c r="AY96">
        <v>1.5</v>
      </c>
      <c r="AZ96">
        <v>29.25</v>
      </c>
      <c r="BA96">
        <v>0</v>
      </c>
      <c r="BB96">
        <v>35.25</v>
      </c>
      <c r="BC96">
        <v>26.25</v>
      </c>
      <c r="BD96">
        <v>9</v>
      </c>
      <c r="BE96">
        <v>0</v>
      </c>
    </row>
    <row r="97" spans="1:57">
      <c r="A97" t="s">
        <v>16988</v>
      </c>
      <c r="B97" t="s">
        <v>16988</v>
      </c>
      <c r="C97">
        <v>0</v>
      </c>
      <c r="D97">
        <v>1</v>
      </c>
      <c r="E97">
        <v>0</v>
      </c>
      <c r="F97">
        <v>1</v>
      </c>
      <c r="G97">
        <v>0</v>
      </c>
      <c r="H97">
        <v>0</v>
      </c>
      <c r="I97">
        <v>0</v>
      </c>
      <c r="J97">
        <v>1</v>
      </c>
      <c r="K97">
        <v>6</v>
      </c>
      <c r="L97">
        <v>1</v>
      </c>
      <c r="M97">
        <v>0</v>
      </c>
      <c r="N97">
        <v>0</v>
      </c>
      <c r="O97">
        <v>0</v>
      </c>
      <c r="P97">
        <v>0</v>
      </c>
      <c r="Q97">
        <v>0</v>
      </c>
      <c r="R97">
        <v>0</v>
      </c>
      <c r="S97">
        <v>0.25</v>
      </c>
      <c r="T97">
        <v>0</v>
      </c>
      <c r="U97">
        <v>0</v>
      </c>
      <c r="V97">
        <v>0.25</v>
      </c>
      <c r="W97">
        <v>2.5</v>
      </c>
      <c r="X97">
        <v>0</v>
      </c>
      <c r="Y97">
        <v>1</v>
      </c>
      <c r="Z97">
        <v>0</v>
      </c>
      <c r="AA97">
        <v>0</v>
      </c>
      <c r="AB97">
        <v>0</v>
      </c>
      <c r="AC97">
        <v>0</v>
      </c>
      <c r="AD97">
        <v>0</v>
      </c>
      <c r="AE97">
        <v>0</v>
      </c>
      <c r="AF97">
        <v>0</v>
      </c>
      <c r="AG97">
        <v>2.5</v>
      </c>
      <c r="AH97">
        <v>2.5</v>
      </c>
      <c r="AI97">
        <v>0</v>
      </c>
      <c r="AJ97">
        <v>0</v>
      </c>
      <c r="AK97">
        <v>0</v>
      </c>
      <c r="AL97">
        <v>0</v>
      </c>
      <c r="AM97">
        <v>0</v>
      </c>
      <c r="AN97">
        <v>0</v>
      </c>
      <c r="AO97">
        <v>0</v>
      </c>
      <c r="AP97">
        <v>0</v>
      </c>
      <c r="AQ97">
        <v>0</v>
      </c>
      <c r="AR97">
        <v>0</v>
      </c>
      <c r="AS97">
        <v>0</v>
      </c>
      <c r="AT97">
        <v>6</v>
      </c>
      <c r="AU97">
        <v>0</v>
      </c>
      <c r="AV97">
        <v>6</v>
      </c>
      <c r="AW97">
        <v>0</v>
      </c>
      <c r="AX97">
        <v>0.25</v>
      </c>
      <c r="AY97">
        <v>0</v>
      </c>
      <c r="AZ97">
        <v>0.25</v>
      </c>
      <c r="BA97">
        <v>0</v>
      </c>
      <c r="BB97">
        <v>0</v>
      </c>
      <c r="BC97">
        <v>0</v>
      </c>
      <c r="BD97">
        <v>0</v>
      </c>
      <c r="BE97">
        <v>0</v>
      </c>
    </row>
    <row r="98" spans="1:57">
      <c r="A98" t="s">
        <v>16988</v>
      </c>
      <c r="B98" t="s">
        <v>16988</v>
      </c>
      <c r="C98">
        <v>0</v>
      </c>
      <c r="D98">
        <v>3</v>
      </c>
      <c r="E98">
        <v>0</v>
      </c>
      <c r="F98">
        <v>2</v>
      </c>
      <c r="G98">
        <v>1</v>
      </c>
      <c r="H98">
        <v>0</v>
      </c>
      <c r="I98">
        <v>0</v>
      </c>
      <c r="J98">
        <v>3</v>
      </c>
      <c r="K98">
        <v>57</v>
      </c>
      <c r="L98">
        <v>3</v>
      </c>
      <c r="M98">
        <v>0</v>
      </c>
      <c r="N98">
        <v>0</v>
      </c>
      <c r="O98">
        <v>0</v>
      </c>
      <c r="P98">
        <v>0</v>
      </c>
      <c r="Q98">
        <v>0</v>
      </c>
      <c r="R98">
        <v>0</v>
      </c>
      <c r="S98">
        <v>0</v>
      </c>
      <c r="T98">
        <v>0</v>
      </c>
      <c r="U98">
        <v>0</v>
      </c>
      <c r="V98">
        <v>0.75</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57</v>
      </c>
      <c r="AU98">
        <v>0</v>
      </c>
      <c r="AV98">
        <v>57</v>
      </c>
      <c r="AW98">
        <v>0</v>
      </c>
      <c r="AX98">
        <v>0.75</v>
      </c>
      <c r="AY98">
        <v>0</v>
      </c>
      <c r="AZ98">
        <v>0.75</v>
      </c>
      <c r="BA98">
        <v>0</v>
      </c>
      <c r="BB98">
        <v>0</v>
      </c>
      <c r="BC98">
        <v>0</v>
      </c>
      <c r="BD98">
        <v>0</v>
      </c>
      <c r="BE98">
        <v>0</v>
      </c>
    </row>
    <row r="99" spans="1:57">
      <c r="A99" t="s">
        <v>16991</v>
      </c>
      <c r="B99" t="s">
        <v>16991</v>
      </c>
      <c r="C99">
        <v>0</v>
      </c>
      <c r="D99">
        <v>4</v>
      </c>
      <c r="E99">
        <v>2</v>
      </c>
      <c r="F99">
        <v>2</v>
      </c>
      <c r="G99">
        <v>0</v>
      </c>
      <c r="H99">
        <v>0</v>
      </c>
      <c r="I99">
        <v>0</v>
      </c>
      <c r="J99">
        <v>4</v>
      </c>
      <c r="K99">
        <v>79</v>
      </c>
      <c r="L99">
        <v>0</v>
      </c>
      <c r="M99">
        <v>0</v>
      </c>
      <c r="N99">
        <v>1</v>
      </c>
      <c r="O99">
        <v>3</v>
      </c>
      <c r="P99">
        <v>0</v>
      </c>
      <c r="Q99">
        <v>0</v>
      </c>
      <c r="R99">
        <v>0</v>
      </c>
      <c r="S99">
        <v>4</v>
      </c>
      <c r="T99">
        <v>0</v>
      </c>
      <c r="U99">
        <v>0</v>
      </c>
      <c r="V99">
        <v>4</v>
      </c>
      <c r="W99">
        <v>40</v>
      </c>
      <c r="X99">
        <v>0</v>
      </c>
      <c r="Y99">
        <v>4</v>
      </c>
      <c r="Z99">
        <v>0</v>
      </c>
      <c r="AA99">
        <v>0</v>
      </c>
      <c r="AB99">
        <v>0</v>
      </c>
      <c r="AC99">
        <v>0</v>
      </c>
      <c r="AD99">
        <v>0</v>
      </c>
      <c r="AE99">
        <v>0</v>
      </c>
      <c r="AF99">
        <v>0</v>
      </c>
      <c r="AG99">
        <v>40</v>
      </c>
      <c r="AH99">
        <v>40</v>
      </c>
      <c r="AI99">
        <v>0</v>
      </c>
      <c r="AJ99">
        <v>0</v>
      </c>
      <c r="AK99">
        <v>0</v>
      </c>
      <c r="AL99">
        <v>0</v>
      </c>
      <c r="AM99">
        <v>0</v>
      </c>
      <c r="AN99">
        <v>0</v>
      </c>
      <c r="AO99">
        <v>0</v>
      </c>
      <c r="AP99">
        <v>0</v>
      </c>
      <c r="AQ99">
        <v>0</v>
      </c>
      <c r="AR99">
        <v>0</v>
      </c>
      <c r="AS99">
        <v>0</v>
      </c>
      <c r="AT99">
        <v>79</v>
      </c>
      <c r="AU99">
        <v>0</v>
      </c>
      <c r="AV99">
        <v>79</v>
      </c>
      <c r="AW99">
        <v>0</v>
      </c>
      <c r="AX99">
        <v>4</v>
      </c>
      <c r="AY99">
        <v>0</v>
      </c>
      <c r="AZ99">
        <v>4</v>
      </c>
      <c r="BA99">
        <v>0</v>
      </c>
      <c r="BB99">
        <v>0</v>
      </c>
      <c r="BC99">
        <v>0</v>
      </c>
      <c r="BD99">
        <v>0</v>
      </c>
      <c r="BE99">
        <v>0</v>
      </c>
    </row>
    <row r="100" spans="1:57">
      <c r="A100" t="s">
        <v>16999</v>
      </c>
      <c r="B100" t="s">
        <v>17000</v>
      </c>
      <c r="C100">
        <v>0</v>
      </c>
      <c r="D100">
        <v>19</v>
      </c>
      <c r="E100">
        <v>5</v>
      </c>
      <c r="F100">
        <v>19</v>
      </c>
      <c r="G100">
        <v>2</v>
      </c>
      <c r="H100">
        <v>3</v>
      </c>
      <c r="I100">
        <v>0</v>
      </c>
      <c r="J100">
        <v>18</v>
      </c>
      <c r="K100">
        <v>116</v>
      </c>
      <c r="L100">
        <v>16</v>
      </c>
      <c r="M100">
        <v>0</v>
      </c>
      <c r="N100">
        <v>1</v>
      </c>
      <c r="O100">
        <v>1</v>
      </c>
      <c r="P100">
        <v>0</v>
      </c>
      <c r="Q100">
        <v>0</v>
      </c>
      <c r="R100">
        <v>0</v>
      </c>
      <c r="S100">
        <v>8</v>
      </c>
      <c r="T100">
        <v>0</v>
      </c>
      <c r="U100">
        <v>8</v>
      </c>
      <c r="V100">
        <v>16</v>
      </c>
      <c r="W100">
        <v>80</v>
      </c>
      <c r="X100">
        <v>0</v>
      </c>
      <c r="Y100">
        <v>18</v>
      </c>
      <c r="Z100">
        <v>0</v>
      </c>
      <c r="AA100">
        <v>0</v>
      </c>
      <c r="AB100">
        <v>0</v>
      </c>
      <c r="AC100">
        <v>0</v>
      </c>
      <c r="AD100">
        <v>0</v>
      </c>
      <c r="AE100">
        <v>0</v>
      </c>
      <c r="AF100">
        <v>0</v>
      </c>
      <c r="AG100">
        <v>240</v>
      </c>
      <c r="AH100">
        <v>240</v>
      </c>
      <c r="AI100">
        <v>0</v>
      </c>
      <c r="AJ100">
        <v>0</v>
      </c>
      <c r="AK100">
        <v>177.5</v>
      </c>
      <c r="AL100">
        <v>177.5</v>
      </c>
      <c r="AM100">
        <v>0</v>
      </c>
      <c r="AN100">
        <v>0</v>
      </c>
      <c r="AO100">
        <v>0</v>
      </c>
      <c r="AP100">
        <v>0</v>
      </c>
      <c r="AQ100">
        <v>0</v>
      </c>
      <c r="AR100">
        <v>0</v>
      </c>
      <c r="AS100">
        <v>0</v>
      </c>
      <c r="AT100">
        <v>116</v>
      </c>
      <c r="AU100">
        <v>20</v>
      </c>
      <c r="AV100">
        <v>96</v>
      </c>
      <c r="AW100">
        <v>0</v>
      </c>
      <c r="AX100">
        <v>8</v>
      </c>
      <c r="AY100">
        <v>1.75</v>
      </c>
      <c r="AZ100">
        <v>6.25</v>
      </c>
      <c r="BA100">
        <v>0</v>
      </c>
      <c r="BB100">
        <v>0</v>
      </c>
      <c r="BC100">
        <v>0</v>
      </c>
      <c r="BD100">
        <v>0</v>
      </c>
      <c r="BE100">
        <v>0</v>
      </c>
    </row>
    <row r="101" spans="1:57">
      <c r="A101" t="s">
        <v>16969</v>
      </c>
      <c r="B101" t="s">
        <v>17006</v>
      </c>
      <c r="C101">
        <v>4</v>
      </c>
      <c r="D101">
        <v>25</v>
      </c>
      <c r="E101">
        <v>25</v>
      </c>
      <c r="F101">
        <v>25</v>
      </c>
      <c r="G101">
        <v>1</v>
      </c>
      <c r="H101">
        <v>1</v>
      </c>
      <c r="I101">
        <v>1</v>
      </c>
      <c r="J101">
        <v>15</v>
      </c>
      <c r="K101">
        <v>171</v>
      </c>
      <c r="L101">
        <v>3</v>
      </c>
      <c r="M101">
        <v>2</v>
      </c>
      <c r="N101">
        <v>0</v>
      </c>
      <c r="O101">
        <v>9</v>
      </c>
      <c r="P101">
        <v>0</v>
      </c>
      <c r="Q101">
        <v>1</v>
      </c>
      <c r="R101">
        <v>0</v>
      </c>
      <c r="S101">
        <v>3.25</v>
      </c>
      <c r="T101">
        <v>1.5</v>
      </c>
      <c r="U101">
        <v>1</v>
      </c>
      <c r="V101">
        <v>5.75</v>
      </c>
      <c r="W101">
        <v>37.5</v>
      </c>
      <c r="X101">
        <v>0</v>
      </c>
      <c r="Y101">
        <v>11</v>
      </c>
      <c r="Z101">
        <v>0</v>
      </c>
      <c r="AA101">
        <v>-25</v>
      </c>
      <c r="AB101">
        <v>0</v>
      </c>
      <c r="AC101">
        <v>2.85</v>
      </c>
      <c r="AD101">
        <v>2.85</v>
      </c>
      <c r="AE101">
        <v>2.85</v>
      </c>
      <c r="AF101">
        <v>2.85</v>
      </c>
      <c r="AG101">
        <v>60.35</v>
      </c>
      <c r="AH101">
        <v>57.5</v>
      </c>
      <c r="AI101">
        <v>0</v>
      </c>
      <c r="AJ101">
        <v>0</v>
      </c>
      <c r="AK101">
        <v>0</v>
      </c>
      <c r="AL101">
        <v>0</v>
      </c>
      <c r="AM101">
        <v>3</v>
      </c>
      <c r="AN101">
        <v>0</v>
      </c>
      <c r="AO101">
        <v>0</v>
      </c>
      <c r="AP101">
        <v>0</v>
      </c>
      <c r="AQ101">
        <v>0</v>
      </c>
      <c r="AR101">
        <v>0</v>
      </c>
      <c r="AS101">
        <v>0</v>
      </c>
      <c r="AT101">
        <v>171</v>
      </c>
      <c r="AU101">
        <v>32</v>
      </c>
      <c r="AV101">
        <v>128</v>
      </c>
      <c r="AW101">
        <v>11</v>
      </c>
      <c r="AX101">
        <v>3.25</v>
      </c>
      <c r="AY101">
        <v>0</v>
      </c>
      <c r="AZ101">
        <v>2.75</v>
      </c>
      <c r="BA101">
        <v>0.5</v>
      </c>
      <c r="BB101">
        <v>1.5</v>
      </c>
      <c r="BC101">
        <v>0</v>
      </c>
      <c r="BD101">
        <v>0.5</v>
      </c>
      <c r="BE101">
        <v>1</v>
      </c>
    </row>
    <row r="102" spans="1:57">
      <c r="A102" t="s">
        <v>16969</v>
      </c>
      <c r="B102" t="s">
        <v>20666</v>
      </c>
      <c r="C102">
        <v>0</v>
      </c>
      <c r="D102">
        <v>1</v>
      </c>
      <c r="E102">
        <v>1</v>
      </c>
      <c r="F102">
        <v>1</v>
      </c>
      <c r="G102">
        <v>0</v>
      </c>
      <c r="H102">
        <v>0</v>
      </c>
      <c r="I102">
        <v>1</v>
      </c>
      <c r="J102">
        <v>1</v>
      </c>
      <c r="K102">
        <v>10</v>
      </c>
      <c r="L102">
        <v>1</v>
      </c>
      <c r="M102">
        <v>0</v>
      </c>
      <c r="N102">
        <v>0</v>
      </c>
      <c r="O102">
        <v>0</v>
      </c>
      <c r="P102">
        <v>0</v>
      </c>
      <c r="Q102">
        <v>0</v>
      </c>
      <c r="R102">
        <v>0</v>
      </c>
      <c r="S102">
        <v>10</v>
      </c>
      <c r="T102">
        <v>2</v>
      </c>
      <c r="U102">
        <v>0</v>
      </c>
      <c r="V102">
        <v>12</v>
      </c>
      <c r="W102">
        <v>140</v>
      </c>
      <c r="X102">
        <v>0</v>
      </c>
      <c r="Y102">
        <v>1</v>
      </c>
      <c r="Z102">
        <v>0</v>
      </c>
      <c r="AA102">
        <v>0</v>
      </c>
      <c r="AB102">
        <v>110</v>
      </c>
      <c r="AC102">
        <v>0</v>
      </c>
      <c r="AD102">
        <v>0</v>
      </c>
      <c r="AE102">
        <v>0</v>
      </c>
      <c r="AF102">
        <v>110</v>
      </c>
      <c r="AG102">
        <v>140</v>
      </c>
      <c r="AH102">
        <v>140</v>
      </c>
      <c r="AI102">
        <v>0</v>
      </c>
      <c r="AJ102">
        <v>0</v>
      </c>
      <c r="AK102">
        <v>0</v>
      </c>
      <c r="AL102">
        <v>0</v>
      </c>
      <c r="AM102">
        <v>0</v>
      </c>
      <c r="AN102">
        <v>0</v>
      </c>
      <c r="AO102">
        <v>0</v>
      </c>
      <c r="AP102">
        <v>0</v>
      </c>
      <c r="AQ102">
        <v>0</v>
      </c>
      <c r="AR102">
        <v>0</v>
      </c>
      <c r="AS102">
        <v>0</v>
      </c>
      <c r="AT102">
        <v>10</v>
      </c>
      <c r="AU102">
        <v>0</v>
      </c>
      <c r="AV102">
        <v>10</v>
      </c>
      <c r="AW102">
        <v>0</v>
      </c>
      <c r="AX102">
        <v>10</v>
      </c>
      <c r="AY102">
        <v>0</v>
      </c>
      <c r="AZ102">
        <v>10</v>
      </c>
      <c r="BA102">
        <v>0</v>
      </c>
      <c r="BB102">
        <v>2</v>
      </c>
      <c r="BC102">
        <v>0</v>
      </c>
      <c r="BD102">
        <v>2</v>
      </c>
      <c r="BE102">
        <v>0</v>
      </c>
    </row>
    <row r="103" spans="1:57">
      <c r="A103" t="s">
        <v>16969</v>
      </c>
      <c r="B103" t="s">
        <v>19338</v>
      </c>
      <c r="C103">
        <v>0</v>
      </c>
      <c r="D103">
        <v>1</v>
      </c>
      <c r="E103">
        <v>0</v>
      </c>
      <c r="F103">
        <v>1</v>
      </c>
      <c r="G103">
        <v>0</v>
      </c>
      <c r="H103">
        <v>0</v>
      </c>
      <c r="I103">
        <v>0</v>
      </c>
      <c r="J103">
        <v>1</v>
      </c>
      <c r="K103">
        <v>10</v>
      </c>
      <c r="L103">
        <v>1</v>
      </c>
      <c r="M103">
        <v>0</v>
      </c>
      <c r="N103">
        <v>0</v>
      </c>
      <c r="O103">
        <v>0</v>
      </c>
      <c r="P103">
        <v>0</v>
      </c>
      <c r="Q103">
        <v>0</v>
      </c>
      <c r="R103">
        <v>0</v>
      </c>
      <c r="S103">
        <v>2</v>
      </c>
      <c r="T103">
        <v>0</v>
      </c>
      <c r="U103">
        <v>0</v>
      </c>
      <c r="V103">
        <v>2</v>
      </c>
      <c r="W103">
        <v>20</v>
      </c>
      <c r="X103">
        <v>0</v>
      </c>
      <c r="Y103">
        <v>1</v>
      </c>
      <c r="Z103">
        <v>0</v>
      </c>
      <c r="AA103">
        <v>0</v>
      </c>
      <c r="AB103">
        <v>0</v>
      </c>
      <c r="AC103">
        <v>0</v>
      </c>
      <c r="AD103">
        <v>0</v>
      </c>
      <c r="AE103">
        <v>0</v>
      </c>
      <c r="AF103">
        <v>0</v>
      </c>
      <c r="AG103">
        <v>20</v>
      </c>
      <c r="AH103">
        <v>20</v>
      </c>
      <c r="AI103">
        <v>0</v>
      </c>
      <c r="AJ103">
        <v>0</v>
      </c>
      <c r="AK103">
        <v>0</v>
      </c>
      <c r="AL103">
        <v>0</v>
      </c>
      <c r="AM103">
        <v>0</v>
      </c>
      <c r="AN103">
        <v>0</v>
      </c>
      <c r="AO103">
        <v>0</v>
      </c>
      <c r="AP103">
        <v>0</v>
      </c>
      <c r="AQ103">
        <v>0</v>
      </c>
      <c r="AR103">
        <v>0</v>
      </c>
      <c r="AS103">
        <v>0</v>
      </c>
      <c r="AT103">
        <v>10</v>
      </c>
      <c r="AU103">
        <v>0</v>
      </c>
      <c r="AV103">
        <v>10</v>
      </c>
      <c r="AW103">
        <v>0</v>
      </c>
      <c r="AX103">
        <v>2</v>
      </c>
      <c r="AY103">
        <v>0</v>
      </c>
      <c r="AZ103">
        <v>2</v>
      </c>
      <c r="BA103">
        <v>0</v>
      </c>
      <c r="BB103">
        <v>0</v>
      </c>
      <c r="BC103">
        <v>0</v>
      </c>
      <c r="BD103">
        <v>0</v>
      </c>
      <c r="BE103">
        <v>0</v>
      </c>
    </row>
    <row r="104" spans="1:57">
      <c r="A104" t="s">
        <v>16969</v>
      </c>
      <c r="B104" t="s">
        <v>20667</v>
      </c>
      <c r="C104">
        <v>0</v>
      </c>
      <c r="D104">
        <v>1</v>
      </c>
      <c r="E104">
        <v>0</v>
      </c>
      <c r="F104">
        <v>1</v>
      </c>
      <c r="G104">
        <v>0</v>
      </c>
      <c r="H104">
        <v>0</v>
      </c>
      <c r="I104">
        <v>0</v>
      </c>
      <c r="J104">
        <v>1</v>
      </c>
      <c r="K104">
        <v>5</v>
      </c>
      <c r="L104">
        <v>1</v>
      </c>
      <c r="M104">
        <v>0</v>
      </c>
      <c r="N104">
        <v>0</v>
      </c>
      <c r="O104">
        <v>0</v>
      </c>
      <c r="P104">
        <v>0</v>
      </c>
      <c r="Q104">
        <v>0</v>
      </c>
      <c r="R104">
        <v>0</v>
      </c>
      <c r="S104">
        <v>0.5</v>
      </c>
      <c r="T104">
        <v>0.25</v>
      </c>
      <c r="U104">
        <v>0</v>
      </c>
      <c r="V104">
        <v>0.75</v>
      </c>
      <c r="W104">
        <v>10</v>
      </c>
      <c r="X104">
        <v>0</v>
      </c>
      <c r="Y104">
        <v>1</v>
      </c>
      <c r="Z104">
        <v>0</v>
      </c>
      <c r="AA104">
        <v>0</v>
      </c>
      <c r="AB104">
        <v>0</v>
      </c>
      <c r="AC104">
        <v>0</v>
      </c>
      <c r="AD104">
        <v>0</v>
      </c>
      <c r="AE104">
        <v>0</v>
      </c>
      <c r="AF104">
        <v>0</v>
      </c>
      <c r="AG104">
        <v>10</v>
      </c>
      <c r="AH104">
        <v>10</v>
      </c>
      <c r="AI104">
        <v>0</v>
      </c>
      <c r="AJ104">
        <v>0</v>
      </c>
      <c r="AK104">
        <v>0</v>
      </c>
      <c r="AL104">
        <v>0</v>
      </c>
      <c r="AM104">
        <v>0</v>
      </c>
      <c r="AN104">
        <v>0</v>
      </c>
      <c r="AO104">
        <v>0</v>
      </c>
      <c r="AP104">
        <v>0</v>
      </c>
      <c r="AQ104">
        <v>0</v>
      </c>
      <c r="AR104">
        <v>0</v>
      </c>
      <c r="AS104">
        <v>0</v>
      </c>
      <c r="AT104">
        <v>5</v>
      </c>
      <c r="AU104">
        <v>0</v>
      </c>
      <c r="AV104">
        <v>5</v>
      </c>
      <c r="AW104">
        <v>0</v>
      </c>
      <c r="AX104">
        <v>0.5</v>
      </c>
      <c r="AY104">
        <v>0</v>
      </c>
      <c r="AZ104">
        <v>0.5</v>
      </c>
      <c r="BA104">
        <v>0</v>
      </c>
      <c r="BB104">
        <v>0.25</v>
      </c>
      <c r="BC104">
        <v>0</v>
      </c>
      <c r="BD104">
        <v>0.25</v>
      </c>
      <c r="BE104">
        <v>0</v>
      </c>
    </row>
    <row r="105" spans="1:57">
      <c r="A105" t="s">
        <v>16969</v>
      </c>
      <c r="B105" t="s">
        <v>17021</v>
      </c>
      <c r="C105">
        <v>0</v>
      </c>
      <c r="D105">
        <v>4</v>
      </c>
      <c r="E105">
        <v>0</v>
      </c>
      <c r="F105">
        <v>4</v>
      </c>
      <c r="G105">
        <v>0</v>
      </c>
      <c r="H105">
        <v>0</v>
      </c>
      <c r="I105">
        <v>0</v>
      </c>
      <c r="J105">
        <v>4</v>
      </c>
      <c r="K105">
        <v>4</v>
      </c>
      <c r="L105">
        <v>4</v>
      </c>
      <c r="M105">
        <v>0</v>
      </c>
      <c r="N105">
        <v>0</v>
      </c>
      <c r="O105">
        <v>0</v>
      </c>
      <c r="P105">
        <v>0</v>
      </c>
      <c r="Q105">
        <v>0</v>
      </c>
      <c r="R105">
        <v>0</v>
      </c>
      <c r="S105">
        <v>1</v>
      </c>
      <c r="T105">
        <v>1</v>
      </c>
      <c r="U105">
        <v>0</v>
      </c>
      <c r="V105">
        <v>1</v>
      </c>
      <c r="W105">
        <v>4</v>
      </c>
      <c r="X105">
        <v>0</v>
      </c>
      <c r="Y105">
        <v>0</v>
      </c>
      <c r="Z105">
        <v>0</v>
      </c>
      <c r="AA105">
        <v>0</v>
      </c>
      <c r="AB105">
        <v>4</v>
      </c>
      <c r="AC105">
        <v>0</v>
      </c>
      <c r="AD105">
        <v>0</v>
      </c>
      <c r="AE105">
        <v>0</v>
      </c>
      <c r="AF105">
        <v>4</v>
      </c>
      <c r="AG105">
        <v>4</v>
      </c>
      <c r="AH105">
        <v>4</v>
      </c>
      <c r="AI105">
        <v>0</v>
      </c>
      <c r="AJ105">
        <v>0</v>
      </c>
      <c r="AK105">
        <v>0</v>
      </c>
      <c r="AL105">
        <v>0</v>
      </c>
      <c r="AM105">
        <v>0</v>
      </c>
      <c r="AN105">
        <v>0</v>
      </c>
      <c r="AO105">
        <v>0</v>
      </c>
      <c r="AP105">
        <v>0</v>
      </c>
      <c r="AQ105">
        <v>0</v>
      </c>
      <c r="AR105">
        <v>0</v>
      </c>
      <c r="AS105">
        <v>0</v>
      </c>
      <c r="AT105">
        <v>4</v>
      </c>
      <c r="AU105">
        <v>0</v>
      </c>
      <c r="AV105">
        <v>4</v>
      </c>
      <c r="AW105">
        <v>0</v>
      </c>
      <c r="AX105">
        <v>1</v>
      </c>
      <c r="AY105">
        <v>0</v>
      </c>
      <c r="AZ105">
        <v>1</v>
      </c>
      <c r="BA105">
        <v>0</v>
      </c>
      <c r="BB105">
        <v>1</v>
      </c>
      <c r="BC105">
        <v>0</v>
      </c>
      <c r="BD105">
        <v>1</v>
      </c>
      <c r="BE105">
        <v>0</v>
      </c>
    </row>
    <row r="106" spans="1:57">
      <c r="A106" t="s">
        <v>16969</v>
      </c>
      <c r="B106" t="s">
        <v>18809</v>
      </c>
      <c r="C106">
        <v>0</v>
      </c>
      <c r="D106">
        <v>20</v>
      </c>
      <c r="E106">
        <v>20</v>
      </c>
      <c r="F106">
        <v>19</v>
      </c>
      <c r="G106">
        <v>0</v>
      </c>
      <c r="H106">
        <v>0</v>
      </c>
      <c r="I106">
        <v>0</v>
      </c>
      <c r="J106">
        <v>20</v>
      </c>
      <c r="K106">
        <v>141</v>
      </c>
      <c r="L106">
        <v>12</v>
      </c>
      <c r="M106">
        <v>0</v>
      </c>
      <c r="N106">
        <v>3</v>
      </c>
      <c r="O106">
        <v>4</v>
      </c>
      <c r="P106">
        <v>1</v>
      </c>
      <c r="Q106">
        <v>0</v>
      </c>
      <c r="R106">
        <v>0</v>
      </c>
      <c r="S106">
        <v>1.5</v>
      </c>
      <c r="T106">
        <v>3.5</v>
      </c>
      <c r="U106">
        <v>0</v>
      </c>
      <c r="V106">
        <v>5</v>
      </c>
      <c r="W106">
        <v>85</v>
      </c>
      <c r="X106">
        <v>0</v>
      </c>
      <c r="Y106">
        <v>2</v>
      </c>
      <c r="Z106">
        <v>0</v>
      </c>
      <c r="AA106">
        <v>0</v>
      </c>
      <c r="AB106">
        <v>37.5</v>
      </c>
      <c r="AC106">
        <v>1.9</v>
      </c>
      <c r="AD106">
        <v>1.9</v>
      </c>
      <c r="AE106">
        <v>39.4</v>
      </c>
      <c r="AF106">
        <v>39.4</v>
      </c>
      <c r="AG106">
        <v>86.9</v>
      </c>
      <c r="AH106">
        <v>47.500000000000007</v>
      </c>
      <c r="AI106">
        <v>0</v>
      </c>
      <c r="AJ106">
        <v>0</v>
      </c>
      <c r="AK106">
        <v>0</v>
      </c>
      <c r="AL106">
        <v>0</v>
      </c>
      <c r="AM106">
        <v>0</v>
      </c>
      <c r="AN106">
        <v>1</v>
      </c>
      <c r="AO106">
        <v>0</v>
      </c>
      <c r="AP106">
        <v>0</v>
      </c>
      <c r="AQ106">
        <v>0</v>
      </c>
      <c r="AR106">
        <v>0</v>
      </c>
      <c r="AS106">
        <v>0</v>
      </c>
      <c r="AT106">
        <v>141</v>
      </c>
      <c r="AU106">
        <v>0</v>
      </c>
      <c r="AV106">
        <v>141</v>
      </c>
      <c r="AW106">
        <v>0</v>
      </c>
      <c r="AX106">
        <v>1.5</v>
      </c>
      <c r="AY106">
        <v>0</v>
      </c>
      <c r="AZ106">
        <v>1.5</v>
      </c>
      <c r="BA106">
        <v>0</v>
      </c>
      <c r="BB106">
        <v>3.5</v>
      </c>
      <c r="BC106">
        <v>0</v>
      </c>
      <c r="BD106">
        <v>3.5</v>
      </c>
      <c r="BE106">
        <v>0</v>
      </c>
    </row>
    <row r="107" spans="1:57">
      <c r="A107" t="s">
        <v>16969</v>
      </c>
      <c r="B107" t="s">
        <v>17024</v>
      </c>
      <c r="C107">
        <v>0</v>
      </c>
      <c r="D107">
        <v>3</v>
      </c>
      <c r="E107">
        <v>3</v>
      </c>
      <c r="F107">
        <v>3</v>
      </c>
      <c r="G107">
        <v>0</v>
      </c>
      <c r="H107">
        <v>0</v>
      </c>
      <c r="I107">
        <v>0</v>
      </c>
      <c r="J107">
        <v>3</v>
      </c>
      <c r="K107">
        <v>19</v>
      </c>
      <c r="L107">
        <v>2</v>
      </c>
      <c r="M107">
        <v>0</v>
      </c>
      <c r="N107">
        <v>0</v>
      </c>
      <c r="O107">
        <v>1</v>
      </c>
      <c r="P107">
        <v>0</v>
      </c>
      <c r="Q107">
        <v>0</v>
      </c>
      <c r="R107">
        <v>0</v>
      </c>
      <c r="S107">
        <v>5.75</v>
      </c>
      <c r="T107">
        <v>0</v>
      </c>
      <c r="U107">
        <v>0</v>
      </c>
      <c r="V107">
        <v>5.75</v>
      </c>
      <c r="W107">
        <v>57.5</v>
      </c>
      <c r="X107">
        <v>0</v>
      </c>
      <c r="Y107">
        <v>3</v>
      </c>
      <c r="Z107">
        <v>0</v>
      </c>
      <c r="AA107">
        <v>0</v>
      </c>
      <c r="AB107">
        <v>0</v>
      </c>
      <c r="AC107">
        <v>0</v>
      </c>
      <c r="AD107">
        <v>0</v>
      </c>
      <c r="AE107">
        <v>0</v>
      </c>
      <c r="AF107">
        <v>0</v>
      </c>
      <c r="AG107">
        <v>57.5</v>
      </c>
      <c r="AH107">
        <v>57.5</v>
      </c>
      <c r="AI107">
        <v>0</v>
      </c>
      <c r="AJ107">
        <v>0</v>
      </c>
      <c r="AK107">
        <v>0</v>
      </c>
      <c r="AL107">
        <v>0</v>
      </c>
      <c r="AM107">
        <v>0</v>
      </c>
      <c r="AN107">
        <v>0</v>
      </c>
      <c r="AO107">
        <v>0</v>
      </c>
      <c r="AP107">
        <v>0</v>
      </c>
      <c r="AQ107">
        <v>0</v>
      </c>
      <c r="AR107">
        <v>0</v>
      </c>
      <c r="AS107">
        <v>0</v>
      </c>
      <c r="AT107">
        <v>19</v>
      </c>
      <c r="AU107">
        <v>0</v>
      </c>
      <c r="AV107">
        <v>19</v>
      </c>
      <c r="AW107">
        <v>0</v>
      </c>
      <c r="AX107">
        <v>5.75</v>
      </c>
      <c r="AY107">
        <v>0</v>
      </c>
      <c r="AZ107">
        <v>5.75</v>
      </c>
      <c r="BA107">
        <v>0</v>
      </c>
      <c r="BB107">
        <v>0</v>
      </c>
      <c r="BC107">
        <v>0</v>
      </c>
      <c r="BD107">
        <v>0</v>
      </c>
      <c r="BE107">
        <v>0</v>
      </c>
    </row>
    <row r="108" spans="1:57">
      <c r="A108" t="s">
        <v>16969</v>
      </c>
      <c r="B108" t="s">
        <v>17328</v>
      </c>
      <c r="C108">
        <v>0</v>
      </c>
      <c r="D108">
        <v>12</v>
      </c>
      <c r="E108">
        <v>12</v>
      </c>
      <c r="F108">
        <v>10</v>
      </c>
      <c r="G108">
        <v>0</v>
      </c>
      <c r="H108">
        <v>0</v>
      </c>
      <c r="I108">
        <v>1</v>
      </c>
      <c r="J108">
        <v>12</v>
      </c>
      <c r="K108">
        <v>115</v>
      </c>
      <c r="L108">
        <v>10</v>
      </c>
      <c r="M108">
        <v>2</v>
      </c>
      <c r="N108">
        <v>0</v>
      </c>
      <c r="O108">
        <v>0</v>
      </c>
      <c r="P108">
        <v>0</v>
      </c>
      <c r="Q108">
        <v>0</v>
      </c>
      <c r="R108">
        <v>0</v>
      </c>
      <c r="S108">
        <v>3.25</v>
      </c>
      <c r="T108">
        <v>4.25</v>
      </c>
      <c r="U108">
        <v>0</v>
      </c>
      <c r="V108">
        <v>7.5</v>
      </c>
      <c r="W108">
        <v>117.5</v>
      </c>
      <c r="X108">
        <v>0</v>
      </c>
      <c r="Y108">
        <v>4</v>
      </c>
      <c r="Z108">
        <v>0</v>
      </c>
      <c r="AA108">
        <v>0</v>
      </c>
      <c r="AB108">
        <v>0</v>
      </c>
      <c r="AC108">
        <v>131.80000000000001</v>
      </c>
      <c r="AD108">
        <v>131.80000000000001</v>
      </c>
      <c r="AE108">
        <v>131.80000000000001</v>
      </c>
      <c r="AF108">
        <v>131.80000000000001</v>
      </c>
      <c r="AG108">
        <v>249.3</v>
      </c>
      <c r="AH108">
        <v>117.5</v>
      </c>
      <c r="AI108">
        <v>0</v>
      </c>
      <c r="AJ108">
        <v>0</v>
      </c>
      <c r="AK108">
        <v>0</v>
      </c>
      <c r="AL108">
        <v>0</v>
      </c>
      <c r="AM108">
        <v>0</v>
      </c>
      <c r="AN108">
        <v>0</v>
      </c>
      <c r="AO108">
        <v>0</v>
      </c>
      <c r="AP108">
        <v>1</v>
      </c>
      <c r="AQ108">
        <v>0</v>
      </c>
      <c r="AR108">
        <v>0</v>
      </c>
      <c r="AS108">
        <v>0</v>
      </c>
      <c r="AT108">
        <v>115</v>
      </c>
      <c r="AU108">
        <v>0</v>
      </c>
      <c r="AV108">
        <v>115</v>
      </c>
      <c r="AW108">
        <v>0</v>
      </c>
      <c r="AX108">
        <v>3.25</v>
      </c>
      <c r="AY108">
        <v>0</v>
      </c>
      <c r="AZ108">
        <v>3.25</v>
      </c>
      <c r="BA108">
        <v>0</v>
      </c>
      <c r="BB108">
        <v>4.25</v>
      </c>
      <c r="BC108">
        <v>0</v>
      </c>
      <c r="BD108">
        <v>4.25</v>
      </c>
      <c r="BE108">
        <v>0</v>
      </c>
    </row>
    <row r="109" spans="1:57">
      <c r="A109" t="s">
        <v>16969</v>
      </c>
      <c r="B109" t="s">
        <v>17327</v>
      </c>
      <c r="C109">
        <v>0</v>
      </c>
      <c r="D109">
        <v>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row>
    <row r="110" spans="1:57">
      <c r="A110" t="s">
        <v>16969</v>
      </c>
      <c r="B110" t="s">
        <v>18811</v>
      </c>
      <c r="C110">
        <v>0</v>
      </c>
      <c r="D110">
        <v>4</v>
      </c>
      <c r="E110">
        <v>4</v>
      </c>
      <c r="F110">
        <v>4</v>
      </c>
      <c r="G110">
        <v>0</v>
      </c>
      <c r="H110">
        <v>0</v>
      </c>
      <c r="I110">
        <v>0</v>
      </c>
      <c r="J110">
        <v>4</v>
      </c>
      <c r="K110">
        <v>19</v>
      </c>
      <c r="L110">
        <v>4</v>
      </c>
      <c r="M110">
        <v>0</v>
      </c>
      <c r="N110">
        <v>0</v>
      </c>
      <c r="O110">
        <v>0</v>
      </c>
      <c r="P110">
        <v>0</v>
      </c>
      <c r="Q110">
        <v>0</v>
      </c>
      <c r="R110">
        <v>0</v>
      </c>
      <c r="S110">
        <v>3.5</v>
      </c>
      <c r="T110">
        <v>3</v>
      </c>
      <c r="U110">
        <v>0</v>
      </c>
      <c r="V110">
        <v>6.5</v>
      </c>
      <c r="W110">
        <v>95</v>
      </c>
      <c r="X110">
        <v>0</v>
      </c>
      <c r="Y110">
        <v>3</v>
      </c>
      <c r="Z110">
        <v>1</v>
      </c>
      <c r="AA110">
        <v>0</v>
      </c>
      <c r="AB110">
        <v>0</v>
      </c>
      <c r="AC110">
        <v>0</v>
      </c>
      <c r="AD110">
        <v>0</v>
      </c>
      <c r="AE110">
        <v>0</v>
      </c>
      <c r="AF110">
        <v>0</v>
      </c>
      <c r="AG110">
        <v>95</v>
      </c>
      <c r="AH110">
        <v>95</v>
      </c>
      <c r="AI110">
        <v>0</v>
      </c>
      <c r="AJ110">
        <v>0</v>
      </c>
      <c r="AK110">
        <v>0</v>
      </c>
      <c r="AL110">
        <v>0</v>
      </c>
      <c r="AM110">
        <v>0</v>
      </c>
      <c r="AN110">
        <v>0</v>
      </c>
      <c r="AO110">
        <v>0</v>
      </c>
      <c r="AP110">
        <v>0</v>
      </c>
      <c r="AQ110">
        <v>0</v>
      </c>
      <c r="AR110">
        <v>0</v>
      </c>
      <c r="AS110">
        <v>0</v>
      </c>
      <c r="AT110">
        <v>19</v>
      </c>
      <c r="AU110">
        <v>0</v>
      </c>
      <c r="AV110">
        <v>19</v>
      </c>
      <c r="AW110">
        <v>0</v>
      </c>
      <c r="AX110">
        <v>3.5</v>
      </c>
      <c r="AY110">
        <v>0</v>
      </c>
      <c r="AZ110">
        <v>3.5</v>
      </c>
      <c r="BA110">
        <v>0</v>
      </c>
      <c r="BB110">
        <v>3</v>
      </c>
      <c r="BC110">
        <v>0</v>
      </c>
      <c r="BD110">
        <v>3</v>
      </c>
      <c r="BE110">
        <v>0</v>
      </c>
    </row>
    <row r="111" spans="1:57">
      <c r="A111" t="s">
        <v>16969</v>
      </c>
      <c r="B111" t="s">
        <v>17030</v>
      </c>
      <c r="C111">
        <v>0</v>
      </c>
      <c r="D111">
        <v>12</v>
      </c>
      <c r="E111">
        <v>12</v>
      </c>
      <c r="F111">
        <v>9</v>
      </c>
      <c r="G111">
        <v>1</v>
      </c>
      <c r="H111">
        <v>2</v>
      </c>
      <c r="I111">
        <v>0</v>
      </c>
      <c r="J111">
        <v>10</v>
      </c>
      <c r="K111">
        <v>72</v>
      </c>
      <c r="L111">
        <v>5</v>
      </c>
      <c r="M111">
        <v>0</v>
      </c>
      <c r="N111">
        <v>2</v>
      </c>
      <c r="O111">
        <v>4</v>
      </c>
      <c r="P111">
        <v>0</v>
      </c>
      <c r="Q111">
        <v>0</v>
      </c>
      <c r="R111">
        <v>0</v>
      </c>
      <c r="S111">
        <v>1</v>
      </c>
      <c r="T111">
        <v>58</v>
      </c>
      <c r="U111">
        <v>0</v>
      </c>
      <c r="V111">
        <v>59</v>
      </c>
      <c r="W111">
        <v>1170</v>
      </c>
      <c r="X111">
        <v>0</v>
      </c>
      <c r="Y111">
        <v>2</v>
      </c>
      <c r="Z111">
        <v>0</v>
      </c>
      <c r="AA111">
        <v>0</v>
      </c>
      <c r="AB111">
        <v>1105</v>
      </c>
      <c r="AC111">
        <v>0</v>
      </c>
      <c r="AD111">
        <v>0</v>
      </c>
      <c r="AE111">
        <v>0</v>
      </c>
      <c r="AF111">
        <v>1105</v>
      </c>
      <c r="AG111">
        <v>1170</v>
      </c>
      <c r="AH111">
        <v>1170</v>
      </c>
      <c r="AI111">
        <v>0</v>
      </c>
      <c r="AJ111">
        <v>1010</v>
      </c>
      <c r="AK111">
        <v>1040</v>
      </c>
      <c r="AL111">
        <v>1040</v>
      </c>
      <c r="AM111">
        <v>0</v>
      </c>
      <c r="AN111">
        <v>0</v>
      </c>
      <c r="AO111">
        <v>0</v>
      </c>
      <c r="AP111">
        <v>0</v>
      </c>
      <c r="AQ111">
        <v>0</v>
      </c>
      <c r="AR111">
        <v>0</v>
      </c>
      <c r="AS111">
        <v>0</v>
      </c>
      <c r="AT111">
        <v>72</v>
      </c>
      <c r="AU111">
        <v>0</v>
      </c>
      <c r="AV111">
        <v>72</v>
      </c>
      <c r="AW111">
        <v>0</v>
      </c>
      <c r="AX111">
        <v>1</v>
      </c>
      <c r="AY111">
        <v>0</v>
      </c>
      <c r="AZ111">
        <v>1</v>
      </c>
      <c r="BA111">
        <v>0</v>
      </c>
      <c r="BB111">
        <v>58</v>
      </c>
      <c r="BC111">
        <v>52</v>
      </c>
      <c r="BD111">
        <v>6</v>
      </c>
      <c r="BE111">
        <v>0</v>
      </c>
    </row>
    <row r="112" spans="1:57">
      <c r="A112" t="s">
        <v>16969</v>
      </c>
      <c r="B112" t="s">
        <v>19340</v>
      </c>
      <c r="C112">
        <v>0</v>
      </c>
      <c r="D112">
        <v>54</v>
      </c>
      <c r="E112">
        <v>54</v>
      </c>
      <c r="F112">
        <v>54</v>
      </c>
      <c r="G112">
        <v>0</v>
      </c>
      <c r="H112">
        <v>0</v>
      </c>
      <c r="I112">
        <v>8</v>
      </c>
      <c r="J112">
        <v>54</v>
      </c>
      <c r="K112">
        <v>368</v>
      </c>
      <c r="L112">
        <v>54</v>
      </c>
      <c r="M112">
        <v>0</v>
      </c>
      <c r="N112">
        <v>0</v>
      </c>
      <c r="O112">
        <v>0</v>
      </c>
      <c r="P112">
        <v>0</v>
      </c>
      <c r="Q112">
        <v>0</v>
      </c>
      <c r="R112">
        <v>0</v>
      </c>
      <c r="S112">
        <v>27</v>
      </c>
      <c r="T112">
        <v>27</v>
      </c>
      <c r="U112">
        <v>0</v>
      </c>
      <c r="V112">
        <v>54</v>
      </c>
      <c r="W112">
        <v>810</v>
      </c>
      <c r="X112">
        <v>0</v>
      </c>
      <c r="Y112">
        <v>54</v>
      </c>
      <c r="Z112">
        <v>0</v>
      </c>
      <c r="AA112">
        <v>0</v>
      </c>
      <c r="AB112">
        <v>0</v>
      </c>
      <c r="AC112">
        <v>0</v>
      </c>
      <c r="AD112">
        <v>0</v>
      </c>
      <c r="AE112">
        <v>0</v>
      </c>
      <c r="AF112">
        <v>0</v>
      </c>
      <c r="AG112">
        <v>810</v>
      </c>
      <c r="AH112">
        <v>810</v>
      </c>
      <c r="AI112">
        <v>0</v>
      </c>
      <c r="AJ112">
        <v>0</v>
      </c>
      <c r="AK112">
        <v>0</v>
      </c>
      <c r="AL112">
        <v>0</v>
      </c>
      <c r="AM112">
        <v>0</v>
      </c>
      <c r="AN112">
        <v>0</v>
      </c>
      <c r="AO112">
        <v>0</v>
      </c>
      <c r="AP112">
        <v>0</v>
      </c>
      <c r="AQ112">
        <v>0</v>
      </c>
      <c r="AR112">
        <v>0</v>
      </c>
      <c r="AS112">
        <v>0</v>
      </c>
      <c r="AT112">
        <v>368</v>
      </c>
      <c r="AU112">
        <v>0</v>
      </c>
      <c r="AV112">
        <v>368</v>
      </c>
      <c r="AW112">
        <v>0</v>
      </c>
      <c r="AX112">
        <v>27</v>
      </c>
      <c r="AY112">
        <v>0</v>
      </c>
      <c r="AZ112">
        <v>27</v>
      </c>
      <c r="BA112">
        <v>0</v>
      </c>
      <c r="BB112">
        <v>27</v>
      </c>
      <c r="BC112">
        <v>0</v>
      </c>
      <c r="BD112">
        <v>27</v>
      </c>
      <c r="BE112">
        <v>0</v>
      </c>
    </row>
    <row r="113" spans="1:58">
      <c r="A113" t="s">
        <v>16969</v>
      </c>
      <c r="B113" t="s">
        <v>20668</v>
      </c>
      <c r="C113">
        <v>0</v>
      </c>
      <c r="D113">
        <v>3</v>
      </c>
      <c r="E113">
        <v>3</v>
      </c>
      <c r="F113">
        <v>2</v>
      </c>
      <c r="G113">
        <v>0</v>
      </c>
      <c r="H113">
        <v>0</v>
      </c>
      <c r="I113">
        <v>0</v>
      </c>
      <c r="J113">
        <v>0</v>
      </c>
      <c r="K113">
        <v>0</v>
      </c>
      <c r="L113">
        <v>0</v>
      </c>
      <c r="M113">
        <v>0</v>
      </c>
      <c r="N113">
        <v>0</v>
      </c>
      <c r="O113">
        <v>0</v>
      </c>
      <c r="P113">
        <v>1</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row>
    <row r="114" spans="1:58">
      <c r="A114" t="s">
        <v>16898</v>
      </c>
      <c r="B114" t="s">
        <v>16934</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s="21"/>
    </row>
    <row r="115" spans="1:58">
      <c r="A115" t="s">
        <v>16898</v>
      </c>
      <c r="B115" t="s">
        <v>16899</v>
      </c>
      <c r="C115">
        <v>0</v>
      </c>
      <c r="D115">
        <v>1</v>
      </c>
      <c r="E115">
        <v>1</v>
      </c>
      <c r="F115">
        <v>1</v>
      </c>
      <c r="G115">
        <v>0</v>
      </c>
      <c r="H115">
        <v>0</v>
      </c>
      <c r="I115">
        <v>0</v>
      </c>
      <c r="J115">
        <v>1</v>
      </c>
      <c r="K115">
        <v>7</v>
      </c>
      <c r="L115">
        <v>1</v>
      </c>
      <c r="M115">
        <v>0</v>
      </c>
      <c r="N115">
        <v>0</v>
      </c>
      <c r="O115">
        <v>0</v>
      </c>
      <c r="P115">
        <v>0</v>
      </c>
      <c r="Q115">
        <v>0</v>
      </c>
      <c r="R115">
        <v>0</v>
      </c>
      <c r="S115">
        <v>0.25</v>
      </c>
      <c r="T115">
        <v>1</v>
      </c>
      <c r="U115">
        <v>0</v>
      </c>
      <c r="V115">
        <v>1.25</v>
      </c>
      <c r="W115">
        <v>22.5</v>
      </c>
      <c r="X115">
        <v>0</v>
      </c>
      <c r="Y115">
        <v>1</v>
      </c>
      <c r="Z115">
        <v>0</v>
      </c>
      <c r="AA115">
        <v>0</v>
      </c>
      <c r="AB115">
        <v>0</v>
      </c>
      <c r="AC115">
        <v>0</v>
      </c>
      <c r="AD115">
        <v>0</v>
      </c>
      <c r="AE115">
        <v>0</v>
      </c>
      <c r="AF115">
        <v>0</v>
      </c>
      <c r="AG115">
        <v>22.5</v>
      </c>
      <c r="AH115">
        <v>22.5</v>
      </c>
      <c r="AI115">
        <v>0</v>
      </c>
      <c r="AJ115">
        <v>0</v>
      </c>
      <c r="AK115">
        <v>0</v>
      </c>
      <c r="AL115">
        <v>0</v>
      </c>
      <c r="AM115">
        <v>0</v>
      </c>
      <c r="AN115">
        <v>0</v>
      </c>
      <c r="AO115">
        <v>0</v>
      </c>
      <c r="AP115">
        <v>0</v>
      </c>
      <c r="AQ115">
        <v>0</v>
      </c>
      <c r="AR115">
        <v>0</v>
      </c>
      <c r="AS115">
        <v>0</v>
      </c>
      <c r="AT115">
        <v>7</v>
      </c>
      <c r="AU115">
        <v>0</v>
      </c>
      <c r="AV115">
        <v>7</v>
      </c>
      <c r="AW115">
        <v>0</v>
      </c>
      <c r="AX115">
        <v>0.25</v>
      </c>
      <c r="AY115">
        <v>0</v>
      </c>
      <c r="AZ115">
        <v>0.25</v>
      </c>
      <c r="BA115">
        <v>0</v>
      </c>
      <c r="BB115">
        <v>1</v>
      </c>
      <c r="BC115">
        <v>0</v>
      </c>
      <c r="BD115">
        <v>1</v>
      </c>
      <c r="BE115">
        <v>0</v>
      </c>
    </row>
    <row r="116" spans="1:58">
      <c r="A116" t="s">
        <v>16898</v>
      </c>
      <c r="B116" t="s">
        <v>17031</v>
      </c>
      <c r="C116">
        <v>0</v>
      </c>
      <c r="D116">
        <v>2</v>
      </c>
      <c r="E116">
        <v>0</v>
      </c>
      <c r="F116">
        <v>2</v>
      </c>
      <c r="G116">
        <v>0</v>
      </c>
      <c r="H116">
        <v>0</v>
      </c>
      <c r="I116">
        <v>0</v>
      </c>
      <c r="J116">
        <v>2</v>
      </c>
      <c r="K116">
        <v>0</v>
      </c>
      <c r="L116">
        <v>2</v>
      </c>
      <c r="M116">
        <v>0</v>
      </c>
      <c r="N116">
        <v>0</v>
      </c>
      <c r="O116">
        <v>0</v>
      </c>
      <c r="P116">
        <v>0</v>
      </c>
      <c r="Q116">
        <v>0</v>
      </c>
      <c r="R116">
        <v>0</v>
      </c>
      <c r="S116">
        <v>1</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row>
    <row r="117" spans="1:58">
      <c r="A117" t="s">
        <v>16898</v>
      </c>
      <c r="B117" t="s">
        <v>17007</v>
      </c>
      <c r="C117">
        <v>0</v>
      </c>
      <c r="D117">
        <v>2</v>
      </c>
      <c r="E117">
        <v>2</v>
      </c>
      <c r="F117">
        <v>2</v>
      </c>
      <c r="G117">
        <v>0</v>
      </c>
      <c r="H117">
        <v>0</v>
      </c>
      <c r="I117">
        <v>0</v>
      </c>
      <c r="J117">
        <v>2</v>
      </c>
      <c r="K117">
        <v>4</v>
      </c>
      <c r="L117">
        <v>2</v>
      </c>
      <c r="M117">
        <v>0</v>
      </c>
      <c r="N117">
        <v>0</v>
      </c>
      <c r="O117">
        <v>0</v>
      </c>
      <c r="P117">
        <v>0</v>
      </c>
      <c r="Q117">
        <v>0</v>
      </c>
      <c r="R117">
        <v>0</v>
      </c>
      <c r="S117">
        <v>1.25</v>
      </c>
      <c r="T117">
        <v>0</v>
      </c>
      <c r="U117">
        <v>0</v>
      </c>
      <c r="V117">
        <v>1.25</v>
      </c>
      <c r="W117">
        <v>12.5</v>
      </c>
      <c r="X117">
        <v>0</v>
      </c>
      <c r="Y117">
        <v>2</v>
      </c>
      <c r="Z117">
        <v>0</v>
      </c>
      <c r="AA117">
        <v>0</v>
      </c>
      <c r="AB117">
        <v>0</v>
      </c>
      <c r="AC117">
        <v>0</v>
      </c>
      <c r="AD117">
        <v>0</v>
      </c>
      <c r="AE117">
        <v>0</v>
      </c>
      <c r="AF117">
        <v>0</v>
      </c>
      <c r="AG117">
        <v>12.5</v>
      </c>
      <c r="AH117">
        <v>12.5</v>
      </c>
      <c r="AI117">
        <v>0</v>
      </c>
      <c r="AJ117">
        <v>0</v>
      </c>
      <c r="AK117">
        <v>0</v>
      </c>
      <c r="AL117">
        <v>0</v>
      </c>
      <c r="AM117">
        <v>0</v>
      </c>
      <c r="AN117">
        <v>0</v>
      </c>
      <c r="AO117">
        <v>0</v>
      </c>
      <c r="AP117">
        <v>0</v>
      </c>
      <c r="AQ117">
        <v>0</v>
      </c>
      <c r="AR117">
        <v>0</v>
      </c>
      <c r="AS117">
        <v>0</v>
      </c>
      <c r="AT117">
        <v>4</v>
      </c>
      <c r="AU117">
        <v>0</v>
      </c>
      <c r="AV117">
        <v>4</v>
      </c>
      <c r="AW117">
        <v>0</v>
      </c>
      <c r="AX117">
        <v>1.25</v>
      </c>
      <c r="AY117">
        <v>0</v>
      </c>
      <c r="AZ117">
        <v>1.25</v>
      </c>
      <c r="BA117">
        <v>0</v>
      </c>
      <c r="BB117">
        <v>0</v>
      </c>
      <c r="BC117">
        <v>0</v>
      </c>
      <c r="BD117">
        <v>0</v>
      </c>
      <c r="BE117">
        <v>0</v>
      </c>
    </row>
    <row r="118" spans="1:58">
      <c r="A118" t="s">
        <v>16898</v>
      </c>
      <c r="B118" t="s">
        <v>17032</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row>
    <row r="119" spans="1:58">
      <c r="A119" t="s">
        <v>16898</v>
      </c>
      <c r="B119" t="s">
        <v>17009</v>
      </c>
      <c r="C119">
        <v>0</v>
      </c>
      <c r="D119">
        <v>4</v>
      </c>
      <c r="E119">
        <v>0</v>
      </c>
      <c r="F119">
        <v>4</v>
      </c>
      <c r="G119">
        <v>0</v>
      </c>
      <c r="H119">
        <v>0</v>
      </c>
      <c r="I119">
        <v>0</v>
      </c>
      <c r="J119">
        <v>4</v>
      </c>
      <c r="K119">
        <v>24</v>
      </c>
      <c r="L119">
        <v>4</v>
      </c>
      <c r="M119">
        <v>0</v>
      </c>
      <c r="N119">
        <v>0</v>
      </c>
      <c r="O119">
        <v>0</v>
      </c>
      <c r="P119">
        <v>0</v>
      </c>
      <c r="Q119">
        <v>0</v>
      </c>
      <c r="R119">
        <v>0</v>
      </c>
      <c r="S119">
        <v>6</v>
      </c>
      <c r="T119">
        <v>16.5</v>
      </c>
      <c r="U119">
        <v>0</v>
      </c>
      <c r="V119">
        <v>22.5</v>
      </c>
      <c r="W119">
        <v>390</v>
      </c>
      <c r="X119">
        <v>0</v>
      </c>
      <c r="Y119">
        <v>3</v>
      </c>
      <c r="Z119">
        <v>1</v>
      </c>
      <c r="AA119">
        <v>0</v>
      </c>
      <c r="AB119">
        <v>275</v>
      </c>
      <c r="AC119">
        <v>48.2</v>
      </c>
      <c r="AD119">
        <v>24.6</v>
      </c>
      <c r="AE119">
        <v>98.75</v>
      </c>
      <c r="AF119">
        <v>299.60000000000002</v>
      </c>
      <c r="AG119">
        <v>438.2</v>
      </c>
      <c r="AH119">
        <v>339.45</v>
      </c>
      <c r="AI119">
        <v>0</v>
      </c>
      <c r="AJ119">
        <v>0</v>
      </c>
      <c r="AK119">
        <v>0</v>
      </c>
      <c r="AL119">
        <v>0</v>
      </c>
      <c r="AM119">
        <v>0</v>
      </c>
      <c r="AN119">
        <v>1</v>
      </c>
      <c r="AO119">
        <v>1</v>
      </c>
      <c r="AP119">
        <v>0</v>
      </c>
      <c r="AQ119">
        <v>0</v>
      </c>
      <c r="AR119">
        <v>0</v>
      </c>
      <c r="AS119">
        <v>0</v>
      </c>
      <c r="AT119">
        <v>24</v>
      </c>
      <c r="AU119">
        <v>0</v>
      </c>
      <c r="AV119">
        <v>24</v>
      </c>
      <c r="AW119">
        <v>0</v>
      </c>
      <c r="AX119">
        <v>6</v>
      </c>
      <c r="AY119">
        <v>0</v>
      </c>
      <c r="AZ119">
        <v>6</v>
      </c>
      <c r="BA119">
        <v>0</v>
      </c>
      <c r="BB119">
        <v>16.5</v>
      </c>
      <c r="BC119">
        <v>0</v>
      </c>
      <c r="BD119">
        <v>16.5</v>
      </c>
      <c r="BE119">
        <v>0</v>
      </c>
    </row>
    <row r="120" spans="1:58">
      <c r="A120" t="s">
        <v>16898</v>
      </c>
      <c r="B120" t="s">
        <v>18812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s="21"/>
    </row>
    <row r="121" spans="1:58">
      <c r="A121" t="s">
        <v>16898</v>
      </c>
      <c r="B121" t="s">
        <v>18813</v>
      </c>
      <c r="C121">
        <v>0</v>
      </c>
      <c r="D121">
        <v>0</v>
      </c>
      <c r="E121">
        <v>0</v>
      </c>
      <c r="F121">
        <v>1</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s="21"/>
    </row>
    <row r="122" spans="1:58">
      <c r="A122" t="s">
        <v>16898</v>
      </c>
      <c r="B122" t="s">
        <v>17205</v>
      </c>
      <c r="C122">
        <v>0</v>
      </c>
      <c r="D122">
        <v>21</v>
      </c>
      <c r="E122">
        <v>21</v>
      </c>
      <c r="F122">
        <v>21</v>
      </c>
      <c r="G122">
        <v>1</v>
      </c>
      <c r="H122">
        <v>0</v>
      </c>
      <c r="I122">
        <v>0</v>
      </c>
      <c r="J122">
        <v>21</v>
      </c>
      <c r="K122">
        <v>175</v>
      </c>
      <c r="L122">
        <v>9</v>
      </c>
      <c r="M122">
        <v>0</v>
      </c>
      <c r="N122">
        <v>0</v>
      </c>
      <c r="O122">
        <v>10</v>
      </c>
      <c r="P122">
        <v>1</v>
      </c>
      <c r="Q122">
        <v>1</v>
      </c>
      <c r="R122">
        <v>0</v>
      </c>
      <c r="S122">
        <v>9.25</v>
      </c>
      <c r="T122">
        <v>19.25</v>
      </c>
      <c r="U122">
        <v>0</v>
      </c>
      <c r="V122">
        <v>27</v>
      </c>
      <c r="W122">
        <v>477.5</v>
      </c>
      <c r="X122">
        <v>0</v>
      </c>
      <c r="Y122">
        <v>4</v>
      </c>
      <c r="Z122">
        <v>1</v>
      </c>
      <c r="AA122">
        <v>0</v>
      </c>
      <c r="AB122">
        <v>330</v>
      </c>
      <c r="AC122">
        <v>398.50000000000006</v>
      </c>
      <c r="AD122">
        <v>0</v>
      </c>
      <c r="AE122">
        <v>65.3</v>
      </c>
      <c r="AF122">
        <v>330</v>
      </c>
      <c r="AG122">
        <v>876</v>
      </c>
      <c r="AH122">
        <v>810.7</v>
      </c>
      <c r="AI122">
        <v>0</v>
      </c>
      <c r="AJ122">
        <v>0</v>
      </c>
      <c r="AK122">
        <v>0</v>
      </c>
      <c r="AL122">
        <v>0</v>
      </c>
      <c r="AM122">
        <v>1</v>
      </c>
      <c r="AN122">
        <v>0</v>
      </c>
      <c r="AO122">
        <v>1</v>
      </c>
      <c r="AP122">
        <v>0</v>
      </c>
      <c r="AQ122">
        <v>0</v>
      </c>
      <c r="AR122">
        <v>0</v>
      </c>
      <c r="AS122">
        <v>0</v>
      </c>
      <c r="AT122">
        <v>175</v>
      </c>
      <c r="AU122">
        <v>0</v>
      </c>
      <c r="AV122">
        <v>175</v>
      </c>
      <c r="AW122">
        <v>0</v>
      </c>
      <c r="AX122">
        <v>9.25</v>
      </c>
      <c r="AY122">
        <v>0</v>
      </c>
      <c r="AZ122">
        <v>9.25</v>
      </c>
      <c r="BA122">
        <v>0</v>
      </c>
      <c r="BB122">
        <v>19.25</v>
      </c>
      <c r="BC122">
        <v>0</v>
      </c>
      <c r="BD122">
        <v>19.25</v>
      </c>
      <c r="BE122">
        <v>0</v>
      </c>
    </row>
    <row r="123" spans="1:58">
      <c r="A123" t="s">
        <v>16898</v>
      </c>
      <c r="B123" t="s">
        <v>19976</v>
      </c>
      <c r="C123">
        <v>1</v>
      </c>
      <c r="D123">
        <v>1</v>
      </c>
      <c r="E123">
        <v>1</v>
      </c>
      <c r="F123">
        <v>1</v>
      </c>
      <c r="G123">
        <v>0</v>
      </c>
      <c r="H123">
        <v>1</v>
      </c>
      <c r="I123">
        <v>0</v>
      </c>
      <c r="J123">
        <v>1</v>
      </c>
      <c r="K123">
        <v>31</v>
      </c>
      <c r="L123">
        <v>0</v>
      </c>
      <c r="M123">
        <v>0</v>
      </c>
      <c r="N123">
        <v>1</v>
      </c>
      <c r="O123">
        <v>0</v>
      </c>
      <c r="P123">
        <v>0</v>
      </c>
      <c r="Q123">
        <v>0</v>
      </c>
      <c r="R123">
        <v>0</v>
      </c>
      <c r="S123">
        <v>0.5</v>
      </c>
      <c r="T123">
        <v>2</v>
      </c>
      <c r="U123">
        <v>0.5</v>
      </c>
      <c r="V123">
        <v>3</v>
      </c>
      <c r="W123">
        <v>0</v>
      </c>
      <c r="X123">
        <v>0</v>
      </c>
      <c r="Y123">
        <v>0</v>
      </c>
      <c r="Z123">
        <v>0</v>
      </c>
      <c r="AA123">
        <v>-45</v>
      </c>
      <c r="AB123">
        <v>0</v>
      </c>
      <c r="AC123">
        <v>11.6</v>
      </c>
      <c r="AD123">
        <v>11.6</v>
      </c>
      <c r="AE123">
        <v>11.6</v>
      </c>
      <c r="AF123">
        <v>11.6</v>
      </c>
      <c r="AG123">
        <v>21.6</v>
      </c>
      <c r="AH123">
        <v>10.000000000000002</v>
      </c>
      <c r="AI123">
        <v>11.6</v>
      </c>
      <c r="AJ123">
        <v>11.6</v>
      </c>
      <c r="AK123">
        <v>21.6</v>
      </c>
      <c r="AL123">
        <v>10.000000000000002</v>
      </c>
      <c r="AM123">
        <v>0</v>
      </c>
      <c r="AN123">
        <v>1</v>
      </c>
      <c r="AO123">
        <v>0</v>
      </c>
      <c r="AP123">
        <v>0</v>
      </c>
      <c r="AQ123">
        <v>0</v>
      </c>
      <c r="AR123">
        <v>0</v>
      </c>
      <c r="AS123">
        <v>0</v>
      </c>
      <c r="AT123">
        <v>31</v>
      </c>
      <c r="AU123">
        <v>31</v>
      </c>
      <c r="AV123">
        <v>0</v>
      </c>
      <c r="AW123">
        <v>31</v>
      </c>
      <c r="AX123">
        <v>0.5</v>
      </c>
      <c r="AY123">
        <v>0.5</v>
      </c>
      <c r="AZ123">
        <v>0</v>
      </c>
      <c r="BA123">
        <v>0.5</v>
      </c>
      <c r="BB123">
        <v>2</v>
      </c>
      <c r="BC123">
        <v>2</v>
      </c>
      <c r="BD123">
        <v>0</v>
      </c>
      <c r="BE123">
        <v>2</v>
      </c>
    </row>
    <row r="124" spans="1:58">
      <c r="A124" t="s">
        <v>16898</v>
      </c>
      <c r="B124" t="s">
        <v>17010</v>
      </c>
      <c r="C124">
        <v>0</v>
      </c>
      <c r="D124">
        <v>33</v>
      </c>
      <c r="E124">
        <v>32</v>
      </c>
      <c r="F124">
        <v>30</v>
      </c>
      <c r="G124">
        <v>4</v>
      </c>
      <c r="H124">
        <v>1</v>
      </c>
      <c r="I124">
        <v>1</v>
      </c>
      <c r="J124">
        <v>26</v>
      </c>
      <c r="K124">
        <v>364</v>
      </c>
      <c r="L124">
        <v>3</v>
      </c>
      <c r="M124">
        <v>3</v>
      </c>
      <c r="N124">
        <v>18</v>
      </c>
      <c r="O124">
        <v>2</v>
      </c>
      <c r="P124">
        <v>1</v>
      </c>
      <c r="Q124">
        <v>3</v>
      </c>
      <c r="R124">
        <v>0</v>
      </c>
      <c r="S124">
        <v>11</v>
      </c>
      <c r="T124">
        <v>122.5</v>
      </c>
      <c r="U124">
        <v>0</v>
      </c>
      <c r="V124">
        <v>133.5</v>
      </c>
      <c r="W124">
        <v>2560</v>
      </c>
      <c r="X124">
        <v>0</v>
      </c>
      <c r="Y124">
        <v>16</v>
      </c>
      <c r="Z124">
        <v>4</v>
      </c>
      <c r="AA124">
        <v>0</v>
      </c>
      <c r="AB124">
        <v>2052.5</v>
      </c>
      <c r="AC124">
        <v>170.3</v>
      </c>
      <c r="AD124">
        <v>170.3</v>
      </c>
      <c r="AE124">
        <v>1293.23</v>
      </c>
      <c r="AF124">
        <v>2222.8000000000002</v>
      </c>
      <c r="AG124">
        <v>2730.3</v>
      </c>
      <c r="AH124">
        <v>1437.07</v>
      </c>
      <c r="AI124">
        <v>812.53</v>
      </c>
      <c r="AJ124">
        <v>1631.05</v>
      </c>
      <c r="AK124">
        <v>1691.05</v>
      </c>
      <c r="AL124">
        <v>878.52</v>
      </c>
      <c r="AM124">
        <v>8</v>
      </c>
      <c r="AN124">
        <v>1</v>
      </c>
      <c r="AO124">
        <v>0</v>
      </c>
      <c r="AP124">
        <v>2</v>
      </c>
      <c r="AQ124">
        <v>1</v>
      </c>
      <c r="AR124">
        <v>0</v>
      </c>
      <c r="AS124">
        <v>0</v>
      </c>
      <c r="AT124">
        <v>364</v>
      </c>
      <c r="AU124">
        <v>0</v>
      </c>
      <c r="AV124">
        <v>364</v>
      </c>
      <c r="AW124">
        <v>0</v>
      </c>
      <c r="AX124">
        <v>11</v>
      </c>
      <c r="AY124">
        <v>2.5</v>
      </c>
      <c r="AZ124">
        <v>8.5</v>
      </c>
      <c r="BA124">
        <v>0</v>
      </c>
      <c r="BB124">
        <v>122.5</v>
      </c>
      <c r="BC124">
        <v>77.5</v>
      </c>
      <c r="BD124">
        <v>45</v>
      </c>
      <c r="BE124">
        <v>0</v>
      </c>
    </row>
    <row r="125" spans="1:58">
      <c r="A125" t="s">
        <v>16898</v>
      </c>
      <c r="B125" t="s">
        <v>19977</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row>
    <row r="126" spans="1:58">
      <c r="A126" t="s">
        <v>16898</v>
      </c>
      <c r="B126" t="s">
        <v>17011</v>
      </c>
      <c r="C126">
        <v>0</v>
      </c>
      <c r="D126">
        <v>1</v>
      </c>
      <c r="E126">
        <v>1</v>
      </c>
      <c r="F126">
        <v>1</v>
      </c>
      <c r="G126">
        <v>0</v>
      </c>
      <c r="H126">
        <v>0</v>
      </c>
      <c r="I126">
        <v>0</v>
      </c>
      <c r="J126">
        <v>1</v>
      </c>
      <c r="K126">
        <v>1</v>
      </c>
      <c r="L126">
        <v>1</v>
      </c>
      <c r="M126">
        <v>0</v>
      </c>
      <c r="N126">
        <v>0</v>
      </c>
      <c r="O126">
        <v>0</v>
      </c>
      <c r="P126">
        <v>0</v>
      </c>
      <c r="Q126">
        <v>0</v>
      </c>
      <c r="R126">
        <v>0</v>
      </c>
      <c r="S126">
        <v>0.25</v>
      </c>
      <c r="T126">
        <v>0</v>
      </c>
      <c r="U126">
        <v>0</v>
      </c>
      <c r="V126">
        <v>0.25</v>
      </c>
      <c r="W126">
        <v>2.5</v>
      </c>
      <c r="X126">
        <v>0</v>
      </c>
      <c r="Y126">
        <v>1</v>
      </c>
      <c r="Z126">
        <v>0</v>
      </c>
      <c r="AA126">
        <v>0</v>
      </c>
      <c r="AB126">
        <v>0</v>
      </c>
      <c r="AC126">
        <v>0</v>
      </c>
      <c r="AD126">
        <v>0</v>
      </c>
      <c r="AE126">
        <v>0</v>
      </c>
      <c r="AF126">
        <v>0</v>
      </c>
      <c r="AG126">
        <v>2.5</v>
      </c>
      <c r="AH126">
        <v>2.5</v>
      </c>
      <c r="AI126">
        <v>0</v>
      </c>
      <c r="AJ126">
        <v>0</v>
      </c>
      <c r="AK126">
        <v>0</v>
      </c>
      <c r="AL126">
        <v>0</v>
      </c>
      <c r="AM126">
        <v>0</v>
      </c>
      <c r="AN126">
        <v>0</v>
      </c>
      <c r="AO126">
        <v>0</v>
      </c>
      <c r="AP126">
        <v>0</v>
      </c>
      <c r="AQ126">
        <v>0</v>
      </c>
      <c r="AR126">
        <v>0</v>
      </c>
      <c r="AS126">
        <v>0</v>
      </c>
      <c r="AT126">
        <v>1</v>
      </c>
      <c r="AU126">
        <v>0</v>
      </c>
      <c r="AV126">
        <v>1</v>
      </c>
      <c r="AW126">
        <v>0</v>
      </c>
      <c r="AX126">
        <v>0.25</v>
      </c>
      <c r="AY126">
        <v>0</v>
      </c>
      <c r="AZ126">
        <v>0.25</v>
      </c>
      <c r="BA126">
        <v>0</v>
      </c>
      <c r="BB126">
        <v>0</v>
      </c>
      <c r="BC126">
        <v>0</v>
      </c>
      <c r="BD126">
        <v>0</v>
      </c>
      <c r="BE126">
        <v>0</v>
      </c>
    </row>
    <row r="127" spans="1:58">
      <c r="A127" t="s">
        <v>16898</v>
      </c>
      <c r="B127" t="s">
        <v>17033</v>
      </c>
      <c r="C127">
        <v>0</v>
      </c>
      <c r="D127">
        <v>4</v>
      </c>
      <c r="E127">
        <v>4</v>
      </c>
      <c r="F127">
        <v>1</v>
      </c>
      <c r="G127">
        <v>3</v>
      </c>
      <c r="H127">
        <v>0</v>
      </c>
      <c r="I127">
        <v>0</v>
      </c>
      <c r="J127">
        <v>4</v>
      </c>
      <c r="K127">
        <v>105</v>
      </c>
      <c r="L127">
        <v>4</v>
      </c>
      <c r="M127">
        <v>0</v>
      </c>
      <c r="N127">
        <v>0</v>
      </c>
      <c r="O127">
        <v>0</v>
      </c>
      <c r="P127">
        <v>0</v>
      </c>
      <c r="Q127">
        <v>0</v>
      </c>
      <c r="R127">
        <v>0</v>
      </c>
      <c r="S127">
        <v>3.75</v>
      </c>
      <c r="T127">
        <v>2.75</v>
      </c>
      <c r="U127">
        <v>0</v>
      </c>
      <c r="V127">
        <v>6.5</v>
      </c>
      <c r="W127">
        <v>92.5</v>
      </c>
      <c r="X127">
        <v>0</v>
      </c>
      <c r="Y127">
        <v>4</v>
      </c>
      <c r="Z127">
        <v>0</v>
      </c>
      <c r="AA127">
        <v>0</v>
      </c>
      <c r="AB127">
        <v>0</v>
      </c>
      <c r="AC127">
        <v>0</v>
      </c>
      <c r="AD127">
        <v>0</v>
      </c>
      <c r="AE127">
        <v>0</v>
      </c>
      <c r="AF127">
        <v>0</v>
      </c>
      <c r="AG127">
        <v>92.5</v>
      </c>
      <c r="AH127">
        <v>92.5</v>
      </c>
      <c r="AI127">
        <v>0</v>
      </c>
      <c r="AJ127">
        <v>0</v>
      </c>
      <c r="AK127">
        <v>0</v>
      </c>
      <c r="AL127">
        <v>0</v>
      </c>
      <c r="AM127">
        <v>0</v>
      </c>
      <c r="AN127">
        <v>0</v>
      </c>
      <c r="AO127">
        <v>0</v>
      </c>
      <c r="AP127">
        <v>0</v>
      </c>
      <c r="AQ127">
        <v>0</v>
      </c>
      <c r="AR127">
        <v>0</v>
      </c>
      <c r="AS127">
        <v>0</v>
      </c>
      <c r="AT127">
        <v>105</v>
      </c>
      <c r="AU127">
        <v>0</v>
      </c>
      <c r="AV127">
        <v>105</v>
      </c>
      <c r="AW127">
        <v>0</v>
      </c>
      <c r="AX127">
        <v>3.75</v>
      </c>
      <c r="AY127">
        <v>0</v>
      </c>
      <c r="AZ127">
        <v>3.75</v>
      </c>
      <c r="BA127">
        <v>0</v>
      </c>
      <c r="BB127">
        <v>2.75</v>
      </c>
      <c r="BC127">
        <v>0</v>
      </c>
      <c r="BD127">
        <v>2.75</v>
      </c>
      <c r="BE127">
        <v>0</v>
      </c>
    </row>
    <row r="128" spans="1:58">
      <c r="A128" t="s">
        <v>16898</v>
      </c>
      <c r="B128" t="s">
        <v>17034</v>
      </c>
      <c r="C128">
        <v>0</v>
      </c>
      <c r="D128">
        <v>1</v>
      </c>
      <c r="E128">
        <v>1</v>
      </c>
      <c r="F128">
        <v>0</v>
      </c>
      <c r="G128">
        <v>0</v>
      </c>
      <c r="H128">
        <v>0</v>
      </c>
      <c r="I128">
        <v>0</v>
      </c>
      <c r="J128">
        <v>1</v>
      </c>
      <c r="K128">
        <v>11</v>
      </c>
      <c r="L128">
        <v>1</v>
      </c>
      <c r="M128">
        <v>0</v>
      </c>
      <c r="N128">
        <v>0</v>
      </c>
      <c r="O128">
        <v>0</v>
      </c>
      <c r="P128">
        <v>0</v>
      </c>
      <c r="Q128">
        <v>0</v>
      </c>
      <c r="R128">
        <v>0</v>
      </c>
      <c r="S128">
        <v>1</v>
      </c>
      <c r="T128">
        <v>0.5</v>
      </c>
      <c r="U128">
        <v>0</v>
      </c>
      <c r="V128">
        <v>1.5</v>
      </c>
      <c r="W128" s="21">
        <v>20</v>
      </c>
      <c r="X128">
        <v>0</v>
      </c>
      <c r="Y128">
        <v>1</v>
      </c>
      <c r="Z128">
        <v>0</v>
      </c>
      <c r="AA128">
        <v>0</v>
      </c>
      <c r="AB128" s="21">
        <v>0</v>
      </c>
      <c r="AC128">
        <v>0</v>
      </c>
      <c r="AD128">
        <v>0</v>
      </c>
      <c r="AE128">
        <v>0</v>
      </c>
      <c r="AF128" s="21">
        <v>0</v>
      </c>
      <c r="AG128" s="21">
        <v>20</v>
      </c>
      <c r="AH128" s="21">
        <v>20</v>
      </c>
      <c r="AI128">
        <v>0</v>
      </c>
      <c r="AJ128" s="21">
        <v>0</v>
      </c>
      <c r="AK128" s="21">
        <v>0</v>
      </c>
      <c r="AL128" s="21">
        <v>0</v>
      </c>
      <c r="AM128">
        <v>0</v>
      </c>
      <c r="AN128">
        <v>0</v>
      </c>
      <c r="AO128">
        <v>0</v>
      </c>
      <c r="AP128">
        <v>0</v>
      </c>
      <c r="AQ128">
        <v>0</v>
      </c>
      <c r="AR128">
        <v>0</v>
      </c>
      <c r="AS128">
        <v>0</v>
      </c>
      <c r="AT128">
        <v>11</v>
      </c>
      <c r="AU128">
        <v>0</v>
      </c>
      <c r="AV128">
        <v>11</v>
      </c>
      <c r="AW128">
        <v>0</v>
      </c>
      <c r="AX128">
        <v>1</v>
      </c>
      <c r="AY128">
        <v>0</v>
      </c>
      <c r="AZ128">
        <v>1</v>
      </c>
      <c r="BA128">
        <v>0</v>
      </c>
      <c r="BB128">
        <v>0.5</v>
      </c>
      <c r="BC128">
        <v>0</v>
      </c>
      <c r="BD128">
        <v>0.5</v>
      </c>
      <c r="BE128">
        <v>0</v>
      </c>
    </row>
    <row r="129" spans="1:57">
      <c r="A129" t="s">
        <v>16898</v>
      </c>
      <c r="B129" t="s">
        <v>17034</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row>
    <row r="130" spans="1:57">
      <c r="A130" t="s">
        <v>17035</v>
      </c>
      <c r="B130" t="s">
        <v>18814</v>
      </c>
      <c r="C130">
        <v>0</v>
      </c>
      <c r="D130">
        <v>1</v>
      </c>
      <c r="E130">
        <v>0</v>
      </c>
      <c r="F130">
        <v>1</v>
      </c>
      <c r="G130">
        <v>0</v>
      </c>
      <c r="H130">
        <v>0</v>
      </c>
      <c r="I130">
        <v>0</v>
      </c>
      <c r="J130">
        <v>1</v>
      </c>
      <c r="K130">
        <v>12</v>
      </c>
      <c r="L130">
        <v>0</v>
      </c>
      <c r="M130">
        <v>0</v>
      </c>
      <c r="N130">
        <v>0</v>
      </c>
      <c r="O130">
        <v>0</v>
      </c>
      <c r="P130">
        <v>0</v>
      </c>
      <c r="Q130">
        <v>0</v>
      </c>
      <c r="R130">
        <v>0</v>
      </c>
      <c r="S130">
        <v>0.5</v>
      </c>
      <c r="T130">
        <v>0.5</v>
      </c>
      <c r="U130">
        <v>0</v>
      </c>
      <c r="V130">
        <v>1</v>
      </c>
      <c r="W130">
        <v>15</v>
      </c>
      <c r="X130">
        <v>0</v>
      </c>
      <c r="Y130">
        <v>1</v>
      </c>
      <c r="Z130">
        <v>0</v>
      </c>
      <c r="AA130">
        <v>0</v>
      </c>
      <c r="AB130">
        <v>0</v>
      </c>
      <c r="AC130">
        <v>0</v>
      </c>
      <c r="AD130">
        <v>0</v>
      </c>
      <c r="AE130">
        <v>0</v>
      </c>
      <c r="AF130">
        <v>0</v>
      </c>
      <c r="AG130">
        <v>15</v>
      </c>
      <c r="AH130">
        <v>15</v>
      </c>
      <c r="AI130">
        <v>0</v>
      </c>
      <c r="AJ130">
        <v>0</v>
      </c>
      <c r="AK130">
        <v>0</v>
      </c>
      <c r="AL130">
        <v>0</v>
      </c>
      <c r="AM130">
        <v>0</v>
      </c>
      <c r="AN130">
        <v>0</v>
      </c>
      <c r="AO130">
        <v>0</v>
      </c>
      <c r="AP130">
        <v>0</v>
      </c>
      <c r="AQ130">
        <v>0</v>
      </c>
      <c r="AR130">
        <v>0</v>
      </c>
      <c r="AS130">
        <v>0</v>
      </c>
      <c r="AT130">
        <v>12</v>
      </c>
      <c r="AU130">
        <v>0</v>
      </c>
      <c r="AV130">
        <v>12</v>
      </c>
      <c r="AW130">
        <v>0</v>
      </c>
      <c r="AX130">
        <v>0.5</v>
      </c>
      <c r="AY130">
        <v>0</v>
      </c>
      <c r="AZ130">
        <v>0.5</v>
      </c>
      <c r="BA130">
        <v>0</v>
      </c>
      <c r="BB130">
        <v>0.5</v>
      </c>
      <c r="BC130">
        <v>0</v>
      </c>
      <c r="BD130">
        <v>0.5</v>
      </c>
      <c r="BE130">
        <v>0</v>
      </c>
    </row>
    <row r="131" spans="1:57">
      <c r="A131" t="s">
        <v>17035</v>
      </c>
      <c r="B131" t="s">
        <v>17507</v>
      </c>
      <c r="C131">
        <v>17</v>
      </c>
      <c r="D131">
        <v>51</v>
      </c>
      <c r="E131">
        <v>51</v>
      </c>
      <c r="F131">
        <v>0</v>
      </c>
      <c r="G131">
        <v>0</v>
      </c>
      <c r="H131">
        <v>0</v>
      </c>
      <c r="I131">
        <v>0</v>
      </c>
      <c r="J131">
        <v>51</v>
      </c>
      <c r="K131">
        <v>437</v>
      </c>
      <c r="L131">
        <v>7</v>
      </c>
      <c r="M131">
        <v>18</v>
      </c>
      <c r="N131">
        <v>5</v>
      </c>
      <c r="O131">
        <v>15</v>
      </c>
      <c r="P131">
        <v>0</v>
      </c>
      <c r="Q131">
        <v>6</v>
      </c>
      <c r="R131">
        <v>0</v>
      </c>
      <c r="S131">
        <v>8</v>
      </c>
      <c r="T131">
        <v>6</v>
      </c>
      <c r="U131">
        <v>0</v>
      </c>
      <c r="V131">
        <v>14</v>
      </c>
      <c r="W131">
        <v>200</v>
      </c>
      <c r="X131">
        <v>0</v>
      </c>
      <c r="Y131">
        <v>1</v>
      </c>
      <c r="Z131">
        <v>0</v>
      </c>
      <c r="AA131">
        <v>0</v>
      </c>
      <c r="AB131">
        <v>170</v>
      </c>
      <c r="AC131">
        <v>0</v>
      </c>
      <c r="AD131">
        <v>0</v>
      </c>
      <c r="AE131">
        <v>0</v>
      </c>
      <c r="AF131">
        <v>170</v>
      </c>
      <c r="AG131">
        <v>200</v>
      </c>
      <c r="AH131">
        <v>200</v>
      </c>
      <c r="AI131">
        <v>0</v>
      </c>
      <c r="AJ131">
        <v>0</v>
      </c>
      <c r="AK131">
        <v>0</v>
      </c>
      <c r="AL131">
        <v>0</v>
      </c>
      <c r="AM131">
        <v>0</v>
      </c>
      <c r="AN131">
        <v>0</v>
      </c>
      <c r="AO131">
        <v>0</v>
      </c>
      <c r="AP131">
        <v>0</v>
      </c>
      <c r="AQ131">
        <v>0</v>
      </c>
      <c r="AR131">
        <v>0</v>
      </c>
      <c r="AS131">
        <v>0</v>
      </c>
      <c r="AT131">
        <v>437</v>
      </c>
      <c r="AU131">
        <v>0</v>
      </c>
      <c r="AV131">
        <v>330</v>
      </c>
      <c r="AW131">
        <v>107</v>
      </c>
      <c r="AX131">
        <v>8</v>
      </c>
      <c r="AY131">
        <v>0</v>
      </c>
      <c r="AZ131">
        <v>8</v>
      </c>
      <c r="BA131">
        <v>0</v>
      </c>
      <c r="BB131">
        <v>6</v>
      </c>
      <c r="BC131">
        <v>0</v>
      </c>
      <c r="BD131">
        <v>6</v>
      </c>
      <c r="BE131">
        <v>0</v>
      </c>
    </row>
    <row r="132" spans="1:57">
      <c r="A132" t="s">
        <v>16932</v>
      </c>
      <c r="B132" t="s">
        <v>17371</v>
      </c>
      <c r="C132">
        <v>0</v>
      </c>
      <c r="D132">
        <v>1</v>
      </c>
      <c r="E132">
        <v>1</v>
      </c>
      <c r="F132">
        <v>1</v>
      </c>
      <c r="G132">
        <v>0</v>
      </c>
      <c r="H132">
        <v>0</v>
      </c>
      <c r="I132">
        <v>0</v>
      </c>
      <c r="J132">
        <v>1</v>
      </c>
      <c r="K132">
        <v>5</v>
      </c>
      <c r="L132">
        <v>1</v>
      </c>
      <c r="M132">
        <v>0</v>
      </c>
      <c r="N132">
        <v>0</v>
      </c>
      <c r="O132">
        <v>0</v>
      </c>
      <c r="P132">
        <v>0</v>
      </c>
      <c r="Q132">
        <v>0</v>
      </c>
      <c r="R132">
        <v>0</v>
      </c>
      <c r="S132">
        <v>2</v>
      </c>
      <c r="T132">
        <v>0.5</v>
      </c>
      <c r="U132">
        <v>0</v>
      </c>
      <c r="V132">
        <v>2.5</v>
      </c>
      <c r="W132">
        <v>30</v>
      </c>
      <c r="X132">
        <v>0</v>
      </c>
      <c r="Y132">
        <v>1</v>
      </c>
      <c r="Z132">
        <v>0</v>
      </c>
      <c r="AA132">
        <v>0</v>
      </c>
      <c r="AB132">
        <v>0</v>
      </c>
      <c r="AC132">
        <v>0</v>
      </c>
      <c r="AD132">
        <v>0</v>
      </c>
      <c r="AE132">
        <v>0</v>
      </c>
      <c r="AF132">
        <v>0</v>
      </c>
      <c r="AG132">
        <v>30</v>
      </c>
      <c r="AH132">
        <v>30</v>
      </c>
      <c r="AI132">
        <v>0</v>
      </c>
      <c r="AJ132">
        <v>0</v>
      </c>
      <c r="AK132">
        <v>0</v>
      </c>
      <c r="AL132">
        <v>0</v>
      </c>
      <c r="AM132">
        <v>0</v>
      </c>
      <c r="AN132">
        <v>0</v>
      </c>
      <c r="AO132">
        <v>0</v>
      </c>
      <c r="AP132">
        <v>0</v>
      </c>
      <c r="AQ132">
        <v>0</v>
      </c>
      <c r="AR132">
        <v>0</v>
      </c>
      <c r="AS132">
        <v>0</v>
      </c>
      <c r="AT132">
        <v>5</v>
      </c>
      <c r="AU132">
        <v>0</v>
      </c>
      <c r="AV132">
        <v>5</v>
      </c>
      <c r="AW132">
        <v>0</v>
      </c>
      <c r="AX132">
        <v>2</v>
      </c>
      <c r="AY132">
        <v>0</v>
      </c>
      <c r="AZ132">
        <v>2</v>
      </c>
      <c r="BA132">
        <v>0</v>
      </c>
      <c r="BB132">
        <v>0.5</v>
      </c>
      <c r="BC132">
        <v>0</v>
      </c>
      <c r="BD132">
        <v>0.5</v>
      </c>
      <c r="BE132">
        <v>0</v>
      </c>
    </row>
    <row r="133" spans="1:57">
      <c r="A133" t="s">
        <v>16932</v>
      </c>
      <c r="B133" t="s">
        <v>17361</v>
      </c>
      <c r="C133">
        <v>0</v>
      </c>
      <c r="D133">
        <v>3</v>
      </c>
      <c r="E133">
        <v>0</v>
      </c>
      <c r="F133">
        <v>2</v>
      </c>
      <c r="G133">
        <v>0</v>
      </c>
      <c r="H133">
        <v>0</v>
      </c>
      <c r="I133">
        <v>0</v>
      </c>
      <c r="J133">
        <v>3</v>
      </c>
      <c r="K133">
        <v>24</v>
      </c>
      <c r="L133">
        <v>2</v>
      </c>
      <c r="M133">
        <v>0</v>
      </c>
      <c r="N133">
        <v>0</v>
      </c>
      <c r="O133">
        <v>1</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24</v>
      </c>
      <c r="AU133">
        <v>0</v>
      </c>
      <c r="AV133">
        <v>24</v>
      </c>
      <c r="AW133">
        <v>0</v>
      </c>
      <c r="AX133">
        <v>0</v>
      </c>
      <c r="AY133">
        <v>0</v>
      </c>
      <c r="AZ133">
        <v>0</v>
      </c>
      <c r="BA133">
        <v>0</v>
      </c>
      <c r="BB133">
        <v>0</v>
      </c>
      <c r="BC133">
        <v>0</v>
      </c>
      <c r="BD133">
        <v>0</v>
      </c>
      <c r="BE133">
        <v>0</v>
      </c>
    </row>
    <row r="134" spans="1:57">
      <c r="A134" t="s">
        <v>16932</v>
      </c>
      <c r="B134" t="s">
        <v>17036</v>
      </c>
      <c r="C134">
        <v>0</v>
      </c>
      <c r="D134">
        <v>16</v>
      </c>
      <c r="E134">
        <v>15</v>
      </c>
      <c r="F134">
        <v>12</v>
      </c>
      <c r="G134">
        <v>0</v>
      </c>
      <c r="H134">
        <v>14</v>
      </c>
      <c r="I134">
        <v>0</v>
      </c>
      <c r="J134">
        <v>13</v>
      </c>
      <c r="K134">
        <v>162</v>
      </c>
      <c r="L134">
        <v>9</v>
      </c>
      <c r="M134">
        <v>2</v>
      </c>
      <c r="N134">
        <v>0</v>
      </c>
      <c r="O134">
        <v>2</v>
      </c>
      <c r="P134">
        <v>0</v>
      </c>
      <c r="Q134">
        <v>0</v>
      </c>
      <c r="R134">
        <v>0</v>
      </c>
      <c r="S134">
        <v>12</v>
      </c>
      <c r="T134">
        <v>16</v>
      </c>
      <c r="U134">
        <v>0</v>
      </c>
      <c r="V134">
        <v>28</v>
      </c>
      <c r="W134">
        <v>440</v>
      </c>
      <c r="X134">
        <v>0</v>
      </c>
      <c r="Y134">
        <v>9</v>
      </c>
      <c r="Z134">
        <v>0</v>
      </c>
      <c r="AA134">
        <v>0</v>
      </c>
      <c r="AB134">
        <v>170</v>
      </c>
      <c r="AC134">
        <v>37.25</v>
      </c>
      <c r="AD134">
        <v>37.25</v>
      </c>
      <c r="AE134">
        <v>163.25</v>
      </c>
      <c r="AF134">
        <v>220.10000000000005</v>
      </c>
      <c r="AG134">
        <v>477.25</v>
      </c>
      <c r="AH134">
        <v>314</v>
      </c>
      <c r="AI134">
        <v>163.25</v>
      </c>
      <c r="AJ134">
        <v>220.10000000000005</v>
      </c>
      <c r="AK134">
        <v>477.25</v>
      </c>
      <c r="AL134">
        <v>314</v>
      </c>
      <c r="AM134">
        <v>0</v>
      </c>
      <c r="AN134">
        <v>7</v>
      </c>
      <c r="AO134">
        <v>0</v>
      </c>
      <c r="AP134">
        <v>0</v>
      </c>
      <c r="AQ134">
        <v>0</v>
      </c>
      <c r="AR134">
        <v>0</v>
      </c>
      <c r="AS134">
        <v>0</v>
      </c>
      <c r="AT134">
        <v>162</v>
      </c>
      <c r="AU134">
        <v>161</v>
      </c>
      <c r="AV134">
        <v>1</v>
      </c>
      <c r="AW134">
        <v>0</v>
      </c>
      <c r="AX134">
        <v>12</v>
      </c>
      <c r="AY134">
        <v>12</v>
      </c>
      <c r="AZ134">
        <v>0</v>
      </c>
      <c r="BA134">
        <v>0</v>
      </c>
      <c r="BB134">
        <v>16</v>
      </c>
      <c r="BC134">
        <v>16</v>
      </c>
      <c r="BD134">
        <v>0</v>
      </c>
      <c r="BE134">
        <v>0</v>
      </c>
    </row>
    <row r="135" spans="1:57">
      <c r="A135" t="s">
        <v>16932</v>
      </c>
      <c r="B135" t="s">
        <v>18815</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row>
    <row r="136" spans="1:57">
      <c r="A136" t="s">
        <v>16932</v>
      </c>
      <c r="B136" t="s">
        <v>17360</v>
      </c>
      <c r="C136">
        <v>0</v>
      </c>
      <c r="D136">
        <v>6</v>
      </c>
      <c r="E136">
        <v>1</v>
      </c>
      <c r="F136">
        <v>0</v>
      </c>
      <c r="G136">
        <v>0</v>
      </c>
      <c r="H136">
        <v>2</v>
      </c>
      <c r="I136">
        <v>0</v>
      </c>
      <c r="J136">
        <v>6</v>
      </c>
      <c r="K136">
        <v>1047</v>
      </c>
      <c r="L136">
        <v>5</v>
      </c>
      <c r="M136">
        <v>1</v>
      </c>
      <c r="N136">
        <v>0</v>
      </c>
      <c r="O136">
        <v>0</v>
      </c>
      <c r="P136">
        <v>0</v>
      </c>
      <c r="Q136">
        <v>0</v>
      </c>
      <c r="R136">
        <v>0</v>
      </c>
      <c r="S136">
        <v>2.5</v>
      </c>
      <c r="T136">
        <v>2.5</v>
      </c>
      <c r="U136">
        <v>0</v>
      </c>
      <c r="V136">
        <v>5</v>
      </c>
      <c r="W136">
        <v>75</v>
      </c>
      <c r="X136">
        <v>0</v>
      </c>
      <c r="Y136">
        <v>3</v>
      </c>
      <c r="Z136">
        <v>0</v>
      </c>
      <c r="AA136">
        <v>0</v>
      </c>
      <c r="AB136">
        <v>0</v>
      </c>
      <c r="AC136">
        <v>963.25</v>
      </c>
      <c r="AD136">
        <v>0</v>
      </c>
      <c r="AE136">
        <v>963.25</v>
      </c>
      <c r="AF136">
        <v>0</v>
      </c>
      <c r="AG136">
        <v>1038.25</v>
      </c>
      <c r="AH136">
        <v>75</v>
      </c>
      <c r="AI136">
        <v>892.75</v>
      </c>
      <c r="AJ136">
        <v>0</v>
      </c>
      <c r="AK136">
        <v>952.75</v>
      </c>
      <c r="AL136">
        <v>60</v>
      </c>
      <c r="AM136">
        <v>0</v>
      </c>
      <c r="AN136">
        <v>0</v>
      </c>
      <c r="AO136">
        <v>2</v>
      </c>
      <c r="AP136">
        <v>0</v>
      </c>
      <c r="AQ136">
        <v>1</v>
      </c>
      <c r="AR136">
        <v>0</v>
      </c>
      <c r="AS136">
        <v>0</v>
      </c>
      <c r="AT136">
        <v>1047</v>
      </c>
      <c r="AU136">
        <v>1019</v>
      </c>
      <c r="AV136">
        <v>28</v>
      </c>
      <c r="AW136">
        <v>0</v>
      </c>
      <c r="AX136">
        <v>2.5</v>
      </c>
      <c r="AY136">
        <v>2</v>
      </c>
      <c r="AZ136">
        <v>0.5</v>
      </c>
      <c r="BA136">
        <v>0</v>
      </c>
      <c r="BB136">
        <v>2.5</v>
      </c>
      <c r="BC136">
        <v>2</v>
      </c>
      <c r="BD136">
        <v>0.5</v>
      </c>
      <c r="BE136">
        <v>0</v>
      </c>
    </row>
    <row r="137" spans="1:57">
      <c r="A137" t="s">
        <v>16932</v>
      </c>
      <c r="B137" t="s">
        <v>18816</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7">
      <c r="A138" t="s">
        <v>16932</v>
      </c>
      <c r="B138" t="s">
        <v>18817</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row>
    <row r="139" spans="1:57">
      <c r="A139" t="s">
        <v>16932</v>
      </c>
      <c r="B139" t="s">
        <v>17370</v>
      </c>
      <c r="C139">
        <v>0</v>
      </c>
      <c r="D139">
        <v>8</v>
      </c>
      <c r="E139">
        <v>0</v>
      </c>
      <c r="F139">
        <v>8</v>
      </c>
      <c r="G139">
        <v>1</v>
      </c>
      <c r="H139">
        <v>0</v>
      </c>
      <c r="I139">
        <v>0</v>
      </c>
      <c r="J139">
        <v>7</v>
      </c>
      <c r="K139">
        <v>17</v>
      </c>
      <c r="L139">
        <v>2</v>
      </c>
      <c r="M139">
        <v>0</v>
      </c>
      <c r="N139">
        <v>0</v>
      </c>
      <c r="O139">
        <v>4</v>
      </c>
      <c r="P139">
        <v>0</v>
      </c>
      <c r="Q139">
        <v>1</v>
      </c>
      <c r="R139">
        <v>0</v>
      </c>
      <c r="S139">
        <v>1.75</v>
      </c>
      <c r="T139">
        <v>18</v>
      </c>
      <c r="U139">
        <v>0</v>
      </c>
      <c r="V139">
        <v>19.75</v>
      </c>
      <c r="W139">
        <v>377.5</v>
      </c>
      <c r="X139">
        <v>0</v>
      </c>
      <c r="Y139">
        <v>7</v>
      </c>
      <c r="Z139">
        <v>0</v>
      </c>
      <c r="AA139">
        <v>0</v>
      </c>
      <c r="AB139">
        <v>332.5</v>
      </c>
      <c r="AC139">
        <v>12.040000000000001</v>
      </c>
      <c r="AD139">
        <v>12.040000000000001</v>
      </c>
      <c r="AE139">
        <v>0</v>
      </c>
      <c r="AF139">
        <v>344.54000000000013</v>
      </c>
      <c r="AG139">
        <v>389.54000000000013</v>
      </c>
      <c r="AH139">
        <v>389.54000000000013</v>
      </c>
      <c r="AI139">
        <v>0</v>
      </c>
      <c r="AJ139">
        <v>0</v>
      </c>
      <c r="AK139">
        <v>0</v>
      </c>
      <c r="AL139">
        <v>0</v>
      </c>
      <c r="AM139">
        <v>0</v>
      </c>
      <c r="AN139">
        <v>0</v>
      </c>
      <c r="AO139">
        <v>0</v>
      </c>
      <c r="AP139">
        <v>0</v>
      </c>
      <c r="AQ139">
        <v>0</v>
      </c>
      <c r="AR139">
        <v>0</v>
      </c>
      <c r="AS139">
        <v>0</v>
      </c>
      <c r="AT139">
        <v>17</v>
      </c>
      <c r="AU139">
        <v>0</v>
      </c>
      <c r="AV139">
        <v>17</v>
      </c>
      <c r="AW139">
        <v>0</v>
      </c>
      <c r="AX139">
        <v>1.75</v>
      </c>
      <c r="AY139">
        <v>0</v>
      </c>
      <c r="AZ139">
        <v>1.75</v>
      </c>
      <c r="BA139">
        <v>0</v>
      </c>
      <c r="BB139">
        <v>18</v>
      </c>
      <c r="BC139">
        <v>0</v>
      </c>
      <c r="BD139">
        <v>18</v>
      </c>
      <c r="BE139">
        <v>0</v>
      </c>
    </row>
    <row r="140" spans="1:57">
      <c r="A140" t="s">
        <v>17041</v>
      </c>
      <c r="B140" t="s">
        <v>17325</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row>
    <row r="141" spans="1:57">
      <c r="A141" t="s">
        <v>17041</v>
      </c>
      <c r="B141" t="s">
        <v>17042</v>
      </c>
      <c r="C141">
        <v>0</v>
      </c>
      <c r="D141">
        <v>12</v>
      </c>
      <c r="E141">
        <v>12</v>
      </c>
      <c r="F141">
        <v>0</v>
      </c>
      <c r="G141">
        <v>0</v>
      </c>
      <c r="H141">
        <v>0</v>
      </c>
      <c r="I141">
        <v>0</v>
      </c>
      <c r="J141">
        <v>12</v>
      </c>
      <c r="K141">
        <v>22</v>
      </c>
      <c r="L141">
        <v>12</v>
      </c>
      <c r="M141">
        <v>0</v>
      </c>
      <c r="N141">
        <v>0</v>
      </c>
      <c r="O141">
        <v>0</v>
      </c>
      <c r="P141">
        <v>0</v>
      </c>
      <c r="Q141">
        <v>0</v>
      </c>
      <c r="R141">
        <v>0</v>
      </c>
      <c r="S141">
        <v>6.75</v>
      </c>
      <c r="T141">
        <v>0</v>
      </c>
      <c r="U141">
        <v>0</v>
      </c>
      <c r="V141">
        <v>6.75</v>
      </c>
      <c r="W141">
        <v>67.5</v>
      </c>
      <c r="X141">
        <v>0</v>
      </c>
      <c r="Y141">
        <v>12</v>
      </c>
      <c r="Z141">
        <v>0</v>
      </c>
      <c r="AA141">
        <v>0</v>
      </c>
      <c r="AB141">
        <v>10</v>
      </c>
      <c r="AC141">
        <v>0</v>
      </c>
      <c r="AD141">
        <v>0</v>
      </c>
      <c r="AE141">
        <v>0</v>
      </c>
      <c r="AF141">
        <v>10</v>
      </c>
      <c r="AG141">
        <v>67.5</v>
      </c>
      <c r="AH141">
        <v>67.5</v>
      </c>
      <c r="AI141">
        <v>0</v>
      </c>
      <c r="AJ141">
        <v>0</v>
      </c>
      <c r="AK141">
        <v>0</v>
      </c>
      <c r="AL141">
        <v>0</v>
      </c>
      <c r="AM141">
        <v>0</v>
      </c>
      <c r="AN141">
        <v>0</v>
      </c>
      <c r="AO141">
        <v>0</v>
      </c>
      <c r="AP141">
        <v>0</v>
      </c>
      <c r="AQ141">
        <v>0</v>
      </c>
      <c r="AR141">
        <v>0</v>
      </c>
      <c r="AS141">
        <v>0</v>
      </c>
      <c r="AT141">
        <v>22</v>
      </c>
      <c r="AU141">
        <v>0</v>
      </c>
      <c r="AV141">
        <v>22</v>
      </c>
      <c r="AW141">
        <v>0</v>
      </c>
      <c r="AX141">
        <v>6.75</v>
      </c>
      <c r="AY141">
        <v>0</v>
      </c>
      <c r="AZ141">
        <v>6.75</v>
      </c>
      <c r="BA141">
        <v>0</v>
      </c>
      <c r="BB141">
        <v>0</v>
      </c>
      <c r="BC141">
        <v>0</v>
      </c>
      <c r="BD141">
        <v>0</v>
      </c>
      <c r="BE141">
        <v>0</v>
      </c>
    </row>
    <row r="142" spans="1:57">
      <c r="A142" t="s">
        <v>17041</v>
      </c>
      <c r="B142" t="s">
        <v>17042</v>
      </c>
      <c r="C142">
        <v>0</v>
      </c>
      <c r="D142">
        <v>6</v>
      </c>
      <c r="E142">
        <v>6</v>
      </c>
      <c r="F142">
        <v>0</v>
      </c>
      <c r="G142">
        <v>0</v>
      </c>
      <c r="H142">
        <v>0</v>
      </c>
      <c r="I142">
        <v>0</v>
      </c>
      <c r="J142">
        <v>6</v>
      </c>
      <c r="K142">
        <v>7</v>
      </c>
      <c r="L142">
        <v>6</v>
      </c>
      <c r="M142">
        <v>0</v>
      </c>
      <c r="N142">
        <v>0</v>
      </c>
      <c r="O142">
        <v>0</v>
      </c>
      <c r="P142">
        <v>0</v>
      </c>
      <c r="Q142">
        <v>0</v>
      </c>
      <c r="R142">
        <v>0</v>
      </c>
      <c r="S142">
        <v>1.5</v>
      </c>
      <c r="T142">
        <v>0</v>
      </c>
      <c r="U142">
        <v>0</v>
      </c>
      <c r="V142">
        <v>1.5</v>
      </c>
      <c r="W142">
        <v>15</v>
      </c>
      <c r="X142">
        <v>0</v>
      </c>
      <c r="Y142">
        <v>6</v>
      </c>
      <c r="Z142">
        <v>0</v>
      </c>
      <c r="AA142">
        <v>0</v>
      </c>
      <c r="AB142">
        <v>0</v>
      </c>
      <c r="AC142">
        <v>0</v>
      </c>
      <c r="AD142">
        <v>0</v>
      </c>
      <c r="AE142">
        <v>0</v>
      </c>
      <c r="AF142">
        <v>0</v>
      </c>
      <c r="AG142">
        <v>15</v>
      </c>
      <c r="AH142">
        <v>15</v>
      </c>
      <c r="AI142">
        <v>0</v>
      </c>
      <c r="AJ142">
        <v>0</v>
      </c>
      <c r="AK142">
        <v>0</v>
      </c>
      <c r="AL142">
        <v>0</v>
      </c>
      <c r="AM142">
        <v>0</v>
      </c>
      <c r="AN142">
        <v>0</v>
      </c>
      <c r="AO142">
        <v>0</v>
      </c>
      <c r="AP142">
        <v>0</v>
      </c>
      <c r="AQ142">
        <v>0</v>
      </c>
      <c r="AR142">
        <v>0</v>
      </c>
      <c r="AS142">
        <v>0</v>
      </c>
      <c r="AT142">
        <v>7</v>
      </c>
      <c r="AU142">
        <v>0</v>
      </c>
      <c r="AV142">
        <v>7</v>
      </c>
      <c r="AW142">
        <v>0</v>
      </c>
      <c r="AX142">
        <v>1.5</v>
      </c>
      <c r="AY142">
        <v>0</v>
      </c>
      <c r="AZ142">
        <v>1.5</v>
      </c>
      <c r="BA142">
        <v>0</v>
      </c>
      <c r="BB142">
        <v>0</v>
      </c>
      <c r="BC142">
        <v>0</v>
      </c>
      <c r="BD142">
        <v>0</v>
      </c>
      <c r="BE142">
        <v>0</v>
      </c>
    </row>
    <row r="143" spans="1:57">
      <c r="A143" t="s">
        <v>17041</v>
      </c>
      <c r="B143" t="s">
        <v>17043</v>
      </c>
      <c r="C143">
        <v>1</v>
      </c>
      <c r="D143">
        <v>3</v>
      </c>
      <c r="E143">
        <v>3</v>
      </c>
      <c r="F143">
        <v>2</v>
      </c>
      <c r="G143">
        <v>0</v>
      </c>
      <c r="H143">
        <v>1</v>
      </c>
      <c r="I143">
        <v>0</v>
      </c>
      <c r="J143">
        <v>3</v>
      </c>
      <c r="K143">
        <v>144</v>
      </c>
      <c r="L143">
        <v>2</v>
      </c>
      <c r="M143">
        <v>0</v>
      </c>
      <c r="N143">
        <v>0</v>
      </c>
      <c r="O143">
        <v>1</v>
      </c>
      <c r="P143">
        <v>0</v>
      </c>
      <c r="Q143">
        <v>0</v>
      </c>
      <c r="R143">
        <v>0</v>
      </c>
      <c r="S143">
        <v>6.75</v>
      </c>
      <c r="T143">
        <v>0.75</v>
      </c>
      <c r="U143">
        <v>0</v>
      </c>
      <c r="V143">
        <v>7.5</v>
      </c>
      <c r="W143">
        <v>67.5</v>
      </c>
      <c r="X143">
        <v>0</v>
      </c>
      <c r="Y143">
        <v>0</v>
      </c>
      <c r="Z143">
        <v>2</v>
      </c>
      <c r="AA143">
        <v>-15</v>
      </c>
      <c r="AB143">
        <v>0</v>
      </c>
      <c r="AC143">
        <v>0</v>
      </c>
      <c r="AD143">
        <v>0</v>
      </c>
      <c r="AE143">
        <v>0</v>
      </c>
      <c r="AF143">
        <v>0</v>
      </c>
      <c r="AG143">
        <v>67.5</v>
      </c>
      <c r="AH143">
        <v>67.5</v>
      </c>
      <c r="AI143">
        <v>0</v>
      </c>
      <c r="AJ143">
        <v>0</v>
      </c>
      <c r="AK143">
        <v>60</v>
      </c>
      <c r="AL143">
        <v>60</v>
      </c>
      <c r="AM143">
        <v>0</v>
      </c>
      <c r="AN143">
        <v>0</v>
      </c>
      <c r="AO143">
        <v>0</v>
      </c>
      <c r="AP143">
        <v>0</v>
      </c>
      <c r="AQ143">
        <v>0</v>
      </c>
      <c r="AR143">
        <v>0</v>
      </c>
      <c r="AS143">
        <v>0</v>
      </c>
      <c r="AT143">
        <v>144</v>
      </c>
      <c r="AU143">
        <v>123</v>
      </c>
      <c r="AV143">
        <v>11</v>
      </c>
      <c r="AW143">
        <v>10</v>
      </c>
      <c r="AX143">
        <v>6.75</v>
      </c>
      <c r="AY143">
        <v>5</v>
      </c>
      <c r="AZ143">
        <v>0.25</v>
      </c>
      <c r="BA143">
        <v>1.5</v>
      </c>
      <c r="BB143">
        <v>0.75</v>
      </c>
      <c r="BC143">
        <v>0.5</v>
      </c>
      <c r="BD143">
        <v>0.25</v>
      </c>
      <c r="BE143">
        <v>0</v>
      </c>
    </row>
    <row r="144" spans="1:57">
      <c r="A144" t="s">
        <v>17041</v>
      </c>
      <c r="B144" t="s">
        <v>19341</v>
      </c>
      <c r="C144">
        <v>0</v>
      </c>
      <c r="D144">
        <v>9</v>
      </c>
      <c r="E144">
        <v>0</v>
      </c>
      <c r="F144">
        <v>9</v>
      </c>
      <c r="G144">
        <v>1</v>
      </c>
      <c r="H144">
        <v>0</v>
      </c>
      <c r="I144">
        <v>0</v>
      </c>
      <c r="J144">
        <v>9</v>
      </c>
      <c r="K144">
        <v>48</v>
      </c>
      <c r="L144">
        <v>9</v>
      </c>
      <c r="M144">
        <v>0</v>
      </c>
      <c r="N144">
        <v>0</v>
      </c>
      <c r="O144">
        <v>0</v>
      </c>
      <c r="P144">
        <v>0</v>
      </c>
      <c r="Q144">
        <v>0</v>
      </c>
      <c r="R144">
        <v>0</v>
      </c>
      <c r="S144">
        <v>4.75</v>
      </c>
      <c r="T144">
        <v>4.25</v>
      </c>
      <c r="U144">
        <v>0</v>
      </c>
      <c r="V144">
        <v>9</v>
      </c>
      <c r="W144">
        <v>132.5</v>
      </c>
      <c r="X144">
        <v>0</v>
      </c>
      <c r="Y144">
        <v>9</v>
      </c>
      <c r="Z144">
        <v>0</v>
      </c>
      <c r="AA144">
        <v>0</v>
      </c>
      <c r="AB144">
        <v>0</v>
      </c>
      <c r="AC144">
        <v>0</v>
      </c>
      <c r="AD144">
        <v>0</v>
      </c>
      <c r="AE144">
        <v>0</v>
      </c>
      <c r="AF144">
        <v>0</v>
      </c>
      <c r="AG144">
        <v>132.5</v>
      </c>
      <c r="AH144">
        <v>132.5</v>
      </c>
      <c r="AI144">
        <v>0</v>
      </c>
      <c r="AJ144">
        <v>0</v>
      </c>
      <c r="AK144">
        <v>0</v>
      </c>
      <c r="AL144">
        <v>0</v>
      </c>
      <c r="AM144">
        <v>0</v>
      </c>
      <c r="AN144">
        <v>0</v>
      </c>
      <c r="AO144">
        <v>0</v>
      </c>
      <c r="AP144">
        <v>0</v>
      </c>
      <c r="AQ144">
        <v>0</v>
      </c>
      <c r="AR144">
        <v>0</v>
      </c>
      <c r="AS144">
        <v>0</v>
      </c>
      <c r="AT144">
        <v>48</v>
      </c>
      <c r="AU144">
        <v>0</v>
      </c>
      <c r="AV144">
        <v>48</v>
      </c>
      <c r="AW144">
        <v>0</v>
      </c>
      <c r="AX144">
        <v>4.75</v>
      </c>
      <c r="AY144">
        <v>0</v>
      </c>
      <c r="AZ144">
        <v>4.75</v>
      </c>
      <c r="BA144">
        <v>0</v>
      </c>
      <c r="BB144">
        <v>4.25</v>
      </c>
      <c r="BC144">
        <v>0</v>
      </c>
      <c r="BD144">
        <v>4.25</v>
      </c>
      <c r="BE144">
        <v>0</v>
      </c>
    </row>
    <row r="145" spans="1:58">
      <c r="A145" t="s">
        <v>17041</v>
      </c>
      <c r="B145" t="s">
        <v>19979</v>
      </c>
      <c r="C145">
        <v>0</v>
      </c>
      <c r="D145">
        <v>4</v>
      </c>
      <c r="E145">
        <v>0</v>
      </c>
      <c r="F145">
        <v>0</v>
      </c>
      <c r="G145">
        <v>0</v>
      </c>
      <c r="H145">
        <v>0</v>
      </c>
      <c r="I145">
        <v>0</v>
      </c>
      <c r="J145">
        <v>4</v>
      </c>
      <c r="K145">
        <v>10</v>
      </c>
      <c r="L145">
        <v>4</v>
      </c>
      <c r="M145">
        <v>0</v>
      </c>
      <c r="N145">
        <v>0</v>
      </c>
      <c r="O145">
        <v>0</v>
      </c>
      <c r="P145">
        <v>0</v>
      </c>
      <c r="Q145">
        <v>0</v>
      </c>
      <c r="R145">
        <v>0</v>
      </c>
      <c r="S145">
        <v>1</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10</v>
      </c>
      <c r="AU145">
        <v>0</v>
      </c>
      <c r="AV145">
        <v>10</v>
      </c>
      <c r="AW145">
        <v>0</v>
      </c>
      <c r="AX145">
        <v>1</v>
      </c>
      <c r="AY145">
        <v>0</v>
      </c>
      <c r="AZ145">
        <v>1</v>
      </c>
      <c r="BA145">
        <v>0</v>
      </c>
      <c r="BB145">
        <v>0</v>
      </c>
      <c r="BC145">
        <v>0</v>
      </c>
      <c r="BD145">
        <v>0</v>
      </c>
      <c r="BE145">
        <v>0</v>
      </c>
    </row>
    <row r="146" spans="1:58">
      <c r="A146" t="s">
        <v>17041</v>
      </c>
      <c r="B146" t="s">
        <v>17303</v>
      </c>
      <c r="C146">
        <v>0</v>
      </c>
      <c r="D146">
        <v>3</v>
      </c>
      <c r="E146">
        <v>0</v>
      </c>
      <c r="F146">
        <v>3</v>
      </c>
      <c r="G146">
        <v>0</v>
      </c>
      <c r="H146">
        <v>0</v>
      </c>
      <c r="I146">
        <v>0</v>
      </c>
      <c r="J146">
        <v>3</v>
      </c>
      <c r="K146">
        <v>4</v>
      </c>
      <c r="L146">
        <v>3</v>
      </c>
      <c r="M146">
        <v>0</v>
      </c>
      <c r="N146">
        <v>0</v>
      </c>
      <c r="O146">
        <v>0</v>
      </c>
      <c r="P146">
        <v>0</v>
      </c>
      <c r="Q146">
        <v>0</v>
      </c>
      <c r="R146">
        <v>0</v>
      </c>
      <c r="S146">
        <v>0.75</v>
      </c>
      <c r="T146">
        <v>0</v>
      </c>
      <c r="U146">
        <v>0</v>
      </c>
      <c r="V146">
        <v>0.75</v>
      </c>
      <c r="W146">
        <v>7.5</v>
      </c>
      <c r="X146">
        <v>0</v>
      </c>
      <c r="Y146">
        <v>3</v>
      </c>
      <c r="Z146">
        <v>0</v>
      </c>
      <c r="AA146">
        <v>0</v>
      </c>
      <c r="AB146">
        <v>0</v>
      </c>
      <c r="AC146">
        <v>0</v>
      </c>
      <c r="AD146">
        <v>0</v>
      </c>
      <c r="AE146">
        <v>0</v>
      </c>
      <c r="AF146">
        <v>0</v>
      </c>
      <c r="AG146">
        <v>7.5</v>
      </c>
      <c r="AH146">
        <v>7.5</v>
      </c>
      <c r="AI146">
        <v>0</v>
      </c>
      <c r="AJ146">
        <v>0</v>
      </c>
      <c r="AK146">
        <v>0</v>
      </c>
      <c r="AL146">
        <v>0</v>
      </c>
      <c r="AM146">
        <v>0</v>
      </c>
      <c r="AN146">
        <v>0</v>
      </c>
      <c r="AO146">
        <v>0</v>
      </c>
      <c r="AP146">
        <v>0</v>
      </c>
      <c r="AQ146">
        <v>0</v>
      </c>
      <c r="AR146">
        <v>0</v>
      </c>
      <c r="AS146">
        <v>0</v>
      </c>
      <c r="AT146">
        <v>4</v>
      </c>
      <c r="AU146">
        <v>0</v>
      </c>
      <c r="AV146">
        <v>4</v>
      </c>
      <c r="AW146">
        <v>0</v>
      </c>
      <c r="AX146">
        <v>0.75</v>
      </c>
      <c r="AY146">
        <v>0</v>
      </c>
      <c r="AZ146">
        <v>0.75</v>
      </c>
      <c r="BA146">
        <v>0</v>
      </c>
      <c r="BB146">
        <v>0</v>
      </c>
      <c r="BC146">
        <v>0</v>
      </c>
      <c r="BD146">
        <v>0</v>
      </c>
      <c r="BE146">
        <v>0</v>
      </c>
    </row>
    <row r="147" spans="1:58">
      <c r="A147" t="s">
        <v>17044</v>
      </c>
      <c r="B147" t="s">
        <v>17046</v>
      </c>
      <c r="C147">
        <v>1</v>
      </c>
      <c r="D147">
        <v>12</v>
      </c>
      <c r="E147">
        <v>12</v>
      </c>
      <c r="F147">
        <v>11</v>
      </c>
      <c r="G147">
        <v>3</v>
      </c>
      <c r="H147">
        <v>2</v>
      </c>
      <c r="I147">
        <v>2</v>
      </c>
      <c r="J147">
        <v>11</v>
      </c>
      <c r="K147">
        <v>148</v>
      </c>
      <c r="L147">
        <v>4</v>
      </c>
      <c r="M147">
        <v>1</v>
      </c>
      <c r="N147">
        <v>2</v>
      </c>
      <c r="O147">
        <v>4</v>
      </c>
      <c r="P147">
        <v>0</v>
      </c>
      <c r="Q147">
        <v>1</v>
      </c>
      <c r="R147">
        <v>0</v>
      </c>
      <c r="S147">
        <v>20</v>
      </c>
      <c r="T147">
        <v>5</v>
      </c>
      <c r="U147">
        <v>0</v>
      </c>
      <c r="V147">
        <v>25</v>
      </c>
      <c r="W147">
        <v>300</v>
      </c>
      <c r="X147">
        <v>0</v>
      </c>
      <c r="Y147">
        <v>1</v>
      </c>
      <c r="Z147">
        <v>0</v>
      </c>
      <c r="AA147">
        <v>0</v>
      </c>
      <c r="AB147">
        <v>270</v>
      </c>
      <c r="AC147">
        <v>0</v>
      </c>
      <c r="AD147">
        <v>0</v>
      </c>
      <c r="AE147">
        <v>150</v>
      </c>
      <c r="AF147">
        <v>270</v>
      </c>
      <c r="AG147">
        <v>300</v>
      </c>
      <c r="AH147">
        <v>150</v>
      </c>
      <c r="AI147">
        <v>150</v>
      </c>
      <c r="AJ147">
        <v>270</v>
      </c>
      <c r="AK147">
        <v>300</v>
      </c>
      <c r="AL147">
        <v>150</v>
      </c>
      <c r="AM147">
        <v>0</v>
      </c>
      <c r="AN147">
        <v>0</v>
      </c>
      <c r="AO147">
        <v>0</v>
      </c>
      <c r="AP147">
        <v>1</v>
      </c>
      <c r="AQ147">
        <v>0</v>
      </c>
      <c r="AR147">
        <v>0</v>
      </c>
      <c r="AS147">
        <v>0</v>
      </c>
      <c r="AT147">
        <v>148</v>
      </c>
      <c r="AU147">
        <v>101</v>
      </c>
      <c r="AV147">
        <v>47</v>
      </c>
      <c r="AW147">
        <v>0</v>
      </c>
      <c r="AX147">
        <v>20</v>
      </c>
      <c r="AY147">
        <v>20</v>
      </c>
      <c r="AZ147">
        <v>0</v>
      </c>
      <c r="BA147">
        <v>0</v>
      </c>
      <c r="BB147">
        <v>5</v>
      </c>
      <c r="BC147">
        <v>5</v>
      </c>
      <c r="BD147">
        <v>0</v>
      </c>
      <c r="BE147">
        <v>0</v>
      </c>
    </row>
    <row r="148" spans="1:58">
      <c r="A148" t="s">
        <v>17044</v>
      </c>
      <c r="B148" t="s">
        <v>17047</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row>
    <row r="149" spans="1:58">
      <c r="A149" t="s">
        <v>17044</v>
      </c>
      <c r="B149" t="s">
        <v>17048</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row>
    <row r="150" spans="1:58">
      <c r="A150" t="s">
        <v>17044</v>
      </c>
      <c r="B150" t="s">
        <v>17049</v>
      </c>
      <c r="C150">
        <v>0</v>
      </c>
      <c r="D150">
        <v>14</v>
      </c>
      <c r="E150">
        <v>14</v>
      </c>
      <c r="F150">
        <v>14</v>
      </c>
      <c r="G150">
        <v>3</v>
      </c>
      <c r="H150">
        <v>1</v>
      </c>
      <c r="I150">
        <v>0</v>
      </c>
      <c r="J150">
        <v>14</v>
      </c>
      <c r="K150">
        <v>246</v>
      </c>
      <c r="L150">
        <v>4</v>
      </c>
      <c r="M150">
        <v>1</v>
      </c>
      <c r="N150">
        <v>2</v>
      </c>
      <c r="O150">
        <v>3</v>
      </c>
      <c r="P150">
        <v>1</v>
      </c>
      <c r="Q150">
        <v>3</v>
      </c>
      <c r="R150">
        <v>0</v>
      </c>
      <c r="S150">
        <v>2.75</v>
      </c>
      <c r="T150">
        <v>1.75</v>
      </c>
      <c r="U150">
        <v>1</v>
      </c>
      <c r="V150">
        <v>5.5</v>
      </c>
      <c r="W150">
        <v>62.5</v>
      </c>
      <c r="X150">
        <v>0</v>
      </c>
      <c r="Y150">
        <v>5</v>
      </c>
      <c r="Z150">
        <v>0</v>
      </c>
      <c r="AA150">
        <v>0</v>
      </c>
      <c r="AB150">
        <v>0</v>
      </c>
      <c r="AC150">
        <v>0</v>
      </c>
      <c r="AD150">
        <v>34.75</v>
      </c>
      <c r="AE150">
        <v>13.75</v>
      </c>
      <c r="AF150">
        <v>34.75</v>
      </c>
      <c r="AG150">
        <v>82.5</v>
      </c>
      <c r="AH150">
        <v>70</v>
      </c>
      <c r="AI150">
        <v>0</v>
      </c>
      <c r="AJ150">
        <v>0</v>
      </c>
      <c r="AK150">
        <v>0</v>
      </c>
      <c r="AL150">
        <v>0</v>
      </c>
      <c r="AM150">
        <v>2</v>
      </c>
      <c r="AN150">
        <v>1</v>
      </c>
      <c r="AO150">
        <v>0</v>
      </c>
      <c r="AP150">
        <v>0</v>
      </c>
      <c r="AQ150">
        <v>0</v>
      </c>
      <c r="AR150">
        <v>0</v>
      </c>
      <c r="AS150">
        <v>0</v>
      </c>
      <c r="AT150">
        <v>246</v>
      </c>
      <c r="AU150">
        <v>9</v>
      </c>
      <c r="AV150">
        <v>237</v>
      </c>
      <c r="AW150">
        <v>0</v>
      </c>
      <c r="AX150">
        <v>2.75</v>
      </c>
      <c r="AY150">
        <v>0</v>
      </c>
      <c r="AZ150">
        <v>2.75</v>
      </c>
      <c r="BA150">
        <v>0</v>
      </c>
      <c r="BB150">
        <v>1.75</v>
      </c>
      <c r="BC150">
        <v>0</v>
      </c>
      <c r="BD150">
        <v>1.75</v>
      </c>
      <c r="BE150">
        <v>0</v>
      </c>
    </row>
    <row r="151" spans="1:58">
      <c r="A151" t="s">
        <v>17044</v>
      </c>
      <c r="B151" t="s">
        <v>17050</v>
      </c>
      <c r="C151">
        <v>1</v>
      </c>
      <c r="D151">
        <v>19</v>
      </c>
      <c r="E151">
        <v>10</v>
      </c>
      <c r="F151">
        <v>7</v>
      </c>
      <c r="G151">
        <v>5</v>
      </c>
      <c r="H151">
        <v>5</v>
      </c>
      <c r="I151">
        <v>1</v>
      </c>
      <c r="J151">
        <v>14</v>
      </c>
      <c r="K151">
        <v>320</v>
      </c>
      <c r="L151">
        <v>2</v>
      </c>
      <c r="M151">
        <v>1</v>
      </c>
      <c r="N151">
        <v>5</v>
      </c>
      <c r="O151">
        <v>2</v>
      </c>
      <c r="P151">
        <v>0</v>
      </c>
      <c r="Q151">
        <v>3</v>
      </c>
      <c r="R151">
        <v>0</v>
      </c>
      <c r="S151">
        <v>64.25</v>
      </c>
      <c r="T151">
        <v>48</v>
      </c>
      <c r="U151">
        <v>0</v>
      </c>
      <c r="V151">
        <v>112.25</v>
      </c>
      <c r="W151">
        <v>1602.5</v>
      </c>
      <c r="X151">
        <v>0</v>
      </c>
      <c r="Y151">
        <v>10</v>
      </c>
      <c r="Z151">
        <v>0</v>
      </c>
      <c r="AA151">
        <v>0</v>
      </c>
      <c r="AB151">
        <v>1387.5</v>
      </c>
      <c r="AC151">
        <v>1702.2000000000003</v>
      </c>
      <c r="AD151">
        <v>1702.2000000000003</v>
      </c>
      <c r="AE151">
        <v>103.8</v>
      </c>
      <c r="AF151">
        <v>3089.7000000000003</v>
      </c>
      <c r="AG151">
        <v>3304.7000000000003</v>
      </c>
      <c r="AH151">
        <v>3200.9</v>
      </c>
      <c r="AI151">
        <v>0</v>
      </c>
      <c r="AJ151">
        <v>0</v>
      </c>
      <c r="AK151">
        <v>0</v>
      </c>
      <c r="AL151">
        <v>0</v>
      </c>
      <c r="AM151">
        <v>0</v>
      </c>
      <c r="AN151">
        <v>2</v>
      </c>
      <c r="AO151">
        <v>1</v>
      </c>
      <c r="AP151">
        <v>0</v>
      </c>
      <c r="AQ151">
        <v>0</v>
      </c>
      <c r="AR151">
        <v>0</v>
      </c>
      <c r="AS151">
        <v>0</v>
      </c>
      <c r="AT151">
        <v>320</v>
      </c>
      <c r="AU151">
        <v>228</v>
      </c>
      <c r="AV151">
        <v>92</v>
      </c>
      <c r="AW151">
        <v>0</v>
      </c>
      <c r="AX151">
        <v>64.25</v>
      </c>
      <c r="AY151">
        <v>0</v>
      </c>
      <c r="AZ151">
        <v>64.25</v>
      </c>
      <c r="BA151">
        <v>0</v>
      </c>
      <c r="BB151">
        <v>48</v>
      </c>
      <c r="BC151">
        <v>0</v>
      </c>
      <c r="BD151">
        <v>48</v>
      </c>
      <c r="BE151">
        <v>0</v>
      </c>
    </row>
    <row r="152" spans="1:58">
      <c r="A152" t="s">
        <v>17044</v>
      </c>
      <c r="B152" t="s">
        <v>17341</v>
      </c>
      <c r="C152">
        <v>0</v>
      </c>
      <c r="D152">
        <v>1</v>
      </c>
      <c r="E152">
        <v>0</v>
      </c>
      <c r="F152">
        <v>0</v>
      </c>
      <c r="G152">
        <v>0</v>
      </c>
      <c r="H152">
        <v>0</v>
      </c>
      <c r="I152">
        <v>0</v>
      </c>
      <c r="J152">
        <v>1</v>
      </c>
      <c r="K152">
        <v>4</v>
      </c>
      <c r="L152">
        <v>1</v>
      </c>
      <c r="M152">
        <v>0</v>
      </c>
      <c r="N152">
        <v>0</v>
      </c>
      <c r="O152">
        <v>0</v>
      </c>
      <c r="P152">
        <v>0</v>
      </c>
      <c r="Q152">
        <v>0</v>
      </c>
      <c r="R152">
        <v>0</v>
      </c>
      <c r="S152">
        <v>1</v>
      </c>
      <c r="T152">
        <v>0</v>
      </c>
      <c r="U152">
        <v>0</v>
      </c>
      <c r="V152">
        <v>1</v>
      </c>
      <c r="W152">
        <v>10</v>
      </c>
      <c r="X152">
        <v>0</v>
      </c>
      <c r="Y152">
        <v>1</v>
      </c>
      <c r="Z152">
        <v>0</v>
      </c>
      <c r="AA152">
        <v>0</v>
      </c>
      <c r="AB152">
        <v>0</v>
      </c>
      <c r="AC152">
        <v>0</v>
      </c>
      <c r="AD152">
        <v>0</v>
      </c>
      <c r="AE152">
        <v>0</v>
      </c>
      <c r="AF152">
        <v>0</v>
      </c>
      <c r="AG152">
        <v>10</v>
      </c>
      <c r="AH152">
        <v>10</v>
      </c>
      <c r="AI152">
        <v>0</v>
      </c>
      <c r="AJ152">
        <v>0</v>
      </c>
      <c r="AK152">
        <v>0</v>
      </c>
      <c r="AL152">
        <v>0</v>
      </c>
      <c r="AM152">
        <v>0</v>
      </c>
      <c r="AN152">
        <v>0</v>
      </c>
      <c r="AO152">
        <v>0</v>
      </c>
      <c r="AP152">
        <v>0</v>
      </c>
      <c r="AQ152">
        <v>0</v>
      </c>
      <c r="AR152">
        <v>0</v>
      </c>
      <c r="AS152">
        <v>0</v>
      </c>
      <c r="AT152">
        <v>4</v>
      </c>
      <c r="AU152">
        <v>0</v>
      </c>
      <c r="AV152">
        <v>4</v>
      </c>
      <c r="AW152">
        <v>0</v>
      </c>
      <c r="AX152">
        <v>1</v>
      </c>
      <c r="AY152">
        <v>0</v>
      </c>
      <c r="AZ152">
        <v>1</v>
      </c>
      <c r="BA152">
        <v>0</v>
      </c>
      <c r="BB152">
        <v>0</v>
      </c>
      <c r="BC152">
        <v>0</v>
      </c>
      <c r="BD152">
        <v>0</v>
      </c>
      <c r="BE152">
        <v>0</v>
      </c>
    </row>
    <row r="153" spans="1:58">
      <c r="A153" t="s">
        <v>17044</v>
      </c>
      <c r="B153" t="s">
        <v>17052</v>
      </c>
      <c r="C153">
        <v>1</v>
      </c>
      <c r="D153">
        <v>13</v>
      </c>
      <c r="E153">
        <v>13</v>
      </c>
      <c r="F153">
        <v>13</v>
      </c>
      <c r="G153">
        <v>1</v>
      </c>
      <c r="H153">
        <v>1</v>
      </c>
      <c r="I153">
        <v>0</v>
      </c>
      <c r="J153">
        <v>13</v>
      </c>
      <c r="K153">
        <v>60</v>
      </c>
      <c r="L153">
        <v>2</v>
      </c>
      <c r="M153">
        <v>0</v>
      </c>
      <c r="N153">
        <v>0</v>
      </c>
      <c r="O153">
        <v>11</v>
      </c>
      <c r="P153">
        <v>0</v>
      </c>
      <c r="Q153">
        <v>0</v>
      </c>
      <c r="R153">
        <v>0</v>
      </c>
      <c r="S153">
        <v>9</v>
      </c>
      <c r="T153">
        <v>2</v>
      </c>
      <c r="U153">
        <v>0</v>
      </c>
      <c r="V153">
        <v>11</v>
      </c>
      <c r="W153">
        <v>115</v>
      </c>
      <c r="X153">
        <v>0</v>
      </c>
      <c r="Y153">
        <v>12</v>
      </c>
      <c r="Z153">
        <v>0</v>
      </c>
      <c r="AA153">
        <v>-15</v>
      </c>
      <c r="AB153">
        <v>0</v>
      </c>
      <c r="AC153">
        <v>0</v>
      </c>
      <c r="AD153">
        <v>0</v>
      </c>
      <c r="AE153">
        <v>0</v>
      </c>
      <c r="AF153">
        <v>0</v>
      </c>
      <c r="AG153">
        <v>115</v>
      </c>
      <c r="AH153">
        <v>115</v>
      </c>
      <c r="AI153">
        <v>0</v>
      </c>
      <c r="AJ153">
        <v>0</v>
      </c>
      <c r="AK153">
        <v>20</v>
      </c>
      <c r="AL153">
        <v>20</v>
      </c>
      <c r="AM153">
        <v>0</v>
      </c>
      <c r="AN153">
        <v>0</v>
      </c>
      <c r="AO153">
        <v>0</v>
      </c>
      <c r="AP153">
        <v>0</v>
      </c>
      <c r="AQ153">
        <v>0</v>
      </c>
      <c r="AR153">
        <v>0</v>
      </c>
      <c r="AS153">
        <v>0</v>
      </c>
      <c r="AT153">
        <v>60</v>
      </c>
      <c r="AU153">
        <v>19</v>
      </c>
      <c r="AV153">
        <v>38</v>
      </c>
      <c r="AW153">
        <v>3</v>
      </c>
      <c r="AX153">
        <v>9</v>
      </c>
      <c r="AY153">
        <v>2</v>
      </c>
      <c r="AZ153">
        <v>6.5</v>
      </c>
      <c r="BA153">
        <v>0.5</v>
      </c>
      <c r="BB153">
        <v>2</v>
      </c>
      <c r="BC153">
        <v>0</v>
      </c>
      <c r="BD153">
        <v>1.5</v>
      </c>
      <c r="BE153">
        <v>0.5</v>
      </c>
    </row>
    <row r="154" spans="1:58">
      <c r="A154" t="s">
        <v>17044</v>
      </c>
      <c r="B154" t="s">
        <v>17342</v>
      </c>
      <c r="C154">
        <v>0</v>
      </c>
      <c r="D154">
        <v>6</v>
      </c>
      <c r="E154">
        <v>6</v>
      </c>
      <c r="F154">
        <v>6</v>
      </c>
      <c r="G154">
        <v>0</v>
      </c>
      <c r="H154">
        <v>0</v>
      </c>
      <c r="I154">
        <v>0</v>
      </c>
      <c r="J154">
        <v>6</v>
      </c>
      <c r="K154">
        <v>32</v>
      </c>
      <c r="L154">
        <v>2</v>
      </c>
      <c r="M154">
        <v>0</v>
      </c>
      <c r="N154">
        <v>0</v>
      </c>
      <c r="O154">
        <v>4</v>
      </c>
      <c r="P154">
        <v>0</v>
      </c>
      <c r="Q154">
        <v>0</v>
      </c>
      <c r="R154">
        <v>0</v>
      </c>
      <c r="S154">
        <v>2.5</v>
      </c>
      <c r="T154">
        <v>1.25</v>
      </c>
      <c r="U154">
        <v>0</v>
      </c>
      <c r="V154">
        <v>3.75</v>
      </c>
      <c r="W154">
        <v>50</v>
      </c>
      <c r="X154">
        <v>0</v>
      </c>
      <c r="Y154">
        <v>6</v>
      </c>
      <c r="Z154">
        <v>0</v>
      </c>
      <c r="AA154">
        <v>0</v>
      </c>
      <c r="AB154">
        <v>0</v>
      </c>
      <c r="AC154">
        <v>0</v>
      </c>
      <c r="AD154">
        <v>0</v>
      </c>
      <c r="AE154">
        <v>0</v>
      </c>
      <c r="AF154">
        <v>0</v>
      </c>
      <c r="AG154">
        <v>50</v>
      </c>
      <c r="AH154">
        <v>50</v>
      </c>
      <c r="AI154">
        <v>0</v>
      </c>
      <c r="AJ154">
        <v>0</v>
      </c>
      <c r="AK154">
        <v>0</v>
      </c>
      <c r="AL154">
        <v>0</v>
      </c>
      <c r="AM154">
        <v>0</v>
      </c>
      <c r="AN154">
        <v>0</v>
      </c>
      <c r="AO154">
        <v>0</v>
      </c>
      <c r="AP154">
        <v>0</v>
      </c>
      <c r="AQ154">
        <v>0</v>
      </c>
      <c r="AR154">
        <v>0</v>
      </c>
      <c r="AS154">
        <v>0</v>
      </c>
      <c r="AT154">
        <v>32</v>
      </c>
      <c r="AU154">
        <v>0</v>
      </c>
      <c r="AV154">
        <v>32</v>
      </c>
      <c r="AW154">
        <v>0</v>
      </c>
      <c r="AX154">
        <v>2.5</v>
      </c>
      <c r="AY154">
        <v>0</v>
      </c>
      <c r="AZ154">
        <v>2.5</v>
      </c>
      <c r="BA154">
        <v>0</v>
      </c>
      <c r="BB154">
        <v>1.25</v>
      </c>
      <c r="BC154">
        <v>0</v>
      </c>
      <c r="BD154">
        <v>1.25</v>
      </c>
      <c r="BE154">
        <v>0</v>
      </c>
    </row>
    <row r="155" spans="1:58">
      <c r="A155" t="s">
        <v>17044</v>
      </c>
      <c r="B155" t="s">
        <v>17057</v>
      </c>
      <c r="C155">
        <v>81</v>
      </c>
      <c r="D155">
        <v>103</v>
      </c>
      <c r="E155">
        <v>103</v>
      </c>
      <c r="F155">
        <v>99</v>
      </c>
      <c r="G155">
        <v>5</v>
      </c>
      <c r="H155">
        <v>3</v>
      </c>
      <c r="I155">
        <v>1</v>
      </c>
      <c r="J155">
        <v>99</v>
      </c>
      <c r="K155">
        <v>1187</v>
      </c>
      <c r="L155">
        <v>52</v>
      </c>
      <c r="M155">
        <v>1</v>
      </c>
      <c r="N155">
        <v>26</v>
      </c>
      <c r="O155">
        <v>3</v>
      </c>
      <c r="P155">
        <v>1</v>
      </c>
      <c r="Q155">
        <v>20</v>
      </c>
      <c r="R155">
        <v>0</v>
      </c>
      <c r="S155">
        <v>48.099999999999994</v>
      </c>
      <c r="T155">
        <v>23.25</v>
      </c>
      <c r="U155">
        <v>2</v>
      </c>
      <c r="V155">
        <v>73.349999999999994</v>
      </c>
      <c r="W155">
        <v>262.5</v>
      </c>
      <c r="X155">
        <v>0</v>
      </c>
      <c r="Y155">
        <v>20</v>
      </c>
      <c r="Z155">
        <v>0</v>
      </c>
      <c r="AA155">
        <v>-683.5</v>
      </c>
      <c r="AB155">
        <v>57.5</v>
      </c>
      <c r="AC155">
        <v>777.99999999999989</v>
      </c>
      <c r="AD155">
        <v>685.59999999999991</v>
      </c>
      <c r="AE155">
        <v>594.69999999999993</v>
      </c>
      <c r="AF155">
        <v>743.09999999999991</v>
      </c>
      <c r="AG155">
        <v>1080.5</v>
      </c>
      <c r="AH155">
        <v>485.79999999999995</v>
      </c>
      <c r="AI155">
        <v>52</v>
      </c>
      <c r="AJ155">
        <v>128.25</v>
      </c>
      <c r="AK155">
        <v>200.75</v>
      </c>
      <c r="AL155">
        <v>148.75</v>
      </c>
      <c r="AM155">
        <v>56</v>
      </c>
      <c r="AN155">
        <v>13</v>
      </c>
      <c r="AO155">
        <v>2</v>
      </c>
      <c r="AP155">
        <v>2</v>
      </c>
      <c r="AQ155">
        <v>0</v>
      </c>
      <c r="AR155">
        <v>0</v>
      </c>
      <c r="AS155">
        <v>0</v>
      </c>
      <c r="AT155">
        <v>1187</v>
      </c>
      <c r="AU155">
        <v>49</v>
      </c>
      <c r="AV155">
        <v>138</v>
      </c>
      <c r="AW155">
        <v>1018</v>
      </c>
      <c r="AX155">
        <v>48.099999999999994</v>
      </c>
      <c r="AY155">
        <v>14.25</v>
      </c>
      <c r="AZ155">
        <v>11</v>
      </c>
      <c r="BA155">
        <v>30.85</v>
      </c>
      <c r="BB155">
        <v>23.25</v>
      </c>
      <c r="BC155">
        <v>7</v>
      </c>
      <c r="BD155">
        <v>3.5</v>
      </c>
      <c r="BE155">
        <v>18.75</v>
      </c>
    </row>
    <row r="156" spans="1:58">
      <c r="A156" t="s">
        <v>17044</v>
      </c>
      <c r="B156" t="s">
        <v>17340</v>
      </c>
      <c r="C156">
        <v>0</v>
      </c>
      <c r="D156">
        <v>7</v>
      </c>
      <c r="E156">
        <v>7</v>
      </c>
      <c r="F156">
        <v>7</v>
      </c>
      <c r="G156">
        <v>0</v>
      </c>
      <c r="H156">
        <v>1</v>
      </c>
      <c r="I156">
        <v>0</v>
      </c>
      <c r="J156">
        <v>6</v>
      </c>
      <c r="K156">
        <v>123</v>
      </c>
      <c r="L156">
        <v>2</v>
      </c>
      <c r="M156">
        <v>0</v>
      </c>
      <c r="N156">
        <v>1</v>
      </c>
      <c r="O156">
        <v>1</v>
      </c>
      <c r="P156">
        <v>0</v>
      </c>
      <c r="Q156">
        <v>2</v>
      </c>
      <c r="R156">
        <v>0</v>
      </c>
      <c r="S156">
        <v>4</v>
      </c>
      <c r="T156">
        <v>6</v>
      </c>
      <c r="U156">
        <v>0</v>
      </c>
      <c r="V156">
        <v>10</v>
      </c>
      <c r="W156">
        <v>160</v>
      </c>
      <c r="X156">
        <v>0</v>
      </c>
      <c r="Y156">
        <v>4</v>
      </c>
      <c r="Z156">
        <v>1</v>
      </c>
      <c r="AA156">
        <v>0</v>
      </c>
      <c r="AB156">
        <v>70</v>
      </c>
      <c r="AC156">
        <v>41.5</v>
      </c>
      <c r="AD156">
        <v>41.5</v>
      </c>
      <c r="AE156">
        <v>76.5</v>
      </c>
      <c r="AF156">
        <v>111.5</v>
      </c>
      <c r="AG156">
        <v>201.5</v>
      </c>
      <c r="AH156">
        <v>125</v>
      </c>
      <c r="AI156">
        <v>0</v>
      </c>
      <c r="AJ156">
        <v>0</v>
      </c>
      <c r="AK156">
        <v>0</v>
      </c>
      <c r="AL156">
        <v>0</v>
      </c>
      <c r="AM156">
        <v>0</v>
      </c>
      <c r="AN156">
        <v>0</v>
      </c>
      <c r="AO156">
        <v>1</v>
      </c>
      <c r="AP156">
        <v>0</v>
      </c>
      <c r="AQ156">
        <v>0</v>
      </c>
      <c r="AR156">
        <v>0</v>
      </c>
      <c r="AS156">
        <v>0</v>
      </c>
      <c r="AT156">
        <v>123</v>
      </c>
      <c r="AU156">
        <v>0</v>
      </c>
      <c r="AV156">
        <v>123</v>
      </c>
      <c r="AW156">
        <v>0</v>
      </c>
      <c r="AX156">
        <v>4</v>
      </c>
      <c r="AY156">
        <v>0</v>
      </c>
      <c r="AZ156">
        <v>4</v>
      </c>
      <c r="BA156">
        <v>0</v>
      </c>
      <c r="BB156">
        <v>6</v>
      </c>
      <c r="BC156">
        <v>0</v>
      </c>
      <c r="BD156">
        <v>6</v>
      </c>
      <c r="BE156">
        <v>0</v>
      </c>
    </row>
    <row r="157" spans="1:58">
      <c r="A157" t="s">
        <v>17044</v>
      </c>
      <c r="B157" t="s">
        <v>17058</v>
      </c>
      <c r="C157">
        <v>71</v>
      </c>
      <c r="D157">
        <v>157</v>
      </c>
      <c r="E157">
        <v>151</v>
      </c>
      <c r="F157">
        <v>148</v>
      </c>
      <c r="G157">
        <v>1</v>
      </c>
      <c r="H157">
        <v>2</v>
      </c>
      <c r="I157">
        <v>0</v>
      </c>
      <c r="J157">
        <v>157</v>
      </c>
      <c r="K157">
        <v>1056</v>
      </c>
      <c r="L157">
        <v>60</v>
      </c>
      <c r="M157">
        <v>37</v>
      </c>
      <c r="N157">
        <v>34</v>
      </c>
      <c r="O157">
        <v>18</v>
      </c>
      <c r="P157">
        <v>5</v>
      </c>
      <c r="Q157">
        <v>4</v>
      </c>
      <c r="R157">
        <v>0</v>
      </c>
      <c r="S157">
        <v>74</v>
      </c>
      <c r="T157">
        <v>77.5</v>
      </c>
      <c r="U157">
        <v>0</v>
      </c>
      <c r="V157">
        <v>151.5</v>
      </c>
      <c r="W157">
        <v>1440</v>
      </c>
      <c r="X157">
        <v>0</v>
      </c>
      <c r="Y157">
        <v>83</v>
      </c>
      <c r="Z157">
        <v>0</v>
      </c>
      <c r="AA157">
        <v>-850</v>
      </c>
      <c r="AB157">
        <v>505</v>
      </c>
      <c r="AC157">
        <v>917.5</v>
      </c>
      <c r="AD157">
        <v>0</v>
      </c>
      <c r="AE157">
        <v>516</v>
      </c>
      <c r="AF157">
        <v>505</v>
      </c>
      <c r="AG157">
        <v>2357.5</v>
      </c>
      <c r="AH157">
        <v>1841.5</v>
      </c>
      <c r="AI157">
        <v>41</v>
      </c>
      <c r="AJ157">
        <v>350</v>
      </c>
      <c r="AK157">
        <v>451</v>
      </c>
      <c r="AL157">
        <v>410</v>
      </c>
      <c r="AM157">
        <v>29</v>
      </c>
      <c r="AN157">
        <v>22</v>
      </c>
      <c r="AO157">
        <v>1</v>
      </c>
      <c r="AP157">
        <v>0</v>
      </c>
      <c r="AQ157">
        <v>0</v>
      </c>
      <c r="AR157">
        <v>0</v>
      </c>
      <c r="AS157">
        <v>0</v>
      </c>
      <c r="AT157">
        <v>1056</v>
      </c>
      <c r="AU157">
        <v>70</v>
      </c>
      <c r="AV157">
        <v>528</v>
      </c>
      <c r="AW157">
        <v>458</v>
      </c>
      <c r="AX157">
        <v>74</v>
      </c>
      <c r="AY157">
        <v>11</v>
      </c>
      <c r="AZ157">
        <v>34.5</v>
      </c>
      <c r="BA157">
        <v>28.5</v>
      </c>
      <c r="BB157">
        <v>77.5</v>
      </c>
      <c r="BC157">
        <v>15</v>
      </c>
      <c r="BD157">
        <v>34.25</v>
      </c>
      <c r="BE157">
        <v>28.25</v>
      </c>
    </row>
    <row r="158" spans="1:58">
      <c r="A158" t="s">
        <v>17059</v>
      </c>
      <c r="B158" t="s">
        <v>20669</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row>
    <row r="159" spans="1:58">
      <c r="A159" t="s">
        <v>16978</v>
      </c>
      <c r="B159" t="s">
        <v>20671</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s="21"/>
    </row>
    <row r="160" spans="1:58">
      <c r="A160" t="s">
        <v>16978</v>
      </c>
      <c r="B160" t="s">
        <v>18823</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row>
    <row r="161" spans="1:58">
      <c r="A161" t="s">
        <v>16978</v>
      </c>
      <c r="B161" t="s">
        <v>20670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row>
    <row r="162" spans="1:58">
      <c r="A162" t="s">
        <v>16978</v>
      </c>
      <c r="B162" t="s">
        <v>17330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row>
    <row r="163" spans="1:58">
      <c r="A163" t="s">
        <v>16978</v>
      </c>
      <c r="B163" t="s">
        <v>18824</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row>
    <row r="164" spans="1:58">
      <c r="A164" t="s">
        <v>16978</v>
      </c>
      <c r="B164" t="s">
        <v>17064</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s="21"/>
    </row>
    <row r="165" spans="1:58">
      <c r="A165" t="s">
        <v>16978</v>
      </c>
      <c r="B165" t="s">
        <v>17065</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row>
    <row r="166" spans="1:58">
      <c r="A166" t="s">
        <v>16978</v>
      </c>
      <c r="B166" t="s">
        <v>17066</v>
      </c>
      <c r="C166">
        <v>0</v>
      </c>
      <c r="D166">
        <v>1</v>
      </c>
      <c r="E166">
        <v>0</v>
      </c>
      <c r="F166">
        <v>1</v>
      </c>
      <c r="G166">
        <v>0</v>
      </c>
      <c r="H166">
        <v>0</v>
      </c>
      <c r="I166">
        <v>0</v>
      </c>
      <c r="J166">
        <v>1</v>
      </c>
      <c r="K166">
        <v>4</v>
      </c>
      <c r="L166">
        <v>1</v>
      </c>
      <c r="M166">
        <v>0</v>
      </c>
      <c r="N166">
        <v>0</v>
      </c>
      <c r="O166">
        <v>0</v>
      </c>
      <c r="P166">
        <v>0</v>
      </c>
      <c r="Q166">
        <v>0</v>
      </c>
      <c r="R166">
        <v>0</v>
      </c>
      <c r="S166">
        <v>0.5</v>
      </c>
      <c r="T166">
        <v>0</v>
      </c>
      <c r="U166">
        <v>0</v>
      </c>
      <c r="V166">
        <v>0.5</v>
      </c>
      <c r="W166">
        <v>5</v>
      </c>
      <c r="X166">
        <v>0</v>
      </c>
      <c r="Y166">
        <v>1</v>
      </c>
      <c r="Z166">
        <v>0</v>
      </c>
      <c r="AA166">
        <v>0</v>
      </c>
      <c r="AB166">
        <v>0</v>
      </c>
      <c r="AC166">
        <v>0</v>
      </c>
      <c r="AD166">
        <v>0</v>
      </c>
      <c r="AE166">
        <v>0</v>
      </c>
      <c r="AF166">
        <v>0</v>
      </c>
      <c r="AG166">
        <v>5</v>
      </c>
      <c r="AH166">
        <v>5</v>
      </c>
      <c r="AI166">
        <v>0</v>
      </c>
      <c r="AJ166">
        <v>0</v>
      </c>
      <c r="AK166">
        <v>0</v>
      </c>
      <c r="AL166">
        <v>0</v>
      </c>
      <c r="AM166">
        <v>0</v>
      </c>
      <c r="AN166">
        <v>0</v>
      </c>
      <c r="AO166">
        <v>0</v>
      </c>
      <c r="AP166">
        <v>0</v>
      </c>
      <c r="AQ166">
        <v>0</v>
      </c>
      <c r="AR166">
        <v>0</v>
      </c>
      <c r="AS166">
        <v>0</v>
      </c>
      <c r="AT166">
        <v>4</v>
      </c>
      <c r="AU166">
        <v>0</v>
      </c>
      <c r="AV166">
        <v>4</v>
      </c>
      <c r="AW166">
        <v>0</v>
      </c>
      <c r="AX166">
        <v>0.5</v>
      </c>
      <c r="AY166">
        <v>0</v>
      </c>
      <c r="AZ166">
        <v>0.5</v>
      </c>
      <c r="BA166">
        <v>0</v>
      </c>
      <c r="BB166">
        <v>0</v>
      </c>
      <c r="BC166">
        <v>0</v>
      </c>
      <c r="BD166">
        <v>0</v>
      </c>
      <c r="BE166">
        <v>0</v>
      </c>
    </row>
    <row r="167" spans="1:58">
      <c r="A167" t="s">
        <v>16978</v>
      </c>
      <c r="B167" t="s">
        <v>17067</v>
      </c>
      <c r="C167">
        <v>0</v>
      </c>
      <c r="D167">
        <v>1</v>
      </c>
      <c r="E167">
        <v>0</v>
      </c>
      <c r="F167">
        <v>0</v>
      </c>
      <c r="G167">
        <v>0</v>
      </c>
      <c r="H167">
        <v>0</v>
      </c>
      <c r="I167">
        <v>0</v>
      </c>
      <c r="J167">
        <v>1</v>
      </c>
      <c r="K167">
        <v>1</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1</v>
      </c>
      <c r="AU167">
        <v>0</v>
      </c>
      <c r="AV167">
        <v>1</v>
      </c>
      <c r="AW167">
        <v>0</v>
      </c>
      <c r="AX167">
        <v>0</v>
      </c>
      <c r="AY167">
        <v>0</v>
      </c>
      <c r="AZ167">
        <v>0</v>
      </c>
      <c r="BA167">
        <v>0</v>
      </c>
      <c r="BB167">
        <v>0</v>
      </c>
      <c r="BC167">
        <v>0</v>
      </c>
      <c r="BD167">
        <v>0</v>
      </c>
      <c r="BE167">
        <v>0</v>
      </c>
      <c r="BF167" s="21"/>
    </row>
    <row r="168" spans="1:58">
      <c r="A168" t="s">
        <v>16978</v>
      </c>
      <c r="B168" t="s">
        <v>17331</v>
      </c>
      <c r="C168">
        <v>2</v>
      </c>
      <c r="D168">
        <v>2</v>
      </c>
      <c r="E168">
        <v>0</v>
      </c>
      <c r="F168">
        <v>2</v>
      </c>
      <c r="G168">
        <v>0</v>
      </c>
      <c r="H168">
        <v>0</v>
      </c>
      <c r="I168">
        <v>0</v>
      </c>
      <c r="J168">
        <v>2</v>
      </c>
      <c r="K168">
        <v>2</v>
      </c>
      <c r="L168">
        <v>2</v>
      </c>
      <c r="M168">
        <v>0</v>
      </c>
      <c r="N168">
        <v>0</v>
      </c>
      <c r="O168">
        <v>0</v>
      </c>
      <c r="P168">
        <v>0</v>
      </c>
      <c r="Q168">
        <v>0</v>
      </c>
      <c r="R168">
        <v>0</v>
      </c>
      <c r="S168">
        <v>1.25</v>
      </c>
      <c r="T168">
        <v>1.25</v>
      </c>
      <c r="U168">
        <v>0</v>
      </c>
      <c r="V168">
        <v>2.5</v>
      </c>
      <c r="W168">
        <v>0</v>
      </c>
      <c r="X168">
        <v>0</v>
      </c>
      <c r="Y168">
        <v>0</v>
      </c>
      <c r="Z168">
        <v>0</v>
      </c>
      <c r="AA168">
        <v>-37.5</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2</v>
      </c>
      <c r="AU168">
        <v>0</v>
      </c>
      <c r="AV168">
        <v>0</v>
      </c>
      <c r="AW168">
        <v>2</v>
      </c>
      <c r="AX168">
        <v>1.25</v>
      </c>
      <c r="AY168">
        <v>0</v>
      </c>
      <c r="AZ168">
        <v>0</v>
      </c>
      <c r="BA168">
        <v>1.25</v>
      </c>
      <c r="BB168">
        <v>1.25</v>
      </c>
      <c r="BC168">
        <v>0</v>
      </c>
      <c r="BD168">
        <v>0</v>
      </c>
      <c r="BE168">
        <v>1.25</v>
      </c>
      <c r="BF168" s="21"/>
    </row>
    <row r="169" spans="1:58">
      <c r="A169" t="s">
        <v>16978</v>
      </c>
      <c r="B169" t="s">
        <v>17332</v>
      </c>
      <c r="C169">
        <v>51</v>
      </c>
      <c r="D169">
        <v>70</v>
      </c>
      <c r="E169">
        <v>0</v>
      </c>
      <c r="F169">
        <v>53</v>
      </c>
      <c r="G169">
        <v>0</v>
      </c>
      <c r="H169">
        <v>0</v>
      </c>
      <c r="I169">
        <v>0</v>
      </c>
      <c r="J169">
        <v>70</v>
      </c>
      <c r="K169">
        <v>435</v>
      </c>
      <c r="L169">
        <v>70</v>
      </c>
      <c r="M169">
        <v>0</v>
      </c>
      <c r="N169">
        <v>0</v>
      </c>
      <c r="O169">
        <v>0</v>
      </c>
      <c r="P169">
        <v>0</v>
      </c>
      <c r="Q169">
        <v>0</v>
      </c>
      <c r="R169">
        <v>0</v>
      </c>
      <c r="S169">
        <v>248.5</v>
      </c>
      <c r="T169">
        <v>0</v>
      </c>
      <c r="U169">
        <v>0</v>
      </c>
      <c r="V169">
        <v>248.5</v>
      </c>
      <c r="W169">
        <v>2170</v>
      </c>
      <c r="X169">
        <v>0</v>
      </c>
      <c r="Y169">
        <v>19</v>
      </c>
      <c r="Z169">
        <v>0</v>
      </c>
      <c r="AA169">
        <v>-315</v>
      </c>
      <c r="AB169">
        <v>1530</v>
      </c>
      <c r="AC169">
        <v>0</v>
      </c>
      <c r="AD169">
        <v>335</v>
      </c>
      <c r="AE169">
        <v>335</v>
      </c>
      <c r="AF169">
        <v>1865</v>
      </c>
      <c r="AG169">
        <v>2070</v>
      </c>
      <c r="AH169">
        <v>2070</v>
      </c>
      <c r="AI169">
        <v>0</v>
      </c>
      <c r="AJ169">
        <v>0</v>
      </c>
      <c r="AK169">
        <v>0</v>
      </c>
      <c r="AL169">
        <v>0</v>
      </c>
      <c r="AM169">
        <v>0</v>
      </c>
      <c r="AN169">
        <v>52</v>
      </c>
      <c r="AO169">
        <v>0</v>
      </c>
      <c r="AP169">
        <v>0</v>
      </c>
      <c r="AQ169">
        <v>0</v>
      </c>
      <c r="AR169">
        <v>0</v>
      </c>
      <c r="AS169">
        <v>0</v>
      </c>
      <c r="AT169">
        <v>435</v>
      </c>
      <c r="AU169">
        <v>0</v>
      </c>
      <c r="AV169">
        <v>360</v>
      </c>
      <c r="AW169">
        <v>60</v>
      </c>
      <c r="AX169">
        <v>238.5</v>
      </c>
      <c r="AY169">
        <v>0</v>
      </c>
      <c r="AZ169">
        <v>207</v>
      </c>
      <c r="BA169">
        <v>31.5</v>
      </c>
      <c r="BB169">
        <v>0</v>
      </c>
      <c r="BC169">
        <v>0</v>
      </c>
      <c r="BD169">
        <v>0</v>
      </c>
      <c r="BE169">
        <v>0</v>
      </c>
      <c r="BF169" s="21"/>
    </row>
    <row r="170" spans="1:58">
      <c r="A170" t="s">
        <v>16978</v>
      </c>
      <c r="B170" t="s">
        <v>17068</v>
      </c>
      <c r="C170">
        <v>0</v>
      </c>
      <c r="D170">
        <v>1</v>
      </c>
      <c r="E170">
        <v>0</v>
      </c>
      <c r="F170">
        <v>0</v>
      </c>
      <c r="G170">
        <v>0</v>
      </c>
      <c r="H170">
        <v>0</v>
      </c>
      <c r="I170">
        <v>0</v>
      </c>
      <c r="J170">
        <v>1</v>
      </c>
      <c r="K170">
        <v>0</v>
      </c>
      <c r="L170">
        <v>1</v>
      </c>
      <c r="M170">
        <v>0</v>
      </c>
      <c r="N170">
        <v>0</v>
      </c>
      <c r="O170">
        <v>0</v>
      </c>
      <c r="P170">
        <v>0</v>
      </c>
      <c r="Q170">
        <v>0</v>
      </c>
      <c r="R170">
        <v>0</v>
      </c>
      <c r="S170">
        <v>0.25</v>
      </c>
      <c r="T170">
        <v>0</v>
      </c>
      <c r="U170">
        <v>0</v>
      </c>
      <c r="V170">
        <v>0.25</v>
      </c>
      <c r="W170">
        <v>2.5</v>
      </c>
      <c r="X170">
        <v>0</v>
      </c>
      <c r="Y170">
        <v>1</v>
      </c>
      <c r="Z170">
        <v>0</v>
      </c>
      <c r="AA170">
        <v>0</v>
      </c>
      <c r="AB170">
        <v>0</v>
      </c>
      <c r="AC170">
        <v>0</v>
      </c>
      <c r="AD170">
        <v>0</v>
      </c>
      <c r="AE170">
        <v>0</v>
      </c>
      <c r="AF170">
        <v>0</v>
      </c>
      <c r="AG170">
        <v>2.5</v>
      </c>
      <c r="AH170">
        <v>2.5</v>
      </c>
      <c r="AI170">
        <v>0</v>
      </c>
      <c r="AJ170">
        <v>0</v>
      </c>
      <c r="AK170">
        <v>0</v>
      </c>
      <c r="AL170">
        <v>0</v>
      </c>
      <c r="AM170">
        <v>0</v>
      </c>
      <c r="AN170">
        <v>0</v>
      </c>
      <c r="AO170">
        <v>0</v>
      </c>
      <c r="AP170">
        <v>0</v>
      </c>
      <c r="AQ170">
        <v>0</v>
      </c>
      <c r="AR170">
        <v>0</v>
      </c>
      <c r="AS170">
        <v>0</v>
      </c>
      <c r="AT170">
        <v>0</v>
      </c>
      <c r="AU170">
        <v>0</v>
      </c>
      <c r="AV170">
        <v>0</v>
      </c>
      <c r="AW170">
        <v>0</v>
      </c>
      <c r="AX170">
        <v>0.25</v>
      </c>
      <c r="AY170">
        <v>0</v>
      </c>
      <c r="AZ170">
        <v>0.25</v>
      </c>
      <c r="BA170">
        <v>0</v>
      </c>
      <c r="BB170">
        <v>0</v>
      </c>
      <c r="BC170">
        <v>0</v>
      </c>
      <c r="BD170">
        <v>0</v>
      </c>
      <c r="BE170">
        <v>0</v>
      </c>
      <c r="BF170" s="21"/>
    </row>
    <row r="171" spans="1:58">
      <c r="A171" t="s">
        <v>16978</v>
      </c>
      <c r="B171" t="s">
        <v>19982</v>
      </c>
      <c r="C171">
        <v>1</v>
      </c>
      <c r="D171">
        <v>3</v>
      </c>
      <c r="E171">
        <v>3</v>
      </c>
      <c r="F171">
        <v>2</v>
      </c>
      <c r="G171">
        <v>0</v>
      </c>
      <c r="H171">
        <v>0</v>
      </c>
      <c r="I171">
        <v>0</v>
      </c>
      <c r="J171">
        <v>3</v>
      </c>
      <c r="K171">
        <v>48</v>
      </c>
      <c r="L171">
        <v>3</v>
      </c>
      <c r="M171">
        <v>0</v>
      </c>
      <c r="N171">
        <v>0</v>
      </c>
      <c r="O171">
        <v>0</v>
      </c>
      <c r="P171">
        <v>0</v>
      </c>
      <c r="Q171">
        <v>0</v>
      </c>
      <c r="R171">
        <v>0</v>
      </c>
      <c r="S171">
        <v>0.5</v>
      </c>
      <c r="T171">
        <v>0</v>
      </c>
      <c r="U171">
        <v>0</v>
      </c>
      <c r="V171">
        <v>0.5</v>
      </c>
      <c r="W171">
        <v>2.5</v>
      </c>
      <c r="X171">
        <v>0</v>
      </c>
      <c r="Y171">
        <v>1</v>
      </c>
      <c r="Z171">
        <v>0</v>
      </c>
      <c r="AA171">
        <v>-2.5</v>
      </c>
      <c r="AB171">
        <v>0</v>
      </c>
      <c r="AC171">
        <v>0</v>
      </c>
      <c r="AD171">
        <v>0</v>
      </c>
      <c r="AE171">
        <v>0</v>
      </c>
      <c r="AF171">
        <v>0</v>
      </c>
      <c r="AG171">
        <v>2.5</v>
      </c>
      <c r="AH171">
        <v>2.5</v>
      </c>
      <c r="AI171">
        <v>0</v>
      </c>
      <c r="AJ171">
        <v>0</v>
      </c>
      <c r="AK171">
        <v>0</v>
      </c>
      <c r="AL171">
        <v>0</v>
      </c>
      <c r="AM171">
        <v>0</v>
      </c>
      <c r="AN171">
        <v>0</v>
      </c>
      <c r="AO171">
        <v>0</v>
      </c>
      <c r="AP171">
        <v>0</v>
      </c>
      <c r="AQ171">
        <v>0</v>
      </c>
      <c r="AR171">
        <v>0</v>
      </c>
      <c r="AS171">
        <v>0</v>
      </c>
      <c r="AT171">
        <v>48</v>
      </c>
      <c r="AU171">
        <v>0</v>
      </c>
      <c r="AV171">
        <v>46</v>
      </c>
      <c r="AW171">
        <v>2</v>
      </c>
      <c r="AX171">
        <v>0.5</v>
      </c>
      <c r="AY171">
        <v>0</v>
      </c>
      <c r="AZ171">
        <v>0.25</v>
      </c>
      <c r="BA171">
        <v>0.25</v>
      </c>
      <c r="BB171">
        <v>0</v>
      </c>
      <c r="BC171">
        <v>0</v>
      </c>
      <c r="BD171">
        <v>0</v>
      </c>
      <c r="BE171">
        <v>0</v>
      </c>
    </row>
    <row r="172" spans="1:58">
      <c r="A172" t="s">
        <v>16978</v>
      </c>
      <c r="B172" t="s">
        <v>17363</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row>
    <row r="173" spans="1:58">
      <c r="A173" t="s">
        <v>16978</v>
      </c>
      <c r="B173" t="s">
        <v>17069</v>
      </c>
      <c r="C173">
        <v>0</v>
      </c>
      <c r="D173">
        <v>2</v>
      </c>
      <c r="E173">
        <v>2</v>
      </c>
      <c r="F173">
        <v>2</v>
      </c>
      <c r="G173">
        <v>1</v>
      </c>
      <c r="H173">
        <v>2</v>
      </c>
      <c r="I173">
        <v>0</v>
      </c>
      <c r="J173">
        <v>2</v>
      </c>
      <c r="K173">
        <v>25</v>
      </c>
      <c r="L173">
        <v>0</v>
      </c>
      <c r="M173">
        <v>1</v>
      </c>
      <c r="N173">
        <v>1</v>
      </c>
      <c r="O173">
        <v>0</v>
      </c>
      <c r="P173">
        <v>0</v>
      </c>
      <c r="Q173">
        <v>0</v>
      </c>
      <c r="R173">
        <v>0</v>
      </c>
      <c r="S173">
        <v>0.5</v>
      </c>
      <c r="T173">
        <v>0</v>
      </c>
      <c r="U173">
        <v>1</v>
      </c>
      <c r="V173">
        <v>1.5</v>
      </c>
      <c r="W173">
        <v>5</v>
      </c>
      <c r="X173">
        <v>0</v>
      </c>
      <c r="Y173">
        <v>1</v>
      </c>
      <c r="Z173">
        <v>0</v>
      </c>
      <c r="AA173">
        <v>0</v>
      </c>
      <c r="AB173">
        <v>0</v>
      </c>
      <c r="AC173">
        <v>0</v>
      </c>
      <c r="AD173">
        <v>0</v>
      </c>
      <c r="AE173">
        <v>0</v>
      </c>
      <c r="AF173">
        <v>0</v>
      </c>
      <c r="AG173">
        <v>25</v>
      </c>
      <c r="AH173">
        <v>25</v>
      </c>
      <c r="AI173">
        <v>0</v>
      </c>
      <c r="AJ173">
        <v>0</v>
      </c>
      <c r="AK173">
        <v>25</v>
      </c>
      <c r="AL173">
        <v>25</v>
      </c>
      <c r="AM173">
        <v>0</v>
      </c>
      <c r="AN173">
        <v>0</v>
      </c>
      <c r="AO173">
        <v>0</v>
      </c>
      <c r="AP173">
        <v>0</v>
      </c>
      <c r="AQ173">
        <v>0</v>
      </c>
      <c r="AR173">
        <v>0</v>
      </c>
      <c r="AS173">
        <v>0</v>
      </c>
      <c r="AT173">
        <v>25</v>
      </c>
      <c r="AU173">
        <v>25</v>
      </c>
      <c r="AV173">
        <v>0</v>
      </c>
      <c r="AW173">
        <v>0</v>
      </c>
      <c r="AX173">
        <v>0.5</v>
      </c>
      <c r="AY173">
        <v>0.5</v>
      </c>
      <c r="AZ173">
        <v>0</v>
      </c>
      <c r="BA173">
        <v>0</v>
      </c>
      <c r="BB173">
        <v>0</v>
      </c>
      <c r="BC173">
        <v>0</v>
      </c>
      <c r="BD173">
        <v>0</v>
      </c>
      <c r="BE173">
        <v>0</v>
      </c>
    </row>
    <row r="174" spans="1:58">
      <c r="A174" t="s">
        <v>16978</v>
      </c>
      <c r="B174" t="s">
        <v>20672</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row>
    <row r="175" spans="1:58">
      <c r="A175" t="s">
        <v>16978</v>
      </c>
      <c r="B175" t="s">
        <v>17073</v>
      </c>
      <c r="C175">
        <v>0</v>
      </c>
      <c r="D175">
        <v>6</v>
      </c>
      <c r="E175">
        <v>5</v>
      </c>
      <c r="F175">
        <v>5</v>
      </c>
      <c r="G175">
        <v>2</v>
      </c>
      <c r="H175">
        <v>0</v>
      </c>
      <c r="I175">
        <v>0</v>
      </c>
      <c r="J175">
        <v>6</v>
      </c>
      <c r="K175">
        <v>41</v>
      </c>
      <c r="L175">
        <v>5</v>
      </c>
      <c r="M175">
        <v>0</v>
      </c>
      <c r="N175">
        <v>1</v>
      </c>
      <c r="O175">
        <v>0</v>
      </c>
      <c r="P175">
        <v>0</v>
      </c>
      <c r="Q175">
        <v>0</v>
      </c>
      <c r="R175">
        <v>0</v>
      </c>
      <c r="S175">
        <v>1.9</v>
      </c>
      <c r="T175">
        <v>0</v>
      </c>
      <c r="U175">
        <v>0</v>
      </c>
      <c r="V175">
        <v>1.9</v>
      </c>
      <c r="W175">
        <v>19</v>
      </c>
      <c r="X175">
        <v>0</v>
      </c>
      <c r="Y175">
        <v>6</v>
      </c>
      <c r="Z175">
        <v>0</v>
      </c>
      <c r="AA175">
        <v>0</v>
      </c>
      <c r="AB175">
        <v>0</v>
      </c>
      <c r="AC175">
        <v>0</v>
      </c>
      <c r="AD175">
        <v>0</v>
      </c>
      <c r="AE175">
        <v>0</v>
      </c>
      <c r="AF175">
        <v>0</v>
      </c>
      <c r="AG175">
        <v>19</v>
      </c>
      <c r="AH175">
        <v>19</v>
      </c>
      <c r="AI175">
        <v>0</v>
      </c>
      <c r="AJ175">
        <v>0</v>
      </c>
      <c r="AK175">
        <v>0</v>
      </c>
      <c r="AL175">
        <v>0</v>
      </c>
      <c r="AM175">
        <v>0</v>
      </c>
      <c r="AN175">
        <v>0</v>
      </c>
      <c r="AO175">
        <v>0</v>
      </c>
      <c r="AP175">
        <v>0</v>
      </c>
      <c r="AQ175">
        <v>0</v>
      </c>
      <c r="AR175">
        <v>0</v>
      </c>
      <c r="AS175">
        <v>0</v>
      </c>
      <c r="AT175">
        <v>41</v>
      </c>
      <c r="AU175">
        <v>0</v>
      </c>
      <c r="AV175">
        <v>41</v>
      </c>
      <c r="AW175">
        <v>0</v>
      </c>
      <c r="AX175">
        <v>1.9</v>
      </c>
      <c r="AY175">
        <v>0</v>
      </c>
      <c r="AZ175">
        <v>1.9</v>
      </c>
      <c r="BA175">
        <v>0</v>
      </c>
      <c r="BB175">
        <v>0</v>
      </c>
      <c r="BC175">
        <v>0</v>
      </c>
      <c r="BD175">
        <v>0</v>
      </c>
      <c r="BE175">
        <v>0</v>
      </c>
    </row>
    <row r="176" spans="1:58">
      <c r="A176" t="s">
        <v>16978</v>
      </c>
      <c r="B176" t="s">
        <v>17365</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row>
    <row r="177" spans="1:57">
      <c r="A177" t="s">
        <v>16978</v>
      </c>
      <c r="B177" t="s">
        <v>17366</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row>
    <row r="178" spans="1:57">
      <c r="A178" t="s">
        <v>16978</v>
      </c>
      <c r="B178" t="s">
        <v>18827</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row>
    <row r="179" spans="1:57">
      <c r="A179" t="s">
        <v>16978</v>
      </c>
      <c r="B179" t="s">
        <v>17075</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row>
    <row r="180" spans="1:57">
      <c r="A180" t="s">
        <v>16978</v>
      </c>
      <c r="B180" t="s">
        <v>17078</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row>
    <row r="181" spans="1:57">
      <c r="A181" t="s">
        <v>16978</v>
      </c>
      <c r="B181" t="s">
        <v>17079</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row>
    <row r="182" spans="1:57">
      <c r="A182" t="s">
        <v>16978</v>
      </c>
      <c r="B182" t="s">
        <v>18828</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row>
    <row r="183" spans="1:57">
      <c r="A183" t="s">
        <v>16978</v>
      </c>
      <c r="B183" t="s">
        <v>19347</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row>
    <row r="184" spans="1:57">
      <c r="A184" t="s">
        <v>16978</v>
      </c>
      <c r="B184" t="s">
        <v>17054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7">
      <c r="A185" t="s">
        <v>16978</v>
      </c>
      <c r="B185" t="s">
        <v>20673</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row>
    <row r="186" spans="1:57">
      <c r="A186" t="s">
        <v>16978</v>
      </c>
      <c r="B186" t="s">
        <v>20674</v>
      </c>
      <c r="C186">
        <v>0</v>
      </c>
      <c r="D186">
        <v>63</v>
      </c>
      <c r="E186">
        <v>64</v>
      </c>
      <c r="F186">
        <v>19</v>
      </c>
      <c r="G186">
        <v>2</v>
      </c>
      <c r="H186">
        <v>17</v>
      </c>
      <c r="I186">
        <v>0</v>
      </c>
      <c r="J186">
        <v>64</v>
      </c>
      <c r="K186">
        <v>220</v>
      </c>
      <c r="L186">
        <v>64</v>
      </c>
      <c r="M186">
        <v>0</v>
      </c>
      <c r="N186">
        <v>0</v>
      </c>
      <c r="O186">
        <v>0</v>
      </c>
      <c r="P186">
        <v>0</v>
      </c>
      <c r="Q186">
        <v>0</v>
      </c>
      <c r="R186">
        <v>0</v>
      </c>
      <c r="S186">
        <v>23.757999999999999</v>
      </c>
      <c r="T186">
        <v>0</v>
      </c>
      <c r="U186">
        <v>0</v>
      </c>
      <c r="V186">
        <v>23.757999999999999</v>
      </c>
      <c r="W186">
        <v>237.58</v>
      </c>
      <c r="X186">
        <v>0</v>
      </c>
      <c r="Y186">
        <v>64</v>
      </c>
      <c r="Z186">
        <v>0</v>
      </c>
      <c r="AA186">
        <v>0</v>
      </c>
      <c r="AB186">
        <v>0</v>
      </c>
      <c r="AC186">
        <v>6.5100000000000016</v>
      </c>
      <c r="AD186">
        <v>0</v>
      </c>
      <c r="AE186">
        <v>0</v>
      </c>
      <c r="AF186">
        <v>0</v>
      </c>
      <c r="AG186">
        <v>244.09</v>
      </c>
      <c r="AH186">
        <v>244.09</v>
      </c>
      <c r="AI186">
        <v>0</v>
      </c>
      <c r="AJ186">
        <v>0</v>
      </c>
      <c r="AK186">
        <v>100.94999999999997</v>
      </c>
      <c r="AL186">
        <v>100.94999999999997</v>
      </c>
      <c r="AM186">
        <v>0</v>
      </c>
      <c r="AN186">
        <v>0</v>
      </c>
      <c r="AO186">
        <v>0</v>
      </c>
      <c r="AP186">
        <v>0</v>
      </c>
      <c r="AQ186">
        <v>0</v>
      </c>
      <c r="AR186">
        <v>0</v>
      </c>
      <c r="AS186">
        <v>0</v>
      </c>
      <c r="AT186">
        <v>220</v>
      </c>
      <c r="AU186">
        <v>161</v>
      </c>
      <c r="AV186">
        <v>59</v>
      </c>
      <c r="AW186">
        <v>0</v>
      </c>
      <c r="AX186">
        <v>23.757999999999999</v>
      </c>
      <c r="AY186">
        <v>9.5</v>
      </c>
      <c r="AZ186">
        <v>14.257999999999999</v>
      </c>
      <c r="BA186">
        <v>0</v>
      </c>
      <c r="BB186">
        <v>0</v>
      </c>
      <c r="BC186">
        <v>0</v>
      </c>
      <c r="BD186">
        <v>0</v>
      </c>
      <c r="BE186">
        <v>0</v>
      </c>
    </row>
    <row r="187" spans="1:57">
      <c r="A187" t="s">
        <v>16978</v>
      </c>
      <c r="B187" t="s">
        <v>17081</v>
      </c>
      <c r="C187">
        <v>0</v>
      </c>
      <c r="D187">
        <v>4</v>
      </c>
      <c r="E187">
        <v>1</v>
      </c>
      <c r="F187">
        <v>4</v>
      </c>
      <c r="G187">
        <v>0</v>
      </c>
      <c r="H187">
        <v>0</v>
      </c>
      <c r="I187">
        <v>0</v>
      </c>
      <c r="J187">
        <v>4</v>
      </c>
      <c r="K187">
        <v>34</v>
      </c>
      <c r="L187">
        <v>4</v>
      </c>
      <c r="M187">
        <v>0</v>
      </c>
      <c r="N187">
        <v>0</v>
      </c>
      <c r="O187">
        <v>0</v>
      </c>
      <c r="P187">
        <v>0</v>
      </c>
      <c r="Q187">
        <v>0</v>
      </c>
      <c r="R187">
        <v>0</v>
      </c>
      <c r="S187">
        <v>6</v>
      </c>
      <c r="T187">
        <v>0</v>
      </c>
      <c r="U187">
        <v>0</v>
      </c>
      <c r="V187">
        <v>6</v>
      </c>
      <c r="W187">
        <v>60</v>
      </c>
      <c r="X187">
        <v>0</v>
      </c>
      <c r="Y187">
        <v>4</v>
      </c>
      <c r="Z187">
        <v>0</v>
      </c>
      <c r="AA187">
        <v>0</v>
      </c>
      <c r="AB187">
        <v>0</v>
      </c>
      <c r="AC187">
        <v>0</v>
      </c>
      <c r="AD187">
        <v>0</v>
      </c>
      <c r="AE187">
        <v>0</v>
      </c>
      <c r="AF187">
        <v>0</v>
      </c>
      <c r="AG187">
        <v>60</v>
      </c>
      <c r="AH187">
        <v>60</v>
      </c>
      <c r="AI187">
        <v>0</v>
      </c>
      <c r="AJ187">
        <v>0</v>
      </c>
      <c r="AK187">
        <v>0</v>
      </c>
      <c r="AL187">
        <v>0</v>
      </c>
      <c r="AM187">
        <v>0</v>
      </c>
      <c r="AN187">
        <v>0</v>
      </c>
      <c r="AO187">
        <v>0</v>
      </c>
      <c r="AP187">
        <v>0</v>
      </c>
      <c r="AQ187">
        <v>0</v>
      </c>
      <c r="AR187">
        <v>0</v>
      </c>
      <c r="AS187">
        <v>0</v>
      </c>
      <c r="AT187">
        <v>34</v>
      </c>
      <c r="AU187">
        <v>0</v>
      </c>
      <c r="AV187">
        <v>34</v>
      </c>
      <c r="AW187">
        <v>0</v>
      </c>
      <c r="AX187">
        <v>6</v>
      </c>
      <c r="AY187">
        <v>0</v>
      </c>
      <c r="AZ187">
        <v>6</v>
      </c>
      <c r="BA187">
        <v>0</v>
      </c>
      <c r="BB187">
        <v>0</v>
      </c>
      <c r="BC187">
        <v>0</v>
      </c>
      <c r="BD187">
        <v>0</v>
      </c>
      <c r="BE187">
        <v>0</v>
      </c>
    </row>
    <row r="188" spans="1:57">
      <c r="A188" t="s">
        <v>16978</v>
      </c>
      <c r="B188" t="s">
        <v>17082</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row>
    <row r="189" spans="1:57">
      <c r="A189" t="s">
        <v>16978</v>
      </c>
      <c r="B189" t="s">
        <v>18830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row>
    <row r="190" spans="1:57">
      <c r="A190" t="s">
        <v>16978</v>
      </c>
      <c r="B190" t="s">
        <v>17369</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row>
    <row r="191" spans="1:57">
      <c r="A191" t="s">
        <v>16978</v>
      </c>
      <c r="B191" t="s">
        <v>19348</v>
      </c>
      <c r="C191">
        <v>3</v>
      </c>
      <c r="D191">
        <v>60</v>
      </c>
      <c r="E191">
        <v>57</v>
      </c>
      <c r="F191">
        <v>60</v>
      </c>
      <c r="G191">
        <v>2</v>
      </c>
      <c r="H191">
        <v>4</v>
      </c>
      <c r="I191">
        <v>0</v>
      </c>
      <c r="J191">
        <v>60</v>
      </c>
      <c r="K191">
        <v>727</v>
      </c>
      <c r="L191">
        <v>29</v>
      </c>
      <c r="M191">
        <v>2</v>
      </c>
      <c r="N191">
        <v>19</v>
      </c>
      <c r="O191">
        <v>6</v>
      </c>
      <c r="P191">
        <v>2</v>
      </c>
      <c r="Q191">
        <v>2</v>
      </c>
      <c r="R191">
        <v>0</v>
      </c>
      <c r="S191">
        <v>41.5</v>
      </c>
      <c r="T191">
        <v>70.75</v>
      </c>
      <c r="U191">
        <v>1</v>
      </c>
      <c r="V191">
        <v>113.25</v>
      </c>
      <c r="W191">
        <v>1690</v>
      </c>
      <c r="X191">
        <v>0</v>
      </c>
      <c r="Y191">
        <v>49</v>
      </c>
      <c r="Z191">
        <v>5</v>
      </c>
      <c r="AA191">
        <v>-140</v>
      </c>
      <c r="AB191">
        <v>955</v>
      </c>
      <c r="AC191">
        <v>273.25</v>
      </c>
      <c r="AD191">
        <v>273.25</v>
      </c>
      <c r="AE191">
        <v>1096.75</v>
      </c>
      <c r="AF191">
        <v>1228.25</v>
      </c>
      <c r="AG191">
        <v>1983.25</v>
      </c>
      <c r="AH191">
        <v>886.5</v>
      </c>
      <c r="AI191">
        <v>706</v>
      </c>
      <c r="AJ191">
        <v>706</v>
      </c>
      <c r="AK191">
        <v>831</v>
      </c>
      <c r="AL191">
        <v>125</v>
      </c>
      <c r="AM191">
        <v>0</v>
      </c>
      <c r="AN191">
        <v>1</v>
      </c>
      <c r="AO191">
        <v>2</v>
      </c>
      <c r="AP191">
        <v>1</v>
      </c>
      <c r="AQ191">
        <v>1</v>
      </c>
      <c r="AR191">
        <v>0</v>
      </c>
      <c r="AS191">
        <v>0</v>
      </c>
      <c r="AT191">
        <v>727</v>
      </c>
      <c r="AU191">
        <v>76</v>
      </c>
      <c r="AV191">
        <v>617</v>
      </c>
      <c r="AW191">
        <v>46</v>
      </c>
      <c r="AX191">
        <v>41.5</v>
      </c>
      <c r="AY191">
        <v>11</v>
      </c>
      <c r="AZ191">
        <v>30</v>
      </c>
      <c r="BA191">
        <v>1</v>
      </c>
      <c r="BB191">
        <v>70.75</v>
      </c>
      <c r="BC191">
        <v>35.5</v>
      </c>
      <c r="BD191">
        <v>30.75</v>
      </c>
      <c r="BE191">
        <v>6.5</v>
      </c>
    </row>
    <row r="192" spans="1:57">
      <c r="A192" t="s">
        <v>16978</v>
      </c>
      <c r="B192" t="s">
        <v>17086</v>
      </c>
      <c r="C192">
        <v>0</v>
      </c>
      <c r="D192">
        <v>3</v>
      </c>
      <c r="E192">
        <v>3</v>
      </c>
      <c r="F192">
        <v>0</v>
      </c>
      <c r="G192">
        <v>0</v>
      </c>
      <c r="H192">
        <v>0</v>
      </c>
      <c r="I192">
        <v>0</v>
      </c>
      <c r="J192">
        <v>3</v>
      </c>
      <c r="K192">
        <v>14</v>
      </c>
      <c r="L192">
        <v>0</v>
      </c>
      <c r="M192">
        <v>0</v>
      </c>
      <c r="N192">
        <v>0</v>
      </c>
      <c r="O192">
        <v>0</v>
      </c>
      <c r="P192">
        <v>0</v>
      </c>
      <c r="Q192">
        <v>0</v>
      </c>
      <c r="R192">
        <v>0</v>
      </c>
      <c r="S192">
        <v>8</v>
      </c>
      <c r="T192">
        <v>0</v>
      </c>
      <c r="U192">
        <v>0</v>
      </c>
      <c r="V192">
        <v>8</v>
      </c>
      <c r="W192">
        <v>80</v>
      </c>
      <c r="X192">
        <v>0</v>
      </c>
      <c r="Y192">
        <v>3</v>
      </c>
      <c r="Z192">
        <v>0</v>
      </c>
      <c r="AA192">
        <v>0</v>
      </c>
      <c r="AB192">
        <v>10</v>
      </c>
      <c r="AC192">
        <v>0</v>
      </c>
      <c r="AD192">
        <v>0</v>
      </c>
      <c r="AE192">
        <v>0</v>
      </c>
      <c r="AF192">
        <v>10</v>
      </c>
      <c r="AG192">
        <v>80</v>
      </c>
      <c r="AH192">
        <v>80</v>
      </c>
      <c r="AI192">
        <v>0</v>
      </c>
      <c r="AJ192">
        <v>0</v>
      </c>
      <c r="AK192">
        <v>0</v>
      </c>
      <c r="AL192">
        <v>0</v>
      </c>
      <c r="AM192">
        <v>0</v>
      </c>
      <c r="AN192">
        <v>0</v>
      </c>
      <c r="AO192">
        <v>0</v>
      </c>
      <c r="AP192">
        <v>0</v>
      </c>
      <c r="AQ192">
        <v>0</v>
      </c>
      <c r="AR192">
        <v>0</v>
      </c>
      <c r="AS192">
        <v>0</v>
      </c>
      <c r="AT192">
        <v>14</v>
      </c>
      <c r="AU192">
        <v>0</v>
      </c>
      <c r="AV192">
        <v>14</v>
      </c>
      <c r="AW192">
        <v>0</v>
      </c>
      <c r="AX192">
        <v>8</v>
      </c>
      <c r="AY192">
        <v>0</v>
      </c>
      <c r="AZ192">
        <v>8</v>
      </c>
      <c r="BA192">
        <v>0</v>
      </c>
      <c r="BB192">
        <v>0</v>
      </c>
      <c r="BC192">
        <v>0</v>
      </c>
      <c r="BD192">
        <v>0</v>
      </c>
      <c r="BE192">
        <v>0</v>
      </c>
    </row>
    <row r="193" spans="1:58">
      <c r="A193" t="s">
        <v>16978</v>
      </c>
      <c r="B193" t="s">
        <v>17087</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row>
    <row r="194" spans="1:58">
      <c r="A194" t="s">
        <v>16978</v>
      </c>
      <c r="B194" t="s">
        <v>17088</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row>
    <row r="195" spans="1:58">
      <c r="A195" t="s">
        <v>16978</v>
      </c>
      <c r="B195" t="s">
        <v>17089</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row>
    <row r="196" spans="1:58">
      <c r="A196" t="s">
        <v>16978</v>
      </c>
      <c r="B196" t="s">
        <v>19984</v>
      </c>
      <c r="C196">
        <v>0</v>
      </c>
      <c r="D196">
        <v>3</v>
      </c>
      <c r="E196">
        <v>0</v>
      </c>
      <c r="F196">
        <v>3</v>
      </c>
      <c r="G196">
        <v>0</v>
      </c>
      <c r="H196">
        <v>0</v>
      </c>
      <c r="I196">
        <v>0</v>
      </c>
      <c r="J196">
        <v>3</v>
      </c>
      <c r="K196">
        <v>20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20</v>
      </c>
      <c r="AU196">
        <v>0</v>
      </c>
      <c r="AV196">
        <v>20</v>
      </c>
      <c r="AW196">
        <v>0</v>
      </c>
      <c r="AX196">
        <v>0</v>
      </c>
      <c r="AY196">
        <v>0</v>
      </c>
      <c r="AZ196">
        <v>0</v>
      </c>
      <c r="BA196">
        <v>0</v>
      </c>
      <c r="BB196">
        <v>0</v>
      </c>
      <c r="BC196">
        <v>0</v>
      </c>
      <c r="BD196">
        <v>0</v>
      </c>
      <c r="BE196">
        <v>0</v>
      </c>
    </row>
    <row r="197" spans="1:58">
      <c r="A197" t="s">
        <v>16978</v>
      </c>
      <c r="B197" t="s">
        <v>17091</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row>
    <row r="198" spans="1:58">
      <c r="A198" t="s">
        <v>16978</v>
      </c>
      <c r="B198" t="s">
        <v>17092</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row>
    <row r="199" spans="1:58">
      <c r="A199" t="s">
        <v>17097</v>
      </c>
      <c r="B199" t="s">
        <v>17098</v>
      </c>
      <c r="C199">
        <v>0</v>
      </c>
      <c r="D199">
        <v>26</v>
      </c>
      <c r="E199">
        <v>26</v>
      </c>
      <c r="F199">
        <v>21</v>
      </c>
      <c r="G199">
        <v>1</v>
      </c>
      <c r="H199">
        <v>4</v>
      </c>
      <c r="I199">
        <v>1</v>
      </c>
      <c r="J199">
        <v>15</v>
      </c>
      <c r="K199">
        <v>151</v>
      </c>
      <c r="L199">
        <v>1</v>
      </c>
      <c r="M199">
        <v>4</v>
      </c>
      <c r="N199">
        <v>6</v>
      </c>
      <c r="O199">
        <v>1</v>
      </c>
      <c r="P199">
        <v>2</v>
      </c>
      <c r="Q199">
        <v>3</v>
      </c>
      <c r="R199">
        <v>0</v>
      </c>
      <c r="S199">
        <v>4.25</v>
      </c>
      <c r="T199">
        <v>5.75</v>
      </c>
      <c r="U199">
        <v>0</v>
      </c>
      <c r="V199">
        <v>10</v>
      </c>
      <c r="W199">
        <v>157.5</v>
      </c>
      <c r="X199">
        <v>0</v>
      </c>
      <c r="Y199">
        <v>5</v>
      </c>
      <c r="Z199">
        <v>1</v>
      </c>
      <c r="AA199">
        <v>0</v>
      </c>
      <c r="AB199">
        <v>2.5</v>
      </c>
      <c r="AC199">
        <v>28.53</v>
      </c>
      <c r="AD199">
        <v>26.13</v>
      </c>
      <c r="AE199">
        <v>0</v>
      </c>
      <c r="AF199">
        <v>28.63</v>
      </c>
      <c r="AG199">
        <v>186.03</v>
      </c>
      <c r="AH199">
        <v>186.03</v>
      </c>
      <c r="AI199">
        <v>0</v>
      </c>
      <c r="AJ199">
        <v>26.13</v>
      </c>
      <c r="AK199">
        <v>86.13</v>
      </c>
      <c r="AL199">
        <v>86.13</v>
      </c>
      <c r="AM199">
        <v>0</v>
      </c>
      <c r="AN199">
        <v>0</v>
      </c>
      <c r="AO199">
        <v>0</v>
      </c>
      <c r="AP199">
        <v>0</v>
      </c>
      <c r="AQ199">
        <v>0</v>
      </c>
      <c r="AR199">
        <v>0</v>
      </c>
      <c r="AS199">
        <v>0</v>
      </c>
      <c r="AT199">
        <v>151</v>
      </c>
      <c r="AU199">
        <v>44</v>
      </c>
      <c r="AV199">
        <v>107</v>
      </c>
      <c r="AW199">
        <v>0</v>
      </c>
      <c r="AX199">
        <v>4.25</v>
      </c>
      <c r="AY199">
        <v>2</v>
      </c>
      <c r="AZ199">
        <v>2.25</v>
      </c>
      <c r="BA199">
        <v>0</v>
      </c>
      <c r="BB199">
        <v>5.75</v>
      </c>
      <c r="BC199">
        <v>2</v>
      </c>
      <c r="BD199">
        <v>3.75</v>
      </c>
      <c r="BE199">
        <v>0</v>
      </c>
    </row>
    <row r="200" spans="1:58">
      <c r="A200" t="s">
        <v>18833</v>
      </c>
      <c r="B200" t="s">
        <v>20677</v>
      </c>
      <c r="C200">
        <v>3</v>
      </c>
      <c r="D200">
        <v>11</v>
      </c>
      <c r="E200">
        <v>0</v>
      </c>
      <c r="F200">
        <v>7</v>
      </c>
      <c r="G200">
        <v>0</v>
      </c>
      <c r="H200">
        <v>3</v>
      </c>
      <c r="I200">
        <v>0</v>
      </c>
      <c r="J200">
        <v>9</v>
      </c>
      <c r="K200">
        <v>160</v>
      </c>
      <c r="L200">
        <v>0</v>
      </c>
      <c r="M200">
        <v>0</v>
      </c>
      <c r="N200">
        <v>0</v>
      </c>
      <c r="O200">
        <v>1</v>
      </c>
      <c r="P200">
        <v>1</v>
      </c>
      <c r="Q200">
        <v>0</v>
      </c>
      <c r="R200">
        <v>0</v>
      </c>
      <c r="S200">
        <v>0</v>
      </c>
      <c r="T200">
        <v>1.75</v>
      </c>
      <c r="U200">
        <v>0</v>
      </c>
      <c r="V200">
        <v>1.75</v>
      </c>
      <c r="W200">
        <v>30</v>
      </c>
      <c r="X200">
        <v>0</v>
      </c>
      <c r="Y200">
        <v>6</v>
      </c>
      <c r="Z200">
        <v>0</v>
      </c>
      <c r="AA200">
        <v>-5</v>
      </c>
      <c r="AB200">
        <v>0</v>
      </c>
      <c r="AC200">
        <v>0</v>
      </c>
      <c r="AD200">
        <v>0</v>
      </c>
      <c r="AE200">
        <v>0</v>
      </c>
      <c r="AF200">
        <v>0</v>
      </c>
      <c r="AG200">
        <v>30</v>
      </c>
      <c r="AH200">
        <v>30</v>
      </c>
      <c r="AI200">
        <v>0</v>
      </c>
      <c r="AJ200">
        <v>0</v>
      </c>
      <c r="AK200">
        <v>5</v>
      </c>
      <c r="AL200">
        <v>5</v>
      </c>
      <c r="AM200">
        <v>0</v>
      </c>
      <c r="AN200">
        <v>0</v>
      </c>
      <c r="AO200">
        <v>0</v>
      </c>
      <c r="AP200">
        <v>0</v>
      </c>
      <c r="AQ200">
        <v>0</v>
      </c>
      <c r="AR200">
        <v>0</v>
      </c>
      <c r="AS200">
        <v>0</v>
      </c>
      <c r="AT200">
        <v>160</v>
      </c>
      <c r="AU200">
        <v>122</v>
      </c>
      <c r="AV200">
        <v>33</v>
      </c>
      <c r="AW200">
        <v>5</v>
      </c>
      <c r="AX200">
        <v>0</v>
      </c>
      <c r="AY200">
        <v>0</v>
      </c>
      <c r="AZ200">
        <v>0</v>
      </c>
      <c r="BA200">
        <v>0</v>
      </c>
      <c r="BB200">
        <v>1.75</v>
      </c>
      <c r="BC200">
        <v>0.25</v>
      </c>
      <c r="BD200">
        <v>1.25</v>
      </c>
      <c r="BE200">
        <v>0.25</v>
      </c>
    </row>
    <row r="201" spans="1:58">
      <c r="A201" t="s">
        <v>17099</v>
      </c>
      <c r="B201" t="s">
        <v>18832</v>
      </c>
      <c r="C201">
        <v>15</v>
      </c>
      <c r="D201">
        <v>17</v>
      </c>
      <c r="E201">
        <v>5</v>
      </c>
      <c r="F201">
        <v>0</v>
      </c>
      <c r="G201">
        <v>0</v>
      </c>
      <c r="H201">
        <v>1</v>
      </c>
      <c r="I201">
        <v>1</v>
      </c>
      <c r="J201">
        <v>5</v>
      </c>
      <c r="K201">
        <v>38</v>
      </c>
      <c r="L201">
        <v>0</v>
      </c>
      <c r="M201">
        <v>3</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38</v>
      </c>
      <c r="AU201">
        <v>13</v>
      </c>
      <c r="AV201">
        <v>8</v>
      </c>
      <c r="AW201">
        <v>17</v>
      </c>
      <c r="AX201">
        <v>0</v>
      </c>
      <c r="AY201">
        <v>0</v>
      </c>
      <c r="AZ201">
        <v>0</v>
      </c>
      <c r="BA201">
        <v>0</v>
      </c>
      <c r="BB201">
        <v>0</v>
      </c>
      <c r="BC201">
        <v>0</v>
      </c>
      <c r="BD201">
        <v>0</v>
      </c>
      <c r="BE201">
        <v>0</v>
      </c>
    </row>
    <row r="202" spans="1:58">
      <c r="A202" t="s">
        <v>16974</v>
      </c>
      <c r="B202" t="s">
        <v>20676</v>
      </c>
      <c r="C202">
        <v>0</v>
      </c>
      <c r="D202">
        <v>1</v>
      </c>
      <c r="E202">
        <v>1</v>
      </c>
      <c r="F202">
        <v>1</v>
      </c>
      <c r="G202">
        <v>0</v>
      </c>
      <c r="H202">
        <v>0</v>
      </c>
      <c r="I202">
        <v>0</v>
      </c>
      <c r="J202">
        <v>1</v>
      </c>
      <c r="K202">
        <v>7</v>
      </c>
      <c r="L202">
        <v>1</v>
      </c>
      <c r="M202">
        <v>0</v>
      </c>
      <c r="N202">
        <v>0</v>
      </c>
      <c r="O202">
        <v>0</v>
      </c>
      <c r="P202">
        <v>0</v>
      </c>
      <c r="Q202">
        <v>0</v>
      </c>
      <c r="R202">
        <v>0</v>
      </c>
      <c r="S202">
        <v>1</v>
      </c>
      <c r="T202">
        <v>1</v>
      </c>
      <c r="U202">
        <v>0</v>
      </c>
      <c r="V202">
        <v>2</v>
      </c>
      <c r="W202">
        <v>30</v>
      </c>
      <c r="X202">
        <v>0</v>
      </c>
      <c r="Y202">
        <v>1</v>
      </c>
      <c r="Z202">
        <v>0</v>
      </c>
      <c r="AA202">
        <v>0</v>
      </c>
      <c r="AB202">
        <v>0</v>
      </c>
      <c r="AC202">
        <v>0</v>
      </c>
      <c r="AD202">
        <v>0</v>
      </c>
      <c r="AE202">
        <v>0</v>
      </c>
      <c r="AF202">
        <v>0</v>
      </c>
      <c r="AG202">
        <v>30</v>
      </c>
      <c r="AH202">
        <v>30</v>
      </c>
      <c r="AI202">
        <v>0</v>
      </c>
      <c r="AJ202">
        <v>0</v>
      </c>
      <c r="AK202">
        <v>0</v>
      </c>
      <c r="AL202">
        <v>0</v>
      </c>
      <c r="AM202">
        <v>0</v>
      </c>
      <c r="AN202">
        <v>0</v>
      </c>
      <c r="AO202">
        <v>0</v>
      </c>
      <c r="AP202">
        <v>0</v>
      </c>
      <c r="AQ202">
        <v>0</v>
      </c>
      <c r="AR202">
        <v>0</v>
      </c>
      <c r="AS202">
        <v>0</v>
      </c>
      <c r="AT202">
        <v>7</v>
      </c>
      <c r="AU202">
        <v>0</v>
      </c>
      <c r="AV202">
        <v>7</v>
      </c>
      <c r="AW202">
        <v>0</v>
      </c>
      <c r="AX202">
        <v>1</v>
      </c>
      <c r="AY202">
        <v>0</v>
      </c>
      <c r="AZ202">
        <v>1</v>
      </c>
      <c r="BA202">
        <v>0</v>
      </c>
      <c r="BB202">
        <v>1</v>
      </c>
      <c r="BC202">
        <v>0</v>
      </c>
      <c r="BD202">
        <v>1</v>
      </c>
      <c r="BE202">
        <v>0</v>
      </c>
    </row>
    <row r="203" spans="1:58">
      <c r="A203" t="s">
        <v>16974</v>
      </c>
      <c r="B203" t="s">
        <v>17129</v>
      </c>
      <c r="C203">
        <v>0</v>
      </c>
      <c r="D203">
        <v>2</v>
      </c>
      <c r="E203">
        <v>2</v>
      </c>
      <c r="F203">
        <v>2</v>
      </c>
      <c r="G203">
        <v>0</v>
      </c>
      <c r="H203">
        <v>0</v>
      </c>
      <c r="I203">
        <v>0</v>
      </c>
      <c r="J203">
        <v>2</v>
      </c>
      <c r="K203">
        <v>86</v>
      </c>
      <c r="L203">
        <v>2</v>
      </c>
      <c r="M203">
        <v>0</v>
      </c>
      <c r="N203">
        <v>0</v>
      </c>
      <c r="O203">
        <v>0</v>
      </c>
      <c r="P203">
        <v>0</v>
      </c>
      <c r="Q203">
        <v>0</v>
      </c>
      <c r="R203">
        <v>0</v>
      </c>
      <c r="S203">
        <v>2</v>
      </c>
      <c r="T203">
        <v>64</v>
      </c>
      <c r="U203">
        <v>0</v>
      </c>
      <c r="V203">
        <v>66</v>
      </c>
      <c r="W203">
        <v>1300</v>
      </c>
      <c r="X203">
        <v>0</v>
      </c>
      <c r="Y203">
        <v>2</v>
      </c>
      <c r="Z203">
        <v>0</v>
      </c>
      <c r="AA203">
        <v>0</v>
      </c>
      <c r="AB203">
        <v>1240</v>
      </c>
      <c r="AC203">
        <v>11</v>
      </c>
      <c r="AD203">
        <v>11</v>
      </c>
      <c r="AE203">
        <v>0</v>
      </c>
      <c r="AF203">
        <v>1251</v>
      </c>
      <c r="AG203">
        <v>1311</v>
      </c>
      <c r="AH203">
        <v>1311</v>
      </c>
      <c r="AI203">
        <v>0</v>
      </c>
      <c r="AJ203">
        <v>0</v>
      </c>
      <c r="AK203">
        <v>0</v>
      </c>
      <c r="AL203">
        <v>0</v>
      </c>
      <c r="AM203">
        <v>0</v>
      </c>
      <c r="AN203">
        <v>0</v>
      </c>
      <c r="AO203">
        <v>0</v>
      </c>
      <c r="AP203">
        <v>0</v>
      </c>
      <c r="AQ203">
        <v>0</v>
      </c>
      <c r="AR203">
        <v>0</v>
      </c>
      <c r="AS203">
        <v>0</v>
      </c>
      <c r="AT203">
        <v>86</v>
      </c>
      <c r="AU203">
        <v>0</v>
      </c>
      <c r="AV203">
        <v>86</v>
      </c>
      <c r="AW203">
        <v>0</v>
      </c>
      <c r="AX203">
        <v>2</v>
      </c>
      <c r="AY203">
        <v>0</v>
      </c>
      <c r="AZ203">
        <v>2</v>
      </c>
      <c r="BA203">
        <v>0</v>
      </c>
      <c r="BB203">
        <v>64</v>
      </c>
      <c r="BC203">
        <v>0</v>
      </c>
      <c r="BD203">
        <v>64</v>
      </c>
      <c r="BE203">
        <v>0</v>
      </c>
    </row>
    <row r="204" spans="1:58">
      <c r="A204" t="s">
        <v>16974</v>
      </c>
      <c r="B204" t="s">
        <v>17102</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row>
    <row r="205" spans="1:58">
      <c r="A205" t="s">
        <v>16974</v>
      </c>
      <c r="B205" t="s">
        <v>17103</v>
      </c>
      <c r="C205">
        <v>0</v>
      </c>
      <c r="D205">
        <v>3</v>
      </c>
      <c r="E205">
        <v>3</v>
      </c>
      <c r="F205">
        <v>2</v>
      </c>
      <c r="G205">
        <v>1</v>
      </c>
      <c r="H205">
        <v>1</v>
      </c>
      <c r="I205">
        <v>0</v>
      </c>
      <c r="J205">
        <v>2</v>
      </c>
      <c r="K205">
        <v>23</v>
      </c>
      <c r="L205">
        <v>1</v>
      </c>
      <c r="M205">
        <v>0</v>
      </c>
      <c r="N205">
        <v>2</v>
      </c>
      <c r="O205">
        <v>0</v>
      </c>
      <c r="P205">
        <v>0</v>
      </c>
      <c r="Q205">
        <v>0</v>
      </c>
      <c r="R205">
        <v>0</v>
      </c>
      <c r="S205">
        <v>11</v>
      </c>
      <c r="T205">
        <v>10</v>
      </c>
      <c r="U205">
        <v>0</v>
      </c>
      <c r="V205">
        <v>21</v>
      </c>
      <c r="W205">
        <v>310</v>
      </c>
      <c r="X205">
        <v>0</v>
      </c>
      <c r="Y205">
        <v>0</v>
      </c>
      <c r="Z205">
        <v>3</v>
      </c>
      <c r="AA205">
        <v>0</v>
      </c>
      <c r="AB205">
        <v>180</v>
      </c>
      <c r="AC205">
        <v>0</v>
      </c>
      <c r="AD205">
        <v>0</v>
      </c>
      <c r="AE205">
        <v>0</v>
      </c>
      <c r="AF205">
        <v>180</v>
      </c>
      <c r="AG205">
        <v>310</v>
      </c>
      <c r="AH205">
        <v>310</v>
      </c>
      <c r="AI205">
        <v>0</v>
      </c>
      <c r="AJ205">
        <v>120</v>
      </c>
      <c r="AK205">
        <v>180</v>
      </c>
      <c r="AL205">
        <v>180</v>
      </c>
      <c r="AM205">
        <v>0</v>
      </c>
      <c r="AN205">
        <v>0</v>
      </c>
      <c r="AO205">
        <v>0</v>
      </c>
      <c r="AP205">
        <v>0</v>
      </c>
      <c r="AQ205">
        <v>0</v>
      </c>
      <c r="AR205">
        <v>0</v>
      </c>
      <c r="AS205">
        <v>0</v>
      </c>
      <c r="AT205">
        <v>23</v>
      </c>
      <c r="AU205">
        <v>11</v>
      </c>
      <c r="AV205">
        <v>12</v>
      </c>
      <c r="AW205">
        <v>0</v>
      </c>
      <c r="AX205">
        <v>11</v>
      </c>
      <c r="AY205">
        <v>6</v>
      </c>
      <c r="AZ205">
        <v>5</v>
      </c>
      <c r="BA205">
        <v>0</v>
      </c>
      <c r="BB205">
        <v>10</v>
      </c>
      <c r="BC205">
        <v>6</v>
      </c>
      <c r="BD205">
        <v>4</v>
      </c>
      <c r="BE205">
        <v>0</v>
      </c>
    </row>
    <row r="206" spans="1:58">
      <c r="A206" t="s">
        <v>16974</v>
      </c>
      <c r="B206" t="s">
        <v>20675</v>
      </c>
      <c r="C206">
        <v>1</v>
      </c>
      <c r="D206">
        <v>65</v>
      </c>
      <c r="E206">
        <v>24</v>
      </c>
      <c r="F206">
        <v>34</v>
      </c>
      <c r="G206">
        <v>11</v>
      </c>
      <c r="H206">
        <v>17</v>
      </c>
      <c r="I206">
        <v>11</v>
      </c>
      <c r="J206">
        <v>61</v>
      </c>
      <c r="K206">
        <v>376</v>
      </c>
      <c r="L206">
        <v>55</v>
      </c>
      <c r="M206">
        <v>3</v>
      </c>
      <c r="N206">
        <v>1</v>
      </c>
      <c r="O206">
        <v>4</v>
      </c>
      <c r="P206">
        <v>1</v>
      </c>
      <c r="Q206">
        <v>3</v>
      </c>
      <c r="R206">
        <v>0</v>
      </c>
      <c r="S206">
        <v>67.5</v>
      </c>
      <c r="T206">
        <v>54</v>
      </c>
      <c r="U206">
        <v>1.5</v>
      </c>
      <c r="V206">
        <v>123</v>
      </c>
      <c r="W206">
        <v>1725</v>
      </c>
      <c r="X206">
        <v>0</v>
      </c>
      <c r="Y206">
        <v>56</v>
      </c>
      <c r="Z206">
        <v>0</v>
      </c>
      <c r="AA206">
        <v>-30</v>
      </c>
      <c r="AB206">
        <v>725</v>
      </c>
      <c r="AC206">
        <v>1.4</v>
      </c>
      <c r="AD206">
        <v>0</v>
      </c>
      <c r="AE206">
        <v>6</v>
      </c>
      <c r="AF206">
        <v>725</v>
      </c>
      <c r="AG206">
        <v>1756.4</v>
      </c>
      <c r="AH206">
        <v>1750.4</v>
      </c>
      <c r="AI206">
        <v>0</v>
      </c>
      <c r="AJ206">
        <v>515</v>
      </c>
      <c r="AK206">
        <v>845</v>
      </c>
      <c r="AL206">
        <v>845</v>
      </c>
      <c r="AM206">
        <v>0</v>
      </c>
      <c r="AN206">
        <v>1</v>
      </c>
      <c r="AO206">
        <v>0</v>
      </c>
      <c r="AP206">
        <v>0</v>
      </c>
      <c r="AQ206">
        <v>0</v>
      </c>
      <c r="AR206">
        <v>0</v>
      </c>
      <c r="AS206">
        <v>0</v>
      </c>
      <c r="AT206">
        <v>376</v>
      </c>
      <c r="AU206">
        <v>144</v>
      </c>
      <c r="AV206">
        <v>217</v>
      </c>
      <c r="AW206">
        <v>15</v>
      </c>
      <c r="AX206">
        <v>67.5</v>
      </c>
      <c r="AY206">
        <v>28.5</v>
      </c>
      <c r="AZ206">
        <v>37</v>
      </c>
      <c r="BA206">
        <v>2</v>
      </c>
      <c r="BB206">
        <v>54</v>
      </c>
      <c r="BC206">
        <v>28</v>
      </c>
      <c r="BD206">
        <v>25.5</v>
      </c>
      <c r="BE206">
        <v>0.5</v>
      </c>
      <c r="BF206">
        <v>15</v>
      </c>
    </row>
    <row r="207" spans="1:58">
      <c r="A207" t="s">
        <v>16974</v>
      </c>
      <c r="B207" t="s">
        <v>17313</v>
      </c>
      <c r="C207">
        <v>0</v>
      </c>
      <c r="D207">
        <v>2</v>
      </c>
      <c r="E207">
        <v>2</v>
      </c>
      <c r="F207">
        <v>0</v>
      </c>
      <c r="G207">
        <v>0</v>
      </c>
      <c r="H207">
        <v>0</v>
      </c>
      <c r="I207">
        <v>0</v>
      </c>
      <c r="J207">
        <v>2</v>
      </c>
      <c r="K207">
        <v>21</v>
      </c>
      <c r="L207">
        <v>1</v>
      </c>
      <c r="M207">
        <v>0</v>
      </c>
      <c r="N207">
        <v>1</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21</v>
      </c>
      <c r="AU207">
        <v>0</v>
      </c>
      <c r="AV207">
        <v>21</v>
      </c>
      <c r="AW207">
        <v>0</v>
      </c>
      <c r="AX207">
        <v>0</v>
      </c>
      <c r="AY207">
        <v>0</v>
      </c>
      <c r="AZ207">
        <v>0</v>
      </c>
      <c r="BA207">
        <v>0</v>
      </c>
      <c r="BB207">
        <v>0</v>
      </c>
      <c r="BC207">
        <v>0</v>
      </c>
      <c r="BD207">
        <v>0</v>
      </c>
      <c r="BE207">
        <v>0</v>
      </c>
    </row>
    <row r="208" spans="1:58">
      <c r="A208" t="s">
        <v>16974</v>
      </c>
      <c r="B208" t="s">
        <v>17108</v>
      </c>
      <c r="C208">
        <v>1</v>
      </c>
      <c r="D208">
        <v>5</v>
      </c>
      <c r="E208">
        <v>0</v>
      </c>
      <c r="F208">
        <v>5</v>
      </c>
      <c r="G208">
        <v>0</v>
      </c>
      <c r="H208">
        <v>0</v>
      </c>
      <c r="I208">
        <v>0</v>
      </c>
      <c r="J208">
        <v>5</v>
      </c>
      <c r="K208">
        <v>16</v>
      </c>
      <c r="L208">
        <v>5</v>
      </c>
      <c r="M208">
        <v>0</v>
      </c>
      <c r="N208">
        <v>0</v>
      </c>
      <c r="O208">
        <v>0</v>
      </c>
      <c r="P208">
        <v>0</v>
      </c>
      <c r="Q208">
        <v>0</v>
      </c>
      <c r="R208">
        <v>0</v>
      </c>
      <c r="S208">
        <v>4</v>
      </c>
      <c r="T208">
        <v>0</v>
      </c>
      <c r="U208">
        <v>0</v>
      </c>
      <c r="V208">
        <v>4</v>
      </c>
      <c r="W208">
        <v>30</v>
      </c>
      <c r="X208">
        <v>0</v>
      </c>
      <c r="Y208">
        <v>4</v>
      </c>
      <c r="Z208">
        <v>0</v>
      </c>
      <c r="AA208">
        <v>-10</v>
      </c>
      <c r="AB208">
        <v>0</v>
      </c>
      <c r="AC208">
        <v>0</v>
      </c>
      <c r="AD208">
        <v>0</v>
      </c>
      <c r="AE208">
        <v>0</v>
      </c>
      <c r="AF208">
        <v>0</v>
      </c>
      <c r="AG208">
        <v>30</v>
      </c>
      <c r="AH208">
        <v>30</v>
      </c>
      <c r="AI208">
        <v>0</v>
      </c>
      <c r="AJ208">
        <v>0</v>
      </c>
      <c r="AK208">
        <v>0</v>
      </c>
      <c r="AL208">
        <v>0</v>
      </c>
      <c r="AM208">
        <v>0</v>
      </c>
      <c r="AN208">
        <v>0</v>
      </c>
      <c r="AO208">
        <v>0</v>
      </c>
      <c r="AP208">
        <v>0</v>
      </c>
      <c r="AQ208">
        <v>0</v>
      </c>
      <c r="AR208">
        <v>0</v>
      </c>
      <c r="AS208">
        <v>0</v>
      </c>
      <c r="AT208">
        <v>16</v>
      </c>
      <c r="AU208">
        <v>0</v>
      </c>
      <c r="AV208">
        <v>11</v>
      </c>
      <c r="AW208">
        <v>5</v>
      </c>
      <c r="AX208">
        <v>4</v>
      </c>
      <c r="AY208">
        <v>0</v>
      </c>
      <c r="AZ208">
        <v>3</v>
      </c>
      <c r="BA208">
        <v>1</v>
      </c>
      <c r="BB208">
        <v>0</v>
      </c>
      <c r="BC208">
        <v>0</v>
      </c>
      <c r="BD208">
        <v>0</v>
      </c>
      <c r="BE208">
        <v>0</v>
      </c>
    </row>
    <row r="209" spans="1:57">
      <c r="A209" t="s">
        <v>16974</v>
      </c>
      <c r="B209" t="s">
        <v>17109</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row>
    <row r="210" spans="1:57">
      <c r="A210" t="s">
        <v>16974</v>
      </c>
      <c r="B210" t="s">
        <v>17312</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row>
    <row r="211" spans="1:57">
      <c r="A211" t="s">
        <v>16974</v>
      </c>
      <c r="B211" t="s">
        <v>17110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row>
    <row r="212" spans="1:57">
      <c r="A212" t="s">
        <v>16974</v>
      </c>
      <c r="B212" t="s">
        <v>17111</v>
      </c>
      <c r="C212">
        <v>0</v>
      </c>
      <c r="D212">
        <v>12</v>
      </c>
      <c r="E212">
        <v>0</v>
      </c>
      <c r="F212">
        <v>12</v>
      </c>
      <c r="G212">
        <v>0</v>
      </c>
      <c r="H212">
        <v>0</v>
      </c>
      <c r="I212">
        <v>0</v>
      </c>
      <c r="J212">
        <v>12</v>
      </c>
      <c r="K212">
        <v>31</v>
      </c>
      <c r="L212">
        <v>9</v>
      </c>
      <c r="M212">
        <v>0</v>
      </c>
      <c r="N212">
        <v>2</v>
      </c>
      <c r="O212">
        <v>1</v>
      </c>
      <c r="P212">
        <v>0</v>
      </c>
      <c r="Q212">
        <v>0</v>
      </c>
      <c r="R212">
        <v>0</v>
      </c>
      <c r="S212">
        <v>3.25</v>
      </c>
      <c r="T212">
        <v>0</v>
      </c>
      <c r="U212">
        <v>0</v>
      </c>
      <c r="V212">
        <v>3.25</v>
      </c>
      <c r="W212">
        <v>32.5</v>
      </c>
      <c r="X212">
        <v>0</v>
      </c>
      <c r="Y212">
        <v>12</v>
      </c>
      <c r="Z212">
        <v>0</v>
      </c>
      <c r="AA212">
        <v>0</v>
      </c>
      <c r="AB212">
        <v>0</v>
      </c>
      <c r="AC212">
        <v>17</v>
      </c>
      <c r="AD212">
        <v>2</v>
      </c>
      <c r="AE212">
        <v>2</v>
      </c>
      <c r="AF212">
        <v>2</v>
      </c>
      <c r="AG212">
        <v>49.5</v>
      </c>
      <c r="AH212">
        <v>47.5</v>
      </c>
      <c r="AI212">
        <v>0</v>
      </c>
      <c r="AJ212">
        <v>0</v>
      </c>
      <c r="AK212">
        <v>0</v>
      </c>
      <c r="AL212">
        <v>0</v>
      </c>
      <c r="AM212">
        <v>2</v>
      </c>
      <c r="AN212">
        <v>0</v>
      </c>
      <c r="AO212">
        <v>0</v>
      </c>
      <c r="AP212">
        <v>0</v>
      </c>
      <c r="AQ212">
        <v>0</v>
      </c>
      <c r="AR212">
        <v>0</v>
      </c>
      <c r="AS212">
        <v>0</v>
      </c>
      <c r="AT212">
        <v>31</v>
      </c>
      <c r="AU212">
        <v>0</v>
      </c>
      <c r="AV212">
        <v>31</v>
      </c>
      <c r="AW212">
        <v>0</v>
      </c>
      <c r="AX212">
        <v>3.25</v>
      </c>
      <c r="AY212">
        <v>0</v>
      </c>
      <c r="AZ212">
        <v>3.25</v>
      </c>
      <c r="BA212">
        <v>0</v>
      </c>
      <c r="BB212">
        <v>0</v>
      </c>
      <c r="BC212">
        <v>0</v>
      </c>
      <c r="BD212">
        <v>0</v>
      </c>
      <c r="BE212">
        <v>0</v>
      </c>
    </row>
    <row r="213" spans="1:57">
      <c r="A213" t="s">
        <v>16974</v>
      </c>
      <c r="B213" t="s">
        <v>17386</v>
      </c>
      <c r="C213">
        <v>2</v>
      </c>
      <c r="D213">
        <v>3</v>
      </c>
      <c r="E213">
        <v>3</v>
      </c>
      <c r="F213">
        <v>3</v>
      </c>
      <c r="G213">
        <v>0</v>
      </c>
      <c r="H213">
        <v>0</v>
      </c>
      <c r="I213">
        <v>0</v>
      </c>
      <c r="J213">
        <v>3</v>
      </c>
      <c r="K213">
        <v>24</v>
      </c>
      <c r="L213">
        <v>1</v>
      </c>
      <c r="M213">
        <v>0</v>
      </c>
      <c r="N213">
        <v>1</v>
      </c>
      <c r="O213">
        <v>1</v>
      </c>
      <c r="P213">
        <v>0</v>
      </c>
      <c r="Q213">
        <v>1</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24</v>
      </c>
      <c r="AU213">
        <v>0</v>
      </c>
      <c r="AV213">
        <v>11</v>
      </c>
      <c r="AW213">
        <v>13</v>
      </c>
      <c r="AX213">
        <v>0</v>
      </c>
      <c r="AY213">
        <v>0</v>
      </c>
      <c r="AZ213">
        <v>0</v>
      </c>
      <c r="BA213">
        <v>0</v>
      </c>
      <c r="BB213">
        <v>0</v>
      </c>
      <c r="BC213">
        <v>0</v>
      </c>
      <c r="BD213">
        <v>0</v>
      </c>
      <c r="BE213">
        <v>0</v>
      </c>
    </row>
    <row r="214" spans="1:57">
      <c r="A214" t="s">
        <v>16974</v>
      </c>
      <c r="B214" t="s">
        <v>17309</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row>
    <row r="215" spans="1:57">
      <c r="A215" t="s">
        <v>16974</v>
      </c>
      <c r="B215" t="s">
        <v>17117</v>
      </c>
      <c r="C215">
        <v>0</v>
      </c>
      <c r="D215">
        <v>8</v>
      </c>
      <c r="E215">
        <v>8</v>
      </c>
      <c r="F215">
        <v>6</v>
      </c>
      <c r="G215">
        <v>1</v>
      </c>
      <c r="H215">
        <v>0</v>
      </c>
      <c r="I215">
        <v>0</v>
      </c>
      <c r="J215">
        <v>8</v>
      </c>
      <c r="K215">
        <v>62</v>
      </c>
      <c r="L215">
        <v>1</v>
      </c>
      <c r="M215">
        <v>5</v>
      </c>
      <c r="N215">
        <v>0</v>
      </c>
      <c r="O215">
        <v>1</v>
      </c>
      <c r="P215">
        <v>0</v>
      </c>
      <c r="Q215">
        <v>1</v>
      </c>
      <c r="R215">
        <v>0</v>
      </c>
      <c r="S215">
        <v>8.5</v>
      </c>
      <c r="T215">
        <v>4.5</v>
      </c>
      <c r="U215">
        <v>0</v>
      </c>
      <c r="V215">
        <v>13</v>
      </c>
      <c r="W215">
        <v>175</v>
      </c>
      <c r="X215">
        <v>0</v>
      </c>
      <c r="Y215">
        <v>2</v>
      </c>
      <c r="Z215">
        <v>0</v>
      </c>
      <c r="AA215">
        <v>0</v>
      </c>
      <c r="AB215">
        <v>130</v>
      </c>
      <c r="AC215">
        <v>0</v>
      </c>
      <c r="AD215">
        <v>0</v>
      </c>
      <c r="AE215">
        <v>0</v>
      </c>
      <c r="AF215">
        <v>130</v>
      </c>
      <c r="AG215">
        <v>175</v>
      </c>
      <c r="AH215">
        <v>175</v>
      </c>
      <c r="AI215">
        <v>0</v>
      </c>
      <c r="AJ215">
        <v>0</v>
      </c>
      <c r="AK215">
        <v>0</v>
      </c>
      <c r="AL215">
        <v>0</v>
      </c>
      <c r="AM215">
        <v>0</v>
      </c>
      <c r="AN215">
        <v>0</v>
      </c>
      <c r="AO215">
        <v>0</v>
      </c>
      <c r="AP215">
        <v>0</v>
      </c>
      <c r="AQ215">
        <v>0</v>
      </c>
      <c r="AR215">
        <v>0</v>
      </c>
      <c r="AS215">
        <v>0</v>
      </c>
      <c r="AT215">
        <v>62</v>
      </c>
      <c r="AU215">
        <v>0</v>
      </c>
      <c r="AV215">
        <v>62</v>
      </c>
      <c r="AW215">
        <v>0</v>
      </c>
      <c r="AX215">
        <v>8.5</v>
      </c>
      <c r="AY215">
        <v>0</v>
      </c>
      <c r="AZ215">
        <v>8.5</v>
      </c>
      <c r="BA215">
        <v>0</v>
      </c>
      <c r="BB215">
        <v>4.5</v>
      </c>
      <c r="BC215">
        <v>0</v>
      </c>
      <c r="BD215">
        <v>4.5</v>
      </c>
      <c r="BE215">
        <v>0</v>
      </c>
    </row>
    <row r="216" spans="1:57">
      <c r="A216" t="s">
        <v>16974</v>
      </c>
      <c r="B216" t="s">
        <v>17119</v>
      </c>
      <c r="C216">
        <v>0</v>
      </c>
      <c r="D216">
        <v>2</v>
      </c>
      <c r="E216">
        <v>0</v>
      </c>
      <c r="F216">
        <v>2</v>
      </c>
      <c r="G216">
        <v>0</v>
      </c>
      <c r="H216">
        <v>0</v>
      </c>
      <c r="I216">
        <v>0</v>
      </c>
      <c r="J216">
        <v>2</v>
      </c>
      <c r="K216">
        <v>6</v>
      </c>
      <c r="L216">
        <v>2</v>
      </c>
      <c r="M216">
        <v>0</v>
      </c>
      <c r="N216">
        <v>0</v>
      </c>
      <c r="O216">
        <v>0</v>
      </c>
      <c r="P216">
        <v>0</v>
      </c>
      <c r="Q216">
        <v>0</v>
      </c>
      <c r="R216">
        <v>0</v>
      </c>
      <c r="S216">
        <v>2</v>
      </c>
      <c r="T216">
        <v>0</v>
      </c>
      <c r="U216">
        <v>0</v>
      </c>
      <c r="V216">
        <v>2</v>
      </c>
      <c r="W216">
        <v>20</v>
      </c>
      <c r="X216">
        <v>0</v>
      </c>
      <c r="Y216">
        <v>2</v>
      </c>
      <c r="Z216">
        <v>0</v>
      </c>
      <c r="AA216">
        <v>0</v>
      </c>
      <c r="AB216">
        <v>0</v>
      </c>
      <c r="AC216">
        <v>0</v>
      </c>
      <c r="AD216">
        <v>0</v>
      </c>
      <c r="AE216">
        <v>0</v>
      </c>
      <c r="AF216">
        <v>0</v>
      </c>
      <c r="AG216">
        <v>20</v>
      </c>
      <c r="AH216">
        <v>20</v>
      </c>
      <c r="AI216">
        <v>0</v>
      </c>
      <c r="AJ216">
        <v>0</v>
      </c>
      <c r="AK216">
        <v>0</v>
      </c>
      <c r="AL216">
        <v>0</v>
      </c>
      <c r="AM216">
        <v>0</v>
      </c>
      <c r="AN216">
        <v>0</v>
      </c>
      <c r="AO216">
        <v>0</v>
      </c>
      <c r="AP216">
        <v>0</v>
      </c>
      <c r="AQ216">
        <v>0</v>
      </c>
      <c r="AR216">
        <v>0</v>
      </c>
      <c r="AS216">
        <v>0</v>
      </c>
      <c r="AT216">
        <v>6</v>
      </c>
      <c r="AU216">
        <v>0</v>
      </c>
      <c r="AV216">
        <v>6</v>
      </c>
      <c r="AW216">
        <v>0</v>
      </c>
      <c r="AX216">
        <v>2</v>
      </c>
      <c r="AY216">
        <v>0</v>
      </c>
      <c r="AZ216">
        <v>2</v>
      </c>
      <c r="BA216">
        <v>0</v>
      </c>
      <c r="BB216">
        <v>0</v>
      </c>
      <c r="BC216">
        <v>0</v>
      </c>
      <c r="BD216">
        <v>0</v>
      </c>
      <c r="BE216">
        <v>0</v>
      </c>
    </row>
    <row r="217" spans="1:57">
      <c r="A217" t="s">
        <v>16974</v>
      </c>
      <c r="B217" t="s">
        <v>17096</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row>
    <row r="218" spans="1:57">
      <c r="A218" t="s">
        <v>16974</v>
      </c>
      <c r="B218" t="s">
        <v>17120</v>
      </c>
      <c r="C218">
        <v>0</v>
      </c>
      <c r="D218">
        <v>1</v>
      </c>
      <c r="E218">
        <v>1</v>
      </c>
      <c r="F218">
        <v>0</v>
      </c>
      <c r="G218">
        <v>0</v>
      </c>
      <c r="H218">
        <v>0</v>
      </c>
      <c r="I218">
        <v>0</v>
      </c>
      <c r="J218">
        <v>1</v>
      </c>
      <c r="K218">
        <v>9</v>
      </c>
      <c r="L218">
        <v>1</v>
      </c>
      <c r="M218">
        <v>0</v>
      </c>
      <c r="N218">
        <v>0</v>
      </c>
      <c r="O218">
        <v>0</v>
      </c>
      <c r="P218">
        <v>0</v>
      </c>
      <c r="Q218">
        <v>0</v>
      </c>
      <c r="R218">
        <v>0</v>
      </c>
      <c r="S218">
        <v>5</v>
      </c>
      <c r="T218">
        <v>0</v>
      </c>
      <c r="U218">
        <v>0</v>
      </c>
      <c r="V218">
        <v>5</v>
      </c>
      <c r="W218">
        <v>50</v>
      </c>
      <c r="X218">
        <v>0</v>
      </c>
      <c r="Y218">
        <v>0</v>
      </c>
      <c r="Z218">
        <v>1</v>
      </c>
      <c r="AA218">
        <v>0</v>
      </c>
      <c r="AB218">
        <v>0</v>
      </c>
      <c r="AC218">
        <v>0</v>
      </c>
      <c r="AD218">
        <v>0</v>
      </c>
      <c r="AE218">
        <v>0</v>
      </c>
      <c r="AF218">
        <v>0</v>
      </c>
      <c r="AG218">
        <v>50</v>
      </c>
      <c r="AH218">
        <v>50</v>
      </c>
      <c r="AI218">
        <v>0</v>
      </c>
      <c r="AJ218">
        <v>0</v>
      </c>
      <c r="AK218">
        <v>0</v>
      </c>
      <c r="AL218">
        <v>0</v>
      </c>
      <c r="AM218">
        <v>0</v>
      </c>
      <c r="AN218">
        <v>0</v>
      </c>
      <c r="AO218">
        <v>0</v>
      </c>
      <c r="AP218">
        <v>0</v>
      </c>
      <c r="AQ218">
        <v>0</v>
      </c>
      <c r="AR218">
        <v>0</v>
      </c>
      <c r="AS218">
        <v>0</v>
      </c>
      <c r="AT218">
        <v>9</v>
      </c>
      <c r="AU218">
        <v>0</v>
      </c>
      <c r="AV218">
        <v>9</v>
      </c>
      <c r="AW218">
        <v>0</v>
      </c>
      <c r="AX218">
        <v>5</v>
      </c>
      <c r="AY218">
        <v>0</v>
      </c>
      <c r="AZ218">
        <v>5</v>
      </c>
      <c r="BA218">
        <v>0</v>
      </c>
      <c r="BB218">
        <v>0</v>
      </c>
      <c r="BC218">
        <v>0</v>
      </c>
      <c r="BD218">
        <v>0</v>
      </c>
      <c r="BE218">
        <v>0</v>
      </c>
    </row>
    <row r="219" spans="1:57">
      <c r="A219" t="s">
        <v>16974</v>
      </c>
      <c r="B219" t="s">
        <v>17336</v>
      </c>
      <c r="C219">
        <v>0</v>
      </c>
      <c r="D219">
        <v>1</v>
      </c>
      <c r="E219">
        <v>1</v>
      </c>
      <c r="F219">
        <v>0</v>
      </c>
      <c r="G219">
        <v>0</v>
      </c>
      <c r="H219">
        <v>0</v>
      </c>
      <c r="I219">
        <v>0</v>
      </c>
      <c r="J219">
        <v>1</v>
      </c>
      <c r="K219">
        <v>3</v>
      </c>
      <c r="L219">
        <v>1</v>
      </c>
      <c r="M219">
        <v>0</v>
      </c>
      <c r="N219">
        <v>0</v>
      </c>
      <c r="O219">
        <v>0</v>
      </c>
      <c r="P219">
        <v>0</v>
      </c>
      <c r="Q219">
        <v>0</v>
      </c>
      <c r="R219">
        <v>0</v>
      </c>
      <c r="S219">
        <v>0.5</v>
      </c>
      <c r="T219">
        <v>0</v>
      </c>
      <c r="U219">
        <v>0</v>
      </c>
      <c r="V219">
        <v>0.5</v>
      </c>
      <c r="W219">
        <v>5</v>
      </c>
      <c r="X219">
        <v>0</v>
      </c>
      <c r="Y219">
        <v>1</v>
      </c>
      <c r="Z219">
        <v>0</v>
      </c>
      <c r="AA219">
        <v>0</v>
      </c>
      <c r="AB219">
        <v>0</v>
      </c>
      <c r="AC219">
        <v>0</v>
      </c>
      <c r="AD219">
        <v>0</v>
      </c>
      <c r="AE219">
        <v>0</v>
      </c>
      <c r="AF219">
        <v>0</v>
      </c>
      <c r="AG219">
        <v>5</v>
      </c>
      <c r="AH219">
        <v>5</v>
      </c>
      <c r="AI219">
        <v>0</v>
      </c>
      <c r="AJ219">
        <v>0</v>
      </c>
      <c r="AK219">
        <v>0</v>
      </c>
      <c r="AL219">
        <v>0</v>
      </c>
      <c r="AM219">
        <v>0</v>
      </c>
      <c r="AN219">
        <v>0</v>
      </c>
      <c r="AO219">
        <v>0</v>
      </c>
      <c r="AP219">
        <v>0</v>
      </c>
      <c r="AQ219">
        <v>0</v>
      </c>
      <c r="AR219">
        <v>0</v>
      </c>
      <c r="AS219">
        <v>0</v>
      </c>
      <c r="AT219">
        <v>3</v>
      </c>
      <c r="AU219">
        <v>0</v>
      </c>
      <c r="AV219">
        <v>3</v>
      </c>
      <c r="AW219">
        <v>0</v>
      </c>
      <c r="AX219">
        <v>0.5</v>
      </c>
      <c r="AY219">
        <v>0</v>
      </c>
      <c r="AZ219">
        <v>0.5</v>
      </c>
      <c r="BA219">
        <v>0</v>
      </c>
      <c r="BB219">
        <v>0</v>
      </c>
      <c r="BC219">
        <v>0</v>
      </c>
      <c r="BD219">
        <v>0</v>
      </c>
      <c r="BE219">
        <v>0</v>
      </c>
    </row>
    <row r="220" spans="1:57">
      <c r="A220" t="s">
        <v>16974</v>
      </c>
      <c r="B220" t="s">
        <v>17308</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row>
    <row r="221" spans="1:57">
      <c r="A221" t="s">
        <v>16974</v>
      </c>
      <c r="B221" t="s">
        <v>17121</v>
      </c>
      <c r="C221">
        <v>1</v>
      </c>
      <c r="D221">
        <v>1</v>
      </c>
      <c r="E221">
        <v>0</v>
      </c>
      <c r="F221">
        <v>0</v>
      </c>
      <c r="G221">
        <v>0</v>
      </c>
      <c r="H221">
        <v>0</v>
      </c>
      <c r="I221">
        <v>0</v>
      </c>
      <c r="J221">
        <v>1</v>
      </c>
      <c r="K221">
        <v>8</v>
      </c>
      <c r="L221">
        <v>1</v>
      </c>
      <c r="M221">
        <v>0</v>
      </c>
      <c r="N221">
        <v>0</v>
      </c>
      <c r="O221">
        <v>0</v>
      </c>
      <c r="P221">
        <v>0</v>
      </c>
      <c r="Q221">
        <v>0</v>
      </c>
      <c r="R221">
        <v>0</v>
      </c>
      <c r="S221">
        <v>0.5</v>
      </c>
      <c r="T221">
        <v>0.5</v>
      </c>
      <c r="U221">
        <v>0</v>
      </c>
      <c r="V221">
        <v>1</v>
      </c>
      <c r="W221">
        <v>0</v>
      </c>
      <c r="X221">
        <v>0</v>
      </c>
      <c r="Y221">
        <v>0</v>
      </c>
      <c r="Z221">
        <v>0</v>
      </c>
      <c r="AA221">
        <v>-15</v>
      </c>
      <c r="AB221">
        <v>0</v>
      </c>
      <c r="AC221">
        <v>69.95</v>
      </c>
      <c r="AD221">
        <v>69.95</v>
      </c>
      <c r="AE221">
        <v>69.95</v>
      </c>
      <c r="AF221">
        <v>69.95</v>
      </c>
      <c r="AG221">
        <v>69.95</v>
      </c>
      <c r="AH221">
        <v>0</v>
      </c>
      <c r="AI221">
        <v>0</v>
      </c>
      <c r="AJ221">
        <v>0</v>
      </c>
      <c r="AK221">
        <v>0</v>
      </c>
      <c r="AL221">
        <v>0</v>
      </c>
      <c r="AM221">
        <v>0</v>
      </c>
      <c r="AN221">
        <v>0</v>
      </c>
      <c r="AO221">
        <v>1</v>
      </c>
      <c r="AP221">
        <v>0</v>
      </c>
      <c r="AQ221">
        <v>0</v>
      </c>
      <c r="AR221">
        <v>0</v>
      </c>
      <c r="AS221">
        <v>0</v>
      </c>
      <c r="AT221">
        <v>8</v>
      </c>
      <c r="AU221">
        <v>0</v>
      </c>
      <c r="AV221">
        <v>0</v>
      </c>
      <c r="AW221">
        <v>8</v>
      </c>
      <c r="AX221">
        <v>0.5</v>
      </c>
      <c r="AY221">
        <v>0</v>
      </c>
      <c r="AZ221">
        <v>0</v>
      </c>
      <c r="BA221">
        <v>0.5</v>
      </c>
      <c r="BB221">
        <v>0.5</v>
      </c>
      <c r="BC221">
        <v>0</v>
      </c>
      <c r="BD221">
        <v>0</v>
      </c>
      <c r="BE221">
        <v>0.5</v>
      </c>
    </row>
    <row r="222" spans="1:57">
      <c r="A222" t="s">
        <v>16974</v>
      </c>
      <c r="B222" t="s">
        <v>17122</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row>
    <row r="223" spans="1:57">
      <c r="A223" t="s">
        <v>16974</v>
      </c>
      <c r="B223" t="s">
        <v>19986</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row>
    <row r="224" spans="1:57">
      <c r="A224" t="s">
        <v>16974</v>
      </c>
      <c r="B224" t="s">
        <v>17125</v>
      </c>
      <c r="C224">
        <v>0</v>
      </c>
      <c r="D224">
        <v>22</v>
      </c>
      <c r="E224">
        <v>0</v>
      </c>
      <c r="F224">
        <v>17</v>
      </c>
      <c r="G224">
        <v>0</v>
      </c>
      <c r="H224">
        <v>0</v>
      </c>
      <c r="I224">
        <v>0</v>
      </c>
      <c r="J224">
        <v>22</v>
      </c>
      <c r="K224">
        <v>187</v>
      </c>
      <c r="L224">
        <v>21</v>
      </c>
      <c r="M224">
        <v>0</v>
      </c>
      <c r="N224">
        <v>0</v>
      </c>
      <c r="O224">
        <v>0</v>
      </c>
      <c r="P224">
        <v>0</v>
      </c>
      <c r="Q224">
        <v>1</v>
      </c>
      <c r="R224">
        <v>0</v>
      </c>
      <c r="S224">
        <v>62.25</v>
      </c>
      <c r="T224">
        <v>0</v>
      </c>
      <c r="U224">
        <v>0</v>
      </c>
      <c r="V224">
        <v>62.25</v>
      </c>
      <c r="W224">
        <v>622.5</v>
      </c>
      <c r="X224">
        <v>0</v>
      </c>
      <c r="Y224">
        <v>22</v>
      </c>
      <c r="Z224">
        <v>0</v>
      </c>
      <c r="AA224">
        <v>0</v>
      </c>
      <c r="AB224">
        <v>77.5</v>
      </c>
      <c r="AC224">
        <v>0</v>
      </c>
      <c r="AD224">
        <v>0</v>
      </c>
      <c r="AE224">
        <v>0</v>
      </c>
      <c r="AF224">
        <v>77.5</v>
      </c>
      <c r="AG224">
        <v>622.5</v>
      </c>
      <c r="AH224">
        <v>622.5</v>
      </c>
      <c r="AI224">
        <v>0</v>
      </c>
      <c r="AJ224">
        <v>0</v>
      </c>
      <c r="AK224">
        <v>0</v>
      </c>
      <c r="AL224">
        <v>0</v>
      </c>
      <c r="AM224">
        <v>0</v>
      </c>
      <c r="AN224">
        <v>0</v>
      </c>
      <c r="AO224">
        <v>0</v>
      </c>
      <c r="AP224">
        <v>0</v>
      </c>
      <c r="AQ224">
        <v>0</v>
      </c>
      <c r="AR224">
        <v>0</v>
      </c>
      <c r="AS224">
        <v>0</v>
      </c>
      <c r="AT224">
        <v>187</v>
      </c>
      <c r="AU224">
        <v>0</v>
      </c>
      <c r="AV224">
        <v>187</v>
      </c>
      <c r="AW224">
        <v>0</v>
      </c>
      <c r="AX224">
        <v>62.25</v>
      </c>
      <c r="AY224">
        <v>0</v>
      </c>
      <c r="AZ224">
        <v>62.25</v>
      </c>
      <c r="BA224">
        <v>0</v>
      </c>
      <c r="BB224">
        <v>0</v>
      </c>
      <c r="BC224">
        <v>0</v>
      </c>
      <c r="BD224">
        <v>0</v>
      </c>
      <c r="BE224">
        <v>0</v>
      </c>
    </row>
    <row r="225" spans="1:57">
      <c r="A225" t="s">
        <v>16974</v>
      </c>
      <c r="B225" t="s">
        <v>17125</v>
      </c>
      <c r="C225">
        <v>0</v>
      </c>
      <c r="D225">
        <v>11</v>
      </c>
      <c r="E225">
        <v>0</v>
      </c>
      <c r="F225">
        <v>8</v>
      </c>
      <c r="G225">
        <v>0</v>
      </c>
      <c r="H225">
        <v>0</v>
      </c>
      <c r="I225">
        <v>0</v>
      </c>
      <c r="J225">
        <v>10</v>
      </c>
      <c r="K225">
        <v>94</v>
      </c>
      <c r="L225">
        <v>10</v>
      </c>
      <c r="M225">
        <v>0</v>
      </c>
      <c r="N225">
        <v>0</v>
      </c>
      <c r="O225">
        <v>0</v>
      </c>
      <c r="P225">
        <v>0</v>
      </c>
      <c r="Q225">
        <v>1</v>
      </c>
      <c r="R225">
        <v>0</v>
      </c>
      <c r="S225">
        <v>35.5</v>
      </c>
      <c r="T225">
        <v>0</v>
      </c>
      <c r="U225">
        <v>0</v>
      </c>
      <c r="V225">
        <v>35.5</v>
      </c>
      <c r="W225">
        <v>355</v>
      </c>
      <c r="X225">
        <v>18</v>
      </c>
      <c r="Y225">
        <v>11</v>
      </c>
      <c r="Z225">
        <v>0</v>
      </c>
      <c r="AA225">
        <v>0</v>
      </c>
      <c r="AB225">
        <v>70</v>
      </c>
      <c r="AC225">
        <v>0</v>
      </c>
      <c r="AD225">
        <v>0</v>
      </c>
      <c r="AE225">
        <v>0</v>
      </c>
      <c r="AF225">
        <v>70</v>
      </c>
      <c r="AG225">
        <v>373</v>
      </c>
      <c r="AH225">
        <v>373</v>
      </c>
      <c r="AI225">
        <v>0</v>
      </c>
      <c r="AJ225">
        <v>0</v>
      </c>
      <c r="AK225">
        <v>0</v>
      </c>
      <c r="AL225">
        <v>0</v>
      </c>
      <c r="AM225">
        <v>0</v>
      </c>
      <c r="AN225">
        <v>0</v>
      </c>
      <c r="AO225">
        <v>0</v>
      </c>
      <c r="AP225">
        <v>0</v>
      </c>
      <c r="AQ225">
        <v>0</v>
      </c>
      <c r="AR225">
        <v>0</v>
      </c>
      <c r="AS225">
        <v>0</v>
      </c>
      <c r="AT225">
        <v>94</v>
      </c>
      <c r="AU225">
        <v>0</v>
      </c>
      <c r="AV225">
        <v>94</v>
      </c>
      <c r="AW225">
        <v>0</v>
      </c>
      <c r="AX225">
        <v>35.5</v>
      </c>
      <c r="AY225">
        <v>0</v>
      </c>
      <c r="AZ225">
        <v>35.5</v>
      </c>
      <c r="BA225">
        <v>0</v>
      </c>
      <c r="BB225">
        <v>0</v>
      </c>
      <c r="BC225">
        <v>0</v>
      </c>
      <c r="BD225">
        <v>0</v>
      </c>
      <c r="BE225">
        <v>0</v>
      </c>
    </row>
    <row r="226" spans="1:57">
      <c r="A226" t="s">
        <v>16974</v>
      </c>
      <c r="B226" t="s">
        <v>17126</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row>
    <row r="227" spans="1:57">
      <c r="A227" t="s">
        <v>16974</v>
      </c>
      <c r="B227" t="s">
        <v>18837</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row>
    <row r="228" spans="1:57">
      <c r="A228" t="s">
        <v>16974</v>
      </c>
      <c r="B228" t="s">
        <v>17127</v>
      </c>
      <c r="C228">
        <v>0</v>
      </c>
      <c r="D228">
        <v>42</v>
      </c>
      <c r="E228">
        <v>0</v>
      </c>
      <c r="F228">
        <v>0</v>
      </c>
      <c r="G228">
        <v>0</v>
      </c>
      <c r="H228">
        <v>0</v>
      </c>
      <c r="I228">
        <v>0</v>
      </c>
      <c r="J228">
        <v>42</v>
      </c>
      <c r="K228">
        <v>638</v>
      </c>
      <c r="L228">
        <v>42</v>
      </c>
      <c r="M228">
        <v>0</v>
      </c>
      <c r="N228">
        <v>0</v>
      </c>
      <c r="O228">
        <v>0</v>
      </c>
      <c r="P228">
        <v>0</v>
      </c>
      <c r="Q228">
        <v>0</v>
      </c>
      <c r="R228">
        <v>0</v>
      </c>
      <c r="S228">
        <v>7.5</v>
      </c>
      <c r="T228">
        <v>2</v>
      </c>
      <c r="U228">
        <v>0</v>
      </c>
      <c r="V228">
        <v>9.5</v>
      </c>
      <c r="W228">
        <v>115</v>
      </c>
      <c r="X228">
        <v>0</v>
      </c>
      <c r="Y228">
        <v>16</v>
      </c>
      <c r="Z228">
        <v>0</v>
      </c>
      <c r="AA228">
        <v>0</v>
      </c>
      <c r="AB228">
        <v>0</v>
      </c>
      <c r="AC228">
        <v>0</v>
      </c>
      <c r="AD228">
        <v>0</v>
      </c>
      <c r="AE228">
        <v>11.15</v>
      </c>
      <c r="AF228">
        <v>0</v>
      </c>
      <c r="AG228">
        <v>115</v>
      </c>
      <c r="AH228">
        <v>112.5</v>
      </c>
      <c r="AI228">
        <v>0</v>
      </c>
      <c r="AJ228">
        <v>0</v>
      </c>
      <c r="AK228">
        <v>0</v>
      </c>
      <c r="AL228">
        <v>0</v>
      </c>
      <c r="AM228">
        <v>1</v>
      </c>
      <c r="AN228">
        <v>1</v>
      </c>
      <c r="AO228">
        <v>0</v>
      </c>
      <c r="AP228">
        <v>0</v>
      </c>
      <c r="AQ228">
        <v>0</v>
      </c>
      <c r="AR228">
        <v>0</v>
      </c>
      <c r="AS228">
        <v>0</v>
      </c>
      <c r="AT228">
        <v>638</v>
      </c>
      <c r="AU228">
        <v>0</v>
      </c>
      <c r="AV228">
        <v>638</v>
      </c>
      <c r="AW228">
        <v>0</v>
      </c>
      <c r="AX228">
        <v>7.5</v>
      </c>
      <c r="AY228">
        <v>0</v>
      </c>
      <c r="AZ228">
        <v>7.5</v>
      </c>
      <c r="BA228">
        <v>0</v>
      </c>
      <c r="BB228">
        <v>2</v>
      </c>
      <c r="BC228">
        <v>0</v>
      </c>
      <c r="BD228">
        <v>2</v>
      </c>
      <c r="BE228">
        <v>0</v>
      </c>
    </row>
    <row r="229" spans="1:57">
      <c r="A229" t="s">
        <v>16974</v>
      </c>
      <c r="B229" t="s">
        <v>17128</v>
      </c>
      <c r="C229">
        <v>0</v>
      </c>
      <c r="D229">
        <v>59</v>
      </c>
      <c r="E229">
        <v>59</v>
      </c>
      <c r="F229">
        <v>52</v>
      </c>
      <c r="G229">
        <v>0</v>
      </c>
      <c r="H229">
        <v>0</v>
      </c>
      <c r="I229">
        <v>0</v>
      </c>
      <c r="J229">
        <v>60</v>
      </c>
      <c r="K229">
        <v>397</v>
      </c>
      <c r="L229">
        <v>59</v>
      </c>
      <c r="M229">
        <v>0</v>
      </c>
      <c r="N229">
        <v>0</v>
      </c>
      <c r="O229">
        <v>0</v>
      </c>
      <c r="P229">
        <v>0</v>
      </c>
      <c r="Q229">
        <v>0</v>
      </c>
      <c r="R229">
        <v>0</v>
      </c>
      <c r="S229">
        <v>18.25</v>
      </c>
      <c r="T229">
        <v>0</v>
      </c>
      <c r="U229">
        <v>0</v>
      </c>
      <c r="V229">
        <v>18.25</v>
      </c>
      <c r="W229">
        <v>182.5</v>
      </c>
      <c r="X229">
        <v>0</v>
      </c>
      <c r="Y229">
        <v>60</v>
      </c>
      <c r="Z229">
        <v>0</v>
      </c>
      <c r="AA229">
        <v>0</v>
      </c>
      <c r="AB229">
        <v>0</v>
      </c>
      <c r="AC229">
        <v>0</v>
      </c>
      <c r="AD229">
        <v>0</v>
      </c>
      <c r="AE229">
        <v>0</v>
      </c>
      <c r="AF229">
        <v>0</v>
      </c>
      <c r="AG229">
        <v>182.5</v>
      </c>
      <c r="AH229">
        <v>182.5</v>
      </c>
      <c r="AI229">
        <v>0</v>
      </c>
      <c r="AJ229">
        <v>0</v>
      </c>
      <c r="AK229">
        <v>0</v>
      </c>
      <c r="AL229">
        <v>0</v>
      </c>
      <c r="AM229">
        <v>0</v>
      </c>
      <c r="AN229">
        <v>0</v>
      </c>
      <c r="AO229">
        <v>0</v>
      </c>
      <c r="AP229">
        <v>0</v>
      </c>
      <c r="AQ229">
        <v>0</v>
      </c>
      <c r="AR229">
        <v>0</v>
      </c>
      <c r="AS229">
        <v>0</v>
      </c>
      <c r="AT229">
        <v>397</v>
      </c>
      <c r="AU229">
        <v>0</v>
      </c>
      <c r="AV229">
        <v>397</v>
      </c>
      <c r="AW229">
        <v>0</v>
      </c>
      <c r="AX229">
        <v>18.25</v>
      </c>
      <c r="AY229">
        <v>0</v>
      </c>
      <c r="AZ229">
        <v>18.25</v>
      </c>
      <c r="BA229">
        <v>0</v>
      </c>
      <c r="BB229">
        <v>0</v>
      </c>
      <c r="BC229">
        <v>0</v>
      </c>
      <c r="BD229">
        <v>0</v>
      </c>
      <c r="BE229">
        <v>0</v>
      </c>
    </row>
    <row r="230" spans="1:57">
      <c r="A230" t="s">
        <v>16974</v>
      </c>
      <c r="B230" t="s">
        <v>17201</v>
      </c>
      <c r="C230">
        <v>0</v>
      </c>
      <c r="D230">
        <v>760</v>
      </c>
      <c r="E230">
        <v>720</v>
      </c>
      <c r="F230">
        <v>529</v>
      </c>
      <c r="G230">
        <v>0</v>
      </c>
      <c r="H230">
        <v>0</v>
      </c>
      <c r="I230">
        <v>0</v>
      </c>
      <c r="J230">
        <v>760</v>
      </c>
      <c r="K230">
        <v>8942</v>
      </c>
      <c r="L230">
        <v>226</v>
      </c>
      <c r="M230">
        <v>0</v>
      </c>
      <c r="N230">
        <v>10</v>
      </c>
      <c r="O230">
        <v>523</v>
      </c>
      <c r="P230">
        <v>0</v>
      </c>
      <c r="Q230">
        <v>1</v>
      </c>
      <c r="R230">
        <v>0</v>
      </c>
      <c r="S230">
        <v>198.75399999999999</v>
      </c>
      <c r="T230">
        <v>396.25</v>
      </c>
      <c r="U230">
        <v>0</v>
      </c>
      <c r="V230">
        <v>595.00400000000002</v>
      </c>
      <c r="W230">
        <v>9912.5400000000009</v>
      </c>
      <c r="X230">
        <v>0</v>
      </c>
      <c r="Y230">
        <v>737</v>
      </c>
      <c r="Z230">
        <v>0</v>
      </c>
      <c r="AA230">
        <v>0</v>
      </c>
      <c r="AB230">
        <v>6667.5</v>
      </c>
      <c r="AC230">
        <v>216.25</v>
      </c>
      <c r="AD230">
        <v>25.25</v>
      </c>
      <c r="AE230">
        <v>54.25</v>
      </c>
      <c r="AF230">
        <v>6692.75</v>
      </c>
      <c r="AG230">
        <v>10128.790000000001</v>
      </c>
      <c r="AH230">
        <v>10074.540000000001</v>
      </c>
      <c r="AI230">
        <v>0</v>
      </c>
      <c r="AJ230">
        <v>0</v>
      </c>
      <c r="AK230">
        <v>0</v>
      </c>
      <c r="AL230">
        <v>0</v>
      </c>
      <c r="AM230">
        <v>16</v>
      </c>
      <c r="AN230">
        <v>3</v>
      </c>
      <c r="AO230">
        <v>0</v>
      </c>
      <c r="AP230">
        <v>0</v>
      </c>
      <c r="AQ230">
        <v>0</v>
      </c>
      <c r="AR230">
        <v>0</v>
      </c>
      <c r="AS230">
        <v>0</v>
      </c>
      <c r="AT230">
        <v>8942</v>
      </c>
      <c r="AU230">
        <v>0</v>
      </c>
      <c r="AV230">
        <v>8942</v>
      </c>
      <c r="AW230">
        <v>0</v>
      </c>
      <c r="AX230">
        <v>198.75399999999999</v>
      </c>
      <c r="AY230">
        <v>0</v>
      </c>
      <c r="AZ230">
        <v>198.75399999999999</v>
      </c>
      <c r="BA230">
        <v>0</v>
      </c>
      <c r="BB230">
        <v>396.25</v>
      </c>
      <c r="BC230">
        <v>0</v>
      </c>
      <c r="BD230">
        <v>396.25</v>
      </c>
      <c r="BE230">
        <v>0</v>
      </c>
    </row>
    <row r="231" spans="1:57">
      <c r="A231" t="s">
        <v>16974</v>
      </c>
      <c r="B231" t="s">
        <v>17201</v>
      </c>
      <c r="C231">
        <v>0</v>
      </c>
      <c r="D231">
        <v>974</v>
      </c>
      <c r="E231">
        <v>944</v>
      </c>
      <c r="F231">
        <v>831</v>
      </c>
      <c r="G231">
        <v>0</v>
      </c>
      <c r="H231">
        <v>0</v>
      </c>
      <c r="I231">
        <v>0</v>
      </c>
      <c r="J231">
        <v>974</v>
      </c>
      <c r="K231">
        <v>8513</v>
      </c>
      <c r="L231">
        <v>258</v>
      </c>
      <c r="M231">
        <v>0</v>
      </c>
      <c r="N231">
        <v>11</v>
      </c>
      <c r="O231">
        <v>693</v>
      </c>
      <c r="P231">
        <v>2</v>
      </c>
      <c r="Q231">
        <v>10</v>
      </c>
      <c r="R231">
        <v>0</v>
      </c>
      <c r="S231">
        <v>259</v>
      </c>
      <c r="T231">
        <v>159</v>
      </c>
      <c r="U231">
        <v>0</v>
      </c>
      <c r="V231">
        <v>418</v>
      </c>
      <c r="W231">
        <v>5770</v>
      </c>
      <c r="X231">
        <v>0</v>
      </c>
      <c r="Y231">
        <v>973</v>
      </c>
      <c r="Z231">
        <v>0</v>
      </c>
      <c r="AA231">
        <v>0</v>
      </c>
      <c r="AB231">
        <v>1660</v>
      </c>
      <c r="AC231">
        <v>68.75</v>
      </c>
      <c r="AD231">
        <v>219.75</v>
      </c>
      <c r="AE231">
        <v>56.75</v>
      </c>
      <c r="AF231">
        <v>1879.75</v>
      </c>
      <c r="AG231">
        <v>5838.75</v>
      </c>
      <c r="AH231">
        <v>5782</v>
      </c>
      <c r="AI231">
        <v>0</v>
      </c>
      <c r="AJ231">
        <v>0</v>
      </c>
      <c r="AK231">
        <v>0</v>
      </c>
      <c r="AL231">
        <v>0</v>
      </c>
      <c r="AM231">
        <v>43</v>
      </c>
      <c r="AN231">
        <v>1</v>
      </c>
      <c r="AO231">
        <v>0</v>
      </c>
      <c r="AP231">
        <v>0</v>
      </c>
      <c r="AQ231">
        <v>0</v>
      </c>
      <c r="AR231">
        <v>0</v>
      </c>
      <c r="AS231">
        <v>0</v>
      </c>
      <c r="AT231">
        <v>8513</v>
      </c>
      <c r="AU231">
        <v>0</v>
      </c>
      <c r="AV231">
        <v>8513</v>
      </c>
      <c r="AW231">
        <v>0</v>
      </c>
      <c r="AX231">
        <v>259</v>
      </c>
      <c r="AY231">
        <v>0</v>
      </c>
      <c r="AZ231">
        <v>259</v>
      </c>
      <c r="BA231">
        <v>0</v>
      </c>
      <c r="BB231">
        <v>159</v>
      </c>
      <c r="BC231">
        <v>0</v>
      </c>
      <c r="BD231">
        <v>159</v>
      </c>
      <c r="BE231">
        <v>0</v>
      </c>
    </row>
    <row r="232" spans="1:57">
      <c r="A232" t="s">
        <v>16974</v>
      </c>
      <c r="B232" t="s">
        <v>17201</v>
      </c>
      <c r="C232">
        <v>0</v>
      </c>
      <c r="D232">
        <v>1000</v>
      </c>
      <c r="E232">
        <v>966</v>
      </c>
      <c r="F232">
        <v>684</v>
      </c>
      <c r="G232">
        <v>0</v>
      </c>
      <c r="H232">
        <v>87</v>
      </c>
      <c r="I232">
        <v>0</v>
      </c>
      <c r="J232">
        <v>1000</v>
      </c>
      <c r="K232">
        <v>9718</v>
      </c>
      <c r="L232">
        <v>181</v>
      </c>
      <c r="M232">
        <v>0</v>
      </c>
      <c r="N232">
        <v>11</v>
      </c>
      <c r="O232">
        <v>777</v>
      </c>
      <c r="P232">
        <v>25</v>
      </c>
      <c r="Q232">
        <v>6</v>
      </c>
      <c r="R232">
        <v>0</v>
      </c>
      <c r="S232">
        <v>259.262</v>
      </c>
      <c r="T232">
        <v>65.25200000000001</v>
      </c>
      <c r="U232">
        <v>0</v>
      </c>
      <c r="V232">
        <v>324.51400000000001</v>
      </c>
      <c r="W232">
        <v>3897.66</v>
      </c>
      <c r="X232">
        <v>0</v>
      </c>
      <c r="Y232">
        <v>998</v>
      </c>
      <c r="Z232">
        <v>0</v>
      </c>
      <c r="AA232">
        <v>0</v>
      </c>
      <c r="AB232">
        <v>175</v>
      </c>
      <c r="AC232">
        <v>72.150000000000006</v>
      </c>
      <c r="AD232">
        <v>26.15</v>
      </c>
      <c r="AE232">
        <v>32.15</v>
      </c>
      <c r="AF232">
        <v>201.15</v>
      </c>
      <c r="AG232">
        <v>3969.81</v>
      </c>
      <c r="AH232">
        <v>3937.66</v>
      </c>
      <c r="AI232">
        <v>0</v>
      </c>
      <c r="AJ232">
        <v>0</v>
      </c>
      <c r="AK232">
        <v>315</v>
      </c>
      <c r="AL232">
        <v>315</v>
      </c>
      <c r="AM232">
        <v>3</v>
      </c>
      <c r="AN232">
        <v>2</v>
      </c>
      <c r="AO232">
        <v>0</v>
      </c>
      <c r="AP232">
        <v>0</v>
      </c>
      <c r="AQ232">
        <v>0</v>
      </c>
      <c r="AR232">
        <v>0</v>
      </c>
      <c r="AS232">
        <v>0</v>
      </c>
      <c r="AT232">
        <v>9718</v>
      </c>
      <c r="AU232">
        <v>1737</v>
      </c>
      <c r="AV232">
        <v>7981</v>
      </c>
      <c r="AW232">
        <v>0</v>
      </c>
      <c r="AX232">
        <v>259.262</v>
      </c>
      <c r="AY232">
        <v>22.5</v>
      </c>
      <c r="AZ232">
        <v>236.762</v>
      </c>
      <c r="BA232">
        <v>0</v>
      </c>
      <c r="BB232">
        <v>65.25200000000001</v>
      </c>
      <c r="BC232">
        <v>4.5</v>
      </c>
      <c r="BD232">
        <v>60.752000000000002</v>
      </c>
      <c r="BE232">
        <v>0</v>
      </c>
    </row>
    <row r="233" spans="1:57">
      <c r="A233" t="s">
        <v>16974</v>
      </c>
      <c r="B233" t="s">
        <v>17201</v>
      </c>
      <c r="C233">
        <v>0</v>
      </c>
      <c r="D233">
        <v>506</v>
      </c>
      <c r="E233">
        <v>489</v>
      </c>
      <c r="F233">
        <v>137</v>
      </c>
      <c r="G233">
        <v>0</v>
      </c>
      <c r="H233">
        <v>364</v>
      </c>
      <c r="I233">
        <v>0</v>
      </c>
      <c r="J233">
        <v>506</v>
      </c>
      <c r="K233">
        <v>8690</v>
      </c>
      <c r="L233">
        <v>174</v>
      </c>
      <c r="M233">
        <v>0</v>
      </c>
      <c r="N233">
        <v>4</v>
      </c>
      <c r="O233">
        <v>326</v>
      </c>
      <c r="P233">
        <v>2</v>
      </c>
      <c r="Q233">
        <v>0</v>
      </c>
      <c r="R233">
        <v>0</v>
      </c>
      <c r="S233">
        <v>127.75</v>
      </c>
      <c r="T233">
        <v>47.5</v>
      </c>
      <c r="U233">
        <v>0</v>
      </c>
      <c r="V233">
        <v>175.25</v>
      </c>
      <c r="W233">
        <v>2227.5</v>
      </c>
      <c r="X233">
        <v>0</v>
      </c>
      <c r="Y233">
        <v>504</v>
      </c>
      <c r="Z233">
        <v>0</v>
      </c>
      <c r="AA233">
        <v>0</v>
      </c>
      <c r="AB233">
        <v>40</v>
      </c>
      <c r="AC233">
        <v>60.8</v>
      </c>
      <c r="AD233">
        <v>70.8</v>
      </c>
      <c r="AE233">
        <v>110.8</v>
      </c>
      <c r="AF233">
        <v>110.8</v>
      </c>
      <c r="AG233">
        <v>2288.3000000000002</v>
      </c>
      <c r="AH233">
        <v>2215</v>
      </c>
      <c r="AI233">
        <v>45.75</v>
      </c>
      <c r="AJ233">
        <v>45.75</v>
      </c>
      <c r="AK233">
        <v>1715.75</v>
      </c>
      <c r="AL233">
        <v>1670</v>
      </c>
      <c r="AM233">
        <v>3</v>
      </c>
      <c r="AN233">
        <v>3</v>
      </c>
      <c r="AO233">
        <v>1</v>
      </c>
      <c r="AP233">
        <v>0</v>
      </c>
      <c r="AQ233">
        <v>0</v>
      </c>
      <c r="AR233">
        <v>0</v>
      </c>
      <c r="AS233">
        <v>0</v>
      </c>
      <c r="AT233">
        <v>8690</v>
      </c>
      <c r="AU233">
        <v>7523</v>
      </c>
      <c r="AV233">
        <v>1167</v>
      </c>
      <c r="AW233">
        <v>0</v>
      </c>
      <c r="AX233">
        <v>127.75</v>
      </c>
      <c r="AY233">
        <v>92</v>
      </c>
      <c r="AZ233">
        <v>35.75</v>
      </c>
      <c r="BA233">
        <v>0</v>
      </c>
      <c r="BB233">
        <v>47.5</v>
      </c>
      <c r="BC233">
        <v>37.5</v>
      </c>
      <c r="BD233">
        <v>10</v>
      </c>
      <c r="BE233">
        <v>0</v>
      </c>
    </row>
    <row r="234" spans="1:57">
      <c r="A234" t="s">
        <v>16974</v>
      </c>
      <c r="B234" t="s">
        <v>17130</v>
      </c>
      <c r="C234">
        <v>0</v>
      </c>
      <c r="D234">
        <v>26</v>
      </c>
      <c r="E234">
        <v>3</v>
      </c>
      <c r="F234">
        <v>2</v>
      </c>
      <c r="G234">
        <v>1</v>
      </c>
      <c r="H234">
        <v>0</v>
      </c>
      <c r="I234">
        <v>0</v>
      </c>
      <c r="J234">
        <v>26</v>
      </c>
      <c r="K234">
        <v>114</v>
      </c>
      <c r="L234">
        <v>26</v>
      </c>
      <c r="M234">
        <v>0</v>
      </c>
      <c r="N234">
        <v>0</v>
      </c>
      <c r="O234">
        <v>0</v>
      </c>
      <c r="P234">
        <v>0</v>
      </c>
      <c r="Q234">
        <v>0</v>
      </c>
      <c r="R234">
        <v>0</v>
      </c>
      <c r="S234">
        <v>20</v>
      </c>
      <c r="T234">
        <v>14</v>
      </c>
      <c r="U234">
        <v>0</v>
      </c>
      <c r="V234">
        <v>34</v>
      </c>
      <c r="W234">
        <v>480</v>
      </c>
      <c r="X234">
        <v>0</v>
      </c>
      <c r="Y234">
        <v>26</v>
      </c>
      <c r="Z234">
        <v>0</v>
      </c>
      <c r="AA234">
        <v>0</v>
      </c>
      <c r="AB234">
        <v>160</v>
      </c>
      <c r="AC234">
        <v>0</v>
      </c>
      <c r="AD234">
        <v>0</v>
      </c>
      <c r="AE234">
        <v>130</v>
      </c>
      <c r="AF234">
        <v>160</v>
      </c>
      <c r="AG234">
        <v>480</v>
      </c>
      <c r="AH234">
        <v>350</v>
      </c>
      <c r="AI234">
        <v>0</v>
      </c>
      <c r="AJ234">
        <v>0</v>
      </c>
      <c r="AK234">
        <v>0</v>
      </c>
      <c r="AL234">
        <v>0</v>
      </c>
      <c r="AM234">
        <v>0</v>
      </c>
      <c r="AN234">
        <v>0</v>
      </c>
      <c r="AO234">
        <v>0</v>
      </c>
      <c r="AP234">
        <v>1</v>
      </c>
      <c r="AQ234">
        <v>0</v>
      </c>
      <c r="AR234">
        <v>0</v>
      </c>
      <c r="AS234">
        <v>0</v>
      </c>
      <c r="AT234">
        <v>114</v>
      </c>
      <c r="AU234">
        <v>0</v>
      </c>
      <c r="AV234">
        <v>114</v>
      </c>
      <c r="AW234">
        <v>0</v>
      </c>
      <c r="AX234">
        <v>20</v>
      </c>
      <c r="AY234">
        <v>0</v>
      </c>
      <c r="AZ234">
        <v>20</v>
      </c>
      <c r="BA234">
        <v>0</v>
      </c>
      <c r="BB234">
        <v>14</v>
      </c>
      <c r="BC234">
        <v>0</v>
      </c>
      <c r="BD234">
        <v>14</v>
      </c>
      <c r="BE234">
        <v>0</v>
      </c>
    </row>
    <row r="235" spans="1:57">
      <c r="A235" t="s">
        <v>16974</v>
      </c>
      <c r="B235" t="s">
        <v>17131</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7">
      <c r="A236" t="s">
        <v>16974</v>
      </c>
      <c r="B236" t="s">
        <v>17040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row>
    <row r="237" spans="1:57">
      <c r="A237" t="s">
        <v>16974</v>
      </c>
      <c r="B237" t="s">
        <v>16975</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row>
    <row r="238" spans="1:57">
      <c r="A238" t="s">
        <v>16974</v>
      </c>
      <c r="B238" t="s">
        <v>17085</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row>
    <row r="239" spans="1:57">
      <c r="A239" t="s">
        <v>16974</v>
      </c>
      <c r="B239" t="s">
        <v>17132</v>
      </c>
      <c r="C239">
        <v>0</v>
      </c>
      <c r="D239">
        <v>476</v>
      </c>
      <c r="E239">
        <v>477</v>
      </c>
      <c r="F239">
        <v>469</v>
      </c>
      <c r="G239">
        <v>0</v>
      </c>
      <c r="H239">
        <v>18</v>
      </c>
      <c r="I239">
        <v>0</v>
      </c>
      <c r="J239">
        <v>478</v>
      </c>
      <c r="K239">
        <v>2295</v>
      </c>
      <c r="L239">
        <v>334</v>
      </c>
      <c r="M239">
        <v>0</v>
      </c>
      <c r="N239">
        <v>0</v>
      </c>
      <c r="O239">
        <v>163</v>
      </c>
      <c r="P239">
        <v>0</v>
      </c>
      <c r="Q239">
        <v>0</v>
      </c>
      <c r="R239">
        <v>0</v>
      </c>
      <c r="S239">
        <v>80.5</v>
      </c>
      <c r="T239">
        <v>0</v>
      </c>
      <c r="U239">
        <v>0</v>
      </c>
      <c r="V239">
        <v>80.5</v>
      </c>
      <c r="W239">
        <v>805</v>
      </c>
      <c r="X239">
        <v>0</v>
      </c>
      <c r="Y239">
        <v>160</v>
      </c>
      <c r="Z239">
        <v>0</v>
      </c>
      <c r="AA239">
        <v>0</v>
      </c>
      <c r="AB239">
        <v>0</v>
      </c>
      <c r="AC239">
        <v>0</v>
      </c>
      <c r="AD239">
        <v>0</v>
      </c>
      <c r="AE239">
        <v>0</v>
      </c>
      <c r="AF239">
        <v>0</v>
      </c>
      <c r="AG239">
        <v>805</v>
      </c>
      <c r="AH239">
        <v>805</v>
      </c>
      <c r="AI239">
        <v>0</v>
      </c>
      <c r="AJ239">
        <v>0</v>
      </c>
      <c r="AK239">
        <v>135</v>
      </c>
      <c r="AL239">
        <v>135</v>
      </c>
      <c r="AM239">
        <v>0</v>
      </c>
      <c r="AN239">
        <v>0</v>
      </c>
      <c r="AO239">
        <v>0</v>
      </c>
      <c r="AP239">
        <v>0</v>
      </c>
      <c r="AQ239">
        <v>0</v>
      </c>
      <c r="AR239">
        <v>0</v>
      </c>
      <c r="AS239">
        <v>0</v>
      </c>
      <c r="AT239">
        <v>2295</v>
      </c>
      <c r="AU239">
        <v>191</v>
      </c>
      <c r="AV239">
        <v>2104</v>
      </c>
      <c r="AW239">
        <v>0</v>
      </c>
      <c r="AX239">
        <v>80.5</v>
      </c>
      <c r="AY239">
        <v>13.5</v>
      </c>
      <c r="AZ239">
        <v>67</v>
      </c>
      <c r="BA239">
        <v>0</v>
      </c>
      <c r="BB239">
        <v>0</v>
      </c>
      <c r="BC239">
        <v>0</v>
      </c>
      <c r="BD239">
        <v>0</v>
      </c>
      <c r="BE239">
        <v>0</v>
      </c>
    </row>
    <row r="240" spans="1:57">
      <c r="A240" t="s">
        <v>16974</v>
      </c>
      <c r="B240" t="s">
        <v>17133</v>
      </c>
      <c r="C240">
        <v>0</v>
      </c>
      <c r="D240">
        <v>2</v>
      </c>
      <c r="E240">
        <v>2</v>
      </c>
      <c r="F240">
        <v>1</v>
      </c>
      <c r="G240">
        <v>0</v>
      </c>
      <c r="H240">
        <v>2</v>
      </c>
      <c r="I240">
        <v>0</v>
      </c>
      <c r="J240">
        <v>2</v>
      </c>
      <c r="K240">
        <v>75</v>
      </c>
      <c r="L240">
        <v>1</v>
      </c>
      <c r="M240">
        <v>0</v>
      </c>
      <c r="N240">
        <v>1</v>
      </c>
      <c r="O240">
        <v>0</v>
      </c>
      <c r="P240">
        <v>1</v>
      </c>
      <c r="Q240">
        <v>0</v>
      </c>
      <c r="R240">
        <v>0</v>
      </c>
      <c r="S240">
        <v>0.5</v>
      </c>
      <c r="T240">
        <v>3</v>
      </c>
      <c r="U240">
        <v>0</v>
      </c>
      <c r="V240">
        <v>3.5</v>
      </c>
      <c r="W240">
        <v>65</v>
      </c>
      <c r="X240">
        <v>0</v>
      </c>
      <c r="Y240">
        <v>1</v>
      </c>
      <c r="Z240">
        <v>0</v>
      </c>
      <c r="AA240">
        <v>0</v>
      </c>
      <c r="AB240">
        <v>35</v>
      </c>
      <c r="AC240">
        <v>0</v>
      </c>
      <c r="AD240">
        <v>0</v>
      </c>
      <c r="AE240">
        <v>0</v>
      </c>
      <c r="AF240">
        <v>35</v>
      </c>
      <c r="AG240">
        <v>65</v>
      </c>
      <c r="AH240">
        <v>65</v>
      </c>
      <c r="AI240">
        <v>0</v>
      </c>
      <c r="AJ240">
        <v>35</v>
      </c>
      <c r="AK240">
        <v>65</v>
      </c>
      <c r="AL240">
        <v>65</v>
      </c>
      <c r="AM240">
        <v>0</v>
      </c>
      <c r="AN240">
        <v>0</v>
      </c>
      <c r="AO240">
        <v>0</v>
      </c>
      <c r="AP240">
        <v>0</v>
      </c>
      <c r="AQ240">
        <v>0</v>
      </c>
      <c r="AR240">
        <v>0</v>
      </c>
      <c r="AS240">
        <v>0</v>
      </c>
      <c r="AT240">
        <v>75</v>
      </c>
      <c r="AU240">
        <v>75</v>
      </c>
      <c r="AV240">
        <v>0</v>
      </c>
      <c r="AW240">
        <v>0</v>
      </c>
      <c r="AX240">
        <v>0.5</v>
      </c>
      <c r="AY240">
        <v>0.5</v>
      </c>
      <c r="AZ240">
        <v>0</v>
      </c>
      <c r="BA240">
        <v>0</v>
      </c>
      <c r="BB240">
        <v>3</v>
      </c>
      <c r="BC240">
        <v>3</v>
      </c>
      <c r="BD240">
        <v>0</v>
      </c>
      <c r="BE240">
        <v>0</v>
      </c>
    </row>
    <row r="241" spans="1:57">
      <c r="A241" t="s">
        <v>16974</v>
      </c>
      <c r="B241" t="s">
        <v>17134</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row>
    <row r="242" spans="1:57">
      <c r="A242" t="s">
        <v>16974</v>
      </c>
      <c r="B242" t="s">
        <v>17137</v>
      </c>
      <c r="C242">
        <v>186</v>
      </c>
      <c r="D242">
        <v>186</v>
      </c>
      <c r="E242">
        <v>0</v>
      </c>
      <c r="F242">
        <v>0</v>
      </c>
      <c r="G242">
        <v>0</v>
      </c>
      <c r="H242">
        <v>0</v>
      </c>
      <c r="I242">
        <v>0</v>
      </c>
      <c r="J242">
        <v>186</v>
      </c>
      <c r="K242">
        <v>276</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35</v>
      </c>
      <c r="AF242">
        <v>0</v>
      </c>
      <c r="AG242">
        <v>0</v>
      </c>
      <c r="AH242">
        <v>0</v>
      </c>
      <c r="AI242">
        <v>0</v>
      </c>
      <c r="AJ242">
        <v>0</v>
      </c>
      <c r="AK242">
        <v>0</v>
      </c>
      <c r="AL242">
        <v>0</v>
      </c>
      <c r="AM242">
        <v>0</v>
      </c>
      <c r="AN242">
        <v>1</v>
      </c>
      <c r="AO242">
        <v>0</v>
      </c>
      <c r="AP242">
        <v>0</v>
      </c>
      <c r="AQ242">
        <v>0</v>
      </c>
      <c r="AR242">
        <v>0</v>
      </c>
      <c r="AS242">
        <v>0</v>
      </c>
      <c r="AT242">
        <v>276</v>
      </c>
      <c r="AU242">
        <v>0</v>
      </c>
      <c r="AV242">
        <v>0</v>
      </c>
      <c r="AW242">
        <v>276</v>
      </c>
      <c r="AX242">
        <v>0</v>
      </c>
      <c r="AY242">
        <v>0</v>
      </c>
      <c r="AZ242">
        <v>0</v>
      </c>
      <c r="BA242">
        <v>0</v>
      </c>
      <c r="BB242">
        <v>0</v>
      </c>
      <c r="BC242">
        <v>0</v>
      </c>
      <c r="BD242">
        <v>0</v>
      </c>
      <c r="BE242">
        <v>0</v>
      </c>
    </row>
    <row r="243" spans="1:57">
      <c r="A243" t="s">
        <v>16974</v>
      </c>
      <c r="B243" t="s">
        <v>17138</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row>
    <row r="244" spans="1:57">
      <c r="A244" t="s">
        <v>16974</v>
      </c>
      <c r="B244" t="s">
        <v>17314</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row>
    <row r="245" spans="1:57">
      <c r="A245" t="s">
        <v>16974</v>
      </c>
      <c r="B245" t="s">
        <v>17139</v>
      </c>
      <c r="C245">
        <v>0</v>
      </c>
      <c r="D245">
        <v>1</v>
      </c>
      <c r="E245">
        <v>0</v>
      </c>
      <c r="F245">
        <v>1</v>
      </c>
      <c r="G245">
        <v>0</v>
      </c>
      <c r="H245">
        <v>1</v>
      </c>
      <c r="I245">
        <v>0</v>
      </c>
      <c r="J245">
        <v>0</v>
      </c>
      <c r="K245">
        <v>0</v>
      </c>
      <c r="L245">
        <v>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row>
    <row r="246" spans="1:57">
      <c r="A246" t="s">
        <v>16974</v>
      </c>
      <c r="B246" t="s">
        <v>19349</v>
      </c>
      <c r="C246">
        <v>0</v>
      </c>
      <c r="D246">
        <v>3</v>
      </c>
      <c r="E246">
        <v>3</v>
      </c>
      <c r="F246">
        <v>3</v>
      </c>
      <c r="G246">
        <v>2</v>
      </c>
      <c r="H246">
        <v>3</v>
      </c>
      <c r="I246">
        <v>0</v>
      </c>
      <c r="J246">
        <v>3</v>
      </c>
      <c r="K246">
        <v>64</v>
      </c>
      <c r="L246">
        <v>1</v>
      </c>
      <c r="M246">
        <v>1</v>
      </c>
      <c r="N246">
        <v>0</v>
      </c>
      <c r="O246">
        <v>0</v>
      </c>
      <c r="P246">
        <v>1</v>
      </c>
      <c r="Q246">
        <v>0</v>
      </c>
      <c r="R246">
        <v>0</v>
      </c>
      <c r="S246">
        <v>0</v>
      </c>
      <c r="T246">
        <v>8</v>
      </c>
      <c r="U246">
        <v>0.5</v>
      </c>
      <c r="V246">
        <v>8.5</v>
      </c>
      <c r="W246">
        <v>160</v>
      </c>
      <c r="X246">
        <v>0</v>
      </c>
      <c r="Y246">
        <v>1</v>
      </c>
      <c r="Z246">
        <v>0</v>
      </c>
      <c r="AA246">
        <v>0</v>
      </c>
      <c r="AB246">
        <v>130</v>
      </c>
      <c r="AC246">
        <v>0</v>
      </c>
      <c r="AD246">
        <v>0</v>
      </c>
      <c r="AE246">
        <v>0</v>
      </c>
      <c r="AF246">
        <v>130</v>
      </c>
      <c r="AG246">
        <v>170</v>
      </c>
      <c r="AH246">
        <v>170</v>
      </c>
      <c r="AI246">
        <v>0</v>
      </c>
      <c r="AJ246">
        <v>130</v>
      </c>
      <c r="AK246">
        <v>170</v>
      </c>
      <c r="AL246">
        <v>170</v>
      </c>
      <c r="AM246">
        <v>0</v>
      </c>
      <c r="AN246">
        <v>0</v>
      </c>
      <c r="AO246">
        <v>0</v>
      </c>
      <c r="AP246">
        <v>0</v>
      </c>
      <c r="AQ246">
        <v>0</v>
      </c>
      <c r="AR246">
        <v>0</v>
      </c>
      <c r="AS246">
        <v>0</v>
      </c>
      <c r="AT246">
        <v>64</v>
      </c>
      <c r="AU246">
        <v>64</v>
      </c>
      <c r="AV246">
        <v>0</v>
      </c>
      <c r="AW246">
        <v>0</v>
      </c>
      <c r="AX246">
        <v>0</v>
      </c>
      <c r="AY246">
        <v>0</v>
      </c>
      <c r="AZ246">
        <v>0</v>
      </c>
      <c r="BA246">
        <v>0</v>
      </c>
      <c r="BB246">
        <v>8</v>
      </c>
      <c r="BC246">
        <v>8</v>
      </c>
      <c r="BD246">
        <v>0</v>
      </c>
      <c r="BE246">
        <v>0</v>
      </c>
    </row>
    <row r="247" spans="1:57">
      <c r="A247" t="s">
        <v>16974</v>
      </c>
      <c r="B247" t="s">
        <v>17142</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row>
    <row r="248" spans="1:57">
      <c r="A248" t="s">
        <v>16974</v>
      </c>
      <c r="B248" t="s">
        <v>17143</v>
      </c>
      <c r="C248">
        <v>0</v>
      </c>
      <c r="D248">
        <v>3</v>
      </c>
      <c r="E248">
        <v>2</v>
      </c>
      <c r="F248">
        <v>2</v>
      </c>
      <c r="G248">
        <v>2</v>
      </c>
      <c r="H248">
        <v>0</v>
      </c>
      <c r="I248">
        <v>0</v>
      </c>
      <c r="J248">
        <v>3</v>
      </c>
      <c r="K248">
        <v>44</v>
      </c>
      <c r="L248">
        <v>2</v>
      </c>
      <c r="M248">
        <v>0</v>
      </c>
      <c r="N248">
        <v>1</v>
      </c>
      <c r="O248">
        <v>0</v>
      </c>
      <c r="P248">
        <v>0</v>
      </c>
      <c r="Q248">
        <v>0</v>
      </c>
      <c r="R248">
        <v>0</v>
      </c>
      <c r="S248">
        <v>2.5</v>
      </c>
      <c r="T248">
        <v>4.5</v>
      </c>
      <c r="U248">
        <v>0</v>
      </c>
      <c r="V248">
        <v>7</v>
      </c>
      <c r="W248">
        <v>115</v>
      </c>
      <c r="X248">
        <v>0</v>
      </c>
      <c r="Y248">
        <v>3</v>
      </c>
      <c r="Z248">
        <v>0</v>
      </c>
      <c r="AA248">
        <v>0</v>
      </c>
      <c r="AB248">
        <v>40</v>
      </c>
      <c r="AC248">
        <v>0</v>
      </c>
      <c r="AD248">
        <v>0</v>
      </c>
      <c r="AE248">
        <v>0</v>
      </c>
      <c r="AF248">
        <v>40</v>
      </c>
      <c r="AG248">
        <v>115</v>
      </c>
      <c r="AH248">
        <v>115</v>
      </c>
      <c r="AI248">
        <v>0</v>
      </c>
      <c r="AJ248">
        <v>0</v>
      </c>
      <c r="AK248">
        <v>0</v>
      </c>
      <c r="AL248">
        <v>0</v>
      </c>
      <c r="AM248">
        <v>0</v>
      </c>
      <c r="AN248">
        <v>0</v>
      </c>
      <c r="AO248">
        <v>0</v>
      </c>
      <c r="AP248">
        <v>0</v>
      </c>
      <c r="AQ248">
        <v>0</v>
      </c>
      <c r="AR248">
        <v>0</v>
      </c>
      <c r="AS248">
        <v>0</v>
      </c>
      <c r="AT248">
        <v>44</v>
      </c>
      <c r="AU248">
        <v>0</v>
      </c>
      <c r="AV248">
        <v>44</v>
      </c>
      <c r="AW248">
        <v>0</v>
      </c>
      <c r="AX248">
        <v>2.5</v>
      </c>
      <c r="AY248">
        <v>0</v>
      </c>
      <c r="AZ248">
        <v>2.5</v>
      </c>
      <c r="BA248">
        <v>0</v>
      </c>
      <c r="BB248">
        <v>4.5</v>
      </c>
      <c r="BC248">
        <v>0</v>
      </c>
      <c r="BD248">
        <v>4.5</v>
      </c>
      <c r="BE248">
        <v>0</v>
      </c>
    </row>
    <row r="249" spans="1:57">
      <c r="A249" t="s">
        <v>16974</v>
      </c>
      <c r="B249" t="s">
        <v>19351</v>
      </c>
      <c r="C249">
        <v>0</v>
      </c>
      <c r="D249">
        <v>5</v>
      </c>
      <c r="E249">
        <v>5</v>
      </c>
      <c r="F249">
        <v>3</v>
      </c>
      <c r="G249">
        <v>0</v>
      </c>
      <c r="H249">
        <v>2</v>
      </c>
      <c r="I249">
        <v>0</v>
      </c>
      <c r="J249">
        <v>5</v>
      </c>
      <c r="K249">
        <v>49</v>
      </c>
      <c r="L249">
        <v>4</v>
      </c>
      <c r="M249">
        <v>0</v>
      </c>
      <c r="N249">
        <v>0</v>
      </c>
      <c r="O249">
        <v>1</v>
      </c>
      <c r="P249">
        <v>0</v>
      </c>
      <c r="Q249">
        <v>0</v>
      </c>
      <c r="R249">
        <v>0</v>
      </c>
      <c r="S249">
        <v>4</v>
      </c>
      <c r="T249">
        <v>0</v>
      </c>
      <c r="U249">
        <v>0</v>
      </c>
      <c r="V249">
        <v>4</v>
      </c>
      <c r="W249">
        <v>40</v>
      </c>
      <c r="X249">
        <v>0</v>
      </c>
      <c r="Y249">
        <v>0</v>
      </c>
      <c r="Z249">
        <v>4</v>
      </c>
      <c r="AA249">
        <v>0</v>
      </c>
      <c r="AB249">
        <v>0</v>
      </c>
      <c r="AC249">
        <v>0</v>
      </c>
      <c r="AD249">
        <v>0</v>
      </c>
      <c r="AE249">
        <v>0</v>
      </c>
      <c r="AF249">
        <v>0</v>
      </c>
      <c r="AG249">
        <v>40</v>
      </c>
      <c r="AH249">
        <v>40</v>
      </c>
      <c r="AI249">
        <v>0</v>
      </c>
      <c r="AJ249">
        <v>0</v>
      </c>
      <c r="AK249">
        <v>10</v>
      </c>
      <c r="AL249">
        <v>10</v>
      </c>
      <c r="AM249">
        <v>0</v>
      </c>
      <c r="AN249">
        <v>0</v>
      </c>
      <c r="AO249">
        <v>0</v>
      </c>
      <c r="AP249">
        <v>0</v>
      </c>
      <c r="AQ249">
        <v>0</v>
      </c>
      <c r="AR249">
        <v>0</v>
      </c>
      <c r="AS249">
        <v>0</v>
      </c>
      <c r="AT249">
        <v>49</v>
      </c>
      <c r="AU249">
        <v>45</v>
      </c>
      <c r="AV249">
        <v>4</v>
      </c>
      <c r="AW249">
        <v>0</v>
      </c>
      <c r="AX249">
        <v>4</v>
      </c>
      <c r="AY249">
        <v>1</v>
      </c>
      <c r="AZ249">
        <v>3</v>
      </c>
      <c r="BA249">
        <v>0</v>
      </c>
      <c r="BB249">
        <v>0</v>
      </c>
      <c r="BC249">
        <v>0</v>
      </c>
      <c r="BD249">
        <v>0</v>
      </c>
      <c r="BE249">
        <v>0</v>
      </c>
    </row>
    <row r="250" spans="1:57">
      <c r="A250" t="s">
        <v>16974</v>
      </c>
      <c r="B250" t="s">
        <v>17144</v>
      </c>
      <c r="C250">
        <v>0</v>
      </c>
      <c r="D250">
        <v>4</v>
      </c>
      <c r="E250">
        <v>4</v>
      </c>
      <c r="F250">
        <v>3</v>
      </c>
      <c r="G250">
        <v>1</v>
      </c>
      <c r="H250">
        <v>1</v>
      </c>
      <c r="I250">
        <v>0</v>
      </c>
      <c r="J250">
        <v>4</v>
      </c>
      <c r="K250">
        <v>39</v>
      </c>
      <c r="L250">
        <v>1</v>
      </c>
      <c r="M250">
        <v>1</v>
      </c>
      <c r="N250">
        <v>1</v>
      </c>
      <c r="O250">
        <v>0</v>
      </c>
      <c r="P250">
        <v>0</v>
      </c>
      <c r="Q250">
        <v>1</v>
      </c>
      <c r="R250">
        <v>0</v>
      </c>
      <c r="S250">
        <v>10.25</v>
      </c>
      <c r="T250">
        <v>0</v>
      </c>
      <c r="U250">
        <v>11.5</v>
      </c>
      <c r="V250">
        <v>21.75</v>
      </c>
      <c r="W250">
        <v>102.5</v>
      </c>
      <c r="X250">
        <v>0</v>
      </c>
      <c r="Y250">
        <v>4</v>
      </c>
      <c r="Z250">
        <v>0</v>
      </c>
      <c r="AA250">
        <v>0</v>
      </c>
      <c r="AB250">
        <v>30</v>
      </c>
      <c r="AC250">
        <v>0</v>
      </c>
      <c r="AD250">
        <v>0</v>
      </c>
      <c r="AE250">
        <v>0</v>
      </c>
      <c r="AF250">
        <v>30</v>
      </c>
      <c r="AG250">
        <v>332.5</v>
      </c>
      <c r="AH250">
        <v>332.5</v>
      </c>
      <c r="AI250">
        <v>0</v>
      </c>
      <c r="AJ250">
        <v>30</v>
      </c>
      <c r="AK250">
        <v>180</v>
      </c>
      <c r="AL250">
        <v>180</v>
      </c>
      <c r="AM250">
        <v>0</v>
      </c>
      <c r="AN250">
        <v>0</v>
      </c>
      <c r="AO250">
        <v>0</v>
      </c>
      <c r="AP250">
        <v>0</v>
      </c>
      <c r="AQ250">
        <v>0</v>
      </c>
      <c r="AR250">
        <v>0</v>
      </c>
      <c r="AS250">
        <v>0</v>
      </c>
      <c r="AT250">
        <v>39</v>
      </c>
      <c r="AU250">
        <v>10</v>
      </c>
      <c r="AV250">
        <v>29</v>
      </c>
      <c r="AW250">
        <v>0</v>
      </c>
      <c r="AX250">
        <v>10.25</v>
      </c>
      <c r="AY250">
        <v>6</v>
      </c>
      <c r="AZ250">
        <v>4.25</v>
      </c>
      <c r="BA250">
        <v>0</v>
      </c>
      <c r="BB250">
        <v>0</v>
      </c>
      <c r="BC250">
        <v>0</v>
      </c>
      <c r="BD250">
        <v>0</v>
      </c>
      <c r="BE250">
        <v>0</v>
      </c>
    </row>
    <row r="251" spans="1:57">
      <c r="A251" t="s">
        <v>16974</v>
      </c>
      <c r="B251" t="s">
        <v>17145</v>
      </c>
      <c r="C251">
        <v>0</v>
      </c>
      <c r="D251">
        <v>1</v>
      </c>
      <c r="E251">
        <v>0</v>
      </c>
      <c r="F251">
        <v>1</v>
      </c>
      <c r="G251">
        <v>0</v>
      </c>
      <c r="H251">
        <v>0</v>
      </c>
      <c r="I251">
        <v>0</v>
      </c>
      <c r="J251">
        <v>1</v>
      </c>
      <c r="K251">
        <v>4</v>
      </c>
      <c r="L251">
        <v>0</v>
      </c>
      <c r="M251">
        <v>0</v>
      </c>
      <c r="N251">
        <v>1</v>
      </c>
      <c r="O251">
        <v>0</v>
      </c>
      <c r="P251">
        <v>0</v>
      </c>
      <c r="Q251">
        <v>0</v>
      </c>
      <c r="R251">
        <v>0</v>
      </c>
      <c r="S251">
        <v>2</v>
      </c>
      <c r="T251">
        <v>1</v>
      </c>
      <c r="U251">
        <v>0</v>
      </c>
      <c r="V251">
        <v>3</v>
      </c>
      <c r="W251">
        <v>40</v>
      </c>
      <c r="X251">
        <v>0</v>
      </c>
      <c r="Y251">
        <v>0</v>
      </c>
      <c r="Z251">
        <v>1</v>
      </c>
      <c r="AA251">
        <v>0</v>
      </c>
      <c r="AB251">
        <v>0</v>
      </c>
      <c r="AC251">
        <v>0</v>
      </c>
      <c r="AD251">
        <v>0</v>
      </c>
      <c r="AE251">
        <v>0</v>
      </c>
      <c r="AF251">
        <v>0</v>
      </c>
      <c r="AG251">
        <v>40</v>
      </c>
      <c r="AH251">
        <v>40</v>
      </c>
      <c r="AI251">
        <v>0</v>
      </c>
      <c r="AJ251">
        <v>0</v>
      </c>
      <c r="AK251">
        <v>0</v>
      </c>
      <c r="AL251">
        <v>0</v>
      </c>
      <c r="AM251">
        <v>0</v>
      </c>
      <c r="AN251">
        <v>0</v>
      </c>
      <c r="AO251">
        <v>0</v>
      </c>
      <c r="AP251">
        <v>0</v>
      </c>
      <c r="AQ251">
        <v>0</v>
      </c>
      <c r="AR251">
        <v>0</v>
      </c>
      <c r="AS251">
        <v>0</v>
      </c>
      <c r="AT251">
        <v>4</v>
      </c>
      <c r="AU251">
        <v>0</v>
      </c>
      <c r="AV251">
        <v>4</v>
      </c>
      <c r="AW251">
        <v>0</v>
      </c>
      <c r="AX251">
        <v>2</v>
      </c>
      <c r="AY251">
        <v>0</v>
      </c>
      <c r="AZ251">
        <v>2</v>
      </c>
      <c r="BA251">
        <v>0</v>
      </c>
      <c r="BB251">
        <v>1</v>
      </c>
      <c r="BC251">
        <v>0</v>
      </c>
      <c r="BD251">
        <v>1</v>
      </c>
      <c r="BE251">
        <v>0</v>
      </c>
    </row>
    <row r="252" spans="1:57">
      <c r="A252" t="s">
        <v>16974</v>
      </c>
      <c r="B252" t="s">
        <v>17324</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row>
    <row r="253" spans="1:57">
      <c r="A253" t="s">
        <v>16974</v>
      </c>
      <c r="B253" t="s">
        <v>17322</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row>
    <row r="254" spans="1:57">
      <c r="A254" t="s">
        <v>16974</v>
      </c>
      <c r="B254" t="s">
        <v>17323</v>
      </c>
      <c r="C254">
        <v>0</v>
      </c>
      <c r="D254">
        <v>4</v>
      </c>
      <c r="E254">
        <v>0</v>
      </c>
      <c r="F254">
        <v>4</v>
      </c>
      <c r="G254">
        <v>0</v>
      </c>
      <c r="H254">
        <v>0</v>
      </c>
      <c r="I254">
        <v>0</v>
      </c>
      <c r="J254">
        <v>4</v>
      </c>
      <c r="K254">
        <v>9</v>
      </c>
      <c r="L254">
        <v>4</v>
      </c>
      <c r="M254">
        <v>0</v>
      </c>
      <c r="N254">
        <v>0</v>
      </c>
      <c r="O254">
        <v>0</v>
      </c>
      <c r="P254">
        <v>0</v>
      </c>
      <c r="Q254">
        <v>0</v>
      </c>
      <c r="R254">
        <v>0</v>
      </c>
      <c r="S254">
        <v>1.75</v>
      </c>
      <c r="T254">
        <v>0</v>
      </c>
      <c r="U254">
        <v>0</v>
      </c>
      <c r="V254">
        <v>1.75</v>
      </c>
      <c r="W254">
        <v>17.5</v>
      </c>
      <c r="X254">
        <v>0</v>
      </c>
      <c r="Y254">
        <v>4</v>
      </c>
      <c r="Z254">
        <v>0</v>
      </c>
      <c r="AA254">
        <v>0</v>
      </c>
      <c r="AB254">
        <v>0</v>
      </c>
      <c r="AC254">
        <v>0</v>
      </c>
      <c r="AD254">
        <v>0</v>
      </c>
      <c r="AE254">
        <v>0</v>
      </c>
      <c r="AF254">
        <v>0</v>
      </c>
      <c r="AG254">
        <v>17.5</v>
      </c>
      <c r="AH254">
        <v>17.5</v>
      </c>
      <c r="AI254">
        <v>0</v>
      </c>
      <c r="AJ254">
        <v>0</v>
      </c>
      <c r="AK254">
        <v>0</v>
      </c>
      <c r="AL254">
        <v>0</v>
      </c>
      <c r="AM254">
        <v>0</v>
      </c>
      <c r="AN254">
        <v>0</v>
      </c>
      <c r="AO254">
        <v>0</v>
      </c>
      <c r="AP254">
        <v>0</v>
      </c>
      <c r="AQ254">
        <v>0</v>
      </c>
      <c r="AR254">
        <v>0</v>
      </c>
      <c r="AS254">
        <v>0</v>
      </c>
      <c r="AT254">
        <v>9</v>
      </c>
      <c r="AU254">
        <v>0</v>
      </c>
      <c r="AV254">
        <v>9</v>
      </c>
      <c r="AW254">
        <v>0</v>
      </c>
      <c r="AX254">
        <v>1.75</v>
      </c>
      <c r="AY254">
        <v>0</v>
      </c>
      <c r="AZ254">
        <v>1.75</v>
      </c>
      <c r="BA254">
        <v>0</v>
      </c>
      <c r="BB254">
        <v>0</v>
      </c>
      <c r="BC254">
        <v>0</v>
      </c>
      <c r="BD254">
        <v>0</v>
      </c>
      <c r="BE254">
        <v>0</v>
      </c>
    </row>
    <row r="255" spans="1:57">
      <c r="A255" t="s">
        <v>17148</v>
      </c>
      <c r="B255" t="s">
        <v>17304</v>
      </c>
      <c r="C255">
        <v>0</v>
      </c>
      <c r="D255">
        <v>5</v>
      </c>
      <c r="E255">
        <v>0</v>
      </c>
      <c r="F255">
        <v>0</v>
      </c>
      <c r="G255">
        <v>1</v>
      </c>
      <c r="H255">
        <v>0</v>
      </c>
      <c r="I255">
        <v>0</v>
      </c>
      <c r="J255">
        <v>5</v>
      </c>
      <c r="K255">
        <v>40</v>
      </c>
      <c r="L255">
        <v>3</v>
      </c>
      <c r="M255">
        <v>0</v>
      </c>
      <c r="N255">
        <v>0</v>
      </c>
      <c r="O255">
        <v>1</v>
      </c>
      <c r="P255">
        <v>0</v>
      </c>
      <c r="Q255">
        <v>1</v>
      </c>
      <c r="R255">
        <v>0</v>
      </c>
      <c r="S255">
        <v>2</v>
      </c>
      <c r="T255">
        <v>0</v>
      </c>
      <c r="U255">
        <v>0</v>
      </c>
      <c r="V255">
        <v>2</v>
      </c>
      <c r="W255">
        <v>20</v>
      </c>
      <c r="X255">
        <v>0</v>
      </c>
      <c r="Y255">
        <v>3</v>
      </c>
      <c r="Z255">
        <v>0</v>
      </c>
      <c r="AA255">
        <v>0</v>
      </c>
      <c r="AB255">
        <v>0</v>
      </c>
      <c r="AC255">
        <v>0</v>
      </c>
      <c r="AD255">
        <v>0</v>
      </c>
      <c r="AE255">
        <v>0</v>
      </c>
      <c r="AF255">
        <v>0</v>
      </c>
      <c r="AG255">
        <v>20</v>
      </c>
      <c r="AH255">
        <v>20</v>
      </c>
      <c r="AI255">
        <v>0</v>
      </c>
      <c r="AJ255">
        <v>0</v>
      </c>
      <c r="AK255">
        <v>0</v>
      </c>
      <c r="AL255">
        <v>0</v>
      </c>
      <c r="AM255">
        <v>0</v>
      </c>
      <c r="AN255">
        <v>0</v>
      </c>
      <c r="AO255">
        <v>0</v>
      </c>
      <c r="AP255">
        <v>0</v>
      </c>
      <c r="AQ255">
        <v>0</v>
      </c>
      <c r="AR255">
        <v>0</v>
      </c>
      <c r="AS255">
        <v>0</v>
      </c>
      <c r="AT255">
        <v>40</v>
      </c>
      <c r="AU255">
        <v>0</v>
      </c>
      <c r="AV255">
        <v>40</v>
      </c>
      <c r="AW255">
        <v>0</v>
      </c>
      <c r="AX255">
        <v>2</v>
      </c>
      <c r="AY255">
        <v>0</v>
      </c>
      <c r="AZ255">
        <v>2</v>
      </c>
      <c r="BA255">
        <v>0</v>
      </c>
      <c r="BB255">
        <v>0</v>
      </c>
      <c r="BC255">
        <v>0</v>
      </c>
      <c r="BD255">
        <v>0</v>
      </c>
      <c r="BE255">
        <v>0</v>
      </c>
    </row>
    <row r="256" spans="1:57">
      <c r="A256" t="s">
        <v>17148</v>
      </c>
      <c r="B256" t="s">
        <v>17304</v>
      </c>
      <c r="C256">
        <v>0</v>
      </c>
      <c r="D256">
        <v>5</v>
      </c>
      <c r="E256">
        <v>0</v>
      </c>
      <c r="F256">
        <v>0</v>
      </c>
      <c r="G256">
        <v>0</v>
      </c>
      <c r="H256">
        <v>0</v>
      </c>
      <c r="I256">
        <v>4</v>
      </c>
      <c r="J256">
        <v>5</v>
      </c>
      <c r="K256">
        <v>38</v>
      </c>
      <c r="L256">
        <v>0</v>
      </c>
      <c r="M256">
        <v>0</v>
      </c>
      <c r="N256">
        <v>0</v>
      </c>
      <c r="O256">
        <v>3</v>
      </c>
      <c r="P256">
        <v>0</v>
      </c>
      <c r="Q256">
        <v>0</v>
      </c>
      <c r="R256">
        <v>0</v>
      </c>
      <c r="S256">
        <v>2.5</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38</v>
      </c>
      <c r="AU256">
        <v>0</v>
      </c>
      <c r="AV256">
        <v>38</v>
      </c>
      <c r="AW256">
        <v>0</v>
      </c>
      <c r="AX256">
        <v>2.5</v>
      </c>
      <c r="AY256">
        <v>0</v>
      </c>
      <c r="AZ256">
        <v>2.5</v>
      </c>
      <c r="BA256">
        <v>0</v>
      </c>
      <c r="BB256">
        <v>0</v>
      </c>
      <c r="BC256">
        <v>0</v>
      </c>
      <c r="BD256">
        <v>0</v>
      </c>
      <c r="BE256">
        <v>0</v>
      </c>
    </row>
    <row r="257" spans="1:57">
      <c r="A257" t="s">
        <v>17150</v>
      </c>
      <c r="B257" t="s">
        <v>17152</v>
      </c>
      <c r="C257">
        <v>0</v>
      </c>
      <c r="D257">
        <v>5</v>
      </c>
      <c r="E257">
        <v>5</v>
      </c>
      <c r="F257">
        <v>4</v>
      </c>
      <c r="G257">
        <v>1</v>
      </c>
      <c r="H257">
        <v>0</v>
      </c>
      <c r="I257">
        <v>0</v>
      </c>
      <c r="J257">
        <v>5</v>
      </c>
      <c r="K257">
        <v>50</v>
      </c>
      <c r="L257">
        <v>5</v>
      </c>
      <c r="M257">
        <v>0</v>
      </c>
      <c r="N257">
        <v>0</v>
      </c>
      <c r="O257">
        <v>0</v>
      </c>
      <c r="P257">
        <v>0</v>
      </c>
      <c r="Q257">
        <v>0</v>
      </c>
      <c r="R257">
        <v>0</v>
      </c>
      <c r="S257">
        <v>1.05</v>
      </c>
      <c r="T257">
        <v>2.8</v>
      </c>
      <c r="U257">
        <v>0</v>
      </c>
      <c r="V257">
        <v>3.85</v>
      </c>
      <c r="W257">
        <v>66.5</v>
      </c>
      <c r="X257">
        <v>0</v>
      </c>
      <c r="Y257">
        <v>4</v>
      </c>
      <c r="Z257">
        <v>0</v>
      </c>
      <c r="AA257">
        <v>0</v>
      </c>
      <c r="AB257">
        <v>22.5</v>
      </c>
      <c r="AC257">
        <v>0</v>
      </c>
      <c r="AD257">
        <v>0</v>
      </c>
      <c r="AE257">
        <v>0</v>
      </c>
      <c r="AF257">
        <v>22.5</v>
      </c>
      <c r="AG257">
        <v>66.5</v>
      </c>
      <c r="AH257">
        <v>66.5</v>
      </c>
      <c r="AI257">
        <v>0</v>
      </c>
      <c r="AJ257">
        <v>0</v>
      </c>
      <c r="AK257">
        <v>0</v>
      </c>
      <c r="AL257">
        <v>0</v>
      </c>
      <c r="AM257">
        <v>0</v>
      </c>
      <c r="AN257">
        <v>0</v>
      </c>
      <c r="AO257">
        <v>0</v>
      </c>
      <c r="AP257">
        <v>0</v>
      </c>
      <c r="AQ257">
        <v>0</v>
      </c>
      <c r="AR257">
        <v>0</v>
      </c>
      <c r="AS257">
        <v>0</v>
      </c>
      <c r="AT257">
        <v>50</v>
      </c>
      <c r="AU257">
        <v>0</v>
      </c>
      <c r="AV257">
        <v>50</v>
      </c>
      <c r="AW257">
        <v>0</v>
      </c>
      <c r="AX257">
        <v>1.05</v>
      </c>
      <c r="AY257">
        <v>0</v>
      </c>
      <c r="AZ257">
        <v>1.05</v>
      </c>
      <c r="BA257">
        <v>0</v>
      </c>
      <c r="BB257">
        <v>2.8</v>
      </c>
      <c r="BC257">
        <v>0</v>
      </c>
      <c r="BD257">
        <v>2.8</v>
      </c>
      <c r="BE257">
        <v>0</v>
      </c>
    </row>
    <row r="258" spans="1:57">
      <c r="A258" t="s">
        <v>17150</v>
      </c>
      <c r="B258" t="s">
        <v>17152</v>
      </c>
      <c r="C258">
        <v>0</v>
      </c>
      <c r="D258">
        <v>7</v>
      </c>
      <c r="E258">
        <v>6</v>
      </c>
      <c r="F258">
        <v>7</v>
      </c>
      <c r="G258">
        <v>1</v>
      </c>
      <c r="H258">
        <v>3</v>
      </c>
      <c r="I258">
        <v>0</v>
      </c>
      <c r="J258">
        <v>7</v>
      </c>
      <c r="K258">
        <v>120</v>
      </c>
      <c r="L258">
        <v>5</v>
      </c>
      <c r="M258">
        <v>0</v>
      </c>
      <c r="N258">
        <v>2</v>
      </c>
      <c r="O258">
        <v>0</v>
      </c>
      <c r="P258">
        <v>0</v>
      </c>
      <c r="Q258">
        <v>0</v>
      </c>
      <c r="R258">
        <v>0</v>
      </c>
      <c r="S258">
        <v>8.5</v>
      </c>
      <c r="T258">
        <v>5</v>
      </c>
      <c r="U258">
        <v>0</v>
      </c>
      <c r="V258">
        <v>13.5</v>
      </c>
      <c r="W258">
        <v>185</v>
      </c>
      <c r="X258">
        <v>0</v>
      </c>
      <c r="Y258">
        <v>4</v>
      </c>
      <c r="Z258">
        <v>0</v>
      </c>
      <c r="AA258">
        <v>0</v>
      </c>
      <c r="AB258">
        <v>80</v>
      </c>
      <c r="AC258">
        <v>0</v>
      </c>
      <c r="AD258">
        <v>0</v>
      </c>
      <c r="AE258">
        <v>0</v>
      </c>
      <c r="AF258">
        <v>80</v>
      </c>
      <c r="AG258">
        <v>185</v>
      </c>
      <c r="AH258">
        <v>185</v>
      </c>
      <c r="AI258">
        <v>0</v>
      </c>
      <c r="AJ258">
        <v>80</v>
      </c>
      <c r="AK258">
        <v>165</v>
      </c>
      <c r="AL258">
        <v>165</v>
      </c>
      <c r="AM258">
        <v>0</v>
      </c>
      <c r="AN258">
        <v>0</v>
      </c>
      <c r="AO258">
        <v>0</v>
      </c>
      <c r="AP258">
        <v>0</v>
      </c>
      <c r="AQ258">
        <v>0</v>
      </c>
      <c r="AR258">
        <v>0</v>
      </c>
      <c r="AS258">
        <v>0</v>
      </c>
      <c r="AT258">
        <v>120</v>
      </c>
      <c r="AU258">
        <v>77</v>
      </c>
      <c r="AV258">
        <v>43</v>
      </c>
      <c r="AW258">
        <v>0</v>
      </c>
      <c r="AX258">
        <v>8.5</v>
      </c>
      <c r="AY258">
        <v>8.5</v>
      </c>
      <c r="AZ258">
        <v>0</v>
      </c>
      <c r="BA258">
        <v>0</v>
      </c>
      <c r="BB258">
        <v>5</v>
      </c>
      <c r="BC258">
        <v>4</v>
      </c>
      <c r="BD258">
        <v>1</v>
      </c>
      <c r="BE258">
        <v>0</v>
      </c>
    </row>
    <row r="259" spans="1:57">
      <c r="A259" t="s">
        <v>17150</v>
      </c>
      <c r="B259" t="s">
        <v>18838</v>
      </c>
      <c r="C259">
        <v>0</v>
      </c>
      <c r="D259">
        <v>39</v>
      </c>
      <c r="E259">
        <v>0</v>
      </c>
      <c r="F259">
        <v>25</v>
      </c>
      <c r="G259">
        <v>0</v>
      </c>
      <c r="H259">
        <v>0</v>
      </c>
      <c r="I259">
        <v>0</v>
      </c>
      <c r="J259">
        <v>39</v>
      </c>
      <c r="K259">
        <v>268</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268</v>
      </c>
      <c r="AU259">
        <v>0</v>
      </c>
      <c r="AV259">
        <v>268</v>
      </c>
      <c r="AW259">
        <v>0</v>
      </c>
      <c r="AX259">
        <v>0</v>
      </c>
      <c r="AY259">
        <v>0</v>
      </c>
      <c r="AZ259">
        <v>0</v>
      </c>
      <c r="BA259">
        <v>0</v>
      </c>
      <c r="BB259">
        <v>0</v>
      </c>
      <c r="BC259">
        <v>0</v>
      </c>
      <c r="BD259">
        <v>0</v>
      </c>
      <c r="BE259">
        <v>0</v>
      </c>
    </row>
    <row r="260" spans="1:57">
      <c r="A260" t="s">
        <v>17202</v>
      </c>
      <c r="B260" t="s">
        <v>18840</v>
      </c>
      <c r="C260">
        <v>0</v>
      </c>
      <c r="D260">
        <v>6</v>
      </c>
      <c r="E260">
        <v>2</v>
      </c>
      <c r="F260">
        <v>1</v>
      </c>
      <c r="G260">
        <v>0</v>
      </c>
      <c r="H260">
        <v>0</v>
      </c>
      <c r="I260">
        <v>0</v>
      </c>
      <c r="J260">
        <v>6</v>
      </c>
      <c r="K260">
        <v>54</v>
      </c>
      <c r="L260">
        <v>6</v>
      </c>
      <c r="M260">
        <v>0</v>
      </c>
      <c r="N260">
        <v>0</v>
      </c>
      <c r="O260">
        <v>0</v>
      </c>
      <c r="P260">
        <v>0</v>
      </c>
      <c r="Q260">
        <v>0</v>
      </c>
      <c r="R260">
        <v>0</v>
      </c>
      <c r="S260">
        <v>2.75</v>
      </c>
      <c r="T260">
        <v>20.75</v>
      </c>
      <c r="U260">
        <v>0</v>
      </c>
      <c r="V260">
        <v>23.5</v>
      </c>
      <c r="W260">
        <v>442.5</v>
      </c>
      <c r="X260">
        <v>0</v>
      </c>
      <c r="Y260">
        <v>6</v>
      </c>
      <c r="Z260">
        <v>0</v>
      </c>
      <c r="AA260">
        <v>0</v>
      </c>
      <c r="AB260">
        <v>350</v>
      </c>
      <c r="AC260">
        <v>0</v>
      </c>
      <c r="AD260">
        <v>0</v>
      </c>
      <c r="AE260">
        <v>0</v>
      </c>
      <c r="AF260">
        <v>350</v>
      </c>
      <c r="AG260">
        <v>442.5</v>
      </c>
      <c r="AH260">
        <v>440</v>
      </c>
      <c r="AI260">
        <v>0</v>
      </c>
      <c r="AJ260">
        <v>0</v>
      </c>
      <c r="AK260">
        <v>0</v>
      </c>
      <c r="AL260">
        <v>0</v>
      </c>
      <c r="AM260">
        <v>0</v>
      </c>
      <c r="AN260">
        <v>0</v>
      </c>
      <c r="AO260">
        <v>0</v>
      </c>
      <c r="AP260">
        <v>0</v>
      </c>
      <c r="AQ260">
        <v>0</v>
      </c>
      <c r="AR260">
        <v>0</v>
      </c>
      <c r="AS260">
        <v>0</v>
      </c>
      <c r="AT260">
        <v>54</v>
      </c>
      <c r="AU260">
        <v>0</v>
      </c>
      <c r="AV260">
        <v>54</v>
      </c>
      <c r="AW260">
        <v>0</v>
      </c>
      <c r="AX260">
        <v>2.75</v>
      </c>
      <c r="AY260">
        <v>0</v>
      </c>
      <c r="AZ260">
        <v>2.25</v>
      </c>
      <c r="BA260">
        <v>0</v>
      </c>
      <c r="BB260">
        <v>20.75</v>
      </c>
      <c r="BC260">
        <v>0</v>
      </c>
      <c r="BD260">
        <v>20.75</v>
      </c>
      <c r="BE260">
        <v>0</v>
      </c>
    </row>
    <row r="261" spans="1:57">
      <c r="A261" t="s">
        <v>17202</v>
      </c>
      <c r="B261" t="s">
        <v>20678</v>
      </c>
      <c r="C261">
        <v>0</v>
      </c>
      <c r="D261">
        <v>1</v>
      </c>
      <c r="E261">
        <v>1</v>
      </c>
      <c r="F261">
        <v>1</v>
      </c>
      <c r="G261">
        <v>0</v>
      </c>
      <c r="H261">
        <v>0</v>
      </c>
      <c r="I261">
        <v>0</v>
      </c>
      <c r="J261">
        <v>1</v>
      </c>
      <c r="K261">
        <v>14</v>
      </c>
      <c r="L261">
        <v>1</v>
      </c>
      <c r="M261">
        <v>0</v>
      </c>
      <c r="N261">
        <v>0</v>
      </c>
      <c r="O261">
        <v>0</v>
      </c>
      <c r="P261">
        <v>0</v>
      </c>
      <c r="Q261">
        <v>0</v>
      </c>
      <c r="R261">
        <v>0</v>
      </c>
      <c r="S261">
        <v>0.25</v>
      </c>
      <c r="T261">
        <v>0</v>
      </c>
      <c r="U261">
        <v>0</v>
      </c>
      <c r="V261">
        <v>0.25</v>
      </c>
      <c r="W261">
        <v>2.5</v>
      </c>
      <c r="X261">
        <v>0</v>
      </c>
      <c r="Y261">
        <v>1</v>
      </c>
      <c r="Z261">
        <v>0</v>
      </c>
      <c r="AA261">
        <v>0</v>
      </c>
      <c r="AB261">
        <v>0</v>
      </c>
      <c r="AC261">
        <v>14</v>
      </c>
      <c r="AD261">
        <v>14</v>
      </c>
      <c r="AE261">
        <v>14</v>
      </c>
      <c r="AF261">
        <v>14</v>
      </c>
      <c r="AG261">
        <v>16.5</v>
      </c>
      <c r="AH261">
        <v>2.5</v>
      </c>
      <c r="AI261">
        <v>0</v>
      </c>
      <c r="AJ261">
        <v>0</v>
      </c>
      <c r="AK261">
        <v>0</v>
      </c>
      <c r="AL261">
        <v>0</v>
      </c>
      <c r="AM261">
        <v>0</v>
      </c>
      <c r="AN261">
        <v>1</v>
      </c>
      <c r="AO261">
        <v>0</v>
      </c>
      <c r="AP261">
        <v>0</v>
      </c>
      <c r="AQ261">
        <v>0</v>
      </c>
      <c r="AR261">
        <v>0</v>
      </c>
      <c r="AS261">
        <v>0</v>
      </c>
      <c r="AT261">
        <v>14</v>
      </c>
      <c r="AU261">
        <v>0</v>
      </c>
      <c r="AV261">
        <v>14</v>
      </c>
      <c r="AW261">
        <v>0</v>
      </c>
      <c r="AX261">
        <v>0.25</v>
      </c>
      <c r="AY261">
        <v>0</v>
      </c>
      <c r="AZ261">
        <v>0.25</v>
      </c>
      <c r="BA261">
        <v>0</v>
      </c>
      <c r="BB261">
        <v>0</v>
      </c>
      <c r="BC261">
        <v>0</v>
      </c>
      <c r="BD261">
        <v>0</v>
      </c>
      <c r="BE261">
        <v>0</v>
      </c>
    </row>
    <row r="262" spans="1:57">
      <c r="A262" t="s">
        <v>17202</v>
      </c>
      <c r="B262" t="s">
        <v>19353</v>
      </c>
      <c r="C262">
        <v>0</v>
      </c>
      <c r="D262">
        <v>1</v>
      </c>
      <c r="E262">
        <v>0</v>
      </c>
      <c r="F262">
        <v>0</v>
      </c>
      <c r="G262">
        <v>0</v>
      </c>
      <c r="H262">
        <v>0</v>
      </c>
      <c r="I262">
        <v>0</v>
      </c>
      <c r="J262">
        <v>1</v>
      </c>
      <c r="K262">
        <v>9</v>
      </c>
      <c r="L262">
        <v>1</v>
      </c>
      <c r="M262">
        <v>0</v>
      </c>
      <c r="N262">
        <v>0</v>
      </c>
      <c r="O262">
        <v>0</v>
      </c>
      <c r="P262">
        <v>0</v>
      </c>
      <c r="Q262">
        <v>0</v>
      </c>
      <c r="R262">
        <v>0</v>
      </c>
      <c r="S262">
        <v>3</v>
      </c>
      <c r="T262">
        <v>8</v>
      </c>
      <c r="U262">
        <v>0</v>
      </c>
      <c r="V262">
        <v>11</v>
      </c>
      <c r="W262">
        <v>190</v>
      </c>
      <c r="X262">
        <v>0</v>
      </c>
      <c r="Y262">
        <v>0</v>
      </c>
      <c r="Z262">
        <v>1</v>
      </c>
      <c r="AA262">
        <v>0</v>
      </c>
      <c r="AB262">
        <v>130</v>
      </c>
      <c r="AC262">
        <v>0</v>
      </c>
      <c r="AD262">
        <v>0</v>
      </c>
      <c r="AE262">
        <v>130</v>
      </c>
      <c r="AF262">
        <v>130</v>
      </c>
      <c r="AG262">
        <v>190</v>
      </c>
      <c r="AH262">
        <v>60</v>
      </c>
      <c r="AI262">
        <v>0</v>
      </c>
      <c r="AJ262">
        <v>0</v>
      </c>
      <c r="AK262">
        <v>0</v>
      </c>
      <c r="AL262">
        <v>0</v>
      </c>
      <c r="AM262">
        <v>0</v>
      </c>
      <c r="AN262">
        <v>0</v>
      </c>
      <c r="AO262">
        <v>0</v>
      </c>
      <c r="AP262">
        <v>1</v>
      </c>
      <c r="AQ262">
        <v>0</v>
      </c>
      <c r="AR262">
        <v>0</v>
      </c>
      <c r="AS262">
        <v>0</v>
      </c>
      <c r="AT262">
        <v>9</v>
      </c>
      <c r="AU262">
        <v>0</v>
      </c>
      <c r="AV262">
        <v>9</v>
      </c>
      <c r="AW262">
        <v>0</v>
      </c>
      <c r="AX262">
        <v>3</v>
      </c>
      <c r="AY262">
        <v>0</v>
      </c>
      <c r="AZ262">
        <v>3</v>
      </c>
      <c r="BA262">
        <v>0</v>
      </c>
      <c r="BB262">
        <v>8</v>
      </c>
      <c r="BC262">
        <v>0</v>
      </c>
      <c r="BD262">
        <v>8</v>
      </c>
      <c r="BE262">
        <v>0</v>
      </c>
    </row>
    <row r="263" spans="1:57">
      <c r="A263" t="s">
        <v>17202</v>
      </c>
      <c r="B263" t="s">
        <v>19355</v>
      </c>
      <c r="C263">
        <v>0</v>
      </c>
      <c r="D263">
        <v>3</v>
      </c>
      <c r="E263">
        <v>2</v>
      </c>
      <c r="F263">
        <v>2</v>
      </c>
      <c r="G263">
        <v>0</v>
      </c>
      <c r="H263">
        <v>0</v>
      </c>
      <c r="I263">
        <v>0</v>
      </c>
      <c r="J263">
        <v>3</v>
      </c>
      <c r="K263">
        <v>15</v>
      </c>
      <c r="L263">
        <v>2</v>
      </c>
      <c r="M263">
        <v>0</v>
      </c>
      <c r="N263">
        <v>1</v>
      </c>
      <c r="O263">
        <v>0</v>
      </c>
      <c r="P263">
        <v>0</v>
      </c>
      <c r="Q263">
        <v>0</v>
      </c>
      <c r="R263">
        <v>0</v>
      </c>
      <c r="S263">
        <v>0.75</v>
      </c>
      <c r="T263">
        <v>0.5</v>
      </c>
      <c r="U263">
        <v>0</v>
      </c>
      <c r="V263">
        <v>1.25</v>
      </c>
      <c r="W263">
        <v>17.5</v>
      </c>
      <c r="X263">
        <v>0</v>
      </c>
      <c r="Y263">
        <v>3</v>
      </c>
      <c r="Z263">
        <v>0</v>
      </c>
      <c r="AA263">
        <v>0</v>
      </c>
      <c r="AB263">
        <v>0</v>
      </c>
      <c r="AC263">
        <v>21.75</v>
      </c>
      <c r="AD263">
        <v>21.75</v>
      </c>
      <c r="AE263">
        <v>21.75</v>
      </c>
      <c r="AF263">
        <v>21.75</v>
      </c>
      <c r="AG263">
        <v>39.25</v>
      </c>
      <c r="AH263">
        <v>17.5</v>
      </c>
      <c r="AI263">
        <v>0</v>
      </c>
      <c r="AJ263">
        <v>0</v>
      </c>
      <c r="AK263">
        <v>0</v>
      </c>
      <c r="AL263">
        <v>0</v>
      </c>
      <c r="AM263">
        <v>0</v>
      </c>
      <c r="AN263">
        <v>2</v>
      </c>
      <c r="AO263">
        <v>0</v>
      </c>
      <c r="AP263">
        <v>0</v>
      </c>
      <c r="AQ263">
        <v>0</v>
      </c>
      <c r="AR263">
        <v>0</v>
      </c>
      <c r="AS263">
        <v>0</v>
      </c>
      <c r="AT263">
        <v>15</v>
      </c>
      <c r="AU263">
        <v>0</v>
      </c>
      <c r="AV263">
        <v>15</v>
      </c>
      <c r="AW263">
        <v>0</v>
      </c>
      <c r="AX263">
        <v>0.75</v>
      </c>
      <c r="AY263">
        <v>0</v>
      </c>
      <c r="AZ263">
        <v>0.75</v>
      </c>
      <c r="BA263">
        <v>0</v>
      </c>
      <c r="BB263">
        <v>0.5</v>
      </c>
      <c r="BC263">
        <v>0</v>
      </c>
      <c r="BD263">
        <v>0.5</v>
      </c>
      <c r="BE263">
        <v>0</v>
      </c>
    </row>
    <row r="264" spans="1:57">
      <c r="A264" t="s">
        <v>17202</v>
      </c>
      <c r="B264" t="s">
        <v>18843</v>
      </c>
      <c r="C264">
        <v>0</v>
      </c>
      <c r="D264">
        <v>5</v>
      </c>
      <c r="E264">
        <v>5</v>
      </c>
      <c r="F264">
        <v>4</v>
      </c>
      <c r="G264">
        <v>0</v>
      </c>
      <c r="H264">
        <v>1</v>
      </c>
      <c r="I264">
        <v>1</v>
      </c>
      <c r="J264">
        <v>4</v>
      </c>
      <c r="K264">
        <v>35</v>
      </c>
      <c r="L264">
        <v>1</v>
      </c>
      <c r="M264">
        <v>0</v>
      </c>
      <c r="N264">
        <v>0</v>
      </c>
      <c r="O264">
        <v>3</v>
      </c>
      <c r="P264">
        <v>0</v>
      </c>
      <c r="Q264">
        <v>1</v>
      </c>
      <c r="R264">
        <v>0</v>
      </c>
      <c r="S264">
        <v>107</v>
      </c>
      <c r="T264">
        <v>1</v>
      </c>
      <c r="U264">
        <v>1</v>
      </c>
      <c r="V264">
        <v>109</v>
      </c>
      <c r="W264">
        <v>1090</v>
      </c>
      <c r="X264">
        <v>0</v>
      </c>
      <c r="Y264">
        <v>4</v>
      </c>
      <c r="Z264">
        <v>1</v>
      </c>
      <c r="AA264">
        <v>0</v>
      </c>
      <c r="AB264">
        <v>970</v>
      </c>
      <c r="AC264">
        <v>31.42</v>
      </c>
      <c r="AD264">
        <v>31.42</v>
      </c>
      <c r="AE264">
        <v>161.42000000000002</v>
      </c>
      <c r="AF264">
        <v>1001.42</v>
      </c>
      <c r="AG264">
        <v>1141.42</v>
      </c>
      <c r="AH264">
        <v>980</v>
      </c>
      <c r="AI264">
        <v>0</v>
      </c>
      <c r="AJ264">
        <v>0</v>
      </c>
      <c r="AK264">
        <v>70</v>
      </c>
      <c r="AL264">
        <v>70</v>
      </c>
      <c r="AM264">
        <v>0</v>
      </c>
      <c r="AN264">
        <v>1</v>
      </c>
      <c r="AO264">
        <v>0</v>
      </c>
      <c r="AP264">
        <v>1</v>
      </c>
      <c r="AQ264">
        <v>0</v>
      </c>
      <c r="AR264">
        <v>0</v>
      </c>
      <c r="AS264">
        <v>0</v>
      </c>
      <c r="AT264">
        <v>35</v>
      </c>
      <c r="AU264">
        <v>0</v>
      </c>
      <c r="AV264">
        <v>35</v>
      </c>
      <c r="AW264">
        <v>0</v>
      </c>
      <c r="AX264">
        <v>107</v>
      </c>
      <c r="AY264">
        <v>3</v>
      </c>
      <c r="AZ264">
        <v>104</v>
      </c>
      <c r="BA264">
        <v>0</v>
      </c>
      <c r="BB264">
        <v>1</v>
      </c>
      <c r="BC264">
        <v>1</v>
      </c>
      <c r="BD264">
        <v>0</v>
      </c>
      <c r="BE264">
        <v>0</v>
      </c>
    </row>
    <row r="265" spans="1:57">
      <c r="A265" t="s">
        <v>17140</v>
      </c>
      <c r="B265" t="s">
        <v>17155</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row>
    <row r="266" spans="1:57">
      <c r="A266" t="s">
        <v>17140</v>
      </c>
      <c r="B266" t="s">
        <v>17156</v>
      </c>
      <c r="C266">
        <v>0</v>
      </c>
      <c r="D266">
        <v>2</v>
      </c>
      <c r="E266">
        <v>2</v>
      </c>
      <c r="F266">
        <v>2</v>
      </c>
      <c r="G266">
        <v>0</v>
      </c>
      <c r="H266">
        <v>0</v>
      </c>
      <c r="I266">
        <v>0</v>
      </c>
      <c r="J266">
        <v>2</v>
      </c>
      <c r="K266">
        <v>22</v>
      </c>
      <c r="L266">
        <v>0</v>
      </c>
      <c r="M266">
        <v>2</v>
      </c>
      <c r="N266">
        <v>0</v>
      </c>
      <c r="O266">
        <v>0</v>
      </c>
      <c r="P266">
        <v>0</v>
      </c>
      <c r="Q266">
        <v>0</v>
      </c>
      <c r="R266">
        <v>0</v>
      </c>
      <c r="S266">
        <v>2</v>
      </c>
      <c r="T266">
        <v>0</v>
      </c>
      <c r="U266">
        <v>5</v>
      </c>
      <c r="V266">
        <v>7</v>
      </c>
      <c r="W266">
        <v>20</v>
      </c>
      <c r="X266">
        <v>0</v>
      </c>
      <c r="Y266">
        <v>2</v>
      </c>
      <c r="Z266">
        <v>0</v>
      </c>
      <c r="AA266">
        <v>0</v>
      </c>
      <c r="AB266">
        <v>0</v>
      </c>
      <c r="AC266">
        <v>0</v>
      </c>
      <c r="AD266">
        <v>0</v>
      </c>
      <c r="AE266">
        <v>0</v>
      </c>
      <c r="AF266">
        <v>0</v>
      </c>
      <c r="AG266">
        <v>120</v>
      </c>
      <c r="AH266">
        <v>120</v>
      </c>
      <c r="AI266">
        <v>0</v>
      </c>
      <c r="AJ266">
        <v>0</v>
      </c>
      <c r="AK266">
        <v>0</v>
      </c>
      <c r="AL266">
        <v>0</v>
      </c>
      <c r="AM266">
        <v>0</v>
      </c>
      <c r="AN266">
        <v>0</v>
      </c>
      <c r="AO266">
        <v>0</v>
      </c>
      <c r="AP266">
        <v>0</v>
      </c>
      <c r="AQ266">
        <v>0</v>
      </c>
      <c r="AR266">
        <v>0</v>
      </c>
      <c r="AS266">
        <v>0</v>
      </c>
      <c r="AT266">
        <v>22</v>
      </c>
      <c r="AU266">
        <v>0</v>
      </c>
      <c r="AV266">
        <v>22</v>
      </c>
      <c r="AW266">
        <v>0</v>
      </c>
      <c r="AX266">
        <v>2</v>
      </c>
      <c r="AY266">
        <v>0</v>
      </c>
      <c r="AZ266">
        <v>2</v>
      </c>
      <c r="BA266">
        <v>0</v>
      </c>
      <c r="BB266">
        <v>0</v>
      </c>
      <c r="BC266">
        <v>0</v>
      </c>
      <c r="BD266">
        <v>0</v>
      </c>
      <c r="BE266">
        <v>0</v>
      </c>
    </row>
    <row r="267" spans="1:57">
      <c r="A267" t="s">
        <v>17140</v>
      </c>
      <c r="B267" t="s">
        <v>17157</v>
      </c>
      <c r="C267">
        <v>0</v>
      </c>
      <c r="D267">
        <v>4</v>
      </c>
      <c r="E267">
        <v>4</v>
      </c>
      <c r="F267">
        <v>3</v>
      </c>
      <c r="G267">
        <v>0</v>
      </c>
      <c r="H267">
        <v>0</v>
      </c>
      <c r="I267">
        <v>0</v>
      </c>
      <c r="J267">
        <v>4</v>
      </c>
      <c r="K267">
        <v>29</v>
      </c>
      <c r="L267">
        <v>2</v>
      </c>
      <c r="M267">
        <v>1</v>
      </c>
      <c r="N267">
        <v>1</v>
      </c>
      <c r="O267">
        <v>0</v>
      </c>
      <c r="P267">
        <v>0</v>
      </c>
      <c r="Q267">
        <v>0</v>
      </c>
      <c r="R267">
        <v>0</v>
      </c>
      <c r="S267">
        <v>1.5</v>
      </c>
      <c r="T267">
        <v>0.5</v>
      </c>
      <c r="U267">
        <v>0</v>
      </c>
      <c r="V267">
        <v>2</v>
      </c>
      <c r="W267">
        <v>25</v>
      </c>
      <c r="X267">
        <v>0</v>
      </c>
      <c r="Y267">
        <v>1</v>
      </c>
      <c r="Z267">
        <v>0</v>
      </c>
      <c r="AA267">
        <v>0</v>
      </c>
      <c r="AB267">
        <v>0</v>
      </c>
      <c r="AC267">
        <v>0</v>
      </c>
      <c r="AD267">
        <v>0</v>
      </c>
      <c r="AE267">
        <v>0</v>
      </c>
      <c r="AF267">
        <v>0</v>
      </c>
      <c r="AG267">
        <v>25</v>
      </c>
      <c r="AH267">
        <v>25</v>
      </c>
      <c r="AI267">
        <v>0</v>
      </c>
      <c r="AJ267">
        <v>0</v>
      </c>
      <c r="AK267">
        <v>0</v>
      </c>
      <c r="AL267">
        <v>0</v>
      </c>
      <c r="AM267">
        <v>0</v>
      </c>
      <c r="AN267">
        <v>0</v>
      </c>
      <c r="AO267">
        <v>0</v>
      </c>
      <c r="AP267">
        <v>0</v>
      </c>
      <c r="AQ267">
        <v>0</v>
      </c>
      <c r="AR267">
        <v>0</v>
      </c>
      <c r="AS267">
        <v>0</v>
      </c>
      <c r="AT267">
        <v>29</v>
      </c>
      <c r="AU267">
        <v>0</v>
      </c>
      <c r="AV267">
        <v>29</v>
      </c>
      <c r="AW267">
        <v>0</v>
      </c>
      <c r="AX267">
        <v>1.5</v>
      </c>
      <c r="AY267">
        <v>0</v>
      </c>
      <c r="AZ267">
        <v>1.5</v>
      </c>
      <c r="BA267">
        <v>0</v>
      </c>
      <c r="BB267">
        <v>0.5</v>
      </c>
      <c r="BC267">
        <v>0</v>
      </c>
      <c r="BD267">
        <v>0.5</v>
      </c>
      <c r="BE267">
        <v>0</v>
      </c>
    </row>
    <row r="268" spans="1:57">
      <c r="A268" t="s">
        <v>17140</v>
      </c>
      <c r="B268" t="s">
        <v>17158</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row>
    <row r="269" spans="1:57">
      <c r="A269" t="s">
        <v>17140</v>
      </c>
      <c r="B269" t="s">
        <v>17159</v>
      </c>
      <c r="C269">
        <v>0</v>
      </c>
      <c r="D269">
        <v>4</v>
      </c>
      <c r="E269">
        <v>4</v>
      </c>
      <c r="F269">
        <v>4</v>
      </c>
      <c r="G269">
        <v>0</v>
      </c>
      <c r="H269">
        <v>0</v>
      </c>
      <c r="I269">
        <v>0</v>
      </c>
      <c r="J269">
        <v>4</v>
      </c>
      <c r="K269">
        <v>4</v>
      </c>
      <c r="L269">
        <v>4</v>
      </c>
      <c r="M269">
        <v>0</v>
      </c>
      <c r="N269">
        <v>0</v>
      </c>
      <c r="O269">
        <v>0</v>
      </c>
      <c r="P269">
        <v>0</v>
      </c>
      <c r="Q269">
        <v>0</v>
      </c>
      <c r="R269">
        <v>0</v>
      </c>
      <c r="S269">
        <v>1</v>
      </c>
      <c r="T269">
        <v>0</v>
      </c>
      <c r="U269">
        <v>0</v>
      </c>
      <c r="V269">
        <v>1</v>
      </c>
      <c r="W269">
        <v>10</v>
      </c>
      <c r="X269">
        <v>0</v>
      </c>
      <c r="Y269">
        <v>4</v>
      </c>
      <c r="Z269">
        <v>0</v>
      </c>
      <c r="AA269">
        <v>0</v>
      </c>
      <c r="AB269">
        <v>0</v>
      </c>
      <c r="AC269">
        <v>0</v>
      </c>
      <c r="AD269">
        <v>0</v>
      </c>
      <c r="AE269">
        <v>0</v>
      </c>
      <c r="AF269">
        <v>0</v>
      </c>
      <c r="AG269">
        <v>10</v>
      </c>
      <c r="AH269">
        <v>10</v>
      </c>
      <c r="AI269">
        <v>0</v>
      </c>
      <c r="AJ269">
        <v>0</v>
      </c>
      <c r="AK269">
        <v>0</v>
      </c>
      <c r="AL269">
        <v>0</v>
      </c>
      <c r="AM269">
        <v>0</v>
      </c>
      <c r="AN269">
        <v>0</v>
      </c>
      <c r="AO269">
        <v>0</v>
      </c>
      <c r="AP269">
        <v>0</v>
      </c>
      <c r="AQ269">
        <v>0</v>
      </c>
      <c r="AR269">
        <v>0</v>
      </c>
      <c r="AS269">
        <v>0</v>
      </c>
      <c r="AT269">
        <v>4</v>
      </c>
      <c r="AU269">
        <v>0</v>
      </c>
      <c r="AV269">
        <v>4</v>
      </c>
      <c r="AW269">
        <v>0</v>
      </c>
      <c r="AX269">
        <v>1.75</v>
      </c>
      <c r="AY269">
        <v>0</v>
      </c>
      <c r="AZ269">
        <v>1.75</v>
      </c>
      <c r="BA269">
        <v>0</v>
      </c>
      <c r="BB269">
        <v>0</v>
      </c>
      <c r="BC269">
        <v>0</v>
      </c>
      <c r="BD269">
        <v>0</v>
      </c>
      <c r="BE269">
        <v>0</v>
      </c>
    </row>
    <row r="270" spans="1:57">
      <c r="A270" t="s">
        <v>17140</v>
      </c>
      <c r="B270" t="s">
        <v>17160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row>
    <row r="271" spans="1:57">
      <c r="A271" t="s">
        <v>17140</v>
      </c>
      <c r="B271" t="s">
        <v>17161</v>
      </c>
      <c r="C271">
        <v>0</v>
      </c>
      <c r="D271">
        <v>1</v>
      </c>
      <c r="E271">
        <v>1</v>
      </c>
      <c r="F271">
        <v>1</v>
      </c>
      <c r="G271">
        <v>0</v>
      </c>
      <c r="H271">
        <v>0</v>
      </c>
      <c r="I271">
        <v>0</v>
      </c>
      <c r="J271">
        <v>1</v>
      </c>
      <c r="K271">
        <v>2</v>
      </c>
      <c r="L271">
        <v>0</v>
      </c>
      <c r="M271">
        <v>0</v>
      </c>
      <c r="N271">
        <v>0</v>
      </c>
      <c r="O271">
        <v>0</v>
      </c>
      <c r="P271">
        <v>1</v>
      </c>
      <c r="Q271">
        <v>0</v>
      </c>
      <c r="R271">
        <v>0</v>
      </c>
      <c r="S271">
        <v>0.25</v>
      </c>
      <c r="T271">
        <v>0.25</v>
      </c>
      <c r="U271">
        <v>0</v>
      </c>
      <c r="V271">
        <v>0.5</v>
      </c>
      <c r="W271">
        <v>7.5</v>
      </c>
      <c r="X271">
        <v>0</v>
      </c>
      <c r="Y271">
        <v>1</v>
      </c>
      <c r="Z271">
        <v>0</v>
      </c>
      <c r="AA271">
        <v>0</v>
      </c>
      <c r="AB271">
        <v>0</v>
      </c>
      <c r="AC271">
        <v>0</v>
      </c>
      <c r="AD271">
        <v>0</v>
      </c>
      <c r="AE271">
        <v>0</v>
      </c>
      <c r="AF271">
        <v>0</v>
      </c>
      <c r="AG271">
        <v>7.5</v>
      </c>
      <c r="AH271">
        <v>7.5</v>
      </c>
      <c r="AI271">
        <v>0</v>
      </c>
      <c r="AJ271">
        <v>0</v>
      </c>
      <c r="AK271">
        <v>0</v>
      </c>
      <c r="AL271">
        <v>0</v>
      </c>
      <c r="AM271">
        <v>0</v>
      </c>
      <c r="AN271">
        <v>0</v>
      </c>
      <c r="AO271">
        <v>0</v>
      </c>
      <c r="AP271">
        <v>0</v>
      </c>
      <c r="AQ271">
        <v>0</v>
      </c>
      <c r="AR271">
        <v>0</v>
      </c>
      <c r="AS271">
        <v>0</v>
      </c>
      <c r="AT271">
        <v>2</v>
      </c>
      <c r="AU271">
        <v>0</v>
      </c>
      <c r="AV271">
        <v>2</v>
      </c>
      <c r="AW271">
        <v>0</v>
      </c>
      <c r="AX271">
        <v>0.25</v>
      </c>
      <c r="AY271">
        <v>0</v>
      </c>
      <c r="AZ271">
        <v>0.25</v>
      </c>
      <c r="BA271">
        <v>0</v>
      </c>
      <c r="BB271">
        <v>0.25</v>
      </c>
      <c r="BC271">
        <v>0</v>
      </c>
      <c r="BD271">
        <v>0.25</v>
      </c>
      <c r="BE271">
        <v>0</v>
      </c>
    </row>
    <row r="272" spans="1:57">
      <c r="A272" t="s">
        <v>17140</v>
      </c>
      <c r="B272" t="s">
        <v>17161</v>
      </c>
      <c r="C272">
        <v>0</v>
      </c>
      <c r="D272">
        <v>15</v>
      </c>
      <c r="E272">
        <v>15</v>
      </c>
      <c r="F272">
        <v>8</v>
      </c>
      <c r="G272">
        <v>11</v>
      </c>
      <c r="H272">
        <v>0</v>
      </c>
      <c r="I272">
        <v>0</v>
      </c>
      <c r="J272">
        <v>15</v>
      </c>
      <c r="K272">
        <v>177</v>
      </c>
      <c r="L272">
        <v>8</v>
      </c>
      <c r="M272">
        <v>6</v>
      </c>
      <c r="N272">
        <v>0</v>
      </c>
      <c r="O272">
        <v>1</v>
      </c>
      <c r="P272">
        <v>1</v>
      </c>
      <c r="Q272">
        <v>0</v>
      </c>
      <c r="R272">
        <v>0</v>
      </c>
      <c r="S272">
        <v>3.75</v>
      </c>
      <c r="T272">
        <v>5.5</v>
      </c>
      <c r="U272">
        <v>0</v>
      </c>
      <c r="V272">
        <v>9.25</v>
      </c>
      <c r="W272">
        <v>147.5</v>
      </c>
      <c r="X272">
        <v>0</v>
      </c>
      <c r="Y272">
        <v>7</v>
      </c>
      <c r="Z272">
        <v>8</v>
      </c>
      <c r="AA272">
        <v>0</v>
      </c>
      <c r="AB272">
        <v>0</v>
      </c>
      <c r="AC272">
        <v>0</v>
      </c>
      <c r="AD272">
        <v>0</v>
      </c>
      <c r="AE272">
        <v>0</v>
      </c>
      <c r="AF272">
        <v>0</v>
      </c>
      <c r="AG272">
        <v>147.5</v>
      </c>
      <c r="AH272">
        <v>147.5</v>
      </c>
      <c r="AI272">
        <v>0</v>
      </c>
      <c r="AJ272">
        <v>0</v>
      </c>
      <c r="AK272">
        <v>0</v>
      </c>
      <c r="AL272">
        <v>0</v>
      </c>
      <c r="AM272">
        <v>0</v>
      </c>
      <c r="AN272">
        <v>0</v>
      </c>
      <c r="AO272">
        <v>0</v>
      </c>
      <c r="AP272">
        <v>0</v>
      </c>
      <c r="AQ272">
        <v>0</v>
      </c>
      <c r="AR272">
        <v>0</v>
      </c>
      <c r="AS272">
        <v>0</v>
      </c>
      <c r="AT272">
        <v>177</v>
      </c>
      <c r="AU272">
        <v>0</v>
      </c>
      <c r="AV272">
        <v>177</v>
      </c>
      <c r="AW272">
        <v>0</v>
      </c>
      <c r="AX272">
        <v>3.75</v>
      </c>
      <c r="AY272">
        <v>0</v>
      </c>
      <c r="AZ272">
        <v>3.75</v>
      </c>
      <c r="BA272">
        <v>0</v>
      </c>
      <c r="BB272">
        <v>5.5</v>
      </c>
      <c r="BC272">
        <v>0</v>
      </c>
      <c r="BD272">
        <v>5.5</v>
      </c>
      <c r="BE272">
        <v>0</v>
      </c>
    </row>
    <row r="273" spans="1:57">
      <c r="A273" t="s">
        <v>17140</v>
      </c>
      <c r="B273" t="s">
        <v>17141</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row>
    <row r="274" spans="1:57">
      <c r="A274" t="s">
        <v>17140</v>
      </c>
      <c r="B274" t="s">
        <v>17162</v>
      </c>
      <c r="C274">
        <v>0</v>
      </c>
      <c r="D274">
        <v>1</v>
      </c>
      <c r="E274">
        <v>1</v>
      </c>
      <c r="F274">
        <v>0</v>
      </c>
      <c r="G274">
        <v>0</v>
      </c>
      <c r="H274">
        <v>0</v>
      </c>
      <c r="I274">
        <v>0</v>
      </c>
      <c r="J274">
        <v>1</v>
      </c>
      <c r="K274">
        <v>13</v>
      </c>
      <c r="L274">
        <v>0</v>
      </c>
      <c r="M274">
        <v>0</v>
      </c>
      <c r="N274">
        <v>0</v>
      </c>
      <c r="O274">
        <v>1</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13</v>
      </c>
      <c r="AU274">
        <v>0</v>
      </c>
      <c r="AV274">
        <v>13</v>
      </c>
      <c r="AW274">
        <v>0</v>
      </c>
      <c r="AX274">
        <v>0</v>
      </c>
      <c r="AY274">
        <v>0</v>
      </c>
      <c r="AZ274">
        <v>0</v>
      </c>
      <c r="BA274">
        <v>0</v>
      </c>
      <c r="BB274">
        <v>0</v>
      </c>
      <c r="BC274">
        <v>0</v>
      </c>
      <c r="BD274">
        <v>0</v>
      </c>
      <c r="BE274">
        <v>0</v>
      </c>
    </row>
    <row r="275" spans="1:57">
      <c r="A275" t="s">
        <v>17140</v>
      </c>
      <c r="B275" t="s">
        <v>17164</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row>
    <row r="276" spans="1:57">
      <c r="A276" t="s">
        <v>17140</v>
      </c>
      <c r="B276" t="s">
        <v>17165</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row>
    <row r="277" spans="1:57">
      <c r="A277" t="s">
        <v>17140</v>
      </c>
      <c r="B277" t="s">
        <v>17166</v>
      </c>
      <c r="C277">
        <v>0</v>
      </c>
      <c r="D277">
        <v>7</v>
      </c>
      <c r="E277">
        <v>7</v>
      </c>
      <c r="F277">
        <v>7</v>
      </c>
      <c r="G277">
        <v>0</v>
      </c>
      <c r="H277">
        <v>0</v>
      </c>
      <c r="I277">
        <v>0</v>
      </c>
      <c r="J277">
        <v>7</v>
      </c>
      <c r="K277">
        <v>26</v>
      </c>
      <c r="L277">
        <v>2</v>
      </c>
      <c r="M277">
        <v>0</v>
      </c>
      <c r="N277">
        <v>3</v>
      </c>
      <c r="O277">
        <v>1</v>
      </c>
      <c r="P277">
        <v>0</v>
      </c>
      <c r="Q277">
        <v>1</v>
      </c>
      <c r="R277">
        <v>0</v>
      </c>
      <c r="S277">
        <v>2.5</v>
      </c>
      <c r="T277">
        <v>6.5</v>
      </c>
      <c r="U277">
        <v>0</v>
      </c>
      <c r="V277">
        <v>9</v>
      </c>
      <c r="W277">
        <v>155</v>
      </c>
      <c r="X277">
        <v>0</v>
      </c>
      <c r="Y277">
        <v>7</v>
      </c>
      <c r="Z277">
        <v>0</v>
      </c>
      <c r="AA277">
        <v>0</v>
      </c>
      <c r="AB277">
        <v>75</v>
      </c>
      <c r="AC277">
        <v>40.15</v>
      </c>
      <c r="AD277">
        <v>40.15</v>
      </c>
      <c r="AE277">
        <v>32.5</v>
      </c>
      <c r="AF277">
        <v>115.15</v>
      </c>
      <c r="AG277">
        <v>195.15</v>
      </c>
      <c r="AH277">
        <v>162.65</v>
      </c>
      <c r="AI277">
        <v>0</v>
      </c>
      <c r="AJ277">
        <v>0</v>
      </c>
      <c r="AK277">
        <v>0</v>
      </c>
      <c r="AL277">
        <v>0</v>
      </c>
      <c r="AM277">
        <v>2</v>
      </c>
      <c r="AN277">
        <v>1</v>
      </c>
      <c r="AO277">
        <v>0</v>
      </c>
      <c r="AP277">
        <v>0</v>
      </c>
      <c r="AQ277">
        <v>0</v>
      </c>
      <c r="AR277">
        <v>0</v>
      </c>
      <c r="AS277">
        <v>0</v>
      </c>
      <c r="AT277">
        <v>26</v>
      </c>
      <c r="AU277">
        <v>0</v>
      </c>
      <c r="AV277">
        <v>26</v>
      </c>
      <c r="AW277">
        <v>0</v>
      </c>
      <c r="AX277">
        <v>2.5</v>
      </c>
      <c r="AY277">
        <v>0</v>
      </c>
      <c r="AZ277">
        <v>2.5</v>
      </c>
      <c r="BA277">
        <v>0</v>
      </c>
      <c r="BB277">
        <v>6.5</v>
      </c>
      <c r="BC277">
        <v>0</v>
      </c>
      <c r="BD277">
        <v>6.5</v>
      </c>
      <c r="BE277">
        <v>0</v>
      </c>
    </row>
    <row r="278" spans="1:57">
      <c r="A278" t="s">
        <v>17140</v>
      </c>
      <c r="B278" t="s">
        <v>17168</v>
      </c>
      <c r="C278">
        <v>0</v>
      </c>
      <c r="D278">
        <v>1</v>
      </c>
      <c r="E278">
        <v>1</v>
      </c>
      <c r="F278">
        <v>1</v>
      </c>
      <c r="G278">
        <v>0</v>
      </c>
      <c r="H278">
        <v>0</v>
      </c>
      <c r="I278">
        <v>0</v>
      </c>
      <c r="J278">
        <v>1</v>
      </c>
      <c r="K278">
        <v>1</v>
      </c>
      <c r="L278">
        <v>1</v>
      </c>
      <c r="M278">
        <v>0</v>
      </c>
      <c r="N278">
        <v>0</v>
      </c>
      <c r="O278">
        <v>0</v>
      </c>
      <c r="P278">
        <v>0</v>
      </c>
      <c r="Q278">
        <v>0</v>
      </c>
      <c r="R278">
        <v>0</v>
      </c>
      <c r="S278">
        <v>0.25</v>
      </c>
      <c r="T278">
        <v>0.25</v>
      </c>
      <c r="U278">
        <v>0</v>
      </c>
      <c r="V278">
        <v>0.5</v>
      </c>
      <c r="W278">
        <v>7.5</v>
      </c>
      <c r="X278">
        <v>0</v>
      </c>
      <c r="Y278">
        <v>1</v>
      </c>
      <c r="Z278">
        <v>0</v>
      </c>
      <c r="AA278">
        <v>0</v>
      </c>
      <c r="AB278">
        <v>0</v>
      </c>
      <c r="AC278">
        <v>0</v>
      </c>
      <c r="AD278">
        <v>0</v>
      </c>
      <c r="AE278">
        <v>0</v>
      </c>
      <c r="AF278">
        <v>0</v>
      </c>
      <c r="AG278">
        <v>7.5</v>
      </c>
      <c r="AH278">
        <v>7.5</v>
      </c>
      <c r="AI278">
        <v>0</v>
      </c>
      <c r="AJ278">
        <v>0</v>
      </c>
      <c r="AK278">
        <v>0</v>
      </c>
      <c r="AL278">
        <v>0</v>
      </c>
      <c r="AM278">
        <v>0</v>
      </c>
      <c r="AN278">
        <v>0</v>
      </c>
      <c r="AO278">
        <v>0</v>
      </c>
      <c r="AP278">
        <v>0</v>
      </c>
      <c r="AQ278">
        <v>0</v>
      </c>
      <c r="AR278">
        <v>0</v>
      </c>
      <c r="AS278">
        <v>0</v>
      </c>
      <c r="AT278">
        <v>1</v>
      </c>
      <c r="AU278">
        <v>0</v>
      </c>
      <c r="AV278">
        <v>1</v>
      </c>
      <c r="AW278">
        <v>0</v>
      </c>
      <c r="AX278">
        <v>0.25</v>
      </c>
      <c r="AY278">
        <v>0</v>
      </c>
      <c r="AZ278">
        <v>0.25</v>
      </c>
      <c r="BA278">
        <v>0</v>
      </c>
      <c r="BB278">
        <v>0.25</v>
      </c>
      <c r="BC278">
        <v>0</v>
      </c>
      <c r="BD278">
        <v>0.25</v>
      </c>
      <c r="BE278">
        <v>0</v>
      </c>
    </row>
    <row r="279" spans="1:57">
      <c r="A279" t="s">
        <v>17169</v>
      </c>
      <c r="B279" t="s">
        <v>17170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row>
    <row r="280" spans="1:57">
      <c r="A280" t="s">
        <v>17169</v>
      </c>
      <c r="B280" t="s">
        <v>17319</v>
      </c>
      <c r="C280">
        <v>1</v>
      </c>
      <c r="D280">
        <v>18</v>
      </c>
      <c r="E280">
        <v>18</v>
      </c>
      <c r="F280">
        <v>14</v>
      </c>
      <c r="G280">
        <v>0</v>
      </c>
      <c r="H280">
        <v>1</v>
      </c>
      <c r="I280">
        <v>0</v>
      </c>
      <c r="J280">
        <v>17</v>
      </c>
      <c r="K280">
        <v>60</v>
      </c>
      <c r="L280">
        <v>17</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60</v>
      </c>
      <c r="AU280">
        <v>0</v>
      </c>
      <c r="AV280">
        <v>60</v>
      </c>
      <c r="AW280">
        <v>0</v>
      </c>
      <c r="AX280">
        <v>0</v>
      </c>
      <c r="AY280">
        <v>0</v>
      </c>
      <c r="AZ280">
        <v>0</v>
      </c>
      <c r="BA280">
        <v>0</v>
      </c>
      <c r="BB280">
        <v>0</v>
      </c>
      <c r="BC280">
        <v>0</v>
      </c>
      <c r="BD280">
        <v>0</v>
      </c>
      <c r="BE280">
        <v>0</v>
      </c>
    </row>
    <row r="281" spans="1:57">
      <c r="A281" t="s">
        <v>17169</v>
      </c>
      <c r="B281" t="s">
        <v>17172</v>
      </c>
      <c r="C281">
        <v>0</v>
      </c>
      <c r="D281">
        <v>30</v>
      </c>
      <c r="E281">
        <v>29</v>
      </c>
      <c r="F281">
        <v>15</v>
      </c>
      <c r="G281">
        <v>15</v>
      </c>
      <c r="H281">
        <v>9</v>
      </c>
      <c r="I281">
        <v>0</v>
      </c>
      <c r="J281">
        <v>29</v>
      </c>
      <c r="K281">
        <v>428</v>
      </c>
      <c r="L281">
        <v>6</v>
      </c>
      <c r="M281">
        <v>1</v>
      </c>
      <c r="N281">
        <v>7</v>
      </c>
      <c r="O281">
        <v>11</v>
      </c>
      <c r="P281">
        <v>0</v>
      </c>
      <c r="Q281">
        <v>4</v>
      </c>
      <c r="R281">
        <v>0</v>
      </c>
      <c r="S281">
        <v>17</v>
      </c>
      <c r="T281">
        <v>13.5</v>
      </c>
      <c r="U281">
        <v>0</v>
      </c>
      <c r="V281">
        <v>30.5</v>
      </c>
      <c r="W281">
        <v>440</v>
      </c>
      <c r="X281">
        <v>0</v>
      </c>
      <c r="Y281">
        <v>46</v>
      </c>
      <c r="Z281">
        <v>0</v>
      </c>
      <c r="AA281">
        <v>0</v>
      </c>
      <c r="AB281">
        <v>222.5</v>
      </c>
      <c r="AC281">
        <v>0</v>
      </c>
      <c r="AD281">
        <v>21.5</v>
      </c>
      <c r="AE281">
        <v>64</v>
      </c>
      <c r="AF281">
        <v>244</v>
      </c>
      <c r="AG281">
        <v>440</v>
      </c>
      <c r="AH281">
        <v>376</v>
      </c>
      <c r="AI281">
        <v>0</v>
      </c>
      <c r="AJ281">
        <v>0</v>
      </c>
      <c r="AK281">
        <v>30</v>
      </c>
      <c r="AL281">
        <v>30</v>
      </c>
      <c r="AM281">
        <v>0</v>
      </c>
      <c r="AN281">
        <v>3</v>
      </c>
      <c r="AO281">
        <v>0</v>
      </c>
      <c r="AP281">
        <v>0</v>
      </c>
      <c r="AQ281">
        <v>0</v>
      </c>
      <c r="AR281">
        <v>0</v>
      </c>
      <c r="AS281">
        <v>0</v>
      </c>
      <c r="AT281">
        <v>428</v>
      </c>
      <c r="AU281">
        <v>122</v>
      </c>
      <c r="AV281">
        <v>306</v>
      </c>
      <c r="AW281">
        <v>0</v>
      </c>
      <c r="AX281">
        <v>17</v>
      </c>
      <c r="AY281">
        <v>1</v>
      </c>
      <c r="AZ281">
        <v>16</v>
      </c>
      <c r="BA281">
        <v>0</v>
      </c>
      <c r="BB281">
        <v>13.5</v>
      </c>
      <c r="BC281">
        <v>1</v>
      </c>
      <c r="BD281">
        <v>12.5</v>
      </c>
      <c r="BE281">
        <v>0</v>
      </c>
    </row>
    <row r="282" spans="1:57">
      <c r="A282" t="s">
        <v>17169</v>
      </c>
      <c r="B282" t="s">
        <v>17173</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row>
    <row r="283" spans="1:57">
      <c r="A283" t="s">
        <v>17169</v>
      </c>
      <c r="B283" t="s">
        <v>17174</v>
      </c>
      <c r="C283">
        <v>0</v>
      </c>
      <c r="D283">
        <v>4</v>
      </c>
      <c r="E283">
        <v>4</v>
      </c>
      <c r="F283">
        <v>2</v>
      </c>
      <c r="G283">
        <v>0</v>
      </c>
      <c r="H283">
        <v>3</v>
      </c>
      <c r="I283">
        <v>1</v>
      </c>
      <c r="J283">
        <v>4</v>
      </c>
      <c r="K283">
        <v>82</v>
      </c>
      <c r="L283">
        <v>4</v>
      </c>
      <c r="M283">
        <v>0</v>
      </c>
      <c r="N283">
        <v>0</v>
      </c>
      <c r="O283">
        <v>0</v>
      </c>
      <c r="P283">
        <v>0</v>
      </c>
      <c r="Q283">
        <v>0</v>
      </c>
      <c r="R283">
        <v>0</v>
      </c>
      <c r="S283">
        <v>23</v>
      </c>
      <c r="T283">
        <v>0</v>
      </c>
      <c r="U283">
        <v>0</v>
      </c>
      <c r="V283">
        <v>23</v>
      </c>
      <c r="W283">
        <v>230</v>
      </c>
      <c r="X283">
        <v>0</v>
      </c>
      <c r="Y283">
        <v>4</v>
      </c>
      <c r="Z283">
        <v>0</v>
      </c>
      <c r="AA283">
        <v>0</v>
      </c>
      <c r="AB283">
        <v>110</v>
      </c>
      <c r="AC283">
        <v>15</v>
      </c>
      <c r="AD283">
        <v>0</v>
      </c>
      <c r="AE283">
        <v>0</v>
      </c>
      <c r="AF283">
        <v>110</v>
      </c>
      <c r="AG283">
        <v>245</v>
      </c>
      <c r="AH283">
        <v>245</v>
      </c>
      <c r="AI283">
        <v>0</v>
      </c>
      <c r="AJ283">
        <v>100</v>
      </c>
      <c r="AK283">
        <v>205</v>
      </c>
      <c r="AL283">
        <v>205</v>
      </c>
      <c r="AM283">
        <v>0</v>
      </c>
      <c r="AN283">
        <v>0</v>
      </c>
      <c r="AO283">
        <v>0</v>
      </c>
      <c r="AP283">
        <v>0</v>
      </c>
      <c r="AQ283">
        <v>0</v>
      </c>
      <c r="AR283">
        <v>0</v>
      </c>
      <c r="AS283">
        <v>0</v>
      </c>
      <c r="AT283">
        <v>82</v>
      </c>
      <c r="AU283">
        <v>71</v>
      </c>
      <c r="AV283">
        <v>11</v>
      </c>
      <c r="AW283">
        <v>0</v>
      </c>
      <c r="AX283">
        <v>23</v>
      </c>
      <c r="AY283">
        <v>19</v>
      </c>
      <c r="AZ283">
        <v>4</v>
      </c>
      <c r="BA283">
        <v>0</v>
      </c>
      <c r="BB283">
        <v>0</v>
      </c>
      <c r="BC283">
        <v>0</v>
      </c>
      <c r="BD283">
        <v>0</v>
      </c>
      <c r="BE283">
        <v>0</v>
      </c>
    </row>
    <row r="284" spans="1:57">
      <c r="A284" t="s">
        <v>17169</v>
      </c>
      <c r="B284" t="s">
        <v>17175</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row>
    <row r="285" spans="1:57">
      <c r="A285" t="s">
        <v>17169</v>
      </c>
      <c r="B285" t="s">
        <v>17176</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row>
    <row r="286" spans="1:57">
      <c r="A286" t="s">
        <v>17169</v>
      </c>
      <c r="B286" t="s">
        <v>17177</v>
      </c>
      <c r="C286">
        <v>0</v>
      </c>
      <c r="D286">
        <v>3</v>
      </c>
      <c r="E286">
        <v>3</v>
      </c>
      <c r="F286">
        <v>3</v>
      </c>
      <c r="G286">
        <v>2</v>
      </c>
      <c r="H286">
        <v>0</v>
      </c>
      <c r="I286">
        <v>0</v>
      </c>
      <c r="J286">
        <v>3</v>
      </c>
      <c r="K286">
        <v>46</v>
      </c>
      <c r="L286">
        <v>0</v>
      </c>
      <c r="M286">
        <v>0</v>
      </c>
      <c r="N286">
        <v>2</v>
      </c>
      <c r="O286">
        <v>1</v>
      </c>
      <c r="P286">
        <v>0</v>
      </c>
      <c r="Q286">
        <v>0</v>
      </c>
      <c r="R286">
        <v>0</v>
      </c>
      <c r="S286">
        <v>6</v>
      </c>
      <c r="T286">
        <v>1</v>
      </c>
      <c r="U286">
        <v>0</v>
      </c>
      <c r="V286">
        <v>7.25</v>
      </c>
      <c r="W286">
        <v>80</v>
      </c>
      <c r="X286">
        <v>0</v>
      </c>
      <c r="Y286">
        <v>3</v>
      </c>
      <c r="Z286">
        <v>0</v>
      </c>
      <c r="AA286">
        <v>0</v>
      </c>
      <c r="AB286">
        <v>0</v>
      </c>
      <c r="AC286">
        <v>0</v>
      </c>
      <c r="AD286">
        <v>24</v>
      </c>
      <c r="AE286">
        <v>24</v>
      </c>
      <c r="AF286">
        <v>24</v>
      </c>
      <c r="AG286">
        <v>80</v>
      </c>
      <c r="AH286">
        <v>60</v>
      </c>
      <c r="AI286">
        <v>0</v>
      </c>
      <c r="AJ286">
        <v>0</v>
      </c>
      <c r="AK286">
        <v>0</v>
      </c>
      <c r="AL286">
        <v>0</v>
      </c>
      <c r="AM286">
        <v>0</v>
      </c>
      <c r="AN286">
        <v>1</v>
      </c>
      <c r="AO286">
        <v>0</v>
      </c>
      <c r="AP286">
        <v>0</v>
      </c>
      <c r="AQ286">
        <v>0</v>
      </c>
      <c r="AR286">
        <v>0</v>
      </c>
      <c r="AS286">
        <v>0</v>
      </c>
      <c r="AT286">
        <v>46</v>
      </c>
      <c r="AU286">
        <v>0</v>
      </c>
      <c r="AV286">
        <v>46</v>
      </c>
      <c r="AW286">
        <v>0</v>
      </c>
      <c r="AX286">
        <v>6</v>
      </c>
      <c r="AY286">
        <v>0</v>
      </c>
      <c r="AZ286">
        <v>6</v>
      </c>
      <c r="BA286">
        <v>0</v>
      </c>
      <c r="BB286">
        <v>1</v>
      </c>
      <c r="BC286">
        <v>0</v>
      </c>
      <c r="BD286">
        <v>1</v>
      </c>
      <c r="BE286">
        <v>0</v>
      </c>
    </row>
    <row r="287" spans="1:57">
      <c r="A287" t="s">
        <v>17169</v>
      </c>
      <c r="B287" t="s">
        <v>17307</v>
      </c>
      <c r="C287">
        <v>0</v>
      </c>
      <c r="D287">
        <v>16</v>
      </c>
      <c r="E287">
        <v>16</v>
      </c>
      <c r="F287">
        <v>12</v>
      </c>
      <c r="G287">
        <v>0</v>
      </c>
      <c r="H287">
        <v>1</v>
      </c>
      <c r="I287">
        <v>1</v>
      </c>
      <c r="J287">
        <v>16</v>
      </c>
      <c r="K287">
        <v>164</v>
      </c>
      <c r="L287">
        <v>15</v>
      </c>
      <c r="M287">
        <v>0</v>
      </c>
      <c r="N287">
        <v>0</v>
      </c>
      <c r="O287">
        <v>0</v>
      </c>
      <c r="P287">
        <v>0</v>
      </c>
      <c r="Q287">
        <v>2</v>
      </c>
      <c r="R287">
        <v>0</v>
      </c>
      <c r="S287">
        <v>62.25</v>
      </c>
      <c r="T287">
        <v>40.5</v>
      </c>
      <c r="U287">
        <v>0</v>
      </c>
      <c r="V287">
        <v>102.75</v>
      </c>
      <c r="W287">
        <v>1432.5</v>
      </c>
      <c r="X287">
        <v>0</v>
      </c>
      <c r="Y287">
        <v>14</v>
      </c>
      <c r="Z287">
        <v>2</v>
      </c>
      <c r="AA287">
        <v>0</v>
      </c>
      <c r="AB287">
        <v>1175</v>
      </c>
      <c r="AC287">
        <v>3002.5</v>
      </c>
      <c r="AD287">
        <v>0</v>
      </c>
      <c r="AE287">
        <v>272.5</v>
      </c>
      <c r="AF287">
        <v>1175</v>
      </c>
      <c r="AG287">
        <v>4435</v>
      </c>
      <c r="AH287">
        <v>4162.5</v>
      </c>
      <c r="AI287">
        <v>0</v>
      </c>
      <c r="AJ287">
        <v>620</v>
      </c>
      <c r="AK287">
        <v>3680</v>
      </c>
      <c r="AL287">
        <v>3680</v>
      </c>
      <c r="AM287">
        <v>1</v>
      </c>
      <c r="AN287">
        <v>0</v>
      </c>
      <c r="AO287">
        <v>0</v>
      </c>
      <c r="AP287">
        <v>1</v>
      </c>
      <c r="AQ287">
        <v>0</v>
      </c>
      <c r="AR287">
        <v>0</v>
      </c>
      <c r="AS287">
        <v>0</v>
      </c>
      <c r="AT287">
        <v>164</v>
      </c>
      <c r="AU287">
        <v>20</v>
      </c>
      <c r="AV287">
        <v>132</v>
      </c>
      <c r="AW287">
        <v>0</v>
      </c>
      <c r="AX287">
        <v>62.25</v>
      </c>
      <c r="AY287">
        <v>36</v>
      </c>
      <c r="AZ287">
        <v>23.25</v>
      </c>
      <c r="BA287">
        <v>0</v>
      </c>
      <c r="BB287">
        <v>40.5</v>
      </c>
      <c r="BC287">
        <v>16</v>
      </c>
      <c r="BD287">
        <v>23</v>
      </c>
      <c r="BE287">
        <v>0</v>
      </c>
    </row>
    <row r="288" spans="1:57">
      <c r="A288" t="s">
        <v>17169</v>
      </c>
      <c r="B288" t="s">
        <v>18850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row>
    <row r="289" spans="1:57">
      <c r="A289" t="s">
        <v>17169</v>
      </c>
      <c r="B289" t="s">
        <v>17181</v>
      </c>
      <c r="C289">
        <v>0</v>
      </c>
      <c r="D289">
        <v>49</v>
      </c>
      <c r="E289">
        <v>48</v>
      </c>
      <c r="F289">
        <v>29</v>
      </c>
      <c r="G289">
        <v>6</v>
      </c>
      <c r="H289">
        <v>1</v>
      </c>
      <c r="I289">
        <v>0</v>
      </c>
      <c r="J289">
        <v>42</v>
      </c>
      <c r="K289">
        <v>1260</v>
      </c>
      <c r="L289">
        <v>30</v>
      </c>
      <c r="M289">
        <v>8</v>
      </c>
      <c r="N289">
        <v>0</v>
      </c>
      <c r="O289">
        <v>1</v>
      </c>
      <c r="P289">
        <v>0</v>
      </c>
      <c r="Q289">
        <v>2</v>
      </c>
      <c r="R289">
        <v>0</v>
      </c>
      <c r="S289">
        <v>39</v>
      </c>
      <c r="T289">
        <v>0</v>
      </c>
      <c r="U289">
        <v>0</v>
      </c>
      <c r="V289">
        <v>39</v>
      </c>
      <c r="W289">
        <v>390</v>
      </c>
      <c r="X289">
        <v>0</v>
      </c>
      <c r="Y289">
        <v>33</v>
      </c>
      <c r="Z289">
        <v>0</v>
      </c>
      <c r="AA289">
        <v>0</v>
      </c>
      <c r="AB289">
        <v>0</v>
      </c>
      <c r="AC289">
        <v>0</v>
      </c>
      <c r="AD289">
        <v>0</v>
      </c>
      <c r="AE289">
        <v>0</v>
      </c>
      <c r="AF289">
        <v>0</v>
      </c>
      <c r="AG289">
        <v>390</v>
      </c>
      <c r="AH289">
        <v>390</v>
      </c>
      <c r="AI289">
        <v>0</v>
      </c>
      <c r="AJ289">
        <v>0</v>
      </c>
      <c r="AK289">
        <v>0</v>
      </c>
      <c r="AL289">
        <v>0</v>
      </c>
      <c r="AM289">
        <v>0</v>
      </c>
      <c r="AN289">
        <v>0</v>
      </c>
      <c r="AO289">
        <v>0</v>
      </c>
      <c r="AP289">
        <v>0</v>
      </c>
      <c r="AQ289">
        <v>0</v>
      </c>
      <c r="AR289">
        <v>0</v>
      </c>
      <c r="AS289">
        <v>0</v>
      </c>
      <c r="AT289">
        <v>1260</v>
      </c>
      <c r="AU289">
        <v>0</v>
      </c>
      <c r="AV289">
        <v>1260</v>
      </c>
      <c r="AW289">
        <v>0</v>
      </c>
      <c r="AX289">
        <v>39</v>
      </c>
      <c r="AY289">
        <v>0</v>
      </c>
      <c r="AZ289">
        <v>39</v>
      </c>
      <c r="BA289">
        <v>0</v>
      </c>
      <c r="BB289">
        <v>0</v>
      </c>
      <c r="BC289">
        <v>0</v>
      </c>
      <c r="BD289">
        <v>0</v>
      </c>
      <c r="BE289">
        <v>0</v>
      </c>
    </row>
    <row r="290" spans="1:57">
      <c r="A290" t="s">
        <v>17169</v>
      </c>
      <c r="B290" t="s">
        <v>17183</v>
      </c>
      <c r="C290">
        <v>0</v>
      </c>
      <c r="D290">
        <v>83</v>
      </c>
      <c r="E290">
        <v>83</v>
      </c>
      <c r="F290">
        <v>76</v>
      </c>
      <c r="G290">
        <v>6</v>
      </c>
      <c r="H290">
        <v>4</v>
      </c>
      <c r="I290">
        <v>3</v>
      </c>
      <c r="J290">
        <v>80</v>
      </c>
      <c r="K290">
        <v>1126</v>
      </c>
      <c r="L290">
        <v>49</v>
      </c>
      <c r="M290">
        <v>4</v>
      </c>
      <c r="N290">
        <v>5</v>
      </c>
      <c r="O290">
        <v>22</v>
      </c>
      <c r="P290">
        <v>0</v>
      </c>
      <c r="Q290">
        <v>0</v>
      </c>
      <c r="R290">
        <v>0</v>
      </c>
      <c r="S290">
        <v>103</v>
      </c>
      <c r="T290">
        <v>48</v>
      </c>
      <c r="U290">
        <v>0</v>
      </c>
      <c r="V290">
        <v>151</v>
      </c>
      <c r="W290">
        <v>1990</v>
      </c>
      <c r="X290">
        <v>0</v>
      </c>
      <c r="Y290">
        <v>4</v>
      </c>
      <c r="Z290">
        <v>1</v>
      </c>
      <c r="AA290">
        <v>0</v>
      </c>
      <c r="AB290">
        <v>1810</v>
      </c>
      <c r="AC290">
        <v>74</v>
      </c>
      <c r="AD290">
        <v>0</v>
      </c>
      <c r="AE290">
        <v>1449</v>
      </c>
      <c r="AF290">
        <v>1810</v>
      </c>
      <c r="AG290">
        <v>2064</v>
      </c>
      <c r="AH290">
        <v>615</v>
      </c>
      <c r="AI290">
        <v>985</v>
      </c>
      <c r="AJ290">
        <v>1420</v>
      </c>
      <c r="AK290">
        <v>1510</v>
      </c>
      <c r="AL290">
        <v>525</v>
      </c>
      <c r="AM290">
        <v>0</v>
      </c>
      <c r="AN290">
        <v>1</v>
      </c>
      <c r="AO290">
        <v>0</v>
      </c>
      <c r="AP290">
        <v>5</v>
      </c>
      <c r="AQ290">
        <v>0</v>
      </c>
      <c r="AR290">
        <v>0</v>
      </c>
      <c r="AS290">
        <v>0</v>
      </c>
      <c r="AT290">
        <v>1126</v>
      </c>
      <c r="AU290">
        <v>134</v>
      </c>
      <c r="AV290">
        <v>984</v>
      </c>
      <c r="AW290">
        <v>0</v>
      </c>
      <c r="AX290">
        <v>103</v>
      </c>
      <c r="AY290">
        <v>71</v>
      </c>
      <c r="AZ290">
        <v>32</v>
      </c>
      <c r="BA290">
        <v>0</v>
      </c>
      <c r="BB290">
        <v>48</v>
      </c>
      <c r="BC290">
        <v>40</v>
      </c>
      <c r="BD290">
        <v>8</v>
      </c>
      <c r="BE290">
        <v>0</v>
      </c>
    </row>
    <row r="291" spans="1:57">
      <c r="A291" t="s">
        <v>17169</v>
      </c>
      <c r="B291" t="s">
        <v>19990</v>
      </c>
      <c r="C291">
        <v>0</v>
      </c>
      <c r="D291">
        <v>8</v>
      </c>
      <c r="E291">
        <v>0</v>
      </c>
      <c r="F291">
        <v>0</v>
      </c>
      <c r="G291">
        <v>0</v>
      </c>
      <c r="H291">
        <v>8</v>
      </c>
      <c r="I291">
        <v>0</v>
      </c>
      <c r="J291">
        <v>8</v>
      </c>
      <c r="K291">
        <v>253</v>
      </c>
      <c r="L291">
        <v>7</v>
      </c>
      <c r="M291">
        <v>1</v>
      </c>
      <c r="N291">
        <v>0</v>
      </c>
      <c r="O291">
        <v>0</v>
      </c>
      <c r="P291">
        <v>0</v>
      </c>
      <c r="Q291">
        <v>0</v>
      </c>
      <c r="R291">
        <v>1</v>
      </c>
      <c r="S291">
        <v>25</v>
      </c>
      <c r="T291">
        <v>10</v>
      </c>
      <c r="U291">
        <v>0</v>
      </c>
      <c r="V291">
        <v>35</v>
      </c>
      <c r="W291">
        <v>450</v>
      </c>
      <c r="X291">
        <v>0</v>
      </c>
      <c r="Y291">
        <v>3</v>
      </c>
      <c r="Z291">
        <v>0</v>
      </c>
      <c r="AA291">
        <v>0</v>
      </c>
      <c r="AB291">
        <v>360</v>
      </c>
      <c r="AC291">
        <v>428</v>
      </c>
      <c r="AD291">
        <v>0</v>
      </c>
      <c r="AE291">
        <v>0</v>
      </c>
      <c r="AF291">
        <v>360</v>
      </c>
      <c r="AG291">
        <v>878</v>
      </c>
      <c r="AH291">
        <v>878</v>
      </c>
      <c r="AI291">
        <v>0</v>
      </c>
      <c r="AJ291">
        <v>360</v>
      </c>
      <c r="AK291">
        <v>878</v>
      </c>
      <c r="AL291">
        <v>878</v>
      </c>
      <c r="AM291">
        <v>0</v>
      </c>
      <c r="AN291">
        <v>0</v>
      </c>
      <c r="AO291">
        <v>0</v>
      </c>
      <c r="AP291">
        <v>0</v>
      </c>
      <c r="AQ291">
        <v>0</v>
      </c>
      <c r="AR291">
        <v>0</v>
      </c>
      <c r="AS291">
        <v>0</v>
      </c>
      <c r="AT291">
        <v>253</v>
      </c>
      <c r="AU291">
        <v>253</v>
      </c>
      <c r="AV291">
        <v>0</v>
      </c>
      <c r="AW291">
        <v>0</v>
      </c>
      <c r="AX291">
        <v>25</v>
      </c>
      <c r="AY291">
        <v>25</v>
      </c>
      <c r="AZ291">
        <v>0</v>
      </c>
      <c r="BA291">
        <v>0</v>
      </c>
      <c r="BB291">
        <v>10</v>
      </c>
      <c r="BC291">
        <v>10</v>
      </c>
      <c r="BD291">
        <v>0</v>
      </c>
      <c r="BE291">
        <v>0</v>
      </c>
    </row>
    <row r="292" spans="1:57">
      <c r="A292" t="s">
        <v>17169</v>
      </c>
      <c r="B292" t="s">
        <v>17358</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row>
    <row r="293" spans="1:57">
      <c r="A293" t="s">
        <v>17300</v>
      </c>
      <c r="B293" t="s">
        <v>17301</v>
      </c>
      <c r="C293">
        <v>1</v>
      </c>
      <c r="D293">
        <v>8</v>
      </c>
      <c r="E293">
        <v>7</v>
      </c>
      <c r="F293">
        <v>8</v>
      </c>
      <c r="G293">
        <v>0</v>
      </c>
      <c r="H293">
        <v>0</v>
      </c>
      <c r="I293">
        <v>0</v>
      </c>
      <c r="J293">
        <v>8</v>
      </c>
      <c r="K293">
        <v>55</v>
      </c>
      <c r="L293">
        <v>4</v>
      </c>
      <c r="M293">
        <v>0</v>
      </c>
      <c r="N293">
        <v>3</v>
      </c>
      <c r="O293">
        <v>1</v>
      </c>
      <c r="P293">
        <v>0</v>
      </c>
      <c r="Q293">
        <v>0</v>
      </c>
      <c r="R293">
        <v>0</v>
      </c>
      <c r="S293">
        <v>5.25</v>
      </c>
      <c r="T293">
        <v>10.75</v>
      </c>
      <c r="U293">
        <v>11.75</v>
      </c>
      <c r="V293">
        <v>27.75</v>
      </c>
      <c r="W293">
        <v>265</v>
      </c>
      <c r="X293">
        <v>0</v>
      </c>
      <c r="Y293">
        <v>7</v>
      </c>
      <c r="Z293">
        <v>0</v>
      </c>
      <c r="AA293">
        <v>-2.5</v>
      </c>
      <c r="AB293">
        <v>175</v>
      </c>
      <c r="AC293">
        <v>0</v>
      </c>
      <c r="AD293">
        <v>0</v>
      </c>
      <c r="AE293">
        <v>0</v>
      </c>
      <c r="AF293">
        <v>175</v>
      </c>
      <c r="AG293">
        <v>500</v>
      </c>
      <c r="AH293">
        <v>500</v>
      </c>
      <c r="AI293">
        <v>0</v>
      </c>
      <c r="AJ293">
        <v>0</v>
      </c>
      <c r="AK293">
        <v>0</v>
      </c>
      <c r="AL293">
        <v>0</v>
      </c>
      <c r="AM293">
        <v>0</v>
      </c>
      <c r="AN293">
        <v>0</v>
      </c>
      <c r="AO293">
        <v>0</v>
      </c>
      <c r="AP293">
        <v>0</v>
      </c>
      <c r="AQ293">
        <v>0</v>
      </c>
      <c r="AR293">
        <v>0</v>
      </c>
      <c r="AS293">
        <v>0</v>
      </c>
      <c r="AT293">
        <v>55</v>
      </c>
      <c r="AU293">
        <v>0</v>
      </c>
      <c r="AV293">
        <v>52</v>
      </c>
      <c r="AW293">
        <v>3</v>
      </c>
      <c r="AX293">
        <v>5</v>
      </c>
      <c r="AY293">
        <v>0</v>
      </c>
      <c r="AZ293">
        <v>4.75</v>
      </c>
      <c r="BA293">
        <v>0.25</v>
      </c>
      <c r="BB293">
        <v>10.75</v>
      </c>
      <c r="BC293">
        <v>0</v>
      </c>
      <c r="BD293">
        <v>10.75</v>
      </c>
      <c r="BE293">
        <v>0</v>
      </c>
    </row>
    <row r="294" spans="1:57">
      <c r="A294" t="s">
        <v>17300</v>
      </c>
      <c r="B294" t="s">
        <v>17378</v>
      </c>
      <c r="C294">
        <v>0</v>
      </c>
      <c r="D294">
        <v>5</v>
      </c>
      <c r="E294">
        <v>5</v>
      </c>
      <c r="F294">
        <v>5</v>
      </c>
      <c r="G294">
        <v>0</v>
      </c>
      <c r="H294">
        <v>0</v>
      </c>
      <c r="I294">
        <v>0</v>
      </c>
      <c r="J294">
        <v>5</v>
      </c>
      <c r="K294">
        <v>48</v>
      </c>
      <c r="L294">
        <v>4</v>
      </c>
      <c r="M294">
        <v>0</v>
      </c>
      <c r="N294">
        <v>1</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48</v>
      </c>
      <c r="AU294">
        <v>0</v>
      </c>
      <c r="AV294">
        <v>48</v>
      </c>
      <c r="AW294">
        <v>0</v>
      </c>
      <c r="AX294">
        <v>0</v>
      </c>
      <c r="AY294">
        <v>0</v>
      </c>
      <c r="AZ294">
        <v>0</v>
      </c>
      <c r="BA294">
        <v>0</v>
      </c>
      <c r="BB294">
        <v>0</v>
      </c>
      <c r="BC294">
        <v>0</v>
      </c>
      <c r="BD294">
        <v>0</v>
      </c>
      <c r="BE294">
        <v>0</v>
      </c>
    </row>
    <row r="295" spans="1:57">
      <c r="A295" t="s">
        <v>17300</v>
      </c>
      <c r="B295" t="s">
        <v>17329</v>
      </c>
      <c r="C295">
        <v>0</v>
      </c>
      <c r="D295">
        <v>1</v>
      </c>
      <c r="E295">
        <v>1</v>
      </c>
      <c r="F295">
        <v>1</v>
      </c>
      <c r="G295">
        <v>0</v>
      </c>
      <c r="H295">
        <v>0</v>
      </c>
      <c r="I295">
        <v>0</v>
      </c>
      <c r="J295">
        <v>1</v>
      </c>
      <c r="K295">
        <v>6</v>
      </c>
      <c r="L295">
        <v>1</v>
      </c>
      <c r="M295">
        <v>0</v>
      </c>
      <c r="N295">
        <v>0</v>
      </c>
      <c r="O295">
        <v>0</v>
      </c>
      <c r="P295">
        <v>0</v>
      </c>
      <c r="Q295">
        <v>0</v>
      </c>
      <c r="R295">
        <v>0</v>
      </c>
      <c r="S295">
        <v>2</v>
      </c>
      <c r="T295">
        <v>0</v>
      </c>
      <c r="U295">
        <v>0</v>
      </c>
      <c r="V295">
        <v>2</v>
      </c>
      <c r="W295">
        <v>20</v>
      </c>
      <c r="X295">
        <v>0</v>
      </c>
      <c r="Y295">
        <v>1</v>
      </c>
      <c r="Z295">
        <v>0</v>
      </c>
      <c r="AA295">
        <v>0</v>
      </c>
      <c r="AB295">
        <v>0</v>
      </c>
      <c r="AC295">
        <v>0</v>
      </c>
      <c r="AD295">
        <v>0</v>
      </c>
      <c r="AE295">
        <v>0</v>
      </c>
      <c r="AF295">
        <v>0</v>
      </c>
      <c r="AG295">
        <v>20</v>
      </c>
      <c r="AH295">
        <v>20</v>
      </c>
      <c r="AI295">
        <v>0</v>
      </c>
      <c r="AJ295">
        <v>0</v>
      </c>
      <c r="AK295">
        <v>0</v>
      </c>
      <c r="AL295">
        <v>0</v>
      </c>
      <c r="AM295">
        <v>0</v>
      </c>
      <c r="AN295">
        <v>0</v>
      </c>
      <c r="AO295">
        <v>0</v>
      </c>
      <c r="AP295">
        <v>0</v>
      </c>
      <c r="AQ295">
        <v>0</v>
      </c>
      <c r="AR295">
        <v>0</v>
      </c>
      <c r="AS295">
        <v>0</v>
      </c>
      <c r="AT295">
        <v>6</v>
      </c>
      <c r="AU295">
        <v>0</v>
      </c>
      <c r="AV295">
        <v>6</v>
      </c>
      <c r="AW295">
        <v>0</v>
      </c>
      <c r="AX295">
        <v>2</v>
      </c>
      <c r="AY295">
        <v>0</v>
      </c>
      <c r="AZ295">
        <v>2</v>
      </c>
      <c r="BA295">
        <v>0</v>
      </c>
      <c r="BB295">
        <v>0</v>
      </c>
      <c r="BC295">
        <v>0</v>
      </c>
      <c r="BD295">
        <v>0</v>
      </c>
      <c r="BE295">
        <v>0</v>
      </c>
    </row>
    <row r="296" spans="1:57">
      <c r="A296" t="s">
        <v>17300</v>
      </c>
      <c r="B296" t="s">
        <v>17316</v>
      </c>
      <c r="C296">
        <v>4</v>
      </c>
      <c r="D296">
        <v>10</v>
      </c>
      <c r="E296">
        <v>10</v>
      </c>
      <c r="F296">
        <v>10</v>
      </c>
      <c r="G296">
        <v>0</v>
      </c>
      <c r="H296">
        <v>1</v>
      </c>
      <c r="I296">
        <v>1</v>
      </c>
      <c r="J296">
        <v>10</v>
      </c>
      <c r="K296">
        <v>84</v>
      </c>
      <c r="L296">
        <v>7</v>
      </c>
      <c r="M296">
        <v>3</v>
      </c>
      <c r="N296">
        <v>0</v>
      </c>
      <c r="O296">
        <v>0</v>
      </c>
      <c r="P296">
        <v>0</v>
      </c>
      <c r="Q296">
        <v>0</v>
      </c>
      <c r="R296">
        <v>0</v>
      </c>
      <c r="S296">
        <v>1</v>
      </c>
      <c r="T296">
        <v>1</v>
      </c>
      <c r="U296">
        <v>1</v>
      </c>
      <c r="V296">
        <v>3</v>
      </c>
      <c r="W296">
        <v>30</v>
      </c>
      <c r="X296">
        <v>0</v>
      </c>
      <c r="Y296">
        <v>4</v>
      </c>
      <c r="Z296">
        <v>0</v>
      </c>
      <c r="AA296">
        <v>0</v>
      </c>
      <c r="AB296">
        <v>0</v>
      </c>
      <c r="AC296">
        <v>0</v>
      </c>
      <c r="AD296">
        <v>0</v>
      </c>
      <c r="AE296">
        <v>0</v>
      </c>
      <c r="AF296">
        <v>0</v>
      </c>
      <c r="AG296">
        <v>50</v>
      </c>
      <c r="AH296">
        <v>50</v>
      </c>
      <c r="AI296">
        <v>0</v>
      </c>
      <c r="AJ296">
        <v>0</v>
      </c>
      <c r="AK296">
        <v>0</v>
      </c>
      <c r="AL296">
        <v>0</v>
      </c>
      <c r="AM296">
        <v>0</v>
      </c>
      <c r="AN296">
        <v>0</v>
      </c>
      <c r="AO296">
        <v>0</v>
      </c>
      <c r="AP296">
        <v>0</v>
      </c>
      <c r="AQ296">
        <v>0</v>
      </c>
      <c r="AR296">
        <v>0</v>
      </c>
      <c r="AS296">
        <v>0</v>
      </c>
      <c r="AT296">
        <v>84</v>
      </c>
      <c r="AU296">
        <v>43</v>
      </c>
      <c r="AV296">
        <v>32</v>
      </c>
      <c r="AW296">
        <v>52</v>
      </c>
      <c r="AX296">
        <v>1</v>
      </c>
      <c r="AY296">
        <v>0</v>
      </c>
      <c r="AZ296">
        <v>1</v>
      </c>
      <c r="BA296">
        <v>0</v>
      </c>
      <c r="BB296">
        <v>1</v>
      </c>
      <c r="BC296">
        <v>0</v>
      </c>
      <c r="BD296">
        <v>1</v>
      </c>
      <c r="BE296">
        <v>0</v>
      </c>
    </row>
    <row r="297" spans="1:57">
      <c r="A297" t="s">
        <v>17300</v>
      </c>
      <c r="B297" t="s">
        <v>17381</v>
      </c>
      <c r="C297">
        <v>5</v>
      </c>
      <c r="D297">
        <v>5</v>
      </c>
      <c r="E297">
        <v>0</v>
      </c>
      <c r="F297">
        <v>5</v>
      </c>
      <c r="G297">
        <v>0</v>
      </c>
      <c r="H297">
        <v>0</v>
      </c>
      <c r="I297">
        <v>0</v>
      </c>
      <c r="J297">
        <v>5</v>
      </c>
      <c r="K297">
        <v>48</v>
      </c>
      <c r="L297">
        <v>5</v>
      </c>
      <c r="M297">
        <v>0</v>
      </c>
      <c r="N297">
        <v>0</v>
      </c>
      <c r="O297">
        <v>0</v>
      </c>
      <c r="P297">
        <v>0</v>
      </c>
      <c r="Q297">
        <v>0</v>
      </c>
      <c r="R297">
        <v>0</v>
      </c>
      <c r="S297">
        <v>10.5</v>
      </c>
      <c r="T297">
        <v>7</v>
      </c>
      <c r="U297">
        <v>0</v>
      </c>
      <c r="V297">
        <v>17.5</v>
      </c>
      <c r="W297">
        <v>0</v>
      </c>
      <c r="X297">
        <v>0</v>
      </c>
      <c r="Y297">
        <v>0</v>
      </c>
      <c r="Z297">
        <v>0</v>
      </c>
      <c r="AA297">
        <v>-245</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48</v>
      </c>
      <c r="AU297">
        <v>0</v>
      </c>
      <c r="AV297">
        <v>0</v>
      </c>
      <c r="AW297">
        <v>48</v>
      </c>
      <c r="AX297">
        <v>10.5</v>
      </c>
      <c r="AY297">
        <v>0</v>
      </c>
      <c r="AZ297">
        <v>0</v>
      </c>
      <c r="BA297">
        <v>10.5</v>
      </c>
      <c r="BB297">
        <v>7</v>
      </c>
      <c r="BC297">
        <v>0</v>
      </c>
      <c r="BD297">
        <v>0</v>
      </c>
      <c r="BE297">
        <v>7</v>
      </c>
    </row>
    <row r="298" spans="1:57">
      <c r="A298" t="s">
        <v>17300</v>
      </c>
      <c r="B298" t="s">
        <v>17339</v>
      </c>
      <c r="C298">
        <v>0</v>
      </c>
      <c r="D298">
        <v>11</v>
      </c>
      <c r="E298">
        <v>0</v>
      </c>
      <c r="F298">
        <v>0</v>
      </c>
      <c r="G298">
        <v>0</v>
      </c>
      <c r="H298">
        <v>0</v>
      </c>
      <c r="I298">
        <v>0</v>
      </c>
      <c r="J298">
        <v>11</v>
      </c>
      <c r="K298">
        <v>21</v>
      </c>
      <c r="L298">
        <v>10</v>
      </c>
      <c r="M298">
        <v>1</v>
      </c>
      <c r="N298">
        <v>0</v>
      </c>
      <c r="O298">
        <v>0</v>
      </c>
      <c r="P298">
        <v>0</v>
      </c>
      <c r="Q298">
        <v>0</v>
      </c>
      <c r="R298">
        <v>0</v>
      </c>
      <c r="S298">
        <v>6</v>
      </c>
      <c r="T298">
        <v>0.85</v>
      </c>
      <c r="U298">
        <v>0</v>
      </c>
      <c r="V298">
        <v>6.85</v>
      </c>
      <c r="W298">
        <v>77</v>
      </c>
      <c r="X298">
        <v>0</v>
      </c>
      <c r="Y298">
        <v>11</v>
      </c>
      <c r="Z298">
        <v>0</v>
      </c>
      <c r="AA298">
        <v>0</v>
      </c>
      <c r="AB298">
        <v>0</v>
      </c>
      <c r="AC298">
        <v>0</v>
      </c>
      <c r="AD298">
        <v>0</v>
      </c>
      <c r="AE298">
        <v>0</v>
      </c>
      <c r="AF298">
        <v>0</v>
      </c>
      <c r="AG298">
        <v>77</v>
      </c>
      <c r="AH298">
        <v>77</v>
      </c>
      <c r="AI298">
        <v>0</v>
      </c>
      <c r="AJ298">
        <v>0</v>
      </c>
      <c r="AK298">
        <v>0</v>
      </c>
      <c r="AL298">
        <v>0</v>
      </c>
      <c r="AM298">
        <v>0</v>
      </c>
      <c r="AN298">
        <v>0</v>
      </c>
      <c r="AO298">
        <v>0</v>
      </c>
      <c r="AP298">
        <v>0</v>
      </c>
      <c r="AQ298">
        <v>0</v>
      </c>
      <c r="AR298">
        <v>0</v>
      </c>
      <c r="AS298">
        <v>0</v>
      </c>
      <c r="AT298">
        <v>21</v>
      </c>
      <c r="AU298">
        <v>0</v>
      </c>
      <c r="AV298">
        <v>21</v>
      </c>
      <c r="AW298">
        <v>0</v>
      </c>
      <c r="AX298">
        <v>6</v>
      </c>
      <c r="AY298">
        <v>0</v>
      </c>
      <c r="AZ298">
        <v>6</v>
      </c>
      <c r="BA298">
        <v>0</v>
      </c>
      <c r="BB298">
        <v>0.85</v>
      </c>
      <c r="BC298">
        <v>0</v>
      </c>
      <c r="BD298">
        <v>0.85</v>
      </c>
      <c r="BE298">
        <v>0</v>
      </c>
    </row>
    <row r="299" spans="1:57">
      <c r="A299" t="s">
        <v>17185</v>
      </c>
      <c r="B299" t="s">
        <v>17187</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row>
    <row r="300" spans="1:57">
      <c r="A300" t="s">
        <v>17188</v>
      </c>
      <c r="B300" t="s">
        <v>17189</v>
      </c>
      <c r="C300">
        <v>0</v>
      </c>
      <c r="D300">
        <v>20</v>
      </c>
      <c r="E300">
        <v>0</v>
      </c>
      <c r="F300">
        <v>0</v>
      </c>
      <c r="G300">
        <v>0</v>
      </c>
      <c r="H300">
        <v>2</v>
      </c>
      <c r="I300">
        <v>0</v>
      </c>
      <c r="J300">
        <v>20</v>
      </c>
      <c r="K300">
        <v>325</v>
      </c>
      <c r="L300">
        <v>9</v>
      </c>
      <c r="M300">
        <v>2</v>
      </c>
      <c r="N300">
        <v>1</v>
      </c>
      <c r="O300">
        <v>3</v>
      </c>
      <c r="P300">
        <v>1</v>
      </c>
      <c r="Q300">
        <v>4</v>
      </c>
      <c r="R300">
        <v>0</v>
      </c>
      <c r="S300">
        <v>240</v>
      </c>
      <c r="T300">
        <v>620</v>
      </c>
      <c r="U300">
        <v>0</v>
      </c>
      <c r="V300">
        <v>860</v>
      </c>
      <c r="W300">
        <v>14800</v>
      </c>
      <c r="X300">
        <v>0</v>
      </c>
      <c r="Y300">
        <v>3</v>
      </c>
      <c r="Z300">
        <v>0</v>
      </c>
      <c r="AA300">
        <v>0</v>
      </c>
      <c r="AB300">
        <v>14710</v>
      </c>
      <c r="AC300">
        <v>485</v>
      </c>
      <c r="AD300">
        <v>485</v>
      </c>
      <c r="AE300">
        <v>0</v>
      </c>
      <c r="AF300">
        <v>15195</v>
      </c>
      <c r="AG300">
        <v>15285</v>
      </c>
      <c r="AH300">
        <v>15285</v>
      </c>
      <c r="AI300">
        <v>0</v>
      </c>
      <c r="AJ300">
        <v>485</v>
      </c>
      <c r="AK300">
        <v>485</v>
      </c>
      <c r="AL300">
        <v>485</v>
      </c>
      <c r="AM300">
        <v>0</v>
      </c>
      <c r="AN300">
        <v>0</v>
      </c>
      <c r="AO300">
        <v>0</v>
      </c>
      <c r="AP300">
        <v>0</v>
      </c>
      <c r="AQ300">
        <v>0</v>
      </c>
      <c r="AR300">
        <v>0</v>
      </c>
      <c r="AS300">
        <v>0</v>
      </c>
      <c r="AT300">
        <v>325</v>
      </c>
      <c r="AU300">
        <v>96</v>
      </c>
      <c r="AV300">
        <v>229</v>
      </c>
      <c r="AW300">
        <v>0</v>
      </c>
      <c r="AX300">
        <v>240</v>
      </c>
      <c r="AY300">
        <v>0</v>
      </c>
      <c r="AZ300">
        <v>240</v>
      </c>
      <c r="BA300">
        <v>0</v>
      </c>
      <c r="BB300">
        <v>620</v>
      </c>
      <c r="BC300">
        <v>0</v>
      </c>
      <c r="BD300">
        <v>620</v>
      </c>
      <c r="BE300">
        <v>0</v>
      </c>
    </row>
    <row r="301" spans="1:57">
      <c r="A301" t="s">
        <v>17188</v>
      </c>
      <c r="B301" t="s">
        <v>17189</v>
      </c>
      <c r="C301">
        <v>1</v>
      </c>
      <c r="D301">
        <v>16</v>
      </c>
      <c r="E301">
        <v>0</v>
      </c>
      <c r="F301">
        <v>0</v>
      </c>
      <c r="G301">
        <v>0</v>
      </c>
      <c r="H301">
        <v>0</v>
      </c>
      <c r="I301">
        <v>0</v>
      </c>
      <c r="J301">
        <v>16</v>
      </c>
      <c r="K301">
        <v>170</v>
      </c>
      <c r="L301">
        <v>6</v>
      </c>
      <c r="M301">
        <v>4</v>
      </c>
      <c r="N301">
        <v>1</v>
      </c>
      <c r="O301">
        <v>1</v>
      </c>
      <c r="P301">
        <v>2</v>
      </c>
      <c r="Q301">
        <v>2</v>
      </c>
      <c r="R301">
        <v>0</v>
      </c>
      <c r="S301">
        <v>62724</v>
      </c>
      <c r="T301">
        <v>125578</v>
      </c>
      <c r="U301">
        <v>3</v>
      </c>
      <c r="V301">
        <v>188305</v>
      </c>
      <c r="W301">
        <v>3138800</v>
      </c>
      <c r="X301">
        <v>0</v>
      </c>
      <c r="Y301">
        <v>5</v>
      </c>
      <c r="Z301">
        <v>2</v>
      </c>
      <c r="AA301">
        <v>0</v>
      </c>
      <c r="AB301">
        <v>3138590</v>
      </c>
      <c r="AC301">
        <v>250</v>
      </c>
      <c r="AD301">
        <v>0</v>
      </c>
      <c r="AE301">
        <v>20</v>
      </c>
      <c r="AF301">
        <v>3138590</v>
      </c>
      <c r="AG301">
        <v>3139110</v>
      </c>
      <c r="AH301">
        <v>3139090</v>
      </c>
      <c r="AI301">
        <v>0</v>
      </c>
      <c r="AJ301">
        <v>0</v>
      </c>
      <c r="AK301">
        <v>0</v>
      </c>
      <c r="AL301">
        <v>0</v>
      </c>
      <c r="AM301">
        <v>0</v>
      </c>
      <c r="AN301">
        <v>2</v>
      </c>
      <c r="AO301">
        <v>0</v>
      </c>
      <c r="AP301">
        <v>0</v>
      </c>
      <c r="AQ301">
        <v>0</v>
      </c>
      <c r="AR301">
        <v>0</v>
      </c>
      <c r="AS301">
        <v>0</v>
      </c>
      <c r="AT301">
        <v>170</v>
      </c>
      <c r="AU301">
        <v>0</v>
      </c>
      <c r="AV301">
        <v>162</v>
      </c>
      <c r="AW301">
        <v>8</v>
      </c>
      <c r="AX301">
        <v>62724</v>
      </c>
      <c r="AY301">
        <v>0</v>
      </c>
      <c r="AZ301">
        <v>62724</v>
      </c>
      <c r="BA301">
        <v>0</v>
      </c>
      <c r="BB301">
        <v>125578</v>
      </c>
      <c r="BC301">
        <v>0</v>
      </c>
      <c r="BD301">
        <v>125578</v>
      </c>
      <c r="BE301">
        <v>0</v>
      </c>
    </row>
    <row r="302" spans="1:57">
      <c r="A302" t="s">
        <v>17191</v>
      </c>
      <c r="B302" t="s">
        <v>17192</v>
      </c>
      <c r="C302">
        <v>0</v>
      </c>
      <c r="D302">
        <v>9</v>
      </c>
      <c r="E302">
        <v>8</v>
      </c>
      <c r="F302">
        <v>6</v>
      </c>
      <c r="G302">
        <v>1</v>
      </c>
      <c r="H302">
        <v>3</v>
      </c>
      <c r="I302">
        <v>1</v>
      </c>
      <c r="J302">
        <v>8</v>
      </c>
      <c r="K302">
        <v>253</v>
      </c>
      <c r="L302">
        <v>4</v>
      </c>
      <c r="M302">
        <v>2</v>
      </c>
      <c r="N302">
        <v>0</v>
      </c>
      <c r="O302">
        <v>1</v>
      </c>
      <c r="P302">
        <v>0</v>
      </c>
      <c r="Q302">
        <v>1</v>
      </c>
      <c r="R302">
        <v>1</v>
      </c>
      <c r="S302">
        <v>0.25</v>
      </c>
      <c r="T302">
        <v>9</v>
      </c>
      <c r="U302">
        <v>8.5</v>
      </c>
      <c r="V302">
        <v>17.75</v>
      </c>
      <c r="W302">
        <v>182.5</v>
      </c>
      <c r="X302">
        <v>0</v>
      </c>
      <c r="Y302">
        <v>2</v>
      </c>
      <c r="Z302">
        <v>0</v>
      </c>
      <c r="AA302">
        <v>0</v>
      </c>
      <c r="AB302">
        <v>130</v>
      </c>
      <c r="AC302">
        <v>0</v>
      </c>
      <c r="AD302">
        <v>108</v>
      </c>
      <c r="AE302">
        <v>147</v>
      </c>
      <c r="AF302">
        <v>238</v>
      </c>
      <c r="AG302">
        <v>352.5</v>
      </c>
      <c r="AH302">
        <v>205.5</v>
      </c>
      <c r="AI302">
        <v>147</v>
      </c>
      <c r="AJ302">
        <v>147</v>
      </c>
      <c r="AK302">
        <v>330</v>
      </c>
      <c r="AL302">
        <v>183</v>
      </c>
      <c r="AM302">
        <v>0</v>
      </c>
      <c r="AN302">
        <v>0</v>
      </c>
      <c r="AO302">
        <v>0</v>
      </c>
      <c r="AP302">
        <v>1</v>
      </c>
      <c r="AQ302">
        <v>0</v>
      </c>
      <c r="AR302">
        <v>0</v>
      </c>
      <c r="AS302">
        <v>0</v>
      </c>
      <c r="AT302">
        <v>253</v>
      </c>
      <c r="AU302">
        <v>39</v>
      </c>
      <c r="AV302">
        <v>214</v>
      </c>
      <c r="AW302">
        <v>0</v>
      </c>
      <c r="AX302">
        <v>0.25</v>
      </c>
      <c r="AY302">
        <v>0</v>
      </c>
      <c r="AZ302">
        <v>0.25</v>
      </c>
      <c r="BA302">
        <v>0</v>
      </c>
      <c r="BB302">
        <v>9</v>
      </c>
      <c r="BC302">
        <v>8</v>
      </c>
      <c r="BD302">
        <v>1</v>
      </c>
      <c r="BE302">
        <v>0</v>
      </c>
    </row>
    <row r="303" spans="1:57">
      <c r="A303" t="s">
        <v>17193</v>
      </c>
      <c r="B303" t="s">
        <v>17194</v>
      </c>
      <c r="C303">
        <v>0</v>
      </c>
      <c r="D303">
        <v>13</v>
      </c>
      <c r="E303">
        <v>13</v>
      </c>
      <c r="F303">
        <v>13</v>
      </c>
      <c r="G303">
        <v>0</v>
      </c>
      <c r="H303">
        <v>0</v>
      </c>
      <c r="I303">
        <v>0</v>
      </c>
      <c r="J303">
        <v>13</v>
      </c>
      <c r="K303">
        <v>74</v>
      </c>
      <c r="L303">
        <v>11</v>
      </c>
      <c r="M303">
        <v>1</v>
      </c>
      <c r="N303">
        <v>1</v>
      </c>
      <c r="O303">
        <v>0</v>
      </c>
      <c r="P303">
        <v>0</v>
      </c>
      <c r="Q303">
        <v>0</v>
      </c>
      <c r="R303">
        <v>0</v>
      </c>
      <c r="S303">
        <v>4</v>
      </c>
      <c r="T303">
        <v>1.25</v>
      </c>
      <c r="U303">
        <v>0</v>
      </c>
      <c r="V303">
        <v>5.25</v>
      </c>
      <c r="W303">
        <v>65</v>
      </c>
      <c r="X303">
        <v>0</v>
      </c>
      <c r="Y303">
        <v>9</v>
      </c>
      <c r="Z303">
        <v>4</v>
      </c>
      <c r="AA303">
        <v>0</v>
      </c>
      <c r="AB303">
        <v>0</v>
      </c>
      <c r="AC303">
        <v>0</v>
      </c>
      <c r="AD303">
        <v>0</v>
      </c>
      <c r="AE303">
        <v>0</v>
      </c>
      <c r="AF303">
        <v>0</v>
      </c>
      <c r="AG303">
        <v>65</v>
      </c>
      <c r="AH303">
        <v>65</v>
      </c>
      <c r="AI303">
        <v>0</v>
      </c>
      <c r="AJ303">
        <v>0</v>
      </c>
      <c r="AK303">
        <v>0</v>
      </c>
      <c r="AL303">
        <v>0</v>
      </c>
      <c r="AM303">
        <v>0</v>
      </c>
      <c r="AN303">
        <v>0</v>
      </c>
      <c r="AO303">
        <v>0</v>
      </c>
      <c r="AP303">
        <v>0</v>
      </c>
      <c r="AQ303">
        <v>0</v>
      </c>
      <c r="AR303">
        <v>0</v>
      </c>
      <c r="AS303">
        <v>0</v>
      </c>
      <c r="AT303">
        <v>74</v>
      </c>
      <c r="AU303">
        <v>0</v>
      </c>
      <c r="AV303">
        <v>74</v>
      </c>
      <c r="AW303">
        <v>0</v>
      </c>
      <c r="AX303">
        <v>4</v>
      </c>
      <c r="AY303">
        <v>0</v>
      </c>
      <c r="AZ303">
        <v>4</v>
      </c>
      <c r="BA303">
        <v>0</v>
      </c>
      <c r="BB303">
        <v>1.25</v>
      </c>
      <c r="BC303">
        <v>0</v>
      </c>
      <c r="BD303">
        <v>1.25</v>
      </c>
      <c r="BE303">
        <v>0</v>
      </c>
    </row>
    <row r="304" spans="1:57">
      <c r="A304" t="s">
        <v>17193</v>
      </c>
      <c r="B304" t="s">
        <v>17195</v>
      </c>
      <c r="C304">
        <v>4</v>
      </c>
      <c r="D304">
        <v>28</v>
      </c>
      <c r="E304">
        <v>28</v>
      </c>
      <c r="F304">
        <v>20</v>
      </c>
      <c r="G304">
        <v>4</v>
      </c>
      <c r="H304">
        <v>4</v>
      </c>
      <c r="I304">
        <v>2</v>
      </c>
      <c r="J304">
        <v>28</v>
      </c>
      <c r="K304">
        <v>555</v>
      </c>
      <c r="L304">
        <v>23</v>
      </c>
      <c r="M304">
        <v>1</v>
      </c>
      <c r="N304">
        <v>2</v>
      </c>
      <c r="O304">
        <v>0</v>
      </c>
      <c r="P304">
        <v>0</v>
      </c>
      <c r="Q304">
        <v>2</v>
      </c>
      <c r="R304">
        <v>0</v>
      </c>
      <c r="S304">
        <v>222.25</v>
      </c>
      <c r="T304">
        <v>20.5</v>
      </c>
      <c r="U304">
        <v>0</v>
      </c>
      <c r="V304">
        <v>242.75</v>
      </c>
      <c r="W304">
        <v>2605</v>
      </c>
      <c r="X304">
        <v>0</v>
      </c>
      <c r="Y304">
        <v>24</v>
      </c>
      <c r="Z304">
        <v>0</v>
      </c>
      <c r="AA304">
        <v>-27.5</v>
      </c>
      <c r="AB304">
        <v>2360</v>
      </c>
      <c r="AC304">
        <v>238.65</v>
      </c>
      <c r="AD304">
        <v>1.9</v>
      </c>
      <c r="AE304">
        <v>393.15</v>
      </c>
      <c r="AF304">
        <v>2361.9</v>
      </c>
      <c r="AG304">
        <v>2843.65</v>
      </c>
      <c r="AH304">
        <v>2575.75</v>
      </c>
      <c r="AI304">
        <v>1.9</v>
      </c>
      <c r="AJ304">
        <v>2361.9</v>
      </c>
      <c r="AK304">
        <v>2424.4</v>
      </c>
      <c r="AL304">
        <v>2422.5</v>
      </c>
      <c r="AM304">
        <v>1</v>
      </c>
      <c r="AN304">
        <v>5</v>
      </c>
      <c r="AO304">
        <v>2</v>
      </c>
      <c r="AP304">
        <v>1</v>
      </c>
      <c r="AQ304">
        <v>0</v>
      </c>
      <c r="AR304">
        <v>0</v>
      </c>
      <c r="AS304">
        <v>0</v>
      </c>
      <c r="AT304">
        <v>555</v>
      </c>
      <c r="AU304">
        <v>112</v>
      </c>
      <c r="AV304">
        <v>425</v>
      </c>
      <c r="AW304">
        <v>31</v>
      </c>
      <c r="AX304">
        <v>222.25</v>
      </c>
      <c r="AY304">
        <v>203.25</v>
      </c>
      <c r="AZ304">
        <v>18.25</v>
      </c>
      <c r="BA304">
        <v>1.75</v>
      </c>
      <c r="BB304">
        <v>20.5</v>
      </c>
      <c r="BC304">
        <v>20</v>
      </c>
      <c r="BD304">
        <v>0</v>
      </c>
      <c r="BE304">
        <v>0</v>
      </c>
    </row>
    <row r="305" spans="1:57">
      <c r="A305" t="s">
        <v>17193</v>
      </c>
      <c r="B305" t="s">
        <v>17196</v>
      </c>
      <c r="C305">
        <v>0</v>
      </c>
      <c r="D305">
        <v>9</v>
      </c>
      <c r="E305">
        <v>9</v>
      </c>
      <c r="F305">
        <v>4</v>
      </c>
      <c r="G305">
        <v>7</v>
      </c>
      <c r="H305">
        <v>7</v>
      </c>
      <c r="I305">
        <v>0</v>
      </c>
      <c r="J305">
        <v>8</v>
      </c>
      <c r="K305">
        <v>77</v>
      </c>
      <c r="L305">
        <v>1</v>
      </c>
      <c r="M305">
        <v>0</v>
      </c>
      <c r="N305">
        <v>0</v>
      </c>
      <c r="O305">
        <v>0</v>
      </c>
      <c r="P305">
        <v>0</v>
      </c>
      <c r="Q305">
        <v>7</v>
      </c>
      <c r="R305">
        <v>0</v>
      </c>
      <c r="S305">
        <v>210.25</v>
      </c>
      <c r="T305">
        <v>440</v>
      </c>
      <c r="U305">
        <v>0</v>
      </c>
      <c r="V305">
        <v>650.25</v>
      </c>
      <c r="W305">
        <v>10902.5</v>
      </c>
      <c r="X305">
        <v>0</v>
      </c>
      <c r="Y305">
        <v>8</v>
      </c>
      <c r="Z305">
        <v>0</v>
      </c>
      <c r="AA305">
        <v>0</v>
      </c>
      <c r="AB305">
        <v>10690</v>
      </c>
      <c r="AC305">
        <v>9977.5</v>
      </c>
      <c r="AD305">
        <v>9977.7999999999993</v>
      </c>
      <c r="AE305">
        <v>0</v>
      </c>
      <c r="AF305">
        <v>20667.8</v>
      </c>
      <c r="AG305">
        <v>20880</v>
      </c>
      <c r="AH305">
        <v>20880</v>
      </c>
      <c r="AI305">
        <v>0</v>
      </c>
      <c r="AJ305">
        <v>20667.8</v>
      </c>
      <c r="AK305">
        <v>20877.5</v>
      </c>
      <c r="AL305">
        <v>20877.5</v>
      </c>
      <c r="AM305">
        <v>0</v>
      </c>
      <c r="AN305">
        <v>0</v>
      </c>
      <c r="AO305">
        <v>0</v>
      </c>
      <c r="AP305">
        <v>0</v>
      </c>
      <c r="AQ305">
        <v>0</v>
      </c>
      <c r="AR305">
        <v>0</v>
      </c>
      <c r="AS305">
        <v>0</v>
      </c>
      <c r="AT305">
        <v>77</v>
      </c>
      <c r="AU305">
        <v>68</v>
      </c>
      <c r="AV305">
        <v>9</v>
      </c>
      <c r="AW305">
        <v>0</v>
      </c>
      <c r="AX305">
        <v>210.25</v>
      </c>
      <c r="AY305">
        <v>210</v>
      </c>
      <c r="AZ305">
        <v>0.25</v>
      </c>
      <c r="BA305">
        <v>0</v>
      </c>
      <c r="BB305">
        <v>440</v>
      </c>
      <c r="BC305">
        <v>440</v>
      </c>
      <c r="BD305">
        <v>0</v>
      </c>
      <c r="BE305">
        <v>0</v>
      </c>
    </row>
    <row r="306" spans="1:57">
      <c r="A306" t="s">
        <v>17193</v>
      </c>
      <c r="B306" t="s">
        <v>17206</v>
      </c>
      <c r="C306">
        <v>30</v>
      </c>
      <c r="D306">
        <v>41</v>
      </c>
      <c r="E306">
        <v>41</v>
      </c>
      <c r="F306">
        <v>38</v>
      </c>
      <c r="G306">
        <v>2</v>
      </c>
      <c r="H306">
        <v>3</v>
      </c>
      <c r="I306">
        <v>0</v>
      </c>
      <c r="J306">
        <v>40</v>
      </c>
      <c r="K306">
        <v>344</v>
      </c>
      <c r="L306">
        <v>38</v>
      </c>
      <c r="M306">
        <v>0</v>
      </c>
      <c r="N306">
        <v>2</v>
      </c>
      <c r="O306">
        <v>0</v>
      </c>
      <c r="P306">
        <v>0</v>
      </c>
      <c r="Q306">
        <v>0</v>
      </c>
      <c r="R306">
        <v>0</v>
      </c>
      <c r="S306">
        <v>71.25</v>
      </c>
      <c r="T306">
        <v>70</v>
      </c>
      <c r="U306">
        <v>0</v>
      </c>
      <c r="V306">
        <v>141.25</v>
      </c>
      <c r="W306">
        <v>1360</v>
      </c>
      <c r="X306">
        <v>0</v>
      </c>
      <c r="Y306">
        <v>9</v>
      </c>
      <c r="Z306">
        <v>1</v>
      </c>
      <c r="AA306">
        <v>-752.5</v>
      </c>
      <c r="AB306">
        <v>1150</v>
      </c>
      <c r="AC306">
        <v>302.68</v>
      </c>
      <c r="AD306">
        <v>297.18</v>
      </c>
      <c r="AE306">
        <v>932.18000000000006</v>
      </c>
      <c r="AF306">
        <v>1447.18</v>
      </c>
      <c r="AG306">
        <v>1662.68</v>
      </c>
      <c r="AH306">
        <v>1365.5</v>
      </c>
      <c r="AI306">
        <v>685</v>
      </c>
      <c r="AJ306">
        <v>50</v>
      </c>
      <c r="AK306">
        <v>55</v>
      </c>
      <c r="AL306">
        <v>5</v>
      </c>
      <c r="AM306">
        <v>0</v>
      </c>
      <c r="AN306">
        <v>1</v>
      </c>
      <c r="AO306">
        <v>0</v>
      </c>
      <c r="AP306">
        <v>1</v>
      </c>
      <c r="AQ306">
        <v>1</v>
      </c>
      <c r="AR306">
        <v>0</v>
      </c>
      <c r="AS306">
        <v>0</v>
      </c>
      <c r="AT306">
        <v>344</v>
      </c>
      <c r="AU306">
        <v>80</v>
      </c>
      <c r="AV306">
        <v>96</v>
      </c>
      <c r="AW306">
        <v>240</v>
      </c>
      <c r="AX306">
        <v>71.25</v>
      </c>
      <c r="AY306">
        <v>16.5</v>
      </c>
      <c r="AZ306">
        <v>47.5</v>
      </c>
      <c r="BA306">
        <v>23.25</v>
      </c>
      <c r="BB306">
        <v>70</v>
      </c>
      <c r="BC306">
        <v>26</v>
      </c>
      <c r="BD306">
        <v>44</v>
      </c>
      <c r="BE306">
        <v>26</v>
      </c>
    </row>
    <row r="307" spans="1:57">
      <c r="A307" t="s">
        <v>17193</v>
      </c>
      <c r="B307" t="s">
        <v>17302</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row>
    <row r="308" spans="1:57">
      <c r="A308" t="s">
        <v>17197</v>
      </c>
      <c r="B308" t="s">
        <v>17198</v>
      </c>
      <c r="C308">
        <v>0</v>
      </c>
      <c r="D308">
        <v>11</v>
      </c>
      <c r="E308">
        <v>11</v>
      </c>
      <c r="F308">
        <v>8</v>
      </c>
      <c r="G308">
        <v>0</v>
      </c>
      <c r="H308">
        <v>0</v>
      </c>
      <c r="I308">
        <v>0</v>
      </c>
      <c r="J308">
        <v>11</v>
      </c>
      <c r="K308">
        <v>67</v>
      </c>
      <c r="L308">
        <v>11</v>
      </c>
      <c r="M308">
        <v>0</v>
      </c>
      <c r="N308">
        <v>2</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67</v>
      </c>
      <c r="AU308">
        <v>0</v>
      </c>
      <c r="AV308">
        <v>67</v>
      </c>
      <c r="AW308">
        <v>0</v>
      </c>
      <c r="AX308">
        <v>0</v>
      </c>
      <c r="AY308">
        <v>0</v>
      </c>
      <c r="AZ308">
        <v>0</v>
      </c>
      <c r="BA308">
        <v>0</v>
      </c>
      <c r="BB308">
        <v>0</v>
      </c>
      <c r="BC308">
        <v>0</v>
      </c>
      <c r="BD308">
        <v>0</v>
      </c>
      <c r="BE308">
        <v>0</v>
      </c>
    </row>
  </sheetData>
  <sortState xmlns:xlrd2="http://schemas.microsoft.com/office/spreadsheetml/2017/richdata2" ref="A2:BF308">
    <sortCondition ref="B2:B308"/>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2F5E3-64EA-E046-8D38-B7ADF6376129}">
  <dimension ref="A1:BF332"/>
  <sheetViews>
    <sheetView workbookViewId="0"/>
  </sheetViews>
  <sheetFormatPr baseColWidth="10" defaultRowHeight="15"/>
  <cols>
    <col min="1" max="1" width="28.83203125" customWidth="1"/>
    <col min="2" max="2" width="66.33203125" customWidth="1"/>
  </cols>
  <sheetData>
    <row r="1" spans="1:58" ht="15" customHeight="1">
      <c r="A1" t="s">
        <v>17292</v>
      </c>
      <c r="B1" t="s">
        <v>16796</v>
      </c>
      <c r="C1" t="s">
        <v>19940</v>
      </c>
      <c r="D1" t="s">
        <v>16821</v>
      </c>
      <c r="E1" t="s">
        <v>16822</v>
      </c>
      <c r="F1" t="s">
        <v>16823</v>
      </c>
      <c r="G1" s="1" t="s">
        <v>19941</v>
      </c>
      <c r="H1" t="s">
        <v>16825</v>
      </c>
      <c r="I1" s="1" t="s">
        <v>19942</v>
      </c>
      <c r="J1" s="1" t="s">
        <v>19943</v>
      </c>
      <c r="K1" t="s">
        <v>16828</v>
      </c>
      <c r="L1" t="s">
        <v>16829</v>
      </c>
      <c r="M1" t="s">
        <v>16830</v>
      </c>
      <c r="N1" s="1" t="s">
        <v>19944</v>
      </c>
      <c r="O1" t="s">
        <v>16832</v>
      </c>
      <c r="P1" t="s">
        <v>16833</v>
      </c>
      <c r="Q1" s="1" t="s">
        <v>19945</v>
      </c>
      <c r="R1" s="1" t="s">
        <v>19946</v>
      </c>
      <c r="S1" s="1" t="s">
        <v>19947</v>
      </c>
      <c r="T1" t="s">
        <v>19948</v>
      </c>
      <c r="U1" s="1" t="s">
        <v>19949</v>
      </c>
      <c r="V1" s="1" t="s">
        <v>19950</v>
      </c>
      <c r="W1" s="1" t="s">
        <v>19951</v>
      </c>
      <c r="X1" t="s">
        <v>16841</v>
      </c>
      <c r="Y1" s="1" t="s">
        <v>19952</v>
      </c>
      <c r="Z1" s="1" t="s">
        <v>19953</v>
      </c>
      <c r="AA1" t="s">
        <v>16844</v>
      </c>
      <c r="AB1" s="1" t="s">
        <v>19954</v>
      </c>
      <c r="AC1" s="1" t="s">
        <v>19955</v>
      </c>
      <c r="AD1" s="1" t="s">
        <v>19956</v>
      </c>
      <c r="AE1" t="s">
        <v>16848</v>
      </c>
      <c r="AF1" s="1" t="s">
        <v>19957</v>
      </c>
      <c r="AG1" s="1" t="s">
        <v>19958</v>
      </c>
      <c r="AH1" s="1" t="s">
        <v>19959</v>
      </c>
      <c r="AI1" t="s">
        <v>16852</v>
      </c>
      <c r="AJ1" t="s">
        <v>16853</v>
      </c>
      <c r="AK1" t="s">
        <v>16854</v>
      </c>
      <c r="AL1" t="s">
        <v>16855</v>
      </c>
      <c r="AM1" t="s">
        <v>18775</v>
      </c>
      <c r="AN1" t="s">
        <v>19324</v>
      </c>
      <c r="AO1" t="s">
        <v>18777</v>
      </c>
      <c r="AP1" t="s">
        <v>18778</v>
      </c>
      <c r="AQ1" t="s">
        <v>18779</v>
      </c>
      <c r="AR1" t="s">
        <v>18780</v>
      </c>
      <c r="AS1" t="s">
        <v>18781</v>
      </c>
      <c r="AT1" t="s">
        <v>16856</v>
      </c>
      <c r="AU1" t="s">
        <v>16857</v>
      </c>
      <c r="AV1" t="s">
        <v>16858</v>
      </c>
      <c r="AW1" t="s">
        <v>19960</v>
      </c>
      <c r="AX1" t="s">
        <v>16860</v>
      </c>
      <c r="AY1" t="s">
        <v>16861</v>
      </c>
      <c r="AZ1" t="s">
        <v>16862</v>
      </c>
      <c r="BA1" t="s">
        <v>16863</v>
      </c>
      <c r="BB1" t="s">
        <v>16864</v>
      </c>
      <c r="BC1" t="s">
        <v>16865</v>
      </c>
      <c r="BD1" t="s">
        <v>16866</v>
      </c>
      <c r="BE1" t="s">
        <v>16867</v>
      </c>
      <c r="BF1" t="s">
        <v>18782</v>
      </c>
    </row>
    <row r="2" spans="1:58">
      <c r="A2" t="s">
        <v>16869</v>
      </c>
      <c r="B2" t="s">
        <v>17346</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row>
    <row r="3" spans="1:58">
      <c r="A3" t="s">
        <v>16869</v>
      </c>
      <c r="B3" t="s">
        <v>16871</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row>
    <row r="4" spans="1:58">
      <c r="A4" t="s">
        <v>16869</v>
      </c>
      <c r="B4" t="s">
        <v>20679</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row>
    <row r="5" spans="1:58">
      <c r="A5" t="s">
        <v>16869</v>
      </c>
      <c r="B5" t="s">
        <v>17498</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row>
    <row r="6" spans="1:58">
      <c r="A6" t="s">
        <v>16869</v>
      </c>
      <c r="B6" t="s">
        <v>18784</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row>
    <row r="7" spans="1:58">
      <c r="A7" t="s">
        <v>16869</v>
      </c>
      <c r="B7" t="s">
        <v>17200</v>
      </c>
      <c r="C7">
        <v>2</v>
      </c>
      <c r="D7">
        <v>258</v>
      </c>
      <c r="E7">
        <v>258</v>
      </c>
      <c r="F7">
        <v>237</v>
      </c>
      <c r="G7">
        <v>17</v>
      </c>
      <c r="H7">
        <v>4</v>
      </c>
      <c r="I7">
        <v>1</v>
      </c>
      <c r="J7">
        <v>257</v>
      </c>
      <c r="K7">
        <v>1050</v>
      </c>
      <c r="L7">
        <v>237</v>
      </c>
      <c r="M7">
        <v>1</v>
      </c>
      <c r="N7">
        <v>5</v>
      </c>
      <c r="O7">
        <v>9</v>
      </c>
      <c r="P7">
        <v>2</v>
      </c>
      <c r="Q7">
        <v>4</v>
      </c>
      <c r="R7">
        <v>0</v>
      </c>
      <c r="S7">
        <v>13</v>
      </c>
      <c r="T7">
        <v>18.5</v>
      </c>
      <c r="U7">
        <v>0</v>
      </c>
      <c r="V7">
        <v>31.5</v>
      </c>
      <c r="W7">
        <v>500</v>
      </c>
      <c r="X7">
        <v>0</v>
      </c>
      <c r="Y7">
        <v>27</v>
      </c>
      <c r="Z7">
        <v>0</v>
      </c>
      <c r="AA7">
        <v>0</v>
      </c>
      <c r="AB7">
        <v>162.5</v>
      </c>
      <c r="AC7">
        <v>921.4200000000003</v>
      </c>
      <c r="AD7">
        <v>906.42000000000019</v>
      </c>
      <c r="AE7">
        <v>921.4200000000003</v>
      </c>
      <c r="AF7">
        <v>1068.9200000000003</v>
      </c>
      <c r="AG7">
        <v>1421.4199999999996</v>
      </c>
      <c r="AH7">
        <v>500</v>
      </c>
      <c r="AI7">
        <v>85.12</v>
      </c>
      <c r="AJ7">
        <v>227.62</v>
      </c>
      <c r="AK7">
        <v>327.62</v>
      </c>
      <c r="AL7">
        <v>242.5</v>
      </c>
      <c r="AM7">
        <v>75</v>
      </c>
      <c r="AN7">
        <v>39</v>
      </c>
      <c r="AO7">
        <v>2</v>
      </c>
      <c r="AP7">
        <v>1</v>
      </c>
      <c r="AQ7">
        <v>0</v>
      </c>
      <c r="AR7">
        <v>0</v>
      </c>
      <c r="AS7">
        <v>0</v>
      </c>
      <c r="AT7">
        <v>1050</v>
      </c>
      <c r="AU7">
        <v>44</v>
      </c>
      <c r="AV7">
        <v>1004</v>
      </c>
      <c r="AW7">
        <v>2</v>
      </c>
      <c r="AX7">
        <v>13</v>
      </c>
      <c r="AY7">
        <v>3.75</v>
      </c>
      <c r="AZ7">
        <v>9.25</v>
      </c>
      <c r="BA7">
        <v>0</v>
      </c>
      <c r="BB7">
        <v>18.5</v>
      </c>
      <c r="BC7">
        <v>10.25</v>
      </c>
      <c r="BD7">
        <v>8.25</v>
      </c>
      <c r="BE7">
        <v>0</v>
      </c>
    </row>
    <row r="8" spans="1:58">
      <c r="A8" t="s">
        <v>16869</v>
      </c>
      <c r="B8" t="s">
        <v>16872</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row>
    <row r="9" spans="1:58">
      <c r="A9" t="s">
        <v>16869</v>
      </c>
      <c r="B9" t="s">
        <v>16873</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row>
    <row r="10" spans="1:58">
      <c r="A10" t="s">
        <v>16869</v>
      </c>
      <c r="B10" t="s">
        <v>18785</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row>
    <row r="11" spans="1:58">
      <c r="A11" t="s">
        <v>16874</v>
      </c>
      <c r="B11" t="s">
        <v>16875</v>
      </c>
      <c r="C11">
        <v>0</v>
      </c>
      <c r="D11">
        <v>5</v>
      </c>
      <c r="E11">
        <v>5</v>
      </c>
      <c r="F11">
        <v>5</v>
      </c>
      <c r="G11">
        <v>0</v>
      </c>
      <c r="H11">
        <v>0</v>
      </c>
      <c r="I11">
        <v>0</v>
      </c>
      <c r="J11">
        <v>5</v>
      </c>
      <c r="K11">
        <v>8</v>
      </c>
      <c r="L11">
        <v>1</v>
      </c>
      <c r="M11">
        <v>0</v>
      </c>
      <c r="N11">
        <v>0</v>
      </c>
      <c r="O11">
        <v>4</v>
      </c>
      <c r="P11">
        <v>0</v>
      </c>
      <c r="Q11">
        <v>0</v>
      </c>
      <c r="R11">
        <v>0</v>
      </c>
      <c r="S11">
        <v>0.25</v>
      </c>
      <c r="T11">
        <v>0.25</v>
      </c>
      <c r="U11">
        <v>0</v>
      </c>
      <c r="V11">
        <v>0.5</v>
      </c>
      <c r="W11">
        <v>7.5</v>
      </c>
      <c r="X11">
        <v>0</v>
      </c>
      <c r="Y11">
        <v>1</v>
      </c>
      <c r="Z11">
        <v>0</v>
      </c>
      <c r="AA11">
        <v>0</v>
      </c>
      <c r="AB11">
        <v>0</v>
      </c>
      <c r="AC11">
        <v>0</v>
      </c>
      <c r="AD11">
        <v>0</v>
      </c>
      <c r="AE11">
        <v>0</v>
      </c>
      <c r="AF11">
        <v>0</v>
      </c>
      <c r="AG11">
        <v>7.5</v>
      </c>
      <c r="AH11">
        <v>7.5</v>
      </c>
      <c r="AI11">
        <v>0</v>
      </c>
      <c r="AJ11">
        <v>0</v>
      </c>
      <c r="AK11">
        <v>0</v>
      </c>
      <c r="AL11">
        <v>0</v>
      </c>
      <c r="AM11">
        <v>0</v>
      </c>
      <c r="AN11">
        <v>0</v>
      </c>
      <c r="AO11">
        <v>0</v>
      </c>
      <c r="AP11">
        <v>0</v>
      </c>
      <c r="AQ11">
        <v>0</v>
      </c>
      <c r="AR11">
        <v>0</v>
      </c>
      <c r="AS11">
        <v>0</v>
      </c>
      <c r="AT11">
        <v>8</v>
      </c>
      <c r="AU11">
        <v>0</v>
      </c>
      <c r="AV11">
        <v>8</v>
      </c>
      <c r="AW11">
        <v>0</v>
      </c>
      <c r="AX11">
        <v>0.25</v>
      </c>
      <c r="AY11">
        <v>0</v>
      </c>
      <c r="AZ11">
        <v>0.25</v>
      </c>
      <c r="BA11">
        <v>0</v>
      </c>
      <c r="BB11">
        <v>0.25</v>
      </c>
      <c r="BC11">
        <v>0</v>
      </c>
      <c r="BD11">
        <v>0.25</v>
      </c>
      <c r="BE11">
        <v>0</v>
      </c>
    </row>
    <row r="12" spans="1:58">
      <c r="A12" t="s">
        <v>16876</v>
      </c>
      <c r="B12" t="s">
        <v>16877</v>
      </c>
      <c r="C12">
        <v>0</v>
      </c>
      <c r="D12">
        <v>6</v>
      </c>
      <c r="E12">
        <v>6</v>
      </c>
      <c r="F12">
        <v>6</v>
      </c>
      <c r="G12">
        <v>0</v>
      </c>
      <c r="H12">
        <v>0</v>
      </c>
      <c r="I12">
        <v>0</v>
      </c>
      <c r="J12">
        <v>6</v>
      </c>
      <c r="K12">
        <v>35</v>
      </c>
      <c r="L12">
        <v>2</v>
      </c>
      <c r="M12">
        <v>2</v>
      </c>
      <c r="N12">
        <v>2</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35</v>
      </c>
      <c r="AU12">
        <v>0</v>
      </c>
      <c r="AV12">
        <v>35</v>
      </c>
      <c r="AW12">
        <v>0</v>
      </c>
      <c r="AX12">
        <v>0</v>
      </c>
      <c r="AY12">
        <v>0</v>
      </c>
      <c r="AZ12">
        <v>0</v>
      </c>
      <c r="BA12">
        <v>0</v>
      </c>
      <c r="BB12">
        <v>0</v>
      </c>
      <c r="BC12">
        <v>0</v>
      </c>
      <c r="BD12">
        <v>0</v>
      </c>
      <c r="BE12">
        <v>0</v>
      </c>
    </row>
    <row r="13" spans="1:58">
      <c r="A13" t="s">
        <v>17496</v>
      </c>
      <c r="B13" t="s">
        <v>17497</v>
      </c>
      <c r="C13">
        <v>0</v>
      </c>
      <c r="D13">
        <v>2</v>
      </c>
      <c r="E13">
        <v>2</v>
      </c>
      <c r="F13">
        <v>2</v>
      </c>
      <c r="G13">
        <v>0</v>
      </c>
      <c r="H13">
        <v>0</v>
      </c>
      <c r="I13">
        <v>0</v>
      </c>
      <c r="J13">
        <v>2</v>
      </c>
      <c r="K13">
        <v>5</v>
      </c>
      <c r="L13">
        <v>2</v>
      </c>
      <c r="M13">
        <v>0</v>
      </c>
      <c r="N13">
        <v>0</v>
      </c>
      <c r="O13">
        <v>0</v>
      </c>
      <c r="P13">
        <v>0</v>
      </c>
      <c r="Q13">
        <v>0</v>
      </c>
      <c r="R13">
        <v>0</v>
      </c>
      <c r="S13">
        <v>0.5</v>
      </c>
      <c r="T13">
        <v>1.5</v>
      </c>
      <c r="U13">
        <v>0</v>
      </c>
      <c r="V13">
        <v>2</v>
      </c>
      <c r="W13">
        <v>35</v>
      </c>
      <c r="X13">
        <v>0</v>
      </c>
      <c r="Y13">
        <v>2</v>
      </c>
      <c r="Z13">
        <v>0</v>
      </c>
      <c r="AA13">
        <v>0</v>
      </c>
      <c r="AB13">
        <v>0</v>
      </c>
      <c r="AC13">
        <v>0</v>
      </c>
      <c r="AD13">
        <v>0</v>
      </c>
      <c r="AE13">
        <v>0</v>
      </c>
      <c r="AF13">
        <v>0</v>
      </c>
      <c r="AG13">
        <v>35</v>
      </c>
      <c r="AH13">
        <v>35</v>
      </c>
      <c r="AI13">
        <v>0</v>
      </c>
      <c r="AJ13">
        <v>0</v>
      </c>
      <c r="AK13">
        <v>0</v>
      </c>
      <c r="AL13">
        <v>0</v>
      </c>
      <c r="AM13">
        <v>0</v>
      </c>
      <c r="AN13">
        <v>0</v>
      </c>
      <c r="AO13">
        <v>0</v>
      </c>
      <c r="AP13">
        <v>0</v>
      </c>
      <c r="AQ13">
        <v>0</v>
      </c>
      <c r="AR13">
        <v>0</v>
      </c>
      <c r="AS13">
        <v>0</v>
      </c>
      <c r="AT13">
        <v>5</v>
      </c>
      <c r="AU13">
        <v>0</v>
      </c>
      <c r="AV13">
        <v>5</v>
      </c>
      <c r="AW13">
        <v>0</v>
      </c>
      <c r="AX13">
        <v>0.5</v>
      </c>
      <c r="AY13">
        <v>0</v>
      </c>
      <c r="AZ13">
        <v>0.5</v>
      </c>
      <c r="BA13">
        <v>0</v>
      </c>
      <c r="BB13">
        <v>1.5</v>
      </c>
      <c r="BC13">
        <v>0</v>
      </c>
      <c r="BD13">
        <v>1.5</v>
      </c>
      <c r="BE13">
        <v>0</v>
      </c>
    </row>
    <row r="14" spans="1:58">
      <c r="A14" t="s">
        <v>16878</v>
      </c>
      <c r="B14" t="s">
        <v>17347</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row>
    <row r="15" spans="1:58">
      <c r="A15" t="s">
        <v>17210</v>
      </c>
      <c r="B15" t="s">
        <v>17211</v>
      </c>
      <c r="C15">
        <v>0</v>
      </c>
      <c r="D15">
        <v>16</v>
      </c>
      <c r="E15">
        <v>16</v>
      </c>
      <c r="F15">
        <v>15</v>
      </c>
      <c r="G15">
        <v>2</v>
      </c>
      <c r="H15">
        <v>5</v>
      </c>
      <c r="I15">
        <v>3</v>
      </c>
      <c r="J15">
        <v>13</v>
      </c>
      <c r="K15">
        <v>354</v>
      </c>
      <c r="L15">
        <v>3</v>
      </c>
      <c r="M15">
        <v>1</v>
      </c>
      <c r="N15">
        <v>4</v>
      </c>
      <c r="O15">
        <v>4</v>
      </c>
      <c r="P15">
        <v>0</v>
      </c>
      <c r="Q15">
        <v>0</v>
      </c>
      <c r="R15">
        <v>0</v>
      </c>
      <c r="S15">
        <v>15</v>
      </c>
      <c r="T15">
        <v>9</v>
      </c>
      <c r="U15">
        <v>0</v>
      </c>
      <c r="V15">
        <v>24</v>
      </c>
      <c r="W15">
        <v>330</v>
      </c>
      <c r="X15">
        <v>0</v>
      </c>
      <c r="Y15">
        <v>2</v>
      </c>
      <c r="Z15">
        <v>1</v>
      </c>
      <c r="AA15">
        <v>0</v>
      </c>
      <c r="AB15">
        <v>210</v>
      </c>
      <c r="AC15">
        <v>0</v>
      </c>
      <c r="AD15">
        <v>50</v>
      </c>
      <c r="AE15">
        <v>120</v>
      </c>
      <c r="AF15">
        <v>260</v>
      </c>
      <c r="AG15">
        <v>330</v>
      </c>
      <c r="AH15">
        <v>210</v>
      </c>
      <c r="AI15">
        <v>120</v>
      </c>
      <c r="AJ15">
        <v>240</v>
      </c>
      <c r="AK15">
        <v>250</v>
      </c>
      <c r="AL15">
        <v>130</v>
      </c>
      <c r="AM15">
        <v>0</v>
      </c>
      <c r="AN15">
        <v>0</v>
      </c>
      <c r="AO15">
        <v>0</v>
      </c>
      <c r="AP15">
        <v>1</v>
      </c>
      <c r="AQ15">
        <v>0</v>
      </c>
      <c r="AR15">
        <v>0</v>
      </c>
      <c r="AS15">
        <v>0</v>
      </c>
      <c r="AT15">
        <v>354</v>
      </c>
      <c r="AU15">
        <v>240</v>
      </c>
      <c r="AV15">
        <v>114</v>
      </c>
      <c r="AW15">
        <v>0</v>
      </c>
      <c r="AX15">
        <v>15</v>
      </c>
      <c r="AY15">
        <v>11</v>
      </c>
      <c r="AZ15">
        <v>4</v>
      </c>
      <c r="BA15">
        <v>0</v>
      </c>
      <c r="BB15">
        <v>9</v>
      </c>
      <c r="BC15">
        <v>7</v>
      </c>
      <c r="BD15">
        <v>2</v>
      </c>
      <c r="BE15">
        <v>0</v>
      </c>
    </row>
    <row r="16" spans="1:58">
      <c r="A16" t="s">
        <v>16879</v>
      </c>
      <c r="B16" t="s">
        <v>16880</v>
      </c>
      <c r="C16">
        <v>0</v>
      </c>
      <c r="D16">
        <v>2</v>
      </c>
      <c r="E16">
        <v>2</v>
      </c>
      <c r="F16">
        <v>0</v>
      </c>
      <c r="G16">
        <v>0</v>
      </c>
      <c r="H16">
        <v>0</v>
      </c>
      <c r="I16">
        <v>0</v>
      </c>
      <c r="J16">
        <v>2</v>
      </c>
      <c r="K16">
        <v>5</v>
      </c>
      <c r="L16">
        <v>1</v>
      </c>
      <c r="M16">
        <v>0</v>
      </c>
      <c r="N16">
        <v>0</v>
      </c>
      <c r="O16">
        <v>1</v>
      </c>
      <c r="P16">
        <v>0</v>
      </c>
      <c r="Q16">
        <v>0</v>
      </c>
      <c r="R16">
        <v>0</v>
      </c>
      <c r="S16">
        <v>0.25</v>
      </c>
      <c r="T16">
        <v>0</v>
      </c>
      <c r="U16">
        <v>0</v>
      </c>
      <c r="V16">
        <v>0.25</v>
      </c>
      <c r="W16">
        <v>2.5</v>
      </c>
      <c r="X16">
        <v>0</v>
      </c>
      <c r="Y16">
        <v>1</v>
      </c>
      <c r="Z16">
        <v>0</v>
      </c>
      <c r="AA16">
        <v>0</v>
      </c>
      <c r="AB16">
        <v>0</v>
      </c>
      <c r="AC16">
        <v>0</v>
      </c>
      <c r="AD16">
        <v>0</v>
      </c>
      <c r="AE16">
        <v>0</v>
      </c>
      <c r="AF16">
        <v>0</v>
      </c>
      <c r="AG16">
        <v>2.5</v>
      </c>
      <c r="AH16">
        <v>2.5</v>
      </c>
      <c r="AI16">
        <v>0</v>
      </c>
      <c r="AJ16">
        <v>0</v>
      </c>
      <c r="AK16">
        <v>0</v>
      </c>
      <c r="AL16">
        <v>0</v>
      </c>
      <c r="AM16">
        <v>0</v>
      </c>
      <c r="AN16">
        <v>0</v>
      </c>
      <c r="AO16">
        <v>0</v>
      </c>
      <c r="AP16">
        <v>0</v>
      </c>
      <c r="AQ16">
        <v>0</v>
      </c>
      <c r="AR16">
        <v>0</v>
      </c>
      <c r="AS16">
        <v>0</v>
      </c>
      <c r="AT16">
        <v>5</v>
      </c>
      <c r="AU16">
        <v>0</v>
      </c>
      <c r="AV16">
        <v>5</v>
      </c>
      <c r="AW16">
        <v>0</v>
      </c>
      <c r="AX16">
        <v>0.25</v>
      </c>
      <c r="AY16">
        <v>0</v>
      </c>
      <c r="AZ16">
        <v>0.25</v>
      </c>
      <c r="BA16">
        <v>0</v>
      </c>
      <c r="BB16">
        <v>0</v>
      </c>
      <c r="BC16">
        <v>0</v>
      </c>
      <c r="BD16">
        <v>0</v>
      </c>
      <c r="BE16">
        <v>0</v>
      </c>
    </row>
    <row r="17" spans="1:57">
      <c r="A17" t="s">
        <v>16881</v>
      </c>
      <c r="B17" t="s">
        <v>16882</v>
      </c>
      <c r="C17">
        <v>0</v>
      </c>
      <c r="D17">
        <v>6</v>
      </c>
      <c r="E17">
        <v>6</v>
      </c>
      <c r="F17">
        <v>5</v>
      </c>
      <c r="G17">
        <v>0</v>
      </c>
      <c r="H17">
        <v>0</v>
      </c>
      <c r="I17">
        <v>0</v>
      </c>
      <c r="J17">
        <v>6</v>
      </c>
      <c r="K17">
        <v>41</v>
      </c>
      <c r="L17">
        <v>3</v>
      </c>
      <c r="M17">
        <v>0</v>
      </c>
      <c r="N17">
        <v>0</v>
      </c>
      <c r="O17">
        <v>3</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41</v>
      </c>
      <c r="AU17">
        <v>0</v>
      </c>
      <c r="AV17">
        <v>41</v>
      </c>
      <c r="AW17">
        <v>0</v>
      </c>
      <c r="AX17">
        <v>0</v>
      </c>
      <c r="AY17">
        <v>0</v>
      </c>
      <c r="AZ17">
        <v>0</v>
      </c>
      <c r="BA17">
        <v>0</v>
      </c>
      <c r="BB17">
        <v>0</v>
      </c>
      <c r="BC17">
        <v>0</v>
      </c>
      <c r="BD17">
        <v>0</v>
      </c>
      <c r="BE17">
        <v>0</v>
      </c>
    </row>
    <row r="18" spans="1:57">
      <c r="A18" t="s">
        <v>16881</v>
      </c>
      <c r="B18" t="s">
        <v>16882</v>
      </c>
      <c r="C18">
        <v>0</v>
      </c>
      <c r="D18">
        <v>7</v>
      </c>
      <c r="E18">
        <v>7</v>
      </c>
      <c r="F18">
        <v>0</v>
      </c>
      <c r="G18">
        <v>0</v>
      </c>
      <c r="H18">
        <v>0</v>
      </c>
      <c r="I18">
        <v>0</v>
      </c>
      <c r="J18">
        <v>7</v>
      </c>
      <c r="K18">
        <v>52</v>
      </c>
      <c r="L18">
        <v>5</v>
      </c>
      <c r="M18">
        <v>0</v>
      </c>
      <c r="N18">
        <v>0</v>
      </c>
      <c r="O18">
        <v>2</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52</v>
      </c>
      <c r="AU18">
        <v>0</v>
      </c>
      <c r="AV18">
        <v>52</v>
      </c>
      <c r="AW18">
        <v>0</v>
      </c>
      <c r="AX18">
        <v>0</v>
      </c>
      <c r="AY18">
        <v>0</v>
      </c>
      <c r="AZ18">
        <v>0</v>
      </c>
      <c r="BA18">
        <v>0</v>
      </c>
      <c r="BB18">
        <v>0</v>
      </c>
      <c r="BC18">
        <v>0</v>
      </c>
      <c r="BD18">
        <v>0</v>
      </c>
      <c r="BE18">
        <v>0</v>
      </c>
    </row>
    <row r="19" spans="1:57">
      <c r="A19" t="s">
        <v>17212</v>
      </c>
      <c r="B19" t="s">
        <v>17213</v>
      </c>
      <c r="C19">
        <v>0</v>
      </c>
      <c r="D19">
        <v>18</v>
      </c>
      <c r="E19">
        <v>18</v>
      </c>
      <c r="F19">
        <v>18</v>
      </c>
      <c r="G19">
        <v>5</v>
      </c>
      <c r="H19">
        <v>1</v>
      </c>
      <c r="I19">
        <v>0</v>
      </c>
      <c r="J19">
        <v>16</v>
      </c>
      <c r="K19">
        <v>218</v>
      </c>
      <c r="L19">
        <v>13</v>
      </c>
      <c r="M19">
        <v>0</v>
      </c>
      <c r="N19">
        <v>0</v>
      </c>
      <c r="O19">
        <v>3</v>
      </c>
      <c r="P19">
        <v>0</v>
      </c>
      <c r="Q19">
        <v>3</v>
      </c>
      <c r="R19">
        <v>0</v>
      </c>
      <c r="S19">
        <v>17.5</v>
      </c>
      <c r="T19">
        <v>1</v>
      </c>
      <c r="U19">
        <v>0</v>
      </c>
      <c r="V19">
        <v>18.5</v>
      </c>
      <c r="W19">
        <v>195</v>
      </c>
      <c r="X19">
        <v>0</v>
      </c>
      <c r="Y19">
        <v>14</v>
      </c>
      <c r="Z19">
        <v>0</v>
      </c>
      <c r="AA19">
        <v>0</v>
      </c>
      <c r="AB19">
        <v>0</v>
      </c>
      <c r="AC19">
        <v>172.5</v>
      </c>
      <c r="AD19">
        <v>172.5</v>
      </c>
      <c r="AE19">
        <v>172.5</v>
      </c>
      <c r="AF19">
        <v>172.5</v>
      </c>
      <c r="AG19">
        <v>367.5</v>
      </c>
      <c r="AH19">
        <v>195</v>
      </c>
      <c r="AI19">
        <v>172.5</v>
      </c>
      <c r="AJ19">
        <v>172.5</v>
      </c>
      <c r="AK19">
        <v>192.5</v>
      </c>
      <c r="AL19">
        <v>20</v>
      </c>
      <c r="AM19">
        <v>0</v>
      </c>
      <c r="AN19">
        <v>0</v>
      </c>
      <c r="AO19">
        <v>0</v>
      </c>
      <c r="AP19">
        <v>1</v>
      </c>
      <c r="AQ19">
        <v>0</v>
      </c>
      <c r="AR19">
        <v>0</v>
      </c>
      <c r="AS19">
        <v>0</v>
      </c>
      <c r="AT19">
        <v>218</v>
      </c>
      <c r="AU19">
        <v>29</v>
      </c>
      <c r="AV19">
        <v>189</v>
      </c>
      <c r="AW19">
        <v>0</v>
      </c>
      <c r="AX19">
        <v>17.5</v>
      </c>
      <c r="AY19">
        <v>1</v>
      </c>
      <c r="AZ19">
        <v>16.5</v>
      </c>
      <c r="BA19">
        <v>0</v>
      </c>
      <c r="BB19">
        <v>1</v>
      </c>
      <c r="BC19">
        <v>0.5</v>
      </c>
      <c r="BD19">
        <v>0.5</v>
      </c>
      <c r="BE19">
        <v>0</v>
      </c>
    </row>
    <row r="20" spans="1:57">
      <c r="A20" t="s">
        <v>19329</v>
      </c>
      <c r="B20" t="s">
        <v>19330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row>
    <row r="21" spans="1:57">
      <c r="A21" t="s">
        <v>16883</v>
      </c>
      <c r="B21" t="s">
        <v>17348</v>
      </c>
      <c r="C21">
        <v>0</v>
      </c>
      <c r="D21">
        <v>1</v>
      </c>
      <c r="E21">
        <v>1</v>
      </c>
      <c r="F21">
        <v>0</v>
      </c>
      <c r="G21">
        <v>0</v>
      </c>
      <c r="H21">
        <v>0</v>
      </c>
      <c r="I21">
        <v>0</v>
      </c>
      <c r="J21">
        <v>1</v>
      </c>
      <c r="K21">
        <v>17</v>
      </c>
      <c r="L21">
        <v>1</v>
      </c>
      <c r="M21">
        <v>0</v>
      </c>
      <c r="N21">
        <v>0</v>
      </c>
      <c r="O21">
        <v>0</v>
      </c>
      <c r="P21">
        <v>0</v>
      </c>
      <c r="Q21">
        <v>0</v>
      </c>
      <c r="R21">
        <v>0</v>
      </c>
      <c r="S21">
        <v>1</v>
      </c>
      <c r="T21">
        <v>0</v>
      </c>
      <c r="U21">
        <v>0</v>
      </c>
      <c r="V21">
        <v>1</v>
      </c>
      <c r="W21">
        <v>10</v>
      </c>
      <c r="X21">
        <v>0</v>
      </c>
      <c r="Y21">
        <v>1</v>
      </c>
      <c r="Z21">
        <v>0</v>
      </c>
      <c r="AA21">
        <v>0</v>
      </c>
      <c r="AB21">
        <v>0</v>
      </c>
      <c r="AC21">
        <v>0</v>
      </c>
      <c r="AD21">
        <v>0</v>
      </c>
      <c r="AE21">
        <v>0</v>
      </c>
      <c r="AF21">
        <v>0</v>
      </c>
      <c r="AG21">
        <v>10</v>
      </c>
      <c r="AH21">
        <v>10</v>
      </c>
      <c r="AI21">
        <v>0</v>
      </c>
      <c r="AJ21">
        <v>0</v>
      </c>
      <c r="AK21">
        <v>0</v>
      </c>
      <c r="AL21">
        <v>0</v>
      </c>
      <c r="AM21">
        <v>0</v>
      </c>
      <c r="AN21">
        <v>0</v>
      </c>
      <c r="AO21">
        <v>0</v>
      </c>
      <c r="AP21">
        <v>0</v>
      </c>
      <c r="AQ21">
        <v>0</v>
      </c>
      <c r="AR21">
        <v>0</v>
      </c>
      <c r="AS21">
        <v>0</v>
      </c>
      <c r="AT21">
        <v>17</v>
      </c>
      <c r="AU21">
        <v>0</v>
      </c>
      <c r="AV21">
        <v>17</v>
      </c>
      <c r="AW21">
        <v>0</v>
      </c>
      <c r="AX21">
        <v>1</v>
      </c>
      <c r="AY21">
        <v>0</v>
      </c>
      <c r="AZ21">
        <v>1</v>
      </c>
      <c r="BA21">
        <v>0</v>
      </c>
      <c r="BB21">
        <v>0</v>
      </c>
      <c r="BC21">
        <v>0</v>
      </c>
      <c r="BD21">
        <v>0</v>
      </c>
      <c r="BE21">
        <v>0</v>
      </c>
    </row>
    <row r="22" spans="1:57">
      <c r="A22" t="s">
        <v>17214</v>
      </c>
      <c r="B22" t="s">
        <v>17215</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row>
    <row r="23" spans="1:57">
      <c r="A23" t="s">
        <v>16884</v>
      </c>
      <c r="B23" t="s">
        <v>16885</v>
      </c>
      <c r="C23">
        <v>0</v>
      </c>
      <c r="D23">
        <v>21</v>
      </c>
      <c r="E23">
        <v>21</v>
      </c>
      <c r="F23">
        <v>20</v>
      </c>
      <c r="G23">
        <v>1</v>
      </c>
      <c r="H23">
        <v>0</v>
      </c>
      <c r="I23">
        <v>0</v>
      </c>
      <c r="J23">
        <v>21</v>
      </c>
      <c r="K23">
        <v>239</v>
      </c>
      <c r="L23">
        <v>9</v>
      </c>
      <c r="M23">
        <v>0</v>
      </c>
      <c r="N23">
        <v>2</v>
      </c>
      <c r="O23">
        <v>7</v>
      </c>
      <c r="P23">
        <v>0</v>
      </c>
      <c r="Q23">
        <v>3</v>
      </c>
      <c r="R23">
        <v>0</v>
      </c>
      <c r="S23">
        <v>35.75</v>
      </c>
      <c r="T23">
        <v>8.5</v>
      </c>
      <c r="U23">
        <v>0</v>
      </c>
      <c r="V23">
        <v>44.25</v>
      </c>
      <c r="W23">
        <v>527.5</v>
      </c>
      <c r="X23">
        <v>0</v>
      </c>
      <c r="Y23">
        <v>6</v>
      </c>
      <c r="Z23">
        <v>5</v>
      </c>
      <c r="AA23">
        <v>0</v>
      </c>
      <c r="AB23">
        <v>200</v>
      </c>
      <c r="AC23">
        <v>266</v>
      </c>
      <c r="AD23">
        <v>266</v>
      </c>
      <c r="AE23">
        <v>279.5</v>
      </c>
      <c r="AF23">
        <v>466</v>
      </c>
      <c r="AG23">
        <v>793.5</v>
      </c>
      <c r="AH23">
        <v>514</v>
      </c>
      <c r="AI23">
        <v>0</v>
      </c>
      <c r="AJ23">
        <v>0</v>
      </c>
      <c r="AK23">
        <v>0</v>
      </c>
      <c r="AL23">
        <v>0</v>
      </c>
      <c r="AM23">
        <v>2</v>
      </c>
      <c r="AN23">
        <v>5</v>
      </c>
      <c r="AO23">
        <v>0</v>
      </c>
      <c r="AP23">
        <v>1</v>
      </c>
      <c r="AQ23">
        <v>0</v>
      </c>
      <c r="AR23">
        <v>0</v>
      </c>
      <c r="AS23">
        <v>0</v>
      </c>
      <c r="AT23">
        <v>239</v>
      </c>
      <c r="AU23">
        <v>0</v>
      </c>
      <c r="AV23">
        <v>235</v>
      </c>
      <c r="AW23">
        <v>0</v>
      </c>
      <c r="AX23">
        <v>35.75</v>
      </c>
      <c r="AY23">
        <v>0</v>
      </c>
      <c r="AZ23">
        <v>35.25</v>
      </c>
      <c r="BA23">
        <v>0</v>
      </c>
      <c r="BB23">
        <v>8.5</v>
      </c>
      <c r="BC23">
        <v>0</v>
      </c>
      <c r="BD23">
        <v>8.5</v>
      </c>
      <c r="BE23">
        <v>0</v>
      </c>
    </row>
    <row r="24" spans="1:57">
      <c r="A24" t="s">
        <v>17352</v>
      </c>
      <c r="B24" t="s">
        <v>17353</v>
      </c>
      <c r="C24">
        <v>2</v>
      </c>
      <c r="D24">
        <v>10</v>
      </c>
      <c r="E24">
        <v>10</v>
      </c>
      <c r="F24">
        <v>10</v>
      </c>
      <c r="G24">
        <v>2</v>
      </c>
      <c r="H24">
        <v>0</v>
      </c>
      <c r="I24">
        <v>0</v>
      </c>
      <c r="J24">
        <v>10</v>
      </c>
      <c r="K24">
        <v>140</v>
      </c>
      <c r="L24">
        <v>4</v>
      </c>
      <c r="M24">
        <v>1</v>
      </c>
      <c r="N24">
        <v>3</v>
      </c>
      <c r="O24">
        <v>0</v>
      </c>
      <c r="P24">
        <v>0</v>
      </c>
      <c r="Q24">
        <v>2</v>
      </c>
      <c r="R24">
        <v>0</v>
      </c>
      <c r="S24">
        <v>8.25</v>
      </c>
      <c r="T24">
        <v>3</v>
      </c>
      <c r="U24">
        <v>0</v>
      </c>
      <c r="V24">
        <v>11.25</v>
      </c>
      <c r="W24">
        <v>137.5</v>
      </c>
      <c r="X24">
        <v>0</v>
      </c>
      <c r="Y24">
        <v>4</v>
      </c>
      <c r="Z24">
        <v>2</v>
      </c>
      <c r="AA24">
        <v>-5</v>
      </c>
      <c r="AB24">
        <v>10</v>
      </c>
      <c r="AC24">
        <v>0</v>
      </c>
      <c r="AD24">
        <v>0</v>
      </c>
      <c r="AE24">
        <v>0</v>
      </c>
      <c r="AF24">
        <v>10</v>
      </c>
      <c r="AG24">
        <v>137.5</v>
      </c>
      <c r="AH24">
        <v>137.5</v>
      </c>
      <c r="AI24">
        <v>0</v>
      </c>
      <c r="AJ24">
        <v>0</v>
      </c>
      <c r="AK24">
        <v>0</v>
      </c>
      <c r="AL24">
        <v>0</v>
      </c>
      <c r="AM24">
        <v>0</v>
      </c>
      <c r="AN24">
        <v>0</v>
      </c>
      <c r="AO24">
        <v>0</v>
      </c>
      <c r="AP24">
        <v>0</v>
      </c>
      <c r="AQ24">
        <v>0</v>
      </c>
      <c r="AR24">
        <v>0</v>
      </c>
      <c r="AS24">
        <v>0</v>
      </c>
      <c r="AT24">
        <v>140</v>
      </c>
      <c r="AU24">
        <v>0</v>
      </c>
      <c r="AV24">
        <v>116</v>
      </c>
      <c r="AW24">
        <v>24</v>
      </c>
      <c r="AX24">
        <v>8.25</v>
      </c>
      <c r="AY24">
        <v>0</v>
      </c>
      <c r="AZ24">
        <v>7.75</v>
      </c>
      <c r="BA24">
        <v>0.5</v>
      </c>
      <c r="BB24">
        <v>3</v>
      </c>
      <c r="BC24">
        <v>0</v>
      </c>
      <c r="BD24">
        <v>3</v>
      </c>
      <c r="BE24">
        <v>0</v>
      </c>
    </row>
    <row r="25" spans="1:57">
      <c r="A25" t="s">
        <v>17216</v>
      </c>
      <c r="B25" t="s">
        <v>17217</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row>
    <row r="26" spans="1:57">
      <c r="A26" t="s">
        <v>17218</v>
      </c>
      <c r="B26" t="s">
        <v>18786</v>
      </c>
      <c r="C26">
        <v>18</v>
      </c>
      <c r="D26">
        <v>18</v>
      </c>
      <c r="E26">
        <v>18</v>
      </c>
      <c r="F26">
        <v>18</v>
      </c>
      <c r="G26">
        <v>0</v>
      </c>
      <c r="H26">
        <v>8</v>
      </c>
      <c r="I26">
        <v>0</v>
      </c>
      <c r="J26">
        <v>18</v>
      </c>
      <c r="K26">
        <v>237</v>
      </c>
      <c r="L26">
        <v>18</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237</v>
      </c>
      <c r="AU26">
        <v>145</v>
      </c>
      <c r="AV26">
        <v>0</v>
      </c>
      <c r="AW26">
        <v>237</v>
      </c>
      <c r="AX26">
        <v>0</v>
      </c>
      <c r="AY26">
        <v>0</v>
      </c>
      <c r="AZ26">
        <v>0</v>
      </c>
      <c r="BA26">
        <v>0</v>
      </c>
      <c r="BB26">
        <v>0</v>
      </c>
      <c r="BC26">
        <v>0</v>
      </c>
      <c r="BD26">
        <v>0</v>
      </c>
      <c r="BE26">
        <v>0</v>
      </c>
    </row>
    <row r="27" spans="1:57">
      <c r="A27" t="s">
        <v>16886</v>
      </c>
      <c r="B27" t="s">
        <v>18787</v>
      </c>
      <c r="C27">
        <v>29</v>
      </c>
      <c r="D27">
        <v>29</v>
      </c>
      <c r="E27">
        <v>29</v>
      </c>
      <c r="F27">
        <v>29</v>
      </c>
      <c r="G27">
        <v>29</v>
      </c>
      <c r="H27">
        <v>0</v>
      </c>
      <c r="I27">
        <v>29</v>
      </c>
      <c r="J27">
        <v>29</v>
      </c>
      <c r="K27">
        <v>432</v>
      </c>
      <c r="L27">
        <v>24</v>
      </c>
      <c r="M27">
        <v>3</v>
      </c>
      <c r="N27">
        <v>0</v>
      </c>
      <c r="O27">
        <v>0</v>
      </c>
      <c r="P27">
        <v>2</v>
      </c>
      <c r="Q27">
        <v>0</v>
      </c>
      <c r="R27">
        <v>0</v>
      </c>
      <c r="S27">
        <v>1.5</v>
      </c>
      <c r="T27">
        <v>0</v>
      </c>
      <c r="U27">
        <v>0</v>
      </c>
      <c r="V27">
        <v>1.5</v>
      </c>
      <c r="W27">
        <v>0</v>
      </c>
      <c r="X27">
        <v>0</v>
      </c>
      <c r="Y27">
        <v>0</v>
      </c>
      <c r="Z27">
        <v>0</v>
      </c>
      <c r="AA27">
        <v>-15</v>
      </c>
      <c r="AB27">
        <v>0</v>
      </c>
      <c r="AC27">
        <v>0</v>
      </c>
      <c r="AD27">
        <v>0</v>
      </c>
      <c r="AE27">
        <v>0</v>
      </c>
      <c r="AF27">
        <v>0</v>
      </c>
      <c r="AG27">
        <v>0</v>
      </c>
      <c r="AH27">
        <v>0</v>
      </c>
      <c r="AI27">
        <v>0</v>
      </c>
      <c r="AJ27">
        <v>0</v>
      </c>
      <c r="AK27">
        <v>0</v>
      </c>
      <c r="AL27">
        <v>0</v>
      </c>
      <c r="AM27">
        <v>0</v>
      </c>
      <c r="AN27">
        <v>0</v>
      </c>
      <c r="AO27">
        <v>0</v>
      </c>
      <c r="AP27">
        <v>0</v>
      </c>
      <c r="AQ27">
        <v>0</v>
      </c>
      <c r="AR27">
        <v>0</v>
      </c>
      <c r="AS27">
        <v>0</v>
      </c>
      <c r="AT27">
        <v>432</v>
      </c>
      <c r="AU27">
        <v>0</v>
      </c>
      <c r="AV27">
        <v>0</v>
      </c>
      <c r="AW27">
        <v>432</v>
      </c>
      <c r="AX27">
        <v>1.5</v>
      </c>
      <c r="AY27">
        <v>0</v>
      </c>
      <c r="AZ27">
        <v>0</v>
      </c>
      <c r="BA27">
        <v>1.5</v>
      </c>
      <c r="BB27">
        <v>0</v>
      </c>
      <c r="BC27">
        <v>0</v>
      </c>
      <c r="BD27">
        <v>0</v>
      </c>
      <c r="BE27">
        <v>0</v>
      </c>
    </row>
    <row r="28" spans="1:57">
      <c r="A28" t="s">
        <v>16887</v>
      </c>
      <c r="B28" t="s">
        <v>16887</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row>
    <row r="29" spans="1:57">
      <c r="A29" t="s">
        <v>17207</v>
      </c>
      <c r="B29" t="s">
        <v>17208</v>
      </c>
      <c r="C29">
        <v>46</v>
      </c>
      <c r="D29">
        <v>232</v>
      </c>
      <c r="E29">
        <v>232</v>
      </c>
      <c r="F29">
        <v>232</v>
      </c>
      <c r="G29">
        <v>14</v>
      </c>
      <c r="H29">
        <v>11</v>
      </c>
      <c r="I29">
        <v>18</v>
      </c>
      <c r="J29">
        <v>229</v>
      </c>
      <c r="K29">
        <v>2248</v>
      </c>
      <c r="L29">
        <v>128</v>
      </c>
      <c r="M29">
        <v>0</v>
      </c>
      <c r="N29">
        <v>1</v>
      </c>
      <c r="O29">
        <v>96</v>
      </c>
      <c r="P29">
        <v>3</v>
      </c>
      <c r="Q29">
        <v>1</v>
      </c>
      <c r="R29">
        <v>0</v>
      </c>
      <c r="S29">
        <v>62.75</v>
      </c>
      <c r="T29">
        <v>108.5</v>
      </c>
      <c r="U29">
        <v>0</v>
      </c>
      <c r="V29">
        <v>171.25</v>
      </c>
      <c r="W29">
        <v>2312.5</v>
      </c>
      <c r="X29">
        <v>0</v>
      </c>
      <c r="Y29">
        <v>184</v>
      </c>
      <c r="Z29">
        <v>0</v>
      </c>
      <c r="AA29">
        <v>-485</v>
      </c>
      <c r="AB29">
        <v>0</v>
      </c>
      <c r="AC29">
        <v>0</v>
      </c>
      <c r="AD29">
        <v>0</v>
      </c>
      <c r="AE29">
        <v>0</v>
      </c>
      <c r="AF29">
        <v>0</v>
      </c>
      <c r="AG29">
        <v>2312.5</v>
      </c>
      <c r="AH29">
        <v>2312.5</v>
      </c>
      <c r="AI29">
        <v>0</v>
      </c>
      <c r="AJ29">
        <v>0</v>
      </c>
      <c r="AK29">
        <v>165</v>
      </c>
      <c r="AL29">
        <v>165</v>
      </c>
      <c r="AM29">
        <v>0</v>
      </c>
      <c r="AN29">
        <v>0</v>
      </c>
      <c r="AO29">
        <v>0</v>
      </c>
      <c r="AP29">
        <v>0</v>
      </c>
      <c r="AQ29">
        <v>0</v>
      </c>
      <c r="AR29">
        <v>0</v>
      </c>
      <c r="AS29">
        <v>0</v>
      </c>
      <c r="AT29">
        <v>2248</v>
      </c>
      <c r="AU29">
        <v>84</v>
      </c>
      <c r="AV29">
        <v>1790</v>
      </c>
      <c r="AW29">
        <v>383</v>
      </c>
      <c r="AX29">
        <v>62.75</v>
      </c>
      <c r="AY29">
        <v>3</v>
      </c>
      <c r="AZ29">
        <v>47.25</v>
      </c>
      <c r="BA29">
        <v>13</v>
      </c>
      <c r="BB29">
        <v>108.5</v>
      </c>
      <c r="BC29">
        <v>7.25</v>
      </c>
      <c r="BD29">
        <v>83.75</v>
      </c>
      <c r="BE29">
        <v>17.75</v>
      </c>
    </row>
    <row r="30" spans="1:57">
      <c r="A30" t="s">
        <v>17207</v>
      </c>
      <c r="B30" t="s">
        <v>17208</v>
      </c>
      <c r="C30">
        <v>56</v>
      </c>
      <c r="D30">
        <v>254</v>
      </c>
      <c r="E30">
        <v>254</v>
      </c>
      <c r="F30">
        <v>254</v>
      </c>
      <c r="G30">
        <v>3</v>
      </c>
      <c r="H30">
        <v>62</v>
      </c>
      <c r="I30">
        <v>60</v>
      </c>
      <c r="J30">
        <v>254</v>
      </c>
      <c r="K30">
        <v>1887</v>
      </c>
      <c r="L30">
        <v>149</v>
      </c>
      <c r="M30">
        <v>1</v>
      </c>
      <c r="N30">
        <v>95</v>
      </c>
      <c r="O30">
        <v>7</v>
      </c>
      <c r="P30">
        <v>1</v>
      </c>
      <c r="Q30">
        <v>0</v>
      </c>
      <c r="R30">
        <v>0</v>
      </c>
      <c r="S30">
        <v>64.5</v>
      </c>
      <c r="T30">
        <v>138.75</v>
      </c>
      <c r="U30">
        <v>0</v>
      </c>
      <c r="V30">
        <v>203.25</v>
      </c>
      <c r="W30">
        <v>2837.5</v>
      </c>
      <c r="X30">
        <v>0</v>
      </c>
      <c r="Y30">
        <v>196</v>
      </c>
      <c r="Z30">
        <v>0</v>
      </c>
      <c r="AA30">
        <v>-582.5</v>
      </c>
      <c r="AB30">
        <v>190</v>
      </c>
      <c r="AC30">
        <v>20</v>
      </c>
      <c r="AD30">
        <v>20</v>
      </c>
      <c r="AE30">
        <v>205</v>
      </c>
      <c r="AF30">
        <v>210</v>
      </c>
      <c r="AG30">
        <v>2857.5</v>
      </c>
      <c r="AH30">
        <v>2652.5</v>
      </c>
      <c r="AI30">
        <v>205</v>
      </c>
      <c r="AJ30">
        <v>210</v>
      </c>
      <c r="AK30">
        <v>905</v>
      </c>
      <c r="AL30">
        <v>700</v>
      </c>
      <c r="AM30">
        <v>0</v>
      </c>
      <c r="AN30">
        <v>0</v>
      </c>
      <c r="AO30">
        <v>1</v>
      </c>
      <c r="AP30">
        <v>1</v>
      </c>
      <c r="AQ30">
        <v>0</v>
      </c>
      <c r="AR30">
        <v>0</v>
      </c>
      <c r="AS30">
        <v>0</v>
      </c>
      <c r="AT30">
        <v>1887</v>
      </c>
      <c r="AU30">
        <v>1370</v>
      </c>
      <c r="AV30">
        <v>428</v>
      </c>
      <c r="AW30">
        <v>485</v>
      </c>
      <c r="AX30">
        <v>64.5</v>
      </c>
      <c r="AY30">
        <v>16.75</v>
      </c>
      <c r="AZ30">
        <v>37.75</v>
      </c>
      <c r="BA30">
        <v>14.25</v>
      </c>
      <c r="BB30">
        <v>138.75</v>
      </c>
      <c r="BC30">
        <v>46</v>
      </c>
      <c r="BD30">
        <v>78.75</v>
      </c>
      <c r="BE30">
        <v>22</v>
      </c>
    </row>
    <row r="31" spans="1:57">
      <c r="A31" t="s">
        <v>17219</v>
      </c>
      <c r="B31" t="s">
        <v>17220</v>
      </c>
      <c r="C31">
        <v>4</v>
      </c>
      <c r="D31">
        <v>454</v>
      </c>
      <c r="E31">
        <v>444</v>
      </c>
      <c r="F31">
        <v>411</v>
      </c>
      <c r="G31">
        <v>55</v>
      </c>
      <c r="H31">
        <v>44</v>
      </c>
      <c r="I31">
        <v>5</v>
      </c>
      <c r="J31">
        <v>414</v>
      </c>
      <c r="K31">
        <v>4520</v>
      </c>
      <c r="L31">
        <v>119</v>
      </c>
      <c r="M31">
        <v>64</v>
      </c>
      <c r="N31">
        <v>155</v>
      </c>
      <c r="O31">
        <v>45</v>
      </c>
      <c r="P31">
        <v>21</v>
      </c>
      <c r="Q31">
        <v>49</v>
      </c>
      <c r="R31">
        <v>0</v>
      </c>
      <c r="S31">
        <v>133.25</v>
      </c>
      <c r="T31">
        <v>395.25</v>
      </c>
      <c r="U31">
        <v>365.25</v>
      </c>
      <c r="V31">
        <v>893.75</v>
      </c>
      <c r="W31">
        <v>9205</v>
      </c>
      <c r="X31">
        <v>0</v>
      </c>
      <c r="Y31">
        <v>273</v>
      </c>
      <c r="Z31">
        <v>1</v>
      </c>
      <c r="AA31">
        <v>-32.5</v>
      </c>
      <c r="AB31">
        <v>5615</v>
      </c>
      <c r="AC31">
        <v>653.01999999999987</v>
      </c>
      <c r="AD31">
        <v>653.02399999999989</v>
      </c>
      <c r="AE31">
        <v>6417.4050000000007</v>
      </c>
      <c r="AF31">
        <v>6268.0240000000013</v>
      </c>
      <c r="AG31">
        <v>17163.02</v>
      </c>
      <c r="AH31">
        <v>11293.615</v>
      </c>
      <c r="AI31">
        <v>1934.75</v>
      </c>
      <c r="AJ31">
        <v>2149.25</v>
      </c>
      <c r="AK31">
        <v>4716.75</v>
      </c>
      <c r="AL31">
        <v>2782</v>
      </c>
      <c r="AM31">
        <v>38</v>
      </c>
      <c r="AN31">
        <v>45</v>
      </c>
      <c r="AO31">
        <v>18</v>
      </c>
      <c r="AP31">
        <v>17</v>
      </c>
      <c r="AQ31">
        <v>0</v>
      </c>
      <c r="AR31">
        <v>0</v>
      </c>
      <c r="AS31">
        <v>0</v>
      </c>
      <c r="AT31">
        <v>4520</v>
      </c>
      <c r="AU31">
        <v>939</v>
      </c>
      <c r="AV31">
        <v>3563</v>
      </c>
      <c r="AW31">
        <v>52</v>
      </c>
      <c r="AX31">
        <v>133.25</v>
      </c>
      <c r="AY31">
        <v>37.5</v>
      </c>
      <c r="AZ31">
        <v>95.25</v>
      </c>
      <c r="BA31">
        <v>1.25</v>
      </c>
      <c r="BB31">
        <v>395.25</v>
      </c>
      <c r="BC31">
        <v>111.25</v>
      </c>
      <c r="BD31">
        <v>284</v>
      </c>
      <c r="BE31">
        <v>1</v>
      </c>
    </row>
    <row r="32" spans="1:57">
      <c r="A32" t="s">
        <v>17209</v>
      </c>
      <c r="B32" t="s">
        <v>18789</v>
      </c>
      <c r="C32">
        <v>0</v>
      </c>
      <c r="D32">
        <v>5</v>
      </c>
      <c r="E32">
        <v>5</v>
      </c>
      <c r="F32">
        <v>5</v>
      </c>
      <c r="G32">
        <v>0</v>
      </c>
      <c r="H32">
        <v>0</v>
      </c>
      <c r="I32">
        <v>0</v>
      </c>
      <c r="J32">
        <v>5</v>
      </c>
      <c r="K32">
        <v>48</v>
      </c>
      <c r="L32">
        <v>2</v>
      </c>
      <c r="M32">
        <v>2</v>
      </c>
      <c r="N32">
        <v>1</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48</v>
      </c>
      <c r="AU32">
        <v>0</v>
      </c>
      <c r="AV32">
        <v>48</v>
      </c>
      <c r="AW32">
        <v>0</v>
      </c>
      <c r="AX32">
        <v>0</v>
      </c>
      <c r="AY32">
        <v>0</v>
      </c>
      <c r="AZ32">
        <v>0</v>
      </c>
      <c r="BA32">
        <v>0</v>
      </c>
      <c r="BB32">
        <v>0</v>
      </c>
      <c r="BC32">
        <v>0</v>
      </c>
      <c r="BD32">
        <v>0</v>
      </c>
      <c r="BE32">
        <v>0</v>
      </c>
    </row>
    <row r="33" spans="1:57">
      <c r="A33" t="s">
        <v>16888</v>
      </c>
      <c r="B33" t="s">
        <v>17350</v>
      </c>
      <c r="C33">
        <v>0</v>
      </c>
      <c r="D33">
        <v>3</v>
      </c>
      <c r="E33">
        <v>0</v>
      </c>
      <c r="F33">
        <v>2</v>
      </c>
      <c r="G33">
        <v>0</v>
      </c>
      <c r="H33">
        <v>0</v>
      </c>
      <c r="I33">
        <v>0</v>
      </c>
      <c r="J33">
        <v>0</v>
      </c>
      <c r="K33">
        <v>0</v>
      </c>
      <c r="L33">
        <v>0</v>
      </c>
      <c r="M33">
        <v>0</v>
      </c>
      <c r="N33">
        <v>0</v>
      </c>
      <c r="O33">
        <v>2</v>
      </c>
      <c r="P33">
        <v>1</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row>
    <row r="34" spans="1:57">
      <c r="A34" t="s">
        <v>19966</v>
      </c>
      <c r="B34" t="s">
        <v>19967</v>
      </c>
      <c r="C34">
        <v>0</v>
      </c>
      <c r="D34">
        <v>4</v>
      </c>
      <c r="E34">
        <v>4</v>
      </c>
      <c r="F34">
        <v>4</v>
      </c>
      <c r="G34">
        <v>0</v>
      </c>
      <c r="H34">
        <v>0</v>
      </c>
      <c r="I34">
        <v>0</v>
      </c>
      <c r="J34">
        <v>4</v>
      </c>
      <c r="K34">
        <v>15</v>
      </c>
      <c r="L34">
        <v>2</v>
      </c>
      <c r="M34">
        <v>0</v>
      </c>
      <c r="N34">
        <v>0</v>
      </c>
      <c r="O34">
        <v>2</v>
      </c>
      <c r="P34">
        <v>0</v>
      </c>
      <c r="Q34">
        <v>0</v>
      </c>
      <c r="R34">
        <v>0</v>
      </c>
      <c r="S34">
        <v>1.25</v>
      </c>
      <c r="T34">
        <v>1.5</v>
      </c>
      <c r="U34">
        <v>0</v>
      </c>
      <c r="V34">
        <v>2.75</v>
      </c>
      <c r="W34">
        <v>42.5</v>
      </c>
      <c r="X34">
        <v>0</v>
      </c>
      <c r="Y34">
        <v>4</v>
      </c>
      <c r="Z34">
        <v>0</v>
      </c>
      <c r="AA34">
        <v>0</v>
      </c>
      <c r="AB34">
        <v>0</v>
      </c>
      <c r="AC34">
        <v>0</v>
      </c>
      <c r="AD34">
        <v>0</v>
      </c>
      <c r="AE34">
        <v>0</v>
      </c>
      <c r="AF34">
        <v>0</v>
      </c>
      <c r="AG34">
        <v>42.5</v>
      </c>
      <c r="AH34">
        <v>42.5</v>
      </c>
      <c r="AI34">
        <v>0</v>
      </c>
      <c r="AJ34">
        <v>0</v>
      </c>
      <c r="AK34">
        <v>0</v>
      </c>
      <c r="AL34">
        <v>0</v>
      </c>
      <c r="AM34">
        <v>0</v>
      </c>
      <c r="AN34">
        <v>0</v>
      </c>
      <c r="AO34">
        <v>0</v>
      </c>
      <c r="AP34">
        <v>0</v>
      </c>
      <c r="AQ34">
        <v>0</v>
      </c>
      <c r="AR34">
        <v>0</v>
      </c>
      <c r="AS34">
        <v>0</v>
      </c>
      <c r="AT34">
        <v>15</v>
      </c>
      <c r="AU34">
        <v>0</v>
      </c>
      <c r="AV34">
        <v>15</v>
      </c>
      <c r="AW34">
        <v>0</v>
      </c>
      <c r="AX34">
        <v>1.25</v>
      </c>
      <c r="AY34">
        <v>0</v>
      </c>
      <c r="AZ34">
        <v>1.25</v>
      </c>
      <c r="BA34">
        <v>0</v>
      </c>
      <c r="BB34">
        <v>1.5</v>
      </c>
      <c r="BC34">
        <v>0</v>
      </c>
      <c r="BD34">
        <v>1.5</v>
      </c>
      <c r="BE34">
        <v>0</v>
      </c>
    </row>
    <row r="35" spans="1:57">
      <c r="A35" t="s">
        <v>18790</v>
      </c>
      <c r="B35" t="s">
        <v>17356</v>
      </c>
      <c r="C35">
        <v>0</v>
      </c>
      <c r="D35">
        <v>9</v>
      </c>
      <c r="E35">
        <v>9</v>
      </c>
      <c r="F35">
        <v>6</v>
      </c>
      <c r="G35">
        <v>0</v>
      </c>
      <c r="H35">
        <v>1</v>
      </c>
      <c r="I35">
        <v>0</v>
      </c>
      <c r="J35">
        <v>8</v>
      </c>
      <c r="K35">
        <v>112</v>
      </c>
      <c r="L35">
        <v>8</v>
      </c>
      <c r="M35">
        <v>0</v>
      </c>
      <c r="N35">
        <v>1</v>
      </c>
      <c r="O35">
        <v>0</v>
      </c>
      <c r="P35">
        <v>0</v>
      </c>
      <c r="Q35">
        <v>0</v>
      </c>
      <c r="R35">
        <v>0</v>
      </c>
      <c r="S35">
        <v>5.5</v>
      </c>
      <c r="T35">
        <v>7.5</v>
      </c>
      <c r="U35">
        <v>0</v>
      </c>
      <c r="V35">
        <v>13</v>
      </c>
      <c r="W35">
        <v>205</v>
      </c>
      <c r="X35">
        <v>0</v>
      </c>
      <c r="Y35">
        <v>0</v>
      </c>
      <c r="Z35">
        <v>8</v>
      </c>
      <c r="AA35">
        <v>0</v>
      </c>
      <c r="AB35">
        <v>0</v>
      </c>
      <c r="AC35">
        <v>0</v>
      </c>
      <c r="AD35">
        <v>0</v>
      </c>
      <c r="AE35">
        <v>0</v>
      </c>
      <c r="AF35">
        <v>0</v>
      </c>
      <c r="AG35">
        <v>205</v>
      </c>
      <c r="AH35">
        <v>205</v>
      </c>
      <c r="AI35">
        <v>0</v>
      </c>
      <c r="AJ35">
        <v>0</v>
      </c>
      <c r="AK35">
        <v>0</v>
      </c>
      <c r="AL35">
        <v>0</v>
      </c>
      <c r="AM35">
        <v>0</v>
      </c>
      <c r="AN35">
        <v>0</v>
      </c>
      <c r="AO35">
        <v>0</v>
      </c>
      <c r="AP35">
        <v>0</v>
      </c>
      <c r="AQ35">
        <v>0</v>
      </c>
      <c r="AR35">
        <v>0</v>
      </c>
      <c r="AS35">
        <v>0</v>
      </c>
      <c r="AT35">
        <v>112</v>
      </c>
      <c r="AU35">
        <v>0</v>
      </c>
      <c r="AV35">
        <v>112</v>
      </c>
      <c r="AW35">
        <v>0</v>
      </c>
      <c r="AX35">
        <v>5.5</v>
      </c>
      <c r="AY35">
        <v>0</v>
      </c>
      <c r="AZ35">
        <v>5.5</v>
      </c>
      <c r="BA35">
        <v>0</v>
      </c>
      <c r="BB35">
        <v>7.5</v>
      </c>
      <c r="BC35">
        <v>0</v>
      </c>
      <c r="BD35">
        <v>7.5</v>
      </c>
      <c r="BE35">
        <v>0</v>
      </c>
    </row>
    <row r="36" spans="1:57">
      <c r="A36" t="s">
        <v>17228</v>
      </c>
      <c r="B36" t="s">
        <v>17229</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row>
    <row r="37" spans="1:57">
      <c r="A37" t="s">
        <v>16889</v>
      </c>
      <c r="B37" t="s">
        <v>17351</v>
      </c>
      <c r="C37">
        <v>0</v>
      </c>
      <c r="D37">
        <v>13</v>
      </c>
      <c r="E37">
        <v>0</v>
      </c>
      <c r="F37">
        <v>11</v>
      </c>
      <c r="G37">
        <v>1</v>
      </c>
      <c r="H37">
        <v>2</v>
      </c>
      <c r="I37">
        <v>1</v>
      </c>
      <c r="J37">
        <v>12</v>
      </c>
      <c r="K37">
        <v>197</v>
      </c>
      <c r="L37">
        <v>2</v>
      </c>
      <c r="M37">
        <v>0</v>
      </c>
      <c r="N37">
        <v>6</v>
      </c>
      <c r="O37">
        <v>1</v>
      </c>
      <c r="P37">
        <v>1</v>
      </c>
      <c r="Q37">
        <v>2</v>
      </c>
      <c r="R37">
        <v>0</v>
      </c>
      <c r="S37">
        <v>6</v>
      </c>
      <c r="T37">
        <v>7.25</v>
      </c>
      <c r="U37">
        <v>0</v>
      </c>
      <c r="V37">
        <v>13.25</v>
      </c>
      <c r="W37">
        <v>205</v>
      </c>
      <c r="X37">
        <v>0</v>
      </c>
      <c r="Y37">
        <v>8</v>
      </c>
      <c r="Z37">
        <v>0</v>
      </c>
      <c r="AA37">
        <v>0</v>
      </c>
      <c r="AB37">
        <v>90</v>
      </c>
      <c r="AC37">
        <v>31.75</v>
      </c>
      <c r="AD37">
        <v>31.75</v>
      </c>
      <c r="AE37">
        <v>31.75</v>
      </c>
      <c r="AF37">
        <v>121.75</v>
      </c>
      <c r="AG37">
        <v>236.75</v>
      </c>
      <c r="AH37">
        <v>205</v>
      </c>
      <c r="AI37">
        <v>0</v>
      </c>
      <c r="AJ37">
        <v>0</v>
      </c>
      <c r="AK37">
        <v>0</v>
      </c>
      <c r="AL37">
        <v>0</v>
      </c>
      <c r="AM37">
        <v>0</v>
      </c>
      <c r="AN37">
        <v>2</v>
      </c>
      <c r="AO37">
        <v>0</v>
      </c>
      <c r="AP37">
        <v>0</v>
      </c>
      <c r="AQ37">
        <v>0</v>
      </c>
      <c r="AR37">
        <v>0</v>
      </c>
      <c r="AS37">
        <v>0</v>
      </c>
      <c r="AT37">
        <v>197</v>
      </c>
      <c r="AU37">
        <v>53</v>
      </c>
      <c r="AV37">
        <v>144</v>
      </c>
      <c r="AW37">
        <v>0</v>
      </c>
      <c r="AX37">
        <v>6</v>
      </c>
      <c r="AY37">
        <v>0</v>
      </c>
      <c r="AZ37">
        <v>6</v>
      </c>
      <c r="BA37">
        <v>0</v>
      </c>
      <c r="BB37">
        <v>7.25</v>
      </c>
      <c r="BC37">
        <v>0</v>
      </c>
      <c r="BD37">
        <v>7.25</v>
      </c>
      <c r="BE37">
        <v>0</v>
      </c>
    </row>
    <row r="38" spans="1:57">
      <c r="A38" t="s">
        <v>16890</v>
      </c>
      <c r="B38" t="s">
        <v>16891</v>
      </c>
      <c r="C38">
        <v>0</v>
      </c>
      <c r="D38">
        <v>38</v>
      </c>
      <c r="E38">
        <v>36</v>
      </c>
      <c r="F38">
        <v>35</v>
      </c>
      <c r="G38">
        <v>7</v>
      </c>
      <c r="H38">
        <v>6</v>
      </c>
      <c r="I38">
        <v>0</v>
      </c>
      <c r="J38">
        <v>34</v>
      </c>
      <c r="K38">
        <v>478</v>
      </c>
      <c r="L38">
        <v>24</v>
      </c>
      <c r="M38">
        <v>0</v>
      </c>
      <c r="N38">
        <v>3</v>
      </c>
      <c r="O38">
        <v>0</v>
      </c>
      <c r="P38">
        <v>0</v>
      </c>
      <c r="Q38">
        <v>8</v>
      </c>
      <c r="R38">
        <v>0</v>
      </c>
      <c r="S38">
        <v>41</v>
      </c>
      <c r="T38">
        <v>8.5</v>
      </c>
      <c r="U38">
        <v>0</v>
      </c>
      <c r="V38">
        <v>49.5</v>
      </c>
      <c r="W38">
        <v>580</v>
      </c>
      <c r="X38">
        <v>0</v>
      </c>
      <c r="Y38">
        <v>28</v>
      </c>
      <c r="Z38">
        <v>1</v>
      </c>
      <c r="AA38">
        <v>0</v>
      </c>
      <c r="AB38">
        <v>115</v>
      </c>
      <c r="AC38">
        <v>1372.5</v>
      </c>
      <c r="AD38">
        <v>1278</v>
      </c>
      <c r="AE38">
        <v>1338</v>
      </c>
      <c r="AF38">
        <v>1368</v>
      </c>
      <c r="AG38">
        <v>1952.5</v>
      </c>
      <c r="AH38">
        <v>614.5</v>
      </c>
      <c r="AI38">
        <v>434.75</v>
      </c>
      <c r="AJ38">
        <v>439.75</v>
      </c>
      <c r="AK38">
        <v>594.75</v>
      </c>
      <c r="AL38">
        <v>160</v>
      </c>
      <c r="AM38">
        <v>0</v>
      </c>
      <c r="AN38">
        <v>16</v>
      </c>
      <c r="AO38">
        <v>3</v>
      </c>
      <c r="AP38">
        <v>3</v>
      </c>
      <c r="AQ38">
        <v>0</v>
      </c>
      <c r="AR38">
        <v>0</v>
      </c>
      <c r="AS38">
        <v>0</v>
      </c>
      <c r="AT38">
        <v>478</v>
      </c>
      <c r="AU38">
        <v>126</v>
      </c>
      <c r="AV38">
        <v>352</v>
      </c>
      <c r="AW38">
        <v>0</v>
      </c>
      <c r="AX38">
        <v>41</v>
      </c>
      <c r="AY38">
        <v>11.5</v>
      </c>
      <c r="AZ38">
        <v>29.5</v>
      </c>
      <c r="BA38">
        <v>0</v>
      </c>
      <c r="BB38">
        <v>8.5</v>
      </c>
      <c r="BC38">
        <v>7.5</v>
      </c>
      <c r="BD38">
        <v>1</v>
      </c>
      <c r="BE38">
        <v>0</v>
      </c>
    </row>
    <row r="39" spans="1:57">
      <c r="A39" t="s">
        <v>19969</v>
      </c>
      <c r="B39" t="s">
        <v>19970</v>
      </c>
      <c r="C39">
        <v>3</v>
      </c>
      <c r="D39">
        <v>26</v>
      </c>
      <c r="E39">
        <v>0</v>
      </c>
      <c r="F39">
        <v>0</v>
      </c>
      <c r="G39">
        <v>0</v>
      </c>
      <c r="H39">
        <v>0</v>
      </c>
      <c r="I39">
        <v>0</v>
      </c>
      <c r="J39">
        <v>26</v>
      </c>
      <c r="K39">
        <v>123</v>
      </c>
      <c r="L39">
        <v>20</v>
      </c>
      <c r="M39">
        <v>1</v>
      </c>
      <c r="N39">
        <v>4</v>
      </c>
      <c r="O39">
        <v>1</v>
      </c>
      <c r="P39">
        <v>0</v>
      </c>
      <c r="Q39">
        <v>0</v>
      </c>
      <c r="R39">
        <v>0</v>
      </c>
      <c r="S39">
        <v>0.75</v>
      </c>
      <c r="T39">
        <v>1</v>
      </c>
      <c r="U39">
        <v>0</v>
      </c>
      <c r="V39">
        <v>1.75</v>
      </c>
      <c r="W39">
        <v>5</v>
      </c>
      <c r="X39">
        <v>0</v>
      </c>
      <c r="Y39">
        <v>2</v>
      </c>
      <c r="Z39">
        <v>0</v>
      </c>
      <c r="AA39">
        <v>-22.5</v>
      </c>
      <c r="AB39">
        <v>0</v>
      </c>
      <c r="AC39">
        <v>0</v>
      </c>
      <c r="AD39">
        <v>0</v>
      </c>
      <c r="AE39">
        <v>0</v>
      </c>
      <c r="AF39">
        <v>0</v>
      </c>
      <c r="AG39">
        <v>5</v>
      </c>
      <c r="AH39">
        <v>5</v>
      </c>
      <c r="AI39">
        <v>0</v>
      </c>
      <c r="AJ39">
        <v>0</v>
      </c>
      <c r="AK39">
        <v>0</v>
      </c>
      <c r="AL39">
        <v>0</v>
      </c>
      <c r="AM39">
        <v>0</v>
      </c>
      <c r="AN39">
        <v>0</v>
      </c>
      <c r="AO39">
        <v>0</v>
      </c>
      <c r="AP39">
        <v>0</v>
      </c>
      <c r="AQ39">
        <v>0</v>
      </c>
      <c r="AR39">
        <v>0</v>
      </c>
      <c r="AS39">
        <v>0</v>
      </c>
      <c r="AT39">
        <v>123</v>
      </c>
      <c r="AU39">
        <v>0</v>
      </c>
      <c r="AV39">
        <v>91</v>
      </c>
      <c r="AW39">
        <v>32</v>
      </c>
      <c r="AX39">
        <v>0.75</v>
      </c>
      <c r="AY39">
        <v>0</v>
      </c>
      <c r="AZ39">
        <v>0.5</v>
      </c>
      <c r="BA39">
        <v>0.25</v>
      </c>
      <c r="BB39">
        <v>1</v>
      </c>
      <c r="BC39">
        <v>0</v>
      </c>
      <c r="BD39">
        <v>0</v>
      </c>
      <c r="BE39">
        <v>1</v>
      </c>
    </row>
    <row r="40" spans="1:57">
      <c r="A40" t="s">
        <v>16892</v>
      </c>
      <c r="B40" t="s">
        <v>16893</v>
      </c>
      <c r="C40">
        <v>0</v>
      </c>
      <c r="D40">
        <v>11</v>
      </c>
      <c r="E40">
        <v>11</v>
      </c>
      <c r="F40">
        <v>9</v>
      </c>
      <c r="G40">
        <v>0</v>
      </c>
      <c r="H40">
        <v>0</v>
      </c>
      <c r="I40">
        <v>0</v>
      </c>
      <c r="J40">
        <v>11</v>
      </c>
      <c r="K40">
        <v>210</v>
      </c>
      <c r="L40">
        <v>6</v>
      </c>
      <c r="M40">
        <v>1</v>
      </c>
      <c r="N40">
        <v>1</v>
      </c>
      <c r="O40">
        <v>3</v>
      </c>
      <c r="P40">
        <v>0</v>
      </c>
      <c r="Q40">
        <v>0</v>
      </c>
      <c r="R40">
        <v>0</v>
      </c>
      <c r="S40">
        <v>5.25</v>
      </c>
      <c r="T40">
        <v>6</v>
      </c>
      <c r="U40">
        <v>0</v>
      </c>
      <c r="V40">
        <v>11.25</v>
      </c>
      <c r="W40">
        <v>172.5</v>
      </c>
      <c r="X40">
        <v>0</v>
      </c>
      <c r="Y40">
        <v>4</v>
      </c>
      <c r="Z40">
        <v>3</v>
      </c>
      <c r="AA40">
        <v>0</v>
      </c>
      <c r="AB40">
        <v>0</v>
      </c>
      <c r="AC40">
        <v>0</v>
      </c>
      <c r="AD40">
        <v>0</v>
      </c>
      <c r="AE40">
        <v>0</v>
      </c>
      <c r="AF40">
        <v>0</v>
      </c>
      <c r="AG40">
        <v>172.5</v>
      </c>
      <c r="AH40">
        <v>172.5</v>
      </c>
      <c r="AI40">
        <v>0</v>
      </c>
      <c r="AJ40">
        <v>0</v>
      </c>
      <c r="AK40">
        <v>0</v>
      </c>
      <c r="AL40">
        <v>0</v>
      </c>
      <c r="AM40">
        <v>0</v>
      </c>
      <c r="AN40">
        <v>0</v>
      </c>
      <c r="AO40">
        <v>0</v>
      </c>
      <c r="AP40">
        <v>0</v>
      </c>
      <c r="AQ40">
        <v>0</v>
      </c>
      <c r="AR40">
        <v>0</v>
      </c>
      <c r="AS40">
        <v>0</v>
      </c>
      <c r="AT40">
        <v>210</v>
      </c>
      <c r="AU40">
        <v>0</v>
      </c>
      <c r="AV40">
        <v>210</v>
      </c>
      <c r="AW40">
        <v>0</v>
      </c>
      <c r="AX40">
        <v>5.25</v>
      </c>
      <c r="AY40">
        <v>0</v>
      </c>
      <c r="AZ40">
        <v>5.25</v>
      </c>
      <c r="BA40">
        <v>0</v>
      </c>
      <c r="BB40">
        <v>6</v>
      </c>
      <c r="BC40">
        <v>0</v>
      </c>
      <c r="BD40">
        <v>6</v>
      </c>
      <c r="BE40">
        <v>0</v>
      </c>
    </row>
    <row r="41" spans="1:57">
      <c r="A41" t="s">
        <v>16894</v>
      </c>
      <c r="B41" t="s">
        <v>16895</v>
      </c>
      <c r="C41">
        <v>0</v>
      </c>
      <c r="D41">
        <v>5</v>
      </c>
      <c r="E41">
        <v>5</v>
      </c>
      <c r="F41">
        <v>4</v>
      </c>
      <c r="G41">
        <v>0</v>
      </c>
      <c r="H41">
        <v>0</v>
      </c>
      <c r="I41">
        <v>0</v>
      </c>
      <c r="J41">
        <v>5</v>
      </c>
      <c r="K41">
        <v>37</v>
      </c>
      <c r="L41">
        <v>4</v>
      </c>
      <c r="M41">
        <v>0</v>
      </c>
      <c r="N41">
        <v>0</v>
      </c>
      <c r="O41">
        <v>1</v>
      </c>
      <c r="P41">
        <v>0</v>
      </c>
      <c r="Q41">
        <v>0</v>
      </c>
      <c r="R41">
        <v>0</v>
      </c>
      <c r="S41">
        <v>16.75</v>
      </c>
      <c r="T41">
        <v>16.25</v>
      </c>
      <c r="U41">
        <v>0</v>
      </c>
      <c r="V41">
        <v>33</v>
      </c>
      <c r="W41">
        <v>492.5</v>
      </c>
      <c r="X41">
        <v>0</v>
      </c>
      <c r="Y41">
        <v>2</v>
      </c>
      <c r="Z41">
        <v>2</v>
      </c>
      <c r="AA41">
        <v>0</v>
      </c>
      <c r="AB41">
        <v>420</v>
      </c>
      <c r="AC41">
        <v>1.75</v>
      </c>
      <c r="AD41">
        <v>1.75</v>
      </c>
      <c r="AE41">
        <v>0</v>
      </c>
      <c r="AF41">
        <v>421.75</v>
      </c>
      <c r="AG41">
        <v>494.25</v>
      </c>
      <c r="AH41">
        <v>494.25</v>
      </c>
      <c r="AI41">
        <v>0</v>
      </c>
      <c r="AJ41">
        <v>0</v>
      </c>
      <c r="AK41">
        <v>0</v>
      </c>
      <c r="AL41">
        <v>0</v>
      </c>
      <c r="AM41">
        <v>0</v>
      </c>
      <c r="AN41">
        <v>0</v>
      </c>
      <c r="AO41">
        <v>0</v>
      </c>
      <c r="AP41">
        <v>0</v>
      </c>
      <c r="AQ41">
        <v>0</v>
      </c>
      <c r="AR41">
        <v>0</v>
      </c>
      <c r="AS41">
        <v>0</v>
      </c>
      <c r="AT41">
        <v>37</v>
      </c>
      <c r="AU41">
        <v>0</v>
      </c>
      <c r="AV41">
        <v>37</v>
      </c>
      <c r="AW41">
        <v>0</v>
      </c>
      <c r="AX41">
        <v>16.75</v>
      </c>
      <c r="AY41">
        <v>0</v>
      </c>
      <c r="AZ41">
        <v>16.75</v>
      </c>
      <c r="BA41">
        <v>0</v>
      </c>
      <c r="BB41">
        <v>16.25</v>
      </c>
      <c r="BC41">
        <v>0</v>
      </c>
      <c r="BD41">
        <v>16.25</v>
      </c>
      <c r="BE41">
        <v>0</v>
      </c>
    </row>
    <row r="42" spans="1:57">
      <c r="A42" t="s">
        <v>16900</v>
      </c>
      <c r="B42" t="s">
        <v>16901</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row>
    <row r="43" spans="1:57">
      <c r="A43" t="s">
        <v>16902</v>
      </c>
      <c r="B43" t="s">
        <v>16903</v>
      </c>
      <c r="C43">
        <v>0</v>
      </c>
      <c r="D43">
        <v>6</v>
      </c>
      <c r="E43">
        <v>6</v>
      </c>
      <c r="F43">
        <v>6</v>
      </c>
      <c r="G43">
        <v>0</v>
      </c>
      <c r="H43">
        <v>0</v>
      </c>
      <c r="I43">
        <v>2</v>
      </c>
      <c r="J43">
        <v>5</v>
      </c>
      <c r="K43">
        <v>21</v>
      </c>
      <c r="L43">
        <v>2</v>
      </c>
      <c r="M43">
        <v>1</v>
      </c>
      <c r="N43">
        <v>2</v>
      </c>
      <c r="O43">
        <v>0</v>
      </c>
      <c r="P43">
        <v>1</v>
      </c>
      <c r="Q43">
        <v>0</v>
      </c>
      <c r="R43">
        <v>0</v>
      </c>
      <c r="S43">
        <v>3.5</v>
      </c>
      <c r="T43">
        <v>1.5</v>
      </c>
      <c r="U43">
        <v>1.3</v>
      </c>
      <c r="V43">
        <v>6.3</v>
      </c>
      <c r="W43">
        <v>65</v>
      </c>
      <c r="X43">
        <v>0</v>
      </c>
      <c r="Y43">
        <v>4</v>
      </c>
      <c r="Z43">
        <v>0</v>
      </c>
      <c r="AA43">
        <v>0</v>
      </c>
      <c r="AB43">
        <v>10</v>
      </c>
      <c r="AC43">
        <v>0</v>
      </c>
      <c r="AD43">
        <v>0</v>
      </c>
      <c r="AE43">
        <v>0</v>
      </c>
      <c r="AF43">
        <v>10</v>
      </c>
      <c r="AG43">
        <v>91</v>
      </c>
      <c r="AH43">
        <v>91</v>
      </c>
      <c r="AI43">
        <v>0</v>
      </c>
      <c r="AJ43">
        <v>0</v>
      </c>
      <c r="AK43">
        <v>0</v>
      </c>
      <c r="AL43">
        <v>0</v>
      </c>
      <c r="AM43">
        <v>0</v>
      </c>
      <c r="AN43">
        <v>0</v>
      </c>
      <c r="AO43">
        <v>0</v>
      </c>
      <c r="AP43">
        <v>0</v>
      </c>
      <c r="AQ43">
        <v>0</v>
      </c>
      <c r="AR43">
        <v>0</v>
      </c>
      <c r="AS43">
        <v>0</v>
      </c>
      <c r="AT43">
        <v>21</v>
      </c>
      <c r="AU43">
        <v>0</v>
      </c>
      <c r="AV43">
        <v>21</v>
      </c>
      <c r="AW43">
        <v>0</v>
      </c>
      <c r="AX43">
        <v>3.5</v>
      </c>
      <c r="AY43">
        <v>0</v>
      </c>
      <c r="AZ43">
        <v>3.5</v>
      </c>
      <c r="BA43">
        <v>0</v>
      </c>
      <c r="BB43">
        <v>1.5</v>
      </c>
      <c r="BC43">
        <v>0</v>
      </c>
      <c r="BD43">
        <v>1.5</v>
      </c>
      <c r="BE43">
        <v>0</v>
      </c>
    </row>
    <row r="44" spans="1:57">
      <c r="A44" t="s">
        <v>16904</v>
      </c>
      <c r="B44" t="s">
        <v>16905</v>
      </c>
      <c r="C44">
        <v>0</v>
      </c>
      <c r="D44">
        <v>1</v>
      </c>
      <c r="E44">
        <v>1</v>
      </c>
      <c r="F44">
        <v>1</v>
      </c>
      <c r="G44">
        <v>0</v>
      </c>
      <c r="H44">
        <v>0</v>
      </c>
      <c r="I44">
        <v>0</v>
      </c>
      <c r="J44">
        <v>1</v>
      </c>
      <c r="K44">
        <v>6</v>
      </c>
      <c r="L44">
        <v>1</v>
      </c>
      <c r="M44">
        <v>0</v>
      </c>
      <c r="N44">
        <v>0</v>
      </c>
      <c r="O44">
        <v>0</v>
      </c>
      <c r="P44">
        <v>0</v>
      </c>
      <c r="Q44">
        <v>0</v>
      </c>
      <c r="R44">
        <v>0</v>
      </c>
      <c r="S44">
        <v>0.5</v>
      </c>
      <c r="T44">
        <v>0.5</v>
      </c>
      <c r="U44">
        <v>0</v>
      </c>
      <c r="V44">
        <v>1</v>
      </c>
      <c r="W44">
        <v>15</v>
      </c>
      <c r="X44">
        <v>0</v>
      </c>
      <c r="Y44">
        <v>1</v>
      </c>
      <c r="Z44">
        <v>0</v>
      </c>
      <c r="AA44">
        <v>0</v>
      </c>
      <c r="AB44">
        <v>0</v>
      </c>
      <c r="AC44">
        <v>0</v>
      </c>
      <c r="AD44">
        <v>0</v>
      </c>
      <c r="AE44">
        <v>0</v>
      </c>
      <c r="AF44">
        <v>0</v>
      </c>
      <c r="AG44">
        <v>15</v>
      </c>
      <c r="AH44">
        <v>15</v>
      </c>
      <c r="AI44">
        <v>0</v>
      </c>
      <c r="AJ44">
        <v>0</v>
      </c>
      <c r="AK44">
        <v>0</v>
      </c>
      <c r="AL44">
        <v>0</v>
      </c>
      <c r="AM44">
        <v>0</v>
      </c>
      <c r="AN44">
        <v>0</v>
      </c>
      <c r="AO44">
        <v>0</v>
      </c>
      <c r="AP44">
        <v>0</v>
      </c>
      <c r="AQ44">
        <v>0</v>
      </c>
      <c r="AR44">
        <v>0</v>
      </c>
      <c r="AS44">
        <v>0</v>
      </c>
      <c r="AT44">
        <v>6</v>
      </c>
      <c r="AU44">
        <v>0</v>
      </c>
      <c r="AV44">
        <v>6</v>
      </c>
      <c r="AW44">
        <v>0</v>
      </c>
      <c r="AX44">
        <v>0.5</v>
      </c>
      <c r="AY44">
        <v>0</v>
      </c>
      <c r="AZ44">
        <v>0.5</v>
      </c>
      <c r="BA44">
        <v>0</v>
      </c>
      <c r="BB44">
        <v>0.5</v>
      </c>
      <c r="BC44">
        <v>0</v>
      </c>
      <c r="BD44">
        <v>0.5</v>
      </c>
      <c r="BE44">
        <v>0</v>
      </c>
    </row>
    <row r="45" spans="1:57">
      <c r="A45" t="s">
        <v>16908</v>
      </c>
      <c r="B45" t="s">
        <v>16909</v>
      </c>
      <c r="C45">
        <v>0</v>
      </c>
      <c r="D45">
        <v>37</v>
      </c>
      <c r="E45">
        <v>37</v>
      </c>
      <c r="F45">
        <v>33</v>
      </c>
      <c r="G45">
        <v>2</v>
      </c>
      <c r="H45">
        <v>6</v>
      </c>
      <c r="I45">
        <v>1</v>
      </c>
      <c r="J45">
        <v>36</v>
      </c>
      <c r="K45">
        <v>291</v>
      </c>
      <c r="L45">
        <v>25</v>
      </c>
      <c r="M45">
        <v>0</v>
      </c>
      <c r="N45">
        <v>1</v>
      </c>
      <c r="O45">
        <v>8</v>
      </c>
      <c r="P45">
        <v>0</v>
      </c>
      <c r="Q45">
        <v>3</v>
      </c>
      <c r="R45">
        <v>0</v>
      </c>
      <c r="S45">
        <v>0</v>
      </c>
      <c r="T45">
        <v>0</v>
      </c>
      <c r="U45">
        <v>5.75</v>
      </c>
      <c r="V45">
        <v>5.25</v>
      </c>
      <c r="W45">
        <v>0</v>
      </c>
      <c r="X45">
        <v>0</v>
      </c>
      <c r="Y45">
        <v>0</v>
      </c>
      <c r="Z45">
        <v>0</v>
      </c>
      <c r="AA45">
        <v>0</v>
      </c>
      <c r="AB45">
        <v>0</v>
      </c>
      <c r="AC45">
        <v>0</v>
      </c>
      <c r="AD45">
        <v>0</v>
      </c>
      <c r="AE45">
        <v>0</v>
      </c>
      <c r="AF45">
        <v>0</v>
      </c>
      <c r="AG45">
        <v>115</v>
      </c>
      <c r="AH45">
        <v>115</v>
      </c>
      <c r="AI45">
        <v>0</v>
      </c>
      <c r="AJ45">
        <v>0</v>
      </c>
      <c r="AK45">
        <v>55</v>
      </c>
      <c r="AL45">
        <v>55</v>
      </c>
      <c r="AM45">
        <v>0</v>
      </c>
      <c r="AN45">
        <v>0</v>
      </c>
      <c r="AO45">
        <v>0</v>
      </c>
      <c r="AP45">
        <v>0</v>
      </c>
      <c r="AQ45">
        <v>0</v>
      </c>
      <c r="AR45">
        <v>0</v>
      </c>
      <c r="AS45">
        <v>0</v>
      </c>
      <c r="AT45">
        <v>291</v>
      </c>
      <c r="AU45">
        <v>172</v>
      </c>
      <c r="AV45">
        <v>119</v>
      </c>
      <c r="AW45">
        <v>0</v>
      </c>
      <c r="AX45">
        <v>0</v>
      </c>
      <c r="AY45">
        <v>0</v>
      </c>
      <c r="AZ45">
        <v>0</v>
      </c>
      <c r="BA45">
        <v>0</v>
      </c>
      <c r="BB45">
        <v>0</v>
      </c>
      <c r="BC45">
        <v>0</v>
      </c>
      <c r="BD45">
        <v>0</v>
      </c>
      <c r="BE45">
        <v>0</v>
      </c>
    </row>
    <row r="46" spans="1:57">
      <c r="A46" t="s">
        <v>17221</v>
      </c>
      <c r="B46" t="s">
        <v>17405</v>
      </c>
      <c r="C46">
        <v>1</v>
      </c>
      <c r="D46">
        <v>134</v>
      </c>
      <c r="E46">
        <v>129</v>
      </c>
      <c r="F46">
        <v>126</v>
      </c>
      <c r="G46">
        <v>0</v>
      </c>
      <c r="H46">
        <v>3</v>
      </c>
      <c r="I46">
        <v>0</v>
      </c>
      <c r="J46">
        <v>133</v>
      </c>
      <c r="K46">
        <v>1407</v>
      </c>
      <c r="L46">
        <v>119</v>
      </c>
      <c r="M46">
        <v>1</v>
      </c>
      <c r="N46">
        <v>2</v>
      </c>
      <c r="O46">
        <v>0</v>
      </c>
      <c r="P46">
        <v>0</v>
      </c>
      <c r="Q46">
        <v>12</v>
      </c>
      <c r="R46">
        <v>0</v>
      </c>
      <c r="S46">
        <v>164.6</v>
      </c>
      <c r="T46">
        <v>13.75</v>
      </c>
      <c r="U46">
        <v>0</v>
      </c>
      <c r="V46">
        <v>178.35</v>
      </c>
      <c r="W46">
        <v>1681</v>
      </c>
      <c r="X46">
        <v>0</v>
      </c>
      <c r="Y46">
        <v>53</v>
      </c>
      <c r="Z46">
        <v>0</v>
      </c>
      <c r="AA46">
        <v>-240</v>
      </c>
      <c r="AB46">
        <v>590</v>
      </c>
      <c r="AC46">
        <v>42</v>
      </c>
      <c r="AD46">
        <v>42</v>
      </c>
      <c r="AE46">
        <v>42</v>
      </c>
      <c r="AF46">
        <v>632</v>
      </c>
      <c r="AG46">
        <v>1723</v>
      </c>
      <c r="AH46">
        <v>1681</v>
      </c>
      <c r="AI46">
        <v>0</v>
      </c>
      <c r="AJ46">
        <v>0</v>
      </c>
      <c r="AK46">
        <v>12.5</v>
      </c>
      <c r="AL46">
        <v>12.5</v>
      </c>
      <c r="AM46">
        <v>1</v>
      </c>
      <c r="AN46">
        <v>1</v>
      </c>
      <c r="AO46">
        <v>0</v>
      </c>
      <c r="AP46">
        <v>0</v>
      </c>
      <c r="AQ46">
        <v>0</v>
      </c>
      <c r="AR46">
        <v>0</v>
      </c>
      <c r="AS46">
        <v>0</v>
      </c>
      <c r="AT46">
        <v>1407</v>
      </c>
      <c r="AU46">
        <v>62</v>
      </c>
      <c r="AV46">
        <v>1329</v>
      </c>
      <c r="AW46">
        <v>16</v>
      </c>
      <c r="AX46">
        <v>164.6</v>
      </c>
      <c r="AY46">
        <v>0.75</v>
      </c>
      <c r="AZ46">
        <v>139.85</v>
      </c>
      <c r="BA46">
        <v>24</v>
      </c>
      <c r="BB46">
        <v>13.75</v>
      </c>
      <c r="BC46">
        <v>0.25</v>
      </c>
      <c r="BD46">
        <v>13.5</v>
      </c>
      <c r="BE46">
        <v>0</v>
      </c>
    </row>
    <row r="47" spans="1:57">
      <c r="A47" t="s">
        <v>16910</v>
      </c>
      <c r="B47" t="s">
        <v>16911</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row>
    <row r="48" spans="1:57">
      <c r="A48" t="s">
        <v>16912</v>
      </c>
      <c r="B48" t="s">
        <v>16913</v>
      </c>
      <c r="C48">
        <v>0</v>
      </c>
      <c r="D48">
        <v>1</v>
      </c>
      <c r="E48">
        <v>1</v>
      </c>
      <c r="F48">
        <v>0</v>
      </c>
      <c r="G48">
        <v>1</v>
      </c>
      <c r="H48">
        <v>1</v>
      </c>
      <c r="I48">
        <v>0</v>
      </c>
      <c r="J48">
        <v>1</v>
      </c>
      <c r="K48">
        <v>30</v>
      </c>
      <c r="L48">
        <v>1</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30</v>
      </c>
      <c r="AU48">
        <v>30</v>
      </c>
      <c r="AV48">
        <v>0</v>
      </c>
      <c r="AW48">
        <v>0</v>
      </c>
      <c r="AX48">
        <v>0</v>
      </c>
      <c r="AY48">
        <v>0</v>
      </c>
      <c r="AZ48">
        <v>0</v>
      </c>
      <c r="BA48">
        <v>0</v>
      </c>
      <c r="BB48">
        <v>0</v>
      </c>
      <c r="BC48">
        <v>0</v>
      </c>
      <c r="BD48">
        <v>0</v>
      </c>
      <c r="BE48">
        <v>0</v>
      </c>
    </row>
    <row r="49" spans="1:57">
      <c r="A49" t="s">
        <v>16914</v>
      </c>
      <c r="B49" t="s">
        <v>16915</v>
      </c>
      <c r="C49">
        <v>0</v>
      </c>
      <c r="D49">
        <v>10</v>
      </c>
      <c r="E49">
        <v>10</v>
      </c>
      <c r="F49">
        <v>10</v>
      </c>
      <c r="G49">
        <v>0</v>
      </c>
      <c r="H49">
        <v>1</v>
      </c>
      <c r="I49">
        <v>0</v>
      </c>
      <c r="J49">
        <v>10</v>
      </c>
      <c r="K49">
        <v>63</v>
      </c>
      <c r="L49">
        <v>4</v>
      </c>
      <c r="M49">
        <v>2</v>
      </c>
      <c r="N49">
        <v>0</v>
      </c>
      <c r="O49">
        <v>4</v>
      </c>
      <c r="P49">
        <v>0</v>
      </c>
      <c r="Q49">
        <v>0</v>
      </c>
      <c r="R49">
        <v>0</v>
      </c>
      <c r="S49">
        <v>0</v>
      </c>
      <c r="T49">
        <v>0</v>
      </c>
      <c r="U49">
        <v>0</v>
      </c>
      <c r="V49">
        <v>0</v>
      </c>
      <c r="W49">
        <v>0</v>
      </c>
      <c r="X49">
        <v>0</v>
      </c>
      <c r="Y49">
        <v>0</v>
      </c>
      <c r="Z49">
        <v>0</v>
      </c>
      <c r="AA49">
        <v>0</v>
      </c>
      <c r="AB49">
        <v>0</v>
      </c>
      <c r="AC49">
        <v>35.4</v>
      </c>
      <c r="AD49">
        <v>35.4</v>
      </c>
      <c r="AE49">
        <v>34</v>
      </c>
      <c r="AF49">
        <v>35.4</v>
      </c>
      <c r="AG49">
        <v>35.4</v>
      </c>
      <c r="AH49">
        <v>1.4</v>
      </c>
      <c r="AI49">
        <v>0</v>
      </c>
      <c r="AJ49">
        <v>0</v>
      </c>
      <c r="AK49">
        <v>0</v>
      </c>
      <c r="AL49">
        <v>0</v>
      </c>
      <c r="AM49">
        <v>1</v>
      </c>
      <c r="AN49">
        <v>2</v>
      </c>
      <c r="AO49">
        <v>0</v>
      </c>
      <c r="AP49">
        <v>0</v>
      </c>
      <c r="AQ49">
        <v>0</v>
      </c>
      <c r="AR49">
        <v>0</v>
      </c>
      <c r="AS49">
        <v>0</v>
      </c>
      <c r="AT49">
        <v>63</v>
      </c>
      <c r="AU49">
        <v>17</v>
      </c>
      <c r="AV49">
        <v>46</v>
      </c>
      <c r="AW49">
        <v>0</v>
      </c>
      <c r="AX49">
        <v>0</v>
      </c>
      <c r="AY49">
        <v>0</v>
      </c>
      <c r="AZ49">
        <v>0</v>
      </c>
      <c r="BA49">
        <v>0</v>
      </c>
      <c r="BB49">
        <v>0</v>
      </c>
      <c r="BC49">
        <v>0</v>
      </c>
      <c r="BD49">
        <v>0</v>
      </c>
      <c r="BE49">
        <v>0</v>
      </c>
    </row>
    <row r="50" spans="1:57">
      <c r="A50" t="s">
        <v>16916</v>
      </c>
      <c r="B50" t="s">
        <v>16917</v>
      </c>
      <c r="C50">
        <v>4</v>
      </c>
      <c r="D50">
        <v>4</v>
      </c>
      <c r="E50">
        <v>0</v>
      </c>
      <c r="F50">
        <v>4</v>
      </c>
      <c r="G50">
        <v>0</v>
      </c>
      <c r="H50">
        <v>0</v>
      </c>
      <c r="I50">
        <v>0</v>
      </c>
      <c r="J50">
        <v>4</v>
      </c>
      <c r="K50">
        <v>18</v>
      </c>
      <c r="L50">
        <v>3</v>
      </c>
      <c r="M50">
        <v>0</v>
      </c>
      <c r="N50">
        <v>0</v>
      </c>
      <c r="O50">
        <v>1</v>
      </c>
      <c r="P50">
        <v>0</v>
      </c>
      <c r="Q50">
        <v>0</v>
      </c>
      <c r="R50">
        <v>0</v>
      </c>
      <c r="S50">
        <v>7.25</v>
      </c>
      <c r="T50">
        <v>1.25</v>
      </c>
      <c r="U50">
        <v>0</v>
      </c>
      <c r="V50">
        <v>8.5</v>
      </c>
      <c r="W50">
        <v>0</v>
      </c>
      <c r="X50">
        <v>0</v>
      </c>
      <c r="Y50">
        <v>0</v>
      </c>
      <c r="Z50">
        <v>0</v>
      </c>
      <c r="AA50">
        <v>-97.5</v>
      </c>
      <c r="AB50">
        <v>0</v>
      </c>
      <c r="AC50">
        <v>0</v>
      </c>
      <c r="AD50">
        <v>0</v>
      </c>
      <c r="AE50">
        <v>0</v>
      </c>
      <c r="AF50">
        <v>0</v>
      </c>
      <c r="AG50">
        <v>0</v>
      </c>
      <c r="AH50">
        <v>0</v>
      </c>
      <c r="AI50">
        <v>0</v>
      </c>
      <c r="AJ50">
        <v>0</v>
      </c>
      <c r="AK50">
        <v>0</v>
      </c>
      <c r="AL50">
        <v>0</v>
      </c>
      <c r="AM50">
        <v>0</v>
      </c>
      <c r="AN50">
        <v>0</v>
      </c>
      <c r="AO50">
        <v>0</v>
      </c>
      <c r="AP50">
        <v>0</v>
      </c>
      <c r="AQ50">
        <v>0</v>
      </c>
      <c r="AR50">
        <v>0</v>
      </c>
      <c r="AS50">
        <v>0</v>
      </c>
      <c r="AT50">
        <v>18</v>
      </c>
      <c r="AU50">
        <v>0</v>
      </c>
      <c r="AV50">
        <v>0</v>
      </c>
      <c r="AW50">
        <v>18</v>
      </c>
      <c r="AX50">
        <v>7.25</v>
      </c>
      <c r="AY50">
        <v>0</v>
      </c>
      <c r="AZ50">
        <v>0</v>
      </c>
      <c r="BA50">
        <v>7.25</v>
      </c>
      <c r="BB50">
        <v>1.25</v>
      </c>
      <c r="BC50">
        <v>0</v>
      </c>
      <c r="BD50">
        <v>0</v>
      </c>
      <c r="BE50">
        <v>1.25</v>
      </c>
    </row>
    <row r="51" spans="1:57">
      <c r="A51" t="s">
        <v>16941</v>
      </c>
      <c r="B51" t="s">
        <v>16942</v>
      </c>
      <c r="C51">
        <v>0</v>
      </c>
      <c r="D51">
        <v>8</v>
      </c>
      <c r="E51">
        <v>6</v>
      </c>
      <c r="F51">
        <v>8</v>
      </c>
      <c r="G51">
        <v>5</v>
      </c>
      <c r="H51">
        <v>0</v>
      </c>
      <c r="I51">
        <v>0</v>
      </c>
      <c r="J51">
        <v>8</v>
      </c>
      <c r="K51">
        <v>32</v>
      </c>
      <c r="L51">
        <v>6</v>
      </c>
      <c r="M51">
        <v>0</v>
      </c>
      <c r="N51">
        <v>0</v>
      </c>
      <c r="O51">
        <v>0</v>
      </c>
      <c r="P51">
        <v>0</v>
      </c>
      <c r="Q51">
        <v>2</v>
      </c>
      <c r="R51">
        <v>0</v>
      </c>
      <c r="S51">
        <v>2.25</v>
      </c>
      <c r="T51">
        <v>1</v>
      </c>
      <c r="U51">
        <v>0</v>
      </c>
      <c r="V51">
        <v>3.25</v>
      </c>
      <c r="W51">
        <v>42.5</v>
      </c>
      <c r="X51">
        <v>0</v>
      </c>
      <c r="Y51">
        <v>4</v>
      </c>
      <c r="Z51">
        <v>0</v>
      </c>
      <c r="AA51">
        <v>0</v>
      </c>
      <c r="AB51">
        <v>0</v>
      </c>
      <c r="AC51">
        <v>12.08</v>
      </c>
      <c r="AD51">
        <v>12.08</v>
      </c>
      <c r="AE51">
        <v>12.08</v>
      </c>
      <c r="AF51">
        <v>12.08</v>
      </c>
      <c r="AG51">
        <v>54.58</v>
      </c>
      <c r="AH51">
        <v>42.5</v>
      </c>
      <c r="AI51">
        <v>0</v>
      </c>
      <c r="AJ51">
        <v>0</v>
      </c>
      <c r="AK51">
        <v>0</v>
      </c>
      <c r="AL51">
        <v>0</v>
      </c>
      <c r="AM51">
        <v>0</v>
      </c>
      <c r="AN51">
        <v>1</v>
      </c>
      <c r="AO51">
        <v>0</v>
      </c>
      <c r="AP51">
        <v>0</v>
      </c>
      <c r="AQ51">
        <v>0</v>
      </c>
      <c r="AR51">
        <v>0</v>
      </c>
      <c r="AS51">
        <v>0</v>
      </c>
      <c r="AT51">
        <v>32</v>
      </c>
      <c r="AU51">
        <v>0</v>
      </c>
      <c r="AV51">
        <v>32</v>
      </c>
      <c r="AW51">
        <v>0</v>
      </c>
      <c r="AX51">
        <v>2.25</v>
      </c>
      <c r="AY51">
        <v>0</v>
      </c>
      <c r="AZ51">
        <v>2.25</v>
      </c>
      <c r="BA51">
        <v>0</v>
      </c>
      <c r="BB51">
        <v>1</v>
      </c>
      <c r="BC51">
        <v>0</v>
      </c>
      <c r="BD51">
        <v>1</v>
      </c>
      <c r="BE51">
        <v>0</v>
      </c>
    </row>
    <row r="52" spans="1:57">
      <c r="A52" t="s">
        <v>16920</v>
      </c>
      <c r="B52" t="s">
        <v>16921</v>
      </c>
      <c r="C52">
        <v>0</v>
      </c>
      <c r="D52">
        <v>2</v>
      </c>
      <c r="E52">
        <v>2</v>
      </c>
      <c r="F52">
        <v>2</v>
      </c>
      <c r="G52">
        <v>0</v>
      </c>
      <c r="H52">
        <v>0</v>
      </c>
      <c r="I52">
        <v>0</v>
      </c>
      <c r="J52">
        <v>2</v>
      </c>
      <c r="K52">
        <v>3</v>
      </c>
      <c r="L52">
        <v>2</v>
      </c>
      <c r="M52">
        <v>0</v>
      </c>
      <c r="N52">
        <v>0</v>
      </c>
      <c r="O52">
        <v>0</v>
      </c>
      <c r="P52">
        <v>0</v>
      </c>
      <c r="Q52">
        <v>0</v>
      </c>
      <c r="R52">
        <v>0</v>
      </c>
      <c r="S52">
        <v>0.5</v>
      </c>
      <c r="T52">
        <v>0</v>
      </c>
      <c r="U52">
        <v>0</v>
      </c>
      <c r="V52">
        <v>0.5</v>
      </c>
      <c r="W52">
        <v>5</v>
      </c>
      <c r="X52">
        <v>0</v>
      </c>
      <c r="Y52">
        <v>2</v>
      </c>
      <c r="Z52">
        <v>0</v>
      </c>
      <c r="AA52">
        <v>0</v>
      </c>
      <c r="AB52">
        <v>0</v>
      </c>
      <c r="AC52">
        <v>3.4000000000000004</v>
      </c>
      <c r="AD52">
        <v>3.4000000000000004</v>
      </c>
      <c r="AE52">
        <v>0</v>
      </c>
      <c r="AF52">
        <v>3.4000000000000004</v>
      </c>
      <c r="AG52">
        <v>8.3999999999999986</v>
      </c>
      <c r="AH52">
        <v>8.3999999999999986</v>
      </c>
      <c r="AI52">
        <v>0</v>
      </c>
      <c r="AJ52">
        <v>0</v>
      </c>
      <c r="AK52">
        <v>0</v>
      </c>
      <c r="AL52">
        <v>0</v>
      </c>
      <c r="AM52">
        <v>0</v>
      </c>
      <c r="AN52">
        <v>0</v>
      </c>
      <c r="AO52">
        <v>0</v>
      </c>
      <c r="AP52">
        <v>0</v>
      </c>
      <c r="AQ52">
        <v>0</v>
      </c>
      <c r="AR52">
        <v>0</v>
      </c>
      <c r="AS52">
        <v>0</v>
      </c>
      <c r="AT52">
        <v>3</v>
      </c>
      <c r="AU52">
        <v>0</v>
      </c>
      <c r="AV52">
        <v>3</v>
      </c>
      <c r="AW52">
        <v>0</v>
      </c>
      <c r="AX52">
        <v>0.5</v>
      </c>
      <c r="AY52">
        <v>0</v>
      </c>
      <c r="AZ52">
        <v>0.5</v>
      </c>
      <c r="BA52">
        <v>0</v>
      </c>
      <c r="BB52">
        <v>0</v>
      </c>
      <c r="BC52">
        <v>0</v>
      </c>
      <c r="BD52">
        <v>0</v>
      </c>
      <c r="BE52">
        <v>0</v>
      </c>
    </row>
    <row r="53" spans="1:57">
      <c r="A53" t="s">
        <v>16922</v>
      </c>
      <c r="B53" t="s">
        <v>16923</v>
      </c>
      <c r="C53">
        <v>0</v>
      </c>
      <c r="D53">
        <v>2</v>
      </c>
      <c r="E53">
        <v>0</v>
      </c>
      <c r="F53">
        <v>2</v>
      </c>
      <c r="G53">
        <v>1</v>
      </c>
      <c r="H53">
        <v>0</v>
      </c>
      <c r="I53">
        <v>0</v>
      </c>
      <c r="J53">
        <v>2</v>
      </c>
      <c r="K53">
        <v>21</v>
      </c>
      <c r="L53">
        <v>1</v>
      </c>
      <c r="M53">
        <v>0</v>
      </c>
      <c r="N53">
        <v>1</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21</v>
      </c>
      <c r="AU53">
        <v>0</v>
      </c>
      <c r="AV53">
        <v>21</v>
      </c>
      <c r="AW53">
        <v>0</v>
      </c>
      <c r="AX53">
        <v>0</v>
      </c>
      <c r="AY53">
        <v>0</v>
      </c>
      <c r="AZ53">
        <v>0</v>
      </c>
      <c r="BA53">
        <v>0</v>
      </c>
      <c r="BB53">
        <v>0</v>
      </c>
      <c r="BC53">
        <v>0</v>
      </c>
      <c r="BD53">
        <v>0</v>
      </c>
      <c r="BE53">
        <v>0</v>
      </c>
    </row>
    <row r="54" spans="1:57">
      <c r="A54" t="s">
        <v>19971</v>
      </c>
      <c r="B54" t="s">
        <v>19972</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row>
    <row r="55" spans="1:57">
      <c r="A55" t="s">
        <v>16924</v>
      </c>
      <c r="B55" t="s">
        <v>16925</v>
      </c>
      <c r="C55">
        <v>0</v>
      </c>
      <c r="D55">
        <v>4</v>
      </c>
      <c r="E55">
        <v>4</v>
      </c>
      <c r="F55">
        <v>3</v>
      </c>
      <c r="G55">
        <v>0</v>
      </c>
      <c r="H55">
        <v>1</v>
      </c>
      <c r="I55">
        <v>0</v>
      </c>
      <c r="J55">
        <v>4</v>
      </c>
      <c r="K55">
        <v>60</v>
      </c>
      <c r="L55">
        <v>1</v>
      </c>
      <c r="M55">
        <v>1</v>
      </c>
      <c r="N55">
        <v>1</v>
      </c>
      <c r="O55">
        <v>1</v>
      </c>
      <c r="P55">
        <v>0</v>
      </c>
      <c r="Q55">
        <v>0</v>
      </c>
      <c r="R55">
        <v>0</v>
      </c>
      <c r="S55">
        <v>2</v>
      </c>
      <c r="T55">
        <v>0</v>
      </c>
      <c r="U55">
        <v>0</v>
      </c>
      <c r="V55">
        <v>2</v>
      </c>
      <c r="W55">
        <v>20</v>
      </c>
      <c r="X55">
        <v>0</v>
      </c>
      <c r="Y55">
        <v>1</v>
      </c>
      <c r="Z55">
        <v>0</v>
      </c>
      <c r="AA55">
        <v>0</v>
      </c>
      <c r="AB55">
        <v>0</v>
      </c>
      <c r="AC55">
        <v>0</v>
      </c>
      <c r="AD55">
        <v>0</v>
      </c>
      <c r="AE55">
        <v>0</v>
      </c>
      <c r="AF55">
        <v>0</v>
      </c>
      <c r="AG55">
        <v>20</v>
      </c>
      <c r="AH55">
        <v>20</v>
      </c>
      <c r="AI55">
        <v>0</v>
      </c>
      <c r="AJ55">
        <v>0</v>
      </c>
      <c r="AK55">
        <v>20</v>
      </c>
      <c r="AL55">
        <v>20</v>
      </c>
      <c r="AM55">
        <v>0</v>
      </c>
      <c r="AN55">
        <v>0</v>
      </c>
      <c r="AO55">
        <v>0</v>
      </c>
      <c r="AP55">
        <v>0</v>
      </c>
      <c r="AQ55">
        <v>0</v>
      </c>
      <c r="AR55">
        <v>0</v>
      </c>
      <c r="AS55">
        <v>0</v>
      </c>
      <c r="AT55">
        <v>60</v>
      </c>
      <c r="AU55">
        <v>45</v>
      </c>
      <c r="AV55">
        <v>15</v>
      </c>
      <c r="AW55">
        <v>0</v>
      </c>
      <c r="AX55">
        <v>2</v>
      </c>
      <c r="AY55">
        <v>2</v>
      </c>
      <c r="AZ55">
        <v>0</v>
      </c>
      <c r="BA55">
        <v>0</v>
      </c>
      <c r="BB55">
        <v>0</v>
      </c>
      <c r="BC55">
        <v>0</v>
      </c>
      <c r="BD55">
        <v>0</v>
      </c>
      <c r="BE55">
        <v>0</v>
      </c>
    </row>
    <row r="56" spans="1:57">
      <c r="A56" t="s">
        <v>16926</v>
      </c>
      <c r="B56" t="s">
        <v>16927</v>
      </c>
      <c r="C56">
        <v>6</v>
      </c>
      <c r="D56">
        <v>24</v>
      </c>
      <c r="E56">
        <v>20</v>
      </c>
      <c r="F56">
        <v>22</v>
      </c>
      <c r="G56">
        <v>0</v>
      </c>
      <c r="H56">
        <v>3</v>
      </c>
      <c r="I56">
        <v>2</v>
      </c>
      <c r="J56">
        <v>22</v>
      </c>
      <c r="K56">
        <v>146</v>
      </c>
      <c r="L56">
        <v>19</v>
      </c>
      <c r="M56">
        <v>0</v>
      </c>
      <c r="N56">
        <v>2</v>
      </c>
      <c r="O56">
        <v>3</v>
      </c>
      <c r="P56">
        <v>0</v>
      </c>
      <c r="Q56">
        <v>0</v>
      </c>
      <c r="R56">
        <v>0</v>
      </c>
      <c r="S56">
        <v>31.7</v>
      </c>
      <c r="T56">
        <v>8</v>
      </c>
      <c r="U56">
        <v>0</v>
      </c>
      <c r="V56">
        <v>39.699999999999996</v>
      </c>
      <c r="W56">
        <v>449</v>
      </c>
      <c r="X56">
        <v>0</v>
      </c>
      <c r="Y56">
        <v>18</v>
      </c>
      <c r="Z56">
        <v>0</v>
      </c>
      <c r="AA56">
        <v>-28</v>
      </c>
      <c r="AB56">
        <v>290</v>
      </c>
      <c r="AC56">
        <v>49</v>
      </c>
      <c r="AD56">
        <v>49</v>
      </c>
      <c r="AE56">
        <v>259</v>
      </c>
      <c r="AF56">
        <v>339</v>
      </c>
      <c r="AG56">
        <v>498</v>
      </c>
      <c r="AH56">
        <v>239</v>
      </c>
      <c r="AI56">
        <v>242</v>
      </c>
      <c r="AJ56">
        <v>322</v>
      </c>
      <c r="AK56">
        <v>412</v>
      </c>
      <c r="AL56">
        <v>170</v>
      </c>
      <c r="AM56">
        <v>1</v>
      </c>
      <c r="AN56">
        <v>2</v>
      </c>
      <c r="AO56">
        <v>0</v>
      </c>
      <c r="AP56">
        <v>1</v>
      </c>
      <c r="AQ56">
        <v>0</v>
      </c>
      <c r="AR56">
        <v>0</v>
      </c>
      <c r="AS56">
        <v>0</v>
      </c>
      <c r="AT56">
        <v>146</v>
      </c>
      <c r="AU56">
        <v>25</v>
      </c>
      <c r="AV56">
        <v>81</v>
      </c>
      <c r="AW56">
        <v>40</v>
      </c>
      <c r="AX56">
        <v>31.7</v>
      </c>
      <c r="AY56">
        <v>22</v>
      </c>
      <c r="AZ56">
        <v>6.8999999999999995</v>
      </c>
      <c r="BA56">
        <v>2.8</v>
      </c>
      <c r="BB56">
        <v>8</v>
      </c>
      <c r="BC56">
        <v>8</v>
      </c>
      <c r="BD56">
        <v>0</v>
      </c>
      <c r="BE56">
        <v>0</v>
      </c>
    </row>
    <row r="57" spans="1:57">
      <c r="A57" t="s">
        <v>16928</v>
      </c>
      <c r="B57" t="s">
        <v>16929</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row>
    <row r="58" spans="1:57">
      <c r="A58" t="s">
        <v>16930</v>
      </c>
      <c r="B58" t="s">
        <v>16931</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row>
    <row r="59" spans="1:57">
      <c r="A59" t="s">
        <v>17222</v>
      </c>
      <c r="B59" t="s">
        <v>17223</v>
      </c>
      <c r="C59">
        <v>0</v>
      </c>
      <c r="D59">
        <v>105</v>
      </c>
      <c r="E59">
        <v>4</v>
      </c>
      <c r="F59">
        <v>87</v>
      </c>
      <c r="G59">
        <v>0</v>
      </c>
      <c r="H59">
        <v>0</v>
      </c>
      <c r="I59">
        <v>0</v>
      </c>
      <c r="J59">
        <v>104</v>
      </c>
      <c r="K59">
        <v>922</v>
      </c>
      <c r="L59">
        <v>53</v>
      </c>
      <c r="M59">
        <v>7</v>
      </c>
      <c r="N59">
        <v>37</v>
      </c>
      <c r="O59">
        <v>10</v>
      </c>
      <c r="P59">
        <v>0</v>
      </c>
      <c r="Q59">
        <v>1</v>
      </c>
      <c r="R59">
        <v>0</v>
      </c>
      <c r="S59">
        <v>11.1</v>
      </c>
      <c r="T59">
        <v>1.7000000000000002</v>
      </c>
      <c r="U59">
        <v>0</v>
      </c>
      <c r="V59">
        <v>12.799999999999999</v>
      </c>
      <c r="W59">
        <v>145</v>
      </c>
      <c r="X59">
        <v>0</v>
      </c>
      <c r="Y59">
        <v>7</v>
      </c>
      <c r="Z59">
        <v>0</v>
      </c>
      <c r="AA59">
        <v>0</v>
      </c>
      <c r="AB59">
        <v>45</v>
      </c>
      <c r="AC59">
        <v>1</v>
      </c>
      <c r="AD59">
        <v>1</v>
      </c>
      <c r="AE59">
        <v>1</v>
      </c>
      <c r="AF59">
        <v>46</v>
      </c>
      <c r="AG59">
        <v>146</v>
      </c>
      <c r="AH59">
        <v>145</v>
      </c>
      <c r="AI59">
        <v>0</v>
      </c>
      <c r="AJ59">
        <v>0</v>
      </c>
      <c r="AK59">
        <v>0</v>
      </c>
      <c r="AL59">
        <v>0</v>
      </c>
      <c r="AM59">
        <v>1</v>
      </c>
      <c r="AN59">
        <v>0</v>
      </c>
      <c r="AO59">
        <v>0</v>
      </c>
      <c r="AP59">
        <v>0</v>
      </c>
      <c r="AQ59">
        <v>0</v>
      </c>
      <c r="AR59">
        <v>0</v>
      </c>
      <c r="AS59">
        <v>0</v>
      </c>
      <c r="AT59">
        <v>922</v>
      </c>
      <c r="AU59">
        <v>0</v>
      </c>
      <c r="AV59">
        <v>922</v>
      </c>
      <c r="AW59">
        <v>0</v>
      </c>
      <c r="AX59">
        <v>11.1</v>
      </c>
      <c r="AY59">
        <v>0</v>
      </c>
      <c r="AZ59">
        <v>11.1</v>
      </c>
      <c r="BA59">
        <v>0</v>
      </c>
      <c r="BB59">
        <v>1.7000000000000002</v>
      </c>
      <c r="BC59">
        <v>0</v>
      </c>
      <c r="BD59">
        <v>1.7000000000000002</v>
      </c>
      <c r="BE59">
        <v>0</v>
      </c>
    </row>
    <row r="60" spans="1:57">
      <c r="A60" t="s">
        <v>16943</v>
      </c>
      <c r="B60" t="s">
        <v>16944</v>
      </c>
      <c r="C60">
        <v>0</v>
      </c>
      <c r="D60">
        <v>2</v>
      </c>
      <c r="E60">
        <v>2</v>
      </c>
      <c r="F60">
        <v>2</v>
      </c>
      <c r="G60">
        <v>0</v>
      </c>
      <c r="H60">
        <v>0</v>
      </c>
      <c r="I60">
        <v>0</v>
      </c>
      <c r="J60">
        <v>2</v>
      </c>
      <c r="K60">
        <v>19</v>
      </c>
      <c r="L60">
        <v>1</v>
      </c>
      <c r="M60">
        <v>0</v>
      </c>
      <c r="N60">
        <v>1</v>
      </c>
      <c r="O60">
        <v>0</v>
      </c>
      <c r="P60">
        <v>0</v>
      </c>
      <c r="Q60">
        <v>0</v>
      </c>
      <c r="R60">
        <v>0</v>
      </c>
      <c r="S60">
        <v>4</v>
      </c>
      <c r="T60">
        <v>3</v>
      </c>
      <c r="U60">
        <v>2</v>
      </c>
      <c r="V60">
        <v>9</v>
      </c>
      <c r="W60">
        <v>100</v>
      </c>
      <c r="X60">
        <v>0</v>
      </c>
      <c r="Y60">
        <v>0</v>
      </c>
      <c r="Z60">
        <v>2</v>
      </c>
      <c r="AA60">
        <v>0</v>
      </c>
      <c r="AB60">
        <v>0</v>
      </c>
      <c r="AC60">
        <v>0</v>
      </c>
      <c r="AD60">
        <v>0</v>
      </c>
      <c r="AE60">
        <v>0</v>
      </c>
      <c r="AF60">
        <v>0</v>
      </c>
      <c r="AG60">
        <v>140</v>
      </c>
      <c r="AH60">
        <v>140</v>
      </c>
      <c r="AI60">
        <v>0</v>
      </c>
      <c r="AJ60">
        <v>0</v>
      </c>
      <c r="AK60">
        <v>0</v>
      </c>
      <c r="AL60">
        <v>0</v>
      </c>
      <c r="AM60">
        <v>0</v>
      </c>
      <c r="AN60">
        <v>0</v>
      </c>
      <c r="AO60">
        <v>0</v>
      </c>
      <c r="AP60">
        <v>0</v>
      </c>
      <c r="AQ60">
        <v>0</v>
      </c>
      <c r="AR60">
        <v>0</v>
      </c>
      <c r="AS60">
        <v>0</v>
      </c>
      <c r="AT60">
        <v>19</v>
      </c>
      <c r="AU60">
        <v>0</v>
      </c>
      <c r="AV60">
        <v>19</v>
      </c>
      <c r="AW60">
        <v>0</v>
      </c>
      <c r="AX60">
        <v>4</v>
      </c>
      <c r="AY60">
        <v>0</v>
      </c>
      <c r="AZ60">
        <v>4</v>
      </c>
      <c r="BA60">
        <v>0</v>
      </c>
      <c r="BB60">
        <v>3</v>
      </c>
      <c r="BC60">
        <v>0</v>
      </c>
      <c r="BD60">
        <v>3</v>
      </c>
      <c r="BE60">
        <v>0</v>
      </c>
    </row>
    <row r="61" spans="1:57">
      <c r="A61" t="s">
        <v>17224</v>
      </c>
      <c r="B61" t="s">
        <v>17225</v>
      </c>
      <c r="C61">
        <v>0</v>
      </c>
      <c r="D61">
        <v>8</v>
      </c>
      <c r="E61">
        <v>1</v>
      </c>
      <c r="F61">
        <v>7</v>
      </c>
      <c r="G61">
        <v>1</v>
      </c>
      <c r="H61">
        <v>1</v>
      </c>
      <c r="I61">
        <v>1</v>
      </c>
      <c r="J61">
        <v>8</v>
      </c>
      <c r="K61">
        <v>87</v>
      </c>
      <c r="L61">
        <v>2</v>
      </c>
      <c r="M61">
        <v>0</v>
      </c>
      <c r="N61">
        <v>2</v>
      </c>
      <c r="O61">
        <v>0</v>
      </c>
      <c r="P61">
        <v>1</v>
      </c>
      <c r="Q61">
        <v>2</v>
      </c>
      <c r="R61">
        <v>0</v>
      </c>
      <c r="S61">
        <v>1</v>
      </c>
      <c r="T61">
        <v>20</v>
      </c>
      <c r="U61">
        <v>0</v>
      </c>
      <c r="V61">
        <v>21</v>
      </c>
      <c r="W61">
        <v>410</v>
      </c>
      <c r="X61">
        <v>0</v>
      </c>
      <c r="Y61">
        <v>2</v>
      </c>
      <c r="Z61">
        <v>0</v>
      </c>
      <c r="AA61">
        <v>0</v>
      </c>
      <c r="AB61">
        <v>375</v>
      </c>
      <c r="AC61">
        <v>0</v>
      </c>
      <c r="AD61">
        <v>0</v>
      </c>
      <c r="AE61">
        <v>375</v>
      </c>
      <c r="AF61">
        <v>375</v>
      </c>
      <c r="AG61">
        <v>410</v>
      </c>
      <c r="AH61">
        <v>35</v>
      </c>
      <c r="AI61">
        <v>375</v>
      </c>
      <c r="AJ61">
        <v>375</v>
      </c>
      <c r="AK61">
        <v>405</v>
      </c>
      <c r="AL61">
        <v>30</v>
      </c>
      <c r="AM61">
        <v>0</v>
      </c>
      <c r="AN61">
        <v>0</v>
      </c>
      <c r="AO61">
        <v>0</v>
      </c>
      <c r="AP61">
        <v>1</v>
      </c>
      <c r="AQ61">
        <v>0</v>
      </c>
      <c r="AR61">
        <v>0</v>
      </c>
      <c r="AS61">
        <v>0</v>
      </c>
      <c r="AT61">
        <v>3</v>
      </c>
      <c r="AU61">
        <v>0</v>
      </c>
      <c r="AV61">
        <v>3</v>
      </c>
      <c r="AW61">
        <v>0</v>
      </c>
      <c r="AX61">
        <v>1</v>
      </c>
      <c r="AY61">
        <v>0.5</v>
      </c>
      <c r="AZ61">
        <v>0.5</v>
      </c>
      <c r="BA61">
        <v>0</v>
      </c>
      <c r="BB61">
        <v>20</v>
      </c>
      <c r="BC61">
        <v>20</v>
      </c>
      <c r="BD61">
        <v>0</v>
      </c>
      <c r="BE61">
        <v>0</v>
      </c>
    </row>
    <row r="62" spans="1:57">
      <c r="A62" t="s">
        <v>16945</v>
      </c>
      <c r="B62" t="s">
        <v>16946</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row>
    <row r="63" spans="1:57">
      <c r="A63" t="s">
        <v>16949</v>
      </c>
      <c r="B63" t="s">
        <v>16950</v>
      </c>
      <c r="C63">
        <v>0</v>
      </c>
      <c r="D63">
        <v>1</v>
      </c>
      <c r="E63">
        <v>1</v>
      </c>
      <c r="F63">
        <v>1</v>
      </c>
      <c r="G63">
        <v>0</v>
      </c>
      <c r="H63">
        <v>0</v>
      </c>
      <c r="I63">
        <v>0</v>
      </c>
      <c r="J63">
        <v>1</v>
      </c>
      <c r="K63">
        <v>1</v>
      </c>
      <c r="L63">
        <v>0</v>
      </c>
      <c r="M63">
        <v>0</v>
      </c>
      <c r="N63">
        <v>0</v>
      </c>
      <c r="O63">
        <v>1</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1</v>
      </c>
      <c r="AU63">
        <v>0</v>
      </c>
      <c r="AV63">
        <v>1</v>
      </c>
      <c r="AW63">
        <v>0</v>
      </c>
      <c r="AX63">
        <v>0</v>
      </c>
      <c r="AY63">
        <v>0</v>
      </c>
      <c r="AZ63">
        <v>0</v>
      </c>
      <c r="BA63">
        <v>0</v>
      </c>
      <c r="BB63">
        <v>0</v>
      </c>
      <c r="BC63">
        <v>0</v>
      </c>
      <c r="BD63">
        <v>0</v>
      </c>
      <c r="BE63">
        <v>0</v>
      </c>
    </row>
    <row r="64" spans="1:57">
      <c r="A64" t="s">
        <v>16951</v>
      </c>
      <c r="B64" t="s">
        <v>17398</v>
      </c>
      <c r="C64">
        <v>0</v>
      </c>
      <c r="D64">
        <v>3</v>
      </c>
      <c r="E64">
        <v>3</v>
      </c>
      <c r="F64">
        <v>2</v>
      </c>
      <c r="G64">
        <v>0</v>
      </c>
      <c r="H64">
        <v>0</v>
      </c>
      <c r="I64">
        <v>0</v>
      </c>
      <c r="J64">
        <v>3</v>
      </c>
      <c r="K64">
        <v>56</v>
      </c>
      <c r="L64">
        <v>1</v>
      </c>
      <c r="M64">
        <v>0</v>
      </c>
      <c r="N64">
        <v>1</v>
      </c>
      <c r="O64">
        <v>1</v>
      </c>
      <c r="P64">
        <v>0</v>
      </c>
      <c r="Q64">
        <v>0</v>
      </c>
      <c r="R64">
        <v>0</v>
      </c>
      <c r="S64">
        <v>1</v>
      </c>
      <c r="T64">
        <v>10.75</v>
      </c>
      <c r="U64">
        <v>0</v>
      </c>
      <c r="V64">
        <v>11.75</v>
      </c>
      <c r="W64">
        <v>225</v>
      </c>
      <c r="X64">
        <v>0</v>
      </c>
      <c r="Y64">
        <v>0</v>
      </c>
      <c r="Z64">
        <v>1</v>
      </c>
      <c r="AA64">
        <v>0</v>
      </c>
      <c r="AB64">
        <v>165</v>
      </c>
      <c r="AC64">
        <v>0</v>
      </c>
      <c r="AD64">
        <v>0</v>
      </c>
      <c r="AE64">
        <v>77.5</v>
      </c>
      <c r="AF64">
        <v>165</v>
      </c>
      <c r="AG64">
        <v>225</v>
      </c>
      <c r="AH64">
        <v>147.5</v>
      </c>
      <c r="AI64">
        <v>0</v>
      </c>
      <c r="AJ64">
        <v>0</v>
      </c>
      <c r="AK64">
        <v>0</v>
      </c>
      <c r="AL64">
        <v>0</v>
      </c>
      <c r="AM64">
        <v>0</v>
      </c>
      <c r="AN64">
        <v>0</v>
      </c>
      <c r="AO64">
        <v>1</v>
      </c>
      <c r="AP64">
        <v>0</v>
      </c>
      <c r="AQ64">
        <v>0</v>
      </c>
      <c r="AR64">
        <v>0</v>
      </c>
      <c r="AS64">
        <v>0</v>
      </c>
      <c r="AT64">
        <v>56</v>
      </c>
      <c r="AU64">
        <v>0</v>
      </c>
      <c r="AV64">
        <v>56</v>
      </c>
      <c r="AW64">
        <v>0</v>
      </c>
      <c r="AX64">
        <v>1</v>
      </c>
      <c r="AY64">
        <v>0</v>
      </c>
      <c r="AZ64">
        <v>1</v>
      </c>
      <c r="BA64">
        <v>0</v>
      </c>
      <c r="BB64">
        <v>10.75</v>
      </c>
      <c r="BC64">
        <v>0</v>
      </c>
      <c r="BD64">
        <v>10.75</v>
      </c>
      <c r="BE64">
        <v>0</v>
      </c>
    </row>
    <row r="65" spans="1:57">
      <c r="A65" t="s">
        <v>16954</v>
      </c>
      <c r="B65" t="s">
        <v>16955</v>
      </c>
      <c r="C65">
        <v>0</v>
      </c>
      <c r="D65">
        <v>9</v>
      </c>
      <c r="E65">
        <v>9</v>
      </c>
      <c r="F65">
        <v>9</v>
      </c>
      <c r="G65">
        <v>0</v>
      </c>
      <c r="H65">
        <v>0</v>
      </c>
      <c r="I65">
        <v>0</v>
      </c>
      <c r="J65">
        <v>9</v>
      </c>
      <c r="K65">
        <v>28</v>
      </c>
      <c r="L65">
        <v>5</v>
      </c>
      <c r="M65">
        <v>0</v>
      </c>
      <c r="N65">
        <v>0</v>
      </c>
      <c r="O65">
        <v>2</v>
      </c>
      <c r="P65">
        <v>0</v>
      </c>
      <c r="Q65">
        <v>2</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28</v>
      </c>
      <c r="AU65">
        <v>0</v>
      </c>
      <c r="AV65">
        <v>28</v>
      </c>
      <c r="AW65">
        <v>0</v>
      </c>
      <c r="AX65">
        <v>0</v>
      </c>
      <c r="AY65">
        <v>0</v>
      </c>
      <c r="AZ65">
        <v>0</v>
      </c>
      <c r="BA65">
        <v>0</v>
      </c>
      <c r="BB65">
        <v>0</v>
      </c>
      <c r="BC65">
        <v>0</v>
      </c>
      <c r="BD65">
        <v>0</v>
      </c>
      <c r="BE65">
        <v>0</v>
      </c>
    </row>
    <row r="66" spans="1:57">
      <c r="A66" t="s">
        <v>16956</v>
      </c>
      <c r="B66" t="s">
        <v>16957</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row>
    <row r="67" spans="1:57">
      <c r="A67" t="s">
        <v>16958</v>
      </c>
      <c r="B67" t="s">
        <v>16959</v>
      </c>
      <c r="C67">
        <v>0</v>
      </c>
      <c r="D67">
        <v>2</v>
      </c>
      <c r="E67">
        <v>2</v>
      </c>
      <c r="F67">
        <v>2</v>
      </c>
      <c r="G67">
        <v>1</v>
      </c>
      <c r="H67">
        <v>2</v>
      </c>
      <c r="I67">
        <v>1</v>
      </c>
      <c r="J67">
        <v>2</v>
      </c>
      <c r="K67">
        <v>0</v>
      </c>
      <c r="L67">
        <v>1</v>
      </c>
      <c r="M67">
        <v>0</v>
      </c>
      <c r="N67">
        <v>0</v>
      </c>
      <c r="O67">
        <v>0</v>
      </c>
      <c r="P67">
        <v>0</v>
      </c>
      <c r="Q67">
        <v>1</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row>
    <row r="68" spans="1:57">
      <c r="A68" t="s">
        <v>16960</v>
      </c>
      <c r="B68" t="s">
        <v>18795</v>
      </c>
      <c r="C68">
        <v>29</v>
      </c>
      <c r="D68">
        <v>33</v>
      </c>
      <c r="E68">
        <v>0</v>
      </c>
      <c r="F68">
        <v>12</v>
      </c>
      <c r="G68">
        <v>17</v>
      </c>
      <c r="H68">
        <v>0</v>
      </c>
      <c r="I68">
        <v>0</v>
      </c>
      <c r="J68">
        <v>33</v>
      </c>
      <c r="K68">
        <v>337</v>
      </c>
      <c r="L68">
        <v>29</v>
      </c>
      <c r="M68">
        <v>0</v>
      </c>
      <c r="N68">
        <v>0</v>
      </c>
      <c r="O68">
        <v>0</v>
      </c>
      <c r="P68">
        <v>0</v>
      </c>
      <c r="Q68">
        <v>0</v>
      </c>
      <c r="R68">
        <v>0</v>
      </c>
      <c r="S68">
        <v>9.5</v>
      </c>
      <c r="T68">
        <v>1.5</v>
      </c>
      <c r="U68">
        <v>2</v>
      </c>
      <c r="V68">
        <v>13</v>
      </c>
      <c r="W68">
        <v>10</v>
      </c>
      <c r="X68">
        <v>0</v>
      </c>
      <c r="Y68">
        <v>3</v>
      </c>
      <c r="Z68">
        <v>0</v>
      </c>
      <c r="AA68">
        <v>-110</v>
      </c>
      <c r="AB68">
        <v>0</v>
      </c>
      <c r="AC68">
        <v>142.25</v>
      </c>
      <c r="AD68">
        <v>142.25</v>
      </c>
      <c r="AE68">
        <v>86.25</v>
      </c>
      <c r="AF68">
        <v>142.25</v>
      </c>
      <c r="AG68">
        <v>192.25</v>
      </c>
      <c r="AH68">
        <v>106</v>
      </c>
      <c r="AI68">
        <v>0</v>
      </c>
      <c r="AJ68">
        <v>0</v>
      </c>
      <c r="AK68">
        <v>0</v>
      </c>
      <c r="AL68">
        <v>0</v>
      </c>
      <c r="AM68">
        <v>5</v>
      </c>
      <c r="AN68">
        <v>10</v>
      </c>
      <c r="AO68">
        <v>0</v>
      </c>
      <c r="AP68">
        <v>0</v>
      </c>
      <c r="AQ68">
        <v>0</v>
      </c>
      <c r="AR68">
        <v>0</v>
      </c>
      <c r="AS68">
        <v>0</v>
      </c>
      <c r="AT68">
        <v>337</v>
      </c>
      <c r="AU68">
        <v>0</v>
      </c>
      <c r="AV68">
        <v>30</v>
      </c>
      <c r="AW68">
        <v>307</v>
      </c>
      <c r="AX68">
        <v>9.5</v>
      </c>
      <c r="AY68">
        <v>0</v>
      </c>
      <c r="AZ68">
        <v>1</v>
      </c>
      <c r="BA68">
        <v>8.5</v>
      </c>
      <c r="BB68">
        <v>1.5</v>
      </c>
      <c r="BC68">
        <v>0</v>
      </c>
      <c r="BD68">
        <v>0</v>
      </c>
      <c r="BE68">
        <v>1.5</v>
      </c>
    </row>
    <row r="69" spans="1:57">
      <c r="A69" t="s">
        <v>16961</v>
      </c>
      <c r="B69" t="s">
        <v>16962</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row>
    <row r="70" spans="1:57">
      <c r="A70" t="s">
        <v>17395</v>
      </c>
      <c r="B70" t="s">
        <v>17396</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row>
    <row r="71" spans="1:57">
      <c r="A71" t="s">
        <v>16963</v>
      </c>
      <c r="B71" t="s">
        <v>16964</v>
      </c>
      <c r="C71">
        <v>2</v>
      </c>
      <c r="D71">
        <v>11</v>
      </c>
      <c r="E71">
        <v>10</v>
      </c>
      <c r="F71">
        <v>10</v>
      </c>
      <c r="G71">
        <v>7</v>
      </c>
      <c r="H71">
        <v>8</v>
      </c>
      <c r="I71">
        <v>0</v>
      </c>
      <c r="J71">
        <v>10</v>
      </c>
      <c r="K71">
        <v>125</v>
      </c>
      <c r="L71">
        <v>1</v>
      </c>
      <c r="M71">
        <v>6</v>
      </c>
      <c r="N71">
        <v>1</v>
      </c>
      <c r="O71">
        <v>2</v>
      </c>
      <c r="P71">
        <v>0</v>
      </c>
      <c r="Q71">
        <v>0</v>
      </c>
      <c r="R71">
        <v>0</v>
      </c>
      <c r="S71">
        <v>6.5</v>
      </c>
      <c r="T71">
        <v>0.5</v>
      </c>
      <c r="U71">
        <v>2.5</v>
      </c>
      <c r="V71">
        <v>9.5</v>
      </c>
      <c r="W71">
        <v>72.5</v>
      </c>
      <c r="X71">
        <v>0</v>
      </c>
      <c r="Y71">
        <v>6</v>
      </c>
      <c r="Z71">
        <v>1</v>
      </c>
      <c r="AA71">
        <v>-2.5</v>
      </c>
      <c r="AB71">
        <v>0</v>
      </c>
      <c r="AC71">
        <v>0</v>
      </c>
      <c r="AD71">
        <v>0</v>
      </c>
      <c r="AE71">
        <v>0</v>
      </c>
      <c r="AF71">
        <v>0</v>
      </c>
      <c r="AG71">
        <v>122.5</v>
      </c>
      <c r="AH71">
        <v>122.5</v>
      </c>
      <c r="AI71">
        <v>0</v>
      </c>
      <c r="AJ71">
        <v>0</v>
      </c>
      <c r="AK71">
        <v>60</v>
      </c>
      <c r="AL71">
        <v>60</v>
      </c>
      <c r="AM71">
        <v>0</v>
      </c>
      <c r="AN71">
        <v>0</v>
      </c>
      <c r="AO71">
        <v>0</v>
      </c>
      <c r="AP71">
        <v>0</v>
      </c>
      <c r="AQ71">
        <v>0</v>
      </c>
      <c r="AR71">
        <v>0</v>
      </c>
      <c r="AS71">
        <v>0</v>
      </c>
      <c r="AT71">
        <v>125</v>
      </c>
      <c r="AU71">
        <v>117</v>
      </c>
      <c r="AV71">
        <v>6</v>
      </c>
      <c r="AW71">
        <v>8</v>
      </c>
      <c r="AX71">
        <v>6.5</v>
      </c>
      <c r="AY71">
        <v>6</v>
      </c>
      <c r="AZ71">
        <v>0.25</v>
      </c>
      <c r="BA71">
        <v>0.25</v>
      </c>
      <c r="BB71">
        <v>0.5</v>
      </c>
      <c r="BC71">
        <v>0</v>
      </c>
      <c r="BD71">
        <v>0.5</v>
      </c>
      <c r="BE71">
        <v>0</v>
      </c>
    </row>
    <row r="72" spans="1:57">
      <c r="A72" t="s">
        <v>16963</v>
      </c>
      <c r="B72" t="s">
        <v>16964</v>
      </c>
      <c r="C72">
        <v>1</v>
      </c>
      <c r="D72">
        <v>1</v>
      </c>
      <c r="E72">
        <v>1</v>
      </c>
      <c r="F72">
        <v>1</v>
      </c>
      <c r="G72">
        <v>0</v>
      </c>
      <c r="H72">
        <v>0</v>
      </c>
      <c r="I72">
        <v>0</v>
      </c>
      <c r="J72">
        <v>1</v>
      </c>
      <c r="K72">
        <v>8</v>
      </c>
      <c r="L72">
        <v>1</v>
      </c>
      <c r="M72">
        <v>0</v>
      </c>
      <c r="N72">
        <v>0</v>
      </c>
      <c r="O72">
        <v>0</v>
      </c>
      <c r="P72">
        <v>0</v>
      </c>
      <c r="Q72">
        <v>0</v>
      </c>
      <c r="R72">
        <v>0</v>
      </c>
      <c r="S72">
        <v>0.25</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8</v>
      </c>
      <c r="AU72">
        <v>0</v>
      </c>
      <c r="AV72">
        <v>0</v>
      </c>
      <c r="AW72">
        <v>8</v>
      </c>
      <c r="AX72">
        <v>0.25</v>
      </c>
      <c r="AY72">
        <v>0</v>
      </c>
      <c r="AZ72">
        <v>0</v>
      </c>
      <c r="BA72">
        <v>0.25</v>
      </c>
      <c r="BB72">
        <v>0.25</v>
      </c>
      <c r="BC72">
        <v>0</v>
      </c>
      <c r="BD72">
        <v>0</v>
      </c>
      <c r="BE72">
        <v>0.25</v>
      </c>
    </row>
    <row r="73" spans="1:57">
      <c r="A73" t="s">
        <v>16965</v>
      </c>
      <c r="B73" t="s">
        <v>16966</v>
      </c>
      <c r="C73">
        <v>0</v>
      </c>
      <c r="D73">
        <v>1</v>
      </c>
      <c r="E73">
        <v>1</v>
      </c>
      <c r="F73">
        <v>1</v>
      </c>
      <c r="G73">
        <v>1</v>
      </c>
      <c r="H73">
        <v>1</v>
      </c>
      <c r="I73">
        <v>0</v>
      </c>
      <c r="J73">
        <v>1</v>
      </c>
      <c r="K73">
        <v>21</v>
      </c>
      <c r="L73">
        <v>0</v>
      </c>
      <c r="M73">
        <v>0</v>
      </c>
      <c r="N73">
        <v>0</v>
      </c>
      <c r="O73">
        <v>0</v>
      </c>
      <c r="P73">
        <v>1</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21</v>
      </c>
      <c r="AU73">
        <v>21</v>
      </c>
      <c r="AV73">
        <v>0</v>
      </c>
      <c r="AW73">
        <v>0</v>
      </c>
      <c r="AX73">
        <v>0</v>
      </c>
      <c r="AY73">
        <v>0</v>
      </c>
      <c r="AZ73">
        <v>0</v>
      </c>
      <c r="BA73">
        <v>0</v>
      </c>
      <c r="BB73">
        <v>0</v>
      </c>
      <c r="BC73">
        <v>0</v>
      </c>
      <c r="BD73">
        <v>0</v>
      </c>
      <c r="BE73">
        <v>0</v>
      </c>
    </row>
    <row r="74" spans="1:57">
      <c r="A74" t="s">
        <v>17226</v>
      </c>
      <c r="B74" t="s">
        <v>17227</v>
      </c>
      <c r="C74">
        <v>0</v>
      </c>
      <c r="D74">
        <v>4</v>
      </c>
      <c r="E74">
        <v>0</v>
      </c>
      <c r="F74">
        <v>2</v>
      </c>
      <c r="G74">
        <v>0</v>
      </c>
      <c r="H74">
        <v>0</v>
      </c>
      <c r="I74">
        <v>0</v>
      </c>
      <c r="J74">
        <v>4</v>
      </c>
      <c r="K74">
        <v>29</v>
      </c>
      <c r="L74">
        <v>4</v>
      </c>
      <c r="M74">
        <v>0</v>
      </c>
      <c r="N74">
        <v>0</v>
      </c>
      <c r="O74">
        <v>0</v>
      </c>
      <c r="P74">
        <v>0</v>
      </c>
      <c r="Q74">
        <v>0</v>
      </c>
      <c r="R74">
        <v>0</v>
      </c>
      <c r="S74">
        <v>7</v>
      </c>
      <c r="T74">
        <v>0</v>
      </c>
      <c r="U74">
        <v>0</v>
      </c>
      <c r="V74">
        <v>7</v>
      </c>
      <c r="W74">
        <v>70</v>
      </c>
      <c r="X74">
        <v>0</v>
      </c>
      <c r="Y74">
        <v>2</v>
      </c>
      <c r="Z74">
        <v>0</v>
      </c>
      <c r="AA74">
        <v>0</v>
      </c>
      <c r="AB74">
        <v>20</v>
      </c>
      <c r="AC74">
        <v>0</v>
      </c>
      <c r="AD74">
        <v>0</v>
      </c>
      <c r="AE74">
        <v>0</v>
      </c>
      <c r="AF74">
        <v>20</v>
      </c>
      <c r="AG74">
        <v>70</v>
      </c>
      <c r="AH74">
        <v>70</v>
      </c>
      <c r="AI74">
        <v>0</v>
      </c>
      <c r="AJ74">
        <v>0</v>
      </c>
      <c r="AK74">
        <v>0</v>
      </c>
      <c r="AL74">
        <v>0</v>
      </c>
      <c r="AM74">
        <v>0</v>
      </c>
      <c r="AN74">
        <v>0</v>
      </c>
      <c r="AO74">
        <v>0</v>
      </c>
      <c r="AP74">
        <v>0</v>
      </c>
      <c r="AQ74">
        <v>0</v>
      </c>
      <c r="AR74">
        <v>0</v>
      </c>
      <c r="AS74">
        <v>0</v>
      </c>
      <c r="AT74">
        <v>29</v>
      </c>
      <c r="AU74">
        <v>0</v>
      </c>
      <c r="AV74">
        <v>29</v>
      </c>
      <c r="AW74">
        <v>0</v>
      </c>
      <c r="AX74">
        <v>7</v>
      </c>
      <c r="AY74">
        <v>0</v>
      </c>
      <c r="AZ74">
        <v>7</v>
      </c>
      <c r="BA74">
        <v>0</v>
      </c>
      <c r="BB74">
        <v>0</v>
      </c>
      <c r="BC74">
        <v>0</v>
      </c>
      <c r="BD74">
        <v>0</v>
      </c>
      <c r="BE74">
        <v>0</v>
      </c>
    </row>
    <row r="75" spans="1:57">
      <c r="A75" t="s">
        <v>17373</v>
      </c>
      <c r="B75" t="s">
        <v>17374</v>
      </c>
      <c r="C75">
        <v>0</v>
      </c>
      <c r="D75">
        <v>11</v>
      </c>
      <c r="E75">
        <v>10</v>
      </c>
      <c r="F75">
        <v>9</v>
      </c>
      <c r="G75">
        <v>3</v>
      </c>
      <c r="H75">
        <v>9</v>
      </c>
      <c r="I75">
        <v>2</v>
      </c>
      <c r="J75">
        <v>11</v>
      </c>
      <c r="K75">
        <v>224</v>
      </c>
      <c r="L75">
        <v>1</v>
      </c>
      <c r="M75">
        <v>0</v>
      </c>
      <c r="N75">
        <v>7</v>
      </c>
      <c r="O75">
        <v>2</v>
      </c>
      <c r="P75">
        <v>1</v>
      </c>
      <c r="Q75">
        <v>0</v>
      </c>
      <c r="R75">
        <v>1</v>
      </c>
      <c r="S75">
        <v>8.5500000000000007</v>
      </c>
      <c r="T75">
        <v>22</v>
      </c>
      <c r="U75">
        <v>1</v>
      </c>
      <c r="V75">
        <v>31.55</v>
      </c>
      <c r="W75">
        <v>525.5</v>
      </c>
      <c r="X75">
        <v>0</v>
      </c>
      <c r="Y75">
        <v>8</v>
      </c>
      <c r="Z75">
        <v>1</v>
      </c>
      <c r="AA75">
        <v>0</v>
      </c>
      <c r="AB75">
        <v>332.5</v>
      </c>
      <c r="AC75">
        <v>1036.75</v>
      </c>
      <c r="AD75">
        <v>833.5</v>
      </c>
      <c r="AE75">
        <v>886</v>
      </c>
      <c r="AF75">
        <v>1166</v>
      </c>
      <c r="AG75">
        <v>1582.25</v>
      </c>
      <c r="AH75">
        <v>696.25</v>
      </c>
      <c r="AI75">
        <v>886</v>
      </c>
      <c r="AJ75">
        <v>1166</v>
      </c>
      <c r="AK75">
        <v>1574.75</v>
      </c>
      <c r="AL75">
        <v>688.75</v>
      </c>
      <c r="AM75">
        <v>0</v>
      </c>
      <c r="AN75">
        <v>0</v>
      </c>
      <c r="AO75">
        <v>2</v>
      </c>
      <c r="AP75">
        <v>3</v>
      </c>
      <c r="AQ75">
        <v>0</v>
      </c>
      <c r="AR75">
        <v>0</v>
      </c>
      <c r="AS75">
        <v>0</v>
      </c>
      <c r="AT75">
        <v>224</v>
      </c>
      <c r="AU75">
        <v>189</v>
      </c>
      <c r="AV75">
        <v>35</v>
      </c>
      <c r="AW75">
        <v>0</v>
      </c>
      <c r="AX75">
        <v>8.5500000000000007</v>
      </c>
      <c r="AY75">
        <v>8.3000000000000007</v>
      </c>
      <c r="AZ75">
        <v>0.25</v>
      </c>
      <c r="BA75">
        <v>0</v>
      </c>
      <c r="BB75">
        <v>22</v>
      </c>
      <c r="BC75">
        <v>21.75</v>
      </c>
      <c r="BD75">
        <v>0.25</v>
      </c>
      <c r="BE75">
        <v>0</v>
      </c>
    </row>
    <row r="76" spans="1:57">
      <c r="A76" t="s">
        <v>17376</v>
      </c>
      <c r="B76" t="s">
        <v>17377</v>
      </c>
      <c r="C76">
        <v>13</v>
      </c>
      <c r="D76">
        <v>37</v>
      </c>
      <c r="E76">
        <v>37</v>
      </c>
      <c r="F76">
        <v>37</v>
      </c>
      <c r="G76">
        <v>0</v>
      </c>
      <c r="H76">
        <v>7</v>
      </c>
      <c r="I76">
        <v>0</v>
      </c>
      <c r="J76">
        <v>37</v>
      </c>
      <c r="K76">
        <v>158</v>
      </c>
      <c r="L76">
        <v>19</v>
      </c>
      <c r="M76">
        <v>9</v>
      </c>
      <c r="N76">
        <v>11</v>
      </c>
      <c r="O76">
        <v>0</v>
      </c>
      <c r="P76">
        <v>0</v>
      </c>
      <c r="Q76">
        <v>0</v>
      </c>
      <c r="R76">
        <v>0</v>
      </c>
      <c r="S76">
        <v>26.5</v>
      </c>
      <c r="T76">
        <v>45</v>
      </c>
      <c r="U76">
        <v>0</v>
      </c>
      <c r="V76">
        <v>71.5</v>
      </c>
      <c r="W76">
        <v>367.5</v>
      </c>
      <c r="X76">
        <v>0</v>
      </c>
      <c r="Y76">
        <v>11</v>
      </c>
      <c r="Z76">
        <v>12</v>
      </c>
      <c r="AA76">
        <v>-797.5</v>
      </c>
      <c r="AB76">
        <v>35</v>
      </c>
      <c r="AC76">
        <v>0</v>
      </c>
      <c r="AD76">
        <v>747.5</v>
      </c>
      <c r="AE76">
        <v>747.5</v>
      </c>
      <c r="AF76">
        <v>777.5</v>
      </c>
      <c r="AG76">
        <v>335</v>
      </c>
      <c r="AH76">
        <v>180.5</v>
      </c>
      <c r="AI76">
        <v>551.5</v>
      </c>
      <c r="AJ76">
        <v>586.5</v>
      </c>
      <c r="AK76">
        <v>185</v>
      </c>
      <c r="AL76">
        <v>38</v>
      </c>
      <c r="AM76">
        <v>2</v>
      </c>
      <c r="AN76">
        <v>7</v>
      </c>
      <c r="AO76">
        <v>3</v>
      </c>
      <c r="AP76">
        <v>2</v>
      </c>
      <c r="AQ76">
        <v>0</v>
      </c>
      <c r="AR76">
        <v>0</v>
      </c>
      <c r="AS76">
        <v>0</v>
      </c>
      <c r="AT76">
        <v>158</v>
      </c>
      <c r="AU76">
        <v>65</v>
      </c>
      <c r="AV76">
        <v>26</v>
      </c>
      <c r="AW76">
        <v>94</v>
      </c>
      <c r="AX76">
        <v>25.25</v>
      </c>
      <c r="AY76">
        <v>9</v>
      </c>
      <c r="AZ76">
        <v>6</v>
      </c>
      <c r="BA76">
        <v>15.75</v>
      </c>
      <c r="BB76">
        <v>43.75</v>
      </c>
      <c r="BC76">
        <v>26.5</v>
      </c>
      <c r="BD76">
        <v>3.5</v>
      </c>
      <c r="BE76">
        <v>32</v>
      </c>
    </row>
    <row r="77" spans="1:57">
      <c r="A77" t="s">
        <v>16967</v>
      </c>
      <c r="B77" t="s">
        <v>16968</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row>
    <row r="78" spans="1:57">
      <c r="A78" t="s">
        <v>16971</v>
      </c>
      <c r="B78" t="s">
        <v>17397</v>
      </c>
      <c r="C78">
        <v>18</v>
      </c>
      <c r="D78">
        <v>44</v>
      </c>
      <c r="E78">
        <v>14</v>
      </c>
      <c r="F78">
        <v>38</v>
      </c>
      <c r="G78">
        <v>0</v>
      </c>
      <c r="H78">
        <v>1</v>
      </c>
      <c r="I78">
        <v>1</v>
      </c>
      <c r="J78">
        <v>44</v>
      </c>
      <c r="K78">
        <v>269</v>
      </c>
      <c r="L78">
        <v>38</v>
      </c>
      <c r="M78">
        <v>2</v>
      </c>
      <c r="N78">
        <v>2</v>
      </c>
      <c r="O78">
        <v>2</v>
      </c>
      <c r="P78">
        <v>0</v>
      </c>
      <c r="Q78">
        <v>0</v>
      </c>
      <c r="R78">
        <v>0</v>
      </c>
      <c r="S78">
        <v>27.25</v>
      </c>
      <c r="T78">
        <v>2.75</v>
      </c>
      <c r="U78">
        <v>0</v>
      </c>
      <c r="V78">
        <v>30</v>
      </c>
      <c r="W78">
        <v>260</v>
      </c>
      <c r="X78">
        <v>0</v>
      </c>
      <c r="Y78">
        <v>26</v>
      </c>
      <c r="Z78">
        <v>0</v>
      </c>
      <c r="AA78">
        <v>-67.5</v>
      </c>
      <c r="AB78">
        <v>0</v>
      </c>
      <c r="AC78">
        <v>0</v>
      </c>
      <c r="AD78">
        <v>0</v>
      </c>
      <c r="AE78">
        <v>0</v>
      </c>
      <c r="AF78">
        <v>0</v>
      </c>
      <c r="AG78">
        <v>260</v>
      </c>
      <c r="AH78">
        <v>260</v>
      </c>
      <c r="AI78">
        <v>0</v>
      </c>
      <c r="AJ78">
        <v>0</v>
      </c>
      <c r="AK78">
        <v>12.5</v>
      </c>
      <c r="AL78">
        <v>12.5</v>
      </c>
      <c r="AM78">
        <v>0</v>
      </c>
      <c r="AN78">
        <v>0</v>
      </c>
      <c r="AO78">
        <v>0</v>
      </c>
      <c r="AP78">
        <v>0</v>
      </c>
      <c r="AQ78">
        <v>0</v>
      </c>
      <c r="AR78">
        <v>0</v>
      </c>
      <c r="AS78">
        <v>0</v>
      </c>
      <c r="AT78">
        <v>269</v>
      </c>
      <c r="AU78">
        <v>13</v>
      </c>
      <c r="AV78">
        <v>134</v>
      </c>
      <c r="AW78">
        <v>122</v>
      </c>
      <c r="AX78">
        <v>27.25</v>
      </c>
      <c r="AY78">
        <v>0.75</v>
      </c>
      <c r="AZ78">
        <v>19.75</v>
      </c>
      <c r="BA78">
        <v>6.75</v>
      </c>
      <c r="BB78">
        <v>2.75</v>
      </c>
      <c r="BC78">
        <v>0.25</v>
      </c>
      <c r="BD78">
        <v>2.5</v>
      </c>
      <c r="BE78">
        <v>0</v>
      </c>
    </row>
    <row r="79" spans="1:57">
      <c r="A79" t="s">
        <v>16972</v>
      </c>
      <c r="B79" t="s">
        <v>16973</v>
      </c>
      <c r="C79">
        <v>1</v>
      </c>
      <c r="D79">
        <v>1</v>
      </c>
      <c r="E79">
        <v>1</v>
      </c>
      <c r="F79">
        <v>1</v>
      </c>
      <c r="G79">
        <v>0</v>
      </c>
      <c r="H79">
        <v>1</v>
      </c>
      <c r="I79">
        <v>1</v>
      </c>
      <c r="J79">
        <v>1</v>
      </c>
      <c r="K79">
        <v>19</v>
      </c>
      <c r="L79">
        <v>1</v>
      </c>
      <c r="M79">
        <v>0</v>
      </c>
      <c r="N79">
        <v>0</v>
      </c>
      <c r="O79">
        <v>0</v>
      </c>
      <c r="P79">
        <v>0</v>
      </c>
      <c r="Q79">
        <v>0</v>
      </c>
      <c r="R79">
        <v>0</v>
      </c>
      <c r="S79">
        <v>5</v>
      </c>
      <c r="T79">
        <v>0</v>
      </c>
      <c r="U79">
        <v>0</v>
      </c>
      <c r="V79">
        <v>5</v>
      </c>
      <c r="W79">
        <v>0</v>
      </c>
      <c r="X79">
        <v>0</v>
      </c>
      <c r="Y79">
        <v>0</v>
      </c>
      <c r="Z79">
        <v>0</v>
      </c>
      <c r="AA79">
        <v>-50</v>
      </c>
      <c r="AB79">
        <v>0</v>
      </c>
      <c r="AC79">
        <v>33</v>
      </c>
      <c r="AD79">
        <v>33</v>
      </c>
      <c r="AE79">
        <v>33</v>
      </c>
      <c r="AF79">
        <v>33</v>
      </c>
      <c r="AG79">
        <v>33</v>
      </c>
      <c r="AH79">
        <v>0</v>
      </c>
      <c r="AI79">
        <v>33</v>
      </c>
      <c r="AJ79">
        <v>33</v>
      </c>
      <c r="AK79">
        <v>33</v>
      </c>
      <c r="AL79">
        <v>0</v>
      </c>
      <c r="AM79">
        <v>0</v>
      </c>
      <c r="AN79">
        <v>1</v>
      </c>
      <c r="AO79">
        <v>0</v>
      </c>
      <c r="AP79">
        <v>0</v>
      </c>
      <c r="AQ79">
        <v>0</v>
      </c>
      <c r="AR79">
        <v>0</v>
      </c>
      <c r="AS79">
        <v>0</v>
      </c>
      <c r="AT79">
        <v>19</v>
      </c>
      <c r="AU79">
        <v>19</v>
      </c>
      <c r="AV79">
        <v>0</v>
      </c>
      <c r="AW79">
        <v>19</v>
      </c>
      <c r="AX79">
        <v>5</v>
      </c>
      <c r="AY79">
        <v>5</v>
      </c>
      <c r="AZ79">
        <v>0</v>
      </c>
      <c r="BA79">
        <v>5</v>
      </c>
      <c r="BB79">
        <v>0</v>
      </c>
      <c r="BC79">
        <v>0</v>
      </c>
      <c r="BD79">
        <v>0</v>
      </c>
      <c r="BE79">
        <v>0</v>
      </c>
    </row>
    <row r="80" spans="1:57">
      <c r="A80" t="s">
        <v>16976</v>
      </c>
      <c r="B80" t="s">
        <v>19335</v>
      </c>
      <c r="C80">
        <v>18</v>
      </c>
      <c r="D80">
        <v>18</v>
      </c>
      <c r="E80">
        <v>0</v>
      </c>
      <c r="F80">
        <v>11</v>
      </c>
      <c r="G80">
        <v>0</v>
      </c>
      <c r="H80">
        <v>0</v>
      </c>
      <c r="I80">
        <v>0</v>
      </c>
      <c r="J80">
        <v>18</v>
      </c>
      <c r="K80">
        <v>177</v>
      </c>
      <c r="L80">
        <v>18</v>
      </c>
      <c r="M80">
        <v>0</v>
      </c>
      <c r="N80">
        <v>0</v>
      </c>
      <c r="O80">
        <v>0</v>
      </c>
      <c r="P80">
        <v>0</v>
      </c>
      <c r="Q80">
        <v>0</v>
      </c>
      <c r="R80">
        <v>0</v>
      </c>
      <c r="S80">
        <v>29.25</v>
      </c>
      <c r="T80">
        <v>18</v>
      </c>
      <c r="U80">
        <v>0</v>
      </c>
      <c r="V80">
        <v>26</v>
      </c>
      <c r="W80">
        <v>515</v>
      </c>
      <c r="X80">
        <v>832</v>
      </c>
      <c r="Y80">
        <v>0</v>
      </c>
      <c r="Z80">
        <v>0</v>
      </c>
      <c r="AA80">
        <v>0</v>
      </c>
      <c r="AB80">
        <v>0</v>
      </c>
      <c r="AC80">
        <v>0</v>
      </c>
      <c r="AD80">
        <v>0</v>
      </c>
      <c r="AE80">
        <v>0</v>
      </c>
      <c r="AF80">
        <v>0</v>
      </c>
      <c r="AG80">
        <v>1347</v>
      </c>
      <c r="AH80">
        <v>1347</v>
      </c>
      <c r="AI80">
        <v>0</v>
      </c>
      <c r="AJ80">
        <v>0</v>
      </c>
      <c r="AK80">
        <v>0</v>
      </c>
      <c r="AL80">
        <v>0</v>
      </c>
      <c r="AM80">
        <v>0</v>
      </c>
      <c r="AN80">
        <v>0</v>
      </c>
      <c r="AO80">
        <v>0</v>
      </c>
      <c r="AP80">
        <v>0</v>
      </c>
      <c r="AQ80">
        <v>0</v>
      </c>
      <c r="AR80">
        <v>0</v>
      </c>
      <c r="AS80">
        <v>0</v>
      </c>
      <c r="AT80">
        <v>177</v>
      </c>
      <c r="AU80">
        <v>0</v>
      </c>
      <c r="AV80">
        <v>0</v>
      </c>
      <c r="AW80">
        <v>177</v>
      </c>
      <c r="AX80">
        <v>29.25</v>
      </c>
      <c r="AY80">
        <v>0</v>
      </c>
      <c r="AZ80">
        <v>0</v>
      </c>
      <c r="BA80">
        <v>29.25</v>
      </c>
      <c r="BB80">
        <v>18</v>
      </c>
      <c r="BC80">
        <v>0</v>
      </c>
      <c r="BD80">
        <v>0</v>
      </c>
      <c r="BE80">
        <v>18</v>
      </c>
    </row>
    <row r="81" spans="1:57">
      <c r="A81" t="s">
        <v>18802</v>
      </c>
      <c r="B81" t="s">
        <v>18802</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row>
    <row r="82" spans="1:57">
      <c r="A82" t="s">
        <v>16935</v>
      </c>
      <c r="B82" t="s">
        <v>17389</v>
      </c>
      <c r="C82">
        <v>0</v>
      </c>
      <c r="D82">
        <v>8</v>
      </c>
      <c r="E82">
        <v>8</v>
      </c>
      <c r="F82">
        <v>8</v>
      </c>
      <c r="G82">
        <v>0</v>
      </c>
      <c r="H82">
        <v>0</v>
      </c>
      <c r="I82">
        <v>0</v>
      </c>
      <c r="J82">
        <v>7</v>
      </c>
      <c r="K82">
        <v>300</v>
      </c>
      <c r="L82">
        <v>1</v>
      </c>
      <c r="M82">
        <v>0</v>
      </c>
      <c r="N82">
        <v>3</v>
      </c>
      <c r="O82">
        <v>3</v>
      </c>
      <c r="P82">
        <v>0</v>
      </c>
      <c r="Q82">
        <v>0</v>
      </c>
      <c r="R82">
        <v>0</v>
      </c>
      <c r="S82">
        <v>107.5</v>
      </c>
      <c r="T82">
        <v>84</v>
      </c>
      <c r="U82">
        <v>0</v>
      </c>
      <c r="V82">
        <v>191.5</v>
      </c>
      <c r="W82">
        <v>2755</v>
      </c>
      <c r="X82">
        <v>0</v>
      </c>
      <c r="Y82">
        <v>1</v>
      </c>
      <c r="Z82">
        <v>0</v>
      </c>
      <c r="AA82">
        <v>0</v>
      </c>
      <c r="AB82">
        <v>1220</v>
      </c>
      <c r="AC82">
        <v>53</v>
      </c>
      <c r="AD82">
        <v>0</v>
      </c>
      <c r="AE82">
        <v>0</v>
      </c>
      <c r="AF82">
        <v>1220</v>
      </c>
      <c r="AG82">
        <v>2808</v>
      </c>
      <c r="AH82">
        <v>2808</v>
      </c>
      <c r="AI82">
        <v>0</v>
      </c>
      <c r="AJ82">
        <v>0</v>
      </c>
      <c r="AK82">
        <v>0</v>
      </c>
      <c r="AL82">
        <v>0</v>
      </c>
      <c r="AM82">
        <v>0</v>
      </c>
      <c r="AN82">
        <v>0</v>
      </c>
      <c r="AO82">
        <v>0</v>
      </c>
      <c r="AP82">
        <v>0</v>
      </c>
      <c r="AQ82">
        <v>0</v>
      </c>
      <c r="AR82">
        <v>0</v>
      </c>
      <c r="AS82">
        <v>0</v>
      </c>
      <c r="AT82">
        <v>300</v>
      </c>
      <c r="AU82">
        <v>0</v>
      </c>
      <c r="AV82">
        <v>300</v>
      </c>
      <c r="AW82">
        <v>0</v>
      </c>
      <c r="AX82">
        <v>107.5</v>
      </c>
      <c r="AY82">
        <v>0</v>
      </c>
      <c r="AZ82">
        <v>107.5</v>
      </c>
      <c r="BA82">
        <v>0</v>
      </c>
      <c r="BB82">
        <v>84</v>
      </c>
      <c r="BC82">
        <v>0</v>
      </c>
      <c r="BD82">
        <v>84</v>
      </c>
      <c r="BE82">
        <v>0</v>
      </c>
    </row>
    <row r="83" spans="1:57">
      <c r="A83" t="s">
        <v>17390</v>
      </c>
      <c r="B83" t="s">
        <v>17391</v>
      </c>
      <c r="C83">
        <v>0</v>
      </c>
      <c r="D83">
        <v>33</v>
      </c>
      <c r="E83">
        <v>33</v>
      </c>
      <c r="F83">
        <v>31</v>
      </c>
      <c r="G83">
        <v>0</v>
      </c>
      <c r="H83">
        <v>0</v>
      </c>
      <c r="I83">
        <v>0</v>
      </c>
      <c r="J83">
        <v>33</v>
      </c>
      <c r="K83">
        <v>129</v>
      </c>
      <c r="L83">
        <v>33</v>
      </c>
      <c r="M83">
        <v>0</v>
      </c>
      <c r="N83">
        <v>0</v>
      </c>
      <c r="O83">
        <v>0</v>
      </c>
      <c r="P83">
        <v>0</v>
      </c>
      <c r="Q83">
        <v>0</v>
      </c>
      <c r="R83">
        <v>0</v>
      </c>
      <c r="S83">
        <v>33</v>
      </c>
      <c r="T83">
        <v>0</v>
      </c>
      <c r="U83">
        <v>0</v>
      </c>
      <c r="V83">
        <v>33</v>
      </c>
      <c r="W83">
        <v>330</v>
      </c>
      <c r="X83">
        <v>0</v>
      </c>
      <c r="Y83">
        <v>33</v>
      </c>
      <c r="Z83">
        <v>0</v>
      </c>
      <c r="AA83">
        <v>0</v>
      </c>
      <c r="AB83">
        <v>0</v>
      </c>
      <c r="AC83">
        <v>3010.6499999999992</v>
      </c>
      <c r="AD83">
        <v>3010.6499999999992</v>
      </c>
      <c r="AE83">
        <v>3010.6499999999992</v>
      </c>
      <c r="AF83">
        <v>3010.6499999999992</v>
      </c>
      <c r="AG83">
        <v>3340.6499999999992</v>
      </c>
      <c r="AH83">
        <v>330</v>
      </c>
      <c r="AI83">
        <v>0</v>
      </c>
      <c r="AJ83">
        <v>0</v>
      </c>
      <c r="AK83">
        <v>0</v>
      </c>
      <c r="AL83">
        <v>0</v>
      </c>
      <c r="AM83">
        <v>0</v>
      </c>
      <c r="AN83">
        <v>0</v>
      </c>
      <c r="AO83">
        <v>0</v>
      </c>
      <c r="AP83">
        <v>29</v>
      </c>
      <c r="AQ83">
        <v>0</v>
      </c>
      <c r="AR83">
        <v>0</v>
      </c>
      <c r="AS83">
        <v>0</v>
      </c>
      <c r="AT83">
        <v>129</v>
      </c>
      <c r="AU83">
        <v>0</v>
      </c>
      <c r="AV83">
        <v>129</v>
      </c>
      <c r="AW83">
        <v>0</v>
      </c>
      <c r="AX83">
        <v>33</v>
      </c>
      <c r="AY83">
        <v>0</v>
      </c>
      <c r="AZ83">
        <v>33</v>
      </c>
      <c r="BA83">
        <v>0</v>
      </c>
      <c r="BB83">
        <v>0</v>
      </c>
      <c r="BC83">
        <v>0</v>
      </c>
      <c r="BD83">
        <v>0</v>
      </c>
      <c r="BE83">
        <v>0</v>
      </c>
    </row>
    <row r="84" spans="1:57">
      <c r="A84" t="s">
        <v>16936</v>
      </c>
      <c r="B84" t="s">
        <v>16937</v>
      </c>
      <c r="C84">
        <v>0</v>
      </c>
      <c r="D84">
        <v>13</v>
      </c>
      <c r="E84">
        <v>0</v>
      </c>
      <c r="F84">
        <v>13</v>
      </c>
      <c r="G84">
        <v>0</v>
      </c>
      <c r="H84">
        <v>0</v>
      </c>
      <c r="I84">
        <v>0</v>
      </c>
      <c r="J84">
        <v>13</v>
      </c>
      <c r="K84">
        <v>473</v>
      </c>
      <c r="L84">
        <v>13</v>
      </c>
      <c r="M84">
        <v>0</v>
      </c>
      <c r="N84">
        <v>0</v>
      </c>
      <c r="O84">
        <v>0</v>
      </c>
      <c r="P84">
        <v>0</v>
      </c>
      <c r="Q84">
        <v>0</v>
      </c>
      <c r="R84">
        <v>0</v>
      </c>
      <c r="S84">
        <v>70</v>
      </c>
      <c r="T84">
        <v>0</v>
      </c>
      <c r="U84">
        <v>0</v>
      </c>
      <c r="V84">
        <v>70</v>
      </c>
      <c r="W84">
        <v>700</v>
      </c>
      <c r="X84">
        <v>0</v>
      </c>
      <c r="Y84">
        <v>13</v>
      </c>
      <c r="Z84">
        <v>0</v>
      </c>
      <c r="AA84">
        <v>0</v>
      </c>
      <c r="AB84">
        <v>480</v>
      </c>
      <c r="AC84">
        <v>0</v>
      </c>
      <c r="AD84">
        <v>0</v>
      </c>
      <c r="AE84">
        <v>0</v>
      </c>
      <c r="AF84">
        <v>480</v>
      </c>
      <c r="AG84">
        <v>700</v>
      </c>
      <c r="AH84">
        <v>700</v>
      </c>
      <c r="AI84">
        <v>0</v>
      </c>
      <c r="AJ84">
        <v>0</v>
      </c>
      <c r="AK84">
        <v>0</v>
      </c>
      <c r="AL84">
        <v>0</v>
      </c>
      <c r="AM84">
        <v>0</v>
      </c>
      <c r="AN84">
        <v>0</v>
      </c>
      <c r="AO84">
        <v>0</v>
      </c>
      <c r="AP84">
        <v>0</v>
      </c>
      <c r="AQ84">
        <v>0</v>
      </c>
      <c r="AR84">
        <v>0</v>
      </c>
      <c r="AS84">
        <v>0</v>
      </c>
      <c r="AT84">
        <v>473</v>
      </c>
      <c r="AU84">
        <v>0</v>
      </c>
      <c r="AV84">
        <v>473</v>
      </c>
      <c r="AW84">
        <v>0</v>
      </c>
      <c r="AX84">
        <v>70</v>
      </c>
      <c r="AY84">
        <v>0</v>
      </c>
      <c r="AZ84">
        <v>70</v>
      </c>
      <c r="BA84">
        <v>0</v>
      </c>
      <c r="BB84">
        <v>0</v>
      </c>
      <c r="BC84">
        <v>0</v>
      </c>
      <c r="BD84">
        <v>0</v>
      </c>
      <c r="BE84">
        <v>0</v>
      </c>
    </row>
    <row r="85" spans="1:57">
      <c r="A85" t="s">
        <v>16938</v>
      </c>
      <c r="B85" t="s">
        <v>16939</v>
      </c>
      <c r="C85">
        <v>0</v>
      </c>
      <c r="D85">
        <v>9</v>
      </c>
      <c r="E85">
        <v>9</v>
      </c>
      <c r="F85">
        <v>9</v>
      </c>
      <c r="G85">
        <v>1</v>
      </c>
      <c r="H85">
        <v>0</v>
      </c>
      <c r="I85">
        <v>0</v>
      </c>
      <c r="J85">
        <v>9</v>
      </c>
      <c r="K85">
        <v>69</v>
      </c>
      <c r="L85">
        <v>4</v>
      </c>
      <c r="M85">
        <v>0</v>
      </c>
      <c r="N85">
        <v>4</v>
      </c>
      <c r="O85">
        <v>1</v>
      </c>
      <c r="P85">
        <v>0</v>
      </c>
      <c r="Q85">
        <v>0</v>
      </c>
      <c r="R85">
        <v>0</v>
      </c>
      <c r="S85">
        <v>2</v>
      </c>
      <c r="T85">
        <v>4.5</v>
      </c>
      <c r="U85">
        <v>0.25</v>
      </c>
      <c r="V85">
        <v>6.75</v>
      </c>
      <c r="W85">
        <v>110</v>
      </c>
      <c r="X85">
        <v>0</v>
      </c>
      <c r="Y85">
        <v>9</v>
      </c>
      <c r="Z85">
        <v>0</v>
      </c>
      <c r="AA85">
        <v>0</v>
      </c>
      <c r="AB85">
        <v>0</v>
      </c>
      <c r="AC85">
        <v>0</v>
      </c>
      <c r="AD85">
        <v>0</v>
      </c>
      <c r="AE85">
        <v>0</v>
      </c>
      <c r="AF85">
        <v>0</v>
      </c>
      <c r="AG85">
        <v>115</v>
      </c>
      <c r="AH85">
        <v>115</v>
      </c>
      <c r="AI85">
        <v>0</v>
      </c>
      <c r="AJ85">
        <v>0</v>
      </c>
      <c r="AK85">
        <v>0</v>
      </c>
      <c r="AL85">
        <v>0</v>
      </c>
      <c r="AM85">
        <v>0</v>
      </c>
      <c r="AN85">
        <v>0</v>
      </c>
      <c r="AO85">
        <v>0</v>
      </c>
      <c r="AP85">
        <v>0</v>
      </c>
      <c r="AQ85">
        <v>0</v>
      </c>
      <c r="AR85">
        <v>0</v>
      </c>
      <c r="AS85">
        <v>0</v>
      </c>
      <c r="AT85">
        <v>69</v>
      </c>
      <c r="AU85">
        <v>0</v>
      </c>
      <c r="AV85">
        <v>69</v>
      </c>
      <c r="AW85">
        <v>0</v>
      </c>
      <c r="AX85">
        <v>2</v>
      </c>
      <c r="AY85">
        <v>0</v>
      </c>
      <c r="AZ85">
        <v>2</v>
      </c>
      <c r="BA85">
        <v>0</v>
      </c>
      <c r="BB85">
        <v>4.5</v>
      </c>
      <c r="BC85">
        <v>0</v>
      </c>
      <c r="BD85">
        <v>4.5</v>
      </c>
      <c r="BE85">
        <v>0</v>
      </c>
    </row>
    <row r="86" spans="1:57">
      <c r="A86" t="s">
        <v>16977</v>
      </c>
      <c r="B86" t="s">
        <v>17380</v>
      </c>
      <c r="C86">
        <v>0</v>
      </c>
      <c r="D86">
        <v>2</v>
      </c>
      <c r="E86">
        <v>2</v>
      </c>
      <c r="F86">
        <v>0</v>
      </c>
      <c r="G86">
        <v>0</v>
      </c>
      <c r="H86">
        <v>0</v>
      </c>
      <c r="I86">
        <v>0</v>
      </c>
      <c r="J86">
        <v>2</v>
      </c>
      <c r="K86">
        <v>20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20</v>
      </c>
      <c r="AU86">
        <v>0</v>
      </c>
      <c r="AV86">
        <v>20</v>
      </c>
      <c r="AW86">
        <v>0</v>
      </c>
      <c r="AX86">
        <v>0</v>
      </c>
      <c r="AY86">
        <v>0</v>
      </c>
      <c r="AZ86">
        <v>0</v>
      </c>
      <c r="BA86">
        <v>0</v>
      </c>
      <c r="BB86">
        <v>0</v>
      </c>
      <c r="BC86">
        <v>0</v>
      </c>
      <c r="BD86">
        <v>0</v>
      </c>
      <c r="BE86">
        <v>0</v>
      </c>
    </row>
    <row r="87" spans="1:57">
      <c r="A87" t="s">
        <v>16977</v>
      </c>
      <c r="B87" t="s">
        <v>17380</v>
      </c>
      <c r="C87">
        <v>0</v>
      </c>
      <c r="D87">
        <v>7</v>
      </c>
      <c r="E87">
        <v>7</v>
      </c>
      <c r="F87">
        <v>0</v>
      </c>
      <c r="G87">
        <v>0</v>
      </c>
      <c r="H87">
        <v>0</v>
      </c>
      <c r="I87">
        <v>0</v>
      </c>
      <c r="J87">
        <v>7</v>
      </c>
      <c r="K87">
        <v>43</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43</v>
      </c>
      <c r="AU87">
        <v>0</v>
      </c>
      <c r="AV87">
        <v>43</v>
      </c>
      <c r="AW87">
        <v>0</v>
      </c>
      <c r="AX87">
        <v>0</v>
      </c>
      <c r="AY87">
        <v>0</v>
      </c>
      <c r="AZ87">
        <v>0</v>
      </c>
      <c r="BA87">
        <v>0</v>
      </c>
      <c r="BB87">
        <v>0</v>
      </c>
      <c r="BC87">
        <v>0</v>
      </c>
      <c r="BD87">
        <v>0</v>
      </c>
      <c r="BE87">
        <v>0</v>
      </c>
    </row>
    <row r="88" spans="1:57">
      <c r="A88" t="s">
        <v>16980</v>
      </c>
      <c r="B88" t="s">
        <v>16981</v>
      </c>
      <c r="C88">
        <v>0</v>
      </c>
      <c r="D88">
        <v>140</v>
      </c>
      <c r="E88">
        <v>21</v>
      </c>
      <c r="F88">
        <v>120</v>
      </c>
      <c r="G88">
        <v>0</v>
      </c>
      <c r="H88">
        <v>3</v>
      </c>
      <c r="I88">
        <v>0</v>
      </c>
      <c r="J88">
        <v>134</v>
      </c>
      <c r="K88">
        <v>875</v>
      </c>
      <c r="L88">
        <v>130</v>
      </c>
      <c r="M88">
        <v>0</v>
      </c>
      <c r="N88">
        <v>0</v>
      </c>
      <c r="O88">
        <v>0</v>
      </c>
      <c r="P88">
        <v>4</v>
      </c>
      <c r="Q88">
        <v>0</v>
      </c>
      <c r="R88">
        <v>0</v>
      </c>
      <c r="S88">
        <v>0</v>
      </c>
      <c r="T88">
        <v>0</v>
      </c>
      <c r="U88">
        <v>0</v>
      </c>
      <c r="V88">
        <v>15.5</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875</v>
      </c>
      <c r="AU88">
        <v>42</v>
      </c>
      <c r="AV88">
        <v>833</v>
      </c>
      <c r="AW88">
        <v>0</v>
      </c>
      <c r="AX88">
        <v>0</v>
      </c>
      <c r="AY88">
        <v>0</v>
      </c>
      <c r="AZ88">
        <v>0</v>
      </c>
      <c r="BA88">
        <v>0</v>
      </c>
      <c r="BB88">
        <v>0</v>
      </c>
      <c r="BC88">
        <v>0</v>
      </c>
      <c r="BD88">
        <v>0</v>
      </c>
      <c r="BE88">
        <v>0</v>
      </c>
    </row>
    <row r="89" spans="1:57">
      <c r="A89" t="s">
        <v>16982</v>
      </c>
      <c r="B89" t="s">
        <v>17343</v>
      </c>
      <c r="C89">
        <v>0</v>
      </c>
      <c r="D89">
        <v>7</v>
      </c>
      <c r="E89">
        <v>7</v>
      </c>
      <c r="F89">
        <v>7</v>
      </c>
      <c r="G89">
        <v>1</v>
      </c>
      <c r="H89">
        <v>0</v>
      </c>
      <c r="I89">
        <v>0</v>
      </c>
      <c r="J89">
        <v>7</v>
      </c>
      <c r="K89">
        <v>42</v>
      </c>
      <c r="L89">
        <v>6</v>
      </c>
      <c r="M89">
        <v>0</v>
      </c>
      <c r="N89">
        <v>1</v>
      </c>
      <c r="O89">
        <v>0</v>
      </c>
      <c r="P89">
        <v>0</v>
      </c>
      <c r="Q89">
        <v>0</v>
      </c>
      <c r="R89">
        <v>0</v>
      </c>
      <c r="S89">
        <v>7</v>
      </c>
      <c r="T89">
        <v>0</v>
      </c>
      <c r="U89">
        <v>0</v>
      </c>
      <c r="V89">
        <v>7</v>
      </c>
      <c r="W89">
        <v>70</v>
      </c>
      <c r="X89">
        <v>0</v>
      </c>
      <c r="Y89">
        <v>0</v>
      </c>
      <c r="Z89">
        <v>7</v>
      </c>
      <c r="AA89">
        <v>0</v>
      </c>
      <c r="AB89">
        <v>0</v>
      </c>
      <c r="AC89">
        <v>0</v>
      </c>
      <c r="AD89">
        <v>0</v>
      </c>
      <c r="AE89">
        <v>0</v>
      </c>
      <c r="AF89">
        <v>0</v>
      </c>
      <c r="AG89">
        <v>70</v>
      </c>
      <c r="AH89">
        <v>70</v>
      </c>
      <c r="AI89">
        <v>0</v>
      </c>
      <c r="AJ89">
        <v>0</v>
      </c>
      <c r="AK89">
        <v>0</v>
      </c>
      <c r="AL89">
        <v>0</v>
      </c>
      <c r="AM89">
        <v>0</v>
      </c>
      <c r="AN89">
        <v>0</v>
      </c>
      <c r="AO89">
        <v>0</v>
      </c>
      <c r="AP89">
        <v>0</v>
      </c>
      <c r="AQ89">
        <v>0</v>
      </c>
      <c r="AR89">
        <v>0</v>
      </c>
      <c r="AS89">
        <v>0</v>
      </c>
      <c r="AT89">
        <v>42</v>
      </c>
      <c r="AU89">
        <v>0</v>
      </c>
      <c r="AV89">
        <v>42</v>
      </c>
      <c r="AW89">
        <v>0</v>
      </c>
      <c r="AX89">
        <v>7</v>
      </c>
      <c r="AY89">
        <v>0</v>
      </c>
      <c r="AZ89">
        <v>7</v>
      </c>
      <c r="BA89">
        <v>0</v>
      </c>
      <c r="BB89">
        <v>0</v>
      </c>
      <c r="BC89">
        <v>0</v>
      </c>
      <c r="BD89">
        <v>0</v>
      </c>
      <c r="BE89">
        <v>0</v>
      </c>
    </row>
    <row r="90" spans="1:57">
      <c r="A90" t="s">
        <v>16983</v>
      </c>
      <c r="B90" t="s">
        <v>16984</v>
      </c>
      <c r="C90">
        <v>0</v>
      </c>
      <c r="D90">
        <v>27</v>
      </c>
      <c r="E90">
        <v>27</v>
      </c>
      <c r="F90">
        <v>27</v>
      </c>
      <c r="G90">
        <v>0</v>
      </c>
      <c r="H90">
        <v>0</v>
      </c>
      <c r="I90">
        <v>0</v>
      </c>
      <c r="J90">
        <v>27</v>
      </c>
      <c r="K90">
        <v>134</v>
      </c>
      <c r="L90">
        <v>22</v>
      </c>
      <c r="M90">
        <v>2</v>
      </c>
      <c r="N90">
        <v>1</v>
      </c>
      <c r="O90">
        <v>0</v>
      </c>
      <c r="P90">
        <v>0</v>
      </c>
      <c r="Q90">
        <v>2</v>
      </c>
      <c r="R90">
        <v>0</v>
      </c>
      <c r="S90">
        <v>8.75</v>
      </c>
      <c r="T90">
        <v>8.75</v>
      </c>
      <c r="U90">
        <v>0</v>
      </c>
      <c r="V90">
        <v>17.5</v>
      </c>
      <c r="W90">
        <v>262.5</v>
      </c>
      <c r="X90">
        <v>0</v>
      </c>
      <c r="Y90">
        <v>27</v>
      </c>
      <c r="Z90">
        <v>0</v>
      </c>
      <c r="AA90">
        <v>0</v>
      </c>
      <c r="AB90">
        <v>0</v>
      </c>
      <c r="AC90">
        <v>25.35</v>
      </c>
      <c r="AD90">
        <v>25.35</v>
      </c>
      <c r="AE90">
        <v>24.75</v>
      </c>
      <c r="AF90">
        <v>25.35</v>
      </c>
      <c r="AG90">
        <v>287.85000000000002</v>
      </c>
      <c r="AH90">
        <v>263.10000000000002</v>
      </c>
      <c r="AI90">
        <v>0</v>
      </c>
      <c r="AJ90">
        <v>0</v>
      </c>
      <c r="AK90">
        <v>0</v>
      </c>
      <c r="AL90">
        <v>0</v>
      </c>
      <c r="AM90">
        <v>22</v>
      </c>
      <c r="AN90">
        <v>1</v>
      </c>
      <c r="AO90">
        <v>0</v>
      </c>
      <c r="AP90">
        <v>0</v>
      </c>
      <c r="AQ90">
        <v>0</v>
      </c>
      <c r="AR90">
        <v>0</v>
      </c>
      <c r="AS90">
        <v>0</v>
      </c>
      <c r="AT90">
        <v>134</v>
      </c>
      <c r="AU90">
        <v>0</v>
      </c>
      <c r="AV90">
        <v>134</v>
      </c>
      <c r="AW90">
        <v>0</v>
      </c>
      <c r="AX90">
        <v>8.75</v>
      </c>
      <c r="AY90">
        <v>0</v>
      </c>
      <c r="AZ90">
        <v>8.75</v>
      </c>
      <c r="BA90">
        <v>0</v>
      </c>
      <c r="BB90">
        <v>8.75</v>
      </c>
      <c r="BC90">
        <v>0</v>
      </c>
      <c r="BD90">
        <v>8.75</v>
      </c>
      <c r="BE90">
        <v>0</v>
      </c>
    </row>
    <row r="91" spans="1:57">
      <c r="A91" t="s">
        <v>16985</v>
      </c>
      <c r="B91" t="s">
        <v>16986</v>
      </c>
      <c r="C91">
        <v>0</v>
      </c>
      <c r="D91">
        <v>2</v>
      </c>
      <c r="E91">
        <v>2</v>
      </c>
      <c r="F91">
        <v>1</v>
      </c>
      <c r="G91">
        <v>0</v>
      </c>
      <c r="H91">
        <v>0</v>
      </c>
      <c r="I91">
        <v>0</v>
      </c>
      <c r="J91">
        <v>2</v>
      </c>
      <c r="K91">
        <v>190</v>
      </c>
      <c r="L91">
        <v>1</v>
      </c>
      <c r="M91">
        <v>0</v>
      </c>
      <c r="N91">
        <v>0</v>
      </c>
      <c r="O91">
        <v>1</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190</v>
      </c>
      <c r="AU91">
        <v>0</v>
      </c>
      <c r="AV91">
        <v>190</v>
      </c>
      <c r="AW91">
        <v>0</v>
      </c>
      <c r="AX91">
        <v>0</v>
      </c>
      <c r="AY91">
        <v>0</v>
      </c>
      <c r="AZ91">
        <v>0</v>
      </c>
      <c r="BA91">
        <v>0</v>
      </c>
      <c r="BB91">
        <v>0</v>
      </c>
      <c r="BC91">
        <v>0</v>
      </c>
      <c r="BD91">
        <v>0</v>
      </c>
      <c r="BE91">
        <v>0</v>
      </c>
    </row>
    <row r="92" spans="1:57">
      <c r="A92" t="s">
        <v>16987</v>
      </c>
      <c r="B92" t="s">
        <v>17382</v>
      </c>
      <c r="C92">
        <v>2</v>
      </c>
      <c r="D92">
        <v>13</v>
      </c>
      <c r="E92">
        <v>0</v>
      </c>
      <c r="F92">
        <v>0</v>
      </c>
      <c r="G92">
        <v>0</v>
      </c>
      <c r="H92">
        <v>0</v>
      </c>
      <c r="I92">
        <v>0</v>
      </c>
      <c r="J92">
        <v>13</v>
      </c>
      <c r="K92">
        <v>107</v>
      </c>
      <c r="L92">
        <v>11</v>
      </c>
      <c r="M92">
        <v>1</v>
      </c>
      <c r="N92">
        <v>0</v>
      </c>
      <c r="O92">
        <v>1</v>
      </c>
      <c r="P92">
        <v>0</v>
      </c>
      <c r="Q92">
        <v>0</v>
      </c>
      <c r="R92">
        <v>0</v>
      </c>
      <c r="S92">
        <v>11.25</v>
      </c>
      <c r="T92">
        <v>1</v>
      </c>
      <c r="U92">
        <v>0</v>
      </c>
      <c r="V92">
        <v>12.25</v>
      </c>
      <c r="W92">
        <v>82.5</v>
      </c>
      <c r="X92">
        <v>0</v>
      </c>
      <c r="Y92">
        <v>9</v>
      </c>
      <c r="Z92">
        <v>0</v>
      </c>
      <c r="AA92">
        <v>-50</v>
      </c>
      <c r="AB92">
        <v>20</v>
      </c>
      <c r="AC92">
        <v>0</v>
      </c>
      <c r="AD92">
        <v>0</v>
      </c>
      <c r="AE92">
        <v>20</v>
      </c>
      <c r="AF92">
        <v>20</v>
      </c>
      <c r="AG92">
        <v>82.5</v>
      </c>
      <c r="AH92">
        <v>62.5</v>
      </c>
      <c r="AI92">
        <v>0</v>
      </c>
      <c r="AJ92">
        <v>0</v>
      </c>
      <c r="AK92">
        <v>0</v>
      </c>
      <c r="AL92">
        <v>0</v>
      </c>
      <c r="AM92">
        <v>0</v>
      </c>
      <c r="AN92">
        <v>1</v>
      </c>
      <c r="AO92">
        <v>0</v>
      </c>
      <c r="AP92">
        <v>0</v>
      </c>
      <c r="AQ92">
        <v>0</v>
      </c>
      <c r="AR92">
        <v>0</v>
      </c>
      <c r="AS92">
        <v>0</v>
      </c>
      <c r="AT92">
        <v>107</v>
      </c>
      <c r="AU92">
        <v>0</v>
      </c>
      <c r="AV92">
        <v>92</v>
      </c>
      <c r="AW92">
        <v>15</v>
      </c>
      <c r="AX92">
        <v>11.25</v>
      </c>
      <c r="AY92">
        <v>0</v>
      </c>
      <c r="AZ92">
        <v>6.25</v>
      </c>
      <c r="BA92">
        <v>5</v>
      </c>
      <c r="BB92">
        <v>1</v>
      </c>
      <c r="BC92">
        <v>0</v>
      </c>
      <c r="BD92">
        <v>1</v>
      </c>
      <c r="BE92">
        <v>0</v>
      </c>
    </row>
    <row r="93" spans="1:57">
      <c r="A93" t="s">
        <v>16988</v>
      </c>
      <c r="B93" t="s">
        <v>16988</v>
      </c>
      <c r="C93">
        <v>1</v>
      </c>
      <c r="D93">
        <v>1</v>
      </c>
      <c r="E93">
        <v>0</v>
      </c>
      <c r="F93">
        <v>1</v>
      </c>
      <c r="G93">
        <v>0</v>
      </c>
      <c r="H93">
        <v>0</v>
      </c>
      <c r="I93">
        <v>0</v>
      </c>
      <c r="J93">
        <v>1</v>
      </c>
      <c r="K93">
        <v>2</v>
      </c>
      <c r="L93">
        <v>0</v>
      </c>
      <c r="M93">
        <v>0</v>
      </c>
      <c r="N93">
        <v>0</v>
      </c>
      <c r="O93">
        <v>1</v>
      </c>
      <c r="P93">
        <v>0</v>
      </c>
      <c r="Q93">
        <v>0</v>
      </c>
      <c r="R93">
        <v>0</v>
      </c>
      <c r="S93">
        <v>0</v>
      </c>
      <c r="T93">
        <v>0</v>
      </c>
      <c r="U93">
        <v>0</v>
      </c>
      <c r="V93">
        <v>0.75</v>
      </c>
      <c r="W93">
        <v>0</v>
      </c>
      <c r="X93">
        <v>0</v>
      </c>
      <c r="Y93">
        <v>0</v>
      </c>
      <c r="Z93">
        <v>0</v>
      </c>
      <c r="AA93">
        <v>-2.5</v>
      </c>
      <c r="AB93">
        <v>0</v>
      </c>
      <c r="AC93">
        <v>0</v>
      </c>
      <c r="AD93">
        <v>0</v>
      </c>
      <c r="AE93">
        <v>0</v>
      </c>
      <c r="AF93">
        <v>0</v>
      </c>
      <c r="AG93">
        <v>0</v>
      </c>
      <c r="AH93">
        <v>0</v>
      </c>
      <c r="AI93">
        <v>0</v>
      </c>
      <c r="AJ93">
        <v>0</v>
      </c>
      <c r="AK93">
        <v>0</v>
      </c>
      <c r="AL93">
        <v>0</v>
      </c>
      <c r="AM93">
        <v>0</v>
      </c>
      <c r="AN93">
        <v>0</v>
      </c>
      <c r="AO93">
        <v>0</v>
      </c>
      <c r="AP93">
        <v>0</v>
      </c>
      <c r="AQ93">
        <v>0</v>
      </c>
      <c r="AR93">
        <v>0</v>
      </c>
      <c r="AS93">
        <v>0</v>
      </c>
      <c r="AT93">
        <v>2</v>
      </c>
      <c r="AU93">
        <v>0</v>
      </c>
      <c r="AV93">
        <v>0</v>
      </c>
      <c r="AW93">
        <v>2</v>
      </c>
      <c r="AX93">
        <v>0</v>
      </c>
      <c r="AY93">
        <v>0</v>
      </c>
      <c r="AZ93">
        <v>0</v>
      </c>
      <c r="BA93">
        <v>0</v>
      </c>
      <c r="BB93">
        <v>0</v>
      </c>
      <c r="BC93">
        <v>0</v>
      </c>
      <c r="BD93">
        <v>0</v>
      </c>
      <c r="BE93">
        <v>0</v>
      </c>
    </row>
    <row r="94" spans="1:57">
      <c r="A94" t="s">
        <v>17344</v>
      </c>
      <c r="B94" t="s">
        <v>17345</v>
      </c>
      <c r="C94">
        <v>15</v>
      </c>
      <c r="D94">
        <v>52</v>
      </c>
      <c r="E94">
        <v>51</v>
      </c>
      <c r="F94">
        <v>38</v>
      </c>
      <c r="G94">
        <v>1</v>
      </c>
      <c r="H94">
        <v>26</v>
      </c>
      <c r="I94">
        <v>0</v>
      </c>
      <c r="J94">
        <v>48</v>
      </c>
      <c r="K94">
        <v>415</v>
      </c>
      <c r="L94">
        <v>46</v>
      </c>
      <c r="M94">
        <v>0</v>
      </c>
      <c r="N94">
        <v>0</v>
      </c>
      <c r="O94">
        <v>2</v>
      </c>
      <c r="P94">
        <v>0</v>
      </c>
      <c r="Q94">
        <v>0</v>
      </c>
      <c r="R94">
        <v>0</v>
      </c>
      <c r="S94">
        <v>0</v>
      </c>
      <c r="T94">
        <v>0</v>
      </c>
      <c r="U94">
        <v>0</v>
      </c>
      <c r="V94">
        <v>0</v>
      </c>
      <c r="W94">
        <v>1247.5</v>
      </c>
      <c r="X94">
        <v>0</v>
      </c>
      <c r="Y94">
        <v>5</v>
      </c>
      <c r="Z94">
        <v>0</v>
      </c>
      <c r="AA94">
        <v>0</v>
      </c>
      <c r="AB94">
        <v>1102.5</v>
      </c>
      <c r="AC94">
        <v>0</v>
      </c>
      <c r="AD94">
        <v>0</v>
      </c>
      <c r="AE94">
        <v>0</v>
      </c>
      <c r="AF94">
        <v>1842.5</v>
      </c>
      <c r="AG94">
        <v>1247.5</v>
      </c>
      <c r="AH94">
        <v>1247.5</v>
      </c>
      <c r="AI94">
        <v>0</v>
      </c>
      <c r="AJ94">
        <v>1102.5</v>
      </c>
      <c r="AK94">
        <v>1247.5</v>
      </c>
      <c r="AL94">
        <v>1247.5</v>
      </c>
      <c r="AM94">
        <v>0</v>
      </c>
      <c r="AN94">
        <v>0</v>
      </c>
      <c r="AO94">
        <v>0</v>
      </c>
      <c r="AP94">
        <v>0</v>
      </c>
      <c r="AQ94">
        <v>0</v>
      </c>
      <c r="AR94">
        <v>0</v>
      </c>
      <c r="AS94">
        <v>0</v>
      </c>
      <c r="AT94">
        <v>415</v>
      </c>
      <c r="AU94">
        <v>255</v>
      </c>
      <c r="AV94">
        <v>80</v>
      </c>
      <c r="AW94">
        <v>80</v>
      </c>
      <c r="AX94">
        <v>0</v>
      </c>
      <c r="AY94">
        <v>0</v>
      </c>
      <c r="AZ94">
        <v>0</v>
      </c>
      <c r="BA94">
        <v>0</v>
      </c>
      <c r="BB94">
        <v>0</v>
      </c>
      <c r="BC94">
        <v>0</v>
      </c>
      <c r="BD94">
        <v>0</v>
      </c>
      <c r="BE94">
        <v>0</v>
      </c>
    </row>
    <row r="95" spans="1:57">
      <c r="A95" t="s">
        <v>16990</v>
      </c>
      <c r="B95" t="s">
        <v>17359</v>
      </c>
      <c r="C95">
        <v>4</v>
      </c>
      <c r="D95">
        <v>17</v>
      </c>
      <c r="E95">
        <v>16</v>
      </c>
      <c r="F95">
        <v>15</v>
      </c>
      <c r="G95">
        <v>3</v>
      </c>
      <c r="H95">
        <v>9</v>
      </c>
      <c r="I95">
        <v>2</v>
      </c>
      <c r="J95">
        <v>15</v>
      </c>
      <c r="K95">
        <v>365</v>
      </c>
      <c r="L95">
        <v>10</v>
      </c>
      <c r="M95">
        <v>0</v>
      </c>
      <c r="N95">
        <v>2</v>
      </c>
      <c r="O95">
        <v>0</v>
      </c>
      <c r="P95">
        <v>0</v>
      </c>
      <c r="Q95">
        <v>2</v>
      </c>
      <c r="R95">
        <v>0</v>
      </c>
      <c r="S95">
        <v>4.25</v>
      </c>
      <c r="T95">
        <v>17.75</v>
      </c>
      <c r="U95">
        <v>0</v>
      </c>
      <c r="V95">
        <v>21.75</v>
      </c>
      <c r="W95">
        <v>277.5</v>
      </c>
      <c r="X95">
        <v>0</v>
      </c>
      <c r="Y95" t="e">
        <v>#VALUE!</v>
      </c>
      <c r="Z95" t="e">
        <v>#VALUE!</v>
      </c>
      <c r="AA95">
        <v>-220</v>
      </c>
      <c r="AB95" t="e">
        <v>#VALUE!</v>
      </c>
      <c r="AC95">
        <v>33.799999999999997</v>
      </c>
      <c r="AD95">
        <v>26</v>
      </c>
      <c r="AE95">
        <v>216.3</v>
      </c>
      <c r="AF95">
        <v>155</v>
      </c>
      <c r="AG95">
        <v>310.3</v>
      </c>
      <c r="AH95">
        <v>122.5</v>
      </c>
      <c r="AI95">
        <v>200.3</v>
      </c>
      <c r="AJ95">
        <v>155</v>
      </c>
      <c r="AK95">
        <v>257.8</v>
      </c>
      <c r="AL95">
        <v>70</v>
      </c>
      <c r="AM95">
        <v>0</v>
      </c>
      <c r="AN95">
        <v>1</v>
      </c>
      <c r="AO95">
        <v>1</v>
      </c>
      <c r="AP95">
        <v>1</v>
      </c>
      <c r="AQ95">
        <v>0</v>
      </c>
      <c r="AR95">
        <v>0</v>
      </c>
      <c r="AS95">
        <v>0</v>
      </c>
      <c r="AT95">
        <v>365</v>
      </c>
      <c r="AU95">
        <v>123</v>
      </c>
      <c r="AV95">
        <v>169</v>
      </c>
      <c r="AW95">
        <v>92</v>
      </c>
      <c r="AX95">
        <v>4.75</v>
      </c>
      <c r="AY95">
        <v>3</v>
      </c>
      <c r="AZ95">
        <v>1.75</v>
      </c>
      <c r="BA95">
        <v>1</v>
      </c>
      <c r="BB95">
        <v>23.25</v>
      </c>
      <c r="BC95">
        <v>21.5</v>
      </c>
      <c r="BD95">
        <v>1.75</v>
      </c>
      <c r="BE95">
        <v>10.5</v>
      </c>
    </row>
    <row r="96" spans="1:57">
      <c r="A96" t="s">
        <v>16991</v>
      </c>
      <c r="B96" t="s">
        <v>16991</v>
      </c>
      <c r="C96">
        <v>1</v>
      </c>
      <c r="D96">
        <v>1</v>
      </c>
      <c r="E96">
        <v>1</v>
      </c>
      <c r="F96">
        <v>0</v>
      </c>
      <c r="G96">
        <v>0</v>
      </c>
      <c r="H96">
        <v>0</v>
      </c>
      <c r="I96">
        <v>0</v>
      </c>
      <c r="J96">
        <v>1</v>
      </c>
      <c r="K96">
        <v>31</v>
      </c>
      <c r="L96">
        <v>0</v>
      </c>
      <c r="M96">
        <v>0</v>
      </c>
      <c r="N96">
        <v>1</v>
      </c>
      <c r="O96">
        <v>0</v>
      </c>
      <c r="P96">
        <v>0</v>
      </c>
      <c r="Q96">
        <v>0</v>
      </c>
      <c r="R96">
        <v>0</v>
      </c>
      <c r="S96">
        <v>1</v>
      </c>
      <c r="T96">
        <v>1</v>
      </c>
      <c r="U96">
        <v>1</v>
      </c>
      <c r="V96">
        <v>3</v>
      </c>
      <c r="W96">
        <v>0</v>
      </c>
      <c r="X96">
        <v>0</v>
      </c>
      <c r="Y96">
        <v>0</v>
      </c>
      <c r="Z96">
        <v>0</v>
      </c>
      <c r="AA96">
        <v>-30</v>
      </c>
      <c r="AB96">
        <v>0</v>
      </c>
      <c r="AC96">
        <v>0</v>
      </c>
      <c r="AD96">
        <v>0</v>
      </c>
      <c r="AE96">
        <v>0</v>
      </c>
      <c r="AF96">
        <v>0</v>
      </c>
      <c r="AG96">
        <v>20</v>
      </c>
      <c r="AH96">
        <v>20</v>
      </c>
      <c r="AI96">
        <v>0</v>
      </c>
      <c r="AJ96">
        <v>0</v>
      </c>
      <c r="AK96">
        <v>0</v>
      </c>
      <c r="AL96">
        <v>0</v>
      </c>
      <c r="AM96">
        <v>0</v>
      </c>
      <c r="AN96">
        <v>0</v>
      </c>
      <c r="AO96">
        <v>0</v>
      </c>
      <c r="AP96">
        <v>0</v>
      </c>
      <c r="AQ96">
        <v>0</v>
      </c>
      <c r="AR96">
        <v>0</v>
      </c>
      <c r="AS96">
        <v>0</v>
      </c>
      <c r="AT96">
        <v>31</v>
      </c>
      <c r="AU96">
        <v>0</v>
      </c>
      <c r="AV96">
        <v>0</v>
      </c>
      <c r="AW96">
        <v>31</v>
      </c>
      <c r="AX96">
        <v>1</v>
      </c>
      <c r="AY96">
        <v>0</v>
      </c>
      <c r="AZ96">
        <v>0</v>
      </c>
      <c r="BA96">
        <v>1</v>
      </c>
      <c r="BB96">
        <v>1</v>
      </c>
      <c r="BC96">
        <v>0</v>
      </c>
      <c r="BD96">
        <v>0</v>
      </c>
      <c r="BE96">
        <v>1</v>
      </c>
    </row>
    <row r="97" spans="1:57">
      <c r="A97" t="s">
        <v>16993</v>
      </c>
      <c r="B97" t="s">
        <v>16994</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row>
    <row r="98" spans="1:57">
      <c r="A98" t="s">
        <v>16995</v>
      </c>
      <c r="B98" t="s">
        <v>16996</v>
      </c>
      <c r="C98">
        <v>0</v>
      </c>
      <c r="D98">
        <v>11</v>
      </c>
      <c r="E98">
        <v>11</v>
      </c>
      <c r="F98">
        <v>11</v>
      </c>
      <c r="G98">
        <v>0</v>
      </c>
      <c r="H98">
        <v>0</v>
      </c>
      <c r="I98">
        <v>0</v>
      </c>
      <c r="J98">
        <v>11</v>
      </c>
      <c r="K98">
        <v>16</v>
      </c>
      <c r="L98">
        <v>11</v>
      </c>
      <c r="M98">
        <v>0</v>
      </c>
      <c r="N98">
        <v>0</v>
      </c>
      <c r="O98">
        <v>0</v>
      </c>
      <c r="P98">
        <v>0</v>
      </c>
      <c r="Q98">
        <v>0</v>
      </c>
      <c r="R98">
        <v>0</v>
      </c>
      <c r="S98">
        <v>11.25</v>
      </c>
      <c r="T98">
        <v>0</v>
      </c>
      <c r="U98">
        <v>0</v>
      </c>
      <c r="V98">
        <v>11.25</v>
      </c>
      <c r="W98">
        <v>112.5</v>
      </c>
      <c r="X98">
        <v>0</v>
      </c>
      <c r="Y98">
        <v>10</v>
      </c>
      <c r="Z98">
        <v>0</v>
      </c>
      <c r="AA98">
        <v>0</v>
      </c>
      <c r="AB98">
        <v>0</v>
      </c>
      <c r="AC98">
        <v>0</v>
      </c>
      <c r="AD98">
        <v>0</v>
      </c>
      <c r="AE98">
        <v>0</v>
      </c>
      <c r="AF98">
        <v>0.3</v>
      </c>
      <c r="AG98">
        <v>112.5</v>
      </c>
      <c r="AH98">
        <v>112.5</v>
      </c>
      <c r="AI98">
        <v>0</v>
      </c>
      <c r="AJ98">
        <v>0</v>
      </c>
      <c r="AK98">
        <v>0</v>
      </c>
      <c r="AL98">
        <v>0</v>
      </c>
      <c r="AM98">
        <v>0</v>
      </c>
      <c r="AN98">
        <v>0</v>
      </c>
      <c r="AO98">
        <v>0</v>
      </c>
      <c r="AP98">
        <v>0</v>
      </c>
      <c r="AQ98">
        <v>0</v>
      </c>
      <c r="AR98">
        <v>0</v>
      </c>
      <c r="AS98">
        <v>0</v>
      </c>
      <c r="AT98">
        <v>16</v>
      </c>
      <c r="AU98">
        <v>0</v>
      </c>
      <c r="AV98">
        <v>16</v>
      </c>
      <c r="AW98">
        <v>0</v>
      </c>
      <c r="AX98">
        <v>11.25</v>
      </c>
      <c r="AY98">
        <v>0</v>
      </c>
      <c r="AZ98">
        <v>11.25</v>
      </c>
      <c r="BA98">
        <v>0</v>
      </c>
      <c r="BB98">
        <v>0</v>
      </c>
      <c r="BC98">
        <v>0</v>
      </c>
      <c r="BD98">
        <v>0</v>
      </c>
      <c r="BE98">
        <v>0</v>
      </c>
    </row>
    <row r="99" spans="1:57">
      <c r="A99" t="s">
        <v>16995</v>
      </c>
      <c r="B99" t="s">
        <v>16996</v>
      </c>
      <c r="C99">
        <v>0</v>
      </c>
      <c r="D99">
        <v>25</v>
      </c>
      <c r="E99">
        <v>25</v>
      </c>
      <c r="F99">
        <v>0</v>
      </c>
      <c r="G99">
        <v>0</v>
      </c>
      <c r="H99">
        <v>0</v>
      </c>
      <c r="I99">
        <v>0</v>
      </c>
      <c r="J99">
        <v>25</v>
      </c>
      <c r="K99">
        <v>451</v>
      </c>
      <c r="L99">
        <v>10</v>
      </c>
      <c r="M99">
        <v>1</v>
      </c>
      <c r="N99">
        <v>0</v>
      </c>
      <c r="O99">
        <v>12</v>
      </c>
      <c r="P99">
        <v>0</v>
      </c>
      <c r="Q99">
        <v>2</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451</v>
      </c>
      <c r="AU99">
        <v>0</v>
      </c>
      <c r="AV99">
        <v>451</v>
      </c>
      <c r="AW99">
        <v>0</v>
      </c>
      <c r="AX99">
        <v>0</v>
      </c>
      <c r="AY99">
        <v>0</v>
      </c>
      <c r="AZ99">
        <v>0</v>
      </c>
      <c r="BA99">
        <v>0</v>
      </c>
      <c r="BB99">
        <v>0</v>
      </c>
      <c r="BC99">
        <v>0</v>
      </c>
      <c r="BD99">
        <v>0</v>
      </c>
      <c r="BE99">
        <v>0</v>
      </c>
    </row>
    <row r="100" spans="1:57">
      <c r="A100" t="s">
        <v>16995</v>
      </c>
      <c r="B100" t="s">
        <v>16996</v>
      </c>
      <c r="C100">
        <v>0</v>
      </c>
      <c r="D100">
        <v>28</v>
      </c>
      <c r="E100">
        <v>28</v>
      </c>
      <c r="F100">
        <v>24</v>
      </c>
      <c r="G100">
        <v>3</v>
      </c>
      <c r="H100">
        <v>3</v>
      </c>
      <c r="I100">
        <v>0</v>
      </c>
      <c r="J100">
        <v>27</v>
      </c>
      <c r="K100">
        <v>186</v>
      </c>
      <c r="L100">
        <v>22</v>
      </c>
      <c r="M100">
        <v>0</v>
      </c>
      <c r="N100">
        <v>2</v>
      </c>
      <c r="O100">
        <v>3</v>
      </c>
      <c r="P100">
        <v>0</v>
      </c>
      <c r="Q100">
        <v>1</v>
      </c>
      <c r="R100">
        <v>0</v>
      </c>
      <c r="S100">
        <v>20</v>
      </c>
      <c r="T100">
        <v>51.75</v>
      </c>
      <c r="U100">
        <v>0</v>
      </c>
      <c r="V100">
        <v>71.75</v>
      </c>
      <c r="W100">
        <v>1235</v>
      </c>
      <c r="X100">
        <v>0</v>
      </c>
      <c r="Y100">
        <v>26</v>
      </c>
      <c r="Z100">
        <v>0</v>
      </c>
      <c r="AA100">
        <v>0</v>
      </c>
      <c r="AB100">
        <v>850</v>
      </c>
      <c r="AC100">
        <v>388.6</v>
      </c>
      <c r="AD100">
        <v>385.85</v>
      </c>
      <c r="AE100">
        <v>1103.3499999999999</v>
      </c>
      <c r="AF100">
        <v>1235.8499999999999</v>
      </c>
      <c r="AG100">
        <v>1623.6</v>
      </c>
      <c r="AH100">
        <v>520.25</v>
      </c>
      <c r="AI100">
        <v>1103.3499999999999</v>
      </c>
      <c r="AJ100">
        <v>1235.8499999999999</v>
      </c>
      <c r="AK100">
        <v>1325.85</v>
      </c>
      <c r="AL100">
        <v>222.5</v>
      </c>
      <c r="AM100">
        <v>0</v>
      </c>
      <c r="AN100">
        <v>0</v>
      </c>
      <c r="AO100">
        <v>0</v>
      </c>
      <c r="AP100">
        <v>2</v>
      </c>
      <c r="AQ100">
        <v>1</v>
      </c>
      <c r="AR100">
        <v>0</v>
      </c>
      <c r="AS100">
        <v>0</v>
      </c>
      <c r="AT100">
        <v>186</v>
      </c>
      <c r="AU100">
        <v>39</v>
      </c>
      <c r="AV100">
        <v>147</v>
      </c>
      <c r="AW100">
        <v>0</v>
      </c>
      <c r="AX100">
        <v>20</v>
      </c>
      <c r="AY100">
        <v>5.5</v>
      </c>
      <c r="AZ100">
        <v>14.5</v>
      </c>
      <c r="BA100">
        <v>0</v>
      </c>
      <c r="BB100">
        <v>51.75</v>
      </c>
      <c r="BC100">
        <v>44.25</v>
      </c>
      <c r="BD100">
        <v>7.5</v>
      </c>
      <c r="BE100">
        <v>0</v>
      </c>
    </row>
    <row r="101" spans="1:57">
      <c r="A101" t="s">
        <v>16999</v>
      </c>
      <c r="B101" t="s">
        <v>17000</v>
      </c>
      <c r="C101">
        <v>0</v>
      </c>
      <c r="D101">
        <v>7</v>
      </c>
      <c r="E101">
        <v>7</v>
      </c>
      <c r="F101">
        <v>6</v>
      </c>
      <c r="G101">
        <v>2</v>
      </c>
      <c r="H101">
        <v>0</v>
      </c>
      <c r="I101">
        <v>0</v>
      </c>
      <c r="J101">
        <v>6</v>
      </c>
      <c r="K101">
        <v>79</v>
      </c>
      <c r="L101">
        <v>6</v>
      </c>
      <c r="M101">
        <v>0</v>
      </c>
      <c r="N101">
        <v>0</v>
      </c>
      <c r="O101">
        <v>0</v>
      </c>
      <c r="P101">
        <v>0</v>
      </c>
      <c r="Q101">
        <v>0</v>
      </c>
      <c r="R101">
        <v>0</v>
      </c>
      <c r="S101">
        <v>6.5</v>
      </c>
      <c r="T101">
        <v>1</v>
      </c>
      <c r="U101">
        <v>0</v>
      </c>
      <c r="V101">
        <v>7.5</v>
      </c>
      <c r="W101">
        <v>85</v>
      </c>
      <c r="X101">
        <v>0</v>
      </c>
      <c r="Y101">
        <v>6</v>
      </c>
      <c r="Z101">
        <v>0</v>
      </c>
      <c r="AA101">
        <v>0</v>
      </c>
      <c r="AB101">
        <v>15</v>
      </c>
      <c r="AC101">
        <v>0</v>
      </c>
      <c r="AD101">
        <v>0</v>
      </c>
      <c r="AE101">
        <v>0</v>
      </c>
      <c r="AF101">
        <v>15</v>
      </c>
      <c r="AG101">
        <v>85</v>
      </c>
      <c r="AH101">
        <v>85</v>
      </c>
      <c r="AI101">
        <v>0</v>
      </c>
      <c r="AJ101">
        <v>0</v>
      </c>
      <c r="AK101">
        <v>0</v>
      </c>
      <c r="AL101">
        <v>0</v>
      </c>
      <c r="AM101">
        <v>0</v>
      </c>
      <c r="AN101">
        <v>0</v>
      </c>
      <c r="AO101">
        <v>0</v>
      </c>
      <c r="AP101">
        <v>0</v>
      </c>
      <c r="AQ101">
        <v>0</v>
      </c>
      <c r="AR101">
        <v>0</v>
      </c>
      <c r="AS101">
        <v>0</v>
      </c>
      <c r="AT101">
        <v>79</v>
      </c>
      <c r="AU101">
        <v>0</v>
      </c>
      <c r="AV101">
        <v>79</v>
      </c>
      <c r="AW101">
        <v>0</v>
      </c>
      <c r="AX101">
        <v>6.5</v>
      </c>
      <c r="AY101">
        <v>0</v>
      </c>
      <c r="AZ101">
        <v>6.5</v>
      </c>
      <c r="BA101">
        <v>0</v>
      </c>
      <c r="BB101">
        <v>1</v>
      </c>
      <c r="BC101">
        <v>0</v>
      </c>
      <c r="BD101">
        <v>1</v>
      </c>
      <c r="BE101">
        <v>0</v>
      </c>
    </row>
    <row r="102" spans="1:57">
      <c r="A102" t="s">
        <v>16969</v>
      </c>
      <c r="B102" t="s">
        <v>21067</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row>
    <row r="103" spans="1:57">
      <c r="A103" t="s">
        <v>16969</v>
      </c>
      <c r="B103" t="s">
        <v>21066</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row>
    <row r="104" spans="1:57">
      <c r="A104" t="s">
        <v>16969</v>
      </c>
      <c r="B104" t="s">
        <v>21065</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row>
    <row r="105" spans="1:57">
      <c r="A105" t="s">
        <v>16969</v>
      </c>
      <c r="B105" t="s">
        <v>17006</v>
      </c>
      <c r="C105">
        <v>0</v>
      </c>
      <c r="D105">
        <v>3</v>
      </c>
      <c r="E105">
        <v>3</v>
      </c>
      <c r="F105">
        <v>3</v>
      </c>
      <c r="G105">
        <v>0</v>
      </c>
      <c r="H105">
        <v>0</v>
      </c>
      <c r="I105">
        <v>0</v>
      </c>
      <c r="J105">
        <v>3</v>
      </c>
      <c r="K105">
        <v>17</v>
      </c>
      <c r="L105">
        <v>0</v>
      </c>
      <c r="M105">
        <v>0</v>
      </c>
      <c r="N105">
        <v>1</v>
      </c>
      <c r="O105">
        <v>2</v>
      </c>
      <c r="P105">
        <v>0</v>
      </c>
      <c r="Q105">
        <v>0</v>
      </c>
      <c r="R105">
        <v>0</v>
      </c>
      <c r="S105">
        <v>1</v>
      </c>
      <c r="T105">
        <v>0</v>
      </c>
      <c r="U105">
        <v>0.75</v>
      </c>
      <c r="V105">
        <v>1.75</v>
      </c>
      <c r="W105">
        <v>10</v>
      </c>
      <c r="X105">
        <v>0</v>
      </c>
      <c r="Y105">
        <v>3</v>
      </c>
      <c r="Z105">
        <v>0</v>
      </c>
      <c r="AA105">
        <v>0</v>
      </c>
      <c r="AB105">
        <v>0</v>
      </c>
      <c r="AC105">
        <v>0</v>
      </c>
      <c r="AD105">
        <v>0</v>
      </c>
      <c r="AE105">
        <v>0</v>
      </c>
      <c r="AF105">
        <v>0</v>
      </c>
      <c r="AG105">
        <v>25</v>
      </c>
      <c r="AH105">
        <v>25</v>
      </c>
      <c r="AI105">
        <v>0</v>
      </c>
      <c r="AJ105">
        <v>0</v>
      </c>
      <c r="AK105">
        <v>0</v>
      </c>
      <c r="AL105">
        <v>0</v>
      </c>
      <c r="AM105">
        <v>0</v>
      </c>
      <c r="AN105">
        <v>0</v>
      </c>
      <c r="AO105">
        <v>0</v>
      </c>
      <c r="AP105">
        <v>0</v>
      </c>
      <c r="AQ105">
        <v>0</v>
      </c>
      <c r="AR105">
        <v>0</v>
      </c>
      <c r="AS105">
        <v>0</v>
      </c>
      <c r="AT105">
        <v>17</v>
      </c>
      <c r="AU105">
        <v>0</v>
      </c>
      <c r="AV105">
        <v>17</v>
      </c>
      <c r="AW105">
        <v>0</v>
      </c>
      <c r="AX105">
        <v>1</v>
      </c>
      <c r="AY105">
        <v>0</v>
      </c>
      <c r="AZ105">
        <v>1</v>
      </c>
      <c r="BA105">
        <v>0</v>
      </c>
      <c r="BB105">
        <v>0</v>
      </c>
      <c r="BC105">
        <v>0</v>
      </c>
      <c r="BD105">
        <v>0</v>
      </c>
      <c r="BE105">
        <v>0</v>
      </c>
    </row>
    <row r="106" spans="1:57">
      <c r="A106" t="s">
        <v>16969</v>
      </c>
      <c r="B106" t="s">
        <v>20666</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row>
    <row r="107" spans="1:57">
      <c r="A107" t="s">
        <v>16969</v>
      </c>
      <c r="B107" t="s">
        <v>19338</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row>
    <row r="108" spans="1:57">
      <c r="A108" t="s">
        <v>16969</v>
      </c>
      <c r="B108" t="s">
        <v>19339</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row>
    <row r="109" spans="1:57">
      <c r="A109" t="s">
        <v>16969</v>
      </c>
      <c r="B109" t="s">
        <v>19974</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row>
    <row r="110" spans="1:57">
      <c r="A110" t="s">
        <v>16969</v>
      </c>
      <c r="B110" t="s">
        <v>21068</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row>
    <row r="111" spans="1:57">
      <c r="A111" t="s">
        <v>16969</v>
      </c>
      <c r="B111" t="s">
        <v>21069</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row>
    <row r="112" spans="1:57">
      <c r="A112" t="s">
        <v>16969</v>
      </c>
      <c r="B112" t="s">
        <v>18807</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row>
    <row r="113" spans="1:58">
      <c r="A113" t="s">
        <v>16969</v>
      </c>
      <c r="B113" t="s">
        <v>20667</v>
      </c>
      <c r="C113">
        <v>0</v>
      </c>
      <c r="D113">
        <v>3</v>
      </c>
      <c r="E113">
        <v>0</v>
      </c>
      <c r="F113">
        <v>3</v>
      </c>
      <c r="G113">
        <v>0</v>
      </c>
      <c r="H113">
        <v>0</v>
      </c>
      <c r="I113">
        <v>0</v>
      </c>
      <c r="J113">
        <v>3</v>
      </c>
      <c r="K113">
        <v>22</v>
      </c>
      <c r="L113">
        <v>0</v>
      </c>
      <c r="M113">
        <v>0</v>
      </c>
      <c r="N113">
        <v>0</v>
      </c>
      <c r="O113">
        <v>0</v>
      </c>
      <c r="P113">
        <v>0</v>
      </c>
      <c r="Q113">
        <v>0</v>
      </c>
      <c r="R113">
        <v>0</v>
      </c>
      <c r="S113">
        <v>2</v>
      </c>
      <c r="T113">
        <v>0.75</v>
      </c>
      <c r="U113">
        <v>0</v>
      </c>
      <c r="V113">
        <v>2.75</v>
      </c>
      <c r="W113">
        <v>35</v>
      </c>
      <c r="X113">
        <v>0</v>
      </c>
      <c r="Y113">
        <v>3</v>
      </c>
      <c r="Z113">
        <v>0</v>
      </c>
      <c r="AA113">
        <v>0</v>
      </c>
      <c r="AB113">
        <v>0</v>
      </c>
      <c r="AC113">
        <v>0</v>
      </c>
      <c r="AD113">
        <v>0</v>
      </c>
      <c r="AE113">
        <v>0</v>
      </c>
      <c r="AF113">
        <v>0</v>
      </c>
      <c r="AG113">
        <v>35</v>
      </c>
      <c r="AH113">
        <v>35</v>
      </c>
      <c r="AI113">
        <v>0</v>
      </c>
      <c r="AJ113">
        <v>0</v>
      </c>
      <c r="AK113">
        <v>0</v>
      </c>
      <c r="AL113">
        <v>0</v>
      </c>
      <c r="AM113">
        <v>0</v>
      </c>
      <c r="AN113">
        <v>0</v>
      </c>
      <c r="AO113">
        <v>0</v>
      </c>
      <c r="AP113">
        <v>0</v>
      </c>
      <c r="AQ113">
        <v>0</v>
      </c>
      <c r="AR113">
        <v>0</v>
      </c>
      <c r="AS113">
        <v>0</v>
      </c>
      <c r="AT113">
        <v>22</v>
      </c>
      <c r="AU113">
        <v>0</v>
      </c>
      <c r="AV113">
        <v>22</v>
      </c>
      <c r="AW113">
        <v>0</v>
      </c>
      <c r="AX113">
        <v>2</v>
      </c>
      <c r="AY113">
        <v>0</v>
      </c>
      <c r="AZ113">
        <v>2</v>
      </c>
      <c r="BA113">
        <v>0</v>
      </c>
      <c r="BB113">
        <v>0.75</v>
      </c>
      <c r="BC113">
        <v>0</v>
      </c>
      <c r="BD113">
        <v>0.75</v>
      </c>
      <c r="BE113">
        <v>0</v>
      </c>
    </row>
    <row r="114" spans="1:58">
      <c r="A114" t="s">
        <v>16969</v>
      </c>
      <c r="B114" t="s">
        <v>17021</v>
      </c>
      <c r="C114">
        <v>0</v>
      </c>
      <c r="D114">
        <v>2</v>
      </c>
      <c r="E114">
        <v>2</v>
      </c>
      <c r="F114">
        <v>2</v>
      </c>
      <c r="G114">
        <v>0</v>
      </c>
      <c r="H114">
        <v>0</v>
      </c>
      <c r="I114">
        <v>0</v>
      </c>
      <c r="J114">
        <v>2</v>
      </c>
      <c r="K114">
        <v>16</v>
      </c>
      <c r="L114">
        <v>1</v>
      </c>
      <c r="M114">
        <v>0</v>
      </c>
      <c r="N114">
        <v>0</v>
      </c>
      <c r="O114">
        <v>1</v>
      </c>
      <c r="P114">
        <v>0</v>
      </c>
      <c r="Q114">
        <v>0</v>
      </c>
      <c r="R114">
        <v>0</v>
      </c>
      <c r="S114">
        <v>0.5</v>
      </c>
      <c r="T114">
        <v>0</v>
      </c>
      <c r="U114">
        <v>0</v>
      </c>
      <c r="V114">
        <v>0.5</v>
      </c>
      <c r="W114">
        <v>5</v>
      </c>
      <c r="X114">
        <v>0</v>
      </c>
      <c r="Y114">
        <v>2</v>
      </c>
      <c r="Z114">
        <v>0</v>
      </c>
      <c r="AA114">
        <v>0</v>
      </c>
      <c r="AB114">
        <v>0</v>
      </c>
      <c r="AC114">
        <v>0</v>
      </c>
      <c r="AD114">
        <v>0</v>
      </c>
      <c r="AE114">
        <v>0</v>
      </c>
      <c r="AF114">
        <v>0</v>
      </c>
      <c r="AG114">
        <v>5</v>
      </c>
      <c r="AH114">
        <v>5</v>
      </c>
      <c r="AI114">
        <v>0</v>
      </c>
      <c r="AJ114">
        <v>0</v>
      </c>
      <c r="AK114">
        <v>0</v>
      </c>
      <c r="AL114">
        <v>0</v>
      </c>
      <c r="AM114">
        <v>0</v>
      </c>
      <c r="AN114">
        <v>0</v>
      </c>
      <c r="AO114">
        <v>0</v>
      </c>
      <c r="AP114">
        <v>0</v>
      </c>
      <c r="AQ114">
        <v>0</v>
      </c>
      <c r="AR114">
        <v>0</v>
      </c>
      <c r="AS114">
        <v>0</v>
      </c>
      <c r="AT114">
        <v>16</v>
      </c>
      <c r="AU114">
        <v>0</v>
      </c>
      <c r="AV114">
        <v>16</v>
      </c>
      <c r="AW114">
        <v>0</v>
      </c>
      <c r="AX114">
        <v>0.5</v>
      </c>
      <c r="AY114">
        <v>0</v>
      </c>
      <c r="AZ114">
        <v>0.5</v>
      </c>
      <c r="BA114">
        <v>0</v>
      </c>
      <c r="BB114">
        <v>0</v>
      </c>
      <c r="BC114">
        <v>0</v>
      </c>
      <c r="BD114">
        <v>0</v>
      </c>
      <c r="BE114">
        <v>0</v>
      </c>
    </row>
    <row r="115" spans="1:58">
      <c r="A115" t="s">
        <v>16969</v>
      </c>
      <c r="B115" t="s">
        <v>18809</v>
      </c>
      <c r="C115">
        <v>2</v>
      </c>
      <c r="D115">
        <v>13</v>
      </c>
      <c r="E115">
        <v>13</v>
      </c>
      <c r="F115">
        <v>10</v>
      </c>
      <c r="G115">
        <v>0</v>
      </c>
      <c r="H115">
        <v>2</v>
      </c>
      <c r="I115">
        <v>0</v>
      </c>
      <c r="J115">
        <v>13</v>
      </c>
      <c r="K115">
        <v>124</v>
      </c>
      <c r="L115">
        <v>7</v>
      </c>
      <c r="M115">
        <v>0</v>
      </c>
      <c r="N115">
        <v>4</v>
      </c>
      <c r="O115">
        <v>2</v>
      </c>
      <c r="P115">
        <v>0</v>
      </c>
      <c r="Q115">
        <v>0</v>
      </c>
      <c r="R115">
        <v>0</v>
      </c>
      <c r="S115">
        <v>2.75</v>
      </c>
      <c r="T115">
        <v>6.25</v>
      </c>
      <c r="U115">
        <v>0</v>
      </c>
      <c r="V115">
        <v>9</v>
      </c>
      <c r="W115">
        <v>147.5</v>
      </c>
      <c r="X115">
        <v>0</v>
      </c>
      <c r="Y115">
        <v>5</v>
      </c>
      <c r="Z115">
        <v>1</v>
      </c>
      <c r="AA115">
        <v>-5</v>
      </c>
      <c r="AB115">
        <v>52.5</v>
      </c>
      <c r="AC115">
        <v>0</v>
      </c>
      <c r="AD115">
        <v>0</v>
      </c>
      <c r="AE115">
        <v>52.5</v>
      </c>
      <c r="AF115">
        <v>52.5</v>
      </c>
      <c r="AG115">
        <v>147.5</v>
      </c>
      <c r="AH115">
        <v>95</v>
      </c>
      <c r="AI115">
        <v>15</v>
      </c>
      <c r="AJ115">
        <v>15</v>
      </c>
      <c r="AK115">
        <v>60</v>
      </c>
      <c r="AL115">
        <v>45</v>
      </c>
      <c r="AM115">
        <v>0</v>
      </c>
      <c r="AN115">
        <v>2</v>
      </c>
      <c r="AO115">
        <v>0</v>
      </c>
      <c r="AP115">
        <v>0</v>
      </c>
      <c r="AQ115">
        <v>0</v>
      </c>
      <c r="AR115">
        <v>0</v>
      </c>
      <c r="AS115">
        <v>0</v>
      </c>
      <c r="AT115">
        <v>124</v>
      </c>
      <c r="AU115">
        <v>44</v>
      </c>
      <c r="AV115">
        <v>67</v>
      </c>
      <c r="AW115">
        <v>13</v>
      </c>
      <c r="AX115">
        <v>2.75</v>
      </c>
      <c r="AY115">
        <v>0.5</v>
      </c>
      <c r="AZ115">
        <v>1.75</v>
      </c>
      <c r="BA115">
        <v>0.5</v>
      </c>
      <c r="BB115">
        <v>6.25</v>
      </c>
      <c r="BC115">
        <v>2.75</v>
      </c>
      <c r="BD115">
        <v>3.5</v>
      </c>
      <c r="BE115">
        <v>0</v>
      </c>
    </row>
    <row r="116" spans="1:58">
      <c r="A116" t="s">
        <v>16969</v>
      </c>
      <c r="B116" t="s">
        <v>21070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row>
    <row r="117" spans="1:58">
      <c r="A117" t="s">
        <v>16969</v>
      </c>
      <c r="B117" t="s">
        <v>17024</v>
      </c>
      <c r="C117">
        <v>0</v>
      </c>
      <c r="D117">
        <v>4</v>
      </c>
      <c r="E117">
        <v>0</v>
      </c>
      <c r="F117">
        <v>4</v>
      </c>
      <c r="G117">
        <v>0</v>
      </c>
      <c r="H117">
        <v>0</v>
      </c>
      <c r="I117">
        <v>0</v>
      </c>
      <c r="J117">
        <v>4</v>
      </c>
      <c r="K117">
        <v>21</v>
      </c>
      <c r="L117">
        <v>1</v>
      </c>
      <c r="M117">
        <v>0</v>
      </c>
      <c r="N117">
        <v>0</v>
      </c>
      <c r="O117">
        <v>3</v>
      </c>
      <c r="P117">
        <v>0</v>
      </c>
      <c r="Q117">
        <v>0</v>
      </c>
      <c r="R117">
        <v>0</v>
      </c>
      <c r="S117">
        <v>3.5</v>
      </c>
      <c r="T117">
        <v>0</v>
      </c>
      <c r="U117">
        <v>0</v>
      </c>
      <c r="V117">
        <v>3.5</v>
      </c>
      <c r="W117">
        <v>35</v>
      </c>
      <c r="X117">
        <v>0</v>
      </c>
      <c r="Y117">
        <v>4</v>
      </c>
      <c r="Z117">
        <v>0</v>
      </c>
      <c r="AA117">
        <v>0</v>
      </c>
      <c r="AB117">
        <v>0</v>
      </c>
      <c r="AC117">
        <v>0</v>
      </c>
      <c r="AD117">
        <v>0</v>
      </c>
      <c r="AE117">
        <v>0</v>
      </c>
      <c r="AF117">
        <v>0</v>
      </c>
      <c r="AG117">
        <v>35</v>
      </c>
      <c r="AH117">
        <v>35</v>
      </c>
      <c r="AI117">
        <v>0</v>
      </c>
      <c r="AJ117">
        <v>0</v>
      </c>
      <c r="AK117">
        <v>0</v>
      </c>
      <c r="AL117">
        <v>0</v>
      </c>
      <c r="AM117">
        <v>0</v>
      </c>
      <c r="AN117">
        <v>0</v>
      </c>
      <c r="AO117">
        <v>0</v>
      </c>
      <c r="AP117">
        <v>0</v>
      </c>
      <c r="AQ117">
        <v>0</v>
      </c>
      <c r="AR117">
        <v>0</v>
      </c>
      <c r="AS117">
        <v>0</v>
      </c>
      <c r="AT117">
        <v>21</v>
      </c>
      <c r="AU117">
        <v>0</v>
      </c>
      <c r="AV117">
        <v>21</v>
      </c>
      <c r="AW117">
        <v>0</v>
      </c>
      <c r="AX117">
        <v>3.5</v>
      </c>
      <c r="AY117">
        <v>0</v>
      </c>
      <c r="AZ117">
        <v>3.5</v>
      </c>
      <c r="BA117">
        <v>0</v>
      </c>
      <c r="BB117">
        <v>0</v>
      </c>
      <c r="BC117">
        <v>0</v>
      </c>
      <c r="BD117">
        <v>0</v>
      </c>
      <c r="BE117">
        <v>0</v>
      </c>
    </row>
    <row r="118" spans="1:58">
      <c r="A118" t="s">
        <v>16969</v>
      </c>
      <c r="B118" t="s">
        <v>17328</v>
      </c>
      <c r="C118">
        <v>0</v>
      </c>
      <c r="D118">
        <v>5</v>
      </c>
      <c r="E118">
        <v>5</v>
      </c>
      <c r="F118">
        <v>5</v>
      </c>
      <c r="G118">
        <v>1</v>
      </c>
      <c r="H118">
        <v>0</v>
      </c>
      <c r="I118">
        <v>0</v>
      </c>
      <c r="J118">
        <v>5</v>
      </c>
      <c r="K118">
        <v>38</v>
      </c>
      <c r="L118">
        <v>5</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38</v>
      </c>
      <c r="AU118">
        <v>0</v>
      </c>
      <c r="AV118">
        <v>38</v>
      </c>
      <c r="AW118">
        <v>0</v>
      </c>
      <c r="AX118">
        <v>0</v>
      </c>
      <c r="AY118">
        <v>0</v>
      </c>
      <c r="AZ118">
        <v>0</v>
      </c>
      <c r="BA118">
        <v>0</v>
      </c>
      <c r="BB118">
        <v>0</v>
      </c>
      <c r="BC118">
        <v>0</v>
      </c>
      <c r="BD118">
        <v>0</v>
      </c>
      <c r="BE118">
        <v>0</v>
      </c>
    </row>
    <row r="119" spans="1:58">
      <c r="A119" t="s">
        <v>16969</v>
      </c>
      <c r="B119" t="s">
        <v>17327</v>
      </c>
      <c r="C119">
        <v>0</v>
      </c>
      <c r="D119">
        <v>1</v>
      </c>
      <c r="E119">
        <v>1</v>
      </c>
      <c r="F119">
        <v>1</v>
      </c>
      <c r="G119">
        <v>0</v>
      </c>
      <c r="H119">
        <v>0</v>
      </c>
      <c r="I119">
        <v>0</v>
      </c>
      <c r="J119">
        <v>1</v>
      </c>
      <c r="K119">
        <v>1</v>
      </c>
      <c r="L119">
        <v>0</v>
      </c>
      <c r="M119">
        <v>0</v>
      </c>
      <c r="N119">
        <v>1</v>
      </c>
      <c r="O119">
        <v>0</v>
      </c>
      <c r="P119">
        <v>0</v>
      </c>
      <c r="Q119">
        <v>0</v>
      </c>
      <c r="R119">
        <v>0</v>
      </c>
      <c r="S119">
        <v>0</v>
      </c>
      <c r="T119">
        <v>0.5</v>
      </c>
      <c r="U119">
        <v>0.25</v>
      </c>
      <c r="V119">
        <v>0.75</v>
      </c>
      <c r="W119">
        <v>10</v>
      </c>
      <c r="X119">
        <v>0</v>
      </c>
      <c r="Y119">
        <v>1</v>
      </c>
      <c r="Z119">
        <v>0</v>
      </c>
      <c r="AA119">
        <v>0</v>
      </c>
      <c r="AB119">
        <v>0</v>
      </c>
      <c r="AC119">
        <v>0</v>
      </c>
      <c r="AD119">
        <v>0</v>
      </c>
      <c r="AE119">
        <v>0</v>
      </c>
      <c r="AF119">
        <v>0</v>
      </c>
      <c r="AG119">
        <v>15</v>
      </c>
      <c r="AH119">
        <v>15</v>
      </c>
      <c r="AI119">
        <v>0</v>
      </c>
      <c r="AJ119">
        <v>0</v>
      </c>
      <c r="AK119">
        <v>0</v>
      </c>
      <c r="AL119">
        <v>0</v>
      </c>
      <c r="AM119">
        <v>0</v>
      </c>
      <c r="AN119">
        <v>0</v>
      </c>
      <c r="AO119">
        <v>0</v>
      </c>
      <c r="AP119">
        <v>0</v>
      </c>
      <c r="AQ119">
        <v>0</v>
      </c>
      <c r="AR119">
        <v>0</v>
      </c>
      <c r="AS119">
        <v>0</v>
      </c>
      <c r="AT119">
        <v>1</v>
      </c>
      <c r="AU119">
        <v>0</v>
      </c>
      <c r="AV119">
        <v>1</v>
      </c>
      <c r="AW119">
        <v>0</v>
      </c>
      <c r="AX119">
        <v>0</v>
      </c>
      <c r="AY119">
        <v>0</v>
      </c>
      <c r="AZ119">
        <v>0</v>
      </c>
      <c r="BA119">
        <v>0</v>
      </c>
      <c r="BB119">
        <v>0.5</v>
      </c>
      <c r="BC119">
        <v>0</v>
      </c>
      <c r="BD119">
        <v>0.5</v>
      </c>
      <c r="BE119">
        <v>0</v>
      </c>
    </row>
    <row r="120" spans="1:58">
      <c r="A120" t="s">
        <v>16969</v>
      </c>
      <c r="B120" t="s">
        <v>18811</v>
      </c>
      <c r="C120">
        <v>0</v>
      </c>
      <c r="D120">
        <v>4</v>
      </c>
      <c r="E120">
        <v>4</v>
      </c>
      <c r="F120">
        <v>4</v>
      </c>
      <c r="G120">
        <v>1</v>
      </c>
      <c r="H120">
        <v>0</v>
      </c>
      <c r="I120">
        <v>0</v>
      </c>
      <c r="J120">
        <v>4</v>
      </c>
      <c r="K120">
        <v>30</v>
      </c>
      <c r="L120">
        <v>4</v>
      </c>
      <c r="M120">
        <v>0</v>
      </c>
      <c r="N120">
        <v>0</v>
      </c>
      <c r="O120">
        <v>0</v>
      </c>
      <c r="P120">
        <v>0</v>
      </c>
      <c r="Q120">
        <v>0</v>
      </c>
      <c r="R120">
        <v>0</v>
      </c>
      <c r="S120">
        <v>2.75</v>
      </c>
      <c r="T120">
        <v>2</v>
      </c>
      <c r="U120">
        <v>0</v>
      </c>
      <c r="V120">
        <v>4.75</v>
      </c>
      <c r="W120">
        <v>67.5</v>
      </c>
      <c r="X120">
        <v>0</v>
      </c>
      <c r="Y120">
        <v>4</v>
      </c>
      <c r="Z120">
        <v>0</v>
      </c>
      <c r="AA120">
        <v>0</v>
      </c>
      <c r="AB120">
        <v>0</v>
      </c>
      <c r="AC120">
        <v>0</v>
      </c>
      <c r="AD120">
        <v>0</v>
      </c>
      <c r="AE120">
        <v>0</v>
      </c>
      <c r="AF120">
        <v>0</v>
      </c>
      <c r="AG120">
        <v>67.5</v>
      </c>
      <c r="AH120">
        <v>67.5</v>
      </c>
      <c r="AI120">
        <v>0</v>
      </c>
      <c r="AJ120">
        <v>0</v>
      </c>
      <c r="AK120">
        <v>0</v>
      </c>
      <c r="AL120">
        <v>0</v>
      </c>
      <c r="AM120">
        <v>0</v>
      </c>
      <c r="AN120">
        <v>0</v>
      </c>
      <c r="AO120">
        <v>0</v>
      </c>
      <c r="AP120">
        <v>0</v>
      </c>
      <c r="AQ120">
        <v>0</v>
      </c>
      <c r="AR120">
        <v>0</v>
      </c>
      <c r="AS120">
        <v>0</v>
      </c>
      <c r="AT120">
        <v>30</v>
      </c>
      <c r="AU120">
        <v>0</v>
      </c>
      <c r="AV120">
        <v>30</v>
      </c>
      <c r="AW120">
        <v>0</v>
      </c>
      <c r="AX120">
        <v>2.75</v>
      </c>
      <c r="AY120">
        <v>0</v>
      </c>
      <c r="AZ120">
        <v>2.75</v>
      </c>
      <c r="BA120">
        <v>0</v>
      </c>
      <c r="BB120">
        <v>2</v>
      </c>
      <c r="BC120">
        <v>0</v>
      </c>
      <c r="BD120">
        <v>2</v>
      </c>
      <c r="BE120">
        <v>0</v>
      </c>
    </row>
    <row r="121" spans="1:58">
      <c r="A121" t="s">
        <v>16969</v>
      </c>
      <c r="B121" t="s">
        <v>17030</v>
      </c>
      <c r="C121">
        <v>1</v>
      </c>
      <c r="D121">
        <v>7</v>
      </c>
      <c r="E121">
        <v>7</v>
      </c>
      <c r="F121">
        <v>6</v>
      </c>
      <c r="G121">
        <v>0</v>
      </c>
      <c r="H121">
        <v>0</v>
      </c>
      <c r="I121">
        <v>0</v>
      </c>
      <c r="J121">
        <v>7</v>
      </c>
      <c r="K121">
        <v>85</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85</v>
      </c>
      <c r="AU121">
        <v>0</v>
      </c>
      <c r="AV121">
        <v>79</v>
      </c>
      <c r="AW121">
        <v>6</v>
      </c>
      <c r="AX121">
        <v>0</v>
      </c>
      <c r="AY121">
        <v>0</v>
      </c>
      <c r="AZ121">
        <v>0</v>
      </c>
      <c r="BA121">
        <v>0</v>
      </c>
      <c r="BB121">
        <v>0</v>
      </c>
      <c r="BC121">
        <v>0</v>
      </c>
      <c r="BD121">
        <v>0</v>
      </c>
      <c r="BE121">
        <v>0</v>
      </c>
    </row>
    <row r="122" spans="1:58">
      <c r="A122" t="s">
        <v>16969</v>
      </c>
      <c r="B122" t="s">
        <v>21071</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row>
    <row r="123" spans="1:58">
      <c r="A123" t="s">
        <v>16969</v>
      </c>
      <c r="B123" t="s">
        <v>19340</v>
      </c>
      <c r="C123">
        <v>0</v>
      </c>
      <c r="D123">
        <v>41</v>
      </c>
      <c r="E123">
        <v>41</v>
      </c>
      <c r="F123">
        <v>41</v>
      </c>
      <c r="G123">
        <v>0</v>
      </c>
      <c r="H123">
        <v>0</v>
      </c>
      <c r="I123">
        <v>0</v>
      </c>
      <c r="J123">
        <v>41</v>
      </c>
      <c r="K123">
        <v>189</v>
      </c>
      <c r="L123">
        <v>41</v>
      </c>
      <c r="M123">
        <v>0</v>
      </c>
      <c r="N123">
        <v>0</v>
      </c>
      <c r="O123">
        <v>0</v>
      </c>
      <c r="P123">
        <v>0</v>
      </c>
      <c r="Q123">
        <v>0</v>
      </c>
      <c r="R123">
        <v>0</v>
      </c>
      <c r="S123">
        <v>20.5</v>
      </c>
      <c r="T123">
        <v>10.25</v>
      </c>
      <c r="U123">
        <v>0</v>
      </c>
      <c r="V123">
        <v>30.75</v>
      </c>
      <c r="W123">
        <v>410</v>
      </c>
      <c r="X123">
        <v>0</v>
      </c>
      <c r="Y123">
        <v>41</v>
      </c>
      <c r="Z123">
        <v>0</v>
      </c>
      <c r="AA123">
        <v>0</v>
      </c>
      <c r="AB123">
        <v>0</v>
      </c>
      <c r="AC123">
        <v>0</v>
      </c>
      <c r="AD123">
        <v>0</v>
      </c>
      <c r="AE123">
        <v>0</v>
      </c>
      <c r="AF123">
        <v>0</v>
      </c>
      <c r="AG123">
        <v>410</v>
      </c>
      <c r="AH123">
        <v>410</v>
      </c>
      <c r="AI123">
        <v>0</v>
      </c>
      <c r="AJ123">
        <v>0</v>
      </c>
      <c r="AK123">
        <v>0</v>
      </c>
      <c r="AL123">
        <v>0</v>
      </c>
      <c r="AM123">
        <v>0</v>
      </c>
      <c r="AN123">
        <v>0</v>
      </c>
      <c r="AO123">
        <v>0</v>
      </c>
      <c r="AP123">
        <v>0</v>
      </c>
      <c r="AQ123">
        <v>0</v>
      </c>
      <c r="AR123">
        <v>0</v>
      </c>
      <c r="AS123">
        <v>0</v>
      </c>
      <c r="AT123">
        <v>189</v>
      </c>
      <c r="AU123">
        <v>0</v>
      </c>
      <c r="AV123">
        <v>189</v>
      </c>
      <c r="AW123">
        <v>0</v>
      </c>
      <c r="AX123">
        <v>20.5</v>
      </c>
      <c r="AY123">
        <v>0</v>
      </c>
      <c r="AZ123">
        <v>20.5</v>
      </c>
      <c r="BA123">
        <v>0</v>
      </c>
      <c r="BB123">
        <v>10.25</v>
      </c>
      <c r="BC123">
        <v>0</v>
      </c>
      <c r="BD123">
        <v>10.25</v>
      </c>
      <c r="BE123">
        <v>0</v>
      </c>
    </row>
    <row r="124" spans="1:58">
      <c r="A124" t="s">
        <v>16898</v>
      </c>
      <c r="B124" t="s">
        <v>16934</v>
      </c>
      <c r="C124">
        <v>0</v>
      </c>
      <c r="D124">
        <v>2</v>
      </c>
      <c r="E124">
        <v>2</v>
      </c>
      <c r="F124">
        <v>2</v>
      </c>
      <c r="G124">
        <v>0</v>
      </c>
      <c r="H124">
        <v>0</v>
      </c>
      <c r="I124">
        <v>0</v>
      </c>
      <c r="J124">
        <v>2</v>
      </c>
      <c r="K124">
        <v>10</v>
      </c>
      <c r="L124">
        <v>2</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10</v>
      </c>
      <c r="AU124">
        <v>0</v>
      </c>
      <c r="AV124">
        <v>10</v>
      </c>
      <c r="AW124">
        <v>0</v>
      </c>
      <c r="AX124">
        <v>0</v>
      </c>
      <c r="AY124">
        <v>0</v>
      </c>
      <c r="AZ124">
        <v>0</v>
      </c>
      <c r="BA124">
        <v>0</v>
      </c>
      <c r="BB124">
        <v>0</v>
      </c>
      <c r="BC124">
        <v>0</v>
      </c>
      <c r="BD124">
        <v>0</v>
      </c>
      <c r="BE124">
        <v>0</v>
      </c>
      <c r="BF124" s="21"/>
    </row>
    <row r="125" spans="1:58">
      <c r="A125" t="s">
        <v>16898</v>
      </c>
      <c r="B125" t="s">
        <v>16899</v>
      </c>
      <c r="C125">
        <v>0</v>
      </c>
      <c r="D125">
        <v>6</v>
      </c>
      <c r="E125">
        <v>6</v>
      </c>
      <c r="F125">
        <v>4</v>
      </c>
      <c r="G125">
        <v>0</v>
      </c>
      <c r="H125">
        <v>0</v>
      </c>
      <c r="I125">
        <v>0</v>
      </c>
      <c r="J125">
        <v>6</v>
      </c>
      <c r="K125">
        <v>123</v>
      </c>
      <c r="L125">
        <v>5</v>
      </c>
      <c r="M125">
        <v>0</v>
      </c>
      <c r="N125">
        <v>1</v>
      </c>
      <c r="O125">
        <v>0</v>
      </c>
      <c r="P125">
        <v>0</v>
      </c>
      <c r="Q125">
        <v>0</v>
      </c>
      <c r="R125">
        <v>0</v>
      </c>
      <c r="S125">
        <v>0.75</v>
      </c>
      <c r="T125">
        <v>38.25</v>
      </c>
      <c r="U125">
        <v>0</v>
      </c>
      <c r="V125">
        <v>39</v>
      </c>
      <c r="W125">
        <v>772.5</v>
      </c>
      <c r="X125">
        <v>0</v>
      </c>
      <c r="Y125">
        <v>5</v>
      </c>
      <c r="Z125">
        <v>0</v>
      </c>
      <c r="AA125">
        <v>0</v>
      </c>
      <c r="AB125">
        <v>650</v>
      </c>
      <c r="AC125">
        <v>692.5</v>
      </c>
      <c r="AD125">
        <v>692.5</v>
      </c>
      <c r="AE125">
        <v>0</v>
      </c>
      <c r="AF125">
        <v>1342.5</v>
      </c>
      <c r="AG125">
        <v>1465</v>
      </c>
      <c r="AH125">
        <v>1465</v>
      </c>
      <c r="AI125">
        <v>0</v>
      </c>
      <c r="AJ125">
        <v>0</v>
      </c>
      <c r="AK125">
        <v>0</v>
      </c>
      <c r="AL125">
        <v>0</v>
      </c>
      <c r="AM125">
        <v>0</v>
      </c>
      <c r="AN125">
        <v>0</v>
      </c>
      <c r="AO125">
        <v>0</v>
      </c>
      <c r="AP125">
        <v>0</v>
      </c>
      <c r="AQ125">
        <v>0</v>
      </c>
      <c r="AR125">
        <v>0</v>
      </c>
      <c r="AS125">
        <v>0</v>
      </c>
      <c r="AT125">
        <v>123</v>
      </c>
      <c r="AU125">
        <v>0</v>
      </c>
      <c r="AV125">
        <v>123</v>
      </c>
      <c r="AW125">
        <v>0</v>
      </c>
      <c r="AX125">
        <v>0.75</v>
      </c>
      <c r="AY125">
        <v>0</v>
      </c>
      <c r="AZ125">
        <v>0.75</v>
      </c>
      <c r="BA125">
        <v>0</v>
      </c>
      <c r="BB125">
        <v>38.25</v>
      </c>
      <c r="BC125">
        <v>0</v>
      </c>
      <c r="BD125">
        <v>38.25</v>
      </c>
      <c r="BE125">
        <v>0</v>
      </c>
    </row>
    <row r="126" spans="1:58">
      <c r="A126" t="s">
        <v>16898</v>
      </c>
      <c r="B126" t="s">
        <v>17031</v>
      </c>
      <c r="C126">
        <v>0</v>
      </c>
      <c r="D126">
        <v>19</v>
      </c>
      <c r="E126">
        <v>11</v>
      </c>
      <c r="F126">
        <v>14</v>
      </c>
      <c r="G126">
        <v>5</v>
      </c>
      <c r="H126">
        <v>1</v>
      </c>
      <c r="I126">
        <v>0</v>
      </c>
      <c r="J126">
        <v>18</v>
      </c>
      <c r="K126">
        <v>132</v>
      </c>
      <c r="L126">
        <v>10</v>
      </c>
      <c r="M126">
        <v>0</v>
      </c>
      <c r="N126">
        <v>6</v>
      </c>
      <c r="O126">
        <v>2</v>
      </c>
      <c r="P126">
        <v>0</v>
      </c>
      <c r="Q126">
        <v>0</v>
      </c>
      <c r="R126">
        <v>0</v>
      </c>
      <c r="S126">
        <v>47.75</v>
      </c>
      <c r="T126">
        <v>18</v>
      </c>
      <c r="U126">
        <v>4.75</v>
      </c>
      <c r="V126">
        <v>70</v>
      </c>
      <c r="W126">
        <v>832.5</v>
      </c>
      <c r="X126">
        <v>0</v>
      </c>
      <c r="Y126">
        <v>6</v>
      </c>
      <c r="Z126">
        <v>11</v>
      </c>
      <c r="AA126">
        <v>0</v>
      </c>
      <c r="AB126">
        <v>385</v>
      </c>
      <c r="AC126">
        <v>0</v>
      </c>
      <c r="AD126">
        <v>0</v>
      </c>
      <c r="AE126">
        <v>0</v>
      </c>
      <c r="AF126">
        <v>385</v>
      </c>
      <c r="AG126">
        <v>917.5</v>
      </c>
      <c r="AH126">
        <v>917.5</v>
      </c>
      <c r="AI126">
        <v>0</v>
      </c>
      <c r="AJ126">
        <v>190</v>
      </c>
      <c r="AK126">
        <v>290</v>
      </c>
      <c r="AL126">
        <v>290</v>
      </c>
      <c r="AM126">
        <v>0</v>
      </c>
      <c r="AN126">
        <v>0</v>
      </c>
      <c r="AO126">
        <v>0</v>
      </c>
      <c r="AP126">
        <v>0</v>
      </c>
      <c r="AQ126">
        <v>0</v>
      </c>
      <c r="AR126">
        <v>0</v>
      </c>
      <c r="AS126">
        <v>0</v>
      </c>
      <c r="AT126">
        <v>132</v>
      </c>
      <c r="AU126">
        <v>2</v>
      </c>
      <c r="AV126">
        <v>130</v>
      </c>
      <c r="AW126">
        <v>0</v>
      </c>
      <c r="AX126">
        <v>46.25</v>
      </c>
      <c r="AY126">
        <v>11</v>
      </c>
      <c r="AZ126">
        <v>35.25</v>
      </c>
      <c r="BA126">
        <v>0</v>
      </c>
      <c r="BB126">
        <v>18</v>
      </c>
      <c r="BC126">
        <v>7</v>
      </c>
      <c r="BD126">
        <v>11</v>
      </c>
      <c r="BE126">
        <v>0</v>
      </c>
    </row>
    <row r="127" spans="1:58">
      <c r="A127" t="s">
        <v>16898</v>
      </c>
      <c r="B127" t="s">
        <v>17007</v>
      </c>
      <c r="C127">
        <v>0</v>
      </c>
      <c r="D127">
        <v>2</v>
      </c>
      <c r="E127">
        <v>2</v>
      </c>
      <c r="F127">
        <v>2</v>
      </c>
      <c r="G127">
        <v>0</v>
      </c>
      <c r="H127">
        <v>0</v>
      </c>
      <c r="I127">
        <v>0</v>
      </c>
      <c r="J127">
        <v>2</v>
      </c>
      <c r="K127">
        <v>5</v>
      </c>
      <c r="L127">
        <v>2</v>
      </c>
      <c r="M127">
        <v>0</v>
      </c>
      <c r="N127">
        <v>0</v>
      </c>
      <c r="O127">
        <v>0</v>
      </c>
      <c r="P127">
        <v>0</v>
      </c>
      <c r="Q127">
        <v>0</v>
      </c>
      <c r="R127">
        <v>0</v>
      </c>
      <c r="S127">
        <v>1</v>
      </c>
      <c r="T127">
        <v>1</v>
      </c>
      <c r="U127">
        <v>0</v>
      </c>
      <c r="V127">
        <v>2</v>
      </c>
      <c r="W127">
        <v>30</v>
      </c>
      <c r="X127">
        <v>0</v>
      </c>
      <c r="Y127">
        <v>2</v>
      </c>
      <c r="Z127">
        <v>0</v>
      </c>
      <c r="AA127">
        <v>0</v>
      </c>
      <c r="AB127">
        <v>0</v>
      </c>
      <c r="AC127">
        <v>0</v>
      </c>
      <c r="AD127">
        <v>0</v>
      </c>
      <c r="AE127">
        <v>0</v>
      </c>
      <c r="AF127">
        <v>0</v>
      </c>
      <c r="AG127">
        <v>30</v>
      </c>
      <c r="AH127">
        <v>30</v>
      </c>
      <c r="AI127">
        <v>0</v>
      </c>
      <c r="AJ127">
        <v>0</v>
      </c>
      <c r="AK127">
        <v>0</v>
      </c>
      <c r="AL127">
        <v>0</v>
      </c>
      <c r="AM127">
        <v>0</v>
      </c>
      <c r="AN127">
        <v>0</v>
      </c>
      <c r="AO127">
        <v>0</v>
      </c>
      <c r="AP127">
        <v>0</v>
      </c>
      <c r="AQ127">
        <v>0</v>
      </c>
      <c r="AR127">
        <v>0</v>
      </c>
      <c r="AS127">
        <v>0</v>
      </c>
      <c r="AT127">
        <v>5</v>
      </c>
      <c r="AU127">
        <v>0</v>
      </c>
      <c r="AV127">
        <v>5</v>
      </c>
      <c r="AW127">
        <v>0</v>
      </c>
      <c r="AX127">
        <v>1</v>
      </c>
      <c r="AY127">
        <v>0</v>
      </c>
      <c r="AZ127">
        <v>1</v>
      </c>
      <c r="BA127">
        <v>0</v>
      </c>
      <c r="BB127">
        <v>1</v>
      </c>
      <c r="BC127">
        <v>0</v>
      </c>
      <c r="BD127">
        <v>1</v>
      </c>
      <c r="BE127">
        <v>0</v>
      </c>
    </row>
    <row r="128" spans="1:58">
      <c r="A128" t="s">
        <v>16898</v>
      </c>
      <c r="B128" t="s">
        <v>17032</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row>
    <row r="129" spans="1:58">
      <c r="A129" t="s">
        <v>16898</v>
      </c>
      <c r="B129" t="s">
        <v>17009</v>
      </c>
      <c r="C129">
        <v>0</v>
      </c>
      <c r="D129">
        <v>1</v>
      </c>
      <c r="E129">
        <v>0</v>
      </c>
      <c r="F129">
        <v>1</v>
      </c>
      <c r="G129">
        <v>0</v>
      </c>
      <c r="H129">
        <v>0</v>
      </c>
      <c r="I129">
        <v>0</v>
      </c>
      <c r="J129">
        <v>1</v>
      </c>
      <c r="K129">
        <v>5</v>
      </c>
      <c r="L129">
        <v>1</v>
      </c>
      <c r="M129">
        <v>0</v>
      </c>
      <c r="N129">
        <v>0</v>
      </c>
      <c r="O129">
        <v>0</v>
      </c>
      <c r="P129">
        <v>0</v>
      </c>
      <c r="Q129">
        <v>0</v>
      </c>
      <c r="R129">
        <v>0</v>
      </c>
      <c r="S129">
        <v>2</v>
      </c>
      <c r="T129">
        <v>3</v>
      </c>
      <c r="U129">
        <v>0</v>
      </c>
      <c r="V129">
        <v>5</v>
      </c>
      <c r="W129">
        <v>80</v>
      </c>
      <c r="X129">
        <v>0</v>
      </c>
      <c r="Y129">
        <v>1</v>
      </c>
      <c r="Z129">
        <v>0</v>
      </c>
      <c r="AA129">
        <v>0</v>
      </c>
      <c r="AB129">
        <v>50</v>
      </c>
      <c r="AC129">
        <v>0</v>
      </c>
      <c r="AD129">
        <v>0</v>
      </c>
      <c r="AE129">
        <v>50</v>
      </c>
      <c r="AF129">
        <v>50</v>
      </c>
      <c r="AG129">
        <v>80</v>
      </c>
      <c r="AH129">
        <v>30</v>
      </c>
      <c r="AI129">
        <v>0</v>
      </c>
      <c r="AJ129">
        <v>0</v>
      </c>
      <c r="AK129">
        <v>0</v>
      </c>
      <c r="AL129">
        <v>0</v>
      </c>
      <c r="AM129">
        <v>0</v>
      </c>
      <c r="AN129">
        <v>0</v>
      </c>
      <c r="AO129">
        <v>1</v>
      </c>
      <c r="AP129">
        <v>0</v>
      </c>
      <c r="AQ129">
        <v>0</v>
      </c>
      <c r="AR129">
        <v>0</v>
      </c>
      <c r="AS129">
        <v>0</v>
      </c>
      <c r="AT129">
        <v>5</v>
      </c>
      <c r="AU129">
        <v>0</v>
      </c>
      <c r="AV129">
        <v>5</v>
      </c>
      <c r="AW129">
        <v>0</v>
      </c>
      <c r="AX129">
        <v>2</v>
      </c>
      <c r="AY129">
        <v>0</v>
      </c>
      <c r="AZ129">
        <v>2</v>
      </c>
      <c r="BA129">
        <v>0</v>
      </c>
      <c r="BB129">
        <v>3</v>
      </c>
      <c r="BC129">
        <v>0</v>
      </c>
      <c r="BD129">
        <v>3</v>
      </c>
      <c r="BE129">
        <v>0</v>
      </c>
    </row>
    <row r="130" spans="1:58">
      <c r="A130" t="s">
        <v>16898</v>
      </c>
      <c r="B130" t="s">
        <v>18812</v>
      </c>
      <c r="C130">
        <v>27</v>
      </c>
      <c r="D130">
        <v>27</v>
      </c>
      <c r="E130">
        <v>0</v>
      </c>
      <c r="F130">
        <v>27</v>
      </c>
      <c r="G130">
        <v>0</v>
      </c>
      <c r="H130">
        <v>0</v>
      </c>
      <c r="I130">
        <v>0</v>
      </c>
      <c r="J130">
        <v>27</v>
      </c>
      <c r="K130">
        <v>19</v>
      </c>
      <c r="L130">
        <v>27</v>
      </c>
      <c r="M130">
        <v>0</v>
      </c>
      <c r="N130">
        <v>0</v>
      </c>
      <c r="O130">
        <v>0</v>
      </c>
      <c r="P130">
        <v>0</v>
      </c>
      <c r="Q130">
        <v>0</v>
      </c>
      <c r="R130">
        <v>0</v>
      </c>
      <c r="S130">
        <v>0</v>
      </c>
      <c r="T130">
        <v>0</v>
      </c>
      <c r="U130">
        <v>0</v>
      </c>
      <c r="V130">
        <v>0</v>
      </c>
      <c r="W130">
        <v>0</v>
      </c>
      <c r="X130">
        <v>0</v>
      </c>
      <c r="Y130">
        <v>0</v>
      </c>
      <c r="Z130">
        <v>0</v>
      </c>
      <c r="AA130">
        <v>0</v>
      </c>
      <c r="AB130">
        <v>0</v>
      </c>
      <c r="AC130">
        <v>32</v>
      </c>
      <c r="AD130">
        <v>32</v>
      </c>
      <c r="AE130">
        <v>32</v>
      </c>
      <c r="AF130">
        <v>32</v>
      </c>
      <c r="AG130">
        <v>32</v>
      </c>
      <c r="AH130">
        <v>0</v>
      </c>
      <c r="AI130">
        <v>0</v>
      </c>
      <c r="AJ130">
        <v>0</v>
      </c>
      <c r="AK130">
        <v>0</v>
      </c>
      <c r="AL130">
        <v>0</v>
      </c>
      <c r="AM130">
        <v>27</v>
      </c>
      <c r="AN130">
        <v>0</v>
      </c>
      <c r="AO130">
        <v>0</v>
      </c>
      <c r="AP130">
        <v>0</v>
      </c>
      <c r="AQ130">
        <v>0</v>
      </c>
      <c r="AR130">
        <v>0</v>
      </c>
      <c r="AS130">
        <v>0</v>
      </c>
      <c r="AT130">
        <v>19</v>
      </c>
      <c r="AU130">
        <v>0</v>
      </c>
      <c r="AV130">
        <v>0</v>
      </c>
      <c r="AW130">
        <v>19</v>
      </c>
      <c r="AX130">
        <v>0</v>
      </c>
      <c r="AY130">
        <v>0</v>
      </c>
      <c r="AZ130">
        <v>0</v>
      </c>
      <c r="BA130">
        <v>0</v>
      </c>
      <c r="BB130">
        <v>0</v>
      </c>
      <c r="BC130">
        <v>0</v>
      </c>
      <c r="BD130">
        <v>0</v>
      </c>
      <c r="BE130">
        <v>0</v>
      </c>
      <c r="BF130" s="21"/>
    </row>
    <row r="131" spans="1:58">
      <c r="A131" t="s">
        <v>16898</v>
      </c>
      <c r="B131" t="s">
        <v>18813</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s="21"/>
    </row>
    <row r="132" spans="1:58">
      <c r="A132" t="s">
        <v>16898</v>
      </c>
      <c r="B132" t="s">
        <v>21072</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row>
    <row r="133" spans="1:58">
      <c r="A133" t="s">
        <v>16898</v>
      </c>
      <c r="B133" t="s">
        <v>17205</v>
      </c>
      <c r="C133">
        <v>0</v>
      </c>
      <c r="D133">
        <v>12</v>
      </c>
      <c r="E133">
        <v>12</v>
      </c>
      <c r="F133">
        <v>11</v>
      </c>
      <c r="G133">
        <v>0</v>
      </c>
      <c r="H133">
        <v>0</v>
      </c>
      <c r="I133">
        <v>0</v>
      </c>
      <c r="J133">
        <v>12</v>
      </c>
      <c r="K133">
        <v>111</v>
      </c>
      <c r="L133">
        <v>4</v>
      </c>
      <c r="M133">
        <v>0</v>
      </c>
      <c r="N133">
        <v>0</v>
      </c>
      <c r="O133">
        <v>7</v>
      </c>
      <c r="P133">
        <v>0</v>
      </c>
      <c r="Q133">
        <v>1</v>
      </c>
      <c r="R133">
        <v>0</v>
      </c>
      <c r="S133">
        <v>1.75</v>
      </c>
      <c r="T133">
        <v>1.25</v>
      </c>
      <c r="U133">
        <v>0</v>
      </c>
      <c r="V133">
        <v>3.25</v>
      </c>
      <c r="W133">
        <v>42.75</v>
      </c>
      <c r="X133">
        <v>0</v>
      </c>
      <c r="Y133">
        <v>4</v>
      </c>
      <c r="Z133">
        <v>0</v>
      </c>
      <c r="AA133">
        <v>0</v>
      </c>
      <c r="AB133">
        <v>0</v>
      </c>
      <c r="AC133">
        <v>73.5</v>
      </c>
      <c r="AD133">
        <v>73.5</v>
      </c>
      <c r="AE133">
        <v>73.5</v>
      </c>
      <c r="AF133">
        <v>73.5</v>
      </c>
      <c r="AG133">
        <v>116.25</v>
      </c>
      <c r="AH133">
        <v>42.75</v>
      </c>
      <c r="AI133">
        <v>0</v>
      </c>
      <c r="AJ133">
        <v>0</v>
      </c>
      <c r="AK133">
        <v>0</v>
      </c>
      <c r="AL133">
        <v>0</v>
      </c>
      <c r="AM133">
        <v>0</v>
      </c>
      <c r="AN133">
        <v>1</v>
      </c>
      <c r="AO133">
        <v>1</v>
      </c>
      <c r="AP133">
        <v>0</v>
      </c>
      <c r="AQ133">
        <v>0</v>
      </c>
      <c r="AR133">
        <v>0</v>
      </c>
      <c r="AS133">
        <v>0</v>
      </c>
      <c r="AT133">
        <v>111</v>
      </c>
      <c r="AU133">
        <v>0</v>
      </c>
      <c r="AV133">
        <v>111</v>
      </c>
      <c r="AW133">
        <v>0</v>
      </c>
      <c r="AX133">
        <v>1.75</v>
      </c>
      <c r="AY133">
        <v>0</v>
      </c>
      <c r="AZ133">
        <v>1.75</v>
      </c>
      <c r="BA133">
        <v>0</v>
      </c>
      <c r="BB133">
        <v>1.25</v>
      </c>
      <c r="BC133">
        <v>0</v>
      </c>
      <c r="BD133">
        <v>1.25</v>
      </c>
      <c r="BE133">
        <v>0</v>
      </c>
    </row>
    <row r="134" spans="1:58">
      <c r="A134" t="s">
        <v>16898</v>
      </c>
      <c r="B134" t="s">
        <v>19976</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row>
    <row r="135" spans="1:58">
      <c r="A135" t="s">
        <v>16898</v>
      </c>
      <c r="B135" t="s">
        <v>17010</v>
      </c>
      <c r="C135">
        <v>1</v>
      </c>
      <c r="D135">
        <v>40</v>
      </c>
      <c r="E135">
        <v>40</v>
      </c>
      <c r="F135">
        <v>33</v>
      </c>
      <c r="G135">
        <v>0</v>
      </c>
      <c r="H135">
        <v>1</v>
      </c>
      <c r="I135">
        <v>0</v>
      </c>
      <c r="J135">
        <v>35</v>
      </c>
      <c r="K135">
        <v>495</v>
      </c>
      <c r="L135">
        <v>3</v>
      </c>
      <c r="M135">
        <v>4</v>
      </c>
      <c r="N135">
        <v>22</v>
      </c>
      <c r="O135">
        <v>3</v>
      </c>
      <c r="P135">
        <v>3</v>
      </c>
      <c r="Q135">
        <v>1</v>
      </c>
      <c r="R135">
        <v>0</v>
      </c>
      <c r="S135">
        <v>10.75</v>
      </c>
      <c r="T135">
        <v>55.75</v>
      </c>
      <c r="U135">
        <v>0</v>
      </c>
      <c r="V135">
        <v>66.5</v>
      </c>
      <c r="W135">
        <v>1222.5</v>
      </c>
      <c r="X135">
        <v>0</v>
      </c>
      <c r="Y135">
        <v>20</v>
      </c>
      <c r="Z135">
        <v>7</v>
      </c>
      <c r="AA135">
        <v>0</v>
      </c>
      <c r="AB135">
        <v>580</v>
      </c>
      <c r="AC135">
        <v>1357.47</v>
      </c>
      <c r="AD135">
        <v>1349.72</v>
      </c>
      <c r="AE135">
        <v>322.81</v>
      </c>
      <c r="AF135">
        <v>1929.7199999999998</v>
      </c>
      <c r="AG135">
        <v>2579.9699999999998</v>
      </c>
      <c r="AH135">
        <v>2317.16</v>
      </c>
      <c r="AI135">
        <v>69.650000000000006</v>
      </c>
      <c r="AJ135">
        <v>32.15</v>
      </c>
      <c r="AK135">
        <v>32.15</v>
      </c>
      <c r="AL135">
        <v>0</v>
      </c>
      <c r="AM135">
        <v>0</v>
      </c>
      <c r="AN135">
        <v>0</v>
      </c>
      <c r="AO135">
        <v>3</v>
      </c>
      <c r="AP135">
        <v>1</v>
      </c>
      <c r="AQ135">
        <v>0</v>
      </c>
      <c r="AR135">
        <v>0</v>
      </c>
      <c r="AS135">
        <v>0</v>
      </c>
      <c r="AT135">
        <v>495</v>
      </c>
      <c r="AU135">
        <v>57</v>
      </c>
      <c r="AV135">
        <v>433</v>
      </c>
      <c r="AW135">
        <v>5</v>
      </c>
      <c r="AX135">
        <v>10.75</v>
      </c>
      <c r="AY135">
        <v>0</v>
      </c>
      <c r="AZ135">
        <v>10.75</v>
      </c>
      <c r="BA135">
        <v>0</v>
      </c>
      <c r="BB135">
        <v>55.75</v>
      </c>
      <c r="BC135">
        <v>0</v>
      </c>
      <c r="BD135">
        <v>55.75</v>
      </c>
      <c r="BE135">
        <v>0</v>
      </c>
    </row>
    <row r="136" spans="1:58">
      <c r="A136" t="s">
        <v>16898</v>
      </c>
      <c r="B136" t="s">
        <v>19977</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row>
    <row r="137" spans="1:58">
      <c r="A137" t="s">
        <v>16898</v>
      </c>
      <c r="B137" t="s">
        <v>17011</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row>
    <row r="138" spans="1:58">
      <c r="A138" t="s">
        <v>16898</v>
      </c>
      <c r="B138" t="s">
        <v>17033</v>
      </c>
      <c r="C138">
        <v>0</v>
      </c>
      <c r="D138">
        <v>2</v>
      </c>
      <c r="E138">
        <v>2</v>
      </c>
      <c r="F138">
        <v>0</v>
      </c>
      <c r="G138">
        <v>0</v>
      </c>
      <c r="H138">
        <v>0</v>
      </c>
      <c r="I138">
        <v>0</v>
      </c>
      <c r="J138">
        <v>2</v>
      </c>
      <c r="K138">
        <v>36</v>
      </c>
      <c r="L138">
        <v>2</v>
      </c>
      <c r="M138">
        <v>0</v>
      </c>
      <c r="N138">
        <v>0</v>
      </c>
      <c r="O138">
        <v>0</v>
      </c>
      <c r="P138">
        <v>0</v>
      </c>
      <c r="Q138">
        <v>0</v>
      </c>
      <c r="R138">
        <v>0</v>
      </c>
      <c r="S138">
        <v>3</v>
      </c>
      <c r="T138">
        <v>2</v>
      </c>
      <c r="U138">
        <v>0</v>
      </c>
      <c r="V138">
        <v>5</v>
      </c>
      <c r="W138">
        <v>70</v>
      </c>
      <c r="X138">
        <v>0</v>
      </c>
      <c r="Y138">
        <v>0</v>
      </c>
      <c r="Z138">
        <v>2</v>
      </c>
      <c r="AA138">
        <v>0</v>
      </c>
      <c r="AB138">
        <v>0</v>
      </c>
      <c r="AC138">
        <v>0</v>
      </c>
      <c r="AD138">
        <v>0</v>
      </c>
      <c r="AE138">
        <v>0</v>
      </c>
      <c r="AF138">
        <v>0</v>
      </c>
      <c r="AG138">
        <v>70</v>
      </c>
      <c r="AH138">
        <v>70</v>
      </c>
      <c r="AI138">
        <v>0</v>
      </c>
      <c r="AJ138">
        <v>0</v>
      </c>
      <c r="AK138">
        <v>0</v>
      </c>
      <c r="AL138">
        <v>0</v>
      </c>
      <c r="AM138">
        <v>0</v>
      </c>
      <c r="AN138">
        <v>0</v>
      </c>
      <c r="AO138">
        <v>0</v>
      </c>
      <c r="AP138">
        <v>0</v>
      </c>
      <c r="AQ138">
        <v>0</v>
      </c>
      <c r="AR138">
        <v>0</v>
      </c>
      <c r="AS138">
        <v>0</v>
      </c>
      <c r="AT138">
        <v>36</v>
      </c>
      <c r="AU138">
        <v>0</v>
      </c>
      <c r="AV138">
        <v>36</v>
      </c>
      <c r="AW138">
        <v>0</v>
      </c>
      <c r="AX138">
        <v>3</v>
      </c>
      <c r="AY138">
        <v>0</v>
      </c>
      <c r="AZ138">
        <v>3</v>
      </c>
      <c r="BA138">
        <v>0</v>
      </c>
      <c r="BB138">
        <v>2</v>
      </c>
      <c r="BC138">
        <v>0</v>
      </c>
      <c r="BD138">
        <v>2</v>
      </c>
      <c r="BE138">
        <v>0</v>
      </c>
    </row>
    <row r="139" spans="1:58">
      <c r="A139" t="s">
        <v>16898</v>
      </c>
      <c r="B139" t="s">
        <v>17034</v>
      </c>
      <c r="C139">
        <v>1</v>
      </c>
      <c r="D139">
        <v>1</v>
      </c>
      <c r="E139">
        <v>1</v>
      </c>
      <c r="F139">
        <v>1</v>
      </c>
      <c r="G139">
        <v>1</v>
      </c>
      <c r="H139">
        <v>0</v>
      </c>
      <c r="I139">
        <v>0</v>
      </c>
      <c r="J139">
        <v>1</v>
      </c>
      <c r="K139">
        <v>1</v>
      </c>
      <c r="L139">
        <v>1</v>
      </c>
      <c r="M139">
        <v>0</v>
      </c>
      <c r="N139">
        <v>0</v>
      </c>
      <c r="O139">
        <v>0</v>
      </c>
      <c r="P139">
        <v>0</v>
      </c>
      <c r="Q139">
        <v>0</v>
      </c>
      <c r="R139">
        <v>0</v>
      </c>
      <c r="S139">
        <v>0.25</v>
      </c>
      <c r="T139">
        <v>0</v>
      </c>
      <c r="U139">
        <v>0</v>
      </c>
      <c r="V139">
        <v>0.25</v>
      </c>
      <c r="W139" s="21">
        <v>0</v>
      </c>
      <c r="X139">
        <v>0</v>
      </c>
      <c r="Y139">
        <v>0</v>
      </c>
      <c r="Z139">
        <v>0</v>
      </c>
      <c r="AA139">
        <v>-2.5</v>
      </c>
      <c r="AB139" s="21">
        <v>0</v>
      </c>
      <c r="AC139">
        <v>0</v>
      </c>
      <c r="AD139">
        <v>0</v>
      </c>
      <c r="AE139">
        <v>0</v>
      </c>
      <c r="AF139" s="21">
        <v>0</v>
      </c>
      <c r="AG139" s="21">
        <v>0</v>
      </c>
      <c r="AH139" s="21">
        <v>0</v>
      </c>
      <c r="AI139">
        <v>0</v>
      </c>
      <c r="AJ139" s="21">
        <v>0</v>
      </c>
      <c r="AK139" s="21">
        <v>0</v>
      </c>
      <c r="AL139" s="21">
        <v>0</v>
      </c>
      <c r="AM139">
        <v>0</v>
      </c>
      <c r="AN139">
        <v>0</v>
      </c>
      <c r="AO139">
        <v>0</v>
      </c>
      <c r="AP139">
        <v>0</v>
      </c>
      <c r="AQ139">
        <v>0</v>
      </c>
      <c r="AR139">
        <v>0</v>
      </c>
      <c r="AS139">
        <v>0</v>
      </c>
      <c r="AT139">
        <v>1</v>
      </c>
      <c r="AU139">
        <v>0</v>
      </c>
      <c r="AV139">
        <v>0</v>
      </c>
      <c r="AW139">
        <v>1</v>
      </c>
      <c r="AX139">
        <v>0.25</v>
      </c>
      <c r="AY139">
        <v>0</v>
      </c>
      <c r="AZ139">
        <v>0</v>
      </c>
      <c r="BA139">
        <v>0.25</v>
      </c>
      <c r="BB139">
        <v>0</v>
      </c>
      <c r="BC139">
        <v>0</v>
      </c>
      <c r="BD139">
        <v>0</v>
      </c>
      <c r="BE139">
        <v>0</v>
      </c>
    </row>
    <row r="140" spans="1:58">
      <c r="A140" t="s">
        <v>17035</v>
      </c>
      <c r="B140" t="s">
        <v>17507</v>
      </c>
      <c r="C140">
        <v>2</v>
      </c>
      <c r="D140">
        <v>31</v>
      </c>
      <c r="E140">
        <v>31</v>
      </c>
      <c r="F140">
        <v>7</v>
      </c>
      <c r="G140">
        <v>2</v>
      </c>
      <c r="H140">
        <v>0</v>
      </c>
      <c r="I140">
        <v>0</v>
      </c>
      <c r="J140">
        <v>31</v>
      </c>
      <c r="K140">
        <v>561</v>
      </c>
      <c r="L140">
        <v>7</v>
      </c>
      <c r="M140">
        <v>1</v>
      </c>
      <c r="N140">
        <v>4</v>
      </c>
      <c r="O140">
        <v>15</v>
      </c>
      <c r="P140">
        <v>0</v>
      </c>
      <c r="Q140">
        <v>4</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561</v>
      </c>
      <c r="AU140">
        <v>0</v>
      </c>
      <c r="AV140">
        <v>545</v>
      </c>
      <c r="AW140">
        <v>5</v>
      </c>
      <c r="AX140">
        <v>0</v>
      </c>
      <c r="AY140">
        <v>0</v>
      </c>
      <c r="AZ140">
        <v>0</v>
      </c>
      <c r="BA140">
        <v>0</v>
      </c>
      <c r="BB140">
        <v>0</v>
      </c>
      <c r="BC140">
        <v>0</v>
      </c>
      <c r="BD140">
        <v>0</v>
      </c>
      <c r="BE140">
        <v>0</v>
      </c>
    </row>
    <row r="141" spans="1:58">
      <c r="A141" t="s">
        <v>16932</v>
      </c>
      <c r="B141" t="s">
        <v>17371</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row>
    <row r="142" spans="1:58">
      <c r="A142" t="s">
        <v>16932</v>
      </c>
      <c r="B142" t="s">
        <v>17361</v>
      </c>
      <c r="C142">
        <v>0</v>
      </c>
      <c r="D142">
        <v>1</v>
      </c>
      <c r="E142">
        <v>1</v>
      </c>
      <c r="F142">
        <v>1</v>
      </c>
      <c r="G142">
        <v>0</v>
      </c>
      <c r="H142">
        <v>1</v>
      </c>
      <c r="I142">
        <v>1</v>
      </c>
      <c r="J142">
        <v>1</v>
      </c>
      <c r="K142">
        <v>28</v>
      </c>
      <c r="L142">
        <v>1</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28</v>
      </c>
      <c r="AU142">
        <v>28</v>
      </c>
      <c r="AV142">
        <v>0</v>
      </c>
      <c r="AW142">
        <v>0</v>
      </c>
      <c r="AX142">
        <v>0</v>
      </c>
      <c r="AY142">
        <v>0</v>
      </c>
      <c r="AZ142">
        <v>0</v>
      </c>
      <c r="BA142">
        <v>0</v>
      </c>
      <c r="BB142">
        <v>0</v>
      </c>
      <c r="BC142">
        <v>0</v>
      </c>
      <c r="BD142">
        <v>0</v>
      </c>
      <c r="BE142">
        <v>0</v>
      </c>
    </row>
    <row r="143" spans="1:58">
      <c r="A143" t="s">
        <v>16932</v>
      </c>
      <c r="B143" t="s">
        <v>17036</v>
      </c>
      <c r="C143">
        <v>0</v>
      </c>
      <c r="D143">
        <v>31</v>
      </c>
      <c r="E143">
        <v>29</v>
      </c>
      <c r="F143">
        <v>26</v>
      </c>
      <c r="G143">
        <v>0</v>
      </c>
      <c r="H143">
        <v>28</v>
      </c>
      <c r="I143">
        <v>0</v>
      </c>
      <c r="J143">
        <v>22</v>
      </c>
      <c r="K143">
        <v>446</v>
      </c>
      <c r="L143">
        <v>20</v>
      </c>
      <c r="M143">
        <v>1</v>
      </c>
      <c r="N143">
        <v>0</v>
      </c>
      <c r="O143">
        <v>1</v>
      </c>
      <c r="P143">
        <v>0</v>
      </c>
      <c r="Q143">
        <v>0</v>
      </c>
      <c r="R143">
        <v>0</v>
      </c>
      <c r="S143">
        <v>25</v>
      </c>
      <c r="T143">
        <v>39.5</v>
      </c>
      <c r="U143">
        <v>1</v>
      </c>
      <c r="V143">
        <v>65.5</v>
      </c>
      <c r="W143">
        <v>1040</v>
      </c>
      <c r="X143">
        <v>0</v>
      </c>
      <c r="Y143">
        <v>21</v>
      </c>
      <c r="Z143">
        <v>0</v>
      </c>
      <c r="AA143">
        <v>0</v>
      </c>
      <c r="AB143">
        <v>410</v>
      </c>
      <c r="AC143">
        <v>177.49999999999997</v>
      </c>
      <c r="AD143">
        <v>177.49999999999997</v>
      </c>
      <c r="AE143">
        <v>217.49999999999997</v>
      </c>
      <c r="AF143">
        <v>567.50000000000011</v>
      </c>
      <c r="AG143">
        <v>1207.5</v>
      </c>
      <c r="AH143">
        <v>990</v>
      </c>
      <c r="AI143">
        <v>217.49999999999997</v>
      </c>
      <c r="AJ143">
        <v>567.50000000000011</v>
      </c>
      <c r="AK143">
        <v>1207.5</v>
      </c>
      <c r="AL143">
        <v>990</v>
      </c>
      <c r="AM143">
        <v>12</v>
      </c>
      <c r="AN143">
        <v>9</v>
      </c>
      <c r="AO143">
        <v>1</v>
      </c>
      <c r="AP143">
        <v>0</v>
      </c>
      <c r="AQ143">
        <v>0</v>
      </c>
      <c r="AR143">
        <v>0</v>
      </c>
      <c r="AS143">
        <v>0</v>
      </c>
      <c r="AT143">
        <v>446</v>
      </c>
      <c r="AU143">
        <v>446</v>
      </c>
      <c r="AV143">
        <v>0</v>
      </c>
      <c r="AW143">
        <v>0</v>
      </c>
      <c r="AX143">
        <v>25</v>
      </c>
      <c r="AY143">
        <v>25</v>
      </c>
      <c r="AZ143">
        <v>0</v>
      </c>
      <c r="BA143">
        <v>0</v>
      </c>
      <c r="BB143">
        <v>39.5</v>
      </c>
      <c r="BC143">
        <v>39.5</v>
      </c>
      <c r="BD143">
        <v>0</v>
      </c>
      <c r="BE143">
        <v>0</v>
      </c>
    </row>
    <row r="144" spans="1:58">
      <c r="A144" t="s">
        <v>16932</v>
      </c>
      <c r="B144" t="s">
        <v>18815</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row>
    <row r="145" spans="1:57">
      <c r="A145" t="s">
        <v>16932</v>
      </c>
      <c r="B145" t="s">
        <v>17360</v>
      </c>
      <c r="C145">
        <v>0</v>
      </c>
      <c r="D145">
        <v>7</v>
      </c>
      <c r="E145">
        <v>7</v>
      </c>
      <c r="F145">
        <v>0</v>
      </c>
      <c r="G145">
        <v>0</v>
      </c>
      <c r="H145">
        <v>3</v>
      </c>
      <c r="I145">
        <v>0</v>
      </c>
      <c r="J145">
        <v>3</v>
      </c>
      <c r="K145">
        <v>17</v>
      </c>
      <c r="L145">
        <v>3</v>
      </c>
      <c r="M145">
        <v>0</v>
      </c>
      <c r="N145">
        <v>0</v>
      </c>
      <c r="O145">
        <v>0</v>
      </c>
      <c r="P145">
        <v>0</v>
      </c>
      <c r="Q145">
        <v>2</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17</v>
      </c>
      <c r="AU145">
        <v>0</v>
      </c>
      <c r="AV145">
        <v>17</v>
      </c>
      <c r="AW145">
        <v>0</v>
      </c>
      <c r="AX145">
        <v>0</v>
      </c>
      <c r="AY145">
        <v>0</v>
      </c>
      <c r="AZ145">
        <v>0</v>
      </c>
      <c r="BA145">
        <v>0</v>
      </c>
      <c r="BB145">
        <v>0</v>
      </c>
      <c r="BC145">
        <v>0</v>
      </c>
      <c r="BD145">
        <v>0</v>
      </c>
      <c r="BE145">
        <v>0</v>
      </c>
    </row>
    <row r="146" spans="1:57">
      <c r="A146" t="s">
        <v>16932</v>
      </c>
      <c r="B146" t="s">
        <v>17360</v>
      </c>
      <c r="C146">
        <v>0</v>
      </c>
      <c r="D146">
        <v>4</v>
      </c>
      <c r="E146">
        <v>4</v>
      </c>
      <c r="F146">
        <v>0</v>
      </c>
      <c r="G146">
        <v>0</v>
      </c>
      <c r="H146">
        <v>0</v>
      </c>
      <c r="I146">
        <v>0</v>
      </c>
      <c r="J146">
        <v>3</v>
      </c>
      <c r="K146">
        <v>70</v>
      </c>
      <c r="L146">
        <v>4</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70</v>
      </c>
      <c r="AU146">
        <v>0</v>
      </c>
      <c r="AV146">
        <v>70</v>
      </c>
      <c r="AW146">
        <v>0</v>
      </c>
      <c r="AX146">
        <v>0</v>
      </c>
      <c r="AY146">
        <v>0</v>
      </c>
      <c r="AZ146">
        <v>0</v>
      </c>
      <c r="BA146">
        <v>0</v>
      </c>
      <c r="BB146">
        <v>0</v>
      </c>
      <c r="BC146">
        <v>0</v>
      </c>
      <c r="BD146">
        <v>0</v>
      </c>
      <c r="BE146">
        <v>0</v>
      </c>
    </row>
    <row r="147" spans="1:57">
      <c r="A147" t="s">
        <v>16932</v>
      </c>
      <c r="B147" t="s">
        <v>18816</v>
      </c>
      <c r="C147">
        <v>0</v>
      </c>
      <c r="D147">
        <v>7</v>
      </c>
      <c r="E147">
        <v>7</v>
      </c>
      <c r="F147">
        <v>7</v>
      </c>
      <c r="G147">
        <v>1</v>
      </c>
      <c r="H147">
        <v>0</v>
      </c>
      <c r="I147">
        <v>0</v>
      </c>
      <c r="J147">
        <v>7</v>
      </c>
      <c r="K147">
        <v>29</v>
      </c>
      <c r="L147">
        <v>1</v>
      </c>
      <c r="M147">
        <v>0</v>
      </c>
      <c r="N147">
        <v>2</v>
      </c>
      <c r="O147">
        <v>4</v>
      </c>
      <c r="P147">
        <v>0</v>
      </c>
      <c r="Q147">
        <v>0</v>
      </c>
      <c r="R147">
        <v>0</v>
      </c>
      <c r="S147">
        <v>1.75</v>
      </c>
      <c r="T147">
        <v>0</v>
      </c>
      <c r="U147">
        <v>0</v>
      </c>
      <c r="V147">
        <v>1.75</v>
      </c>
      <c r="W147">
        <v>17.5</v>
      </c>
      <c r="X147">
        <v>0</v>
      </c>
      <c r="Y147">
        <v>0</v>
      </c>
      <c r="Z147">
        <v>3</v>
      </c>
      <c r="AA147">
        <v>0</v>
      </c>
      <c r="AB147">
        <v>0</v>
      </c>
      <c r="AC147">
        <v>0</v>
      </c>
      <c r="AD147">
        <v>0</v>
      </c>
      <c r="AE147">
        <v>0</v>
      </c>
      <c r="AF147">
        <v>0</v>
      </c>
      <c r="AG147">
        <v>17.5</v>
      </c>
      <c r="AH147">
        <v>17.5</v>
      </c>
      <c r="AI147">
        <v>0</v>
      </c>
      <c r="AJ147">
        <v>0</v>
      </c>
      <c r="AK147">
        <v>0</v>
      </c>
      <c r="AL147">
        <v>0</v>
      </c>
      <c r="AM147">
        <v>0</v>
      </c>
      <c r="AN147">
        <v>0</v>
      </c>
      <c r="AO147">
        <v>0</v>
      </c>
      <c r="AP147">
        <v>0</v>
      </c>
      <c r="AQ147">
        <v>0</v>
      </c>
      <c r="AR147">
        <v>0</v>
      </c>
      <c r="AS147">
        <v>0</v>
      </c>
      <c r="AT147">
        <v>29</v>
      </c>
      <c r="AU147">
        <v>0</v>
      </c>
      <c r="AV147">
        <v>29</v>
      </c>
      <c r="AW147">
        <v>0</v>
      </c>
      <c r="AX147">
        <v>1.75</v>
      </c>
      <c r="AY147">
        <v>0</v>
      </c>
      <c r="AZ147">
        <v>1.75</v>
      </c>
      <c r="BA147">
        <v>0</v>
      </c>
      <c r="BB147">
        <v>0</v>
      </c>
      <c r="BC147">
        <v>0</v>
      </c>
      <c r="BD147">
        <v>0</v>
      </c>
      <c r="BE147">
        <v>0</v>
      </c>
    </row>
    <row r="148" spans="1:57">
      <c r="A148" t="s">
        <v>16932</v>
      </c>
      <c r="B148" t="s">
        <v>18817</v>
      </c>
      <c r="C148">
        <v>0</v>
      </c>
      <c r="D148">
        <v>2</v>
      </c>
      <c r="E148">
        <v>2</v>
      </c>
      <c r="F148">
        <v>2</v>
      </c>
      <c r="G148">
        <v>2</v>
      </c>
      <c r="H148">
        <v>2</v>
      </c>
      <c r="I148">
        <v>2</v>
      </c>
      <c r="J148">
        <v>2</v>
      </c>
      <c r="K148">
        <v>8</v>
      </c>
      <c r="L148">
        <v>2</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8</v>
      </c>
      <c r="AU148">
        <v>8</v>
      </c>
      <c r="AV148">
        <v>0</v>
      </c>
      <c r="AW148">
        <v>0</v>
      </c>
      <c r="AX148">
        <v>0</v>
      </c>
      <c r="AY148">
        <v>0</v>
      </c>
      <c r="AZ148">
        <v>0</v>
      </c>
      <c r="BA148">
        <v>0</v>
      </c>
      <c r="BB148">
        <v>0</v>
      </c>
      <c r="BC148">
        <v>0</v>
      </c>
      <c r="BD148">
        <v>0</v>
      </c>
      <c r="BE148">
        <v>0</v>
      </c>
    </row>
    <row r="149" spans="1:57">
      <c r="A149" t="s">
        <v>16932</v>
      </c>
      <c r="B149" t="s">
        <v>21064</v>
      </c>
      <c r="C149">
        <v>0</v>
      </c>
      <c r="D149">
        <v>1</v>
      </c>
      <c r="E149">
        <v>1</v>
      </c>
      <c r="F149">
        <v>1</v>
      </c>
      <c r="G149">
        <v>1</v>
      </c>
      <c r="H149">
        <v>0</v>
      </c>
      <c r="I149">
        <v>0</v>
      </c>
      <c r="J149">
        <v>1</v>
      </c>
      <c r="K149">
        <v>61</v>
      </c>
      <c r="L149">
        <v>1</v>
      </c>
      <c r="M149">
        <v>0</v>
      </c>
      <c r="N149">
        <v>0</v>
      </c>
      <c r="O149">
        <v>0</v>
      </c>
      <c r="P149">
        <v>0</v>
      </c>
      <c r="Q149">
        <v>0</v>
      </c>
      <c r="R149">
        <v>0</v>
      </c>
      <c r="S149">
        <v>4</v>
      </c>
      <c r="T149">
        <v>0.5</v>
      </c>
      <c r="U149">
        <v>0.25</v>
      </c>
      <c r="V149">
        <v>4.75</v>
      </c>
      <c r="W149">
        <v>50</v>
      </c>
      <c r="X149">
        <v>0</v>
      </c>
      <c r="Y149">
        <v>1</v>
      </c>
      <c r="Z149">
        <v>0</v>
      </c>
      <c r="AA149">
        <v>0</v>
      </c>
      <c r="AB149">
        <v>20</v>
      </c>
      <c r="AC149">
        <v>0</v>
      </c>
      <c r="AD149">
        <v>0</v>
      </c>
      <c r="AE149">
        <v>20</v>
      </c>
      <c r="AF149">
        <v>20</v>
      </c>
      <c r="AG149">
        <v>55</v>
      </c>
      <c r="AH149">
        <v>35</v>
      </c>
      <c r="AI149">
        <v>0</v>
      </c>
      <c r="AJ149">
        <v>0</v>
      </c>
      <c r="AK149">
        <v>0</v>
      </c>
      <c r="AL149">
        <v>0</v>
      </c>
      <c r="AM149">
        <v>0</v>
      </c>
      <c r="AN149">
        <v>1</v>
      </c>
      <c r="AO149">
        <v>0</v>
      </c>
      <c r="AP149">
        <v>0</v>
      </c>
      <c r="AQ149">
        <v>0</v>
      </c>
      <c r="AR149">
        <v>0</v>
      </c>
      <c r="AS149">
        <v>0</v>
      </c>
      <c r="AT149">
        <v>61</v>
      </c>
      <c r="AU149">
        <v>0</v>
      </c>
      <c r="AV149">
        <v>61</v>
      </c>
      <c r="AW149">
        <v>0</v>
      </c>
      <c r="AX149">
        <v>4</v>
      </c>
      <c r="AY149">
        <v>0</v>
      </c>
      <c r="AZ149">
        <v>4</v>
      </c>
      <c r="BA149">
        <v>0</v>
      </c>
      <c r="BB149">
        <v>0.5</v>
      </c>
      <c r="BC149">
        <v>0</v>
      </c>
      <c r="BD149">
        <v>0.5</v>
      </c>
      <c r="BE149">
        <v>0</v>
      </c>
    </row>
    <row r="150" spans="1:57">
      <c r="A150" t="s">
        <v>16932</v>
      </c>
      <c r="B150" t="s">
        <v>17370</v>
      </c>
      <c r="C150">
        <v>0</v>
      </c>
      <c r="D150">
        <v>11</v>
      </c>
      <c r="E150">
        <v>11</v>
      </c>
      <c r="F150">
        <v>11</v>
      </c>
      <c r="G150">
        <v>0</v>
      </c>
      <c r="H150">
        <v>0</v>
      </c>
      <c r="I150">
        <v>0</v>
      </c>
      <c r="J150">
        <v>11</v>
      </c>
      <c r="K150">
        <v>25</v>
      </c>
      <c r="L150">
        <v>3</v>
      </c>
      <c r="M150">
        <v>0</v>
      </c>
      <c r="N150">
        <v>0</v>
      </c>
      <c r="O150">
        <v>8</v>
      </c>
      <c r="P150">
        <v>0</v>
      </c>
      <c r="Q150">
        <v>0</v>
      </c>
      <c r="R150">
        <v>0</v>
      </c>
      <c r="S150">
        <v>0.25</v>
      </c>
      <c r="T150">
        <v>20</v>
      </c>
      <c r="U150">
        <v>0</v>
      </c>
      <c r="V150">
        <v>20.25</v>
      </c>
      <c r="W150">
        <v>402.5</v>
      </c>
      <c r="X150">
        <v>0</v>
      </c>
      <c r="Y150">
        <v>1</v>
      </c>
      <c r="Z150">
        <v>0</v>
      </c>
      <c r="AA150">
        <v>0</v>
      </c>
      <c r="AB150">
        <v>372.5</v>
      </c>
      <c r="AC150">
        <v>18.920000000000002</v>
      </c>
      <c r="AD150">
        <v>18.920000000000002</v>
      </c>
      <c r="AE150">
        <v>0</v>
      </c>
      <c r="AF150">
        <v>391.4200000000003</v>
      </c>
      <c r="AG150">
        <v>421.4200000000003</v>
      </c>
      <c r="AH150">
        <v>421.4200000000003</v>
      </c>
      <c r="AI150">
        <v>0</v>
      </c>
      <c r="AJ150">
        <v>0</v>
      </c>
      <c r="AK150">
        <v>0</v>
      </c>
      <c r="AL150">
        <v>0</v>
      </c>
      <c r="AM150">
        <v>0</v>
      </c>
      <c r="AN150">
        <v>0</v>
      </c>
      <c r="AO150">
        <v>0</v>
      </c>
      <c r="AP150">
        <v>0</v>
      </c>
      <c r="AQ150">
        <v>0</v>
      </c>
      <c r="AR150">
        <v>0</v>
      </c>
      <c r="AS150">
        <v>0</v>
      </c>
      <c r="AT150">
        <v>25</v>
      </c>
      <c r="AU150">
        <v>0</v>
      </c>
      <c r="AV150">
        <v>25</v>
      </c>
      <c r="AW150">
        <v>0</v>
      </c>
      <c r="AX150">
        <v>0.25</v>
      </c>
      <c r="AY150">
        <v>0</v>
      </c>
      <c r="AZ150">
        <v>0.25</v>
      </c>
      <c r="BA150">
        <v>0</v>
      </c>
      <c r="BB150">
        <v>20</v>
      </c>
      <c r="BC150">
        <v>0</v>
      </c>
      <c r="BD150">
        <v>20</v>
      </c>
      <c r="BE150">
        <v>0</v>
      </c>
    </row>
    <row r="151" spans="1:57">
      <c r="A151" t="s">
        <v>17041</v>
      </c>
      <c r="B151" t="s">
        <v>17325</v>
      </c>
      <c r="C151">
        <v>0</v>
      </c>
      <c r="D151">
        <v>4</v>
      </c>
      <c r="E151">
        <v>0</v>
      </c>
      <c r="F151">
        <v>4</v>
      </c>
      <c r="G151">
        <v>1</v>
      </c>
      <c r="H151">
        <v>0</v>
      </c>
      <c r="I151">
        <v>0</v>
      </c>
      <c r="J151">
        <v>4</v>
      </c>
      <c r="K151">
        <v>20</v>
      </c>
      <c r="L151">
        <v>1</v>
      </c>
      <c r="M151">
        <v>0</v>
      </c>
      <c r="N151">
        <v>0</v>
      </c>
      <c r="O151">
        <v>1</v>
      </c>
      <c r="P151">
        <v>0</v>
      </c>
      <c r="Q151">
        <v>2</v>
      </c>
      <c r="R151">
        <v>0</v>
      </c>
      <c r="S151">
        <v>0.5</v>
      </c>
      <c r="T151">
        <v>0.25</v>
      </c>
      <c r="U151">
        <v>0.5</v>
      </c>
      <c r="V151">
        <v>1.25</v>
      </c>
      <c r="W151">
        <v>0</v>
      </c>
      <c r="X151">
        <v>0</v>
      </c>
      <c r="Y151">
        <v>0</v>
      </c>
      <c r="Z151">
        <v>0</v>
      </c>
      <c r="AA151">
        <v>0</v>
      </c>
      <c r="AB151">
        <v>0</v>
      </c>
      <c r="AC151">
        <v>0</v>
      </c>
      <c r="AD151">
        <v>0</v>
      </c>
      <c r="AE151">
        <v>0</v>
      </c>
      <c r="AF151">
        <v>0</v>
      </c>
      <c r="AG151">
        <v>10</v>
      </c>
      <c r="AH151">
        <v>10</v>
      </c>
      <c r="AI151">
        <v>0</v>
      </c>
      <c r="AJ151">
        <v>0</v>
      </c>
      <c r="AK151">
        <v>0</v>
      </c>
      <c r="AL151">
        <v>0</v>
      </c>
      <c r="AM151">
        <v>0</v>
      </c>
      <c r="AN151">
        <v>0</v>
      </c>
      <c r="AO151">
        <v>0</v>
      </c>
      <c r="AP151">
        <v>0</v>
      </c>
      <c r="AQ151">
        <v>0</v>
      </c>
      <c r="AR151">
        <v>0</v>
      </c>
      <c r="AS151">
        <v>0</v>
      </c>
      <c r="AT151">
        <v>20</v>
      </c>
      <c r="AU151">
        <v>0</v>
      </c>
      <c r="AV151">
        <v>20</v>
      </c>
      <c r="AW151">
        <v>0</v>
      </c>
      <c r="AX151">
        <v>0.5</v>
      </c>
      <c r="AY151">
        <v>0</v>
      </c>
      <c r="AZ151">
        <v>0.5</v>
      </c>
      <c r="BA151">
        <v>0</v>
      </c>
      <c r="BB151">
        <v>0.25</v>
      </c>
      <c r="BC151">
        <v>0</v>
      </c>
      <c r="BD151">
        <v>0.25</v>
      </c>
      <c r="BE151">
        <v>0</v>
      </c>
    </row>
    <row r="152" spans="1:57">
      <c r="A152" t="s">
        <v>17041</v>
      </c>
      <c r="B152" t="s">
        <v>17042</v>
      </c>
      <c r="C152">
        <v>0</v>
      </c>
      <c r="D152">
        <v>10</v>
      </c>
      <c r="E152">
        <v>10</v>
      </c>
      <c r="F152">
        <v>0</v>
      </c>
      <c r="G152">
        <v>0</v>
      </c>
      <c r="H152">
        <v>0</v>
      </c>
      <c r="I152">
        <v>0</v>
      </c>
      <c r="J152">
        <v>10</v>
      </c>
      <c r="K152">
        <v>21</v>
      </c>
      <c r="L152">
        <v>10</v>
      </c>
      <c r="M152">
        <v>0</v>
      </c>
      <c r="N152">
        <v>0</v>
      </c>
      <c r="O152">
        <v>0</v>
      </c>
      <c r="P152">
        <v>0</v>
      </c>
      <c r="Q152">
        <v>0</v>
      </c>
      <c r="R152">
        <v>0</v>
      </c>
      <c r="S152">
        <v>2.5</v>
      </c>
      <c r="T152">
        <v>0</v>
      </c>
      <c r="U152">
        <v>0</v>
      </c>
      <c r="V152">
        <v>2.5</v>
      </c>
      <c r="W152">
        <v>25</v>
      </c>
      <c r="X152">
        <v>0</v>
      </c>
      <c r="Y152">
        <v>10</v>
      </c>
      <c r="Z152">
        <v>0</v>
      </c>
      <c r="AA152">
        <v>0</v>
      </c>
      <c r="AB152">
        <v>0</v>
      </c>
      <c r="AC152">
        <v>0</v>
      </c>
      <c r="AD152">
        <v>0</v>
      </c>
      <c r="AE152">
        <v>0</v>
      </c>
      <c r="AF152">
        <v>0</v>
      </c>
      <c r="AG152">
        <v>25</v>
      </c>
      <c r="AH152">
        <v>25</v>
      </c>
      <c r="AI152">
        <v>0</v>
      </c>
      <c r="AJ152">
        <v>0</v>
      </c>
      <c r="AK152">
        <v>0</v>
      </c>
      <c r="AL152">
        <v>0</v>
      </c>
      <c r="AM152">
        <v>0</v>
      </c>
      <c r="AN152">
        <v>0</v>
      </c>
      <c r="AO152">
        <v>0</v>
      </c>
      <c r="AP152">
        <v>0</v>
      </c>
      <c r="AQ152">
        <v>0</v>
      </c>
      <c r="AR152">
        <v>0</v>
      </c>
      <c r="AS152">
        <v>0</v>
      </c>
      <c r="AT152">
        <v>21</v>
      </c>
      <c r="AU152">
        <v>0</v>
      </c>
      <c r="AV152">
        <v>21</v>
      </c>
      <c r="AW152">
        <v>0</v>
      </c>
      <c r="AX152">
        <v>2.5</v>
      </c>
      <c r="AY152">
        <v>0</v>
      </c>
      <c r="AZ152">
        <v>2.5</v>
      </c>
      <c r="BA152">
        <v>0</v>
      </c>
      <c r="BB152">
        <v>0</v>
      </c>
      <c r="BC152">
        <v>0</v>
      </c>
      <c r="BD152">
        <v>0</v>
      </c>
      <c r="BE152">
        <v>0</v>
      </c>
    </row>
    <row r="153" spans="1:57">
      <c r="A153" t="s">
        <v>17041</v>
      </c>
      <c r="B153" t="s">
        <v>17042</v>
      </c>
      <c r="C153">
        <v>0</v>
      </c>
      <c r="D153">
        <v>9</v>
      </c>
      <c r="E153">
        <v>9</v>
      </c>
      <c r="F153">
        <v>6</v>
      </c>
      <c r="G153">
        <v>0</v>
      </c>
      <c r="H153">
        <v>0</v>
      </c>
      <c r="I153">
        <v>0</v>
      </c>
      <c r="J153">
        <v>9</v>
      </c>
      <c r="K153">
        <v>105</v>
      </c>
      <c r="L153">
        <v>7</v>
      </c>
      <c r="M153">
        <v>0</v>
      </c>
      <c r="N153">
        <v>2</v>
      </c>
      <c r="O153">
        <v>0</v>
      </c>
      <c r="P153">
        <v>0</v>
      </c>
      <c r="Q153">
        <v>0</v>
      </c>
      <c r="R153">
        <v>0</v>
      </c>
      <c r="S153">
        <v>41</v>
      </c>
      <c r="T153">
        <v>0</v>
      </c>
      <c r="U153">
        <v>0</v>
      </c>
      <c r="V153">
        <v>41</v>
      </c>
      <c r="W153">
        <v>410</v>
      </c>
      <c r="X153">
        <v>0</v>
      </c>
      <c r="Y153">
        <v>9</v>
      </c>
      <c r="Z153">
        <v>0</v>
      </c>
      <c r="AA153">
        <v>0</v>
      </c>
      <c r="AB153">
        <v>290</v>
      </c>
      <c r="AC153">
        <v>1375</v>
      </c>
      <c r="AD153">
        <v>1410</v>
      </c>
      <c r="AE153">
        <v>0</v>
      </c>
      <c r="AF153">
        <v>1700</v>
      </c>
      <c r="AG153">
        <v>1785</v>
      </c>
      <c r="AH153">
        <v>1785</v>
      </c>
      <c r="AI153">
        <v>0</v>
      </c>
      <c r="AJ153">
        <v>0</v>
      </c>
      <c r="AK153">
        <v>0</v>
      </c>
      <c r="AL153">
        <v>0</v>
      </c>
      <c r="AM153">
        <v>0</v>
      </c>
      <c r="AN153">
        <v>0</v>
      </c>
      <c r="AO153">
        <v>0</v>
      </c>
      <c r="AP153">
        <v>0</v>
      </c>
      <c r="AQ153">
        <v>0</v>
      </c>
      <c r="AR153">
        <v>0</v>
      </c>
      <c r="AS153">
        <v>0</v>
      </c>
      <c r="AT153">
        <v>105</v>
      </c>
      <c r="AU153">
        <v>0</v>
      </c>
      <c r="AV153">
        <v>105</v>
      </c>
      <c r="AW153">
        <v>0</v>
      </c>
      <c r="AX153">
        <v>41</v>
      </c>
      <c r="AY153">
        <v>0</v>
      </c>
      <c r="AZ153">
        <v>41</v>
      </c>
      <c r="BA153">
        <v>0</v>
      </c>
      <c r="BB153">
        <v>0</v>
      </c>
      <c r="BC153">
        <v>0</v>
      </c>
      <c r="BD153">
        <v>0</v>
      </c>
      <c r="BE153">
        <v>0</v>
      </c>
    </row>
    <row r="154" spans="1:57">
      <c r="A154" t="s">
        <v>17041</v>
      </c>
      <c r="B154" t="s">
        <v>17043</v>
      </c>
      <c r="C154">
        <v>1</v>
      </c>
      <c r="D154">
        <v>3</v>
      </c>
      <c r="E154">
        <v>3</v>
      </c>
      <c r="F154">
        <v>0</v>
      </c>
      <c r="G154">
        <v>0</v>
      </c>
      <c r="H154">
        <v>3</v>
      </c>
      <c r="I154">
        <v>0</v>
      </c>
      <c r="J154">
        <v>3</v>
      </c>
      <c r="K154">
        <v>170</v>
      </c>
      <c r="L154">
        <v>3</v>
      </c>
      <c r="M154">
        <v>0</v>
      </c>
      <c r="N154">
        <v>0</v>
      </c>
      <c r="O154">
        <v>0</v>
      </c>
      <c r="P154">
        <v>0</v>
      </c>
      <c r="Q154">
        <v>0</v>
      </c>
      <c r="R154">
        <v>0</v>
      </c>
      <c r="S154">
        <v>1</v>
      </c>
      <c r="T154">
        <v>1</v>
      </c>
      <c r="U154">
        <v>0</v>
      </c>
      <c r="V154">
        <v>2</v>
      </c>
      <c r="W154">
        <v>15</v>
      </c>
      <c r="X154">
        <v>0</v>
      </c>
      <c r="Y154">
        <v>0</v>
      </c>
      <c r="Z154">
        <v>2</v>
      </c>
      <c r="AA154">
        <v>-15</v>
      </c>
      <c r="AB154">
        <v>0</v>
      </c>
      <c r="AC154">
        <v>0</v>
      </c>
      <c r="AD154">
        <v>0</v>
      </c>
      <c r="AE154">
        <v>0</v>
      </c>
      <c r="AF154">
        <v>0</v>
      </c>
      <c r="AG154">
        <v>15</v>
      </c>
      <c r="AH154">
        <v>15</v>
      </c>
      <c r="AI154">
        <v>0</v>
      </c>
      <c r="AJ154">
        <v>0</v>
      </c>
      <c r="AK154">
        <v>15</v>
      </c>
      <c r="AL154">
        <v>15</v>
      </c>
      <c r="AM154">
        <v>0</v>
      </c>
      <c r="AN154">
        <v>0</v>
      </c>
      <c r="AO154">
        <v>0</v>
      </c>
      <c r="AP154">
        <v>0</v>
      </c>
      <c r="AQ154">
        <v>0</v>
      </c>
      <c r="AR154">
        <v>0</v>
      </c>
      <c r="AS154">
        <v>0</v>
      </c>
      <c r="AT154">
        <v>170</v>
      </c>
      <c r="AU154">
        <v>170</v>
      </c>
      <c r="AV154">
        <v>0</v>
      </c>
      <c r="AW154">
        <v>139</v>
      </c>
      <c r="AX154">
        <v>1</v>
      </c>
      <c r="AY154">
        <v>1</v>
      </c>
      <c r="AZ154">
        <v>0</v>
      </c>
      <c r="BA154">
        <v>0.5</v>
      </c>
      <c r="BB154">
        <v>1</v>
      </c>
      <c r="BC154">
        <v>1</v>
      </c>
      <c r="BD154">
        <v>0</v>
      </c>
      <c r="BE154">
        <v>0.5</v>
      </c>
    </row>
    <row r="155" spans="1:57">
      <c r="A155" t="s">
        <v>17041</v>
      </c>
      <c r="B155" t="s">
        <v>19341</v>
      </c>
      <c r="C155">
        <v>0</v>
      </c>
      <c r="D155">
        <v>20</v>
      </c>
      <c r="E155">
        <v>20</v>
      </c>
      <c r="F155">
        <v>20</v>
      </c>
      <c r="G155">
        <v>0</v>
      </c>
      <c r="H155">
        <v>0</v>
      </c>
      <c r="I155">
        <v>0</v>
      </c>
      <c r="J155">
        <v>20</v>
      </c>
      <c r="K155">
        <v>24</v>
      </c>
      <c r="L155">
        <v>20</v>
      </c>
      <c r="M155">
        <v>0</v>
      </c>
      <c r="N155">
        <v>0</v>
      </c>
      <c r="O155">
        <v>0</v>
      </c>
      <c r="P155">
        <v>0</v>
      </c>
      <c r="Q155">
        <v>0</v>
      </c>
      <c r="R155">
        <v>0</v>
      </c>
      <c r="S155">
        <v>8.25</v>
      </c>
      <c r="T155">
        <v>9</v>
      </c>
      <c r="U155">
        <v>0</v>
      </c>
      <c r="V155">
        <v>17.25</v>
      </c>
      <c r="W155">
        <v>262.5</v>
      </c>
      <c r="X155">
        <v>0</v>
      </c>
      <c r="Y155">
        <v>20</v>
      </c>
      <c r="Z155">
        <v>0</v>
      </c>
      <c r="AA155">
        <v>0</v>
      </c>
      <c r="AB155">
        <v>0</v>
      </c>
      <c r="AC155">
        <v>0</v>
      </c>
      <c r="AD155">
        <v>0</v>
      </c>
      <c r="AE155">
        <v>0</v>
      </c>
      <c r="AF155">
        <v>0</v>
      </c>
      <c r="AG155">
        <v>262.5</v>
      </c>
      <c r="AH155">
        <v>262.5</v>
      </c>
      <c r="AI155">
        <v>0</v>
      </c>
      <c r="AJ155">
        <v>0</v>
      </c>
      <c r="AK155">
        <v>0</v>
      </c>
      <c r="AL155">
        <v>0</v>
      </c>
      <c r="AM155">
        <v>0</v>
      </c>
      <c r="AN155">
        <v>0</v>
      </c>
      <c r="AO155">
        <v>0</v>
      </c>
      <c r="AP155">
        <v>0</v>
      </c>
      <c r="AQ155">
        <v>0</v>
      </c>
      <c r="AR155">
        <v>0</v>
      </c>
      <c r="AS155">
        <v>0</v>
      </c>
      <c r="AT155">
        <v>24</v>
      </c>
      <c r="AU155">
        <v>0</v>
      </c>
      <c r="AV155">
        <v>24</v>
      </c>
      <c r="AW155">
        <v>0</v>
      </c>
      <c r="AX155">
        <v>8.25</v>
      </c>
      <c r="AY155">
        <v>0</v>
      </c>
      <c r="AZ155">
        <v>8.25</v>
      </c>
      <c r="BA155">
        <v>0</v>
      </c>
      <c r="BB155">
        <v>9</v>
      </c>
      <c r="BC155">
        <v>0</v>
      </c>
      <c r="BD155">
        <v>9</v>
      </c>
      <c r="BE155">
        <v>0</v>
      </c>
    </row>
    <row r="156" spans="1:57">
      <c r="A156" t="s">
        <v>17041</v>
      </c>
      <c r="B156" t="s">
        <v>19979</v>
      </c>
      <c r="C156">
        <v>2</v>
      </c>
      <c r="D156">
        <v>2</v>
      </c>
      <c r="E156">
        <v>2</v>
      </c>
      <c r="F156">
        <v>2</v>
      </c>
      <c r="G156">
        <v>0</v>
      </c>
      <c r="H156">
        <v>0</v>
      </c>
      <c r="I156">
        <v>0</v>
      </c>
      <c r="J156">
        <v>0</v>
      </c>
      <c r="K156">
        <v>0</v>
      </c>
      <c r="L156">
        <v>0</v>
      </c>
      <c r="M156">
        <v>0</v>
      </c>
      <c r="N156">
        <v>0</v>
      </c>
      <c r="O156">
        <v>0</v>
      </c>
      <c r="P156">
        <v>0</v>
      </c>
      <c r="Q156">
        <v>0</v>
      </c>
      <c r="R156">
        <v>0</v>
      </c>
      <c r="S156">
        <v>0.5</v>
      </c>
      <c r="T156">
        <v>0</v>
      </c>
      <c r="U156">
        <v>0</v>
      </c>
      <c r="V156">
        <v>0.5</v>
      </c>
      <c r="W156">
        <v>0</v>
      </c>
      <c r="X156">
        <v>0</v>
      </c>
      <c r="Y156">
        <v>0</v>
      </c>
      <c r="Z156">
        <v>0</v>
      </c>
      <c r="AA156">
        <v>-5</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0.5</v>
      </c>
      <c r="AY156">
        <v>0</v>
      </c>
      <c r="AZ156">
        <v>0</v>
      </c>
      <c r="BA156">
        <v>0.5</v>
      </c>
      <c r="BB156">
        <v>0</v>
      </c>
      <c r="BC156">
        <v>0</v>
      </c>
      <c r="BD156">
        <v>0</v>
      </c>
      <c r="BE156">
        <v>0</v>
      </c>
    </row>
    <row r="157" spans="1:57">
      <c r="A157" t="s">
        <v>17041</v>
      </c>
      <c r="B157" t="s">
        <v>17303</v>
      </c>
      <c r="C157">
        <v>0</v>
      </c>
      <c r="D157">
        <v>2</v>
      </c>
      <c r="E157">
        <v>1</v>
      </c>
      <c r="F157">
        <v>2</v>
      </c>
      <c r="G157">
        <v>0</v>
      </c>
      <c r="H157">
        <v>0</v>
      </c>
      <c r="I157">
        <v>0</v>
      </c>
      <c r="J157">
        <v>2</v>
      </c>
      <c r="K157">
        <v>12</v>
      </c>
      <c r="L157">
        <v>2</v>
      </c>
      <c r="M157">
        <v>0</v>
      </c>
      <c r="N157">
        <v>0</v>
      </c>
      <c r="O157">
        <v>0</v>
      </c>
      <c r="P157">
        <v>0</v>
      </c>
      <c r="Q157">
        <v>0</v>
      </c>
      <c r="R157">
        <v>0</v>
      </c>
      <c r="S157">
        <v>0.75</v>
      </c>
      <c r="T157">
        <v>1.5</v>
      </c>
      <c r="U157">
        <v>0</v>
      </c>
      <c r="V157">
        <v>2.25</v>
      </c>
      <c r="W157">
        <v>37.5</v>
      </c>
      <c r="X157">
        <v>0</v>
      </c>
      <c r="Y157">
        <v>2</v>
      </c>
      <c r="Z157">
        <v>0</v>
      </c>
      <c r="AA157">
        <v>0</v>
      </c>
      <c r="AB157">
        <v>0</v>
      </c>
      <c r="AC157">
        <v>0</v>
      </c>
      <c r="AD157">
        <v>0</v>
      </c>
      <c r="AE157">
        <v>0</v>
      </c>
      <c r="AF157">
        <v>0</v>
      </c>
      <c r="AG157">
        <v>37.5</v>
      </c>
      <c r="AH157">
        <v>37.5</v>
      </c>
      <c r="AI157">
        <v>0</v>
      </c>
      <c r="AJ157">
        <v>0</v>
      </c>
      <c r="AK157">
        <v>0</v>
      </c>
      <c r="AL157">
        <v>0</v>
      </c>
      <c r="AM157">
        <v>0</v>
      </c>
      <c r="AN157">
        <v>0</v>
      </c>
      <c r="AO157">
        <v>0</v>
      </c>
      <c r="AP157">
        <v>0</v>
      </c>
      <c r="AQ157">
        <v>0</v>
      </c>
      <c r="AR157">
        <v>0</v>
      </c>
      <c r="AS157">
        <v>0</v>
      </c>
      <c r="AT157">
        <v>12</v>
      </c>
      <c r="AU157">
        <v>0</v>
      </c>
      <c r="AV157">
        <v>12</v>
      </c>
      <c r="AW157">
        <v>0</v>
      </c>
      <c r="AX157">
        <v>0.75</v>
      </c>
      <c r="AY157">
        <v>0</v>
      </c>
      <c r="AZ157">
        <v>0.75</v>
      </c>
      <c r="BA157">
        <v>0</v>
      </c>
      <c r="BB157">
        <v>1.5</v>
      </c>
      <c r="BC157">
        <v>0</v>
      </c>
      <c r="BD157">
        <v>1.5</v>
      </c>
      <c r="BE157">
        <v>0</v>
      </c>
    </row>
    <row r="158" spans="1:57">
      <c r="A158" t="s">
        <v>17044</v>
      </c>
      <c r="B158" t="s">
        <v>17046</v>
      </c>
      <c r="C158">
        <v>0</v>
      </c>
      <c r="D158">
        <v>7</v>
      </c>
      <c r="E158">
        <v>6</v>
      </c>
      <c r="F158">
        <v>7</v>
      </c>
      <c r="G158">
        <v>1</v>
      </c>
      <c r="H158">
        <v>1</v>
      </c>
      <c r="I158">
        <v>0</v>
      </c>
      <c r="J158">
        <v>7</v>
      </c>
      <c r="K158">
        <v>48</v>
      </c>
      <c r="L158">
        <v>2</v>
      </c>
      <c r="M158">
        <v>0</v>
      </c>
      <c r="N158">
        <v>1</v>
      </c>
      <c r="O158">
        <v>2</v>
      </c>
      <c r="P158">
        <v>0</v>
      </c>
      <c r="Q158">
        <v>2</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48</v>
      </c>
      <c r="AU158">
        <v>3</v>
      </c>
      <c r="AV158">
        <v>45</v>
      </c>
      <c r="AW158">
        <v>0</v>
      </c>
      <c r="AX158">
        <v>0</v>
      </c>
      <c r="AY158">
        <v>0</v>
      </c>
      <c r="AZ158">
        <v>0</v>
      </c>
      <c r="BA158">
        <v>0</v>
      </c>
      <c r="BB158">
        <v>0</v>
      </c>
      <c r="BC158">
        <v>0</v>
      </c>
      <c r="BD158">
        <v>0</v>
      </c>
      <c r="BE158">
        <v>0</v>
      </c>
    </row>
    <row r="159" spans="1:57">
      <c r="A159" t="s">
        <v>17044</v>
      </c>
      <c r="B159" t="s">
        <v>17047</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row>
    <row r="160" spans="1:57">
      <c r="A160" t="s">
        <v>17044</v>
      </c>
      <c r="B160" t="s">
        <v>17048</v>
      </c>
      <c r="C160">
        <v>0</v>
      </c>
      <c r="D160">
        <v>1</v>
      </c>
      <c r="E160">
        <v>1</v>
      </c>
      <c r="F160">
        <v>1</v>
      </c>
      <c r="G160">
        <v>0</v>
      </c>
      <c r="H160">
        <v>0</v>
      </c>
      <c r="I160">
        <v>0</v>
      </c>
      <c r="J160">
        <v>1</v>
      </c>
      <c r="K160">
        <v>5</v>
      </c>
      <c r="L160">
        <v>0</v>
      </c>
      <c r="M160">
        <v>0</v>
      </c>
      <c r="N160">
        <v>0</v>
      </c>
      <c r="O160">
        <v>1</v>
      </c>
      <c r="P160">
        <v>0</v>
      </c>
      <c r="Q160">
        <v>0</v>
      </c>
      <c r="R160">
        <v>0</v>
      </c>
      <c r="S160">
        <v>0.5</v>
      </c>
      <c r="T160">
        <v>0</v>
      </c>
      <c r="U160">
        <v>0</v>
      </c>
      <c r="V160">
        <v>0.5</v>
      </c>
      <c r="W160">
        <v>5</v>
      </c>
      <c r="X160">
        <v>0</v>
      </c>
      <c r="Y160">
        <v>1</v>
      </c>
      <c r="Z160">
        <v>0</v>
      </c>
      <c r="AA160">
        <v>0</v>
      </c>
      <c r="AB160">
        <v>0</v>
      </c>
      <c r="AC160">
        <v>0</v>
      </c>
      <c r="AD160">
        <v>0</v>
      </c>
      <c r="AE160">
        <v>0</v>
      </c>
      <c r="AF160">
        <v>0</v>
      </c>
      <c r="AG160">
        <v>5</v>
      </c>
      <c r="AH160">
        <v>5</v>
      </c>
      <c r="AI160">
        <v>0</v>
      </c>
      <c r="AJ160">
        <v>0</v>
      </c>
      <c r="AK160">
        <v>0</v>
      </c>
      <c r="AL160">
        <v>0</v>
      </c>
      <c r="AM160">
        <v>0</v>
      </c>
      <c r="AN160">
        <v>0</v>
      </c>
      <c r="AO160">
        <v>0</v>
      </c>
      <c r="AP160">
        <v>0</v>
      </c>
      <c r="AQ160">
        <v>0</v>
      </c>
      <c r="AR160">
        <v>0</v>
      </c>
      <c r="AS160">
        <v>0</v>
      </c>
      <c r="AT160">
        <v>5</v>
      </c>
      <c r="AU160">
        <v>0</v>
      </c>
      <c r="AV160">
        <v>5</v>
      </c>
      <c r="AW160">
        <v>0</v>
      </c>
      <c r="AX160">
        <v>0.5</v>
      </c>
      <c r="AY160">
        <v>0</v>
      </c>
      <c r="AZ160">
        <v>0.5</v>
      </c>
      <c r="BA160">
        <v>0</v>
      </c>
      <c r="BB160">
        <v>0</v>
      </c>
      <c r="BC160">
        <v>0</v>
      </c>
      <c r="BD160">
        <v>0</v>
      </c>
      <c r="BE160">
        <v>0</v>
      </c>
    </row>
    <row r="161" spans="1:58">
      <c r="A161" t="s">
        <v>17044</v>
      </c>
      <c r="B161" t="s">
        <v>17049</v>
      </c>
      <c r="C161">
        <v>0</v>
      </c>
      <c r="D161">
        <v>19</v>
      </c>
      <c r="E161">
        <v>19</v>
      </c>
      <c r="F161">
        <v>18</v>
      </c>
      <c r="G161">
        <v>5</v>
      </c>
      <c r="H161">
        <v>1</v>
      </c>
      <c r="I161">
        <v>0</v>
      </c>
      <c r="J161">
        <v>19</v>
      </c>
      <c r="K161">
        <v>176</v>
      </c>
      <c r="L161">
        <v>2</v>
      </c>
      <c r="M161">
        <v>0</v>
      </c>
      <c r="N161">
        <v>2</v>
      </c>
      <c r="O161">
        <v>4</v>
      </c>
      <c r="P161">
        <v>0</v>
      </c>
      <c r="Q161">
        <v>11</v>
      </c>
      <c r="R161">
        <v>0</v>
      </c>
      <c r="S161">
        <v>4.75</v>
      </c>
      <c r="T161">
        <v>23</v>
      </c>
      <c r="U161">
        <v>0</v>
      </c>
      <c r="V161">
        <v>27.75</v>
      </c>
      <c r="W161">
        <v>507.5</v>
      </c>
      <c r="X161">
        <v>0</v>
      </c>
      <c r="Y161">
        <v>10</v>
      </c>
      <c r="Z161">
        <v>0</v>
      </c>
      <c r="AA161">
        <v>0</v>
      </c>
      <c r="AB161">
        <v>340</v>
      </c>
      <c r="AC161">
        <v>129.5</v>
      </c>
      <c r="AD161">
        <v>137.25</v>
      </c>
      <c r="AE161">
        <v>20</v>
      </c>
      <c r="AF161">
        <v>471</v>
      </c>
      <c r="AG161">
        <v>637</v>
      </c>
      <c r="AH161">
        <v>617</v>
      </c>
      <c r="AI161">
        <v>0</v>
      </c>
      <c r="AJ161">
        <v>415.5</v>
      </c>
      <c r="AK161">
        <v>445.5</v>
      </c>
      <c r="AL161">
        <v>445.5</v>
      </c>
      <c r="AM161">
        <v>1</v>
      </c>
      <c r="AN161">
        <v>2</v>
      </c>
      <c r="AO161">
        <v>0</v>
      </c>
      <c r="AP161">
        <v>0</v>
      </c>
      <c r="AQ161">
        <v>0</v>
      </c>
      <c r="AR161">
        <v>0</v>
      </c>
      <c r="AS161">
        <v>0</v>
      </c>
      <c r="AT161">
        <v>176</v>
      </c>
      <c r="AU161">
        <v>12</v>
      </c>
      <c r="AV161">
        <v>164</v>
      </c>
      <c r="AW161">
        <v>0</v>
      </c>
      <c r="AX161">
        <v>4.75</v>
      </c>
      <c r="AY161">
        <v>2</v>
      </c>
      <c r="AZ161">
        <v>2.75</v>
      </c>
      <c r="BA161">
        <v>0</v>
      </c>
      <c r="BB161">
        <v>23</v>
      </c>
      <c r="BC161">
        <v>17.5</v>
      </c>
      <c r="BD161">
        <v>5.5</v>
      </c>
      <c r="BE161">
        <v>0</v>
      </c>
    </row>
    <row r="162" spans="1:58">
      <c r="A162" t="s">
        <v>17044</v>
      </c>
      <c r="B162" t="s">
        <v>18821</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row>
    <row r="163" spans="1:58">
      <c r="A163" t="s">
        <v>17044</v>
      </c>
      <c r="B163" t="s">
        <v>17050</v>
      </c>
      <c r="C163">
        <v>0</v>
      </c>
      <c r="D163">
        <v>17</v>
      </c>
      <c r="E163">
        <v>15</v>
      </c>
      <c r="F163">
        <v>12</v>
      </c>
      <c r="G163">
        <v>1</v>
      </c>
      <c r="H163">
        <v>7</v>
      </c>
      <c r="I163">
        <v>0</v>
      </c>
      <c r="J163">
        <v>12</v>
      </c>
      <c r="K163">
        <v>142</v>
      </c>
      <c r="L163">
        <v>1</v>
      </c>
      <c r="M163">
        <v>2</v>
      </c>
      <c r="N163">
        <v>3</v>
      </c>
      <c r="O163">
        <v>3</v>
      </c>
      <c r="P163">
        <v>0</v>
      </c>
      <c r="Q163">
        <v>3</v>
      </c>
      <c r="R163">
        <v>0</v>
      </c>
      <c r="S163">
        <v>7</v>
      </c>
      <c r="T163">
        <v>3.25</v>
      </c>
      <c r="U163">
        <v>0</v>
      </c>
      <c r="V163">
        <v>10.25</v>
      </c>
      <c r="W163">
        <v>135</v>
      </c>
      <c r="X163">
        <v>0</v>
      </c>
      <c r="Y163">
        <v>6</v>
      </c>
      <c r="Z163">
        <v>0</v>
      </c>
      <c r="AA163">
        <v>0</v>
      </c>
      <c r="AB163">
        <v>20</v>
      </c>
      <c r="AC163">
        <v>28.05</v>
      </c>
      <c r="AD163">
        <v>28.05</v>
      </c>
      <c r="AE163">
        <v>13.25</v>
      </c>
      <c r="AF163">
        <v>48.05</v>
      </c>
      <c r="AG163">
        <v>163.05000000000001</v>
      </c>
      <c r="AH163">
        <v>149.80000000000001</v>
      </c>
      <c r="AI163">
        <v>13.25</v>
      </c>
      <c r="AJ163">
        <v>13.25</v>
      </c>
      <c r="AK163">
        <v>13.25</v>
      </c>
      <c r="AL163">
        <v>0</v>
      </c>
      <c r="AM163">
        <v>0</v>
      </c>
      <c r="AN163">
        <v>1</v>
      </c>
      <c r="AO163">
        <v>0</v>
      </c>
      <c r="AP163">
        <v>0</v>
      </c>
      <c r="AQ163">
        <v>0</v>
      </c>
      <c r="AR163">
        <v>0</v>
      </c>
      <c r="AS163">
        <v>0</v>
      </c>
      <c r="AT163">
        <v>142</v>
      </c>
      <c r="AU163">
        <v>53</v>
      </c>
      <c r="AV163">
        <v>89</v>
      </c>
      <c r="AW163">
        <v>0</v>
      </c>
      <c r="AX163">
        <v>7</v>
      </c>
      <c r="AY163">
        <v>0</v>
      </c>
      <c r="AZ163">
        <v>7</v>
      </c>
      <c r="BA163">
        <v>0</v>
      </c>
      <c r="BB163">
        <v>3.25</v>
      </c>
      <c r="BC163">
        <v>0</v>
      </c>
      <c r="BD163">
        <v>3.25</v>
      </c>
      <c r="BE163">
        <v>0</v>
      </c>
    </row>
    <row r="164" spans="1:58">
      <c r="A164" t="s">
        <v>17044</v>
      </c>
      <c r="B164" t="s">
        <v>17341</v>
      </c>
      <c r="C164">
        <v>0</v>
      </c>
      <c r="D164">
        <v>5</v>
      </c>
      <c r="E164">
        <v>0</v>
      </c>
      <c r="F164">
        <v>4</v>
      </c>
      <c r="G164">
        <v>0</v>
      </c>
      <c r="H164">
        <v>0</v>
      </c>
      <c r="I164">
        <v>0</v>
      </c>
      <c r="J164">
        <v>5</v>
      </c>
      <c r="K164">
        <v>31</v>
      </c>
      <c r="L164">
        <v>2</v>
      </c>
      <c r="M164">
        <v>2</v>
      </c>
      <c r="N164">
        <v>0</v>
      </c>
      <c r="O164">
        <v>0</v>
      </c>
      <c r="P164">
        <v>0</v>
      </c>
      <c r="Q164">
        <v>0</v>
      </c>
      <c r="R164">
        <v>0</v>
      </c>
      <c r="S164">
        <v>4</v>
      </c>
      <c r="T164">
        <v>0</v>
      </c>
      <c r="U164">
        <v>0</v>
      </c>
      <c r="V164">
        <v>4</v>
      </c>
      <c r="W164">
        <v>40</v>
      </c>
      <c r="X164">
        <v>0</v>
      </c>
      <c r="Y164">
        <v>3</v>
      </c>
      <c r="Z164">
        <v>0</v>
      </c>
      <c r="AA164">
        <v>0</v>
      </c>
      <c r="AB164">
        <v>0</v>
      </c>
      <c r="AC164">
        <v>0</v>
      </c>
      <c r="AD164">
        <v>0</v>
      </c>
      <c r="AE164">
        <v>0</v>
      </c>
      <c r="AF164">
        <v>0</v>
      </c>
      <c r="AG164">
        <v>40</v>
      </c>
      <c r="AH164">
        <v>40</v>
      </c>
      <c r="AI164">
        <v>0</v>
      </c>
      <c r="AJ164">
        <v>0</v>
      </c>
      <c r="AK164">
        <v>0</v>
      </c>
      <c r="AL164">
        <v>0</v>
      </c>
      <c r="AM164">
        <v>0</v>
      </c>
      <c r="AN164">
        <v>0</v>
      </c>
      <c r="AO164">
        <v>0</v>
      </c>
      <c r="AP164">
        <v>0</v>
      </c>
      <c r="AQ164">
        <v>0</v>
      </c>
      <c r="AR164">
        <v>0</v>
      </c>
      <c r="AS164">
        <v>0</v>
      </c>
      <c r="AT164">
        <v>31</v>
      </c>
      <c r="AU164">
        <v>0</v>
      </c>
      <c r="AV164">
        <v>31</v>
      </c>
      <c r="AW164">
        <v>0</v>
      </c>
      <c r="AX164">
        <v>4</v>
      </c>
      <c r="AY164">
        <v>0</v>
      </c>
      <c r="AZ164">
        <v>4</v>
      </c>
      <c r="BA164">
        <v>0</v>
      </c>
      <c r="BB164">
        <v>0</v>
      </c>
      <c r="BC164">
        <v>0</v>
      </c>
      <c r="BD164">
        <v>0</v>
      </c>
      <c r="BE164">
        <v>0</v>
      </c>
    </row>
    <row r="165" spans="1:58">
      <c r="A165" t="s">
        <v>17044</v>
      </c>
      <c r="B165" t="s">
        <v>17052</v>
      </c>
      <c r="C165">
        <v>0</v>
      </c>
      <c r="D165">
        <v>6</v>
      </c>
      <c r="E165">
        <v>6</v>
      </c>
      <c r="F165">
        <v>6</v>
      </c>
      <c r="G165">
        <v>0</v>
      </c>
      <c r="H165">
        <v>1</v>
      </c>
      <c r="I165">
        <v>0</v>
      </c>
      <c r="J165">
        <v>6</v>
      </c>
      <c r="K165">
        <v>49</v>
      </c>
      <c r="L165">
        <v>4</v>
      </c>
      <c r="M165">
        <v>0</v>
      </c>
      <c r="N165">
        <v>0</v>
      </c>
      <c r="O165">
        <v>2</v>
      </c>
      <c r="P165">
        <v>0</v>
      </c>
      <c r="Q165">
        <v>0</v>
      </c>
      <c r="R165">
        <v>0</v>
      </c>
      <c r="S165">
        <v>8.5</v>
      </c>
      <c r="T165">
        <v>7.75</v>
      </c>
      <c r="U165">
        <v>0</v>
      </c>
      <c r="V165">
        <v>16.25</v>
      </c>
      <c r="W165">
        <v>240</v>
      </c>
      <c r="X165">
        <v>0</v>
      </c>
      <c r="Y165">
        <v>6</v>
      </c>
      <c r="Z165">
        <v>0</v>
      </c>
      <c r="AA165">
        <v>0</v>
      </c>
      <c r="AB165">
        <v>130</v>
      </c>
      <c r="AC165">
        <v>0</v>
      </c>
      <c r="AD165">
        <v>0</v>
      </c>
      <c r="AE165">
        <v>0</v>
      </c>
      <c r="AF165">
        <v>130</v>
      </c>
      <c r="AG165">
        <v>240</v>
      </c>
      <c r="AH165">
        <v>240</v>
      </c>
      <c r="AI165">
        <v>0</v>
      </c>
      <c r="AJ165">
        <v>90</v>
      </c>
      <c r="AK165">
        <v>120</v>
      </c>
      <c r="AL165">
        <v>120</v>
      </c>
      <c r="AM165">
        <v>0</v>
      </c>
      <c r="AN165">
        <v>0</v>
      </c>
      <c r="AO165">
        <v>0</v>
      </c>
      <c r="AP165">
        <v>0</v>
      </c>
      <c r="AQ165">
        <v>0</v>
      </c>
      <c r="AR165">
        <v>0</v>
      </c>
      <c r="AS165">
        <v>0</v>
      </c>
      <c r="AT165">
        <v>49</v>
      </c>
      <c r="AU165">
        <v>21</v>
      </c>
      <c r="AV165">
        <v>28</v>
      </c>
      <c r="AW165">
        <v>0</v>
      </c>
      <c r="AX165">
        <v>8.5</v>
      </c>
      <c r="AY165">
        <v>2</v>
      </c>
      <c r="AZ165">
        <v>6.5</v>
      </c>
      <c r="BA165">
        <v>0</v>
      </c>
      <c r="BB165">
        <v>7.75</v>
      </c>
      <c r="BC165">
        <v>5</v>
      </c>
      <c r="BD165">
        <v>2.75</v>
      </c>
      <c r="BE165">
        <v>0</v>
      </c>
    </row>
    <row r="166" spans="1:58">
      <c r="A166" t="s">
        <v>17044</v>
      </c>
      <c r="B166" t="s">
        <v>17342</v>
      </c>
      <c r="C166">
        <v>1</v>
      </c>
      <c r="D166">
        <v>7</v>
      </c>
      <c r="E166">
        <v>7</v>
      </c>
      <c r="F166">
        <v>7</v>
      </c>
      <c r="G166">
        <v>0</v>
      </c>
      <c r="H166">
        <v>0</v>
      </c>
      <c r="I166">
        <v>1</v>
      </c>
      <c r="J166">
        <v>7</v>
      </c>
      <c r="K166">
        <v>52</v>
      </c>
      <c r="L166">
        <v>2</v>
      </c>
      <c r="M166">
        <v>1</v>
      </c>
      <c r="N166">
        <v>0</v>
      </c>
      <c r="O166">
        <v>4</v>
      </c>
      <c r="P166">
        <v>0</v>
      </c>
      <c r="Q166">
        <v>0</v>
      </c>
      <c r="R166">
        <v>0</v>
      </c>
      <c r="S166">
        <v>3.25</v>
      </c>
      <c r="T166">
        <v>0</v>
      </c>
      <c r="U166">
        <v>0</v>
      </c>
      <c r="V166">
        <v>3.25</v>
      </c>
      <c r="W166">
        <v>30</v>
      </c>
      <c r="X166">
        <v>0</v>
      </c>
      <c r="Y166">
        <v>6</v>
      </c>
      <c r="Z166">
        <v>0</v>
      </c>
      <c r="AA166">
        <v>-2.5</v>
      </c>
      <c r="AB166">
        <v>0</v>
      </c>
      <c r="AC166">
        <v>0</v>
      </c>
      <c r="AD166">
        <v>0</v>
      </c>
      <c r="AE166">
        <v>0</v>
      </c>
      <c r="AF166">
        <v>0</v>
      </c>
      <c r="AG166">
        <v>30</v>
      </c>
      <c r="AH166">
        <v>30</v>
      </c>
      <c r="AI166">
        <v>0</v>
      </c>
      <c r="AJ166">
        <v>0</v>
      </c>
      <c r="AK166">
        <v>0</v>
      </c>
      <c r="AL166">
        <v>0</v>
      </c>
      <c r="AM166">
        <v>0</v>
      </c>
      <c r="AN166">
        <v>0</v>
      </c>
      <c r="AO166">
        <v>0</v>
      </c>
      <c r="AP166">
        <v>0</v>
      </c>
      <c r="AQ166">
        <v>0</v>
      </c>
      <c r="AR166">
        <v>0</v>
      </c>
      <c r="AS166">
        <v>0</v>
      </c>
      <c r="AT166">
        <v>52</v>
      </c>
      <c r="AU166">
        <v>0</v>
      </c>
      <c r="AV166">
        <v>50</v>
      </c>
      <c r="AW166">
        <v>2</v>
      </c>
      <c r="AX166">
        <v>3.25</v>
      </c>
      <c r="AY166">
        <v>0</v>
      </c>
      <c r="AZ166">
        <v>3</v>
      </c>
      <c r="BA166">
        <v>0.25</v>
      </c>
      <c r="BB166">
        <v>0</v>
      </c>
      <c r="BC166">
        <v>0</v>
      </c>
      <c r="BD166">
        <v>0</v>
      </c>
      <c r="BE166">
        <v>0</v>
      </c>
    </row>
    <row r="167" spans="1:58">
      <c r="A167" t="s">
        <v>17044</v>
      </c>
      <c r="B167" t="s">
        <v>17057</v>
      </c>
      <c r="C167">
        <v>35</v>
      </c>
      <c r="D167">
        <v>48</v>
      </c>
      <c r="E167">
        <v>48</v>
      </c>
      <c r="F167">
        <v>45</v>
      </c>
      <c r="G167">
        <v>12</v>
      </c>
      <c r="H167">
        <v>0</v>
      </c>
      <c r="I167">
        <v>1</v>
      </c>
      <c r="J167">
        <v>48</v>
      </c>
      <c r="K167">
        <v>623</v>
      </c>
      <c r="L167">
        <v>31</v>
      </c>
      <c r="M167">
        <v>1</v>
      </c>
      <c r="N167">
        <v>7</v>
      </c>
      <c r="O167">
        <v>1</v>
      </c>
      <c r="P167">
        <v>4</v>
      </c>
      <c r="Q167">
        <v>3</v>
      </c>
      <c r="R167">
        <v>0</v>
      </c>
      <c r="S167">
        <v>21.1</v>
      </c>
      <c r="T167">
        <v>13.494999999999999</v>
      </c>
      <c r="U167">
        <v>0.25</v>
      </c>
      <c r="V167">
        <v>34.845000000000006</v>
      </c>
      <c r="W167">
        <v>214.9</v>
      </c>
      <c r="X167">
        <v>0</v>
      </c>
      <c r="Y167">
        <v>12</v>
      </c>
      <c r="Z167">
        <v>0</v>
      </c>
      <c r="AA167">
        <v>-266</v>
      </c>
      <c r="AB167">
        <v>0</v>
      </c>
      <c r="AC167">
        <v>493.45100000000002</v>
      </c>
      <c r="AD167">
        <v>492.45</v>
      </c>
      <c r="AE167">
        <v>134.30000000000001</v>
      </c>
      <c r="AF167">
        <v>492.45</v>
      </c>
      <c r="AG167">
        <v>713.35099999999989</v>
      </c>
      <c r="AH167">
        <v>579.05100000000004</v>
      </c>
      <c r="AI167">
        <v>0</v>
      </c>
      <c r="AJ167">
        <v>0</v>
      </c>
      <c r="AK167">
        <v>0</v>
      </c>
      <c r="AL167">
        <v>0</v>
      </c>
      <c r="AM167">
        <v>22</v>
      </c>
      <c r="AN167">
        <v>6</v>
      </c>
      <c r="AO167">
        <v>0</v>
      </c>
      <c r="AP167">
        <v>0</v>
      </c>
      <c r="AQ167">
        <v>0</v>
      </c>
      <c r="AR167">
        <v>0</v>
      </c>
      <c r="AS167">
        <v>0</v>
      </c>
      <c r="AT167">
        <v>623</v>
      </c>
      <c r="AU167">
        <v>0</v>
      </c>
      <c r="AV167">
        <v>131</v>
      </c>
      <c r="AW167">
        <v>492</v>
      </c>
      <c r="AX167">
        <v>21.1</v>
      </c>
      <c r="AY167">
        <v>0</v>
      </c>
      <c r="AZ167">
        <v>7.5</v>
      </c>
      <c r="BA167">
        <v>13.6</v>
      </c>
      <c r="BB167">
        <v>13.494999999999999</v>
      </c>
      <c r="BC167">
        <v>0</v>
      </c>
      <c r="BD167">
        <v>6.9950000000000001</v>
      </c>
      <c r="BE167">
        <v>6.5</v>
      </c>
    </row>
    <row r="168" spans="1:58">
      <c r="A168" t="s">
        <v>17044</v>
      </c>
      <c r="B168" t="s">
        <v>17340</v>
      </c>
      <c r="C168">
        <v>0</v>
      </c>
      <c r="D168">
        <v>46</v>
      </c>
      <c r="E168">
        <v>46</v>
      </c>
      <c r="F168">
        <v>46</v>
      </c>
      <c r="G168">
        <v>3</v>
      </c>
      <c r="H168">
        <v>0</v>
      </c>
      <c r="I168">
        <v>0</v>
      </c>
      <c r="J168">
        <v>46</v>
      </c>
      <c r="K168">
        <v>440</v>
      </c>
      <c r="L168">
        <v>31</v>
      </c>
      <c r="M168">
        <v>1</v>
      </c>
      <c r="N168">
        <v>6</v>
      </c>
      <c r="O168">
        <v>7</v>
      </c>
      <c r="P168">
        <v>0</v>
      </c>
      <c r="Q168">
        <v>1</v>
      </c>
      <c r="R168">
        <v>0</v>
      </c>
      <c r="S168">
        <v>21.25</v>
      </c>
      <c r="T168">
        <v>41</v>
      </c>
      <c r="U168">
        <v>0</v>
      </c>
      <c r="V168">
        <v>62.25</v>
      </c>
      <c r="W168">
        <v>1032.5</v>
      </c>
      <c r="X168">
        <v>0</v>
      </c>
      <c r="Y168">
        <v>38</v>
      </c>
      <c r="Z168">
        <v>1</v>
      </c>
      <c r="AA168">
        <v>0</v>
      </c>
      <c r="AB168">
        <v>322.5</v>
      </c>
      <c r="AC168">
        <v>0</v>
      </c>
      <c r="AD168">
        <v>0</v>
      </c>
      <c r="AE168">
        <v>307.5</v>
      </c>
      <c r="AF168">
        <v>322.5</v>
      </c>
      <c r="AG168">
        <v>1032.5</v>
      </c>
      <c r="AH168">
        <v>725</v>
      </c>
      <c r="AI168">
        <v>0</v>
      </c>
      <c r="AJ168">
        <v>0</v>
      </c>
      <c r="AK168">
        <v>0</v>
      </c>
      <c r="AL168">
        <v>0</v>
      </c>
      <c r="AM168">
        <v>0</v>
      </c>
      <c r="AN168">
        <v>1</v>
      </c>
      <c r="AO168">
        <v>0</v>
      </c>
      <c r="AP168">
        <v>1</v>
      </c>
      <c r="AQ168">
        <v>0</v>
      </c>
      <c r="AR168">
        <v>0</v>
      </c>
      <c r="AS168">
        <v>0</v>
      </c>
      <c r="AT168">
        <v>440</v>
      </c>
      <c r="AU168">
        <v>0</v>
      </c>
      <c r="AV168">
        <v>440</v>
      </c>
      <c r="AW168">
        <v>0</v>
      </c>
      <c r="AX168">
        <v>21.25</v>
      </c>
      <c r="AY168">
        <v>0</v>
      </c>
      <c r="AZ168">
        <v>21.25</v>
      </c>
      <c r="BA168">
        <v>0</v>
      </c>
      <c r="BB168">
        <v>41</v>
      </c>
      <c r="BC168">
        <v>0</v>
      </c>
      <c r="BD168">
        <v>41</v>
      </c>
      <c r="BE168">
        <v>0</v>
      </c>
    </row>
    <row r="169" spans="1:58">
      <c r="A169" t="s">
        <v>17044</v>
      </c>
      <c r="B169" t="s">
        <v>17058</v>
      </c>
      <c r="C169">
        <v>96</v>
      </c>
      <c r="D169">
        <v>163</v>
      </c>
      <c r="E169">
        <v>163</v>
      </c>
      <c r="F169">
        <v>158</v>
      </c>
      <c r="G169">
        <v>3</v>
      </c>
      <c r="H169">
        <v>2</v>
      </c>
      <c r="I169">
        <v>0</v>
      </c>
      <c r="J169">
        <v>163</v>
      </c>
      <c r="K169">
        <v>1025</v>
      </c>
      <c r="L169">
        <v>79</v>
      </c>
      <c r="M169">
        <v>29</v>
      </c>
      <c r="N169">
        <v>30</v>
      </c>
      <c r="O169">
        <v>25</v>
      </c>
      <c r="P169">
        <v>0</v>
      </c>
      <c r="Q169">
        <v>0</v>
      </c>
      <c r="R169">
        <v>0</v>
      </c>
      <c r="S169">
        <v>100.75</v>
      </c>
      <c r="T169">
        <v>104</v>
      </c>
      <c r="U169">
        <v>14.5</v>
      </c>
      <c r="V169">
        <v>219.25</v>
      </c>
      <c r="W169">
        <v>1272.5</v>
      </c>
      <c r="X169">
        <v>0</v>
      </c>
      <c r="Y169">
        <v>67</v>
      </c>
      <c r="Z169">
        <v>0</v>
      </c>
      <c r="AA169">
        <v>-1815</v>
      </c>
      <c r="AB169">
        <v>350</v>
      </c>
      <c r="AC169">
        <v>1872.75</v>
      </c>
      <c r="AD169">
        <v>1872.75</v>
      </c>
      <c r="AE169">
        <v>793.25</v>
      </c>
      <c r="AF169">
        <v>2222.75</v>
      </c>
      <c r="AG169">
        <v>3435.25</v>
      </c>
      <c r="AH169">
        <v>2642</v>
      </c>
      <c r="AI169">
        <v>0</v>
      </c>
      <c r="AJ169">
        <v>532.75</v>
      </c>
      <c r="AK169">
        <v>592.75</v>
      </c>
      <c r="AL169">
        <v>592.75</v>
      </c>
      <c r="AM169">
        <v>23</v>
      </c>
      <c r="AN169">
        <v>20</v>
      </c>
      <c r="AO169">
        <v>6</v>
      </c>
      <c r="AP169">
        <v>0</v>
      </c>
      <c r="AQ169">
        <v>0</v>
      </c>
      <c r="AR169">
        <v>0</v>
      </c>
      <c r="AS169">
        <v>0</v>
      </c>
      <c r="AT169">
        <v>1025</v>
      </c>
      <c r="AU169">
        <v>27</v>
      </c>
      <c r="AV169">
        <v>346</v>
      </c>
      <c r="AW169">
        <v>652</v>
      </c>
      <c r="AX169">
        <v>100.75</v>
      </c>
      <c r="AY169">
        <v>11</v>
      </c>
      <c r="AZ169">
        <v>33.25</v>
      </c>
      <c r="BA169">
        <v>56.5</v>
      </c>
      <c r="BB169">
        <v>104</v>
      </c>
      <c r="BC169">
        <v>14</v>
      </c>
      <c r="BD169">
        <v>27.5</v>
      </c>
      <c r="BE169">
        <v>62.5</v>
      </c>
    </row>
    <row r="170" spans="1:58">
      <c r="A170" t="s">
        <v>17059</v>
      </c>
      <c r="B170" t="s">
        <v>20669</v>
      </c>
      <c r="C170">
        <v>0</v>
      </c>
      <c r="D170">
        <v>1</v>
      </c>
      <c r="E170">
        <v>0</v>
      </c>
      <c r="F170">
        <v>0</v>
      </c>
      <c r="G170">
        <v>1</v>
      </c>
      <c r="H170">
        <v>0</v>
      </c>
      <c r="I170">
        <v>0</v>
      </c>
      <c r="J170">
        <v>1</v>
      </c>
      <c r="K170">
        <v>110</v>
      </c>
      <c r="L170">
        <v>1</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110</v>
      </c>
      <c r="AU170">
        <v>0</v>
      </c>
      <c r="AV170">
        <v>110</v>
      </c>
      <c r="AW170">
        <v>0</v>
      </c>
      <c r="AX170">
        <v>0</v>
      </c>
      <c r="AY170">
        <v>0</v>
      </c>
      <c r="AZ170">
        <v>0</v>
      </c>
      <c r="BA170">
        <v>0</v>
      </c>
      <c r="BB170">
        <v>0</v>
      </c>
      <c r="BC170">
        <v>0</v>
      </c>
      <c r="BD170">
        <v>0</v>
      </c>
      <c r="BE170">
        <v>0</v>
      </c>
    </row>
    <row r="171" spans="1:58">
      <c r="A171" t="s">
        <v>16978</v>
      </c>
      <c r="B171" t="s">
        <v>20671</v>
      </c>
      <c r="C171">
        <v>17</v>
      </c>
      <c r="D171">
        <v>17</v>
      </c>
      <c r="E171">
        <v>17</v>
      </c>
      <c r="F171">
        <v>17</v>
      </c>
      <c r="G171">
        <v>0</v>
      </c>
      <c r="H171">
        <v>0</v>
      </c>
      <c r="I171">
        <v>0</v>
      </c>
      <c r="J171">
        <v>17</v>
      </c>
      <c r="K171">
        <v>73</v>
      </c>
      <c r="L171">
        <v>17</v>
      </c>
      <c r="M171">
        <v>0</v>
      </c>
      <c r="N171">
        <v>0</v>
      </c>
      <c r="O171">
        <v>0</v>
      </c>
      <c r="P171">
        <v>0</v>
      </c>
      <c r="Q171">
        <v>0</v>
      </c>
      <c r="R171">
        <v>0</v>
      </c>
      <c r="S171">
        <v>8.5</v>
      </c>
      <c r="T171">
        <v>0</v>
      </c>
      <c r="U171">
        <v>0</v>
      </c>
      <c r="V171">
        <v>8.5</v>
      </c>
      <c r="W171">
        <v>0</v>
      </c>
      <c r="X171">
        <v>0</v>
      </c>
      <c r="Y171">
        <v>0</v>
      </c>
      <c r="Z171">
        <v>0</v>
      </c>
      <c r="AA171">
        <v>-85</v>
      </c>
      <c r="AB171">
        <v>0</v>
      </c>
      <c r="AC171">
        <v>185.5</v>
      </c>
      <c r="AD171">
        <v>185.5</v>
      </c>
      <c r="AE171">
        <v>0</v>
      </c>
      <c r="AF171">
        <v>185.5</v>
      </c>
      <c r="AG171">
        <v>185.5</v>
      </c>
      <c r="AH171">
        <v>185.5</v>
      </c>
      <c r="AI171">
        <v>0</v>
      </c>
      <c r="AJ171">
        <v>0</v>
      </c>
      <c r="AK171">
        <v>0</v>
      </c>
      <c r="AL171">
        <v>0</v>
      </c>
      <c r="AM171">
        <v>0</v>
      </c>
      <c r="AN171">
        <v>0</v>
      </c>
      <c r="AO171">
        <v>0</v>
      </c>
      <c r="AP171">
        <v>0</v>
      </c>
      <c r="AQ171">
        <v>0</v>
      </c>
      <c r="AR171">
        <v>0</v>
      </c>
      <c r="AS171">
        <v>0</v>
      </c>
      <c r="AT171">
        <v>73</v>
      </c>
      <c r="AU171">
        <v>0</v>
      </c>
      <c r="AV171">
        <v>0</v>
      </c>
      <c r="AW171">
        <v>73</v>
      </c>
      <c r="AX171">
        <v>8.5</v>
      </c>
      <c r="AY171">
        <v>0</v>
      </c>
      <c r="AZ171">
        <v>0</v>
      </c>
      <c r="BA171">
        <v>8.5</v>
      </c>
      <c r="BB171">
        <v>0</v>
      </c>
      <c r="BC171">
        <v>0</v>
      </c>
      <c r="BD171">
        <v>0</v>
      </c>
      <c r="BE171">
        <v>0</v>
      </c>
      <c r="BF171" s="21"/>
    </row>
    <row r="172" spans="1:58">
      <c r="A172" t="s">
        <v>16978</v>
      </c>
      <c r="B172" t="s">
        <v>18823</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row>
    <row r="173" spans="1:58">
      <c r="A173" t="s">
        <v>16978</v>
      </c>
      <c r="B173" t="s">
        <v>20670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row>
    <row r="174" spans="1:58">
      <c r="A174" t="s">
        <v>16978</v>
      </c>
      <c r="B174" t="s">
        <v>17330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row>
    <row r="175" spans="1:58">
      <c r="A175" t="s">
        <v>16978</v>
      </c>
      <c r="B175" t="s">
        <v>18824</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row>
    <row r="176" spans="1:58">
      <c r="A176" t="s">
        <v>16978</v>
      </c>
      <c r="B176" t="s">
        <v>17064</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s="21"/>
    </row>
    <row r="177" spans="1:58">
      <c r="A177" t="s">
        <v>16978</v>
      </c>
      <c r="B177" t="s">
        <v>17065</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row>
    <row r="178" spans="1:58">
      <c r="A178" t="s">
        <v>16978</v>
      </c>
      <c r="B178" t="s">
        <v>17066</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row>
    <row r="179" spans="1:58">
      <c r="A179" t="s">
        <v>16978</v>
      </c>
      <c r="B179" t="s">
        <v>17067</v>
      </c>
      <c r="C179">
        <v>0</v>
      </c>
      <c r="D179">
        <v>1</v>
      </c>
      <c r="E179">
        <v>1</v>
      </c>
      <c r="F179">
        <v>1</v>
      </c>
      <c r="G179">
        <v>0</v>
      </c>
      <c r="H179">
        <v>0</v>
      </c>
      <c r="I179">
        <v>0</v>
      </c>
      <c r="J179">
        <v>1</v>
      </c>
      <c r="K179">
        <v>4</v>
      </c>
      <c r="L179">
        <v>1</v>
      </c>
      <c r="M179">
        <v>0</v>
      </c>
      <c r="N179">
        <v>0</v>
      </c>
      <c r="O179">
        <v>0</v>
      </c>
      <c r="P179">
        <v>0</v>
      </c>
      <c r="Q179">
        <v>0</v>
      </c>
      <c r="R179">
        <v>0</v>
      </c>
      <c r="S179">
        <v>0.25</v>
      </c>
      <c r="T179">
        <v>0</v>
      </c>
      <c r="U179">
        <v>0</v>
      </c>
      <c r="V179">
        <v>0.25</v>
      </c>
      <c r="W179">
        <v>2.5</v>
      </c>
      <c r="X179">
        <v>0</v>
      </c>
      <c r="Y179">
        <v>1</v>
      </c>
      <c r="Z179">
        <v>0</v>
      </c>
      <c r="AA179">
        <v>0</v>
      </c>
      <c r="AB179">
        <v>0</v>
      </c>
      <c r="AC179">
        <v>0</v>
      </c>
      <c r="AD179">
        <v>0</v>
      </c>
      <c r="AE179">
        <v>0</v>
      </c>
      <c r="AF179">
        <v>0</v>
      </c>
      <c r="AG179">
        <v>2.5</v>
      </c>
      <c r="AH179">
        <v>2.5</v>
      </c>
      <c r="AI179">
        <v>0</v>
      </c>
      <c r="AJ179">
        <v>0</v>
      </c>
      <c r="AK179">
        <v>0</v>
      </c>
      <c r="AL179">
        <v>0</v>
      </c>
      <c r="AM179">
        <v>0</v>
      </c>
      <c r="AN179">
        <v>0</v>
      </c>
      <c r="AO179">
        <v>0</v>
      </c>
      <c r="AP179">
        <v>0</v>
      </c>
      <c r="AQ179">
        <v>0</v>
      </c>
      <c r="AR179">
        <v>0</v>
      </c>
      <c r="AS179">
        <v>0</v>
      </c>
      <c r="AT179">
        <v>4</v>
      </c>
      <c r="AU179">
        <v>0</v>
      </c>
      <c r="AV179">
        <v>4</v>
      </c>
      <c r="AW179">
        <v>0</v>
      </c>
      <c r="AX179">
        <v>0.25</v>
      </c>
      <c r="AY179">
        <v>0</v>
      </c>
      <c r="AZ179">
        <v>0.25</v>
      </c>
      <c r="BA179">
        <v>0</v>
      </c>
      <c r="BB179">
        <v>0</v>
      </c>
      <c r="BC179">
        <v>0</v>
      </c>
      <c r="BD179">
        <v>0</v>
      </c>
      <c r="BE179">
        <v>0</v>
      </c>
      <c r="BF179" s="21"/>
    </row>
    <row r="180" spans="1:58">
      <c r="A180" t="s">
        <v>16978</v>
      </c>
      <c r="B180" t="s">
        <v>17331</v>
      </c>
      <c r="C180">
        <v>3</v>
      </c>
      <c r="D180">
        <v>3</v>
      </c>
      <c r="E180">
        <v>0</v>
      </c>
      <c r="F180">
        <v>2</v>
      </c>
      <c r="G180">
        <v>1</v>
      </c>
      <c r="H180">
        <v>0</v>
      </c>
      <c r="I180">
        <v>0</v>
      </c>
      <c r="J180">
        <v>3</v>
      </c>
      <c r="K180">
        <v>18</v>
      </c>
      <c r="L180">
        <v>3</v>
      </c>
      <c r="M180">
        <v>0</v>
      </c>
      <c r="N180">
        <v>0</v>
      </c>
      <c r="O180">
        <v>0</v>
      </c>
      <c r="P180">
        <v>0</v>
      </c>
      <c r="Q180">
        <v>0</v>
      </c>
      <c r="R180">
        <v>0</v>
      </c>
      <c r="S180">
        <v>2.5</v>
      </c>
      <c r="T180">
        <v>0</v>
      </c>
      <c r="U180">
        <v>0</v>
      </c>
      <c r="V180">
        <v>2.5</v>
      </c>
      <c r="W180">
        <v>0</v>
      </c>
      <c r="X180">
        <v>0</v>
      </c>
      <c r="Y180">
        <v>0</v>
      </c>
      <c r="Z180">
        <v>0</v>
      </c>
      <c r="AA180">
        <v>-25</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18</v>
      </c>
      <c r="AU180">
        <v>0</v>
      </c>
      <c r="AV180">
        <v>0</v>
      </c>
      <c r="AW180">
        <v>18</v>
      </c>
      <c r="AX180">
        <v>2.5</v>
      </c>
      <c r="AY180">
        <v>0</v>
      </c>
      <c r="AZ180">
        <v>0</v>
      </c>
      <c r="BA180">
        <v>2.5</v>
      </c>
      <c r="BB180">
        <v>0</v>
      </c>
      <c r="BC180">
        <v>0</v>
      </c>
      <c r="BD180">
        <v>0</v>
      </c>
      <c r="BE180">
        <v>0</v>
      </c>
      <c r="BF180" s="21"/>
    </row>
    <row r="181" spans="1:58">
      <c r="A181" t="s">
        <v>16978</v>
      </c>
      <c r="B181" t="s">
        <v>17332</v>
      </c>
      <c r="C181">
        <v>12</v>
      </c>
      <c r="D181">
        <v>12</v>
      </c>
      <c r="E181">
        <v>0</v>
      </c>
      <c r="F181">
        <v>12</v>
      </c>
      <c r="G181">
        <v>0</v>
      </c>
      <c r="H181">
        <v>0</v>
      </c>
      <c r="I181">
        <v>0</v>
      </c>
      <c r="J181">
        <v>12</v>
      </c>
      <c r="K181">
        <v>17</v>
      </c>
      <c r="L181">
        <v>12</v>
      </c>
      <c r="M181">
        <v>0</v>
      </c>
      <c r="N181">
        <v>0</v>
      </c>
      <c r="O181">
        <v>0</v>
      </c>
      <c r="P181">
        <v>0</v>
      </c>
      <c r="Q181">
        <v>0</v>
      </c>
      <c r="R181">
        <v>0</v>
      </c>
      <c r="S181">
        <v>6</v>
      </c>
      <c r="T181">
        <v>0</v>
      </c>
      <c r="U181">
        <v>0</v>
      </c>
      <c r="V181">
        <v>6</v>
      </c>
      <c r="W181">
        <v>0</v>
      </c>
      <c r="X181">
        <v>0</v>
      </c>
      <c r="Y181">
        <v>0</v>
      </c>
      <c r="Z181">
        <v>0</v>
      </c>
      <c r="AA181">
        <v>-60</v>
      </c>
      <c r="AB181">
        <v>0</v>
      </c>
      <c r="AC181">
        <v>65</v>
      </c>
      <c r="AD181">
        <v>65</v>
      </c>
      <c r="AE181">
        <v>65</v>
      </c>
      <c r="AF181">
        <v>65</v>
      </c>
      <c r="AG181">
        <v>65</v>
      </c>
      <c r="AH181">
        <v>0</v>
      </c>
      <c r="AI181">
        <v>0</v>
      </c>
      <c r="AJ181">
        <v>0</v>
      </c>
      <c r="AK181">
        <v>0</v>
      </c>
      <c r="AL181">
        <v>0</v>
      </c>
      <c r="AM181">
        <v>0</v>
      </c>
      <c r="AN181">
        <v>12</v>
      </c>
      <c r="AO181">
        <v>0</v>
      </c>
      <c r="AP181">
        <v>0</v>
      </c>
      <c r="AQ181">
        <v>0</v>
      </c>
      <c r="AR181">
        <v>0</v>
      </c>
      <c r="AS181">
        <v>0</v>
      </c>
      <c r="AT181">
        <v>17</v>
      </c>
      <c r="AU181">
        <v>0</v>
      </c>
      <c r="AV181">
        <v>0</v>
      </c>
      <c r="AW181">
        <v>17</v>
      </c>
      <c r="AX181">
        <v>6</v>
      </c>
      <c r="AY181">
        <v>0</v>
      </c>
      <c r="AZ181">
        <v>0</v>
      </c>
      <c r="BA181">
        <v>6</v>
      </c>
      <c r="BB181">
        <v>0</v>
      </c>
      <c r="BC181">
        <v>0</v>
      </c>
      <c r="BD181">
        <v>0</v>
      </c>
      <c r="BE181">
        <v>0</v>
      </c>
      <c r="BF181" s="21"/>
    </row>
    <row r="182" spans="1:58">
      <c r="A182" t="s">
        <v>16978</v>
      </c>
      <c r="B182" t="s">
        <v>17068</v>
      </c>
      <c r="C182">
        <v>0</v>
      </c>
      <c r="D182">
        <v>1</v>
      </c>
      <c r="E182">
        <v>0</v>
      </c>
      <c r="F182">
        <v>1</v>
      </c>
      <c r="G182">
        <v>0</v>
      </c>
      <c r="H182">
        <v>0</v>
      </c>
      <c r="I182">
        <v>0</v>
      </c>
      <c r="J182">
        <v>1</v>
      </c>
      <c r="K182">
        <v>11</v>
      </c>
      <c r="L182">
        <v>1</v>
      </c>
      <c r="M182">
        <v>0</v>
      </c>
      <c r="N182">
        <v>0</v>
      </c>
      <c r="O182">
        <v>0</v>
      </c>
      <c r="P182">
        <v>0</v>
      </c>
      <c r="Q182">
        <v>0</v>
      </c>
      <c r="R182">
        <v>0</v>
      </c>
      <c r="S182">
        <v>1</v>
      </c>
      <c r="T182">
        <v>0.5</v>
      </c>
      <c r="U182">
        <v>0</v>
      </c>
      <c r="V182">
        <v>1.5</v>
      </c>
      <c r="W182">
        <v>20</v>
      </c>
      <c r="X182">
        <v>0</v>
      </c>
      <c r="Y182">
        <v>1</v>
      </c>
      <c r="Z182">
        <v>0</v>
      </c>
      <c r="AA182">
        <v>0</v>
      </c>
      <c r="AB182">
        <v>0</v>
      </c>
      <c r="AC182">
        <v>0</v>
      </c>
      <c r="AD182">
        <v>0</v>
      </c>
      <c r="AE182">
        <v>0</v>
      </c>
      <c r="AF182">
        <v>0</v>
      </c>
      <c r="AG182">
        <v>20</v>
      </c>
      <c r="AH182">
        <v>20</v>
      </c>
      <c r="AI182">
        <v>0</v>
      </c>
      <c r="AJ182">
        <v>0</v>
      </c>
      <c r="AK182">
        <v>0</v>
      </c>
      <c r="AL182">
        <v>0</v>
      </c>
      <c r="AM182">
        <v>0</v>
      </c>
      <c r="AN182">
        <v>0</v>
      </c>
      <c r="AO182">
        <v>0</v>
      </c>
      <c r="AP182">
        <v>0</v>
      </c>
      <c r="AQ182">
        <v>0</v>
      </c>
      <c r="AR182">
        <v>0</v>
      </c>
      <c r="AS182">
        <v>0</v>
      </c>
      <c r="AT182">
        <v>11</v>
      </c>
      <c r="AU182">
        <v>0</v>
      </c>
      <c r="AV182">
        <v>11</v>
      </c>
      <c r="AW182">
        <v>0</v>
      </c>
      <c r="AX182">
        <v>1</v>
      </c>
      <c r="AY182">
        <v>0</v>
      </c>
      <c r="AZ182">
        <v>1</v>
      </c>
      <c r="BA182">
        <v>0</v>
      </c>
      <c r="BB182">
        <v>0.5</v>
      </c>
      <c r="BC182">
        <v>0</v>
      </c>
      <c r="BD182">
        <v>0.5</v>
      </c>
      <c r="BE182">
        <v>0</v>
      </c>
      <c r="BF182" s="21"/>
    </row>
    <row r="183" spans="1:58">
      <c r="A183" t="s">
        <v>16978</v>
      </c>
      <c r="B183" t="s">
        <v>19982</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row>
    <row r="184" spans="1:58">
      <c r="A184" t="s">
        <v>16978</v>
      </c>
      <c r="B184" t="s">
        <v>17363</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row>
    <row r="185" spans="1:58">
      <c r="A185" t="s">
        <v>16978</v>
      </c>
      <c r="B185" t="s">
        <v>17069</v>
      </c>
      <c r="C185">
        <v>7</v>
      </c>
      <c r="D185">
        <v>7</v>
      </c>
      <c r="E185">
        <v>7</v>
      </c>
      <c r="F185">
        <v>7</v>
      </c>
      <c r="G185">
        <v>0</v>
      </c>
      <c r="H185">
        <v>0</v>
      </c>
      <c r="I185">
        <v>0</v>
      </c>
      <c r="J185">
        <v>7</v>
      </c>
      <c r="K185">
        <v>21</v>
      </c>
      <c r="L185">
        <v>5</v>
      </c>
      <c r="M185">
        <v>0</v>
      </c>
      <c r="N185">
        <v>0</v>
      </c>
      <c r="O185">
        <v>2</v>
      </c>
      <c r="P185">
        <v>0</v>
      </c>
      <c r="Q185">
        <v>0</v>
      </c>
      <c r="R185">
        <v>0</v>
      </c>
      <c r="S185">
        <v>3.5</v>
      </c>
      <c r="T185">
        <v>1.75</v>
      </c>
      <c r="U185">
        <v>0</v>
      </c>
      <c r="V185">
        <v>5.25</v>
      </c>
      <c r="W185">
        <v>0</v>
      </c>
      <c r="X185">
        <v>0</v>
      </c>
      <c r="Y185">
        <v>0</v>
      </c>
      <c r="Z185">
        <v>0</v>
      </c>
      <c r="AA185">
        <v>-70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21</v>
      </c>
      <c r="AU185">
        <v>0</v>
      </c>
      <c r="AV185">
        <v>0</v>
      </c>
      <c r="AW185">
        <v>21</v>
      </c>
      <c r="AX185">
        <v>3.5</v>
      </c>
      <c r="AY185">
        <v>0</v>
      </c>
      <c r="AZ185">
        <v>0</v>
      </c>
      <c r="BA185">
        <v>3.5</v>
      </c>
      <c r="BB185">
        <v>1.75</v>
      </c>
      <c r="BC185">
        <v>0</v>
      </c>
      <c r="BD185">
        <v>0</v>
      </c>
      <c r="BE185">
        <v>1.75</v>
      </c>
    </row>
    <row r="186" spans="1:58">
      <c r="A186" t="s">
        <v>16978</v>
      </c>
      <c r="B186" t="s">
        <v>20672</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row>
    <row r="187" spans="1:58">
      <c r="A187" t="s">
        <v>16978</v>
      </c>
      <c r="B187" t="s">
        <v>17073</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row>
    <row r="188" spans="1:58">
      <c r="A188" t="s">
        <v>16978</v>
      </c>
      <c r="B188" t="s">
        <v>17365</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row>
    <row r="189" spans="1:58">
      <c r="A189" t="s">
        <v>16978</v>
      </c>
      <c r="B189" t="s">
        <v>17366</v>
      </c>
      <c r="C189">
        <v>0</v>
      </c>
      <c r="D189">
        <v>2</v>
      </c>
      <c r="E189">
        <v>2</v>
      </c>
      <c r="F189">
        <v>2</v>
      </c>
      <c r="G189">
        <v>0</v>
      </c>
      <c r="H189">
        <v>0</v>
      </c>
      <c r="I189">
        <v>0</v>
      </c>
      <c r="J189">
        <v>2</v>
      </c>
      <c r="K189">
        <v>4</v>
      </c>
      <c r="L189">
        <v>2</v>
      </c>
      <c r="M189">
        <v>0</v>
      </c>
      <c r="N189">
        <v>0</v>
      </c>
      <c r="O189">
        <v>0</v>
      </c>
      <c r="P189">
        <v>0</v>
      </c>
      <c r="Q189">
        <v>0</v>
      </c>
      <c r="R189">
        <v>0</v>
      </c>
      <c r="S189">
        <v>0.5</v>
      </c>
      <c r="T189">
        <v>0</v>
      </c>
      <c r="U189">
        <v>0</v>
      </c>
      <c r="V189">
        <v>0.5</v>
      </c>
      <c r="W189">
        <v>5</v>
      </c>
      <c r="X189">
        <v>0</v>
      </c>
      <c r="Y189">
        <v>2</v>
      </c>
      <c r="Z189">
        <v>0</v>
      </c>
      <c r="AA189">
        <v>0</v>
      </c>
      <c r="AB189">
        <v>0</v>
      </c>
      <c r="AC189">
        <v>0</v>
      </c>
      <c r="AD189">
        <v>0</v>
      </c>
      <c r="AE189">
        <v>0</v>
      </c>
      <c r="AF189">
        <v>0</v>
      </c>
      <c r="AG189">
        <v>5</v>
      </c>
      <c r="AH189">
        <v>5</v>
      </c>
      <c r="AI189">
        <v>0</v>
      </c>
      <c r="AJ189">
        <v>0</v>
      </c>
      <c r="AK189">
        <v>0</v>
      </c>
      <c r="AL189">
        <v>0</v>
      </c>
      <c r="AM189">
        <v>0</v>
      </c>
      <c r="AN189">
        <v>0</v>
      </c>
      <c r="AO189">
        <v>0</v>
      </c>
      <c r="AP189">
        <v>0</v>
      </c>
      <c r="AQ189">
        <v>0</v>
      </c>
      <c r="AR189">
        <v>0</v>
      </c>
      <c r="AS189">
        <v>0</v>
      </c>
      <c r="AT189">
        <v>4</v>
      </c>
      <c r="AU189">
        <v>0</v>
      </c>
      <c r="AV189">
        <v>4</v>
      </c>
      <c r="AW189">
        <v>0</v>
      </c>
      <c r="AX189">
        <v>0.5</v>
      </c>
      <c r="AY189">
        <v>0</v>
      </c>
      <c r="AZ189">
        <v>0.5</v>
      </c>
      <c r="BA189">
        <v>0</v>
      </c>
      <c r="BB189">
        <v>0</v>
      </c>
      <c r="BC189">
        <v>0</v>
      </c>
      <c r="BD189">
        <v>0</v>
      </c>
      <c r="BE189">
        <v>0</v>
      </c>
    </row>
    <row r="190" spans="1:58">
      <c r="A190" t="s">
        <v>16978</v>
      </c>
      <c r="B190" t="s">
        <v>18827</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row>
    <row r="191" spans="1:58">
      <c r="A191" t="s">
        <v>16978</v>
      </c>
      <c r="B191" t="s">
        <v>17075</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row>
    <row r="192" spans="1:58">
      <c r="A192" t="s">
        <v>16978</v>
      </c>
      <c r="B192" t="s">
        <v>17078</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row>
    <row r="193" spans="1:57">
      <c r="A193" t="s">
        <v>16978</v>
      </c>
      <c r="B193" t="s">
        <v>17079</v>
      </c>
      <c r="C193">
        <v>0</v>
      </c>
      <c r="D193">
        <v>1</v>
      </c>
      <c r="E193">
        <v>1</v>
      </c>
      <c r="F193">
        <v>1</v>
      </c>
      <c r="G193">
        <v>1</v>
      </c>
      <c r="H193">
        <v>0</v>
      </c>
      <c r="I193">
        <v>0</v>
      </c>
      <c r="J193">
        <v>1</v>
      </c>
      <c r="K193">
        <v>5</v>
      </c>
      <c r="L193">
        <v>0</v>
      </c>
      <c r="M193">
        <v>0</v>
      </c>
      <c r="N193">
        <v>1</v>
      </c>
      <c r="O193">
        <v>0</v>
      </c>
      <c r="P193">
        <v>0</v>
      </c>
      <c r="Q193">
        <v>0</v>
      </c>
      <c r="R193">
        <v>0</v>
      </c>
      <c r="S193">
        <v>0.75</v>
      </c>
      <c r="T193">
        <v>0</v>
      </c>
      <c r="U193">
        <v>0</v>
      </c>
      <c r="V193">
        <v>0.75</v>
      </c>
      <c r="W193">
        <v>7.5</v>
      </c>
      <c r="X193">
        <v>0</v>
      </c>
      <c r="Y193">
        <v>1</v>
      </c>
      <c r="Z193">
        <v>0</v>
      </c>
      <c r="AA193">
        <v>0</v>
      </c>
      <c r="AB193">
        <v>0</v>
      </c>
      <c r="AC193">
        <v>0</v>
      </c>
      <c r="AD193">
        <v>0</v>
      </c>
      <c r="AE193">
        <v>0</v>
      </c>
      <c r="AF193">
        <v>0</v>
      </c>
      <c r="AG193">
        <v>7.5</v>
      </c>
      <c r="AH193">
        <v>7.5</v>
      </c>
      <c r="AI193">
        <v>0</v>
      </c>
      <c r="AJ193">
        <v>0</v>
      </c>
      <c r="AK193">
        <v>0</v>
      </c>
      <c r="AL193">
        <v>0</v>
      </c>
      <c r="AM193">
        <v>0</v>
      </c>
      <c r="AN193">
        <v>0</v>
      </c>
      <c r="AO193">
        <v>0</v>
      </c>
      <c r="AP193">
        <v>0</v>
      </c>
      <c r="AQ193">
        <v>0</v>
      </c>
      <c r="AR193">
        <v>0</v>
      </c>
      <c r="AS193">
        <v>0</v>
      </c>
      <c r="AT193">
        <v>5</v>
      </c>
      <c r="AU193">
        <v>0</v>
      </c>
      <c r="AV193">
        <v>5</v>
      </c>
      <c r="AW193">
        <v>0</v>
      </c>
      <c r="AX193">
        <v>0.75</v>
      </c>
      <c r="AY193">
        <v>0</v>
      </c>
      <c r="AZ193">
        <v>0.75</v>
      </c>
      <c r="BA193">
        <v>0</v>
      </c>
      <c r="BB193">
        <v>0</v>
      </c>
      <c r="BC193">
        <v>0</v>
      </c>
      <c r="BD193">
        <v>0</v>
      </c>
      <c r="BE193">
        <v>0</v>
      </c>
    </row>
    <row r="194" spans="1:57">
      <c r="A194" t="s">
        <v>16978</v>
      </c>
      <c r="B194" t="s">
        <v>18828</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row>
    <row r="195" spans="1:57">
      <c r="A195" t="s">
        <v>16978</v>
      </c>
      <c r="B195" t="s">
        <v>19347</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row>
    <row r="196" spans="1:57">
      <c r="A196" t="s">
        <v>16978</v>
      </c>
      <c r="B196" t="s">
        <v>17054</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row>
    <row r="197" spans="1:57">
      <c r="A197" t="s">
        <v>16978</v>
      </c>
      <c r="B197" t="s">
        <v>20673</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row>
    <row r="198" spans="1:57">
      <c r="A198" t="s">
        <v>16978</v>
      </c>
      <c r="B198" t="s">
        <v>20674</v>
      </c>
      <c r="C198">
        <v>0</v>
      </c>
      <c r="D198">
        <v>51</v>
      </c>
      <c r="E198">
        <v>51</v>
      </c>
      <c r="F198">
        <v>51</v>
      </c>
      <c r="G198">
        <v>0</v>
      </c>
      <c r="H198">
        <v>1</v>
      </c>
      <c r="I198">
        <v>0</v>
      </c>
      <c r="J198">
        <v>51</v>
      </c>
      <c r="K198">
        <v>51</v>
      </c>
      <c r="L198">
        <v>51</v>
      </c>
      <c r="M198">
        <v>0</v>
      </c>
      <c r="N198">
        <v>0</v>
      </c>
      <c r="O198">
        <v>0</v>
      </c>
      <c r="P198">
        <v>0</v>
      </c>
      <c r="Q198">
        <v>0</v>
      </c>
      <c r="R198">
        <v>0</v>
      </c>
      <c r="S198">
        <v>8.5</v>
      </c>
      <c r="T198">
        <v>0</v>
      </c>
      <c r="U198">
        <v>0</v>
      </c>
      <c r="V198">
        <v>0</v>
      </c>
      <c r="W198">
        <v>102.5</v>
      </c>
      <c r="X198">
        <v>0</v>
      </c>
      <c r="Y198">
        <v>39</v>
      </c>
      <c r="Z198">
        <v>0</v>
      </c>
      <c r="AA198">
        <v>0</v>
      </c>
      <c r="AB198">
        <v>0</v>
      </c>
      <c r="AC198">
        <v>0</v>
      </c>
      <c r="AD198">
        <v>0</v>
      </c>
      <c r="AE198">
        <v>0</v>
      </c>
      <c r="AF198">
        <v>0</v>
      </c>
      <c r="AG198">
        <v>102.5</v>
      </c>
      <c r="AH198">
        <v>102.5</v>
      </c>
      <c r="AI198">
        <v>0</v>
      </c>
      <c r="AJ198">
        <v>0</v>
      </c>
      <c r="AK198">
        <v>7.5</v>
      </c>
      <c r="AL198">
        <v>7.5</v>
      </c>
      <c r="AM198">
        <v>0</v>
      </c>
      <c r="AN198">
        <v>0</v>
      </c>
      <c r="AO198">
        <v>0</v>
      </c>
      <c r="AP198">
        <v>0</v>
      </c>
      <c r="AQ198">
        <v>0</v>
      </c>
      <c r="AR198">
        <v>0</v>
      </c>
      <c r="AS198">
        <v>0</v>
      </c>
      <c r="AT198">
        <v>51</v>
      </c>
      <c r="AU198">
        <v>1</v>
      </c>
      <c r="AV198">
        <v>50</v>
      </c>
      <c r="AW198">
        <v>0</v>
      </c>
      <c r="AX198">
        <v>8.5</v>
      </c>
      <c r="AY198">
        <v>0.75</v>
      </c>
      <c r="AZ198">
        <v>7.75</v>
      </c>
      <c r="BA198">
        <v>0</v>
      </c>
      <c r="BB198">
        <v>0</v>
      </c>
      <c r="BC198">
        <v>0</v>
      </c>
      <c r="BD198">
        <v>0</v>
      </c>
      <c r="BE198">
        <v>0</v>
      </c>
    </row>
    <row r="199" spans="1:57">
      <c r="A199" t="s">
        <v>16978</v>
      </c>
      <c r="B199" t="s">
        <v>17081</v>
      </c>
      <c r="C199">
        <v>0</v>
      </c>
      <c r="D199">
        <v>4</v>
      </c>
      <c r="E199">
        <v>0</v>
      </c>
      <c r="F199">
        <v>4</v>
      </c>
      <c r="G199">
        <v>0</v>
      </c>
      <c r="H199">
        <v>0</v>
      </c>
      <c r="I199">
        <v>0</v>
      </c>
      <c r="J199">
        <v>4</v>
      </c>
      <c r="K199">
        <v>9</v>
      </c>
      <c r="L199">
        <v>4</v>
      </c>
      <c r="M199">
        <v>0</v>
      </c>
      <c r="N199">
        <v>0</v>
      </c>
      <c r="O199">
        <v>0</v>
      </c>
      <c r="P199">
        <v>0</v>
      </c>
      <c r="Q199">
        <v>0</v>
      </c>
      <c r="R199">
        <v>0</v>
      </c>
      <c r="S199">
        <v>4</v>
      </c>
      <c r="T199">
        <v>0</v>
      </c>
      <c r="U199">
        <v>0</v>
      </c>
      <c r="V199">
        <v>4</v>
      </c>
      <c r="W199">
        <v>40</v>
      </c>
      <c r="X199">
        <v>0</v>
      </c>
      <c r="Y199">
        <v>4</v>
      </c>
      <c r="Z199">
        <v>0</v>
      </c>
      <c r="AA199">
        <v>0</v>
      </c>
      <c r="AB199">
        <v>0</v>
      </c>
      <c r="AC199">
        <v>0</v>
      </c>
      <c r="AD199">
        <v>0</v>
      </c>
      <c r="AE199">
        <v>0</v>
      </c>
      <c r="AF199">
        <v>0</v>
      </c>
      <c r="AG199">
        <v>40</v>
      </c>
      <c r="AH199">
        <v>40</v>
      </c>
      <c r="AI199">
        <v>0</v>
      </c>
      <c r="AJ199">
        <v>0</v>
      </c>
      <c r="AK199">
        <v>0</v>
      </c>
      <c r="AL199">
        <v>0</v>
      </c>
      <c r="AM199">
        <v>0</v>
      </c>
      <c r="AN199">
        <v>0</v>
      </c>
      <c r="AO199">
        <v>0</v>
      </c>
      <c r="AP199">
        <v>0</v>
      </c>
      <c r="AQ199">
        <v>0</v>
      </c>
      <c r="AR199">
        <v>0</v>
      </c>
      <c r="AS199">
        <v>0</v>
      </c>
      <c r="AT199">
        <v>9</v>
      </c>
      <c r="AU199">
        <v>0</v>
      </c>
      <c r="AV199">
        <v>9</v>
      </c>
      <c r="AW199">
        <v>0</v>
      </c>
      <c r="AX199">
        <v>4</v>
      </c>
      <c r="AY199">
        <v>0</v>
      </c>
      <c r="AZ199">
        <v>4</v>
      </c>
      <c r="BA199">
        <v>0</v>
      </c>
      <c r="BB199">
        <v>0</v>
      </c>
      <c r="BC199">
        <v>0</v>
      </c>
      <c r="BD199">
        <v>0</v>
      </c>
      <c r="BE199">
        <v>0</v>
      </c>
    </row>
    <row r="200" spans="1:57">
      <c r="A200" t="s">
        <v>16978</v>
      </c>
      <c r="B200" t="s">
        <v>17082</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row>
    <row r="201" spans="1:57">
      <c r="A201" t="s">
        <v>16978</v>
      </c>
      <c r="B201" t="s">
        <v>18830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row>
    <row r="202" spans="1:57">
      <c r="A202" t="s">
        <v>16978</v>
      </c>
      <c r="B202" t="s">
        <v>17369</v>
      </c>
      <c r="C202">
        <v>0</v>
      </c>
      <c r="D202">
        <v>5</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row>
    <row r="203" spans="1:57">
      <c r="A203" t="s">
        <v>16978</v>
      </c>
      <c r="B203" t="s">
        <v>19348</v>
      </c>
      <c r="C203">
        <v>9</v>
      </c>
      <c r="D203">
        <v>64</v>
      </c>
      <c r="E203">
        <v>47</v>
      </c>
      <c r="F203">
        <v>63</v>
      </c>
      <c r="G203">
        <v>4</v>
      </c>
      <c r="H203">
        <v>9</v>
      </c>
      <c r="I203">
        <v>1</v>
      </c>
      <c r="J203">
        <v>57</v>
      </c>
      <c r="K203">
        <v>1470</v>
      </c>
      <c r="L203">
        <v>14</v>
      </c>
      <c r="M203">
        <v>4</v>
      </c>
      <c r="N203">
        <v>20</v>
      </c>
      <c r="O203">
        <v>14</v>
      </c>
      <c r="P203">
        <v>5</v>
      </c>
      <c r="Q203">
        <v>1</v>
      </c>
      <c r="R203">
        <v>0</v>
      </c>
      <c r="S203">
        <v>35.25</v>
      </c>
      <c r="T203">
        <v>34.5</v>
      </c>
      <c r="U203">
        <v>2</v>
      </c>
      <c r="V203">
        <v>71.75</v>
      </c>
      <c r="W203">
        <v>782.5</v>
      </c>
      <c r="X203">
        <v>0</v>
      </c>
      <c r="Y203">
        <v>37</v>
      </c>
      <c r="Z203">
        <v>2</v>
      </c>
      <c r="AA203">
        <v>-260</v>
      </c>
      <c r="AB203">
        <v>275</v>
      </c>
      <c r="AC203">
        <v>559.25</v>
      </c>
      <c r="AD203">
        <v>559.25</v>
      </c>
      <c r="AE203">
        <v>834.25</v>
      </c>
      <c r="AF203">
        <v>834.25</v>
      </c>
      <c r="AG203">
        <v>1381.75</v>
      </c>
      <c r="AH203">
        <v>547.5</v>
      </c>
      <c r="AI203">
        <v>834.25</v>
      </c>
      <c r="AJ203">
        <v>834.25</v>
      </c>
      <c r="AK203">
        <v>894.25</v>
      </c>
      <c r="AL203">
        <v>60</v>
      </c>
      <c r="AM203">
        <v>0</v>
      </c>
      <c r="AN203">
        <v>0</v>
      </c>
      <c r="AO203">
        <v>0</v>
      </c>
      <c r="AP203">
        <v>1</v>
      </c>
      <c r="AQ203">
        <v>1</v>
      </c>
      <c r="AR203">
        <v>0</v>
      </c>
      <c r="AS203">
        <v>0</v>
      </c>
      <c r="AT203">
        <v>1470</v>
      </c>
      <c r="AU203">
        <v>166</v>
      </c>
      <c r="AV203">
        <v>1145</v>
      </c>
      <c r="AW203">
        <v>196</v>
      </c>
      <c r="AX203">
        <v>35.25</v>
      </c>
      <c r="AY203">
        <v>13.75</v>
      </c>
      <c r="AZ203">
        <v>18.25</v>
      </c>
      <c r="BA203">
        <v>3.5</v>
      </c>
      <c r="BB203">
        <v>34.5</v>
      </c>
      <c r="BC203">
        <v>13</v>
      </c>
      <c r="BD203">
        <v>13.25</v>
      </c>
      <c r="BE203">
        <v>11.25</v>
      </c>
    </row>
    <row r="204" spans="1:57">
      <c r="A204" t="s">
        <v>16978</v>
      </c>
      <c r="B204" t="s">
        <v>17086</v>
      </c>
      <c r="C204">
        <v>0</v>
      </c>
      <c r="D204">
        <v>8</v>
      </c>
      <c r="E204">
        <v>8</v>
      </c>
      <c r="F204">
        <v>8</v>
      </c>
      <c r="G204">
        <v>0</v>
      </c>
      <c r="H204">
        <v>2</v>
      </c>
      <c r="I204">
        <v>3</v>
      </c>
      <c r="J204">
        <v>7</v>
      </c>
      <c r="K204">
        <v>52</v>
      </c>
      <c r="L204">
        <v>6</v>
      </c>
      <c r="M204">
        <v>1</v>
      </c>
      <c r="N204">
        <v>1</v>
      </c>
      <c r="O204">
        <v>0</v>
      </c>
      <c r="P204">
        <v>0</v>
      </c>
      <c r="Q204">
        <v>0</v>
      </c>
      <c r="R204">
        <v>0</v>
      </c>
      <c r="S204">
        <v>15</v>
      </c>
      <c r="T204" t="s">
        <v>21073</v>
      </c>
      <c r="U204">
        <v>0</v>
      </c>
      <c r="V204">
        <v>15</v>
      </c>
      <c r="W204">
        <v>150</v>
      </c>
      <c r="X204">
        <v>0</v>
      </c>
      <c r="Y204">
        <v>3</v>
      </c>
      <c r="Z204">
        <v>3</v>
      </c>
      <c r="AA204">
        <v>0</v>
      </c>
      <c r="AB204">
        <v>10</v>
      </c>
      <c r="AC204">
        <v>0</v>
      </c>
      <c r="AD204">
        <v>0</v>
      </c>
      <c r="AE204">
        <v>0</v>
      </c>
      <c r="AF204">
        <v>10</v>
      </c>
      <c r="AG204">
        <v>150</v>
      </c>
      <c r="AH204">
        <v>150</v>
      </c>
      <c r="AI204">
        <v>0</v>
      </c>
      <c r="AJ204">
        <v>0</v>
      </c>
      <c r="AK204">
        <v>10</v>
      </c>
      <c r="AL204">
        <v>10</v>
      </c>
      <c r="AM204">
        <v>0</v>
      </c>
      <c r="AN204">
        <v>0</v>
      </c>
      <c r="AO204">
        <v>0</v>
      </c>
      <c r="AP204">
        <v>0</v>
      </c>
      <c r="AQ204">
        <v>0</v>
      </c>
      <c r="AR204">
        <v>0</v>
      </c>
      <c r="AS204">
        <v>0</v>
      </c>
      <c r="AT204">
        <v>52</v>
      </c>
      <c r="AU204">
        <v>28</v>
      </c>
      <c r="AV204">
        <v>24</v>
      </c>
      <c r="AW204">
        <v>0</v>
      </c>
      <c r="AX204">
        <v>15</v>
      </c>
      <c r="AY204">
        <v>1</v>
      </c>
      <c r="AZ204">
        <v>14</v>
      </c>
      <c r="BA204">
        <v>0</v>
      </c>
      <c r="BB204">
        <v>0</v>
      </c>
      <c r="BC204">
        <v>0</v>
      </c>
      <c r="BD204">
        <v>0</v>
      </c>
      <c r="BE204">
        <v>0</v>
      </c>
    </row>
    <row r="205" spans="1:57">
      <c r="A205" t="s">
        <v>16978</v>
      </c>
      <c r="B205" t="s">
        <v>17087</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row>
    <row r="206" spans="1:57">
      <c r="A206" t="s">
        <v>16978</v>
      </c>
      <c r="B206" t="s">
        <v>17088</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row>
    <row r="207" spans="1:57">
      <c r="A207" t="s">
        <v>16978</v>
      </c>
      <c r="B207" t="s">
        <v>17089</v>
      </c>
      <c r="C207">
        <v>0</v>
      </c>
      <c r="D207">
        <v>3</v>
      </c>
      <c r="E207">
        <v>3</v>
      </c>
      <c r="F207">
        <v>3</v>
      </c>
      <c r="G207">
        <v>0</v>
      </c>
      <c r="H207">
        <v>0</v>
      </c>
      <c r="I207">
        <v>0</v>
      </c>
      <c r="J207">
        <v>3</v>
      </c>
      <c r="K207">
        <v>3</v>
      </c>
      <c r="L207">
        <v>3</v>
      </c>
      <c r="M207">
        <v>0</v>
      </c>
      <c r="N207">
        <v>0</v>
      </c>
      <c r="O207">
        <v>0</v>
      </c>
      <c r="P207">
        <v>0</v>
      </c>
      <c r="Q207">
        <v>0</v>
      </c>
      <c r="R207">
        <v>0</v>
      </c>
      <c r="S207">
        <v>0.75</v>
      </c>
      <c r="T207">
        <v>0</v>
      </c>
      <c r="U207">
        <v>0</v>
      </c>
      <c r="V207">
        <v>0.75</v>
      </c>
      <c r="W207">
        <v>7.5</v>
      </c>
      <c r="X207">
        <v>0</v>
      </c>
      <c r="Y207">
        <v>3</v>
      </c>
      <c r="Z207">
        <v>0</v>
      </c>
      <c r="AA207">
        <v>0</v>
      </c>
      <c r="AB207">
        <v>0</v>
      </c>
      <c r="AC207">
        <v>0</v>
      </c>
      <c r="AD207">
        <v>0</v>
      </c>
      <c r="AE207">
        <v>0</v>
      </c>
      <c r="AF207">
        <v>0</v>
      </c>
      <c r="AG207">
        <v>7.5</v>
      </c>
      <c r="AH207">
        <v>7.5</v>
      </c>
      <c r="AI207">
        <v>0</v>
      </c>
      <c r="AJ207">
        <v>0</v>
      </c>
      <c r="AK207">
        <v>0</v>
      </c>
      <c r="AL207">
        <v>0</v>
      </c>
      <c r="AM207">
        <v>0</v>
      </c>
      <c r="AN207">
        <v>0</v>
      </c>
      <c r="AO207">
        <v>0</v>
      </c>
      <c r="AP207">
        <v>0</v>
      </c>
      <c r="AQ207">
        <v>0</v>
      </c>
      <c r="AR207">
        <v>0</v>
      </c>
      <c r="AS207">
        <v>0</v>
      </c>
      <c r="AT207">
        <v>3</v>
      </c>
      <c r="AU207">
        <v>0</v>
      </c>
      <c r="AV207">
        <v>3</v>
      </c>
      <c r="AW207">
        <v>0</v>
      </c>
      <c r="AX207">
        <v>0.75</v>
      </c>
      <c r="AY207">
        <v>0</v>
      </c>
      <c r="AZ207">
        <v>0.75</v>
      </c>
      <c r="BA207">
        <v>0</v>
      </c>
      <c r="BB207">
        <v>0</v>
      </c>
      <c r="BC207">
        <v>0</v>
      </c>
      <c r="BD207">
        <v>0</v>
      </c>
      <c r="BE207">
        <v>0</v>
      </c>
    </row>
    <row r="208" spans="1:57">
      <c r="A208" t="s">
        <v>16978</v>
      </c>
      <c r="B208" t="s">
        <v>19984</v>
      </c>
      <c r="C208">
        <v>0</v>
      </c>
      <c r="D208">
        <v>2</v>
      </c>
      <c r="E208">
        <v>0</v>
      </c>
      <c r="F208">
        <v>2</v>
      </c>
      <c r="G208">
        <v>0</v>
      </c>
      <c r="H208">
        <v>0</v>
      </c>
      <c r="I208">
        <v>0</v>
      </c>
      <c r="J208">
        <v>2</v>
      </c>
      <c r="K208">
        <v>15</v>
      </c>
      <c r="L208">
        <v>2</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15</v>
      </c>
      <c r="AU208">
        <v>0</v>
      </c>
      <c r="AV208">
        <v>15</v>
      </c>
      <c r="AW208">
        <v>0</v>
      </c>
      <c r="AX208">
        <v>0</v>
      </c>
      <c r="AY208">
        <v>0</v>
      </c>
      <c r="AZ208">
        <v>0</v>
      </c>
      <c r="BA208">
        <v>0</v>
      </c>
      <c r="BB208">
        <v>0</v>
      </c>
      <c r="BC208">
        <v>0</v>
      </c>
      <c r="BD208">
        <v>0</v>
      </c>
      <c r="BE208">
        <v>0</v>
      </c>
    </row>
    <row r="209" spans="1:58">
      <c r="A209" t="s">
        <v>16978</v>
      </c>
      <c r="B209" t="s">
        <v>17092</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row>
    <row r="210" spans="1:58">
      <c r="A210" t="s">
        <v>17097</v>
      </c>
      <c r="B210" t="s">
        <v>17098</v>
      </c>
      <c r="C210">
        <v>0</v>
      </c>
      <c r="D210">
        <v>22</v>
      </c>
      <c r="E210">
        <v>21</v>
      </c>
      <c r="F210">
        <v>20</v>
      </c>
      <c r="G210">
        <v>0</v>
      </c>
      <c r="H210">
        <v>13</v>
      </c>
      <c r="I210">
        <v>0</v>
      </c>
      <c r="J210">
        <v>14</v>
      </c>
      <c r="K210">
        <v>254</v>
      </c>
      <c r="L210">
        <v>3</v>
      </c>
      <c r="M210">
        <v>0</v>
      </c>
      <c r="N210">
        <v>0</v>
      </c>
      <c r="O210">
        <v>7</v>
      </c>
      <c r="P210">
        <v>1</v>
      </c>
      <c r="Q210">
        <v>4</v>
      </c>
      <c r="R210">
        <v>0</v>
      </c>
      <c r="S210">
        <v>0.75</v>
      </c>
      <c r="T210">
        <v>0</v>
      </c>
      <c r="U210">
        <v>0</v>
      </c>
      <c r="V210">
        <v>0.75</v>
      </c>
      <c r="W210">
        <v>7.5</v>
      </c>
      <c r="X210">
        <v>0</v>
      </c>
      <c r="Y210">
        <v>0</v>
      </c>
      <c r="Z210">
        <v>3</v>
      </c>
      <c r="AA210">
        <v>0</v>
      </c>
      <c r="AB210">
        <v>0</v>
      </c>
      <c r="AC210">
        <v>0</v>
      </c>
      <c r="AD210">
        <v>0</v>
      </c>
      <c r="AE210">
        <v>0</v>
      </c>
      <c r="AF210">
        <v>0</v>
      </c>
      <c r="AG210">
        <v>7.5</v>
      </c>
      <c r="AH210">
        <v>7.5</v>
      </c>
      <c r="AI210">
        <v>0</v>
      </c>
      <c r="AJ210">
        <v>0</v>
      </c>
      <c r="AK210">
        <v>5</v>
      </c>
      <c r="AL210">
        <v>5</v>
      </c>
      <c r="AM210">
        <v>0</v>
      </c>
      <c r="AN210">
        <v>0</v>
      </c>
      <c r="AO210">
        <v>0</v>
      </c>
      <c r="AP210">
        <v>0</v>
      </c>
      <c r="AQ210">
        <v>0</v>
      </c>
      <c r="AR210">
        <v>0</v>
      </c>
      <c r="AS210">
        <v>0</v>
      </c>
      <c r="AT210">
        <v>254</v>
      </c>
      <c r="AU210">
        <v>241</v>
      </c>
      <c r="AV210">
        <v>13</v>
      </c>
      <c r="AW210">
        <v>0</v>
      </c>
      <c r="AX210">
        <v>0.75</v>
      </c>
      <c r="AY210">
        <v>0.5</v>
      </c>
      <c r="AZ210">
        <v>0.25</v>
      </c>
      <c r="BA210">
        <v>0</v>
      </c>
      <c r="BB210">
        <v>0</v>
      </c>
      <c r="BC210">
        <v>0</v>
      </c>
      <c r="BD210">
        <v>0</v>
      </c>
      <c r="BE210">
        <v>0</v>
      </c>
    </row>
    <row r="211" spans="1:58">
      <c r="A211" t="s">
        <v>18833</v>
      </c>
      <c r="B211" t="s">
        <v>20677</v>
      </c>
      <c r="C211">
        <v>0</v>
      </c>
      <c r="D211">
        <v>5</v>
      </c>
      <c r="E211">
        <v>5</v>
      </c>
      <c r="F211">
        <v>5</v>
      </c>
      <c r="G211">
        <v>2</v>
      </c>
      <c r="H211">
        <v>4</v>
      </c>
      <c r="I211">
        <v>2</v>
      </c>
      <c r="J211">
        <v>5</v>
      </c>
      <c r="K211">
        <v>86</v>
      </c>
      <c r="L211">
        <v>4</v>
      </c>
      <c r="M211">
        <v>0</v>
      </c>
      <c r="N211">
        <v>0</v>
      </c>
      <c r="O211">
        <v>0</v>
      </c>
      <c r="P211">
        <v>1</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86</v>
      </c>
      <c r="AU211">
        <v>83</v>
      </c>
      <c r="AV211">
        <v>3</v>
      </c>
      <c r="AW211">
        <v>0</v>
      </c>
      <c r="AX211">
        <v>0</v>
      </c>
      <c r="AY211">
        <v>0</v>
      </c>
      <c r="AZ211">
        <v>0</v>
      </c>
      <c r="BA211">
        <v>0</v>
      </c>
      <c r="BB211">
        <v>0</v>
      </c>
      <c r="BC211">
        <v>0</v>
      </c>
      <c r="BD211">
        <v>0</v>
      </c>
      <c r="BE211">
        <v>0</v>
      </c>
    </row>
    <row r="212" spans="1:58">
      <c r="A212" t="s">
        <v>18833</v>
      </c>
      <c r="B212" t="s">
        <v>21078</v>
      </c>
      <c r="C212">
        <v>1</v>
      </c>
      <c r="D212">
        <v>5</v>
      </c>
      <c r="E212">
        <v>5</v>
      </c>
      <c r="F212">
        <v>5</v>
      </c>
      <c r="G212">
        <v>0</v>
      </c>
      <c r="H212">
        <v>0</v>
      </c>
      <c r="I212">
        <v>0</v>
      </c>
      <c r="J212">
        <v>5</v>
      </c>
      <c r="K212">
        <v>6</v>
      </c>
      <c r="L212">
        <v>5</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6</v>
      </c>
      <c r="AU212">
        <v>0</v>
      </c>
      <c r="AV212">
        <v>4</v>
      </c>
      <c r="AW212">
        <v>2</v>
      </c>
      <c r="AX212">
        <v>0</v>
      </c>
      <c r="AY212">
        <v>0</v>
      </c>
      <c r="AZ212">
        <v>0</v>
      </c>
      <c r="BA212">
        <v>0</v>
      </c>
      <c r="BB212">
        <v>0</v>
      </c>
      <c r="BC212">
        <v>0</v>
      </c>
      <c r="BD212">
        <v>0</v>
      </c>
      <c r="BE212">
        <v>0</v>
      </c>
    </row>
    <row r="213" spans="1:58">
      <c r="A213" t="s">
        <v>18833</v>
      </c>
      <c r="B213" t="s">
        <v>21077</v>
      </c>
      <c r="C213">
        <v>1</v>
      </c>
      <c r="D213">
        <v>1</v>
      </c>
      <c r="E213">
        <v>1</v>
      </c>
      <c r="F213">
        <v>1</v>
      </c>
      <c r="G213">
        <v>0</v>
      </c>
      <c r="H213">
        <v>0</v>
      </c>
      <c r="I213">
        <v>0</v>
      </c>
      <c r="J213">
        <v>1</v>
      </c>
      <c r="K213">
        <v>79</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79</v>
      </c>
      <c r="AU213">
        <v>0</v>
      </c>
      <c r="AV213">
        <v>79</v>
      </c>
      <c r="AW213">
        <v>0</v>
      </c>
      <c r="AX213">
        <v>0</v>
      </c>
      <c r="AY213">
        <v>0</v>
      </c>
      <c r="AZ213">
        <v>0</v>
      </c>
      <c r="BA213">
        <v>0</v>
      </c>
      <c r="BB213">
        <v>0</v>
      </c>
      <c r="BC213">
        <v>0</v>
      </c>
      <c r="BD213">
        <v>0</v>
      </c>
      <c r="BE213">
        <v>0</v>
      </c>
    </row>
    <row r="214" spans="1:58">
      <c r="A214" t="s">
        <v>18833</v>
      </c>
      <c r="B214" t="s">
        <v>21076</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row>
    <row r="215" spans="1:58">
      <c r="A215" t="s">
        <v>18833</v>
      </c>
      <c r="B215" t="s">
        <v>21075</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row>
    <row r="216" spans="1:58">
      <c r="A216" t="s">
        <v>18833</v>
      </c>
      <c r="B216" t="s">
        <v>21074</v>
      </c>
      <c r="C216">
        <v>0</v>
      </c>
      <c r="D216">
        <v>1</v>
      </c>
      <c r="E216">
        <v>1</v>
      </c>
      <c r="F216">
        <v>0</v>
      </c>
      <c r="G216">
        <v>0</v>
      </c>
      <c r="H216">
        <v>0</v>
      </c>
      <c r="I216">
        <v>0</v>
      </c>
      <c r="J216">
        <v>1</v>
      </c>
      <c r="K216">
        <v>14</v>
      </c>
      <c r="L216">
        <v>1</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14</v>
      </c>
      <c r="AU216">
        <v>0</v>
      </c>
      <c r="AV216">
        <v>14</v>
      </c>
      <c r="AW216">
        <v>0</v>
      </c>
      <c r="AX216">
        <v>0</v>
      </c>
      <c r="AY216">
        <v>0</v>
      </c>
      <c r="AZ216">
        <v>0</v>
      </c>
      <c r="BA216">
        <v>0</v>
      </c>
      <c r="BB216">
        <v>0</v>
      </c>
      <c r="BC216">
        <v>0</v>
      </c>
      <c r="BD216">
        <v>0</v>
      </c>
      <c r="BE216">
        <v>0</v>
      </c>
    </row>
    <row r="217" spans="1:58">
      <c r="A217" t="s">
        <v>17099</v>
      </c>
      <c r="B217" t="s">
        <v>18832</v>
      </c>
      <c r="C217">
        <v>7</v>
      </c>
      <c r="D217">
        <v>19</v>
      </c>
      <c r="E217">
        <v>4</v>
      </c>
      <c r="F217">
        <v>2</v>
      </c>
      <c r="G217">
        <v>3</v>
      </c>
      <c r="H217">
        <v>2</v>
      </c>
      <c r="I217">
        <v>0</v>
      </c>
      <c r="J217">
        <v>10</v>
      </c>
      <c r="K217">
        <v>306</v>
      </c>
      <c r="L217">
        <v>0</v>
      </c>
      <c r="M217">
        <v>0</v>
      </c>
      <c r="N217">
        <v>1</v>
      </c>
      <c r="O217">
        <v>0</v>
      </c>
      <c r="P217">
        <v>0</v>
      </c>
      <c r="Q217">
        <v>0</v>
      </c>
      <c r="R217">
        <v>0</v>
      </c>
      <c r="S217">
        <v>16.25</v>
      </c>
      <c r="T217">
        <v>0</v>
      </c>
      <c r="U217">
        <v>0</v>
      </c>
      <c r="V217">
        <v>16.25</v>
      </c>
      <c r="W217">
        <v>162.5</v>
      </c>
      <c r="X217">
        <v>0</v>
      </c>
      <c r="Y217">
        <v>2</v>
      </c>
      <c r="Z217">
        <v>0</v>
      </c>
      <c r="AA217">
        <v>0</v>
      </c>
      <c r="AB217">
        <v>130</v>
      </c>
      <c r="AC217">
        <v>0</v>
      </c>
      <c r="AD217">
        <v>0</v>
      </c>
      <c r="AE217">
        <v>0</v>
      </c>
      <c r="AF217">
        <v>130</v>
      </c>
      <c r="AG217">
        <v>162.5</v>
      </c>
      <c r="AH217">
        <v>162.5</v>
      </c>
      <c r="AI217">
        <v>0</v>
      </c>
      <c r="AJ217">
        <v>0</v>
      </c>
      <c r="AK217">
        <v>0</v>
      </c>
      <c r="AL217">
        <v>0</v>
      </c>
      <c r="AM217">
        <v>0</v>
      </c>
      <c r="AN217">
        <v>0</v>
      </c>
      <c r="AO217">
        <v>0</v>
      </c>
      <c r="AP217">
        <v>0</v>
      </c>
      <c r="AQ217">
        <v>0</v>
      </c>
      <c r="AR217">
        <v>0</v>
      </c>
      <c r="AS217">
        <v>0</v>
      </c>
      <c r="AT217">
        <v>306</v>
      </c>
      <c r="AU217">
        <v>33</v>
      </c>
      <c r="AV217">
        <v>140</v>
      </c>
      <c r="AW217">
        <v>133</v>
      </c>
      <c r="AX217">
        <v>16.25</v>
      </c>
      <c r="AY217">
        <v>0</v>
      </c>
      <c r="AZ217">
        <v>16.25</v>
      </c>
      <c r="BA217">
        <v>0</v>
      </c>
      <c r="BB217">
        <v>0</v>
      </c>
      <c r="BC217">
        <v>0</v>
      </c>
      <c r="BD217">
        <v>0</v>
      </c>
      <c r="BE217">
        <v>0</v>
      </c>
    </row>
    <row r="218" spans="1:58">
      <c r="A218" t="s">
        <v>16974</v>
      </c>
      <c r="B218" t="s">
        <v>17102</v>
      </c>
      <c r="C218">
        <v>0</v>
      </c>
      <c r="D218">
        <v>1</v>
      </c>
      <c r="E218">
        <v>1</v>
      </c>
      <c r="F218">
        <v>1</v>
      </c>
      <c r="G218">
        <v>0</v>
      </c>
      <c r="H218">
        <v>0</v>
      </c>
      <c r="I218">
        <v>0</v>
      </c>
      <c r="J218">
        <v>1</v>
      </c>
      <c r="K218">
        <v>11</v>
      </c>
      <c r="L218">
        <v>1</v>
      </c>
      <c r="M218">
        <v>0</v>
      </c>
      <c r="N218">
        <v>0</v>
      </c>
      <c r="O218">
        <v>0</v>
      </c>
      <c r="P218">
        <v>0</v>
      </c>
      <c r="Q218">
        <v>0</v>
      </c>
      <c r="R218">
        <v>0</v>
      </c>
      <c r="S218">
        <v>0.25</v>
      </c>
      <c r="T218">
        <v>0</v>
      </c>
      <c r="U218">
        <v>0</v>
      </c>
      <c r="V218">
        <v>0.25</v>
      </c>
      <c r="W218">
        <v>2.5</v>
      </c>
      <c r="X218">
        <v>0</v>
      </c>
      <c r="Y218">
        <v>1</v>
      </c>
      <c r="Z218">
        <v>0</v>
      </c>
      <c r="AA218">
        <v>0</v>
      </c>
      <c r="AB218">
        <v>0</v>
      </c>
      <c r="AC218">
        <v>0</v>
      </c>
      <c r="AD218">
        <v>0</v>
      </c>
      <c r="AE218">
        <v>0</v>
      </c>
      <c r="AF218">
        <v>0</v>
      </c>
      <c r="AG218">
        <v>2.5</v>
      </c>
      <c r="AH218">
        <v>2.5</v>
      </c>
      <c r="AI218">
        <v>0</v>
      </c>
      <c r="AJ218">
        <v>0</v>
      </c>
      <c r="AK218">
        <v>0</v>
      </c>
      <c r="AL218">
        <v>0</v>
      </c>
      <c r="AM218">
        <v>0</v>
      </c>
      <c r="AN218">
        <v>0</v>
      </c>
      <c r="AO218">
        <v>0</v>
      </c>
      <c r="AP218">
        <v>0</v>
      </c>
      <c r="AQ218">
        <v>0</v>
      </c>
      <c r="AR218">
        <v>0</v>
      </c>
      <c r="AS218">
        <v>0</v>
      </c>
      <c r="AT218">
        <v>11</v>
      </c>
      <c r="AU218">
        <v>0</v>
      </c>
      <c r="AV218">
        <v>11</v>
      </c>
      <c r="AW218">
        <v>0</v>
      </c>
      <c r="AX218">
        <v>0.25</v>
      </c>
      <c r="AY218">
        <v>0</v>
      </c>
      <c r="AZ218">
        <v>0.25</v>
      </c>
      <c r="BA218">
        <v>0</v>
      </c>
      <c r="BB218">
        <v>0</v>
      </c>
      <c r="BC218">
        <v>0</v>
      </c>
      <c r="BD218">
        <v>0</v>
      </c>
      <c r="BE218">
        <v>0</v>
      </c>
    </row>
    <row r="219" spans="1:58">
      <c r="A219" t="s">
        <v>16974</v>
      </c>
      <c r="B219" t="s">
        <v>17103</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row>
    <row r="220" spans="1:58">
      <c r="A220" t="s">
        <v>16974</v>
      </c>
      <c r="B220" t="s">
        <v>21080</v>
      </c>
      <c r="C220">
        <v>0</v>
      </c>
      <c r="D220">
        <v>1</v>
      </c>
      <c r="E220">
        <v>1</v>
      </c>
      <c r="F220">
        <v>1</v>
      </c>
      <c r="G220">
        <v>1</v>
      </c>
      <c r="H220">
        <v>1</v>
      </c>
      <c r="I220">
        <v>0</v>
      </c>
      <c r="J220">
        <v>1</v>
      </c>
      <c r="K220">
        <v>0</v>
      </c>
      <c r="L220">
        <v>0</v>
      </c>
      <c r="M220">
        <v>0</v>
      </c>
      <c r="N220">
        <v>0</v>
      </c>
      <c r="O220">
        <v>0</v>
      </c>
      <c r="P220">
        <v>0</v>
      </c>
      <c r="Q220">
        <v>1</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row>
    <row r="221" spans="1:58">
      <c r="A221" t="s">
        <v>16974</v>
      </c>
      <c r="B221" t="s">
        <v>18835</v>
      </c>
      <c r="C221">
        <v>21</v>
      </c>
      <c r="D221">
        <v>47</v>
      </c>
      <c r="E221">
        <v>0</v>
      </c>
      <c r="F221">
        <v>23</v>
      </c>
      <c r="G221">
        <v>12</v>
      </c>
      <c r="H221">
        <v>9</v>
      </c>
      <c r="I221">
        <v>13</v>
      </c>
      <c r="J221">
        <v>46</v>
      </c>
      <c r="K221">
        <v>623</v>
      </c>
      <c r="L221">
        <v>25</v>
      </c>
      <c r="M221">
        <v>1</v>
      </c>
      <c r="N221">
        <v>0</v>
      </c>
      <c r="O221">
        <v>0</v>
      </c>
      <c r="P221">
        <v>0</v>
      </c>
      <c r="Q221">
        <v>3</v>
      </c>
      <c r="R221">
        <v>0</v>
      </c>
      <c r="S221">
        <v>23.25</v>
      </c>
      <c r="T221">
        <v>16.25</v>
      </c>
      <c r="U221">
        <v>2.5</v>
      </c>
      <c r="V221">
        <v>42</v>
      </c>
      <c r="W221">
        <v>412.5</v>
      </c>
      <c r="X221">
        <v>0</v>
      </c>
      <c r="Y221">
        <v>25</v>
      </c>
      <c r="Z221">
        <v>0</v>
      </c>
      <c r="AA221">
        <v>-145</v>
      </c>
      <c r="AB221">
        <v>0</v>
      </c>
      <c r="AC221">
        <v>0</v>
      </c>
      <c r="AD221">
        <v>0</v>
      </c>
      <c r="AE221">
        <v>0</v>
      </c>
      <c r="AF221">
        <v>0</v>
      </c>
      <c r="AG221">
        <v>462.5</v>
      </c>
      <c r="AH221">
        <v>462.5</v>
      </c>
      <c r="AI221">
        <v>0</v>
      </c>
      <c r="AJ221">
        <v>0</v>
      </c>
      <c r="AK221">
        <v>50</v>
      </c>
      <c r="AL221">
        <v>50</v>
      </c>
      <c r="AM221">
        <v>0</v>
      </c>
      <c r="AN221">
        <v>0</v>
      </c>
      <c r="AO221">
        <v>0</v>
      </c>
      <c r="AP221">
        <v>0</v>
      </c>
      <c r="AQ221">
        <v>0</v>
      </c>
      <c r="AR221">
        <v>0</v>
      </c>
      <c r="AS221">
        <v>0</v>
      </c>
      <c r="AT221">
        <v>623</v>
      </c>
      <c r="AU221">
        <v>268</v>
      </c>
      <c r="AV221">
        <v>99</v>
      </c>
      <c r="AW221">
        <v>511</v>
      </c>
      <c r="AX221">
        <v>23.25</v>
      </c>
      <c r="AY221">
        <v>8</v>
      </c>
      <c r="AZ221">
        <v>14.75</v>
      </c>
      <c r="BA221">
        <v>8</v>
      </c>
      <c r="BB221">
        <v>16.25</v>
      </c>
      <c r="BC221">
        <v>3</v>
      </c>
      <c r="BD221">
        <v>13.25</v>
      </c>
      <c r="BE221">
        <v>3</v>
      </c>
    </row>
    <row r="222" spans="1:58">
      <c r="A222" t="s">
        <v>16974</v>
      </c>
      <c r="B222" t="s">
        <v>18835</v>
      </c>
      <c r="C222">
        <v>4</v>
      </c>
      <c r="D222">
        <v>40</v>
      </c>
      <c r="E222">
        <v>8</v>
      </c>
      <c r="F222">
        <v>38</v>
      </c>
      <c r="G222">
        <v>3</v>
      </c>
      <c r="H222">
        <v>0</v>
      </c>
      <c r="I222">
        <v>0</v>
      </c>
      <c r="J222">
        <v>40</v>
      </c>
      <c r="K222">
        <v>167</v>
      </c>
      <c r="L222">
        <v>39</v>
      </c>
      <c r="M222">
        <v>1</v>
      </c>
      <c r="N222">
        <v>0</v>
      </c>
      <c r="O222">
        <v>0</v>
      </c>
      <c r="P222">
        <v>0</v>
      </c>
      <c r="Q222">
        <v>0</v>
      </c>
      <c r="R222">
        <v>0</v>
      </c>
      <c r="S222">
        <v>24.5</v>
      </c>
      <c r="T222">
        <v>22</v>
      </c>
      <c r="U222">
        <v>0</v>
      </c>
      <c r="V222">
        <v>46.5</v>
      </c>
      <c r="W222">
        <v>555</v>
      </c>
      <c r="X222">
        <v>0</v>
      </c>
      <c r="Y222">
        <v>36</v>
      </c>
      <c r="Z222">
        <v>0</v>
      </c>
      <c r="AA222">
        <v>-130</v>
      </c>
      <c r="AB222">
        <v>0</v>
      </c>
      <c r="AC222">
        <v>0</v>
      </c>
      <c r="AD222">
        <v>0</v>
      </c>
      <c r="AE222">
        <v>0</v>
      </c>
      <c r="AF222">
        <v>0</v>
      </c>
      <c r="AG222">
        <v>555</v>
      </c>
      <c r="AH222">
        <v>555</v>
      </c>
      <c r="AI222">
        <v>0</v>
      </c>
      <c r="AJ222">
        <v>0</v>
      </c>
      <c r="AK222">
        <v>0</v>
      </c>
      <c r="AL222">
        <v>0</v>
      </c>
      <c r="AM222">
        <v>0</v>
      </c>
      <c r="AN222">
        <v>0</v>
      </c>
      <c r="AO222">
        <v>0</v>
      </c>
      <c r="AP222">
        <v>0</v>
      </c>
      <c r="AQ222">
        <v>0</v>
      </c>
      <c r="AR222">
        <v>0</v>
      </c>
      <c r="AS222">
        <v>0</v>
      </c>
      <c r="AT222">
        <v>167</v>
      </c>
      <c r="AU222">
        <v>0</v>
      </c>
      <c r="AV222">
        <v>125</v>
      </c>
      <c r="AW222">
        <v>42</v>
      </c>
      <c r="AX222">
        <v>24.5</v>
      </c>
      <c r="AY222">
        <v>0</v>
      </c>
      <c r="AZ222">
        <v>21.5</v>
      </c>
      <c r="BA222">
        <v>3</v>
      </c>
      <c r="BB222">
        <v>22</v>
      </c>
      <c r="BC222">
        <v>0</v>
      </c>
      <c r="BD222">
        <v>17</v>
      </c>
      <c r="BE222">
        <v>5</v>
      </c>
      <c r="BF222">
        <v>15</v>
      </c>
    </row>
    <row r="223" spans="1:58">
      <c r="A223" t="s">
        <v>16974</v>
      </c>
      <c r="B223" t="s">
        <v>17313</v>
      </c>
      <c r="C223">
        <v>0</v>
      </c>
      <c r="D223">
        <v>1</v>
      </c>
      <c r="E223">
        <v>0</v>
      </c>
      <c r="F223">
        <v>0</v>
      </c>
      <c r="G223">
        <v>0</v>
      </c>
      <c r="H223">
        <v>0</v>
      </c>
      <c r="I223">
        <v>0</v>
      </c>
      <c r="J223">
        <v>1</v>
      </c>
      <c r="K223">
        <v>0</v>
      </c>
      <c r="L223">
        <v>1</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row>
    <row r="224" spans="1:58">
      <c r="A224" t="s">
        <v>16974</v>
      </c>
      <c r="B224" t="s">
        <v>17108</v>
      </c>
      <c r="C224">
        <v>4</v>
      </c>
      <c r="D224">
        <v>8</v>
      </c>
      <c r="E224">
        <v>0</v>
      </c>
      <c r="F224">
        <v>8</v>
      </c>
      <c r="G224">
        <v>0</v>
      </c>
      <c r="H224">
        <v>0</v>
      </c>
      <c r="I224">
        <v>0</v>
      </c>
      <c r="J224">
        <v>8</v>
      </c>
      <c r="K224">
        <v>14</v>
      </c>
      <c r="L224">
        <v>8</v>
      </c>
      <c r="M224">
        <v>0</v>
      </c>
      <c r="N224">
        <v>0</v>
      </c>
      <c r="O224">
        <v>0</v>
      </c>
      <c r="P224">
        <v>0</v>
      </c>
      <c r="Q224">
        <v>0</v>
      </c>
      <c r="R224">
        <v>0</v>
      </c>
      <c r="S224">
        <v>3.5</v>
      </c>
      <c r="T224">
        <v>0</v>
      </c>
      <c r="U224">
        <v>0</v>
      </c>
      <c r="V224">
        <v>3.5</v>
      </c>
      <c r="W224">
        <v>7.5</v>
      </c>
      <c r="X224">
        <v>0</v>
      </c>
      <c r="Y224">
        <v>2</v>
      </c>
      <c r="Z224">
        <v>0</v>
      </c>
      <c r="AA224">
        <v>-22.5</v>
      </c>
      <c r="AB224">
        <v>0</v>
      </c>
      <c r="AC224">
        <v>0</v>
      </c>
      <c r="AD224">
        <v>0</v>
      </c>
      <c r="AE224">
        <v>0</v>
      </c>
      <c r="AF224">
        <v>0</v>
      </c>
      <c r="AG224">
        <v>7.5</v>
      </c>
      <c r="AH224">
        <v>7.5</v>
      </c>
      <c r="AI224">
        <v>0</v>
      </c>
      <c r="AJ224">
        <v>0</v>
      </c>
      <c r="AK224">
        <v>0</v>
      </c>
      <c r="AL224">
        <v>0</v>
      </c>
      <c r="AM224">
        <v>0</v>
      </c>
      <c r="AN224">
        <v>0</v>
      </c>
      <c r="AO224">
        <v>0</v>
      </c>
      <c r="AP224">
        <v>0</v>
      </c>
      <c r="AQ224">
        <v>0</v>
      </c>
      <c r="AR224">
        <v>0</v>
      </c>
      <c r="AS224">
        <v>0</v>
      </c>
      <c r="AT224">
        <v>14</v>
      </c>
      <c r="AU224">
        <v>0</v>
      </c>
      <c r="AV224">
        <v>5</v>
      </c>
      <c r="AW224">
        <v>9</v>
      </c>
      <c r="AX224">
        <v>3.5</v>
      </c>
      <c r="AY224">
        <v>0</v>
      </c>
      <c r="AZ224">
        <v>1.25</v>
      </c>
      <c r="BA224">
        <v>2.25</v>
      </c>
      <c r="BB224">
        <v>0</v>
      </c>
      <c r="BC224">
        <v>0</v>
      </c>
      <c r="BD224">
        <v>0</v>
      </c>
      <c r="BE224">
        <v>0</v>
      </c>
    </row>
    <row r="225" spans="1:57">
      <c r="A225" t="s">
        <v>16974</v>
      </c>
      <c r="B225" t="s">
        <v>17108</v>
      </c>
      <c r="C225">
        <v>1</v>
      </c>
      <c r="D225">
        <v>3</v>
      </c>
      <c r="E225">
        <v>0</v>
      </c>
      <c r="F225">
        <v>0</v>
      </c>
      <c r="G225">
        <v>0</v>
      </c>
      <c r="H225">
        <v>0</v>
      </c>
      <c r="I225">
        <v>0</v>
      </c>
      <c r="J225">
        <v>3</v>
      </c>
      <c r="K225">
        <v>9</v>
      </c>
      <c r="L225">
        <v>3</v>
      </c>
      <c r="M225">
        <v>0</v>
      </c>
      <c r="N225">
        <v>0</v>
      </c>
      <c r="O225">
        <v>0</v>
      </c>
      <c r="P225">
        <v>0</v>
      </c>
      <c r="Q225">
        <v>0</v>
      </c>
      <c r="R225">
        <v>0</v>
      </c>
      <c r="S225">
        <v>0.75</v>
      </c>
      <c r="T225">
        <v>0</v>
      </c>
      <c r="U225">
        <v>0</v>
      </c>
      <c r="V225">
        <v>0.75</v>
      </c>
      <c r="W225">
        <v>5</v>
      </c>
      <c r="X225">
        <v>0</v>
      </c>
      <c r="Y225">
        <v>2</v>
      </c>
      <c r="Z225">
        <v>0</v>
      </c>
      <c r="AA225">
        <v>-2.5</v>
      </c>
      <c r="AB225">
        <v>0</v>
      </c>
      <c r="AC225">
        <v>0</v>
      </c>
      <c r="AD225">
        <v>0</v>
      </c>
      <c r="AE225">
        <v>0</v>
      </c>
      <c r="AF225">
        <v>0</v>
      </c>
      <c r="AG225">
        <v>5</v>
      </c>
      <c r="AH225">
        <v>5</v>
      </c>
      <c r="AI225">
        <v>0</v>
      </c>
      <c r="AJ225">
        <v>0</v>
      </c>
      <c r="AK225">
        <v>0</v>
      </c>
      <c r="AL225">
        <v>0</v>
      </c>
      <c r="AM225">
        <v>0</v>
      </c>
      <c r="AN225">
        <v>0</v>
      </c>
      <c r="AO225">
        <v>0</v>
      </c>
      <c r="AP225">
        <v>0</v>
      </c>
      <c r="AQ225">
        <v>0</v>
      </c>
      <c r="AR225">
        <v>0</v>
      </c>
      <c r="AS225">
        <v>0</v>
      </c>
      <c r="AT225">
        <v>9</v>
      </c>
      <c r="AU225">
        <v>0</v>
      </c>
      <c r="AV225">
        <v>6</v>
      </c>
      <c r="AW225">
        <v>3</v>
      </c>
      <c r="AX225">
        <v>0.75</v>
      </c>
      <c r="AY225">
        <v>0</v>
      </c>
      <c r="AZ225">
        <v>0.5</v>
      </c>
      <c r="BA225">
        <v>0.25</v>
      </c>
      <c r="BB225">
        <v>0</v>
      </c>
      <c r="BC225">
        <v>0</v>
      </c>
      <c r="BD225">
        <v>0</v>
      </c>
      <c r="BE225">
        <v>0</v>
      </c>
    </row>
    <row r="226" spans="1:57">
      <c r="A226" t="s">
        <v>16974</v>
      </c>
      <c r="B226" t="s">
        <v>17109</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row>
    <row r="227" spans="1:57">
      <c r="A227" t="s">
        <v>16974</v>
      </c>
      <c r="B227" t="s">
        <v>21081</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row>
    <row r="228" spans="1:57">
      <c r="A228" t="s">
        <v>16974</v>
      </c>
      <c r="B228" t="s">
        <v>17312</v>
      </c>
      <c r="C228">
        <v>0</v>
      </c>
      <c r="D228">
        <v>1</v>
      </c>
      <c r="E228">
        <v>1</v>
      </c>
      <c r="F228">
        <v>1</v>
      </c>
      <c r="G228">
        <v>1</v>
      </c>
      <c r="H228">
        <v>0</v>
      </c>
      <c r="I228">
        <v>0</v>
      </c>
      <c r="J228">
        <v>1</v>
      </c>
      <c r="K228">
        <v>15</v>
      </c>
      <c r="L228">
        <v>1</v>
      </c>
      <c r="M228">
        <v>0</v>
      </c>
      <c r="N228">
        <v>0</v>
      </c>
      <c r="O228">
        <v>0</v>
      </c>
      <c r="P228">
        <v>0</v>
      </c>
      <c r="Q228">
        <v>0</v>
      </c>
      <c r="R228">
        <v>0</v>
      </c>
      <c r="S228">
        <v>0.25</v>
      </c>
      <c r="T228">
        <v>1</v>
      </c>
      <c r="U228">
        <v>0.5</v>
      </c>
      <c r="V228">
        <v>1.75</v>
      </c>
      <c r="W228">
        <v>22.5</v>
      </c>
      <c r="X228">
        <v>0</v>
      </c>
      <c r="Y228">
        <v>1</v>
      </c>
      <c r="Z228">
        <v>0</v>
      </c>
      <c r="AA228">
        <v>0</v>
      </c>
      <c r="AB228">
        <v>0</v>
      </c>
      <c r="AC228">
        <v>0</v>
      </c>
      <c r="AD228">
        <v>0</v>
      </c>
      <c r="AE228">
        <v>0</v>
      </c>
      <c r="AF228">
        <v>0</v>
      </c>
      <c r="AG228">
        <v>32.5</v>
      </c>
      <c r="AH228">
        <v>32.5</v>
      </c>
      <c r="AI228">
        <v>0</v>
      </c>
      <c r="AJ228">
        <v>0</v>
      </c>
      <c r="AK228">
        <v>0</v>
      </c>
      <c r="AL228">
        <v>0</v>
      </c>
      <c r="AM228">
        <v>0</v>
      </c>
      <c r="AN228">
        <v>0</v>
      </c>
      <c r="AO228">
        <v>0</v>
      </c>
      <c r="AP228">
        <v>0</v>
      </c>
      <c r="AQ228">
        <v>0</v>
      </c>
      <c r="AR228">
        <v>0</v>
      </c>
      <c r="AS228">
        <v>0</v>
      </c>
      <c r="AT228">
        <v>15</v>
      </c>
      <c r="AU228">
        <v>0</v>
      </c>
      <c r="AV228">
        <v>15</v>
      </c>
      <c r="AW228">
        <v>0</v>
      </c>
      <c r="AX228">
        <v>0.25</v>
      </c>
      <c r="AY228">
        <v>0</v>
      </c>
      <c r="AZ228">
        <v>0.25</v>
      </c>
      <c r="BA228">
        <v>0</v>
      </c>
      <c r="BB228">
        <v>1</v>
      </c>
      <c r="BC228">
        <v>0</v>
      </c>
      <c r="BD228">
        <v>1</v>
      </c>
      <c r="BE228">
        <v>0</v>
      </c>
    </row>
    <row r="229" spans="1:57">
      <c r="A229" t="s">
        <v>16974</v>
      </c>
      <c r="B229" t="s">
        <v>17110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row>
    <row r="230" spans="1:57">
      <c r="A230" t="s">
        <v>16974</v>
      </c>
      <c r="B230" t="s">
        <v>17111</v>
      </c>
      <c r="C230">
        <v>0</v>
      </c>
      <c r="D230">
        <v>6</v>
      </c>
      <c r="E230">
        <v>0</v>
      </c>
      <c r="F230">
        <v>6</v>
      </c>
      <c r="G230">
        <v>0</v>
      </c>
      <c r="H230">
        <v>0</v>
      </c>
      <c r="I230">
        <v>0</v>
      </c>
      <c r="J230">
        <v>6</v>
      </c>
      <c r="K230">
        <v>18</v>
      </c>
      <c r="L230">
        <v>5</v>
      </c>
      <c r="M230">
        <v>0</v>
      </c>
      <c r="N230">
        <v>1</v>
      </c>
      <c r="O230">
        <v>0</v>
      </c>
      <c r="P230">
        <v>0</v>
      </c>
      <c r="Q230">
        <v>0</v>
      </c>
      <c r="R230">
        <v>0</v>
      </c>
      <c r="S230">
        <v>2.25</v>
      </c>
      <c r="T230">
        <v>0</v>
      </c>
      <c r="U230">
        <v>0</v>
      </c>
      <c r="V230">
        <v>2.25</v>
      </c>
      <c r="W230">
        <v>22.5</v>
      </c>
      <c r="X230">
        <v>0</v>
      </c>
      <c r="Y230">
        <v>6</v>
      </c>
      <c r="Z230">
        <v>0</v>
      </c>
      <c r="AA230">
        <v>0</v>
      </c>
      <c r="AB230">
        <v>0</v>
      </c>
      <c r="AC230">
        <v>26.5</v>
      </c>
      <c r="AD230">
        <v>24.5</v>
      </c>
      <c r="AE230">
        <v>24</v>
      </c>
      <c r="AF230">
        <v>24.5</v>
      </c>
      <c r="AG230">
        <v>49</v>
      </c>
      <c r="AH230">
        <v>25</v>
      </c>
      <c r="AI230">
        <v>0</v>
      </c>
      <c r="AJ230">
        <v>0</v>
      </c>
      <c r="AK230">
        <v>0</v>
      </c>
      <c r="AL230">
        <v>0</v>
      </c>
      <c r="AM230">
        <v>1</v>
      </c>
      <c r="AN230">
        <v>1</v>
      </c>
      <c r="AO230">
        <v>0</v>
      </c>
      <c r="AP230">
        <v>0</v>
      </c>
      <c r="AQ230">
        <v>0</v>
      </c>
      <c r="AR230">
        <v>0</v>
      </c>
      <c r="AS230">
        <v>0</v>
      </c>
      <c r="AT230">
        <v>18</v>
      </c>
      <c r="AU230">
        <v>0</v>
      </c>
      <c r="AV230">
        <v>18</v>
      </c>
      <c r="AW230">
        <v>0</v>
      </c>
      <c r="AX230">
        <v>2.25</v>
      </c>
      <c r="AY230">
        <v>0</v>
      </c>
      <c r="AZ230">
        <v>2.25</v>
      </c>
      <c r="BA230">
        <v>0</v>
      </c>
      <c r="BB230">
        <v>0</v>
      </c>
      <c r="BC230">
        <v>0</v>
      </c>
      <c r="BD230">
        <v>0</v>
      </c>
      <c r="BE230">
        <v>0</v>
      </c>
    </row>
    <row r="231" spans="1:57">
      <c r="A231" t="s">
        <v>16974</v>
      </c>
      <c r="B231" t="s">
        <v>17386</v>
      </c>
      <c r="C231">
        <v>1</v>
      </c>
      <c r="D231">
        <v>1</v>
      </c>
      <c r="E231">
        <v>0</v>
      </c>
      <c r="F231">
        <v>1</v>
      </c>
      <c r="G231">
        <v>0</v>
      </c>
      <c r="H231">
        <v>0</v>
      </c>
      <c r="I231">
        <v>0</v>
      </c>
      <c r="J231">
        <v>0</v>
      </c>
      <c r="K231">
        <v>0</v>
      </c>
      <c r="L231">
        <v>0</v>
      </c>
      <c r="M231">
        <v>0</v>
      </c>
      <c r="N231">
        <v>0</v>
      </c>
      <c r="O231">
        <v>1</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row>
    <row r="232" spans="1:57">
      <c r="A232" t="s">
        <v>16974</v>
      </c>
      <c r="B232" t="s">
        <v>17309</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row>
    <row r="233" spans="1:57">
      <c r="A233" t="s">
        <v>16974</v>
      </c>
      <c r="B233" t="s">
        <v>17117</v>
      </c>
      <c r="C233">
        <v>0</v>
      </c>
      <c r="D233">
        <v>9</v>
      </c>
      <c r="E233">
        <v>9</v>
      </c>
      <c r="F233">
        <v>9</v>
      </c>
      <c r="G233">
        <v>1</v>
      </c>
      <c r="H233">
        <v>0</v>
      </c>
      <c r="I233">
        <v>0</v>
      </c>
      <c r="J233">
        <v>9</v>
      </c>
      <c r="K233">
        <v>101</v>
      </c>
      <c r="L233">
        <v>0</v>
      </c>
      <c r="M233">
        <v>2</v>
      </c>
      <c r="N233">
        <v>4</v>
      </c>
      <c r="O233">
        <v>3</v>
      </c>
      <c r="P233">
        <v>0</v>
      </c>
      <c r="Q233">
        <v>0</v>
      </c>
      <c r="R233">
        <v>0</v>
      </c>
      <c r="S233">
        <v>3.25</v>
      </c>
      <c r="T233">
        <v>3.25</v>
      </c>
      <c r="U233">
        <v>0</v>
      </c>
      <c r="V233">
        <v>6.5</v>
      </c>
      <c r="W233">
        <v>97.5</v>
      </c>
      <c r="X233">
        <v>0</v>
      </c>
      <c r="Y233">
        <v>4</v>
      </c>
      <c r="Z233">
        <v>0</v>
      </c>
      <c r="AA233">
        <v>0</v>
      </c>
      <c r="AB233">
        <v>0</v>
      </c>
      <c r="AC233">
        <v>0</v>
      </c>
      <c r="AD233">
        <v>0</v>
      </c>
      <c r="AE233">
        <v>0</v>
      </c>
      <c r="AF233">
        <v>0</v>
      </c>
      <c r="AG233">
        <v>97.5</v>
      </c>
      <c r="AH233">
        <v>97.5</v>
      </c>
      <c r="AI233">
        <v>0</v>
      </c>
      <c r="AJ233">
        <v>0</v>
      </c>
      <c r="AK233">
        <v>0</v>
      </c>
      <c r="AL233">
        <v>0</v>
      </c>
      <c r="AM233">
        <v>0</v>
      </c>
      <c r="AN233">
        <v>0</v>
      </c>
      <c r="AO233">
        <v>0</v>
      </c>
      <c r="AP233">
        <v>0</v>
      </c>
      <c r="AQ233">
        <v>0</v>
      </c>
      <c r="AR233">
        <v>0</v>
      </c>
      <c r="AS233">
        <v>0</v>
      </c>
      <c r="AT233">
        <v>101</v>
      </c>
      <c r="AU233">
        <v>0</v>
      </c>
      <c r="AV233">
        <v>101</v>
      </c>
      <c r="AW233">
        <v>0</v>
      </c>
      <c r="AX233">
        <v>3.25</v>
      </c>
      <c r="AY233">
        <v>0</v>
      </c>
      <c r="AZ233">
        <v>3.25</v>
      </c>
      <c r="BA233">
        <v>0</v>
      </c>
      <c r="BB233">
        <v>3.25</v>
      </c>
      <c r="BC233">
        <v>0</v>
      </c>
      <c r="BD233">
        <v>3.25</v>
      </c>
      <c r="BE233">
        <v>0</v>
      </c>
    </row>
    <row r="234" spans="1:57">
      <c r="A234" t="s">
        <v>16974</v>
      </c>
      <c r="B234" t="s">
        <v>17118</v>
      </c>
      <c r="C234">
        <v>0</v>
      </c>
      <c r="D234">
        <v>1</v>
      </c>
      <c r="E234">
        <v>1</v>
      </c>
      <c r="F234">
        <v>1</v>
      </c>
      <c r="G234">
        <v>0</v>
      </c>
      <c r="H234">
        <v>0</v>
      </c>
      <c r="I234">
        <v>0</v>
      </c>
      <c r="J234">
        <v>1</v>
      </c>
      <c r="K234">
        <v>21</v>
      </c>
      <c r="L234">
        <v>1</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21</v>
      </c>
      <c r="AU234">
        <v>0</v>
      </c>
      <c r="AV234">
        <v>21</v>
      </c>
      <c r="AW234">
        <v>0</v>
      </c>
      <c r="AX234">
        <v>0</v>
      </c>
      <c r="AY234">
        <v>0</v>
      </c>
      <c r="AZ234">
        <v>0</v>
      </c>
      <c r="BA234">
        <v>0</v>
      </c>
      <c r="BB234">
        <v>0</v>
      </c>
      <c r="BC234">
        <v>0</v>
      </c>
      <c r="BD234">
        <v>0</v>
      </c>
      <c r="BE234">
        <v>0</v>
      </c>
    </row>
    <row r="235" spans="1:57">
      <c r="A235" t="s">
        <v>16974</v>
      </c>
      <c r="B235" t="s">
        <v>17119</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row>
    <row r="236" spans="1:57">
      <c r="A236" t="s">
        <v>16974</v>
      </c>
      <c r="B236" t="s">
        <v>17096</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row>
    <row r="237" spans="1:57">
      <c r="A237" t="s">
        <v>16974</v>
      </c>
      <c r="B237" t="s">
        <v>17120</v>
      </c>
      <c r="C237">
        <v>0</v>
      </c>
      <c r="D237">
        <v>2</v>
      </c>
      <c r="E237">
        <v>2</v>
      </c>
      <c r="F237">
        <v>0</v>
      </c>
      <c r="G237">
        <v>0</v>
      </c>
      <c r="H237">
        <v>0</v>
      </c>
      <c r="I237">
        <v>0</v>
      </c>
      <c r="J237">
        <v>2</v>
      </c>
      <c r="K237">
        <v>11</v>
      </c>
      <c r="L237">
        <v>0</v>
      </c>
      <c r="M237">
        <v>2</v>
      </c>
      <c r="N237">
        <v>0</v>
      </c>
      <c r="O237">
        <v>0</v>
      </c>
      <c r="P237">
        <v>0</v>
      </c>
      <c r="Q237">
        <v>0</v>
      </c>
      <c r="R237">
        <v>0</v>
      </c>
      <c r="S237">
        <v>2</v>
      </c>
      <c r="T237">
        <v>0</v>
      </c>
      <c r="U237">
        <v>0</v>
      </c>
      <c r="V237">
        <v>2</v>
      </c>
      <c r="W237">
        <v>20</v>
      </c>
      <c r="X237">
        <v>0</v>
      </c>
      <c r="Y237">
        <v>2</v>
      </c>
      <c r="Z237">
        <v>0</v>
      </c>
      <c r="AA237">
        <v>0</v>
      </c>
      <c r="AB237">
        <v>0</v>
      </c>
      <c r="AC237">
        <v>0</v>
      </c>
      <c r="AD237">
        <v>0</v>
      </c>
      <c r="AE237">
        <v>0</v>
      </c>
      <c r="AF237">
        <v>0</v>
      </c>
      <c r="AG237">
        <v>20</v>
      </c>
      <c r="AH237">
        <v>20</v>
      </c>
      <c r="AI237">
        <v>0</v>
      </c>
      <c r="AJ237">
        <v>0</v>
      </c>
      <c r="AK237">
        <v>0</v>
      </c>
      <c r="AL237">
        <v>0</v>
      </c>
      <c r="AM237">
        <v>0</v>
      </c>
      <c r="AN237">
        <v>0</v>
      </c>
      <c r="AO237">
        <v>0</v>
      </c>
      <c r="AP237">
        <v>0</v>
      </c>
      <c r="AQ237">
        <v>0</v>
      </c>
      <c r="AR237">
        <v>0</v>
      </c>
      <c r="AS237">
        <v>0</v>
      </c>
      <c r="AT237">
        <v>11</v>
      </c>
      <c r="AU237">
        <v>0</v>
      </c>
      <c r="AV237">
        <v>11</v>
      </c>
      <c r="AW237">
        <v>0</v>
      </c>
      <c r="AX237">
        <v>2</v>
      </c>
      <c r="AY237">
        <v>0</v>
      </c>
      <c r="AZ237">
        <v>2</v>
      </c>
      <c r="BA237">
        <v>0</v>
      </c>
      <c r="BB237">
        <v>0</v>
      </c>
      <c r="BC237">
        <v>0</v>
      </c>
      <c r="BD237">
        <v>0</v>
      </c>
      <c r="BE237">
        <v>0</v>
      </c>
    </row>
    <row r="238" spans="1:57">
      <c r="A238" t="s">
        <v>16974</v>
      </c>
      <c r="B238" t="s">
        <v>17336</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row>
    <row r="239" spans="1:57">
      <c r="A239" t="s">
        <v>16974</v>
      </c>
      <c r="B239" t="s">
        <v>17308</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row>
    <row r="240" spans="1:57">
      <c r="A240" t="s">
        <v>16974</v>
      </c>
      <c r="B240" t="s">
        <v>17121</v>
      </c>
      <c r="C240">
        <v>0</v>
      </c>
      <c r="D240">
        <v>2</v>
      </c>
      <c r="E240">
        <v>2</v>
      </c>
      <c r="F240">
        <v>0</v>
      </c>
      <c r="G240">
        <v>0</v>
      </c>
      <c r="H240">
        <v>0</v>
      </c>
      <c r="I240">
        <v>0</v>
      </c>
      <c r="J240">
        <v>0</v>
      </c>
      <c r="K240">
        <v>0</v>
      </c>
      <c r="L240">
        <v>0</v>
      </c>
      <c r="M240">
        <v>0</v>
      </c>
      <c r="N240">
        <v>0</v>
      </c>
      <c r="O240">
        <v>2</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row>
    <row r="241" spans="1:57">
      <c r="A241" t="s">
        <v>16974</v>
      </c>
      <c r="B241" t="s">
        <v>17121</v>
      </c>
      <c r="C241">
        <v>0</v>
      </c>
      <c r="D241">
        <v>4</v>
      </c>
      <c r="E241">
        <v>0</v>
      </c>
      <c r="F241">
        <v>0</v>
      </c>
      <c r="G241">
        <v>0</v>
      </c>
      <c r="H241">
        <v>0</v>
      </c>
      <c r="I241">
        <v>0</v>
      </c>
      <c r="J241">
        <v>4</v>
      </c>
      <c r="K241">
        <v>27</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27</v>
      </c>
      <c r="AU241">
        <v>0</v>
      </c>
      <c r="AV241">
        <v>27</v>
      </c>
      <c r="AW241">
        <v>0</v>
      </c>
      <c r="AX241">
        <v>0</v>
      </c>
      <c r="AY241">
        <v>0</v>
      </c>
      <c r="AZ241">
        <v>0</v>
      </c>
      <c r="BA241">
        <v>0</v>
      </c>
      <c r="BB241">
        <v>0</v>
      </c>
      <c r="BC241">
        <v>0</v>
      </c>
      <c r="BD241">
        <v>0</v>
      </c>
      <c r="BE241">
        <v>0</v>
      </c>
    </row>
    <row r="242" spans="1:57">
      <c r="A242" t="s">
        <v>16974</v>
      </c>
      <c r="B242" t="s">
        <v>17122</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row>
    <row r="243" spans="1:57">
      <c r="A243" t="s">
        <v>16974</v>
      </c>
      <c r="B243" t="s">
        <v>19986</v>
      </c>
      <c r="C243">
        <v>0</v>
      </c>
      <c r="D243">
        <v>1</v>
      </c>
      <c r="E243">
        <v>0</v>
      </c>
      <c r="F243">
        <v>1</v>
      </c>
      <c r="G243">
        <v>0</v>
      </c>
      <c r="H243">
        <v>0</v>
      </c>
      <c r="I243">
        <v>0</v>
      </c>
      <c r="J243">
        <v>1</v>
      </c>
      <c r="K243">
        <v>10</v>
      </c>
      <c r="L243">
        <v>1</v>
      </c>
      <c r="M243">
        <v>0</v>
      </c>
      <c r="N243">
        <v>0</v>
      </c>
      <c r="O243">
        <v>0</v>
      </c>
      <c r="P243">
        <v>0</v>
      </c>
      <c r="Q243">
        <v>0</v>
      </c>
      <c r="R243">
        <v>0</v>
      </c>
      <c r="S243">
        <v>2</v>
      </c>
      <c r="T243">
        <v>0</v>
      </c>
      <c r="U243">
        <v>0</v>
      </c>
      <c r="V243">
        <v>2</v>
      </c>
      <c r="W243">
        <v>20</v>
      </c>
      <c r="X243">
        <v>0</v>
      </c>
      <c r="Y243">
        <v>1</v>
      </c>
      <c r="Z243">
        <v>0</v>
      </c>
      <c r="AA243">
        <v>0</v>
      </c>
      <c r="AB243">
        <v>0</v>
      </c>
      <c r="AC243">
        <v>0</v>
      </c>
      <c r="AD243">
        <v>0</v>
      </c>
      <c r="AE243">
        <v>0</v>
      </c>
      <c r="AF243">
        <v>0</v>
      </c>
      <c r="AG243">
        <v>20</v>
      </c>
      <c r="AH243">
        <v>20</v>
      </c>
      <c r="AI243">
        <v>0</v>
      </c>
      <c r="AJ243">
        <v>0</v>
      </c>
      <c r="AK243">
        <v>0</v>
      </c>
      <c r="AL243">
        <v>0</v>
      </c>
      <c r="AM243">
        <v>0</v>
      </c>
      <c r="AN243">
        <v>0</v>
      </c>
      <c r="AO243">
        <v>0</v>
      </c>
      <c r="AP243">
        <v>0</v>
      </c>
      <c r="AQ243">
        <v>0</v>
      </c>
      <c r="AR243">
        <v>0</v>
      </c>
      <c r="AS243">
        <v>0</v>
      </c>
      <c r="AT243">
        <v>10</v>
      </c>
      <c r="AU243">
        <v>0</v>
      </c>
      <c r="AV243">
        <v>10</v>
      </c>
      <c r="AW243">
        <v>0</v>
      </c>
      <c r="AX243">
        <v>2</v>
      </c>
      <c r="AY243">
        <v>0</v>
      </c>
      <c r="AZ243">
        <v>2</v>
      </c>
      <c r="BA243">
        <v>0</v>
      </c>
      <c r="BB243">
        <v>0</v>
      </c>
      <c r="BC243">
        <v>0</v>
      </c>
      <c r="BD243">
        <v>0</v>
      </c>
      <c r="BE243">
        <v>0</v>
      </c>
    </row>
    <row r="244" spans="1:57">
      <c r="A244" t="s">
        <v>16974</v>
      </c>
      <c r="B244" t="s">
        <v>17125</v>
      </c>
      <c r="C244">
        <v>0</v>
      </c>
      <c r="D244">
        <v>35</v>
      </c>
      <c r="E244">
        <v>0</v>
      </c>
      <c r="F244">
        <v>24</v>
      </c>
      <c r="G244">
        <v>2</v>
      </c>
      <c r="H244">
        <v>0</v>
      </c>
      <c r="I244">
        <v>0</v>
      </c>
      <c r="J244">
        <v>34</v>
      </c>
      <c r="K244">
        <v>414</v>
      </c>
      <c r="L244">
        <v>33</v>
      </c>
      <c r="M244">
        <v>0</v>
      </c>
      <c r="N244">
        <v>0</v>
      </c>
      <c r="O244">
        <v>0</v>
      </c>
      <c r="P244">
        <v>0</v>
      </c>
      <c r="Q244">
        <v>1</v>
      </c>
      <c r="R244">
        <v>0</v>
      </c>
      <c r="S244">
        <v>71.5</v>
      </c>
      <c r="T244">
        <v>0</v>
      </c>
      <c r="U244">
        <v>0</v>
      </c>
      <c r="V244">
        <v>71.5</v>
      </c>
      <c r="W244">
        <v>715</v>
      </c>
      <c r="X244">
        <v>0</v>
      </c>
      <c r="Y244">
        <v>33</v>
      </c>
      <c r="Z244">
        <v>0</v>
      </c>
      <c r="AA244">
        <v>0</v>
      </c>
      <c r="AB244">
        <v>65</v>
      </c>
      <c r="AC244">
        <v>17</v>
      </c>
      <c r="AD244">
        <v>17</v>
      </c>
      <c r="AE244">
        <v>17</v>
      </c>
      <c r="AF244">
        <v>82</v>
      </c>
      <c r="AG244">
        <v>732</v>
      </c>
      <c r="AH244">
        <v>715</v>
      </c>
      <c r="AI244">
        <v>0</v>
      </c>
      <c r="AJ244">
        <v>0</v>
      </c>
      <c r="AK244">
        <v>0</v>
      </c>
      <c r="AL244">
        <v>0</v>
      </c>
      <c r="AM244">
        <v>0</v>
      </c>
      <c r="AN244">
        <v>1</v>
      </c>
      <c r="AO244">
        <v>0</v>
      </c>
      <c r="AP244">
        <v>0</v>
      </c>
      <c r="AQ244">
        <v>0</v>
      </c>
      <c r="AR244">
        <v>0</v>
      </c>
      <c r="AS244">
        <v>0</v>
      </c>
      <c r="AT244">
        <v>414</v>
      </c>
      <c r="AU244">
        <v>0</v>
      </c>
      <c r="AV244">
        <v>414</v>
      </c>
      <c r="AW244">
        <v>0</v>
      </c>
      <c r="AX244">
        <v>71.5</v>
      </c>
      <c r="AY244">
        <v>0</v>
      </c>
      <c r="AZ244">
        <v>71.5</v>
      </c>
      <c r="BA244">
        <v>0</v>
      </c>
      <c r="BB244">
        <v>0</v>
      </c>
      <c r="BC244">
        <v>0</v>
      </c>
      <c r="BD244">
        <v>0</v>
      </c>
      <c r="BE244">
        <v>0</v>
      </c>
    </row>
    <row r="245" spans="1:57">
      <c r="A245" t="s">
        <v>16974</v>
      </c>
      <c r="B245" t="s">
        <v>17126</v>
      </c>
      <c r="C245">
        <v>0</v>
      </c>
      <c r="D245">
        <v>1</v>
      </c>
      <c r="E245">
        <v>1</v>
      </c>
      <c r="F245">
        <v>1</v>
      </c>
      <c r="G245">
        <v>0</v>
      </c>
      <c r="H245">
        <v>0</v>
      </c>
      <c r="I245">
        <v>0</v>
      </c>
      <c r="J245">
        <v>1</v>
      </c>
      <c r="K245">
        <v>2</v>
      </c>
      <c r="L245">
        <v>0</v>
      </c>
      <c r="M245">
        <v>0</v>
      </c>
      <c r="N245">
        <v>0</v>
      </c>
      <c r="O245">
        <v>1</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2</v>
      </c>
      <c r="AU245">
        <v>0</v>
      </c>
      <c r="AV245">
        <v>2</v>
      </c>
      <c r="AW245">
        <v>0</v>
      </c>
      <c r="AX245">
        <v>0</v>
      </c>
      <c r="AY245">
        <v>0</v>
      </c>
      <c r="AZ245">
        <v>0</v>
      </c>
      <c r="BA245">
        <v>0</v>
      </c>
      <c r="BB245">
        <v>0</v>
      </c>
      <c r="BC245">
        <v>0</v>
      </c>
      <c r="BD245">
        <v>0</v>
      </c>
      <c r="BE245">
        <v>0</v>
      </c>
    </row>
    <row r="246" spans="1:57">
      <c r="A246" t="s">
        <v>16974</v>
      </c>
      <c r="B246" t="s">
        <v>18837</v>
      </c>
      <c r="C246">
        <v>0</v>
      </c>
      <c r="D246">
        <v>4</v>
      </c>
      <c r="E246">
        <v>0</v>
      </c>
      <c r="F246">
        <v>1</v>
      </c>
      <c r="G246">
        <v>0</v>
      </c>
      <c r="H246">
        <v>0</v>
      </c>
      <c r="I246">
        <v>0</v>
      </c>
      <c r="J246">
        <v>4</v>
      </c>
      <c r="K246">
        <v>7</v>
      </c>
      <c r="L246">
        <v>1</v>
      </c>
      <c r="M246">
        <v>0</v>
      </c>
      <c r="N246">
        <v>0</v>
      </c>
      <c r="O246">
        <v>3</v>
      </c>
      <c r="P246">
        <v>0</v>
      </c>
      <c r="Q246">
        <v>0</v>
      </c>
      <c r="R246">
        <v>0</v>
      </c>
      <c r="S246">
        <v>0.5</v>
      </c>
      <c r="T246">
        <v>0</v>
      </c>
      <c r="U246">
        <v>0</v>
      </c>
      <c r="V246">
        <v>0.5</v>
      </c>
      <c r="W246">
        <v>5</v>
      </c>
      <c r="X246">
        <v>0</v>
      </c>
      <c r="Y246">
        <v>1</v>
      </c>
      <c r="Z246">
        <v>0</v>
      </c>
      <c r="AA246">
        <v>0</v>
      </c>
      <c r="AB246">
        <v>0</v>
      </c>
      <c r="AC246">
        <v>0</v>
      </c>
      <c r="AD246">
        <v>0</v>
      </c>
      <c r="AE246">
        <v>0</v>
      </c>
      <c r="AF246">
        <v>0</v>
      </c>
      <c r="AG246">
        <v>5</v>
      </c>
      <c r="AH246">
        <v>5</v>
      </c>
      <c r="AI246">
        <v>0</v>
      </c>
      <c r="AJ246">
        <v>0</v>
      </c>
      <c r="AK246">
        <v>0</v>
      </c>
      <c r="AL246">
        <v>0</v>
      </c>
      <c r="AM246">
        <v>0</v>
      </c>
      <c r="AN246">
        <v>0</v>
      </c>
      <c r="AO246">
        <v>0</v>
      </c>
      <c r="AP246">
        <v>0</v>
      </c>
      <c r="AQ246">
        <v>0</v>
      </c>
      <c r="AR246">
        <v>0</v>
      </c>
      <c r="AS246">
        <v>0</v>
      </c>
      <c r="AT246">
        <v>7</v>
      </c>
      <c r="AU246">
        <v>0</v>
      </c>
      <c r="AV246">
        <v>7</v>
      </c>
      <c r="AW246">
        <v>0</v>
      </c>
      <c r="AX246">
        <v>0.5</v>
      </c>
      <c r="AY246">
        <v>0</v>
      </c>
      <c r="AZ246">
        <v>0.5</v>
      </c>
      <c r="BA246">
        <v>0</v>
      </c>
      <c r="BB246">
        <v>0</v>
      </c>
      <c r="BC246">
        <v>0</v>
      </c>
      <c r="BD246">
        <v>0</v>
      </c>
      <c r="BE246">
        <v>0</v>
      </c>
    </row>
    <row r="247" spans="1:57">
      <c r="A247" t="s">
        <v>16974</v>
      </c>
      <c r="B247" t="s">
        <v>17127</v>
      </c>
      <c r="C247">
        <v>0</v>
      </c>
      <c r="D247">
        <v>89</v>
      </c>
      <c r="E247">
        <v>0</v>
      </c>
      <c r="F247">
        <v>70</v>
      </c>
      <c r="G247">
        <v>0</v>
      </c>
      <c r="H247">
        <v>0</v>
      </c>
      <c r="I247">
        <v>0</v>
      </c>
      <c r="J247">
        <v>89</v>
      </c>
      <c r="K247">
        <v>733</v>
      </c>
      <c r="L247">
        <v>89</v>
      </c>
      <c r="M247">
        <v>0</v>
      </c>
      <c r="N247">
        <v>0</v>
      </c>
      <c r="O247">
        <v>0</v>
      </c>
      <c r="P247">
        <v>0</v>
      </c>
      <c r="Q247">
        <v>0</v>
      </c>
      <c r="R247">
        <v>0</v>
      </c>
      <c r="S247">
        <v>44.5</v>
      </c>
      <c r="T247">
        <v>8.25</v>
      </c>
      <c r="U247">
        <v>0</v>
      </c>
      <c r="V247">
        <v>52.75</v>
      </c>
      <c r="W247">
        <v>610</v>
      </c>
      <c r="X247">
        <v>0</v>
      </c>
      <c r="Y247">
        <v>65</v>
      </c>
      <c r="Z247">
        <v>0</v>
      </c>
      <c r="AA247">
        <v>0</v>
      </c>
      <c r="AB247">
        <v>235</v>
      </c>
      <c r="AC247">
        <v>186.4</v>
      </c>
      <c r="AD247">
        <v>186.4</v>
      </c>
      <c r="AE247">
        <v>186.4</v>
      </c>
      <c r="AF247">
        <v>421.4</v>
      </c>
      <c r="AG247">
        <v>796.4</v>
      </c>
      <c r="AH247">
        <v>610</v>
      </c>
      <c r="AI247">
        <v>0</v>
      </c>
      <c r="AJ247">
        <v>0</v>
      </c>
      <c r="AK247">
        <v>0</v>
      </c>
      <c r="AL247">
        <v>0</v>
      </c>
      <c r="AM247">
        <v>0</v>
      </c>
      <c r="AN247">
        <v>0</v>
      </c>
      <c r="AO247">
        <v>0</v>
      </c>
      <c r="AP247">
        <v>1</v>
      </c>
      <c r="AQ247">
        <v>0</v>
      </c>
      <c r="AR247">
        <v>0</v>
      </c>
      <c r="AS247">
        <v>0</v>
      </c>
      <c r="AT247">
        <v>733</v>
      </c>
      <c r="AU247">
        <v>0</v>
      </c>
      <c r="AV247">
        <v>733</v>
      </c>
      <c r="AW247">
        <v>0</v>
      </c>
      <c r="AX247">
        <v>44.5</v>
      </c>
      <c r="AY247">
        <v>0</v>
      </c>
      <c r="AZ247">
        <v>44.5</v>
      </c>
      <c r="BA247">
        <v>0</v>
      </c>
      <c r="BB247">
        <v>8.25</v>
      </c>
      <c r="BC247">
        <v>0</v>
      </c>
      <c r="BD247">
        <v>8.25</v>
      </c>
      <c r="BE247">
        <v>0</v>
      </c>
    </row>
    <row r="248" spans="1:57">
      <c r="A248" t="s">
        <v>16974</v>
      </c>
      <c r="B248" t="s">
        <v>17128</v>
      </c>
      <c r="C248">
        <v>0</v>
      </c>
      <c r="D248">
        <v>79</v>
      </c>
      <c r="E248">
        <v>78</v>
      </c>
      <c r="F248">
        <v>53</v>
      </c>
      <c r="G248">
        <v>0</v>
      </c>
      <c r="H248">
        <v>0</v>
      </c>
      <c r="I248">
        <v>0</v>
      </c>
      <c r="J248">
        <v>78</v>
      </c>
      <c r="K248">
        <v>772</v>
      </c>
      <c r="L248">
        <v>78</v>
      </c>
      <c r="M248">
        <v>0</v>
      </c>
      <c r="N248">
        <v>0</v>
      </c>
      <c r="O248">
        <v>0</v>
      </c>
      <c r="P248">
        <v>0</v>
      </c>
      <c r="Q248">
        <v>0</v>
      </c>
      <c r="R248">
        <v>0</v>
      </c>
      <c r="S248">
        <v>20.5</v>
      </c>
      <c r="T248">
        <v>0</v>
      </c>
      <c r="U248">
        <v>0</v>
      </c>
      <c r="V248">
        <v>20.5</v>
      </c>
      <c r="W248">
        <v>205</v>
      </c>
      <c r="X248">
        <v>0</v>
      </c>
      <c r="Y248">
        <v>78</v>
      </c>
      <c r="Z248">
        <v>0</v>
      </c>
      <c r="AA248">
        <v>0</v>
      </c>
      <c r="AB248">
        <v>0</v>
      </c>
      <c r="AC248">
        <v>0</v>
      </c>
      <c r="AD248">
        <v>0</v>
      </c>
      <c r="AE248">
        <v>0</v>
      </c>
      <c r="AF248">
        <v>0</v>
      </c>
      <c r="AG248">
        <v>205</v>
      </c>
      <c r="AH248">
        <v>205</v>
      </c>
      <c r="AI248">
        <v>0</v>
      </c>
      <c r="AJ248">
        <v>0</v>
      </c>
      <c r="AK248">
        <v>0</v>
      </c>
      <c r="AL248">
        <v>0</v>
      </c>
      <c r="AM248">
        <v>0</v>
      </c>
      <c r="AN248">
        <v>0</v>
      </c>
      <c r="AO248">
        <v>0</v>
      </c>
      <c r="AP248">
        <v>0</v>
      </c>
      <c r="AQ248">
        <v>0</v>
      </c>
      <c r="AR248">
        <v>0</v>
      </c>
      <c r="AS248">
        <v>0</v>
      </c>
      <c r="AT248">
        <v>549</v>
      </c>
      <c r="AU248">
        <v>0</v>
      </c>
      <c r="AV248">
        <v>549</v>
      </c>
      <c r="AW248">
        <v>0</v>
      </c>
      <c r="AX248">
        <v>14</v>
      </c>
      <c r="AY248">
        <v>0</v>
      </c>
      <c r="AZ248">
        <v>14</v>
      </c>
      <c r="BA248">
        <v>0</v>
      </c>
      <c r="BB248">
        <v>0</v>
      </c>
      <c r="BC248">
        <v>0</v>
      </c>
      <c r="BD248">
        <v>0</v>
      </c>
      <c r="BE248">
        <v>0</v>
      </c>
    </row>
    <row r="249" spans="1:57">
      <c r="A249" t="s">
        <v>16974</v>
      </c>
      <c r="B249" t="s">
        <v>21079</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row>
    <row r="250" spans="1:57">
      <c r="A250" t="s">
        <v>16974</v>
      </c>
      <c r="B250" t="s">
        <v>17201</v>
      </c>
      <c r="C250">
        <v>0</v>
      </c>
      <c r="D250">
        <v>963</v>
      </c>
      <c r="E250">
        <v>899</v>
      </c>
      <c r="F250">
        <v>475</v>
      </c>
      <c r="G250">
        <v>0</v>
      </c>
      <c r="H250">
        <v>103</v>
      </c>
      <c r="I250">
        <v>0</v>
      </c>
      <c r="J250">
        <v>962</v>
      </c>
      <c r="K250">
        <v>12200</v>
      </c>
      <c r="L250">
        <v>183</v>
      </c>
      <c r="M250">
        <v>0</v>
      </c>
      <c r="N250">
        <v>5</v>
      </c>
      <c r="O250">
        <v>771</v>
      </c>
      <c r="P250">
        <v>2</v>
      </c>
      <c r="Q250">
        <v>1</v>
      </c>
      <c r="R250">
        <v>0</v>
      </c>
      <c r="S250">
        <v>246</v>
      </c>
      <c r="T250">
        <v>49.253</v>
      </c>
      <c r="U250">
        <v>0.25</v>
      </c>
      <c r="V250">
        <v>295.50299999999999</v>
      </c>
      <c r="W250">
        <v>3445.06</v>
      </c>
      <c r="X250">
        <v>0</v>
      </c>
      <c r="Y250">
        <v>963</v>
      </c>
      <c r="Z250">
        <v>0</v>
      </c>
      <c r="AA250">
        <v>0</v>
      </c>
      <c r="AB250">
        <v>160</v>
      </c>
      <c r="AC250">
        <v>160</v>
      </c>
      <c r="AD250">
        <v>0</v>
      </c>
      <c r="AE250">
        <v>70</v>
      </c>
      <c r="AF250">
        <v>160</v>
      </c>
      <c r="AG250">
        <v>3610.06</v>
      </c>
      <c r="AH250">
        <v>3540.06</v>
      </c>
      <c r="AI250">
        <v>50</v>
      </c>
      <c r="AJ250">
        <v>50</v>
      </c>
      <c r="AK250">
        <v>527.5</v>
      </c>
      <c r="AL250">
        <v>477.5</v>
      </c>
      <c r="AM250">
        <v>0</v>
      </c>
      <c r="AN250">
        <v>1</v>
      </c>
      <c r="AO250">
        <v>1</v>
      </c>
      <c r="AP250">
        <v>0</v>
      </c>
      <c r="AQ250">
        <v>0</v>
      </c>
      <c r="AR250">
        <v>0</v>
      </c>
      <c r="AS250">
        <v>0</v>
      </c>
      <c r="AT250">
        <v>12200</v>
      </c>
      <c r="AU250">
        <v>1829</v>
      </c>
      <c r="AV250">
        <v>10371</v>
      </c>
      <c r="AW250">
        <v>0</v>
      </c>
      <c r="AX250">
        <v>246</v>
      </c>
      <c r="AY250">
        <v>29.75</v>
      </c>
      <c r="AZ250">
        <v>216.25</v>
      </c>
      <c r="BA250">
        <v>0</v>
      </c>
      <c r="BB250">
        <v>49.253</v>
      </c>
      <c r="BC250">
        <v>9</v>
      </c>
      <c r="BD250">
        <v>40.253</v>
      </c>
      <c r="BE250">
        <v>0</v>
      </c>
    </row>
    <row r="251" spans="1:57">
      <c r="A251" t="s">
        <v>16974</v>
      </c>
      <c r="B251" t="s">
        <v>17201</v>
      </c>
      <c r="C251">
        <v>0</v>
      </c>
      <c r="D251">
        <v>974</v>
      </c>
      <c r="E251">
        <v>791</v>
      </c>
      <c r="F251">
        <v>502</v>
      </c>
      <c r="G251">
        <v>0</v>
      </c>
      <c r="H251">
        <v>0</v>
      </c>
      <c r="I251">
        <v>0</v>
      </c>
      <c r="J251">
        <v>971</v>
      </c>
      <c r="K251">
        <v>13698</v>
      </c>
      <c r="L251">
        <v>217</v>
      </c>
      <c r="M251">
        <v>0</v>
      </c>
      <c r="N251">
        <v>16</v>
      </c>
      <c r="O251">
        <v>736</v>
      </c>
      <c r="P251">
        <v>0</v>
      </c>
      <c r="Q251">
        <v>2</v>
      </c>
      <c r="R251">
        <v>0</v>
      </c>
      <c r="S251">
        <v>252.25</v>
      </c>
      <c r="T251">
        <v>68.25</v>
      </c>
      <c r="U251">
        <v>0</v>
      </c>
      <c r="V251">
        <v>320.5</v>
      </c>
      <c r="W251">
        <v>3887.5</v>
      </c>
      <c r="X251">
        <v>0</v>
      </c>
      <c r="Y251">
        <v>968</v>
      </c>
      <c r="Z251">
        <v>0</v>
      </c>
      <c r="AA251">
        <v>0</v>
      </c>
      <c r="AB251">
        <v>100</v>
      </c>
      <c r="AC251">
        <v>105.55</v>
      </c>
      <c r="AD251">
        <v>5.55</v>
      </c>
      <c r="AE251">
        <v>45.55</v>
      </c>
      <c r="AF251">
        <v>105.55</v>
      </c>
      <c r="AG251">
        <v>3993.05</v>
      </c>
      <c r="AH251">
        <v>3947.5</v>
      </c>
      <c r="AI251">
        <v>0</v>
      </c>
      <c r="AJ251">
        <v>0</v>
      </c>
      <c r="AK251">
        <v>0</v>
      </c>
      <c r="AL251">
        <v>0</v>
      </c>
      <c r="AM251">
        <v>2</v>
      </c>
      <c r="AN251">
        <v>4</v>
      </c>
      <c r="AO251">
        <v>0</v>
      </c>
      <c r="AP251">
        <v>0</v>
      </c>
      <c r="AQ251">
        <v>0</v>
      </c>
      <c r="AR251">
        <v>0</v>
      </c>
      <c r="AS251">
        <v>0</v>
      </c>
      <c r="AT251">
        <v>13698</v>
      </c>
      <c r="AU251">
        <v>0</v>
      </c>
      <c r="AV251">
        <v>13698</v>
      </c>
      <c r="AW251">
        <v>0</v>
      </c>
      <c r="AX251">
        <v>252.25</v>
      </c>
      <c r="AY251">
        <v>0</v>
      </c>
      <c r="AZ251">
        <v>252.25</v>
      </c>
      <c r="BA251">
        <v>0</v>
      </c>
      <c r="BB251">
        <v>68.25</v>
      </c>
      <c r="BC251">
        <v>0</v>
      </c>
      <c r="BD251">
        <v>68.25</v>
      </c>
      <c r="BE251">
        <v>0</v>
      </c>
    </row>
    <row r="252" spans="1:57">
      <c r="A252" t="s">
        <v>16974</v>
      </c>
      <c r="B252" t="s">
        <v>17201</v>
      </c>
      <c r="C252">
        <v>0</v>
      </c>
      <c r="D252">
        <v>769</v>
      </c>
      <c r="E252">
        <v>275</v>
      </c>
      <c r="F252">
        <v>23</v>
      </c>
      <c r="G252">
        <v>0</v>
      </c>
      <c r="H252">
        <v>474</v>
      </c>
      <c r="I252">
        <v>0</v>
      </c>
      <c r="J252">
        <v>769</v>
      </c>
      <c r="K252">
        <v>12851</v>
      </c>
      <c r="L252">
        <v>96</v>
      </c>
      <c r="M252">
        <v>0</v>
      </c>
      <c r="N252">
        <v>3</v>
      </c>
      <c r="O252">
        <v>670</v>
      </c>
      <c r="P252">
        <v>0</v>
      </c>
      <c r="Q252">
        <v>0</v>
      </c>
      <c r="R252">
        <v>0</v>
      </c>
      <c r="S252">
        <v>194</v>
      </c>
      <c r="T252">
        <v>25</v>
      </c>
      <c r="U252">
        <v>0</v>
      </c>
      <c r="V252">
        <v>219</v>
      </c>
      <c r="W252">
        <v>2440</v>
      </c>
      <c r="X252">
        <v>0</v>
      </c>
      <c r="Y252">
        <v>767</v>
      </c>
      <c r="Z252">
        <v>0</v>
      </c>
      <c r="AA252">
        <v>0</v>
      </c>
      <c r="AB252">
        <v>10</v>
      </c>
      <c r="AC252">
        <v>0</v>
      </c>
      <c r="AD252">
        <v>1</v>
      </c>
      <c r="AE252">
        <v>11</v>
      </c>
      <c r="AF252">
        <v>11</v>
      </c>
      <c r="AG252">
        <v>2440</v>
      </c>
      <c r="AH252">
        <v>2429</v>
      </c>
      <c r="AI252">
        <v>0</v>
      </c>
      <c r="AJ252">
        <v>0</v>
      </c>
      <c r="AK252">
        <v>1215</v>
      </c>
      <c r="AL252">
        <v>1215</v>
      </c>
      <c r="AM252">
        <v>0</v>
      </c>
      <c r="AN252">
        <v>1</v>
      </c>
      <c r="AO252">
        <v>0</v>
      </c>
      <c r="AP252">
        <v>0</v>
      </c>
      <c r="AQ252">
        <v>0</v>
      </c>
      <c r="AR252">
        <v>0</v>
      </c>
      <c r="AS252">
        <v>0</v>
      </c>
      <c r="AT252">
        <v>12851</v>
      </c>
      <c r="AU252">
        <v>7476</v>
      </c>
      <c r="AV252">
        <v>5375</v>
      </c>
      <c r="AW252">
        <v>0</v>
      </c>
      <c r="AX252">
        <v>194</v>
      </c>
      <c r="AY252">
        <v>118.5</v>
      </c>
      <c r="AZ252">
        <v>75.5</v>
      </c>
      <c r="BA252">
        <v>0</v>
      </c>
      <c r="BB252">
        <v>25</v>
      </c>
      <c r="BC252">
        <v>1.5</v>
      </c>
      <c r="BD252">
        <v>23.5</v>
      </c>
      <c r="BE252">
        <v>0</v>
      </c>
    </row>
    <row r="253" spans="1:57">
      <c r="A253" t="s">
        <v>16974</v>
      </c>
      <c r="B253" t="s">
        <v>17201</v>
      </c>
      <c r="C253">
        <v>0</v>
      </c>
      <c r="D253">
        <v>945</v>
      </c>
      <c r="E253">
        <v>783</v>
      </c>
      <c r="F253">
        <v>359</v>
      </c>
      <c r="G253">
        <v>0</v>
      </c>
      <c r="H253">
        <v>4</v>
      </c>
      <c r="I253">
        <v>0</v>
      </c>
      <c r="J253">
        <v>941</v>
      </c>
      <c r="K253">
        <v>12073</v>
      </c>
      <c r="L253">
        <v>260</v>
      </c>
      <c r="M253">
        <v>0</v>
      </c>
      <c r="N253">
        <v>2</v>
      </c>
      <c r="O253">
        <v>669</v>
      </c>
      <c r="P253">
        <v>0</v>
      </c>
      <c r="Q253">
        <v>0</v>
      </c>
      <c r="R253">
        <v>0</v>
      </c>
      <c r="S253">
        <v>237.25200000000001</v>
      </c>
      <c r="T253">
        <v>66.5</v>
      </c>
      <c r="U253">
        <v>0</v>
      </c>
      <c r="V253">
        <v>303.75200000000001</v>
      </c>
      <c r="W253">
        <v>3702.52</v>
      </c>
      <c r="X253">
        <v>0</v>
      </c>
      <c r="Y253">
        <v>941</v>
      </c>
      <c r="Z253">
        <v>0</v>
      </c>
      <c r="AA253">
        <v>0</v>
      </c>
      <c r="AB253">
        <v>35</v>
      </c>
      <c r="AC253">
        <v>11</v>
      </c>
      <c r="AD253">
        <v>3</v>
      </c>
      <c r="AE253">
        <v>22</v>
      </c>
      <c r="AF253">
        <v>38</v>
      </c>
      <c r="AG253">
        <v>3713.52</v>
      </c>
      <c r="AH253">
        <v>3691.52</v>
      </c>
      <c r="AI253">
        <v>0</v>
      </c>
      <c r="AJ253">
        <v>0</v>
      </c>
      <c r="AK253">
        <v>30</v>
      </c>
      <c r="AL253">
        <v>30</v>
      </c>
      <c r="AM253">
        <v>0</v>
      </c>
      <c r="AN253">
        <v>2</v>
      </c>
      <c r="AO253">
        <v>0</v>
      </c>
      <c r="AP253">
        <v>0</v>
      </c>
      <c r="AQ253">
        <v>0</v>
      </c>
      <c r="AR253">
        <v>0</v>
      </c>
      <c r="AS253">
        <v>0</v>
      </c>
      <c r="AT253">
        <v>12073</v>
      </c>
      <c r="AU253">
        <v>206</v>
      </c>
      <c r="AV253">
        <v>11867</v>
      </c>
      <c r="AW253">
        <v>0</v>
      </c>
      <c r="AX253">
        <v>237.25200000000001</v>
      </c>
      <c r="AY253">
        <v>1</v>
      </c>
      <c r="AZ253">
        <v>236.25200000000001</v>
      </c>
      <c r="BA253">
        <v>0</v>
      </c>
      <c r="BB253">
        <v>66.5</v>
      </c>
      <c r="BC253">
        <v>1</v>
      </c>
      <c r="BD253">
        <v>65.5</v>
      </c>
      <c r="BE253">
        <v>0</v>
      </c>
    </row>
    <row r="254" spans="1:57">
      <c r="A254" t="s">
        <v>16974</v>
      </c>
      <c r="B254" t="s">
        <v>17201</v>
      </c>
      <c r="C254">
        <v>0</v>
      </c>
      <c r="D254">
        <v>84</v>
      </c>
      <c r="E254">
        <v>71</v>
      </c>
      <c r="F254">
        <v>0</v>
      </c>
      <c r="G254">
        <v>0</v>
      </c>
      <c r="H254">
        <v>84</v>
      </c>
      <c r="I254">
        <v>0</v>
      </c>
      <c r="J254">
        <v>84</v>
      </c>
      <c r="K254">
        <v>1450</v>
      </c>
      <c r="L254">
        <v>32</v>
      </c>
      <c r="M254">
        <v>0</v>
      </c>
      <c r="N254">
        <v>0</v>
      </c>
      <c r="O254">
        <v>52</v>
      </c>
      <c r="P254">
        <v>0</v>
      </c>
      <c r="Q254">
        <v>0</v>
      </c>
      <c r="R254">
        <v>0</v>
      </c>
      <c r="S254">
        <v>21</v>
      </c>
      <c r="T254">
        <v>7.75</v>
      </c>
      <c r="U254">
        <v>0</v>
      </c>
      <c r="V254">
        <v>28.75</v>
      </c>
      <c r="W254">
        <v>365</v>
      </c>
      <c r="X254">
        <v>0</v>
      </c>
      <c r="Y254">
        <v>84</v>
      </c>
      <c r="Z254">
        <v>0</v>
      </c>
      <c r="AA254">
        <v>0</v>
      </c>
      <c r="AB254">
        <v>0</v>
      </c>
      <c r="AC254">
        <v>0</v>
      </c>
      <c r="AD254">
        <v>0</v>
      </c>
      <c r="AE254">
        <v>0</v>
      </c>
      <c r="AF254">
        <v>0</v>
      </c>
      <c r="AG254">
        <v>365</v>
      </c>
      <c r="AH254">
        <v>365</v>
      </c>
      <c r="AI254">
        <v>0</v>
      </c>
      <c r="AJ254">
        <v>0</v>
      </c>
      <c r="AK254">
        <v>365</v>
      </c>
      <c r="AL254">
        <v>365</v>
      </c>
      <c r="AM254">
        <v>0</v>
      </c>
      <c r="AN254">
        <v>0</v>
      </c>
      <c r="AO254">
        <v>0</v>
      </c>
      <c r="AP254">
        <v>0</v>
      </c>
      <c r="AQ254">
        <v>0</v>
      </c>
      <c r="AR254">
        <v>0</v>
      </c>
      <c r="AS254">
        <v>0</v>
      </c>
      <c r="AT254">
        <v>1450</v>
      </c>
      <c r="AU254">
        <v>1450</v>
      </c>
      <c r="AV254">
        <v>0</v>
      </c>
      <c r="AW254">
        <v>0</v>
      </c>
      <c r="AX254">
        <v>21</v>
      </c>
      <c r="AY254">
        <v>21</v>
      </c>
      <c r="AZ254">
        <v>0</v>
      </c>
      <c r="BA254">
        <v>0</v>
      </c>
      <c r="BB254">
        <v>7.75</v>
      </c>
      <c r="BC254">
        <v>7.75</v>
      </c>
      <c r="BD254">
        <v>0</v>
      </c>
      <c r="BE254">
        <v>0</v>
      </c>
    </row>
    <row r="255" spans="1:57">
      <c r="A255" t="s">
        <v>16974</v>
      </c>
      <c r="B255" t="s">
        <v>17130</v>
      </c>
      <c r="C255">
        <v>0</v>
      </c>
      <c r="D255">
        <v>31</v>
      </c>
      <c r="E255">
        <v>2</v>
      </c>
      <c r="F255">
        <v>31</v>
      </c>
      <c r="G255">
        <v>0</v>
      </c>
      <c r="H255">
        <v>0</v>
      </c>
      <c r="I255">
        <v>0</v>
      </c>
      <c r="J255">
        <v>31</v>
      </c>
      <c r="K255">
        <v>89</v>
      </c>
      <c r="L255">
        <v>31</v>
      </c>
      <c r="M255">
        <v>0</v>
      </c>
      <c r="N255">
        <v>0</v>
      </c>
      <c r="O255">
        <v>0</v>
      </c>
      <c r="P255">
        <v>0</v>
      </c>
      <c r="Q255">
        <v>0</v>
      </c>
      <c r="R255">
        <v>0</v>
      </c>
      <c r="S255">
        <v>47</v>
      </c>
      <c r="T255">
        <v>0</v>
      </c>
      <c r="U255">
        <v>0</v>
      </c>
      <c r="V255">
        <v>49</v>
      </c>
      <c r="W255">
        <v>490</v>
      </c>
      <c r="X255">
        <v>0</v>
      </c>
      <c r="Y255">
        <v>31</v>
      </c>
      <c r="Z255">
        <v>0</v>
      </c>
      <c r="AA255">
        <v>0</v>
      </c>
      <c r="AB255">
        <v>0</v>
      </c>
      <c r="AC255">
        <v>0</v>
      </c>
      <c r="AD255">
        <v>0</v>
      </c>
      <c r="AE255">
        <v>0</v>
      </c>
      <c r="AF255">
        <v>0</v>
      </c>
      <c r="AG255">
        <v>490</v>
      </c>
      <c r="AH255">
        <v>490</v>
      </c>
      <c r="AI255">
        <v>0</v>
      </c>
      <c r="AJ255">
        <v>0</v>
      </c>
      <c r="AK255">
        <v>0</v>
      </c>
      <c r="AL255">
        <v>0</v>
      </c>
      <c r="AM255">
        <v>0</v>
      </c>
      <c r="AN255">
        <v>0</v>
      </c>
      <c r="AO255">
        <v>0</v>
      </c>
      <c r="AP255">
        <v>0</v>
      </c>
      <c r="AQ255">
        <v>0</v>
      </c>
      <c r="AR255">
        <v>0</v>
      </c>
      <c r="AS255">
        <v>0</v>
      </c>
      <c r="AT255">
        <v>89</v>
      </c>
      <c r="AU255">
        <v>0</v>
      </c>
      <c r="AV255">
        <v>89</v>
      </c>
      <c r="AW255">
        <v>0</v>
      </c>
      <c r="AX255">
        <v>49</v>
      </c>
      <c r="AY255">
        <v>0</v>
      </c>
      <c r="AZ255">
        <v>49</v>
      </c>
      <c r="BA255">
        <v>0</v>
      </c>
      <c r="BB255">
        <v>0</v>
      </c>
      <c r="BC255">
        <v>0</v>
      </c>
      <c r="BD255">
        <v>0</v>
      </c>
      <c r="BE255">
        <v>0</v>
      </c>
    </row>
    <row r="256" spans="1:57">
      <c r="A256" t="s">
        <v>16974</v>
      </c>
      <c r="B256" t="s">
        <v>17131</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row>
    <row r="257" spans="1:57">
      <c r="A257" t="s">
        <v>16974</v>
      </c>
      <c r="B257" t="s">
        <v>17040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row>
    <row r="258" spans="1:57">
      <c r="A258" t="s">
        <v>16974</v>
      </c>
      <c r="B258" t="s">
        <v>16975</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row>
    <row r="259" spans="1:57">
      <c r="A259" t="s">
        <v>16974</v>
      </c>
      <c r="B259" t="s">
        <v>17085</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row>
    <row r="260" spans="1:57">
      <c r="A260" t="s">
        <v>16974</v>
      </c>
      <c r="B260" t="s">
        <v>17132</v>
      </c>
      <c r="C260">
        <v>0</v>
      </c>
      <c r="D260">
        <v>216</v>
      </c>
      <c r="E260">
        <v>216</v>
      </c>
      <c r="F260">
        <v>203</v>
      </c>
      <c r="G260">
        <v>0</v>
      </c>
      <c r="H260">
        <v>13</v>
      </c>
      <c r="I260">
        <v>2</v>
      </c>
      <c r="J260">
        <v>216</v>
      </c>
      <c r="K260">
        <v>1223</v>
      </c>
      <c r="L260">
        <v>216</v>
      </c>
      <c r="M260">
        <v>0</v>
      </c>
      <c r="N260">
        <v>0</v>
      </c>
      <c r="O260">
        <v>0</v>
      </c>
      <c r="P260">
        <v>0</v>
      </c>
      <c r="Q260">
        <v>0</v>
      </c>
      <c r="R260">
        <v>0</v>
      </c>
      <c r="S260">
        <v>118</v>
      </c>
      <c r="T260">
        <v>0</v>
      </c>
      <c r="U260">
        <v>0</v>
      </c>
      <c r="V260">
        <v>118</v>
      </c>
      <c r="W260">
        <v>1180</v>
      </c>
      <c r="X260">
        <v>0</v>
      </c>
      <c r="Y260">
        <v>215</v>
      </c>
      <c r="Z260">
        <v>0</v>
      </c>
      <c r="AA260">
        <v>0</v>
      </c>
      <c r="AB260">
        <v>0</v>
      </c>
      <c r="AC260">
        <v>0</v>
      </c>
      <c r="AD260">
        <v>0</v>
      </c>
      <c r="AE260">
        <v>0</v>
      </c>
      <c r="AF260">
        <v>0</v>
      </c>
      <c r="AG260">
        <v>1180</v>
      </c>
      <c r="AH260">
        <v>1180</v>
      </c>
      <c r="AI260">
        <v>0</v>
      </c>
      <c r="AJ260">
        <v>0</v>
      </c>
      <c r="AK260">
        <v>195</v>
      </c>
      <c r="AL260">
        <v>195</v>
      </c>
      <c r="AM260">
        <v>0</v>
      </c>
      <c r="AN260">
        <v>0</v>
      </c>
      <c r="AO260">
        <v>0</v>
      </c>
      <c r="AP260">
        <v>0</v>
      </c>
      <c r="AQ260">
        <v>0</v>
      </c>
      <c r="AR260">
        <v>0</v>
      </c>
      <c r="AS260">
        <v>0</v>
      </c>
      <c r="AT260">
        <v>1223</v>
      </c>
      <c r="AU260">
        <v>170</v>
      </c>
      <c r="AV260">
        <v>1053</v>
      </c>
      <c r="AW260">
        <v>0</v>
      </c>
      <c r="AX260">
        <v>118</v>
      </c>
      <c r="AY260">
        <v>19.5</v>
      </c>
      <c r="AZ260">
        <v>98.5</v>
      </c>
      <c r="BA260">
        <v>0</v>
      </c>
      <c r="BB260">
        <v>0</v>
      </c>
      <c r="BC260">
        <v>0</v>
      </c>
      <c r="BD260">
        <v>0</v>
      </c>
      <c r="BE260">
        <v>0</v>
      </c>
    </row>
    <row r="261" spans="1:57">
      <c r="A261" t="s">
        <v>16974</v>
      </c>
      <c r="B261" t="s">
        <v>17133</v>
      </c>
      <c r="C261">
        <v>0</v>
      </c>
      <c r="D261">
        <v>7</v>
      </c>
      <c r="E261">
        <v>7</v>
      </c>
      <c r="F261">
        <v>6</v>
      </c>
      <c r="G261">
        <v>1</v>
      </c>
      <c r="H261">
        <v>1</v>
      </c>
      <c r="I261">
        <v>0</v>
      </c>
      <c r="J261">
        <v>7</v>
      </c>
      <c r="K261">
        <v>124</v>
      </c>
      <c r="L261">
        <v>1</v>
      </c>
      <c r="M261">
        <v>0</v>
      </c>
      <c r="N261">
        <v>6</v>
      </c>
      <c r="O261">
        <v>0</v>
      </c>
      <c r="P261">
        <v>0</v>
      </c>
      <c r="Q261">
        <v>0</v>
      </c>
      <c r="R261">
        <v>0</v>
      </c>
      <c r="S261">
        <v>3.75</v>
      </c>
      <c r="T261">
        <v>23.166</v>
      </c>
      <c r="U261">
        <v>0</v>
      </c>
      <c r="V261">
        <v>26.916</v>
      </c>
      <c r="W261">
        <v>500.82</v>
      </c>
      <c r="X261">
        <v>0</v>
      </c>
      <c r="Y261">
        <v>7</v>
      </c>
      <c r="Z261">
        <v>0</v>
      </c>
      <c r="AA261">
        <v>0</v>
      </c>
      <c r="AB261">
        <v>298.32</v>
      </c>
      <c r="AC261">
        <v>378.25</v>
      </c>
      <c r="AD261">
        <v>375.25</v>
      </c>
      <c r="AE261">
        <v>501.6</v>
      </c>
      <c r="AF261">
        <v>673.56999999999994</v>
      </c>
      <c r="AG261">
        <v>879.06999999999994</v>
      </c>
      <c r="AH261">
        <v>377.47</v>
      </c>
      <c r="AI261">
        <v>77.25</v>
      </c>
      <c r="AJ261">
        <v>77.25</v>
      </c>
      <c r="AK261">
        <v>107.25</v>
      </c>
      <c r="AL261">
        <v>30</v>
      </c>
      <c r="AM261">
        <v>0</v>
      </c>
      <c r="AN261">
        <v>4</v>
      </c>
      <c r="AO261">
        <v>1</v>
      </c>
      <c r="AP261">
        <v>2</v>
      </c>
      <c r="AQ261">
        <v>0</v>
      </c>
      <c r="AR261">
        <v>0</v>
      </c>
      <c r="AS261">
        <v>0</v>
      </c>
      <c r="AT261">
        <v>124</v>
      </c>
      <c r="AU261">
        <v>60</v>
      </c>
      <c r="AV261">
        <v>64</v>
      </c>
      <c r="AW261">
        <v>0</v>
      </c>
      <c r="AX261">
        <v>3.75</v>
      </c>
      <c r="AY261">
        <v>0.5</v>
      </c>
      <c r="AZ261">
        <v>3.25</v>
      </c>
      <c r="BA261">
        <v>0</v>
      </c>
      <c r="BB261">
        <v>23.166</v>
      </c>
      <c r="BC261">
        <v>1.5</v>
      </c>
      <c r="BD261">
        <v>21.666</v>
      </c>
      <c r="BE261">
        <v>0</v>
      </c>
    </row>
    <row r="262" spans="1:57">
      <c r="A262" t="s">
        <v>16974</v>
      </c>
      <c r="B262" t="s">
        <v>17134</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row>
    <row r="263" spans="1:57">
      <c r="A263" t="s">
        <v>16974</v>
      </c>
      <c r="B263" t="s">
        <v>17137</v>
      </c>
      <c r="C263">
        <v>105</v>
      </c>
      <c r="D263">
        <v>105</v>
      </c>
      <c r="E263">
        <v>0</v>
      </c>
      <c r="F263">
        <v>105</v>
      </c>
      <c r="G263">
        <v>0</v>
      </c>
      <c r="H263">
        <v>0</v>
      </c>
      <c r="I263">
        <v>0</v>
      </c>
      <c r="J263">
        <v>105</v>
      </c>
      <c r="K263">
        <v>182</v>
      </c>
      <c r="L263">
        <v>105</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182</v>
      </c>
      <c r="AU263">
        <v>0</v>
      </c>
      <c r="AV263">
        <v>0</v>
      </c>
      <c r="AW263">
        <v>182</v>
      </c>
      <c r="AX263">
        <v>0</v>
      </c>
      <c r="AY263">
        <v>0</v>
      </c>
      <c r="AZ263">
        <v>0</v>
      </c>
      <c r="BA263">
        <v>0</v>
      </c>
      <c r="BB263">
        <v>0</v>
      </c>
      <c r="BC263">
        <v>0</v>
      </c>
      <c r="BD263">
        <v>0</v>
      </c>
      <c r="BE263">
        <v>0</v>
      </c>
    </row>
    <row r="264" spans="1:57">
      <c r="A264" t="s">
        <v>16974</v>
      </c>
      <c r="B264" t="s">
        <v>17138</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row>
    <row r="265" spans="1:57">
      <c r="A265" t="s">
        <v>16974</v>
      </c>
      <c r="B265" t="s">
        <v>17314</v>
      </c>
      <c r="C265">
        <v>1</v>
      </c>
      <c r="D265">
        <v>2</v>
      </c>
      <c r="E265">
        <v>2</v>
      </c>
      <c r="F265">
        <v>2</v>
      </c>
      <c r="G265">
        <v>0</v>
      </c>
      <c r="H265">
        <v>1</v>
      </c>
      <c r="I265">
        <v>0</v>
      </c>
      <c r="J265">
        <v>2</v>
      </c>
      <c r="K265">
        <v>13</v>
      </c>
      <c r="L265">
        <v>0</v>
      </c>
      <c r="M265">
        <v>0</v>
      </c>
      <c r="N265">
        <v>0</v>
      </c>
      <c r="O265">
        <v>1</v>
      </c>
      <c r="P265">
        <v>1</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13</v>
      </c>
      <c r="AU265">
        <v>7</v>
      </c>
      <c r="AV265">
        <v>0</v>
      </c>
      <c r="AW265">
        <v>6</v>
      </c>
      <c r="AX265">
        <v>0</v>
      </c>
      <c r="AY265">
        <v>0</v>
      </c>
      <c r="AZ265">
        <v>0</v>
      </c>
      <c r="BA265">
        <v>0</v>
      </c>
      <c r="BB265">
        <v>0</v>
      </c>
      <c r="BC265">
        <v>0</v>
      </c>
      <c r="BD265">
        <v>0</v>
      </c>
      <c r="BE265">
        <v>0</v>
      </c>
    </row>
    <row r="266" spans="1:57">
      <c r="A266" t="s">
        <v>16974</v>
      </c>
      <c r="B266" t="s">
        <v>17139</v>
      </c>
      <c r="C266">
        <v>0</v>
      </c>
      <c r="D266">
        <v>1</v>
      </c>
      <c r="E266">
        <v>1</v>
      </c>
      <c r="F266">
        <v>1</v>
      </c>
      <c r="G266">
        <v>0</v>
      </c>
      <c r="H266">
        <v>0</v>
      </c>
      <c r="I266">
        <v>0</v>
      </c>
      <c r="J266">
        <v>1</v>
      </c>
      <c r="K266">
        <v>3</v>
      </c>
      <c r="L266">
        <v>0</v>
      </c>
      <c r="M266">
        <v>0</v>
      </c>
      <c r="N266">
        <v>0</v>
      </c>
      <c r="O266">
        <v>0</v>
      </c>
      <c r="P266">
        <v>0</v>
      </c>
      <c r="Q266">
        <v>1</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3</v>
      </c>
      <c r="AU266">
        <v>0</v>
      </c>
      <c r="AV266">
        <v>3</v>
      </c>
      <c r="AW266">
        <v>0</v>
      </c>
      <c r="AX266">
        <v>0</v>
      </c>
      <c r="AY266">
        <v>0</v>
      </c>
      <c r="AZ266">
        <v>0</v>
      </c>
      <c r="BA266">
        <v>0</v>
      </c>
      <c r="BB266">
        <v>0</v>
      </c>
      <c r="BC266">
        <v>0</v>
      </c>
      <c r="BD266">
        <v>0</v>
      </c>
      <c r="BE266">
        <v>0</v>
      </c>
    </row>
    <row r="267" spans="1:57">
      <c r="A267" t="s">
        <v>16974</v>
      </c>
      <c r="B267" t="s">
        <v>19349</v>
      </c>
      <c r="C267">
        <v>1</v>
      </c>
      <c r="D267">
        <v>6</v>
      </c>
      <c r="E267">
        <v>6</v>
      </c>
      <c r="F267">
        <v>6</v>
      </c>
      <c r="G267">
        <v>5</v>
      </c>
      <c r="H267">
        <v>5</v>
      </c>
      <c r="I267">
        <v>6</v>
      </c>
      <c r="J267">
        <v>6</v>
      </c>
      <c r="K267">
        <v>164</v>
      </c>
      <c r="L267">
        <v>3</v>
      </c>
      <c r="M267">
        <v>0</v>
      </c>
      <c r="N267">
        <v>2</v>
      </c>
      <c r="O267">
        <v>1</v>
      </c>
      <c r="P267">
        <v>0</v>
      </c>
      <c r="Q267">
        <v>0</v>
      </c>
      <c r="R267">
        <v>0</v>
      </c>
      <c r="S267">
        <v>9</v>
      </c>
      <c r="T267">
        <v>6</v>
      </c>
      <c r="U267">
        <v>0.25</v>
      </c>
      <c r="V267">
        <v>15.25</v>
      </c>
      <c r="W267">
        <v>210</v>
      </c>
      <c r="X267">
        <v>0</v>
      </c>
      <c r="Y267">
        <v>5</v>
      </c>
      <c r="Z267">
        <v>0</v>
      </c>
      <c r="AA267">
        <v>0</v>
      </c>
      <c r="AB267">
        <v>90</v>
      </c>
      <c r="AC267">
        <v>461.5</v>
      </c>
      <c r="AD267">
        <v>461.5</v>
      </c>
      <c r="AE267">
        <v>461.5</v>
      </c>
      <c r="AF267">
        <v>551.5</v>
      </c>
      <c r="AG267">
        <v>676.5</v>
      </c>
      <c r="AH267">
        <v>215</v>
      </c>
      <c r="AI267">
        <v>461.5</v>
      </c>
      <c r="AJ267">
        <v>551.5</v>
      </c>
      <c r="AK267">
        <v>671.5</v>
      </c>
      <c r="AL267">
        <v>210</v>
      </c>
      <c r="AM267">
        <v>0</v>
      </c>
      <c r="AN267">
        <v>0</v>
      </c>
      <c r="AO267">
        <v>0</v>
      </c>
      <c r="AP267">
        <v>2</v>
      </c>
      <c r="AQ267">
        <v>0</v>
      </c>
      <c r="AR267">
        <v>0</v>
      </c>
      <c r="AS267">
        <v>0</v>
      </c>
      <c r="AT267">
        <v>164</v>
      </c>
      <c r="AU267">
        <v>158</v>
      </c>
      <c r="AV267">
        <v>0</v>
      </c>
      <c r="AW267">
        <v>6</v>
      </c>
      <c r="AX267">
        <v>9</v>
      </c>
      <c r="AY267">
        <v>9</v>
      </c>
      <c r="AZ267">
        <v>0</v>
      </c>
      <c r="BA267">
        <v>0</v>
      </c>
      <c r="BB267">
        <v>6</v>
      </c>
      <c r="BC267">
        <v>6</v>
      </c>
      <c r="BD267">
        <v>0</v>
      </c>
      <c r="BE267">
        <v>0</v>
      </c>
    </row>
    <row r="268" spans="1:57">
      <c r="A268" t="s">
        <v>16974</v>
      </c>
      <c r="B268" t="s">
        <v>17142</v>
      </c>
      <c r="C268">
        <v>1</v>
      </c>
      <c r="D268">
        <v>1</v>
      </c>
      <c r="E268">
        <v>1</v>
      </c>
      <c r="F268">
        <v>1</v>
      </c>
      <c r="G268">
        <v>1</v>
      </c>
      <c r="H268">
        <v>1</v>
      </c>
      <c r="I268">
        <v>0</v>
      </c>
      <c r="J268">
        <v>1</v>
      </c>
      <c r="K268">
        <v>1</v>
      </c>
      <c r="L268">
        <v>0</v>
      </c>
      <c r="M268">
        <v>0</v>
      </c>
      <c r="N268">
        <v>0</v>
      </c>
      <c r="O268">
        <v>0</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1</v>
      </c>
      <c r="AU268">
        <v>1</v>
      </c>
      <c r="AV268">
        <v>0</v>
      </c>
      <c r="AW268">
        <v>1</v>
      </c>
      <c r="AX268">
        <v>0</v>
      </c>
      <c r="AY268">
        <v>0</v>
      </c>
      <c r="AZ268">
        <v>0</v>
      </c>
      <c r="BA268">
        <v>0</v>
      </c>
      <c r="BB268">
        <v>0</v>
      </c>
      <c r="BC268">
        <v>0</v>
      </c>
      <c r="BD268">
        <v>0</v>
      </c>
      <c r="BE268">
        <v>0</v>
      </c>
    </row>
    <row r="269" spans="1:57">
      <c r="A269" t="s">
        <v>16974</v>
      </c>
      <c r="B269" t="s">
        <v>17143</v>
      </c>
      <c r="C269">
        <v>0</v>
      </c>
      <c r="D269">
        <v>9</v>
      </c>
      <c r="E269">
        <v>9</v>
      </c>
      <c r="F269">
        <v>2</v>
      </c>
      <c r="G269">
        <v>1</v>
      </c>
      <c r="H269">
        <v>0</v>
      </c>
      <c r="I269">
        <v>0</v>
      </c>
      <c r="J269">
        <v>9</v>
      </c>
      <c r="K269">
        <v>394</v>
      </c>
      <c r="L269">
        <v>3</v>
      </c>
      <c r="M269">
        <v>2</v>
      </c>
      <c r="N269">
        <v>2</v>
      </c>
      <c r="O269">
        <v>1</v>
      </c>
      <c r="P269">
        <v>0</v>
      </c>
      <c r="Q269">
        <v>1</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394</v>
      </c>
      <c r="AU269">
        <v>0</v>
      </c>
      <c r="AV269">
        <v>394</v>
      </c>
      <c r="AW269">
        <v>0</v>
      </c>
      <c r="AX269">
        <v>0</v>
      </c>
      <c r="AY269">
        <v>0</v>
      </c>
      <c r="AZ269">
        <v>0</v>
      </c>
      <c r="BA269">
        <v>0</v>
      </c>
      <c r="BB269">
        <v>0</v>
      </c>
      <c r="BC269">
        <v>0</v>
      </c>
      <c r="BD269">
        <v>0</v>
      </c>
      <c r="BE269">
        <v>0</v>
      </c>
    </row>
    <row r="270" spans="1:57">
      <c r="A270" t="s">
        <v>16974</v>
      </c>
      <c r="B270" t="s">
        <v>17143</v>
      </c>
      <c r="C270">
        <v>2</v>
      </c>
      <c r="D270">
        <v>7</v>
      </c>
      <c r="E270">
        <v>6</v>
      </c>
      <c r="F270">
        <v>6</v>
      </c>
      <c r="G270">
        <v>1</v>
      </c>
      <c r="H270">
        <v>0</v>
      </c>
      <c r="I270">
        <v>0</v>
      </c>
      <c r="J270">
        <v>7</v>
      </c>
      <c r="K270">
        <v>152</v>
      </c>
      <c r="L270">
        <v>5</v>
      </c>
      <c r="M270">
        <v>1</v>
      </c>
      <c r="N270">
        <v>0</v>
      </c>
      <c r="O270">
        <v>1</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152</v>
      </c>
      <c r="AU270">
        <v>0</v>
      </c>
      <c r="AV270">
        <v>147</v>
      </c>
      <c r="AW270">
        <v>5</v>
      </c>
      <c r="AX270">
        <v>0</v>
      </c>
      <c r="AY270">
        <v>0</v>
      </c>
      <c r="AZ270">
        <v>0</v>
      </c>
      <c r="BA270">
        <v>0</v>
      </c>
      <c r="BB270">
        <v>0</v>
      </c>
      <c r="BC270">
        <v>0</v>
      </c>
      <c r="BD270">
        <v>0</v>
      </c>
      <c r="BE270">
        <v>0</v>
      </c>
    </row>
    <row r="271" spans="1:57">
      <c r="A271" t="s">
        <v>16974</v>
      </c>
      <c r="B271" t="s">
        <v>19351</v>
      </c>
      <c r="C271">
        <v>0</v>
      </c>
      <c r="D271">
        <v>9</v>
      </c>
      <c r="E271">
        <v>9</v>
      </c>
      <c r="F271">
        <v>8</v>
      </c>
      <c r="G271">
        <v>0</v>
      </c>
      <c r="H271">
        <v>4</v>
      </c>
      <c r="I271">
        <v>0</v>
      </c>
      <c r="J271">
        <v>9</v>
      </c>
      <c r="K271">
        <v>109</v>
      </c>
      <c r="L271">
        <v>9</v>
      </c>
      <c r="M271">
        <v>0</v>
      </c>
      <c r="N271">
        <v>0</v>
      </c>
      <c r="O271">
        <v>0</v>
      </c>
      <c r="P271">
        <v>0</v>
      </c>
      <c r="Q271">
        <v>0</v>
      </c>
      <c r="R271">
        <v>0</v>
      </c>
      <c r="S271">
        <v>38</v>
      </c>
      <c r="T271">
        <v>0</v>
      </c>
      <c r="U271">
        <v>0</v>
      </c>
      <c r="V271">
        <v>38</v>
      </c>
      <c r="W271">
        <v>380</v>
      </c>
      <c r="X271">
        <v>0</v>
      </c>
      <c r="Y271">
        <v>0</v>
      </c>
      <c r="Z271">
        <v>9</v>
      </c>
      <c r="AA271">
        <v>0</v>
      </c>
      <c r="AB271">
        <v>0</v>
      </c>
      <c r="AC271">
        <v>0</v>
      </c>
      <c r="AD271">
        <v>0</v>
      </c>
      <c r="AE271">
        <v>0</v>
      </c>
      <c r="AF271">
        <v>0</v>
      </c>
      <c r="AG271">
        <v>380</v>
      </c>
      <c r="AH271">
        <v>380</v>
      </c>
      <c r="AI271">
        <v>0</v>
      </c>
      <c r="AJ271">
        <v>0</v>
      </c>
      <c r="AK271">
        <v>210</v>
      </c>
      <c r="AL271">
        <v>210</v>
      </c>
      <c r="AM271">
        <v>0</v>
      </c>
      <c r="AN271">
        <v>0</v>
      </c>
      <c r="AO271">
        <v>0</v>
      </c>
      <c r="AP271">
        <v>0</v>
      </c>
      <c r="AQ271">
        <v>0</v>
      </c>
      <c r="AR271">
        <v>0</v>
      </c>
      <c r="AS271">
        <v>0</v>
      </c>
      <c r="AT271">
        <v>109</v>
      </c>
      <c r="AU271">
        <v>79</v>
      </c>
      <c r="AV271">
        <v>30</v>
      </c>
      <c r="AW271">
        <v>0</v>
      </c>
      <c r="AX271">
        <v>38</v>
      </c>
      <c r="AY271">
        <v>21</v>
      </c>
      <c r="AZ271">
        <v>17</v>
      </c>
      <c r="BA271">
        <v>0</v>
      </c>
      <c r="BB271">
        <v>0</v>
      </c>
      <c r="BC271">
        <v>0</v>
      </c>
      <c r="BD271">
        <v>0</v>
      </c>
      <c r="BE271">
        <v>0</v>
      </c>
    </row>
    <row r="272" spans="1:57">
      <c r="A272" t="s">
        <v>16974</v>
      </c>
      <c r="B272" t="s">
        <v>17144</v>
      </c>
      <c r="C272">
        <v>0</v>
      </c>
      <c r="D272">
        <v>5</v>
      </c>
      <c r="E272">
        <v>5</v>
      </c>
      <c r="F272">
        <v>5</v>
      </c>
      <c r="G272">
        <v>1</v>
      </c>
      <c r="H272">
        <v>2</v>
      </c>
      <c r="I272">
        <v>2</v>
      </c>
      <c r="J272">
        <v>5</v>
      </c>
      <c r="K272">
        <v>86</v>
      </c>
      <c r="L272">
        <v>3</v>
      </c>
      <c r="M272">
        <v>0</v>
      </c>
      <c r="N272">
        <v>0</v>
      </c>
      <c r="O272">
        <v>1</v>
      </c>
      <c r="P272">
        <v>1</v>
      </c>
      <c r="Q272">
        <v>0</v>
      </c>
      <c r="R272">
        <v>0</v>
      </c>
      <c r="S272">
        <v>32.25</v>
      </c>
      <c r="T272">
        <v>6.5</v>
      </c>
      <c r="U272">
        <v>0</v>
      </c>
      <c r="V272">
        <v>38.75</v>
      </c>
      <c r="W272">
        <v>452.5</v>
      </c>
      <c r="X272">
        <v>0</v>
      </c>
      <c r="Y272">
        <v>5</v>
      </c>
      <c r="Z272">
        <v>0</v>
      </c>
      <c r="AA272">
        <v>0</v>
      </c>
      <c r="AB272">
        <v>340</v>
      </c>
      <c r="AC272">
        <v>27.95</v>
      </c>
      <c r="AD272">
        <v>27.95</v>
      </c>
      <c r="AE272">
        <v>0</v>
      </c>
      <c r="AF272">
        <v>367.95</v>
      </c>
      <c r="AG272">
        <v>480.45</v>
      </c>
      <c r="AH272">
        <v>480.45</v>
      </c>
      <c r="AI272">
        <v>0</v>
      </c>
      <c r="AJ272">
        <v>357.95</v>
      </c>
      <c r="AK272">
        <v>417.95</v>
      </c>
      <c r="AL272">
        <v>417.95</v>
      </c>
      <c r="AM272">
        <v>0</v>
      </c>
      <c r="AN272">
        <v>0</v>
      </c>
      <c r="AO272">
        <v>0</v>
      </c>
      <c r="AP272">
        <v>0</v>
      </c>
      <c r="AQ272">
        <v>0</v>
      </c>
      <c r="AR272">
        <v>0</v>
      </c>
      <c r="AS272">
        <v>0</v>
      </c>
      <c r="AT272">
        <v>86</v>
      </c>
      <c r="AU272">
        <v>73</v>
      </c>
      <c r="AV272">
        <v>13</v>
      </c>
      <c r="AW272">
        <v>0</v>
      </c>
      <c r="AX272">
        <v>32.25</v>
      </c>
      <c r="AY272">
        <v>29</v>
      </c>
      <c r="AZ272">
        <v>3.25</v>
      </c>
      <c r="BA272">
        <v>0</v>
      </c>
      <c r="BB272">
        <v>6.5</v>
      </c>
      <c r="BC272">
        <v>5</v>
      </c>
      <c r="BD272">
        <v>1.5</v>
      </c>
      <c r="BE272">
        <v>0</v>
      </c>
    </row>
    <row r="273" spans="1:57">
      <c r="A273" t="s">
        <v>16974</v>
      </c>
      <c r="B273" t="s">
        <v>17145</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row>
    <row r="274" spans="1:57">
      <c r="A274" t="s">
        <v>16974</v>
      </c>
      <c r="B274" t="s">
        <v>17324</v>
      </c>
      <c r="C274">
        <v>0</v>
      </c>
      <c r="D274">
        <v>2</v>
      </c>
      <c r="E274">
        <v>2</v>
      </c>
      <c r="F274">
        <v>2</v>
      </c>
      <c r="G274">
        <v>1</v>
      </c>
      <c r="H274">
        <v>0</v>
      </c>
      <c r="I274">
        <v>0</v>
      </c>
      <c r="J274">
        <v>2</v>
      </c>
      <c r="K274">
        <v>20</v>
      </c>
      <c r="L274">
        <v>1</v>
      </c>
      <c r="M274">
        <v>0</v>
      </c>
      <c r="N274">
        <v>0</v>
      </c>
      <c r="O274">
        <v>0</v>
      </c>
      <c r="P274">
        <v>1</v>
      </c>
      <c r="Q274">
        <v>0</v>
      </c>
      <c r="R274">
        <v>0</v>
      </c>
      <c r="S274">
        <v>0.5</v>
      </c>
      <c r="T274">
        <v>0.75</v>
      </c>
      <c r="U274">
        <v>1.5</v>
      </c>
      <c r="V274">
        <v>2.75</v>
      </c>
      <c r="W274">
        <v>20</v>
      </c>
      <c r="X274">
        <v>0</v>
      </c>
      <c r="Y274">
        <v>2</v>
      </c>
      <c r="Z274">
        <v>0</v>
      </c>
      <c r="AA274">
        <v>0</v>
      </c>
      <c r="AB274">
        <v>0</v>
      </c>
      <c r="AC274">
        <v>0</v>
      </c>
      <c r="AD274">
        <v>0</v>
      </c>
      <c r="AE274">
        <v>0</v>
      </c>
      <c r="AF274">
        <v>0</v>
      </c>
      <c r="AG274">
        <v>50</v>
      </c>
      <c r="AH274">
        <v>50</v>
      </c>
      <c r="AI274">
        <v>0</v>
      </c>
      <c r="AJ274">
        <v>0</v>
      </c>
      <c r="AK274">
        <v>0</v>
      </c>
      <c r="AL274">
        <v>0</v>
      </c>
      <c r="AM274">
        <v>0</v>
      </c>
      <c r="AN274">
        <v>0</v>
      </c>
      <c r="AO274">
        <v>0</v>
      </c>
      <c r="AP274">
        <v>0</v>
      </c>
      <c r="AQ274">
        <v>0</v>
      </c>
      <c r="AR274">
        <v>0</v>
      </c>
      <c r="AS274">
        <v>0</v>
      </c>
      <c r="AT274">
        <v>20</v>
      </c>
      <c r="AU274">
        <v>0</v>
      </c>
      <c r="AV274">
        <v>20</v>
      </c>
      <c r="AW274">
        <v>0</v>
      </c>
      <c r="AX274">
        <v>0.5</v>
      </c>
      <c r="AY274">
        <v>0</v>
      </c>
      <c r="AZ274">
        <v>0.5</v>
      </c>
      <c r="BA274">
        <v>0</v>
      </c>
      <c r="BB274">
        <v>0.75</v>
      </c>
      <c r="BC274">
        <v>0</v>
      </c>
      <c r="BD274">
        <v>0.75</v>
      </c>
      <c r="BE274">
        <v>0</v>
      </c>
    </row>
    <row r="275" spans="1:57">
      <c r="A275" t="s">
        <v>16974</v>
      </c>
      <c r="B275" t="s">
        <v>17322</v>
      </c>
      <c r="C275">
        <v>0</v>
      </c>
      <c r="D275">
        <v>3</v>
      </c>
      <c r="E275">
        <v>3</v>
      </c>
      <c r="F275">
        <v>2</v>
      </c>
      <c r="G275">
        <v>1</v>
      </c>
      <c r="H275">
        <v>0</v>
      </c>
      <c r="I275">
        <v>0</v>
      </c>
      <c r="J275">
        <v>3</v>
      </c>
      <c r="K275">
        <v>112</v>
      </c>
      <c r="L275">
        <v>1</v>
      </c>
      <c r="M275">
        <v>2</v>
      </c>
      <c r="N275">
        <v>0</v>
      </c>
      <c r="O275">
        <v>0</v>
      </c>
      <c r="P275">
        <v>0</v>
      </c>
      <c r="Q275">
        <v>0</v>
      </c>
      <c r="R275">
        <v>0</v>
      </c>
      <c r="S275">
        <v>0.5</v>
      </c>
      <c r="T275">
        <v>16</v>
      </c>
      <c r="U275">
        <v>0</v>
      </c>
      <c r="V275">
        <v>16.5</v>
      </c>
      <c r="W275">
        <v>325</v>
      </c>
      <c r="X275">
        <v>0</v>
      </c>
      <c r="Y275">
        <v>1</v>
      </c>
      <c r="Z275">
        <v>0</v>
      </c>
      <c r="AA275">
        <v>0</v>
      </c>
      <c r="AB275">
        <v>295</v>
      </c>
      <c r="AC275">
        <v>0</v>
      </c>
      <c r="AD275">
        <v>0</v>
      </c>
      <c r="AE275">
        <v>30</v>
      </c>
      <c r="AF275">
        <v>295</v>
      </c>
      <c r="AG275">
        <v>325</v>
      </c>
      <c r="AH275">
        <v>295</v>
      </c>
      <c r="AI275">
        <v>0</v>
      </c>
      <c r="AJ275">
        <v>0</v>
      </c>
      <c r="AK275">
        <v>0</v>
      </c>
      <c r="AL275">
        <v>0</v>
      </c>
      <c r="AM275">
        <v>0</v>
      </c>
      <c r="AN275">
        <v>1</v>
      </c>
      <c r="AO275">
        <v>0</v>
      </c>
      <c r="AP275">
        <v>0</v>
      </c>
      <c r="AQ275">
        <v>0</v>
      </c>
      <c r="AR275">
        <v>0</v>
      </c>
      <c r="AS275">
        <v>0</v>
      </c>
      <c r="AT275">
        <v>112</v>
      </c>
      <c r="AU275">
        <v>0</v>
      </c>
      <c r="AV275">
        <v>112</v>
      </c>
      <c r="AW275">
        <v>0</v>
      </c>
      <c r="AX275">
        <v>0.5</v>
      </c>
      <c r="AY275">
        <v>0</v>
      </c>
      <c r="AZ275">
        <v>0.5</v>
      </c>
      <c r="BA275">
        <v>0</v>
      </c>
      <c r="BB275">
        <v>16</v>
      </c>
      <c r="BC275">
        <v>0</v>
      </c>
      <c r="BD275">
        <v>16</v>
      </c>
      <c r="BE275">
        <v>0</v>
      </c>
    </row>
    <row r="276" spans="1:57">
      <c r="A276" t="s">
        <v>16974</v>
      </c>
      <c r="B276" t="s">
        <v>17323</v>
      </c>
      <c r="C276">
        <v>0</v>
      </c>
      <c r="D276">
        <v>2</v>
      </c>
      <c r="E276">
        <v>0</v>
      </c>
      <c r="F276">
        <v>2</v>
      </c>
      <c r="G276">
        <v>0</v>
      </c>
      <c r="H276">
        <v>0</v>
      </c>
      <c r="I276">
        <v>0</v>
      </c>
      <c r="J276">
        <v>2</v>
      </c>
      <c r="K276">
        <v>7</v>
      </c>
      <c r="L276">
        <v>2</v>
      </c>
      <c r="M276">
        <v>0</v>
      </c>
      <c r="N276">
        <v>0</v>
      </c>
      <c r="O276">
        <v>0</v>
      </c>
      <c r="P276">
        <v>0</v>
      </c>
      <c r="Q276">
        <v>0</v>
      </c>
      <c r="R276">
        <v>0</v>
      </c>
      <c r="S276">
        <v>0.75</v>
      </c>
      <c r="T276">
        <v>0</v>
      </c>
      <c r="U276">
        <v>0</v>
      </c>
      <c r="V276">
        <v>0.75</v>
      </c>
      <c r="W276">
        <v>7.5</v>
      </c>
      <c r="X276">
        <v>0</v>
      </c>
      <c r="Y276">
        <v>2</v>
      </c>
      <c r="Z276">
        <v>0</v>
      </c>
      <c r="AA276">
        <v>0</v>
      </c>
      <c r="AB276">
        <v>0</v>
      </c>
      <c r="AC276">
        <v>0</v>
      </c>
      <c r="AD276">
        <v>0</v>
      </c>
      <c r="AE276">
        <v>0</v>
      </c>
      <c r="AF276">
        <v>0</v>
      </c>
      <c r="AG276">
        <v>7.5</v>
      </c>
      <c r="AH276">
        <v>7.5</v>
      </c>
      <c r="AI276">
        <v>0</v>
      </c>
      <c r="AJ276">
        <v>0</v>
      </c>
      <c r="AK276">
        <v>0</v>
      </c>
      <c r="AL276">
        <v>0</v>
      </c>
      <c r="AM276">
        <v>0</v>
      </c>
      <c r="AN276">
        <v>0</v>
      </c>
      <c r="AO276">
        <v>0</v>
      </c>
      <c r="AP276">
        <v>0</v>
      </c>
      <c r="AQ276">
        <v>0</v>
      </c>
      <c r="AR276">
        <v>0</v>
      </c>
      <c r="AS276">
        <v>0</v>
      </c>
      <c r="AT276">
        <v>7</v>
      </c>
      <c r="AU276">
        <v>0</v>
      </c>
      <c r="AV276">
        <v>7</v>
      </c>
      <c r="AW276">
        <v>0</v>
      </c>
      <c r="AX276">
        <v>0.75</v>
      </c>
      <c r="AY276">
        <v>0</v>
      </c>
      <c r="AZ276">
        <v>0.75</v>
      </c>
      <c r="BA276">
        <v>0</v>
      </c>
      <c r="BB276">
        <v>0</v>
      </c>
      <c r="BC276">
        <v>0</v>
      </c>
      <c r="BD276">
        <v>0</v>
      </c>
      <c r="BE276">
        <v>0</v>
      </c>
    </row>
    <row r="277" spans="1:57">
      <c r="A277" t="s">
        <v>16974</v>
      </c>
      <c r="B277" t="s">
        <v>17323</v>
      </c>
      <c r="C277">
        <v>0</v>
      </c>
      <c r="D277">
        <v>1</v>
      </c>
      <c r="E277">
        <v>0</v>
      </c>
      <c r="F277">
        <v>1</v>
      </c>
      <c r="G277">
        <v>0</v>
      </c>
      <c r="H277">
        <v>0</v>
      </c>
      <c r="I277">
        <v>0</v>
      </c>
      <c r="J277">
        <v>1</v>
      </c>
      <c r="K277">
        <v>3</v>
      </c>
      <c r="L277">
        <v>1</v>
      </c>
      <c r="M277">
        <v>0</v>
      </c>
      <c r="N277">
        <v>0</v>
      </c>
      <c r="O277">
        <v>0</v>
      </c>
      <c r="P277">
        <v>0</v>
      </c>
      <c r="Q277">
        <v>0</v>
      </c>
      <c r="R277">
        <v>0</v>
      </c>
      <c r="S277">
        <v>0.5</v>
      </c>
      <c r="T277">
        <v>0</v>
      </c>
      <c r="U277">
        <v>0</v>
      </c>
      <c r="V277">
        <v>0.5</v>
      </c>
      <c r="W277">
        <v>5</v>
      </c>
      <c r="X277">
        <v>0</v>
      </c>
      <c r="Y277">
        <v>1</v>
      </c>
      <c r="Z277">
        <v>0</v>
      </c>
      <c r="AA277">
        <v>0</v>
      </c>
      <c r="AB277">
        <v>0</v>
      </c>
      <c r="AC277">
        <v>0</v>
      </c>
      <c r="AD277">
        <v>0</v>
      </c>
      <c r="AE277">
        <v>0</v>
      </c>
      <c r="AF277">
        <v>0</v>
      </c>
      <c r="AG277">
        <v>5</v>
      </c>
      <c r="AH277">
        <v>5</v>
      </c>
      <c r="AI277">
        <v>0</v>
      </c>
      <c r="AJ277">
        <v>0</v>
      </c>
      <c r="AK277">
        <v>0</v>
      </c>
      <c r="AL277">
        <v>0</v>
      </c>
      <c r="AM277">
        <v>0</v>
      </c>
      <c r="AN277">
        <v>0</v>
      </c>
      <c r="AO277">
        <v>0</v>
      </c>
      <c r="AP277">
        <v>0</v>
      </c>
      <c r="AQ277">
        <v>0</v>
      </c>
      <c r="AR277">
        <v>0</v>
      </c>
      <c r="AS277">
        <v>0</v>
      </c>
      <c r="AT277">
        <v>3</v>
      </c>
      <c r="AU277">
        <v>0</v>
      </c>
      <c r="AV277">
        <v>3</v>
      </c>
      <c r="AW277">
        <v>0</v>
      </c>
      <c r="AX277">
        <v>0.5</v>
      </c>
      <c r="AY277">
        <v>0</v>
      </c>
      <c r="AZ277">
        <v>0.5</v>
      </c>
      <c r="BA277">
        <v>0</v>
      </c>
      <c r="BB277">
        <v>0</v>
      </c>
      <c r="BC277">
        <v>0</v>
      </c>
      <c r="BD277">
        <v>0</v>
      </c>
      <c r="BE277">
        <v>0</v>
      </c>
    </row>
    <row r="278" spans="1:57">
      <c r="A278" t="s">
        <v>17148</v>
      </c>
      <c r="B278" t="s">
        <v>17304</v>
      </c>
      <c r="C278">
        <v>0</v>
      </c>
      <c r="D278">
        <v>1</v>
      </c>
      <c r="E278">
        <v>0</v>
      </c>
      <c r="F278">
        <v>0</v>
      </c>
      <c r="G278">
        <v>0</v>
      </c>
      <c r="H278">
        <v>0</v>
      </c>
      <c r="I278">
        <v>1</v>
      </c>
      <c r="J278">
        <v>1</v>
      </c>
      <c r="K278">
        <v>30</v>
      </c>
      <c r="L278">
        <v>0</v>
      </c>
      <c r="M278">
        <v>0</v>
      </c>
      <c r="N278">
        <v>0</v>
      </c>
      <c r="O278">
        <v>0</v>
      </c>
      <c r="P278">
        <v>0</v>
      </c>
      <c r="Q278">
        <v>0</v>
      </c>
      <c r="R278">
        <v>0</v>
      </c>
      <c r="S278">
        <v>2</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30</v>
      </c>
      <c r="AU278">
        <v>0</v>
      </c>
      <c r="AV278">
        <v>30</v>
      </c>
      <c r="AW278">
        <v>0</v>
      </c>
      <c r="AX278">
        <v>2</v>
      </c>
      <c r="AY278">
        <v>0</v>
      </c>
      <c r="AZ278">
        <v>2</v>
      </c>
      <c r="BA278">
        <v>0</v>
      </c>
      <c r="BB278">
        <v>0</v>
      </c>
      <c r="BC278">
        <v>0</v>
      </c>
      <c r="BD278">
        <v>0</v>
      </c>
      <c r="BE278">
        <v>0</v>
      </c>
    </row>
    <row r="279" spans="1:57">
      <c r="A279" t="s">
        <v>17148</v>
      </c>
      <c r="B279" t="s">
        <v>17304</v>
      </c>
      <c r="C279">
        <v>0</v>
      </c>
      <c r="D279">
        <v>2</v>
      </c>
      <c r="E279">
        <v>0</v>
      </c>
      <c r="F279">
        <v>2</v>
      </c>
      <c r="G279">
        <v>0</v>
      </c>
      <c r="H279">
        <v>0</v>
      </c>
      <c r="I279">
        <v>0</v>
      </c>
      <c r="J279">
        <v>2</v>
      </c>
      <c r="K279">
        <v>7</v>
      </c>
      <c r="L279">
        <v>2</v>
      </c>
      <c r="M279">
        <v>0</v>
      </c>
      <c r="N279">
        <v>0</v>
      </c>
      <c r="O279">
        <v>0</v>
      </c>
      <c r="P279">
        <v>0</v>
      </c>
      <c r="Q279">
        <v>0</v>
      </c>
      <c r="R279">
        <v>0</v>
      </c>
      <c r="S279">
        <v>1.5</v>
      </c>
      <c r="T279">
        <v>0</v>
      </c>
      <c r="U279">
        <v>0</v>
      </c>
      <c r="V279">
        <v>1.5</v>
      </c>
      <c r="W279">
        <v>15</v>
      </c>
      <c r="X279">
        <v>0</v>
      </c>
      <c r="Y279">
        <v>2</v>
      </c>
      <c r="Z279">
        <v>0</v>
      </c>
      <c r="AA279">
        <v>0</v>
      </c>
      <c r="AB279">
        <v>0</v>
      </c>
      <c r="AC279">
        <v>0</v>
      </c>
      <c r="AD279">
        <v>0</v>
      </c>
      <c r="AE279">
        <v>0</v>
      </c>
      <c r="AF279">
        <v>0</v>
      </c>
      <c r="AG279">
        <v>15</v>
      </c>
      <c r="AH279">
        <v>15</v>
      </c>
      <c r="AI279">
        <v>0</v>
      </c>
      <c r="AJ279">
        <v>0</v>
      </c>
      <c r="AK279">
        <v>0</v>
      </c>
      <c r="AL279">
        <v>0</v>
      </c>
      <c r="AM279">
        <v>0</v>
      </c>
      <c r="AN279">
        <v>0</v>
      </c>
      <c r="AO279">
        <v>0</v>
      </c>
      <c r="AP279">
        <v>0</v>
      </c>
      <c r="AQ279">
        <v>0</v>
      </c>
      <c r="AR279">
        <v>0</v>
      </c>
      <c r="AS279">
        <v>0</v>
      </c>
      <c r="AT279">
        <v>7</v>
      </c>
      <c r="AU279">
        <v>0</v>
      </c>
      <c r="AV279">
        <v>7</v>
      </c>
      <c r="AW279">
        <v>0</v>
      </c>
      <c r="AX279">
        <v>1.5</v>
      </c>
      <c r="AY279">
        <v>0</v>
      </c>
      <c r="AZ279">
        <v>1.5</v>
      </c>
      <c r="BA279">
        <v>0</v>
      </c>
      <c r="BB279">
        <v>0</v>
      </c>
      <c r="BC279">
        <v>0</v>
      </c>
      <c r="BD279">
        <v>0</v>
      </c>
      <c r="BE279">
        <v>0</v>
      </c>
    </row>
    <row r="280" spans="1:57">
      <c r="A280" t="s">
        <v>17150</v>
      </c>
      <c r="B280" t="s">
        <v>17152</v>
      </c>
      <c r="C280">
        <v>3</v>
      </c>
      <c r="D280">
        <v>3</v>
      </c>
      <c r="E280">
        <v>3</v>
      </c>
      <c r="F280">
        <v>2</v>
      </c>
      <c r="G280">
        <v>0</v>
      </c>
      <c r="H280">
        <v>0</v>
      </c>
      <c r="I280">
        <v>0</v>
      </c>
      <c r="J280">
        <v>3</v>
      </c>
      <c r="K280">
        <v>15</v>
      </c>
      <c r="L280">
        <v>3</v>
      </c>
      <c r="M280">
        <v>0</v>
      </c>
      <c r="N280">
        <v>0</v>
      </c>
      <c r="O280">
        <v>0</v>
      </c>
      <c r="P280">
        <v>0</v>
      </c>
      <c r="Q280">
        <v>0</v>
      </c>
      <c r="R280">
        <v>0</v>
      </c>
      <c r="S280">
        <v>0.75</v>
      </c>
      <c r="T280">
        <v>2.5</v>
      </c>
      <c r="U280">
        <v>0</v>
      </c>
      <c r="V280">
        <v>3.25</v>
      </c>
      <c r="W280">
        <v>0</v>
      </c>
      <c r="X280">
        <v>0</v>
      </c>
      <c r="Y280">
        <v>0</v>
      </c>
      <c r="Z280">
        <v>0</v>
      </c>
      <c r="AA280">
        <v>-57.5</v>
      </c>
      <c r="AB280">
        <v>0</v>
      </c>
      <c r="AC280">
        <v>0</v>
      </c>
      <c r="AD280">
        <v>0</v>
      </c>
      <c r="AE280">
        <v>12.5</v>
      </c>
      <c r="AF280">
        <v>0</v>
      </c>
      <c r="AG280">
        <v>0</v>
      </c>
      <c r="AH280">
        <v>0</v>
      </c>
      <c r="AI280">
        <v>0</v>
      </c>
      <c r="AJ280">
        <v>0</v>
      </c>
      <c r="AK280">
        <v>0</v>
      </c>
      <c r="AL280">
        <v>0</v>
      </c>
      <c r="AM280">
        <v>0</v>
      </c>
      <c r="AN280">
        <v>1</v>
      </c>
      <c r="AO280">
        <v>0</v>
      </c>
      <c r="AP280">
        <v>0</v>
      </c>
      <c r="AQ280">
        <v>0</v>
      </c>
      <c r="AR280">
        <v>0</v>
      </c>
      <c r="AS280">
        <v>0</v>
      </c>
      <c r="AT280">
        <v>15</v>
      </c>
      <c r="AU280">
        <v>0</v>
      </c>
      <c r="AV280">
        <v>0</v>
      </c>
      <c r="AW280">
        <v>15</v>
      </c>
      <c r="AX280">
        <v>0.75</v>
      </c>
      <c r="AY280">
        <v>0</v>
      </c>
      <c r="AZ280">
        <v>0</v>
      </c>
      <c r="BA280">
        <v>0.75</v>
      </c>
      <c r="BB280">
        <v>2.5</v>
      </c>
      <c r="BC280">
        <v>0</v>
      </c>
      <c r="BD280">
        <v>0</v>
      </c>
      <c r="BE280">
        <v>2.5</v>
      </c>
    </row>
    <row r="281" spans="1:57">
      <c r="A281" t="s">
        <v>17150</v>
      </c>
      <c r="B281" t="s">
        <v>17152</v>
      </c>
      <c r="C281">
        <v>0</v>
      </c>
      <c r="D281">
        <v>5</v>
      </c>
      <c r="E281">
        <v>5</v>
      </c>
      <c r="F281">
        <v>5</v>
      </c>
      <c r="G281">
        <v>0</v>
      </c>
      <c r="H281">
        <v>0</v>
      </c>
      <c r="I281">
        <v>0</v>
      </c>
      <c r="J281">
        <v>5</v>
      </c>
      <c r="K281">
        <v>16</v>
      </c>
      <c r="L281">
        <v>5</v>
      </c>
      <c r="M281">
        <v>0</v>
      </c>
      <c r="N281">
        <v>0</v>
      </c>
      <c r="O281">
        <v>0</v>
      </c>
      <c r="P281">
        <v>0</v>
      </c>
      <c r="Q281">
        <v>0</v>
      </c>
      <c r="R281">
        <v>0</v>
      </c>
      <c r="S281">
        <v>1.25</v>
      </c>
      <c r="T281">
        <v>2</v>
      </c>
      <c r="U281">
        <v>0</v>
      </c>
      <c r="V281">
        <v>3.25</v>
      </c>
      <c r="W281">
        <v>52.5</v>
      </c>
      <c r="X281">
        <v>0</v>
      </c>
      <c r="Y281">
        <v>5</v>
      </c>
      <c r="Z281">
        <v>0</v>
      </c>
      <c r="AA281">
        <v>0</v>
      </c>
      <c r="AB281">
        <v>12.5</v>
      </c>
      <c r="AC281">
        <v>0</v>
      </c>
      <c r="AD281">
        <v>0</v>
      </c>
      <c r="AE281">
        <v>0</v>
      </c>
      <c r="AF281">
        <v>12.5</v>
      </c>
      <c r="AG281">
        <v>52.5</v>
      </c>
      <c r="AH281">
        <v>52.5</v>
      </c>
      <c r="AI281">
        <v>0</v>
      </c>
      <c r="AJ281">
        <v>0</v>
      </c>
      <c r="AK281">
        <v>0</v>
      </c>
      <c r="AL281">
        <v>0</v>
      </c>
      <c r="AM281">
        <v>0</v>
      </c>
      <c r="AN281">
        <v>0</v>
      </c>
      <c r="AO281">
        <v>0</v>
      </c>
      <c r="AP281">
        <v>0</v>
      </c>
      <c r="AQ281">
        <v>0</v>
      </c>
      <c r="AR281">
        <v>0</v>
      </c>
      <c r="AS281">
        <v>0</v>
      </c>
      <c r="AT281">
        <v>16</v>
      </c>
      <c r="AU281">
        <v>0</v>
      </c>
      <c r="AV281">
        <v>16</v>
      </c>
      <c r="AW281">
        <v>0</v>
      </c>
      <c r="AX281">
        <v>1.25</v>
      </c>
      <c r="AY281">
        <v>0</v>
      </c>
      <c r="AZ281">
        <v>1.25</v>
      </c>
      <c r="BA281">
        <v>0</v>
      </c>
      <c r="BB281">
        <v>2</v>
      </c>
      <c r="BC281">
        <v>0</v>
      </c>
      <c r="BD281">
        <v>2</v>
      </c>
      <c r="BE281">
        <v>0</v>
      </c>
    </row>
    <row r="282" spans="1:57">
      <c r="A282" t="s">
        <v>17150</v>
      </c>
      <c r="B282" t="s">
        <v>18838</v>
      </c>
      <c r="C282">
        <v>6</v>
      </c>
      <c r="D282">
        <v>60</v>
      </c>
      <c r="E282">
        <v>60</v>
      </c>
      <c r="F282">
        <v>36</v>
      </c>
      <c r="G282">
        <v>3</v>
      </c>
      <c r="H282">
        <v>13</v>
      </c>
      <c r="I282">
        <v>13</v>
      </c>
      <c r="J282">
        <v>60</v>
      </c>
      <c r="K282">
        <v>939</v>
      </c>
      <c r="L282">
        <v>56</v>
      </c>
      <c r="M282">
        <v>1</v>
      </c>
      <c r="N282">
        <v>1</v>
      </c>
      <c r="O282">
        <v>0</v>
      </c>
      <c r="P282">
        <v>1</v>
      </c>
      <c r="Q282">
        <v>1</v>
      </c>
      <c r="R282">
        <v>0</v>
      </c>
      <c r="S282">
        <v>161</v>
      </c>
      <c r="T282">
        <v>0</v>
      </c>
      <c r="U282">
        <v>161</v>
      </c>
      <c r="V282">
        <v>275</v>
      </c>
      <c r="W282">
        <v>1180</v>
      </c>
      <c r="X282">
        <v>0</v>
      </c>
      <c r="Y282">
        <v>42</v>
      </c>
      <c r="Z282">
        <v>0</v>
      </c>
      <c r="AA282">
        <v>-95</v>
      </c>
      <c r="AB282">
        <v>410</v>
      </c>
      <c r="AC282">
        <v>0</v>
      </c>
      <c r="AD282">
        <v>0</v>
      </c>
      <c r="AE282">
        <v>0</v>
      </c>
      <c r="AF282">
        <v>370</v>
      </c>
      <c r="AG282">
        <v>3730</v>
      </c>
      <c r="AH282">
        <v>3730</v>
      </c>
      <c r="AI282">
        <v>0</v>
      </c>
      <c r="AJ282">
        <v>250</v>
      </c>
      <c r="AK282">
        <v>1700</v>
      </c>
      <c r="AL282">
        <v>1700</v>
      </c>
      <c r="AM282">
        <v>0</v>
      </c>
      <c r="AN282">
        <v>0</v>
      </c>
      <c r="AO282">
        <v>0</v>
      </c>
      <c r="AP282">
        <v>0</v>
      </c>
      <c r="AQ282">
        <v>0</v>
      </c>
      <c r="AR282">
        <v>0</v>
      </c>
      <c r="AS282">
        <v>0</v>
      </c>
      <c r="AT282">
        <v>939</v>
      </c>
      <c r="AU282">
        <v>599</v>
      </c>
      <c r="AV282">
        <v>226</v>
      </c>
      <c r="AW282">
        <v>113</v>
      </c>
      <c r="AX282">
        <v>137.5</v>
      </c>
      <c r="AY282">
        <v>59</v>
      </c>
      <c r="AZ282">
        <v>50.5</v>
      </c>
      <c r="BA282">
        <v>9.5</v>
      </c>
      <c r="BB282">
        <v>0</v>
      </c>
      <c r="BC282">
        <v>0</v>
      </c>
      <c r="BD282">
        <v>0</v>
      </c>
      <c r="BE282">
        <v>0</v>
      </c>
    </row>
    <row r="283" spans="1:57">
      <c r="A283" t="s">
        <v>17202</v>
      </c>
      <c r="B283" t="s">
        <v>21082</v>
      </c>
      <c r="C283">
        <v>2</v>
      </c>
      <c r="D283">
        <v>4</v>
      </c>
      <c r="E283">
        <v>4</v>
      </c>
      <c r="F283">
        <v>2</v>
      </c>
      <c r="G283">
        <v>0</v>
      </c>
      <c r="H283">
        <v>0</v>
      </c>
      <c r="I283">
        <v>0</v>
      </c>
      <c r="J283">
        <v>4</v>
      </c>
      <c r="K283">
        <v>40</v>
      </c>
      <c r="L283">
        <v>4</v>
      </c>
      <c r="M283">
        <v>0</v>
      </c>
      <c r="N283">
        <v>0</v>
      </c>
      <c r="O283">
        <v>0</v>
      </c>
      <c r="P283">
        <v>0</v>
      </c>
      <c r="Q283">
        <v>0</v>
      </c>
      <c r="R283">
        <v>0</v>
      </c>
      <c r="S283">
        <v>1.5</v>
      </c>
      <c r="T283">
        <v>0</v>
      </c>
      <c r="U283">
        <v>1</v>
      </c>
      <c r="V283">
        <v>2.5</v>
      </c>
      <c r="W283">
        <v>7.5</v>
      </c>
      <c r="X283">
        <v>0</v>
      </c>
      <c r="Y283">
        <v>2</v>
      </c>
      <c r="Z283">
        <v>0</v>
      </c>
      <c r="AA283">
        <v>-7.5</v>
      </c>
      <c r="AB283">
        <v>0</v>
      </c>
      <c r="AC283">
        <v>0</v>
      </c>
      <c r="AD283">
        <v>0</v>
      </c>
      <c r="AE283">
        <v>0</v>
      </c>
      <c r="AF283">
        <v>0</v>
      </c>
      <c r="AG283">
        <v>27.5</v>
      </c>
      <c r="AH283">
        <v>27.5</v>
      </c>
      <c r="AI283">
        <v>0</v>
      </c>
      <c r="AJ283">
        <v>0</v>
      </c>
      <c r="AK283">
        <v>0</v>
      </c>
      <c r="AL283">
        <v>0</v>
      </c>
      <c r="AM283">
        <v>0</v>
      </c>
      <c r="AN283">
        <v>0</v>
      </c>
      <c r="AO283">
        <v>0</v>
      </c>
      <c r="AP283">
        <v>0</v>
      </c>
      <c r="AQ283">
        <v>0</v>
      </c>
      <c r="AR283">
        <v>0</v>
      </c>
      <c r="AS283">
        <v>0</v>
      </c>
      <c r="AT283">
        <v>40</v>
      </c>
      <c r="AU283">
        <v>0</v>
      </c>
      <c r="AV283">
        <v>20</v>
      </c>
      <c r="AW283">
        <v>20</v>
      </c>
      <c r="AX283">
        <v>1.5</v>
      </c>
      <c r="AY283">
        <v>0</v>
      </c>
      <c r="AZ283">
        <v>0.75</v>
      </c>
      <c r="BA283">
        <v>0.75</v>
      </c>
      <c r="BB283">
        <v>0</v>
      </c>
      <c r="BC283">
        <v>0</v>
      </c>
      <c r="BD283">
        <v>0</v>
      </c>
      <c r="BE283">
        <v>0</v>
      </c>
    </row>
    <row r="284" spans="1:57">
      <c r="A284" t="s">
        <v>17202</v>
      </c>
      <c r="B284" t="s">
        <v>18840</v>
      </c>
      <c r="C284">
        <v>0</v>
      </c>
      <c r="D284">
        <v>2</v>
      </c>
      <c r="E284">
        <v>1</v>
      </c>
      <c r="F284">
        <v>2</v>
      </c>
      <c r="G284">
        <v>1</v>
      </c>
      <c r="H284">
        <v>0</v>
      </c>
      <c r="I284">
        <v>0</v>
      </c>
      <c r="J284">
        <v>2</v>
      </c>
      <c r="K284">
        <v>12</v>
      </c>
      <c r="L284">
        <v>1</v>
      </c>
      <c r="M284">
        <v>0</v>
      </c>
      <c r="N284">
        <v>0</v>
      </c>
      <c r="O284">
        <v>0</v>
      </c>
      <c r="P284">
        <v>0</v>
      </c>
      <c r="Q284">
        <v>1</v>
      </c>
      <c r="R284">
        <v>0</v>
      </c>
      <c r="S284">
        <v>2</v>
      </c>
      <c r="T284">
        <v>1</v>
      </c>
      <c r="U284">
        <v>0</v>
      </c>
      <c r="V284">
        <v>3</v>
      </c>
      <c r="W284">
        <v>40</v>
      </c>
      <c r="X284">
        <v>0</v>
      </c>
      <c r="Y284">
        <v>1</v>
      </c>
      <c r="Z284">
        <v>0</v>
      </c>
      <c r="AA284">
        <v>0</v>
      </c>
      <c r="AB284">
        <v>10</v>
      </c>
      <c r="AC284">
        <v>0</v>
      </c>
      <c r="AD284">
        <v>0</v>
      </c>
      <c r="AE284">
        <v>0</v>
      </c>
      <c r="AF284">
        <v>10</v>
      </c>
      <c r="AG284">
        <v>40</v>
      </c>
      <c r="AH284">
        <v>40</v>
      </c>
      <c r="AI284">
        <v>0</v>
      </c>
      <c r="AJ284">
        <v>0</v>
      </c>
      <c r="AK284">
        <v>0</v>
      </c>
      <c r="AL284">
        <v>0</v>
      </c>
      <c r="AM284">
        <v>0</v>
      </c>
      <c r="AN284">
        <v>0</v>
      </c>
      <c r="AO284">
        <v>0</v>
      </c>
      <c r="AP284">
        <v>0</v>
      </c>
      <c r="AQ284">
        <v>0</v>
      </c>
      <c r="AR284">
        <v>0</v>
      </c>
      <c r="AS284">
        <v>0</v>
      </c>
      <c r="AT284">
        <v>12</v>
      </c>
      <c r="AU284">
        <v>0</v>
      </c>
      <c r="AV284">
        <v>12</v>
      </c>
      <c r="AW284">
        <v>0</v>
      </c>
      <c r="AX284">
        <v>2</v>
      </c>
      <c r="AY284">
        <v>0</v>
      </c>
      <c r="AZ284">
        <v>2</v>
      </c>
      <c r="BA284">
        <v>0</v>
      </c>
      <c r="BB284">
        <v>1</v>
      </c>
      <c r="BC284">
        <v>0</v>
      </c>
      <c r="BD284">
        <v>1</v>
      </c>
      <c r="BE284">
        <v>0</v>
      </c>
    </row>
    <row r="285" spans="1:57">
      <c r="A285" t="s">
        <v>17202</v>
      </c>
      <c r="B285" t="s">
        <v>21083</v>
      </c>
      <c r="C285">
        <v>0</v>
      </c>
      <c r="D285">
        <v>1</v>
      </c>
      <c r="E285">
        <v>0</v>
      </c>
      <c r="F285">
        <v>0</v>
      </c>
      <c r="G285">
        <v>0</v>
      </c>
      <c r="H285">
        <v>0</v>
      </c>
      <c r="I285">
        <v>0</v>
      </c>
      <c r="J285">
        <v>1</v>
      </c>
      <c r="K285">
        <v>17</v>
      </c>
      <c r="L285">
        <v>0</v>
      </c>
      <c r="M285">
        <v>0</v>
      </c>
      <c r="N285">
        <v>0</v>
      </c>
      <c r="O285">
        <v>0</v>
      </c>
      <c r="P285">
        <v>0</v>
      </c>
      <c r="Q285">
        <v>0</v>
      </c>
      <c r="R285">
        <v>0</v>
      </c>
      <c r="S285">
        <v>0.5</v>
      </c>
      <c r="T285">
        <v>1.25</v>
      </c>
      <c r="U285">
        <v>0</v>
      </c>
      <c r="V285">
        <v>1.75</v>
      </c>
      <c r="W285">
        <v>30</v>
      </c>
      <c r="X285">
        <v>0</v>
      </c>
      <c r="Y285">
        <v>1</v>
      </c>
      <c r="Z285">
        <v>0</v>
      </c>
      <c r="AA285">
        <v>0</v>
      </c>
      <c r="AB285">
        <v>0</v>
      </c>
      <c r="AC285">
        <v>0</v>
      </c>
      <c r="AD285">
        <v>0</v>
      </c>
      <c r="AE285">
        <v>0</v>
      </c>
      <c r="AF285">
        <v>0</v>
      </c>
      <c r="AG285">
        <v>30</v>
      </c>
      <c r="AH285">
        <v>30</v>
      </c>
      <c r="AI285">
        <v>0</v>
      </c>
      <c r="AJ285">
        <v>0</v>
      </c>
      <c r="AK285">
        <v>0</v>
      </c>
      <c r="AL285">
        <v>0</v>
      </c>
      <c r="AM285">
        <v>0</v>
      </c>
      <c r="AN285">
        <v>0</v>
      </c>
      <c r="AO285">
        <v>0</v>
      </c>
      <c r="AP285">
        <v>0</v>
      </c>
      <c r="AQ285">
        <v>0</v>
      </c>
      <c r="AR285">
        <v>0</v>
      </c>
      <c r="AS285">
        <v>0</v>
      </c>
      <c r="AT285">
        <v>17</v>
      </c>
      <c r="AU285">
        <v>0</v>
      </c>
      <c r="AV285">
        <v>17</v>
      </c>
      <c r="AW285">
        <v>0</v>
      </c>
      <c r="AX285">
        <v>0.5</v>
      </c>
      <c r="AY285">
        <v>0</v>
      </c>
      <c r="AZ285">
        <v>0.5</v>
      </c>
      <c r="BA285">
        <v>0</v>
      </c>
      <c r="BB285">
        <v>1.25</v>
      </c>
      <c r="BC285">
        <v>0</v>
      </c>
      <c r="BD285">
        <v>1.25</v>
      </c>
      <c r="BE285">
        <v>0</v>
      </c>
    </row>
    <row r="286" spans="1:57">
      <c r="A286" t="s">
        <v>17202</v>
      </c>
      <c r="B286" t="s">
        <v>18842</v>
      </c>
      <c r="C286">
        <v>0</v>
      </c>
      <c r="D286">
        <v>1</v>
      </c>
      <c r="E286">
        <v>1</v>
      </c>
      <c r="F286">
        <v>1</v>
      </c>
      <c r="G286">
        <v>1</v>
      </c>
      <c r="H286">
        <v>0</v>
      </c>
      <c r="I286">
        <v>0</v>
      </c>
      <c r="J286">
        <v>1</v>
      </c>
      <c r="K286">
        <v>3</v>
      </c>
      <c r="L286">
        <v>0</v>
      </c>
      <c r="M286">
        <v>0</v>
      </c>
      <c r="N286">
        <v>0</v>
      </c>
      <c r="O286">
        <v>0</v>
      </c>
      <c r="P286">
        <v>0</v>
      </c>
      <c r="Q286">
        <v>1</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3</v>
      </c>
      <c r="AU286">
        <v>0</v>
      </c>
      <c r="AV286">
        <v>3</v>
      </c>
      <c r="AW286">
        <v>0</v>
      </c>
      <c r="AX286">
        <v>0</v>
      </c>
      <c r="AY286">
        <v>0</v>
      </c>
      <c r="AZ286">
        <v>0</v>
      </c>
      <c r="BA286">
        <v>0</v>
      </c>
      <c r="BB286">
        <v>0</v>
      </c>
      <c r="BC286">
        <v>0</v>
      </c>
      <c r="BD286">
        <v>0</v>
      </c>
      <c r="BE286">
        <v>0</v>
      </c>
    </row>
    <row r="287" spans="1:57">
      <c r="A287" t="s">
        <v>17202</v>
      </c>
      <c r="B287" t="s">
        <v>18843</v>
      </c>
      <c r="C287">
        <v>0</v>
      </c>
      <c r="D287">
        <v>1</v>
      </c>
      <c r="E287">
        <v>1</v>
      </c>
      <c r="F287">
        <v>1</v>
      </c>
      <c r="G287">
        <v>0</v>
      </c>
      <c r="H287">
        <v>0</v>
      </c>
      <c r="I287">
        <v>0</v>
      </c>
      <c r="J287">
        <v>1</v>
      </c>
      <c r="K287">
        <v>9</v>
      </c>
      <c r="L287">
        <v>0</v>
      </c>
      <c r="M287">
        <v>0</v>
      </c>
      <c r="N287">
        <v>1</v>
      </c>
      <c r="O287">
        <v>0</v>
      </c>
      <c r="P287">
        <v>0</v>
      </c>
      <c r="Q287">
        <v>0</v>
      </c>
      <c r="R287">
        <v>0</v>
      </c>
      <c r="S287">
        <v>1</v>
      </c>
      <c r="T287">
        <v>1</v>
      </c>
      <c r="U287">
        <v>0.5</v>
      </c>
      <c r="V287">
        <v>2.5</v>
      </c>
      <c r="W287">
        <v>30</v>
      </c>
      <c r="X287">
        <v>0</v>
      </c>
      <c r="Y287">
        <v>1</v>
      </c>
      <c r="Z287">
        <v>0</v>
      </c>
      <c r="AA287">
        <v>0</v>
      </c>
      <c r="AB287">
        <v>0</v>
      </c>
      <c r="AC287">
        <v>0</v>
      </c>
      <c r="AD287">
        <v>0</v>
      </c>
      <c r="AE287">
        <v>0</v>
      </c>
      <c r="AF287">
        <v>0</v>
      </c>
      <c r="AG287">
        <v>40</v>
      </c>
      <c r="AH287">
        <v>40</v>
      </c>
      <c r="AI287">
        <v>0</v>
      </c>
      <c r="AJ287">
        <v>0</v>
      </c>
      <c r="AK287">
        <v>0</v>
      </c>
      <c r="AL287">
        <v>0</v>
      </c>
      <c r="AM287">
        <v>0</v>
      </c>
      <c r="AN287">
        <v>0</v>
      </c>
      <c r="AO287">
        <v>0</v>
      </c>
      <c r="AP287">
        <v>0</v>
      </c>
      <c r="AQ287">
        <v>0</v>
      </c>
      <c r="AR287">
        <v>0</v>
      </c>
      <c r="AS287">
        <v>0</v>
      </c>
      <c r="AT287">
        <v>9</v>
      </c>
      <c r="AU287">
        <v>0</v>
      </c>
      <c r="AV287">
        <v>9</v>
      </c>
      <c r="AW287">
        <v>0</v>
      </c>
      <c r="AX287">
        <v>1</v>
      </c>
      <c r="AY287">
        <v>0</v>
      </c>
      <c r="AZ287">
        <v>1</v>
      </c>
      <c r="BA287">
        <v>0</v>
      </c>
      <c r="BB287">
        <v>1</v>
      </c>
      <c r="BC287">
        <v>0</v>
      </c>
      <c r="BD287">
        <v>1</v>
      </c>
      <c r="BE287">
        <v>0</v>
      </c>
    </row>
    <row r="288" spans="1:57">
      <c r="A288" t="s">
        <v>17140</v>
      </c>
      <c r="B288" t="s">
        <v>17155</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row>
    <row r="289" spans="1:57">
      <c r="A289" t="s">
        <v>17140</v>
      </c>
      <c r="B289" t="s">
        <v>17156</v>
      </c>
      <c r="C289">
        <v>3</v>
      </c>
      <c r="D289">
        <v>7</v>
      </c>
      <c r="E289">
        <v>7</v>
      </c>
      <c r="F289">
        <v>7</v>
      </c>
      <c r="G289">
        <v>0</v>
      </c>
      <c r="H289">
        <v>0</v>
      </c>
      <c r="I289">
        <v>0</v>
      </c>
      <c r="J289">
        <v>7</v>
      </c>
      <c r="K289">
        <v>17</v>
      </c>
      <c r="L289">
        <v>0</v>
      </c>
      <c r="M289">
        <v>7</v>
      </c>
      <c r="N289">
        <v>0</v>
      </c>
      <c r="O289">
        <v>0</v>
      </c>
      <c r="P289">
        <v>0</v>
      </c>
      <c r="Q289">
        <v>0</v>
      </c>
      <c r="R289">
        <v>0</v>
      </c>
      <c r="S289">
        <v>3.25</v>
      </c>
      <c r="T289">
        <v>0.75</v>
      </c>
      <c r="U289">
        <v>6.5</v>
      </c>
      <c r="V289">
        <v>10.5</v>
      </c>
      <c r="W289">
        <v>37.5</v>
      </c>
      <c r="X289">
        <v>0</v>
      </c>
      <c r="Y289">
        <v>3</v>
      </c>
      <c r="Z289">
        <v>0</v>
      </c>
      <c r="AA289">
        <v>-10</v>
      </c>
      <c r="AB289">
        <v>0</v>
      </c>
      <c r="AC289">
        <v>0</v>
      </c>
      <c r="AD289">
        <v>0</v>
      </c>
      <c r="AE289">
        <v>0</v>
      </c>
      <c r="AF289">
        <v>0</v>
      </c>
      <c r="AG289">
        <v>167.5</v>
      </c>
      <c r="AH289">
        <v>167.5</v>
      </c>
      <c r="AI289">
        <v>0</v>
      </c>
      <c r="AJ289">
        <v>0</v>
      </c>
      <c r="AK289">
        <v>0</v>
      </c>
      <c r="AL289">
        <v>0</v>
      </c>
      <c r="AM289">
        <v>0</v>
      </c>
      <c r="AN289">
        <v>0</v>
      </c>
      <c r="AO289">
        <v>0</v>
      </c>
      <c r="AP289">
        <v>0</v>
      </c>
      <c r="AQ289">
        <v>0</v>
      </c>
      <c r="AR289">
        <v>0</v>
      </c>
      <c r="AS289">
        <v>0</v>
      </c>
      <c r="AT289">
        <v>17</v>
      </c>
      <c r="AU289">
        <v>0</v>
      </c>
      <c r="AV289">
        <v>9</v>
      </c>
      <c r="AW289">
        <v>8</v>
      </c>
      <c r="AX289">
        <v>3.25</v>
      </c>
      <c r="AY289">
        <v>0</v>
      </c>
      <c r="AZ289">
        <v>2.25</v>
      </c>
      <c r="BA289">
        <v>1</v>
      </c>
      <c r="BB289">
        <v>0.75</v>
      </c>
      <c r="BC289">
        <v>0</v>
      </c>
      <c r="BD289">
        <v>0.75</v>
      </c>
      <c r="BE289">
        <v>0</v>
      </c>
    </row>
    <row r="290" spans="1:57">
      <c r="A290" t="s">
        <v>17140</v>
      </c>
      <c r="B290" t="s">
        <v>17157</v>
      </c>
      <c r="C290">
        <v>1</v>
      </c>
      <c r="D290">
        <v>2</v>
      </c>
      <c r="E290">
        <v>2</v>
      </c>
      <c r="F290">
        <v>2</v>
      </c>
      <c r="G290">
        <v>0</v>
      </c>
      <c r="H290">
        <v>1</v>
      </c>
      <c r="I290">
        <v>0</v>
      </c>
      <c r="J290">
        <v>1</v>
      </c>
      <c r="K290">
        <v>0</v>
      </c>
      <c r="L290">
        <v>0</v>
      </c>
      <c r="M290">
        <v>1</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row>
    <row r="291" spans="1:57">
      <c r="A291" t="s">
        <v>17140</v>
      </c>
      <c r="B291" t="s">
        <v>17159</v>
      </c>
      <c r="C291">
        <v>0</v>
      </c>
      <c r="D291">
        <v>4</v>
      </c>
      <c r="E291">
        <v>4</v>
      </c>
      <c r="F291">
        <v>4</v>
      </c>
      <c r="G291">
        <v>0</v>
      </c>
      <c r="H291">
        <v>0</v>
      </c>
      <c r="I291">
        <v>0</v>
      </c>
      <c r="J291">
        <v>4</v>
      </c>
      <c r="K291">
        <v>4</v>
      </c>
      <c r="L291">
        <v>4</v>
      </c>
      <c r="M291">
        <v>0</v>
      </c>
      <c r="N291">
        <v>0</v>
      </c>
      <c r="O291">
        <v>0</v>
      </c>
      <c r="P291">
        <v>0</v>
      </c>
      <c r="Q291">
        <v>0</v>
      </c>
      <c r="R291">
        <v>0</v>
      </c>
      <c r="S291">
        <v>1</v>
      </c>
      <c r="T291">
        <v>0</v>
      </c>
      <c r="U291">
        <v>0</v>
      </c>
      <c r="V291">
        <v>1</v>
      </c>
      <c r="W291" t="e">
        <v>#REF!</v>
      </c>
      <c r="X291">
        <v>0</v>
      </c>
      <c r="Y291">
        <v>4</v>
      </c>
      <c r="Z291">
        <v>0</v>
      </c>
      <c r="AA291">
        <v>0</v>
      </c>
      <c r="AB291">
        <v>0</v>
      </c>
      <c r="AC291">
        <v>0</v>
      </c>
      <c r="AD291">
        <v>0</v>
      </c>
      <c r="AE291">
        <v>0</v>
      </c>
      <c r="AF291">
        <v>0</v>
      </c>
      <c r="AG291">
        <v>10</v>
      </c>
      <c r="AH291">
        <v>10</v>
      </c>
      <c r="AI291">
        <v>0</v>
      </c>
      <c r="AJ291">
        <v>0</v>
      </c>
      <c r="AK291">
        <v>0</v>
      </c>
      <c r="AL291">
        <v>0</v>
      </c>
      <c r="AM291">
        <v>0</v>
      </c>
      <c r="AN291">
        <v>0</v>
      </c>
      <c r="AO291">
        <v>0</v>
      </c>
      <c r="AP291">
        <v>0</v>
      </c>
      <c r="AQ291">
        <v>0</v>
      </c>
      <c r="AR291">
        <v>0</v>
      </c>
      <c r="AS291">
        <v>0</v>
      </c>
      <c r="AT291">
        <v>4</v>
      </c>
      <c r="AU291">
        <v>0</v>
      </c>
      <c r="AV291">
        <v>4</v>
      </c>
      <c r="AW291">
        <v>0</v>
      </c>
      <c r="AX291">
        <v>1.75</v>
      </c>
      <c r="AY291">
        <v>0</v>
      </c>
      <c r="AZ291">
        <v>1.75</v>
      </c>
      <c r="BA291">
        <v>0</v>
      </c>
      <c r="BB291">
        <v>0</v>
      </c>
      <c r="BC291">
        <v>0</v>
      </c>
      <c r="BD291">
        <v>0</v>
      </c>
      <c r="BE291">
        <v>0</v>
      </c>
    </row>
    <row r="292" spans="1:57">
      <c r="A292" t="s">
        <v>17140</v>
      </c>
      <c r="B292" t="s">
        <v>17159</v>
      </c>
      <c r="C292">
        <v>0</v>
      </c>
      <c r="D292">
        <v>6</v>
      </c>
      <c r="E292">
        <v>6</v>
      </c>
      <c r="F292">
        <v>6</v>
      </c>
      <c r="G292">
        <v>0</v>
      </c>
      <c r="H292">
        <v>0</v>
      </c>
      <c r="I292">
        <v>0</v>
      </c>
      <c r="J292">
        <v>6</v>
      </c>
      <c r="K292">
        <v>6</v>
      </c>
      <c r="L292">
        <v>6</v>
      </c>
      <c r="M292">
        <v>0</v>
      </c>
      <c r="N292">
        <v>0</v>
      </c>
      <c r="O292">
        <v>0</v>
      </c>
      <c r="P292">
        <v>0</v>
      </c>
      <c r="Q292">
        <v>0</v>
      </c>
      <c r="R292">
        <v>0</v>
      </c>
      <c r="S292">
        <v>1.5</v>
      </c>
      <c r="T292">
        <v>0</v>
      </c>
      <c r="U292">
        <v>0</v>
      </c>
      <c r="V292">
        <v>1.5</v>
      </c>
      <c r="W292">
        <v>15</v>
      </c>
      <c r="X292">
        <v>0</v>
      </c>
      <c r="Y292">
        <v>6</v>
      </c>
      <c r="Z292">
        <v>0</v>
      </c>
      <c r="AA292">
        <v>0</v>
      </c>
      <c r="AB292">
        <v>0</v>
      </c>
      <c r="AC292">
        <v>0</v>
      </c>
      <c r="AD292">
        <v>0</v>
      </c>
      <c r="AE292">
        <v>0</v>
      </c>
      <c r="AF292">
        <v>0</v>
      </c>
      <c r="AG292">
        <v>15</v>
      </c>
      <c r="AH292">
        <v>15</v>
      </c>
      <c r="AI292">
        <v>0</v>
      </c>
      <c r="AJ292">
        <v>0</v>
      </c>
      <c r="AK292">
        <v>0</v>
      </c>
      <c r="AL292">
        <v>0</v>
      </c>
      <c r="AM292">
        <v>0</v>
      </c>
      <c r="AN292">
        <v>0</v>
      </c>
      <c r="AO292">
        <v>0</v>
      </c>
      <c r="AP292">
        <v>0</v>
      </c>
      <c r="AQ292">
        <v>0</v>
      </c>
      <c r="AR292">
        <v>0</v>
      </c>
      <c r="AS292">
        <v>0</v>
      </c>
      <c r="AT292">
        <v>6</v>
      </c>
      <c r="AU292">
        <v>0</v>
      </c>
      <c r="AV292">
        <v>6</v>
      </c>
      <c r="AW292">
        <v>0</v>
      </c>
      <c r="AX292">
        <v>1.75</v>
      </c>
      <c r="AY292">
        <v>0</v>
      </c>
      <c r="AZ292">
        <v>1.75</v>
      </c>
      <c r="BA292">
        <v>0</v>
      </c>
      <c r="BB292">
        <v>0</v>
      </c>
      <c r="BC292">
        <v>0</v>
      </c>
      <c r="BD292">
        <v>0</v>
      </c>
      <c r="BE292">
        <v>0</v>
      </c>
    </row>
    <row r="293" spans="1:57">
      <c r="A293" t="s">
        <v>17140</v>
      </c>
      <c r="B293" t="s">
        <v>17160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row>
    <row r="294" spans="1:57">
      <c r="A294" t="s">
        <v>17140</v>
      </c>
      <c r="B294" t="s">
        <v>17161</v>
      </c>
      <c r="C294">
        <v>0</v>
      </c>
      <c r="D294">
        <v>16</v>
      </c>
      <c r="E294">
        <v>3</v>
      </c>
      <c r="F294">
        <v>16</v>
      </c>
      <c r="G294">
        <v>4</v>
      </c>
      <c r="H294">
        <v>0</v>
      </c>
      <c r="I294">
        <v>1</v>
      </c>
      <c r="J294">
        <v>16</v>
      </c>
      <c r="K294">
        <v>151</v>
      </c>
      <c r="L294">
        <v>11</v>
      </c>
      <c r="M294">
        <v>0</v>
      </c>
      <c r="N294">
        <v>1</v>
      </c>
      <c r="O294">
        <v>2</v>
      </c>
      <c r="P294">
        <v>1</v>
      </c>
      <c r="Q294">
        <v>1</v>
      </c>
      <c r="R294">
        <v>0</v>
      </c>
      <c r="S294">
        <v>4</v>
      </c>
      <c r="T294">
        <v>8.5</v>
      </c>
      <c r="U294">
        <v>0</v>
      </c>
      <c r="V294">
        <v>12.5</v>
      </c>
      <c r="W294">
        <v>210</v>
      </c>
      <c r="X294">
        <v>0</v>
      </c>
      <c r="Y294">
        <v>11</v>
      </c>
      <c r="Z294">
        <v>1</v>
      </c>
      <c r="AA294">
        <v>0</v>
      </c>
      <c r="AB294">
        <v>10</v>
      </c>
      <c r="AC294">
        <v>0</v>
      </c>
      <c r="AD294">
        <v>0</v>
      </c>
      <c r="AE294">
        <v>0</v>
      </c>
      <c r="AF294">
        <v>10</v>
      </c>
      <c r="AG294">
        <v>210</v>
      </c>
      <c r="AH294">
        <v>210</v>
      </c>
      <c r="AI294">
        <v>0</v>
      </c>
      <c r="AJ294">
        <v>0</v>
      </c>
      <c r="AK294">
        <v>0</v>
      </c>
      <c r="AL294">
        <v>0</v>
      </c>
      <c r="AM294">
        <v>0</v>
      </c>
      <c r="AN294">
        <v>0</v>
      </c>
      <c r="AO294">
        <v>0</v>
      </c>
      <c r="AP294">
        <v>0</v>
      </c>
      <c r="AQ294">
        <v>0</v>
      </c>
      <c r="AR294">
        <v>0</v>
      </c>
      <c r="AS294">
        <v>0</v>
      </c>
      <c r="AT294">
        <v>151</v>
      </c>
      <c r="AU294">
        <v>0</v>
      </c>
      <c r="AV294">
        <v>151</v>
      </c>
      <c r="AW294">
        <v>0</v>
      </c>
      <c r="AX294">
        <v>4</v>
      </c>
      <c r="AY294">
        <v>0</v>
      </c>
      <c r="AZ294">
        <v>4</v>
      </c>
      <c r="BA294">
        <v>0</v>
      </c>
      <c r="BB294">
        <v>8.5</v>
      </c>
      <c r="BC294">
        <v>0</v>
      </c>
      <c r="BD294">
        <v>8.5</v>
      </c>
      <c r="BE294">
        <v>0</v>
      </c>
    </row>
    <row r="295" spans="1:57">
      <c r="A295" t="s">
        <v>17140</v>
      </c>
      <c r="B295" t="s">
        <v>17161</v>
      </c>
      <c r="C295">
        <v>0</v>
      </c>
      <c r="D295">
        <v>11</v>
      </c>
      <c r="E295">
        <v>0</v>
      </c>
      <c r="F295">
        <v>9</v>
      </c>
      <c r="G295">
        <v>1</v>
      </c>
      <c r="H295">
        <v>4</v>
      </c>
      <c r="I295">
        <v>0</v>
      </c>
      <c r="J295">
        <v>11</v>
      </c>
      <c r="K295">
        <v>114</v>
      </c>
      <c r="L295">
        <v>3</v>
      </c>
      <c r="M295">
        <v>3</v>
      </c>
      <c r="N295">
        <v>0</v>
      </c>
      <c r="O295">
        <v>5</v>
      </c>
      <c r="P295">
        <v>0</v>
      </c>
      <c r="Q295">
        <v>0</v>
      </c>
      <c r="R295">
        <v>0</v>
      </c>
      <c r="S295">
        <v>11.5</v>
      </c>
      <c r="T295">
        <v>2.75</v>
      </c>
      <c r="U295">
        <v>0</v>
      </c>
      <c r="V295">
        <v>14.25</v>
      </c>
      <c r="W295">
        <v>170</v>
      </c>
      <c r="X295">
        <v>0</v>
      </c>
      <c r="Y295">
        <v>9</v>
      </c>
      <c r="Z295">
        <v>0</v>
      </c>
      <c r="AA295">
        <v>0</v>
      </c>
      <c r="AB295">
        <v>62.5</v>
      </c>
      <c r="AC295">
        <v>19.75</v>
      </c>
      <c r="AD295">
        <v>0</v>
      </c>
      <c r="AE295">
        <v>0</v>
      </c>
      <c r="AF295">
        <v>62.5</v>
      </c>
      <c r="AG295">
        <v>189.75</v>
      </c>
      <c r="AH295">
        <v>189.75</v>
      </c>
      <c r="AI295">
        <v>0</v>
      </c>
      <c r="AJ295">
        <v>62.5</v>
      </c>
      <c r="AK295">
        <v>105</v>
      </c>
      <c r="AL295">
        <v>105</v>
      </c>
      <c r="AM295">
        <v>0</v>
      </c>
      <c r="AN295">
        <v>0</v>
      </c>
      <c r="AO295">
        <v>0</v>
      </c>
      <c r="AP295">
        <v>0</v>
      </c>
      <c r="AQ295">
        <v>0</v>
      </c>
      <c r="AR295">
        <v>0</v>
      </c>
      <c r="AS295">
        <v>0</v>
      </c>
      <c r="AT295">
        <v>114</v>
      </c>
      <c r="AU295">
        <v>65</v>
      </c>
      <c r="AV295">
        <v>49</v>
      </c>
      <c r="AW295">
        <v>0</v>
      </c>
      <c r="AX295">
        <v>11.5</v>
      </c>
      <c r="AY295">
        <v>7.5</v>
      </c>
      <c r="AZ295">
        <v>4</v>
      </c>
      <c r="BA295">
        <v>0</v>
      </c>
      <c r="BB295">
        <v>2.75</v>
      </c>
      <c r="BC295">
        <v>1.5</v>
      </c>
      <c r="BD295">
        <v>1.25</v>
      </c>
      <c r="BE295">
        <v>0</v>
      </c>
    </row>
    <row r="296" spans="1:57">
      <c r="A296" t="s">
        <v>17140</v>
      </c>
      <c r="B296" t="s">
        <v>17162</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row>
    <row r="297" spans="1:57">
      <c r="A297" t="s">
        <v>17140</v>
      </c>
      <c r="B297" t="s">
        <v>17164</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row>
    <row r="298" spans="1:57">
      <c r="A298" t="s">
        <v>17140</v>
      </c>
      <c r="B298" t="s">
        <v>17166</v>
      </c>
      <c r="C298">
        <v>0</v>
      </c>
      <c r="D298">
        <v>11</v>
      </c>
      <c r="E298">
        <v>11</v>
      </c>
      <c r="F298">
        <v>10</v>
      </c>
      <c r="G298">
        <v>1</v>
      </c>
      <c r="H298">
        <v>0</v>
      </c>
      <c r="I298">
        <v>0</v>
      </c>
      <c r="J298">
        <v>11</v>
      </c>
      <c r="K298">
        <v>50</v>
      </c>
      <c r="L298">
        <v>8</v>
      </c>
      <c r="M298">
        <v>1</v>
      </c>
      <c r="N298">
        <v>1</v>
      </c>
      <c r="O298">
        <v>0</v>
      </c>
      <c r="P298">
        <v>0</v>
      </c>
      <c r="Q298">
        <v>1</v>
      </c>
      <c r="R298">
        <v>0</v>
      </c>
      <c r="S298">
        <v>5.25</v>
      </c>
      <c r="T298">
        <v>3.5</v>
      </c>
      <c r="U298">
        <v>0</v>
      </c>
      <c r="V298">
        <v>8.75</v>
      </c>
      <c r="W298">
        <v>122.5</v>
      </c>
      <c r="X298">
        <v>0</v>
      </c>
      <c r="Y298">
        <v>10</v>
      </c>
      <c r="Z298">
        <v>0</v>
      </c>
      <c r="AA298">
        <v>0</v>
      </c>
      <c r="AB298">
        <v>0</v>
      </c>
      <c r="AC298">
        <v>45.7</v>
      </c>
      <c r="AD298">
        <v>45.7</v>
      </c>
      <c r="AE298">
        <v>17.55</v>
      </c>
      <c r="AF298">
        <v>45.7</v>
      </c>
      <c r="AG298">
        <v>168.20000000000002</v>
      </c>
      <c r="AH298">
        <v>150.65</v>
      </c>
      <c r="AI298">
        <v>0</v>
      </c>
      <c r="AJ298">
        <v>0</v>
      </c>
      <c r="AK298">
        <v>0</v>
      </c>
      <c r="AL298">
        <v>0</v>
      </c>
      <c r="AM298">
        <v>4</v>
      </c>
      <c r="AN298">
        <v>1</v>
      </c>
      <c r="AO298">
        <v>0</v>
      </c>
      <c r="AP298">
        <v>0</v>
      </c>
      <c r="AQ298">
        <v>0</v>
      </c>
      <c r="AR298">
        <v>0</v>
      </c>
      <c r="AS298">
        <v>0</v>
      </c>
      <c r="AT298">
        <v>50</v>
      </c>
      <c r="AU298">
        <v>0</v>
      </c>
      <c r="AV298">
        <v>50</v>
      </c>
      <c r="AW298">
        <v>0</v>
      </c>
      <c r="AX298">
        <v>5.25</v>
      </c>
      <c r="AY298">
        <v>0</v>
      </c>
      <c r="AZ298">
        <v>5.25</v>
      </c>
      <c r="BA298">
        <v>0</v>
      </c>
      <c r="BB298">
        <v>3.5</v>
      </c>
      <c r="BC298">
        <v>0</v>
      </c>
      <c r="BD298">
        <v>3.5</v>
      </c>
      <c r="BE298">
        <v>0</v>
      </c>
    </row>
    <row r="299" spans="1:57">
      <c r="A299" t="s">
        <v>17140</v>
      </c>
      <c r="B299" t="s">
        <v>17167</v>
      </c>
      <c r="C299">
        <v>0</v>
      </c>
      <c r="D299">
        <v>2</v>
      </c>
      <c r="E299">
        <v>0</v>
      </c>
      <c r="F299">
        <v>2</v>
      </c>
      <c r="G299">
        <v>0</v>
      </c>
      <c r="H299">
        <v>0</v>
      </c>
      <c r="I299">
        <v>0</v>
      </c>
      <c r="J299">
        <v>2</v>
      </c>
      <c r="K299">
        <v>19</v>
      </c>
      <c r="L299">
        <v>1</v>
      </c>
      <c r="M299">
        <v>0</v>
      </c>
      <c r="N299">
        <v>1</v>
      </c>
      <c r="O299">
        <v>0</v>
      </c>
      <c r="P299">
        <v>0</v>
      </c>
      <c r="Q299">
        <v>0</v>
      </c>
      <c r="R299">
        <v>0</v>
      </c>
      <c r="S299">
        <v>7.75</v>
      </c>
      <c r="T299">
        <v>0</v>
      </c>
      <c r="U299">
        <v>0</v>
      </c>
      <c r="V299">
        <v>7.75</v>
      </c>
      <c r="W299">
        <v>77.5</v>
      </c>
      <c r="X299">
        <v>0</v>
      </c>
      <c r="Y299">
        <v>2</v>
      </c>
      <c r="Z299">
        <v>0</v>
      </c>
      <c r="AA299">
        <v>0</v>
      </c>
      <c r="AB299">
        <v>45</v>
      </c>
      <c r="AC299">
        <v>0</v>
      </c>
      <c r="AD299">
        <v>0</v>
      </c>
      <c r="AE299">
        <v>0</v>
      </c>
      <c r="AF299">
        <v>45</v>
      </c>
      <c r="AG299">
        <v>77.5</v>
      </c>
      <c r="AH299">
        <v>77.5</v>
      </c>
      <c r="AI299">
        <v>0</v>
      </c>
      <c r="AJ299">
        <v>0</v>
      </c>
      <c r="AK299">
        <v>0</v>
      </c>
      <c r="AL299">
        <v>0</v>
      </c>
      <c r="AM299">
        <v>0</v>
      </c>
      <c r="AN299">
        <v>0</v>
      </c>
      <c r="AO299">
        <v>0</v>
      </c>
      <c r="AP299">
        <v>0</v>
      </c>
      <c r="AQ299">
        <v>0</v>
      </c>
      <c r="AR299">
        <v>0</v>
      </c>
      <c r="AS299">
        <v>0</v>
      </c>
      <c r="AT299">
        <v>19</v>
      </c>
      <c r="AU299">
        <v>0</v>
      </c>
      <c r="AV299">
        <v>19</v>
      </c>
      <c r="AW299">
        <v>0</v>
      </c>
      <c r="AX299">
        <v>7.75</v>
      </c>
      <c r="AY299">
        <v>0</v>
      </c>
      <c r="AZ299">
        <v>7.75</v>
      </c>
      <c r="BA299">
        <v>0</v>
      </c>
      <c r="BB299">
        <v>0</v>
      </c>
      <c r="BC299">
        <v>0</v>
      </c>
      <c r="BD299">
        <v>0</v>
      </c>
      <c r="BE299">
        <v>0</v>
      </c>
    </row>
    <row r="300" spans="1:57">
      <c r="A300" t="s">
        <v>17140</v>
      </c>
      <c r="B300" t="s">
        <v>17168</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row>
    <row r="301" spans="1:57">
      <c r="A301" t="s">
        <v>17169</v>
      </c>
      <c r="B301" t="s">
        <v>17170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row>
    <row r="302" spans="1:57">
      <c r="A302" t="s">
        <v>17169</v>
      </c>
      <c r="B302" t="s">
        <v>17319</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row>
    <row r="303" spans="1:57">
      <c r="A303" t="s">
        <v>17169</v>
      </c>
      <c r="B303" t="s">
        <v>17172</v>
      </c>
      <c r="C303">
        <v>0</v>
      </c>
      <c r="D303">
        <v>16</v>
      </c>
      <c r="E303">
        <v>15</v>
      </c>
      <c r="F303">
        <v>11</v>
      </c>
      <c r="G303">
        <v>6</v>
      </c>
      <c r="H303">
        <v>0</v>
      </c>
      <c r="I303">
        <v>0</v>
      </c>
      <c r="J303">
        <v>0</v>
      </c>
      <c r="K303">
        <v>0</v>
      </c>
      <c r="L303">
        <v>1</v>
      </c>
      <c r="M303">
        <v>0</v>
      </c>
      <c r="N303">
        <v>9</v>
      </c>
      <c r="O303">
        <v>6</v>
      </c>
      <c r="P303">
        <v>0</v>
      </c>
      <c r="Q303">
        <v>0</v>
      </c>
      <c r="R303">
        <v>0</v>
      </c>
      <c r="S303">
        <v>15.75</v>
      </c>
      <c r="T303">
        <v>12.5</v>
      </c>
      <c r="U303">
        <v>0</v>
      </c>
      <c r="V303">
        <v>28.25</v>
      </c>
      <c r="W303">
        <v>407.5</v>
      </c>
      <c r="X303">
        <v>0</v>
      </c>
      <c r="Y303">
        <v>10</v>
      </c>
      <c r="Z303">
        <v>0</v>
      </c>
      <c r="AA303">
        <v>0</v>
      </c>
      <c r="AB303">
        <v>165</v>
      </c>
      <c r="AC303">
        <v>365</v>
      </c>
      <c r="AD303">
        <v>365</v>
      </c>
      <c r="AE303">
        <v>502.5</v>
      </c>
      <c r="AF303">
        <v>530</v>
      </c>
      <c r="AG303">
        <v>772.5</v>
      </c>
      <c r="AH303">
        <v>270</v>
      </c>
      <c r="AI303">
        <v>0</v>
      </c>
      <c r="AJ303">
        <v>0</v>
      </c>
      <c r="AK303">
        <v>0</v>
      </c>
      <c r="AL303">
        <v>0</v>
      </c>
      <c r="AM303">
        <v>0</v>
      </c>
      <c r="AN303">
        <v>4</v>
      </c>
      <c r="AO303">
        <v>0</v>
      </c>
      <c r="AP303">
        <v>3</v>
      </c>
      <c r="AQ303">
        <v>0</v>
      </c>
      <c r="AR303">
        <v>0</v>
      </c>
      <c r="AS303">
        <v>0</v>
      </c>
      <c r="AT303">
        <v>0</v>
      </c>
      <c r="AU303">
        <v>0</v>
      </c>
      <c r="AV303">
        <v>0</v>
      </c>
      <c r="AW303">
        <v>0</v>
      </c>
      <c r="AX303">
        <v>15.75</v>
      </c>
      <c r="AY303">
        <v>0</v>
      </c>
      <c r="AZ303">
        <v>15.75</v>
      </c>
      <c r="BA303">
        <v>0</v>
      </c>
      <c r="BB303">
        <v>12.5</v>
      </c>
      <c r="BC303">
        <v>0</v>
      </c>
      <c r="BD303">
        <v>12.5</v>
      </c>
      <c r="BE303">
        <v>0</v>
      </c>
    </row>
    <row r="304" spans="1:57">
      <c r="A304" t="s">
        <v>17169</v>
      </c>
      <c r="B304" t="s">
        <v>17173</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row>
    <row r="305" spans="1:57">
      <c r="A305" t="s">
        <v>17169</v>
      </c>
      <c r="B305" t="s">
        <v>17174</v>
      </c>
      <c r="C305">
        <v>0</v>
      </c>
      <c r="D305">
        <v>6</v>
      </c>
      <c r="E305">
        <v>4</v>
      </c>
      <c r="F305">
        <v>3</v>
      </c>
      <c r="G305">
        <v>1</v>
      </c>
      <c r="H305">
        <v>3</v>
      </c>
      <c r="I305">
        <v>2</v>
      </c>
      <c r="J305">
        <v>6</v>
      </c>
      <c r="K305">
        <v>146</v>
      </c>
      <c r="L305">
        <v>6</v>
      </c>
      <c r="M305">
        <v>0</v>
      </c>
      <c r="N305">
        <v>0</v>
      </c>
      <c r="O305">
        <v>0</v>
      </c>
      <c r="P305">
        <v>0</v>
      </c>
      <c r="Q305">
        <v>0</v>
      </c>
      <c r="R305">
        <v>0</v>
      </c>
      <c r="S305">
        <v>19</v>
      </c>
      <c r="T305">
        <v>0</v>
      </c>
      <c r="U305">
        <v>0</v>
      </c>
      <c r="V305">
        <v>19</v>
      </c>
      <c r="W305">
        <v>190</v>
      </c>
      <c r="X305">
        <v>0</v>
      </c>
      <c r="Y305">
        <v>0</v>
      </c>
      <c r="Z305">
        <v>6</v>
      </c>
      <c r="AA305">
        <v>0</v>
      </c>
      <c r="AB305">
        <v>0</v>
      </c>
      <c r="AC305">
        <v>0</v>
      </c>
      <c r="AD305">
        <v>0</v>
      </c>
      <c r="AE305">
        <v>0</v>
      </c>
      <c r="AF305">
        <v>0</v>
      </c>
      <c r="AG305">
        <v>190</v>
      </c>
      <c r="AH305">
        <v>190</v>
      </c>
      <c r="AI305">
        <v>0</v>
      </c>
      <c r="AJ305">
        <v>0</v>
      </c>
      <c r="AK305">
        <v>110</v>
      </c>
      <c r="AL305">
        <v>110</v>
      </c>
      <c r="AM305">
        <v>0</v>
      </c>
      <c r="AN305">
        <v>0</v>
      </c>
      <c r="AO305">
        <v>0</v>
      </c>
      <c r="AP305">
        <v>0</v>
      </c>
      <c r="AQ305">
        <v>0</v>
      </c>
      <c r="AR305">
        <v>0</v>
      </c>
      <c r="AS305">
        <v>0</v>
      </c>
      <c r="AT305">
        <v>146</v>
      </c>
      <c r="AU305">
        <v>126</v>
      </c>
      <c r="AV305">
        <v>20</v>
      </c>
      <c r="AW305">
        <v>0</v>
      </c>
      <c r="AX305">
        <v>19</v>
      </c>
      <c r="AY305">
        <v>11</v>
      </c>
      <c r="AZ305">
        <v>8</v>
      </c>
      <c r="BA305">
        <v>0</v>
      </c>
      <c r="BB305">
        <v>0</v>
      </c>
      <c r="BC305">
        <v>0</v>
      </c>
      <c r="BD305">
        <v>0</v>
      </c>
      <c r="BE305">
        <v>0</v>
      </c>
    </row>
    <row r="306" spans="1:57">
      <c r="A306" t="s">
        <v>17169</v>
      </c>
      <c r="B306" t="s">
        <v>17175</v>
      </c>
      <c r="C306">
        <v>0</v>
      </c>
      <c r="D306">
        <v>1</v>
      </c>
      <c r="E306">
        <v>1</v>
      </c>
      <c r="F306">
        <v>1</v>
      </c>
      <c r="G306">
        <v>0</v>
      </c>
      <c r="H306">
        <v>0</v>
      </c>
      <c r="I306">
        <v>0</v>
      </c>
      <c r="J306">
        <v>1</v>
      </c>
      <c r="K306">
        <v>3</v>
      </c>
      <c r="L306">
        <v>1</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3</v>
      </c>
      <c r="AU306">
        <v>0</v>
      </c>
      <c r="AV306">
        <v>3</v>
      </c>
      <c r="AW306">
        <v>0</v>
      </c>
      <c r="AX306">
        <v>0</v>
      </c>
      <c r="AY306">
        <v>0</v>
      </c>
      <c r="AZ306">
        <v>0</v>
      </c>
      <c r="BA306">
        <v>0</v>
      </c>
      <c r="BB306">
        <v>0</v>
      </c>
      <c r="BC306">
        <v>0</v>
      </c>
      <c r="BD306">
        <v>0</v>
      </c>
      <c r="BE306">
        <v>0</v>
      </c>
    </row>
    <row r="307" spans="1:57">
      <c r="A307" t="s">
        <v>17169</v>
      </c>
      <c r="B307" t="s">
        <v>17176</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row>
    <row r="308" spans="1:57">
      <c r="A308" t="s">
        <v>17169</v>
      </c>
      <c r="B308" t="s">
        <v>17177</v>
      </c>
      <c r="C308">
        <v>0</v>
      </c>
      <c r="D308">
        <v>7</v>
      </c>
      <c r="E308">
        <v>7</v>
      </c>
      <c r="F308">
        <v>6</v>
      </c>
      <c r="G308">
        <v>0</v>
      </c>
      <c r="H308">
        <v>1</v>
      </c>
      <c r="I308">
        <v>1</v>
      </c>
      <c r="J308">
        <v>7</v>
      </c>
      <c r="K308">
        <v>46</v>
      </c>
      <c r="L308">
        <v>6</v>
      </c>
      <c r="M308">
        <v>0</v>
      </c>
      <c r="N308">
        <v>1</v>
      </c>
      <c r="O308">
        <v>0</v>
      </c>
      <c r="P308">
        <v>0</v>
      </c>
      <c r="Q308">
        <v>0</v>
      </c>
      <c r="R308">
        <v>0</v>
      </c>
      <c r="S308">
        <v>20</v>
      </c>
      <c r="T308">
        <v>12</v>
      </c>
      <c r="U308">
        <v>0</v>
      </c>
      <c r="V308">
        <v>32</v>
      </c>
      <c r="W308">
        <v>360</v>
      </c>
      <c r="X308">
        <v>0</v>
      </c>
      <c r="Y308">
        <v>3</v>
      </c>
      <c r="Z308">
        <v>0</v>
      </c>
      <c r="AA308">
        <v>0</v>
      </c>
      <c r="AB308">
        <v>290</v>
      </c>
      <c r="AC308">
        <v>0</v>
      </c>
      <c r="AD308">
        <v>0</v>
      </c>
      <c r="AE308">
        <v>0</v>
      </c>
      <c r="AF308">
        <v>290</v>
      </c>
      <c r="AG308">
        <v>320</v>
      </c>
      <c r="AH308">
        <v>320</v>
      </c>
      <c r="AI308">
        <v>0</v>
      </c>
      <c r="AJ308">
        <v>290</v>
      </c>
      <c r="AK308">
        <v>320</v>
      </c>
      <c r="AL308">
        <v>320</v>
      </c>
      <c r="AM308">
        <v>0</v>
      </c>
      <c r="AN308">
        <v>0</v>
      </c>
      <c r="AO308">
        <v>0</v>
      </c>
      <c r="AP308">
        <v>0</v>
      </c>
      <c r="AQ308">
        <v>0</v>
      </c>
      <c r="AR308">
        <v>0</v>
      </c>
      <c r="AS308">
        <v>0</v>
      </c>
      <c r="AT308">
        <v>46</v>
      </c>
      <c r="AU308">
        <v>20</v>
      </c>
      <c r="AV308">
        <v>26</v>
      </c>
      <c r="AW308">
        <v>0</v>
      </c>
      <c r="AX308">
        <v>20</v>
      </c>
      <c r="AY308">
        <v>8</v>
      </c>
      <c r="AZ308">
        <v>12</v>
      </c>
      <c r="BA308">
        <v>0</v>
      </c>
      <c r="BB308">
        <v>12</v>
      </c>
      <c r="BC308">
        <v>12</v>
      </c>
      <c r="BD308">
        <v>0</v>
      </c>
      <c r="BE308">
        <v>0</v>
      </c>
    </row>
    <row r="309" spans="1:57">
      <c r="A309" t="s">
        <v>17169</v>
      </c>
      <c r="B309" t="s">
        <v>17307</v>
      </c>
      <c r="C309">
        <v>0</v>
      </c>
      <c r="D309">
        <v>10</v>
      </c>
      <c r="E309">
        <v>10</v>
      </c>
      <c r="F309">
        <v>10</v>
      </c>
      <c r="G309">
        <v>0</v>
      </c>
      <c r="H309">
        <v>0</v>
      </c>
      <c r="I309">
        <v>0</v>
      </c>
      <c r="J309">
        <v>10</v>
      </c>
      <c r="K309">
        <v>32</v>
      </c>
      <c r="L309">
        <v>10</v>
      </c>
      <c r="M309">
        <v>0</v>
      </c>
      <c r="N309">
        <v>0</v>
      </c>
      <c r="O309">
        <v>0</v>
      </c>
      <c r="P309">
        <v>0</v>
      </c>
      <c r="Q309">
        <v>0</v>
      </c>
      <c r="R309">
        <v>0</v>
      </c>
      <c r="S309">
        <v>2.85</v>
      </c>
      <c r="T309">
        <v>2</v>
      </c>
      <c r="U309">
        <v>0</v>
      </c>
      <c r="V309">
        <v>4.8499999999999996</v>
      </c>
      <c r="W309">
        <v>68.5</v>
      </c>
      <c r="X309">
        <v>0</v>
      </c>
      <c r="Y309">
        <v>10</v>
      </c>
      <c r="Z309">
        <v>0</v>
      </c>
      <c r="AA309">
        <v>0</v>
      </c>
      <c r="AB309">
        <v>0</v>
      </c>
      <c r="AC309">
        <v>15.5</v>
      </c>
      <c r="AD309">
        <v>15.5</v>
      </c>
      <c r="AE309">
        <v>15.5</v>
      </c>
      <c r="AF309">
        <v>15.5</v>
      </c>
      <c r="AG309">
        <v>84</v>
      </c>
      <c r="AH309">
        <v>68.5</v>
      </c>
      <c r="AI309">
        <v>0</v>
      </c>
      <c r="AJ309">
        <v>0</v>
      </c>
      <c r="AK309">
        <v>0</v>
      </c>
      <c r="AL309">
        <v>0</v>
      </c>
      <c r="AM309">
        <v>0</v>
      </c>
      <c r="AN309">
        <v>1</v>
      </c>
      <c r="AO309">
        <v>0</v>
      </c>
      <c r="AP309">
        <v>0</v>
      </c>
      <c r="AQ309">
        <v>0</v>
      </c>
      <c r="AR309">
        <v>0</v>
      </c>
      <c r="AS309">
        <v>0</v>
      </c>
      <c r="AT309">
        <v>32</v>
      </c>
      <c r="AU309">
        <v>0</v>
      </c>
      <c r="AV309">
        <v>32</v>
      </c>
      <c r="AW309">
        <v>0</v>
      </c>
      <c r="AX309">
        <v>2.85</v>
      </c>
      <c r="AY309">
        <v>0</v>
      </c>
      <c r="AZ309">
        <v>2.85</v>
      </c>
      <c r="BA309">
        <v>0</v>
      </c>
      <c r="BB309">
        <v>2</v>
      </c>
      <c r="BC309">
        <v>0</v>
      </c>
      <c r="BD309">
        <v>2</v>
      </c>
      <c r="BE309">
        <v>0</v>
      </c>
    </row>
    <row r="310" spans="1:57">
      <c r="A310" t="s">
        <v>17169</v>
      </c>
      <c r="B310" t="s">
        <v>18850</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row>
    <row r="311" spans="1:57">
      <c r="A311" t="s">
        <v>17169</v>
      </c>
      <c r="B311" t="s">
        <v>17181</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row>
    <row r="312" spans="1:57">
      <c r="A312" t="s">
        <v>17169</v>
      </c>
      <c r="B312" t="s">
        <v>18851</v>
      </c>
      <c r="C312">
        <v>0</v>
      </c>
      <c r="D312">
        <v>15</v>
      </c>
      <c r="E312">
        <v>15</v>
      </c>
      <c r="F312">
        <v>15</v>
      </c>
      <c r="G312">
        <v>0</v>
      </c>
      <c r="H312">
        <v>0</v>
      </c>
      <c r="I312">
        <v>0</v>
      </c>
      <c r="J312">
        <v>15</v>
      </c>
      <c r="K312">
        <v>59</v>
      </c>
      <c r="L312">
        <v>13</v>
      </c>
      <c r="M312">
        <v>1</v>
      </c>
      <c r="N312">
        <v>0</v>
      </c>
      <c r="O312">
        <v>1</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59</v>
      </c>
      <c r="AU312">
        <v>0</v>
      </c>
      <c r="AV312">
        <v>59</v>
      </c>
      <c r="AW312">
        <v>0</v>
      </c>
      <c r="AX312">
        <v>0</v>
      </c>
      <c r="AY312">
        <v>0</v>
      </c>
      <c r="AZ312">
        <v>0</v>
      </c>
      <c r="BA312">
        <v>0</v>
      </c>
      <c r="BB312">
        <v>0</v>
      </c>
      <c r="BC312">
        <v>0</v>
      </c>
      <c r="BD312">
        <v>0</v>
      </c>
      <c r="BE312">
        <v>0</v>
      </c>
    </row>
    <row r="313" spans="1:57">
      <c r="A313" t="s">
        <v>17169</v>
      </c>
      <c r="B313" t="s">
        <v>17183</v>
      </c>
      <c r="C313">
        <v>0</v>
      </c>
      <c r="D313">
        <v>67</v>
      </c>
      <c r="E313">
        <v>62</v>
      </c>
      <c r="F313">
        <v>60</v>
      </c>
      <c r="G313">
        <v>7</v>
      </c>
      <c r="H313">
        <v>1</v>
      </c>
      <c r="I313">
        <v>2</v>
      </c>
      <c r="J313">
        <v>66</v>
      </c>
      <c r="K313">
        <v>723</v>
      </c>
      <c r="L313">
        <v>44</v>
      </c>
      <c r="M313">
        <v>8</v>
      </c>
      <c r="N313">
        <v>4</v>
      </c>
      <c r="O313">
        <v>9</v>
      </c>
      <c r="P313">
        <v>0</v>
      </c>
      <c r="Q313">
        <v>3</v>
      </c>
      <c r="R313">
        <v>0</v>
      </c>
      <c r="S313">
        <v>28.25</v>
      </c>
      <c r="T313">
        <v>11.5</v>
      </c>
      <c r="U313">
        <v>0</v>
      </c>
      <c r="V313">
        <v>39.75</v>
      </c>
      <c r="W313">
        <v>512.5</v>
      </c>
      <c r="X313">
        <v>0</v>
      </c>
      <c r="Y313">
        <v>4</v>
      </c>
      <c r="Z313">
        <v>0</v>
      </c>
      <c r="AA313">
        <v>0</v>
      </c>
      <c r="AB313">
        <v>392.5</v>
      </c>
      <c r="AC313">
        <v>9.5</v>
      </c>
      <c r="AD313">
        <v>9.5</v>
      </c>
      <c r="AE313">
        <v>402</v>
      </c>
      <c r="AF313">
        <v>402</v>
      </c>
      <c r="AG313">
        <v>522</v>
      </c>
      <c r="AH313">
        <v>120</v>
      </c>
      <c r="AI313">
        <v>0</v>
      </c>
      <c r="AJ313">
        <v>0</v>
      </c>
      <c r="AK313">
        <v>0</v>
      </c>
      <c r="AL313">
        <v>0</v>
      </c>
      <c r="AM313">
        <v>1</v>
      </c>
      <c r="AN313">
        <v>1</v>
      </c>
      <c r="AO313">
        <v>0</v>
      </c>
      <c r="AP313">
        <v>2</v>
      </c>
      <c r="AQ313">
        <v>0</v>
      </c>
      <c r="AR313">
        <v>0</v>
      </c>
      <c r="AS313">
        <v>0</v>
      </c>
      <c r="AT313">
        <v>723</v>
      </c>
      <c r="AU313">
        <v>36</v>
      </c>
      <c r="AV313">
        <v>673</v>
      </c>
      <c r="AW313">
        <v>0</v>
      </c>
      <c r="AX313">
        <v>28.25</v>
      </c>
      <c r="AY313">
        <v>0</v>
      </c>
      <c r="AZ313">
        <v>28.25</v>
      </c>
      <c r="BA313">
        <v>0</v>
      </c>
      <c r="BB313">
        <v>11.5</v>
      </c>
      <c r="BC313">
        <v>0</v>
      </c>
      <c r="BD313">
        <v>11.5</v>
      </c>
      <c r="BE313">
        <v>0</v>
      </c>
    </row>
    <row r="314" spans="1:57">
      <c r="A314" t="s">
        <v>17169</v>
      </c>
      <c r="B314" t="s">
        <v>17184</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row>
    <row r="315" spans="1:57">
      <c r="A315" t="s">
        <v>17169</v>
      </c>
      <c r="B315" t="s">
        <v>19990</v>
      </c>
      <c r="C315">
        <v>0</v>
      </c>
      <c r="D315">
        <v>7</v>
      </c>
      <c r="E315">
        <v>7</v>
      </c>
      <c r="F315">
        <v>6</v>
      </c>
      <c r="G315">
        <v>1</v>
      </c>
      <c r="H315">
        <v>7</v>
      </c>
      <c r="I315">
        <v>0</v>
      </c>
      <c r="J315">
        <v>7</v>
      </c>
      <c r="K315">
        <v>180</v>
      </c>
      <c r="L315">
        <v>4</v>
      </c>
      <c r="M315">
        <v>0</v>
      </c>
      <c r="N315">
        <v>0</v>
      </c>
      <c r="O315">
        <v>1</v>
      </c>
      <c r="P315">
        <v>1</v>
      </c>
      <c r="Q315">
        <v>1</v>
      </c>
      <c r="R315">
        <v>0</v>
      </c>
      <c r="S315">
        <v>43</v>
      </c>
      <c r="T315">
        <v>12</v>
      </c>
      <c r="U315">
        <v>0</v>
      </c>
      <c r="V315">
        <v>385</v>
      </c>
      <c r="W315">
        <v>1000</v>
      </c>
      <c r="X315">
        <v>0</v>
      </c>
      <c r="Y315">
        <v>3</v>
      </c>
      <c r="Z315">
        <v>0</v>
      </c>
      <c r="AA315">
        <v>0</v>
      </c>
      <c r="AB315">
        <v>910</v>
      </c>
      <c r="AC315">
        <v>756.5</v>
      </c>
      <c r="AD315">
        <v>0</v>
      </c>
      <c r="AE315">
        <v>0</v>
      </c>
      <c r="AF315">
        <v>910</v>
      </c>
      <c r="AG315">
        <v>1756.5</v>
      </c>
      <c r="AH315">
        <v>1756.5</v>
      </c>
      <c r="AI315">
        <v>0</v>
      </c>
      <c r="AJ315">
        <v>910</v>
      </c>
      <c r="AK315">
        <v>1756.5</v>
      </c>
      <c r="AL315">
        <v>1756.5</v>
      </c>
      <c r="AM315">
        <v>0</v>
      </c>
      <c r="AN315">
        <v>0</v>
      </c>
      <c r="AO315">
        <v>0</v>
      </c>
      <c r="AP315">
        <v>0</v>
      </c>
      <c r="AQ315">
        <v>0</v>
      </c>
      <c r="AR315">
        <v>0</v>
      </c>
      <c r="AS315">
        <v>0</v>
      </c>
      <c r="AT315">
        <v>180</v>
      </c>
      <c r="AU315">
        <v>180</v>
      </c>
      <c r="AV315">
        <v>0</v>
      </c>
      <c r="AW315">
        <v>0</v>
      </c>
      <c r="AX315">
        <v>43</v>
      </c>
      <c r="AY315">
        <v>43</v>
      </c>
      <c r="AZ315">
        <v>0</v>
      </c>
      <c r="BA315">
        <v>0</v>
      </c>
      <c r="BB315">
        <v>12</v>
      </c>
      <c r="BC315">
        <v>12</v>
      </c>
      <c r="BD315">
        <v>0</v>
      </c>
      <c r="BE315">
        <v>0</v>
      </c>
    </row>
    <row r="316" spans="1:57">
      <c r="A316" t="s">
        <v>17169</v>
      </c>
      <c r="B316" t="s">
        <v>17358</v>
      </c>
      <c r="C316">
        <v>0</v>
      </c>
      <c r="D316">
        <v>1</v>
      </c>
      <c r="E316">
        <v>1</v>
      </c>
      <c r="F316">
        <v>1</v>
      </c>
      <c r="G316">
        <v>0</v>
      </c>
      <c r="H316">
        <v>0</v>
      </c>
      <c r="I316">
        <v>0</v>
      </c>
      <c r="J316">
        <v>1</v>
      </c>
      <c r="K316">
        <v>3</v>
      </c>
      <c r="L316">
        <v>1</v>
      </c>
      <c r="M316">
        <v>0</v>
      </c>
      <c r="N316">
        <v>0</v>
      </c>
      <c r="O316">
        <v>0</v>
      </c>
      <c r="P316">
        <v>0</v>
      </c>
      <c r="Q316">
        <v>0</v>
      </c>
      <c r="R316">
        <v>0</v>
      </c>
      <c r="S316">
        <v>0.5</v>
      </c>
      <c r="T316">
        <v>0.25</v>
      </c>
      <c r="U316">
        <v>0.25</v>
      </c>
      <c r="V316">
        <v>1</v>
      </c>
      <c r="W316">
        <v>10</v>
      </c>
      <c r="X316">
        <v>0</v>
      </c>
      <c r="Y316">
        <v>1</v>
      </c>
      <c r="Z316">
        <v>0</v>
      </c>
      <c r="AA316">
        <v>0</v>
      </c>
      <c r="AB316">
        <v>0</v>
      </c>
      <c r="AC316">
        <v>0</v>
      </c>
      <c r="AD316">
        <v>0</v>
      </c>
      <c r="AE316">
        <v>0</v>
      </c>
      <c r="AF316">
        <v>1</v>
      </c>
      <c r="AG316">
        <v>15</v>
      </c>
      <c r="AH316">
        <v>0</v>
      </c>
      <c r="AI316">
        <v>0</v>
      </c>
      <c r="AJ316">
        <v>0</v>
      </c>
      <c r="AK316">
        <v>0</v>
      </c>
      <c r="AL316">
        <v>0</v>
      </c>
      <c r="AM316">
        <v>0</v>
      </c>
      <c r="AN316">
        <v>0</v>
      </c>
      <c r="AO316">
        <v>0</v>
      </c>
      <c r="AP316">
        <v>0</v>
      </c>
      <c r="AQ316">
        <v>0</v>
      </c>
      <c r="AR316">
        <v>0</v>
      </c>
      <c r="AS316">
        <v>0</v>
      </c>
      <c r="AT316">
        <v>3</v>
      </c>
      <c r="AU316">
        <v>0</v>
      </c>
      <c r="AV316">
        <v>3</v>
      </c>
      <c r="AW316">
        <v>0</v>
      </c>
      <c r="AX316">
        <v>0.5</v>
      </c>
      <c r="AY316">
        <v>0</v>
      </c>
      <c r="AZ316">
        <v>0.5</v>
      </c>
      <c r="BA316">
        <v>0</v>
      </c>
      <c r="BB316">
        <v>0.25</v>
      </c>
      <c r="BC316">
        <v>0</v>
      </c>
      <c r="BD316">
        <v>0.25</v>
      </c>
      <c r="BE316">
        <v>0</v>
      </c>
    </row>
    <row r="317" spans="1:57">
      <c r="A317" t="s">
        <v>17300</v>
      </c>
      <c r="B317" t="s">
        <v>17301</v>
      </c>
      <c r="C317">
        <v>2</v>
      </c>
      <c r="D317">
        <v>8</v>
      </c>
      <c r="E317">
        <v>8</v>
      </c>
      <c r="F317">
        <v>8</v>
      </c>
      <c r="G317">
        <v>0</v>
      </c>
      <c r="H317">
        <v>0</v>
      </c>
      <c r="I317">
        <v>0</v>
      </c>
      <c r="J317">
        <v>8</v>
      </c>
      <c r="K317">
        <v>22</v>
      </c>
      <c r="L317">
        <v>5</v>
      </c>
      <c r="M317">
        <v>1</v>
      </c>
      <c r="N317">
        <v>1</v>
      </c>
      <c r="O317">
        <v>1</v>
      </c>
      <c r="P317">
        <v>0</v>
      </c>
      <c r="Q317">
        <v>0</v>
      </c>
      <c r="R317">
        <v>0</v>
      </c>
      <c r="S317">
        <v>1.75</v>
      </c>
      <c r="T317">
        <v>0.75</v>
      </c>
      <c r="U317">
        <v>0.5</v>
      </c>
      <c r="V317">
        <v>3</v>
      </c>
      <c r="W317">
        <v>27.5</v>
      </c>
      <c r="X317">
        <v>0</v>
      </c>
      <c r="Y317">
        <v>5</v>
      </c>
      <c r="Z317">
        <v>0</v>
      </c>
      <c r="AA317">
        <v>-5</v>
      </c>
      <c r="AB317">
        <v>0</v>
      </c>
      <c r="AC317">
        <v>0</v>
      </c>
      <c r="AD317">
        <v>0</v>
      </c>
      <c r="AE317">
        <v>0</v>
      </c>
      <c r="AF317">
        <v>0</v>
      </c>
      <c r="AG317">
        <v>37.5</v>
      </c>
      <c r="AH317">
        <v>37.5</v>
      </c>
      <c r="AI317">
        <v>0</v>
      </c>
      <c r="AJ317">
        <v>0</v>
      </c>
      <c r="AK317">
        <v>0</v>
      </c>
      <c r="AL317">
        <v>0</v>
      </c>
      <c r="AM317">
        <v>0</v>
      </c>
      <c r="AN317">
        <v>0</v>
      </c>
      <c r="AO317">
        <v>0</v>
      </c>
      <c r="AP317">
        <v>0</v>
      </c>
      <c r="AQ317">
        <v>0</v>
      </c>
      <c r="AR317">
        <v>0</v>
      </c>
      <c r="AS317">
        <v>0</v>
      </c>
      <c r="AT317">
        <v>22</v>
      </c>
      <c r="AU317">
        <v>0</v>
      </c>
      <c r="AV317">
        <v>15</v>
      </c>
      <c r="AW317">
        <v>7</v>
      </c>
      <c r="AX317">
        <v>1.75</v>
      </c>
      <c r="AY317">
        <v>0</v>
      </c>
      <c r="AZ317">
        <v>1.25</v>
      </c>
      <c r="BA317">
        <v>0.5</v>
      </c>
      <c r="BB317">
        <v>0.75</v>
      </c>
      <c r="BC317">
        <v>0</v>
      </c>
      <c r="BD317">
        <v>0.75</v>
      </c>
      <c r="BE317">
        <v>0</v>
      </c>
    </row>
    <row r="318" spans="1:57">
      <c r="A318" t="s">
        <v>17300</v>
      </c>
      <c r="B318" t="s">
        <v>17378</v>
      </c>
      <c r="C318">
        <v>0</v>
      </c>
      <c r="D318">
        <v>2</v>
      </c>
      <c r="E318">
        <v>2</v>
      </c>
      <c r="F318">
        <v>2</v>
      </c>
      <c r="G318">
        <v>0</v>
      </c>
      <c r="H318">
        <v>0</v>
      </c>
      <c r="I318">
        <v>0</v>
      </c>
      <c r="J318">
        <v>2</v>
      </c>
      <c r="K318">
        <v>13</v>
      </c>
      <c r="L318">
        <v>0</v>
      </c>
      <c r="M318">
        <v>1</v>
      </c>
      <c r="N318">
        <v>0</v>
      </c>
      <c r="O318">
        <v>1</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13</v>
      </c>
      <c r="AU318">
        <v>0</v>
      </c>
      <c r="AV318">
        <v>13</v>
      </c>
      <c r="AW318">
        <v>0</v>
      </c>
      <c r="AX318">
        <v>0</v>
      </c>
      <c r="AY318">
        <v>0</v>
      </c>
      <c r="AZ318">
        <v>0</v>
      </c>
      <c r="BA318">
        <v>0</v>
      </c>
      <c r="BB318">
        <v>0</v>
      </c>
      <c r="BC318">
        <v>0</v>
      </c>
      <c r="BD318">
        <v>0</v>
      </c>
      <c r="BE318">
        <v>0</v>
      </c>
    </row>
    <row r="319" spans="1:57">
      <c r="A319" t="s">
        <v>17300</v>
      </c>
      <c r="B319" t="s">
        <v>17329</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row>
    <row r="320" spans="1:57">
      <c r="A320" t="s">
        <v>17300</v>
      </c>
      <c r="B320" t="s">
        <v>17316</v>
      </c>
      <c r="C320">
        <v>11</v>
      </c>
      <c r="D320">
        <v>16</v>
      </c>
      <c r="E320">
        <v>16</v>
      </c>
      <c r="F320">
        <v>15</v>
      </c>
      <c r="G320">
        <v>0</v>
      </c>
      <c r="H320">
        <v>2</v>
      </c>
      <c r="I320">
        <v>2</v>
      </c>
      <c r="J320">
        <v>16</v>
      </c>
      <c r="K320">
        <v>112</v>
      </c>
      <c r="L320">
        <v>8</v>
      </c>
      <c r="M320">
        <v>6</v>
      </c>
      <c r="N320">
        <v>0</v>
      </c>
      <c r="O320">
        <v>0</v>
      </c>
      <c r="P320">
        <v>1</v>
      </c>
      <c r="Q320">
        <v>1</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112</v>
      </c>
      <c r="AU320">
        <v>57</v>
      </c>
      <c r="AV320">
        <v>10</v>
      </c>
      <c r="AW320">
        <v>102</v>
      </c>
      <c r="AX320">
        <v>0</v>
      </c>
      <c r="AY320">
        <v>0</v>
      </c>
      <c r="AZ320">
        <v>0</v>
      </c>
      <c r="BA320">
        <v>0</v>
      </c>
      <c r="BB320">
        <v>0</v>
      </c>
      <c r="BC320">
        <v>0</v>
      </c>
      <c r="BD320">
        <v>0</v>
      </c>
      <c r="BE320">
        <v>0</v>
      </c>
    </row>
    <row r="321" spans="1:57">
      <c r="A321" t="s">
        <v>17300</v>
      </c>
      <c r="B321" t="s">
        <v>17381</v>
      </c>
      <c r="C321">
        <v>2</v>
      </c>
      <c r="D321">
        <v>2</v>
      </c>
      <c r="E321">
        <v>0</v>
      </c>
      <c r="F321">
        <v>0</v>
      </c>
      <c r="G321">
        <v>0</v>
      </c>
      <c r="H321">
        <v>0</v>
      </c>
      <c r="I321">
        <v>0</v>
      </c>
      <c r="J321">
        <v>2</v>
      </c>
      <c r="K321">
        <v>21</v>
      </c>
      <c r="L321">
        <v>2</v>
      </c>
      <c r="M321">
        <v>0</v>
      </c>
      <c r="N321">
        <v>0</v>
      </c>
      <c r="O321">
        <v>0</v>
      </c>
      <c r="P321">
        <v>0</v>
      </c>
      <c r="Q321">
        <v>0</v>
      </c>
      <c r="R321">
        <v>0</v>
      </c>
      <c r="S321">
        <v>25.5</v>
      </c>
      <c r="T321">
        <v>0</v>
      </c>
      <c r="U321">
        <v>0</v>
      </c>
      <c r="V321">
        <v>25.5</v>
      </c>
      <c r="W321">
        <v>0</v>
      </c>
      <c r="X321">
        <v>0</v>
      </c>
      <c r="Y321">
        <v>0</v>
      </c>
      <c r="Z321">
        <v>0</v>
      </c>
      <c r="AA321">
        <v>-255</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21</v>
      </c>
      <c r="AU321">
        <v>0</v>
      </c>
      <c r="AV321">
        <v>0</v>
      </c>
      <c r="AW321">
        <v>21</v>
      </c>
      <c r="AX321">
        <v>25.5</v>
      </c>
      <c r="AY321">
        <v>0</v>
      </c>
      <c r="AZ321">
        <v>0</v>
      </c>
      <c r="BA321">
        <v>25.5</v>
      </c>
      <c r="BB321">
        <v>0</v>
      </c>
      <c r="BC321">
        <v>0</v>
      </c>
      <c r="BD321">
        <v>0</v>
      </c>
      <c r="BE321">
        <v>0</v>
      </c>
    </row>
    <row r="322" spans="1:57">
      <c r="A322" t="s">
        <v>17300</v>
      </c>
      <c r="B322" t="s">
        <v>17339</v>
      </c>
      <c r="C322">
        <v>0</v>
      </c>
      <c r="D322">
        <v>3</v>
      </c>
      <c r="E322">
        <v>0</v>
      </c>
      <c r="F322">
        <v>0</v>
      </c>
      <c r="G322">
        <v>0</v>
      </c>
      <c r="H322">
        <v>0</v>
      </c>
      <c r="I322">
        <v>0</v>
      </c>
      <c r="J322">
        <v>3</v>
      </c>
      <c r="K322">
        <v>5</v>
      </c>
      <c r="L322">
        <v>3</v>
      </c>
      <c r="M322">
        <v>0</v>
      </c>
      <c r="N322">
        <v>0</v>
      </c>
      <c r="O322">
        <v>0</v>
      </c>
      <c r="P322">
        <v>0</v>
      </c>
      <c r="Q322">
        <v>0</v>
      </c>
      <c r="R322">
        <v>0</v>
      </c>
      <c r="S322">
        <v>1.5</v>
      </c>
      <c r="T322">
        <v>0.75</v>
      </c>
      <c r="U322">
        <v>0</v>
      </c>
      <c r="V322">
        <v>2.25</v>
      </c>
      <c r="W322">
        <v>30</v>
      </c>
      <c r="X322">
        <v>0</v>
      </c>
      <c r="Y322">
        <v>3</v>
      </c>
      <c r="Z322">
        <v>0</v>
      </c>
      <c r="AA322">
        <v>0</v>
      </c>
      <c r="AB322">
        <v>0</v>
      </c>
      <c r="AC322">
        <v>0</v>
      </c>
      <c r="AD322">
        <v>0</v>
      </c>
      <c r="AE322">
        <v>0</v>
      </c>
      <c r="AF322">
        <v>0</v>
      </c>
      <c r="AG322">
        <v>30</v>
      </c>
      <c r="AH322">
        <v>30</v>
      </c>
      <c r="AI322">
        <v>0</v>
      </c>
      <c r="AJ322">
        <v>0</v>
      </c>
      <c r="AK322">
        <v>0</v>
      </c>
      <c r="AL322">
        <v>0</v>
      </c>
      <c r="AM322">
        <v>0</v>
      </c>
      <c r="AN322">
        <v>0</v>
      </c>
      <c r="AO322">
        <v>0</v>
      </c>
      <c r="AP322">
        <v>0</v>
      </c>
      <c r="AQ322">
        <v>0</v>
      </c>
      <c r="AR322">
        <v>0</v>
      </c>
      <c r="AS322">
        <v>0</v>
      </c>
      <c r="AT322">
        <v>5</v>
      </c>
      <c r="AU322">
        <v>0</v>
      </c>
      <c r="AV322">
        <v>5</v>
      </c>
      <c r="AW322">
        <v>0</v>
      </c>
      <c r="AX322">
        <v>1.5</v>
      </c>
      <c r="AY322">
        <v>0</v>
      </c>
      <c r="AZ322">
        <v>1.5</v>
      </c>
      <c r="BA322">
        <v>0</v>
      </c>
      <c r="BB322">
        <v>0.75</v>
      </c>
      <c r="BC322">
        <v>0</v>
      </c>
      <c r="BD322">
        <v>0.75</v>
      </c>
      <c r="BE322">
        <v>0</v>
      </c>
    </row>
    <row r="323" spans="1:57">
      <c r="A323" t="s">
        <v>17185</v>
      </c>
      <c r="B323" t="s">
        <v>17187</v>
      </c>
      <c r="C323">
        <v>1</v>
      </c>
      <c r="D323">
        <v>1</v>
      </c>
      <c r="E323">
        <v>1</v>
      </c>
      <c r="F323">
        <v>1</v>
      </c>
      <c r="G323">
        <v>0</v>
      </c>
      <c r="H323">
        <v>0</v>
      </c>
      <c r="I323">
        <v>0</v>
      </c>
      <c r="J323">
        <v>1</v>
      </c>
      <c r="K323">
        <v>8</v>
      </c>
      <c r="L323">
        <v>0</v>
      </c>
      <c r="M323">
        <v>0</v>
      </c>
      <c r="N323">
        <v>0</v>
      </c>
      <c r="O323">
        <v>1</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8</v>
      </c>
      <c r="AU323">
        <v>0</v>
      </c>
      <c r="AV323">
        <v>0</v>
      </c>
      <c r="AW323">
        <v>8</v>
      </c>
      <c r="AX323">
        <v>0</v>
      </c>
      <c r="AY323">
        <v>0</v>
      </c>
      <c r="AZ323">
        <v>0</v>
      </c>
      <c r="BA323">
        <v>0</v>
      </c>
      <c r="BB323">
        <v>0</v>
      </c>
      <c r="BC323">
        <v>0</v>
      </c>
      <c r="BD323">
        <v>0</v>
      </c>
      <c r="BE323">
        <v>0</v>
      </c>
    </row>
    <row r="324" spans="1:57">
      <c r="A324" t="s">
        <v>17188</v>
      </c>
      <c r="B324" t="s">
        <v>17189</v>
      </c>
      <c r="C324">
        <v>1</v>
      </c>
      <c r="D324">
        <v>31</v>
      </c>
      <c r="E324">
        <v>29</v>
      </c>
      <c r="F324">
        <v>28</v>
      </c>
      <c r="G324">
        <v>1</v>
      </c>
      <c r="H324">
        <v>1</v>
      </c>
      <c r="I324">
        <v>0</v>
      </c>
      <c r="J324">
        <v>30</v>
      </c>
      <c r="K324">
        <v>28</v>
      </c>
      <c r="L324">
        <v>25</v>
      </c>
      <c r="M324">
        <v>1</v>
      </c>
      <c r="N324">
        <v>0</v>
      </c>
      <c r="O324">
        <v>0</v>
      </c>
      <c r="P324">
        <v>0</v>
      </c>
      <c r="Q324">
        <v>5</v>
      </c>
      <c r="R324">
        <v>0</v>
      </c>
      <c r="S324">
        <v>4</v>
      </c>
      <c r="T324">
        <v>48</v>
      </c>
      <c r="U324">
        <v>0</v>
      </c>
      <c r="V324">
        <v>52</v>
      </c>
      <c r="W324">
        <v>1000</v>
      </c>
      <c r="X324">
        <v>0</v>
      </c>
      <c r="Y324">
        <v>3</v>
      </c>
      <c r="Z324">
        <v>0</v>
      </c>
      <c r="AA324">
        <v>0</v>
      </c>
      <c r="AB324">
        <v>910</v>
      </c>
      <c r="AC324">
        <v>531.75</v>
      </c>
      <c r="AD324">
        <v>331.75</v>
      </c>
      <c r="AE324">
        <v>191.25</v>
      </c>
      <c r="AF324">
        <v>1241.75</v>
      </c>
      <c r="AG324">
        <v>1531.75</v>
      </c>
      <c r="AH324">
        <v>1340.5</v>
      </c>
      <c r="AI324">
        <v>0</v>
      </c>
      <c r="AJ324">
        <v>770</v>
      </c>
      <c r="AK324">
        <v>1000</v>
      </c>
      <c r="AL324">
        <v>1000</v>
      </c>
      <c r="AM324">
        <v>0</v>
      </c>
      <c r="AN324">
        <v>0</v>
      </c>
      <c r="AO324">
        <v>0</v>
      </c>
      <c r="AP324">
        <v>1</v>
      </c>
      <c r="AQ324">
        <v>0</v>
      </c>
      <c r="AR324">
        <v>0</v>
      </c>
      <c r="AS324">
        <v>0</v>
      </c>
      <c r="AT324">
        <v>301</v>
      </c>
      <c r="AU324">
        <v>0</v>
      </c>
      <c r="AV324">
        <v>256</v>
      </c>
      <c r="AW324">
        <v>45</v>
      </c>
      <c r="AX324">
        <v>4</v>
      </c>
      <c r="AY324">
        <v>0</v>
      </c>
      <c r="AZ324">
        <v>4</v>
      </c>
      <c r="BA324">
        <v>0</v>
      </c>
      <c r="BB324">
        <v>48</v>
      </c>
      <c r="BC324">
        <v>40</v>
      </c>
      <c r="BD324">
        <v>8</v>
      </c>
      <c r="BE324">
        <v>0</v>
      </c>
    </row>
    <row r="325" spans="1:57">
      <c r="A325" t="s">
        <v>17188</v>
      </c>
      <c r="B325" t="s">
        <v>17189</v>
      </c>
      <c r="C325">
        <v>0</v>
      </c>
      <c r="D325">
        <v>17</v>
      </c>
      <c r="E325">
        <v>0</v>
      </c>
      <c r="F325">
        <v>0</v>
      </c>
      <c r="G325">
        <v>0</v>
      </c>
      <c r="H325">
        <v>0</v>
      </c>
      <c r="I325">
        <v>0</v>
      </c>
      <c r="J325">
        <v>16</v>
      </c>
      <c r="K325">
        <v>124</v>
      </c>
      <c r="L325">
        <v>13</v>
      </c>
      <c r="M325">
        <v>0</v>
      </c>
      <c r="N325">
        <v>2</v>
      </c>
      <c r="O325">
        <v>1</v>
      </c>
      <c r="P325">
        <v>0</v>
      </c>
      <c r="Q325">
        <v>1</v>
      </c>
      <c r="R325">
        <v>0</v>
      </c>
      <c r="S325">
        <v>101</v>
      </c>
      <c r="T325">
        <v>3</v>
      </c>
      <c r="U325">
        <v>0</v>
      </c>
      <c r="V325">
        <v>104</v>
      </c>
      <c r="W325">
        <v>1070</v>
      </c>
      <c r="X325">
        <v>0</v>
      </c>
      <c r="Y325">
        <v>2</v>
      </c>
      <c r="Z325">
        <v>0</v>
      </c>
      <c r="AA325">
        <v>0</v>
      </c>
      <c r="AB325">
        <v>1010</v>
      </c>
      <c r="AC325">
        <v>30</v>
      </c>
      <c r="AD325">
        <v>30</v>
      </c>
      <c r="AE325">
        <v>0</v>
      </c>
      <c r="AF325">
        <v>1040</v>
      </c>
      <c r="AG325">
        <v>1100</v>
      </c>
      <c r="AH325">
        <v>1100</v>
      </c>
      <c r="AI325">
        <v>0</v>
      </c>
      <c r="AJ325">
        <v>0</v>
      </c>
      <c r="AK325">
        <v>0</v>
      </c>
      <c r="AL325">
        <v>0</v>
      </c>
      <c r="AM325">
        <v>0</v>
      </c>
      <c r="AN325">
        <v>0</v>
      </c>
      <c r="AO325">
        <v>0</v>
      </c>
      <c r="AP325">
        <v>0</v>
      </c>
      <c r="AQ325">
        <v>0</v>
      </c>
      <c r="AR325">
        <v>0</v>
      </c>
      <c r="AS325">
        <v>0</v>
      </c>
      <c r="AT325">
        <v>124</v>
      </c>
      <c r="AU325">
        <v>0</v>
      </c>
      <c r="AV325">
        <v>124</v>
      </c>
      <c r="AW325">
        <v>0</v>
      </c>
      <c r="AX325">
        <v>101</v>
      </c>
      <c r="AY325">
        <v>0</v>
      </c>
      <c r="AZ325">
        <v>101</v>
      </c>
      <c r="BA325">
        <v>0</v>
      </c>
      <c r="BB325">
        <v>3</v>
      </c>
      <c r="BC325">
        <v>0</v>
      </c>
      <c r="BD325">
        <v>3</v>
      </c>
      <c r="BE325">
        <v>0</v>
      </c>
    </row>
    <row r="326" spans="1:57">
      <c r="A326" t="s">
        <v>17191</v>
      </c>
      <c r="B326" t="s">
        <v>17192</v>
      </c>
      <c r="C326">
        <v>0</v>
      </c>
      <c r="D326">
        <v>1</v>
      </c>
      <c r="E326">
        <v>1</v>
      </c>
      <c r="F326">
        <v>0</v>
      </c>
      <c r="G326">
        <v>0</v>
      </c>
      <c r="H326">
        <v>0</v>
      </c>
      <c r="I326">
        <v>0</v>
      </c>
      <c r="J326">
        <v>1</v>
      </c>
      <c r="K326">
        <v>1</v>
      </c>
      <c r="L326">
        <v>0</v>
      </c>
      <c r="M326">
        <v>0</v>
      </c>
      <c r="N326">
        <v>0</v>
      </c>
      <c r="O326">
        <v>1</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1</v>
      </c>
      <c r="AU326">
        <v>0</v>
      </c>
      <c r="AV326">
        <v>1</v>
      </c>
      <c r="AW326">
        <v>0</v>
      </c>
      <c r="AX326">
        <v>0</v>
      </c>
      <c r="AY326">
        <v>0</v>
      </c>
      <c r="AZ326">
        <v>0</v>
      </c>
      <c r="BA326">
        <v>0</v>
      </c>
      <c r="BB326">
        <v>0</v>
      </c>
      <c r="BC326">
        <v>0</v>
      </c>
      <c r="BD326">
        <v>0</v>
      </c>
      <c r="BE326">
        <v>0</v>
      </c>
    </row>
    <row r="327" spans="1:57">
      <c r="A327" t="s">
        <v>17193</v>
      </c>
      <c r="B327" t="s">
        <v>17194</v>
      </c>
      <c r="C327">
        <v>0</v>
      </c>
      <c r="D327">
        <v>6</v>
      </c>
      <c r="E327">
        <v>6</v>
      </c>
      <c r="F327">
        <v>5</v>
      </c>
      <c r="G327">
        <v>0</v>
      </c>
      <c r="H327">
        <v>0</v>
      </c>
      <c r="I327">
        <v>0</v>
      </c>
      <c r="J327">
        <v>6</v>
      </c>
      <c r="K327">
        <v>30</v>
      </c>
      <c r="L327">
        <v>4</v>
      </c>
      <c r="M327">
        <v>1</v>
      </c>
      <c r="N327">
        <v>0</v>
      </c>
      <c r="O327">
        <v>1</v>
      </c>
      <c r="P327">
        <v>0</v>
      </c>
      <c r="Q327">
        <v>0</v>
      </c>
      <c r="R327">
        <v>0</v>
      </c>
      <c r="S327">
        <v>2.5</v>
      </c>
      <c r="T327">
        <v>0.25</v>
      </c>
      <c r="U327">
        <v>0</v>
      </c>
      <c r="V327">
        <v>2.75</v>
      </c>
      <c r="W327">
        <v>30</v>
      </c>
      <c r="X327">
        <v>0</v>
      </c>
      <c r="Y327">
        <v>5</v>
      </c>
      <c r="Z327">
        <v>1</v>
      </c>
      <c r="AA327">
        <v>0</v>
      </c>
      <c r="AB327">
        <v>0</v>
      </c>
      <c r="AC327">
        <v>0</v>
      </c>
      <c r="AD327">
        <v>0</v>
      </c>
      <c r="AE327">
        <v>0</v>
      </c>
      <c r="AF327">
        <v>0</v>
      </c>
      <c r="AG327">
        <v>30</v>
      </c>
      <c r="AH327">
        <v>30</v>
      </c>
      <c r="AI327">
        <v>0</v>
      </c>
      <c r="AJ327">
        <v>0</v>
      </c>
      <c r="AK327">
        <v>0</v>
      </c>
      <c r="AL327">
        <v>0</v>
      </c>
      <c r="AM327">
        <v>0</v>
      </c>
      <c r="AN327">
        <v>0</v>
      </c>
      <c r="AO327">
        <v>0</v>
      </c>
      <c r="AP327">
        <v>0</v>
      </c>
      <c r="AQ327">
        <v>0</v>
      </c>
      <c r="AR327">
        <v>0</v>
      </c>
      <c r="AS327">
        <v>0</v>
      </c>
      <c r="AT327">
        <v>30</v>
      </c>
      <c r="AU327">
        <v>0</v>
      </c>
      <c r="AV327">
        <v>30</v>
      </c>
      <c r="AW327">
        <v>0</v>
      </c>
      <c r="AX327">
        <v>2.5</v>
      </c>
      <c r="AY327">
        <v>0</v>
      </c>
      <c r="AZ327">
        <v>2.5</v>
      </c>
      <c r="BA327">
        <v>0</v>
      </c>
      <c r="BB327">
        <v>0.25</v>
      </c>
      <c r="BC327">
        <v>0</v>
      </c>
      <c r="BD327">
        <v>0.25</v>
      </c>
      <c r="BE327">
        <v>0</v>
      </c>
    </row>
    <row r="328" spans="1:57">
      <c r="A328" t="s">
        <v>17193</v>
      </c>
      <c r="B328" t="s">
        <v>17195</v>
      </c>
      <c r="C328">
        <v>1</v>
      </c>
      <c r="D328">
        <v>37</v>
      </c>
      <c r="E328">
        <v>37</v>
      </c>
      <c r="F328">
        <v>33</v>
      </c>
      <c r="G328">
        <v>8</v>
      </c>
      <c r="H328">
        <v>1</v>
      </c>
      <c r="I328">
        <v>1</v>
      </c>
      <c r="J328">
        <v>35</v>
      </c>
      <c r="K328">
        <v>245</v>
      </c>
      <c r="L328">
        <v>28</v>
      </c>
      <c r="M328">
        <v>0</v>
      </c>
      <c r="N328">
        <v>3</v>
      </c>
      <c r="O328">
        <v>4</v>
      </c>
      <c r="P328">
        <v>0</v>
      </c>
      <c r="Q328">
        <v>0</v>
      </c>
      <c r="R328">
        <v>0</v>
      </c>
      <c r="S328">
        <v>18.5</v>
      </c>
      <c r="T328">
        <v>6.75</v>
      </c>
      <c r="U328">
        <v>3</v>
      </c>
      <c r="V328">
        <v>28.25</v>
      </c>
      <c r="W328">
        <v>317.5</v>
      </c>
      <c r="X328">
        <v>0</v>
      </c>
      <c r="Y328">
        <v>30</v>
      </c>
      <c r="Z328">
        <v>1</v>
      </c>
      <c r="AA328">
        <v>-2.5</v>
      </c>
      <c r="AB328">
        <v>0</v>
      </c>
      <c r="AC328">
        <v>0</v>
      </c>
      <c r="AD328">
        <v>0</v>
      </c>
      <c r="AE328">
        <v>0</v>
      </c>
      <c r="AF328">
        <v>0</v>
      </c>
      <c r="AG328">
        <v>377.5</v>
      </c>
      <c r="AH328">
        <v>377.5</v>
      </c>
      <c r="AI328">
        <v>0</v>
      </c>
      <c r="AJ328">
        <v>0</v>
      </c>
      <c r="AK328">
        <v>0</v>
      </c>
      <c r="AL328">
        <v>0</v>
      </c>
      <c r="AM328">
        <v>0</v>
      </c>
      <c r="AN328">
        <v>0</v>
      </c>
      <c r="AO328">
        <v>0</v>
      </c>
      <c r="AP328">
        <v>0</v>
      </c>
      <c r="AQ328">
        <v>0</v>
      </c>
      <c r="AR328">
        <v>0</v>
      </c>
      <c r="AS328">
        <v>0</v>
      </c>
      <c r="AT328">
        <v>245</v>
      </c>
      <c r="AU328">
        <v>0</v>
      </c>
      <c r="AV328">
        <v>239</v>
      </c>
      <c r="AW328">
        <v>6</v>
      </c>
      <c r="AX328">
        <v>18.5</v>
      </c>
      <c r="AY328">
        <v>0</v>
      </c>
      <c r="AZ328">
        <v>18.25</v>
      </c>
      <c r="BA328">
        <v>0.25</v>
      </c>
      <c r="BB328">
        <v>6.75</v>
      </c>
      <c r="BC328">
        <v>0</v>
      </c>
      <c r="BD328">
        <v>6.75</v>
      </c>
      <c r="BE328">
        <v>0</v>
      </c>
    </row>
    <row r="329" spans="1:57">
      <c r="A329" t="s">
        <v>17193</v>
      </c>
      <c r="B329" t="s">
        <v>17196</v>
      </c>
      <c r="C329">
        <v>1</v>
      </c>
      <c r="D329">
        <v>10</v>
      </c>
      <c r="E329">
        <v>10</v>
      </c>
      <c r="F329">
        <v>9</v>
      </c>
      <c r="G329">
        <v>0</v>
      </c>
      <c r="H329">
        <v>2</v>
      </c>
      <c r="I329">
        <v>1</v>
      </c>
      <c r="J329">
        <v>10</v>
      </c>
      <c r="K329">
        <v>137</v>
      </c>
      <c r="L329">
        <v>5</v>
      </c>
      <c r="M329">
        <v>1</v>
      </c>
      <c r="N329">
        <v>0</v>
      </c>
      <c r="O329">
        <v>3</v>
      </c>
      <c r="P329">
        <v>0</v>
      </c>
      <c r="Q329">
        <v>1</v>
      </c>
      <c r="R329">
        <v>0</v>
      </c>
      <c r="S329">
        <v>6.25</v>
      </c>
      <c r="T329">
        <v>4</v>
      </c>
      <c r="U329">
        <v>0</v>
      </c>
      <c r="V329">
        <v>10.25</v>
      </c>
      <c r="W329">
        <v>140</v>
      </c>
      <c r="X329">
        <v>0</v>
      </c>
      <c r="Y329">
        <v>9</v>
      </c>
      <c r="Z329">
        <v>0</v>
      </c>
      <c r="AA329">
        <v>-2.5</v>
      </c>
      <c r="AB329">
        <v>90</v>
      </c>
      <c r="AC329">
        <v>86.25</v>
      </c>
      <c r="AD329">
        <v>86.25</v>
      </c>
      <c r="AE329">
        <v>18.75</v>
      </c>
      <c r="AF329">
        <v>176.25</v>
      </c>
      <c r="AG329">
        <v>226.25</v>
      </c>
      <c r="AH329">
        <v>207.5</v>
      </c>
      <c r="AI329">
        <v>0</v>
      </c>
      <c r="AJ329">
        <v>0</v>
      </c>
      <c r="AK329">
        <v>2.5</v>
      </c>
      <c r="AL329">
        <v>2.5</v>
      </c>
      <c r="AM329">
        <v>0</v>
      </c>
      <c r="AN329">
        <v>1</v>
      </c>
      <c r="AO329">
        <v>0</v>
      </c>
      <c r="AP329">
        <v>0</v>
      </c>
      <c r="AQ329">
        <v>0</v>
      </c>
      <c r="AR329">
        <v>0</v>
      </c>
      <c r="AS329">
        <v>0</v>
      </c>
      <c r="AT329">
        <v>137</v>
      </c>
      <c r="AU329">
        <v>80</v>
      </c>
      <c r="AV329">
        <v>57</v>
      </c>
      <c r="AW329">
        <v>20</v>
      </c>
      <c r="AX329">
        <v>6.25</v>
      </c>
      <c r="AY329">
        <v>0.5</v>
      </c>
      <c r="AZ329">
        <v>5.75</v>
      </c>
      <c r="BA329">
        <v>0.25</v>
      </c>
      <c r="BB329">
        <v>4</v>
      </c>
      <c r="BC329">
        <v>0</v>
      </c>
      <c r="BD329">
        <v>4</v>
      </c>
      <c r="BE329">
        <v>0</v>
      </c>
    </row>
    <row r="330" spans="1:57">
      <c r="A330" t="s">
        <v>17193</v>
      </c>
      <c r="B330" t="s">
        <v>17206</v>
      </c>
      <c r="C330">
        <v>74</v>
      </c>
      <c r="D330">
        <v>87</v>
      </c>
      <c r="E330">
        <v>87</v>
      </c>
      <c r="F330">
        <v>87</v>
      </c>
      <c r="G330">
        <v>1</v>
      </c>
      <c r="H330">
        <v>1</v>
      </c>
      <c r="I330">
        <v>0</v>
      </c>
      <c r="J330">
        <v>87</v>
      </c>
      <c r="K330">
        <v>578</v>
      </c>
      <c r="L330">
        <v>82</v>
      </c>
      <c r="M330">
        <v>0</v>
      </c>
      <c r="N330">
        <v>0</v>
      </c>
      <c r="O330">
        <v>2</v>
      </c>
      <c r="P330">
        <v>1</v>
      </c>
      <c r="Q330">
        <v>2</v>
      </c>
      <c r="R330">
        <v>0</v>
      </c>
      <c r="S330">
        <v>80.25</v>
      </c>
      <c r="T330">
        <v>14</v>
      </c>
      <c r="U330">
        <v>0</v>
      </c>
      <c r="V330">
        <v>94.25</v>
      </c>
      <c r="W330">
        <v>897.5</v>
      </c>
      <c r="X330">
        <v>0</v>
      </c>
      <c r="Y330">
        <v>12</v>
      </c>
      <c r="Z330">
        <v>1</v>
      </c>
      <c r="AA330">
        <v>-185</v>
      </c>
      <c r="AB330">
        <v>740</v>
      </c>
      <c r="AC330">
        <v>0</v>
      </c>
      <c r="AD330">
        <v>0</v>
      </c>
      <c r="AE330">
        <v>715</v>
      </c>
      <c r="AF330">
        <v>740</v>
      </c>
      <c r="AG330">
        <v>897.5</v>
      </c>
      <c r="AH330">
        <v>182.5</v>
      </c>
      <c r="AI330">
        <v>0</v>
      </c>
      <c r="AJ330">
        <v>0</v>
      </c>
      <c r="AK330">
        <v>2.5</v>
      </c>
      <c r="AL330">
        <v>2.5</v>
      </c>
      <c r="AM330">
        <v>0</v>
      </c>
      <c r="AN330">
        <v>1</v>
      </c>
      <c r="AO330">
        <v>0</v>
      </c>
      <c r="AP330">
        <v>0</v>
      </c>
      <c r="AQ330">
        <v>1</v>
      </c>
      <c r="AR330">
        <v>0</v>
      </c>
      <c r="AS330">
        <v>0</v>
      </c>
      <c r="AT330">
        <v>578</v>
      </c>
      <c r="AU330">
        <v>11</v>
      </c>
      <c r="AV330">
        <v>161</v>
      </c>
      <c r="AW330">
        <v>406</v>
      </c>
      <c r="AX330">
        <v>80.25</v>
      </c>
      <c r="AY330">
        <v>0.25</v>
      </c>
      <c r="AZ330">
        <v>61.5</v>
      </c>
      <c r="BA330">
        <v>18.5</v>
      </c>
      <c r="BB330">
        <v>14</v>
      </c>
      <c r="BC330">
        <v>0</v>
      </c>
      <c r="BD330">
        <v>14</v>
      </c>
      <c r="BE330">
        <v>0</v>
      </c>
    </row>
    <row r="331" spans="1:57">
      <c r="A331" t="s">
        <v>17193</v>
      </c>
      <c r="B331" t="s">
        <v>17302</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row>
    <row r="332" spans="1:57">
      <c r="A332" t="s">
        <v>17197</v>
      </c>
      <c r="B332" t="s">
        <v>17198</v>
      </c>
      <c r="C332">
        <v>1</v>
      </c>
      <c r="D332">
        <v>23</v>
      </c>
      <c r="E332">
        <v>23</v>
      </c>
      <c r="F332">
        <v>22</v>
      </c>
      <c r="G332">
        <v>0</v>
      </c>
      <c r="H332">
        <v>0</v>
      </c>
      <c r="I332">
        <v>0</v>
      </c>
      <c r="J332">
        <v>23</v>
      </c>
      <c r="K332">
        <v>522</v>
      </c>
      <c r="L332">
        <v>11</v>
      </c>
      <c r="M332">
        <v>9</v>
      </c>
      <c r="N332">
        <v>3</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522</v>
      </c>
      <c r="AU332">
        <v>0</v>
      </c>
      <c r="AV332">
        <v>511</v>
      </c>
      <c r="AW332">
        <v>11</v>
      </c>
      <c r="AX332">
        <v>0</v>
      </c>
      <c r="AY332">
        <v>0</v>
      </c>
      <c r="AZ332">
        <v>0</v>
      </c>
      <c r="BA332">
        <v>0</v>
      </c>
      <c r="BB332">
        <v>0</v>
      </c>
      <c r="BC332">
        <v>0</v>
      </c>
      <c r="BD332">
        <v>0</v>
      </c>
      <c r="BE332">
        <v>0</v>
      </c>
    </row>
  </sheetData>
  <sortState xmlns:xlrd2="http://schemas.microsoft.com/office/spreadsheetml/2017/richdata2" ref="A2:BF332">
    <sortCondition ref="A2:A332"/>
    <sortCondition ref="B2:B33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All</vt:lpstr>
      <vt:lpstr>Major</vt:lpstr>
      <vt:lpstr>LogFY15</vt:lpstr>
      <vt:lpstr>LogFY16</vt:lpstr>
      <vt:lpstr>LogFY17</vt:lpstr>
      <vt:lpstr>LogFY18</vt:lpstr>
      <vt:lpstr>LogFY19</vt:lpstr>
      <vt:lpstr>LogFY20</vt:lpstr>
      <vt:lpstr>LogFY21</vt:lpstr>
      <vt:lpstr>LogFY22</vt:lpstr>
      <vt:lpstr>LogFY23</vt:lpstr>
      <vt:lpstr>LogFY24</vt:lpstr>
      <vt:lpstr>Departments - UIPA Statistics</vt:lpstr>
      <vt:lpstr>Departments - OIP Statistics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2016-02-19T01:35:24Z</dcterms:created>
  <dcterms:modified xsi:type="dcterms:W3CDTF">2025-10-06T19:42:33Z</dcterms:modified>
</cp:coreProperties>
</file>